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omments2.xml" ContentType="application/vnd.openxmlformats-officedocument.spreadsheetml.comments+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ivotTables/pivotTable1.xml" ContentType="application/vnd.openxmlformats-officedocument.spreadsheetml.pivotTable+xml"/>
  <Override PartName="/xl/drawings/drawing8.xml" ContentType="application/vnd.openxmlformats-officedocument.drawing+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9.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updateLinks="never" codeName="ThisWorkbook" defaultThemeVersion="124226"/>
  <bookViews>
    <workbookView xWindow="0" yWindow="0" windowWidth="28800" windowHeight="12810" tabRatio="693" activeTab="1"/>
  </bookViews>
  <sheets>
    <sheet name="Portada" sheetId="32" r:id="rId1"/>
    <sheet name="A. Dades de partida" sheetId="15" r:id="rId2"/>
    <sheet name="B. Resultats" sheetId="17" r:id="rId3"/>
    <sheet name="Llegenda" sheetId="14" r:id="rId4"/>
    <sheet name="Bibliografia" sheetId="26" state="hidden" r:id="rId5"/>
    <sheet name="BD Pilots" sheetId="35" state="hidden" r:id="rId6"/>
    <sheet name="BD ASVICC" sheetId="28" state="hidden" r:id="rId7"/>
    <sheet name="BD Comarcal" sheetId="29" state="hidden" r:id="rId8"/>
    <sheet name="BD Altres" sheetId="33" state="hidden" r:id="rId9"/>
    <sheet name="Vulnerab" sheetId="38" state="hidden" r:id="rId10"/>
    <sheet name="1. Cops de calor" sheetId="8" state="hidden" r:id="rId11"/>
    <sheet name="2b.Incendis forestals" sheetId="45" state="hidden" r:id="rId12"/>
    <sheet name="2. Incendis forestals" sheetId="6" state="hidden" r:id="rId13"/>
    <sheet name="3b aigua" sheetId="46" state="hidden" r:id="rId14"/>
    <sheet name="3. Aigua-Resid " sheetId="16" state="hidden" r:id="rId15"/>
    <sheet name="4b. Agricultura" sheetId="48" state="hidden" r:id="rId16"/>
    <sheet name="4. Agricultura PIB" sheetId="22" state="hidden" r:id="rId17"/>
    <sheet name="5. Ramaderia PIB" sheetId="23" state="hidden" r:id="rId18"/>
    <sheet name="6. Inundacions" sheetId="7" r:id="rId19"/>
    <sheet name="7b erosió costa" sheetId="49" state="hidden" r:id="rId20"/>
    <sheet name="7. Erosió de costa" sheetId="20" state="hidden" r:id="rId21"/>
    <sheet name="Verd urbà" sheetId="18" state="hidden" r:id="rId22"/>
    <sheet name="Bosc" sheetId="24" state="hidden" r:id="rId23"/>
    <sheet name="Tempestes" sheetId="21" state="hidden" r:id="rId24"/>
    <sheet name="Agricultura reg" sheetId="31" state="hidden" r:id="rId25"/>
    <sheet name="Turisme PIB" sheetId="34" state="hidden" r:id="rId26"/>
    <sheet name="Turisme Allotjaments" sheetId="30" state="hidden" r:id="rId27"/>
    <sheet name="Energia Residencial" sheetId="10" state="hidden" r:id="rId28"/>
    <sheet name="Sequera" sheetId="37" state="hidden" r:id="rId29"/>
    <sheet name="consums energètics residencial" sheetId="39" state="hidden" r:id="rId30"/>
    <sheet name="municipis" sheetId="40" state="hidden" r:id="rId31"/>
    <sheet name="1b.Cops de calor" sheetId="44" state="hidden" r:id="rId32"/>
    <sheet name="temperatures màximes" sheetId="41" state="hidden" r:id="rId33"/>
    <sheet name="nits tropicals" sheetId="42" state="hidden" r:id="rId34"/>
    <sheet name="global dades" sheetId="43" r:id="rId35"/>
    <sheet name="preus aigua" sheetId="47" state="hidden" r:id="rId36"/>
    <sheet name="cultius resum" sheetId="54" state="hidden" r:id="rId37"/>
    <sheet name="cultius" sheetId="50" state="hidden" r:id="rId38"/>
    <sheet name="cult llenyosos" sheetId="51" state="hidden" r:id="rId39"/>
    <sheet name="tecnicecon agric" sheetId="52" state="hidden" r:id="rId40"/>
    <sheet name="agrari" sheetId="57" state="hidden" r:id="rId41"/>
    <sheet name="ratis" sheetId="58" r:id="rId42"/>
    <sheet name="fonts" sheetId="59" r:id="rId43"/>
    <sheet name="T50" sheetId="60" state="hidden" r:id="rId44"/>
    <sheet name="T50 cost" sheetId="64" state="hidden" r:id="rId45"/>
    <sheet name="T100" sheetId="61" state="hidden" r:id="rId46"/>
    <sheet name="T100 cost" sheetId="65" state="hidden" r:id="rId47"/>
    <sheet name="cost per tipologia de sòl" sheetId="63" state="hidden" r:id="rId48"/>
    <sheet name="Full1" sheetId="66" state="hidden" r:id="rId49"/>
  </sheets>
  <externalReferences>
    <externalReference r:id="rId50"/>
    <externalReference r:id="rId51"/>
    <externalReference r:id="rId52"/>
    <externalReference r:id="rId53"/>
    <externalReference r:id="rId54"/>
  </externalReferences>
  <definedNames>
    <definedName name="_aqu1" localSheetId="25">#REF!</definedName>
    <definedName name="_but2" localSheetId="25">#REF!</definedName>
    <definedName name="_xlnm._FilterDatabase" localSheetId="31" hidden="1">'1b.Cops de calor'!$A$3:$AQ$314</definedName>
    <definedName name="_xlnm._FilterDatabase" localSheetId="19" hidden="1">'7b erosió costa'!$A$2:$X$314</definedName>
    <definedName name="_xlnm._FilterDatabase" localSheetId="6" hidden="1">'BD ASVICC'!$A$5:$GS$369</definedName>
    <definedName name="_xlnm._FilterDatabase" localSheetId="38" hidden="1">'cult llenyosos'!$A$1:$H$3550</definedName>
    <definedName name="_xlnm._FilterDatabase" localSheetId="37" hidden="1">cultius!$A$1:$K$16</definedName>
    <definedName name="_urb1" localSheetId="25">#REF!</definedName>
    <definedName name="agric" localSheetId="25">#REF!</definedName>
    <definedName name="agric">'4b. Agricultura'!$B$4:$S$314</definedName>
    <definedName name="aigua">'BD ASVICC'!$A$5:$AU$317</definedName>
    <definedName name="AIRDISTRIBUTION2">[1]BD_VENTILACIÓN!$K$5:$K$15</definedName>
    <definedName name="base">'BD ASVICC'!$A$5:$GS$316</definedName>
    <definedName name="basec">'BD Comarcal'!$A$6:$AX$17</definedName>
    <definedName name="bloom" localSheetId="25">#REF!</definedName>
    <definedName name="bolets" localSheetId="25">#REF!</definedName>
    <definedName name="boscos" localSheetId="25">#REF!</definedName>
    <definedName name="brig" localSheetId="25">#REF!</definedName>
    <definedName name="briga" localSheetId="25">#REF!</definedName>
    <definedName name="but" localSheetId="25">#REF!</definedName>
    <definedName name="butll1" localSheetId="25">#REF!</definedName>
    <definedName name="butll2" localSheetId="25">#REF!</definedName>
    <definedName name="CAPACITAT" localSheetId="25">#REF!</definedName>
    <definedName name="catang" localSheetId="25">#REF!</definedName>
    <definedName name="cla" localSheetId="25">#REF!</definedName>
    <definedName name="clav" localSheetId="25">#REF!</definedName>
    <definedName name="copcalor">'1b.Cops de calor'!$A$4:$AA$314</definedName>
    <definedName name="copcalor2">'1b.Cops de calor'!$B$4:$AA$314</definedName>
    <definedName name="costa">'7. Erosió de costa'!$J$31:$L$56</definedName>
    <definedName name="costT100">'T100 cost'!$A$1:$AK$178</definedName>
    <definedName name="costT50">'T50 cost'!$A$1:$AK$162</definedName>
    <definedName name="DADES">'BD ASVICC'!$A$5:$ZX$318</definedName>
    <definedName name="DefMun">'BD ASVICC'!$A$6:$A$316</definedName>
    <definedName name="Defuncions__anual">'BD ASVICC'!$GQ$6:$GQ$316</definedName>
    <definedName name="dies" localSheetId="25">#REF!</definedName>
    <definedName name="dunes" localSheetId="25">#REF!</definedName>
    <definedName name="dunes2" localSheetId="25">#REF!</definedName>
    <definedName name="ener" localSheetId="25">#REF!</definedName>
    <definedName name="entorn" localSheetId="25">#REF!</definedName>
    <definedName name="estacions">[2]EMA!$B$2:$B$44</definedName>
    <definedName name="estatcl" localSheetId="25">#REF!</definedName>
    <definedName name="estatclv" localSheetId="25">#REF!</definedName>
    <definedName name="fuit" localSheetId="25">#REF!</definedName>
    <definedName name="fuites" localSheetId="25">#REF!</definedName>
    <definedName name="gest" localSheetId="25">#REF!</definedName>
    <definedName name="idioma" localSheetId="25">#REF!</definedName>
    <definedName name="impactes" localSheetId="24">#REF!</definedName>
    <definedName name="impactes" localSheetId="26">#REF!</definedName>
    <definedName name="impactes" localSheetId="25">#REF!</definedName>
    <definedName name="INCENDIS" localSheetId="25">#REF!</definedName>
    <definedName name="info">[3]taules!$M$1:$M$6</definedName>
    <definedName name="infoc" localSheetId="25">#REF!</definedName>
    <definedName name="Intensity">'[4]Drop-down Menus'!$A$10:$A$14</definedName>
    <definedName name="INUNDACIONS" localSheetId="25">#REF!</definedName>
    <definedName name="InvolvementLevel">'[4]Drop-down Menus'!$A$4:$A$7</definedName>
    <definedName name="lin" localSheetId="25">#REF!</definedName>
    <definedName name="lista1">'[5]Preu de l''aigua ús domèstic'!$A$5:$A$231</definedName>
    <definedName name="mant" localSheetId="25">#REF!</definedName>
    <definedName name="medi" localSheetId="25">#REF!</definedName>
    <definedName name="medis" localSheetId="25">#REF!</definedName>
    <definedName name="mermes">'7. Erosió de costa'!$C$32:$G$40</definedName>
    <definedName name="MunDef">'BD ASVICC'!$A$6:$A$316</definedName>
    <definedName name="muni" localSheetId="25">#REF!</definedName>
    <definedName name="Municipis">municipis!$A$2:$A$312</definedName>
    <definedName name="ONADA" localSheetId="25">#REF!</definedName>
    <definedName name="ord" localSheetId="25">#REF!</definedName>
    <definedName name="orden" localSheetId="25">#REF!</definedName>
    <definedName name="PAM">[3]taules!$I$61:$I$63</definedName>
    <definedName name="pdc" localSheetId="25">#REF!</definedName>
    <definedName name="pdcv" localSheetId="25">#REF!</definedName>
    <definedName name="PLANEJAMENT">[3]taules!$R$1:$R$5</definedName>
    <definedName name="plat" localSheetId="25">#REF!</definedName>
    <definedName name="platges" localSheetId="25">#REF!</definedName>
    <definedName name="pobl" localSheetId="25">#REF!</definedName>
    <definedName name="pous" localSheetId="25">#REF!</definedName>
    <definedName name="ramad">'4b. Agricultura'!$B$4:$R$314</definedName>
    <definedName name="rega" localSheetId="25">#REF!</definedName>
    <definedName name="REGIMAIGUA">[3]taules!$P$1:$P$7</definedName>
    <definedName name="regv" localSheetId="25">#REF!</definedName>
    <definedName name="regvu" localSheetId="25">#REF!</definedName>
    <definedName name="riscinund">[3]taules!$I$54:$I$58</definedName>
    <definedName name="SEQUERA" localSheetId="25">#REF!</definedName>
    <definedName name="Sí">'A. Dades de partida'!$J$30:$J$33</definedName>
    <definedName name="Suministro_de_aire_frio_por_el_suelo_y_retorno_por_el_techo_siempre_que_la_impulsion_del_aire_sea_a_0_8_m___s_y__llegue_a_1_4_m_del_nivel_del_suelo._Nota__La_mayoría_de_los_sistemas_de_distribución_de_aire_bajo_el_suelo_cumplen_con_esta_condición." localSheetId="14">#REF!</definedName>
    <definedName name="Suministro_de_aire_frio_por_el_suelo_y_retorno_por_el_techo_siempre_que_la_impulsion_del_aire_sea_a_0_8_m___s_y__llegue_a_1_4_m_del_nivel_del_suelo._Nota__La_mayoría_de_los_sistemas_de_distribución_de_aire_bajo_el_suelo_cumplen_con_esta_condición." localSheetId="24">#REF!</definedName>
    <definedName name="Suministro_de_aire_frio_por_el_suelo_y_retorno_por_el_techo_siempre_que_la_impulsion_del_aire_sea_a_0_8_m___s_y__llegue_a_1_4_m_del_nivel_del_suelo._Nota__La_mayoría_de_los_sistemas_de_distribución_de_aire_bajo_el_suelo_cumplen_con_esta_condición." localSheetId="26">#REF!</definedName>
    <definedName name="Suministro_de_aire_frio_por_el_suelo_y_retorno_por_el_techo_siempre_que_la_impulsion_del_aire_sea_a_0_8_m___s_y__llegue_a_1_4_m_del_nivel_del_suelo._Nota__La_mayoría_de_los_sistemas_de_distribución_de_aire_bajo_el_suelo_cumplen_con_esta_condición." localSheetId="25">#REF!</definedName>
    <definedName name="Taulatend">'1. Cops de calor'!$D$40:$F$42</definedName>
    <definedName name="tec" localSheetId="25">#REF!</definedName>
    <definedName name="tecn" localSheetId="25">#REF!</definedName>
    <definedName name="TGreg" localSheetId="25">#REF!</definedName>
    <definedName name="TGRV" localSheetId="25">#REF!</definedName>
    <definedName name="verd" localSheetId="25">#REF!</definedName>
    <definedName name="ZONESHUMIDES">[3]taules!$AD$1:$AD$19</definedName>
  </definedNames>
  <calcPr calcId="145621"/>
  <pivotCaches>
    <pivotCache cacheId="0" r:id="rId55"/>
    <pivotCache cacheId="1" r:id="rId56"/>
    <pivotCache cacheId="17" r:id="rId57"/>
  </pivotCaches>
  <fileRecoveryPr repairLoad="1"/>
</workbook>
</file>

<file path=xl/calcChain.xml><?xml version="1.0" encoding="utf-8"?>
<calcChain xmlns="http://schemas.openxmlformats.org/spreadsheetml/2006/main">
  <c r="B3" i="65" l="1"/>
  <c r="C3" i="65"/>
  <c r="D3" i="65"/>
  <c r="E3" i="65"/>
  <c r="F3" i="65"/>
  <c r="G3" i="65"/>
  <c r="H3" i="65"/>
  <c r="I3" i="65"/>
  <c r="J3" i="65"/>
  <c r="K3" i="65"/>
  <c r="L3" i="65"/>
  <c r="M3" i="65"/>
  <c r="N3" i="65"/>
  <c r="O3" i="65"/>
  <c r="P3" i="65"/>
  <c r="Q3" i="65"/>
  <c r="R3" i="65"/>
  <c r="S3" i="65"/>
  <c r="T3" i="65"/>
  <c r="U3" i="65"/>
  <c r="V3" i="65"/>
  <c r="W3" i="65"/>
  <c r="X3" i="65"/>
  <c r="Y3" i="65"/>
  <c r="Z3" i="65"/>
  <c r="AA3" i="65"/>
  <c r="AB3" i="65"/>
  <c r="AC3" i="65"/>
  <c r="AD3" i="65"/>
  <c r="AE3" i="65"/>
  <c r="AF3" i="65"/>
  <c r="AG3" i="65"/>
  <c r="AH3" i="65"/>
  <c r="AI3" i="65"/>
  <c r="AJ3" i="65"/>
  <c r="AK3" i="65" s="1"/>
  <c r="B4" i="65"/>
  <c r="C4" i="65"/>
  <c r="D4" i="65"/>
  <c r="E4" i="65"/>
  <c r="F4" i="65"/>
  <c r="G4" i="65"/>
  <c r="H4" i="65"/>
  <c r="I4" i="65"/>
  <c r="J4" i="65"/>
  <c r="K4" i="65"/>
  <c r="L4" i="65"/>
  <c r="M4" i="65"/>
  <c r="N4" i="65"/>
  <c r="O4" i="65"/>
  <c r="P4" i="65"/>
  <c r="Q4" i="65"/>
  <c r="R4" i="65"/>
  <c r="S4" i="65"/>
  <c r="T4" i="65"/>
  <c r="U4" i="65"/>
  <c r="V4" i="65"/>
  <c r="W4" i="65"/>
  <c r="X4" i="65"/>
  <c r="Y4" i="65"/>
  <c r="Z4" i="65"/>
  <c r="AA4" i="65"/>
  <c r="AB4" i="65"/>
  <c r="AC4" i="65"/>
  <c r="AD4" i="65"/>
  <c r="AE4" i="65"/>
  <c r="AF4" i="65"/>
  <c r="AG4" i="65"/>
  <c r="AH4" i="65"/>
  <c r="AI4" i="65"/>
  <c r="AJ4" i="65"/>
  <c r="AK4" i="65" s="1"/>
  <c r="B5" i="65"/>
  <c r="C5" i="65"/>
  <c r="D5" i="65"/>
  <c r="E5" i="65"/>
  <c r="F5" i="65"/>
  <c r="G5" i="65"/>
  <c r="H5" i="65"/>
  <c r="I5" i="65"/>
  <c r="J5" i="65"/>
  <c r="K5" i="65"/>
  <c r="L5" i="65"/>
  <c r="M5" i="65"/>
  <c r="N5" i="65"/>
  <c r="O5" i="65"/>
  <c r="P5" i="65"/>
  <c r="Q5" i="65"/>
  <c r="R5" i="65"/>
  <c r="S5" i="65"/>
  <c r="T5" i="65"/>
  <c r="U5" i="65"/>
  <c r="V5" i="65"/>
  <c r="W5" i="65"/>
  <c r="X5" i="65"/>
  <c r="Y5" i="65"/>
  <c r="Z5" i="65"/>
  <c r="AA5" i="65"/>
  <c r="AB5" i="65"/>
  <c r="AC5" i="65"/>
  <c r="AD5" i="65"/>
  <c r="AE5" i="65"/>
  <c r="AF5" i="65"/>
  <c r="AG5" i="65"/>
  <c r="AH5" i="65"/>
  <c r="AI5" i="65"/>
  <c r="AJ5" i="65"/>
  <c r="AK5" i="65" s="1"/>
  <c r="B6" i="65"/>
  <c r="C6" i="65"/>
  <c r="D6" i="65"/>
  <c r="E6" i="65"/>
  <c r="F6" i="65"/>
  <c r="G6" i="65"/>
  <c r="H6" i="65"/>
  <c r="I6" i="65"/>
  <c r="J6" i="65"/>
  <c r="K6" i="65"/>
  <c r="L6" i="65"/>
  <c r="M6" i="65"/>
  <c r="N6" i="65"/>
  <c r="O6" i="65"/>
  <c r="P6" i="65"/>
  <c r="Q6" i="65"/>
  <c r="R6" i="65"/>
  <c r="S6" i="65"/>
  <c r="T6" i="65"/>
  <c r="U6" i="65"/>
  <c r="V6" i="65"/>
  <c r="W6" i="65"/>
  <c r="X6" i="65"/>
  <c r="Y6" i="65"/>
  <c r="Z6" i="65"/>
  <c r="AA6" i="65"/>
  <c r="AB6" i="65"/>
  <c r="AC6" i="65"/>
  <c r="AD6" i="65"/>
  <c r="AE6" i="65"/>
  <c r="AF6" i="65"/>
  <c r="AG6" i="65"/>
  <c r="AH6" i="65"/>
  <c r="AI6" i="65"/>
  <c r="AJ6" i="65"/>
  <c r="AK6" i="65" s="1"/>
  <c r="B7" i="65"/>
  <c r="C7" i="65"/>
  <c r="D7" i="65"/>
  <c r="E7" i="65"/>
  <c r="F7" i="65"/>
  <c r="G7" i="65"/>
  <c r="H7" i="65"/>
  <c r="I7" i="65"/>
  <c r="J7" i="65"/>
  <c r="K7" i="65"/>
  <c r="L7" i="65"/>
  <c r="M7" i="65"/>
  <c r="N7" i="65"/>
  <c r="O7" i="65"/>
  <c r="P7" i="65"/>
  <c r="Q7" i="65"/>
  <c r="R7" i="65"/>
  <c r="S7" i="65"/>
  <c r="T7" i="65"/>
  <c r="U7" i="65"/>
  <c r="V7" i="65"/>
  <c r="W7" i="65"/>
  <c r="X7" i="65"/>
  <c r="Y7" i="65"/>
  <c r="Z7" i="65"/>
  <c r="AA7" i="65"/>
  <c r="AB7" i="65"/>
  <c r="AC7" i="65"/>
  <c r="AD7" i="65"/>
  <c r="AE7" i="65"/>
  <c r="AF7" i="65"/>
  <c r="AG7" i="65"/>
  <c r="AH7" i="65"/>
  <c r="AI7" i="65"/>
  <c r="AJ7" i="65"/>
  <c r="AK7" i="65" s="1"/>
  <c r="B8" i="65"/>
  <c r="C8" i="65"/>
  <c r="D8" i="65"/>
  <c r="E8" i="65"/>
  <c r="F8" i="65"/>
  <c r="G8" i="65"/>
  <c r="H8" i="65"/>
  <c r="I8" i="65"/>
  <c r="J8" i="65"/>
  <c r="K8" i="65"/>
  <c r="L8" i="65"/>
  <c r="M8" i="65"/>
  <c r="N8" i="65"/>
  <c r="O8" i="65"/>
  <c r="P8" i="65"/>
  <c r="Q8" i="65"/>
  <c r="R8" i="65"/>
  <c r="S8" i="65"/>
  <c r="T8" i="65"/>
  <c r="U8" i="65"/>
  <c r="V8" i="65"/>
  <c r="W8" i="65"/>
  <c r="X8" i="65"/>
  <c r="Y8" i="65"/>
  <c r="Z8" i="65"/>
  <c r="AA8" i="65"/>
  <c r="AB8" i="65"/>
  <c r="AC8" i="65"/>
  <c r="AD8" i="65"/>
  <c r="AE8" i="65"/>
  <c r="AF8" i="65"/>
  <c r="AG8" i="65"/>
  <c r="AH8" i="65"/>
  <c r="AI8" i="65"/>
  <c r="AJ8" i="65"/>
  <c r="AK8" i="65" s="1"/>
  <c r="B9" i="65"/>
  <c r="C9" i="65"/>
  <c r="D9" i="65"/>
  <c r="E9" i="65"/>
  <c r="F9" i="65"/>
  <c r="G9" i="65"/>
  <c r="H9" i="65"/>
  <c r="I9" i="65"/>
  <c r="J9" i="65"/>
  <c r="K9" i="65"/>
  <c r="L9" i="65"/>
  <c r="M9" i="65"/>
  <c r="N9" i="65"/>
  <c r="O9" i="65"/>
  <c r="P9" i="65"/>
  <c r="Q9" i="65"/>
  <c r="R9" i="65"/>
  <c r="S9" i="65"/>
  <c r="T9" i="65"/>
  <c r="U9" i="65"/>
  <c r="V9" i="65"/>
  <c r="W9" i="65"/>
  <c r="X9" i="65"/>
  <c r="Y9" i="65"/>
  <c r="Z9" i="65"/>
  <c r="AA9" i="65"/>
  <c r="AB9" i="65"/>
  <c r="AC9" i="65"/>
  <c r="AD9" i="65"/>
  <c r="AE9" i="65"/>
  <c r="AF9" i="65"/>
  <c r="AG9" i="65"/>
  <c r="AH9" i="65"/>
  <c r="AI9" i="65"/>
  <c r="AJ9" i="65"/>
  <c r="AK9" i="65" s="1"/>
  <c r="B10" i="65"/>
  <c r="C10" i="65"/>
  <c r="D10" i="65"/>
  <c r="E10" i="65"/>
  <c r="F10" i="65"/>
  <c r="G10" i="65"/>
  <c r="H10" i="65"/>
  <c r="I10" i="65"/>
  <c r="J10" i="65"/>
  <c r="K10" i="65"/>
  <c r="L10" i="65"/>
  <c r="M10" i="65"/>
  <c r="N10" i="65"/>
  <c r="O10" i="65"/>
  <c r="P10" i="65"/>
  <c r="Q10" i="65"/>
  <c r="R10" i="65"/>
  <c r="S10" i="65"/>
  <c r="T10" i="65"/>
  <c r="U10" i="65"/>
  <c r="V10" i="65"/>
  <c r="W10" i="65"/>
  <c r="X10" i="65"/>
  <c r="Y10" i="65"/>
  <c r="Z10" i="65"/>
  <c r="AA10" i="65"/>
  <c r="AB10" i="65"/>
  <c r="AC10" i="65"/>
  <c r="AD10" i="65"/>
  <c r="AE10" i="65"/>
  <c r="AF10" i="65"/>
  <c r="AG10" i="65"/>
  <c r="AH10" i="65"/>
  <c r="AI10" i="65"/>
  <c r="AJ10" i="65"/>
  <c r="AK10" i="65" s="1"/>
  <c r="B11" i="65"/>
  <c r="C11" i="65"/>
  <c r="D11" i="65"/>
  <c r="E11" i="65"/>
  <c r="F11" i="65"/>
  <c r="G11" i="65"/>
  <c r="H11" i="65"/>
  <c r="I11" i="65"/>
  <c r="J11" i="65"/>
  <c r="K11" i="65"/>
  <c r="L11" i="65"/>
  <c r="M11" i="65"/>
  <c r="N11" i="65"/>
  <c r="O11" i="65"/>
  <c r="P11" i="65"/>
  <c r="Q11" i="65"/>
  <c r="R11" i="65"/>
  <c r="S11" i="65"/>
  <c r="T11" i="65"/>
  <c r="U11" i="65"/>
  <c r="V11" i="65"/>
  <c r="W11" i="65"/>
  <c r="X11" i="65"/>
  <c r="Y11" i="65"/>
  <c r="Z11" i="65"/>
  <c r="AA11" i="65"/>
  <c r="AB11" i="65"/>
  <c r="AC11" i="65"/>
  <c r="AD11" i="65"/>
  <c r="AE11" i="65"/>
  <c r="AF11" i="65"/>
  <c r="AG11" i="65"/>
  <c r="AH11" i="65"/>
  <c r="AI11" i="65"/>
  <c r="AJ11" i="65"/>
  <c r="AK11" i="65" s="1"/>
  <c r="B12" i="65"/>
  <c r="C12" i="65"/>
  <c r="D12" i="65"/>
  <c r="E12" i="65"/>
  <c r="F12" i="65"/>
  <c r="G12" i="65"/>
  <c r="H12" i="65"/>
  <c r="I12" i="65"/>
  <c r="J12" i="65"/>
  <c r="K12" i="65"/>
  <c r="L12" i="65"/>
  <c r="M12" i="65"/>
  <c r="N12" i="65"/>
  <c r="O12" i="65"/>
  <c r="P12" i="65"/>
  <c r="Q12" i="65"/>
  <c r="R12" i="65"/>
  <c r="S12" i="65"/>
  <c r="T12" i="65"/>
  <c r="U12" i="65"/>
  <c r="V12" i="65"/>
  <c r="W12" i="65"/>
  <c r="X12" i="65"/>
  <c r="Y12" i="65"/>
  <c r="Z12" i="65"/>
  <c r="AA12" i="65"/>
  <c r="AB12" i="65"/>
  <c r="AC12" i="65"/>
  <c r="AD12" i="65"/>
  <c r="AE12" i="65"/>
  <c r="AF12" i="65"/>
  <c r="AG12" i="65"/>
  <c r="AH12" i="65"/>
  <c r="AI12" i="65"/>
  <c r="AJ12" i="65"/>
  <c r="AK12" i="65" s="1"/>
  <c r="B13" i="65"/>
  <c r="C13" i="65"/>
  <c r="D13" i="65"/>
  <c r="E13" i="65"/>
  <c r="F13" i="65"/>
  <c r="G13" i="65"/>
  <c r="H13" i="65"/>
  <c r="I13" i="65"/>
  <c r="J13" i="65"/>
  <c r="K13" i="65"/>
  <c r="L13" i="65"/>
  <c r="M13" i="65"/>
  <c r="N13" i="65"/>
  <c r="O13" i="65"/>
  <c r="P13" i="65"/>
  <c r="Q13" i="65"/>
  <c r="R13" i="65"/>
  <c r="S13" i="65"/>
  <c r="T13" i="65"/>
  <c r="U13" i="65"/>
  <c r="V13" i="65"/>
  <c r="W13" i="65"/>
  <c r="X13" i="65"/>
  <c r="Y13" i="65"/>
  <c r="Z13" i="65"/>
  <c r="AA13" i="65"/>
  <c r="AB13" i="65"/>
  <c r="AC13" i="65"/>
  <c r="AD13" i="65"/>
  <c r="AE13" i="65"/>
  <c r="AF13" i="65"/>
  <c r="AG13" i="65"/>
  <c r="AH13" i="65"/>
  <c r="AI13" i="65"/>
  <c r="AJ13" i="65"/>
  <c r="AK13" i="65" s="1"/>
  <c r="B14" i="65"/>
  <c r="C14" i="65"/>
  <c r="D14" i="65"/>
  <c r="E14" i="65"/>
  <c r="F14" i="65"/>
  <c r="G14" i="65"/>
  <c r="H14" i="65"/>
  <c r="I14" i="65"/>
  <c r="J14" i="65"/>
  <c r="K14" i="65"/>
  <c r="L14" i="65"/>
  <c r="M14" i="65"/>
  <c r="N14" i="65"/>
  <c r="O14" i="65"/>
  <c r="P14" i="65"/>
  <c r="Q14" i="65"/>
  <c r="R14" i="65"/>
  <c r="S14" i="65"/>
  <c r="T14" i="65"/>
  <c r="U14" i="65"/>
  <c r="V14" i="65"/>
  <c r="W14" i="65"/>
  <c r="X14" i="65"/>
  <c r="Y14" i="65"/>
  <c r="Z14" i="65"/>
  <c r="AA14" i="65"/>
  <c r="AB14" i="65"/>
  <c r="AC14" i="65"/>
  <c r="AD14" i="65"/>
  <c r="AE14" i="65"/>
  <c r="AF14" i="65"/>
  <c r="AG14" i="65"/>
  <c r="AH14" i="65"/>
  <c r="AI14" i="65"/>
  <c r="AJ14" i="65"/>
  <c r="AK14" i="65" s="1"/>
  <c r="B15" i="65"/>
  <c r="C15" i="65"/>
  <c r="D15" i="65"/>
  <c r="E15" i="65"/>
  <c r="F15" i="65"/>
  <c r="G15" i="65"/>
  <c r="H15" i="65"/>
  <c r="I15" i="65"/>
  <c r="J15" i="65"/>
  <c r="K15" i="65"/>
  <c r="L15" i="65"/>
  <c r="M15" i="65"/>
  <c r="N15" i="65"/>
  <c r="O15" i="65"/>
  <c r="P15" i="65"/>
  <c r="Q15" i="65"/>
  <c r="R15" i="65"/>
  <c r="S15" i="65"/>
  <c r="T15" i="65"/>
  <c r="U15" i="65"/>
  <c r="V15" i="65"/>
  <c r="W15" i="65"/>
  <c r="X15" i="65"/>
  <c r="Y15" i="65"/>
  <c r="Z15" i="65"/>
  <c r="AA15" i="65"/>
  <c r="AB15" i="65"/>
  <c r="AC15" i="65"/>
  <c r="AD15" i="65"/>
  <c r="AE15" i="65"/>
  <c r="AF15" i="65"/>
  <c r="AG15" i="65"/>
  <c r="AH15" i="65"/>
  <c r="AI15" i="65"/>
  <c r="AJ15" i="65"/>
  <c r="AK15" i="65" s="1"/>
  <c r="B16" i="65"/>
  <c r="C16" i="65"/>
  <c r="D16" i="65"/>
  <c r="E16" i="65"/>
  <c r="F16" i="65"/>
  <c r="G16" i="65"/>
  <c r="H16" i="65"/>
  <c r="I16" i="65"/>
  <c r="J16" i="65"/>
  <c r="K16" i="65"/>
  <c r="L16" i="65"/>
  <c r="M16" i="65"/>
  <c r="N16" i="65"/>
  <c r="O16" i="65"/>
  <c r="P16" i="65"/>
  <c r="Q16" i="65"/>
  <c r="R16" i="65"/>
  <c r="S16" i="65"/>
  <c r="T16" i="65"/>
  <c r="U16" i="65"/>
  <c r="V16" i="65"/>
  <c r="W16" i="65"/>
  <c r="X16" i="65"/>
  <c r="Y16" i="65"/>
  <c r="Z16" i="65"/>
  <c r="AA16" i="65"/>
  <c r="AB16" i="65"/>
  <c r="AC16" i="65"/>
  <c r="AD16" i="65"/>
  <c r="AE16" i="65"/>
  <c r="AF16" i="65"/>
  <c r="AG16" i="65"/>
  <c r="AH16" i="65"/>
  <c r="AI16" i="65"/>
  <c r="AJ16" i="65"/>
  <c r="AK16" i="65" s="1"/>
  <c r="B17" i="65"/>
  <c r="C17" i="65"/>
  <c r="D17" i="65"/>
  <c r="E17" i="65"/>
  <c r="F17" i="65"/>
  <c r="G17" i="65"/>
  <c r="H17" i="65"/>
  <c r="I17" i="65"/>
  <c r="J17" i="65"/>
  <c r="K17" i="65"/>
  <c r="L17" i="65"/>
  <c r="M17" i="65"/>
  <c r="N17" i="65"/>
  <c r="O17" i="65"/>
  <c r="P17" i="65"/>
  <c r="Q17" i="65"/>
  <c r="R17" i="65"/>
  <c r="S17" i="65"/>
  <c r="T17" i="65"/>
  <c r="U17" i="65"/>
  <c r="V17" i="65"/>
  <c r="W17" i="65"/>
  <c r="X17" i="65"/>
  <c r="Y17" i="65"/>
  <c r="Z17" i="65"/>
  <c r="AA17" i="65"/>
  <c r="AB17" i="65"/>
  <c r="AC17" i="65"/>
  <c r="AD17" i="65"/>
  <c r="AE17" i="65"/>
  <c r="AF17" i="65"/>
  <c r="AG17" i="65"/>
  <c r="AH17" i="65"/>
  <c r="AI17" i="65"/>
  <c r="AJ17" i="65"/>
  <c r="AK17" i="65" s="1"/>
  <c r="B18" i="65"/>
  <c r="C18" i="65"/>
  <c r="D18" i="65"/>
  <c r="E18" i="65"/>
  <c r="F18" i="65"/>
  <c r="G18" i="65"/>
  <c r="H18" i="65"/>
  <c r="I18" i="65"/>
  <c r="J18" i="65"/>
  <c r="K18" i="65"/>
  <c r="L18" i="65"/>
  <c r="M18" i="65"/>
  <c r="N18" i="65"/>
  <c r="O18" i="65"/>
  <c r="P18" i="65"/>
  <c r="Q18" i="65"/>
  <c r="R18" i="65"/>
  <c r="S18" i="65"/>
  <c r="T18" i="65"/>
  <c r="U18" i="65"/>
  <c r="V18" i="65"/>
  <c r="W18" i="65"/>
  <c r="X18" i="65"/>
  <c r="Y18" i="65"/>
  <c r="Z18" i="65"/>
  <c r="AA18" i="65"/>
  <c r="AB18" i="65"/>
  <c r="AC18" i="65"/>
  <c r="AD18" i="65"/>
  <c r="AE18" i="65"/>
  <c r="AF18" i="65"/>
  <c r="AG18" i="65"/>
  <c r="AH18" i="65"/>
  <c r="AI18" i="65"/>
  <c r="AJ18" i="65"/>
  <c r="AK18" i="65" s="1"/>
  <c r="B19" i="65"/>
  <c r="C19" i="65"/>
  <c r="D19" i="65"/>
  <c r="E19" i="65"/>
  <c r="F19" i="65"/>
  <c r="G19" i="65"/>
  <c r="H19" i="65"/>
  <c r="I19" i="65"/>
  <c r="J19" i="65"/>
  <c r="K19" i="65"/>
  <c r="L19" i="65"/>
  <c r="M19" i="65"/>
  <c r="N19" i="65"/>
  <c r="O19" i="65"/>
  <c r="P19" i="65"/>
  <c r="Q19" i="65"/>
  <c r="R19" i="65"/>
  <c r="S19" i="65"/>
  <c r="T19" i="65"/>
  <c r="U19" i="65"/>
  <c r="V19" i="65"/>
  <c r="W19" i="65"/>
  <c r="X19" i="65"/>
  <c r="Y19" i="65"/>
  <c r="Z19" i="65"/>
  <c r="AA19" i="65"/>
  <c r="AB19" i="65"/>
  <c r="AC19" i="65"/>
  <c r="AD19" i="65"/>
  <c r="AE19" i="65"/>
  <c r="AF19" i="65"/>
  <c r="AG19" i="65"/>
  <c r="AH19" i="65"/>
  <c r="AI19" i="65"/>
  <c r="AJ19" i="65"/>
  <c r="AK19" i="65" s="1"/>
  <c r="B20" i="65"/>
  <c r="C20" i="65"/>
  <c r="D20" i="65"/>
  <c r="E20" i="65"/>
  <c r="F20" i="65"/>
  <c r="G20" i="65"/>
  <c r="H20" i="65"/>
  <c r="I20" i="65"/>
  <c r="J20" i="65"/>
  <c r="K20" i="65"/>
  <c r="L20" i="65"/>
  <c r="M20" i="65"/>
  <c r="N20" i="65"/>
  <c r="O20" i="65"/>
  <c r="P20" i="65"/>
  <c r="Q20" i="65"/>
  <c r="R20" i="65"/>
  <c r="S20" i="65"/>
  <c r="T20" i="65"/>
  <c r="U20" i="65"/>
  <c r="V20" i="65"/>
  <c r="W20" i="65"/>
  <c r="X20" i="65"/>
  <c r="Y20" i="65"/>
  <c r="Z20" i="65"/>
  <c r="AA20" i="65"/>
  <c r="AB20" i="65"/>
  <c r="AC20" i="65"/>
  <c r="AD20" i="65"/>
  <c r="AE20" i="65"/>
  <c r="AF20" i="65"/>
  <c r="AG20" i="65"/>
  <c r="AH20" i="65"/>
  <c r="AI20" i="65"/>
  <c r="AJ20" i="65"/>
  <c r="AK20" i="65" s="1"/>
  <c r="B21" i="65"/>
  <c r="C21" i="65"/>
  <c r="D21" i="65"/>
  <c r="E21" i="65"/>
  <c r="F21" i="65"/>
  <c r="G21" i="65"/>
  <c r="H21" i="65"/>
  <c r="I21" i="65"/>
  <c r="J21" i="65"/>
  <c r="K21" i="65"/>
  <c r="L21" i="65"/>
  <c r="M21" i="65"/>
  <c r="N21" i="65"/>
  <c r="O21" i="65"/>
  <c r="P21" i="65"/>
  <c r="Q21" i="65"/>
  <c r="R21" i="65"/>
  <c r="S21" i="65"/>
  <c r="T21" i="65"/>
  <c r="U21" i="65"/>
  <c r="V21" i="65"/>
  <c r="W21" i="65"/>
  <c r="X21" i="65"/>
  <c r="Y21" i="65"/>
  <c r="Z21" i="65"/>
  <c r="AA21" i="65"/>
  <c r="AB21" i="65"/>
  <c r="AC21" i="65"/>
  <c r="AD21" i="65"/>
  <c r="AE21" i="65"/>
  <c r="AF21" i="65"/>
  <c r="AG21" i="65"/>
  <c r="AH21" i="65"/>
  <c r="AI21" i="65"/>
  <c r="AJ21" i="65"/>
  <c r="AK21" i="65" s="1"/>
  <c r="B22" i="65"/>
  <c r="C22" i="65"/>
  <c r="D22" i="65"/>
  <c r="E22" i="65"/>
  <c r="F22" i="65"/>
  <c r="G22" i="65"/>
  <c r="H22" i="65"/>
  <c r="I22" i="65"/>
  <c r="J22" i="65"/>
  <c r="K22" i="65"/>
  <c r="L22" i="65"/>
  <c r="M22" i="65"/>
  <c r="N22" i="65"/>
  <c r="O22" i="65"/>
  <c r="P22" i="65"/>
  <c r="Q22" i="65"/>
  <c r="R22" i="65"/>
  <c r="S22" i="65"/>
  <c r="T22" i="65"/>
  <c r="U22" i="65"/>
  <c r="V22" i="65"/>
  <c r="W22" i="65"/>
  <c r="X22" i="65"/>
  <c r="Y22" i="65"/>
  <c r="Z22" i="65"/>
  <c r="AA22" i="65"/>
  <c r="AB22" i="65"/>
  <c r="AC22" i="65"/>
  <c r="AD22" i="65"/>
  <c r="AE22" i="65"/>
  <c r="AF22" i="65"/>
  <c r="AG22" i="65"/>
  <c r="AH22" i="65"/>
  <c r="AI22" i="65"/>
  <c r="AJ22" i="65"/>
  <c r="AK22" i="65" s="1"/>
  <c r="B23" i="65"/>
  <c r="C23" i="65"/>
  <c r="D23" i="65"/>
  <c r="E23" i="65"/>
  <c r="F23" i="65"/>
  <c r="G23" i="65"/>
  <c r="H23" i="65"/>
  <c r="I23" i="65"/>
  <c r="J23" i="65"/>
  <c r="K23" i="65"/>
  <c r="L23" i="65"/>
  <c r="M23" i="65"/>
  <c r="N23" i="65"/>
  <c r="O23" i="65"/>
  <c r="P23" i="65"/>
  <c r="Q23" i="65"/>
  <c r="R23" i="65"/>
  <c r="S23" i="65"/>
  <c r="T23" i="65"/>
  <c r="U23" i="65"/>
  <c r="V23" i="65"/>
  <c r="W23" i="65"/>
  <c r="X23" i="65"/>
  <c r="Y23" i="65"/>
  <c r="Z23" i="65"/>
  <c r="AA23" i="65"/>
  <c r="AB23" i="65"/>
  <c r="AC23" i="65"/>
  <c r="AD23" i="65"/>
  <c r="AE23" i="65"/>
  <c r="AF23" i="65"/>
  <c r="AG23" i="65"/>
  <c r="AH23" i="65"/>
  <c r="AI23" i="65"/>
  <c r="AJ23" i="65"/>
  <c r="AK23" i="65" s="1"/>
  <c r="B24" i="65"/>
  <c r="C24" i="65"/>
  <c r="D24" i="65"/>
  <c r="E24" i="65"/>
  <c r="F24" i="65"/>
  <c r="G24" i="65"/>
  <c r="H24" i="65"/>
  <c r="I24" i="65"/>
  <c r="J24" i="65"/>
  <c r="K24" i="65"/>
  <c r="L24" i="65"/>
  <c r="M24" i="65"/>
  <c r="N24" i="65"/>
  <c r="O24" i="65"/>
  <c r="P24" i="65"/>
  <c r="Q24" i="65"/>
  <c r="R24" i="65"/>
  <c r="S24" i="65"/>
  <c r="T24" i="65"/>
  <c r="U24" i="65"/>
  <c r="V24" i="65"/>
  <c r="W24" i="65"/>
  <c r="X24" i="65"/>
  <c r="Y24" i="65"/>
  <c r="Z24" i="65"/>
  <c r="AA24" i="65"/>
  <c r="AB24" i="65"/>
  <c r="AC24" i="65"/>
  <c r="AD24" i="65"/>
  <c r="AE24" i="65"/>
  <c r="AF24" i="65"/>
  <c r="AG24" i="65"/>
  <c r="AH24" i="65"/>
  <c r="AI24" i="65"/>
  <c r="AJ24" i="65"/>
  <c r="AK24" i="65" s="1"/>
  <c r="B25" i="65"/>
  <c r="C25" i="65"/>
  <c r="D25" i="65"/>
  <c r="E25" i="65"/>
  <c r="F25" i="65"/>
  <c r="G25" i="65"/>
  <c r="H25" i="65"/>
  <c r="I25" i="65"/>
  <c r="J25" i="65"/>
  <c r="K25" i="65"/>
  <c r="L25" i="65"/>
  <c r="M25" i="65"/>
  <c r="N25" i="65"/>
  <c r="O25" i="65"/>
  <c r="P25" i="65"/>
  <c r="Q25" i="65"/>
  <c r="R25" i="65"/>
  <c r="S25" i="65"/>
  <c r="T25" i="65"/>
  <c r="U25" i="65"/>
  <c r="V25" i="65"/>
  <c r="W25" i="65"/>
  <c r="X25" i="65"/>
  <c r="Y25" i="65"/>
  <c r="Z25" i="65"/>
  <c r="AA25" i="65"/>
  <c r="AB25" i="65"/>
  <c r="AC25" i="65"/>
  <c r="AD25" i="65"/>
  <c r="AE25" i="65"/>
  <c r="AF25" i="65"/>
  <c r="AG25" i="65"/>
  <c r="AH25" i="65"/>
  <c r="AI25" i="65"/>
  <c r="AJ25" i="65"/>
  <c r="AK25" i="65" s="1"/>
  <c r="B26" i="65"/>
  <c r="C26" i="65"/>
  <c r="D26" i="65"/>
  <c r="E26" i="65"/>
  <c r="F26" i="65"/>
  <c r="G26" i="65"/>
  <c r="H26" i="65"/>
  <c r="I26" i="65"/>
  <c r="J26" i="65"/>
  <c r="K26" i="65"/>
  <c r="L26" i="65"/>
  <c r="M26" i="65"/>
  <c r="N26" i="65"/>
  <c r="O26" i="65"/>
  <c r="P26" i="65"/>
  <c r="Q26" i="65"/>
  <c r="R26" i="65"/>
  <c r="S26" i="65"/>
  <c r="T26" i="65"/>
  <c r="U26" i="65"/>
  <c r="V26" i="65"/>
  <c r="W26" i="65"/>
  <c r="X26" i="65"/>
  <c r="Y26" i="65"/>
  <c r="Z26" i="65"/>
  <c r="AA26" i="65"/>
  <c r="AB26" i="65"/>
  <c r="AC26" i="65"/>
  <c r="AD26" i="65"/>
  <c r="AE26" i="65"/>
  <c r="AF26" i="65"/>
  <c r="AG26" i="65"/>
  <c r="AH26" i="65"/>
  <c r="AI26" i="65"/>
  <c r="AJ26" i="65"/>
  <c r="AK26" i="65" s="1"/>
  <c r="B27" i="65"/>
  <c r="C27" i="65"/>
  <c r="D27" i="65"/>
  <c r="E27" i="65"/>
  <c r="F27" i="65"/>
  <c r="G27" i="65"/>
  <c r="H27" i="65"/>
  <c r="I27" i="65"/>
  <c r="J27" i="65"/>
  <c r="K27" i="65"/>
  <c r="L27" i="65"/>
  <c r="M27" i="65"/>
  <c r="N27" i="65"/>
  <c r="O27" i="65"/>
  <c r="P27" i="65"/>
  <c r="Q27" i="65"/>
  <c r="R27" i="65"/>
  <c r="S27" i="65"/>
  <c r="T27" i="65"/>
  <c r="U27" i="65"/>
  <c r="V27" i="65"/>
  <c r="W27" i="65"/>
  <c r="X27" i="65"/>
  <c r="Y27" i="65"/>
  <c r="Z27" i="65"/>
  <c r="AA27" i="65"/>
  <c r="AB27" i="65"/>
  <c r="AC27" i="65"/>
  <c r="AD27" i="65"/>
  <c r="AE27" i="65"/>
  <c r="AF27" i="65"/>
  <c r="AG27" i="65"/>
  <c r="AH27" i="65"/>
  <c r="AI27" i="65"/>
  <c r="AJ27" i="65"/>
  <c r="AK27" i="65" s="1"/>
  <c r="B28" i="65"/>
  <c r="C28" i="65"/>
  <c r="D28" i="65"/>
  <c r="E28" i="65"/>
  <c r="F28" i="65"/>
  <c r="G28" i="65"/>
  <c r="H28" i="65"/>
  <c r="I28" i="65"/>
  <c r="J28" i="65"/>
  <c r="K28" i="65"/>
  <c r="L28" i="65"/>
  <c r="M28" i="65"/>
  <c r="N28" i="65"/>
  <c r="O28" i="65"/>
  <c r="P28" i="65"/>
  <c r="Q28" i="65"/>
  <c r="R28" i="65"/>
  <c r="S28" i="65"/>
  <c r="T28" i="65"/>
  <c r="U28" i="65"/>
  <c r="V28" i="65"/>
  <c r="W28" i="65"/>
  <c r="X28" i="65"/>
  <c r="Y28" i="65"/>
  <c r="Z28" i="65"/>
  <c r="AA28" i="65"/>
  <c r="AB28" i="65"/>
  <c r="AC28" i="65"/>
  <c r="AD28" i="65"/>
  <c r="AE28" i="65"/>
  <c r="AF28" i="65"/>
  <c r="AG28" i="65"/>
  <c r="AH28" i="65"/>
  <c r="AI28" i="65"/>
  <c r="AJ28" i="65"/>
  <c r="AK28" i="65" s="1"/>
  <c r="B29" i="65"/>
  <c r="C29" i="65"/>
  <c r="D29" i="65"/>
  <c r="E29" i="65"/>
  <c r="F29" i="65"/>
  <c r="G29" i="65"/>
  <c r="H29" i="65"/>
  <c r="I29" i="65"/>
  <c r="J29" i="65"/>
  <c r="K29" i="65"/>
  <c r="L29" i="65"/>
  <c r="M29" i="65"/>
  <c r="N29" i="65"/>
  <c r="O29" i="65"/>
  <c r="P29" i="65"/>
  <c r="Q29" i="65"/>
  <c r="R29" i="65"/>
  <c r="S29" i="65"/>
  <c r="T29" i="65"/>
  <c r="U29" i="65"/>
  <c r="V29" i="65"/>
  <c r="W29" i="65"/>
  <c r="X29" i="65"/>
  <c r="Y29" i="65"/>
  <c r="Z29" i="65"/>
  <c r="AA29" i="65"/>
  <c r="AB29" i="65"/>
  <c r="AC29" i="65"/>
  <c r="AD29" i="65"/>
  <c r="AE29" i="65"/>
  <c r="AF29" i="65"/>
  <c r="AG29" i="65"/>
  <c r="AH29" i="65"/>
  <c r="AI29" i="65"/>
  <c r="AJ29" i="65"/>
  <c r="AK29" i="65" s="1"/>
  <c r="B30" i="65"/>
  <c r="C30" i="65"/>
  <c r="D30" i="65"/>
  <c r="E30" i="65"/>
  <c r="F30" i="65"/>
  <c r="G30" i="65"/>
  <c r="H30" i="65"/>
  <c r="I30" i="65"/>
  <c r="J30" i="65"/>
  <c r="K30" i="65"/>
  <c r="L30" i="65"/>
  <c r="M30" i="65"/>
  <c r="N30" i="65"/>
  <c r="O30" i="65"/>
  <c r="P30" i="65"/>
  <c r="Q30" i="65"/>
  <c r="R30" i="65"/>
  <c r="S30" i="65"/>
  <c r="T30" i="65"/>
  <c r="U30" i="65"/>
  <c r="V30" i="65"/>
  <c r="W30" i="65"/>
  <c r="X30" i="65"/>
  <c r="Y30" i="65"/>
  <c r="Z30" i="65"/>
  <c r="AA30" i="65"/>
  <c r="AB30" i="65"/>
  <c r="AC30" i="65"/>
  <c r="AD30" i="65"/>
  <c r="AE30" i="65"/>
  <c r="AF30" i="65"/>
  <c r="AG30" i="65"/>
  <c r="AH30" i="65"/>
  <c r="AI30" i="65"/>
  <c r="AJ30" i="65"/>
  <c r="AK30" i="65" s="1"/>
  <c r="B31" i="65"/>
  <c r="C31" i="65"/>
  <c r="D31" i="65"/>
  <c r="E31" i="65"/>
  <c r="F31" i="65"/>
  <c r="G31" i="65"/>
  <c r="H31" i="65"/>
  <c r="I31" i="65"/>
  <c r="J31" i="65"/>
  <c r="K31" i="65"/>
  <c r="L31" i="65"/>
  <c r="M31" i="65"/>
  <c r="N31" i="65"/>
  <c r="O31" i="65"/>
  <c r="P31" i="65"/>
  <c r="Q31" i="65"/>
  <c r="R31" i="65"/>
  <c r="S31" i="65"/>
  <c r="T31" i="65"/>
  <c r="U31" i="65"/>
  <c r="V31" i="65"/>
  <c r="W31" i="65"/>
  <c r="X31" i="65"/>
  <c r="Y31" i="65"/>
  <c r="Z31" i="65"/>
  <c r="AA31" i="65"/>
  <c r="AB31" i="65"/>
  <c r="AC31" i="65"/>
  <c r="AD31" i="65"/>
  <c r="AE31" i="65"/>
  <c r="AF31" i="65"/>
  <c r="AG31" i="65"/>
  <c r="AH31" i="65"/>
  <c r="AI31" i="65"/>
  <c r="AJ31" i="65"/>
  <c r="AK31" i="65" s="1"/>
  <c r="B32" i="65"/>
  <c r="C32" i="65"/>
  <c r="D32" i="65"/>
  <c r="E32" i="65"/>
  <c r="F32" i="65"/>
  <c r="G32" i="65"/>
  <c r="H32" i="65"/>
  <c r="I32" i="65"/>
  <c r="J32" i="65"/>
  <c r="K32" i="65"/>
  <c r="L32" i="65"/>
  <c r="M32" i="65"/>
  <c r="N32" i="65"/>
  <c r="O32" i="65"/>
  <c r="P32" i="65"/>
  <c r="Q32" i="65"/>
  <c r="R32" i="65"/>
  <c r="S32" i="65"/>
  <c r="T32" i="65"/>
  <c r="U32" i="65"/>
  <c r="V32" i="65"/>
  <c r="W32" i="65"/>
  <c r="X32" i="65"/>
  <c r="Y32" i="65"/>
  <c r="Z32" i="65"/>
  <c r="AA32" i="65"/>
  <c r="AB32" i="65"/>
  <c r="AC32" i="65"/>
  <c r="AD32" i="65"/>
  <c r="AE32" i="65"/>
  <c r="AF32" i="65"/>
  <c r="AG32" i="65"/>
  <c r="AH32" i="65"/>
  <c r="AI32" i="65"/>
  <c r="AJ32" i="65"/>
  <c r="AK32" i="65" s="1"/>
  <c r="B33" i="65"/>
  <c r="C33" i="65"/>
  <c r="D33" i="65"/>
  <c r="E33" i="65"/>
  <c r="F33" i="65"/>
  <c r="G33" i="65"/>
  <c r="H33" i="65"/>
  <c r="I33" i="65"/>
  <c r="J33" i="65"/>
  <c r="K33" i="65"/>
  <c r="L33" i="65"/>
  <c r="M33" i="65"/>
  <c r="N33" i="65"/>
  <c r="O33" i="65"/>
  <c r="P33" i="65"/>
  <c r="Q33" i="65"/>
  <c r="R33" i="65"/>
  <c r="S33" i="65"/>
  <c r="T33" i="65"/>
  <c r="U33" i="65"/>
  <c r="V33" i="65"/>
  <c r="W33" i="65"/>
  <c r="X33" i="65"/>
  <c r="Y33" i="65"/>
  <c r="Z33" i="65"/>
  <c r="AA33" i="65"/>
  <c r="AB33" i="65"/>
  <c r="AC33" i="65"/>
  <c r="AD33" i="65"/>
  <c r="AE33" i="65"/>
  <c r="AF33" i="65"/>
  <c r="AG33" i="65"/>
  <c r="AH33" i="65"/>
  <c r="AI33" i="65"/>
  <c r="AJ33" i="65"/>
  <c r="AK33" i="65" s="1"/>
  <c r="B34" i="65"/>
  <c r="C34" i="65"/>
  <c r="D34" i="65"/>
  <c r="E34" i="65"/>
  <c r="F34" i="65"/>
  <c r="G34" i="65"/>
  <c r="H34" i="65"/>
  <c r="I34" i="65"/>
  <c r="J34" i="65"/>
  <c r="K34" i="65"/>
  <c r="L34" i="65"/>
  <c r="M34" i="65"/>
  <c r="N34" i="65"/>
  <c r="O34" i="65"/>
  <c r="P34" i="65"/>
  <c r="Q34" i="65"/>
  <c r="R34" i="65"/>
  <c r="S34" i="65"/>
  <c r="T34" i="65"/>
  <c r="U34" i="65"/>
  <c r="V34" i="65"/>
  <c r="W34" i="65"/>
  <c r="X34" i="65"/>
  <c r="Y34" i="65"/>
  <c r="Z34" i="65"/>
  <c r="AA34" i="65"/>
  <c r="AB34" i="65"/>
  <c r="AC34" i="65"/>
  <c r="AD34" i="65"/>
  <c r="AE34" i="65"/>
  <c r="AF34" i="65"/>
  <c r="AG34" i="65"/>
  <c r="AH34" i="65"/>
  <c r="AI34" i="65"/>
  <c r="AJ34" i="65"/>
  <c r="AK34" i="65" s="1"/>
  <c r="B35" i="65"/>
  <c r="C35" i="65"/>
  <c r="D35" i="65"/>
  <c r="E35" i="65"/>
  <c r="F35" i="65"/>
  <c r="G35" i="65"/>
  <c r="H35" i="65"/>
  <c r="I35" i="65"/>
  <c r="J35" i="65"/>
  <c r="K35" i="65"/>
  <c r="L35" i="65"/>
  <c r="M35" i="65"/>
  <c r="N35" i="65"/>
  <c r="O35" i="65"/>
  <c r="P35" i="65"/>
  <c r="Q35" i="65"/>
  <c r="R35" i="65"/>
  <c r="S35" i="65"/>
  <c r="T35" i="65"/>
  <c r="U35" i="65"/>
  <c r="V35" i="65"/>
  <c r="W35" i="65"/>
  <c r="X35" i="65"/>
  <c r="Y35" i="65"/>
  <c r="Z35" i="65"/>
  <c r="AA35" i="65"/>
  <c r="AB35" i="65"/>
  <c r="AC35" i="65"/>
  <c r="AD35" i="65"/>
  <c r="AE35" i="65"/>
  <c r="AF35" i="65"/>
  <c r="AG35" i="65"/>
  <c r="AH35" i="65"/>
  <c r="AI35" i="65"/>
  <c r="AJ35" i="65"/>
  <c r="AK35" i="65" s="1"/>
  <c r="B36" i="65"/>
  <c r="C36" i="65"/>
  <c r="D36" i="65"/>
  <c r="E36" i="65"/>
  <c r="F36" i="65"/>
  <c r="G36" i="65"/>
  <c r="H36" i="65"/>
  <c r="I36" i="65"/>
  <c r="J36" i="65"/>
  <c r="K36" i="65"/>
  <c r="L36" i="65"/>
  <c r="M36" i="65"/>
  <c r="N36" i="65"/>
  <c r="O36" i="65"/>
  <c r="P36" i="65"/>
  <c r="Q36" i="65"/>
  <c r="R36" i="65"/>
  <c r="S36" i="65"/>
  <c r="T36" i="65"/>
  <c r="U36" i="65"/>
  <c r="V36" i="65"/>
  <c r="W36" i="65"/>
  <c r="X36" i="65"/>
  <c r="Y36" i="65"/>
  <c r="Z36" i="65"/>
  <c r="AA36" i="65"/>
  <c r="AB36" i="65"/>
  <c r="AC36" i="65"/>
  <c r="AD36" i="65"/>
  <c r="AE36" i="65"/>
  <c r="AF36" i="65"/>
  <c r="AG36" i="65"/>
  <c r="AH36" i="65"/>
  <c r="AI36" i="65"/>
  <c r="AJ36" i="65"/>
  <c r="AK36" i="65" s="1"/>
  <c r="B37" i="65"/>
  <c r="C37" i="65"/>
  <c r="D37" i="65"/>
  <c r="E37" i="65"/>
  <c r="F37" i="65"/>
  <c r="G37" i="65"/>
  <c r="H37" i="65"/>
  <c r="I37" i="65"/>
  <c r="J37" i="65"/>
  <c r="K37" i="65"/>
  <c r="L37" i="65"/>
  <c r="M37" i="65"/>
  <c r="N37" i="65"/>
  <c r="O37" i="65"/>
  <c r="P37" i="65"/>
  <c r="Q37" i="65"/>
  <c r="R37" i="65"/>
  <c r="S37" i="65"/>
  <c r="T37" i="65"/>
  <c r="U37" i="65"/>
  <c r="V37" i="65"/>
  <c r="W37" i="65"/>
  <c r="X37" i="65"/>
  <c r="Y37" i="65"/>
  <c r="Z37" i="65"/>
  <c r="AA37" i="65"/>
  <c r="AB37" i="65"/>
  <c r="AC37" i="65"/>
  <c r="AD37" i="65"/>
  <c r="AE37" i="65"/>
  <c r="AF37" i="65"/>
  <c r="AG37" i="65"/>
  <c r="AH37" i="65"/>
  <c r="AI37" i="65"/>
  <c r="AJ37" i="65"/>
  <c r="AK37" i="65" s="1"/>
  <c r="B38" i="65"/>
  <c r="C38" i="65"/>
  <c r="D38" i="65"/>
  <c r="E38" i="65"/>
  <c r="F38" i="65"/>
  <c r="G38" i="65"/>
  <c r="H38" i="65"/>
  <c r="I38" i="65"/>
  <c r="J38" i="65"/>
  <c r="K38" i="65"/>
  <c r="L38" i="65"/>
  <c r="M38" i="65"/>
  <c r="N38" i="65"/>
  <c r="O38" i="65"/>
  <c r="P38" i="65"/>
  <c r="Q38" i="65"/>
  <c r="R38" i="65"/>
  <c r="S38" i="65"/>
  <c r="T38" i="65"/>
  <c r="U38" i="65"/>
  <c r="V38" i="65"/>
  <c r="W38" i="65"/>
  <c r="X38" i="65"/>
  <c r="Y38" i="65"/>
  <c r="Z38" i="65"/>
  <c r="AA38" i="65"/>
  <c r="AB38" i="65"/>
  <c r="AC38" i="65"/>
  <c r="AD38" i="65"/>
  <c r="AE38" i="65"/>
  <c r="AF38" i="65"/>
  <c r="AG38" i="65"/>
  <c r="AH38" i="65"/>
  <c r="AI38" i="65"/>
  <c r="AJ38" i="65"/>
  <c r="AK38" i="65" s="1"/>
  <c r="B39" i="65"/>
  <c r="C39" i="65"/>
  <c r="D39" i="65"/>
  <c r="E39" i="65"/>
  <c r="F39" i="65"/>
  <c r="G39" i="65"/>
  <c r="H39" i="65"/>
  <c r="I39" i="65"/>
  <c r="J39" i="65"/>
  <c r="K39" i="65"/>
  <c r="L39" i="65"/>
  <c r="M39" i="65"/>
  <c r="N39" i="65"/>
  <c r="O39" i="65"/>
  <c r="P39" i="65"/>
  <c r="Q39" i="65"/>
  <c r="R39" i="65"/>
  <c r="S39" i="65"/>
  <c r="T39" i="65"/>
  <c r="U39" i="65"/>
  <c r="V39" i="65"/>
  <c r="W39" i="65"/>
  <c r="X39" i="65"/>
  <c r="Y39" i="65"/>
  <c r="Z39" i="65"/>
  <c r="AA39" i="65"/>
  <c r="AB39" i="65"/>
  <c r="AC39" i="65"/>
  <c r="AD39" i="65"/>
  <c r="AE39" i="65"/>
  <c r="AF39" i="65"/>
  <c r="AG39" i="65"/>
  <c r="AH39" i="65"/>
  <c r="AI39" i="65"/>
  <c r="AJ39" i="65"/>
  <c r="AK39" i="65" s="1"/>
  <c r="B40" i="65"/>
  <c r="C40" i="65"/>
  <c r="D40" i="65"/>
  <c r="E40" i="65"/>
  <c r="F40" i="65"/>
  <c r="G40" i="65"/>
  <c r="H40" i="65"/>
  <c r="I40" i="65"/>
  <c r="J40" i="65"/>
  <c r="K40" i="65"/>
  <c r="L40" i="65"/>
  <c r="M40" i="65"/>
  <c r="N40" i="65"/>
  <c r="O40" i="65"/>
  <c r="P40" i="65"/>
  <c r="Q40" i="65"/>
  <c r="R40" i="65"/>
  <c r="S40" i="65"/>
  <c r="T40" i="65"/>
  <c r="U40" i="65"/>
  <c r="V40" i="65"/>
  <c r="W40" i="65"/>
  <c r="X40" i="65"/>
  <c r="Y40" i="65"/>
  <c r="Z40" i="65"/>
  <c r="AA40" i="65"/>
  <c r="AB40" i="65"/>
  <c r="AC40" i="65"/>
  <c r="AD40" i="65"/>
  <c r="AE40" i="65"/>
  <c r="AF40" i="65"/>
  <c r="AG40" i="65"/>
  <c r="AH40" i="65"/>
  <c r="AI40" i="65"/>
  <c r="AJ40" i="65"/>
  <c r="AK40" i="65" s="1"/>
  <c r="B41" i="65"/>
  <c r="C41" i="65"/>
  <c r="D41" i="65"/>
  <c r="E41" i="65"/>
  <c r="F41" i="65"/>
  <c r="G41" i="65"/>
  <c r="H41" i="65"/>
  <c r="I41" i="65"/>
  <c r="J41" i="65"/>
  <c r="K41" i="65"/>
  <c r="L41" i="65"/>
  <c r="M41" i="65"/>
  <c r="N41" i="65"/>
  <c r="O41" i="65"/>
  <c r="P41" i="65"/>
  <c r="Q41" i="65"/>
  <c r="R41" i="65"/>
  <c r="S41" i="65"/>
  <c r="T41" i="65"/>
  <c r="U41" i="65"/>
  <c r="V41" i="65"/>
  <c r="W41" i="65"/>
  <c r="X41" i="65"/>
  <c r="Y41" i="65"/>
  <c r="Z41" i="65"/>
  <c r="AA41" i="65"/>
  <c r="AB41" i="65"/>
  <c r="AC41" i="65"/>
  <c r="AD41" i="65"/>
  <c r="AE41" i="65"/>
  <c r="AF41" i="65"/>
  <c r="AG41" i="65"/>
  <c r="AH41" i="65"/>
  <c r="AI41" i="65"/>
  <c r="AJ41" i="65"/>
  <c r="AK41" i="65" s="1"/>
  <c r="B42" i="65"/>
  <c r="C42" i="65"/>
  <c r="D42" i="65"/>
  <c r="E42" i="65"/>
  <c r="F42" i="65"/>
  <c r="G42" i="65"/>
  <c r="H42" i="65"/>
  <c r="I42" i="65"/>
  <c r="J42" i="65"/>
  <c r="K42" i="65"/>
  <c r="L42" i="65"/>
  <c r="M42" i="65"/>
  <c r="N42" i="65"/>
  <c r="O42" i="65"/>
  <c r="P42" i="65"/>
  <c r="Q42" i="65"/>
  <c r="R42" i="65"/>
  <c r="S42" i="65"/>
  <c r="T42" i="65"/>
  <c r="U42" i="65"/>
  <c r="V42" i="65"/>
  <c r="W42" i="65"/>
  <c r="X42" i="65"/>
  <c r="Y42" i="65"/>
  <c r="Z42" i="65"/>
  <c r="AA42" i="65"/>
  <c r="AB42" i="65"/>
  <c r="AC42" i="65"/>
  <c r="AD42" i="65"/>
  <c r="AE42" i="65"/>
  <c r="AF42" i="65"/>
  <c r="AG42" i="65"/>
  <c r="AH42" i="65"/>
  <c r="AI42" i="65"/>
  <c r="AJ42" i="65"/>
  <c r="AK42" i="65" s="1"/>
  <c r="B43" i="65"/>
  <c r="C43" i="65"/>
  <c r="D43" i="65"/>
  <c r="E43" i="65"/>
  <c r="F43" i="65"/>
  <c r="G43" i="65"/>
  <c r="H43" i="65"/>
  <c r="I43" i="65"/>
  <c r="J43" i="65"/>
  <c r="K43" i="65"/>
  <c r="L43" i="65"/>
  <c r="M43" i="65"/>
  <c r="N43" i="65"/>
  <c r="O43" i="65"/>
  <c r="P43" i="65"/>
  <c r="Q43" i="65"/>
  <c r="R43" i="65"/>
  <c r="S43" i="65"/>
  <c r="T43" i="65"/>
  <c r="U43" i="65"/>
  <c r="V43" i="65"/>
  <c r="W43" i="65"/>
  <c r="X43" i="65"/>
  <c r="Y43" i="65"/>
  <c r="Z43" i="65"/>
  <c r="AA43" i="65"/>
  <c r="AB43" i="65"/>
  <c r="AC43" i="65"/>
  <c r="AD43" i="65"/>
  <c r="AE43" i="65"/>
  <c r="AF43" i="65"/>
  <c r="AG43" i="65"/>
  <c r="AH43" i="65"/>
  <c r="AI43" i="65"/>
  <c r="AJ43" i="65"/>
  <c r="AK43" i="65" s="1"/>
  <c r="B44" i="65"/>
  <c r="C44" i="65"/>
  <c r="D44" i="65"/>
  <c r="E44" i="65"/>
  <c r="F44" i="65"/>
  <c r="G44" i="65"/>
  <c r="H44" i="65"/>
  <c r="I44" i="65"/>
  <c r="J44" i="65"/>
  <c r="K44" i="65"/>
  <c r="L44" i="65"/>
  <c r="M44" i="65"/>
  <c r="N44" i="65"/>
  <c r="O44" i="65"/>
  <c r="P44" i="65"/>
  <c r="Q44" i="65"/>
  <c r="R44" i="65"/>
  <c r="S44" i="65"/>
  <c r="T44" i="65"/>
  <c r="U44" i="65"/>
  <c r="V44" i="65"/>
  <c r="W44" i="65"/>
  <c r="X44" i="65"/>
  <c r="Y44" i="65"/>
  <c r="Z44" i="65"/>
  <c r="AA44" i="65"/>
  <c r="AB44" i="65"/>
  <c r="AC44" i="65"/>
  <c r="AD44" i="65"/>
  <c r="AE44" i="65"/>
  <c r="AF44" i="65"/>
  <c r="AG44" i="65"/>
  <c r="AH44" i="65"/>
  <c r="AI44" i="65"/>
  <c r="AJ44" i="65"/>
  <c r="AK44" i="65" s="1"/>
  <c r="B45" i="65"/>
  <c r="C45" i="65"/>
  <c r="D45" i="65"/>
  <c r="E45" i="65"/>
  <c r="F45" i="65"/>
  <c r="G45" i="65"/>
  <c r="H45" i="65"/>
  <c r="I45" i="65"/>
  <c r="J45" i="65"/>
  <c r="K45" i="65"/>
  <c r="L45" i="65"/>
  <c r="M45" i="65"/>
  <c r="N45" i="65"/>
  <c r="O45" i="65"/>
  <c r="P45" i="65"/>
  <c r="Q45" i="65"/>
  <c r="R45" i="65"/>
  <c r="S45" i="65"/>
  <c r="T45" i="65"/>
  <c r="U45" i="65"/>
  <c r="V45" i="65"/>
  <c r="W45" i="65"/>
  <c r="X45" i="65"/>
  <c r="Y45" i="65"/>
  <c r="Z45" i="65"/>
  <c r="AA45" i="65"/>
  <c r="AB45" i="65"/>
  <c r="AC45" i="65"/>
  <c r="AD45" i="65"/>
  <c r="AE45" i="65"/>
  <c r="AF45" i="65"/>
  <c r="AG45" i="65"/>
  <c r="AH45" i="65"/>
  <c r="AI45" i="65"/>
  <c r="AJ45" i="65"/>
  <c r="AK45" i="65" s="1"/>
  <c r="B46" i="65"/>
  <c r="C46" i="65"/>
  <c r="D46" i="65"/>
  <c r="E46" i="65"/>
  <c r="F46" i="65"/>
  <c r="G46" i="65"/>
  <c r="H46" i="65"/>
  <c r="I46" i="65"/>
  <c r="J46" i="65"/>
  <c r="K46" i="65"/>
  <c r="L46" i="65"/>
  <c r="M46" i="65"/>
  <c r="N46" i="65"/>
  <c r="O46" i="65"/>
  <c r="P46" i="65"/>
  <c r="Q46" i="65"/>
  <c r="R46" i="65"/>
  <c r="S46" i="65"/>
  <c r="T46" i="65"/>
  <c r="U46" i="65"/>
  <c r="V46" i="65"/>
  <c r="W46" i="65"/>
  <c r="X46" i="65"/>
  <c r="Y46" i="65"/>
  <c r="Z46" i="65"/>
  <c r="AA46" i="65"/>
  <c r="AB46" i="65"/>
  <c r="AC46" i="65"/>
  <c r="AD46" i="65"/>
  <c r="AE46" i="65"/>
  <c r="AF46" i="65"/>
  <c r="AG46" i="65"/>
  <c r="AH46" i="65"/>
  <c r="AI46" i="65"/>
  <c r="AJ46" i="65"/>
  <c r="AK46" i="65" s="1"/>
  <c r="B47" i="65"/>
  <c r="C47" i="65"/>
  <c r="D47" i="65"/>
  <c r="E47" i="65"/>
  <c r="F47" i="65"/>
  <c r="G47" i="65"/>
  <c r="H47" i="65"/>
  <c r="I47" i="65"/>
  <c r="J47" i="65"/>
  <c r="K47" i="65"/>
  <c r="L47" i="65"/>
  <c r="M47" i="65"/>
  <c r="N47" i="65"/>
  <c r="O47" i="65"/>
  <c r="P47" i="65"/>
  <c r="Q47" i="65"/>
  <c r="R47" i="65"/>
  <c r="S47" i="65"/>
  <c r="T47" i="65"/>
  <c r="U47" i="65"/>
  <c r="V47" i="65"/>
  <c r="W47" i="65"/>
  <c r="X47" i="65"/>
  <c r="Y47" i="65"/>
  <c r="Z47" i="65"/>
  <c r="AA47" i="65"/>
  <c r="AB47" i="65"/>
  <c r="AC47" i="65"/>
  <c r="AD47" i="65"/>
  <c r="AE47" i="65"/>
  <c r="AF47" i="65"/>
  <c r="AG47" i="65"/>
  <c r="AH47" i="65"/>
  <c r="AI47" i="65"/>
  <c r="AJ47" i="65"/>
  <c r="AK47" i="65" s="1"/>
  <c r="B48" i="65"/>
  <c r="C48" i="65"/>
  <c r="D48" i="65"/>
  <c r="E48" i="65"/>
  <c r="F48" i="65"/>
  <c r="G48" i="65"/>
  <c r="H48" i="65"/>
  <c r="I48" i="65"/>
  <c r="J48" i="65"/>
  <c r="K48" i="65"/>
  <c r="L48" i="65"/>
  <c r="M48" i="65"/>
  <c r="N48" i="65"/>
  <c r="O48" i="65"/>
  <c r="P48" i="65"/>
  <c r="Q48" i="65"/>
  <c r="R48" i="65"/>
  <c r="S48" i="65"/>
  <c r="T48" i="65"/>
  <c r="U48" i="65"/>
  <c r="V48" i="65"/>
  <c r="W48" i="65"/>
  <c r="X48" i="65"/>
  <c r="Y48" i="65"/>
  <c r="Z48" i="65"/>
  <c r="AA48" i="65"/>
  <c r="AB48" i="65"/>
  <c r="AC48" i="65"/>
  <c r="AD48" i="65"/>
  <c r="AE48" i="65"/>
  <c r="AF48" i="65"/>
  <c r="AG48" i="65"/>
  <c r="AH48" i="65"/>
  <c r="AI48" i="65"/>
  <c r="AJ48" i="65"/>
  <c r="AK48" i="65" s="1"/>
  <c r="B49" i="65"/>
  <c r="C49" i="65"/>
  <c r="D49" i="65"/>
  <c r="E49" i="65"/>
  <c r="F49" i="65"/>
  <c r="G49" i="65"/>
  <c r="H49" i="65"/>
  <c r="I49" i="65"/>
  <c r="J49" i="65"/>
  <c r="K49" i="65"/>
  <c r="L49" i="65"/>
  <c r="M49" i="65"/>
  <c r="N49" i="65"/>
  <c r="O49" i="65"/>
  <c r="P49" i="65"/>
  <c r="Q49" i="65"/>
  <c r="R49" i="65"/>
  <c r="S49" i="65"/>
  <c r="T49" i="65"/>
  <c r="U49" i="65"/>
  <c r="V49" i="65"/>
  <c r="W49" i="65"/>
  <c r="X49" i="65"/>
  <c r="Y49" i="65"/>
  <c r="Z49" i="65"/>
  <c r="AA49" i="65"/>
  <c r="AB49" i="65"/>
  <c r="AC49" i="65"/>
  <c r="AD49" i="65"/>
  <c r="AE49" i="65"/>
  <c r="AF49" i="65"/>
  <c r="AG49" i="65"/>
  <c r="AH49" i="65"/>
  <c r="AI49" i="65"/>
  <c r="AJ49" i="65"/>
  <c r="AK49" i="65" s="1"/>
  <c r="B50" i="65"/>
  <c r="C50" i="65"/>
  <c r="D50" i="65"/>
  <c r="E50" i="65"/>
  <c r="F50" i="65"/>
  <c r="G50" i="65"/>
  <c r="H50" i="65"/>
  <c r="I50" i="65"/>
  <c r="J50" i="65"/>
  <c r="K50" i="65"/>
  <c r="L50" i="65"/>
  <c r="M50" i="65"/>
  <c r="N50" i="65"/>
  <c r="O50" i="65"/>
  <c r="P50" i="65"/>
  <c r="Q50" i="65"/>
  <c r="R50" i="65"/>
  <c r="S50" i="65"/>
  <c r="T50" i="65"/>
  <c r="U50" i="65"/>
  <c r="V50" i="65"/>
  <c r="W50" i="65"/>
  <c r="X50" i="65"/>
  <c r="Y50" i="65"/>
  <c r="Z50" i="65"/>
  <c r="AA50" i="65"/>
  <c r="AB50" i="65"/>
  <c r="AC50" i="65"/>
  <c r="AD50" i="65"/>
  <c r="AE50" i="65"/>
  <c r="AF50" i="65"/>
  <c r="AG50" i="65"/>
  <c r="AH50" i="65"/>
  <c r="AI50" i="65"/>
  <c r="AJ50" i="65"/>
  <c r="AK50" i="65" s="1"/>
  <c r="B51" i="65"/>
  <c r="C51" i="65"/>
  <c r="D51" i="65"/>
  <c r="E51" i="65"/>
  <c r="F51" i="65"/>
  <c r="G51" i="65"/>
  <c r="H51" i="65"/>
  <c r="I51" i="65"/>
  <c r="J51" i="65"/>
  <c r="K51" i="65"/>
  <c r="L51" i="65"/>
  <c r="M51" i="65"/>
  <c r="N51" i="65"/>
  <c r="O51" i="65"/>
  <c r="P51" i="65"/>
  <c r="Q51" i="65"/>
  <c r="R51" i="65"/>
  <c r="S51" i="65"/>
  <c r="T51" i="65"/>
  <c r="U51" i="65"/>
  <c r="V51" i="65"/>
  <c r="W51" i="65"/>
  <c r="X51" i="65"/>
  <c r="Y51" i="65"/>
  <c r="Z51" i="65"/>
  <c r="AA51" i="65"/>
  <c r="AB51" i="65"/>
  <c r="AC51" i="65"/>
  <c r="AD51" i="65"/>
  <c r="AE51" i="65"/>
  <c r="AF51" i="65"/>
  <c r="AG51" i="65"/>
  <c r="AH51" i="65"/>
  <c r="AI51" i="65"/>
  <c r="AJ51" i="65"/>
  <c r="AK51" i="65" s="1"/>
  <c r="B52" i="65"/>
  <c r="C52" i="65"/>
  <c r="D52" i="65"/>
  <c r="E52" i="65"/>
  <c r="F52" i="65"/>
  <c r="G52" i="65"/>
  <c r="H52" i="65"/>
  <c r="I52" i="65"/>
  <c r="J52" i="65"/>
  <c r="K52" i="65"/>
  <c r="L52" i="65"/>
  <c r="M52" i="65"/>
  <c r="N52" i="65"/>
  <c r="O52" i="65"/>
  <c r="P52" i="65"/>
  <c r="Q52" i="65"/>
  <c r="R52" i="65"/>
  <c r="S52" i="65"/>
  <c r="T52" i="65"/>
  <c r="U52" i="65"/>
  <c r="V52" i="65"/>
  <c r="W52" i="65"/>
  <c r="X52" i="65"/>
  <c r="Y52" i="65"/>
  <c r="Z52" i="65"/>
  <c r="AA52" i="65"/>
  <c r="AB52" i="65"/>
  <c r="AC52" i="65"/>
  <c r="AD52" i="65"/>
  <c r="AE52" i="65"/>
  <c r="AF52" i="65"/>
  <c r="AG52" i="65"/>
  <c r="AH52" i="65"/>
  <c r="AI52" i="65"/>
  <c r="AJ52" i="65"/>
  <c r="AK52" i="65" s="1"/>
  <c r="B53" i="65"/>
  <c r="C53" i="65"/>
  <c r="D53" i="65"/>
  <c r="E53" i="65"/>
  <c r="F53" i="65"/>
  <c r="G53" i="65"/>
  <c r="H53" i="65"/>
  <c r="I53" i="65"/>
  <c r="J53" i="65"/>
  <c r="K53" i="65"/>
  <c r="L53" i="65"/>
  <c r="M53" i="65"/>
  <c r="N53" i="65"/>
  <c r="O53" i="65"/>
  <c r="P53" i="65"/>
  <c r="Q53" i="65"/>
  <c r="R53" i="65"/>
  <c r="S53" i="65"/>
  <c r="T53" i="65"/>
  <c r="U53" i="65"/>
  <c r="V53" i="65"/>
  <c r="W53" i="65"/>
  <c r="X53" i="65"/>
  <c r="Y53" i="65"/>
  <c r="Z53" i="65"/>
  <c r="AA53" i="65"/>
  <c r="AB53" i="65"/>
  <c r="AC53" i="65"/>
  <c r="AD53" i="65"/>
  <c r="AE53" i="65"/>
  <c r="AF53" i="65"/>
  <c r="AG53" i="65"/>
  <c r="AH53" i="65"/>
  <c r="AI53" i="65"/>
  <c r="AJ53" i="65"/>
  <c r="AK53" i="65" s="1"/>
  <c r="B54" i="65"/>
  <c r="C54" i="65"/>
  <c r="D54" i="65"/>
  <c r="E54" i="65"/>
  <c r="F54" i="65"/>
  <c r="G54" i="65"/>
  <c r="H54" i="65"/>
  <c r="I54" i="65"/>
  <c r="J54" i="65"/>
  <c r="K54" i="65"/>
  <c r="L54" i="65"/>
  <c r="M54" i="65"/>
  <c r="N54" i="65"/>
  <c r="O54" i="65"/>
  <c r="P54" i="65"/>
  <c r="Q54" i="65"/>
  <c r="R54" i="65"/>
  <c r="S54" i="65"/>
  <c r="T54" i="65"/>
  <c r="U54" i="65"/>
  <c r="V54" i="65"/>
  <c r="W54" i="65"/>
  <c r="X54" i="65"/>
  <c r="Y54" i="65"/>
  <c r="Z54" i="65"/>
  <c r="AA54" i="65"/>
  <c r="AB54" i="65"/>
  <c r="AC54" i="65"/>
  <c r="AD54" i="65"/>
  <c r="AE54" i="65"/>
  <c r="AF54" i="65"/>
  <c r="AG54" i="65"/>
  <c r="AH54" i="65"/>
  <c r="AI54" i="65"/>
  <c r="AJ54" i="65"/>
  <c r="AK54" i="65" s="1"/>
  <c r="B55" i="65"/>
  <c r="C55" i="65"/>
  <c r="D55" i="65"/>
  <c r="E55" i="65"/>
  <c r="F55" i="65"/>
  <c r="G55" i="65"/>
  <c r="H55" i="65"/>
  <c r="I55" i="65"/>
  <c r="J55" i="65"/>
  <c r="K55" i="65"/>
  <c r="L55" i="65"/>
  <c r="M55" i="65"/>
  <c r="N55" i="65"/>
  <c r="O55" i="65"/>
  <c r="P55" i="65"/>
  <c r="Q55" i="65"/>
  <c r="R55" i="65"/>
  <c r="S55" i="65"/>
  <c r="T55" i="65"/>
  <c r="U55" i="65"/>
  <c r="V55" i="65"/>
  <c r="W55" i="65"/>
  <c r="X55" i="65"/>
  <c r="Y55" i="65"/>
  <c r="Z55" i="65"/>
  <c r="AA55" i="65"/>
  <c r="AB55" i="65"/>
  <c r="AC55" i="65"/>
  <c r="AD55" i="65"/>
  <c r="AE55" i="65"/>
  <c r="AF55" i="65"/>
  <c r="AG55" i="65"/>
  <c r="AH55" i="65"/>
  <c r="AI55" i="65"/>
  <c r="AJ55" i="65"/>
  <c r="AK55" i="65" s="1"/>
  <c r="B56" i="65"/>
  <c r="C56" i="65"/>
  <c r="D56" i="65"/>
  <c r="E56" i="65"/>
  <c r="F56" i="65"/>
  <c r="G56" i="65"/>
  <c r="H56" i="65"/>
  <c r="I56" i="65"/>
  <c r="J56" i="65"/>
  <c r="K56" i="65"/>
  <c r="L56" i="65"/>
  <c r="M56" i="65"/>
  <c r="N56" i="65"/>
  <c r="O56" i="65"/>
  <c r="P56" i="65"/>
  <c r="Q56" i="65"/>
  <c r="R56" i="65"/>
  <c r="S56" i="65"/>
  <c r="T56" i="65"/>
  <c r="U56" i="65"/>
  <c r="V56" i="65"/>
  <c r="W56" i="65"/>
  <c r="X56" i="65"/>
  <c r="Y56" i="65"/>
  <c r="Z56" i="65"/>
  <c r="AA56" i="65"/>
  <c r="AB56" i="65"/>
  <c r="AC56" i="65"/>
  <c r="AD56" i="65"/>
  <c r="AE56" i="65"/>
  <c r="AF56" i="65"/>
  <c r="AG56" i="65"/>
  <c r="AH56" i="65"/>
  <c r="AI56" i="65"/>
  <c r="AJ56" i="65"/>
  <c r="AK56" i="65" s="1"/>
  <c r="B57" i="65"/>
  <c r="C57" i="65"/>
  <c r="D57" i="65"/>
  <c r="E57" i="65"/>
  <c r="F57" i="65"/>
  <c r="G57" i="65"/>
  <c r="H57" i="65"/>
  <c r="I57" i="65"/>
  <c r="J57" i="65"/>
  <c r="K57" i="65"/>
  <c r="L57" i="65"/>
  <c r="M57" i="65"/>
  <c r="N57" i="65"/>
  <c r="O57" i="65"/>
  <c r="P57" i="65"/>
  <c r="Q57" i="65"/>
  <c r="R57" i="65"/>
  <c r="S57" i="65"/>
  <c r="T57" i="65"/>
  <c r="U57" i="65"/>
  <c r="V57" i="65"/>
  <c r="W57" i="65"/>
  <c r="X57" i="65"/>
  <c r="Y57" i="65"/>
  <c r="Z57" i="65"/>
  <c r="AA57" i="65"/>
  <c r="AB57" i="65"/>
  <c r="AC57" i="65"/>
  <c r="AD57" i="65"/>
  <c r="AE57" i="65"/>
  <c r="AF57" i="65"/>
  <c r="AG57" i="65"/>
  <c r="AH57" i="65"/>
  <c r="AI57" i="65"/>
  <c r="AJ57" i="65"/>
  <c r="AK57" i="65" s="1"/>
  <c r="B58" i="65"/>
  <c r="C58" i="65"/>
  <c r="D58" i="65"/>
  <c r="E58" i="65"/>
  <c r="F58" i="65"/>
  <c r="G58" i="65"/>
  <c r="H58" i="65"/>
  <c r="I58" i="65"/>
  <c r="J58" i="65"/>
  <c r="K58" i="65"/>
  <c r="L58" i="65"/>
  <c r="M58" i="65"/>
  <c r="N58" i="65"/>
  <c r="O58" i="65"/>
  <c r="P58" i="65"/>
  <c r="Q58" i="65"/>
  <c r="R58" i="65"/>
  <c r="S58" i="65"/>
  <c r="T58" i="65"/>
  <c r="U58" i="65"/>
  <c r="V58" i="65"/>
  <c r="W58" i="65"/>
  <c r="X58" i="65"/>
  <c r="Y58" i="65"/>
  <c r="Z58" i="65"/>
  <c r="AA58" i="65"/>
  <c r="AB58" i="65"/>
  <c r="AC58" i="65"/>
  <c r="AD58" i="65"/>
  <c r="AE58" i="65"/>
  <c r="AF58" i="65"/>
  <c r="AG58" i="65"/>
  <c r="AH58" i="65"/>
  <c r="AI58" i="65"/>
  <c r="AJ58" i="65"/>
  <c r="AK58" i="65" s="1"/>
  <c r="B59" i="65"/>
  <c r="C59" i="65"/>
  <c r="D59" i="65"/>
  <c r="E59" i="65"/>
  <c r="F59" i="65"/>
  <c r="G59" i="65"/>
  <c r="H59" i="65"/>
  <c r="I59" i="65"/>
  <c r="J59" i="65"/>
  <c r="K59" i="65"/>
  <c r="L59" i="65"/>
  <c r="M59" i="65"/>
  <c r="N59" i="65"/>
  <c r="O59" i="65"/>
  <c r="P59" i="65"/>
  <c r="Q59" i="65"/>
  <c r="R59" i="65"/>
  <c r="S59" i="65"/>
  <c r="T59" i="65"/>
  <c r="U59" i="65"/>
  <c r="V59" i="65"/>
  <c r="W59" i="65"/>
  <c r="X59" i="65"/>
  <c r="Y59" i="65"/>
  <c r="Z59" i="65"/>
  <c r="AA59" i="65"/>
  <c r="AB59" i="65"/>
  <c r="AC59" i="65"/>
  <c r="AD59" i="65"/>
  <c r="AE59" i="65"/>
  <c r="AF59" i="65"/>
  <c r="AG59" i="65"/>
  <c r="AH59" i="65"/>
  <c r="AI59" i="65"/>
  <c r="AJ59" i="65"/>
  <c r="AK59" i="65" s="1"/>
  <c r="B60" i="65"/>
  <c r="C60" i="65"/>
  <c r="D60" i="65"/>
  <c r="E60" i="65"/>
  <c r="F60" i="65"/>
  <c r="G60" i="65"/>
  <c r="H60" i="65"/>
  <c r="I60" i="65"/>
  <c r="J60" i="65"/>
  <c r="K60" i="65"/>
  <c r="L60" i="65"/>
  <c r="M60" i="65"/>
  <c r="N60" i="65"/>
  <c r="O60" i="65"/>
  <c r="P60" i="65"/>
  <c r="Q60" i="65"/>
  <c r="R60" i="65"/>
  <c r="S60" i="65"/>
  <c r="T60" i="65"/>
  <c r="U60" i="65"/>
  <c r="V60" i="65"/>
  <c r="W60" i="65"/>
  <c r="X60" i="65"/>
  <c r="Y60" i="65"/>
  <c r="Z60" i="65"/>
  <c r="AA60" i="65"/>
  <c r="AB60" i="65"/>
  <c r="AC60" i="65"/>
  <c r="AD60" i="65"/>
  <c r="AE60" i="65"/>
  <c r="AF60" i="65"/>
  <c r="AG60" i="65"/>
  <c r="AH60" i="65"/>
  <c r="AI60" i="65"/>
  <c r="AJ60" i="65"/>
  <c r="AK60" i="65" s="1"/>
  <c r="B61" i="65"/>
  <c r="C61" i="65"/>
  <c r="D61" i="65"/>
  <c r="E61" i="65"/>
  <c r="F61" i="65"/>
  <c r="G61" i="65"/>
  <c r="H61" i="65"/>
  <c r="I61" i="65"/>
  <c r="J61" i="65"/>
  <c r="K61" i="65"/>
  <c r="L61" i="65"/>
  <c r="M61" i="65"/>
  <c r="N61" i="65"/>
  <c r="O61" i="65"/>
  <c r="P61" i="65"/>
  <c r="Q61" i="65"/>
  <c r="R61" i="65"/>
  <c r="S61" i="65"/>
  <c r="T61" i="65"/>
  <c r="U61" i="65"/>
  <c r="V61" i="65"/>
  <c r="W61" i="65"/>
  <c r="X61" i="65"/>
  <c r="Y61" i="65"/>
  <c r="Z61" i="65"/>
  <c r="AA61" i="65"/>
  <c r="AB61" i="65"/>
  <c r="AC61" i="65"/>
  <c r="AD61" i="65"/>
  <c r="AE61" i="65"/>
  <c r="AF61" i="65"/>
  <c r="AG61" i="65"/>
  <c r="AH61" i="65"/>
  <c r="AI61" i="65"/>
  <c r="AJ61" i="65"/>
  <c r="AK61" i="65" s="1"/>
  <c r="B62" i="65"/>
  <c r="C62" i="65"/>
  <c r="D62" i="65"/>
  <c r="E62" i="65"/>
  <c r="F62" i="65"/>
  <c r="G62" i="65"/>
  <c r="H62" i="65"/>
  <c r="I62" i="65"/>
  <c r="J62" i="65"/>
  <c r="K62" i="65"/>
  <c r="L62" i="65"/>
  <c r="M62" i="65"/>
  <c r="N62" i="65"/>
  <c r="O62" i="65"/>
  <c r="P62" i="65"/>
  <c r="Q62" i="65"/>
  <c r="R62" i="65"/>
  <c r="S62" i="65"/>
  <c r="T62" i="65"/>
  <c r="U62" i="65"/>
  <c r="V62" i="65"/>
  <c r="W62" i="65"/>
  <c r="X62" i="65"/>
  <c r="Y62" i="65"/>
  <c r="Z62" i="65"/>
  <c r="AA62" i="65"/>
  <c r="AB62" i="65"/>
  <c r="AC62" i="65"/>
  <c r="AD62" i="65"/>
  <c r="AE62" i="65"/>
  <c r="AF62" i="65"/>
  <c r="AG62" i="65"/>
  <c r="AH62" i="65"/>
  <c r="AI62" i="65"/>
  <c r="AJ62" i="65"/>
  <c r="AK62" i="65" s="1"/>
  <c r="B63" i="65"/>
  <c r="C63" i="65"/>
  <c r="D63" i="65"/>
  <c r="E63" i="65"/>
  <c r="F63" i="65"/>
  <c r="G63" i="65"/>
  <c r="H63" i="65"/>
  <c r="I63" i="65"/>
  <c r="J63" i="65"/>
  <c r="K63" i="65"/>
  <c r="L63" i="65"/>
  <c r="M63" i="65"/>
  <c r="N63" i="65"/>
  <c r="O63" i="65"/>
  <c r="P63" i="65"/>
  <c r="Q63" i="65"/>
  <c r="R63" i="65"/>
  <c r="S63" i="65"/>
  <c r="T63" i="65"/>
  <c r="U63" i="65"/>
  <c r="V63" i="65"/>
  <c r="W63" i="65"/>
  <c r="X63" i="65"/>
  <c r="Y63" i="65"/>
  <c r="Z63" i="65"/>
  <c r="AA63" i="65"/>
  <c r="AB63" i="65"/>
  <c r="AC63" i="65"/>
  <c r="AD63" i="65"/>
  <c r="AE63" i="65"/>
  <c r="AF63" i="65"/>
  <c r="AG63" i="65"/>
  <c r="AH63" i="65"/>
  <c r="AI63" i="65"/>
  <c r="AJ63" i="65"/>
  <c r="AK63" i="65" s="1"/>
  <c r="B64" i="65"/>
  <c r="C64" i="65"/>
  <c r="D64" i="65"/>
  <c r="E64" i="65"/>
  <c r="F64" i="65"/>
  <c r="G64" i="65"/>
  <c r="H64" i="65"/>
  <c r="I64" i="65"/>
  <c r="J64" i="65"/>
  <c r="K64" i="65"/>
  <c r="L64" i="65"/>
  <c r="M64" i="65"/>
  <c r="N64" i="65"/>
  <c r="O64" i="65"/>
  <c r="P64" i="65"/>
  <c r="Q64" i="65"/>
  <c r="R64" i="65"/>
  <c r="S64" i="65"/>
  <c r="T64" i="65"/>
  <c r="U64" i="65"/>
  <c r="V64" i="65"/>
  <c r="W64" i="65"/>
  <c r="X64" i="65"/>
  <c r="Y64" i="65"/>
  <c r="Z64" i="65"/>
  <c r="AA64" i="65"/>
  <c r="AB64" i="65"/>
  <c r="AC64" i="65"/>
  <c r="AD64" i="65"/>
  <c r="AE64" i="65"/>
  <c r="AF64" i="65"/>
  <c r="AG64" i="65"/>
  <c r="AH64" i="65"/>
  <c r="AI64" i="65"/>
  <c r="AJ64" i="65"/>
  <c r="AK64" i="65" s="1"/>
  <c r="B65" i="65"/>
  <c r="C65" i="65"/>
  <c r="D65" i="65"/>
  <c r="E65" i="65"/>
  <c r="F65" i="65"/>
  <c r="G65" i="65"/>
  <c r="H65" i="65"/>
  <c r="I65" i="65"/>
  <c r="J65" i="65"/>
  <c r="K65" i="65"/>
  <c r="L65" i="65"/>
  <c r="M65" i="65"/>
  <c r="N65" i="65"/>
  <c r="O65" i="65"/>
  <c r="P65" i="65"/>
  <c r="Q65" i="65"/>
  <c r="R65" i="65"/>
  <c r="S65" i="65"/>
  <c r="T65" i="65"/>
  <c r="U65" i="65"/>
  <c r="V65" i="65"/>
  <c r="W65" i="65"/>
  <c r="X65" i="65"/>
  <c r="Y65" i="65"/>
  <c r="Z65" i="65"/>
  <c r="AA65" i="65"/>
  <c r="AB65" i="65"/>
  <c r="AC65" i="65"/>
  <c r="AD65" i="65"/>
  <c r="AE65" i="65"/>
  <c r="AF65" i="65"/>
  <c r="AG65" i="65"/>
  <c r="AH65" i="65"/>
  <c r="AI65" i="65"/>
  <c r="AJ65" i="65"/>
  <c r="AK65" i="65" s="1"/>
  <c r="B66" i="65"/>
  <c r="C66" i="65"/>
  <c r="D66" i="65"/>
  <c r="E66" i="65"/>
  <c r="F66" i="65"/>
  <c r="G66" i="65"/>
  <c r="H66" i="65"/>
  <c r="I66" i="65"/>
  <c r="J66" i="65"/>
  <c r="K66" i="65"/>
  <c r="L66" i="65"/>
  <c r="M66" i="65"/>
  <c r="N66" i="65"/>
  <c r="O66" i="65"/>
  <c r="P66" i="65"/>
  <c r="Q66" i="65"/>
  <c r="R66" i="65"/>
  <c r="S66" i="65"/>
  <c r="T66" i="65"/>
  <c r="U66" i="65"/>
  <c r="V66" i="65"/>
  <c r="W66" i="65"/>
  <c r="X66" i="65"/>
  <c r="Y66" i="65"/>
  <c r="Z66" i="65"/>
  <c r="AA66" i="65"/>
  <c r="AB66" i="65"/>
  <c r="AC66" i="65"/>
  <c r="AD66" i="65"/>
  <c r="AE66" i="65"/>
  <c r="AF66" i="65"/>
  <c r="AG66" i="65"/>
  <c r="AH66" i="65"/>
  <c r="AI66" i="65"/>
  <c r="AJ66" i="65"/>
  <c r="AK66" i="65" s="1"/>
  <c r="B67" i="65"/>
  <c r="C67" i="65"/>
  <c r="D67" i="65"/>
  <c r="E67" i="65"/>
  <c r="F67" i="65"/>
  <c r="G67" i="65"/>
  <c r="H67" i="65"/>
  <c r="I67" i="65"/>
  <c r="J67" i="65"/>
  <c r="K67" i="65"/>
  <c r="L67" i="65"/>
  <c r="M67" i="65"/>
  <c r="N67" i="65"/>
  <c r="O67" i="65"/>
  <c r="P67" i="65"/>
  <c r="Q67" i="65"/>
  <c r="R67" i="65"/>
  <c r="S67" i="65"/>
  <c r="T67" i="65"/>
  <c r="U67" i="65"/>
  <c r="V67" i="65"/>
  <c r="W67" i="65"/>
  <c r="X67" i="65"/>
  <c r="Y67" i="65"/>
  <c r="Z67" i="65"/>
  <c r="AA67" i="65"/>
  <c r="AB67" i="65"/>
  <c r="AC67" i="65"/>
  <c r="AD67" i="65"/>
  <c r="AE67" i="65"/>
  <c r="AF67" i="65"/>
  <c r="AG67" i="65"/>
  <c r="AH67" i="65"/>
  <c r="AI67" i="65"/>
  <c r="AJ67" i="65"/>
  <c r="AK67" i="65" s="1"/>
  <c r="B68" i="65"/>
  <c r="C68" i="65"/>
  <c r="D68" i="65"/>
  <c r="E68" i="65"/>
  <c r="F68" i="65"/>
  <c r="G68" i="65"/>
  <c r="H68" i="65"/>
  <c r="I68" i="65"/>
  <c r="J68" i="65"/>
  <c r="K68" i="65"/>
  <c r="L68" i="65"/>
  <c r="M68" i="65"/>
  <c r="N68" i="65"/>
  <c r="O68" i="65"/>
  <c r="P68" i="65"/>
  <c r="Q68" i="65"/>
  <c r="R68" i="65"/>
  <c r="S68" i="65"/>
  <c r="T68" i="65"/>
  <c r="U68" i="65"/>
  <c r="V68" i="65"/>
  <c r="W68" i="65"/>
  <c r="X68" i="65"/>
  <c r="Y68" i="65"/>
  <c r="Z68" i="65"/>
  <c r="AA68" i="65"/>
  <c r="AB68" i="65"/>
  <c r="AC68" i="65"/>
  <c r="AD68" i="65"/>
  <c r="AE68" i="65"/>
  <c r="AF68" i="65"/>
  <c r="AG68" i="65"/>
  <c r="AH68" i="65"/>
  <c r="AI68" i="65"/>
  <c r="AJ68" i="65"/>
  <c r="AK68" i="65" s="1"/>
  <c r="B69" i="65"/>
  <c r="C69" i="65"/>
  <c r="D69" i="65"/>
  <c r="E69" i="65"/>
  <c r="F69" i="65"/>
  <c r="G69" i="65"/>
  <c r="H69" i="65"/>
  <c r="I69" i="65"/>
  <c r="J69" i="65"/>
  <c r="K69" i="65"/>
  <c r="L69" i="65"/>
  <c r="M69" i="65"/>
  <c r="N69" i="65"/>
  <c r="O69" i="65"/>
  <c r="P69" i="65"/>
  <c r="Q69" i="65"/>
  <c r="R69" i="65"/>
  <c r="S69" i="65"/>
  <c r="T69" i="65"/>
  <c r="U69" i="65"/>
  <c r="V69" i="65"/>
  <c r="W69" i="65"/>
  <c r="X69" i="65"/>
  <c r="Y69" i="65"/>
  <c r="Z69" i="65"/>
  <c r="AA69" i="65"/>
  <c r="AB69" i="65"/>
  <c r="AC69" i="65"/>
  <c r="AD69" i="65"/>
  <c r="AE69" i="65"/>
  <c r="AF69" i="65"/>
  <c r="AG69" i="65"/>
  <c r="AH69" i="65"/>
  <c r="AI69" i="65"/>
  <c r="AJ69" i="65"/>
  <c r="AK69" i="65" s="1"/>
  <c r="B70" i="65"/>
  <c r="C70" i="65"/>
  <c r="D70" i="65"/>
  <c r="E70" i="65"/>
  <c r="F70" i="65"/>
  <c r="G70" i="65"/>
  <c r="H70" i="65"/>
  <c r="I70" i="65"/>
  <c r="J70" i="65"/>
  <c r="K70" i="65"/>
  <c r="L70" i="65"/>
  <c r="M70" i="65"/>
  <c r="N70" i="65"/>
  <c r="O70" i="65"/>
  <c r="P70" i="65"/>
  <c r="Q70" i="65"/>
  <c r="R70" i="65"/>
  <c r="S70" i="65"/>
  <c r="T70" i="65"/>
  <c r="U70" i="65"/>
  <c r="V70" i="65"/>
  <c r="W70" i="65"/>
  <c r="X70" i="65"/>
  <c r="Y70" i="65"/>
  <c r="Z70" i="65"/>
  <c r="AA70" i="65"/>
  <c r="AB70" i="65"/>
  <c r="AC70" i="65"/>
  <c r="AD70" i="65"/>
  <c r="AE70" i="65"/>
  <c r="AF70" i="65"/>
  <c r="AG70" i="65"/>
  <c r="AH70" i="65"/>
  <c r="AI70" i="65"/>
  <c r="AJ70" i="65"/>
  <c r="AK70" i="65" s="1"/>
  <c r="B71" i="65"/>
  <c r="C71" i="65"/>
  <c r="D71" i="65"/>
  <c r="E71" i="65"/>
  <c r="F71" i="65"/>
  <c r="G71" i="65"/>
  <c r="H71" i="65"/>
  <c r="I71" i="65"/>
  <c r="J71" i="65"/>
  <c r="K71" i="65"/>
  <c r="L71" i="65"/>
  <c r="M71" i="65"/>
  <c r="N71" i="65"/>
  <c r="O71" i="65"/>
  <c r="P71" i="65"/>
  <c r="Q71" i="65"/>
  <c r="R71" i="65"/>
  <c r="S71" i="65"/>
  <c r="T71" i="65"/>
  <c r="U71" i="65"/>
  <c r="V71" i="65"/>
  <c r="W71" i="65"/>
  <c r="X71" i="65"/>
  <c r="Y71" i="65"/>
  <c r="Z71" i="65"/>
  <c r="AA71" i="65"/>
  <c r="AB71" i="65"/>
  <c r="AC71" i="65"/>
  <c r="AD71" i="65"/>
  <c r="AE71" i="65"/>
  <c r="AF71" i="65"/>
  <c r="AG71" i="65"/>
  <c r="AH71" i="65"/>
  <c r="AI71" i="65"/>
  <c r="AJ71" i="65"/>
  <c r="AK71" i="65" s="1"/>
  <c r="B72" i="65"/>
  <c r="C72" i="65"/>
  <c r="D72" i="65"/>
  <c r="E72" i="65"/>
  <c r="F72" i="65"/>
  <c r="G72" i="65"/>
  <c r="H72" i="65"/>
  <c r="I72" i="65"/>
  <c r="J72" i="65"/>
  <c r="K72" i="65"/>
  <c r="L72" i="65"/>
  <c r="M72" i="65"/>
  <c r="N72" i="65"/>
  <c r="O72" i="65"/>
  <c r="P72" i="65"/>
  <c r="Q72" i="65"/>
  <c r="R72" i="65"/>
  <c r="S72" i="65"/>
  <c r="T72" i="65"/>
  <c r="U72" i="65"/>
  <c r="V72" i="65"/>
  <c r="W72" i="65"/>
  <c r="X72" i="65"/>
  <c r="Y72" i="65"/>
  <c r="Z72" i="65"/>
  <c r="AA72" i="65"/>
  <c r="AB72" i="65"/>
  <c r="AC72" i="65"/>
  <c r="AD72" i="65"/>
  <c r="AE72" i="65"/>
  <c r="AF72" i="65"/>
  <c r="AG72" i="65"/>
  <c r="AH72" i="65"/>
  <c r="AI72" i="65"/>
  <c r="AJ72" i="65"/>
  <c r="AK72" i="65" s="1"/>
  <c r="B73" i="65"/>
  <c r="C73" i="65"/>
  <c r="D73" i="65"/>
  <c r="E73" i="65"/>
  <c r="F73" i="65"/>
  <c r="G73" i="65"/>
  <c r="H73" i="65"/>
  <c r="I73" i="65"/>
  <c r="J73" i="65"/>
  <c r="K73" i="65"/>
  <c r="L73" i="65"/>
  <c r="M73" i="65"/>
  <c r="N73" i="65"/>
  <c r="O73" i="65"/>
  <c r="P73" i="65"/>
  <c r="Q73" i="65"/>
  <c r="R73" i="65"/>
  <c r="S73" i="65"/>
  <c r="T73" i="65"/>
  <c r="U73" i="65"/>
  <c r="V73" i="65"/>
  <c r="W73" i="65"/>
  <c r="X73" i="65"/>
  <c r="Y73" i="65"/>
  <c r="Z73" i="65"/>
  <c r="AA73" i="65"/>
  <c r="AB73" i="65"/>
  <c r="AC73" i="65"/>
  <c r="AD73" i="65"/>
  <c r="AE73" i="65"/>
  <c r="AF73" i="65"/>
  <c r="AG73" i="65"/>
  <c r="AH73" i="65"/>
  <c r="AI73" i="65"/>
  <c r="AJ73" i="65"/>
  <c r="AK73" i="65" s="1"/>
  <c r="B74" i="65"/>
  <c r="C74" i="65"/>
  <c r="D74" i="65"/>
  <c r="E74" i="65"/>
  <c r="F74" i="65"/>
  <c r="G74" i="65"/>
  <c r="H74" i="65"/>
  <c r="I74" i="65"/>
  <c r="J74" i="65"/>
  <c r="K74" i="65"/>
  <c r="L74" i="65"/>
  <c r="M74" i="65"/>
  <c r="N74" i="65"/>
  <c r="O74" i="65"/>
  <c r="P74" i="65"/>
  <c r="Q74" i="65"/>
  <c r="R74" i="65"/>
  <c r="S74" i="65"/>
  <c r="T74" i="65"/>
  <c r="U74" i="65"/>
  <c r="V74" i="65"/>
  <c r="W74" i="65"/>
  <c r="X74" i="65"/>
  <c r="Y74" i="65"/>
  <c r="Z74" i="65"/>
  <c r="AA74" i="65"/>
  <c r="AB74" i="65"/>
  <c r="AC74" i="65"/>
  <c r="AD74" i="65"/>
  <c r="AE74" i="65"/>
  <c r="AF74" i="65"/>
  <c r="AG74" i="65"/>
  <c r="AH74" i="65"/>
  <c r="AI74" i="65"/>
  <c r="AJ74" i="65"/>
  <c r="AK74" i="65" s="1"/>
  <c r="B75" i="65"/>
  <c r="C75" i="65"/>
  <c r="D75" i="65"/>
  <c r="E75" i="65"/>
  <c r="F75" i="65"/>
  <c r="G75" i="65"/>
  <c r="H75" i="65"/>
  <c r="I75" i="65"/>
  <c r="J75" i="65"/>
  <c r="K75" i="65"/>
  <c r="L75" i="65"/>
  <c r="M75" i="65"/>
  <c r="N75" i="65"/>
  <c r="O75" i="65"/>
  <c r="P75" i="65"/>
  <c r="Q75" i="65"/>
  <c r="R75" i="65"/>
  <c r="S75" i="65"/>
  <c r="T75" i="65"/>
  <c r="U75" i="65"/>
  <c r="V75" i="65"/>
  <c r="W75" i="65"/>
  <c r="X75" i="65"/>
  <c r="Y75" i="65"/>
  <c r="Z75" i="65"/>
  <c r="AA75" i="65"/>
  <c r="AB75" i="65"/>
  <c r="AC75" i="65"/>
  <c r="AD75" i="65"/>
  <c r="AE75" i="65"/>
  <c r="AF75" i="65"/>
  <c r="AG75" i="65"/>
  <c r="AH75" i="65"/>
  <c r="AI75" i="65"/>
  <c r="AJ75" i="65"/>
  <c r="AK75" i="65" s="1"/>
  <c r="B76" i="65"/>
  <c r="C76" i="65"/>
  <c r="D76" i="65"/>
  <c r="E76" i="65"/>
  <c r="F76" i="65"/>
  <c r="G76" i="65"/>
  <c r="H76" i="65"/>
  <c r="I76" i="65"/>
  <c r="J76" i="65"/>
  <c r="K76" i="65"/>
  <c r="L76" i="65"/>
  <c r="M76" i="65"/>
  <c r="N76" i="65"/>
  <c r="O76" i="65"/>
  <c r="P76" i="65"/>
  <c r="Q76" i="65"/>
  <c r="R76" i="65"/>
  <c r="S76" i="65"/>
  <c r="T76" i="65"/>
  <c r="U76" i="65"/>
  <c r="V76" i="65"/>
  <c r="W76" i="65"/>
  <c r="X76" i="65"/>
  <c r="Y76" i="65"/>
  <c r="Z76" i="65"/>
  <c r="AA76" i="65"/>
  <c r="AB76" i="65"/>
  <c r="AC76" i="65"/>
  <c r="AD76" i="65"/>
  <c r="AE76" i="65"/>
  <c r="AF76" i="65"/>
  <c r="AG76" i="65"/>
  <c r="AH76" i="65"/>
  <c r="AI76" i="65"/>
  <c r="AJ76" i="65"/>
  <c r="AK76" i="65" s="1"/>
  <c r="B77" i="65"/>
  <c r="C77" i="65"/>
  <c r="D77" i="65"/>
  <c r="E77" i="65"/>
  <c r="F77" i="65"/>
  <c r="G77" i="65"/>
  <c r="H77" i="65"/>
  <c r="I77" i="65"/>
  <c r="J77" i="65"/>
  <c r="K77" i="65"/>
  <c r="L77" i="65"/>
  <c r="M77" i="65"/>
  <c r="N77" i="65"/>
  <c r="AJ77" i="65" s="1"/>
  <c r="AK77" i="65" s="1"/>
  <c r="O77" i="65"/>
  <c r="P77" i="65"/>
  <c r="Q77" i="65"/>
  <c r="R77" i="65"/>
  <c r="S77" i="65"/>
  <c r="T77" i="65"/>
  <c r="U77" i="65"/>
  <c r="V77" i="65"/>
  <c r="W77" i="65"/>
  <c r="X77" i="65"/>
  <c r="Y77" i="65"/>
  <c r="Z77" i="65"/>
  <c r="AA77" i="65"/>
  <c r="AB77" i="65"/>
  <c r="AC77" i="65"/>
  <c r="AD77" i="65"/>
  <c r="AE77" i="65"/>
  <c r="AF77" i="65"/>
  <c r="AG77" i="65"/>
  <c r="AH77" i="65"/>
  <c r="AI77" i="65"/>
  <c r="B78" i="65"/>
  <c r="AJ78" i="65" s="1"/>
  <c r="AK78" i="65" s="1"/>
  <c r="C78" i="65"/>
  <c r="D78" i="65"/>
  <c r="E78" i="65"/>
  <c r="F78" i="65"/>
  <c r="G78" i="65"/>
  <c r="H78" i="65"/>
  <c r="I78" i="65"/>
  <c r="J78" i="65"/>
  <c r="K78" i="65"/>
  <c r="L78" i="65"/>
  <c r="M78" i="65"/>
  <c r="N78" i="65"/>
  <c r="O78" i="65"/>
  <c r="P78" i="65"/>
  <c r="Q78" i="65"/>
  <c r="R78" i="65"/>
  <c r="S78" i="65"/>
  <c r="T78" i="65"/>
  <c r="U78" i="65"/>
  <c r="V78" i="65"/>
  <c r="W78" i="65"/>
  <c r="X78" i="65"/>
  <c r="Y78" i="65"/>
  <c r="Z78" i="65"/>
  <c r="AA78" i="65"/>
  <c r="AB78" i="65"/>
  <c r="AC78" i="65"/>
  <c r="AD78" i="65"/>
  <c r="AE78" i="65"/>
  <c r="AF78" i="65"/>
  <c r="AG78" i="65"/>
  <c r="AH78" i="65"/>
  <c r="AI78" i="65"/>
  <c r="B79" i="65"/>
  <c r="C79" i="65"/>
  <c r="D79" i="65"/>
  <c r="E79" i="65"/>
  <c r="F79" i="65"/>
  <c r="G79" i="65"/>
  <c r="H79" i="65"/>
  <c r="I79" i="65"/>
  <c r="J79" i="65"/>
  <c r="K79" i="65"/>
  <c r="L79" i="65"/>
  <c r="M79" i="65"/>
  <c r="N79" i="65"/>
  <c r="O79" i="65"/>
  <c r="P79" i="65"/>
  <c r="Q79" i="65"/>
  <c r="R79" i="65"/>
  <c r="S79" i="65"/>
  <c r="T79" i="65"/>
  <c r="U79" i="65"/>
  <c r="V79" i="65"/>
  <c r="W79" i="65"/>
  <c r="X79" i="65"/>
  <c r="Y79" i="65"/>
  <c r="Z79" i="65"/>
  <c r="AA79" i="65"/>
  <c r="AB79" i="65"/>
  <c r="AC79" i="65"/>
  <c r="AD79" i="65"/>
  <c r="AE79" i="65"/>
  <c r="AF79" i="65"/>
  <c r="AG79" i="65"/>
  <c r="AH79" i="65"/>
  <c r="AI79" i="65"/>
  <c r="AJ79" i="65"/>
  <c r="AK79" i="65" s="1"/>
  <c r="B80" i="65"/>
  <c r="C80" i="65"/>
  <c r="D80" i="65"/>
  <c r="E80" i="65"/>
  <c r="F80" i="65"/>
  <c r="G80" i="65"/>
  <c r="H80" i="65"/>
  <c r="I80" i="65"/>
  <c r="J80" i="65"/>
  <c r="K80" i="65"/>
  <c r="L80" i="65"/>
  <c r="M80" i="65"/>
  <c r="N80" i="65"/>
  <c r="O80" i="65"/>
  <c r="P80" i="65"/>
  <c r="Q80" i="65"/>
  <c r="R80" i="65"/>
  <c r="S80" i="65"/>
  <c r="T80" i="65"/>
  <c r="U80" i="65"/>
  <c r="V80" i="65"/>
  <c r="W80" i="65"/>
  <c r="X80" i="65"/>
  <c r="Y80" i="65"/>
  <c r="Z80" i="65"/>
  <c r="AA80" i="65"/>
  <c r="AB80" i="65"/>
  <c r="AC80" i="65"/>
  <c r="AD80" i="65"/>
  <c r="AE80" i="65"/>
  <c r="AF80" i="65"/>
  <c r="AG80" i="65"/>
  <c r="AH80" i="65"/>
  <c r="AI80" i="65"/>
  <c r="AJ80" i="65"/>
  <c r="AK80" i="65" s="1"/>
  <c r="B81" i="65"/>
  <c r="C81" i="65"/>
  <c r="D81" i="65"/>
  <c r="E81" i="65"/>
  <c r="F81" i="65"/>
  <c r="G81" i="65"/>
  <c r="H81" i="65"/>
  <c r="I81" i="65"/>
  <c r="J81" i="65"/>
  <c r="K81" i="65"/>
  <c r="L81" i="65"/>
  <c r="M81" i="65"/>
  <c r="N81" i="65"/>
  <c r="AJ81" i="65" s="1"/>
  <c r="AK81" i="65" s="1"/>
  <c r="O81" i="65"/>
  <c r="P81" i="65"/>
  <c r="Q81" i="65"/>
  <c r="R81" i="65"/>
  <c r="S81" i="65"/>
  <c r="T81" i="65"/>
  <c r="U81" i="65"/>
  <c r="V81" i="65"/>
  <c r="W81" i="65"/>
  <c r="X81" i="65"/>
  <c r="Y81" i="65"/>
  <c r="Z81" i="65"/>
  <c r="AA81" i="65"/>
  <c r="AB81" i="65"/>
  <c r="AC81" i="65"/>
  <c r="AD81" i="65"/>
  <c r="AE81" i="65"/>
  <c r="AF81" i="65"/>
  <c r="AG81" i="65"/>
  <c r="AH81" i="65"/>
  <c r="AI81" i="65"/>
  <c r="B82" i="65"/>
  <c r="AJ82" i="65" s="1"/>
  <c r="AK82" i="65" s="1"/>
  <c r="C82" i="65"/>
  <c r="D82" i="65"/>
  <c r="E82" i="65"/>
  <c r="F82" i="65"/>
  <c r="G82" i="65"/>
  <c r="H82" i="65"/>
  <c r="I82" i="65"/>
  <c r="J82" i="65"/>
  <c r="K82" i="65"/>
  <c r="L82" i="65"/>
  <c r="M82" i="65"/>
  <c r="N82" i="65"/>
  <c r="O82" i="65"/>
  <c r="P82" i="65"/>
  <c r="Q82" i="65"/>
  <c r="R82" i="65"/>
  <c r="S82" i="65"/>
  <c r="T82" i="65"/>
  <c r="U82" i="65"/>
  <c r="V82" i="65"/>
  <c r="W82" i="65"/>
  <c r="X82" i="65"/>
  <c r="Y82" i="65"/>
  <c r="Z82" i="65"/>
  <c r="AA82" i="65"/>
  <c r="AB82" i="65"/>
  <c r="AC82" i="65"/>
  <c r="AD82" i="65"/>
  <c r="AE82" i="65"/>
  <c r="AF82" i="65"/>
  <c r="AG82" i="65"/>
  <c r="AH82" i="65"/>
  <c r="AI82" i="65"/>
  <c r="B83" i="65"/>
  <c r="C83" i="65"/>
  <c r="D83" i="65"/>
  <c r="E83" i="65"/>
  <c r="F83" i="65"/>
  <c r="G83" i="65"/>
  <c r="H83" i="65"/>
  <c r="I83" i="65"/>
  <c r="J83" i="65"/>
  <c r="K83" i="65"/>
  <c r="L83" i="65"/>
  <c r="M83" i="65"/>
  <c r="N83" i="65"/>
  <c r="O83" i="65"/>
  <c r="P83" i="65"/>
  <c r="Q83" i="65"/>
  <c r="R83" i="65"/>
  <c r="S83" i="65"/>
  <c r="T83" i="65"/>
  <c r="U83" i="65"/>
  <c r="V83" i="65"/>
  <c r="W83" i="65"/>
  <c r="X83" i="65"/>
  <c r="Y83" i="65"/>
  <c r="Z83" i="65"/>
  <c r="AA83" i="65"/>
  <c r="AB83" i="65"/>
  <c r="AC83" i="65"/>
  <c r="AD83" i="65"/>
  <c r="AE83" i="65"/>
  <c r="AF83" i="65"/>
  <c r="AG83" i="65"/>
  <c r="AH83" i="65"/>
  <c r="AI83" i="65"/>
  <c r="AJ83" i="65"/>
  <c r="AK83" i="65" s="1"/>
  <c r="B84" i="65"/>
  <c r="C84" i="65"/>
  <c r="D84" i="65"/>
  <c r="E84" i="65"/>
  <c r="F84" i="65"/>
  <c r="G84" i="65"/>
  <c r="H84" i="65"/>
  <c r="I84" i="65"/>
  <c r="J84" i="65"/>
  <c r="K84" i="65"/>
  <c r="L84" i="65"/>
  <c r="M84" i="65"/>
  <c r="N84" i="65"/>
  <c r="O84" i="65"/>
  <c r="P84" i="65"/>
  <c r="Q84" i="65"/>
  <c r="R84" i="65"/>
  <c r="S84" i="65"/>
  <c r="T84" i="65"/>
  <c r="U84" i="65"/>
  <c r="V84" i="65"/>
  <c r="W84" i="65"/>
  <c r="X84" i="65"/>
  <c r="Y84" i="65"/>
  <c r="Z84" i="65"/>
  <c r="AA84" i="65"/>
  <c r="AB84" i="65"/>
  <c r="AC84" i="65"/>
  <c r="AD84" i="65"/>
  <c r="AE84" i="65"/>
  <c r="AF84" i="65"/>
  <c r="AG84" i="65"/>
  <c r="AH84" i="65"/>
  <c r="AI84" i="65"/>
  <c r="AJ84" i="65"/>
  <c r="AK84" i="65" s="1"/>
  <c r="B85" i="65"/>
  <c r="C85" i="65"/>
  <c r="D85" i="65"/>
  <c r="E85" i="65"/>
  <c r="F85" i="65"/>
  <c r="G85" i="65"/>
  <c r="H85" i="65"/>
  <c r="I85" i="65"/>
  <c r="J85" i="65"/>
  <c r="K85" i="65"/>
  <c r="L85" i="65"/>
  <c r="M85" i="65"/>
  <c r="N85" i="65"/>
  <c r="AJ85" i="65" s="1"/>
  <c r="AK85" i="65" s="1"/>
  <c r="O85" i="65"/>
  <c r="P85" i="65"/>
  <c r="Q85" i="65"/>
  <c r="R85" i="65"/>
  <c r="S85" i="65"/>
  <c r="T85" i="65"/>
  <c r="U85" i="65"/>
  <c r="V85" i="65"/>
  <c r="W85" i="65"/>
  <c r="X85" i="65"/>
  <c r="Y85" i="65"/>
  <c r="Z85" i="65"/>
  <c r="AA85" i="65"/>
  <c r="AB85" i="65"/>
  <c r="AC85" i="65"/>
  <c r="AD85" i="65"/>
  <c r="AE85" i="65"/>
  <c r="AF85" i="65"/>
  <c r="AG85" i="65"/>
  <c r="AH85" i="65"/>
  <c r="AI85" i="65"/>
  <c r="B86" i="65"/>
  <c r="AJ86" i="65" s="1"/>
  <c r="AK86" i="65" s="1"/>
  <c r="C86" i="65"/>
  <c r="D86" i="65"/>
  <c r="E86" i="65"/>
  <c r="F86" i="65"/>
  <c r="G86" i="65"/>
  <c r="H86" i="65"/>
  <c r="I86" i="65"/>
  <c r="J86" i="65"/>
  <c r="K86" i="65"/>
  <c r="L86" i="65"/>
  <c r="M86" i="65"/>
  <c r="N86" i="65"/>
  <c r="O86" i="65"/>
  <c r="P86" i="65"/>
  <c r="Q86" i="65"/>
  <c r="R86" i="65"/>
  <c r="S86" i="65"/>
  <c r="T86" i="65"/>
  <c r="U86" i="65"/>
  <c r="V86" i="65"/>
  <c r="W86" i="65"/>
  <c r="X86" i="65"/>
  <c r="Y86" i="65"/>
  <c r="Z86" i="65"/>
  <c r="AA86" i="65"/>
  <c r="AB86" i="65"/>
  <c r="AC86" i="65"/>
  <c r="AD86" i="65"/>
  <c r="AE86" i="65"/>
  <c r="AF86" i="65"/>
  <c r="AG86" i="65"/>
  <c r="AH86" i="65"/>
  <c r="AI86" i="65"/>
  <c r="B87" i="65"/>
  <c r="C87" i="65"/>
  <c r="D87" i="65"/>
  <c r="E87" i="65"/>
  <c r="F87" i="65"/>
  <c r="G87" i="65"/>
  <c r="H87" i="65"/>
  <c r="I87" i="65"/>
  <c r="J87" i="65"/>
  <c r="K87" i="65"/>
  <c r="L87" i="65"/>
  <c r="M87" i="65"/>
  <c r="N87" i="65"/>
  <c r="O87" i="65"/>
  <c r="P87" i="65"/>
  <c r="Q87" i="65"/>
  <c r="R87" i="65"/>
  <c r="S87" i="65"/>
  <c r="T87" i="65"/>
  <c r="U87" i="65"/>
  <c r="V87" i="65"/>
  <c r="W87" i="65"/>
  <c r="X87" i="65"/>
  <c r="Y87" i="65"/>
  <c r="Z87" i="65"/>
  <c r="AA87" i="65"/>
  <c r="AB87" i="65"/>
  <c r="AC87" i="65"/>
  <c r="AD87" i="65"/>
  <c r="AE87" i="65"/>
  <c r="AF87" i="65"/>
  <c r="AG87" i="65"/>
  <c r="AH87" i="65"/>
  <c r="AI87" i="65"/>
  <c r="AJ87" i="65"/>
  <c r="AK87" i="65" s="1"/>
  <c r="B88" i="65"/>
  <c r="C88" i="65"/>
  <c r="D88" i="65"/>
  <c r="E88" i="65"/>
  <c r="F88" i="65"/>
  <c r="G88" i="65"/>
  <c r="H88" i="65"/>
  <c r="I88" i="65"/>
  <c r="J88" i="65"/>
  <c r="K88" i="65"/>
  <c r="L88" i="65"/>
  <c r="M88" i="65"/>
  <c r="N88" i="65"/>
  <c r="O88" i="65"/>
  <c r="P88" i="65"/>
  <c r="Q88" i="65"/>
  <c r="R88" i="65"/>
  <c r="S88" i="65"/>
  <c r="T88" i="65"/>
  <c r="U88" i="65"/>
  <c r="V88" i="65"/>
  <c r="W88" i="65"/>
  <c r="X88" i="65"/>
  <c r="Y88" i="65"/>
  <c r="AJ88" i="65" s="1"/>
  <c r="AK88" i="65" s="1"/>
  <c r="Z88" i="65"/>
  <c r="AA88" i="65"/>
  <c r="AB88" i="65"/>
  <c r="AC88" i="65"/>
  <c r="AD88" i="65"/>
  <c r="AE88" i="65"/>
  <c r="AF88" i="65"/>
  <c r="AG88" i="65"/>
  <c r="AH88" i="65"/>
  <c r="AI88" i="65"/>
  <c r="B89" i="65"/>
  <c r="C89" i="65"/>
  <c r="D89" i="65"/>
  <c r="E89" i="65"/>
  <c r="F89" i="65"/>
  <c r="G89" i="65"/>
  <c r="H89" i="65"/>
  <c r="I89" i="65"/>
  <c r="J89" i="65"/>
  <c r="K89" i="65"/>
  <c r="L89" i="65"/>
  <c r="M89" i="65"/>
  <c r="N89" i="65"/>
  <c r="O89" i="65"/>
  <c r="P89" i="65"/>
  <c r="Q89" i="65"/>
  <c r="R89" i="65"/>
  <c r="S89" i="65"/>
  <c r="T89" i="65"/>
  <c r="U89" i="65"/>
  <c r="V89" i="65"/>
  <c r="W89" i="65"/>
  <c r="X89" i="65"/>
  <c r="Y89" i="65"/>
  <c r="Z89" i="65"/>
  <c r="AA89" i="65"/>
  <c r="AB89" i="65"/>
  <c r="AC89" i="65"/>
  <c r="AJ89" i="65" s="1"/>
  <c r="AK89" i="65" s="1"/>
  <c r="AD89" i="65"/>
  <c r="AE89" i="65"/>
  <c r="AF89" i="65"/>
  <c r="AG89" i="65"/>
  <c r="AH89" i="65"/>
  <c r="AI89" i="65"/>
  <c r="B90" i="65"/>
  <c r="C90" i="65"/>
  <c r="D90" i="65"/>
  <c r="E90" i="65"/>
  <c r="F90" i="65"/>
  <c r="G90" i="65"/>
  <c r="H90" i="65"/>
  <c r="I90" i="65"/>
  <c r="J90" i="65"/>
  <c r="K90" i="65"/>
  <c r="L90" i="65"/>
  <c r="M90" i="65"/>
  <c r="N90" i="65"/>
  <c r="O90" i="65"/>
  <c r="P90" i="65"/>
  <c r="Q90" i="65"/>
  <c r="R90" i="65"/>
  <c r="S90" i="65"/>
  <c r="T90" i="65"/>
  <c r="U90" i="65"/>
  <c r="V90" i="65"/>
  <c r="W90" i="65"/>
  <c r="X90" i="65"/>
  <c r="Y90" i="65"/>
  <c r="Z90" i="65"/>
  <c r="AA90" i="65"/>
  <c r="AB90" i="65"/>
  <c r="AC90" i="65"/>
  <c r="AD90" i="65"/>
  <c r="AE90" i="65"/>
  <c r="AF90" i="65"/>
  <c r="AG90" i="65"/>
  <c r="AJ90" i="65" s="1"/>
  <c r="AK90" i="65" s="1"/>
  <c r="AH90" i="65"/>
  <c r="AI90" i="65"/>
  <c r="B91" i="65"/>
  <c r="C91" i="65"/>
  <c r="D91" i="65"/>
  <c r="E91" i="65"/>
  <c r="F91" i="65"/>
  <c r="G91" i="65"/>
  <c r="H91" i="65"/>
  <c r="I91" i="65"/>
  <c r="J91" i="65"/>
  <c r="K91" i="65"/>
  <c r="L91" i="65"/>
  <c r="M91" i="65"/>
  <c r="N91" i="65"/>
  <c r="O91" i="65"/>
  <c r="P91" i="65"/>
  <c r="Q91" i="65"/>
  <c r="R91" i="65"/>
  <c r="S91" i="65"/>
  <c r="T91" i="65"/>
  <c r="U91" i="65"/>
  <c r="V91" i="65"/>
  <c r="W91" i="65"/>
  <c r="X91" i="65"/>
  <c r="Y91" i="65"/>
  <c r="Z91" i="65"/>
  <c r="AA91" i="65"/>
  <c r="AB91" i="65"/>
  <c r="AC91" i="65"/>
  <c r="AD91" i="65"/>
  <c r="AE91" i="65"/>
  <c r="AF91" i="65"/>
  <c r="AG91" i="65"/>
  <c r="AJ91" i="65" s="1"/>
  <c r="AK91" i="65" s="1"/>
  <c r="AH91" i="65"/>
  <c r="AI91" i="65"/>
  <c r="B92" i="65"/>
  <c r="C92" i="65"/>
  <c r="D92" i="65"/>
  <c r="E92" i="65"/>
  <c r="F92" i="65"/>
  <c r="G92" i="65"/>
  <c r="H92" i="65"/>
  <c r="I92" i="65"/>
  <c r="J92" i="65"/>
  <c r="K92" i="65"/>
  <c r="L92" i="65"/>
  <c r="M92" i="65"/>
  <c r="N92" i="65"/>
  <c r="O92" i="65"/>
  <c r="P92" i="65"/>
  <c r="Q92" i="65"/>
  <c r="R92" i="65"/>
  <c r="S92" i="65"/>
  <c r="T92" i="65"/>
  <c r="U92" i="65"/>
  <c r="V92" i="65"/>
  <c r="W92" i="65"/>
  <c r="X92" i="65"/>
  <c r="Y92" i="65"/>
  <c r="Z92" i="65"/>
  <c r="AA92" i="65"/>
  <c r="AB92" i="65"/>
  <c r="AC92" i="65"/>
  <c r="AD92" i="65"/>
  <c r="AE92" i="65"/>
  <c r="AF92" i="65"/>
  <c r="AG92" i="65"/>
  <c r="AH92" i="65"/>
  <c r="AI92" i="65"/>
  <c r="AJ92" i="65"/>
  <c r="AK92" i="65" s="1"/>
  <c r="B93" i="65"/>
  <c r="C93" i="65"/>
  <c r="D93" i="65"/>
  <c r="E93" i="65"/>
  <c r="F93" i="65"/>
  <c r="G93" i="65"/>
  <c r="H93" i="65"/>
  <c r="I93" i="65"/>
  <c r="J93" i="65"/>
  <c r="K93" i="65"/>
  <c r="L93" i="65"/>
  <c r="M93" i="65"/>
  <c r="N93" i="65"/>
  <c r="O93" i="65"/>
  <c r="P93" i="65"/>
  <c r="Q93" i="65"/>
  <c r="R93" i="65"/>
  <c r="S93" i="65"/>
  <c r="T93" i="65"/>
  <c r="U93" i="65"/>
  <c r="V93" i="65"/>
  <c r="W93" i="65"/>
  <c r="X93" i="65"/>
  <c r="Y93" i="65"/>
  <c r="Z93" i="65"/>
  <c r="AA93" i="65"/>
  <c r="AB93" i="65"/>
  <c r="AC93" i="65"/>
  <c r="AD93" i="65"/>
  <c r="AE93" i="65"/>
  <c r="AF93" i="65"/>
  <c r="AG93" i="65"/>
  <c r="AH93" i="65"/>
  <c r="AI93" i="65"/>
  <c r="AJ93" i="65"/>
  <c r="AK93" i="65" s="1"/>
  <c r="B94" i="65"/>
  <c r="C94" i="65"/>
  <c r="D94" i="65"/>
  <c r="E94" i="65"/>
  <c r="F94" i="65"/>
  <c r="G94" i="65"/>
  <c r="H94" i="65"/>
  <c r="I94" i="65"/>
  <c r="J94" i="65"/>
  <c r="K94" i="65"/>
  <c r="L94" i="65"/>
  <c r="M94" i="65"/>
  <c r="N94" i="65"/>
  <c r="O94" i="65"/>
  <c r="P94" i="65"/>
  <c r="Q94" i="65"/>
  <c r="R94" i="65"/>
  <c r="S94" i="65"/>
  <c r="T94" i="65"/>
  <c r="U94" i="65"/>
  <c r="V94" i="65"/>
  <c r="W94" i="65"/>
  <c r="X94" i="65"/>
  <c r="Y94" i="65"/>
  <c r="Z94" i="65"/>
  <c r="AA94" i="65"/>
  <c r="AB94" i="65"/>
  <c r="AC94" i="65"/>
  <c r="AD94" i="65"/>
  <c r="AE94" i="65"/>
  <c r="AF94" i="65"/>
  <c r="AG94" i="65"/>
  <c r="AH94" i="65"/>
  <c r="AI94" i="65"/>
  <c r="AJ94" i="65"/>
  <c r="AK94" i="65" s="1"/>
  <c r="B95" i="65"/>
  <c r="C95" i="65"/>
  <c r="D95" i="65"/>
  <c r="E95" i="65"/>
  <c r="F95" i="65"/>
  <c r="G95" i="65"/>
  <c r="H95" i="65"/>
  <c r="I95" i="65"/>
  <c r="J95" i="65"/>
  <c r="K95" i="65"/>
  <c r="L95" i="65"/>
  <c r="M95" i="65"/>
  <c r="N95" i="65"/>
  <c r="O95" i="65"/>
  <c r="P95" i="65"/>
  <c r="Q95" i="65"/>
  <c r="R95" i="65"/>
  <c r="S95" i="65"/>
  <c r="T95" i="65"/>
  <c r="U95" i="65"/>
  <c r="V95" i="65"/>
  <c r="W95" i="65"/>
  <c r="X95" i="65"/>
  <c r="Y95" i="65"/>
  <c r="Z95" i="65"/>
  <c r="AA95" i="65"/>
  <c r="AB95" i="65"/>
  <c r="AC95" i="65"/>
  <c r="AD95" i="65"/>
  <c r="AE95" i="65"/>
  <c r="AF95" i="65"/>
  <c r="AG95" i="65"/>
  <c r="AH95" i="65"/>
  <c r="AI95" i="65"/>
  <c r="AJ95" i="65"/>
  <c r="AK95" i="65" s="1"/>
  <c r="B96" i="65"/>
  <c r="C96" i="65"/>
  <c r="D96" i="65"/>
  <c r="E96" i="65"/>
  <c r="F96" i="65"/>
  <c r="G96" i="65"/>
  <c r="H96" i="65"/>
  <c r="I96" i="65"/>
  <c r="J96" i="65"/>
  <c r="K96" i="65"/>
  <c r="L96" i="65"/>
  <c r="M96" i="65"/>
  <c r="N96" i="65"/>
  <c r="O96" i="65"/>
  <c r="P96" i="65"/>
  <c r="Q96" i="65"/>
  <c r="R96" i="65"/>
  <c r="S96" i="65"/>
  <c r="T96" i="65"/>
  <c r="U96" i="65"/>
  <c r="V96" i="65"/>
  <c r="W96" i="65"/>
  <c r="X96" i="65"/>
  <c r="Y96" i="65"/>
  <c r="Z96" i="65"/>
  <c r="AA96" i="65"/>
  <c r="AB96" i="65"/>
  <c r="AC96" i="65"/>
  <c r="AD96" i="65"/>
  <c r="AE96" i="65"/>
  <c r="AF96" i="65"/>
  <c r="AG96" i="65"/>
  <c r="AH96" i="65"/>
  <c r="AI96" i="65"/>
  <c r="AJ96" i="65"/>
  <c r="AK96" i="65" s="1"/>
  <c r="B97" i="65"/>
  <c r="C97" i="65"/>
  <c r="D97" i="65"/>
  <c r="E97" i="65"/>
  <c r="F97" i="65"/>
  <c r="G97" i="65"/>
  <c r="H97" i="65"/>
  <c r="I97" i="65"/>
  <c r="J97" i="65"/>
  <c r="K97" i="65"/>
  <c r="L97" i="65"/>
  <c r="M97" i="65"/>
  <c r="N97" i="65"/>
  <c r="O97" i="65"/>
  <c r="P97" i="65"/>
  <c r="Q97" i="65"/>
  <c r="R97" i="65"/>
  <c r="S97" i="65"/>
  <c r="T97" i="65"/>
  <c r="U97" i="65"/>
  <c r="V97" i="65"/>
  <c r="W97" i="65"/>
  <c r="X97" i="65"/>
  <c r="Y97" i="65"/>
  <c r="Z97" i="65"/>
  <c r="AA97" i="65"/>
  <c r="AB97" i="65"/>
  <c r="AC97" i="65"/>
  <c r="AD97" i="65"/>
  <c r="AE97" i="65"/>
  <c r="AF97" i="65"/>
  <c r="AG97" i="65"/>
  <c r="AH97" i="65"/>
  <c r="AI97" i="65"/>
  <c r="AJ97" i="65"/>
  <c r="AK97" i="65" s="1"/>
  <c r="B98" i="65"/>
  <c r="C98" i="65"/>
  <c r="D98" i="65"/>
  <c r="E98" i="65"/>
  <c r="F98" i="65"/>
  <c r="G98" i="65"/>
  <c r="H98" i="65"/>
  <c r="I98" i="65"/>
  <c r="J98" i="65"/>
  <c r="K98" i="65"/>
  <c r="L98" i="65"/>
  <c r="M98" i="65"/>
  <c r="N98" i="65"/>
  <c r="O98" i="65"/>
  <c r="P98" i="65"/>
  <c r="Q98" i="65"/>
  <c r="R98" i="65"/>
  <c r="S98" i="65"/>
  <c r="T98" i="65"/>
  <c r="U98" i="65"/>
  <c r="V98" i="65"/>
  <c r="W98" i="65"/>
  <c r="X98" i="65"/>
  <c r="Y98" i="65"/>
  <c r="Z98" i="65"/>
  <c r="AA98" i="65"/>
  <c r="AB98" i="65"/>
  <c r="AC98" i="65"/>
  <c r="AD98" i="65"/>
  <c r="AE98" i="65"/>
  <c r="AF98" i="65"/>
  <c r="AG98" i="65"/>
  <c r="AH98" i="65"/>
  <c r="AI98" i="65"/>
  <c r="AJ98" i="65"/>
  <c r="AK98" i="65" s="1"/>
  <c r="B99" i="65"/>
  <c r="C99" i="65"/>
  <c r="D99" i="65"/>
  <c r="E99" i="65"/>
  <c r="F99" i="65"/>
  <c r="G99" i="65"/>
  <c r="H99" i="65"/>
  <c r="I99" i="65"/>
  <c r="J99" i="65"/>
  <c r="K99" i="65"/>
  <c r="L99" i="65"/>
  <c r="M99" i="65"/>
  <c r="N99" i="65"/>
  <c r="O99" i="65"/>
  <c r="P99" i="65"/>
  <c r="Q99" i="65"/>
  <c r="R99" i="65"/>
  <c r="S99" i="65"/>
  <c r="T99" i="65"/>
  <c r="U99" i="65"/>
  <c r="V99" i="65"/>
  <c r="W99" i="65"/>
  <c r="X99" i="65"/>
  <c r="Y99" i="65"/>
  <c r="Z99" i="65"/>
  <c r="AA99" i="65"/>
  <c r="AB99" i="65"/>
  <c r="AC99" i="65"/>
  <c r="AD99" i="65"/>
  <c r="AE99" i="65"/>
  <c r="AF99" i="65"/>
  <c r="AG99" i="65"/>
  <c r="AH99" i="65"/>
  <c r="AI99" i="65"/>
  <c r="AJ99" i="65"/>
  <c r="AK99" i="65" s="1"/>
  <c r="B100" i="65"/>
  <c r="C100" i="65"/>
  <c r="D100" i="65"/>
  <c r="E100" i="65"/>
  <c r="F100" i="65"/>
  <c r="G100" i="65"/>
  <c r="H100" i="65"/>
  <c r="I100" i="65"/>
  <c r="J100" i="65"/>
  <c r="K100" i="65"/>
  <c r="L100" i="65"/>
  <c r="M100" i="65"/>
  <c r="N100" i="65"/>
  <c r="O100" i="65"/>
  <c r="P100" i="65"/>
  <c r="Q100" i="65"/>
  <c r="R100" i="65"/>
  <c r="S100" i="65"/>
  <c r="T100" i="65"/>
  <c r="U100" i="65"/>
  <c r="V100" i="65"/>
  <c r="W100" i="65"/>
  <c r="X100" i="65"/>
  <c r="Y100" i="65"/>
  <c r="Z100" i="65"/>
  <c r="AA100" i="65"/>
  <c r="AB100" i="65"/>
  <c r="AC100" i="65"/>
  <c r="AD100" i="65"/>
  <c r="AE100" i="65"/>
  <c r="AF100" i="65"/>
  <c r="AG100" i="65"/>
  <c r="AH100" i="65"/>
  <c r="AI100" i="65"/>
  <c r="AJ100" i="65"/>
  <c r="AK100" i="65" s="1"/>
  <c r="B101" i="65"/>
  <c r="C101" i="65"/>
  <c r="D101" i="65"/>
  <c r="E101" i="65"/>
  <c r="F101" i="65"/>
  <c r="G101" i="65"/>
  <c r="H101" i="65"/>
  <c r="I101" i="65"/>
  <c r="J101" i="65"/>
  <c r="K101" i="65"/>
  <c r="L101" i="65"/>
  <c r="M101" i="65"/>
  <c r="N101" i="65"/>
  <c r="O101" i="65"/>
  <c r="P101" i="65"/>
  <c r="Q101" i="65"/>
  <c r="R101" i="65"/>
  <c r="S101" i="65"/>
  <c r="T101" i="65"/>
  <c r="U101" i="65"/>
  <c r="V101" i="65"/>
  <c r="W101" i="65"/>
  <c r="X101" i="65"/>
  <c r="Y101" i="65"/>
  <c r="Z101" i="65"/>
  <c r="AA101" i="65"/>
  <c r="AB101" i="65"/>
  <c r="AC101" i="65"/>
  <c r="AD101" i="65"/>
  <c r="AE101" i="65"/>
  <c r="AF101" i="65"/>
  <c r="AG101" i="65"/>
  <c r="AH101" i="65"/>
  <c r="AI101" i="65"/>
  <c r="AJ101" i="65"/>
  <c r="AK101" i="65" s="1"/>
  <c r="B102" i="65"/>
  <c r="C102" i="65"/>
  <c r="D102" i="65"/>
  <c r="E102" i="65"/>
  <c r="F102" i="65"/>
  <c r="G102" i="65"/>
  <c r="H102" i="65"/>
  <c r="I102" i="65"/>
  <c r="J102" i="65"/>
  <c r="K102" i="65"/>
  <c r="L102" i="65"/>
  <c r="M102" i="65"/>
  <c r="N102" i="65"/>
  <c r="O102" i="65"/>
  <c r="P102" i="65"/>
  <c r="Q102" i="65"/>
  <c r="R102" i="65"/>
  <c r="S102" i="65"/>
  <c r="T102" i="65"/>
  <c r="U102" i="65"/>
  <c r="V102" i="65"/>
  <c r="W102" i="65"/>
  <c r="X102" i="65"/>
  <c r="Y102" i="65"/>
  <c r="Z102" i="65"/>
  <c r="AA102" i="65"/>
  <c r="AB102" i="65"/>
  <c r="AC102" i="65"/>
  <c r="AD102" i="65"/>
  <c r="AE102" i="65"/>
  <c r="AF102" i="65"/>
  <c r="AG102" i="65"/>
  <c r="AH102" i="65"/>
  <c r="AI102" i="65"/>
  <c r="AJ102" i="65"/>
  <c r="AK102" i="65" s="1"/>
  <c r="B103" i="65"/>
  <c r="C103" i="65"/>
  <c r="D103" i="65"/>
  <c r="E103" i="65"/>
  <c r="F103" i="65"/>
  <c r="G103" i="65"/>
  <c r="H103" i="65"/>
  <c r="I103" i="65"/>
  <c r="J103" i="65"/>
  <c r="K103" i="65"/>
  <c r="L103" i="65"/>
  <c r="M103" i="65"/>
  <c r="N103" i="65"/>
  <c r="O103" i="65"/>
  <c r="P103" i="65"/>
  <c r="Q103" i="65"/>
  <c r="R103" i="65"/>
  <c r="S103" i="65"/>
  <c r="T103" i="65"/>
  <c r="U103" i="65"/>
  <c r="V103" i="65"/>
  <c r="W103" i="65"/>
  <c r="X103" i="65"/>
  <c r="Y103" i="65"/>
  <c r="Z103" i="65"/>
  <c r="AA103" i="65"/>
  <c r="AB103" i="65"/>
  <c r="AC103" i="65"/>
  <c r="AD103" i="65"/>
  <c r="AE103" i="65"/>
  <c r="AF103" i="65"/>
  <c r="AG103" i="65"/>
  <c r="AH103" i="65"/>
  <c r="AI103" i="65"/>
  <c r="AJ103" i="65"/>
  <c r="AK103" i="65" s="1"/>
  <c r="B104" i="65"/>
  <c r="C104" i="65"/>
  <c r="D104" i="65"/>
  <c r="E104" i="65"/>
  <c r="F104" i="65"/>
  <c r="G104" i="65"/>
  <c r="H104" i="65"/>
  <c r="I104" i="65"/>
  <c r="J104" i="65"/>
  <c r="K104" i="65"/>
  <c r="L104" i="65"/>
  <c r="M104" i="65"/>
  <c r="N104" i="65"/>
  <c r="O104" i="65"/>
  <c r="P104" i="65"/>
  <c r="Q104" i="65"/>
  <c r="R104" i="65"/>
  <c r="S104" i="65"/>
  <c r="T104" i="65"/>
  <c r="U104" i="65"/>
  <c r="V104" i="65"/>
  <c r="W104" i="65"/>
  <c r="X104" i="65"/>
  <c r="Y104" i="65"/>
  <c r="Z104" i="65"/>
  <c r="AA104" i="65"/>
  <c r="AB104" i="65"/>
  <c r="AC104" i="65"/>
  <c r="AD104" i="65"/>
  <c r="AE104" i="65"/>
  <c r="AF104" i="65"/>
  <c r="AG104" i="65"/>
  <c r="AH104" i="65"/>
  <c r="AI104" i="65"/>
  <c r="AJ104" i="65"/>
  <c r="AK104" i="65" s="1"/>
  <c r="B105" i="65"/>
  <c r="C105" i="65"/>
  <c r="D105" i="65"/>
  <c r="E105" i="65"/>
  <c r="F105" i="65"/>
  <c r="G105" i="65"/>
  <c r="H105" i="65"/>
  <c r="I105" i="65"/>
  <c r="J105" i="65"/>
  <c r="K105" i="65"/>
  <c r="L105" i="65"/>
  <c r="M105" i="65"/>
  <c r="N105" i="65"/>
  <c r="O105" i="65"/>
  <c r="P105" i="65"/>
  <c r="Q105" i="65"/>
  <c r="R105" i="65"/>
  <c r="S105" i="65"/>
  <c r="T105" i="65"/>
  <c r="U105" i="65"/>
  <c r="V105" i="65"/>
  <c r="W105" i="65"/>
  <c r="X105" i="65"/>
  <c r="Y105" i="65"/>
  <c r="Z105" i="65"/>
  <c r="AA105" i="65"/>
  <c r="AB105" i="65"/>
  <c r="AC105" i="65"/>
  <c r="AD105" i="65"/>
  <c r="AE105" i="65"/>
  <c r="AF105" i="65"/>
  <c r="AG105" i="65"/>
  <c r="AH105" i="65"/>
  <c r="AI105" i="65"/>
  <c r="AJ105" i="65"/>
  <c r="AK105" i="65" s="1"/>
  <c r="B106" i="65"/>
  <c r="C106" i="65"/>
  <c r="D106" i="65"/>
  <c r="E106" i="65"/>
  <c r="F106" i="65"/>
  <c r="G106" i="65"/>
  <c r="H106" i="65"/>
  <c r="I106" i="65"/>
  <c r="J106" i="65"/>
  <c r="K106" i="65"/>
  <c r="L106" i="65"/>
  <c r="M106" i="65"/>
  <c r="N106" i="65"/>
  <c r="O106" i="65"/>
  <c r="P106" i="65"/>
  <c r="Q106" i="65"/>
  <c r="R106" i="65"/>
  <c r="S106" i="65"/>
  <c r="T106" i="65"/>
  <c r="U106" i="65"/>
  <c r="V106" i="65"/>
  <c r="W106" i="65"/>
  <c r="X106" i="65"/>
  <c r="Y106" i="65"/>
  <c r="Z106" i="65"/>
  <c r="AA106" i="65"/>
  <c r="AB106" i="65"/>
  <c r="AC106" i="65"/>
  <c r="AD106" i="65"/>
  <c r="AE106" i="65"/>
  <c r="AF106" i="65"/>
  <c r="AG106" i="65"/>
  <c r="AH106" i="65"/>
  <c r="AI106" i="65"/>
  <c r="AJ106" i="65"/>
  <c r="AK106" i="65" s="1"/>
  <c r="B107" i="65"/>
  <c r="C107" i="65"/>
  <c r="D107" i="65"/>
  <c r="E107" i="65"/>
  <c r="F107" i="65"/>
  <c r="G107" i="65"/>
  <c r="H107" i="65"/>
  <c r="I107" i="65"/>
  <c r="J107" i="65"/>
  <c r="K107" i="65"/>
  <c r="L107" i="65"/>
  <c r="M107" i="65"/>
  <c r="N107" i="65"/>
  <c r="O107" i="65"/>
  <c r="P107" i="65"/>
  <c r="Q107" i="65"/>
  <c r="R107" i="65"/>
  <c r="S107" i="65"/>
  <c r="T107" i="65"/>
  <c r="U107" i="65"/>
  <c r="V107" i="65"/>
  <c r="W107" i="65"/>
  <c r="X107" i="65"/>
  <c r="Y107" i="65"/>
  <c r="Z107" i="65"/>
  <c r="AA107" i="65"/>
  <c r="AB107" i="65"/>
  <c r="AC107" i="65"/>
  <c r="AD107" i="65"/>
  <c r="AE107" i="65"/>
  <c r="AF107" i="65"/>
  <c r="AG107" i="65"/>
  <c r="AH107" i="65"/>
  <c r="AI107" i="65"/>
  <c r="AJ107" i="65"/>
  <c r="AK107" i="65" s="1"/>
  <c r="B108" i="65"/>
  <c r="C108" i="65"/>
  <c r="D108" i="65"/>
  <c r="E108" i="65"/>
  <c r="F108" i="65"/>
  <c r="G108" i="65"/>
  <c r="H108" i="65"/>
  <c r="I108" i="65"/>
  <c r="J108" i="65"/>
  <c r="K108" i="65"/>
  <c r="L108" i="65"/>
  <c r="M108" i="65"/>
  <c r="N108" i="65"/>
  <c r="O108" i="65"/>
  <c r="P108" i="65"/>
  <c r="Q108" i="65"/>
  <c r="R108" i="65"/>
  <c r="S108" i="65"/>
  <c r="T108" i="65"/>
  <c r="U108" i="65"/>
  <c r="V108" i="65"/>
  <c r="W108" i="65"/>
  <c r="X108" i="65"/>
  <c r="Y108" i="65"/>
  <c r="Z108" i="65"/>
  <c r="AA108" i="65"/>
  <c r="AB108" i="65"/>
  <c r="AC108" i="65"/>
  <c r="AD108" i="65"/>
  <c r="AE108" i="65"/>
  <c r="AF108" i="65"/>
  <c r="AG108" i="65"/>
  <c r="AH108" i="65"/>
  <c r="AI108" i="65"/>
  <c r="AJ108" i="65"/>
  <c r="AK108" i="65" s="1"/>
  <c r="B109" i="65"/>
  <c r="C109" i="65"/>
  <c r="D109" i="65"/>
  <c r="E109" i="65"/>
  <c r="F109" i="65"/>
  <c r="G109" i="65"/>
  <c r="H109" i="65"/>
  <c r="I109" i="65"/>
  <c r="J109" i="65"/>
  <c r="K109" i="65"/>
  <c r="L109" i="65"/>
  <c r="M109" i="65"/>
  <c r="N109" i="65"/>
  <c r="O109" i="65"/>
  <c r="P109" i="65"/>
  <c r="Q109" i="65"/>
  <c r="R109" i="65"/>
  <c r="S109" i="65"/>
  <c r="T109" i="65"/>
  <c r="U109" i="65"/>
  <c r="V109" i="65"/>
  <c r="W109" i="65"/>
  <c r="X109" i="65"/>
  <c r="Y109" i="65"/>
  <c r="Z109" i="65"/>
  <c r="AA109" i="65"/>
  <c r="AB109" i="65"/>
  <c r="AC109" i="65"/>
  <c r="AD109" i="65"/>
  <c r="AE109" i="65"/>
  <c r="AF109" i="65"/>
  <c r="AG109" i="65"/>
  <c r="AH109" i="65"/>
  <c r="AI109" i="65"/>
  <c r="AJ109" i="65"/>
  <c r="AK109" i="65" s="1"/>
  <c r="B110" i="65"/>
  <c r="C110" i="65"/>
  <c r="D110" i="65"/>
  <c r="E110" i="65"/>
  <c r="F110" i="65"/>
  <c r="G110" i="65"/>
  <c r="H110" i="65"/>
  <c r="I110" i="65"/>
  <c r="J110" i="65"/>
  <c r="K110" i="65"/>
  <c r="L110" i="65"/>
  <c r="M110" i="65"/>
  <c r="N110" i="65"/>
  <c r="O110" i="65"/>
  <c r="P110" i="65"/>
  <c r="Q110" i="65"/>
  <c r="R110" i="65"/>
  <c r="S110" i="65"/>
  <c r="T110" i="65"/>
  <c r="U110" i="65"/>
  <c r="V110" i="65"/>
  <c r="W110" i="65"/>
  <c r="X110" i="65"/>
  <c r="Y110" i="65"/>
  <c r="Z110" i="65"/>
  <c r="AA110" i="65"/>
  <c r="AB110" i="65"/>
  <c r="AC110" i="65"/>
  <c r="AD110" i="65"/>
  <c r="AE110" i="65"/>
  <c r="AF110" i="65"/>
  <c r="AG110" i="65"/>
  <c r="AH110" i="65"/>
  <c r="AI110" i="65"/>
  <c r="AJ110" i="65"/>
  <c r="AK110" i="65" s="1"/>
  <c r="B111" i="65"/>
  <c r="C111" i="65"/>
  <c r="D111" i="65"/>
  <c r="E111" i="65"/>
  <c r="F111" i="65"/>
  <c r="G111" i="65"/>
  <c r="H111" i="65"/>
  <c r="I111" i="65"/>
  <c r="J111" i="65"/>
  <c r="K111" i="65"/>
  <c r="L111" i="65"/>
  <c r="M111" i="65"/>
  <c r="N111" i="65"/>
  <c r="O111" i="65"/>
  <c r="P111" i="65"/>
  <c r="Q111" i="65"/>
  <c r="R111" i="65"/>
  <c r="S111" i="65"/>
  <c r="T111" i="65"/>
  <c r="U111" i="65"/>
  <c r="V111" i="65"/>
  <c r="W111" i="65"/>
  <c r="X111" i="65"/>
  <c r="Y111" i="65"/>
  <c r="Z111" i="65"/>
  <c r="AA111" i="65"/>
  <c r="AB111" i="65"/>
  <c r="AC111" i="65"/>
  <c r="AD111" i="65"/>
  <c r="AE111" i="65"/>
  <c r="AF111" i="65"/>
  <c r="AG111" i="65"/>
  <c r="AH111" i="65"/>
  <c r="AI111" i="65"/>
  <c r="AJ111" i="65"/>
  <c r="AK111" i="65" s="1"/>
  <c r="B112" i="65"/>
  <c r="C112" i="65"/>
  <c r="D112" i="65"/>
  <c r="E112" i="65"/>
  <c r="F112" i="65"/>
  <c r="G112" i="65"/>
  <c r="H112" i="65"/>
  <c r="I112" i="65"/>
  <c r="J112" i="65"/>
  <c r="K112" i="65"/>
  <c r="L112" i="65"/>
  <c r="M112" i="65"/>
  <c r="N112" i="65"/>
  <c r="O112" i="65"/>
  <c r="P112" i="65"/>
  <c r="Q112" i="65"/>
  <c r="R112" i="65"/>
  <c r="S112" i="65"/>
  <c r="T112" i="65"/>
  <c r="U112" i="65"/>
  <c r="V112" i="65"/>
  <c r="W112" i="65"/>
  <c r="X112" i="65"/>
  <c r="Y112" i="65"/>
  <c r="Z112" i="65"/>
  <c r="AA112" i="65"/>
  <c r="AB112" i="65"/>
  <c r="AC112" i="65"/>
  <c r="AD112" i="65"/>
  <c r="AE112" i="65"/>
  <c r="AF112" i="65"/>
  <c r="AG112" i="65"/>
  <c r="AH112" i="65"/>
  <c r="AI112" i="65"/>
  <c r="AJ112" i="65"/>
  <c r="AK112" i="65" s="1"/>
  <c r="B113" i="65"/>
  <c r="C113" i="65"/>
  <c r="D113" i="65"/>
  <c r="E113" i="65"/>
  <c r="F113" i="65"/>
  <c r="G113" i="65"/>
  <c r="H113" i="65"/>
  <c r="I113" i="65"/>
  <c r="J113" i="65"/>
  <c r="K113" i="65"/>
  <c r="L113" i="65"/>
  <c r="M113" i="65"/>
  <c r="N113" i="65"/>
  <c r="O113" i="65"/>
  <c r="P113" i="65"/>
  <c r="Q113" i="65"/>
  <c r="R113" i="65"/>
  <c r="S113" i="65"/>
  <c r="T113" i="65"/>
  <c r="U113" i="65"/>
  <c r="V113" i="65"/>
  <c r="W113" i="65"/>
  <c r="X113" i="65"/>
  <c r="Y113" i="65"/>
  <c r="Z113" i="65"/>
  <c r="AA113" i="65"/>
  <c r="AB113" i="65"/>
  <c r="AC113" i="65"/>
  <c r="AD113" i="65"/>
  <c r="AE113" i="65"/>
  <c r="AF113" i="65"/>
  <c r="AG113" i="65"/>
  <c r="AH113" i="65"/>
  <c r="AI113" i="65"/>
  <c r="AJ113" i="65"/>
  <c r="AK113" i="65" s="1"/>
  <c r="B114" i="65"/>
  <c r="C114" i="65"/>
  <c r="D114" i="65"/>
  <c r="E114" i="65"/>
  <c r="F114" i="65"/>
  <c r="G114" i="65"/>
  <c r="H114" i="65"/>
  <c r="I114" i="65"/>
  <c r="J114" i="65"/>
  <c r="K114" i="65"/>
  <c r="L114" i="65"/>
  <c r="M114" i="65"/>
  <c r="N114" i="65"/>
  <c r="O114" i="65"/>
  <c r="P114" i="65"/>
  <c r="Q114" i="65"/>
  <c r="R114" i="65"/>
  <c r="S114" i="65"/>
  <c r="T114" i="65"/>
  <c r="U114" i="65"/>
  <c r="V114" i="65"/>
  <c r="W114" i="65"/>
  <c r="X114" i="65"/>
  <c r="Y114" i="65"/>
  <c r="Z114" i="65"/>
  <c r="AA114" i="65"/>
  <c r="AB114" i="65"/>
  <c r="AC114" i="65"/>
  <c r="AD114" i="65"/>
  <c r="AE114" i="65"/>
  <c r="AF114" i="65"/>
  <c r="AG114" i="65"/>
  <c r="AH114" i="65"/>
  <c r="AI114" i="65"/>
  <c r="AJ114" i="65"/>
  <c r="AK114" i="65" s="1"/>
  <c r="B115" i="65"/>
  <c r="C115" i="65"/>
  <c r="D115" i="65"/>
  <c r="E115" i="65"/>
  <c r="F115" i="65"/>
  <c r="G115" i="65"/>
  <c r="H115" i="65"/>
  <c r="I115" i="65"/>
  <c r="J115" i="65"/>
  <c r="K115" i="65"/>
  <c r="L115" i="65"/>
  <c r="M115" i="65"/>
  <c r="N115" i="65"/>
  <c r="O115" i="65"/>
  <c r="P115" i="65"/>
  <c r="Q115" i="65"/>
  <c r="R115" i="65"/>
  <c r="S115" i="65"/>
  <c r="T115" i="65"/>
  <c r="U115" i="65"/>
  <c r="V115" i="65"/>
  <c r="W115" i="65"/>
  <c r="X115" i="65"/>
  <c r="Y115" i="65"/>
  <c r="Z115" i="65"/>
  <c r="AA115" i="65"/>
  <c r="AB115" i="65"/>
  <c r="AC115" i="65"/>
  <c r="AD115" i="65"/>
  <c r="AE115" i="65"/>
  <c r="AF115" i="65"/>
  <c r="AG115" i="65"/>
  <c r="AH115" i="65"/>
  <c r="AI115" i="65"/>
  <c r="AJ115" i="65"/>
  <c r="AK115" i="65" s="1"/>
  <c r="B116" i="65"/>
  <c r="C116" i="65"/>
  <c r="D116" i="65"/>
  <c r="E116" i="65"/>
  <c r="F116" i="65"/>
  <c r="G116" i="65"/>
  <c r="H116" i="65"/>
  <c r="I116" i="65"/>
  <c r="J116" i="65"/>
  <c r="K116" i="65"/>
  <c r="L116" i="65"/>
  <c r="M116" i="65"/>
  <c r="N116" i="65"/>
  <c r="O116" i="65"/>
  <c r="P116" i="65"/>
  <c r="Q116" i="65"/>
  <c r="R116" i="65"/>
  <c r="S116" i="65"/>
  <c r="T116" i="65"/>
  <c r="U116" i="65"/>
  <c r="V116" i="65"/>
  <c r="W116" i="65"/>
  <c r="X116" i="65"/>
  <c r="Y116" i="65"/>
  <c r="Z116" i="65"/>
  <c r="AA116" i="65"/>
  <c r="AB116" i="65"/>
  <c r="AC116" i="65"/>
  <c r="AD116" i="65"/>
  <c r="AE116" i="65"/>
  <c r="AF116" i="65"/>
  <c r="AG116" i="65"/>
  <c r="AH116" i="65"/>
  <c r="AI116" i="65"/>
  <c r="AJ116" i="65"/>
  <c r="AK116" i="65" s="1"/>
  <c r="B117" i="65"/>
  <c r="C117" i="65"/>
  <c r="D117" i="65"/>
  <c r="E117" i="65"/>
  <c r="F117" i="65"/>
  <c r="G117" i="65"/>
  <c r="H117" i="65"/>
  <c r="I117" i="65"/>
  <c r="J117" i="65"/>
  <c r="K117" i="65"/>
  <c r="L117" i="65"/>
  <c r="M117" i="65"/>
  <c r="N117" i="65"/>
  <c r="O117" i="65"/>
  <c r="P117" i="65"/>
  <c r="Q117" i="65"/>
  <c r="R117" i="65"/>
  <c r="S117" i="65"/>
  <c r="T117" i="65"/>
  <c r="U117" i="65"/>
  <c r="V117" i="65"/>
  <c r="W117" i="65"/>
  <c r="X117" i="65"/>
  <c r="Y117" i="65"/>
  <c r="Z117" i="65"/>
  <c r="AA117" i="65"/>
  <c r="AB117" i="65"/>
  <c r="AC117" i="65"/>
  <c r="AD117" i="65"/>
  <c r="AE117" i="65"/>
  <c r="AF117" i="65"/>
  <c r="AG117" i="65"/>
  <c r="AH117" i="65"/>
  <c r="AI117" i="65"/>
  <c r="AJ117" i="65"/>
  <c r="AK117" i="65" s="1"/>
  <c r="B118" i="65"/>
  <c r="C118" i="65"/>
  <c r="D118" i="65"/>
  <c r="E118" i="65"/>
  <c r="F118" i="65"/>
  <c r="G118" i="65"/>
  <c r="H118" i="65"/>
  <c r="I118" i="65"/>
  <c r="J118" i="65"/>
  <c r="K118" i="65"/>
  <c r="L118" i="65"/>
  <c r="M118" i="65"/>
  <c r="N118" i="65"/>
  <c r="O118" i="65"/>
  <c r="P118" i="65"/>
  <c r="Q118" i="65"/>
  <c r="R118" i="65"/>
  <c r="S118" i="65"/>
  <c r="T118" i="65"/>
  <c r="U118" i="65"/>
  <c r="V118" i="65"/>
  <c r="W118" i="65"/>
  <c r="X118" i="65"/>
  <c r="Y118" i="65"/>
  <c r="Z118" i="65"/>
  <c r="AA118" i="65"/>
  <c r="AB118" i="65"/>
  <c r="AC118" i="65"/>
  <c r="AD118" i="65"/>
  <c r="AE118" i="65"/>
  <c r="AF118" i="65"/>
  <c r="AG118" i="65"/>
  <c r="AH118" i="65"/>
  <c r="AI118" i="65"/>
  <c r="AJ118" i="65"/>
  <c r="AK118" i="65" s="1"/>
  <c r="B119" i="65"/>
  <c r="C119" i="65"/>
  <c r="D119" i="65"/>
  <c r="E119" i="65"/>
  <c r="F119" i="65"/>
  <c r="G119" i="65"/>
  <c r="H119" i="65"/>
  <c r="I119" i="65"/>
  <c r="J119" i="65"/>
  <c r="K119" i="65"/>
  <c r="L119" i="65"/>
  <c r="M119" i="65"/>
  <c r="N119" i="65"/>
  <c r="O119" i="65"/>
  <c r="P119" i="65"/>
  <c r="Q119" i="65"/>
  <c r="R119" i="65"/>
  <c r="S119" i="65"/>
  <c r="T119" i="65"/>
  <c r="U119" i="65"/>
  <c r="V119" i="65"/>
  <c r="W119" i="65"/>
  <c r="X119" i="65"/>
  <c r="Y119" i="65"/>
  <c r="Z119" i="65"/>
  <c r="AA119" i="65"/>
  <c r="AB119" i="65"/>
  <c r="AC119" i="65"/>
  <c r="AD119" i="65"/>
  <c r="AE119" i="65"/>
  <c r="AF119" i="65"/>
  <c r="AG119" i="65"/>
  <c r="AH119" i="65"/>
  <c r="AI119" i="65"/>
  <c r="AJ119" i="65"/>
  <c r="AK119" i="65" s="1"/>
  <c r="B120" i="65"/>
  <c r="C120" i="65"/>
  <c r="D120" i="65"/>
  <c r="E120" i="65"/>
  <c r="F120" i="65"/>
  <c r="G120" i="65"/>
  <c r="H120" i="65"/>
  <c r="I120" i="65"/>
  <c r="J120" i="65"/>
  <c r="K120" i="65"/>
  <c r="L120" i="65"/>
  <c r="M120" i="65"/>
  <c r="N120" i="65"/>
  <c r="O120" i="65"/>
  <c r="P120" i="65"/>
  <c r="Q120" i="65"/>
  <c r="R120" i="65"/>
  <c r="S120" i="65"/>
  <c r="T120" i="65"/>
  <c r="U120" i="65"/>
  <c r="V120" i="65"/>
  <c r="W120" i="65"/>
  <c r="X120" i="65"/>
  <c r="Y120" i="65"/>
  <c r="Z120" i="65"/>
  <c r="AA120" i="65"/>
  <c r="AB120" i="65"/>
  <c r="AC120" i="65"/>
  <c r="AD120" i="65"/>
  <c r="AE120" i="65"/>
  <c r="AF120" i="65"/>
  <c r="AG120" i="65"/>
  <c r="AH120" i="65"/>
  <c r="AI120" i="65"/>
  <c r="AJ120" i="65"/>
  <c r="AK120" i="65" s="1"/>
  <c r="B121" i="65"/>
  <c r="C121" i="65"/>
  <c r="D121" i="65"/>
  <c r="E121" i="65"/>
  <c r="F121" i="65"/>
  <c r="G121" i="65"/>
  <c r="H121" i="65"/>
  <c r="I121" i="65"/>
  <c r="J121" i="65"/>
  <c r="K121" i="65"/>
  <c r="L121" i="65"/>
  <c r="M121" i="65"/>
  <c r="N121" i="65"/>
  <c r="O121" i="65"/>
  <c r="P121" i="65"/>
  <c r="Q121" i="65"/>
  <c r="R121" i="65"/>
  <c r="S121" i="65"/>
  <c r="T121" i="65"/>
  <c r="U121" i="65"/>
  <c r="V121" i="65"/>
  <c r="W121" i="65"/>
  <c r="X121" i="65"/>
  <c r="Y121" i="65"/>
  <c r="Z121" i="65"/>
  <c r="AA121" i="65"/>
  <c r="AB121" i="65"/>
  <c r="AC121" i="65"/>
  <c r="AD121" i="65"/>
  <c r="AE121" i="65"/>
  <c r="AF121" i="65"/>
  <c r="AG121" i="65"/>
  <c r="AH121" i="65"/>
  <c r="AI121" i="65"/>
  <c r="AJ121" i="65"/>
  <c r="AK121" i="65" s="1"/>
  <c r="B122" i="65"/>
  <c r="C122" i="65"/>
  <c r="D122" i="65"/>
  <c r="E122" i="65"/>
  <c r="F122" i="65"/>
  <c r="G122" i="65"/>
  <c r="H122" i="65"/>
  <c r="I122" i="65"/>
  <c r="J122" i="65"/>
  <c r="K122" i="65"/>
  <c r="L122" i="65"/>
  <c r="M122" i="65"/>
  <c r="N122" i="65"/>
  <c r="O122" i="65"/>
  <c r="P122" i="65"/>
  <c r="Q122" i="65"/>
  <c r="R122" i="65"/>
  <c r="S122" i="65"/>
  <c r="T122" i="65"/>
  <c r="U122" i="65"/>
  <c r="V122" i="65"/>
  <c r="W122" i="65"/>
  <c r="X122" i="65"/>
  <c r="Y122" i="65"/>
  <c r="Z122" i="65"/>
  <c r="AA122" i="65"/>
  <c r="AB122" i="65"/>
  <c r="AC122" i="65"/>
  <c r="AD122" i="65"/>
  <c r="AE122" i="65"/>
  <c r="AF122" i="65"/>
  <c r="AG122" i="65"/>
  <c r="AH122" i="65"/>
  <c r="AI122" i="65"/>
  <c r="AJ122" i="65"/>
  <c r="AK122" i="65" s="1"/>
  <c r="B123" i="65"/>
  <c r="C123" i="65"/>
  <c r="D123" i="65"/>
  <c r="E123" i="65"/>
  <c r="F123" i="65"/>
  <c r="G123" i="65"/>
  <c r="H123" i="65"/>
  <c r="I123" i="65"/>
  <c r="J123" i="65"/>
  <c r="K123" i="65"/>
  <c r="L123" i="65"/>
  <c r="M123" i="65"/>
  <c r="N123" i="65"/>
  <c r="O123" i="65"/>
  <c r="P123" i="65"/>
  <c r="Q123" i="65"/>
  <c r="R123" i="65"/>
  <c r="S123" i="65"/>
  <c r="T123" i="65"/>
  <c r="U123" i="65"/>
  <c r="V123" i="65"/>
  <c r="W123" i="65"/>
  <c r="X123" i="65"/>
  <c r="Y123" i="65"/>
  <c r="Z123" i="65"/>
  <c r="AA123" i="65"/>
  <c r="AB123" i="65"/>
  <c r="AC123" i="65"/>
  <c r="AD123" i="65"/>
  <c r="AE123" i="65"/>
  <c r="AF123" i="65"/>
  <c r="AG123" i="65"/>
  <c r="AH123" i="65"/>
  <c r="AI123" i="65"/>
  <c r="AJ123" i="65"/>
  <c r="AK123" i="65" s="1"/>
  <c r="B124" i="65"/>
  <c r="C124" i="65"/>
  <c r="D124" i="65"/>
  <c r="E124" i="65"/>
  <c r="F124" i="65"/>
  <c r="G124" i="65"/>
  <c r="H124" i="65"/>
  <c r="I124" i="65"/>
  <c r="J124" i="65"/>
  <c r="K124" i="65"/>
  <c r="L124" i="65"/>
  <c r="M124" i="65"/>
  <c r="N124" i="65"/>
  <c r="O124" i="65"/>
  <c r="P124" i="65"/>
  <c r="Q124" i="65"/>
  <c r="R124" i="65"/>
  <c r="S124" i="65"/>
  <c r="T124" i="65"/>
  <c r="U124" i="65"/>
  <c r="V124" i="65"/>
  <c r="W124" i="65"/>
  <c r="X124" i="65"/>
  <c r="Y124" i="65"/>
  <c r="Z124" i="65"/>
  <c r="AA124" i="65"/>
  <c r="AB124" i="65"/>
  <c r="AC124" i="65"/>
  <c r="AD124" i="65"/>
  <c r="AE124" i="65"/>
  <c r="AF124" i="65"/>
  <c r="AG124" i="65"/>
  <c r="AH124" i="65"/>
  <c r="AI124" i="65"/>
  <c r="AJ124" i="65"/>
  <c r="AK124" i="65" s="1"/>
  <c r="B125" i="65"/>
  <c r="C125" i="65"/>
  <c r="D125" i="65"/>
  <c r="E125" i="65"/>
  <c r="F125" i="65"/>
  <c r="G125" i="65"/>
  <c r="H125" i="65"/>
  <c r="I125" i="65"/>
  <c r="J125" i="65"/>
  <c r="K125" i="65"/>
  <c r="L125" i="65"/>
  <c r="M125" i="65"/>
  <c r="N125" i="65"/>
  <c r="O125" i="65"/>
  <c r="P125" i="65"/>
  <c r="Q125" i="65"/>
  <c r="R125" i="65"/>
  <c r="S125" i="65"/>
  <c r="T125" i="65"/>
  <c r="U125" i="65"/>
  <c r="V125" i="65"/>
  <c r="W125" i="65"/>
  <c r="X125" i="65"/>
  <c r="Y125" i="65"/>
  <c r="Z125" i="65"/>
  <c r="AA125" i="65"/>
  <c r="AB125" i="65"/>
  <c r="AC125" i="65"/>
  <c r="AD125" i="65"/>
  <c r="AE125" i="65"/>
  <c r="AF125" i="65"/>
  <c r="AG125" i="65"/>
  <c r="AH125" i="65"/>
  <c r="AI125" i="65"/>
  <c r="AJ125" i="65"/>
  <c r="AK125" i="65" s="1"/>
  <c r="B126" i="65"/>
  <c r="C126" i="65"/>
  <c r="D126" i="65"/>
  <c r="E126" i="65"/>
  <c r="F126" i="65"/>
  <c r="G126" i="65"/>
  <c r="H126" i="65"/>
  <c r="I126" i="65"/>
  <c r="J126" i="65"/>
  <c r="K126" i="65"/>
  <c r="L126" i="65"/>
  <c r="M126" i="65"/>
  <c r="N126" i="65"/>
  <c r="O126" i="65"/>
  <c r="P126" i="65"/>
  <c r="Q126" i="65"/>
  <c r="R126" i="65"/>
  <c r="S126" i="65"/>
  <c r="T126" i="65"/>
  <c r="U126" i="65"/>
  <c r="V126" i="65"/>
  <c r="W126" i="65"/>
  <c r="X126" i="65"/>
  <c r="Y126" i="65"/>
  <c r="Z126" i="65"/>
  <c r="AA126" i="65"/>
  <c r="AB126" i="65"/>
  <c r="AC126" i="65"/>
  <c r="AD126" i="65"/>
  <c r="AE126" i="65"/>
  <c r="AF126" i="65"/>
  <c r="AG126" i="65"/>
  <c r="AH126" i="65"/>
  <c r="AI126" i="65"/>
  <c r="AJ126" i="65"/>
  <c r="AK126" i="65" s="1"/>
  <c r="B127" i="65"/>
  <c r="C127" i="65"/>
  <c r="D127" i="65"/>
  <c r="E127" i="65"/>
  <c r="F127" i="65"/>
  <c r="G127" i="65"/>
  <c r="H127" i="65"/>
  <c r="I127" i="65"/>
  <c r="J127" i="65"/>
  <c r="K127" i="65"/>
  <c r="L127" i="65"/>
  <c r="M127" i="65"/>
  <c r="N127" i="65"/>
  <c r="O127" i="65"/>
  <c r="P127" i="65"/>
  <c r="Q127" i="65"/>
  <c r="R127" i="65"/>
  <c r="S127" i="65"/>
  <c r="T127" i="65"/>
  <c r="U127" i="65"/>
  <c r="V127" i="65"/>
  <c r="W127" i="65"/>
  <c r="X127" i="65"/>
  <c r="Y127" i="65"/>
  <c r="Z127" i="65"/>
  <c r="AA127" i="65"/>
  <c r="AB127" i="65"/>
  <c r="AC127" i="65"/>
  <c r="AD127" i="65"/>
  <c r="AE127" i="65"/>
  <c r="AF127" i="65"/>
  <c r="AG127" i="65"/>
  <c r="AH127" i="65"/>
  <c r="AI127" i="65"/>
  <c r="AJ127" i="65"/>
  <c r="AK127" i="65" s="1"/>
  <c r="B128" i="65"/>
  <c r="C128" i="65"/>
  <c r="D128" i="65"/>
  <c r="E128" i="65"/>
  <c r="F128" i="65"/>
  <c r="G128" i="65"/>
  <c r="H128" i="65"/>
  <c r="I128" i="65"/>
  <c r="J128" i="65"/>
  <c r="K128" i="65"/>
  <c r="L128" i="65"/>
  <c r="M128" i="65"/>
  <c r="N128" i="65"/>
  <c r="O128" i="65"/>
  <c r="P128" i="65"/>
  <c r="Q128" i="65"/>
  <c r="R128" i="65"/>
  <c r="S128" i="65"/>
  <c r="T128" i="65"/>
  <c r="U128" i="65"/>
  <c r="V128" i="65"/>
  <c r="W128" i="65"/>
  <c r="X128" i="65"/>
  <c r="Y128" i="65"/>
  <c r="Z128" i="65"/>
  <c r="AA128" i="65"/>
  <c r="AB128" i="65"/>
  <c r="AC128" i="65"/>
  <c r="AD128" i="65"/>
  <c r="AE128" i="65"/>
  <c r="AF128" i="65"/>
  <c r="AG128" i="65"/>
  <c r="AH128" i="65"/>
  <c r="AI128" i="65"/>
  <c r="AJ128" i="65"/>
  <c r="AK128" i="65" s="1"/>
  <c r="B129" i="65"/>
  <c r="C129" i="65"/>
  <c r="D129" i="65"/>
  <c r="E129" i="65"/>
  <c r="F129" i="65"/>
  <c r="G129" i="65"/>
  <c r="H129" i="65"/>
  <c r="I129" i="65"/>
  <c r="J129" i="65"/>
  <c r="K129" i="65"/>
  <c r="L129" i="65"/>
  <c r="M129" i="65"/>
  <c r="N129" i="65"/>
  <c r="O129" i="65"/>
  <c r="P129" i="65"/>
  <c r="Q129" i="65"/>
  <c r="R129" i="65"/>
  <c r="S129" i="65"/>
  <c r="T129" i="65"/>
  <c r="U129" i="65"/>
  <c r="V129" i="65"/>
  <c r="W129" i="65"/>
  <c r="X129" i="65"/>
  <c r="Y129" i="65"/>
  <c r="Z129" i="65"/>
  <c r="AA129" i="65"/>
  <c r="AB129" i="65"/>
  <c r="AC129" i="65"/>
  <c r="AD129" i="65"/>
  <c r="AE129" i="65"/>
  <c r="AF129" i="65"/>
  <c r="AG129" i="65"/>
  <c r="AH129" i="65"/>
  <c r="AI129" i="65"/>
  <c r="AJ129" i="65"/>
  <c r="AK129" i="65" s="1"/>
  <c r="B130" i="65"/>
  <c r="C130" i="65"/>
  <c r="D130" i="65"/>
  <c r="E130" i="65"/>
  <c r="F130" i="65"/>
  <c r="G130" i="65"/>
  <c r="H130" i="65"/>
  <c r="I130" i="65"/>
  <c r="J130" i="65"/>
  <c r="K130" i="65"/>
  <c r="L130" i="65"/>
  <c r="M130" i="65"/>
  <c r="N130" i="65"/>
  <c r="O130" i="65"/>
  <c r="P130" i="65"/>
  <c r="Q130" i="65"/>
  <c r="R130" i="65"/>
  <c r="S130" i="65"/>
  <c r="T130" i="65"/>
  <c r="U130" i="65"/>
  <c r="V130" i="65"/>
  <c r="W130" i="65"/>
  <c r="X130" i="65"/>
  <c r="Y130" i="65"/>
  <c r="Z130" i="65"/>
  <c r="AA130" i="65"/>
  <c r="AB130" i="65"/>
  <c r="AC130" i="65"/>
  <c r="AD130" i="65"/>
  <c r="AE130" i="65"/>
  <c r="AF130" i="65"/>
  <c r="AG130" i="65"/>
  <c r="AH130" i="65"/>
  <c r="AI130" i="65"/>
  <c r="AJ130" i="65"/>
  <c r="AK130" i="65" s="1"/>
  <c r="B131" i="65"/>
  <c r="C131" i="65"/>
  <c r="D131" i="65"/>
  <c r="E131" i="65"/>
  <c r="F131" i="65"/>
  <c r="G131" i="65"/>
  <c r="H131" i="65"/>
  <c r="I131" i="65"/>
  <c r="J131" i="65"/>
  <c r="K131" i="65"/>
  <c r="L131" i="65"/>
  <c r="M131" i="65"/>
  <c r="N131" i="65"/>
  <c r="O131" i="65"/>
  <c r="P131" i="65"/>
  <c r="Q131" i="65"/>
  <c r="R131" i="65"/>
  <c r="S131" i="65"/>
  <c r="T131" i="65"/>
  <c r="U131" i="65"/>
  <c r="V131" i="65"/>
  <c r="W131" i="65"/>
  <c r="X131" i="65"/>
  <c r="Y131" i="65"/>
  <c r="Z131" i="65"/>
  <c r="AA131" i="65"/>
  <c r="AB131" i="65"/>
  <c r="AC131" i="65"/>
  <c r="AD131" i="65"/>
  <c r="AE131" i="65"/>
  <c r="AF131" i="65"/>
  <c r="AG131" i="65"/>
  <c r="AH131" i="65"/>
  <c r="AI131" i="65"/>
  <c r="AJ131" i="65"/>
  <c r="AK131" i="65" s="1"/>
  <c r="B132" i="65"/>
  <c r="C132" i="65"/>
  <c r="D132" i="65"/>
  <c r="E132" i="65"/>
  <c r="F132" i="65"/>
  <c r="G132" i="65"/>
  <c r="H132" i="65"/>
  <c r="I132" i="65"/>
  <c r="J132" i="65"/>
  <c r="K132" i="65"/>
  <c r="L132" i="65"/>
  <c r="M132" i="65"/>
  <c r="N132" i="65"/>
  <c r="O132" i="65"/>
  <c r="P132" i="65"/>
  <c r="Q132" i="65"/>
  <c r="R132" i="65"/>
  <c r="S132" i="65"/>
  <c r="T132" i="65"/>
  <c r="U132" i="65"/>
  <c r="V132" i="65"/>
  <c r="W132" i="65"/>
  <c r="X132" i="65"/>
  <c r="Y132" i="65"/>
  <c r="Z132" i="65"/>
  <c r="AA132" i="65"/>
  <c r="AB132" i="65"/>
  <c r="AC132" i="65"/>
  <c r="AD132" i="65"/>
  <c r="AE132" i="65"/>
  <c r="AF132" i="65"/>
  <c r="AG132" i="65"/>
  <c r="AH132" i="65"/>
  <c r="AI132" i="65"/>
  <c r="AJ132" i="65"/>
  <c r="AK132" i="65" s="1"/>
  <c r="B133" i="65"/>
  <c r="C133" i="65"/>
  <c r="D133" i="65"/>
  <c r="E133" i="65"/>
  <c r="F133" i="65"/>
  <c r="G133" i="65"/>
  <c r="H133" i="65"/>
  <c r="I133" i="65"/>
  <c r="J133" i="65"/>
  <c r="K133" i="65"/>
  <c r="L133" i="65"/>
  <c r="M133" i="65"/>
  <c r="N133" i="65"/>
  <c r="O133" i="65"/>
  <c r="P133" i="65"/>
  <c r="Q133" i="65"/>
  <c r="R133" i="65"/>
  <c r="S133" i="65"/>
  <c r="T133" i="65"/>
  <c r="U133" i="65"/>
  <c r="V133" i="65"/>
  <c r="W133" i="65"/>
  <c r="X133" i="65"/>
  <c r="Y133" i="65"/>
  <c r="Z133" i="65"/>
  <c r="AA133" i="65"/>
  <c r="AB133" i="65"/>
  <c r="AC133" i="65"/>
  <c r="AD133" i="65"/>
  <c r="AE133" i="65"/>
  <c r="AF133" i="65"/>
  <c r="AG133" i="65"/>
  <c r="AH133" i="65"/>
  <c r="AI133" i="65"/>
  <c r="AJ133" i="65"/>
  <c r="AK133" i="65" s="1"/>
  <c r="B134" i="65"/>
  <c r="C134" i="65"/>
  <c r="D134" i="65"/>
  <c r="E134" i="65"/>
  <c r="F134" i="65"/>
  <c r="G134" i="65"/>
  <c r="H134" i="65"/>
  <c r="I134" i="65"/>
  <c r="J134" i="65"/>
  <c r="K134" i="65"/>
  <c r="L134" i="65"/>
  <c r="M134" i="65"/>
  <c r="N134" i="65"/>
  <c r="O134" i="65"/>
  <c r="P134" i="65"/>
  <c r="Q134" i="65"/>
  <c r="R134" i="65"/>
  <c r="S134" i="65"/>
  <c r="T134" i="65"/>
  <c r="U134" i="65"/>
  <c r="V134" i="65"/>
  <c r="W134" i="65"/>
  <c r="X134" i="65"/>
  <c r="Y134" i="65"/>
  <c r="Z134" i="65"/>
  <c r="AA134" i="65"/>
  <c r="AB134" i="65"/>
  <c r="AC134" i="65"/>
  <c r="AD134" i="65"/>
  <c r="AE134" i="65"/>
  <c r="AF134" i="65"/>
  <c r="AG134" i="65"/>
  <c r="AH134" i="65"/>
  <c r="AI134" i="65"/>
  <c r="AJ134" i="65"/>
  <c r="AK134" i="65" s="1"/>
  <c r="B135" i="65"/>
  <c r="C135" i="65"/>
  <c r="D135" i="65"/>
  <c r="E135" i="65"/>
  <c r="F135" i="65"/>
  <c r="G135" i="65"/>
  <c r="H135" i="65"/>
  <c r="I135" i="65"/>
  <c r="J135" i="65"/>
  <c r="K135" i="65"/>
  <c r="L135" i="65"/>
  <c r="M135" i="65"/>
  <c r="N135" i="65"/>
  <c r="O135" i="65"/>
  <c r="P135" i="65"/>
  <c r="Q135" i="65"/>
  <c r="R135" i="65"/>
  <c r="S135" i="65"/>
  <c r="T135" i="65"/>
  <c r="U135" i="65"/>
  <c r="V135" i="65"/>
  <c r="W135" i="65"/>
  <c r="X135" i="65"/>
  <c r="Y135" i="65"/>
  <c r="Z135" i="65"/>
  <c r="AA135" i="65"/>
  <c r="AB135" i="65"/>
  <c r="AC135" i="65"/>
  <c r="AD135" i="65"/>
  <c r="AE135" i="65"/>
  <c r="AF135" i="65"/>
  <c r="AG135" i="65"/>
  <c r="AH135" i="65"/>
  <c r="AI135" i="65"/>
  <c r="AJ135" i="65"/>
  <c r="AK135" i="65" s="1"/>
  <c r="B136" i="65"/>
  <c r="C136" i="65"/>
  <c r="D136" i="65"/>
  <c r="E136" i="65"/>
  <c r="F136" i="65"/>
  <c r="G136" i="65"/>
  <c r="H136" i="65"/>
  <c r="I136" i="65"/>
  <c r="J136" i="65"/>
  <c r="K136" i="65"/>
  <c r="L136" i="65"/>
  <c r="M136" i="65"/>
  <c r="N136" i="65"/>
  <c r="O136" i="65"/>
  <c r="P136" i="65"/>
  <c r="Q136" i="65"/>
  <c r="R136" i="65"/>
  <c r="S136" i="65"/>
  <c r="T136" i="65"/>
  <c r="U136" i="65"/>
  <c r="V136" i="65"/>
  <c r="W136" i="65"/>
  <c r="X136" i="65"/>
  <c r="Y136" i="65"/>
  <c r="Z136" i="65"/>
  <c r="AA136" i="65"/>
  <c r="AB136" i="65"/>
  <c r="AC136" i="65"/>
  <c r="AD136" i="65"/>
  <c r="AE136" i="65"/>
  <c r="AF136" i="65"/>
  <c r="AG136" i="65"/>
  <c r="AH136" i="65"/>
  <c r="AI136" i="65"/>
  <c r="AJ136" i="65"/>
  <c r="AK136" i="65" s="1"/>
  <c r="B137" i="65"/>
  <c r="C137" i="65"/>
  <c r="D137" i="65"/>
  <c r="E137" i="65"/>
  <c r="F137" i="65"/>
  <c r="G137" i="65"/>
  <c r="H137" i="65"/>
  <c r="I137" i="65"/>
  <c r="J137" i="65"/>
  <c r="K137" i="65"/>
  <c r="L137" i="65"/>
  <c r="M137" i="65"/>
  <c r="N137" i="65"/>
  <c r="O137" i="65"/>
  <c r="P137" i="65"/>
  <c r="Q137" i="65"/>
  <c r="R137" i="65"/>
  <c r="S137" i="65"/>
  <c r="T137" i="65"/>
  <c r="U137" i="65"/>
  <c r="V137" i="65"/>
  <c r="W137" i="65"/>
  <c r="X137" i="65"/>
  <c r="Y137" i="65"/>
  <c r="Z137" i="65"/>
  <c r="AA137" i="65"/>
  <c r="AB137" i="65"/>
  <c r="AC137" i="65"/>
  <c r="AD137" i="65"/>
  <c r="AE137" i="65"/>
  <c r="AF137" i="65"/>
  <c r="AG137" i="65"/>
  <c r="AH137" i="65"/>
  <c r="AI137" i="65"/>
  <c r="AJ137" i="65"/>
  <c r="AK137" i="65" s="1"/>
  <c r="B138" i="65"/>
  <c r="C138" i="65"/>
  <c r="D138" i="65"/>
  <c r="E138" i="65"/>
  <c r="F138" i="65"/>
  <c r="G138" i="65"/>
  <c r="H138" i="65"/>
  <c r="I138" i="65"/>
  <c r="J138" i="65"/>
  <c r="K138" i="65"/>
  <c r="L138" i="65"/>
  <c r="M138" i="65"/>
  <c r="N138" i="65"/>
  <c r="O138" i="65"/>
  <c r="P138" i="65"/>
  <c r="Q138" i="65"/>
  <c r="R138" i="65"/>
  <c r="S138" i="65"/>
  <c r="T138" i="65"/>
  <c r="U138" i="65"/>
  <c r="V138" i="65"/>
  <c r="W138" i="65"/>
  <c r="X138" i="65"/>
  <c r="Y138" i="65"/>
  <c r="Z138" i="65"/>
  <c r="AA138" i="65"/>
  <c r="AB138" i="65"/>
  <c r="AC138" i="65"/>
  <c r="AD138" i="65"/>
  <c r="AE138" i="65"/>
  <c r="AF138" i="65"/>
  <c r="AG138" i="65"/>
  <c r="AH138" i="65"/>
  <c r="AI138" i="65"/>
  <c r="AJ138" i="65"/>
  <c r="AK138" i="65" s="1"/>
  <c r="B139" i="65"/>
  <c r="C139" i="65"/>
  <c r="D139" i="65"/>
  <c r="E139" i="65"/>
  <c r="F139" i="65"/>
  <c r="G139" i="65"/>
  <c r="H139" i="65"/>
  <c r="I139" i="65"/>
  <c r="J139" i="65"/>
  <c r="K139" i="65"/>
  <c r="L139" i="65"/>
  <c r="M139" i="65"/>
  <c r="N139" i="65"/>
  <c r="O139" i="65"/>
  <c r="P139" i="65"/>
  <c r="Q139" i="65"/>
  <c r="R139" i="65"/>
  <c r="S139" i="65"/>
  <c r="T139" i="65"/>
  <c r="U139" i="65"/>
  <c r="V139" i="65"/>
  <c r="W139" i="65"/>
  <c r="X139" i="65"/>
  <c r="Y139" i="65"/>
  <c r="Z139" i="65"/>
  <c r="AA139" i="65"/>
  <c r="AB139" i="65"/>
  <c r="AC139" i="65"/>
  <c r="AD139" i="65"/>
  <c r="AE139" i="65"/>
  <c r="AF139" i="65"/>
  <c r="AG139" i="65"/>
  <c r="AH139" i="65"/>
  <c r="AI139" i="65"/>
  <c r="AJ139" i="65"/>
  <c r="AK139" i="65" s="1"/>
  <c r="B140" i="65"/>
  <c r="C140" i="65"/>
  <c r="D140" i="65"/>
  <c r="E140" i="65"/>
  <c r="F140" i="65"/>
  <c r="G140" i="65"/>
  <c r="H140" i="65"/>
  <c r="I140" i="65"/>
  <c r="J140" i="65"/>
  <c r="K140" i="65"/>
  <c r="L140" i="65"/>
  <c r="M140" i="65"/>
  <c r="N140" i="65"/>
  <c r="O140" i="65"/>
  <c r="P140" i="65"/>
  <c r="Q140" i="65"/>
  <c r="R140" i="65"/>
  <c r="S140" i="65"/>
  <c r="T140" i="65"/>
  <c r="U140" i="65"/>
  <c r="V140" i="65"/>
  <c r="W140" i="65"/>
  <c r="X140" i="65"/>
  <c r="Y140" i="65"/>
  <c r="Z140" i="65"/>
  <c r="AA140" i="65"/>
  <c r="AB140" i="65"/>
  <c r="AC140" i="65"/>
  <c r="AD140" i="65"/>
  <c r="AE140" i="65"/>
  <c r="AF140" i="65"/>
  <c r="AG140" i="65"/>
  <c r="AH140" i="65"/>
  <c r="AI140" i="65"/>
  <c r="AJ140" i="65"/>
  <c r="AK140" i="65" s="1"/>
  <c r="B141" i="65"/>
  <c r="C141" i="65"/>
  <c r="D141" i="65"/>
  <c r="E141" i="65"/>
  <c r="F141" i="65"/>
  <c r="G141" i="65"/>
  <c r="H141" i="65"/>
  <c r="I141" i="65"/>
  <c r="J141" i="65"/>
  <c r="K141" i="65"/>
  <c r="L141" i="65"/>
  <c r="M141" i="65"/>
  <c r="N141" i="65"/>
  <c r="O141" i="65"/>
  <c r="P141" i="65"/>
  <c r="Q141" i="65"/>
  <c r="R141" i="65"/>
  <c r="S141" i="65"/>
  <c r="T141" i="65"/>
  <c r="U141" i="65"/>
  <c r="V141" i="65"/>
  <c r="W141" i="65"/>
  <c r="X141" i="65"/>
  <c r="Y141" i="65"/>
  <c r="Z141" i="65"/>
  <c r="AA141" i="65"/>
  <c r="AB141" i="65"/>
  <c r="AC141" i="65"/>
  <c r="AD141" i="65"/>
  <c r="AE141" i="65"/>
  <c r="AF141" i="65"/>
  <c r="AG141" i="65"/>
  <c r="AH141" i="65"/>
  <c r="AI141" i="65"/>
  <c r="AJ141" i="65"/>
  <c r="AK141" i="65" s="1"/>
  <c r="B142" i="65"/>
  <c r="C142" i="65"/>
  <c r="D142" i="65"/>
  <c r="E142" i="65"/>
  <c r="F142" i="65"/>
  <c r="G142" i="65"/>
  <c r="H142" i="65"/>
  <c r="I142" i="65"/>
  <c r="J142" i="65"/>
  <c r="K142" i="65"/>
  <c r="L142" i="65"/>
  <c r="M142" i="65"/>
  <c r="N142" i="65"/>
  <c r="O142" i="65"/>
  <c r="P142" i="65"/>
  <c r="Q142" i="65"/>
  <c r="R142" i="65"/>
  <c r="S142" i="65"/>
  <c r="T142" i="65"/>
  <c r="U142" i="65"/>
  <c r="V142" i="65"/>
  <c r="W142" i="65"/>
  <c r="X142" i="65"/>
  <c r="Y142" i="65"/>
  <c r="Z142" i="65"/>
  <c r="AA142" i="65"/>
  <c r="AB142" i="65"/>
  <c r="AC142" i="65"/>
  <c r="AD142" i="65"/>
  <c r="AE142" i="65"/>
  <c r="AF142" i="65"/>
  <c r="AG142" i="65"/>
  <c r="AH142" i="65"/>
  <c r="AI142" i="65"/>
  <c r="AJ142" i="65"/>
  <c r="AK142" i="65" s="1"/>
  <c r="B143" i="65"/>
  <c r="C143" i="65"/>
  <c r="D143" i="65"/>
  <c r="E143" i="65"/>
  <c r="F143" i="65"/>
  <c r="G143" i="65"/>
  <c r="H143" i="65"/>
  <c r="I143" i="65"/>
  <c r="J143" i="65"/>
  <c r="K143" i="65"/>
  <c r="L143" i="65"/>
  <c r="M143" i="65"/>
  <c r="N143" i="65"/>
  <c r="O143" i="65"/>
  <c r="P143" i="65"/>
  <c r="Q143" i="65"/>
  <c r="R143" i="65"/>
  <c r="S143" i="65"/>
  <c r="T143" i="65"/>
  <c r="U143" i="65"/>
  <c r="V143" i="65"/>
  <c r="W143" i="65"/>
  <c r="X143" i="65"/>
  <c r="Y143" i="65"/>
  <c r="Z143" i="65"/>
  <c r="AA143" i="65"/>
  <c r="AB143" i="65"/>
  <c r="AC143" i="65"/>
  <c r="AD143" i="65"/>
  <c r="AE143" i="65"/>
  <c r="AF143" i="65"/>
  <c r="AG143" i="65"/>
  <c r="AH143" i="65"/>
  <c r="AI143" i="65"/>
  <c r="AJ143" i="65"/>
  <c r="AK143" i="65" s="1"/>
  <c r="B144" i="65"/>
  <c r="C144" i="65"/>
  <c r="D144" i="65"/>
  <c r="E144" i="65"/>
  <c r="F144" i="65"/>
  <c r="G144" i="65"/>
  <c r="H144" i="65"/>
  <c r="I144" i="65"/>
  <c r="J144" i="65"/>
  <c r="K144" i="65"/>
  <c r="L144" i="65"/>
  <c r="M144" i="65"/>
  <c r="N144" i="65"/>
  <c r="O144" i="65"/>
  <c r="P144" i="65"/>
  <c r="Q144" i="65"/>
  <c r="R144" i="65"/>
  <c r="S144" i="65"/>
  <c r="T144" i="65"/>
  <c r="U144" i="65"/>
  <c r="V144" i="65"/>
  <c r="W144" i="65"/>
  <c r="X144" i="65"/>
  <c r="Y144" i="65"/>
  <c r="Z144" i="65"/>
  <c r="AA144" i="65"/>
  <c r="AB144" i="65"/>
  <c r="AC144" i="65"/>
  <c r="AD144" i="65"/>
  <c r="AE144" i="65"/>
  <c r="AF144" i="65"/>
  <c r="AG144" i="65"/>
  <c r="AH144" i="65"/>
  <c r="AI144" i="65"/>
  <c r="AJ144" i="65"/>
  <c r="AK144" i="65" s="1"/>
  <c r="B145" i="65"/>
  <c r="C145" i="65"/>
  <c r="D145" i="65"/>
  <c r="E145" i="65"/>
  <c r="F145" i="65"/>
  <c r="G145" i="65"/>
  <c r="H145" i="65"/>
  <c r="I145" i="65"/>
  <c r="J145" i="65"/>
  <c r="K145" i="65"/>
  <c r="L145" i="65"/>
  <c r="M145" i="65"/>
  <c r="N145" i="65"/>
  <c r="O145" i="65"/>
  <c r="P145" i="65"/>
  <c r="Q145" i="65"/>
  <c r="R145" i="65"/>
  <c r="S145" i="65"/>
  <c r="T145" i="65"/>
  <c r="U145" i="65"/>
  <c r="V145" i="65"/>
  <c r="W145" i="65"/>
  <c r="X145" i="65"/>
  <c r="Y145" i="65"/>
  <c r="Z145" i="65"/>
  <c r="AA145" i="65"/>
  <c r="AB145" i="65"/>
  <c r="AC145" i="65"/>
  <c r="AD145" i="65"/>
  <c r="AE145" i="65"/>
  <c r="AF145" i="65"/>
  <c r="AG145" i="65"/>
  <c r="AH145" i="65"/>
  <c r="AI145" i="65"/>
  <c r="AJ145" i="65"/>
  <c r="AK145" i="65" s="1"/>
  <c r="B146" i="65"/>
  <c r="C146" i="65"/>
  <c r="D146" i="65"/>
  <c r="E146" i="65"/>
  <c r="F146" i="65"/>
  <c r="G146" i="65"/>
  <c r="H146" i="65"/>
  <c r="I146" i="65"/>
  <c r="J146" i="65"/>
  <c r="K146" i="65"/>
  <c r="L146" i="65"/>
  <c r="M146" i="65"/>
  <c r="N146" i="65"/>
  <c r="O146" i="65"/>
  <c r="P146" i="65"/>
  <c r="Q146" i="65"/>
  <c r="R146" i="65"/>
  <c r="S146" i="65"/>
  <c r="T146" i="65"/>
  <c r="U146" i="65"/>
  <c r="V146" i="65"/>
  <c r="W146" i="65"/>
  <c r="X146" i="65"/>
  <c r="Y146" i="65"/>
  <c r="Z146" i="65"/>
  <c r="AA146" i="65"/>
  <c r="AB146" i="65"/>
  <c r="AC146" i="65"/>
  <c r="AD146" i="65"/>
  <c r="AE146" i="65"/>
  <c r="AF146" i="65"/>
  <c r="AG146" i="65"/>
  <c r="AH146" i="65"/>
  <c r="AI146" i="65"/>
  <c r="AJ146" i="65"/>
  <c r="AK146" i="65" s="1"/>
  <c r="B147" i="65"/>
  <c r="C147" i="65"/>
  <c r="D147" i="65"/>
  <c r="E147" i="65"/>
  <c r="F147" i="65"/>
  <c r="G147" i="65"/>
  <c r="H147" i="65"/>
  <c r="I147" i="65"/>
  <c r="J147" i="65"/>
  <c r="K147" i="65"/>
  <c r="L147" i="65"/>
  <c r="M147" i="65"/>
  <c r="N147" i="65"/>
  <c r="O147" i="65"/>
  <c r="P147" i="65"/>
  <c r="Q147" i="65"/>
  <c r="R147" i="65"/>
  <c r="S147" i="65"/>
  <c r="T147" i="65"/>
  <c r="U147" i="65"/>
  <c r="V147" i="65"/>
  <c r="W147" i="65"/>
  <c r="X147" i="65"/>
  <c r="Y147" i="65"/>
  <c r="Z147" i="65"/>
  <c r="AA147" i="65"/>
  <c r="AB147" i="65"/>
  <c r="AC147" i="65"/>
  <c r="AD147" i="65"/>
  <c r="AE147" i="65"/>
  <c r="AF147" i="65"/>
  <c r="AG147" i="65"/>
  <c r="AH147" i="65"/>
  <c r="AI147" i="65"/>
  <c r="AJ147" i="65"/>
  <c r="AK147" i="65" s="1"/>
  <c r="B148" i="65"/>
  <c r="C148" i="65"/>
  <c r="D148" i="65"/>
  <c r="E148" i="65"/>
  <c r="F148" i="65"/>
  <c r="G148" i="65"/>
  <c r="H148" i="65"/>
  <c r="I148" i="65"/>
  <c r="J148" i="65"/>
  <c r="K148" i="65"/>
  <c r="L148" i="65"/>
  <c r="M148" i="65"/>
  <c r="N148" i="65"/>
  <c r="O148" i="65"/>
  <c r="P148" i="65"/>
  <c r="Q148" i="65"/>
  <c r="R148" i="65"/>
  <c r="S148" i="65"/>
  <c r="T148" i="65"/>
  <c r="U148" i="65"/>
  <c r="V148" i="65"/>
  <c r="W148" i="65"/>
  <c r="X148" i="65"/>
  <c r="Y148" i="65"/>
  <c r="Z148" i="65"/>
  <c r="AA148" i="65"/>
  <c r="AB148" i="65"/>
  <c r="AC148" i="65"/>
  <c r="AD148" i="65"/>
  <c r="AE148" i="65"/>
  <c r="AF148" i="65"/>
  <c r="AG148" i="65"/>
  <c r="AH148" i="65"/>
  <c r="AI148" i="65"/>
  <c r="AJ148" i="65"/>
  <c r="AK148" i="65" s="1"/>
  <c r="B149" i="65"/>
  <c r="C149" i="65"/>
  <c r="D149" i="65"/>
  <c r="E149" i="65"/>
  <c r="F149" i="65"/>
  <c r="G149" i="65"/>
  <c r="H149" i="65"/>
  <c r="I149" i="65"/>
  <c r="J149" i="65"/>
  <c r="K149" i="65"/>
  <c r="L149" i="65"/>
  <c r="M149" i="65"/>
  <c r="N149" i="65"/>
  <c r="O149" i="65"/>
  <c r="P149" i="65"/>
  <c r="Q149" i="65"/>
  <c r="R149" i="65"/>
  <c r="S149" i="65"/>
  <c r="T149" i="65"/>
  <c r="U149" i="65"/>
  <c r="V149" i="65"/>
  <c r="W149" i="65"/>
  <c r="X149" i="65"/>
  <c r="Y149" i="65"/>
  <c r="Z149" i="65"/>
  <c r="AA149" i="65"/>
  <c r="AB149" i="65"/>
  <c r="AC149" i="65"/>
  <c r="AD149" i="65"/>
  <c r="AE149" i="65"/>
  <c r="AF149" i="65"/>
  <c r="AG149" i="65"/>
  <c r="AH149" i="65"/>
  <c r="AI149" i="65"/>
  <c r="AJ149" i="65"/>
  <c r="AK149" i="65" s="1"/>
  <c r="B150" i="65"/>
  <c r="C150" i="65"/>
  <c r="D150" i="65"/>
  <c r="E150" i="65"/>
  <c r="F150" i="65"/>
  <c r="G150" i="65"/>
  <c r="H150" i="65"/>
  <c r="I150" i="65"/>
  <c r="J150" i="65"/>
  <c r="K150" i="65"/>
  <c r="L150" i="65"/>
  <c r="M150" i="65"/>
  <c r="N150" i="65"/>
  <c r="O150" i="65"/>
  <c r="P150" i="65"/>
  <c r="Q150" i="65"/>
  <c r="R150" i="65"/>
  <c r="S150" i="65"/>
  <c r="T150" i="65"/>
  <c r="U150" i="65"/>
  <c r="V150" i="65"/>
  <c r="W150" i="65"/>
  <c r="X150" i="65"/>
  <c r="Y150" i="65"/>
  <c r="Z150" i="65"/>
  <c r="AA150" i="65"/>
  <c r="AB150" i="65"/>
  <c r="AC150" i="65"/>
  <c r="AD150" i="65"/>
  <c r="AE150" i="65"/>
  <c r="AF150" i="65"/>
  <c r="AG150" i="65"/>
  <c r="AH150" i="65"/>
  <c r="AI150" i="65"/>
  <c r="AJ150" i="65"/>
  <c r="AK150" i="65" s="1"/>
  <c r="B151" i="65"/>
  <c r="C151" i="65"/>
  <c r="D151" i="65"/>
  <c r="E151" i="65"/>
  <c r="F151" i="65"/>
  <c r="G151" i="65"/>
  <c r="H151" i="65"/>
  <c r="I151" i="65"/>
  <c r="J151" i="65"/>
  <c r="K151" i="65"/>
  <c r="L151" i="65"/>
  <c r="M151" i="65"/>
  <c r="N151" i="65"/>
  <c r="O151" i="65"/>
  <c r="P151" i="65"/>
  <c r="Q151" i="65"/>
  <c r="R151" i="65"/>
  <c r="S151" i="65"/>
  <c r="T151" i="65"/>
  <c r="U151" i="65"/>
  <c r="V151" i="65"/>
  <c r="W151" i="65"/>
  <c r="X151" i="65"/>
  <c r="Y151" i="65"/>
  <c r="Z151" i="65"/>
  <c r="AA151" i="65"/>
  <c r="AB151" i="65"/>
  <c r="AC151" i="65"/>
  <c r="AD151" i="65"/>
  <c r="AE151" i="65"/>
  <c r="AF151" i="65"/>
  <c r="AG151" i="65"/>
  <c r="AH151" i="65"/>
  <c r="AI151" i="65"/>
  <c r="AJ151" i="65"/>
  <c r="AK151" i="65" s="1"/>
  <c r="B152" i="65"/>
  <c r="C152" i="65"/>
  <c r="D152" i="65"/>
  <c r="E152" i="65"/>
  <c r="F152" i="65"/>
  <c r="G152" i="65"/>
  <c r="H152" i="65"/>
  <c r="I152" i="65"/>
  <c r="J152" i="65"/>
  <c r="K152" i="65"/>
  <c r="L152" i="65"/>
  <c r="M152" i="65"/>
  <c r="N152" i="65"/>
  <c r="O152" i="65"/>
  <c r="P152" i="65"/>
  <c r="Q152" i="65"/>
  <c r="R152" i="65"/>
  <c r="S152" i="65"/>
  <c r="T152" i="65"/>
  <c r="U152" i="65"/>
  <c r="V152" i="65"/>
  <c r="W152" i="65"/>
  <c r="X152" i="65"/>
  <c r="Y152" i="65"/>
  <c r="Z152" i="65"/>
  <c r="AA152" i="65"/>
  <c r="AB152" i="65"/>
  <c r="AC152" i="65"/>
  <c r="AD152" i="65"/>
  <c r="AE152" i="65"/>
  <c r="AF152" i="65"/>
  <c r="AG152" i="65"/>
  <c r="AH152" i="65"/>
  <c r="AI152" i="65"/>
  <c r="AJ152" i="65"/>
  <c r="AK152" i="65" s="1"/>
  <c r="B153" i="65"/>
  <c r="C153" i="65"/>
  <c r="D153" i="65"/>
  <c r="E153" i="65"/>
  <c r="F153" i="65"/>
  <c r="G153" i="65"/>
  <c r="H153" i="65"/>
  <c r="I153" i="65"/>
  <c r="J153" i="65"/>
  <c r="K153" i="65"/>
  <c r="L153" i="65"/>
  <c r="M153" i="65"/>
  <c r="N153" i="65"/>
  <c r="O153" i="65"/>
  <c r="P153" i="65"/>
  <c r="Q153" i="65"/>
  <c r="R153" i="65"/>
  <c r="S153" i="65"/>
  <c r="T153" i="65"/>
  <c r="U153" i="65"/>
  <c r="V153" i="65"/>
  <c r="W153" i="65"/>
  <c r="X153" i="65"/>
  <c r="Y153" i="65"/>
  <c r="Z153" i="65"/>
  <c r="AA153" i="65"/>
  <c r="AB153" i="65"/>
  <c r="AC153" i="65"/>
  <c r="AD153" i="65"/>
  <c r="AE153" i="65"/>
  <c r="AF153" i="65"/>
  <c r="AG153" i="65"/>
  <c r="AH153" i="65"/>
  <c r="AI153" i="65"/>
  <c r="AJ153" i="65"/>
  <c r="AK153" i="65" s="1"/>
  <c r="B154" i="65"/>
  <c r="C154" i="65"/>
  <c r="D154" i="65"/>
  <c r="E154" i="65"/>
  <c r="F154" i="65"/>
  <c r="G154" i="65"/>
  <c r="H154" i="65"/>
  <c r="I154" i="65"/>
  <c r="J154" i="65"/>
  <c r="K154" i="65"/>
  <c r="L154" i="65"/>
  <c r="M154" i="65"/>
  <c r="N154" i="65"/>
  <c r="O154" i="65"/>
  <c r="P154" i="65"/>
  <c r="Q154" i="65"/>
  <c r="R154" i="65"/>
  <c r="S154" i="65"/>
  <c r="T154" i="65"/>
  <c r="U154" i="65"/>
  <c r="V154" i="65"/>
  <c r="W154" i="65"/>
  <c r="X154" i="65"/>
  <c r="Y154" i="65"/>
  <c r="Z154" i="65"/>
  <c r="AA154" i="65"/>
  <c r="AB154" i="65"/>
  <c r="AC154" i="65"/>
  <c r="AD154" i="65"/>
  <c r="AE154" i="65"/>
  <c r="AF154" i="65"/>
  <c r="AG154" i="65"/>
  <c r="AH154" i="65"/>
  <c r="AI154" i="65"/>
  <c r="AJ154" i="65"/>
  <c r="AK154" i="65" s="1"/>
  <c r="B155" i="65"/>
  <c r="C155" i="65"/>
  <c r="D155" i="65"/>
  <c r="E155" i="65"/>
  <c r="F155" i="65"/>
  <c r="G155" i="65"/>
  <c r="H155" i="65"/>
  <c r="I155" i="65"/>
  <c r="J155" i="65"/>
  <c r="K155" i="65"/>
  <c r="L155" i="65"/>
  <c r="M155" i="65"/>
  <c r="N155" i="65"/>
  <c r="O155" i="65"/>
  <c r="P155" i="65"/>
  <c r="Q155" i="65"/>
  <c r="R155" i="65"/>
  <c r="S155" i="65"/>
  <c r="T155" i="65"/>
  <c r="U155" i="65"/>
  <c r="V155" i="65"/>
  <c r="W155" i="65"/>
  <c r="X155" i="65"/>
  <c r="Y155" i="65"/>
  <c r="Z155" i="65"/>
  <c r="AA155" i="65"/>
  <c r="AB155" i="65"/>
  <c r="AC155" i="65"/>
  <c r="AD155" i="65"/>
  <c r="AE155" i="65"/>
  <c r="AF155" i="65"/>
  <c r="AG155" i="65"/>
  <c r="AH155" i="65"/>
  <c r="AI155" i="65"/>
  <c r="AJ155" i="65"/>
  <c r="AK155" i="65" s="1"/>
  <c r="B156" i="65"/>
  <c r="C156" i="65"/>
  <c r="D156" i="65"/>
  <c r="E156" i="65"/>
  <c r="F156" i="65"/>
  <c r="G156" i="65"/>
  <c r="H156" i="65"/>
  <c r="I156" i="65"/>
  <c r="J156" i="65"/>
  <c r="K156" i="65"/>
  <c r="L156" i="65"/>
  <c r="M156" i="65"/>
  <c r="N156" i="65"/>
  <c r="O156" i="65"/>
  <c r="P156" i="65"/>
  <c r="Q156" i="65"/>
  <c r="R156" i="65"/>
  <c r="S156" i="65"/>
  <c r="T156" i="65"/>
  <c r="U156" i="65"/>
  <c r="V156" i="65"/>
  <c r="W156" i="65"/>
  <c r="X156" i="65"/>
  <c r="Y156" i="65"/>
  <c r="Z156" i="65"/>
  <c r="AA156" i="65"/>
  <c r="AB156" i="65"/>
  <c r="AC156" i="65"/>
  <c r="AD156" i="65"/>
  <c r="AE156" i="65"/>
  <c r="AF156" i="65"/>
  <c r="AG156" i="65"/>
  <c r="AH156" i="65"/>
  <c r="AI156" i="65"/>
  <c r="AJ156" i="65"/>
  <c r="AK156" i="65" s="1"/>
  <c r="B157" i="65"/>
  <c r="C157" i="65"/>
  <c r="D157" i="65"/>
  <c r="E157" i="65"/>
  <c r="F157" i="65"/>
  <c r="G157" i="65"/>
  <c r="H157" i="65"/>
  <c r="I157" i="65"/>
  <c r="J157" i="65"/>
  <c r="K157" i="65"/>
  <c r="L157" i="65"/>
  <c r="M157" i="65"/>
  <c r="N157" i="65"/>
  <c r="O157" i="65"/>
  <c r="P157" i="65"/>
  <c r="Q157" i="65"/>
  <c r="R157" i="65"/>
  <c r="S157" i="65"/>
  <c r="T157" i="65"/>
  <c r="U157" i="65"/>
  <c r="V157" i="65"/>
  <c r="W157" i="65"/>
  <c r="X157" i="65"/>
  <c r="Y157" i="65"/>
  <c r="Z157" i="65"/>
  <c r="AA157" i="65"/>
  <c r="AB157" i="65"/>
  <c r="AC157" i="65"/>
  <c r="AD157" i="65"/>
  <c r="AE157" i="65"/>
  <c r="AF157" i="65"/>
  <c r="AG157" i="65"/>
  <c r="AH157" i="65"/>
  <c r="AI157" i="65"/>
  <c r="AJ157" i="65"/>
  <c r="AK157" i="65" s="1"/>
  <c r="B158" i="65"/>
  <c r="C158" i="65"/>
  <c r="D158" i="65"/>
  <c r="E158" i="65"/>
  <c r="F158" i="65"/>
  <c r="G158" i="65"/>
  <c r="H158" i="65"/>
  <c r="I158" i="65"/>
  <c r="J158" i="65"/>
  <c r="K158" i="65"/>
  <c r="L158" i="65"/>
  <c r="M158" i="65"/>
  <c r="N158" i="65"/>
  <c r="O158" i="65"/>
  <c r="P158" i="65"/>
  <c r="Q158" i="65"/>
  <c r="R158" i="65"/>
  <c r="S158" i="65"/>
  <c r="T158" i="65"/>
  <c r="U158" i="65"/>
  <c r="V158" i="65"/>
  <c r="W158" i="65"/>
  <c r="X158" i="65"/>
  <c r="Y158" i="65"/>
  <c r="Z158" i="65"/>
  <c r="AA158" i="65"/>
  <c r="AB158" i="65"/>
  <c r="AC158" i="65"/>
  <c r="AD158" i="65"/>
  <c r="AE158" i="65"/>
  <c r="AF158" i="65"/>
  <c r="AG158" i="65"/>
  <c r="AH158" i="65"/>
  <c r="AI158" i="65"/>
  <c r="AJ158" i="65"/>
  <c r="AK158" i="65" s="1"/>
  <c r="B159" i="65"/>
  <c r="C159" i="65"/>
  <c r="D159" i="65"/>
  <c r="E159" i="65"/>
  <c r="F159" i="65"/>
  <c r="G159" i="65"/>
  <c r="H159" i="65"/>
  <c r="I159" i="65"/>
  <c r="J159" i="65"/>
  <c r="K159" i="65"/>
  <c r="L159" i="65"/>
  <c r="M159" i="65"/>
  <c r="N159" i="65"/>
  <c r="O159" i="65"/>
  <c r="P159" i="65"/>
  <c r="Q159" i="65"/>
  <c r="R159" i="65"/>
  <c r="S159" i="65"/>
  <c r="T159" i="65"/>
  <c r="U159" i="65"/>
  <c r="V159" i="65"/>
  <c r="W159" i="65"/>
  <c r="X159" i="65"/>
  <c r="Y159" i="65"/>
  <c r="Z159" i="65"/>
  <c r="AA159" i="65"/>
  <c r="AB159" i="65"/>
  <c r="AC159" i="65"/>
  <c r="AD159" i="65"/>
  <c r="AE159" i="65"/>
  <c r="AF159" i="65"/>
  <c r="AG159" i="65"/>
  <c r="AH159" i="65"/>
  <c r="AI159" i="65"/>
  <c r="AJ159" i="65"/>
  <c r="AK159" i="65" s="1"/>
  <c r="B160" i="65"/>
  <c r="C160" i="65"/>
  <c r="D160" i="65"/>
  <c r="E160" i="65"/>
  <c r="F160" i="65"/>
  <c r="G160" i="65"/>
  <c r="H160" i="65"/>
  <c r="I160" i="65"/>
  <c r="J160" i="65"/>
  <c r="K160" i="65"/>
  <c r="L160" i="65"/>
  <c r="M160" i="65"/>
  <c r="N160" i="65"/>
  <c r="O160" i="65"/>
  <c r="P160" i="65"/>
  <c r="Q160" i="65"/>
  <c r="R160" i="65"/>
  <c r="S160" i="65"/>
  <c r="T160" i="65"/>
  <c r="U160" i="65"/>
  <c r="V160" i="65"/>
  <c r="W160" i="65"/>
  <c r="X160" i="65"/>
  <c r="Y160" i="65"/>
  <c r="Z160" i="65"/>
  <c r="AA160" i="65"/>
  <c r="AB160" i="65"/>
  <c r="AC160" i="65"/>
  <c r="AD160" i="65"/>
  <c r="AE160" i="65"/>
  <c r="AF160" i="65"/>
  <c r="AG160" i="65"/>
  <c r="AH160" i="65"/>
  <c r="AI160" i="65"/>
  <c r="AJ160" i="65"/>
  <c r="AK160" i="65" s="1"/>
  <c r="B161" i="65"/>
  <c r="C161" i="65"/>
  <c r="D161" i="65"/>
  <c r="E161" i="65"/>
  <c r="F161" i="65"/>
  <c r="G161" i="65"/>
  <c r="H161" i="65"/>
  <c r="I161" i="65"/>
  <c r="J161" i="65"/>
  <c r="K161" i="65"/>
  <c r="L161" i="65"/>
  <c r="M161" i="65"/>
  <c r="N161" i="65"/>
  <c r="O161" i="65"/>
  <c r="P161" i="65"/>
  <c r="Q161" i="65"/>
  <c r="R161" i="65"/>
  <c r="S161" i="65"/>
  <c r="T161" i="65"/>
  <c r="U161" i="65"/>
  <c r="V161" i="65"/>
  <c r="W161" i="65"/>
  <c r="X161" i="65"/>
  <c r="Y161" i="65"/>
  <c r="Z161" i="65"/>
  <c r="AA161" i="65"/>
  <c r="AB161" i="65"/>
  <c r="AC161" i="65"/>
  <c r="AD161" i="65"/>
  <c r="AE161" i="65"/>
  <c r="AF161" i="65"/>
  <c r="AG161" i="65"/>
  <c r="AH161" i="65"/>
  <c r="AI161" i="65"/>
  <c r="AJ161" i="65"/>
  <c r="AK161" i="65" s="1"/>
  <c r="B162" i="65"/>
  <c r="C162" i="65"/>
  <c r="D162" i="65"/>
  <c r="E162" i="65"/>
  <c r="F162" i="65"/>
  <c r="G162" i="65"/>
  <c r="H162" i="65"/>
  <c r="I162" i="65"/>
  <c r="J162" i="65"/>
  <c r="K162" i="65"/>
  <c r="L162" i="65"/>
  <c r="M162" i="65"/>
  <c r="N162" i="65"/>
  <c r="O162" i="65"/>
  <c r="P162" i="65"/>
  <c r="Q162" i="65"/>
  <c r="R162" i="65"/>
  <c r="S162" i="65"/>
  <c r="T162" i="65"/>
  <c r="U162" i="65"/>
  <c r="V162" i="65"/>
  <c r="W162" i="65"/>
  <c r="X162" i="65"/>
  <c r="Y162" i="65"/>
  <c r="Z162" i="65"/>
  <c r="AA162" i="65"/>
  <c r="AB162" i="65"/>
  <c r="AC162" i="65"/>
  <c r="AD162" i="65"/>
  <c r="AE162" i="65"/>
  <c r="AF162" i="65"/>
  <c r="AG162" i="65"/>
  <c r="AH162" i="65"/>
  <c r="AI162" i="65"/>
  <c r="AJ162" i="65"/>
  <c r="AK162" i="65" s="1"/>
  <c r="B163" i="65"/>
  <c r="C163" i="65"/>
  <c r="D163" i="65"/>
  <c r="E163" i="65"/>
  <c r="F163" i="65"/>
  <c r="G163" i="65"/>
  <c r="H163" i="65"/>
  <c r="I163" i="65"/>
  <c r="J163" i="65"/>
  <c r="K163" i="65"/>
  <c r="L163" i="65"/>
  <c r="M163" i="65"/>
  <c r="N163" i="65"/>
  <c r="O163" i="65"/>
  <c r="P163" i="65"/>
  <c r="Q163" i="65"/>
  <c r="R163" i="65"/>
  <c r="S163" i="65"/>
  <c r="T163" i="65"/>
  <c r="U163" i="65"/>
  <c r="V163" i="65"/>
  <c r="W163" i="65"/>
  <c r="X163" i="65"/>
  <c r="Y163" i="65"/>
  <c r="Z163" i="65"/>
  <c r="AA163" i="65"/>
  <c r="AB163" i="65"/>
  <c r="AC163" i="65"/>
  <c r="AD163" i="65"/>
  <c r="AE163" i="65"/>
  <c r="AF163" i="65"/>
  <c r="AG163" i="65"/>
  <c r="AH163" i="65"/>
  <c r="AI163" i="65"/>
  <c r="AJ163" i="65"/>
  <c r="AK163" i="65" s="1"/>
  <c r="B164" i="65"/>
  <c r="C164" i="65"/>
  <c r="D164" i="65"/>
  <c r="E164" i="65"/>
  <c r="F164" i="65"/>
  <c r="G164" i="65"/>
  <c r="H164" i="65"/>
  <c r="I164" i="65"/>
  <c r="J164" i="65"/>
  <c r="K164" i="65"/>
  <c r="L164" i="65"/>
  <c r="M164" i="65"/>
  <c r="N164" i="65"/>
  <c r="O164" i="65"/>
  <c r="P164" i="65"/>
  <c r="Q164" i="65"/>
  <c r="R164" i="65"/>
  <c r="S164" i="65"/>
  <c r="T164" i="65"/>
  <c r="U164" i="65"/>
  <c r="V164" i="65"/>
  <c r="W164" i="65"/>
  <c r="X164" i="65"/>
  <c r="Y164" i="65"/>
  <c r="Z164" i="65"/>
  <c r="AA164" i="65"/>
  <c r="AB164" i="65"/>
  <c r="AC164" i="65"/>
  <c r="AD164" i="65"/>
  <c r="AE164" i="65"/>
  <c r="AF164" i="65"/>
  <c r="AG164" i="65"/>
  <c r="AH164" i="65"/>
  <c r="AJ164" i="65" s="1"/>
  <c r="AK164" i="65" s="1"/>
  <c r="AI164" i="65"/>
  <c r="B165" i="65"/>
  <c r="AJ165" i="65" s="1"/>
  <c r="AK165" i="65" s="1"/>
  <c r="C165" i="65"/>
  <c r="D165" i="65"/>
  <c r="E165" i="65"/>
  <c r="F165" i="65"/>
  <c r="G165" i="65"/>
  <c r="H165" i="65"/>
  <c r="I165" i="65"/>
  <c r="J165" i="65"/>
  <c r="K165" i="65"/>
  <c r="L165" i="65"/>
  <c r="M165" i="65"/>
  <c r="N165" i="65"/>
  <c r="O165" i="65"/>
  <c r="P165" i="65"/>
  <c r="Q165" i="65"/>
  <c r="R165" i="65"/>
  <c r="S165" i="65"/>
  <c r="T165" i="65"/>
  <c r="U165" i="65"/>
  <c r="V165" i="65"/>
  <c r="W165" i="65"/>
  <c r="X165" i="65"/>
  <c r="Y165" i="65"/>
  <c r="Z165" i="65"/>
  <c r="AA165" i="65"/>
  <c r="AB165" i="65"/>
  <c r="AC165" i="65"/>
  <c r="AD165" i="65"/>
  <c r="AE165" i="65"/>
  <c r="AF165" i="65"/>
  <c r="AG165" i="65"/>
  <c r="AH165" i="65"/>
  <c r="AI165" i="65"/>
  <c r="B166" i="65"/>
  <c r="C166" i="65"/>
  <c r="D166" i="65"/>
  <c r="E166" i="65"/>
  <c r="F166" i="65"/>
  <c r="G166" i="65"/>
  <c r="H166" i="65"/>
  <c r="I166" i="65"/>
  <c r="J166" i="65"/>
  <c r="K166" i="65"/>
  <c r="L166" i="65"/>
  <c r="M166" i="65"/>
  <c r="N166" i="65"/>
  <c r="O166" i="65"/>
  <c r="P166" i="65"/>
  <c r="Q166" i="65"/>
  <c r="R166" i="65"/>
  <c r="S166" i="65"/>
  <c r="T166" i="65"/>
  <c r="U166" i="65"/>
  <c r="V166" i="65"/>
  <c r="W166" i="65"/>
  <c r="X166" i="65"/>
  <c r="Y166" i="65"/>
  <c r="Z166" i="65"/>
  <c r="AA166" i="65"/>
  <c r="AB166" i="65"/>
  <c r="AC166" i="65"/>
  <c r="AD166" i="65"/>
  <c r="AE166" i="65"/>
  <c r="AF166" i="65"/>
  <c r="AG166" i="65"/>
  <c r="AH166" i="65"/>
  <c r="AI166" i="65"/>
  <c r="AJ166" i="65"/>
  <c r="AK166" i="65" s="1"/>
  <c r="B167" i="65"/>
  <c r="C167" i="65"/>
  <c r="D167" i="65"/>
  <c r="E167" i="65"/>
  <c r="F167" i="65"/>
  <c r="G167" i="65"/>
  <c r="H167" i="65"/>
  <c r="I167" i="65"/>
  <c r="J167" i="65"/>
  <c r="K167" i="65"/>
  <c r="L167" i="65"/>
  <c r="M167" i="65"/>
  <c r="N167" i="65"/>
  <c r="O167" i="65"/>
  <c r="P167" i="65"/>
  <c r="Q167" i="65"/>
  <c r="R167" i="65"/>
  <c r="S167" i="65"/>
  <c r="T167" i="65"/>
  <c r="U167" i="65"/>
  <c r="V167" i="65"/>
  <c r="W167" i="65"/>
  <c r="X167" i="65"/>
  <c r="Y167" i="65"/>
  <c r="Z167" i="65"/>
  <c r="AA167" i="65"/>
  <c r="AB167" i="65"/>
  <c r="AC167" i="65"/>
  <c r="AD167" i="65"/>
  <c r="AE167" i="65"/>
  <c r="AF167" i="65"/>
  <c r="AG167" i="65"/>
  <c r="AH167" i="65"/>
  <c r="AI167" i="65"/>
  <c r="AJ167" i="65"/>
  <c r="AK167" i="65" s="1"/>
  <c r="B168" i="65"/>
  <c r="C168" i="65"/>
  <c r="D168" i="65"/>
  <c r="E168" i="65"/>
  <c r="F168" i="65"/>
  <c r="G168" i="65"/>
  <c r="H168" i="65"/>
  <c r="I168" i="65"/>
  <c r="J168" i="65"/>
  <c r="K168" i="65"/>
  <c r="L168" i="65"/>
  <c r="M168" i="65"/>
  <c r="N168" i="65"/>
  <c r="O168" i="65"/>
  <c r="P168" i="65"/>
  <c r="Q168" i="65"/>
  <c r="R168" i="65"/>
  <c r="S168" i="65"/>
  <c r="T168" i="65"/>
  <c r="U168" i="65"/>
  <c r="V168" i="65"/>
  <c r="W168" i="65"/>
  <c r="X168" i="65"/>
  <c r="Y168" i="65"/>
  <c r="Z168" i="65"/>
  <c r="AA168" i="65"/>
  <c r="AB168" i="65"/>
  <c r="AC168" i="65"/>
  <c r="AD168" i="65"/>
  <c r="AE168" i="65"/>
  <c r="AF168" i="65"/>
  <c r="AG168" i="65"/>
  <c r="AH168" i="65"/>
  <c r="AJ168" i="65" s="1"/>
  <c r="AK168" i="65" s="1"/>
  <c r="AI168" i="65"/>
  <c r="B169" i="65"/>
  <c r="C169" i="65"/>
  <c r="AJ169" i="65" s="1"/>
  <c r="AK169" i="65" s="1"/>
  <c r="D169" i="65"/>
  <c r="E169" i="65"/>
  <c r="F169" i="65"/>
  <c r="G169" i="65"/>
  <c r="H169" i="65"/>
  <c r="I169" i="65"/>
  <c r="J169" i="65"/>
  <c r="K169" i="65"/>
  <c r="L169" i="65"/>
  <c r="M169" i="65"/>
  <c r="N169" i="65"/>
  <c r="O169" i="65"/>
  <c r="P169" i="65"/>
  <c r="Q169" i="65"/>
  <c r="R169" i="65"/>
  <c r="S169" i="65"/>
  <c r="T169" i="65"/>
  <c r="U169" i="65"/>
  <c r="V169" i="65"/>
  <c r="W169" i="65"/>
  <c r="X169" i="65"/>
  <c r="Y169" i="65"/>
  <c r="Z169" i="65"/>
  <c r="AA169" i="65"/>
  <c r="AB169" i="65"/>
  <c r="AC169" i="65"/>
  <c r="AD169" i="65"/>
  <c r="AE169" i="65"/>
  <c r="AF169" i="65"/>
  <c r="AG169" i="65"/>
  <c r="AH169" i="65"/>
  <c r="AI169" i="65"/>
  <c r="B170" i="65"/>
  <c r="C170" i="65"/>
  <c r="D170" i="65"/>
  <c r="E170" i="65"/>
  <c r="F170" i="65"/>
  <c r="G170" i="65"/>
  <c r="H170" i="65"/>
  <c r="I170" i="65"/>
  <c r="J170" i="65"/>
  <c r="K170" i="65"/>
  <c r="L170" i="65"/>
  <c r="M170" i="65"/>
  <c r="N170" i="65"/>
  <c r="O170" i="65"/>
  <c r="P170" i="65"/>
  <c r="Q170" i="65"/>
  <c r="R170" i="65"/>
  <c r="S170" i="65"/>
  <c r="T170" i="65"/>
  <c r="U170" i="65"/>
  <c r="V170" i="65"/>
  <c r="W170" i="65"/>
  <c r="X170" i="65"/>
  <c r="Y170" i="65"/>
  <c r="Z170" i="65"/>
  <c r="AA170" i="65"/>
  <c r="AB170" i="65"/>
  <c r="AC170" i="65"/>
  <c r="AD170" i="65"/>
  <c r="AE170" i="65"/>
  <c r="AF170" i="65"/>
  <c r="AG170" i="65"/>
  <c r="AH170" i="65"/>
  <c r="AI170" i="65"/>
  <c r="AJ170" i="65"/>
  <c r="AK170" i="65" s="1"/>
  <c r="B171" i="65"/>
  <c r="C171" i="65"/>
  <c r="D171" i="65"/>
  <c r="E171" i="65"/>
  <c r="F171" i="65"/>
  <c r="G171" i="65"/>
  <c r="H171" i="65"/>
  <c r="I171" i="65"/>
  <c r="J171" i="65"/>
  <c r="K171" i="65"/>
  <c r="L171" i="65"/>
  <c r="M171" i="65"/>
  <c r="N171" i="65"/>
  <c r="O171" i="65"/>
  <c r="P171" i="65"/>
  <c r="Q171" i="65"/>
  <c r="R171" i="65"/>
  <c r="S171" i="65"/>
  <c r="T171" i="65"/>
  <c r="U171" i="65"/>
  <c r="V171" i="65"/>
  <c r="W171" i="65"/>
  <c r="X171" i="65"/>
  <c r="Y171" i="65"/>
  <c r="Z171" i="65"/>
  <c r="AA171" i="65"/>
  <c r="AB171" i="65"/>
  <c r="AC171" i="65"/>
  <c r="AD171" i="65"/>
  <c r="AE171" i="65"/>
  <c r="AF171" i="65"/>
  <c r="AG171" i="65"/>
  <c r="AH171" i="65"/>
  <c r="AI171" i="65"/>
  <c r="AJ171" i="65"/>
  <c r="AK171" i="65" s="1"/>
  <c r="B172" i="65"/>
  <c r="C172" i="65"/>
  <c r="D172" i="65"/>
  <c r="E172" i="65"/>
  <c r="F172" i="65"/>
  <c r="G172" i="65"/>
  <c r="H172" i="65"/>
  <c r="I172" i="65"/>
  <c r="J172" i="65"/>
  <c r="K172" i="65"/>
  <c r="L172" i="65"/>
  <c r="M172" i="65"/>
  <c r="N172" i="65"/>
  <c r="O172" i="65"/>
  <c r="P172" i="65"/>
  <c r="Q172" i="65"/>
  <c r="R172" i="65"/>
  <c r="S172" i="65"/>
  <c r="T172" i="65"/>
  <c r="U172" i="65"/>
  <c r="V172" i="65"/>
  <c r="W172" i="65"/>
  <c r="X172" i="65"/>
  <c r="Y172" i="65"/>
  <c r="Z172" i="65"/>
  <c r="AA172" i="65"/>
  <c r="AB172" i="65"/>
  <c r="AC172" i="65"/>
  <c r="AD172" i="65"/>
  <c r="AJ172" i="65" s="1"/>
  <c r="AK172" i="65" s="1"/>
  <c r="AE172" i="65"/>
  <c r="AF172" i="65"/>
  <c r="AG172" i="65"/>
  <c r="AH172" i="65"/>
  <c r="AI172" i="65"/>
  <c r="B173" i="65"/>
  <c r="C173" i="65"/>
  <c r="AJ173" i="65" s="1"/>
  <c r="AK173" i="65" s="1"/>
  <c r="D173" i="65"/>
  <c r="E173" i="65"/>
  <c r="F173" i="65"/>
  <c r="G173" i="65"/>
  <c r="H173" i="65"/>
  <c r="I173" i="65"/>
  <c r="J173" i="65"/>
  <c r="K173" i="65"/>
  <c r="L173" i="65"/>
  <c r="M173" i="65"/>
  <c r="N173" i="65"/>
  <c r="O173" i="65"/>
  <c r="P173" i="65"/>
  <c r="Q173" i="65"/>
  <c r="R173" i="65"/>
  <c r="S173" i="65"/>
  <c r="T173" i="65"/>
  <c r="U173" i="65"/>
  <c r="V173" i="65"/>
  <c r="W173" i="65"/>
  <c r="X173" i="65"/>
  <c r="Y173" i="65"/>
  <c r="Z173" i="65"/>
  <c r="AA173" i="65"/>
  <c r="AB173" i="65"/>
  <c r="AC173" i="65"/>
  <c r="AD173" i="65"/>
  <c r="AE173" i="65"/>
  <c r="AF173" i="65"/>
  <c r="AG173" i="65"/>
  <c r="AH173" i="65"/>
  <c r="AI173" i="65"/>
  <c r="B174" i="65"/>
  <c r="C174" i="65"/>
  <c r="AJ174" i="65" s="1"/>
  <c r="AK174" i="65" s="1"/>
  <c r="D174" i="65"/>
  <c r="E174" i="65"/>
  <c r="F174" i="65"/>
  <c r="G174" i="65"/>
  <c r="H174" i="65"/>
  <c r="I174" i="65"/>
  <c r="J174" i="65"/>
  <c r="K174" i="65"/>
  <c r="L174" i="65"/>
  <c r="M174" i="65"/>
  <c r="N174" i="65"/>
  <c r="O174" i="65"/>
  <c r="P174" i="65"/>
  <c r="Q174" i="65"/>
  <c r="R174" i="65"/>
  <c r="S174" i="65"/>
  <c r="T174" i="65"/>
  <c r="U174" i="65"/>
  <c r="V174" i="65"/>
  <c r="W174" i="65"/>
  <c r="X174" i="65"/>
  <c r="Y174" i="65"/>
  <c r="Z174" i="65"/>
  <c r="AA174" i="65"/>
  <c r="AB174" i="65"/>
  <c r="AC174" i="65"/>
  <c r="AD174" i="65"/>
  <c r="AE174" i="65"/>
  <c r="AF174" i="65"/>
  <c r="AG174" i="65"/>
  <c r="AH174" i="65"/>
  <c r="AI174" i="65"/>
  <c r="B175" i="65"/>
  <c r="C175" i="65"/>
  <c r="AJ175" i="65" s="1"/>
  <c r="AK175" i="65" s="1"/>
  <c r="D175" i="65"/>
  <c r="E175" i="65"/>
  <c r="F175" i="65"/>
  <c r="G175" i="65"/>
  <c r="H175" i="65"/>
  <c r="I175" i="65"/>
  <c r="J175" i="65"/>
  <c r="K175" i="65"/>
  <c r="L175" i="65"/>
  <c r="M175" i="65"/>
  <c r="N175" i="65"/>
  <c r="O175" i="65"/>
  <c r="P175" i="65"/>
  <c r="Q175" i="65"/>
  <c r="R175" i="65"/>
  <c r="S175" i="65"/>
  <c r="T175" i="65"/>
  <c r="U175" i="65"/>
  <c r="V175" i="65"/>
  <c r="W175" i="65"/>
  <c r="X175" i="65"/>
  <c r="Y175" i="65"/>
  <c r="Z175" i="65"/>
  <c r="AA175" i="65"/>
  <c r="AB175" i="65"/>
  <c r="AC175" i="65"/>
  <c r="AD175" i="65"/>
  <c r="AE175" i="65"/>
  <c r="AF175" i="65"/>
  <c r="AG175" i="65"/>
  <c r="AH175" i="65"/>
  <c r="AI175" i="65"/>
  <c r="B176" i="65"/>
  <c r="C176" i="65"/>
  <c r="AJ176" i="65" s="1"/>
  <c r="AK176" i="65" s="1"/>
  <c r="D176" i="65"/>
  <c r="E176" i="65"/>
  <c r="F176" i="65"/>
  <c r="G176" i="65"/>
  <c r="H176" i="65"/>
  <c r="I176" i="65"/>
  <c r="J176" i="65"/>
  <c r="K176" i="65"/>
  <c r="L176" i="65"/>
  <c r="M176" i="65"/>
  <c r="N176" i="65"/>
  <c r="O176" i="65"/>
  <c r="P176" i="65"/>
  <c r="Q176" i="65"/>
  <c r="R176" i="65"/>
  <c r="S176" i="65"/>
  <c r="T176" i="65"/>
  <c r="U176" i="65"/>
  <c r="V176" i="65"/>
  <c r="W176" i="65"/>
  <c r="X176" i="65"/>
  <c r="Y176" i="65"/>
  <c r="Z176" i="65"/>
  <c r="AA176" i="65"/>
  <c r="AB176" i="65"/>
  <c r="AC176" i="65"/>
  <c r="AD176" i="65"/>
  <c r="AE176" i="65"/>
  <c r="AF176" i="65"/>
  <c r="AG176" i="65"/>
  <c r="AH176" i="65"/>
  <c r="AI176" i="65"/>
  <c r="B177" i="65"/>
  <c r="C177" i="65"/>
  <c r="AJ177" i="65" s="1"/>
  <c r="AK177" i="65" s="1"/>
  <c r="D177" i="65"/>
  <c r="E177" i="65"/>
  <c r="F177" i="65"/>
  <c r="G177" i="65"/>
  <c r="H177" i="65"/>
  <c r="I177" i="65"/>
  <c r="J177" i="65"/>
  <c r="K177" i="65"/>
  <c r="L177" i="65"/>
  <c r="M177" i="65"/>
  <c r="N177" i="65"/>
  <c r="O177" i="65"/>
  <c r="P177" i="65"/>
  <c r="Q177" i="65"/>
  <c r="R177" i="65"/>
  <c r="S177" i="65"/>
  <c r="T177" i="65"/>
  <c r="U177" i="65"/>
  <c r="V177" i="65"/>
  <c r="W177" i="65"/>
  <c r="X177" i="65"/>
  <c r="Y177" i="65"/>
  <c r="Z177" i="65"/>
  <c r="AA177" i="65"/>
  <c r="AB177" i="65"/>
  <c r="AC177" i="65"/>
  <c r="AD177" i="65"/>
  <c r="AE177" i="65"/>
  <c r="AF177" i="65"/>
  <c r="AG177" i="65"/>
  <c r="AH177" i="65"/>
  <c r="AI177" i="65"/>
  <c r="B178" i="65"/>
  <c r="C178" i="65"/>
  <c r="AJ178" i="65" s="1"/>
  <c r="AK178" i="65" s="1"/>
  <c r="D178" i="65"/>
  <c r="E178" i="65"/>
  <c r="F178" i="65"/>
  <c r="G178" i="65"/>
  <c r="H178" i="65"/>
  <c r="I178" i="65"/>
  <c r="J178" i="65"/>
  <c r="K178" i="65"/>
  <c r="L178" i="65"/>
  <c r="M178" i="65"/>
  <c r="N178" i="65"/>
  <c r="O178" i="65"/>
  <c r="P178" i="65"/>
  <c r="Q178" i="65"/>
  <c r="R178" i="65"/>
  <c r="S178" i="65"/>
  <c r="T178" i="65"/>
  <c r="U178" i="65"/>
  <c r="V178" i="65"/>
  <c r="W178" i="65"/>
  <c r="X178" i="65"/>
  <c r="Y178" i="65"/>
  <c r="Z178" i="65"/>
  <c r="AA178" i="65"/>
  <c r="AB178" i="65"/>
  <c r="AC178" i="65"/>
  <c r="AD178" i="65"/>
  <c r="AE178" i="65"/>
  <c r="AF178" i="65"/>
  <c r="AG178" i="65"/>
  <c r="AH178" i="65"/>
  <c r="AI178" i="65"/>
  <c r="B179" i="65"/>
  <c r="C179" i="65"/>
  <c r="AJ179" i="65" s="1"/>
  <c r="AK179" i="65" s="1"/>
  <c r="D179" i="65"/>
  <c r="E179" i="65"/>
  <c r="F179" i="65"/>
  <c r="G179" i="65"/>
  <c r="H179" i="65"/>
  <c r="I179" i="65"/>
  <c r="J179" i="65"/>
  <c r="K179" i="65"/>
  <c r="L179" i="65"/>
  <c r="M179" i="65"/>
  <c r="N179" i="65"/>
  <c r="O179" i="65"/>
  <c r="P179" i="65"/>
  <c r="Q179" i="65"/>
  <c r="R179" i="65"/>
  <c r="S179" i="65"/>
  <c r="T179" i="65"/>
  <c r="U179" i="65"/>
  <c r="V179" i="65"/>
  <c r="W179" i="65"/>
  <c r="X179" i="65"/>
  <c r="Y179" i="65"/>
  <c r="Z179" i="65"/>
  <c r="AA179" i="65"/>
  <c r="AB179" i="65"/>
  <c r="AC179" i="65"/>
  <c r="AD179" i="65"/>
  <c r="AE179" i="65"/>
  <c r="AF179" i="65"/>
  <c r="AG179" i="65"/>
  <c r="AH179" i="65"/>
  <c r="AI179" i="65"/>
  <c r="B180" i="65"/>
  <c r="C180" i="65"/>
  <c r="AJ180" i="65" s="1"/>
  <c r="AK180" i="65" s="1"/>
  <c r="D180" i="65"/>
  <c r="E180" i="65"/>
  <c r="F180" i="65"/>
  <c r="G180" i="65"/>
  <c r="H180" i="65"/>
  <c r="I180" i="65"/>
  <c r="J180" i="65"/>
  <c r="K180" i="65"/>
  <c r="L180" i="65"/>
  <c r="M180" i="65"/>
  <c r="N180" i="65"/>
  <c r="O180" i="65"/>
  <c r="P180" i="65"/>
  <c r="Q180" i="65"/>
  <c r="R180" i="65"/>
  <c r="S180" i="65"/>
  <c r="T180" i="65"/>
  <c r="U180" i="65"/>
  <c r="V180" i="65"/>
  <c r="W180" i="65"/>
  <c r="X180" i="65"/>
  <c r="Y180" i="65"/>
  <c r="Z180" i="65"/>
  <c r="AA180" i="65"/>
  <c r="AB180" i="65"/>
  <c r="AC180" i="65"/>
  <c r="AD180" i="65"/>
  <c r="AE180" i="65"/>
  <c r="AF180" i="65"/>
  <c r="AG180" i="65"/>
  <c r="AH180" i="65"/>
  <c r="AI180" i="65"/>
  <c r="B181" i="65"/>
  <c r="C181" i="65"/>
  <c r="AJ181" i="65" s="1"/>
  <c r="AK181" i="65" s="1"/>
  <c r="D181" i="65"/>
  <c r="E181" i="65"/>
  <c r="F181" i="65"/>
  <c r="G181" i="65"/>
  <c r="H181" i="65"/>
  <c r="I181" i="65"/>
  <c r="J181" i="65"/>
  <c r="K181" i="65"/>
  <c r="L181" i="65"/>
  <c r="M181" i="65"/>
  <c r="N181" i="65"/>
  <c r="O181" i="65"/>
  <c r="P181" i="65"/>
  <c r="Q181" i="65"/>
  <c r="R181" i="65"/>
  <c r="S181" i="65"/>
  <c r="T181" i="65"/>
  <c r="U181" i="65"/>
  <c r="V181" i="65"/>
  <c r="W181" i="65"/>
  <c r="X181" i="65"/>
  <c r="Y181" i="65"/>
  <c r="Z181" i="65"/>
  <c r="AA181" i="65"/>
  <c r="AB181" i="65"/>
  <c r="AC181" i="65"/>
  <c r="AD181" i="65"/>
  <c r="AE181" i="65"/>
  <c r="AF181" i="65"/>
  <c r="AG181" i="65"/>
  <c r="AH181" i="65"/>
  <c r="AI181" i="65"/>
  <c r="B182" i="65"/>
  <c r="C182" i="65"/>
  <c r="AJ182" i="65" s="1"/>
  <c r="AK182" i="65" s="1"/>
  <c r="D182" i="65"/>
  <c r="E182" i="65"/>
  <c r="F182" i="65"/>
  <c r="G182" i="65"/>
  <c r="H182" i="65"/>
  <c r="I182" i="65"/>
  <c r="J182" i="65"/>
  <c r="K182" i="65"/>
  <c r="L182" i="65"/>
  <c r="M182" i="65"/>
  <c r="N182" i="65"/>
  <c r="O182" i="65"/>
  <c r="P182" i="65"/>
  <c r="Q182" i="65"/>
  <c r="R182" i="65"/>
  <c r="S182" i="65"/>
  <c r="T182" i="65"/>
  <c r="U182" i="65"/>
  <c r="V182" i="65"/>
  <c r="W182" i="65"/>
  <c r="X182" i="65"/>
  <c r="Y182" i="65"/>
  <c r="Z182" i="65"/>
  <c r="AA182" i="65"/>
  <c r="AB182" i="65"/>
  <c r="AC182" i="65"/>
  <c r="AD182" i="65"/>
  <c r="AE182" i="65"/>
  <c r="AF182" i="65"/>
  <c r="AG182" i="65"/>
  <c r="AH182" i="65"/>
  <c r="AI182" i="65"/>
  <c r="B183" i="65"/>
  <c r="C183" i="65"/>
  <c r="AJ183" i="65" s="1"/>
  <c r="AK183" i="65" s="1"/>
  <c r="D183" i="65"/>
  <c r="E183" i="65"/>
  <c r="F183" i="65"/>
  <c r="G183" i="65"/>
  <c r="H183" i="65"/>
  <c r="I183" i="65"/>
  <c r="J183" i="65"/>
  <c r="K183" i="65"/>
  <c r="L183" i="65"/>
  <c r="M183" i="65"/>
  <c r="N183" i="65"/>
  <c r="O183" i="65"/>
  <c r="P183" i="65"/>
  <c r="Q183" i="65"/>
  <c r="R183" i="65"/>
  <c r="S183" i="65"/>
  <c r="T183" i="65"/>
  <c r="U183" i="65"/>
  <c r="V183" i="65"/>
  <c r="W183" i="65"/>
  <c r="X183" i="65"/>
  <c r="Y183" i="65"/>
  <c r="Z183" i="65"/>
  <c r="AA183" i="65"/>
  <c r="AB183" i="65"/>
  <c r="AC183" i="65"/>
  <c r="AD183" i="65"/>
  <c r="AE183" i="65"/>
  <c r="AF183" i="65"/>
  <c r="AG183" i="65"/>
  <c r="AH183" i="65"/>
  <c r="AI183" i="65"/>
  <c r="AJ160" i="60"/>
  <c r="O310" i="43" l="1"/>
  <c r="O309" i="43"/>
  <c r="O308" i="43"/>
  <c r="O307" i="43"/>
  <c r="O305" i="43"/>
  <c r="O304" i="43"/>
  <c r="O302" i="43"/>
  <c r="O301" i="43"/>
  <c r="O300" i="43"/>
  <c r="O298" i="43"/>
  <c r="O297" i="43"/>
  <c r="O294" i="43"/>
  <c r="O290" i="43"/>
  <c r="O284" i="43"/>
  <c r="O283" i="43"/>
  <c r="O282" i="43"/>
  <c r="O281" i="43"/>
  <c r="O276" i="43"/>
  <c r="O272" i="43"/>
  <c r="O269" i="43"/>
  <c r="O265" i="43"/>
  <c r="O259" i="43"/>
  <c r="O258" i="43"/>
  <c r="O257" i="43"/>
  <c r="O256" i="43"/>
  <c r="O255" i="43"/>
  <c r="O250" i="43"/>
  <c r="O244" i="43"/>
  <c r="O243" i="43"/>
  <c r="O242" i="43"/>
  <c r="O240" i="43"/>
  <c r="O231" i="43"/>
  <c r="O229" i="43"/>
  <c r="O227" i="43"/>
  <c r="O226" i="43"/>
  <c r="O224" i="43"/>
  <c r="O223" i="43"/>
  <c r="O222" i="43"/>
  <c r="O221" i="43"/>
  <c r="O220" i="43"/>
  <c r="O217" i="43"/>
  <c r="O216" i="43"/>
  <c r="O215" i="43"/>
  <c r="O213" i="43"/>
  <c r="O211" i="43"/>
  <c r="O207" i="43"/>
  <c r="O205" i="43"/>
  <c r="O202" i="43"/>
  <c r="O200" i="43"/>
  <c r="O198" i="43"/>
  <c r="O196" i="43"/>
  <c r="O194" i="43"/>
  <c r="O193" i="43"/>
  <c r="O191" i="43"/>
  <c r="O190" i="43"/>
  <c r="O189" i="43"/>
  <c r="O187" i="43"/>
  <c r="O181" i="43"/>
  <c r="O180" i="43"/>
  <c r="O179" i="43"/>
  <c r="O178" i="43"/>
  <c r="O176" i="43"/>
  <c r="O175" i="43"/>
  <c r="O174" i="43"/>
  <c r="O173" i="43"/>
  <c r="O167" i="43"/>
  <c r="O165" i="43"/>
  <c r="O163" i="43"/>
  <c r="O156" i="43"/>
  <c r="O154" i="43"/>
  <c r="O152" i="43"/>
  <c r="O151" i="43"/>
  <c r="O149" i="43"/>
  <c r="O148" i="43"/>
  <c r="O146" i="43"/>
  <c r="O145" i="43"/>
  <c r="O142" i="43"/>
  <c r="O141" i="43"/>
  <c r="O140" i="43"/>
  <c r="O136" i="43"/>
  <c r="O135" i="43"/>
  <c r="O133" i="43"/>
  <c r="O132" i="43"/>
  <c r="O131" i="43"/>
  <c r="O129" i="43"/>
  <c r="O122" i="43"/>
  <c r="O121" i="43"/>
  <c r="O112" i="43"/>
  <c r="O98" i="43"/>
  <c r="O97" i="43"/>
  <c r="O96" i="43"/>
  <c r="O92" i="43"/>
  <c r="O90" i="43"/>
  <c r="O88" i="43"/>
  <c r="O87" i="43"/>
  <c r="O86" i="43"/>
  <c r="O83" i="43"/>
  <c r="O82" i="43"/>
  <c r="O81" i="43"/>
  <c r="O80" i="43"/>
  <c r="O73" i="43"/>
  <c r="O67" i="43"/>
  <c r="O66" i="43"/>
  <c r="O65" i="43"/>
  <c r="O63" i="43"/>
  <c r="O62" i="43"/>
  <c r="O60" i="43"/>
  <c r="O59" i="43"/>
  <c r="O58" i="43"/>
  <c r="O53" i="43"/>
  <c r="O48" i="43"/>
  <c r="O46" i="43"/>
  <c r="O43" i="43"/>
  <c r="O42" i="43"/>
  <c r="O40" i="43"/>
  <c r="O39" i="43"/>
  <c r="O38" i="43"/>
  <c r="O35" i="43"/>
  <c r="O34" i="43"/>
  <c r="O33" i="43"/>
  <c r="O30" i="43"/>
  <c r="O29" i="43"/>
  <c r="O28" i="43"/>
  <c r="O27" i="43"/>
  <c r="O23" i="43"/>
  <c r="O20" i="43"/>
  <c r="O18" i="43"/>
  <c r="O16" i="43"/>
  <c r="O11" i="43"/>
  <c r="O10" i="43"/>
  <c r="O9" i="43"/>
  <c r="O7" i="43"/>
  <c r="O6" i="43"/>
  <c r="O5" i="43"/>
  <c r="H6" i="43"/>
  <c r="H7" i="43"/>
  <c r="H9" i="43"/>
  <c r="H10" i="43"/>
  <c r="H11" i="43"/>
  <c r="H12" i="43"/>
  <c r="H16" i="43"/>
  <c r="H18" i="43"/>
  <c r="H20" i="43"/>
  <c r="H23" i="43"/>
  <c r="H27" i="43"/>
  <c r="H28" i="43"/>
  <c r="H29" i="43"/>
  <c r="V29" i="43" s="1"/>
  <c r="H30" i="43"/>
  <c r="H32" i="43"/>
  <c r="H33" i="43"/>
  <c r="V33" i="43" s="1"/>
  <c r="H34" i="43"/>
  <c r="H35" i="43"/>
  <c r="H38" i="43"/>
  <c r="H39" i="43"/>
  <c r="H40" i="43"/>
  <c r="H42" i="43"/>
  <c r="H43" i="43"/>
  <c r="H46" i="43"/>
  <c r="V46" i="43" s="1"/>
  <c r="H48" i="43"/>
  <c r="H53" i="43"/>
  <c r="V53" i="43" s="1"/>
  <c r="H58" i="43"/>
  <c r="H60" i="43"/>
  <c r="V60" i="43" s="1"/>
  <c r="H61" i="43"/>
  <c r="H62" i="43"/>
  <c r="V62" i="43" s="1"/>
  <c r="H63" i="43"/>
  <c r="V63" i="43" s="1"/>
  <c r="H65" i="43"/>
  <c r="V65" i="43" s="1"/>
  <c r="H66" i="43"/>
  <c r="V66" i="43" s="1"/>
  <c r="H67" i="43"/>
  <c r="V67" i="43" s="1"/>
  <c r="H68" i="43"/>
  <c r="H73" i="43"/>
  <c r="V73" i="43" s="1"/>
  <c r="H77" i="43"/>
  <c r="H78" i="43"/>
  <c r="H80" i="43"/>
  <c r="V80" i="43" s="1"/>
  <c r="H81" i="43"/>
  <c r="V81" i="43" s="1"/>
  <c r="H82" i="43"/>
  <c r="V82" i="43" s="1"/>
  <c r="H83" i="43"/>
  <c r="V83" i="43" s="1"/>
  <c r="H86" i="43"/>
  <c r="V86" i="43" s="1"/>
  <c r="H87" i="43"/>
  <c r="V87" i="43" s="1"/>
  <c r="H88" i="43"/>
  <c r="V88" i="43" s="1"/>
  <c r="H90" i="43"/>
  <c r="V90" i="43" s="1"/>
  <c r="H96" i="43"/>
  <c r="V96" i="43" s="1"/>
  <c r="H97" i="43"/>
  <c r="V97" i="43" s="1"/>
  <c r="H98" i="43"/>
  <c r="V98" i="43" s="1"/>
  <c r="H112" i="43"/>
  <c r="V112" i="43" s="1"/>
  <c r="H121" i="43"/>
  <c r="V121" i="43" s="1"/>
  <c r="H122" i="43"/>
  <c r="V122" i="43" s="1"/>
  <c r="H124" i="43"/>
  <c r="H129" i="43"/>
  <c r="V129" i="43" s="1"/>
  <c r="H131" i="43"/>
  <c r="V131" i="43" s="1"/>
  <c r="H132" i="43"/>
  <c r="V132" i="43" s="1"/>
  <c r="H133" i="43"/>
  <c r="V133" i="43" s="1"/>
  <c r="H135" i="43"/>
  <c r="V135" i="43" s="1"/>
  <c r="H136" i="43"/>
  <c r="V136" i="43" s="1"/>
  <c r="H140" i="43"/>
  <c r="V140" i="43" s="1"/>
  <c r="H141" i="43"/>
  <c r="V141" i="43" s="1"/>
  <c r="H142" i="43"/>
  <c r="V142" i="43" s="1"/>
  <c r="H145" i="43"/>
  <c r="V145" i="43" s="1"/>
  <c r="H146" i="43"/>
  <c r="V146" i="43" s="1"/>
  <c r="H148" i="43"/>
  <c r="V148" i="43" s="1"/>
  <c r="H149" i="43"/>
  <c r="V149" i="43" s="1"/>
  <c r="H151" i="43"/>
  <c r="V151" i="43" s="1"/>
  <c r="H152" i="43"/>
  <c r="V152" i="43" s="1"/>
  <c r="H154" i="43"/>
  <c r="V154" i="43" s="1"/>
  <c r="H156" i="43"/>
  <c r="V156" i="43" s="1"/>
  <c r="H157" i="43"/>
  <c r="H163" i="43"/>
  <c r="V163" i="43" s="1"/>
  <c r="H165" i="43"/>
  <c r="V165" i="43" s="1"/>
  <c r="H166" i="43"/>
  <c r="H167" i="43"/>
  <c r="V167" i="43" s="1"/>
  <c r="H171" i="43"/>
  <c r="H173" i="43"/>
  <c r="V173" i="43" s="1"/>
  <c r="H174" i="43"/>
  <c r="V174" i="43" s="1"/>
  <c r="H175" i="43"/>
  <c r="V175" i="43" s="1"/>
  <c r="H176" i="43"/>
  <c r="V176" i="43" s="1"/>
  <c r="H178" i="43"/>
  <c r="V178" i="43" s="1"/>
  <c r="H179" i="43"/>
  <c r="V179" i="43" s="1"/>
  <c r="H180" i="43"/>
  <c r="V180" i="43" s="1"/>
  <c r="H181" i="43"/>
  <c r="V181" i="43" s="1"/>
  <c r="H187" i="43"/>
  <c r="V187" i="43" s="1"/>
  <c r="H189" i="43"/>
  <c r="V189" i="43" s="1"/>
  <c r="H190" i="43"/>
  <c r="V190" i="43" s="1"/>
  <c r="H191" i="43"/>
  <c r="V191" i="43" s="1"/>
  <c r="H193" i="43"/>
  <c r="V193" i="43" s="1"/>
  <c r="H194" i="43"/>
  <c r="V194" i="43" s="1"/>
  <c r="H196" i="43"/>
  <c r="V196" i="43" s="1"/>
  <c r="H198" i="43"/>
  <c r="V198" i="43" s="1"/>
  <c r="H200" i="43"/>
  <c r="V200" i="43" s="1"/>
  <c r="H202" i="43"/>
  <c r="V202" i="43" s="1"/>
  <c r="H204" i="43"/>
  <c r="H205" i="43"/>
  <c r="V205" i="43" s="1"/>
  <c r="H207" i="43"/>
  <c r="V207" i="43" s="1"/>
  <c r="H211" i="43"/>
  <c r="V211" i="43" s="1"/>
  <c r="H213" i="43"/>
  <c r="V213" i="43" s="1"/>
  <c r="H215" i="43"/>
  <c r="V215" i="43" s="1"/>
  <c r="H216" i="43"/>
  <c r="V216" i="43" s="1"/>
  <c r="H217" i="43"/>
  <c r="V217" i="43" s="1"/>
  <c r="H220" i="43"/>
  <c r="V220" i="43" s="1"/>
  <c r="H221" i="43"/>
  <c r="V221" i="43" s="1"/>
  <c r="H222" i="43"/>
  <c r="V222" i="43" s="1"/>
  <c r="H223" i="43"/>
  <c r="V223" i="43" s="1"/>
  <c r="H224" i="43"/>
  <c r="V224" i="43" s="1"/>
  <c r="H226" i="43"/>
  <c r="V226" i="43" s="1"/>
  <c r="H227" i="43"/>
  <c r="V227" i="43" s="1"/>
  <c r="H228" i="43"/>
  <c r="H229" i="43"/>
  <c r="V229" i="43" s="1"/>
  <c r="H231" i="43"/>
  <c r="V231" i="43" s="1"/>
  <c r="H232" i="43"/>
  <c r="H236" i="43"/>
  <c r="H240" i="43"/>
  <c r="V240" i="43" s="1"/>
  <c r="H242" i="43"/>
  <c r="V242" i="43" s="1"/>
  <c r="H243" i="43"/>
  <c r="V243" i="43" s="1"/>
  <c r="H244" i="43"/>
  <c r="V244" i="43" s="1"/>
  <c r="H250" i="43"/>
  <c r="V250" i="43" s="1"/>
  <c r="H252" i="43"/>
  <c r="H255" i="43"/>
  <c r="V255" i="43" s="1"/>
  <c r="H256" i="43"/>
  <c r="V256" i="43" s="1"/>
  <c r="H257" i="43"/>
  <c r="V257" i="43" s="1"/>
  <c r="H258" i="43"/>
  <c r="V258" i="43" s="1"/>
  <c r="H259" i="43"/>
  <c r="V259" i="43" s="1"/>
  <c r="H262" i="43"/>
  <c r="H265" i="43"/>
  <c r="V265" i="43" s="1"/>
  <c r="H269" i="43"/>
  <c r="V269" i="43" s="1"/>
  <c r="H271" i="43"/>
  <c r="H272" i="43"/>
  <c r="V272" i="43" s="1"/>
  <c r="H276" i="43"/>
  <c r="V276" i="43" s="1"/>
  <c r="H281" i="43"/>
  <c r="V281" i="43" s="1"/>
  <c r="H282" i="43"/>
  <c r="V282" i="43" s="1"/>
  <c r="H283" i="43"/>
  <c r="V283" i="43" s="1"/>
  <c r="H284" i="43"/>
  <c r="V284" i="43" s="1"/>
  <c r="H289" i="43"/>
  <c r="H290" i="43"/>
  <c r="V290" i="43" s="1"/>
  <c r="H294" i="43"/>
  <c r="V294" i="43" s="1"/>
  <c r="H297" i="43"/>
  <c r="V297" i="43" s="1"/>
  <c r="H298" i="43"/>
  <c r="V298" i="43" s="1"/>
  <c r="H300" i="43"/>
  <c r="V300" i="43" s="1"/>
  <c r="H301" i="43"/>
  <c r="V301" i="43" s="1"/>
  <c r="H304" i="43"/>
  <c r="V304" i="43" s="1"/>
  <c r="H305" i="43"/>
  <c r="V305" i="43" s="1"/>
  <c r="H306" i="43"/>
  <c r="H307" i="43"/>
  <c r="V307" i="43" s="1"/>
  <c r="H308" i="43"/>
  <c r="V308" i="43" s="1"/>
  <c r="H309" i="43"/>
  <c r="V309" i="43" s="1"/>
  <c r="H310" i="43"/>
  <c r="V310" i="43" s="1"/>
  <c r="H5" i="43"/>
  <c r="V58" i="43" l="1"/>
  <c r="V48" i="43"/>
  <c r="V40" i="43"/>
  <c r="V38" i="43"/>
  <c r="V9" i="43"/>
  <c r="V34" i="43"/>
  <c r="V42" i="43"/>
  <c r="V30" i="43"/>
  <c r="V28" i="43"/>
  <c r="V18" i="43"/>
  <c r="V20" i="43"/>
  <c r="V7" i="43"/>
  <c r="V11" i="43"/>
  <c r="V23" i="43"/>
  <c r="V27" i="43"/>
  <c r="V35" i="43"/>
  <c r="V39" i="43"/>
  <c r="V43" i="43"/>
  <c r="V16" i="43"/>
  <c r="V5" i="43"/>
  <c r="V6" i="43"/>
  <c r="V10" i="43"/>
  <c r="C2" i="65"/>
  <c r="D2" i="65"/>
  <c r="E2" i="65"/>
  <c r="F2" i="65"/>
  <c r="G2" i="65"/>
  <c r="H2" i="65"/>
  <c r="I2" i="65"/>
  <c r="J2" i="65"/>
  <c r="K2" i="65"/>
  <c r="L2" i="65"/>
  <c r="M2" i="65"/>
  <c r="N2" i="65"/>
  <c r="O2" i="65"/>
  <c r="P2" i="65"/>
  <c r="Q2" i="65"/>
  <c r="R2" i="65"/>
  <c r="S2" i="65"/>
  <c r="T2" i="65"/>
  <c r="U2" i="65"/>
  <c r="V2" i="65"/>
  <c r="W2" i="65"/>
  <c r="X2" i="65"/>
  <c r="Y2" i="65"/>
  <c r="Z2" i="65"/>
  <c r="AA2" i="65"/>
  <c r="AB2" i="65"/>
  <c r="AC2" i="65"/>
  <c r="AD2" i="65"/>
  <c r="AE2" i="65"/>
  <c r="AF2" i="65"/>
  <c r="AG2" i="65"/>
  <c r="AH2" i="65"/>
  <c r="AI2" i="65"/>
  <c r="B2" i="65"/>
  <c r="B153" i="64"/>
  <c r="C153" i="64"/>
  <c r="D153" i="64"/>
  <c r="E153" i="64"/>
  <c r="F153" i="64"/>
  <c r="G153" i="64"/>
  <c r="H153" i="64"/>
  <c r="I153" i="64"/>
  <c r="J153" i="64"/>
  <c r="K153" i="64"/>
  <c r="L153" i="64"/>
  <c r="M153" i="64"/>
  <c r="N153" i="64"/>
  <c r="O153" i="64"/>
  <c r="P153" i="64"/>
  <c r="Q153" i="64"/>
  <c r="R153" i="64"/>
  <c r="S153" i="64"/>
  <c r="T153" i="64"/>
  <c r="U153" i="64"/>
  <c r="V153" i="64"/>
  <c r="W153" i="64"/>
  <c r="X153" i="64"/>
  <c r="Y153" i="64"/>
  <c r="Z153" i="64"/>
  <c r="AA153" i="64"/>
  <c r="AB153" i="64"/>
  <c r="AC153" i="64"/>
  <c r="AD153" i="64"/>
  <c r="AE153" i="64"/>
  <c r="AF153" i="64"/>
  <c r="AG153" i="64"/>
  <c r="AH153" i="64"/>
  <c r="AI153" i="64"/>
  <c r="B154" i="64"/>
  <c r="C154" i="64"/>
  <c r="D154" i="64"/>
  <c r="E154" i="64"/>
  <c r="F154" i="64"/>
  <c r="G154" i="64"/>
  <c r="H154" i="64"/>
  <c r="I154" i="64"/>
  <c r="J154" i="64"/>
  <c r="K154" i="64"/>
  <c r="L154" i="64"/>
  <c r="M154" i="64"/>
  <c r="N154" i="64"/>
  <c r="O154" i="64"/>
  <c r="P154" i="64"/>
  <c r="Q154" i="64"/>
  <c r="R154" i="64"/>
  <c r="S154" i="64"/>
  <c r="T154" i="64"/>
  <c r="U154" i="64"/>
  <c r="V154" i="64"/>
  <c r="W154" i="64"/>
  <c r="X154" i="64"/>
  <c r="Y154" i="64"/>
  <c r="Z154" i="64"/>
  <c r="AA154" i="64"/>
  <c r="AB154" i="64"/>
  <c r="AC154" i="64"/>
  <c r="AD154" i="64"/>
  <c r="AE154" i="64"/>
  <c r="AF154" i="64"/>
  <c r="AG154" i="64"/>
  <c r="AH154" i="64"/>
  <c r="AI154" i="64"/>
  <c r="B155" i="64"/>
  <c r="C155" i="64"/>
  <c r="D155" i="64"/>
  <c r="E155" i="64"/>
  <c r="F155" i="64"/>
  <c r="G155" i="64"/>
  <c r="H155" i="64"/>
  <c r="I155" i="64"/>
  <c r="J155" i="64"/>
  <c r="K155" i="64"/>
  <c r="L155" i="64"/>
  <c r="M155" i="64"/>
  <c r="N155" i="64"/>
  <c r="O155" i="64"/>
  <c r="P155" i="64"/>
  <c r="Q155" i="64"/>
  <c r="R155" i="64"/>
  <c r="S155" i="64"/>
  <c r="T155" i="64"/>
  <c r="U155" i="64"/>
  <c r="V155" i="64"/>
  <c r="W155" i="64"/>
  <c r="X155" i="64"/>
  <c r="Y155" i="64"/>
  <c r="Z155" i="64"/>
  <c r="AA155" i="64"/>
  <c r="AB155" i="64"/>
  <c r="AC155" i="64"/>
  <c r="AD155" i="64"/>
  <c r="AE155" i="64"/>
  <c r="AF155" i="64"/>
  <c r="AG155" i="64"/>
  <c r="AH155" i="64"/>
  <c r="AI155" i="64"/>
  <c r="B156" i="64"/>
  <c r="C156" i="64"/>
  <c r="D156" i="64"/>
  <c r="E156" i="64"/>
  <c r="F156" i="64"/>
  <c r="G156" i="64"/>
  <c r="H156" i="64"/>
  <c r="I156" i="64"/>
  <c r="J156" i="64"/>
  <c r="K156" i="64"/>
  <c r="L156" i="64"/>
  <c r="M156" i="64"/>
  <c r="N156" i="64"/>
  <c r="O156" i="64"/>
  <c r="P156" i="64"/>
  <c r="Q156" i="64"/>
  <c r="R156" i="64"/>
  <c r="S156" i="64"/>
  <c r="T156" i="64"/>
  <c r="U156" i="64"/>
  <c r="V156" i="64"/>
  <c r="W156" i="64"/>
  <c r="X156" i="64"/>
  <c r="Y156" i="64"/>
  <c r="Z156" i="64"/>
  <c r="AA156" i="64"/>
  <c r="AB156" i="64"/>
  <c r="AC156" i="64"/>
  <c r="AD156" i="64"/>
  <c r="AE156" i="64"/>
  <c r="AF156" i="64"/>
  <c r="AG156" i="64"/>
  <c r="AH156" i="64"/>
  <c r="AI156" i="64"/>
  <c r="B157" i="64"/>
  <c r="C157" i="64"/>
  <c r="D157" i="64"/>
  <c r="E157" i="64"/>
  <c r="F157" i="64"/>
  <c r="G157" i="64"/>
  <c r="H157" i="64"/>
  <c r="I157" i="64"/>
  <c r="J157" i="64"/>
  <c r="K157" i="64"/>
  <c r="L157" i="64"/>
  <c r="M157" i="64"/>
  <c r="N157" i="64"/>
  <c r="O157" i="64"/>
  <c r="P157" i="64"/>
  <c r="Q157" i="64"/>
  <c r="R157" i="64"/>
  <c r="S157" i="64"/>
  <c r="T157" i="64"/>
  <c r="U157" i="64"/>
  <c r="V157" i="64"/>
  <c r="W157" i="64"/>
  <c r="X157" i="64"/>
  <c r="Y157" i="64"/>
  <c r="Z157" i="64"/>
  <c r="AA157" i="64"/>
  <c r="AB157" i="64"/>
  <c r="AC157" i="64"/>
  <c r="AD157" i="64"/>
  <c r="AE157" i="64"/>
  <c r="AF157" i="64"/>
  <c r="AG157" i="64"/>
  <c r="AH157" i="64"/>
  <c r="AI157" i="64"/>
  <c r="B158" i="64"/>
  <c r="C158" i="64"/>
  <c r="D158" i="64"/>
  <c r="E158" i="64"/>
  <c r="F158" i="64"/>
  <c r="G158" i="64"/>
  <c r="H158" i="64"/>
  <c r="I158" i="64"/>
  <c r="J158" i="64"/>
  <c r="K158" i="64"/>
  <c r="L158" i="64"/>
  <c r="M158" i="64"/>
  <c r="N158" i="64"/>
  <c r="O158" i="64"/>
  <c r="P158" i="64"/>
  <c r="Q158" i="64"/>
  <c r="R158" i="64"/>
  <c r="S158" i="64"/>
  <c r="T158" i="64"/>
  <c r="U158" i="64"/>
  <c r="V158" i="64"/>
  <c r="W158" i="64"/>
  <c r="X158" i="64"/>
  <c r="Y158" i="64"/>
  <c r="Z158" i="64"/>
  <c r="AA158" i="64"/>
  <c r="AB158" i="64"/>
  <c r="AC158" i="64"/>
  <c r="AD158" i="64"/>
  <c r="AE158" i="64"/>
  <c r="AF158" i="64"/>
  <c r="AG158" i="64"/>
  <c r="AH158" i="64"/>
  <c r="AI158" i="64"/>
  <c r="B159" i="64"/>
  <c r="C159" i="64"/>
  <c r="D159" i="64"/>
  <c r="E159" i="64"/>
  <c r="F159" i="64"/>
  <c r="G159" i="64"/>
  <c r="H159" i="64"/>
  <c r="I159" i="64"/>
  <c r="J159" i="64"/>
  <c r="K159" i="64"/>
  <c r="L159" i="64"/>
  <c r="M159" i="64"/>
  <c r="N159" i="64"/>
  <c r="O159" i="64"/>
  <c r="P159" i="64"/>
  <c r="Q159" i="64"/>
  <c r="R159" i="64"/>
  <c r="S159" i="64"/>
  <c r="T159" i="64"/>
  <c r="U159" i="64"/>
  <c r="V159" i="64"/>
  <c r="W159" i="64"/>
  <c r="X159" i="64"/>
  <c r="Y159" i="64"/>
  <c r="Z159" i="64"/>
  <c r="AA159" i="64"/>
  <c r="AB159" i="64"/>
  <c r="AC159" i="64"/>
  <c r="AD159" i="64"/>
  <c r="AE159" i="64"/>
  <c r="AF159" i="64"/>
  <c r="AG159" i="64"/>
  <c r="AH159" i="64"/>
  <c r="AI159" i="64"/>
  <c r="B160" i="64"/>
  <c r="C160" i="64"/>
  <c r="D160" i="64"/>
  <c r="E160" i="64"/>
  <c r="F160" i="64"/>
  <c r="G160" i="64"/>
  <c r="H160" i="64"/>
  <c r="I160" i="64"/>
  <c r="J160" i="64"/>
  <c r="K160" i="64"/>
  <c r="L160" i="64"/>
  <c r="M160" i="64"/>
  <c r="N160" i="64"/>
  <c r="O160" i="64"/>
  <c r="P160" i="64"/>
  <c r="Q160" i="64"/>
  <c r="R160" i="64"/>
  <c r="S160" i="64"/>
  <c r="T160" i="64"/>
  <c r="U160" i="64"/>
  <c r="V160" i="64"/>
  <c r="W160" i="64"/>
  <c r="X160" i="64"/>
  <c r="Y160" i="64"/>
  <c r="Z160" i="64"/>
  <c r="AA160" i="64"/>
  <c r="AB160" i="64"/>
  <c r="AC160" i="64"/>
  <c r="AD160" i="64"/>
  <c r="AE160" i="64"/>
  <c r="AF160" i="64"/>
  <c r="AG160" i="64"/>
  <c r="AH160" i="64"/>
  <c r="AI160" i="64"/>
  <c r="B161" i="64"/>
  <c r="C161" i="64"/>
  <c r="D161" i="64"/>
  <c r="E161" i="64"/>
  <c r="F161" i="64"/>
  <c r="G161" i="64"/>
  <c r="H161" i="64"/>
  <c r="I161" i="64"/>
  <c r="J161" i="64"/>
  <c r="K161" i="64"/>
  <c r="L161" i="64"/>
  <c r="M161" i="64"/>
  <c r="N161" i="64"/>
  <c r="O161" i="64"/>
  <c r="P161" i="64"/>
  <c r="Q161" i="64"/>
  <c r="R161" i="64"/>
  <c r="S161" i="64"/>
  <c r="T161" i="64"/>
  <c r="U161" i="64"/>
  <c r="V161" i="64"/>
  <c r="W161" i="64"/>
  <c r="X161" i="64"/>
  <c r="Y161" i="64"/>
  <c r="Z161" i="64"/>
  <c r="AA161" i="64"/>
  <c r="AB161" i="64"/>
  <c r="AC161" i="64"/>
  <c r="AD161" i="64"/>
  <c r="AE161" i="64"/>
  <c r="AF161" i="64"/>
  <c r="AG161" i="64"/>
  <c r="AH161" i="64"/>
  <c r="AI161" i="64"/>
  <c r="B162" i="64"/>
  <c r="C162" i="64"/>
  <c r="D162" i="64"/>
  <c r="E162" i="64"/>
  <c r="F162" i="64"/>
  <c r="G162" i="64"/>
  <c r="H162" i="64"/>
  <c r="I162" i="64"/>
  <c r="J162" i="64"/>
  <c r="K162" i="64"/>
  <c r="L162" i="64"/>
  <c r="M162" i="64"/>
  <c r="N162" i="64"/>
  <c r="O162" i="64"/>
  <c r="P162" i="64"/>
  <c r="Q162" i="64"/>
  <c r="R162" i="64"/>
  <c r="S162" i="64"/>
  <c r="T162" i="64"/>
  <c r="U162" i="64"/>
  <c r="V162" i="64"/>
  <c r="W162" i="64"/>
  <c r="X162" i="64"/>
  <c r="Y162" i="64"/>
  <c r="Z162" i="64"/>
  <c r="AA162" i="64"/>
  <c r="AB162" i="64"/>
  <c r="AC162" i="64"/>
  <c r="AD162" i="64"/>
  <c r="AE162" i="64"/>
  <c r="AF162" i="64"/>
  <c r="AG162" i="64"/>
  <c r="AH162" i="64"/>
  <c r="AI162" i="64"/>
  <c r="B3" i="64"/>
  <c r="C3" i="64"/>
  <c r="D3" i="64"/>
  <c r="E3" i="64"/>
  <c r="F3" i="64"/>
  <c r="G3" i="64"/>
  <c r="H3" i="64"/>
  <c r="I3" i="64"/>
  <c r="J3" i="64"/>
  <c r="K3" i="64"/>
  <c r="L3" i="64"/>
  <c r="M3" i="64"/>
  <c r="N3" i="64"/>
  <c r="O3" i="64"/>
  <c r="P3" i="64"/>
  <c r="Q3" i="64"/>
  <c r="R3" i="64"/>
  <c r="S3" i="64"/>
  <c r="T3" i="64"/>
  <c r="U3" i="64"/>
  <c r="V3" i="64"/>
  <c r="W3" i="64"/>
  <c r="X3" i="64"/>
  <c r="Y3" i="64"/>
  <c r="Z3" i="64"/>
  <c r="AA3" i="64"/>
  <c r="AB3" i="64"/>
  <c r="AC3" i="64"/>
  <c r="AD3" i="64"/>
  <c r="AE3" i="64"/>
  <c r="AF3" i="64"/>
  <c r="AG3" i="64"/>
  <c r="AH3" i="64"/>
  <c r="AI3" i="64"/>
  <c r="B4" i="64"/>
  <c r="C4" i="64"/>
  <c r="D4" i="64"/>
  <c r="E4" i="64"/>
  <c r="F4" i="64"/>
  <c r="G4" i="64"/>
  <c r="H4" i="64"/>
  <c r="I4" i="64"/>
  <c r="J4" i="64"/>
  <c r="K4" i="64"/>
  <c r="L4" i="64"/>
  <c r="M4" i="64"/>
  <c r="N4" i="64"/>
  <c r="O4" i="64"/>
  <c r="P4" i="64"/>
  <c r="Q4" i="64"/>
  <c r="R4" i="64"/>
  <c r="S4" i="64"/>
  <c r="T4" i="64"/>
  <c r="U4" i="64"/>
  <c r="V4" i="64"/>
  <c r="W4" i="64"/>
  <c r="X4" i="64"/>
  <c r="Y4" i="64"/>
  <c r="Z4" i="64"/>
  <c r="AA4" i="64"/>
  <c r="AB4" i="64"/>
  <c r="AC4" i="64"/>
  <c r="AD4" i="64"/>
  <c r="AE4" i="64"/>
  <c r="AF4" i="64"/>
  <c r="AG4" i="64"/>
  <c r="AH4" i="64"/>
  <c r="AI4" i="64"/>
  <c r="B5" i="64"/>
  <c r="C5" i="64"/>
  <c r="D5" i="64"/>
  <c r="E5" i="64"/>
  <c r="F5" i="64"/>
  <c r="G5" i="64"/>
  <c r="H5" i="64"/>
  <c r="I5" i="64"/>
  <c r="J5" i="64"/>
  <c r="K5" i="64"/>
  <c r="L5" i="64"/>
  <c r="M5" i="64"/>
  <c r="N5" i="64"/>
  <c r="O5" i="64"/>
  <c r="P5" i="64"/>
  <c r="Q5" i="64"/>
  <c r="R5" i="64"/>
  <c r="S5" i="64"/>
  <c r="T5" i="64"/>
  <c r="U5" i="64"/>
  <c r="V5" i="64"/>
  <c r="W5" i="64"/>
  <c r="X5" i="64"/>
  <c r="Y5" i="64"/>
  <c r="Z5" i="64"/>
  <c r="AA5" i="64"/>
  <c r="AB5" i="64"/>
  <c r="AC5" i="64"/>
  <c r="AD5" i="64"/>
  <c r="AE5" i="64"/>
  <c r="AF5" i="64"/>
  <c r="AG5" i="64"/>
  <c r="AH5" i="64"/>
  <c r="AI5" i="64"/>
  <c r="B6" i="64"/>
  <c r="C6" i="64"/>
  <c r="D6" i="64"/>
  <c r="E6" i="64"/>
  <c r="F6" i="64"/>
  <c r="G6" i="64"/>
  <c r="H6" i="64"/>
  <c r="I6" i="64"/>
  <c r="J6" i="64"/>
  <c r="K6" i="64"/>
  <c r="L6" i="64"/>
  <c r="M6" i="64"/>
  <c r="N6" i="64"/>
  <c r="O6" i="64"/>
  <c r="P6" i="64"/>
  <c r="Q6" i="64"/>
  <c r="R6" i="64"/>
  <c r="S6" i="64"/>
  <c r="T6" i="64"/>
  <c r="U6" i="64"/>
  <c r="V6" i="64"/>
  <c r="W6" i="64"/>
  <c r="X6" i="64"/>
  <c r="Y6" i="64"/>
  <c r="Z6" i="64"/>
  <c r="AA6" i="64"/>
  <c r="AB6" i="64"/>
  <c r="AC6" i="64"/>
  <c r="AD6" i="64"/>
  <c r="AE6" i="64"/>
  <c r="AF6" i="64"/>
  <c r="AG6" i="64"/>
  <c r="AH6" i="64"/>
  <c r="AI6" i="64"/>
  <c r="B7" i="64"/>
  <c r="C7" i="64"/>
  <c r="D7" i="64"/>
  <c r="E7" i="64"/>
  <c r="F7" i="64"/>
  <c r="G7" i="64"/>
  <c r="H7" i="64"/>
  <c r="I7" i="64"/>
  <c r="J7" i="64"/>
  <c r="K7" i="64"/>
  <c r="L7" i="64"/>
  <c r="M7" i="64"/>
  <c r="N7" i="64"/>
  <c r="O7" i="64"/>
  <c r="P7" i="64"/>
  <c r="Q7" i="64"/>
  <c r="R7" i="64"/>
  <c r="S7" i="64"/>
  <c r="T7" i="64"/>
  <c r="U7" i="64"/>
  <c r="V7" i="64"/>
  <c r="W7" i="64"/>
  <c r="X7" i="64"/>
  <c r="Y7" i="64"/>
  <c r="Z7" i="64"/>
  <c r="AA7" i="64"/>
  <c r="AB7" i="64"/>
  <c r="AC7" i="64"/>
  <c r="AD7" i="64"/>
  <c r="AE7" i="64"/>
  <c r="AF7" i="64"/>
  <c r="AG7" i="64"/>
  <c r="AH7" i="64"/>
  <c r="AI7" i="64"/>
  <c r="B8" i="64"/>
  <c r="C8" i="64"/>
  <c r="D8" i="64"/>
  <c r="E8" i="64"/>
  <c r="F8" i="64"/>
  <c r="G8" i="64"/>
  <c r="H8" i="64"/>
  <c r="I8" i="64"/>
  <c r="J8" i="64"/>
  <c r="K8" i="64"/>
  <c r="L8" i="64"/>
  <c r="M8" i="64"/>
  <c r="N8" i="64"/>
  <c r="O8" i="64"/>
  <c r="P8" i="64"/>
  <c r="Q8" i="64"/>
  <c r="R8" i="64"/>
  <c r="S8" i="64"/>
  <c r="T8" i="64"/>
  <c r="U8" i="64"/>
  <c r="V8" i="64"/>
  <c r="W8" i="64"/>
  <c r="X8" i="64"/>
  <c r="Y8" i="64"/>
  <c r="Z8" i="64"/>
  <c r="AA8" i="64"/>
  <c r="AB8" i="64"/>
  <c r="AC8" i="64"/>
  <c r="AD8" i="64"/>
  <c r="AE8" i="64"/>
  <c r="AF8" i="64"/>
  <c r="AG8" i="64"/>
  <c r="AH8" i="64"/>
  <c r="AI8" i="64"/>
  <c r="B9" i="64"/>
  <c r="C9" i="64"/>
  <c r="D9" i="64"/>
  <c r="E9" i="64"/>
  <c r="F9" i="64"/>
  <c r="G9" i="64"/>
  <c r="H9" i="64"/>
  <c r="I9" i="64"/>
  <c r="J9" i="64"/>
  <c r="K9" i="64"/>
  <c r="L9" i="64"/>
  <c r="M9" i="64"/>
  <c r="N9" i="64"/>
  <c r="O9" i="64"/>
  <c r="P9" i="64"/>
  <c r="Q9" i="64"/>
  <c r="R9" i="64"/>
  <c r="S9" i="64"/>
  <c r="T9" i="64"/>
  <c r="U9" i="64"/>
  <c r="V9" i="64"/>
  <c r="W9" i="64"/>
  <c r="X9" i="64"/>
  <c r="Y9" i="64"/>
  <c r="Z9" i="64"/>
  <c r="AA9" i="64"/>
  <c r="AB9" i="64"/>
  <c r="AC9" i="64"/>
  <c r="AD9" i="64"/>
  <c r="AE9" i="64"/>
  <c r="AF9" i="64"/>
  <c r="AG9" i="64"/>
  <c r="AH9" i="64"/>
  <c r="AI9" i="64"/>
  <c r="B10" i="64"/>
  <c r="C10" i="64"/>
  <c r="D10" i="64"/>
  <c r="E10" i="64"/>
  <c r="F10" i="64"/>
  <c r="G10" i="64"/>
  <c r="H10" i="64"/>
  <c r="I10" i="64"/>
  <c r="J10" i="64"/>
  <c r="K10" i="64"/>
  <c r="L10" i="64"/>
  <c r="M10" i="64"/>
  <c r="N10" i="64"/>
  <c r="O10" i="64"/>
  <c r="P10" i="64"/>
  <c r="Q10" i="64"/>
  <c r="R10" i="64"/>
  <c r="S10" i="64"/>
  <c r="T10" i="64"/>
  <c r="U10" i="64"/>
  <c r="V10" i="64"/>
  <c r="W10" i="64"/>
  <c r="X10" i="64"/>
  <c r="Y10" i="64"/>
  <c r="Z10" i="64"/>
  <c r="AA10" i="64"/>
  <c r="AB10" i="64"/>
  <c r="AC10" i="64"/>
  <c r="AD10" i="64"/>
  <c r="AE10" i="64"/>
  <c r="AF10" i="64"/>
  <c r="AG10" i="64"/>
  <c r="AH10" i="64"/>
  <c r="AI10" i="64"/>
  <c r="B11" i="64"/>
  <c r="C11" i="64"/>
  <c r="D11" i="64"/>
  <c r="E11" i="64"/>
  <c r="F11" i="64"/>
  <c r="G11" i="64"/>
  <c r="H11" i="64"/>
  <c r="I11" i="64"/>
  <c r="J11" i="64"/>
  <c r="K11" i="64"/>
  <c r="L11" i="64"/>
  <c r="M11" i="64"/>
  <c r="N11" i="64"/>
  <c r="O11" i="64"/>
  <c r="P11" i="64"/>
  <c r="Q11" i="64"/>
  <c r="R11" i="64"/>
  <c r="S11" i="64"/>
  <c r="T11" i="64"/>
  <c r="U11" i="64"/>
  <c r="V11" i="64"/>
  <c r="W11" i="64"/>
  <c r="X11" i="64"/>
  <c r="Y11" i="64"/>
  <c r="Z11" i="64"/>
  <c r="AA11" i="64"/>
  <c r="AB11" i="64"/>
  <c r="AC11" i="64"/>
  <c r="AD11" i="64"/>
  <c r="AE11" i="64"/>
  <c r="AF11" i="64"/>
  <c r="AG11" i="64"/>
  <c r="AH11" i="64"/>
  <c r="AI11" i="64"/>
  <c r="B12" i="64"/>
  <c r="C12" i="64"/>
  <c r="D12" i="64"/>
  <c r="E12" i="64"/>
  <c r="F12" i="64"/>
  <c r="G12" i="64"/>
  <c r="H12" i="64"/>
  <c r="I12" i="64"/>
  <c r="J12" i="64"/>
  <c r="K12" i="64"/>
  <c r="L12" i="64"/>
  <c r="M12" i="64"/>
  <c r="N12" i="64"/>
  <c r="O12" i="64"/>
  <c r="P12" i="64"/>
  <c r="Q12" i="64"/>
  <c r="R12" i="64"/>
  <c r="S12" i="64"/>
  <c r="T12" i="64"/>
  <c r="U12" i="64"/>
  <c r="V12" i="64"/>
  <c r="W12" i="64"/>
  <c r="X12" i="64"/>
  <c r="Y12" i="64"/>
  <c r="Z12" i="64"/>
  <c r="AA12" i="64"/>
  <c r="AB12" i="64"/>
  <c r="AC12" i="64"/>
  <c r="AD12" i="64"/>
  <c r="AE12" i="64"/>
  <c r="AF12" i="64"/>
  <c r="AG12" i="64"/>
  <c r="AH12" i="64"/>
  <c r="AI12" i="64"/>
  <c r="B13" i="64"/>
  <c r="C13" i="64"/>
  <c r="D13" i="64"/>
  <c r="E13" i="64"/>
  <c r="F13" i="64"/>
  <c r="G13" i="64"/>
  <c r="H13" i="64"/>
  <c r="I13" i="64"/>
  <c r="J13" i="64"/>
  <c r="K13" i="64"/>
  <c r="L13" i="64"/>
  <c r="M13" i="64"/>
  <c r="N13" i="64"/>
  <c r="O13" i="64"/>
  <c r="P13" i="64"/>
  <c r="Q13" i="64"/>
  <c r="R13" i="64"/>
  <c r="S13" i="64"/>
  <c r="T13" i="64"/>
  <c r="U13" i="64"/>
  <c r="V13" i="64"/>
  <c r="W13" i="64"/>
  <c r="X13" i="64"/>
  <c r="Y13" i="64"/>
  <c r="Z13" i="64"/>
  <c r="AA13" i="64"/>
  <c r="AB13" i="64"/>
  <c r="AC13" i="64"/>
  <c r="AD13" i="64"/>
  <c r="AE13" i="64"/>
  <c r="AF13" i="64"/>
  <c r="AG13" i="64"/>
  <c r="AH13" i="64"/>
  <c r="AI13" i="64"/>
  <c r="B14" i="64"/>
  <c r="C14" i="64"/>
  <c r="D14" i="64"/>
  <c r="E14" i="64"/>
  <c r="F14" i="64"/>
  <c r="G14" i="64"/>
  <c r="H14" i="64"/>
  <c r="I14" i="64"/>
  <c r="J14" i="64"/>
  <c r="K14" i="64"/>
  <c r="L14" i="64"/>
  <c r="M14" i="64"/>
  <c r="N14" i="64"/>
  <c r="O14" i="64"/>
  <c r="P14" i="64"/>
  <c r="Q14" i="64"/>
  <c r="R14" i="64"/>
  <c r="S14" i="64"/>
  <c r="T14" i="64"/>
  <c r="U14" i="64"/>
  <c r="V14" i="64"/>
  <c r="W14" i="64"/>
  <c r="X14" i="64"/>
  <c r="Y14" i="64"/>
  <c r="Z14" i="64"/>
  <c r="AA14" i="64"/>
  <c r="AB14" i="64"/>
  <c r="AC14" i="64"/>
  <c r="AD14" i="64"/>
  <c r="AE14" i="64"/>
  <c r="AF14" i="64"/>
  <c r="AG14" i="64"/>
  <c r="AH14" i="64"/>
  <c r="AI14" i="64"/>
  <c r="B15" i="64"/>
  <c r="C15" i="64"/>
  <c r="D15" i="64"/>
  <c r="E15" i="64"/>
  <c r="F15" i="64"/>
  <c r="G15" i="64"/>
  <c r="H15" i="64"/>
  <c r="I15" i="64"/>
  <c r="J15" i="64"/>
  <c r="K15" i="64"/>
  <c r="L15" i="64"/>
  <c r="M15" i="64"/>
  <c r="N15" i="64"/>
  <c r="O15" i="64"/>
  <c r="P15" i="64"/>
  <c r="Q15" i="64"/>
  <c r="R15" i="64"/>
  <c r="S15" i="64"/>
  <c r="T15" i="64"/>
  <c r="U15" i="64"/>
  <c r="V15" i="64"/>
  <c r="W15" i="64"/>
  <c r="X15" i="64"/>
  <c r="Y15" i="64"/>
  <c r="Z15" i="64"/>
  <c r="AA15" i="64"/>
  <c r="AB15" i="64"/>
  <c r="AC15" i="64"/>
  <c r="AD15" i="64"/>
  <c r="AE15" i="64"/>
  <c r="AF15" i="64"/>
  <c r="AG15" i="64"/>
  <c r="AH15" i="64"/>
  <c r="AI15" i="64"/>
  <c r="B16" i="64"/>
  <c r="C16" i="64"/>
  <c r="D16" i="64"/>
  <c r="E16" i="64"/>
  <c r="F16" i="64"/>
  <c r="G16" i="64"/>
  <c r="H16" i="64"/>
  <c r="I16" i="64"/>
  <c r="J16" i="64"/>
  <c r="K16" i="64"/>
  <c r="L16" i="64"/>
  <c r="M16" i="64"/>
  <c r="N16" i="64"/>
  <c r="O16" i="64"/>
  <c r="P16" i="64"/>
  <c r="Q16" i="64"/>
  <c r="R16" i="64"/>
  <c r="S16" i="64"/>
  <c r="T16" i="64"/>
  <c r="U16" i="64"/>
  <c r="V16" i="64"/>
  <c r="W16" i="64"/>
  <c r="X16" i="64"/>
  <c r="Y16" i="64"/>
  <c r="Z16" i="64"/>
  <c r="AA16" i="64"/>
  <c r="AB16" i="64"/>
  <c r="AC16" i="64"/>
  <c r="AD16" i="64"/>
  <c r="AE16" i="64"/>
  <c r="AF16" i="64"/>
  <c r="AG16" i="64"/>
  <c r="AH16" i="64"/>
  <c r="AI16" i="64"/>
  <c r="B17" i="64"/>
  <c r="C17" i="64"/>
  <c r="D17" i="64"/>
  <c r="E17" i="64"/>
  <c r="F17" i="64"/>
  <c r="G17" i="64"/>
  <c r="H17" i="64"/>
  <c r="I17" i="64"/>
  <c r="J17" i="64"/>
  <c r="K17" i="64"/>
  <c r="L17" i="64"/>
  <c r="M17" i="64"/>
  <c r="N17" i="64"/>
  <c r="O17" i="64"/>
  <c r="P17" i="64"/>
  <c r="Q17" i="64"/>
  <c r="R17" i="64"/>
  <c r="S17" i="64"/>
  <c r="T17" i="64"/>
  <c r="U17" i="64"/>
  <c r="V17" i="64"/>
  <c r="W17" i="64"/>
  <c r="X17" i="64"/>
  <c r="Y17" i="64"/>
  <c r="Z17" i="64"/>
  <c r="AA17" i="64"/>
  <c r="AB17" i="64"/>
  <c r="AC17" i="64"/>
  <c r="AD17" i="64"/>
  <c r="AE17" i="64"/>
  <c r="AF17" i="64"/>
  <c r="AG17" i="64"/>
  <c r="AH17" i="64"/>
  <c r="AI17" i="64"/>
  <c r="B18" i="64"/>
  <c r="C18" i="64"/>
  <c r="D18" i="64"/>
  <c r="E18" i="64"/>
  <c r="F18" i="64"/>
  <c r="G18" i="64"/>
  <c r="H18" i="64"/>
  <c r="I18" i="64"/>
  <c r="J18" i="64"/>
  <c r="K18" i="64"/>
  <c r="L18" i="64"/>
  <c r="M18" i="64"/>
  <c r="N18" i="64"/>
  <c r="O18" i="64"/>
  <c r="P18" i="64"/>
  <c r="Q18" i="64"/>
  <c r="R18" i="64"/>
  <c r="S18" i="64"/>
  <c r="T18" i="64"/>
  <c r="U18" i="64"/>
  <c r="V18" i="64"/>
  <c r="W18" i="64"/>
  <c r="X18" i="64"/>
  <c r="Y18" i="64"/>
  <c r="Z18" i="64"/>
  <c r="AA18" i="64"/>
  <c r="AB18" i="64"/>
  <c r="AC18" i="64"/>
  <c r="AD18" i="64"/>
  <c r="AE18" i="64"/>
  <c r="AF18" i="64"/>
  <c r="AG18" i="64"/>
  <c r="AH18" i="64"/>
  <c r="AI18" i="64"/>
  <c r="B19" i="64"/>
  <c r="C19" i="64"/>
  <c r="D19" i="64"/>
  <c r="E19" i="64"/>
  <c r="F19" i="64"/>
  <c r="G19" i="64"/>
  <c r="H19" i="64"/>
  <c r="I19" i="64"/>
  <c r="J19" i="64"/>
  <c r="K19" i="64"/>
  <c r="L19" i="64"/>
  <c r="M19" i="64"/>
  <c r="N19" i="64"/>
  <c r="O19" i="64"/>
  <c r="P19" i="64"/>
  <c r="Q19" i="64"/>
  <c r="R19" i="64"/>
  <c r="S19" i="64"/>
  <c r="T19" i="64"/>
  <c r="U19" i="64"/>
  <c r="V19" i="64"/>
  <c r="W19" i="64"/>
  <c r="X19" i="64"/>
  <c r="Y19" i="64"/>
  <c r="Z19" i="64"/>
  <c r="AA19" i="64"/>
  <c r="AB19" i="64"/>
  <c r="AC19" i="64"/>
  <c r="AD19" i="64"/>
  <c r="AE19" i="64"/>
  <c r="AF19" i="64"/>
  <c r="AG19" i="64"/>
  <c r="AH19" i="64"/>
  <c r="AI19" i="64"/>
  <c r="B20" i="64"/>
  <c r="C20" i="64"/>
  <c r="D20" i="64"/>
  <c r="E20" i="64"/>
  <c r="F20" i="64"/>
  <c r="G20" i="64"/>
  <c r="H20" i="64"/>
  <c r="I20" i="64"/>
  <c r="J20" i="64"/>
  <c r="K20" i="64"/>
  <c r="L20" i="64"/>
  <c r="M20" i="64"/>
  <c r="N20" i="64"/>
  <c r="O20" i="64"/>
  <c r="P20" i="64"/>
  <c r="Q20" i="64"/>
  <c r="R20" i="64"/>
  <c r="S20" i="64"/>
  <c r="T20" i="64"/>
  <c r="U20" i="64"/>
  <c r="V20" i="64"/>
  <c r="W20" i="64"/>
  <c r="X20" i="64"/>
  <c r="Y20" i="64"/>
  <c r="Z20" i="64"/>
  <c r="AA20" i="64"/>
  <c r="AB20" i="64"/>
  <c r="AC20" i="64"/>
  <c r="AD20" i="64"/>
  <c r="AE20" i="64"/>
  <c r="AF20" i="64"/>
  <c r="AG20" i="64"/>
  <c r="AH20" i="64"/>
  <c r="AI20" i="64"/>
  <c r="B21" i="64"/>
  <c r="C21" i="64"/>
  <c r="D21" i="64"/>
  <c r="E21" i="64"/>
  <c r="F21" i="64"/>
  <c r="G21" i="64"/>
  <c r="H21" i="64"/>
  <c r="I21" i="64"/>
  <c r="J21" i="64"/>
  <c r="K21" i="64"/>
  <c r="L21" i="64"/>
  <c r="M21" i="64"/>
  <c r="N21" i="64"/>
  <c r="O21" i="64"/>
  <c r="P21" i="64"/>
  <c r="Q21" i="64"/>
  <c r="R21" i="64"/>
  <c r="S21" i="64"/>
  <c r="T21" i="64"/>
  <c r="U21" i="64"/>
  <c r="V21" i="64"/>
  <c r="W21" i="64"/>
  <c r="X21" i="64"/>
  <c r="Y21" i="64"/>
  <c r="Z21" i="64"/>
  <c r="AA21" i="64"/>
  <c r="AB21" i="64"/>
  <c r="AC21" i="64"/>
  <c r="AD21" i="64"/>
  <c r="AE21" i="64"/>
  <c r="AF21" i="64"/>
  <c r="AG21" i="64"/>
  <c r="AH21" i="64"/>
  <c r="AI21" i="64"/>
  <c r="B22" i="64"/>
  <c r="C22" i="64"/>
  <c r="D22" i="64"/>
  <c r="E22" i="64"/>
  <c r="F22" i="64"/>
  <c r="G22" i="64"/>
  <c r="H22" i="64"/>
  <c r="I22" i="64"/>
  <c r="J22" i="64"/>
  <c r="K22" i="64"/>
  <c r="L22" i="64"/>
  <c r="M22" i="64"/>
  <c r="N22" i="64"/>
  <c r="O22" i="64"/>
  <c r="P22" i="64"/>
  <c r="Q22" i="64"/>
  <c r="R22" i="64"/>
  <c r="S22" i="64"/>
  <c r="T22" i="64"/>
  <c r="U22" i="64"/>
  <c r="V22" i="64"/>
  <c r="W22" i="64"/>
  <c r="X22" i="64"/>
  <c r="Y22" i="64"/>
  <c r="Z22" i="64"/>
  <c r="AA22" i="64"/>
  <c r="AB22" i="64"/>
  <c r="AC22" i="64"/>
  <c r="AD22" i="64"/>
  <c r="AE22" i="64"/>
  <c r="AF22" i="64"/>
  <c r="AG22" i="64"/>
  <c r="AH22" i="64"/>
  <c r="AI22" i="64"/>
  <c r="B23" i="64"/>
  <c r="C23" i="64"/>
  <c r="D23" i="64"/>
  <c r="E23" i="64"/>
  <c r="F23" i="64"/>
  <c r="G23" i="64"/>
  <c r="H23" i="64"/>
  <c r="I23" i="64"/>
  <c r="J23" i="64"/>
  <c r="K23" i="64"/>
  <c r="L23" i="64"/>
  <c r="M23" i="64"/>
  <c r="N23" i="64"/>
  <c r="O23" i="64"/>
  <c r="P23" i="64"/>
  <c r="Q23" i="64"/>
  <c r="R23" i="64"/>
  <c r="S23" i="64"/>
  <c r="T23" i="64"/>
  <c r="U23" i="64"/>
  <c r="V23" i="64"/>
  <c r="W23" i="64"/>
  <c r="X23" i="64"/>
  <c r="Y23" i="64"/>
  <c r="Z23" i="64"/>
  <c r="AA23" i="64"/>
  <c r="AB23" i="64"/>
  <c r="AC23" i="64"/>
  <c r="AD23" i="64"/>
  <c r="AE23" i="64"/>
  <c r="AF23" i="64"/>
  <c r="AG23" i="64"/>
  <c r="AH23" i="64"/>
  <c r="AI23" i="64"/>
  <c r="B24" i="64"/>
  <c r="C24" i="64"/>
  <c r="D24" i="64"/>
  <c r="E24" i="64"/>
  <c r="F24" i="64"/>
  <c r="G24" i="64"/>
  <c r="H24" i="64"/>
  <c r="I24" i="64"/>
  <c r="J24" i="64"/>
  <c r="K24" i="64"/>
  <c r="L24" i="64"/>
  <c r="M24" i="64"/>
  <c r="N24" i="64"/>
  <c r="O24" i="64"/>
  <c r="P24" i="64"/>
  <c r="Q24" i="64"/>
  <c r="R24" i="64"/>
  <c r="S24" i="64"/>
  <c r="T24" i="64"/>
  <c r="U24" i="64"/>
  <c r="V24" i="64"/>
  <c r="W24" i="64"/>
  <c r="X24" i="64"/>
  <c r="Y24" i="64"/>
  <c r="Z24" i="64"/>
  <c r="AA24" i="64"/>
  <c r="AB24" i="64"/>
  <c r="AC24" i="64"/>
  <c r="AD24" i="64"/>
  <c r="AE24" i="64"/>
  <c r="AF24" i="64"/>
  <c r="AG24" i="64"/>
  <c r="AH24" i="64"/>
  <c r="AI24" i="64"/>
  <c r="B25" i="64"/>
  <c r="C25" i="64"/>
  <c r="D25" i="64"/>
  <c r="E25" i="64"/>
  <c r="F25" i="64"/>
  <c r="G25" i="64"/>
  <c r="H25" i="64"/>
  <c r="I25" i="64"/>
  <c r="J25" i="64"/>
  <c r="K25" i="64"/>
  <c r="L25" i="64"/>
  <c r="M25" i="64"/>
  <c r="N25" i="64"/>
  <c r="O25" i="64"/>
  <c r="P25" i="64"/>
  <c r="Q25" i="64"/>
  <c r="R25" i="64"/>
  <c r="S25" i="64"/>
  <c r="T25" i="64"/>
  <c r="U25" i="64"/>
  <c r="V25" i="64"/>
  <c r="W25" i="64"/>
  <c r="X25" i="64"/>
  <c r="Y25" i="64"/>
  <c r="Z25" i="64"/>
  <c r="AA25" i="64"/>
  <c r="AB25" i="64"/>
  <c r="AC25" i="64"/>
  <c r="AD25" i="64"/>
  <c r="AE25" i="64"/>
  <c r="AF25" i="64"/>
  <c r="AG25" i="64"/>
  <c r="AH25" i="64"/>
  <c r="AI25" i="64"/>
  <c r="B26" i="64"/>
  <c r="C26" i="64"/>
  <c r="D26" i="64"/>
  <c r="E26" i="64"/>
  <c r="F26" i="64"/>
  <c r="G26" i="64"/>
  <c r="H26" i="64"/>
  <c r="I26" i="64"/>
  <c r="J26" i="64"/>
  <c r="K26" i="64"/>
  <c r="L26" i="64"/>
  <c r="M26" i="64"/>
  <c r="N26" i="64"/>
  <c r="O26" i="64"/>
  <c r="P26" i="64"/>
  <c r="Q26" i="64"/>
  <c r="R26" i="64"/>
  <c r="S26" i="64"/>
  <c r="T26" i="64"/>
  <c r="U26" i="64"/>
  <c r="V26" i="64"/>
  <c r="W26" i="64"/>
  <c r="X26" i="64"/>
  <c r="Y26" i="64"/>
  <c r="Z26" i="64"/>
  <c r="AA26" i="64"/>
  <c r="AB26" i="64"/>
  <c r="AC26" i="64"/>
  <c r="AD26" i="64"/>
  <c r="AE26" i="64"/>
  <c r="AF26" i="64"/>
  <c r="AG26" i="64"/>
  <c r="AH26" i="64"/>
  <c r="AI26" i="64"/>
  <c r="B27" i="64"/>
  <c r="C27" i="64"/>
  <c r="D27" i="64"/>
  <c r="E27" i="64"/>
  <c r="F27" i="64"/>
  <c r="G27" i="64"/>
  <c r="H27" i="64"/>
  <c r="I27" i="64"/>
  <c r="J27" i="64"/>
  <c r="K27" i="64"/>
  <c r="L27" i="64"/>
  <c r="M27" i="64"/>
  <c r="N27" i="64"/>
  <c r="O27" i="64"/>
  <c r="P27" i="64"/>
  <c r="Q27" i="64"/>
  <c r="R27" i="64"/>
  <c r="S27" i="64"/>
  <c r="T27" i="64"/>
  <c r="U27" i="64"/>
  <c r="V27" i="64"/>
  <c r="W27" i="64"/>
  <c r="X27" i="64"/>
  <c r="Y27" i="64"/>
  <c r="Z27" i="64"/>
  <c r="AA27" i="64"/>
  <c r="AB27" i="64"/>
  <c r="AC27" i="64"/>
  <c r="AD27" i="64"/>
  <c r="AE27" i="64"/>
  <c r="AF27" i="64"/>
  <c r="AG27" i="64"/>
  <c r="AH27" i="64"/>
  <c r="AI27" i="64"/>
  <c r="B28" i="64"/>
  <c r="C28" i="64"/>
  <c r="D28" i="64"/>
  <c r="E28" i="64"/>
  <c r="F28" i="64"/>
  <c r="G28" i="64"/>
  <c r="H28" i="64"/>
  <c r="I28" i="64"/>
  <c r="J28" i="64"/>
  <c r="K28" i="64"/>
  <c r="L28" i="64"/>
  <c r="M28" i="64"/>
  <c r="N28" i="64"/>
  <c r="O28" i="64"/>
  <c r="P28" i="64"/>
  <c r="Q28" i="64"/>
  <c r="R28" i="64"/>
  <c r="S28" i="64"/>
  <c r="T28" i="64"/>
  <c r="U28" i="64"/>
  <c r="V28" i="64"/>
  <c r="W28" i="64"/>
  <c r="X28" i="64"/>
  <c r="Y28" i="64"/>
  <c r="Z28" i="64"/>
  <c r="AA28" i="64"/>
  <c r="AB28" i="64"/>
  <c r="AC28" i="64"/>
  <c r="AD28" i="64"/>
  <c r="AE28" i="64"/>
  <c r="AF28" i="64"/>
  <c r="AG28" i="64"/>
  <c r="AH28" i="64"/>
  <c r="AI28" i="64"/>
  <c r="B29" i="64"/>
  <c r="C29" i="64"/>
  <c r="D29" i="64"/>
  <c r="E29" i="64"/>
  <c r="F29" i="64"/>
  <c r="G29" i="64"/>
  <c r="H29" i="64"/>
  <c r="I29" i="64"/>
  <c r="J29" i="64"/>
  <c r="K29" i="64"/>
  <c r="L29" i="64"/>
  <c r="M29" i="64"/>
  <c r="N29" i="64"/>
  <c r="O29" i="64"/>
  <c r="P29" i="64"/>
  <c r="Q29" i="64"/>
  <c r="R29" i="64"/>
  <c r="S29" i="64"/>
  <c r="T29" i="64"/>
  <c r="U29" i="64"/>
  <c r="V29" i="64"/>
  <c r="W29" i="64"/>
  <c r="X29" i="64"/>
  <c r="Y29" i="64"/>
  <c r="Z29" i="64"/>
  <c r="AA29" i="64"/>
  <c r="AB29" i="64"/>
  <c r="AC29" i="64"/>
  <c r="AD29" i="64"/>
  <c r="AE29" i="64"/>
  <c r="AF29" i="64"/>
  <c r="AG29" i="64"/>
  <c r="AH29" i="64"/>
  <c r="AI29" i="64"/>
  <c r="B30" i="64"/>
  <c r="C30" i="64"/>
  <c r="D30" i="64"/>
  <c r="E30" i="64"/>
  <c r="F30" i="64"/>
  <c r="G30" i="64"/>
  <c r="H30" i="64"/>
  <c r="I30" i="64"/>
  <c r="J30" i="64"/>
  <c r="K30" i="64"/>
  <c r="L30" i="64"/>
  <c r="M30" i="64"/>
  <c r="N30" i="64"/>
  <c r="O30" i="64"/>
  <c r="P30" i="64"/>
  <c r="Q30" i="64"/>
  <c r="R30" i="64"/>
  <c r="S30" i="64"/>
  <c r="T30" i="64"/>
  <c r="U30" i="64"/>
  <c r="V30" i="64"/>
  <c r="W30" i="64"/>
  <c r="X30" i="64"/>
  <c r="Y30" i="64"/>
  <c r="Z30" i="64"/>
  <c r="AA30" i="64"/>
  <c r="AB30" i="64"/>
  <c r="AC30" i="64"/>
  <c r="AD30" i="64"/>
  <c r="AE30" i="64"/>
  <c r="AF30" i="64"/>
  <c r="AG30" i="64"/>
  <c r="AH30" i="64"/>
  <c r="AI30" i="64"/>
  <c r="B31" i="64"/>
  <c r="C31" i="64"/>
  <c r="D31" i="64"/>
  <c r="E31" i="64"/>
  <c r="F31" i="64"/>
  <c r="G31" i="64"/>
  <c r="H31" i="64"/>
  <c r="I31" i="64"/>
  <c r="J31" i="64"/>
  <c r="K31" i="64"/>
  <c r="L31" i="64"/>
  <c r="M31" i="64"/>
  <c r="N31" i="64"/>
  <c r="O31" i="64"/>
  <c r="P31" i="64"/>
  <c r="Q31" i="64"/>
  <c r="R31" i="64"/>
  <c r="S31" i="64"/>
  <c r="T31" i="64"/>
  <c r="U31" i="64"/>
  <c r="V31" i="64"/>
  <c r="W31" i="64"/>
  <c r="X31" i="64"/>
  <c r="Y31" i="64"/>
  <c r="Z31" i="64"/>
  <c r="AA31" i="64"/>
  <c r="AB31" i="64"/>
  <c r="AC31" i="64"/>
  <c r="AD31" i="64"/>
  <c r="AE31" i="64"/>
  <c r="AF31" i="64"/>
  <c r="AG31" i="64"/>
  <c r="AH31" i="64"/>
  <c r="AI31" i="64"/>
  <c r="B32" i="64"/>
  <c r="C32" i="64"/>
  <c r="D32" i="64"/>
  <c r="E32" i="64"/>
  <c r="F32" i="64"/>
  <c r="G32" i="64"/>
  <c r="H32" i="64"/>
  <c r="I32" i="64"/>
  <c r="J32" i="64"/>
  <c r="K32" i="64"/>
  <c r="L32" i="64"/>
  <c r="M32" i="64"/>
  <c r="N32" i="64"/>
  <c r="O32" i="64"/>
  <c r="P32" i="64"/>
  <c r="Q32" i="64"/>
  <c r="R32" i="64"/>
  <c r="S32" i="64"/>
  <c r="T32" i="64"/>
  <c r="U32" i="64"/>
  <c r="V32" i="64"/>
  <c r="W32" i="64"/>
  <c r="X32" i="64"/>
  <c r="Y32" i="64"/>
  <c r="Z32" i="64"/>
  <c r="AA32" i="64"/>
  <c r="AB32" i="64"/>
  <c r="AC32" i="64"/>
  <c r="AD32" i="64"/>
  <c r="AE32" i="64"/>
  <c r="AF32" i="64"/>
  <c r="AG32" i="64"/>
  <c r="AH32" i="64"/>
  <c r="AI32" i="64"/>
  <c r="B33" i="64"/>
  <c r="C33" i="64"/>
  <c r="D33" i="64"/>
  <c r="E33" i="64"/>
  <c r="F33" i="64"/>
  <c r="G33" i="64"/>
  <c r="H33" i="64"/>
  <c r="I33" i="64"/>
  <c r="J33" i="64"/>
  <c r="K33" i="64"/>
  <c r="L33" i="64"/>
  <c r="M33" i="64"/>
  <c r="N33" i="64"/>
  <c r="O33" i="64"/>
  <c r="P33" i="64"/>
  <c r="Q33" i="64"/>
  <c r="R33" i="64"/>
  <c r="S33" i="64"/>
  <c r="T33" i="64"/>
  <c r="U33" i="64"/>
  <c r="V33" i="64"/>
  <c r="W33" i="64"/>
  <c r="X33" i="64"/>
  <c r="Y33" i="64"/>
  <c r="Z33" i="64"/>
  <c r="AA33" i="64"/>
  <c r="AB33" i="64"/>
  <c r="AC33" i="64"/>
  <c r="AD33" i="64"/>
  <c r="AE33" i="64"/>
  <c r="AF33" i="64"/>
  <c r="AG33" i="64"/>
  <c r="AH33" i="64"/>
  <c r="AI33" i="64"/>
  <c r="B34" i="64"/>
  <c r="C34" i="64"/>
  <c r="D34" i="64"/>
  <c r="E34" i="64"/>
  <c r="F34" i="64"/>
  <c r="G34" i="64"/>
  <c r="H34" i="64"/>
  <c r="I34" i="64"/>
  <c r="J34" i="64"/>
  <c r="K34" i="64"/>
  <c r="L34" i="64"/>
  <c r="M34" i="64"/>
  <c r="N34" i="64"/>
  <c r="O34" i="64"/>
  <c r="P34" i="64"/>
  <c r="Q34" i="64"/>
  <c r="R34" i="64"/>
  <c r="S34" i="64"/>
  <c r="T34" i="64"/>
  <c r="U34" i="64"/>
  <c r="V34" i="64"/>
  <c r="W34" i="64"/>
  <c r="X34" i="64"/>
  <c r="Y34" i="64"/>
  <c r="Z34" i="64"/>
  <c r="AA34" i="64"/>
  <c r="AB34" i="64"/>
  <c r="AC34" i="64"/>
  <c r="AD34" i="64"/>
  <c r="AE34" i="64"/>
  <c r="AF34" i="64"/>
  <c r="AG34" i="64"/>
  <c r="AH34" i="64"/>
  <c r="AI34" i="64"/>
  <c r="B35" i="64"/>
  <c r="C35" i="64"/>
  <c r="D35" i="64"/>
  <c r="E35" i="64"/>
  <c r="F35" i="64"/>
  <c r="G35" i="64"/>
  <c r="H35" i="64"/>
  <c r="I35" i="64"/>
  <c r="J35" i="64"/>
  <c r="K35" i="64"/>
  <c r="L35" i="64"/>
  <c r="M35" i="64"/>
  <c r="N35" i="64"/>
  <c r="O35" i="64"/>
  <c r="P35" i="64"/>
  <c r="Q35" i="64"/>
  <c r="R35" i="64"/>
  <c r="S35" i="64"/>
  <c r="T35" i="64"/>
  <c r="U35" i="64"/>
  <c r="V35" i="64"/>
  <c r="W35" i="64"/>
  <c r="X35" i="64"/>
  <c r="Y35" i="64"/>
  <c r="Z35" i="64"/>
  <c r="AA35" i="64"/>
  <c r="AB35" i="64"/>
  <c r="AC35" i="64"/>
  <c r="AD35" i="64"/>
  <c r="AE35" i="64"/>
  <c r="AF35" i="64"/>
  <c r="AG35" i="64"/>
  <c r="AH35" i="64"/>
  <c r="AI35" i="64"/>
  <c r="B36" i="64"/>
  <c r="C36" i="64"/>
  <c r="D36" i="64"/>
  <c r="E36" i="64"/>
  <c r="F36" i="64"/>
  <c r="G36" i="64"/>
  <c r="H36" i="64"/>
  <c r="I36" i="64"/>
  <c r="J36" i="64"/>
  <c r="K36" i="64"/>
  <c r="L36" i="64"/>
  <c r="M36" i="64"/>
  <c r="N36" i="64"/>
  <c r="O36" i="64"/>
  <c r="P36" i="64"/>
  <c r="Q36" i="64"/>
  <c r="R36" i="64"/>
  <c r="S36" i="64"/>
  <c r="T36" i="64"/>
  <c r="U36" i="64"/>
  <c r="V36" i="64"/>
  <c r="W36" i="64"/>
  <c r="X36" i="64"/>
  <c r="Y36" i="64"/>
  <c r="Z36" i="64"/>
  <c r="AA36" i="64"/>
  <c r="AB36" i="64"/>
  <c r="AC36" i="64"/>
  <c r="AD36" i="64"/>
  <c r="AE36" i="64"/>
  <c r="AF36" i="64"/>
  <c r="AG36" i="64"/>
  <c r="AH36" i="64"/>
  <c r="AI36" i="64"/>
  <c r="B37" i="64"/>
  <c r="C37" i="64"/>
  <c r="D37" i="64"/>
  <c r="E37" i="64"/>
  <c r="F37" i="64"/>
  <c r="G37" i="64"/>
  <c r="H37" i="64"/>
  <c r="I37" i="64"/>
  <c r="J37" i="64"/>
  <c r="K37" i="64"/>
  <c r="L37" i="64"/>
  <c r="M37" i="64"/>
  <c r="N37" i="64"/>
  <c r="O37" i="64"/>
  <c r="P37" i="64"/>
  <c r="Q37" i="64"/>
  <c r="R37" i="64"/>
  <c r="S37" i="64"/>
  <c r="T37" i="64"/>
  <c r="U37" i="64"/>
  <c r="V37" i="64"/>
  <c r="W37" i="64"/>
  <c r="X37" i="64"/>
  <c r="Y37" i="64"/>
  <c r="Z37" i="64"/>
  <c r="AA37" i="64"/>
  <c r="AB37" i="64"/>
  <c r="AC37" i="64"/>
  <c r="AD37" i="64"/>
  <c r="AE37" i="64"/>
  <c r="AF37" i="64"/>
  <c r="AG37" i="64"/>
  <c r="AH37" i="64"/>
  <c r="AI37" i="64"/>
  <c r="B38" i="64"/>
  <c r="C38" i="64"/>
  <c r="D38" i="64"/>
  <c r="E38" i="64"/>
  <c r="F38" i="64"/>
  <c r="G38" i="64"/>
  <c r="H38" i="64"/>
  <c r="I38" i="64"/>
  <c r="J38" i="64"/>
  <c r="K38" i="64"/>
  <c r="L38" i="64"/>
  <c r="M38" i="64"/>
  <c r="N38" i="64"/>
  <c r="O38" i="64"/>
  <c r="P38" i="64"/>
  <c r="Q38" i="64"/>
  <c r="R38" i="64"/>
  <c r="S38" i="64"/>
  <c r="T38" i="64"/>
  <c r="U38" i="64"/>
  <c r="V38" i="64"/>
  <c r="W38" i="64"/>
  <c r="X38" i="64"/>
  <c r="Y38" i="64"/>
  <c r="Z38" i="64"/>
  <c r="AA38" i="64"/>
  <c r="AB38" i="64"/>
  <c r="AC38" i="64"/>
  <c r="AD38" i="64"/>
  <c r="AE38" i="64"/>
  <c r="AF38" i="64"/>
  <c r="AG38" i="64"/>
  <c r="AH38" i="64"/>
  <c r="AI38" i="64"/>
  <c r="B39" i="64"/>
  <c r="C39" i="64"/>
  <c r="D39" i="64"/>
  <c r="E39" i="64"/>
  <c r="F39" i="64"/>
  <c r="G39" i="64"/>
  <c r="H39" i="64"/>
  <c r="I39" i="64"/>
  <c r="J39" i="64"/>
  <c r="K39" i="64"/>
  <c r="L39" i="64"/>
  <c r="M39" i="64"/>
  <c r="N39" i="64"/>
  <c r="O39" i="64"/>
  <c r="P39" i="64"/>
  <c r="Q39" i="64"/>
  <c r="R39" i="64"/>
  <c r="S39" i="64"/>
  <c r="T39" i="64"/>
  <c r="U39" i="64"/>
  <c r="V39" i="64"/>
  <c r="W39" i="64"/>
  <c r="X39" i="64"/>
  <c r="Y39" i="64"/>
  <c r="Z39" i="64"/>
  <c r="AA39" i="64"/>
  <c r="AB39" i="64"/>
  <c r="AC39" i="64"/>
  <c r="AD39" i="64"/>
  <c r="AE39" i="64"/>
  <c r="AF39" i="64"/>
  <c r="AG39" i="64"/>
  <c r="AH39" i="64"/>
  <c r="AI39" i="64"/>
  <c r="B40" i="64"/>
  <c r="C40" i="64"/>
  <c r="D40" i="64"/>
  <c r="E40" i="64"/>
  <c r="F40" i="64"/>
  <c r="G40" i="64"/>
  <c r="H40" i="64"/>
  <c r="I40" i="64"/>
  <c r="J40" i="64"/>
  <c r="K40" i="64"/>
  <c r="L40" i="64"/>
  <c r="M40" i="64"/>
  <c r="N40" i="64"/>
  <c r="O40" i="64"/>
  <c r="P40" i="64"/>
  <c r="Q40" i="64"/>
  <c r="R40" i="64"/>
  <c r="S40" i="64"/>
  <c r="T40" i="64"/>
  <c r="U40" i="64"/>
  <c r="V40" i="64"/>
  <c r="W40" i="64"/>
  <c r="X40" i="64"/>
  <c r="Y40" i="64"/>
  <c r="Z40" i="64"/>
  <c r="AA40" i="64"/>
  <c r="AB40" i="64"/>
  <c r="AC40" i="64"/>
  <c r="AD40" i="64"/>
  <c r="AE40" i="64"/>
  <c r="AF40" i="64"/>
  <c r="AG40" i="64"/>
  <c r="AH40" i="64"/>
  <c r="AI40" i="64"/>
  <c r="B41" i="64"/>
  <c r="C41" i="64"/>
  <c r="D41" i="64"/>
  <c r="E41" i="64"/>
  <c r="F41" i="64"/>
  <c r="G41" i="64"/>
  <c r="H41" i="64"/>
  <c r="I41" i="64"/>
  <c r="J41" i="64"/>
  <c r="K41" i="64"/>
  <c r="L41" i="64"/>
  <c r="M41" i="64"/>
  <c r="N41" i="64"/>
  <c r="O41" i="64"/>
  <c r="P41" i="64"/>
  <c r="Q41" i="64"/>
  <c r="R41" i="64"/>
  <c r="S41" i="64"/>
  <c r="T41" i="64"/>
  <c r="U41" i="64"/>
  <c r="V41" i="64"/>
  <c r="W41" i="64"/>
  <c r="X41" i="64"/>
  <c r="Y41" i="64"/>
  <c r="Z41" i="64"/>
  <c r="AA41" i="64"/>
  <c r="AB41" i="64"/>
  <c r="AC41" i="64"/>
  <c r="AD41" i="64"/>
  <c r="AE41" i="64"/>
  <c r="AF41" i="64"/>
  <c r="AG41" i="64"/>
  <c r="AH41" i="64"/>
  <c r="AI41" i="64"/>
  <c r="B42" i="64"/>
  <c r="C42" i="64"/>
  <c r="D42" i="64"/>
  <c r="E42" i="64"/>
  <c r="F42" i="64"/>
  <c r="G42" i="64"/>
  <c r="H42" i="64"/>
  <c r="I42" i="64"/>
  <c r="J42" i="64"/>
  <c r="K42" i="64"/>
  <c r="L42" i="64"/>
  <c r="M42" i="64"/>
  <c r="N42" i="64"/>
  <c r="O42" i="64"/>
  <c r="P42" i="64"/>
  <c r="Q42" i="64"/>
  <c r="R42" i="64"/>
  <c r="S42" i="64"/>
  <c r="T42" i="64"/>
  <c r="U42" i="64"/>
  <c r="V42" i="64"/>
  <c r="W42" i="64"/>
  <c r="X42" i="64"/>
  <c r="Y42" i="64"/>
  <c r="Z42" i="64"/>
  <c r="AA42" i="64"/>
  <c r="AB42" i="64"/>
  <c r="AC42" i="64"/>
  <c r="AD42" i="64"/>
  <c r="AE42" i="64"/>
  <c r="AF42" i="64"/>
  <c r="AG42" i="64"/>
  <c r="AH42" i="64"/>
  <c r="AI42" i="64"/>
  <c r="B43" i="64"/>
  <c r="C43" i="64"/>
  <c r="D43" i="64"/>
  <c r="E43" i="64"/>
  <c r="F43" i="64"/>
  <c r="G43" i="64"/>
  <c r="H43" i="64"/>
  <c r="I43" i="64"/>
  <c r="J43" i="64"/>
  <c r="K43" i="64"/>
  <c r="L43" i="64"/>
  <c r="M43" i="64"/>
  <c r="N43" i="64"/>
  <c r="O43" i="64"/>
  <c r="P43" i="64"/>
  <c r="Q43" i="64"/>
  <c r="R43" i="64"/>
  <c r="S43" i="64"/>
  <c r="T43" i="64"/>
  <c r="U43" i="64"/>
  <c r="V43" i="64"/>
  <c r="W43" i="64"/>
  <c r="X43" i="64"/>
  <c r="Y43" i="64"/>
  <c r="Z43" i="64"/>
  <c r="AA43" i="64"/>
  <c r="AB43" i="64"/>
  <c r="AC43" i="64"/>
  <c r="AD43" i="64"/>
  <c r="AE43" i="64"/>
  <c r="AF43" i="64"/>
  <c r="AG43" i="64"/>
  <c r="AH43" i="64"/>
  <c r="AI43" i="64"/>
  <c r="B44" i="64"/>
  <c r="C44" i="64"/>
  <c r="D44" i="64"/>
  <c r="E44" i="64"/>
  <c r="F44" i="64"/>
  <c r="G44" i="64"/>
  <c r="H44" i="64"/>
  <c r="I44" i="64"/>
  <c r="J44" i="64"/>
  <c r="K44" i="64"/>
  <c r="L44" i="64"/>
  <c r="M44" i="64"/>
  <c r="N44" i="64"/>
  <c r="O44" i="64"/>
  <c r="P44" i="64"/>
  <c r="Q44" i="64"/>
  <c r="R44" i="64"/>
  <c r="S44" i="64"/>
  <c r="T44" i="64"/>
  <c r="U44" i="64"/>
  <c r="V44" i="64"/>
  <c r="W44" i="64"/>
  <c r="X44" i="64"/>
  <c r="Y44" i="64"/>
  <c r="Z44" i="64"/>
  <c r="AA44" i="64"/>
  <c r="AB44" i="64"/>
  <c r="AC44" i="64"/>
  <c r="AD44" i="64"/>
  <c r="AE44" i="64"/>
  <c r="AF44" i="64"/>
  <c r="AG44" i="64"/>
  <c r="AH44" i="64"/>
  <c r="AI44" i="64"/>
  <c r="B45" i="64"/>
  <c r="C45" i="64"/>
  <c r="D45" i="64"/>
  <c r="E45" i="64"/>
  <c r="F45" i="64"/>
  <c r="G45" i="64"/>
  <c r="H45" i="64"/>
  <c r="I45" i="64"/>
  <c r="J45" i="64"/>
  <c r="K45" i="64"/>
  <c r="L45" i="64"/>
  <c r="M45" i="64"/>
  <c r="N45" i="64"/>
  <c r="O45" i="64"/>
  <c r="P45" i="64"/>
  <c r="Q45" i="64"/>
  <c r="R45" i="64"/>
  <c r="S45" i="64"/>
  <c r="T45" i="64"/>
  <c r="U45" i="64"/>
  <c r="V45" i="64"/>
  <c r="W45" i="64"/>
  <c r="X45" i="64"/>
  <c r="Y45" i="64"/>
  <c r="Z45" i="64"/>
  <c r="AA45" i="64"/>
  <c r="AB45" i="64"/>
  <c r="AC45" i="64"/>
  <c r="AD45" i="64"/>
  <c r="AE45" i="64"/>
  <c r="AF45" i="64"/>
  <c r="AG45" i="64"/>
  <c r="AH45" i="64"/>
  <c r="AI45" i="64"/>
  <c r="B46" i="64"/>
  <c r="C46" i="64"/>
  <c r="D46" i="64"/>
  <c r="E46" i="64"/>
  <c r="F46" i="64"/>
  <c r="G46" i="64"/>
  <c r="H46" i="64"/>
  <c r="I46" i="64"/>
  <c r="J46" i="64"/>
  <c r="K46" i="64"/>
  <c r="L46" i="64"/>
  <c r="M46" i="64"/>
  <c r="N46" i="64"/>
  <c r="O46" i="64"/>
  <c r="P46" i="64"/>
  <c r="Q46" i="64"/>
  <c r="R46" i="64"/>
  <c r="S46" i="64"/>
  <c r="T46" i="64"/>
  <c r="U46" i="64"/>
  <c r="V46" i="64"/>
  <c r="W46" i="64"/>
  <c r="X46" i="64"/>
  <c r="Y46" i="64"/>
  <c r="Z46" i="64"/>
  <c r="AA46" i="64"/>
  <c r="AB46" i="64"/>
  <c r="AC46" i="64"/>
  <c r="AD46" i="64"/>
  <c r="AE46" i="64"/>
  <c r="AF46" i="64"/>
  <c r="AG46" i="64"/>
  <c r="AH46" i="64"/>
  <c r="AI46" i="64"/>
  <c r="B47" i="64"/>
  <c r="C47" i="64"/>
  <c r="D47" i="64"/>
  <c r="E47" i="64"/>
  <c r="F47" i="64"/>
  <c r="G47" i="64"/>
  <c r="H47" i="64"/>
  <c r="I47" i="64"/>
  <c r="J47" i="64"/>
  <c r="K47" i="64"/>
  <c r="L47" i="64"/>
  <c r="M47" i="64"/>
  <c r="N47" i="64"/>
  <c r="O47" i="64"/>
  <c r="P47" i="64"/>
  <c r="Q47" i="64"/>
  <c r="R47" i="64"/>
  <c r="S47" i="64"/>
  <c r="T47" i="64"/>
  <c r="U47" i="64"/>
  <c r="V47" i="64"/>
  <c r="W47" i="64"/>
  <c r="X47" i="64"/>
  <c r="Y47" i="64"/>
  <c r="Z47" i="64"/>
  <c r="AA47" i="64"/>
  <c r="AB47" i="64"/>
  <c r="AC47" i="64"/>
  <c r="AD47" i="64"/>
  <c r="AE47" i="64"/>
  <c r="AF47" i="64"/>
  <c r="AG47" i="64"/>
  <c r="AH47" i="64"/>
  <c r="AI47" i="64"/>
  <c r="B48" i="64"/>
  <c r="C48" i="64"/>
  <c r="D48" i="64"/>
  <c r="E48" i="64"/>
  <c r="F48" i="64"/>
  <c r="G48" i="64"/>
  <c r="H48" i="64"/>
  <c r="I48" i="64"/>
  <c r="J48" i="64"/>
  <c r="K48" i="64"/>
  <c r="L48" i="64"/>
  <c r="M48" i="64"/>
  <c r="N48" i="64"/>
  <c r="O48" i="64"/>
  <c r="P48" i="64"/>
  <c r="Q48" i="64"/>
  <c r="R48" i="64"/>
  <c r="S48" i="64"/>
  <c r="T48" i="64"/>
  <c r="U48" i="64"/>
  <c r="V48" i="64"/>
  <c r="W48" i="64"/>
  <c r="X48" i="64"/>
  <c r="Y48" i="64"/>
  <c r="Z48" i="64"/>
  <c r="AA48" i="64"/>
  <c r="AB48" i="64"/>
  <c r="AC48" i="64"/>
  <c r="AD48" i="64"/>
  <c r="AE48" i="64"/>
  <c r="AF48" i="64"/>
  <c r="AG48" i="64"/>
  <c r="AH48" i="64"/>
  <c r="AI48" i="64"/>
  <c r="B49" i="64"/>
  <c r="C49" i="64"/>
  <c r="D49" i="64"/>
  <c r="E49" i="64"/>
  <c r="F49" i="64"/>
  <c r="G49" i="64"/>
  <c r="H49" i="64"/>
  <c r="I49" i="64"/>
  <c r="J49" i="64"/>
  <c r="K49" i="64"/>
  <c r="L49" i="64"/>
  <c r="M49" i="64"/>
  <c r="N49" i="64"/>
  <c r="O49" i="64"/>
  <c r="P49" i="64"/>
  <c r="Q49" i="64"/>
  <c r="R49" i="64"/>
  <c r="S49" i="64"/>
  <c r="T49" i="64"/>
  <c r="U49" i="64"/>
  <c r="V49" i="64"/>
  <c r="W49" i="64"/>
  <c r="X49" i="64"/>
  <c r="Y49" i="64"/>
  <c r="Z49" i="64"/>
  <c r="AA49" i="64"/>
  <c r="AB49" i="64"/>
  <c r="AC49" i="64"/>
  <c r="AD49" i="64"/>
  <c r="AE49" i="64"/>
  <c r="AF49" i="64"/>
  <c r="AG49" i="64"/>
  <c r="AH49" i="64"/>
  <c r="AI49" i="64"/>
  <c r="B50" i="64"/>
  <c r="C50" i="64"/>
  <c r="D50" i="64"/>
  <c r="E50" i="64"/>
  <c r="F50" i="64"/>
  <c r="G50" i="64"/>
  <c r="H50" i="64"/>
  <c r="I50" i="64"/>
  <c r="J50" i="64"/>
  <c r="K50" i="64"/>
  <c r="L50" i="64"/>
  <c r="M50" i="64"/>
  <c r="N50" i="64"/>
  <c r="O50" i="64"/>
  <c r="P50" i="64"/>
  <c r="Q50" i="64"/>
  <c r="R50" i="64"/>
  <c r="S50" i="64"/>
  <c r="T50" i="64"/>
  <c r="U50" i="64"/>
  <c r="V50" i="64"/>
  <c r="W50" i="64"/>
  <c r="X50" i="64"/>
  <c r="Y50" i="64"/>
  <c r="Z50" i="64"/>
  <c r="AA50" i="64"/>
  <c r="AB50" i="64"/>
  <c r="AC50" i="64"/>
  <c r="AD50" i="64"/>
  <c r="AE50" i="64"/>
  <c r="AF50" i="64"/>
  <c r="AG50" i="64"/>
  <c r="AH50" i="64"/>
  <c r="AI50" i="64"/>
  <c r="B51" i="64"/>
  <c r="C51" i="64"/>
  <c r="D51" i="64"/>
  <c r="E51" i="64"/>
  <c r="F51" i="64"/>
  <c r="G51" i="64"/>
  <c r="H51" i="64"/>
  <c r="I51" i="64"/>
  <c r="J51" i="64"/>
  <c r="K51" i="64"/>
  <c r="L51" i="64"/>
  <c r="M51" i="64"/>
  <c r="N51" i="64"/>
  <c r="O51" i="64"/>
  <c r="P51" i="64"/>
  <c r="Q51" i="64"/>
  <c r="R51" i="64"/>
  <c r="S51" i="64"/>
  <c r="T51" i="64"/>
  <c r="U51" i="64"/>
  <c r="V51" i="64"/>
  <c r="W51" i="64"/>
  <c r="X51" i="64"/>
  <c r="Y51" i="64"/>
  <c r="Z51" i="64"/>
  <c r="AA51" i="64"/>
  <c r="AB51" i="64"/>
  <c r="AC51" i="64"/>
  <c r="AD51" i="64"/>
  <c r="AE51" i="64"/>
  <c r="AF51" i="64"/>
  <c r="AG51" i="64"/>
  <c r="AH51" i="64"/>
  <c r="AI51" i="64"/>
  <c r="B52" i="64"/>
  <c r="C52" i="64"/>
  <c r="D52" i="64"/>
  <c r="E52" i="64"/>
  <c r="F52" i="64"/>
  <c r="G52" i="64"/>
  <c r="H52" i="64"/>
  <c r="I52" i="64"/>
  <c r="J52" i="64"/>
  <c r="K52" i="64"/>
  <c r="L52" i="64"/>
  <c r="M52" i="64"/>
  <c r="N52" i="64"/>
  <c r="O52" i="64"/>
  <c r="P52" i="64"/>
  <c r="Q52" i="64"/>
  <c r="R52" i="64"/>
  <c r="S52" i="64"/>
  <c r="T52" i="64"/>
  <c r="U52" i="64"/>
  <c r="V52" i="64"/>
  <c r="W52" i="64"/>
  <c r="X52" i="64"/>
  <c r="Y52" i="64"/>
  <c r="Z52" i="64"/>
  <c r="AA52" i="64"/>
  <c r="AB52" i="64"/>
  <c r="AC52" i="64"/>
  <c r="AD52" i="64"/>
  <c r="AE52" i="64"/>
  <c r="AF52" i="64"/>
  <c r="AG52" i="64"/>
  <c r="AH52" i="64"/>
  <c r="AI52" i="64"/>
  <c r="B53" i="64"/>
  <c r="C53" i="64"/>
  <c r="D53" i="64"/>
  <c r="E53" i="64"/>
  <c r="F53" i="64"/>
  <c r="G53" i="64"/>
  <c r="H53" i="64"/>
  <c r="I53" i="64"/>
  <c r="J53" i="64"/>
  <c r="K53" i="64"/>
  <c r="L53" i="64"/>
  <c r="M53" i="64"/>
  <c r="N53" i="64"/>
  <c r="O53" i="64"/>
  <c r="P53" i="64"/>
  <c r="Q53" i="64"/>
  <c r="R53" i="64"/>
  <c r="S53" i="64"/>
  <c r="T53" i="64"/>
  <c r="U53" i="64"/>
  <c r="V53" i="64"/>
  <c r="W53" i="64"/>
  <c r="X53" i="64"/>
  <c r="Y53" i="64"/>
  <c r="Z53" i="64"/>
  <c r="AA53" i="64"/>
  <c r="AB53" i="64"/>
  <c r="AC53" i="64"/>
  <c r="AD53" i="64"/>
  <c r="AE53" i="64"/>
  <c r="AF53" i="64"/>
  <c r="AG53" i="64"/>
  <c r="AH53" i="64"/>
  <c r="AI53" i="64"/>
  <c r="B54" i="64"/>
  <c r="C54" i="64"/>
  <c r="D54" i="64"/>
  <c r="E54" i="64"/>
  <c r="F54" i="64"/>
  <c r="G54" i="64"/>
  <c r="H54" i="64"/>
  <c r="I54" i="64"/>
  <c r="J54" i="64"/>
  <c r="K54" i="64"/>
  <c r="L54" i="64"/>
  <c r="M54" i="64"/>
  <c r="N54" i="64"/>
  <c r="O54" i="64"/>
  <c r="P54" i="64"/>
  <c r="Q54" i="64"/>
  <c r="R54" i="64"/>
  <c r="S54" i="64"/>
  <c r="T54" i="64"/>
  <c r="U54" i="64"/>
  <c r="V54" i="64"/>
  <c r="W54" i="64"/>
  <c r="X54" i="64"/>
  <c r="Y54" i="64"/>
  <c r="Z54" i="64"/>
  <c r="AA54" i="64"/>
  <c r="AB54" i="64"/>
  <c r="AC54" i="64"/>
  <c r="AD54" i="64"/>
  <c r="AE54" i="64"/>
  <c r="AF54" i="64"/>
  <c r="AG54" i="64"/>
  <c r="AH54" i="64"/>
  <c r="AI54" i="64"/>
  <c r="B55" i="64"/>
  <c r="C55" i="64"/>
  <c r="D55" i="64"/>
  <c r="E55" i="64"/>
  <c r="F55" i="64"/>
  <c r="G55" i="64"/>
  <c r="H55" i="64"/>
  <c r="I55" i="64"/>
  <c r="J55" i="64"/>
  <c r="K55" i="64"/>
  <c r="L55" i="64"/>
  <c r="M55" i="64"/>
  <c r="N55" i="64"/>
  <c r="O55" i="64"/>
  <c r="P55" i="64"/>
  <c r="Q55" i="64"/>
  <c r="R55" i="64"/>
  <c r="S55" i="64"/>
  <c r="T55" i="64"/>
  <c r="U55" i="64"/>
  <c r="V55" i="64"/>
  <c r="W55" i="64"/>
  <c r="X55" i="64"/>
  <c r="Y55" i="64"/>
  <c r="Z55" i="64"/>
  <c r="AA55" i="64"/>
  <c r="AB55" i="64"/>
  <c r="AC55" i="64"/>
  <c r="AD55" i="64"/>
  <c r="AE55" i="64"/>
  <c r="AF55" i="64"/>
  <c r="AG55" i="64"/>
  <c r="AH55" i="64"/>
  <c r="AI55" i="64"/>
  <c r="B56" i="64"/>
  <c r="C56" i="64"/>
  <c r="D56" i="64"/>
  <c r="E56" i="64"/>
  <c r="F56" i="64"/>
  <c r="G56" i="64"/>
  <c r="H56" i="64"/>
  <c r="I56" i="64"/>
  <c r="J56" i="64"/>
  <c r="K56" i="64"/>
  <c r="L56" i="64"/>
  <c r="M56" i="64"/>
  <c r="N56" i="64"/>
  <c r="O56" i="64"/>
  <c r="P56" i="64"/>
  <c r="Q56" i="64"/>
  <c r="R56" i="64"/>
  <c r="S56" i="64"/>
  <c r="T56" i="64"/>
  <c r="U56" i="64"/>
  <c r="V56" i="64"/>
  <c r="W56" i="64"/>
  <c r="X56" i="64"/>
  <c r="Y56" i="64"/>
  <c r="Z56" i="64"/>
  <c r="AA56" i="64"/>
  <c r="AB56" i="64"/>
  <c r="AC56" i="64"/>
  <c r="AD56" i="64"/>
  <c r="AE56" i="64"/>
  <c r="AF56" i="64"/>
  <c r="AG56" i="64"/>
  <c r="AH56" i="64"/>
  <c r="AI56" i="64"/>
  <c r="B57" i="64"/>
  <c r="C57" i="64"/>
  <c r="D57" i="64"/>
  <c r="E57" i="64"/>
  <c r="F57" i="64"/>
  <c r="G57" i="64"/>
  <c r="H57" i="64"/>
  <c r="I57" i="64"/>
  <c r="J57" i="64"/>
  <c r="K57" i="64"/>
  <c r="L57" i="64"/>
  <c r="M57" i="64"/>
  <c r="N57" i="64"/>
  <c r="O57" i="64"/>
  <c r="P57" i="64"/>
  <c r="Q57" i="64"/>
  <c r="R57" i="64"/>
  <c r="S57" i="64"/>
  <c r="T57" i="64"/>
  <c r="U57" i="64"/>
  <c r="V57" i="64"/>
  <c r="W57" i="64"/>
  <c r="X57" i="64"/>
  <c r="Y57" i="64"/>
  <c r="Z57" i="64"/>
  <c r="AA57" i="64"/>
  <c r="AB57" i="64"/>
  <c r="AC57" i="64"/>
  <c r="AD57" i="64"/>
  <c r="AE57" i="64"/>
  <c r="AF57" i="64"/>
  <c r="AG57" i="64"/>
  <c r="AH57" i="64"/>
  <c r="AI57" i="64"/>
  <c r="B58" i="64"/>
  <c r="C58" i="64"/>
  <c r="D58" i="64"/>
  <c r="E58" i="64"/>
  <c r="F58" i="64"/>
  <c r="G58" i="64"/>
  <c r="H58" i="64"/>
  <c r="I58" i="64"/>
  <c r="J58" i="64"/>
  <c r="K58" i="64"/>
  <c r="L58" i="64"/>
  <c r="M58" i="64"/>
  <c r="N58" i="64"/>
  <c r="O58" i="64"/>
  <c r="P58" i="64"/>
  <c r="Q58" i="64"/>
  <c r="R58" i="64"/>
  <c r="S58" i="64"/>
  <c r="T58" i="64"/>
  <c r="U58" i="64"/>
  <c r="V58" i="64"/>
  <c r="W58" i="64"/>
  <c r="X58" i="64"/>
  <c r="Y58" i="64"/>
  <c r="Z58" i="64"/>
  <c r="AA58" i="64"/>
  <c r="AB58" i="64"/>
  <c r="AC58" i="64"/>
  <c r="AD58" i="64"/>
  <c r="AE58" i="64"/>
  <c r="AF58" i="64"/>
  <c r="AG58" i="64"/>
  <c r="AH58" i="64"/>
  <c r="AI58" i="64"/>
  <c r="B59" i="64"/>
  <c r="C59" i="64"/>
  <c r="D59" i="64"/>
  <c r="E59" i="64"/>
  <c r="F59" i="64"/>
  <c r="G59" i="64"/>
  <c r="H59" i="64"/>
  <c r="I59" i="64"/>
  <c r="J59" i="64"/>
  <c r="K59" i="64"/>
  <c r="L59" i="64"/>
  <c r="M59" i="64"/>
  <c r="N59" i="64"/>
  <c r="O59" i="64"/>
  <c r="P59" i="64"/>
  <c r="Q59" i="64"/>
  <c r="R59" i="64"/>
  <c r="S59" i="64"/>
  <c r="T59" i="64"/>
  <c r="U59" i="64"/>
  <c r="V59" i="64"/>
  <c r="W59" i="64"/>
  <c r="X59" i="64"/>
  <c r="Y59" i="64"/>
  <c r="Z59" i="64"/>
  <c r="AA59" i="64"/>
  <c r="AB59" i="64"/>
  <c r="AC59" i="64"/>
  <c r="AD59" i="64"/>
  <c r="AE59" i="64"/>
  <c r="AF59" i="64"/>
  <c r="AG59" i="64"/>
  <c r="AH59" i="64"/>
  <c r="AI59" i="64"/>
  <c r="B60" i="64"/>
  <c r="C60" i="64"/>
  <c r="D60" i="64"/>
  <c r="E60" i="64"/>
  <c r="F60" i="64"/>
  <c r="G60" i="64"/>
  <c r="H60" i="64"/>
  <c r="I60" i="64"/>
  <c r="J60" i="64"/>
  <c r="K60" i="64"/>
  <c r="L60" i="64"/>
  <c r="M60" i="64"/>
  <c r="N60" i="64"/>
  <c r="O60" i="64"/>
  <c r="P60" i="64"/>
  <c r="Q60" i="64"/>
  <c r="R60" i="64"/>
  <c r="S60" i="64"/>
  <c r="T60" i="64"/>
  <c r="U60" i="64"/>
  <c r="V60" i="64"/>
  <c r="W60" i="64"/>
  <c r="X60" i="64"/>
  <c r="Y60" i="64"/>
  <c r="Z60" i="64"/>
  <c r="AA60" i="64"/>
  <c r="AB60" i="64"/>
  <c r="AC60" i="64"/>
  <c r="AD60" i="64"/>
  <c r="AE60" i="64"/>
  <c r="AF60" i="64"/>
  <c r="AG60" i="64"/>
  <c r="AH60" i="64"/>
  <c r="AI60" i="64"/>
  <c r="B61" i="64"/>
  <c r="C61" i="64"/>
  <c r="D61" i="64"/>
  <c r="E61" i="64"/>
  <c r="F61" i="64"/>
  <c r="G61" i="64"/>
  <c r="H61" i="64"/>
  <c r="I61" i="64"/>
  <c r="J61" i="64"/>
  <c r="K61" i="64"/>
  <c r="L61" i="64"/>
  <c r="M61" i="64"/>
  <c r="N61" i="64"/>
  <c r="O61" i="64"/>
  <c r="P61" i="64"/>
  <c r="Q61" i="64"/>
  <c r="R61" i="64"/>
  <c r="S61" i="64"/>
  <c r="T61" i="64"/>
  <c r="U61" i="64"/>
  <c r="V61" i="64"/>
  <c r="W61" i="64"/>
  <c r="X61" i="64"/>
  <c r="Y61" i="64"/>
  <c r="Z61" i="64"/>
  <c r="AA61" i="64"/>
  <c r="AB61" i="64"/>
  <c r="AC61" i="64"/>
  <c r="AD61" i="64"/>
  <c r="AE61" i="64"/>
  <c r="AF61" i="64"/>
  <c r="AG61" i="64"/>
  <c r="AH61" i="64"/>
  <c r="AI61" i="64"/>
  <c r="B62" i="64"/>
  <c r="C62" i="64"/>
  <c r="D62" i="64"/>
  <c r="E62" i="64"/>
  <c r="F62" i="64"/>
  <c r="G62" i="64"/>
  <c r="H62" i="64"/>
  <c r="I62" i="64"/>
  <c r="J62" i="64"/>
  <c r="K62" i="64"/>
  <c r="L62" i="64"/>
  <c r="M62" i="64"/>
  <c r="N62" i="64"/>
  <c r="O62" i="64"/>
  <c r="P62" i="64"/>
  <c r="Q62" i="64"/>
  <c r="R62" i="64"/>
  <c r="S62" i="64"/>
  <c r="T62" i="64"/>
  <c r="U62" i="64"/>
  <c r="V62" i="64"/>
  <c r="W62" i="64"/>
  <c r="X62" i="64"/>
  <c r="Y62" i="64"/>
  <c r="Z62" i="64"/>
  <c r="AA62" i="64"/>
  <c r="AB62" i="64"/>
  <c r="AC62" i="64"/>
  <c r="AD62" i="64"/>
  <c r="AE62" i="64"/>
  <c r="AF62" i="64"/>
  <c r="AG62" i="64"/>
  <c r="AH62" i="64"/>
  <c r="AI62" i="64"/>
  <c r="B63" i="64"/>
  <c r="C63" i="64"/>
  <c r="D63" i="64"/>
  <c r="E63" i="64"/>
  <c r="F63" i="64"/>
  <c r="G63" i="64"/>
  <c r="H63" i="64"/>
  <c r="I63" i="64"/>
  <c r="J63" i="64"/>
  <c r="K63" i="64"/>
  <c r="L63" i="64"/>
  <c r="M63" i="64"/>
  <c r="N63" i="64"/>
  <c r="O63" i="64"/>
  <c r="P63" i="64"/>
  <c r="Q63" i="64"/>
  <c r="R63" i="64"/>
  <c r="S63" i="64"/>
  <c r="T63" i="64"/>
  <c r="U63" i="64"/>
  <c r="V63" i="64"/>
  <c r="W63" i="64"/>
  <c r="X63" i="64"/>
  <c r="Y63" i="64"/>
  <c r="Z63" i="64"/>
  <c r="AA63" i="64"/>
  <c r="AB63" i="64"/>
  <c r="AC63" i="64"/>
  <c r="AD63" i="64"/>
  <c r="AE63" i="64"/>
  <c r="AF63" i="64"/>
  <c r="AG63" i="64"/>
  <c r="AH63" i="64"/>
  <c r="AI63" i="64"/>
  <c r="B64" i="64"/>
  <c r="C64" i="64"/>
  <c r="D64" i="64"/>
  <c r="E64" i="64"/>
  <c r="F64" i="64"/>
  <c r="G64" i="64"/>
  <c r="H64" i="64"/>
  <c r="I64" i="64"/>
  <c r="J64" i="64"/>
  <c r="K64" i="64"/>
  <c r="L64" i="64"/>
  <c r="M64" i="64"/>
  <c r="N64" i="64"/>
  <c r="O64" i="64"/>
  <c r="P64" i="64"/>
  <c r="Q64" i="64"/>
  <c r="R64" i="64"/>
  <c r="S64" i="64"/>
  <c r="T64" i="64"/>
  <c r="U64" i="64"/>
  <c r="V64" i="64"/>
  <c r="W64" i="64"/>
  <c r="X64" i="64"/>
  <c r="Y64" i="64"/>
  <c r="Z64" i="64"/>
  <c r="AA64" i="64"/>
  <c r="AB64" i="64"/>
  <c r="AC64" i="64"/>
  <c r="AD64" i="64"/>
  <c r="AE64" i="64"/>
  <c r="AF64" i="64"/>
  <c r="AG64" i="64"/>
  <c r="AH64" i="64"/>
  <c r="AI64" i="64"/>
  <c r="B65" i="64"/>
  <c r="C65" i="64"/>
  <c r="D65" i="64"/>
  <c r="E65" i="64"/>
  <c r="F65" i="64"/>
  <c r="G65" i="64"/>
  <c r="H65" i="64"/>
  <c r="I65" i="64"/>
  <c r="J65" i="64"/>
  <c r="K65" i="64"/>
  <c r="L65" i="64"/>
  <c r="M65" i="64"/>
  <c r="N65" i="64"/>
  <c r="O65" i="64"/>
  <c r="P65" i="64"/>
  <c r="Q65" i="64"/>
  <c r="R65" i="64"/>
  <c r="S65" i="64"/>
  <c r="T65" i="64"/>
  <c r="U65" i="64"/>
  <c r="V65" i="64"/>
  <c r="W65" i="64"/>
  <c r="X65" i="64"/>
  <c r="Y65" i="64"/>
  <c r="Z65" i="64"/>
  <c r="AA65" i="64"/>
  <c r="AB65" i="64"/>
  <c r="AC65" i="64"/>
  <c r="AD65" i="64"/>
  <c r="AE65" i="64"/>
  <c r="AF65" i="64"/>
  <c r="AG65" i="64"/>
  <c r="AH65" i="64"/>
  <c r="AI65" i="64"/>
  <c r="B66" i="64"/>
  <c r="C66" i="64"/>
  <c r="D66" i="64"/>
  <c r="E66" i="64"/>
  <c r="F66" i="64"/>
  <c r="G66" i="64"/>
  <c r="H66" i="64"/>
  <c r="I66" i="64"/>
  <c r="J66" i="64"/>
  <c r="K66" i="64"/>
  <c r="L66" i="64"/>
  <c r="M66" i="64"/>
  <c r="N66" i="64"/>
  <c r="O66" i="64"/>
  <c r="P66" i="64"/>
  <c r="Q66" i="64"/>
  <c r="R66" i="64"/>
  <c r="S66" i="64"/>
  <c r="T66" i="64"/>
  <c r="U66" i="64"/>
  <c r="V66" i="64"/>
  <c r="W66" i="64"/>
  <c r="X66" i="64"/>
  <c r="Y66" i="64"/>
  <c r="Z66" i="64"/>
  <c r="AA66" i="64"/>
  <c r="AB66" i="64"/>
  <c r="AC66" i="64"/>
  <c r="AD66" i="64"/>
  <c r="AE66" i="64"/>
  <c r="AF66" i="64"/>
  <c r="AG66" i="64"/>
  <c r="AH66" i="64"/>
  <c r="AI66" i="64"/>
  <c r="B67" i="64"/>
  <c r="C67" i="64"/>
  <c r="D67" i="64"/>
  <c r="E67" i="64"/>
  <c r="F67" i="64"/>
  <c r="G67" i="64"/>
  <c r="H67" i="64"/>
  <c r="I67" i="64"/>
  <c r="J67" i="64"/>
  <c r="K67" i="64"/>
  <c r="L67" i="64"/>
  <c r="M67" i="64"/>
  <c r="N67" i="64"/>
  <c r="O67" i="64"/>
  <c r="P67" i="64"/>
  <c r="Q67" i="64"/>
  <c r="R67" i="64"/>
  <c r="S67" i="64"/>
  <c r="T67" i="64"/>
  <c r="U67" i="64"/>
  <c r="V67" i="64"/>
  <c r="W67" i="64"/>
  <c r="X67" i="64"/>
  <c r="Y67" i="64"/>
  <c r="Z67" i="64"/>
  <c r="AA67" i="64"/>
  <c r="AB67" i="64"/>
  <c r="AC67" i="64"/>
  <c r="AD67" i="64"/>
  <c r="AE67" i="64"/>
  <c r="AF67" i="64"/>
  <c r="AG67" i="64"/>
  <c r="AH67" i="64"/>
  <c r="AI67" i="64"/>
  <c r="B68" i="64"/>
  <c r="C68" i="64"/>
  <c r="D68" i="64"/>
  <c r="E68" i="64"/>
  <c r="F68" i="64"/>
  <c r="G68" i="64"/>
  <c r="H68" i="64"/>
  <c r="I68" i="64"/>
  <c r="J68" i="64"/>
  <c r="K68" i="64"/>
  <c r="L68" i="64"/>
  <c r="M68" i="64"/>
  <c r="N68" i="64"/>
  <c r="O68" i="64"/>
  <c r="P68" i="64"/>
  <c r="Q68" i="64"/>
  <c r="R68" i="64"/>
  <c r="S68" i="64"/>
  <c r="T68" i="64"/>
  <c r="U68" i="64"/>
  <c r="V68" i="64"/>
  <c r="W68" i="64"/>
  <c r="X68" i="64"/>
  <c r="Y68" i="64"/>
  <c r="Z68" i="64"/>
  <c r="AA68" i="64"/>
  <c r="AB68" i="64"/>
  <c r="AC68" i="64"/>
  <c r="AD68" i="64"/>
  <c r="AE68" i="64"/>
  <c r="AF68" i="64"/>
  <c r="AG68" i="64"/>
  <c r="AH68" i="64"/>
  <c r="AI68" i="64"/>
  <c r="B69" i="64"/>
  <c r="C69" i="64"/>
  <c r="D69" i="64"/>
  <c r="E69" i="64"/>
  <c r="F69" i="64"/>
  <c r="G69" i="64"/>
  <c r="H69" i="64"/>
  <c r="I69" i="64"/>
  <c r="J69" i="64"/>
  <c r="K69" i="64"/>
  <c r="L69" i="64"/>
  <c r="M69" i="64"/>
  <c r="N69" i="64"/>
  <c r="O69" i="64"/>
  <c r="P69" i="64"/>
  <c r="Q69" i="64"/>
  <c r="R69" i="64"/>
  <c r="S69" i="64"/>
  <c r="T69" i="64"/>
  <c r="U69" i="64"/>
  <c r="V69" i="64"/>
  <c r="W69" i="64"/>
  <c r="X69" i="64"/>
  <c r="Y69" i="64"/>
  <c r="Z69" i="64"/>
  <c r="AA69" i="64"/>
  <c r="AB69" i="64"/>
  <c r="AC69" i="64"/>
  <c r="AD69" i="64"/>
  <c r="AE69" i="64"/>
  <c r="AF69" i="64"/>
  <c r="AG69" i="64"/>
  <c r="AH69" i="64"/>
  <c r="AI69" i="64"/>
  <c r="B70" i="64"/>
  <c r="C70" i="64"/>
  <c r="D70" i="64"/>
  <c r="E70" i="64"/>
  <c r="F70" i="64"/>
  <c r="G70" i="64"/>
  <c r="H70" i="64"/>
  <c r="I70" i="64"/>
  <c r="J70" i="64"/>
  <c r="K70" i="64"/>
  <c r="L70" i="64"/>
  <c r="M70" i="64"/>
  <c r="N70" i="64"/>
  <c r="O70" i="64"/>
  <c r="P70" i="64"/>
  <c r="Q70" i="64"/>
  <c r="R70" i="64"/>
  <c r="S70" i="64"/>
  <c r="T70" i="64"/>
  <c r="U70" i="64"/>
  <c r="V70" i="64"/>
  <c r="W70" i="64"/>
  <c r="X70" i="64"/>
  <c r="Y70" i="64"/>
  <c r="Z70" i="64"/>
  <c r="AA70" i="64"/>
  <c r="AB70" i="64"/>
  <c r="AC70" i="64"/>
  <c r="AD70" i="64"/>
  <c r="AE70" i="64"/>
  <c r="AF70" i="64"/>
  <c r="AG70" i="64"/>
  <c r="AH70" i="64"/>
  <c r="AI70" i="64"/>
  <c r="B71" i="64"/>
  <c r="C71" i="64"/>
  <c r="D71" i="64"/>
  <c r="E71" i="64"/>
  <c r="F71" i="64"/>
  <c r="G71" i="64"/>
  <c r="H71" i="64"/>
  <c r="I71" i="64"/>
  <c r="J71" i="64"/>
  <c r="K71" i="64"/>
  <c r="L71" i="64"/>
  <c r="M71" i="64"/>
  <c r="N71" i="64"/>
  <c r="O71" i="64"/>
  <c r="P71" i="64"/>
  <c r="Q71" i="64"/>
  <c r="R71" i="64"/>
  <c r="S71" i="64"/>
  <c r="T71" i="64"/>
  <c r="U71" i="64"/>
  <c r="V71" i="64"/>
  <c r="W71" i="64"/>
  <c r="X71" i="64"/>
  <c r="Y71" i="64"/>
  <c r="Z71" i="64"/>
  <c r="AA71" i="64"/>
  <c r="AB71" i="64"/>
  <c r="AC71" i="64"/>
  <c r="AD71" i="64"/>
  <c r="AE71" i="64"/>
  <c r="AF71" i="64"/>
  <c r="AG71" i="64"/>
  <c r="AH71" i="64"/>
  <c r="AI71" i="64"/>
  <c r="B72" i="64"/>
  <c r="C72" i="64"/>
  <c r="D72" i="64"/>
  <c r="E72" i="64"/>
  <c r="F72" i="64"/>
  <c r="G72" i="64"/>
  <c r="H72" i="64"/>
  <c r="I72" i="64"/>
  <c r="J72" i="64"/>
  <c r="K72" i="64"/>
  <c r="L72" i="64"/>
  <c r="M72" i="64"/>
  <c r="N72" i="64"/>
  <c r="O72" i="64"/>
  <c r="P72" i="64"/>
  <c r="Q72" i="64"/>
  <c r="R72" i="64"/>
  <c r="S72" i="64"/>
  <c r="T72" i="64"/>
  <c r="U72" i="64"/>
  <c r="V72" i="64"/>
  <c r="W72" i="64"/>
  <c r="X72" i="64"/>
  <c r="Y72" i="64"/>
  <c r="Z72" i="64"/>
  <c r="AA72" i="64"/>
  <c r="AB72" i="64"/>
  <c r="AC72" i="64"/>
  <c r="AD72" i="64"/>
  <c r="AE72" i="64"/>
  <c r="AF72" i="64"/>
  <c r="AG72" i="64"/>
  <c r="AH72" i="64"/>
  <c r="AI72" i="64"/>
  <c r="B73" i="64"/>
  <c r="C73" i="64"/>
  <c r="D73" i="64"/>
  <c r="E73" i="64"/>
  <c r="F73" i="64"/>
  <c r="G73" i="64"/>
  <c r="H73" i="64"/>
  <c r="I73" i="64"/>
  <c r="J73" i="64"/>
  <c r="K73" i="64"/>
  <c r="L73" i="64"/>
  <c r="M73" i="64"/>
  <c r="N73" i="64"/>
  <c r="O73" i="64"/>
  <c r="P73" i="64"/>
  <c r="Q73" i="64"/>
  <c r="R73" i="64"/>
  <c r="S73" i="64"/>
  <c r="T73" i="64"/>
  <c r="U73" i="64"/>
  <c r="V73" i="64"/>
  <c r="W73" i="64"/>
  <c r="X73" i="64"/>
  <c r="Y73" i="64"/>
  <c r="Z73" i="64"/>
  <c r="AA73" i="64"/>
  <c r="AB73" i="64"/>
  <c r="AC73" i="64"/>
  <c r="AD73" i="64"/>
  <c r="AE73" i="64"/>
  <c r="AF73" i="64"/>
  <c r="AG73" i="64"/>
  <c r="AH73" i="64"/>
  <c r="AI73" i="64"/>
  <c r="B74" i="64"/>
  <c r="C74" i="64"/>
  <c r="D74" i="64"/>
  <c r="E74" i="64"/>
  <c r="F74" i="64"/>
  <c r="G74" i="64"/>
  <c r="H74" i="64"/>
  <c r="I74" i="64"/>
  <c r="J74" i="64"/>
  <c r="K74" i="64"/>
  <c r="L74" i="64"/>
  <c r="M74" i="64"/>
  <c r="N74" i="64"/>
  <c r="O74" i="64"/>
  <c r="P74" i="64"/>
  <c r="Q74" i="64"/>
  <c r="R74" i="64"/>
  <c r="S74" i="64"/>
  <c r="T74" i="64"/>
  <c r="U74" i="64"/>
  <c r="V74" i="64"/>
  <c r="W74" i="64"/>
  <c r="X74" i="64"/>
  <c r="Y74" i="64"/>
  <c r="Z74" i="64"/>
  <c r="AA74" i="64"/>
  <c r="AB74" i="64"/>
  <c r="AC74" i="64"/>
  <c r="AD74" i="64"/>
  <c r="AE74" i="64"/>
  <c r="AF74" i="64"/>
  <c r="AG74" i="64"/>
  <c r="AH74" i="64"/>
  <c r="AI74" i="64"/>
  <c r="B75" i="64"/>
  <c r="C75" i="64"/>
  <c r="D75" i="64"/>
  <c r="E75" i="64"/>
  <c r="F75" i="64"/>
  <c r="G75" i="64"/>
  <c r="H75" i="64"/>
  <c r="I75" i="64"/>
  <c r="J75" i="64"/>
  <c r="K75" i="64"/>
  <c r="L75" i="64"/>
  <c r="M75" i="64"/>
  <c r="N75" i="64"/>
  <c r="O75" i="64"/>
  <c r="P75" i="64"/>
  <c r="Q75" i="64"/>
  <c r="R75" i="64"/>
  <c r="S75" i="64"/>
  <c r="T75" i="64"/>
  <c r="U75" i="64"/>
  <c r="V75" i="64"/>
  <c r="W75" i="64"/>
  <c r="X75" i="64"/>
  <c r="Y75" i="64"/>
  <c r="Z75" i="64"/>
  <c r="AA75" i="64"/>
  <c r="AB75" i="64"/>
  <c r="AC75" i="64"/>
  <c r="AD75" i="64"/>
  <c r="AE75" i="64"/>
  <c r="AF75" i="64"/>
  <c r="AG75" i="64"/>
  <c r="AH75" i="64"/>
  <c r="AI75" i="64"/>
  <c r="B76" i="64"/>
  <c r="C76" i="64"/>
  <c r="D76" i="64"/>
  <c r="E76" i="64"/>
  <c r="F76" i="64"/>
  <c r="G76" i="64"/>
  <c r="H76" i="64"/>
  <c r="I76" i="64"/>
  <c r="J76" i="64"/>
  <c r="K76" i="64"/>
  <c r="L76" i="64"/>
  <c r="M76" i="64"/>
  <c r="N76" i="64"/>
  <c r="O76" i="64"/>
  <c r="P76" i="64"/>
  <c r="Q76" i="64"/>
  <c r="R76" i="64"/>
  <c r="S76" i="64"/>
  <c r="T76" i="64"/>
  <c r="U76" i="64"/>
  <c r="V76" i="64"/>
  <c r="W76" i="64"/>
  <c r="X76" i="64"/>
  <c r="Y76" i="64"/>
  <c r="Z76" i="64"/>
  <c r="AA76" i="64"/>
  <c r="AB76" i="64"/>
  <c r="AC76" i="64"/>
  <c r="AD76" i="64"/>
  <c r="AE76" i="64"/>
  <c r="AF76" i="64"/>
  <c r="AG76" i="64"/>
  <c r="AH76" i="64"/>
  <c r="AI76" i="64"/>
  <c r="B77" i="64"/>
  <c r="C77" i="64"/>
  <c r="D77" i="64"/>
  <c r="E77" i="64"/>
  <c r="F77" i="64"/>
  <c r="G77" i="64"/>
  <c r="H77" i="64"/>
  <c r="I77" i="64"/>
  <c r="J77" i="64"/>
  <c r="K77" i="64"/>
  <c r="L77" i="64"/>
  <c r="M77" i="64"/>
  <c r="N77" i="64"/>
  <c r="O77" i="64"/>
  <c r="P77" i="64"/>
  <c r="Q77" i="64"/>
  <c r="R77" i="64"/>
  <c r="S77" i="64"/>
  <c r="T77" i="64"/>
  <c r="U77" i="64"/>
  <c r="V77" i="64"/>
  <c r="W77" i="64"/>
  <c r="X77" i="64"/>
  <c r="Y77" i="64"/>
  <c r="Z77" i="64"/>
  <c r="AA77" i="64"/>
  <c r="AB77" i="64"/>
  <c r="AC77" i="64"/>
  <c r="AD77" i="64"/>
  <c r="AE77" i="64"/>
  <c r="AF77" i="64"/>
  <c r="AG77" i="64"/>
  <c r="AH77" i="64"/>
  <c r="AI77" i="64"/>
  <c r="B78" i="64"/>
  <c r="C78" i="64"/>
  <c r="D78" i="64"/>
  <c r="E78" i="64"/>
  <c r="F78" i="64"/>
  <c r="G78" i="64"/>
  <c r="H78" i="64"/>
  <c r="I78" i="64"/>
  <c r="J78" i="64"/>
  <c r="K78" i="64"/>
  <c r="L78" i="64"/>
  <c r="M78" i="64"/>
  <c r="N78" i="64"/>
  <c r="O78" i="64"/>
  <c r="P78" i="64"/>
  <c r="Q78" i="64"/>
  <c r="R78" i="64"/>
  <c r="S78" i="64"/>
  <c r="T78" i="64"/>
  <c r="U78" i="64"/>
  <c r="V78" i="64"/>
  <c r="W78" i="64"/>
  <c r="X78" i="64"/>
  <c r="Y78" i="64"/>
  <c r="Z78" i="64"/>
  <c r="AA78" i="64"/>
  <c r="AB78" i="64"/>
  <c r="AC78" i="64"/>
  <c r="AD78" i="64"/>
  <c r="AE78" i="64"/>
  <c r="AF78" i="64"/>
  <c r="AG78" i="64"/>
  <c r="AH78" i="64"/>
  <c r="AI78" i="64"/>
  <c r="B79" i="64"/>
  <c r="C79" i="64"/>
  <c r="D79" i="64"/>
  <c r="E79" i="64"/>
  <c r="F79" i="64"/>
  <c r="G79" i="64"/>
  <c r="H79" i="64"/>
  <c r="I79" i="64"/>
  <c r="J79" i="64"/>
  <c r="K79" i="64"/>
  <c r="L79" i="64"/>
  <c r="M79" i="64"/>
  <c r="N79" i="64"/>
  <c r="O79" i="64"/>
  <c r="P79" i="64"/>
  <c r="Q79" i="64"/>
  <c r="R79" i="64"/>
  <c r="S79" i="64"/>
  <c r="T79" i="64"/>
  <c r="U79" i="64"/>
  <c r="V79" i="64"/>
  <c r="W79" i="64"/>
  <c r="X79" i="64"/>
  <c r="Y79" i="64"/>
  <c r="Z79" i="64"/>
  <c r="AA79" i="64"/>
  <c r="AB79" i="64"/>
  <c r="AC79" i="64"/>
  <c r="AD79" i="64"/>
  <c r="AE79" i="64"/>
  <c r="AF79" i="64"/>
  <c r="AG79" i="64"/>
  <c r="AH79" i="64"/>
  <c r="AI79" i="64"/>
  <c r="B80" i="64"/>
  <c r="C80" i="64"/>
  <c r="D80" i="64"/>
  <c r="E80" i="64"/>
  <c r="F80" i="64"/>
  <c r="G80" i="64"/>
  <c r="H80" i="64"/>
  <c r="I80" i="64"/>
  <c r="J80" i="64"/>
  <c r="K80" i="64"/>
  <c r="L80" i="64"/>
  <c r="M80" i="64"/>
  <c r="N80" i="64"/>
  <c r="O80" i="64"/>
  <c r="P80" i="64"/>
  <c r="Q80" i="64"/>
  <c r="R80" i="64"/>
  <c r="S80" i="64"/>
  <c r="T80" i="64"/>
  <c r="U80" i="64"/>
  <c r="V80" i="64"/>
  <c r="W80" i="64"/>
  <c r="X80" i="64"/>
  <c r="Y80" i="64"/>
  <c r="Z80" i="64"/>
  <c r="AA80" i="64"/>
  <c r="AB80" i="64"/>
  <c r="AC80" i="64"/>
  <c r="AD80" i="64"/>
  <c r="AE80" i="64"/>
  <c r="AF80" i="64"/>
  <c r="AG80" i="64"/>
  <c r="AH80" i="64"/>
  <c r="AI80" i="64"/>
  <c r="B81" i="64"/>
  <c r="C81" i="64"/>
  <c r="D81" i="64"/>
  <c r="E81" i="64"/>
  <c r="F81" i="64"/>
  <c r="G81" i="64"/>
  <c r="H81" i="64"/>
  <c r="I81" i="64"/>
  <c r="J81" i="64"/>
  <c r="K81" i="64"/>
  <c r="L81" i="64"/>
  <c r="M81" i="64"/>
  <c r="N81" i="64"/>
  <c r="O81" i="64"/>
  <c r="P81" i="64"/>
  <c r="Q81" i="64"/>
  <c r="R81" i="64"/>
  <c r="S81" i="64"/>
  <c r="T81" i="64"/>
  <c r="U81" i="64"/>
  <c r="V81" i="64"/>
  <c r="W81" i="64"/>
  <c r="X81" i="64"/>
  <c r="Y81" i="64"/>
  <c r="Z81" i="64"/>
  <c r="AA81" i="64"/>
  <c r="AB81" i="64"/>
  <c r="AC81" i="64"/>
  <c r="AD81" i="64"/>
  <c r="AE81" i="64"/>
  <c r="AF81" i="64"/>
  <c r="AG81" i="64"/>
  <c r="AH81" i="64"/>
  <c r="AI81" i="64"/>
  <c r="B82" i="64"/>
  <c r="C82" i="64"/>
  <c r="D82" i="64"/>
  <c r="E82" i="64"/>
  <c r="F82" i="64"/>
  <c r="G82" i="64"/>
  <c r="H82" i="64"/>
  <c r="I82" i="64"/>
  <c r="J82" i="64"/>
  <c r="K82" i="64"/>
  <c r="L82" i="64"/>
  <c r="M82" i="64"/>
  <c r="N82" i="64"/>
  <c r="O82" i="64"/>
  <c r="P82" i="64"/>
  <c r="Q82" i="64"/>
  <c r="R82" i="64"/>
  <c r="S82" i="64"/>
  <c r="T82" i="64"/>
  <c r="U82" i="64"/>
  <c r="V82" i="64"/>
  <c r="W82" i="64"/>
  <c r="X82" i="64"/>
  <c r="Y82" i="64"/>
  <c r="Z82" i="64"/>
  <c r="AA82" i="64"/>
  <c r="AB82" i="64"/>
  <c r="AC82" i="64"/>
  <c r="AD82" i="64"/>
  <c r="AE82" i="64"/>
  <c r="AF82" i="64"/>
  <c r="AG82" i="64"/>
  <c r="AH82" i="64"/>
  <c r="AI82" i="64"/>
  <c r="B83" i="64"/>
  <c r="C83" i="64"/>
  <c r="D83" i="64"/>
  <c r="E83" i="64"/>
  <c r="F83" i="64"/>
  <c r="G83" i="64"/>
  <c r="H83" i="64"/>
  <c r="I83" i="64"/>
  <c r="J83" i="64"/>
  <c r="K83" i="64"/>
  <c r="L83" i="64"/>
  <c r="M83" i="64"/>
  <c r="N83" i="64"/>
  <c r="O83" i="64"/>
  <c r="P83" i="64"/>
  <c r="Q83" i="64"/>
  <c r="R83" i="64"/>
  <c r="S83" i="64"/>
  <c r="T83" i="64"/>
  <c r="U83" i="64"/>
  <c r="V83" i="64"/>
  <c r="W83" i="64"/>
  <c r="X83" i="64"/>
  <c r="Y83" i="64"/>
  <c r="Z83" i="64"/>
  <c r="AA83" i="64"/>
  <c r="AB83" i="64"/>
  <c r="AC83" i="64"/>
  <c r="AD83" i="64"/>
  <c r="AE83" i="64"/>
  <c r="AF83" i="64"/>
  <c r="AG83" i="64"/>
  <c r="AH83" i="64"/>
  <c r="AI83" i="64"/>
  <c r="B84" i="64"/>
  <c r="C84" i="64"/>
  <c r="D84" i="64"/>
  <c r="E84" i="64"/>
  <c r="F84" i="64"/>
  <c r="G84" i="64"/>
  <c r="H84" i="64"/>
  <c r="I84" i="64"/>
  <c r="J84" i="64"/>
  <c r="K84" i="64"/>
  <c r="L84" i="64"/>
  <c r="M84" i="64"/>
  <c r="N84" i="64"/>
  <c r="O84" i="64"/>
  <c r="P84" i="64"/>
  <c r="Q84" i="64"/>
  <c r="R84" i="64"/>
  <c r="S84" i="64"/>
  <c r="T84" i="64"/>
  <c r="U84" i="64"/>
  <c r="V84" i="64"/>
  <c r="W84" i="64"/>
  <c r="X84" i="64"/>
  <c r="Y84" i="64"/>
  <c r="Z84" i="64"/>
  <c r="AA84" i="64"/>
  <c r="AB84" i="64"/>
  <c r="AC84" i="64"/>
  <c r="AD84" i="64"/>
  <c r="AE84" i="64"/>
  <c r="AF84" i="64"/>
  <c r="AG84" i="64"/>
  <c r="AH84" i="64"/>
  <c r="AI84" i="64"/>
  <c r="B85" i="64"/>
  <c r="C85" i="64"/>
  <c r="D85" i="64"/>
  <c r="E85" i="64"/>
  <c r="F85" i="64"/>
  <c r="G85" i="64"/>
  <c r="H85" i="64"/>
  <c r="I85" i="64"/>
  <c r="J85" i="64"/>
  <c r="K85" i="64"/>
  <c r="L85" i="64"/>
  <c r="M85" i="64"/>
  <c r="N85" i="64"/>
  <c r="O85" i="64"/>
  <c r="P85" i="64"/>
  <c r="Q85" i="64"/>
  <c r="R85" i="64"/>
  <c r="S85" i="64"/>
  <c r="T85" i="64"/>
  <c r="U85" i="64"/>
  <c r="V85" i="64"/>
  <c r="W85" i="64"/>
  <c r="X85" i="64"/>
  <c r="Y85" i="64"/>
  <c r="Z85" i="64"/>
  <c r="AA85" i="64"/>
  <c r="AB85" i="64"/>
  <c r="AC85" i="64"/>
  <c r="AD85" i="64"/>
  <c r="AE85" i="64"/>
  <c r="AF85" i="64"/>
  <c r="AG85" i="64"/>
  <c r="AH85" i="64"/>
  <c r="AI85" i="64"/>
  <c r="B86" i="64"/>
  <c r="C86" i="64"/>
  <c r="D86" i="64"/>
  <c r="E86" i="64"/>
  <c r="F86" i="64"/>
  <c r="G86" i="64"/>
  <c r="H86" i="64"/>
  <c r="I86" i="64"/>
  <c r="J86" i="64"/>
  <c r="K86" i="64"/>
  <c r="L86" i="64"/>
  <c r="M86" i="64"/>
  <c r="N86" i="64"/>
  <c r="O86" i="64"/>
  <c r="P86" i="64"/>
  <c r="Q86" i="64"/>
  <c r="R86" i="64"/>
  <c r="S86" i="64"/>
  <c r="T86" i="64"/>
  <c r="U86" i="64"/>
  <c r="V86" i="64"/>
  <c r="W86" i="64"/>
  <c r="X86" i="64"/>
  <c r="Y86" i="64"/>
  <c r="Z86" i="64"/>
  <c r="AA86" i="64"/>
  <c r="AB86" i="64"/>
  <c r="AC86" i="64"/>
  <c r="AD86" i="64"/>
  <c r="AE86" i="64"/>
  <c r="AF86" i="64"/>
  <c r="AG86" i="64"/>
  <c r="AH86" i="64"/>
  <c r="AI86" i="64"/>
  <c r="B87" i="64"/>
  <c r="C87" i="64"/>
  <c r="D87" i="64"/>
  <c r="E87" i="64"/>
  <c r="F87" i="64"/>
  <c r="G87" i="64"/>
  <c r="H87" i="64"/>
  <c r="I87" i="64"/>
  <c r="J87" i="64"/>
  <c r="K87" i="64"/>
  <c r="L87" i="64"/>
  <c r="M87" i="64"/>
  <c r="N87" i="64"/>
  <c r="O87" i="64"/>
  <c r="P87" i="64"/>
  <c r="Q87" i="64"/>
  <c r="R87" i="64"/>
  <c r="S87" i="64"/>
  <c r="T87" i="64"/>
  <c r="U87" i="64"/>
  <c r="V87" i="64"/>
  <c r="W87" i="64"/>
  <c r="X87" i="64"/>
  <c r="Y87" i="64"/>
  <c r="Z87" i="64"/>
  <c r="AA87" i="64"/>
  <c r="AB87" i="64"/>
  <c r="AC87" i="64"/>
  <c r="AD87" i="64"/>
  <c r="AE87" i="64"/>
  <c r="AF87" i="64"/>
  <c r="AG87" i="64"/>
  <c r="AH87" i="64"/>
  <c r="AI87" i="64"/>
  <c r="B88" i="64"/>
  <c r="C88" i="64"/>
  <c r="D88" i="64"/>
  <c r="E88" i="64"/>
  <c r="F88" i="64"/>
  <c r="G88" i="64"/>
  <c r="H88" i="64"/>
  <c r="I88" i="64"/>
  <c r="J88" i="64"/>
  <c r="K88" i="64"/>
  <c r="L88" i="64"/>
  <c r="M88" i="64"/>
  <c r="N88" i="64"/>
  <c r="O88" i="64"/>
  <c r="P88" i="64"/>
  <c r="Q88" i="64"/>
  <c r="R88" i="64"/>
  <c r="S88" i="64"/>
  <c r="T88" i="64"/>
  <c r="U88" i="64"/>
  <c r="V88" i="64"/>
  <c r="W88" i="64"/>
  <c r="X88" i="64"/>
  <c r="Y88" i="64"/>
  <c r="Z88" i="64"/>
  <c r="AA88" i="64"/>
  <c r="AB88" i="64"/>
  <c r="AC88" i="64"/>
  <c r="AD88" i="64"/>
  <c r="AE88" i="64"/>
  <c r="AF88" i="64"/>
  <c r="AG88" i="64"/>
  <c r="AH88" i="64"/>
  <c r="AI88" i="64"/>
  <c r="B89" i="64"/>
  <c r="C89" i="64"/>
  <c r="D89" i="64"/>
  <c r="E89" i="64"/>
  <c r="F89" i="64"/>
  <c r="G89" i="64"/>
  <c r="H89" i="64"/>
  <c r="I89" i="64"/>
  <c r="J89" i="64"/>
  <c r="K89" i="64"/>
  <c r="L89" i="64"/>
  <c r="M89" i="64"/>
  <c r="N89" i="64"/>
  <c r="O89" i="64"/>
  <c r="P89" i="64"/>
  <c r="Q89" i="64"/>
  <c r="R89" i="64"/>
  <c r="S89" i="64"/>
  <c r="T89" i="64"/>
  <c r="U89" i="64"/>
  <c r="V89" i="64"/>
  <c r="W89" i="64"/>
  <c r="X89" i="64"/>
  <c r="Y89" i="64"/>
  <c r="Z89" i="64"/>
  <c r="AA89" i="64"/>
  <c r="AB89" i="64"/>
  <c r="AC89" i="64"/>
  <c r="AD89" i="64"/>
  <c r="AE89" i="64"/>
  <c r="AF89" i="64"/>
  <c r="AG89" i="64"/>
  <c r="AH89" i="64"/>
  <c r="AI89" i="64"/>
  <c r="B90" i="64"/>
  <c r="C90" i="64"/>
  <c r="D90" i="64"/>
  <c r="E90" i="64"/>
  <c r="F90" i="64"/>
  <c r="G90" i="64"/>
  <c r="H90" i="64"/>
  <c r="I90" i="64"/>
  <c r="J90" i="64"/>
  <c r="K90" i="64"/>
  <c r="L90" i="64"/>
  <c r="M90" i="64"/>
  <c r="N90" i="64"/>
  <c r="O90" i="64"/>
  <c r="P90" i="64"/>
  <c r="Q90" i="64"/>
  <c r="R90" i="64"/>
  <c r="S90" i="64"/>
  <c r="T90" i="64"/>
  <c r="U90" i="64"/>
  <c r="V90" i="64"/>
  <c r="W90" i="64"/>
  <c r="X90" i="64"/>
  <c r="Y90" i="64"/>
  <c r="Z90" i="64"/>
  <c r="AA90" i="64"/>
  <c r="AB90" i="64"/>
  <c r="AC90" i="64"/>
  <c r="AD90" i="64"/>
  <c r="AE90" i="64"/>
  <c r="AF90" i="64"/>
  <c r="AG90" i="64"/>
  <c r="AH90" i="64"/>
  <c r="AI90" i="64"/>
  <c r="B91" i="64"/>
  <c r="C91" i="64"/>
  <c r="D91" i="64"/>
  <c r="E91" i="64"/>
  <c r="F91" i="64"/>
  <c r="G91" i="64"/>
  <c r="H91" i="64"/>
  <c r="I91" i="64"/>
  <c r="J91" i="64"/>
  <c r="K91" i="64"/>
  <c r="L91" i="64"/>
  <c r="M91" i="64"/>
  <c r="N91" i="64"/>
  <c r="O91" i="64"/>
  <c r="P91" i="64"/>
  <c r="Q91" i="64"/>
  <c r="R91" i="64"/>
  <c r="S91" i="64"/>
  <c r="T91" i="64"/>
  <c r="U91" i="64"/>
  <c r="V91" i="64"/>
  <c r="W91" i="64"/>
  <c r="X91" i="64"/>
  <c r="Y91" i="64"/>
  <c r="Z91" i="64"/>
  <c r="AA91" i="64"/>
  <c r="AB91" i="64"/>
  <c r="AC91" i="64"/>
  <c r="AD91" i="64"/>
  <c r="AE91" i="64"/>
  <c r="AF91" i="64"/>
  <c r="AG91" i="64"/>
  <c r="AH91" i="64"/>
  <c r="AI91" i="64"/>
  <c r="B92" i="64"/>
  <c r="C92" i="64"/>
  <c r="D92" i="64"/>
  <c r="E92" i="64"/>
  <c r="F92" i="64"/>
  <c r="G92" i="64"/>
  <c r="H92" i="64"/>
  <c r="I92" i="64"/>
  <c r="J92" i="64"/>
  <c r="K92" i="64"/>
  <c r="L92" i="64"/>
  <c r="M92" i="64"/>
  <c r="N92" i="64"/>
  <c r="O92" i="64"/>
  <c r="P92" i="64"/>
  <c r="Q92" i="64"/>
  <c r="R92" i="64"/>
  <c r="S92" i="64"/>
  <c r="T92" i="64"/>
  <c r="U92" i="64"/>
  <c r="V92" i="64"/>
  <c r="W92" i="64"/>
  <c r="X92" i="64"/>
  <c r="Y92" i="64"/>
  <c r="Z92" i="64"/>
  <c r="AA92" i="64"/>
  <c r="AB92" i="64"/>
  <c r="AC92" i="64"/>
  <c r="AD92" i="64"/>
  <c r="AE92" i="64"/>
  <c r="AF92" i="64"/>
  <c r="AG92" i="64"/>
  <c r="AH92" i="64"/>
  <c r="AI92" i="64"/>
  <c r="B93" i="64"/>
  <c r="C93" i="64"/>
  <c r="D93" i="64"/>
  <c r="E93" i="64"/>
  <c r="F93" i="64"/>
  <c r="G93" i="64"/>
  <c r="H93" i="64"/>
  <c r="I93" i="64"/>
  <c r="J93" i="64"/>
  <c r="K93" i="64"/>
  <c r="L93" i="64"/>
  <c r="M93" i="64"/>
  <c r="N93" i="64"/>
  <c r="O93" i="64"/>
  <c r="P93" i="64"/>
  <c r="Q93" i="64"/>
  <c r="R93" i="64"/>
  <c r="S93" i="64"/>
  <c r="T93" i="64"/>
  <c r="U93" i="64"/>
  <c r="V93" i="64"/>
  <c r="W93" i="64"/>
  <c r="X93" i="64"/>
  <c r="Y93" i="64"/>
  <c r="Z93" i="64"/>
  <c r="AA93" i="64"/>
  <c r="AB93" i="64"/>
  <c r="AC93" i="64"/>
  <c r="AD93" i="64"/>
  <c r="AE93" i="64"/>
  <c r="AF93" i="64"/>
  <c r="AG93" i="64"/>
  <c r="AH93" i="64"/>
  <c r="AI93" i="64"/>
  <c r="B94" i="64"/>
  <c r="C94" i="64"/>
  <c r="D94" i="64"/>
  <c r="E94" i="64"/>
  <c r="F94" i="64"/>
  <c r="G94" i="64"/>
  <c r="H94" i="64"/>
  <c r="I94" i="64"/>
  <c r="J94" i="64"/>
  <c r="K94" i="64"/>
  <c r="L94" i="64"/>
  <c r="M94" i="64"/>
  <c r="N94" i="64"/>
  <c r="O94" i="64"/>
  <c r="P94" i="64"/>
  <c r="Q94" i="64"/>
  <c r="R94" i="64"/>
  <c r="S94" i="64"/>
  <c r="T94" i="64"/>
  <c r="U94" i="64"/>
  <c r="V94" i="64"/>
  <c r="W94" i="64"/>
  <c r="X94" i="64"/>
  <c r="Y94" i="64"/>
  <c r="Z94" i="64"/>
  <c r="AA94" i="64"/>
  <c r="AB94" i="64"/>
  <c r="AC94" i="64"/>
  <c r="AD94" i="64"/>
  <c r="AE94" i="64"/>
  <c r="AF94" i="64"/>
  <c r="AG94" i="64"/>
  <c r="AH94" i="64"/>
  <c r="AI94" i="64"/>
  <c r="B95" i="64"/>
  <c r="C95" i="64"/>
  <c r="D95" i="64"/>
  <c r="E95" i="64"/>
  <c r="F95" i="64"/>
  <c r="G95" i="64"/>
  <c r="H95" i="64"/>
  <c r="I95" i="64"/>
  <c r="J95" i="64"/>
  <c r="K95" i="64"/>
  <c r="L95" i="64"/>
  <c r="M95" i="64"/>
  <c r="N95" i="64"/>
  <c r="O95" i="64"/>
  <c r="P95" i="64"/>
  <c r="Q95" i="64"/>
  <c r="R95" i="64"/>
  <c r="S95" i="64"/>
  <c r="T95" i="64"/>
  <c r="U95" i="64"/>
  <c r="V95" i="64"/>
  <c r="W95" i="64"/>
  <c r="X95" i="64"/>
  <c r="Y95" i="64"/>
  <c r="Z95" i="64"/>
  <c r="AA95" i="64"/>
  <c r="AB95" i="64"/>
  <c r="AC95" i="64"/>
  <c r="AD95" i="64"/>
  <c r="AE95" i="64"/>
  <c r="AF95" i="64"/>
  <c r="AG95" i="64"/>
  <c r="AH95" i="64"/>
  <c r="AI95" i="64"/>
  <c r="B96" i="64"/>
  <c r="C96" i="64"/>
  <c r="D96" i="64"/>
  <c r="E96" i="64"/>
  <c r="F96" i="64"/>
  <c r="G96" i="64"/>
  <c r="H96" i="64"/>
  <c r="I96" i="64"/>
  <c r="J96" i="64"/>
  <c r="K96" i="64"/>
  <c r="L96" i="64"/>
  <c r="M96" i="64"/>
  <c r="N96" i="64"/>
  <c r="O96" i="64"/>
  <c r="P96" i="64"/>
  <c r="Q96" i="64"/>
  <c r="R96" i="64"/>
  <c r="S96" i="64"/>
  <c r="T96" i="64"/>
  <c r="U96" i="64"/>
  <c r="V96" i="64"/>
  <c r="W96" i="64"/>
  <c r="X96" i="64"/>
  <c r="Y96" i="64"/>
  <c r="Z96" i="64"/>
  <c r="AA96" i="64"/>
  <c r="AB96" i="64"/>
  <c r="AC96" i="64"/>
  <c r="AD96" i="64"/>
  <c r="AE96" i="64"/>
  <c r="AF96" i="64"/>
  <c r="AG96" i="64"/>
  <c r="AH96" i="64"/>
  <c r="AI96" i="64"/>
  <c r="B97" i="64"/>
  <c r="C97" i="64"/>
  <c r="D97" i="64"/>
  <c r="E97" i="64"/>
  <c r="F97" i="64"/>
  <c r="G97" i="64"/>
  <c r="H97" i="64"/>
  <c r="I97" i="64"/>
  <c r="J97" i="64"/>
  <c r="K97" i="64"/>
  <c r="L97" i="64"/>
  <c r="M97" i="64"/>
  <c r="N97" i="64"/>
  <c r="O97" i="64"/>
  <c r="P97" i="64"/>
  <c r="Q97" i="64"/>
  <c r="R97" i="64"/>
  <c r="S97" i="64"/>
  <c r="T97" i="64"/>
  <c r="U97" i="64"/>
  <c r="V97" i="64"/>
  <c r="W97" i="64"/>
  <c r="X97" i="64"/>
  <c r="Y97" i="64"/>
  <c r="Z97" i="64"/>
  <c r="AA97" i="64"/>
  <c r="AB97" i="64"/>
  <c r="AC97" i="64"/>
  <c r="AD97" i="64"/>
  <c r="AE97" i="64"/>
  <c r="AF97" i="64"/>
  <c r="AG97" i="64"/>
  <c r="AH97" i="64"/>
  <c r="AI97" i="64"/>
  <c r="B98" i="64"/>
  <c r="C98" i="64"/>
  <c r="D98" i="64"/>
  <c r="E98" i="64"/>
  <c r="F98" i="64"/>
  <c r="G98" i="64"/>
  <c r="H98" i="64"/>
  <c r="I98" i="64"/>
  <c r="J98" i="64"/>
  <c r="K98" i="64"/>
  <c r="L98" i="64"/>
  <c r="M98" i="64"/>
  <c r="N98" i="64"/>
  <c r="O98" i="64"/>
  <c r="P98" i="64"/>
  <c r="Q98" i="64"/>
  <c r="R98" i="64"/>
  <c r="S98" i="64"/>
  <c r="T98" i="64"/>
  <c r="U98" i="64"/>
  <c r="V98" i="64"/>
  <c r="W98" i="64"/>
  <c r="X98" i="64"/>
  <c r="Y98" i="64"/>
  <c r="Z98" i="64"/>
  <c r="AA98" i="64"/>
  <c r="AB98" i="64"/>
  <c r="AC98" i="64"/>
  <c r="AD98" i="64"/>
  <c r="AE98" i="64"/>
  <c r="AF98" i="64"/>
  <c r="AG98" i="64"/>
  <c r="AH98" i="64"/>
  <c r="AI98" i="64"/>
  <c r="B99" i="64"/>
  <c r="C99" i="64"/>
  <c r="D99" i="64"/>
  <c r="E99" i="64"/>
  <c r="F99" i="64"/>
  <c r="G99" i="64"/>
  <c r="H99" i="64"/>
  <c r="I99" i="64"/>
  <c r="J99" i="64"/>
  <c r="K99" i="64"/>
  <c r="L99" i="64"/>
  <c r="M99" i="64"/>
  <c r="N99" i="64"/>
  <c r="O99" i="64"/>
  <c r="P99" i="64"/>
  <c r="Q99" i="64"/>
  <c r="R99" i="64"/>
  <c r="S99" i="64"/>
  <c r="T99" i="64"/>
  <c r="U99" i="64"/>
  <c r="V99" i="64"/>
  <c r="W99" i="64"/>
  <c r="X99" i="64"/>
  <c r="Y99" i="64"/>
  <c r="Z99" i="64"/>
  <c r="AA99" i="64"/>
  <c r="AB99" i="64"/>
  <c r="AC99" i="64"/>
  <c r="AD99" i="64"/>
  <c r="AE99" i="64"/>
  <c r="AF99" i="64"/>
  <c r="AG99" i="64"/>
  <c r="AH99" i="64"/>
  <c r="AI99" i="64"/>
  <c r="B100" i="64"/>
  <c r="C100" i="64"/>
  <c r="D100" i="64"/>
  <c r="E100" i="64"/>
  <c r="F100" i="64"/>
  <c r="G100" i="64"/>
  <c r="H100" i="64"/>
  <c r="I100" i="64"/>
  <c r="J100" i="64"/>
  <c r="K100" i="64"/>
  <c r="L100" i="64"/>
  <c r="M100" i="64"/>
  <c r="N100" i="64"/>
  <c r="O100" i="64"/>
  <c r="P100" i="64"/>
  <c r="Q100" i="64"/>
  <c r="R100" i="64"/>
  <c r="S100" i="64"/>
  <c r="T100" i="64"/>
  <c r="U100" i="64"/>
  <c r="V100" i="64"/>
  <c r="W100" i="64"/>
  <c r="X100" i="64"/>
  <c r="Y100" i="64"/>
  <c r="Z100" i="64"/>
  <c r="AA100" i="64"/>
  <c r="AB100" i="64"/>
  <c r="AC100" i="64"/>
  <c r="AD100" i="64"/>
  <c r="AE100" i="64"/>
  <c r="AF100" i="64"/>
  <c r="AG100" i="64"/>
  <c r="AH100" i="64"/>
  <c r="AI100" i="64"/>
  <c r="B101" i="64"/>
  <c r="C101" i="64"/>
  <c r="D101" i="64"/>
  <c r="E101" i="64"/>
  <c r="F101" i="64"/>
  <c r="G101" i="64"/>
  <c r="H101" i="64"/>
  <c r="I101" i="64"/>
  <c r="J101" i="64"/>
  <c r="K101" i="64"/>
  <c r="L101" i="64"/>
  <c r="M101" i="64"/>
  <c r="N101" i="64"/>
  <c r="O101" i="64"/>
  <c r="P101" i="64"/>
  <c r="Q101" i="64"/>
  <c r="R101" i="64"/>
  <c r="S101" i="64"/>
  <c r="T101" i="64"/>
  <c r="U101" i="64"/>
  <c r="V101" i="64"/>
  <c r="W101" i="64"/>
  <c r="X101" i="64"/>
  <c r="Y101" i="64"/>
  <c r="Z101" i="64"/>
  <c r="AA101" i="64"/>
  <c r="AB101" i="64"/>
  <c r="AC101" i="64"/>
  <c r="AD101" i="64"/>
  <c r="AE101" i="64"/>
  <c r="AF101" i="64"/>
  <c r="AG101" i="64"/>
  <c r="AH101" i="64"/>
  <c r="AI101" i="64"/>
  <c r="B102" i="64"/>
  <c r="C102" i="64"/>
  <c r="D102" i="64"/>
  <c r="E102" i="64"/>
  <c r="F102" i="64"/>
  <c r="G102" i="64"/>
  <c r="H102" i="64"/>
  <c r="I102" i="64"/>
  <c r="J102" i="64"/>
  <c r="K102" i="64"/>
  <c r="L102" i="64"/>
  <c r="M102" i="64"/>
  <c r="N102" i="64"/>
  <c r="O102" i="64"/>
  <c r="P102" i="64"/>
  <c r="Q102" i="64"/>
  <c r="R102" i="64"/>
  <c r="S102" i="64"/>
  <c r="T102" i="64"/>
  <c r="U102" i="64"/>
  <c r="V102" i="64"/>
  <c r="W102" i="64"/>
  <c r="X102" i="64"/>
  <c r="Y102" i="64"/>
  <c r="Z102" i="64"/>
  <c r="AA102" i="64"/>
  <c r="AB102" i="64"/>
  <c r="AC102" i="64"/>
  <c r="AD102" i="64"/>
  <c r="AE102" i="64"/>
  <c r="AF102" i="64"/>
  <c r="AG102" i="64"/>
  <c r="AH102" i="64"/>
  <c r="AI102" i="64"/>
  <c r="B103" i="64"/>
  <c r="C103" i="64"/>
  <c r="D103" i="64"/>
  <c r="E103" i="64"/>
  <c r="F103" i="64"/>
  <c r="G103" i="64"/>
  <c r="H103" i="64"/>
  <c r="I103" i="64"/>
  <c r="J103" i="64"/>
  <c r="K103" i="64"/>
  <c r="L103" i="64"/>
  <c r="M103" i="64"/>
  <c r="N103" i="64"/>
  <c r="O103" i="64"/>
  <c r="P103" i="64"/>
  <c r="Q103" i="64"/>
  <c r="R103" i="64"/>
  <c r="S103" i="64"/>
  <c r="T103" i="64"/>
  <c r="U103" i="64"/>
  <c r="V103" i="64"/>
  <c r="W103" i="64"/>
  <c r="X103" i="64"/>
  <c r="Y103" i="64"/>
  <c r="Z103" i="64"/>
  <c r="AA103" i="64"/>
  <c r="AB103" i="64"/>
  <c r="AC103" i="64"/>
  <c r="AD103" i="64"/>
  <c r="AE103" i="64"/>
  <c r="AF103" i="64"/>
  <c r="AG103" i="64"/>
  <c r="AH103" i="64"/>
  <c r="AI103" i="64"/>
  <c r="B104" i="64"/>
  <c r="C104" i="64"/>
  <c r="D104" i="64"/>
  <c r="E104" i="64"/>
  <c r="F104" i="64"/>
  <c r="G104" i="64"/>
  <c r="H104" i="64"/>
  <c r="I104" i="64"/>
  <c r="J104" i="64"/>
  <c r="K104" i="64"/>
  <c r="L104" i="64"/>
  <c r="M104" i="64"/>
  <c r="N104" i="64"/>
  <c r="O104" i="64"/>
  <c r="P104" i="64"/>
  <c r="Q104" i="64"/>
  <c r="R104" i="64"/>
  <c r="S104" i="64"/>
  <c r="T104" i="64"/>
  <c r="U104" i="64"/>
  <c r="V104" i="64"/>
  <c r="W104" i="64"/>
  <c r="X104" i="64"/>
  <c r="Y104" i="64"/>
  <c r="Z104" i="64"/>
  <c r="AA104" i="64"/>
  <c r="AB104" i="64"/>
  <c r="AC104" i="64"/>
  <c r="AD104" i="64"/>
  <c r="AE104" i="64"/>
  <c r="AF104" i="64"/>
  <c r="AG104" i="64"/>
  <c r="AH104" i="64"/>
  <c r="AI104" i="64"/>
  <c r="B105" i="64"/>
  <c r="C105" i="64"/>
  <c r="D105" i="64"/>
  <c r="E105" i="64"/>
  <c r="F105" i="64"/>
  <c r="G105" i="64"/>
  <c r="H105" i="64"/>
  <c r="I105" i="64"/>
  <c r="J105" i="64"/>
  <c r="K105" i="64"/>
  <c r="L105" i="64"/>
  <c r="M105" i="64"/>
  <c r="N105" i="64"/>
  <c r="O105" i="64"/>
  <c r="P105" i="64"/>
  <c r="Q105" i="64"/>
  <c r="R105" i="64"/>
  <c r="S105" i="64"/>
  <c r="T105" i="64"/>
  <c r="U105" i="64"/>
  <c r="V105" i="64"/>
  <c r="W105" i="64"/>
  <c r="X105" i="64"/>
  <c r="Y105" i="64"/>
  <c r="Z105" i="64"/>
  <c r="AA105" i="64"/>
  <c r="AB105" i="64"/>
  <c r="AC105" i="64"/>
  <c r="AD105" i="64"/>
  <c r="AE105" i="64"/>
  <c r="AF105" i="64"/>
  <c r="AG105" i="64"/>
  <c r="AH105" i="64"/>
  <c r="AI105" i="64"/>
  <c r="B106" i="64"/>
  <c r="C106" i="64"/>
  <c r="D106" i="64"/>
  <c r="E106" i="64"/>
  <c r="F106" i="64"/>
  <c r="G106" i="64"/>
  <c r="H106" i="64"/>
  <c r="I106" i="64"/>
  <c r="J106" i="64"/>
  <c r="K106" i="64"/>
  <c r="L106" i="64"/>
  <c r="M106" i="64"/>
  <c r="N106" i="64"/>
  <c r="O106" i="64"/>
  <c r="P106" i="64"/>
  <c r="Q106" i="64"/>
  <c r="R106" i="64"/>
  <c r="S106" i="64"/>
  <c r="T106" i="64"/>
  <c r="U106" i="64"/>
  <c r="V106" i="64"/>
  <c r="W106" i="64"/>
  <c r="X106" i="64"/>
  <c r="Y106" i="64"/>
  <c r="Z106" i="64"/>
  <c r="AA106" i="64"/>
  <c r="AB106" i="64"/>
  <c r="AC106" i="64"/>
  <c r="AD106" i="64"/>
  <c r="AE106" i="64"/>
  <c r="AF106" i="64"/>
  <c r="AG106" i="64"/>
  <c r="AH106" i="64"/>
  <c r="AI106" i="64"/>
  <c r="B107" i="64"/>
  <c r="C107" i="64"/>
  <c r="D107" i="64"/>
  <c r="E107" i="64"/>
  <c r="F107" i="64"/>
  <c r="G107" i="64"/>
  <c r="H107" i="64"/>
  <c r="I107" i="64"/>
  <c r="J107" i="64"/>
  <c r="K107" i="64"/>
  <c r="L107" i="64"/>
  <c r="M107" i="64"/>
  <c r="N107" i="64"/>
  <c r="O107" i="64"/>
  <c r="P107" i="64"/>
  <c r="Q107" i="64"/>
  <c r="R107" i="64"/>
  <c r="S107" i="64"/>
  <c r="T107" i="64"/>
  <c r="U107" i="64"/>
  <c r="V107" i="64"/>
  <c r="W107" i="64"/>
  <c r="X107" i="64"/>
  <c r="Y107" i="64"/>
  <c r="Z107" i="64"/>
  <c r="AA107" i="64"/>
  <c r="AB107" i="64"/>
  <c r="AC107" i="64"/>
  <c r="AD107" i="64"/>
  <c r="AE107" i="64"/>
  <c r="AF107" i="64"/>
  <c r="AG107" i="64"/>
  <c r="AH107" i="64"/>
  <c r="AI107" i="64"/>
  <c r="B108" i="64"/>
  <c r="C108" i="64"/>
  <c r="D108" i="64"/>
  <c r="E108" i="64"/>
  <c r="F108" i="64"/>
  <c r="G108" i="64"/>
  <c r="H108" i="64"/>
  <c r="I108" i="64"/>
  <c r="J108" i="64"/>
  <c r="K108" i="64"/>
  <c r="L108" i="64"/>
  <c r="M108" i="64"/>
  <c r="N108" i="64"/>
  <c r="O108" i="64"/>
  <c r="P108" i="64"/>
  <c r="Q108" i="64"/>
  <c r="R108" i="64"/>
  <c r="S108" i="64"/>
  <c r="T108" i="64"/>
  <c r="U108" i="64"/>
  <c r="V108" i="64"/>
  <c r="W108" i="64"/>
  <c r="X108" i="64"/>
  <c r="Y108" i="64"/>
  <c r="Z108" i="64"/>
  <c r="AA108" i="64"/>
  <c r="AB108" i="64"/>
  <c r="AC108" i="64"/>
  <c r="AD108" i="64"/>
  <c r="AE108" i="64"/>
  <c r="AF108" i="64"/>
  <c r="AG108" i="64"/>
  <c r="AH108" i="64"/>
  <c r="AI108" i="64"/>
  <c r="B109" i="64"/>
  <c r="C109" i="64"/>
  <c r="D109" i="64"/>
  <c r="E109" i="64"/>
  <c r="F109" i="64"/>
  <c r="G109" i="64"/>
  <c r="H109" i="64"/>
  <c r="I109" i="64"/>
  <c r="J109" i="64"/>
  <c r="K109" i="64"/>
  <c r="L109" i="64"/>
  <c r="M109" i="64"/>
  <c r="N109" i="64"/>
  <c r="O109" i="64"/>
  <c r="P109" i="64"/>
  <c r="Q109" i="64"/>
  <c r="R109" i="64"/>
  <c r="S109" i="64"/>
  <c r="T109" i="64"/>
  <c r="U109" i="64"/>
  <c r="V109" i="64"/>
  <c r="W109" i="64"/>
  <c r="X109" i="64"/>
  <c r="Y109" i="64"/>
  <c r="Z109" i="64"/>
  <c r="AA109" i="64"/>
  <c r="AB109" i="64"/>
  <c r="AC109" i="64"/>
  <c r="AD109" i="64"/>
  <c r="AE109" i="64"/>
  <c r="AF109" i="64"/>
  <c r="AG109" i="64"/>
  <c r="AH109" i="64"/>
  <c r="AI109" i="64"/>
  <c r="B110" i="64"/>
  <c r="C110" i="64"/>
  <c r="D110" i="64"/>
  <c r="E110" i="64"/>
  <c r="F110" i="64"/>
  <c r="G110" i="64"/>
  <c r="H110" i="64"/>
  <c r="I110" i="64"/>
  <c r="J110" i="64"/>
  <c r="K110" i="64"/>
  <c r="L110" i="64"/>
  <c r="M110" i="64"/>
  <c r="N110" i="64"/>
  <c r="O110" i="64"/>
  <c r="P110" i="64"/>
  <c r="Q110" i="64"/>
  <c r="R110" i="64"/>
  <c r="S110" i="64"/>
  <c r="T110" i="64"/>
  <c r="U110" i="64"/>
  <c r="V110" i="64"/>
  <c r="W110" i="64"/>
  <c r="X110" i="64"/>
  <c r="Y110" i="64"/>
  <c r="Z110" i="64"/>
  <c r="AA110" i="64"/>
  <c r="AB110" i="64"/>
  <c r="AC110" i="64"/>
  <c r="AD110" i="64"/>
  <c r="AE110" i="64"/>
  <c r="AF110" i="64"/>
  <c r="AG110" i="64"/>
  <c r="AH110" i="64"/>
  <c r="AI110" i="64"/>
  <c r="B111" i="64"/>
  <c r="C111" i="64"/>
  <c r="D111" i="64"/>
  <c r="E111" i="64"/>
  <c r="F111" i="64"/>
  <c r="G111" i="64"/>
  <c r="H111" i="64"/>
  <c r="I111" i="64"/>
  <c r="J111" i="64"/>
  <c r="K111" i="64"/>
  <c r="L111" i="64"/>
  <c r="M111" i="64"/>
  <c r="N111" i="64"/>
  <c r="O111" i="64"/>
  <c r="P111" i="64"/>
  <c r="Q111" i="64"/>
  <c r="R111" i="64"/>
  <c r="S111" i="64"/>
  <c r="T111" i="64"/>
  <c r="U111" i="64"/>
  <c r="V111" i="64"/>
  <c r="W111" i="64"/>
  <c r="X111" i="64"/>
  <c r="Y111" i="64"/>
  <c r="Z111" i="64"/>
  <c r="AA111" i="64"/>
  <c r="AB111" i="64"/>
  <c r="AC111" i="64"/>
  <c r="AD111" i="64"/>
  <c r="AE111" i="64"/>
  <c r="AF111" i="64"/>
  <c r="AG111" i="64"/>
  <c r="AH111" i="64"/>
  <c r="AI111" i="64"/>
  <c r="B112" i="64"/>
  <c r="C112" i="64"/>
  <c r="D112" i="64"/>
  <c r="E112" i="64"/>
  <c r="F112" i="64"/>
  <c r="G112" i="64"/>
  <c r="H112" i="64"/>
  <c r="I112" i="64"/>
  <c r="J112" i="64"/>
  <c r="K112" i="64"/>
  <c r="L112" i="64"/>
  <c r="M112" i="64"/>
  <c r="N112" i="64"/>
  <c r="O112" i="64"/>
  <c r="P112" i="64"/>
  <c r="Q112" i="64"/>
  <c r="R112" i="64"/>
  <c r="S112" i="64"/>
  <c r="T112" i="64"/>
  <c r="U112" i="64"/>
  <c r="V112" i="64"/>
  <c r="W112" i="64"/>
  <c r="X112" i="64"/>
  <c r="Y112" i="64"/>
  <c r="Z112" i="64"/>
  <c r="AA112" i="64"/>
  <c r="AB112" i="64"/>
  <c r="AC112" i="64"/>
  <c r="AD112" i="64"/>
  <c r="AE112" i="64"/>
  <c r="AF112" i="64"/>
  <c r="AG112" i="64"/>
  <c r="AH112" i="64"/>
  <c r="AI112" i="64"/>
  <c r="B113" i="64"/>
  <c r="C113" i="64"/>
  <c r="D113" i="64"/>
  <c r="E113" i="64"/>
  <c r="F113" i="64"/>
  <c r="G113" i="64"/>
  <c r="H113" i="64"/>
  <c r="I113" i="64"/>
  <c r="J113" i="64"/>
  <c r="K113" i="64"/>
  <c r="L113" i="64"/>
  <c r="M113" i="64"/>
  <c r="N113" i="64"/>
  <c r="O113" i="64"/>
  <c r="P113" i="64"/>
  <c r="Q113" i="64"/>
  <c r="R113" i="64"/>
  <c r="S113" i="64"/>
  <c r="T113" i="64"/>
  <c r="U113" i="64"/>
  <c r="V113" i="64"/>
  <c r="W113" i="64"/>
  <c r="X113" i="64"/>
  <c r="Y113" i="64"/>
  <c r="Z113" i="64"/>
  <c r="AA113" i="64"/>
  <c r="AB113" i="64"/>
  <c r="AC113" i="64"/>
  <c r="AD113" i="64"/>
  <c r="AE113" i="64"/>
  <c r="AF113" i="64"/>
  <c r="AG113" i="64"/>
  <c r="AH113" i="64"/>
  <c r="AI113" i="64"/>
  <c r="B114" i="64"/>
  <c r="C114" i="64"/>
  <c r="D114" i="64"/>
  <c r="E114" i="64"/>
  <c r="F114" i="64"/>
  <c r="G114" i="64"/>
  <c r="H114" i="64"/>
  <c r="I114" i="64"/>
  <c r="J114" i="64"/>
  <c r="K114" i="64"/>
  <c r="L114" i="64"/>
  <c r="M114" i="64"/>
  <c r="N114" i="64"/>
  <c r="O114" i="64"/>
  <c r="P114" i="64"/>
  <c r="Q114" i="64"/>
  <c r="R114" i="64"/>
  <c r="S114" i="64"/>
  <c r="T114" i="64"/>
  <c r="U114" i="64"/>
  <c r="V114" i="64"/>
  <c r="W114" i="64"/>
  <c r="X114" i="64"/>
  <c r="Y114" i="64"/>
  <c r="Z114" i="64"/>
  <c r="AA114" i="64"/>
  <c r="AB114" i="64"/>
  <c r="AC114" i="64"/>
  <c r="AD114" i="64"/>
  <c r="AE114" i="64"/>
  <c r="AF114" i="64"/>
  <c r="AG114" i="64"/>
  <c r="AH114" i="64"/>
  <c r="AI114" i="64"/>
  <c r="B115" i="64"/>
  <c r="C115" i="64"/>
  <c r="D115" i="64"/>
  <c r="E115" i="64"/>
  <c r="F115" i="64"/>
  <c r="G115" i="64"/>
  <c r="H115" i="64"/>
  <c r="I115" i="64"/>
  <c r="J115" i="64"/>
  <c r="K115" i="64"/>
  <c r="L115" i="64"/>
  <c r="M115" i="64"/>
  <c r="N115" i="64"/>
  <c r="O115" i="64"/>
  <c r="P115" i="64"/>
  <c r="Q115" i="64"/>
  <c r="R115" i="64"/>
  <c r="S115" i="64"/>
  <c r="T115" i="64"/>
  <c r="U115" i="64"/>
  <c r="V115" i="64"/>
  <c r="W115" i="64"/>
  <c r="X115" i="64"/>
  <c r="Y115" i="64"/>
  <c r="Z115" i="64"/>
  <c r="AA115" i="64"/>
  <c r="AB115" i="64"/>
  <c r="AC115" i="64"/>
  <c r="AD115" i="64"/>
  <c r="AE115" i="64"/>
  <c r="AF115" i="64"/>
  <c r="AG115" i="64"/>
  <c r="AH115" i="64"/>
  <c r="AI115" i="64"/>
  <c r="B116" i="64"/>
  <c r="C116" i="64"/>
  <c r="D116" i="64"/>
  <c r="E116" i="64"/>
  <c r="F116" i="64"/>
  <c r="G116" i="64"/>
  <c r="H116" i="64"/>
  <c r="I116" i="64"/>
  <c r="J116" i="64"/>
  <c r="K116" i="64"/>
  <c r="L116" i="64"/>
  <c r="M116" i="64"/>
  <c r="N116" i="64"/>
  <c r="O116" i="64"/>
  <c r="P116" i="64"/>
  <c r="Q116" i="64"/>
  <c r="R116" i="64"/>
  <c r="S116" i="64"/>
  <c r="T116" i="64"/>
  <c r="U116" i="64"/>
  <c r="V116" i="64"/>
  <c r="W116" i="64"/>
  <c r="X116" i="64"/>
  <c r="Y116" i="64"/>
  <c r="Z116" i="64"/>
  <c r="AA116" i="64"/>
  <c r="AB116" i="64"/>
  <c r="AC116" i="64"/>
  <c r="AD116" i="64"/>
  <c r="AE116" i="64"/>
  <c r="AF116" i="64"/>
  <c r="AG116" i="64"/>
  <c r="AH116" i="64"/>
  <c r="AI116" i="64"/>
  <c r="B117" i="64"/>
  <c r="C117" i="64"/>
  <c r="D117" i="64"/>
  <c r="E117" i="64"/>
  <c r="F117" i="64"/>
  <c r="G117" i="64"/>
  <c r="H117" i="64"/>
  <c r="I117" i="64"/>
  <c r="J117" i="64"/>
  <c r="K117" i="64"/>
  <c r="L117" i="64"/>
  <c r="M117" i="64"/>
  <c r="N117" i="64"/>
  <c r="O117" i="64"/>
  <c r="P117" i="64"/>
  <c r="Q117" i="64"/>
  <c r="R117" i="64"/>
  <c r="S117" i="64"/>
  <c r="T117" i="64"/>
  <c r="U117" i="64"/>
  <c r="V117" i="64"/>
  <c r="W117" i="64"/>
  <c r="X117" i="64"/>
  <c r="Y117" i="64"/>
  <c r="Z117" i="64"/>
  <c r="AA117" i="64"/>
  <c r="AB117" i="64"/>
  <c r="AC117" i="64"/>
  <c r="AD117" i="64"/>
  <c r="AE117" i="64"/>
  <c r="AF117" i="64"/>
  <c r="AG117" i="64"/>
  <c r="AH117" i="64"/>
  <c r="AI117" i="64"/>
  <c r="B118" i="64"/>
  <c r="C118" i="64"/>
  <c r="D118" i="64"/>
  <c r="E118" i="64"/>
  <c r="F118" i="64"/>
  <c r="G118" i="64"/>
  <c r="H118" i="64"/>
  <c r="I118" i="64"/>
  <c r="J118" i="64"/>
  <c r="K118" i="64"/>
  <c r="L118" i="64"/>
  <c r="M118" i="64"/>
  <c r="N118" i="64"/>
  <c r="O118" i="64"/>
  <c r="P118" i="64"/>
  <c r="Q118" i="64"/>
  <c r="R118" i="64"/>
  <c r="S118" i="64"/>
  <c r="T118" i="64"/>
  <c r="U118" i="64"/>
  <c r="V118" i="64"/>
  <c r="W118" i="64"/>
  <c r="X118" i="64"/>
  <c r="Y118" i="64"/>
  <c r="Z118" i="64"/>
  <c r="AA118" i="64"/>
  <c r="AB118" i="64"/>
  <c r="AC118" i="64"/>
  <c r="AD118" i="64"/>
  <c r="AE118" i="64"/>
  <c r="AF118" i="64"/>
  <c r="AG118" i="64"/>
  <c r="AH118" i="64"/>
  <c r="AI118" i="64"/>
  <c r="B119" i="64"/>
  <c r="C119" i="64"/>
  <c r="D119" i="64"/>
  <c r="E119" i="64"/>
  <c r="F119" i="64"/>
  <c r="G119" i="64"/>
  <c r="H119" i="64"/>
  <c r="I119" i="64"/>
  <c r="J119" i="64"/>
  <c r="K119" i="64"/>
  <c r="L119" i="64"/>
  <c r="M119" i="64"/>
  <c r="N119" i="64"/>
  <c r="O119" i="64"/>
  <c r="P119" i="64"/>
  <c r="Q119" i="64"/>
  <c r="R119" i="64"/>
  <c r="S119" i="64"/>
  <c r="T119" i="64"/>
  <c r="U119" i="64"/>
  <c r="V119" i="64"/>
  <c r="W119" i="64"/>
  <c r="X119" i="64"/>
  <c r="Y119" i="64"/>
  <c r="Z119" i="64"/>
  <c r="AA119" i="64"/>
  <c r="AB119" i="64"/>
  <c r="AC119" i="64"/>
  <c r="AD119" i="64"/>
  <c r="AE119" i="64"/>
  <c r="AF119" i="64"/>
  <c r="AG119" i="64"/>
  <c r="AH119" i="64"/>
  <c r="AI119" i="64"/>
  <c r="B120" i="64"/>
  <c r="C120" i="64"/>
  <c r="D120" i="64"/>
  <c r="E120" i="64"/>
  <c r="F120" i="64"/>
  <c r="G120" i="64"/>
  <c r="H120" i="64"/>
  <c r="I120" i="64"/>
  <c r="J120" i="64"/>
  <c r="K120" i="64"/>
  <c r="L120" i="64"/>
  <c r="M120" i="64"/>
  <c r="N120" i="64"/>
  <c r="O120" i="64"/>
  <c r="P120" i="64"/>
  <c r="Q120" i="64"/>
  <c r="R120" i="64"/>
  <c r="S120" i="64"/>
  <c r="T120" i="64"/>
  <c r="U120" i="64"/>
  <c r="V120" i="64"/>
  <c r="W120" i="64"/>
  <c r="X120" i="64"/>
  <c r="Y120" i="64"/>
  <c r="Z120" i="64"/>
  <c r="AA120" i="64"/>
  <c r="AB120" i="64"/>
  <c r="AC120" i="64"/>
  <c r="AD120" i="64"/>
  <c r="AE120" i="64"/>
  <c r="AF120" i="64"/>
  <c r="AG120" i="64"/>
  <c r="AH120" i="64"/>
  <c r="AI120" i="64"/>
  <c r="B121" i="64"/>
  <c r="C121" i="64"/>
  <c r="D121" i="64"/>
  <c r="E121" i="64"/>
  <c r="F121" i="64"/>
  <c r="G121" i="64"/>
  <c r="H121" i="64"/>
  <c r="I121" i="64"/>
  <c r="J121" i="64"/>
  <c r="K121" i="64"/>
  <c r="L121" i="64"/>
  <c r="M121" i="64"/>
  <c r="N121" i="64"/>
  <c r="O121" i="64"/>
  <c r="P121" i="64"/>
  <c r="Q121" i="64"/>
  <c r="R121" i="64"/>
  <c r="S121" i="64"/>
  <c r="T121" i="64"/>
  <c r="U121" i="64"/>
  <c r="V121" i="64"/>
  <c r="W121" i="64"/>
  <c r="X121" i="64"/>
  <c r="Y121" i="64"/>
  <c r="Z121" i="64"/>
  <c r="AA121" i="64"/>
  <c r="AB121" i="64"/>
  <c r="AC121" i="64"/>
  <c r="AD121" i="64"/>
  <c r="AE121" i="64"/>
  <c r="AF121" i="64"/>
  <c r="AG121" i="64"/>
  <c r="AH121" i="64"/>
  <c r="AI121" i="64"/>
  <c r="B122" i="64"/>
  <c r="C122" i="64"/>
  <c r="D122" i="64"/>
  <c r="E122" i="64"/>
  <c r="F122" i="64"/>
  <c r="G122" i="64"/>
  <c r="H122" i="64"/>
  <c r="I122" i="64"/>
  <c r="J122" i="64"/>
  <c r="K122" i="64"/>
  <c r="L122" i="64"/>
  <c r="M122" i="64"/>
  <c r="N122" i="64"/>
  <c r="O122" i="64"/>
  <c r="P122" i="64"/>
  <c r="Q122" i="64"/>
  <c r="R122" i="64"/>
  <c r="S122" i="64"/>
  <c r="T122" i="64"/>
  <c r="U122" i="64"/>
  <c r="V122" i="64"/>
  <c r="W122" i="64"/>
  <c r="X122" i="64"/>
  <c r="Y122" i="64"/>
  <c r="Z122" i="64"/>
  <c r="AA122" i="64"/>
  <c r="AB122" i="64"/>
  <c r="AC122" i="64"/>
  <c r="AD122" i="64"/>
  <c r="AE122" i="64"/>
  <c r="AF122" i="64"/>
  <c r="AG122" i="64"/>
  <c r="AH122" i="64"/>
  <c r="AI122" i="64"/>
  <c r="B123" i="64"/>
  <c r="C123" i="64"/>
  <c r="D123" i="64"/>
  <c r="E123" i="64"/>
  <c r="F123" i="64"/>
  <c r="G123" i="64"/>
  <c r="H123" i="64"/>
  <c r="I123" i="64"/>
  <c r="J123" i="64"/>
  <c r="K123" i="64"/>
  <c r="L123" i="64"/>
  <c r="M123" i="64"/>
  <c r="N123" i="64"/>
  <c r="O123" i="64"/>
  <c r="P123" i="64"/>
  <c r="Q123" i="64"/>
  <c r="R123" i="64"/>
  <c r="S123" i="64"/>
  <c r="T123" i="64"/>
  <c r="U123" i="64"/>
  <c r="V123" i="64"/>
  <c r="W123" i="64"/>
  <c r="X123" i="64"/>
  <c r="Y123" i="64"/>
  <c r="Z123" i="64"/>
  <c r="AA123" i="64"/>
  <c r="AB123" i="64"/>
  <c r="AC123" i="64"/>
  <c r="AD123" i="64"/>
  <c r="AE123" i="64"/>
  <c r="AF123" i="64"/>
  <c r="AG123" i="64"/>
  <c r="AH123" i="64"/>
  <c r="AI123" i="64"/>
  <c r="B124" i="64"/>
  <c r="C124" i="64"/>
  <c r="D124" i="64"/>
  <c r="E124" i="64"/>
  <c r="F124" i="64"/>
  <c r="G124" i="64"/>
  <c r="H124" i="64"/>
  <c r="I124" i="64"/>
  <c r="J124" i="64"/>
  <c r="K124" i="64"/>
  <c r="L124" i="64"/>
  <c r="M124" i="64"/>
  <c r="N124" i="64"/>
  <c r="O124" i="64"/>
  <c r="P124" i="64"/>
  <c r="Q124" i="64"/>
  <c r="R124" i="64"/>
  <c r="S124" i="64"/>
  <c r="T124" i="64"/>
  <c r="U124" i="64"/>
  <c r="V124" i="64"/>
  <c r="W124" i="64"/>
  <c r="X124" i="64"/>
  <c r="Y124" i="64"/>
  <c r="Z124" i="64"/>
  <c r="AA124" i="64"/>
  <c r="AB124" i="64"/>
  <c r="AC124" i="64"/>
  <c r="AD124" i="64"/>
  <c r="AE124" i="64"/>
  <c r="AF124" i="64"/>
  <c r="AG124" i="64"/>
  <c r="AH124" i="64"/>
  <c r="AI124" i="64"/>
  <c r="B125" i="64"/>
  <c r="C125" i="64"/>
  <c r="D125" i="64"/>
  <c r="E125" i="64"/>
  <c r="F125" i="64"/>
  <c r="G125" i="64"/>
  <c r="H125" i="64"/>
  <c r="I125" i="64"/>
  <c r="J125" i="64"/>
  <c r="K125" i="64"/>
  <c r="L125" i="64"/>
  <c r="M125" i="64"/>
  <c r="N125" i="64"/>
  <c r="O125" i="64"/>
  <c r="P125" i="64"/>
  <c r="Q125" i="64"/>
  <c r="R125" i="64"/>
  <c r="S125" i="64"/>
  <c r="T125" i="64"/>
  <c r="U125" i="64"/>
  <c r="V125" i="64"/>
  <c r="W125" i="64"/>
  <c r="X125" i="64"/>
  <c r="Y125" i="64"/>
  <c r="Z125" i="64"/>
  <c r="AA125" i="64"/>
  <c r="AB125" i="64"/>
  <c r="AC125" i="64"/>
  <c r="AD125" i="64"/>
  <c r="AE125" i="64"/>
  <c r="AF125" i="64"/>
  <c r="AG125" i="64"/>
  <c r="AH125" i="64"/>
  <c r="AI125" i="64"/>
  <c r="B126" i="64"/>
  <c r="C126" i="64"/>
  <c r="D126" i="64"/>
  <c r="E126" i="64"/>
  <c r="F126" i="64"/>
  <c r="G126" i="64"/>
  <c r="H126" i="64"/>
  <c r="I126" i="64"/>
  <c r="J126" i="64"/>
  <c r="K126" i="64"/>
  <c r="L126" i="64"/>
  <c r="M126" i="64"/>
  <c r="N126" i="64"/>
  <c r="O126" i="64"/>
  <c r="P126" i="64"/>
  <c r="Q126" i="64"/>
  <c r="R126" i="64"/>
  <c r="S126" i="64"/>
  <c r="T126" i="64"/>
  <c r="U126" i="64"/>
  <c r="V126" i="64"/>
  <c r="W126" i="64"/>
  <c r="X126" i="64"/>
  <c r="Y126" i="64"/>
  <c r="Z126" i="64"/>
  <c r="AA126" i="64"/>
  <c r="AB126" i="64"/>
  <c r="AC126" i="64"/>
  <c r="AD126" i="64"/>
  <c r="AE126" i="64"/>
  <c r="AF126" i="64"/>
  <c r="AG126" i="64"/>
  <c r="AH126" i="64"/>
  <c r="AI126" i="64"/>
  <c r="B127" i="64"/>
  <c r="C127" i="64"/>
  <c r="D127" i="64"/>
  <c r="E127" i="64"/>
  <c r="F127" i="64"/>
  <c r="G127" i="64"/>
  <c r="H127" i="64"/>
  <c r="I127" i="64"/>
  <c r="J127" i="64"/>
  <c r="K127" i="64"/>
  <c r="L127" i="64"/>
  <c r="M127" i="64"/>
  <c r="N127" i="64"/>
  <c r="O127" i="64"/>
  <c r="P127" i="64"/>
  <c r="Q127" i="64"/>
  <c r="R127" i="64"/>
  <c r="S127" i="64"/>
  <c r="T127" i="64"/>
  <c r="U127" i="64"/>
  <c r="V127" i="64"/>
  <c r="W127" i="64"/>
  <c r="X127" i="64"/>
  <c r="Y127" i="64"/>
  <c r="Z127" i="64"/>
  <c r="AA127" i="64"/>
  <c r="AB127" i="64"/>
  <c r="AC127" i="64"/>
  <c r="AD127" i="64"/>
  <c r="AE127" i="64"/>
  <c r="AF127" i="64"/>
  <c r="AG127" i="64"/>
  <c r="AH127" i="64"/>
  <c r="AI127" i="64"/>
  <c r="B128" i="64"/>
  <c r="C128" i="64"/>
  <c r="D128" i="64"/>
  <c r="E128" i="64"/>
  <c r="F128" i="64"/>
  <c r="G128" i="64"/>
  <c r="H128" i="64"/>
  <c r="I128" i="64"/>
  <c r="J128" i="64"/>
  <c r="K128" i="64"/>
  <c r="L128" i="64"/>
  <c r="M128" i="64"/>
  <c r="N128" i="64"/>
  <c r="O128" i="64"/>
  <c r="P128" i="64"/>
  <c r="Q128" i="64"/>
  <c r="R128" i="64"/>
  <c r="S128" i="64"/>
  <c r="T128" i="64"/>
  <c r="U128" i="64"/>
  <c r="V128" i="64"/>
  <c r="W128" i="64"/>
  <c r="X128" i="64"/>
  <c r="Y128" i="64"/>
  <c r="Z128" i="64"/>
  <c r="AA128" i="64"/>
  <c r="AB128" i="64"/>
  <c r="AC128" i="64"/>
  <c r="AD128" i="64"/>
  <c r="AE128" i="64"/>
  <c r="AF128" i="64"/>
  <c r="AG128" i="64"/>
  <c r="AH128" i="64"/>
  <c r="AI128" i="64"/>
  <c r="B129" i="64"/>
  <c r="C129" i="64"/>
  <c r="D129" i="64"/>
  <c r="E129" i="64"/>
  <c r="F129" i="64"/>
  <c r="G129" i="64"/>
  <c r="H129" i="64"/>
  <c r="I129" i="64"/>
  <c r="J129" i="64"/>
  <c r="K129" i="64"/>
  <c r="L129" i="64"/>
  <c r="M129" i="64"/>
  <c r="N129" i="64"/>
  <c r="O129" i="64"/>
  <c r="P129" i="64"/>
  <c r="Q129" i="64"/>
  <c r="R129" i="64"/>
  <c r="S129" i="64"/>
  <c r="T129" i="64"/>
  <c r="U129" i="64"/>
  <c r="V129" i="64"/>
  <c r="W129" i="64"/>
  <c r="X129" i="64"/>
  <c r="Y129" i="64"/>
  <c r="Z129" i="64"/>
  <c r="AA129" i="64"/>
  <c r="AB129" i="64"/>
  <c r="AC129" i="64"/>
  <c r="AD129" i="64"/>
  <c r="AE129" i="64"/>
  <c r="AF129" i="64"/>
  <c r="AG129" i="64"/>
  <c r="AH129" i="64"/>
  <c r="AI129" i="64"/>
  <c r="B130" i="64"/>
  <c r="C130" i="64"/>
  <c r="D130" i="64"/>
  <c r="E130" i="64"/>
  <c r="F130" i="64"/>
  <c r="G130" i="64"/>
  <c r="H130" i="64"/>
  <c r="I130" i="64"/>
  <c r="J130" i="64"/>
  <c r="K130" i="64"/>
  <c r="L130" i="64"/>
  <c r="M130" i="64"/>
  <c r="N130" i="64"/>
  <c r="O130" i="64"/>
  <c r="P130" i="64"/>
  <c r="Q130" i="64"/>
  <c r="R130" i="64"/>
  <c r="S130" i="64"/>
  <c r="T130" i="64"/>
  <c r="U130" i="64"/>
  <c r="V130" i="64"/>
  <c r="W130" i="64"/>
  <c r="X130" i="64"/>
  <c r="Y130" i="64"/>
  <c r="Z130" i="64"/>
  <c r="AA130" i="64"/>
  <c r="AB130" i="64"/>
  <c r="AC130" i="64"/>
  <c r="AD130" i="64"/>
  <c r="AE130" i="64"/>
  <c r="AF130" i="64"/>
  <c r="AG130" i="64"/>
  <c r="AH130" i="64"/>
  <c r="AI130" i="64"/>
  <c r="B131" i="64"/>
  <c r="C131" i="64"/>
  <c r="D131" i="64"/>
  <c r="E131" i="64"/>
  <c r="F131" i="64"/>
  <c r="G131" i="64"/>
  <c r="H131" i="64"/>
  <c r="I131" i="64"/>
  <c r="J131" i="64"/>
  <c r="K131" i="64"/>
  <c r="L131" i="64"/>
  <c r="M131" i="64"/>
  <c r="N131" i="64"/>
  <c r="O131" i="64"/>
  <c r="P131" i="64"/>
  <c r="Q131" i="64"/>
  <c r="R131" i="64"/>
  <c r="S131" i="64"/>
  <c r="T131" i="64"/>
  <c r="U131" i="64"/>
  <c r="V131" i="64"/>
  <c r="W131" i="64"/>
  <c r="X131" i="64"/>
  <c r="Y131" i="64"/>
  <c r="Z131" i="64"/>
  <c r="AA131" i="64"/>
  <c r="AB131" i="64"/>
  <c r="AC131" i="64"/>
  <c r="AD131" i="64"/>
  <c r="AE131" i="64"/>
  <c r="AF131" i="64"/>
  <c r="AG131" i="64"/>
  <c r="AH131" i="64"/>
  <c r="AI131" i="64"/>
  <c r="B132" i="64"/>
  <c r="C132" i="64"/>
  <c r="D132" i="64"/>
  <c r="E132" i="64"/>
  <c r="F132" i="64"/>
  <c r="G132" i="64"/>
  <c r="H132" i="64"/>
  <c r="I132" i="64"/>
  <c r="J132" i="64"/>
  <c r="K132" i="64"/>
  <c r="L132" i="64"/>
  <c r="M132" i="64"/>
  <c r="N132" i="64"/>
  <c r="O132" i="64"/>
  <c r="P132" i="64"/>
  <c r="Q132" i="64"/>
  <c r="R132" i="64"/>
  <c r="S132" i="64"/>
  <c r="T132" i="64"/>
  <c r="U132" i="64"/>
  <c r="V132" i="64"/>
  <c r="W132" i="64"/>
  <c r="X132" i="64"/>
  <c r="Y132" i="64"/>
  <c r="Z132" i="64"/>
  <c r="AA132" i="64"/>
  <c r="AB132" i="64"/>
  <c r="AC132" i="64"/>
  <c r="AD132" i="64"/>
  <c r="AE132" i="64"/>
  <c r="AF132" i="64"/>
  <c r="AG132" i="64"/>
  <c r="AH132" i="64"/>
  <c r="AI132" i="64"/>
  <c r="B133" i="64"/>
  <c r="C133" i="64"/>
  <c r="D133" i="64"/>
  <c r="E133" i="64"/>
  <c r="F133" i="64"/>
  <c r="G133" i="64"/>
  <c r="H133" i="64"/>
  <c r="I133" i="64"/>
  <c r="J133" i="64"/>
  <c r="K133" i="64"/>
  <c r="L133" i="64"/>
  <c r="M133" i="64"/>
  <c r="N133" i="64"/>
  <c r="O133" i="64"/>
  <c r="P133" i="64"/>
  <c r="Q133" i="64"/>
  <c r="R133" i="64"/>
  <c r="S133" i="64"/>
  <c r="T133" i="64"/>
  <c r="U133" i="64"/>
  <c r="V133" i="64"/>
  <c r="W133" i="64"/>
  <c r="X133" i="64"/>
  <c r="Y133" i="64"/>
  <c r="Z133" i="64"/>
  <c r="AA133" i="64"/>
  <c r="AB133" i="64"/>
  <c r="AC133" i="64"/>
  <c r="AD133" i="64"/>
  <c r="AE133" i="64"/>
  <c r="AF133" i="64"/>
  <c r="AG133" i="64"/>
  <c r="AH133" i="64"/>
  <c r="AI133" i="64"/>
  <c r="B134" i="64"/>
  <c r="C134" i="64"/>
  <c r="D134" i="64"/>
  <c r="E134" i="64"/>
  <c r="F134" i="64"/>
  <c r="G134" i="64"/>
  <c r="H134" i="64"/>
  <c r="I134" i="64"/>
  <c r="J134" i="64"/>
  <c r="K134" i="64"/>
  <c r="L134" i="64"/>
  <c r="M134" i="64"/>
  <c r="N134" i="64"/>
  <c r="O134" i="64"/>
  <c r="P134" i="64"/>
  <c r="Q134" i="64"/>
  <c r="R134" i="64"/>
  <c r="S134" i="64"/>
  <c r="T134" i="64"/>
  <c r="U134" i="64"/>
  <c r="V134" i="64"/>
  <c r="W134" i="64"/>
  <c r="X134" i="64"/>
  <c r="Y134" i="64"/>
  <c r="Z134" i="64"/>
  <c r="AA134" i="64"/>
  <c r="AB134" i="64"/>
  <c r="AC134" i="64"/>
  <c r="AD134" i="64"/>
  <c r="AE134" i="64"/>
  <c r="AF134" i="64"/>
  <c r="AG134" i="64"/>
  <c r="AH134" i="64"/>
  <c r="AI134" i="64"/>
  <c r="B135" i="64"/>
  <c r="C135" i="64"/>
  <c r="D135" i="64"/>
  <c r="E135" i="64"/>
  <c r="F135" i="64"/>
  <c r="G135" i="64"/>
  <c r="H135" i="64"/>
  <c r="I135" i="64"/>
  <c r="J135" i="64"/>
  <c r="K135" i="64"/>
  <c r="L135" i="64"/>
  <c r="M135" i="64"/>
  <c r="N135" i="64"/>
  <c r="O135" i="64"/>
  <c r="P135" i="64"/>
  <c r="Q135" i="64"/>
  <c r="R135" i="64"/>
  <c r="S135" i="64"/>
  <c r="T135" i="64"/>
  <c r="U135" i="64"/>
  <c r="V135" i="64"/>
  <c r="W135" i="64"/>
  <c r="X135" i="64"/>
  <c r="Y135" i="64"/>
  <c r="Z135" i="64"/>
  <c r="AA135" i="64"/>
  <c r="AB135" i="64"/>
  <c r="AC135" i="64"/>
  <c r="AD135" i="64"/>
  <c r="AE135" i="64"/>
  <c r="AF135" i="64"/>
  <c r="AG135" i="64"/>
  <c r="AH135" i="64"/>
  <c r="AI135" i="64"/>
  <c r="B136" i="64"/>
  <c r="C136" i="64"/>
  <c r="D136" i="64"/>
  <c r="E136" i="64"/>
  <c r="F136" i="64"/>
  <c r="G136" i="64"/>
  <c r="H136" i="64"/>
  <c r="I136" i="64"/>
  <c r="J136" i="64"/>
  <c r="K136" i="64"/>
  <c r="L136" i="64"/>
  <c r="M136" i="64"/>
  <c r="N136" i="64"/>
  <c r="O136" i="64"/>
  <c r="P136" i="64"/>
  <c r="Q136" i="64"/>
  <c r="R136" i="64"/>
  <c r="S136" i="64"/>
  <c r="T136" i="64"/>
  <c r="U136" i="64"/>
  <c r="V136" i="64"/>
  <c r="W136" i="64"/>
  <c r="X136" i="64"/>
  <c r="Y136" i="64"/>
  <c r="Z136" i="64"/>
  <c r="AA136" i="64"/>
  <c r="AB136" i="64"/>
  <c r="AC136" i="64"/>
  <c r="AD136" i="64"/>
  <c r="AE136" i="64"/>
  <c r="AF136" i="64"/>
  <c r="AG136" i="64"/>
  <c r="AH136" i="64"/>
  <c r="AI136" i="64"/>
  <c r="B137" i="64"/>
  <c r="C137" i="64"/>
  <c r="D137" i="64"/>
  <c r="E137" i="64"/>
  <c r="F137" i="64"/>
  <c r="G137" i="64"/>
  <c r="H137" i="64"/>
  <c r="I137" i="64"/>
  <c r="J137" i="64"/>
  <c r="K137" i="64"/>
  <c r="L137" i="64"/>
  <c r="M137" i="64"/>
  <c r="N137" i="64"/>
  <c r="O137" i="64"/>
  <c r="P137" i="64"/>
  <c r="Q137" i="64"/>
  <c r="R137" i="64"/>
  <c r="S137" i="64"/>
  <c r="T137" i="64"/>
  <c r="U137" i="64"/>
  <c r="V137" i="64"/>
  <c r="W137" i="64"/>
  <c r="X137" i="64"/>
  <c r="Y137" i="64"/>
  <c r="Z137" i="64"/>
  <c r="AA137" i="64"/>
  <c r="AB137" i="64"/>
  <c r="AC137" i="64"/>
  <c r="AD137" i="64"/>
  <c r="AE137" i="64"/>
  <c r="AF137" i="64"/>
  <c r="AG137" i="64"/>
  <c r="AH137" i="64"/>
  <c r="AI137" i="64"/>
  <c r="B138" i="64"/>
  <c r="C138" i="64"/>
  <c r="D138" i="64"/>
  <c r="E138" i="64"/>
  <c r="F138" i="64"/>
  <c r="G138" i="64"/>
  <c r="H138" i="64"/>
  <c r="I138" i="64"/>
  <c r="J138" i="64"/>
  <c r="K138" i="64"/>
  <c r="L138" i="64"/>
  <c r="M138" i="64"/>
  <c r="N138" i="64"/>
  <c r="O138" i="64"/>
  <c r="P138" i="64"/>
  <c r="Q138" i="64"/>
  <c r="R138" i="64"/>
  <c r="S138" i="64"/>
  <c r="T138" i="64"/>
  <c r="U138" i="64"/>
  <c r="V138" i="64"/>
  <c r="W138" i="64"/>
  <c r="X138" i="64"/>
  <c r="Y138" i="64"/>
  <c r="Z138" i="64"/>
  <c r="AA138" i="64"/>
  <c r="AB138" i="64"/>
  <c r="AC138" i="64"/>
  <c r="AD138" i="64"/>
  <c r="AE138" i="64"/>
  <c r="AF138" i="64"/>
  <c r="AG138" i="64"/>
  <c r="AH138" i="64"/>
  <c r="AI138" i="64"/>
  <c r="B139" i="64"/>
  <c r="C139" i="64"/>
  <c r="D139" i="64"/>
  <c r="E139" i="64"/>
  <c r="F139" i="64"/>
  <c r="G139" i="64"/>
  <c r="H139" i="64"/>
  <c r="I139" i="64"/>
  <c r="J139" i="64"/>
  <c r="K139" i="64"/>
  <c r="L139" i="64"/>
  <c r="M139" i="64"/>
  <c r="N139" i="64"/>
  <c r="O139" i="64"/>
  <c r="P139" i="64"/>
  <c r="Q139" i="64"/>
  <c r="R139" i="64"/>
  <c r="S139" i="64"/>
  <c r="T139" i="64"/>
  <c r="U139" i="64"/>
  <c r="V139" i="64"/>
  <c r="W139" i="64"/>
  <c r="X139" i="64"/>
  <c r="Y139" i="64"/>
  <c r="Z139" i="64"/>
  <c r="AA139" i="64"/>
  <c r="AB139" i="64"/>
  <c r="AC139" i="64"/>
  <c r="AD139" i="64"/>
  <c r="AE139" i="64"/>
  <c r="AF139" i="64"/>
  <c r="AG139" i="64"/>
  <c r="AH139" i="64"/>
  <c r="AI139" i="64"/>
  <c r="B140" i="64"/>
  <c r="C140" i="64"/>
  <c r="D140" i="64"/>
  <c r="E140" i="64"/>
  <c r="F140" i="64"/>
  <c r="G140" i="64"/>
  <c r="H140" i="64"/>
  <c r="I140" i="64"/>
  <c r="J140" i="64"/>
  <c r="K140" i="64"/>
  <c r="L140" i="64"/>
  <c r="M140" i="64"/>
  <c r="N140" i="64"/>
  <c r="O140" i="64"/>
  <c r="P140" i="64"/>
  <c r="Q140" i="64"/>
  <c r="R140" i="64"/>
  <c r="S140" i="64"/>
  <c r="T140" i="64"/>
  <c r="U140" i="64"/>
  <c r="V140" i="64"/>
  <c r="W140" i="64"/>
  <c r="X140" i="64"/>
  <c r="Y140" i="64"/>
  <c r="Z140" i="64"/>
  <c r="AA140" i="64"/>
  <c r="AB140" i="64"/>
  <c r="AC140" i="64"/>
  <c r="AD140" i="64"/>
  <c r="AE140" i="64"/>
  <c r="AF140" i="64"/>
  <c r="AG140" i="64"/>
  <c r="AH140" i="64"/>
  <c r="AI140" i="64"/>
  <c r="B141" i="64"/>
  <c r="C141" i="64"/>
  <c r="D141" i="64"/>
  <c r="E141" i="64"/>
  <c r="F141" i="64"/>
  <c r="G141" i="64"/>
  <c r="H141" i="64"/>
  <c r="I141" i="64"/>
  <c r="J141" i="64"/>
  <c r="K141" i="64"/>
  <c r="L141" i="64"/>
  <c r="M141" i="64"/>
  <c r="N141" i="64"/>
  <c r="O141" i="64"/>
  <c r="P141" i="64"/>
  <c r="Q141" i="64"/>
  <c r="R141" i="64"/>
  <c r="S141" i="64"/>
  <c r="T141" i="64"/>
  <c r="U141" i="64"/>
  <c r="V141" i="64"/>
  <c r="W141" i="64"/>
  <c r="X141" i="64"/>
  <c r="Y141" i="64"/>
  <c r="Z141" i="64"/>
  <c r="AA141" i="64"/>
  <c r="AB141" i="64"/>
  <c r="AC141" i="64"/>
  <c r="AD141" i="64"/>
  <c r="AE141" i="64"/>
  <c r="AF141" i="64"/>
  <c r="AG141" i="64"/>
  <c r="AH141" i="64"/>
  <c r="AI141" i="64"/>
  <c r="B142" i="64"/>
  <c r="C142" i="64"/>
  <c r="D142" i="64"/>
  <c r="E142" i="64"/>
  <c r="F142" i="64"/>
  <c r="G142" i="64"/>
  <c r="H142" i="64"/>
  <c r="I142" i="64"/>
  <c r="J142" i="64"/>
  <c r="K142" i="64"/>
  <c r="L142" i="64"/>
  <c r="M142" i="64"/>
  <c r="N142" i="64"/>
  <c r="O142" i="64"/>
  <c r="P142" i="64"/>
  <c r="Q142" i="64"/>
  <c r="R142" i="64"/>
  <c r="S142" i="64"/>
  <c r="T142" i="64"/>
  <c r="U142" i="64"/>
  <c r="V142" i="64"/>
  <c r="W142" i="64"/>
  <c r="X142" i="64"/>
  <c r="Y142" i="64"/>
  <c r="Z142" i="64"/>
  <c r="AA142" i="64"/>
  <c r="AB142" i="64"/>
  <c r="AC142" i="64"/>
  <c r="AD142" i="64"/>
  <c r="AE142" i="64"/>
  <c r="AF142" i="64"/>
  <c r="AG142" i="64"/>
  <c r="AH142" i="64"/>
  <c r="AI142" i="64"/>
  <c r="B143" i="64"/>
  <c r="C143" i="64"/>
  <c r="D143" i="64"/>
  <c r="E143" i="64"/>
  <c r="F143" i="64"/>
  <c r="G143" i="64"/>
  <c r="H143" i="64"/>
  <c r="I143" i="64"/>
  <c r="J143" i="64"/>
  <c r="K143" i="64"/>
  <c r="L143" i="64"/>
  <c r="M143" i="64"/>
  <c r="N143" i="64"/>
  <c r="O143" i="64"/>
  <c r="P143" i="64"/>
  <c r="Q143" i="64"/>
  <c r="R143" i="64"/>
  <c r="S143" i="64"/>
  <c r="T143" i="64"/>
  <c r="U143" i="64"/>
  <c r="V143" i="64"/>
  <c r="W143" i="64"/>
  <c r="X143" i="64"/>
  <c r="Y143" i="64"/>
  <c r="Z143" i="64"/>
  <c r="AA143" i="64"/>
  <c r="AB143" i="64"/>
  <c r="AC143" i="64"/>
  <c r="AD143" i="64"/>
  <c r="AE143" i="64"/>
  <c r="AF143" i="64"/>
  <c r="AG143" i="64"/>
  <c r="AH143" i="64"/>
  <c r="AI143" i="64"/>
  <c r="B144" i="64"/>
  <c r="C144" i="64"/>
  <c r="D144" i="64"/>
  <c r="E144" i="64"/>
  <c r="F144" i="64"/>
  <c r="G144" i="64"/>
  <c r="H144" i="64"/>
  <c r="I144" i="64"/>
  <c r="J144" i="64"/>
  <c r="K144" i="64"/>
  <c r="L144" i="64"/>
  <c r="M144" i="64"/>
  <c r="N144" i="64"/>
  <c r="O144" i="64"/>
  <c r="P144" i="64"/>
  <c r="Q144" i="64"/>
  <c r="R144" i="64"/>
  <c r="S144" i="64"/>
  <c r="T144" i="64"/>
  <c r="U144" i="64"/>
  <c r="V144" i="64"/>
  <c r="W144" i="64"/>
  <c r="X144" i="64"/>
  <c r="Y144" i="64"/>
  <c r="Z144" i="64"/>
  <c r="AA144" i="64"/>
  <c r="AB144" i="64"/>
  <c r="AC144" i="64"/>
  <c r="AD144" i="64"/>
  <c r="AE144" i="64"/>
  <c r="AF144" i="64"/>
  <c r="AG144" i="64"/>
  <c r="AH144" i="64"/>
  <c r="AI144" i="64"/>
  <c r="B145" i="64"/>
  <c r="C145" i="64"/>
  <c r="D145" i="64"/>
  <c r="E145" i="64"/>
  <c r="F145" i="64"/>
  <c r="G145" i="64"/>
  <c r="H145" i="64"/>
  <c r="I145" i="64"/>
  <c r="J145" i="64"/>
  <c r="K145" i="64"/>
  <c r="L145" i="64"/>
  <c r="M145" i="64"/>
  <c r="N145" i="64"/>
  <c r="O145" i="64"/>
  <c r="P145" i="64"/>
  <c r="Q145" i="64"/>
  <c r="R145" i="64"/>
  <c r="S145" i="64"/>
  <c r="T145" i="64"/>
  <c r="U145" i="64"/>
  <c r="V145" i="64"/>
  <c r="W145" i="64"/>
  <c r="X145" i="64"/>
  <c r="Y145" i="64"/>
  <c r="Z145" i="64"/>
  <c r="AA145" i="64"/>
  <c r="AB145" i="64"/>
  <c r="AC145" i="64"/>
  <c r="AD145" i="64"/>
  <c r="AE145" i="64"/>
  <c r="AF145" i="64"/>
  <c r="AG145" i="64"/>
  <c r="AH145" i="64"/>
  <c r="AI145" i="64"/>
  <c r="B146" i="64"/>
  <c r="C146" i="64"/>
  <c r="D146" i="64"/>
  <c r="E146" i="64"/>
  <c r="F146" i="64"/>
  <c r="G146" i="64"/>
  <c r="H146" i="64"/>
  <c r="I146" i="64"/>
  <c r="J146" i="64"/>
  <c r="K146" i="64"/>
  <c r="L146" i="64"/>
  <c r="M146" i="64"/>
  <c r="N146" i="64"/>
  <c r="O146" i="64"/>
  <c r="P146" i="64"/>
  <c r="Q146" i="64"/>
  <c r="R146" i="64"/>
  <c r="S146" i="64"/>
  <c r="T146" i="64"/>
  <c r="U146" i="64"/>
  <c r="V146" i="64"/>
  <c r="W146" i="64"/>
  <c r="X146" i="64"/>
  <c r="Y146" i="64"/>
  <c r="Z146" i="64"/>
  <c r="AA146" i="64"/>
  <c r="AB146" i="64"/>
  <c r="AC146" i="64"/>
  <c r="AD146" i="64"/>
  <c r="AE146" i="64"/>
  <c r="AF146" i="64"/>
  <c r="AG146" i="64"/>
  <c r="AH146" i="64"/>
  <c r="AI146" i="64"/>
  <c r="B147" i="64"/>
  <c r="C147" i="64"/>
  <c r="D147" i="64"/>
  <c r="E147" i="64"/>
  <c r="F147" i="64"/>
  <c r="G147" i="64"/>
  <c r="H147" i="64"/>
  <c r="I147" i="64"/>
  <c r="J147" i="64"/>
  <c r="K147" i="64"/>
  <c r="L147" i="64"/>
  <c r="M147" i="64"/>
  <c r="N147" i="64"/>
  <c r="O147" i="64"/>
  <c r="P147" i="64"/>
  <c r="Q147" i="64"/>
  <c r="R147" i="64"/>
  <c r="S147" i="64"/>
  <c r="T147" i="64"/>
  <c r="U147" i="64"/>
  <c r="V147" i="64"/>
  <c r="W147" i="64"/>
  <c r="X147" i="64"/>
  <c r="Y147" i="64"/>
  <c r="Z147" i="64"/>
  <c r="AA147" i="64"/>
  <c r="AB147" i="64"/>
  <c r="AC147" i="64"/>
  <c r="AD147" i="64"/>
  <c r="AE147" i="64"/>
  <c r="AF147" i="64"/>
  <c r="AG147" i="64"/>
  <c r="AH147" i="64"/>
  <c r="AI147" i="64"/>
  <c r="B148" i="64"/>
  <c r="C148" i="64"/>
  <c r="D148" i="64"/>
  <c r="E148" i="64"/>
  <c r="F148" i="64"/>
  <c r="G148" i="64"/>
  <c r="H148" i="64"/>
  <c r="I148" i="64"/>
  <c r="J148" i="64"/>
  <c r="K148" i="64"/>
  <c r="L148" i="64"/>
  <c r="M148" i="64"/>
  <c r="N148" i="64"/>
  <c r="O148" i="64"/>
  <c r="P148" i="64"/>
  <c r="Q148" i="64"/>
  <c r="R148" i="64"/>
  <c r="S148" i="64"/>
  <c r="T148" i="64"/>
  <c r="U148" i="64"/>
  <c r="V148" i="64"/>
  <c r="W148" i="64"/>
  <c r="X148" i="64"/>
  <c r="Y148" i="64"/>
  <c r="Z148" i="64"/>
  <c r="AA148" i="64"/>
  <c r="AB148" i="64"/>
  <c r="AC148" i="64"/>
  <c r="AD148" i="64"/>
  <c r="AE148" i="64"/>
  <c r="AF148" i="64"/>
  <c r="AG148" i="64"/>
  <c r="AH148" i="64"/>
  <c r="AI148" i="64"/>
  <c r="B149" i="64"/>
  <c r="C149" i="64"/>
  <c r="D149" i="64"/>
  <c r="E149" i="64"/>
  <c r="F149" i="64"/>
  <c r="G149" i="64"/>
  <c r="H149" i="64"/>
  <c r="I149" i="64"/>
  <c r="J149" i="64"/>
  <c r="K149" i="64"/>
  <c r="L149" i="64"/>
  <c r="M149" i="64"/>
  <c r="N149" i="64"/>
  <c r="O149" i="64"/>
  <c r="P149" i="64"/>
  <c r="Q149" i="64"/>
  <c r="R149" i="64"/>
  <c r="S149" i="64"/>
  <c r="T149" i="64"/>
  <c r="U149" i="64"/>
  <c r="V149" i="64"/>
  <c r="W149" i="64"/>
  <c r="X149" i="64"/>
  <c r="Y149" i="64"/>
  <c r="Z149" i="64"/>
  <c r="AA149" i="64"/>
  <c r="AB149" i="64"/>
  <c r="AC149" i="64"/>
  <c r="AD149" i="64"/>
  <c r="AE149" i="64"/>
  <c r="AF149" i="64"/>
  <c r="AG149" i="64"/>
  <c r="AH149" i="64"/>
  <c r="AI149" i="64"/>
  <c r="B150" i="64"/>
  <c r="C150" i="64"/>
  <c r="D150" i="64"/>
  <c r="E150" i="64"/>
  <c r="F150" i="64"/>
  <c r="G150" i="64"/>
  <c r="H150" i="64"/>
  <c r="I150" i="64"/>
  <c r="J150" i="64"/>
  <c r="K150" i="64"/>
  <c r="L150" i="64"/>
  <c r="M150" i="64"/>
  <c r="N150" i="64"/>
  <c r="O150" i="64"/>
  <c r="P150" i="64"/>
  <c r="Q150" i="64"/>
  <c r="R150" i="64"/>
  <c r="S150" i="64"/>
  <c r="T150" i="64"/>
  <c r="U150" i="64"/>
  <c r="V150" i="64"/>
  <c r="W150" i="64"/>
  <c r="X150" i="64"/>
  <c r="Y150" i="64"/>
  <c r="Z150" i="64"/>
  <c r="AA150" i="64"/>
  <c r="AB150" i="64"/>
  <c r="AC150" i="64"/>
  <c r="AD150" i="64"/>
  <c r="AE150" i="64"/>
  <c r="AF150" i="64"/>
  <c r="AG150" i="64"/>
  <c r="AH150" i="64"/>
  <c r="AI150" i="64"/>
  <c r="B151" i="64"/>
  <c r="C151" i="64"/>
  <c r="D151" i="64"/>
  <c r="E151" i="64"/>
  <c r="F151" i="64"/>
  <c r="G151" i="64"/>
  <c r="H151" i="64"/>
  <c r="I151" i="64"/>
  <c r="J151" i="64"/>
  <c r="K151" i="64"/>
  <c r="L151" i="64"/>
  <c r="M151" i="64"/>
  <c r="N151" i="64"/>
  <c r="O151" i="64"/>
  <c r="P151" i="64"/>
  <c r="Q151" i="64"/>
  <c r="R151" i="64"/>
  <c r="S151" i="64"/>
  <c r="T151" i="64"/>
  <c r="U151" i="64"/>
  <c r="V151" i="64"/>
  <c r="W151" i="64"/>
  <c r="X151" i="64"/>
  <c r="Y151" i="64"/>
  <c r="Z151" i="64"/>
  <c r="AA151" i="64"/>
  <c r="AB151" i="64"/>
  <c r="AC151" i="64"/>
  <c r="AD151" i="64"/>
  <c r="AE151" i="64"/>
  <c r="AF151" i="64"/>
  <c r="AG151" i="64"/>
  <c r="AH151" i="64"/>
  <c r="AI151" i="64"/>
  <c r="B152" i="64"/>
  <c r="C152" i="64"/>
  <c r="D152" i="64"/>
  <c r="E152" i="64"/>
  <c r="F152" i="64"/>
  <c r="G152" i="64"/>
  <c r="H152" i="64"/>
  <c r="I152" i="64"/>
  <c r="J152" i="64"/>
  <c r="K152" i="64"/>
  <c r="L152" i="64"/>
  <c r="M152" i="64"/>
  <c r="N152" i="64"/>
  <c r="O152" i="64"/>
  <c r="P152" i="64"/>
  <c r="Q152" i="64"/>
  <c r="R152" i="64"/>
  <c r="S152" i="64"/>
  <c r="T152" i="64"/>
  <c r="U152" i="64"/>
  <c r="V152" i="64"/>
  <c r="W152" i="64"/>
  <c r="X152" i="64"/>
  <c r="Y152" i="64"/>
  <c r="Z152" i="64"/>
  <c r="AA152" i="64"/>
  <c r="AB152" i="64"/>
  <c r="AC152" i="64"/>
  <c r="AD152" i="64"/>
  <c r="AE152" i="64"/>
  <c r="AF152" i="64"/>
  <c r="AG152" i="64"/>
  <c r="AH152" i="64"/>
  <c r="AI152" i="64"/>
  <c r="D3" i="63"/>
  <c r="D4" i="63"/>
  <c r="D5" i="63"/>
  <c r="D2" i="64" s="1"/>
  <c r="D6" i="63"/>
  <c r="E2" i="64" s="1"/>
  <c r="D7" i="63"/>
  <c r="D8" i="63"/>
  <c r="D9" i="63"/>
  <c r="H2" i="64" s="1"/>
  <c r="D10" i="63"/>
  <c r="I2" i="64" s="1"/>
  <c r="D11" i="63"/>
  <c r="D12" i="63"/>
  <c r="D13" i="63"/>
  <c r="L2" i="64" s="1"/>
  <c r="D14" i="63"/>
  <c r="M2" i="64" s="1"/>
  <c r="D15" i="63"/>
  <c r="D16" i="63"/>
  <c r="D17" i="63"/>
  <c r="P2" i="64" s="1"/>
  <c r="D18" i="63"/>
  <c r="Q2" i="64" s="1"/>
  <c r="D19" i="63"/>
  <c r="D20" i="63"/>
  <c r="D21" i="63"/>
  <c r="T2" i="64" s="1"/>
  <c r="D22" i="63"/>
  <c r="U2" i="64" s="1"/>
  <c r="D23" i="63"/>
  <c r="D24" i="63"/>
  <c r="D25" i="63"/>
  <c r="X2" i="64" s="1"/>
  <c r="D26" i="63"/>
  <c r="Y2" i="64" s="1"/>
  <c r="D27" i="63"/>
  <c r="D28" i="63"/>
  <c r="D29" i="63"/>
  <c r="AB2" i="64" s="1"/>
  <c r="D30" i="63"/>
  <c r="AC2" i="64" s="1"/>
  <c r="D31" i="63"/>
  <c r="D32" i="63"/>
  <c r="D33" i="63"/>
  <c r="AF2" i="64" s="1"/>
  <c r="D34" i="63"/>
  <c r="AG2" i="64" s="1"/>
  <c r="D35" i="63"/>
  <c r="D36" i="63"/>
  <c r="D2" i="63"/>
  <c r="C2" i="64"/>
  <c r="F2" i="64"/>
  <c r="G2" i="64"/>
  <c r="J2" i="64"/>
  <c r="K2" i="64"/>
  <c r="N2" i="64"/>
  <c r="O2" i="64"/>
  <c r="R2" i="64"/>
  <c r="S2" i="64"/>
  <c r="V2" i="64"/>
  <c r="W2" i="64"/>
  <c r="Z2" i="64"/>
  <c r="AA2" i="64"/>
  <c r="AD2" i="64"/>
  <c r="AE2" i="64"/>
  <c r="AH2" i="64"/>
  <c r="AI2" i="64"/>
  <c r="B2" i="64"/>
  <c r="C11" i="63"/>
  <c r="O13" i="43" l="1"/>
  <c r="O17" i="43"/>
  <c r="O64" i="43"/>
  <c r="O57" i="43"/>
  <c r="O54" i="43"/>
  <c r="O52" i="43"/>
  <c r="O50" i="43"/>
  <c r="O47" i="43"/>
  <c r="O44" i="43"/>
  <c r="O36" i="43"/>
  <c r="O32" i="43"/>
  <c r="V32" i="43" s="1"/>
  <c r="O26" i="43"/>
  <c r="O24" i="43"/>
  <c r="O253" i="43"/>
  <c r="O19" i="43"/>
  <c r="O15" i="43"/>
  <c r="O61" i="43"/>
  <c r="V61" i="43" s="1"/>
  <c r="O55" i="43"/>
  <c r="O49" i="43"/>
  <c r="O41" i="43"/>
  <c r="O31" i="43"/>
  <c r="O22" i="43"/>
  <c r="O313" i="43"/>
  <c r="O12" i="43"/>
  <c r="V12" i="43" s="1"/>
  <c r="O303" i="43"/>
  <c r="O299" i="43"/>
  <c r="O295" i="43"/>
  <c r="O292" i="43"/>
  <c r="O289" i="43"/>
  <c r="V289" i="43" s="1"/>
  <c r="O286" i="43"/>
  <c r="O280" i="43"/>
  <c r="O278" i="43"/>
  <c r="O275" i="43"/>
  <c r="O273" i="43"/>
  <c r="O270" i="43"/>
  <c r="O262" i="43"/>
  <c r="V262" i="43" s="1"/>
  <c r="O260" i="43"/>
  <c r="O252" i="43"/>
  <c r="V252" i="43" s="1"/>
  <c r="O249" i="43"/>
  <c r="O247" i="43"/>
  <c r="O245" i="43"/>
  <c r="O266" i="43"/>
  <c r="O101" i="43"/>
  <c r="O239" i="43"/>
  <c r="O237" i="43"/>
  <c r="O235" i="43"/>
  <c r="O233" i="43"/>
  <c r="O230" i="43"/>
  <c r="O225" i="43"/>
  <c r="O218" i="43"/>
  <c r="O214" i="43"/>
  <c r="O212" i="43"/>
  <c r="O208" i="43"/>
  <c r="O203" i="43"/>
  <c r="O201" i="43"/>
  <c r="O197" i="43"/>
  <c r="O192" i="43"/>
  <c r="O186" i="43"/>
  <c r="O182" i="43"/>
  <c r="O171" i="43"/>
  <c r="V171" i="43" s="1"/>
  <c r="O166" i="43"/>
  <c r="V166" i="43" s="1"/>
  <c r="O162" i="43"/>
  <c r="O159" i="43"/>
  <c r="O157" i="43"/>
  <c r="V157" i="43" s="1"/>
  <c r="O153" i="43"/>
  <c r="O150" i="43"/>
  <c r="O143" i="43"/>
  <c r="O138" i="43"/>
  <c r="O128" i="43"/>
  <c r="O127" i="43"/>
  <c r="O125" i="43"/>
  <c r="O123" i="43"/>
  <c r="O117" i="43"/>
  <c r="O115" i="43"/>
  <c r="O113" i="43"/>
  <c r="O111" i="43"/>
  <c r="O104" i="43"/>
  <c r="O119" i="43"/>
  <c r="O8" i="43"/>
  <c r="O183" i="43"/>
  <c r="O168" i="43"/>
  <c r="O108" i="43"/>
  <c r="O91" i="43"/>
  <c r="O105" i="43"/>
  <c r="O102" i="43"/>
  <c r="O99" i="43"/>
  <c r="O94" i="43"/>
  <c r="O84" i="43"/>
  <c r="O137" i="43"/>
  <c r="O172" i="43"/>
  <c r="O161" i="43"/>
  <c r="O77" i="43"/>
  <c r="V77" i="43" s="1"/>
  <c r="O75" i="43"/>
  <c r="O72" i="43"/>
  <c r="O267" i="43"/>
  <c r="O69" i="43"/>
  <c r="O311" i="43"/>
  <c r="O306" i="43"/>
  <c r="V306" i="43" s="1"/>
  <c r="O296" i="43"/>
  <c r="O293" i="43"/>
  <c r="O291" i="43"/>
  <c r="O288" i="43"/>
  <c r="O285" i="43"/>
  <c r="O279" i="43"/>
  <c r="O277" i="43"/>
  <c r="O274" i="43"/>
  <c r="O271" i="43"/>
  <c r="V271" i="43" s="1"/>
  <c r="O268" i="43"/>
  <c r="O261" i="43"/>
  <c r="O254" i="43"/>
  <c r="O251" i="43"/>
  <c r="O248" i="43"/>
  <c r="O246" i="43"/>
  <c r="O264" i="43"/>
  <c r="O263" i="43"/>
  <c r="O241" i="43"/>
  <c r="O238" i="43"/>
  <c r="O236" i="43"/>
  <c r="V236" i="43" s="1"/>
  <c r="O234" i="43"/>
  <c r="O232" i="43"/>
  <c r="V232" i="43" s="1"/>
  <c r="O228" i="43"/>
  <c r="V228" i="43" s="1"/>
  <c r="O312" i="43"/>
  <c r="O219" i="43"/>
  <c r="O210" i="43"/>
  <c r="O209" i="43"/>
  <c r="O206" i="43"/>
  <c r="O204" i="43"/>
  <c r="V204" i="43" s="1"/>
  <c r="O199" i="43"/>
  <c r="O195" i="43"/>
  <c r="O188" i="43"/>
  <c r="O185" i="43"/>
  <c r="O177" i="43"/>
  <c r="O170" i="43"/>
  <c r="O164" i="43"/>
  <c r="O160" i="43"/>
  <c r="O158" i="43"/>
  <c r="O155" i="43"/>
  <c r="O147" i="43"/>
  <c r="O144" i="43"/>
  <c r="O139" i="43"/>
  <c r="O134" i="43"/>
  <c r="O130" i="43"/>
  <c r="O126" i="43"/>
  <c r="O124" i="43"/>
  <c r="V124" i="43" s="1"/>
  <c r="O118" i="43"/>
  <c r="O116" i="43"/>
  <c r="O114" i="43"/>
  <c r="O109" i="43"/>
  <c r="O110" i="43"/>
  <c r="O120" i="43"/>
  <c r="O89" i="43"/>
  <c r="O287" i="43"/>
  <c r="O169" i="43"/>
  <c r="O314" i="43"/>
  <c r="O107" i="43"/>
  <c r="O106" i="43"/>
  <c r="O103" i="43"/>
  <c r="O100" i="43"/>
  <c r="O95" i="43"/>
  <c r="O93" i="43"/>
  <c r="O79" i="43"/>
  <c r="O78" i="43"/>
  <c r="V78" i="43" s="1"/>
  <c r="O74" i="43"/>
  <c r="O70" i="43"/>
  <c r="O85" i="43"/>
  <c r="O184" i="43"/>
  <c r="O76" i="43"/>
  <c r="O71" i="43"/>
  <c r="O68" i="43"/>
  <c r="V68" i="43" s="1"/>
  <c r="O56" i="43"/>
  <c r="O51" i="43"/>
  <c r="O45" i="43"/>
  <c r="O37" i="43"/>
  <c r="O25" i="43"/>
  <c r="O21" i="43"/>
  <c r="O14" i="43"/>
  <c r="AJ2" i="65"/>
  <c r="AK2" i="65" s="1"/>
  <c r="O4" i="43" s="1"/>
  <c r="AJ151" i="64"/>
  <c r="AK151" i="64" s="1"/>
  <c r="H285" i="43" s="1"/>
  <c r="V285" i="43" s="1"/>
  <c r="AJ149" i="64"/>
  <c r="AK149" i="64" s="1"/>
  <c r="H279" i="43" s="1"/>
  <c r="V279" i="43" s="1"/>
  <c r="AJ147" i="64"/>
  <c r="AK147" i="64" s="1"/>
  <c r="H277" i="43" s="1"/>
  <c r="V277" i="43" s="1"/>
  <c r="AJ145" i="64"/>
  <c r="AK145" i="64" s="1"/>
  <c r="H274" i="43" s="1"/>
  <c r="V274" i="43" s="1"/>
  <c r="AJ143" i="64"/>
  <c r="AK143" i="64" s="1"/>
  <c r="H270" i="43" s="1"/>
  <c r="V270" i="43" s="1"/>
  <c r="AJ141" i="64"/>
  <c r="AK141" i="64" s="1"/>
  <c r="H261" i="43" s="1"/>
  <c r="V261" i="43" s="1"/>
  <c r="AJ139" i="64"/>
  <c r="AK139" i="64" s="1"/>
  <c r="H254" i="43" s="1"/>
  <c r="V254" i="43" s="1"/>
  <c r="AJ137" i="64"/>
  <c r="AK137" i="64" s="1"/>
  <c r="H249" i="43" s="1"/>
  <c r="V249" i="43" s="1"/>
  <c r="AJ135" i="64"/>
  <c r="AK135" i="64" s="1"/>
  <c r="H247" i="43" s="1"/>
  <c r="V247" i="43" s="1"/>
  <c r="AJ133" i="64"/>
  <c r="AK133" i="64" s="1"/>
  <c r="H245" i="43" s="1"/>
  <c r="V245" i="43" s="1"/>
  <c r="AJ131" i="64"/>
  <c r="AK131" i="64" s="1"/>
  <c r="H266" i="43" s="1"/>
  <c r="V266" i="43" s="1"/>
  <c r="AJ129" i="64"/>
  <c r="AK129" i="64" s="1"/>
  <c r="H101" i="43" s="1"/>
  <c r="V101" i="43" s="1"/>
  <c r="AJ127" i="64"/>
  <c r="AK127" i="64" s="1"/>
  <c r="H239" i="43" s="1"/>
  <c r="V239" i="43" s="1"/>
  <c r="AJ125" i="64"/>
  <c r="AK125" i="64" s="1"/>
  <c r="H237" i="43" s="1"/>
  <c r="V237" i="43" s="1"/>
  <c r="AJ123" i="64"/>
  <c r="AK123" i="64" s="1"/>
  <c r="H234" i="43" s="1"/>
  <c r="V234" i="43" s="1"/>
  <c r="AJ121" i="64"/>
  <c r="AK121" i="64" s="1"/>
  <c r="H230" i="43" s="1"/>
  <c r="V230" i="43" s="1"/>
  <c r="AJ119" i="64"/>
  <c r="AK119" i="64" s="1"/>
  <c r="H312" i="43" s="1"/>
  <c r="V312" i="43" s="1"/>
  <c r="AJ117" i="64"/>
  <c r="AK117" i="64" s="1"/>
  <c r="H219" i="43" s="1"/>
  <c r="V219" i="43" s="1"/>
  <c r="AJ115" i="64"/>
  <c r="AK115" i="64" s="1"/>
  <c r="H210" i="43" s="1"/>
  <c r="V210" i="43" s="1"/>
  <c r="AJ113" i="64"/>
  <c r="AK113" i="64" s="1"/>
  <c r="H209" i="43" s="1"/>
  <c r="V209" i="43" s="1"/>
  <c r="AJ111" i="64"/>
  <c r="AK111" i="64" s="1"/>
  <c r="H206" i="43" s="1"/>
  <c r="V206" i="43" s="1"/>
  <c r="AJ109" i="64"/>
  <c r="AK109" i="64" s="1"/>
  <c r="H201" i="43" s="1"/>
  <c r="V201" i="43" s="1"/>
  <c r="AJ107" i="64"/>
  <c r="AK107" i="64" s="1"/>
  <c r="H197" i="43" s="1"/>
  <c r="V197" i="43" s="1"/>
  <c r="AJ105" i="64"/>
  <c r="AK105" i="64" s="1"/>
  <c r="H192" i="43" s="1"/>
  <c r="V192" i="43" s="1"/>
  <c r="AJ103" i="64"/>
  <c r="AK103" i="64" s="1"/>
  <c r="H186" i="43" s="1"/>
  <c r="V186" i="43" s="1"/>
  <c r="AJ101" i="64"/>
  <c r="AK101" i="64" s="1"/>
  <c r="H182" i="43" s="1"/>
  <c r="V182" i="43" s="1"/>
  <c r="AJ99" i="64"/>
  <c r="AK99" i="64" s="1"/>
  <c r="H170" i="43" s="1"/>
  <c r="AJ97" i="64"/>
  <c r="AK97" i="64" s="1"/>
  <c r="H162" i="43" s="1"/>
  <c r="V162" i="43" s="1"/>
  <c r="AJ95" i="64"/>
  <c r="AK95" i="64" s="1"/>
  <c r="H159" i="43" s="1"/>
  <c r="V159" i="43" s="1"/>
  <c r="AJ93" i="64"/>
  <c r="AK93" i="64" s="1"/>
  <c r="H155" i="43" s="1"/>
  <c r="AJ91" i="64"/>
  <c r="AK91" i="64" s="1"/>
  <c r="H147" i="43" s="1"/>
  <c r="V147" i="43" s="1"/>
  <c r="AJ89" i="64"/>
  <c r="AK89" i="64" s="1"/>
  <c r="H144" i="43" s="1"/>
  <c r="AJ87" i="64"/>
  <c r="AK87" i="64" s="1"/>
  <c r="H139" i="43" s="1"/>
  <c r="AJ85" i="64"/>
  <c r="AK85" i="64" s="1"/>
  <c r="H134" i="43" s="1"/>
  <c r="AJ83" i="64"/>
  <c r="AK83" i="64" s="1"/>
  <c r="H130" i="43" s="1"/>
  <c r="V130" i="43" s="1"/>
  <c r="AJ81" i="64"/>
  <c r="AK81" i="64" s="1"/>
  <c r="H126" i="43" s="1"/>
  <c r="AJ79" i="64"/>
  <c r="AK79" i="64" s="1"/>
  <c r="H123" i="43" s="1"/>
  <c r="V123" i="43" s="1"/>
  <c r="AJ77" i="64"/>
  <c r="AK77" i="64" s="1"/>
  <c r="H117" i="43" s="1"/>
  <c r="V117" i="43" s="1"/>
  <c r="AJ75" i="64"/>
  <c r="AK75" i="64" s="1"/>
  <c r="H115" i="43" s="1"/>
  <c r="V115" i="43" s="1"/>
  <c r="AJ73" i="64"/>
  <c r="AK73" i="64" s="1"/>
  <c r="H113" i="43" s="1"/>
  <c r="V113" i="43" s="1"/>
  <c r="AJ71" i="64"/>
  <c r="AK71" i="64" s="1"/>
  <c r="H111" i="43" s="1"/>
  <c r="V111" i="43" s="1"/>
  <c r="AJ69" i="64"/>
  <c r="AK69" i="64" s="1"/>
  <c r="H104" i="43" s="1"/>
  <c r="V104" i="43" s="1"/>
  <c r="AJ67" i="64"/>
  <c r="AK67" i="64" s="1"/>
  <c r="H119" i="43" s="1"/>
  <c r="V119" i="43" s="1"/>
  <c r="AJ65" i="64"/>
  <c r="AK65" i="64" s="1"/>
  <c r="H8" i="43" s="1"/>
  <c r="V8" i="43" s="1"/>
  <c r="AJ63" i="64"/>
  <c r="AK63" i="64" s="1"/>
  <c r="H183" i="43" s="1"/>
  <c r="V183" i="43" s="1"/>
  <c r="AJ61" i="64"/>
  <c r="AK61" i="64" s="1"/>
  <c r="H168" i="43" s="1"/>
  <c r="V168" i="43" s="1"/>
  <c r="AJ59" i="64"/>
  <c r="AK59" i="64" s="1"/>
  <c r="H108" i="43" s="1"/>
  <c r="V108" i="43" s="1"/>
  <c r="AJ57" i="64"/>
  <c r="AK57" i="64" s="1"/>
  <c r="H91" i="43" s="1"/>
  <c r="V91" i="43" s="1"/>
  <c r="AJ55" i="64"/>
  <c r="AK55" i="64" s="1"/>
  <c r="H105" i="43" s="1"/>
  <c r="V105" i="43" s="1"/>
  <c r="AJ53" i="64"/>
  <c r="AK53" i="64" s="1"/>
  <c r="H102" i="43" s="1"/>
  <c r="V102" i="43" s="1"/>
  <c r="AJ51" i="64"/>
  <c r="AK51" i="64" s="1"/>
  <c r="H99" i="43" s="1"/>
  <c r="V99" i="43" s="1"/>
  <c r="AJ49" i="64"/>
  <c r="AK49" i="64" s="1"/>
  <c r="H94" i="43" s="1"/>
  <c r="V94" i="43" s="1"/>
  <c r="AJ47" i="64"/>
  <c r="AK47" i="64" s="1"/>
  <c r="H93" i="43" s="1"/>
  <c r="AJ45" i="64"/>
  <c r="AK45" i="64" s="1"/>
  <c r="H85" i="43" s="1"/>
  <c r="AJ43" i="64"/>
  <c r="AK43" i="64" s="1"/>
  <c r="H79" i="43" s="1"/>
  <c r="AJ41" i="64"/>
  <c r="AK41" i="64" s="1"/>
  <c r="H184" i="43" s="1"/>
  <c r="AJ39" i="64"/>
  <c r="AK39" i="64" s="1"/>
  <c r="H76" i="43" s="1"/>
  <c r="AJ37" i="64"/>
  <c r="AK37" i="64" s="1"/>
  <c r="H74" i="43" s="1"/>
  <c r="V74" i="43" s="1"/>
  <c r="AJ35" i="64"/>
  <c r="AK35" i="64" s="1"/>
  <c r="H71" i="43" s="1"/>
  <c r="V71" i="43" s="1"/>
  <c r="AJ33" i="64"/>
  <c r="AK33" i="64" s="1"/>
  <c r="H70" i="43" s="1"/>
  <c r="AJ31" i="64"/>
  <c r="AK31" i="64" s="1"/>
  <c r="H64" i="43" s="1"/>
  <c r="V64" i="43" s="1"/>
  <c r="AJ29" i="64"/>
  <c r="AK29" i="64" s="1"/>
  <c r="H57" i="43" s="1"/>
  <c r="V57" i="43" s="1"/>
  <c r="AJ27" i="64"/>
  <c r="AK27" i="64" s="1"/>
  <c r="H54" i="43" s="1"/>
  <c r="V54" i="43" s="1"/>
  <c r="AJ25" i="64"/>
  <c r="AK25" i="64" s="1"/>
  <c r="H52" i="43" s="1"/>
  <c r="V52" i="43" s="1"/>
  <c r="AJ23" i="64"/>
  <c r="AK23" i="64" s="1"/>
  <c r="H50" i="43" s="1"/>
  <c r="V50" i="43" s="1"/>
  <c r="AJ21" i="64"/>
  <c r="AK21" i="64" s="1"/>
  <c r="H47" i="43" s="1"/>
  <c r="V47" i="43" s="1"/>
  <c r="AJ19" i="64"/>
  <c r="AK19" i="64" s="1"/>
  <c r="H44" i="43" s="1"/>
  <c r="V44" i="43" s="1"/>
  <c r="AJ17" i="64"/>
  <c r="AK17" i="64" s="1"/>
  <c r="H36" i="43" s="1"/>
  <c r="V36" i="43" s="1"/>
  <c r="AJ15" i="64"/>
  <c r="AK15" i="64" s="1"/>
  <c r="H31" i="43" s="1"/>
  <c r="V31" i="43" s="1"/>
  <c r="AJ13" i="64"/>
  <c r="AK13" i="64" s="1"/>
  <c r="H25" i="43" s="1"/>
  <c r="AJ11" i="64"/>
  <c r="AK11" i="64" s="1"/>
  <c r="H22" i="43" s="1"/>
  <c r="V22" i="43" s="1"/>
  <c r="AJ9" i="64"/>
  <c r="AK9" i="64" s="1"/>
  <c r="H21" i="43" s="1"/>
  <c r="AJ7" i="64"/>
  <c r="AK7" i="64" s="1"/>
  <c r="H313" i="43" s="1"/>
  <c r="V313" i="43" s="1"/>
  <c r="AJ5" i="64"/>
  <c r="AK5" i="64" s="1"/>
  <c r="H14" i="43" s="1"/>
  <c r="AJ161" i="64"/>
  <c r="AK161" i="64" s="1"/>
  <c r="H303" i="43" s="1"/>
  <c r="V303" i="43" s="1"/>
  <c r="AJ159" i="64"/>
  <c r="AK159" i="64" s="1"/>
  <c r="H299" i="43" s="1"/>
  <c r="V299" i="43" s="1"/>
  <c r="AJ157" i="64"/>
  <c r="AK157" i="64" s="1"/>
  <c r="H295" i="43" s="1"/>
  <c r="V295" i="43" s="1"/>
  <c r="AJ155" i="64"/>
  <c r="AK155" i="64" s="1"/>
  <c r="H292" i="43" s="1"/>
  <c r="V292" i="43" s="1"/>
  <c r="AJ153" i="64"/>
  <c r="AK153" i="64" s="1"/>
  <c r="H288" i="43" s="1"/>
  <c r="V288" i="43" s="1"/>
  <c r="AJ152" i="64"/>
  <c r="AK152" i="64" s="1"/>
  <c r="H286" i="43" s="1"/>
  <c r="V286" i="43" s="1"/>
  <c r="AJ150" i="64"/>
  <c r="AK150" i="64" s="1"/>
  <c r="H280" i="43" s="1"/>
  <c r="V280" i="43" s="1"/>
  <c r="AJ148" i="64"/>
  <c r="AK148" i="64" s="1"/>
  <c r="H278" i="43" s="1"/>
  <c r="V278" i="43" s="1"/>
  <c r="AJ146" i="64"/>
  <c r="AK146" i="64" s="1"/>
  <c r="H275" i="43" s="1"/>
  <c r="V275" i="43" s="1"/>
  <c r="AJ144" i="64"/>
  <c r="AK144" i="64" s="1"/>
  <c r="H273" i="43" s="1"/>
  <c r="V273" i="43" s="1"/>
  <c r="AJ142" i="64"/>
  <c r="AK142" i="64" s="1"/>
  <c r="H268" i="43" s="1"/>
  <c r="V268" i="43" s="1"/>
  <c r="AJ140" i="64"/>
  <c r="AK140" i="64" s="1"/>
  <c r="H260" i="43" s="1"/>
  <c r="V260" i="43" s="1"/>
  <c r="AJ138" i="64"/>
  <c r="AK138" i="64" s="1"/>
  <c r="H251" i="43" s="1"/>
  <c r="V251" i="43" s="1"/>
  <c r="AJ136" i="64"/>
  <c r="AK136" i="64" s="1"/>
  <c r="H248" i="43" s="1"/>
  <c r="V248" i="43" s="1"/>
  <c r="AJ134" i="64"/>
  <c r="AK134" i="64" s="1"/>
  <c r="H246" i="43" s="1"/>
  <c r="V246" i="43" s="1"/>
  <c r="AJ132" i="64"/>
  <c r="AK132" i="64" s="1"/>
  <c r="H264" i="43" s="1"/>
  <c r="V264" i="43" s="1"/>
  <c r="AJ130" i="64"/>
  <c r="AK130" i="64" s="1"/>
  <c r="H263" i="43" s="1"/>
  <c r="V263" i="43" s="1"/>
  <c r="AJ128" i="64"/>
  <c r="AK128" i="64" s="1"/>
  <c r="H241" i="43" s="1"/>
  <c r="V241" i="43" s="1"/>
  <c r="AJ126" i="64"/>
  <c r="AK126" i="64" s="1"/>
  <c r="H238" i="43" s="1"/>
  <c r="V238" i="43" s="1"/>
  <c r="AJ124" i="64"/>
  <c r="AK124" i="64" s="1"/>
  <c r="H235" i="43" s="1"/>
  <c r="V235" i="43" s="1"/>
  <c r="AJ122" i="64"/>
  <c r="AK122" i="64" s="1"/>
  <c r="H233" i="43" s="1"/>
  <c r="V233" i="43" s="1"/>
  <c r="AJ120" i="64"/>
  <c r="AK120" i="64" s="1"/>
  <c r="H225" i="43" s="1"/>
  <c r="V225" i="43" s="1"/>
  <c r="AJ118" i="64"/>
  <c r="AK118" i="64" s="1"/>
  <c r="H218" i="43" s="1"/>
  <c r="V218" i="43" s="1"/>
  <c r="AJ116" i="64"/>
  <c r="AK116" i="64" s="1"/>
  <c r="H214" i="43" s="1"/>
  <c r="V214" i="43" s="1"/>
  <c r="AJ114" i="64"/>
  <c r="AK114" i="64" s="1"/>
  <c r="H212" i="43" s="1"/>
  <c r="V212" i="43" s="1"/>
  <c r="AJ112" i="64"/>
  <c r="AK112" i="64" s="1"/>
  <c r="H208" i="43" s="1"/>
  <c r="V208" i="43" s="1"/>
  <c r="AJ110" i="64"/>
  <c r="AK110" i="64" s="1"/>
  <c r="H203" i="43" s="1"/>
  <c r="V203" i="43" s="1"/>
  <c r="AJ108" i="64"/>
  <c r="AK108" i="64" s="1"/>
  <c r="H199" i="43" s="1"/>
  <c r="V199" i="43" s="1"/>
  <c r="AJ106" i="64"/>
  <c r="AK106" i="64" s="1"/>
  <c r="H195" i="43" s="1"/>
  <c r="V195" i="43" s="1"/>
  <c r="AJ104" i="64"/>
  <c r="AK104" i="64" s="1"/>
  <c r="H188" i="43" s="1"/>
  <c r="V188" i="43" s="1"/>
  <c r="AJ102" i="64"/>
  <c r="AK102" i="64" s="1"/>
  <c r="H185" i="43" s="1"/>
  <c r="V185" i="43" s="1"/>
  <c r="AJ100" i="64"/>
  <c r="AK100" i="64" s="1"/>
  <c r="H177" i="43" s="1"/>
  <c r="V177" i="43" s="1"/>
  <c r="AJ98" i="64"/>
  <c r="AK98" i="64" s="1"/>
  <c r="H164" i="43" s="1"/>
  <c r="V164" i="43" s="1"/>
  <c r="AJ96" i="64"/>
  <c r="AK96" i="64" s="1"/>
  <c r="H160" i="43" s="1"/>
  <c r="AJ94" i="64"/>
  <c r="AK94" i="64" s="1"/>
  <c r="H158" i="43" s="1"/>
  <c r="V158" i="43" s="1"/>
  <c r="AJ92" i="64"/>
  <c r="AK92" i="64" s="1"/>
  <c r="H153" i="43" s="1"/>
  <c r="V153" i="43" s="1"/>
  <c r="AJ90" i="64"/>
  <c r="AK90" i="64" s="1"/>
  <c r="H150" i="43" s="1"/>
  <c r="V150" i="43" s="1"/>
  <c r="AJ88" i="64"/>
  <c r="AK88" i="64" s="1"/>
  <c r="H143" i="43" s="1"/>
  <c r="V143" i="43" s="1"/>
  <c r="AJ86" i="64"/>
  <c r="AK86" i="64" s="1"/>
  <c r="H138" i="43" s="1"/>
  <c r="V138" i="43" s="1"/>
  <c r="AJ84" i="64"/>
  <c r="AK84" i="64" s="1"/>
  <c r="H128" i="43" s="1"/>
  <c r="V128" i="43" s="1"/>
  <c r="AJ82" i="64"/>
  <c r="AK82" i="64" s="1"/>
  <c r="H127" i="43" s="1"/>
  <c r="V127" i="43" s="1"/>
  <c r="AJ80" i="64"/>
  <c r="AK80" i="64" s="1"/>
  <c r="H125" i="43" s="1"/>
  <c r="V125" i="43" s="1"/>
  <c r="AJ78" i="64"/>
  <c r="AK78" i="64" s="1"/>
  <c r="H118" i="43" s="1"/>
  <c r="AJ76" i="64"/>
  <c r="AK76" i="64" s="1"/>
  <c r="H116" i="43" s="1"/>
  <c r="V116" i="43" s="1"/>
  <c r="AJ74" i="64"/>
  <c r="AK74" i="64" s="1"/>
  <c r="H114" i="43" s="1"/>
  <c r="V114" i="43" s="1"/>
  <c r="AJ72" i="64"/>
  <c r="AK72" i="64" s="1"/>
  <c r="H109" i="43" s="1"/>
  <c r="AJ70" i="64"/>
  <c r="AK70" i="64" s="1"/>
  <c r="H110" i="43" s="1"/>
  <c r="AJ68" i="64"/>
  <c r="AK68" i="64" s="1"/>
  <c r="H120" i="43" s="1"/>
  <c r="V120" i="43" s="1"/>
  <c r="AJ66" i="64"/>
  <c r="AK66" i="64" s="1"/>
  <c r="H89" i="43" s="1"/>
  <c r="V89" i="43" s="1"/>
  <c r="AJ64" i="64"/>
  <c r="AK64" i="64" s="1"/>
  <c r="H287" i="43" s="1"/>
  <c r="AJ62" i="64"/>
  <c r="AK62" i="64" s="1"/>
  <c r="H169" i="43" s="1"/>
  <c r="AJ60" i="64"/>
  <c r="AK60" i="64" s="1"/>
  <c r="H314" i="43" s="1"/>
  <c r="V314" i="43" s="1"/>
  <c r="AJ58" i="64"/>
  <c r="AK58" i="64" s="1"/>
  <c r="H107" i="43" s="1"/>
  <c r="V107" i="43" s="1"/>
  <c r="AJ56" i="64"/>
  <c r="AK56" i="64" s="1"/>
  <c r="H106" i="43" s="1"/>
  <c r="AJ54" i="64"/>
  <c r="AK54" i="64" s="1"/>
  <c r="H103" i="43" s="1"/>
  <c r="AJ52" i="64"/>
  <c r="AK52" i="64" s="1"/>
  <c r="H100" i="43" s="1"/>
  <c r="V100" i="43" s="1"/>
  <c r="AJ50" i="64"/>
  <c r="AK50" i="64" s="1"/>
  <c r="H95" i="43" s="1"/>
  <c r="V95" i="43" s="1"/>
  <c r="AJ48" i="64"/>
  <c r="AK48" i="64" s="1"/>
  <c r="H92" i="43" s="1"/>
  <c r="V92" i="43" s="1"/>
  <c r="AJ46" i="64"/>
  <c r="AK46" i="64" s="1"/>
  <c r="H84" i="43" s="1"/>
  <c r="V84" i="43" s="1"/>
  <c r="AJ44" i="64"/>
  <c r="AK44" i="64" s="1"/>
  <c r="H137" i="43" s="1"/>
  <c r="V137" i="43" s="1"/>
  <c r="AJ42" i="64"/>
  <c r="AK42" i="64" s="1"/>
  <c r="H172" i="43" s="1"/>
  <c r="V172" i="43" s="1"/>
  <c r="AJ40" i="64"/>
  <c r="AK40" i="64" s="1"/>
  <c r="H161" i="43" s="1"/>
  <c r="V161" i="43" s="1"/>
  <c r="AJ38" i="64"/>
  <c r="AK38" i="64" s="1"/>
  <c r="H75" i="43" s="1"/>
  <c r="V75" i="43" s="1"/>
  <c r="AJ36" i="64"/>
  <c r="AK36" i="64" s="1"/>
  <c r="H72" i="43" s="1"/>
  <c r="V72" i="43" s="1"/>
  <c r="AJ34" i="64"/>
  <c r="AK34" i="64" s="1"/>
  <c r="H267" i="43" s="1"/>
  <c r="V267" i="43" s="1"/>
  <c r="AJ32" i="64"/>
  <c r="AK32" i="64" s="1"/>
  <c r="H69" i="43" s="1"/>
  <c r="V69" i="43" s="1"/>
  <c r="AJ30" i="64"/>
  <c r="AK30" i="64" s="1"/>
  <c r="H59" i="43" s="1"/>
  <c r="V59" i="43" s="1"/>
  <c r="AJ28" i="64"/>
  <c r="AK28" i="64" s="1"/>
  <c r="H56" i="43" s="1"/>
  <c r="V56" i="43" s="1"/>
  <c r="AJ26" i="64"/>
  <c r="AK26" i="64" s="1"/>
  <c r="H55" i="43" s="1"/>
  <c r="V55" i="43" s="1"/>
  <c r="AJ24" i="64"/>
  <c r="AK24" i="64" s="1"/>
  <c r="H51" i="43" s="1"/>
  <c r="AJ22" i="64"/>
  <c r="AK22" i="64" s="1"/>
  <c r="H49" i="43" s="1"/>
  <c r="V49" i="43" s="1"/>
  <c r="AJ20" i="64"/>
  <c r="AK20" i="64" s="1"/>
  <c r="H45" i="43" s="1"/>
  <c r="AJ18" i="64"/>
  <c r="AK18" i="64" s="1"/>
  <c r="H41" i="43" s="1"/>
  <c r="V41" i="43" s="1"/>
  <c r="AJ16" i="64"/>
  <c r="AK16" i="64" s="1"/>
  <c r="H37" i="43" s="1"/>
  <c r="V37" i="43" s="1"/>
  <c r="AJ14" i="64"/>
  <c r="AK14" i="64" s="1"/>
  <c r="H26" i="43" s="1"/>
  <c r="V26" i="43" s="1"/>
  <c r="AJ12" i="64"/>
  <c r="AK12" i="64" s="1"/>
  <c r="H24" i="43" s="1"/>
  <c r="V24" i="43" s="1"/>
  <c r="AJ10" i="64"/>
  <c r="AK10" i="64" s="1"/>
  <c r="H253" i="43" s="1"/>
  <c r="V253" i="43" s="1"/>
  <c r="AJ8" i="64"/>
  <c r="AK8" i="64" s="1"/>
  <c r="H19" i="43" s="1"/>
  <c r="V19" i="43" s="1"/>
  <c r="AJ6" i="64"/>
  <c r="AK6" i="64" s="1"/>
  <c r="H15" i="43" s="1"/>
  <c r="V15" i="43" s="1"/>
  <c r="AJ4" i="64"/>
  <c r="AK4" i="64" s="1"/>
  <c r="H13" i="43" s="1"/>
  <c r="V13" i="43" s="1"/>
  <c r="AJ162" i="64"/>
  <c r="AK162" i="64" s="1"/>
  <c r="H311" i="43" s="1"/>
  <c r="V311" i="43" s="1"/>
  <c r="AJ160" i="64"/>
  <c r="AK160" i="64" s="1"/>
  <c r="H302" i="43" s="1"/>
  <c r="V302" i="43" s="1"/>
  <c r="AJ158" i="64"/>
  <c r="AK158" i="64" s="1"/>
  <c r="H296" i="43" s="1"/>
  <c r="V296" i="43" s="1"/>
  <c r="AJ156" i="64"/>
  <c r="AK156" i="64" s="1"/>
  <c r="H293" i="43" s="1"/>
  <c r="V293" i="43" s="1"/>
  <c r="AJ154" i="64"/>
  <c r="AK154" i="64" s="1"/>
  <c r="H291" i="43" s="1"/>
  <c r="V291" i="43" s="1"/>
  <c r="AJ3" i="64"/>
  <c r="AK3" i="64" s="1"/>
  <c r="H17" i="43" s="1"/>
  <c r="V17" i="43" s="1"/>
  <c r="AJ2" i="64"/>
  <c r="AK2" i="64" s="1"/>
  <c r="H4" i="43" s="1"/>
  <c r="P280" i="43"/>
  <c r="V25" i="43" l="1"/>
  <c r="V170" i="43"/>
  <c r="V134" i="43"/>
  <c r="V155" i="43"/>
  <c r="V110" i="43"/>
  <c r="V118" i="43"/>
  <c r="V79" i="43"/>
  <c r="V85" i="43"/>
  <c r="V4" i="43"/>
  <c r="V103" i="43"/>
  <c r="V169" i="43"/>
  <c r="V45" i="43"/>
  <c r="V14" i="43"/>
  <c r="V76" i="43"/>
  <c r="V93" i="43"/>
  <c r="V139" i="43"/>
  <c r="V51" i="43"/>
  <c r="V106" i="43"/>
  <c r="V287" i="43"/>
  <c r="V109" i="43"/>
  <c r="V160" i="43"/>
  <c r="V21" i="43"/>
  <c r="V70" i="43"/>
  <c r="V184" i="43"/>
  <c r="V126" i="43"/>
  <c r="V144" i="43"/>
  <c r="D22" i="58"/>
  <c r="D23" i="58"/>
  <c r="D24" i="58"/>
  <c r="D25" i="58"/>
  <c r="D21" i="58"/>
  <c r="Z314" i="43"/>
  <c r="Z313" i="43"/>
  <c r="Z312" i="43"/>
  <c r="Z311" i="43"/>
  <c r="Z310" i="43"/>
  <c r="Z309" i="43"/>
  <c r="Z308" i="43"/>
  <c r="Z307" i="43"/>
  <c r="Z306" i="43"/>
  <c r="Z305" i="43"/>
  <c r="Z304" i="43"/>
  <c r="Z303" i="43"/>
  <c r="Z302" i="43"/>
  <c r="Z301" i="43"/>
  <c r="Z300" i="43"/>
  <c r="Z299" i="43"/>
  <c r="Z298" i="43"/>
  <c r="Z297" i="43"/>
  <c r="Z296" i="43"/>
  <c r="Z295" i="43"/>
  <c r="Z294" i="43"/>
  <c r="Z293" i="43"/>
  <c r="Z292" i="43"/>
  <c r="Z291" i="43"/>
  <c r="Z290" i="43"/>
  <c r="Z289" i="43"/>
  <c r="Z288" i="43"/>
  <c r="Z287" i="43"/>
  <c r="Z286" i="43"/>
  <c r="Z285" i="43"/>
  <c r="Z284" i="43"/>
  <c r="Z283" i="43"/>
  <c r="Z282" i="43"/>
  <c r="Z281" i="43"/>
  <c r="Z280" i="43"/>
  <c r="Z279" i="43"/>
  <c r="Z278" i="43"/>
  <c r="Z277" i="43"/>
  <c r="Z276" i="43"/>
  <c r="Z275" i="43"/>
  <c r="Z274" i="43"/>
  <c r="Z273" i="43"/>
  <c r="Z272" i="43"/>
  <c r="Z271" i="43"/>
  <c r="Z270" i="43"/>
  <c r="Z269" i="43"/>
  <c r="Z268" i="43"/>
  <c r="Z267" i="43"/>
  <c r="Z266" i="43"/>
  <c r="Z265" i="43"/>
  <c r="Z264" i="43"/>
  <c r="Z263" i="43"/>
  <c r="Z262" i="43"/>
  <c r="Z261" i="43"/>
  <c r="Z260" i="43"/>
  <c r="Z259" i="43"/>
  <c r="Z258" i="43"/>
  <c r="Z257" i="43"/>
  <c r="Z256" i="43"/>
  <c r="Z255" i="43"/>
  <c r="Z254" i="43"/>
  <c r="Z253" i="43"/>
  <c r="Z252" i="43"/>
  <c r="Z251" i="43"/>
  <c r="Z250" i="43"/>
  <c r="Z249" i="43"/>
  <c r="Z248" i="43"/>
  <c r="Z247" i="43"/>
  <c r="Z246" i="43"/>
  <c r="Z245" i="43"/>
  <c r="Z244" i="43"/>
  <c r="Z243" i="43"/>
  <c r="Z242" i="43"/>
  <c r="Z241" i="43"/>
  <c r="Z240" i="43"/>
  <c r="Z239" i="43"/>
  <c r="Z238" i="43"/>
  <c r="Z237" i="43"/>
  <c r="Z236" i="43"/>
  <c r="Z235" i="43"/>
  <c r="Z234" i="43"/>
  <c r="Z233" i="43"/>
  <c r="Z232" i="43"/>
  <c r="Z231" i="43"/>
  <c r="Z230" i="43"/>
  <c r="Z229" i="43"/>
  <c r="Z228" i="43"/>
  <c r="Z227" i="43"/>
  <c r="Z226" i="43"/>
  <c r="Z225" i="43"/>
  <c r="Z224" i="43"/>
  <c r="Z223" i="43"/>
  <c r="Z222" i="43"/>
  <c r="Z221" i="43"/>
  <c r="Z220" i="43"/>
  <c r="Z219" i="43"/>
  <c r="Z218" i="43"/>
  <c r="Z217" i="43"/>
  <c r="Z216" i="43"/>
  <c r="Z215" i="43"/>
  <c r="Z214" i="43"/>
  <c r="Z213" i="43"/>
  <c r="Z212" i="43"/>
  <c r="Z211" i="43"/>
  <c r="Z210" i="43"/>
  <c r="Z209" i="43"/>
  <c r="Z208" i="43"/>
  <c r="Z207" i="43"/>
  <c r="Z206" i="43"/>
  <c r="Z205" i="43"/>
  <c r="Z204" i="43"/>
  <c r="Z203" i="43"/>
  <c r="Z202" i="43"/>
  <c r="Z201" i="43"/>
  <c r="Z200" i="43"/>
  <c r="Z199" i="43"/>
  <c r="Z198" i="43"/>
  <c r="Z197" i="43"/>
  <c r="Z196" i="43"/>
  <c r="Z195" i="43"/>
  <c r="Z194" i="43"/>
  <c r="Z193" i="43"/>
  <c r="Z192" i="43"/>
  <c r="Z191" i="43"/>
  <c r="Z190" i="43"/>
  <c r="Z189" i="43"/>
  <c r="Z188" i="43"/>
  <c r="Z187" i="43"/>
  <c r="Z186" i="43"/>
  <c r="Z185" i="43"/>
  <c r="Z184" i="43"/>
  <c r="Z183" i="43"/>
  <c r="Z182" i="43"/>
  <c r="Z181" i="43"/>
  <c r="Z180" i="43"/>
  <c r="Z179" i="43"/>
  <c r="Z178" i="43"/>
  <c r="Z177" i="43"/>
  <c r="Z176" i="43"/>
  <c r="Z175" i="43"/>
  <c r="Z174" i="43"/>
  <c r="Z173" i="43"/>
  <c r="Z172" i="43"/>
  <c r="Z171" i="43"/>
  <c r="Z170" i="43"/>
  <c r="Z169" i="43"/>
  <c r="Z168" i="43"/>
  <c r="Z167" i="43"/>
  <c r="Z166" i="43"/>
  <c r="Z165" i="43"/>
  <c r="Z164" i="43"/>
  <c r="Z163" i="43"/>
  <c r="Z162" i="43"/>
  <c r="Z161" i="43"/>
  <c r="Z160" i="43"/>
  <c r="Z159" i="43"/>
  <c r="Z158" i="43"/>
  <c r="Z157" i="43"/>
  <c r="Z156" i="43"/>
  <c r="Z155" i="43"/>
  <c r="Z154" i="43"/>
  <c r="Z153" i="43"/>
  <c r="Z152" i="43"/>
  <c r="Z151" i="43"/>
  <c r="Z150" i="43"/>
  <c r="Z149" i="43"/>
  <c r="Z148" i="43"/>
  <c r="Z147" i="43"/>
  <c r="Z146" i="43"/>
  <c r="Z145" i="43"/>
  <c r="Z144" i="43"/>
  <c r="Z143" i="43"/>
  <c r="Z142" i="43"/>
  <c r="Z141" i="43"/>
  <c r="Z140" i="43"/>
  <c r="Z139" i="43"/>
  <c r="Z138" i="43"/>
  <c r="Z137" i="43"/>
  <c r="Z136" i="43"/>
  <c r="Z135" i="43"/>
  <c r="Z134" i="43"/>
  <c r="Z133" i="43"/>
  <c r="Z132" i="43"/>
  <c r="Z131" i="43"/>
  <c r="Z130" i="43"/>
  <c r="Z129" i="43"/>
  <c r="Z128" i="43"/>
  <c r="Z127" i="43"/>
  <c r="Z126" i="43"/>
  <c r="Z125" i="43"/>
  <c r="Z124" i="43"/>
  <c r="Z123" i="43"/>
  <c r="Z122" i="43"/>
  <c r="Z121" i="43"/>
  <c r="Z120" i="43"/>
  <c r="Z119" i="43"/>
  <c r="Z118" i="43"/>
  <c r="Z117" i="43"/>
  <c r="Z116" i="43"/>
  <c r="Z115" i="43"/>
  <c r="Z114" i="43"/>
  <c r="Z113" i="43"/>
  <c r="Z112" i="43"/>
  <c r="Z111" i="43"/>
  <c r="Z110" i="43"/>
  <c r="Z109" i="43"/>
  <c r="Z108" i="43"/>
  <c r="Z107" i="43"/>
  <c r="Z106" i="43"/>
  <c r="Z105" i="43"/>
  <c r="Z104" i="43"/>
  <c r="Z103" i="43"/>
  <c r="Z102" i="43"/>
  <c r="Z101" i="43"/>
  <c r="Z100" i="43"/>
  <c r="Z99" i="43"/>
  <c r="Z98" i="43"/>
  <c r="Z97" i="43"/>
  <c r="Z96" i="43"/>
  <c r="Z95" i="43"/>
  <c r="Z94" i="43"/>
  <c r="Z93" i="43"/>
  <c r="Z92" i="43"/>
  <c r="Z91" i="43"/>
  <c r="Z90" i="43"/>
  <c r="Z89" i="43"/>
  <c r="Z88" i="43"/>
  <c r="Z87" i="43"/>
  <c r="Z86" i="43"/>
  <c r="Z85" i="43"/>
  <c r="Z84" i="43"/>
  <c r="Z83" i="43"/>
  <c r="Z82" i="43"/>
  <c r="Z81" i="43"/>
  <c r="Z80" i="43"/>
  <c r="Z79" i="43"/>
  <c r="Z78" i="43"/>
  <c r="Z77" i="43"/>
  <c r="Z76" i="43"/>
  <c r="Z75" i="43"/>
  <c r="Z74" i="43"/>
  <c r="Z73" i="43"/>
  <c r="Z72" i="43"/>
  <c r="Z71" i="43"/>
  <c r="Z70" i="43"/>
  <c r="Z69" i="43"/>
  <c r="Z68" i="43"/>
  <c r="Z67" i="43"/>
  <c r="Z66" i="43"/>
  <c r="Z65" i="43"/>
  <c r="Z64" i="43"/>
  <c r="Z63" i="43"/>
  <c r="Z62" i="43"/>
  <c r="Z61" i="43"/>
  <c r="Z60" i="43"/>
  <c r="Z59" i="43"/>
  <c r="Z58" i="43"/>
  <c r="Z57" i="43"/>
  <c r="Z56" i="43"/>
  <c r="Z55" i="43"/>
  <c r="Z54" i="43"/>
  <c r="Z53" i="43"/>
  <c r="Z52" i="43"/>
  <c r="Z51" i="43"/>
  <c r="Z50" i="43"/>
  <c r="Z49" i="43"/>
  <c r="Z48" i="43"/>
  <c r="Z47" i="43"/>
  <c r="Z46" i="43"/>
  <c r="Z45" i="43"/>
  <c r="Z44" i="43"/>
  <c r="Z43" i="43"/>
  <c r="Z42" i="43"/>
  <c r="Z41" i="43"/>
  <c r="Z40" i="43"/>
  <c r="Z39" i="43"/>
  <c r="Z38" i="43"/>
  <c r="Z37" i="43"/>
  <c r="Z36" i="43"/>
  <c r="Z35" i="43"/>
  <c r="Z34" i="43"/>
  <c r="Z33" i="43"/>
  <c r="Z32" i="43"/>
  <c r="Z31" i="43"/>
  <c r="Z30" i="43"/>
  <c r="Z29" i="43"/>
  <c r="Z28" i="43"/>
  <c r="Z27" i="43"/>
  <c r="Z26" i="43"/>
  <c r="Z25" i="43"/>
  <c r="Z24" i="43"/>
  <c r="Z23" i="43"/>
  <c r="Z22" i="43"/>
  <c r="Z21" i="43"/>
  <c r="Z20" i="43"/>
  <c r="Z19" i="43"/>
  <c r="Z18" i="43"/>
  <c r="Z17" i="43"/>
  <c r="Z16" i="43"/>
  <c r="Z15" i="43"/>
  <c r="Z14" i="43"/>
  <c r="Z13" i="43"/>
  <c r="Z12" i="43"/>
  <c r="Z11" i="43"/>
  <c r="Z10" i="43"/>
  <c r="Z9" i="43"/>
  <c r="Z8" i="43"/>
  <c r="Z7" i="43"/>
  <c r="Z6" i="43"/>
  <c r="Z5" i="43"/>
  <c r="Z4" i="43"/>
  <c r="Y314" i="43"/>
  <c r="Y6" i="43"/>
  <c r="Y7" i="43"/>
  <c r="Y8" i="43"/>
  <c r="Y9" i="43"/>
  <c r="Y10" i="43"/>
  <c r="Y11" i="43"/>
  <c r="Y12" i="43"/>
  <c r="Y13" i="43"/>
  <c r="Y14" i="43"/>
  <c r="Y15" i="43"/>
  <c r="Y16" i="43"/>
  <c r="Y17" i="43"/>
  <c r="Y18" i="43"/>
  <c r="Y19" i="43"/>
  <c r="Y20" i="43"/>
  <c r="Y21" i="43"/>
  <c r="Y22" i="43"/>
  <c r="Y23" i="43"/>
  <c r="Y24" i="43"/>
  <c r="Y25" i="43"/>
  <c r="Y26" i="43"/>
  <c r="Y27" i="43"/>
  <c r="Y28" i="43"/>
  <c r="Y29" i="43"/>
  <c r="Y30" i="43"/>
  <c r="Y31" i="43"/>
  <c r="Y32" i="43"/>
  <c r="Y33" i="43"/>
  <c r="Y34" i="43"/>
  <c r="Y35" i="43"/>
  <c r="Y36" i="43"/>
  <c r="Y37" i="43"/>
  <c r="Y38" i="43"/>
  <c r="Y39" i="43"/>
  <c r="Y40" i="43"/>
  <c r="Y41" i="43"/>
  <c r="Y42" i="43"/>
  <c r="Y43" i="43"/>
  <c r="Y44" i="43"/>
  <c r="Y45" i="43"/>
  <c r="Y46" i="43"/>
  <c r="Y47" i="43"/>
  <c r="Y48" i="43"/>
  <c r="Y49" i="43"/>
  <c r="Y50" i="43"/>
  <c r="Y51" i="43"/>
  <c r="Y52" i="43"/>
  <c r="Y53" i="43"/>
  <c r="Y54" i="43"/>
  <c r="Y55" i="43"/>
  <c r="Y56" i="43"/>
  <c r="Y57" i="43"/>
  <c r="Y58" i="43"/>
  <c r="Y59" i="43"/>
  <c r="Y60" i="43"/>
  <c r="Y61" i="43"/>
  <c r="Y62" i="43"/>
  <c r="Y63" i="43"/>
  <c r="Y64" i="43"/>
  <c r="Y65" i="43"/>
  <c r="Y66" i="43"/>
  <c r="Y67" i="43"/>
  <c r="Y68" i="43"/>
  <c r="Y69" i="43"/>
  <c r="Y70" i="43"/>
  <c r="Y71" i="43"/>
  <c r="Y72" i="43"/>
  <c r="Y73" i="43"/>
  <c r="Y74" i="43"/>
  <c r="Y75" i="43"/>
  <c r="Y76" i="43"/>
  <c r="Y77" i="43"/>
  <c r="Y78" i="43"/>
  <c r="Y79" i="43"/>
  <c r="Y80" i="43"/>
  <c r="Y81" i="43"/>
  <c r="Y82" i="43"/>
  <c r="Y83" i="43"/>
  <c r="Y84" i="43"/>
  <c r="Y85" i="43"/>
  <c r="Y86" i="43"/>
  <c r="Y87" i="43"/>
  <c r="Y88" i="43"/>
  <c r="Y89" i="43"/>
  <c r="Y90" i="43"/>
  <c r="Y91" i="43"/>
  <c r="Y92" i="43"/>
  <c r="Y93" i="43"/>
  <c r="Y94" i="43"/>
  <c r="Y95" i="43"/>
  <c r="Y96" i="43"/>
  <c r="Y97" i="43"/>
  <c r="Y98" i="43"/>
  <c r="Y99" i="43"/>
  <c r="Y100" i="43"/>
  <c r="Y101" i="43"/>
  <c r="Y102" i="43"/>
  <c r="Y103" i="43"/>
  <c r="Y104" i="43"/>
  <c r="Y105" i="43"/>
  <c r="Y106" i="43"/>
  <c r="Y107" i="43"/>
  <c r="Y108" i="43"/>
  <c r="Y109" i="43"/>
  <c r="Y110" i="43"/>
  <c r="Y111" i="43"/>
  <c r="Y112" i="43"/>
  <c r="Y113" i="43"/>
  <c r="Y114" i="43"/>
  <c r="Y115" i="43"/>
  <c r="Y116" i="43"/>
  <c r="Y117" i="43"/>
  <c r="Y118" i="43"/>
  <c r="Y119" i="43"/>
  <c r="Y120" i="43"/>
  <c r="Y121" i="43"/>
  <c r="Y122" i="43"/>
  <c r="Y123" i="43"/>
  <c r="Y124" i="43"/>
  <c r="Y125" i="43"/>
  <c r="Y126" i="43"/>
  <c r="Y127" i="43"/>
  <c r="Y128" i="43"/>
  <c r="Y129" i="43"/>
  <c r="Y130" i="43"/>
  <c r="Y131" i="43"/>
  <c r="Y132" i="43"/>
  <c r="Y133" i="43"/>
  <c r="Y134" i="43"/>
  <c r="Y135" i="43"/>
  <c r="Y136" i="43"/>
  <c r="Y137" i="43"/>
  <c r="Y138" i="43"/>
  <c r="Y139" i="43"/>
  <c r="Y140" i="43"/>
  <c r="Y141" i="43"/>
  <c r="Y142" i="43"/>
  <c r="Y143" i="43"/>
  <c r="Y144" i="43"/>
  <c r="Y145" i="43"/>
  <c r="Y146" i="43"/>
  <c r="Y147" i="43"/>
  <c r="Y148" i="43"/>
  <c r="Y149" i="43"/>
  <c r="Y150" i="43"/>
  <c r="Y151" i="43"/>
  <c r="Y152" i="43"/>
  <c r="Y153" i="43"/>
  <c r="Y154" i="43"/>
  <c r="Y155" i="43"/>
  <c r="Y156" i="43"/>
  <c r="Y157" i="43"/>
  <c r="Y158" i="43"/>
  <c r="Y159" i="43"/>
  <c r="Y160" i="43"/>
  <c r="Y161" i="43"/>
  <c r="Y162" i="43"/>
  <c r="Y163" i="43"/>
  <c r="Y164" i="43"/>
  <c r="Y165" i="43"/>
  <c r="Y166" i="43"/>
  <c r="Y167" i="43"/>
  <c r="Y168" i="43"/>
  <c r="Y169" i="43"/>
  <c r="Y170" i="43"/>
  <c r="Y171" i="43"/>
  <c r="Y172" i="43"/>
  <c r="Y173" i="43"/>
  <c r="Y174" i="43"/>
  <c r="Y175" i="43"/>
  <c r="Y176" i="43"/>
  <c r="Y177" i="43"/>
  <c r="Y178" i="43"/>
  <c r="Y179" i="43"/>
  <c r="Y180" i="43"/>
  <c r="Y181" i="43"/>
  <c r="Y182" i="43"/>
  <c r="Y183" i="43"/>
  <c r="Y184" i="43"/>
  <c r="Y185" i="43"/>
  <c r="Y186" i="43"/>
  <c r="Y187" i="43"/>
  <c r="Y188" i="43"/>
  <c r="Y189" i="43"/>
  <c r="Y190" i="43"/>
  <c r="Y191" i="43"/>
  <c r="Y192" i="43"/>
  <c r="Y193" i="43"/>
  <c r="Y194" i="43"/>
  <c r="Y195" i="43"/>
  <c r="Y196" i="43"/>
  <c r="Y197" i="43"/>
  <c r="Y198" i="43"/>
  <c r="Y199" i="43"/>
  <c r="Y200" i="43"/>
  <c r="Y201" i="43"/>
  <c r="Y202" i="43"/>
  <c r="Y203" i="43"/>
  <c r="Y204" i="43"/>
  <c r="Y205" i="43"/>
  <c r="Y206" i="43"/>
  <c r="Y207" i="43"/>
  <c r="Y208" i="43"/>
  <c r="Y209" i="43"/>
  <c r="Y210" i="43"/>
  <c r="Y211" i="43"/>
  <c r="Y212" i="43"/>
  <c r="Y213" i="43"/>
  <c r="Y214" i="43"/>
  <c r="Y215" i="43"/>
  <c r="Y216" i="43"/>
  <c r="Y217" i="43"/>
  <c r="Y218" i="43"/>
  <c r="Y219" i="43"/>
  <c r="Y220" i="43"/>
  <c r="Y221" i="43"/>
  <c r="Y222" i="43"/>
  <c r="Y223" i="43"/>
  <c r="Y224" i="43"/>
  <c r="Y225" i="43"/>
  <c r="Y226" i="43"/>
  <c r="Y227" i="43"/>
  <c r="Y228" i="43"/>
  <c r="Y229" i="43"/>
  <c r="Y230" i="43"/>
  <c r="Y231" i="43"/>
  <c r="Y232" i="43"/>
  <c r="Y233" i="43"/>
  <c r="Y234" i="43"/>
  <c r="Y235" i="43"/>
  <c r="Y236" i="43"/>
  <c r="Y237" i="43"/>
  <c r="Y238" i="43"/>
  <c r="Y239" i="43"/>
  <c r="Y240" i="43"/>
  <c r="Y241" i="43"/>
  <c r="Y242" i="43"/>
  <c r="Y243" i="43"/>
  <c r="Y244" i="43"/>
  <c r="Y245" i="43"/>
  <c r="Y246" i="43"/>
  <c r="Y247" i="43"/>
  <c r="Y248" i="43"/>
  <c r="Y249" i="43"/>
  <c r="Y250" i="43"/>
  <c r="Y251" i="43"/>
  <c r="Y252" i="43"/>
  <c r="Y253" i="43"/>
  <c r="Y254" i="43"/>
  <c r="Y255" i="43"/>
  <c r="Y256" i="43"/>
  <c r="Y257" i="43"/>
  <c r="Y258" i="43"/>
  <c r="Y259" i="43"/>
  <c r="Y260" i="43"/>
  <c r="Y261" i="43"/>
  <c r="Y262" i="43"/>
  <c r="Y263" i="43"/>
  <c r="Y264" i="43"/>
  <c r="Y265" i="43"/>
  <c r="Y266" i="43"/>
  <c r="Y267" i="43"/>
  <c r="Y268" i="43"/>
  <c r="Y269" i="43"/>
  <c r="Y270" i="43"/>
  <c r="Y271" i="43"/>
  <c r="Y272" i="43"/>
  <c r="Y273" i="43"/>
  <c r="Y274" i="43"/>
  <c r="Y275" i="43"/>
  <c r="Y276" i="43"/>
  <c r="Y277" i="43"/>
  <c r="Y278" i="43"/>
  <c r="Y279" i="43"/>
  <c r="Y280" i="43"/>
  <c r="Y281" i="43"/>
  <c r="Y282" i="43"/>
  <c r="Y283" i="43"/>
  <c r="Y284" i="43"/>
  <c r="Y285" i="43"/>
  <c r="Y286" i="43"/>
  <c r="Y287" i="43"/>
  <c r="Y288" i="43"/>
  <c r="Y289" i="43"/>
  <c r="Y290" i="43"/>
  <c r="Y291" i="43"/>
  <c r="Y292" i="43"/>
  <c r="Y293" i="43"/>
  <c r="Y294" i="43"/>
  <c r="Y295" i="43"/>
  <c r="Y296" i="43"/>
  <c r="Y297" i="43"/>
  <c r="Y298" i="43"/>
  <c r="Y299" i="43"/>
  <c r="Y300" i="43"/>
  <c r="Y301" i="43"/>
  <c r="Y302" i="43"/>
  <c r="Y303" i="43"/>
  <c r="Y304" i="43"/>
  <c r="Y305" i="43"/>
  <c r="Y306" i="43"/>
  <c r="Y307" i="43"/>
  <c r="Y308" i="43"/>
  <c r="Y309" i="43"/>
  <c r="Y310" i="43"/>
  <c r="Y311" i="43"/>
  <c r="Y312" i="43"/>
  <c r="Y313" i="43"/>
  <c r="Y5" i="43"/>
  <c r="Y4" i="43"/>
  <c r="M85" i="43" l="1"/>
  <c r="F314" i="43"/>
  <c r="F313" i="43"/>
  <c r="F312" i="43"/>
  <c r="F311" i="43"/>
  <c r="F310" i="43"/>
  <c r="F309" i="43"/>
  <c r="F308" i="43"/>
  <c r="F307" i="43"/>
  <c r="F306" i="43"/>
  <c r="F305" i="43"/>
  <c r="F304" i="43"/>
  <c r="F303" i="43"/>
  <c r="F302" i="43"/>
  <c r="F301" i="43"/>
  <c r="F300" i="43"/>
  <c r="F299" i="43"/>
  <c r="F298" i="43"/>
  <c r="F297" i="43"/>
  <c r="F296" i="43"/>
  <c r="F295" i="43"/>
  <c r="F294" i="43"/>
  <c r="F293" i="43"/>
  <c r="F292" i="43"/>
  <c r="F291" i="43"/>
  <c r="F290" i="43"/>
  <c r="F289" i="43"/>
  <c r="F288" i="43"/>
  <c r="F287" i="43"/>
  <c r="F286" i="43"/>
  <c r="F285" i="43"/>
  <c r="F284" i="43"/>
  <c r="F283" i="43"/>
  <c r="F282" i="43"/>
  <c r="F281" i="43"/>
  <c r="F280" i="43"/>
  <c r="F279" i="43"/>
  <c r="F278" i="43"/>
  <c r="F277" i="43"/>
  <c r="F276" i="43"/>
  <c r="F275" i="43"/>
  <c r="F274" i="43"/>
  <c r="F273" i="43"/>
  <c r="F272" i="43"/>
  <c r="F271" i="43"/>
  <c r="F270" i="43"/>
  <c r="F269" i="43"/>
  <c r="F268" i="43"/>
  <c r="F267" i="43"/>
  <c r="F266" i="43"/>
  <c r="F265" i="43"/>
  <c r="F264" i="43"/>
  <c r="F263" i="43"/>
  <c r="F262" i="43"/>
  <c r="F261" i="43"/>
  <c r="F260" i="43"/>
  <c r="F259" i="43"/>
  <c r="F258" i="43"/>
  <c r="F257" i="43"/>
  <c r="F256" i="43"/>
  <c r="F255" i="43"/>
  <c r="F254" i="43"/>
  <c r="F253" i="43"/>
  <c r="F252" i="43"/>
  <c r="F251" i="43"/>
  <c r="F250" i="43"/>
  <c r="F249" i="43"/>
  <c r="F248" i="43"/>
  <c r="F247" i="43"/>
  <c r="F246" i="43"/>
  <c r="F245" i="43"/>
  <c r="F244" i="43"/>
  <c r="F243" i="43"/>
  <c r="F242" i="43"/>
  <c r="F241" i="43"/>
  <c r="F240" i="43"/>
  <c r="F239" i="43"/>
  <c r="F238" i="43"/>
  <c r="F237" i="43"/>
  <c r="F236" i="43"/>
  <c r="F235" i="43"/>
  <c r="F234" i="43"/>
  <c r="F233" i="43"/>
  <c r="F232" i="43"/>
  <c r="F231" i="43"/>
  <c r="F230" i="43"/>
  <c r="F229" i="43"/>
  <c r="F228" i="43"/>
  <c r="F227" i="43"/>
  <c r="F226" i="43"/>
  <c r="F225" i="43"/>
  <c r="F224" i="43"/>
  <c r="F223" i="43"/>
  <c r="F222" i="43"/>
  <c r="F221" i="43"/>
  <c r="F220" i="43"/>
  <c r="F219" i="43"/>
  <c r="F218" i="43"/>
  <c r="F217" i="43"/>
  <c r="F216" i="43"/>
  <c r="F215" i="43"/>
  <c r="F214" i="43"/>
  <c r="F213" i="43"/>
  <c r="F212" i="43"/>
  <c r="F211" i="43"/>
  <c r="F210" i="43"/>
  <c r="F209" i="43"/>
  <c r="F208" i="43"/>
  <c r="F207" i="43"/>
  <c r="F206" i="43"/>
  <c r="F205" i="43"/>
  <c r="F204" i="43"/>
  <c r="F203" i="43"/>
  <c r="F202" i="43"/>
  <c r="F201" i="43"/>
  <c r="F200" i="43"/>
  <c r="F199" i="43"/>
  <c r="F198" i="43"/>
  <c r="F197" i="43"/>
  <c r="F196" i="43"/>
  <c r="F195" i="43"/>
  <c r="F194" i="43"/>
  <c r="F193" i="43"/>
  <c r="F192" i="43"/>
  <c r="F191" i="43"/>
  <c r="F190" i="43"/>
  <c r="F189" i="43"/>
  <c r="F188" i="43"/>
  <c r="F187" i="43"/>
  <c r="F186" i="43"/>
  <c r="F185" i="43"/>
  <c r="F184" i="43"/>
  <c r="F183" i="43"/>
  <c r="F182" i="43"/>
  <c r="F181" i="43"/>
  <c r="F180" i="43"/>
  <c r="F179" i="43"/>
  <c r="F178" i="43"/>
  <c r="F177" i="43"/>
  <c r="F176" i="43"/>
  <c r="F175" i="43"/>
  <c r="F174" i="43"/>
  <c r="F173" i="43"/>
  <c r="F172" i="43"/>
  <c r="F171" i="43"/>
  <c r="F170" i="43"/>
  <c r="F169" i="43"/>
  <c r="F168" i="43"/>
  <c r="F167" i="43"/>
  <c r="F166" i="43"/>
  <c r="F165" i="43"/>
  <c r="F164" i="43"/>
  <c r="F163" i="43"/>
  <c r="F162" i="43"/>
  <c r="F161" i="43"/>
  <c r="F160" i="43"/>
  <c r="F159" i="43"/>
  <c r="F158" i="43"/>
  <c r="F157" i="43"/>
  <c r="F156" i="43"/>
  <c r="F155" i="43"/>
  <c r="F154" i="43"/>
  <c r="F153" i="43"/>
  <c r="F152" i="43"/>
  <c r="F151" i="43"/>
  <c r="F150" i="43"/>
  <c r="F149" i="43"/>
  <c r="F148" i="43"/>
  <c r="F147" i="43"/>
  <c r="F146" i="43"/>
  <c r="F145" i="43"/>
  <c r="F144" i="43"/>
  <c r="F143" i="43"/>
  <c r="F142" i="43"/>
  <c r="F141" i="43"/>
  <c r="F140" i="43"/>
  <c r="F139" i="43"/>
  <c r="F138" i="43"/>
  <c r="F137" i="43"/>
  <c r="F136" i="43"/>
  <c r="F135" i="43"/>
  <c r="F134" i="43"/>
  <c r="F133" i="43"/>
  <c r="F132" i="43"/>
  <c r="F131" i="43"/>
  <c r="F130" i="43"/>
  <c r="F129" i="43"/>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6" i="43"/>
  <c r="F35" i="43"/>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F8" i="43"/>
  <c r="F7" i="43"/>
  <c r="F6" i="43"/>
  <c r="F5" i="43"/>
  <c r="F4" i="43"/>
  <c r="O85" i="48"/>
  <c r="M5" i="48"/>
  <c r="M6" i="48"/>
  <c r="M7" i="48"/>
  <c r="M8" i="48"/>
  <c r="M9" i="48"/>
  <c r="M10" i="48"/>
  <c r="M11" i="48"/>
  <c r="M12" i="48"/>
  <c r="M13" i="48"/>
  <c r="M14" i="48"/>
  <c r="M15" i="48"/>
  <c r="M16" i="48"/>
  <c r="M17" i="48"/>
  <c r="M18" i="48"/>
  <c r="M19" i="48"/>
  <c r="M20" i="48"/>
  <c r="M21" i="48"/>
  <c r="M22" i="48"/>
  <c r="M23" i="48"/>
  <c r="M24" i="48"/>
  <c r="M25" i="48"/>
  <c r="M26" i="48"/>
  <c r="M27" i="48"/>
  <c r="M28" i="48"/>
  <c r="M29" i="48"/>
  <c r="M30" i="48"/>
  <c r="M31" i="48"/>
  <c r="M32" i="48"/>
  <c r="M33" i="48"/>
  <c r="M34" i="48"/>
  <c r="M35" i="48"/>
  <c r="M36" i="48"/>
  <c r="M37" i="48"/>
  <c r="M38" i="48"/>
  <c r="M39" i="48"/>
  <c r="M40" i="48"/>
  <c r="M41" i="48"/>
  <c r="M42" i="48"/>
  <c r="M43" i="48"/>
  <c r="M44" i="48"/>
  <c r="M45" i="48"/>
  <c r="M46" i="48"/>
  <c r="M47" i="48"/>
  <c r="M48" i="48"/>
  <c r="M49" i="48"/>
  <c r="M50" i="48"/>
  <c r="M51" i="48"/>
  <c r="M52" i="48"/>
  <c r="M53" i="48"/>
  <c r="M54" i="48"/>
  <c r="M55" i="48"/>
  <c r="M56" i="48"/>
  <c r="M57" i="48"/>
  <c r="M58" i="48"/>
  <c r="M59" i="48"/>
  <c r="M60" i="48"/>
  <c r="M61" i="48"/>
  <c r="M62" i="48"/>
  <c r="M63" i="48"/>
  <c r="M64" i="48"/>
  <c r="M65" i="48"/>
  <c r="M66" i="48"/>
  <c r="M67" i="48"/>
  <c r="M68" i="48"/>
  <c r="M69" i="48"/>
  <c r="M70" i="48"/>
  <c r="M71" i="48"/>
  <c r="M72" i="48"/>
  <c r="M73" i="48"/>
  <c r="M74" i="48"/>
  <c r="M75" i="48"/>
  <c r="M76" i="48"/>
  <c r="M77" i="48"/>
  <c r="M78" i="48"/>
  <c r="M79" i="48"/>
  <c r="M80" i="48"/>
  <c r="M81" i="48"/>
  <c r="M82" i="48"/>
  <c r="M83" i="48"/>
  <c r="M84" i="48"/>
  <c r="M85" i="48"/>
  <c r="M86" i="48"/>
  <c r="M87" i="48"/>
  <c r="M88" i="48"/>
  <c r="M89" i="48"/>
  <c r="M90" i="48"/>
  <c r="M91" i="48"/>
  <c r="M92" i="48"/>
  <c r="M93" i="48"/>
  <c r="M94" i="48"/>
  <c r="M95" i="48"/>
  <c r="M96" i="48"/>
  <c r="M97" i="48"/>
  <c r="M98" i="48"/>
  <c r="M99" i="48"/>
  <c r="M100" i="48"/>
  <c r="M101" i="48"/>
  <c r="M102" i="48"/>
  <c r="M103" i="48"/>
  <c r="M104" i="48"/>
  <c r="M105" i="48"/>
  <c r="M106" i="48"/>
  <c r="M107" i="48"/>
  <c r="M108" i="48"/>
  <c r="M109" i="48"/>
  <c r="M110" i="48"/>
  <c r="M111" i="48"/>
  <c r="M112" i="48"/>
  <c r="M113" i="48"/>
  <c r="M114" i="48"/>
  <c r="M115" i="48"/>
  <c r="M116" i="48"/>
  <c r="M117" i="48"/>
  <c r="M118" i="48"/>
  <c r="M119" i="48"/>
  <c r="M120" i="48"/>
  <c r="M121" i="48"/>
  <c r="M122" i="48"/>
  <c r="M123" i="48"/>
  <c r="M124" i="48"/>
  <c r="M125" i="48"/>
  <c r="M126" i="48"/>
  <c r="M127" i="48"/>
  <c r="M128" i="48"/>
  <c r="M129" i="48"/>
  <c r="M130" i="48"/>
  <c r="M131" i="48"/>
  <c r="M132" i="48"/>
  <c r="M133" i="48"/>
  <c r="M134" i="48"/>
  <c r="M135" i="48"/>
  <c r="M136" i="48"/>
  <c r="M137" i="48"/>
  <c r="M138" i="48"/>
  <c r="M139" i="48"/>
  <c r="M140" i="48"/>
  <c r="M141" i="48"/>
  <c r="M142" i="48"/>
  <c r="M143" i="48"/>
  <c r="M144" i="48"/>
  <c r="M145" i="48"/>
  <c r="M146" i="48"/>
  <c r="M147" i="48"/>
  <c r="M148" i="48"/>
  <c r="M149" i="48"/>
  <c r="M150" i="48"/>
  <c r="M151" i="48"/>
  <c r="M152" i="48"/>
  <c r="M153" i="48"/>
  <c r="M154" i="48"/>
  <c r="M155" i="48"/>
  <c r="M156" i="48"/>
  <c r="M157" i="48"/>
  <c r="M158" i="48"/>
  <c r="M159" i="48"/>
  <c r="M160" i="48"/>
  <c r="M161" i="48"/>
  <c r="M162" i="48"/>
  <c r="M163" i="48"/>
  <c r="M164" i="48"/>
  <c r="M165" i="48"/>
  <c r="M166" i="48"/>
  <c r="M167" i="48"/>
  <c r="M168" i="48"/>
  <c r="M169" i="48"/>
  <c r="M170" i="48"/>
  <c r="M171" i="48"/>
  <c r="M172" i="48"/>
  <c r="M173" i="48"/>
  <c r="M174" i="48"/>
  <c r="M175" i="48"/>
  <c r="M176" i="48"/>
  <c r="M177" i="48"/>
  <c r="M178" i="48"/>
  <c r="M179" i="48"/>
  <c r="M180" i="48"/>
  <c r="M181" i="48"/>
  <c r="M182" i="48"/>
  <c r="M183" i="48"/>
  <c r="M184" i="48"/>
  <c r="M185" i="48"/>
  <c r="M186" i="48"/>
  <c r="M187" i="48"/>
  <c r="M188" i="48"/>
  <c r="M189" i="48"/>
  <c r="M190" i="48"/>
  <c r="M191" i="48"/>
  <c r="M192" i="48"/>
  <c r="M193" i="48"/>
  <c r="M194" i="48"/>
  <c r="M195" i="48"/>
  <c r="M196" i="48"/>
  <c r="M197" i="48"/>
  <c r="M198" i="48"/>
  <c r="M199" i="48"/>
  <c r="M200" i="48"/>
  <c r="M201" i="48"/>
  <c r="M202" i="48"/>
  <c r="M203" i="48"/>
  <c r="M204" i="48"/>
  <c r="M205" i="48"/>
  <c r="M206" i="48"/>
  <c r="M207" i="48"/>
  <c r="M208" i="48"/>
  <c r="M209" i="48"/>
  <c r="M210" i="48"/>
  <c r="M211" i="48"/>
  <c r="M212" i="48"/>
  <c r="M213" i="48"/>
  <c r="M214" i="48"/>
  <c r="M215" i="48"/>
  <c r="M216" i="48"/>
  <c r="M217" i="48"/>
  <c r="M218" i="48"/>
  <c r="M219" i="48"/>
  <c r="M220" i="48"/>
  <c r="M221" i="48"/>
  <c r="M222" i="48"/>
  <c r="M223" i="48"/>
  <c r="M224" i="48"/>
  <c r="M225" i="48"/>
  <c r="M226" i="48"/>
  <c r="M227" i="48"/>
  <c r="M228" i="48"/>
  <c r="M229" i="48"/>
  <c r="M230" i="48"/>
  <c r="M231" i="48"/>
  <c r="M232" i="48"/>
  <c r="M233" i="48"/>
  <c r="M234" i="48"/>
  <c r="M235" i="48"/>
  <c r="M236" i="48"/>
  <c r="M237" i="48"/>
  <c r="M238" i="48"/>
  <c r="M239" i="48"/>
  <c r="M240" i="48"/>
  <c r="M241" i="48"/>
  <c r="M242" i="48"/>
  <c r="M243" i="48"/>
  <c r="M244" i="48"/>
  <c r="M245" i="48"/>
  <c r="M246" i="48"/>
  <c r="M247" i="48"/>
  <c r="M248" i="48"/>
  <c r="M249" i="48"/>
  <c r="M250" i="48"/>
  <c r="M251" i="48"/>
  <c r="M252" i="48"/>
  <c r="M253" i="48"/>
  <c r="M254" i="48"/>
  <c r="M255" i="48"/>
  <c r="M256" i="48"/>
  <c r="M257" i="48"/>
  <c r="M258" i="48"/>
  <c r="M259" i="48"/>
  <c r="M260" i="48"/>
  <c r="M261" i="48"/>
  <c r="M262" i="48"/>
  <c r="M263" i="48"/>
  <c r="M264" i="48"/>
  <c r="M265" i="48"/>
  <c r="M266" i="48"/>
  <c r="M267" i="48"/>
  <c r="M268" i="48"/>
  <c r="M269" i="48"/>
  <c r="M270" i="48"/>
  <c r="M271" i="48"/>
  <c r="M272" i="48"/>
  <c r="M273" i="48"/>
  <c r="M274" i="48"/>
  <c r="M275" i="48"/>
  <c r="M276" i="48"/>
  <c r="M277" i="48"/>
  <c r="M278" i="48"/>
  <c r="M279" i="48"/>
  <c r="M280" i="48"/>
  <c r="M281" i="48"/>
  <c r="M282" i="48"/>
  <c r="M283" i="48"/>
  <c r="M284" i="48"/>
  <c r="M285" i="48"/>
  <c r="M286" i="48"/>
  <c r="M287" i="48"/>
  <c r="M288" i="48"/>
  <c r="M289" i="48"/>
  <c r="M290" i="48"/>
  <c r="M291" i="48"/>
  <c r="M292" i="48"/>
  <c r="M293" i="48"/>
  <c r="M294" i="48"/>
  <c r="M295" i="48"/>
  <c r="M296" i="48"/>
  <c r="M297" i="48"/>
  <c r="M298" i="48"/>
  <c r="M299" i="48"/>
  <c r="M300" i="48"/>
  <c r="M301" i="48"/>
  <c r="M302" i="48"/>
  <c r="M303" i="48"/>
  <c r="M304" i="48"/>
  <c r="M305" i="48"/>
  <c r="M306" i="48"/>
  <c r="M307" i="48"/>
  <c r="M308" i="48"/>
  <c r="M309" i="48"/>
  <c r="M310" i="48"/>
  <c r="M311" i="48"/>
  <c r="M312" i="48"/>
  <c r="M313" i="48"/>
  <c r="M314" i="48"/>
  <c r="M4" i="48"/>
  <c r="L314" i="48"/>
  <c r="L313" i="48"/>
  <c r="L312" i="48"/>
  <c r="L311" i="48"/>
  <c r="L310" i="48"/>
  <c r="L309" i="48"/>
  <c r="L308" i="48"/>
  <c r="L307" i="48"/>
  <c r="L306" i="48"/>
  <c r="L305" i="48"/>
  <c r="L304" i="48"/>
  <c r="L303" i="48"/>
  <c r="L302" i="48"/>
  <c r="L301" i="48"/>
  <c r="L300" i="48"/>
  <c r="L299" i="48"/>
  <c r="L298" i="48"/>
  <c r="L297" i="48"/>
  <c r="L296" i="48"/>
  <c r="L295" i="48"/>
  <c r="L294" i="48"/>
  <c r="L293" i="48"/>
  <c r="L292" i="48"/>
  <c r="L291" i="48"/>
  <c r="L290" i="48"/>
  <c r="L289" i="48"/>
  <c r="L288" i="48"/>
  <c r="L287" i="48"/>
  <c r="L286" i="48"/>
  <c r="L285" i="48"/>
  <c r="L284" i="48"/>
  <c r="L283" i="48"/>
  <c r="L282" i="48"/>
  <c r="L281" i="48"/>
  <c r="L280" i="48"/>
  <c r="L279" i="48"/>
  <c r="L278" i="48"/>
  <c r="L277" i="48"/>
  <c r="L276" i="48"/>
  <c r="L275" i="48"/>
  <c r="L274" i="48"/>
  <c r="L273" i="48"/>
  <c r="L272" i="48"/>
  <c r="L271" i="48"/>
  <c r="L270" i="48"/>
  <c r="L269" i="48"/>
  <c r="L268" i="48"/>
  <c r="L267" i="48"/>
  <c r="L266" i="48"/>
  <c r="L265" i="48"/>
  <c r="L264" i="48"/>
  <c r="L263" i="48"/>
  <c r="L262" i="48"/>
  <c r="L261" i="48"/>
  <c r="L260" i="48"/>
  <c r="L259" i="48"/>
  <c r="L258" i="48"/>
  <c r="L257" i="48"/>
  <c r="L256" i="48"/>
  <c r="L255" i="48"/>
  <c r="L254" i="48"/>
  <c r="L253" i="48"/>
  <c r="L252" i="48"/>
  <c r="L251" i="48"/>
  <c r="L250" i="48"/>
  <c r="L249" i="48"/>
  <c r="L248" i="48"/>
  <c r="L247" i="48"/>
  <c r="L246" i="48"/>
  <c r="L245" i="48"/>
  <c r="L244" i="48"/>
  <c r="L243" i="48"/>
  <c r="L242" i="48"/>
  <c r="L241" i="48"/>
  <c r="L240" i="48"/>
  <c r="L239" i="48"/>
  <c r="L238" i="48"/>
  <c r="L237" i="48"/>
  <c r="L236" i="48"/>
  <c r="L235" i="48"/>
  <c r="L234" i="48"/>
  <c r="L233" i="48"/>
  <c r="L232" i="48"/>
  <c r="L231" i="48"/>
  <c r="L230" i="48"/>
  <c r="L229" i="48"/>
  <c r="L228" i="48"/>
  <c r="L227" i="48"/>
  <c r="L226" i="48"/>
  <c r="L225" i="48"/>
  <c r="L224" i="48"/>
  <c r="L223" i="48"/>
  <c r="L222" i="48"/>
  <c r="L221" i="48"/>
  <c r="L220" i="48"/>
  <c r="L219" i="48"/>
  <c r="L218" i="48"/>
  <c r="L217" i="48"/>
  <c r="L216" i="48"/>
  <c r="L215" i="48"/>
  <c r="L214" i="48"/>
  <c r="L213" i="48"/>
  <c r="L212" i="48"/>
  <c r="L211" i="48"/>
  <c r="L210" i="48"/>
  <c r="L209" i="48"/>
  <c r="L208" i="48"/>
  <c r="L207" i="48"/>
  <c r="L206" i="48"/>
  <c r="L205" i="48"/>
  <c r="L204" i="48"/>
  <c r="L203" i="48"/>
  <c r="L202" i="48"/>
  <c r="L201" i="48"/>
  <c r="L200" i="48"/>
  <c r="L199" i="48"/>
  <c r="L198" i="48"/>
  <c r="L197" i="48"/>
  <c r="L196" i="48"/>
  <c r="L195" i="48"/>
  <c r="L194" i="48"/>
  <c r="L193" i="48"/>
  <c r="L192" i="48"/>
  <c r="L191" i="48"/>
  <c r="L190" i="48"/>
  <c r="L189" i="48"/>
  <c r="L188" i="48"/>
  <c r="L187" i="48"/>
  <c r="L186" i="48"/>
  <c r="L185" i="48"/>
  <c r="L184" i="48"/>
  <c r="L183" i="48"/>
  <c r="L182" i="48"/>
  <c r="L181" i="48"/>
  <c r="L180" i="48"/>
  <c r="L179" i="48"/>
  <c r="L178" i="48"/>
  <c r="L177" i="48"/>
  <c r="L176" i="48"/>
  <c r="L175" i="48"/>
  <c r="L174" i="48"/>
  <c r="L173" i="48"/>
  <c r="L172" i="48"/>
  <c r="L171" i="48"/>
  <c r="L170" i="48"/>
  <c r="L169" i="48"/>
  <c r="L168" i="48"/>
  <c r="L167" i="48"/>
  <c r="L166" i="48"/>
  <c r="L165" i="48"/>
  <c r="L164" i="48"/>
  <c r="L163" i="48"/>
  <c r="L162" i="48"/>
  <c r="L161" i="48"/>
  <c r="L160" i="48"/>
  <c r="L159" i="48"/>
  <c r="L158" i="48"/>
  <c r="L157" i="48"/>
  <c r="L156" i="48"/>
  <c r="L155" i="48"/>
  <c r="L154" i="48"/>
  <c r="L153" i="48"/>
  <c r="L152" i="48"/>
  <c r="L151" i="48"/>
  <c r="L150" i="48"/>
  <c r="L149" i="48"/>
  <c r="L148" i="48"/>
  <c r="L147" i="48"/>
  <c r="L146" i="48"/>
  <c r="L145" i="48"/>
  <c r="L144" i="48"/>
  <c r="L143" i="48"/>
  <c r="L142" i="48"/>
  <c r="L141" i="48"/>
  <c r="L140" i="48"/>
  <c r="L139" i="48"/>
  <c r="L138" i="48"/>
  <c r="L137" i="48"/>
  <c r="L136" i="48"/>
  <c r="L135" i="48"/>
  <c r="L134" i="48"/>
  <c r="L133" i="48"/>
  <c r="L132" i="48"/>
  <c r="L131" i="48"/>
  <c r="L130" i="48"/>
  <c r="L129" i="48"/>
  <c r="L128" i="48"/>
  <c r="L127" i="48"/>
  <c r="L126" i="48"/>
  <c r="L125" i="48"/>
  <c r="L124" i="48"/>
  <c r="L123" i="48"/>
  <c r="L122" i="48"/>
  <c r="L121" i="48"/>
  <c r="L120" i="48"/>
  <c r="L119" i="48"/>
  <c r="L118" i="48"/>
  <c r="L117" i="48"/>
  <c r="L116" i="48"/>
  <c r="L115" i="48"/>
  <c r="L114" i="48"/>
  <c r="L113" i="48"/>
  <c r="L112" i="48"/>
  <c r="L111" i="48"/>
  <c r="L110" i="48"/>
  <c r="L109" i="48"/>
  <c r="L108" i="48"/>
  <c r="L107" i="48"/>
  <c r="L106" i="48"/>
  <c r="L105" i="48"/>
  <c r="L104" i="48"/>
  <c r="L103" i="48"/>
  <c r="L102" i="48"/>
  <c r="L101" i="48"/>
  <c r="L100" i="48"/>
  <c r="L99" i="48"/>
  <c r="L98" i="48"/>
  <c r="L97" i="48"/>
  <c r="L96" i="48"/>
  <c r="L95" i="48"/>
  <c r="L94" i="48"/>
  <c r="L93" i="48"/>
  <c r="L92" i="48"/>
  <c r="L91" i="48"/>
  <c r="L90" i="48"/>
  <c r="L89" i="48"/>
  <c r="L88" i="48"/>
  <c r="L87" i="48"/>
  <c r="L86" i="48"/>
  <c r="L85" i="48"/>
  <c r="L84" i="48"/>
  <c r="L83" i="48"/>
  <c r="L82" i="48"/>
  <c r="L81" i="48"/>
  <c r="L80" i="48"/>
  <c r="L79" i="48"/>
  <c r="L78" i="48"/>
  <c r="L77" i="48"/>
  <c r="L76" i="48"/>
  <c r="L75" i="48"/>
  <c r="L74" i="48"/>
  <c r="L73" i="48"/>
  <c r="L72" i="48"/>
  <c r="L71" i="48"/>
  <c r="L70" i="48"/>
  <c r="L69" i="48"/>
  <c r="L68" i="48"/>
  <c r="L67" i="48"/>
  <c r="L66" i="48"/>
  <c r="L65" i="48"/>
  <c r="L64" i="48"/>
  <c r="L63" i="48"/>
  <c r="L62" i="48"/>
  <c r="L61" i="48"/>
  <c r="L60" i="48"/>
  <c r="L59" i="48"/>
  <c r="L58" i="48"/>
  <c r="L57" i="48"/>
  <c r="L56" i="48"/>
  <c r="L55" i="48"/>
  <c r="L54" i="48"/>
  <c r="L53" i="48"/>
  <c r="L52" i="48"/>
  <c r="L51" i="48"/>
  <c r="L50" i="48"/>
  <c r="L49" i="48"/>
  <c r="L48" i="48"/>
  <c r="L47" i="48"/>
  <c r="L46" i="48"/>
  <c r="L45" i="48"/>
  <c r="L44" i="48"/>
  <c r="L43" i="48"/>
  <c r="L42" i="48"/>
  <c r="L41" i="48"/>
  <c r="L40" i="48"/>
  <c r="L39" i="48"/>
  <c r="L38" i="48"/>
  <c r="L37" i="48"/>
  <c r="L36" i="48"/>
  <c r="L35" i="48"/>
  <c r="L34" i="48"/>
  <c r="L33" i="48"/>
  <c r="L32" i="48"/>
  <c r="L31" i="48"/>
  <c r="L30" i="48"/>
  <c r="L29" i="48"/>
  <c r="L28" i="48"/>
  <c r="L27" i="48"/>
  <c r="L26" i="48"/>
  <c r="L25" i="48"/>
  <c r="L24" i="48"/>
  <c r="L23" i="48"/>
  <c r="L22" i="48"/>
  <c r="L21" i="48"/>
  <c r="L20" i="48"/>
  <c r="L19" i="48"/>
  <c r="L18" i="48"/>
  <c r="L17" i="48"/>
  <c r="L16" i="48"/>
  <c r="L15" i="48"/>
  <c r="L14" i="48"/>
  <c r="L13" i="48"/>
  <c r="L12" i="48"/>
  <c r="L11" i="48"/>
  <c r="L10" i="48"/>
  <c r="L9" i="48"/>
  <c r="L8" i="48"/>
  <c r="L7" i="48"/>
  <c r="L6" i="48"/>
  <c r="L5" i="48"/>
  <c r="L4" i="48"/>
  <c r="K5" i="48"/>
  <c r="K6" i="48"/>
  <c r="K7" i="48"/>
  <c r="K8" i="48"/>
  <c r="K9" i="48"/>
  <c r="K10" i="48"/>
  <c r="K11" i="48"/>
  <c r="K12" i="48"/>
  <c r="K13" i="48"/>
  <c r="K14" i="48"/>
  <c r="K15" i="48"/>
  <c r="K16" i="48"/>
  <c r="K17" i="48"/>
  <c r="K18" i="48"/>
  <c r="K19" i="48"/>
  <c r="K20" i="48"/>
  <c r="K21" i="48"/>
  <c r="K22" i="48"/>
  <c r="K23" i="48"/>
  <c r="K24" i="48"/>
  <c r="K25" i="48"/>
  <c r="K26" i="48"/>
  <c r="K27" i="48"/>
  <c r="K28" i="48"/>
  <c r="K29" i="48"/>
  <c r="K30" i="48"/>
  <c r="K31" i="48"/>
  <c r="K32" i="48"/>
  <c r="K33" i="48"/>
  <c r="K34" i="48"/>
  <c r="K35" i="48"/>
  <c r="K36" i="48"/>
  <c r="K37" i="48"/>
  <c r="K38" i="48"/>
  <c r="K39" i="48"/>
  <c r="K40" i="48"/>
  <c r="K41" i="48"/>
  <c r="K42" i="48"/>
  <c r="K43" i="48"/>
  <c r="K44" i="48"/>
  <c r="K45" i="48"/>
  <c r="K46" i="48"/>
  <c r="K47" i="48"/>
  <c r="K48" i="48"/>
  <c r="K49" i="48"/>
  <c r="K50" i="48"/>
  <c r="K51" i="48"/>
  <c r="K52" i="48"/>
  <c r="K53" i="48"/>
  <c r="K54" i="48"/>
  <c r="K55" i="48"/>
  <c r="K56" i="48"/>
  <c r="K57" i="48"/>
  <c r="K58" i="48"/>
  <c r="K59" i="48"/>
  <c r="K60" i="48"/>
  <c r="K61" i="48"/>
  <c r="K62" i="48"/>
  <c r="K63" i="48"/>
  <c r="K64" i="48"/>
  <c r="K65" i="48"/>
  <c r="K66" i="48"/>
  <c r="K67" i="48"/>
  <c r="K68" i="48"/>
  <c r="K69" i="48"/>
  <c r="K70" i="48"/>
  <c r="K71" i="48"/>
  <c r="K72" i="48"/>
  <c r="K73" i="48"/>
  <c r="K74" i="48"/>
  <c r="K75" i="48"/>
  <c r="K76" i="48"/>
  <c r="K77" i="48"/>
  <c r="K78" i="48"/>
  <c r="K79" i="48"/>
  <c r="K80" i="48"/>
  <c r="K81" i="48"/>
  <c r="K82" i="48"/>
  <c r="K83" i="48"/>
  <c r="K84" i="48"/>
  <c r="K85" i="48"/>
  <c r="K86" i="48"/>
  <c r="K87" i="48"/>
  <c r="K88" i="48"/>
  <c r="K89" i="48"/>
  <c r="K90" i="48"/>
  <c r="K91" i="48"/>
  <c r="K92" i="48"/>
  <c r="K93" i="48"/>
  <c r="K94" i="48"/>
  <c r="K95" i="48"/>
  <c r="K96" i="48"/>
  <c r="K97" i="48"/>
  <c r="K98" i="48"/>
  <c r="K99" i="48"/>
  <c r="K100" i="48"/>
  <c r="K101" i="48"/>
  <c r="K102" i="48"/>
  <c r="K103" i="48"/>
  <c r="K104" i="48"/>
  <c r="K105" i="48"/>
  <c r="K106" i="48"/>
  <c r="K107" i="48"/>
  <c r="K108" i="48"/>
  <c r="K109" i="48"/>
  <c r="K110" i="48"/>
  <c r="K111" i="48"/>
  <c r="K112" i="48"/>
  <c r="K113" i="48"/>
  <c r="K114" i="48"/>
  <c r="K115" i="48"/>
  <c r="K116" i="48"/>
  <c r="K117" i="48"/>
  <c r="K118" i="48"/>
  <c r="K119" i="48"/>
  <c r="K120" i="48"/>
  <c r="K121" i="48"/>
  <c r="K122" i="48"/>
  <c r="K123" i="48"/>
  <c r="K124" i="48"/>
  <c r="K125" i="48"/>
  <c r="K126" i="48"/>
  <c r="K127" i="48"/>
  <c r="K128" i="48"/>
  <c r="K129" i="48"/>
  <c r="K130" i="48"/>
  <c r="K131" i="48"/>
  <c r="K132" i="48"/>
  <c r="K133" i="48"/>
  <c r="K134" i="48"/>
  <c r="K135" i="48"/>
  <c r="K136" i="48"/>
  <c r="K137" i="48"/>
  <c r="K138" i="48"/>
  <c r="K139" i="48"/>
  <c r="K140" i="48"/>
  <c r="K141" i="48"/>
  <c r="K142" i="48"/>
  <c r="K143" i="48"/>
  <c r="K144" i="48"/>
  <c r="K145" i="48"/>
  <c r="K146" i="48"/>
  <c r="K147" i="48"/>
  <c r="K148" i="48"/>
  <c r="K149" i="48"/>
  <c r="K150" i="48"/>
  <c r="K151" i="48"/>
  <c r="K152" i="48"/>
  <c r="K153" i="48"/>
  <c r="K154" i="48"/>
  <c r="K155" i="48"/>
  <c r="K156" i="48"/>
  <c r="K157" i="48"/>
  <c r="K158" i="48"/>
  <c r="K159" i="48"/>
  <c r="K160" i="48"/>
  <c r="K161" i="48"/>
  <c r="K162" i="48"/>
  <c r="K163" i="48"/>
  <c r="K164" i="48"/>
  <c r="K165" i="48"/>
  <c r="K166" i="48"/>
  <c r="K167" i="48"/>
  <c r="K168" i="48"/>
  <c r="K169" i="48"/>
  <c r="K170" i="48"/>
  <c r="K171" i="48"/>
  <c r="K172" i="48"/>
  <c r="K173" i="48"/>
  <c r="K174" i="48"/>
  <c r="K175" i="48"/>
  <c r="K176" i="48"/>
  <c r="K177" i="48"/>
  <c r="K178" i="48"/>
  <c r="K179" i="48"/>
  <c r="K180" i="48"/>
  <c r="K181" i="48"/>
  <c r="K182" i="48"/>
  <c r="K183" i="48"/>
  <c r="K184" i="48"/>
  <c r="K185" i="48"/>
  <c r="K186" i="48"/>
  <c r="K187" i="48"/>
  <c r="K188" i="48"/>
  <c r="K189" i="48"/>
  <c r="K190" i="48"/>
  <c r="K191" i="48"/>
  <c r="K192" i="48"/>
  <c r="K193" i="48"/>
  <c r="K194" i="48"/>
  <c r="K195" i="48"/>
  <c r="K196" i="48"/>
  <c r="K197" i="48"/>
  <c r="K198" i="48"/>
  <c r="K199" i="48"/>
  <c r="K200" i="48"/>
  <c r="K201" i="48"/>
  <c r="K202" i="48"/>
  <c r="K203" i="48"/>
  <c r="K204" i="48"/>
  <c r="K205" i="48"/>
  <c r="K206" i="48"/>
  <c r="K207" i="48"/>
  <c r="K208" i="48"/>
  <c r="K209" i="48"/>
  <c r="K210" i="48"/>
  <c r="K211" i="48"/>
  <c r="K212" i="48"/>
  <c r="K213" i="48"/>
  <c r="K214" i="48"/>
  <c r="K215" i="48"/>
  <c r="K216" i="48"/>
  <c r="K217" i="48"/>
  <c r="K218" i="48"/>
  <c r="K219" i="48"/>
  <c r="K220" i="48"/>
  <c r="K221" i="48"/>
  <c r="K222" i="48"/>
  <c r="K223" i="48"/>
  <c r="K224" i="48"/>
  <c r="K225" i="48"/>
  <c r="K226" i="48"/>
  <c r="K227" i="48"/>
  <c r="K228" i="48"/>
  <c r="K229" i="48"/>
  <c r="K230" i="48"/>
  <c r="K231" i="48"/>
  <c r="K232" i="48"/>
  <c r="K233" i="48"/>
  <c r="K234" i="48"/>
  <c r="K235" i="48"/>
  <c r="K236" i="48"/>
  <c r="K237" i="48"/>
  <c r="K238" i="48"/>
  <c r="K239" i="48"/>
  <c r="K240" i="48"/>
  <c r="K241" i="48"/>
  <c r="K242" i="48"/>
  <c r="K243" i="48"/>
  <c r="K244" i="48"/>
  <c r="K245" i="48"/>
  <c r="K246" i="48"/>
  <c r="K247" i="48"/>
  <c r="K248" i="48"/>
  <c r="K249" i="48"/>
  <c r="K250" i="48"/>
  <c r="K251" i="48"/>
  <c r="K252" i="48"/>
  <c r="K253" i="48"/>
  <c r="K254" i="48"/>
  <c r="K255" i="48"/>
  <c r="K256" i="48"/>
  <c r="K257" i="48"/>
  <c r="K258" i="48"/>
  <c r="K259" i="48"/>
  <c r="K260" i="48"/>
  <c r="K261" i="48"/>
  <c r="K262" i="48"/>
  <c r="K263" i="48"/>
  <c r="K264" i="48"/>
  <c r="K265" i="48"/>
  <c r="K266" i="48"/>
  <c r="K267" i="48"/>
  <c r="K268" i="48"/>
  <c r="K269" i="48"/>
  <c r="K270" i="48"/>
  <c r="K271" i="48"/>
  <c r="K272" i="48"/>
  <c r="K273" i="48"/>
  <c r="K274" i="48"/>
  <c r="K275" i="48"/>
  <c r="K276" i="48"/>
  <c r="K277" i="48"/>
  <c r="K278" i="48"/>
  <c r="K279" i="48"/>
  <c r="K280" i="48"/>
  <c r="K281" i="48"/>
  <c r="K282" i="48"/>
  <c r="K283" i="48"/>
  <c r="K284" i="48"/>
  <c r="K285" i="48"/>
  <c r="K286" i="48"/>
  <c r="K287" i="48"/>
  <c r="K288" i="48"/>
  <c r="K289" i="48"/>
  <c r="K290" i="48"/>
  <c r="K291" i="48"/>
  <c r="K292" i="48"/>
  <c r="K293" i="48"/>
  <c r="K294" i="48"/>
  <c r="K295" i="48"/>
  <c r="K296" i="48"/>
  <c r="K297" i="48"/>
  <c r="K298" i="48"/>
  <c r="K299" i="48"/>
  <c r="K300" i="48"/>
  <c r="K301" i="48"/>
  <c r="K302" i="48"/>
  <c r="K303" i="48"/>
  <c r="K304" i="48"/>
  <c r="K305" i="48"/>
  <c r="K306" i="48"/>
  <c r="K307" i="48"/>
  <c r="K308" i="48"/>
  <c r="K309" i="48"/>
  <c r="K310" i="48"/>
  <c r="K311" i="48"/>
  <c r="K312" i="48"/>
  <c r="K313" i="48"/>
  <c r="K314" i="48"/>
  <c r="K4" i="48"/>
  <c r="AU7" i="54"/>
  <c r="AU8" i="54"/>
  <c r="AU9" i="54"/>
  <c r="AU10" i="54"/>
  <c r="AU11" i="54"/>
  <c r="AU12" i="54"/>
  <c r="AU13" i="54"/>
  <c r="AU14" i="54"/>
  <c r="AU15" i="54"/>
  <c r="AU16" i="54"/>
  <c r="AU17" i="54"/>
  <c r="AU18" i="54"/>
  <c r="AU19" i="54"/>
  <c r="AU20" i="54"/>
  <c r="AU21" i="54"/>
  <c r="AU22" i="54"/>
  <c r="AU23" i="54"/>
  <c r="AU24" i="54"/>
  <c r="AU25" i="54"/>
  <c r="AU26" i="54"/>
  <c r="AU27" i="54"/>
  <c r="AU28" i="54"/>
  <c r="AU29" i="54"/>
  <c r="AU30" i="54"/>
  <c r="AU31" i="54"/>
  <c r="AU32" i="54"/>
  <c r="AU33" i="54"/>
  <c r="AU34" i="54"/>
  <c r="AU35" i="54"/>
  <c r="AU36" i="54"/>
  <c r="AU37" i="54"/>
  <c r="AU38" i="54"/>
  <c r="AU39" i="54"/>
  <c r="AU40" i="54"/>
  <c r="AU41" i="54"/>
  <c r="AU42" i="54"/>
  <c r="AU43" i="54"/>
  <c r="AU44" i="54"/>
  <c r="AU45" i="54"/>
  <c r="AU46" i="54"/>
  <c r="AU47" i="54"/>
  <c r="AU48" i="54"/>
  <c r="AU49" i="54"/>
  <c r="AU50" i="54"/>
  <c r="AU51" i="54"/>
  <c r="AU52" i="54"/>
  <c r="AU53" i="54"/>
  <c r="AU54" i="54"/>
  <c r="AU55" i="54"/>
  <c r="AU56" i="54"/>
  <c r="AU57" i="54"/>
  <c r="AU58" i="54"/>
  <c r="AU59" i="54"/>
  <c r="AU60" i="54"/>
  <c r="AU61" i="54"/>
  <c r="AU62" i="54"/>
  <c r="AU63" i="54"/>
  <c r="AU64" i="54"/>
  <c r="AU65" i="54"/>
  <c r="AU66" i="54"/>
  <c r="AU67" i="54"/>
  <c r="AU68" i="54"/>
  <c r="AU69" i="54"/>
  <c r="AU70" i="54"/>
  <c r="AU71" i="54"/>
  <c r="AU72" i="54"/>
  <c r="AU73" i="54"/>
  <c r="AU74" i="54"/>
  <c r="AU75" i="54"/>
  <c r="AU76" i="54"/>
  <c r="AU77" i="54"/>
  <c r="AU78" i="54"/>
  <c r="AU79" i="54"/>
  <c r="AU80" i="54"/>
  <c r="AU81" i="54"/>
  <c r="AU82" i="54"/>
  <c r="AU83" i="54"/>
  <c r="AU84" i="54"/>
  <c r="AU85" i="54"/>
  <c r="AU86" i="54"/>
  <c r="AU87" i="54"/>
  <c r="AU88" i="54"/>
  <c r="AU89" i="54"/>
  <c r="AU90" i="54"/>
  <c r="AU91" i="54"/>
  <c r="AU92" i="54"/>
  <c r="AU93" i="54"/>
  <c r="AU94" i="54"/>
  <c r="AU95" i="54"/>
  <c r="AU96" i="54"/>
  <c r="AU97" i="54"/>
  <c r="AU98" i="54"/>
  <c r="AU99" i="54"/>
  <c r="AU100" i="54"/>
  <c r="AU101" i="54"/>
  <c r="AU102" i="54"/>
  <c r="AU103" i="54"/>
  <c r="AU104" i="54"/>
  <c r="AU105" i="54"/>
  <c r="AU106" i="54"/>
  <c r="AU107" i="54"/>
  <c r="AU108" i="54"/>
  <c r="AU109" i="54"/>
  <c r="AU110" i="54"/>
  <c r="AU111" i="54"/>
  <c r="AU112" i="54"/>
  <c r="AU113" i="54"/>
  <c r="AU114" i="54"/>
  <c r="AU115" i="54"/>
  <c r="AU116" i="54"/>
  <c r="AU117" i="54"/>
  <c r="AU118" i="54"/>
  <c r="AU119" i="54"/>
  <c r="AU120" i="54"/>
  <c r="AU121" i="54"/>
  <c r="AU122" i="54"/>
  <c r="AU123" i="54"/>
  <c r="AU124" i="54"/>
  <c r="AU125" i="54"/>
  <c r="AU126" i="54"/>
  <c r="AU127" i="54"/>
  <c r="AU128" i="54"/>
  <c r="AU129" i="54"/>
  <c r="AU130" i="54"/>
  <c r="AU131" i="54"/>
  <c r="AU132" i="54"/>
  <c r="AU133" i="54"/>
  <c r="AU134" i="54"/>
  <c r="AU135" i="54"/>
  <c r="AU136" i="54"/>
  <c r="AU137" i="54"/>
  <c r="AU138" i="54"/>
  <c r="AU139" i="54"/>
  <c r="AU140" i="54"/>
  <c r="AU141" i="54"/>
  <c r="AU142" i="54"/>
  <c r="AU143" i="54"/>
  <c r="AU144" i="54"/>
  <c r="AU145" i="54"/>
  <c r="AU146" i="54"/>
  <c r="AU147" i="54"/>
  <c r="AU148" i="54"/>
  <c r="AU149" i="54"/>
  <c r="AU150" i="54"/>
  <c r="AU151" i="54"/>
  <c r="AU152" i="54"/>
  <c r="AU153" i="54"/>
  <c r="AU154" i="54"/>
  <c r="AU155" i="54"/>
  <c r="AU156" i="54"/>
  <c r="AU157" i="54"/>
  <c r="AU158" i="54"/>
  <c r="AU159" i="54"/>
  <c r="AU160" i="54"/>
  <c r="AU161" i="54"/>
  <c r="AU162" i="54"/>
  <c r="AU163" i="54"/>
  <c r="AU164" i="54"/>
  <c r="AU165" i="54"/>
  <c r="AU166" i="54"/>
  <c r="AU167" i="54"/>
  <c r="AU168" i="54"/>
  <c r="AU169" i="54"/>
  <c r="AU170" i="54"/>
  <c r="AU171" i="54"/>
  <c r="AU172" i="54"/>
  <c r="AU173" i="54"/>
  <c r="AU174" i="54"/>
  <c r="AU175" i="54"/>
  <c r="AU176" i="54"/>
  <c r="AU177" i="54"/>
  <c r="AU178" i="54"/>
  <c r="AU179" i="54"/>
  <c r="AU180" i="54"/>
  <c r="AU181" i="54"/>
  <c r="AU182" i="54"/>
  <c r="AU183" i="54"/>
  <c r="AU184" i="54"/>
  <c r="AU185" i="54"/>
  <c r="AU186" i="54"/>
  <c r="AU187" i="54"/>
  <c r="AU188" i="54"/>
  <c r="AU189" i="54"/>
  <c r="AU190" i="54"/>
  <c r="AU191" i="54"/>
  <c r="AU192" i="54"/>
  <c r="AU193" i="54"/>
  <c r="AU194" i="54"/>
  <c r="AU195" i="54"/>
  <c r="AU196" i="54"/>
  <c r="AU197" i="54"/>
  <c r="AU198" i="54"/>
  <c r="AU199" i="54"/>
  <c r="AU200" i="54"/>
  <c r="AU201" i="54"/>
  <c r="AU202" i="54"/>
  <c r="AU203" i="54"/>
  <c r="AU204" i="54"/>
  <c r="AU205" i="54"/>
  <c r="AU206" i="54"/>
  <c r="AU207" i="54"/>
  <c r="AU208" i="54"/>
  <c r="AU209" i="54"/>
  <c r="AU210" i="54"/>
  <c r="AU211" i="54"/>
  <c r="AU212" i="54"/>
  <c r="AU213" i="54"/>
  <c r="AU214" i="54"/>
  <c r="AU215" i="54"/>
  <c r="AU216" i="54"/>
  <c r="AU217" i="54"/>
  <c r="AU218" i="54"/>
  <c r="AU219" i="54"/>
  <c r="AU220" i="54"/>
  <c r="AU221" i="54"/>
  <c r="AU222" i="54"/>
  <c r="AU223" i="54"/>
  <c r="AU224" i="54"/>
  <c r="AU225" i="54"/>
  <c r="AU226" i="54"/>
  <c r="AU227" i="54"/>
  <c r="AU228" i="54"/>
  <c r="AU229" i="54"/>
  <c r="AU230" i="54"/>
  <c r="AU231" i="54"/>
  <c r="AU232" i="54"/>
  <c r="AU233" i="54"/>
  <c r="AU234" i="54"/>
  <c r="AU235" i="54"/>
  <c r="AU236" i="54"/>
  <c r="AU237" i="54"/>
  <c r="AU238" i="54"/>
  <c r="AU239" i="54"/>
  <c r="AU240" i="54"/>
  <c r="AU241" i="54"/>
  <c r="AU242" i="54"/>
  <c r="AU243" i="54"/>
  <c r="AU244" i="54"/>
  <c r="AU245" i="54"/>
  <c r="AU246" i="54"/>
  <c r="AU247" i="54"/>
  <c r="AU248" i="54"/>
  <c r="AU249" i="54"/>
  <c r="AU250" i="54"/>
  <c r="AU251" i="54"/>
  <c r="AU252" i="54"/>
  <c r="AU253" i="54"/>
  <c r="AU254" i="54"/>
  <c r="AU255" i="54"/>
  <c r="AU256" i="54"/>
  <c r="AU257" i="54"/>
  <c r="AU258" i="54"/>
  <c r="AU259" i="54"/>
  <c r="AU260" i="54"/>
  <c r="AU261" i="54"/>
  <c r="AU262" i="54"/>
  <c r="AU263" i="54"/>
  <c r="AU264" i="54"/>
  <c r="AU265" i="54"/>
  <c r="AU266" i="54"/>
  <c r="AU267" i="54"/>
  <c r="AU268" i="54"/>
  <c r="AU269" i="54"/>
  <c r="AU270" i="54"/>
  <c r="AU271" i="54"/>
  <c r="AU272" i="54"/>
  <c r="AU273" i="54"/>
  <c r="AU274" i="54"/>
  <c r="AU275" i="54"/>
  <c r="AU276" i="54"/>
  <c r="AU277" i="54"/>
  <c r="AU278" i="54"/>
  <c r="AU279" i="54"/>
  <c r="AU280" i="54"/>
  <c r="AU281" i="54"/>
  <c r="AU282" i="54"/>
  <c r="AU283" i="54"/>
  <c r="AU284" i="54"/>
  <c r="AU285" i="54"/>
  <c r="AU286" i="54"/>
  <c r="AU287" i="54"/>
  <c r="AU288" i="54"/>
  <c r="AU289" i="54"/>
  <c r="AU290" i="54"/>
  <c r="AU291" i="54"/>
  <c r="AU292" i="54"/>
  <c r="AU293" i="54"/>
  <c r="AU294" i="54"/>
  <c r="AU295" i="54"/>
  <c r="AU296" i="54"/>
  <c r="AU297" i="54"/>
  <c r="AU298" i="54"/>
  <c r="AU299" i="54"/>
  <c r="AU300" i="54"/>
  <c r="AU301" i="54"/>
  <c r="AU302" i="54"/>
  <c r="AU303" i="54"/>
  <c r="AU304" i="54"/>
  <c r="AU305" i="54"/>
  <c r="AU306" i="54"/>
  <c r="AU307" i="54"/>
  <c r="AU6" i="54"/>
  <c r="I31" i="22"/>
  <c r="I37" i="22"/>
  <c r="AS6" i="54"/>
  <c r="AT6" i="54" s="1"/>
  <c r="K31" i="22"/>
  <c r="AR7" i="54"/>
  <c r="AR8" i="54"/>
  <c r="AR9" i="54"/>
  <c r="AR10" i="54"/>
  <c r="AR11" i="54"/>
  <c r="AR12" i="54"/>
  <c r="AR13" i="54"/>
  <c r="AR14" i="54"/>
  <c r="AR15" i="54"/>
  <c r="AR16" i="54"/>
  <c r="AR17" i="54"/>
  <c r="AR18" i="54"/>
  <c r="AR19" i="54"/>
  <c r="AR20" i="54"/>
  <c r="AR21" i="54"/>
  <c r="AR22" i="54"/>
  <c r="AR23" i="54"/>
  <c r="AR24" i="54"/>
  <c r="AR25" i="54"/>
  <c r="AR26" i="54"/>
  <c r="AR27" i="54"/>
  <c r="AR28" i="54"/>
  <c r="AR29" i="54"/>
  <c r="AR30" i="54"/>
  <c r="AR31" i="54"/>
  <c r="AR32" i="54"/>
  <c r="AR33" i="54"/>
  <c r="AR34" i="54"/>
  <c r="AR35" i="54"/>
  <c r="AR36" i="54"/>
  <c r="AR37" i="54"/>
  <c r="AR38" i="54"/>
  <c r="AR39" i="54"/>
  <c r="AR40" i="54"/>
  <c r="AR41" i="54"/>
  <c r="AR42" i="54"/>
  <c r="AR43" i="54"/>
  <c r="AR44" i="54"/>
  <c r="AR45" i="54"/>
  <c r="AR46" i="54"/>
  <c r="AR47" i="54"/>
  <c r="AR48" i="54"/>
  <c r="AR49" i="54"/>
  <c r="AR50" i="54"/>
  <c r="AR51" i="54"/>
  <c r="AR52" i="54"/>
  <c r="AR53" i="54"/>
  <c r="AR54" i="54"/>
  <c r="AR55" i="54"/>
  <c r="AR56" i="54"/>
  <c r="AR57" i="54"/>
  <c r="AR58" i="54"/>
  <c r="AR59" i="54"/>
  <c r="AR60" i="54"/>
  <c r="AR61" i="54"/>
  <c r="AR62" i="54"/>
  <c r="AR63" i="54"/>
  <c r="AR64" i="54"/>
  <c r="AR65" i="54"/>
  <c r="AR66" i="54"/>
  <c r="AR67" i="54"/>
  <c r="AR68" i="54"/>
  <c r="AR69" i="54"/>
  <c r="AR70" i="54"/>
  <c r="AR71" i="54"/>
  <c r="AR72" i="54"/>
  <c r="AR73" i="54"/>
  <c r="AR74" i="54"/>
  <c r="AR75" i="54"/>
  <c r="AR76" i="54"/>
  <c r="AR77" i="54"/>
  <c r="AR78" i="54"/>
  <c r="AR79" i="54"/>
  <c r="AR80" i="54"/>
  <c r="AR81" i="54"/>
  <c r="AR82" i="54"/>
  <c r="AR83" i="54"/>
  <c r="AR84" i="54"/>
  <c r="AR85" i="54"/>
  <c r="AR86" i="54"/>
  <c r="AR87" i="54"/>
  <c r="AR88" i="54"/>
  <c r="AR89" i="54"/>
  <c r="AR90" i="54"/>
  <c r="AR91" i="54"/>
  <c r="AR92" i="54"/>
  <c r="AR93" i="54"/>
  <c r="AR94" i="54"/>
  <c r="AR95" i="54"/>
  <c r="AR96" i="54"/>
  <c r="AR97" i="54"/>
  <c r="AR98" i="54"/>
  <c r="AR99" i="54"/>
  <c r="AR100" i="54"/>
  <c r="AR101" i="54"/>
  <c r="AR102" i="54"/>
  <c r="AR103" i="54"/>
  <c r="AR104" i="54"/>
  <c r="AR105" i="54"/>
  <c r="AR106" i="54"/>
  <c r="AR107" i="54"/>
  <c r="AR108" i="54"/>
  <c r="AR109" i="54"/>
  <c r="AR110" i="54"/>
  <c r="AR111" i="54"/>
  <c r="AR112" i="54"/>
  <c r="AR113" i="54"/>
  <c r="AR114" i="54"/>
  <c r="AR115" i="54"/>
  <c r="AR116" i="54"/>
  <c r="AR117" i="54"/>
  <c r="AR118" i="54"/>
  <c r="AR119" i="54"/>
  <c r="AR120" i="54"/>
  <c r="AR121" i="54"/>
  <c r="AR122" i="54"/>
  <c r="AR123" i="54"/>
  <c r="AR124" i="54"/>
  <c r="AR125" i="54"/>
  <c r="AR126" i="54"/>
  <c r="AR127" i="54"/>
  <c r="AR128" i="54"/>
  <c r="AR129" i="54"/>
  <c r="AR130" i="54"/>
  <c r="AR131" i="54"/>
  <c r="AR132" i="54"/>
  <c r="AR133" i="54"/>
  <c r="AR134" i="54"/>
  <c r="AR135" i="54"/>
  <c r="AR136" i="54"/>
  <c r="AR137" i="54"/>
  <c r="AR138" i="54"/>
  <c r="AR139" i="54"/>
  <c r="AR140" i="54"/>
  <c r="AR141" i="54"/>
  <c r="AR142" i="54"/>
  <c r="AR143" i="54"/>
  <c r="AR144" i="54"/>
  <c r="AR145" i="54"/>
  <c r="AR146" i="54"/>
  <c r="AR147" i="54"/>
  <c r="AR148" i="54"/>
  <c r="AR149" i="54"/>
  <c r="AR150" i="54"/>
  <c r="AR151" i="54"/>
  <c r="AR152" i="54"/>
  <c r="AR153" i="54"/>
  <c r="AR154" i="54"/>
  <c r="AR155" i="54"/>
  <c r="AR156" i="54"/>
  <c r="AR157" i="54"/>
  <c r="AR158" i="54"/>
  <c r="AR159" i="54"/>
  <c r="AR160" i="54"/>
  <c r="AR161" i="54"/>
  <c r="AR162" i="54"/>
  <c r="AR163" i="54"/>
  <c r="AR164" i="54"/>
  <c r="AR165" i="54"/>
  <c r="AR166" i="54"/>
  <c r="AR167" i="54"/>
  <c r="AR168" i="54"/>
  <c r="AR169" i="54"/>
  <c r="AR170" i="54"/>
  <c r="AR171" i="54"/>
  <c r="AR172" i="54"/>
  <c r="AR173" i="54"/>
  <c r="AR174" i="54"/>
  <c r="AR175" i="54"/>
  <c r="AR176" i="54"/>
  <c r="AR177" i="54"/>
  <c r="AR178" i="54"/>
  <c r="AR179" i="54"/>
  <c r="AR180" i="54"/>
  <c r="AR181" i="54"/>
  <c r="AR182" i="54"/>
  <c r="AR183" i="54"/>
  <c r="AR184" i="54"/>
  <c r="AR185" i="54"/>
  <c r="AR186" i="54"/>
  <c r="AR187" i="54"/>
  <c r="AR188" i="54"/>
  <c r="AR189" i="54"/>
  <c r="AR190" i="54"/>
  <c r="AR191" i="54"/>
  <c r="AR192" i="54"/>
  <c r="AR193" i="54"/>
  <c r="AR194" i="54"/>
  <c r="AR195" i="54"/>
  <c r="AR196" i="54"/>
  <c r="AR197" i="54"/>
  <c r="AR198" i="54"/>
  <c r="AR199" i="54"/>
  <c r="AR200" i="54"/>
  <c r="AR201" i="54"/>
  <c r="AR202" i="54"/>
  <c r="AR203" i="54"/>
  <c r="AR204" i="54"/>
  <c r="AR205" i="54"/>
  <c r="AR206" i="54"/>
  <c r="AR207" i="54"/>
  <c r="AR208" i="54"/>
  <c r="AR209" i="54"/>
  <c r="AR210" i="54"/>
  <c r="AR211" i="54"/>
  <c r="AR212" i="54"/>
  <c r="AR213" i="54"/>
  <c r="AR214" i="54"/>
  <c r="AR215" i="54"/>
  <c r="AR216" i="54"/>
  <c r="AR217" i="54"/>
  <c r="AR218" i="54"/>
  <c r="AR219" i="54"/>
  <c r="AR220" i="54"/>
  <c r="AR221" i="54"/>
  <c r="AR222" i="54"/>
  <c r="AR223" i="54"/>
  <c r="AR224" i="54"/>
  <c r="AR225" i="54"/>
  <c r="AR226" i="54"/>
  <c r="AR227" i="54"/>
  <c r="AR228" i="54"/>
  <c r="AR229" i="54"/>
  <c r="AR230" i="54"/>
  <c r="AR231" i="54"/>
  <c r="AR232" i="54"/>
  <c r="AR233" i="54"/>
  <c r="AR234" i="54"/>
  <c r="AR235" i="54"/>
  <c r="AR236" i="54"/>
  <c r="AR237" i="54"/>
  <c r="AR238" i="54"/>
  <c r="AR239" i="54"/>
  <c r="AR240" i="54"/>
  <c r="AR241" i="54"/>
  <c r="AR242" i="54"/>
  <c r="AR243" i="54"/>
  <c r="AR244" i="54"/>
  <c r="AR245" i="54"/>
  <c r="AR246" i="54"/>
  <c r="AR247" i="54"/>
  <c r="AR248" i="54"/>
  <c r="AR249" i="54"/>
  <c r="AR250" i="54"/>
  <c r="AR251" i="54"/>
  <c r="AR252" i="54"/>
  <c r="AR253" i="54"/>
  <c r="AR254" i="54"/>
  <c r="AR255" i="54"/>
  <c r="AR256" i="54"/>
  <c r="AR257" i="54"/>
  <c r="AR258" i="54"/>
  <c r="AR259" i="54"/>
  <c r="AR260" i="54"/>
  <c r="AR261" i="54"/>
  <c r="AR262" i="54"/>
  <c r="AR263" i="54"/>
  <c r="AR264" i="54"/>
  <c r="AR265" i="54"/>
  <c r="AR266" i="54"/>
  <c r="AR267" i="54"/>
  <c r="AR268" i="54"/>
  <c r="AR269" i="54"/>
  <c r="AR270" i="54"/>
  <c r="AR271" i="54"/>
  <c r="AR272" i="54"/>
  <c r="AR273" i="54"/>
  <c r="AR274" i="54"/>
  <c r="AR275" i="54"/>
  <c r="AR276" i="54"/>
  <c r="AR277" i="54"/>
  <c r="AR278" i="54"/>
  <c r="AR279" i="54"/>
  <c r="AR280" i="54"/>
  <c r="AR281" i="54"/>
  <c r="AR282" i="54"/>
  <c r="AR283" i="54"/>
  <c r="AR284" i="54"/>
  <c r="AR285" i="54"/>
  <c r="AR286" i="54"/>
  <c r="AR287" i="54"/>
  <c r="AR288" i="54"/>
  <c r="AR289" i="54"/>
  <c r="AR290" i="54"/>
  <c r="AR291" i="54"/>
  <c r="AR292" i="54"/>
  <c r="AR293" i="54"/>
  <c r="AR294" i="54"/>
  <c r="AR295" i="54"/>
  <c r="AR296" i="54"/>
  <c r="AR297" i="54"/>
  <c r="AR298" i="54"/>
  <c r="AR299" i="54"/>
  <c r="AR300" i="54"/>
  <c r="AR301" i="54"/>
  <c r="AR302" i="54"/>
  <c r="AR303" i="54"/>
  <c r="AR304" i="54"/>
  <c r="AR305" i="54"/>
  <c r="AR306" i="54"/>
  <c r="AR307" i="54"/>
  <c r="K58" i="52"/>
  <c r="AQ7" i="54"/>
  <c r="AQ8" i="54"/>
  <c r="AQ9" i="54"/>
  <c r="AQ10" i="54"/>
  <c r="AQ11" i="54"/>
  <c r="AQ12" i="54"/>
  <c r="AQ13" i="54"/>
  <c r="AQ14" i="54"/>
  <c r="AQ15" i="54"/>
  <c r="AQ16" i="54"/>
  <c r="AQ17" i="54"/>
  <c r="AQ18" i="54"/>
  <c r="AQ19" i="54"/>
  <c r="AQ20" i="54"/>
  <c r="AQ21" i="54"/>
  <c r="AQ22" i="54"/>
  <c r="AQ23" i="54"/>
  <c r="AQ24" i="54"/>
  <c r="AQ25" i="54"/>
  <c r="AQ26" i="54"/>
  <c r="AQ27" i="54"/>
  <c r="AQ28" i="54"/>
  <c r="AQ29" i="54"/>
  <c r="AQ30" i="54"/>
  <c r="AQ31" i="54"/>
  <c r="AQ32" i="54"/>
  <c r="AQ33" i="54"/>
  <c r="AQ34" i="54"/>
  <c r="AQ35" i="54"/>
  <c r="AQ36" i="54"/>
  <c r="AQ37" i="54"/>
  <c r="AQ38" i="54"/>
  <c r="AQ39" i="54"/>
  <c r="AQ40" i="54"/>
  <c r="AQ41" i="54"/>
  <c r="AQ42" i="54"/>
  <c r="AQ43" i="54"/>
  <c r="AQ44" i="54"/>
  <c r="AQ45" i="54"/>
  <c r="AQ46" i="54"/>
  <c r="AQ47" i="54"/>
  <c r="AQ48" i="54"/>
  <c r="AQ49" i="54"/>
  <c r="AQ50" i="54"/>
  <c r="AQ51" i="54"/>
  <c r="AQ52" i="54"/>
  <c r="AQ53" i="54"/>
  <c r="AQ54" i="54"/>
  <c r="AQ55" i="54"/>
  <c r="AQ56" i="54"/>
  <c r="AQ57" i="54"/>
  <c r="AQ58" i="54"/>
  <c r="AQ59" i="54"/>
  <c r="AQ60" i="54"/>
  <c r="AQ61" i="54"/>
  <c r="AQ62" i="54"/>
  <c r="AQ63" i="54"/>
  <c r="AQ64" i="54"/>
  <c r="AQ65" i="54"/>
  <c r="AQ66" i="54"/>
  <c r="AQ67" i="54"/>
  <c r="AQ68" i="54"/>
  <c r="AQ69" i="54"/>
  <c r="AQ70" i="54"/>
  <c r="AQ71" i="54"/>
  <c r="AQ72" i="54"/>
  <c r="AQ73" i="54"/>
  <c r="AQ74" i="54"/>
  <c r="AQ75" i="54"/>
  <c r="AQ76" i="54"/>
  <c r="AQ77" i="54"/>
  <c r="AQ78" i="54"/>
  <c r="AQ79" i="54"/>
  <c r="AQ80" i="54"/>
  <c r="AQ81" i="54"/>
  <c r="AQ82" i="54"/>
  <c r="AQ83" i="54"/>
  <c r="AQ84" i="54"/>
  <c r="AQ85" i="54"/>
  <c r="AQ86" i="54"/>
  <c r="AQ87" i="54"/>
  <c r="AQ88" i="54"/>
  <c r="AQ89" i="54"/>
  <c r="AQ90" i="54"/>
  <c r="AQ91" i="54"/>
  <c r="AQ92" i="54"/>
  <c r="AQ93" i="54"/>
  <c r="AQ94" i="54"/>
  <c r="AQ95" i="54"/>
  <c r="AQ96" i="54"/>
  <c r="AQ97" i="54"/>
  <c r="AQ98" i="54"/>
  <c r="AQ99" i="54"/>
  <c r="AQ100" i="54"/>
  <c r="AQ101" i="54"/>
  <c r="AQ102" i="54"/>
  <c r="AQ103" i="54"/>
  <c r="AQ104" i="54"/>
  <c r="AQ105" i="54"/>
  <c r="AQ106" i="54"/>
  <c r="AQ107" i="54"/>
  <c r="AQ108" i="54"/>
  <c r="AQ109" i="54"/>
  <c r="AQ110" i="54"/>
  <c r="AQ111" i="54"/>
  <c r="AQ112" i="54"/>
  <c r="AQ113" i="54"/>
  <c r="AQ114" i="54"/>
  <c r="AQ115" i="54"/>
  <c r="AQ116" i="54"/>
  <c r="AQ117" i="54"/>
  <c r="AQ118" i="54"/>
  <c r="AQ119" i="54"/>
  <c r="AQ120" i="54"/>
  <c r="AQ121" i="54"/>
  <c r="AQ122" i="54"/>
  <c r="AQ123" i="54"/>
  <c r="AQ124" i="54"/>
  <c r="AQ125" i="54"/>
  <c r="AQ126" i="54"/>
  <c r="AQ127" i="54"/>
  <c r="AQ128" i="54"/>
  <c r="AQ129" i="54"/>
  <c r="AQ130" i="54"/>
  <c r="AQ131" i="54"/>
  <c r="AQ132" i="54"/>
  <c r="AQ133" i="54"/>
  <c r="AQ134" i="54"/>
  <c r="AQ135" i="54"/>
  <c r="AQ136" i="54"/>
  <c r="AQ137" i="54"/>
  <c r="AQ138" i="54"/>
  <c r="AQ139" i="54"/>
  <c r="AQ140" i="54"/>
  <c r="AQ141" i="54"/>
  <c r="AQ142" i="54"/>
  <c r="AQ143" i="54"/>
  <c r="AQ144" i="54"/>
  <c r="AQ145" i="54"/>
  <c r="AQ146" i="54"/>
  <c r="AQ147" i="54"/>
  <c r="AQ148" i="54"/>
  <c r="AQ149" i="54"/>
  <c r="AQ150" i="54"/>
  <c r="AQ151" i="54"/>
  <c r="AQ152" i="54"/>
  <c r="AQ153" i="54"/>
  <c r="AQ154" i="54"/>
  <c r="AQ155" i="54"/>
  <c r="AQ156" i="54"/>
  <c r="AQ157" i="54"/>
  <c r="AQ158" i="54"/>
  <c r="AQ159" i="54"/>
  <c r="AQ160" i="54"/>
  <c r="AQ161" i="54"/>
  <c r="AQ162" i="54"/>
  <c r="AQ163" i="54"/>
  <c r="AQ164" i="54"/>
  <c r="AQ165" i="54"/>
  <c r="AQ166" i="54"/>
  <c r="AQ167" i="54"/>
  <c r="AQ168" i="54"/>
  <c r="AQ169" i="54"/>
  <c r="AQ170" i="54"/>
  <c r="AQ171" i="54"/>
  <c r="AQ172" i="54"/>
  <c r="AQ173" i="54"/>
  <c r="AQ174" i="54"/>
  <c r="AQ175" i="54"/>
  <c r="AQ176" i="54"/>
  <c r="AQ177" i="54"/>
  <c r="AQ178" i="54"/>
  <c r="AQ179" i="54"/>
  <c r="AQ180" i="54"/>
  <c r="AQ181" i="54"/>
  <c r="AQ182" i="54"/>
  <c r="AQ183" i="54"/>
  <c r="AQ184" i="54"/>
  <c r="AQ185" i="54"/>
  <c r="AQ186" i="54"/>
  <c r="AQ187" i="54"/>
  <c r="AQ188" i="54"/>
  <c r="AQ189" i="54"/>
  <c r="AQ190" i="54"/>
  <c r="AQ191" i="54"/>
  <c r="AQ192" i="54"/>
  <c r="AQ193" i="54"/>
  <c r="AQ194" i="54"/>
  <c r="AQ195" i="54"/>
  <c r="AQ196" i="54"/>
  <c r="AQ197" i="54"/>
  <c r="AQ198" i="54"/>
  <c r="AQ199" i="54"/>
  <c r="AQ200" i="54"/>
  <c r="AQ201" i="54"/>
  <c r="AQ202" i="54"/>
  <c r="AQ203" i="54"/>
  <c r="AQ204" i="54"/>
  <c r="AQ205" i="54"/>
  <c r="AQ206" i="54"/>
  <c r="AQ207" i="54"/>
  <c r="AQ208" i="54"/>
  <c r="AQ209" i="54"/>
  <c r="AQ210" i="54"/>
  <c r="AQ211" i="54"/>
  <c r="AQ212" i="54"/>
  <c r="AQ213" i="54"/>
  <c r="AQ214" i="54"/>
  <c r="AQ215" i="54"/>
  <c r="AQ216" i="54"/>
  <c r="AQ217" i="54"/>
  <c r="AQ218" i="54"/>
  <c r="AQ219" i="54"/>
  <c r="AQ220" i="54"/>
  <c r="AQ221" i="54"/>
  <c r="AQ222" i="54"/>
  <c r="AQ223" i="54"/>
  <c r="AQ224" i="54"/>
  <c r="AQ225" i="54"/>
  <c r="AQ226" i="54"/>
  <c r="AQ227" i="54"/>
  <c r="AQ228" i="54"/>
  <c r="AQ229" i="54"/>
  <c r="AQ230" i="54"/>
  <c r="AQ231" i="54"/>
  <c r="AQ232" i="54"/>
  <c r="AQ233" i="54"/>
  <c r="AQ234" i="54"/>
  <c r="AQ235" i="54"/>
  <c r="AQ236" i="54"/>
  <c r="AQ237" i="54"/>
  <c r="AQ238" i="54"/>
  <c r="AQ239" i="54"/>
  <c r="AQ240" i="54"/>
  <c r="AQ241" i="54"/>
  <c r="AQ242" i="54"/>
  <c r="AQ243" i="54"/>
  <c r="AQ244" i="54"/>
  <c r="AQ245" i="54"/>
  <c r="AQ246" i="54"/>
  <c r="AQ247" i="54"/>
  <c r="AQ248" i="54"/>
  <c r="AQ249" i="54"/>
  <c r="AQ250" i="54"/>
  <c r="AQ251" i="54"/>
  <c r="AQ252" i="54"/>
  <c r="AQ253" i="54"/>
  <c r="AQ254" i="54"/>
  <c r="AQ255" i="54"/>
  <c r="AQ256" i="54"/>
  <c r="AQ257" i="54"/>
  <c r="AQ258" i="54"/>
  <c r="AQ259" i="54"/>
  <c r="AQ260" i="54"/>
  <c r="AQ261" i="54"/>
  <c r="AQ262" i="54"/>
  <c r="AQ263" i="54"/>
  <c r="AQ264" i="54"/>
  <c r="AQ265" i="54"/>
  <c r="AQ266" i="54"/>
  <c r="AQ267" i="54"/>
  <c r="AQ268" i="54"/>
  <c r="AQ269" i="54"/>
  <c r="AQ270" i="54"/>
  <c r="AQ271" i="54"/>
  <c r="AQ272" i="54"/>
  <c r="AQ273" i="54"/>
  <c r="AQ274" i="54"/>
  <c r="AQ275" i="54"/>
  <c r="AQ276" i="54"/>
  <c r="AQ277" i="54"/>
  <c r="AQ278" i="54"/>
  <c r="AQ279" i="54"/>
  <c r="AQ280" i="54"/>
  <c r="AQ281" i="54"/>
  <c r="AQ282" i="54"/>
  <c r="AQ283" i="54"/>
  <c r="AQ284" i="54"/>
  <c r="AQ285" i="54"/>
  <c r="AQ286" i="54"/>
  <c r="AQ287" i="54"/>
  <c r="AQ288" i="54"/>
  <c r="AQ289" i="54"/>
  <c r="AQ290" i="54"/>
  <c r="AQ291" i="54"/>
  <c r="AQ292" i="54"/>
  <c r="AQ293" i="54"/>
  <c r="AQ294" i="54"/>
  <c r="AQ295" i="54"/>
  <c r="AQ296" i="54"/>
  <c r="AQ297" i="54"/>
  <c r="AQ298" i="54"/>
  <c r="AQ299" i="54"/>
  <c r="AQ300" i="54"/>
  <c r="AQ301" i="54"/>
  <c r="AQ302" i="54"/>
  <c r="AQ303" i="54"/>
  <c r="AQ304" i="54"/>
  <c r="AQ305" i="54"/>
  <c r="AQ306" i="54"/>
  <c r="AQ307" i="54"/>
  <c r="AQ6" i="54"/>
  <c r="AP7" i="54"/>
  <c r="AP8" i="54"/>
  <c r="AP9" i="54"/>
  <c r="AP10" i="54"/>
  <c r="AP11" i="54"/>
  <c r="AP12" i="54"/>
  <c r="AP13" i="54"/>
  <c r="AP14" i="54"/>
  <c r="AP15" i="54"/>
  <c r="AP16" i="54"/>
  <c r="AP17" i="54"/>
  <c r="AP18" i="54"/>
  <c r="AP19" i="54"/>
  <c r="AP20" i="54"/>
  <c r="AP21" i="54"/>
  <c r="AP22" i="54"/>
  <c r="AP23" i="54"/>
  <c r="AP24" i="54"/>
  <c r="AP25" i="54"/>
  <c r="AP26" i="54"/>
  <c r="AP27" i="54"/>
  <c r="AP28" i="54"/>
  <c r="AP29" i="54"/>
  <c r="AP30" i="54"/>
  <c r="AP31" i="54"/>
  <c r="AP32" i="54"/>
  <c r="AP33" i="54"/>
  <c r="AP34" i="54"/>
  <c r="AP35" i="54"/>
  <c r="AP36" i="54"/>
  <c r="AP37" i="54"/>
  <c r="AP38" i="54"/>
  <c r="AP39" i="54"/>
  <c r="AP40" i="54"/>
  <c r="AP41" i="54"/>
  <c r="AP42" i="54"/>
  <c r="AP43" i="54"/>
  <c r="AP44" i="54"/>
  <c r="AP45" i="54"/>
  <c r="AP46" i="54"/>
  <c r="AP47" i="54"/>
  <c r="AP48" i="54"/>
  <c r="AP49" i="54"/>
  <c r="AP50" i="54"/>
  <c r="AP51" i="54"/>
  <c r="AP52" i="54"/>
  <c r="AP53" i="54"/>
  <c r="AP54" i="54"/>
  <c r="AP55" i="54"/>
  <c r="AP56" i="54"/>
  <c r="AP57" i="54"/>
  <c r="AP58" i="54"/>
  <c r="AP59" i="54"/>
  <c r="AP60" i="54"/>
  <c r="AP61" i="54"/>
  <c r="AP62" i="54"/>
  <c r="AP63" i="54"/>
  <c r="AP64" i="54"/>
  <c r="AP65" i="54"/>
  <c r="AP66" i="54"/>
  <c r="AP67" i="54"/>
  <c r="AP68" i="54"/>
  <c r="AP69" i="54"/>
  <c r="AP70" i="54"/>
  <c r="AP71" i="54"/>
  <c r="AP72" i="54"/>
  <c r="AP73" i="54"/>
  <c r="AP74" i="54"/>
  <c r="AP75" i="54"/>
  <c r="AP76" i="54"/>
  <c r="AP77" i="54"/>
  <c r="AP78" i="54"/>
  <c r="AP79" i="54"/>
  <c r="AP80" i="54"/>
  <c r="AP81" i="54"/>
  <c r="AP82" i="54"/>
  <c r="AP83" i="54"/>
  <c r="AP84" i="54"/>
  <c r="AP85" i="54"/>
  <c r="AP86" i="54"/>
  <c r="AP87" i="54"/>
  <c r="AP88" i="54"/>
  <c r="AP89" i="54"/>
  <c r="AP90" i="54"/>
  <c r="AP91" i="54"/>
  <c r="AP92" i="54"/>
  <c r="AP93" i="54"/>
  <c r="AP94" i="54"/>
  <c r="AP95" i="54"/>
  <c r="AP96" i="54"/>
  <c r="AP97" i="54"/>
  <c r="AP98" i="54"/>
  <c r="AP99" i="54"/>
  <c r="AP100" i="54"/>
  <c r="AP101" i="54"/>
  <c r="AP102" i="54"/>
  <c r="AP103" i="54"/>
  <c r="AP104" i="54"/>
  <c r="AP105" i="54"/>
  <c r="AP106" i="54"/>
  <c r="AP107" i="54"/>
  <c r="AP108" i="54"/>
  <c r="AP109" i="54"/>
  <c r="AP110" i="54"/>
  <c r="AP111" i="54"/>
  <c r="AP112" i="54"/>
  <c r="AP113" i="54"/>
  <c r="AP114" i="54"/>
  <c r="AP115" i="54"/>
  <c r="AP116" i="54"/>
  <c r="AP117" i="54"/>
  <c r="AP118" i="54"/>
  <c r="AP119" i="54"/>
  <c r="AP120" i="54"/>
  <c r="AP121" i="54"/>
  <c r="AP122" i="54"/>
  <c r="AP123" i="54"/>
  <c r="AP124" i="54"/>
  <c r="AP125" i="54"/>
  <c r="AP126" i="54"/>
  <c r="AP127" i="54"/>
  <c r="AP128" i="54"/>
  <c r="AP129" i="54"/>
  <c r="AP130" i="54"/>
  <c r="AP131" i="54"/>
  <c r="AP132" i="54"/>
  <c r="AP133" i="54"/>
  <c r="AP134" i="54"/>
  <c r="AP135" i="54"/>
  <c r="AP136" i="54"/>
  <c r="AP137" i="54"/>
  <c r="AP138" i="54"/>
  <c r="AP139" i="54"/>
  <c r="AP140" i="54"/>
  <c r="AP141" i="54"/>
  <c r="AP142" i="54"/>
  <c r="AP143" i="54"/>
  <c r="AP144" i="54"/>
  <c r="AP145" i="54"/>
  <c r="AP146" i="54"/>
  <c r="AP147" i="54"/>
  <c r="AP148" i="54"/>
  <c r="AP149" i="54"/>
  <c r="AP150" i="54"/>
  <c r="AP151" i="54"/>
  <c r="AP152" i="54"/>
  <c r="AP153" i="54"/>
  <c r="AP154" i="54"/>
  <c r="AP155" i="54"/>
  <c r="AP156" i="54"/>
  <c r="AP157" i="54"/>
  <c r="AP158" i="54"/>
  <c r="AP159" i="54"/>
  <c r="AP160" i="54"/>
  <c r="AP161" i="54"/>
  <c r="AP162" i="54"/>
  <c r="AP163" i="54"/>
  <c r="AP164" i="54"/>
  <c r="AP165" i="54"/>
  <c r="AP166" i="54"/>
  <c r="AP167" i="54"/>
  <c r="AP168" i="54"/>
  <c r="AP169" i="54"/>
  <c r="AP170" i="54"/>
  <c r="AP171" i="54"/>
  <c r="AP172" i="54"/>
  <c r="AP173" i="54"/>
  <c r="AP174" i="54"/>
  <c r="AP175" i="54"/>
  <c r="AP176" i="54"/>
  <c r="AP177" i="54"/>
  <c r="AP178" i="54"/>
  <c r="AP179" i="54"/>
  <c r="AP180" i="54"/>
  <c r="AP181" i="54"/>
  <c r="AP182" i="54"/>
  <c r="AP183" i="54"/>
  <c r="AP184" i="54"/>
  <c r="AP185" i="54"/>
  <c r="AP186" i="54"/>
  <c r="AP187" i="54"/>
  <c r="AP188" i="54"/>
  <c r="AP189" i="54"/>
  <c r="AP190" i="54"/>
  <c r="AP191" i="54"/>
  <c r="AP192" i="54"/>
  <c r="AP193" i="54"/>
  <c r="AP194" i="54"/>
  <c r="AP195" i="54"/>
  <c r="AP196" i="54"/>
  <c r="AP197" i="54"/>
  <c r="AP198" i="54"/>
  <c r="AP199" i="54"/>
  <c r="AP200" i="54"/>
  <c r="AP201" i="54"/>
  <c r="AP202" i="54"/>
  <c r="AP203" i="54"/>
  <c r="AP204" i="54"/>
  <c r="AP205" i="54"/>
  <c r="AP206" i="54"/>
  <c r="AP207" i="54"/>
  <c r="AP208" i="54"/>
  <c r="AP209" i="54"/>
  <c r="AP210" i="54"/>
  <c r="AP211" i="54"/>
  <c r="AP212" i="54"/>
  <c r="AP213" i="54"/>
  <c r="AP214" i="54"/>
  <c r="AP215" i="54"/>
  <c r="AP216" i="54"/>
  <c r="AP217" i="54"/>
  <c r="AP218" i="54"/>
  <c r="AP219" i="54"/>
  <c r="AP220" i="54"/>
  <c r="AP221" i="54"/>
  <c r="AP222" i="54"/>
  <c r="AP223" i="54"/>
  <c r="AP224" i="54"/>
  <c r="AP225" i="54"/>
  <c r="AP226" i="54"/>
  <c r="AP227" i="54"/>
  <c r="AP228" i="54"/>
  <c r="AP229" i="54"/>
  <c r="AP230" i="54"/>
  <c r="AP231" i="54"/>
  <c r="AP232" i="54"/>
  <c r="AP233" i="54"/>
  <c r="AP234" i="54"/>
  <c r="AP235" i="54"/>
  <c r="AP236" i="54"/>
  <c r="AP237" i="54"/>
  <c r="AP238" i="54"/>
  <c r="AP239" i="54"/>
  <c r="AP240" i="54"/>
  <c r="AP241" i="54"/>
  <c r="AP242" i="54"/>
  <c r="AP243" i="54"/>
  <c r="AP244" i="54"/>
  <c r="AP245" i="54"/>
  <c r="AP246" i="54"/>
  <c r="AP247" i="54"/>
  <c r="AP248" i="54"/>
  <c r="AP249" i="54"/>
  <c r="AP250" i="54"/>
  <c r="AP251" i="54"/>
  <c r="AP252" i="54"/>
  <c r="AP253" i="54"/>
  <c r="AP254" i="54"/>
  <c r="AP255" i="54"/>
  <c r="AP256" i="54"/>
  <c r="AP257" i="54"/>
  <c r="AP258" i="54"/>
  <c r="AP259" i="54"/>
  <c r="AP260" i="54"/>
  <c r="AP261" i="54"/>
  <c r="AP262" i="54"/>
  <c r="AP263" i="54"/>
  <c r="AP264" i="54"/>
  <c r="AP265" i="54"/>
  <c r="AP266" i="54"/>
  <c r="AP267" i="54"/>
  <c r="AP268" i="54"/>
  <c r="AP269" i="54"/>
  <c r="AP270" i="54"/>
  <c r="AP271" i="54"/>
  <c r="AP272" i="54"/>
  <c r="AP273" i="54"/>
  <c r="AP274" i="54"/>
  <c r="AP275" i="54"/>
  <c r="AP276" i="54"/>
  <c r="AP277" i="54"/>
  <c r="AP278" i="54"/>
  <c r="AP279" i="54"/>
  <c r="AP280" i="54"/>
  <c r="AP281" i="54"/>
  <c r="AP282" i="54"/>
  <c r="AP283" i="54"/>
  <c r="AP284" i="54"/>
  <c r="AP285" i="54"/>
  <c r="AP286" i="54"/>
  <c r="AP287" i="54"/>
  <c r="AP288" i="54"/>
  <c r="AP289" i="54"/>
  <c r="AP290" i="54"/>
  <c r="AP291" i="54"/>
  <c r="AP292" i="54"/>
  <c r="AP293" i="54"/>
  <c r="AP294" i="54"/>
  <c r="AP295" i="54"/>
  <c r="AP296" i="54"/>
  <c r="AP297" i="54"/>
  <c r="AP298" i="54"/>
  <c r="AP299" i="54"/>
  <c r="AP300" i="54"/>
  <c r="AP301" i="54"/>
  <c r="AP302" i="54"/>
  <c r="AP303" i="54"/>
  <c r="AP304" i="54"/>
  <c r="AP305" i="54"/>
  <c r="AP306" i="54"/>
  <c r="AP307" i="54"/>
  <c r="AP6" i="54"/>
  <c r="J35" i="22"/>
  <c r="K64" i="52"/>
  <c r="J64" i="52"/>
  <c r="J63" i="52"/>
  <c r="K62" i="52"/>
  <c r="J62" i="52"/>
  <c r="J61" i="52"/>
  <c r="J60" i="52"/>
  <c r="K32" i="22"/>
  <c r="L58" i="52"/>
  <c r="AR6" i="54" s="1"/>
  <c r="K43" i="52"/>
  <c r="J58" i="52"/>
  <c r="D60" i="52"/>
  <c r="AM7" i="54"/>
  <c r="AO7" i="54" s="1"/>
  <c r="AN7" i="54"/>
  <c r="AM8" i="54"/>
  <c r="AO8" i="54" s="1"/>
  <c r="AN8" i="54"/>
  <c r="AM9" i="54"/>
  <c r="AO9" i="54" s="1"/>
  <c r="AN9" i="54"/>
  <c r="AM10" i="54"/>
  <c r="AO10" i="54" s="1"/>
  <c r="AN10" i="54"/>
  <c r="AM11" i="54"/>
  <c r="AO11" i="54" s="1"/>
  <c r="AN11" i="54"/>
  <c r="AM12" i="54"/>
  <c r="AO12" i="54" s="1"/>
  <c r="AN12" i="54"/>
  <c r="AM13" i="54"/>
  <c r="AO13" i="54" s="1"/>
  <c r="AN13" i="54"/>
  <c r="AM14" i="54"/>
  <c r="AO14" i="54" s="1"/>
  <c r="AN14" i="54"/>
  <c r="AM15" i="54"/>
  <c r="AO15" i="54" s="1"/>
  <c r="AN15" i="54"/>
  <c r="AM16" i="54"/>
  <c r="AO16" i="54" s="1"/>
  <c r="AN16" i="54"/>
  <c r="AM17" i="54"/>
  <c r="AO17" i="54" s="1"/>
  <c r="AN17" i="54"/>
  <c r="AM18" i="54"/>
  <c r="AO18" i="54" s="1"/>
  <c r="AN18" i="54"/>
  <c r="AM19" i="54"/>
  <c r="AO19" i="54" s="1"/>
  <c r="AN19" i="54"/>
  <c r="AM20" i="54"/>
  <c r="AO20" i="54" s="1"/>
  <c r="AN20" i="54"/>
  <c r="AM21" i="54"/>
  <c r="AO21" i="54" s="1"/>
  <c r="AN21" i="54"/>
  <c r="AM22" i="54"/>
  <c r="AO22" i="54" s="1"/>
  <c r="AN22" i="54"/>
  <c r="AM23" i="54"/>
  <c r="AO23" i="54" s="1"/>
  <c r="AN23" i="54"/>
  <c r="AM24" i="54"/>
  <c r="AO24" i="54" s="1"/>
  <c r="AN24" i="54"/>
  <c r="AM25" i="54"/>
  <c r="AO25" i="54" s="1"/>
  <c r="AN25" i="54"/>
  <c r="AM26" i="54"/>
  <c r="AO26" i="54" s="1"/>
  <c r="AN26" i="54"/>
  <c r="AM27" i="54"/>
  <c r="AO27" i="54" s="1"/>
  <c r="AN27" i="54"/>
  <c r="AM28" i="54"/>
  <c r="AO28" i="54" s="1"/>
  <c r="AN28" i="54"/>
  <c r="AM29" i="54"/>
  <c r="AO29" i="54" s="1"/>
  <c r="AN29" i="54"/>
  <c r="AM30" i="54"/>
  <c r="AO30" i="54" s="1"/>
  <c r="AN30" i="54"/>
  <c r="AM31" i="54"/>
  <c r="AO31" i="54" s="1"/>
  <c r="AN31" i="54"/>
  <c r="AM32" i="54"/>
  <c r="AO32" i="54" s="1"/>
  <c r="AN32" i="54"/>
  <c r="AM33" i="54"/>
  <c r="AO33" i="54" s="1"/>
  <c r="AN33" i="54"/>
  <c r="AM34" i="54"/>
  <c r="AO34" i="54" s="1"/>
  <c r="AN34" i="54"/>
  <c r="AM35" i="54"/>
  <c r="AO35" i="54" s="1"/>
  <c r="AN35" i="54"/>
  <c r="AM36" i="54"/>
  <c r="AO36" i="54" s="1"/>
  <c r="AN36" i="54"/>
  <c r="AM37" i="54"/>
  <c r="AO37" i="54" s="1"/>
  <c r="AN37" i="54"/>
  <c r="AM38" i="54"/>
  <c r="AO38" i="54" s="1"/>
  <c r="AN38" i="54"/>
  <c r="AM39" i="54"/>
  <c r="AO39" i="54" s="1"/>
  <c r="AN39" i="54"/>
  <c r="AM40" i="54"/>
  <c r="AO40" i="54" s="1"/>
  <c r="AN40" i="54"/>
  <c r="AM41" i="54"/>
  <c r="AO41" i="54" s="1"/>
  <c r="AN41" i="54"/>
  <c r="AM42" i="54"/>
  <c r="AO42" i="54" s="1"/>
  <c r="AN42" i="54"/>
  <c r="AM43" i="54"/>
  <c r="AO43" i="54" s="1"/>
  <c r="AN43" i="54"/>
  <c r="AM44" i="54"/>
  <c r="AO44" i="54" s="1"/>
  <c r="AN44" i="54"/>
  <c r="AM45" i="54"/>
  <c r="AO45" i="54" s="1"/>
  <c r="AN45" i="54"/>
  <c r="AM46" i="54"/>
  <c r="AO46" i="54" s="1"/>
  <c r="AN46" i="54"/>
  <c r="AM47" i="54"/>
  <c r="AO47" i="54" s="1"/>
  <c r="AN47" i="54"/>
  <c r="AM48" i="54"/>
  <c r="AO48" i="54" s="1"/>
  <c r="AN48" i="54"/>
  <c r="AM49" i="54"/>
  <c r="AO49" i="54" s="1"/>
  <c r="AN49" i="54"/>
  <c r="AM50" i="54"/>
  <c r="AO50" i="54" s="1"/>
  <c r="AN50" i="54"/>
  <c r="AM51" i="54"/>
  <c r="AO51" i="54" s="1"/>
  <c r="AN51" i="54"/>
  <c r="AM52" i="54"/>
  <c r="AO52" i="54" s="1"/>
  <c r="AN52" i="54"/>
  <c r="AM53" i="54"/>
  <c r="AO53" i="54" s="1"/>
  <c r="AN53" i="54"/>
  <c r="AM54" i="54"/>
  <c r="AO54" i="54" s="1"/>
  <c r="AN54" i="54"/>
  <c r="AM55" i="54"/>
  <c r="AO55" i="54" s="1"/>
  <c r="AN55" i="54"/>
  <c r="AM56" i="54"/>
  <c r="AO56" i="54" s="1"/>
  <c r="AN56" i="54"/>
  <c r="AM57" i="54"/>
  <c r="AO57" i="54" s="1"/>
  <c r="AN57" i="54"/>
  <c r="AM58" i="54"/>
  <c r="AO58" i="54" s="1"/>
  <c r="AN58" i="54"/>
  <c r="AM59" i="54"/>
  <c r="AO59" i="54" s="1"/>
  <c r="AN59" i="54"/>
  <c r="AM60" i="54"/>
  <c r="AO60" i="54" s="1"/>
  <c r="AN60" i="54"/>
  <c r="AM61" i="54"/>
  <c r="AO61" i="54" s="1"/>
  <c r="AN61" i="54"/>
  <c r="AM62" i="54"/>
  <c r="AO62" i="54" s="1"/>
  <c r="AN62" i="54"/>
  <c r="AM63" i="54"/>
  <c r="AO63" i="54" s="1"/>
  <c r="AN63" i="54"/>
  <c r="AM64" i="54"/>
  <c r="AO64" i="54" s="1"/>
  <c r="AN64" i="54"/>
  <c r="AM65" i="54"/>
  <c r="AO65" i="54" s="1"/>
  <c r="AN65" i="54"/>
  <c r="AM66" i="54"/>
  <c r="AO66" i="54" s="1"/>
  <c r="AN66" i="54"/>
  <c r="AM67" i="54"/>
  <c r="AO67" i="54" s="1"/>
  <c r="AN67" i="54"/>
  <c r="AM68" i="54"/>
  <c r="AO68" i="54" s="1"/>
  <c r="AN68" i="54"/>
  <c r="AM69" i="54"/>
  <c r="AO69" i="54" s="1"/>
  <c r="AN69" i="54"/>
  <c r="AM70" i="54"/>
  <c r="AO70" i="54" s="1"/>
  <c r="AN70" i="54"/>
  <c r="AM71" i="54"/>
  <c r="AO71" i="54" s="1"/>
  <c r="AN71" i="54"/>
  <c r="AM72" i="54"/>
  <c r="AO72" i="54" s="1"/>
  <c r="AN72" i="54"/>
  <c r="AM73" i="54"/>
  <c r="AO73" i="54" s="1"/>
  <c r="AN73" i="54"/>
  <c r="AM74" i="54"/>
  <c r="AO74" i="54" s="1"/>
  <c r="AN74" i="54"/>
  <c r="AM75" i="54"/>
  <c r="AO75" i="54" s="1"/>
  <c r="AN75" i="54"/>
  <c r="AM76" i="54"/>
  <c r="AO76" i="54" s="1"/>
  <c r="AN76" i="54"/>
  <c r="AM77" i="54"/>
  <c r="AO77" i="54" s="1"/>
  <c r="AN77" i="54"/>
  <c r="AM78" i="54"/>
  <c r="AO78" i="54" s="1"/>
  <c r="AN78" i="54"/>
  <c r="AM79" i="54"/>
  <c r="AO79" i="54" s="1"/>
  <c r="AN79" i="54"/>
  <c r="AM80" i="54"/>
  <c r="AO80" i="54" s="1"/>
  <c r="AN80" i="54"/>
  <c r="AM81" i="54"/>
  <c r="AO81" i="54" s="1"/>
  <c r="AN81" i="54"/>
  <c r="AM82" i="54"/>
  <c r="AO82" i="54" s="1"/>
  <c r="AN82" i="54"/>
  <c r="AM83" i="54"/>
  <c r="AO83" i="54" s="1"/>
  <c r="AN83" i="54"/>
  <c r="AM84" i="54"/>
  <c r="AO84" i="54" s="1"/>
  <c r="AN84" i="54"/>
  <c r="AM85" i="54"/>
  <c r="AO85" i="54" s="1"/>
  <c r="AN85" i="54"/>
  <c r="AM86" i="54"/>
  <c r="AO86" i="54" s="1"/>
  <c r="AN86" i="54"/>
  <c r="AM87" i="54"/>
  <c r="AO87" i="54" s="1"/>
  <c r="AN87" i="54"/>
  <c r="AM88" i="54"/>
  <c r="AO88" i="54" s="1"/>
  <c r="AN88" i="54"/>
  <c r="AM89" i="54"/>
  <c r="AO89" i="54" s="1"/>
  <c r="AN89" i="54"/>
  <c r="AM90" i="54"/>
  <c r="AO90" i="54" s="1"/>
  <c r="AN90" i="54"/>
  <c r="AM91" i="54"/>
  <c r="AO91" i="54" s="1"/>
  <c r="AN91" i="54"/>
  <c r="AM92" i="54"/>
  <c r="AO92" i="54" s="1"/>
  <c r="AN92" i="54"/>
  <c r="AM93" i="54"/>
  <c r="AO93" i="54" s="1"/>
  <c r="AN93" i="54"/>
  <c r="AM94" i="54"/>
  <c r="AO94" i="54" s="1"/>
  <c r="AN94" i="54"/>
  <c r="AM95" i="54"/>
  <c r="AO95" i="54" s="1"/>
  <c r="AN95" i="54"/>
  <c r="AM96" i="54"/>
  <c r="AO96" i="54" s="1"/>
  <c r="AN96" i="54"/>
  <c r="AM97" i="54"/>
  <c r="AO97" i="54" s="1"/>
  <c r="AN97" i="54"/>
  <c r="AM98" i="54"/>
  <c r="AO98" i="54" s="1"/>
  <c r="AN98" i="54"/>
  <c r="AM99" i="54"/>
  <c r="AO99" i="54" s="1"/>
  <c r="AN99" i="54"/>
  <c r="AM100" i="54"/>
  <c r="AO100" i="54" s="1"/>
  <c r="AN100" i="54"/>
  <c r="AM101" i="54"/>
  <c r="AO101" i="54" s="1"/>
  <c r="AN101" i="54"/>
  <c r="AM102" i="54"/>
  <c r="AO102" i="54" s="1"/>
  <c r="AN102" i="54"/>
  <c r="AM103" i="54"/>
  <c r="AO103" i="54" s="1"/>
  <c r="AN103" i="54"/>
  <c r="AM104" i="54"/>
  <c r="AO104" i="54" s="1"/>
  <c r="AN104" i="54"/>
  <c r="AM105" i="54"/>
  <c r="AO105" i="54" s="1"/>
  <c r="AN105" i="54"/>
  <c r="AM106" i="54"/>
  <c r="AO106" i="54" s="1"/>
  <c r="AN106" i="54"/>
  <c r="AM107" i="54"/>
  <c r="AO107" i="54" s="1"/>
  <c r="AN107" i="54"/>
  <c r="AM108" i="54"/>
  <c r="AO108" i="54" s="1"/>
  <c r="AN108" i="54"/>
  <c r="AM109" i="54"/>
  <c r="AO109" i="54" s="1"/>
  <c r="AN109" i="54"/>
  <c r="AM110" i="54"/>
  <c r="AO110" i="54" s="1"/>
  <c r="AN110" i="54"/>
  <c r="AM111" i="54"/>
  <c r="AO111" i="54" s="1"/>
  <c r="AN111" i="54"/>
  <c r="AM112" i="54"/>
  <c r="AO112" i="54" s="1"/>
  <c r="AN112" i="54"/>
  <c r="AM113" i="54"/>
  <c r="AO113" i="54" s="1"/>
  <c r="AN113" i="54"/>
  <c r="AM114" i="54"/>
  <c r="AO114" i="54" s="1"/>
  <c r="AN114" i="54"/>
  <c r="AM115" i="54"/>
  <c r="AO115" i="54" s="1"/>
  <c r="AN115" i="54"/>
  <c r="AM116" i="54"/>
  <c r="AO116" i="54" s="1"/>
  <c r="AN116" i="54"/>
  <c r="AM117" i="54"/>
  <c r="AO117" i="54" s="1"/>
  <c r="AN117" i="54"/>
  <c r="AM118" i="54"/>
  <c r="AO118" i="54" s="1"/>
  <c r="AN118" i="54"/>
  <c r="AM119" i="54"/>
  <c r="AO119" i="54" s="1"/>
  <c r="AN119" i="54"/>
  <c r="AM120" i="54"/>
  <c r="AO120" i="54" s="1"/>
  <c r="AN120" i="54"/>
  <c r="AM121" i="54"/>
  <c r="AO121" i="54" s="1"/>
  <c r="AN121" i="54"/>
  <c r="AM122" i="54"/>
  <c r="AO122" i="54" s="1"/>
  <c r="AN122" i="54"/>
  <c r="AM123" i="54"/>
  <c r="AO123" i="54" s="1"/>
  <c r="AN123" i="54"/>
  <c r="AM124" i="54"/>
  <c r="AO124" i="54" s="1"/>
  <c r="AN124" i="54"/>
  <c r="AM125" i="54"/>
  <c r="AO125" i="54" s="1"/>
  <c r="AN125" i="54"/>
  <c r="AM126" i="54"/>
  <c r="AO126" i="54" s="1"/>
  <c r="AN126" i="54"/>
  <c r="AM127" i="54"/>
  <c r="AO127" i="54" s="1"/>
  <c r="AN127" i="54"/>
  <c r="AM128" i="54"/>
  <c r="AO128" i="54" s="1"/>
  <c r="AN128" i="54"/>
  <c r="AM129" i="54"/>
  <c r="AO129" i="54" s="1"/>
  <c r="AN129" i="54"/>
  <c r="AM130" i="54"/>
  <c r="AO130" i="54" s="1"/>
  <c r="AN130" i="54"/>
  <c r="AM131" i="54"/>
  <c r="AO131" i="54" s="1"/>
  <c r="AN131" i="54"/>
  <c r="AM132" i="54"/>
  <c r="AO132" i="54" s="1"/>
  <c r="AN132" i="54"/>
  <c r="AM133" i="54"/>
  <c r="AO133" i="54" s="1"/>
  <c r="AN133" i="54"/>
  <c r="AM134" i="54"/>
  <c r="AO134" i="54" s="1"/>
  <c r="AN134" i="54"/>
  <c r="AM135" i="54"/>
  <c r="AO135" i="54" s="1"/>
  <c r="AN135" i="54"/>
  <c r="AM136" i="54"/>
  <c r="AO136" i="54" s="1"/>
  <c r="AN136" i="54"/>
  <c r="AM137" i="54"/>
  <c r="AO137" i="54" s="1"/>
  <c r="AN137" i="54"/>
  <c r="AM138" i="54"/>
  <c r="AO138" i="54" s="1"/>
  <c r="AN138" i="54"/>
  <c r="AM139" i="54"/>
  <c r="AO139" i="54" s="1"/>
  <c r="AN139" i="54"/>
  <c r="AM140" i="54"/>
  <c r="AO140" i="54" s="1"/>
  <c r="AN140" i="54"/>
  <c r="AM141" i="54"/>
  <c r="AO141" i="54" s="1"/>
  <c r="AN141" i="54"/>
  <c r="AM142" i="54"/>
  <c r="AO142" i="54" s="1"/>
  <c r="AN142" i="54"/>
  <c r="AM143" i="54"/>
  <c r="AO143" i="54" s="1"/>
  <c r="AN143" i="54"/>
  <c r="AM144" i="54"/>
  <c r="AO144" i="54" s="1"/>
  <c r="AN144" i="54"/>
  <c r="AM145" i="54"/>
  <c r="AO145" i="54" s="1"/>
  <c r="AN145" i="54"/>
  <c r="AM146" i="54"/>
  <c r="AO146" i="54" s="1"/>
  <c r="AN146" i="54"/>
  <c r="AM147" i="54"/>
  <c r="AO147" i="54" s="1"/>
  <c r="AN147" i="54"/>
  <c r="AM148" i="54"/>
  <c r="AO148" i="54" s="1"/>
  <c r="AN148" i="54"/>
  <c r="AM149" i="54"/>
  <c r="AO149" i="54" s="1"/>
  <c r="AN149" i="54"/>
  <c r="AM150" i="54"/>
  <c r="AO150" i="54" s="1"/>
  <c r="AN150" i="54"/>
  <c r="AM151" i="54"/>
  <c r="AO151" i="54" s="1"/>
  <c r="AN151" i="54"/>
  <c r="AM152" i="54"/>
  <c r="AO152" i="54" s="1"/>
  <c r="AN152" i="54"/>
  <c r="AM153" i="54"/>
  <c r="AO153" i="54" s="1"/>
  <c r="AN153" i="54"/>
  <c r="AM154" i="54"/>
  <c r="AO154" i="54" s="1"/>
  <c r="AN154" i="54"/>
  <c r="AM155" i="54"/>
  <c r="AO155" i="54" s="1"/>
  <c r="AN155" i="54"/>
  <c r="AM156" i="54"/>
  <c r="AO156" i="54" s="1"/>
  <c r="AN156" i="54"/>
  <c r="AM157" i="54"/>
  <c r="AO157" i="54" s="1"/>
  <c r="AN157" i="54"/>
  <c r="AM158" i="54"/>
  <c r="AO158" i="54" s="1"/>
  <c r="AN158" i="54"/>
  <c r="AM159" i="54"/>
  <c r="AO159" i="54" s="1"/>
  <c r="AN159" i="54"/>
  <c r="AM160" i="54"/>
  <c r="AO160" i="54" s="1"/>
  <c r="AN160" i="54"/>
  <c r="AM161" i="54"/>
  <c r="AO161" i="54" s="1"/>
  <c r="AN161" i="54"/>
  <c r="AM162" i="54"/>
  <c r="AO162" i="54" s="1"/>
  <c r="AN162" i="54"/>
  <c r="AM163" i="54"/>
  <c r="AO163" i="54" s="1"/>
  <c r="AN163" i="54"/>
  <c r="AM164" i="54"/>
  <c r="AO164" i="54" s="1"/>
  <c r="AN164" i="54"/>
  <c r="AM165" i="54"/>
  <c r="AO165" i="54" s="1"/>
  <c r="AN165" i="54"/>
  <c r="AM166" i="54"/>
  <c r="AO166" i="54" s="1"/>
  <c r="AN166" i="54"/>
  <c r="AM167" i="54"/>
  <c r="AO167" i="54" s="1"/>
  <c r="AN167" i="54"/>
  <c r="AM168" i="54"/>
  <c r="AO168" i="54" s="1"/>
  <c r="AN168" i="54"/>
  <c r="AM169" i="54"/>
  <c r="AO169" i="54" s="1"/>
  <c r="AN169" i="54"/>
  <c r="AM170" i="54"/>
  <c r="AO170" i="54" s="1"/>
  <c r="AN170" i="54"/>
  <c r="AM171" i="54"/>
  <c r="AO171" i="54" s="1"/>
  <c r="AN171" i="54"/>
  <c r="AM172" i="54"/>
  <c r="AO172" i="54" s="1"/>
  <c r="AN172" i="54"/>
  <c r="AM173" i="54"/>
  <c r="AO173" i="54" s="1"/>
  <c r="AN173" i="54"/>
  <c r="AM174" i="54"/>
  <c r="AO174" i="54" s="1"/>
  <c r="AN174" i="54"/>
  <c r="AM175" i="54"/>
  <c r="AO175" i="54" s="1"/>
  <c r="AN175" i="54"/>
  <c r="AM176" i="54"/>
  <c r="AO176" i="54" s="1"/>
  <c r="AN176" i="54"/>
  <c r="AM177" i="54"/>
  <c r="AO177" i="54" s="1"/>
  <c r="AN177" i="54"/>
  <c r="AM178" i="54"/>
  <c r="AO178" i="54" s="1"/>
  <c r="AN178" i="54"/>
  <c r="AM179" i="54"/>
  <c r="AO179" i="54" s="1"/>
  <c r="AN179" i="54"/>
  <c r="AM180" i="54"/>
  <c r="AO180" i="54" s="1"/>
  <c r="AN180" i="54"/>
  <c r="AM181" i="54"/>
  <c r="AO181" i="54" s="1"/>
  <c r="AN181" i="54"/>
  <c r="AM182" i="54"/>
  <c r="AO182" i="54" s="1"/>
  <c r="AN182" i="54"/>
  <c r="AM183" i="54"/>
  <c r="AO183" i="54" s="1"/>
  <c r="AN183" i="54"/>
  <c r="AM184" i="54"/>
  <c r="AO184" i="54" s="1"/>
  <c r="AN184" i="54"/>
  <c r="AM185" i="54"/>
  <c r="AO185" i="54" s="1"/>
  <c r="AN185" i="54"/>
  <c r="AM186" i="54"/>
  <c r="AO186" i="54" s="1"/>
  <c r="AN186" i="54"/>
  <c r="AM187" i="54"/>
  <c r="AO187" i="54" s="1"/>
  <c r="AN187" i="54"/>
  <c r="AM188" i="54"/>
  <c r="AO188" i="54" s="1"/>
  <c r="AN188" i="54"/>
  <c r="AM189" i="54"/>
  <c r="AO189" i="54" s="1"/>
  <c r="AN189" i="54"/>
  <c r="AM190" i="54"/>
  <c r="AO190" i="54" s="1"/>
  <c r="AN190" i="54"/>
  <c r="AM191" i="54"/>
  <c r="AO191" i="54" s="1"/>
  <c r="AN191" i="54"/>
  <c r="AM192" i="54"/>
  <c r="AO192" i="54" s="1"/>
  <c r="AN192" i="54"/>
  <c r="AM193" i="54"/>
  <c r="AO193" i="54" s="1"/>
  <c r="AN193" i="54"/>
  <c r="AM194" i="54"/>
  <c r="AO194" i="54" s="1"/>
  <c r="AN194" i="54"/>
  <c r="AM195" i="54"/>
  <c r="AO195" i="54" s="1"/>
  <c r="AN195" i="54"/>
  <c r="AM196" i="54"/>
  <c r="AO196" i="54" s="1"/>
  <c r="AN196" i="54"/>
  <c r="AM197" i="54"/>
  <c r="AO197" i="54" s="1"/>
  <c r="AN197" i="54"/>
  <c r="AM198" i="54"/>
  <c r="AO198" i="54" s="1"/>
  <c r="AN198" i="54"/>
  <c r="AM199" i="54"/>
  <c r="AO199" i="54" s="1"/>
  <c r="AN199" i="54"/>
  <c r="AM200" i="54"/>
  <c r="AO200" i="54" s="1"/>
  <c r="AN200" i="54"/>
  <c r="AM201" i="54"/>
  <c r="AO201" i="54" s="1"/>
  <c r="AN201" i="54"/>
  <c r="AM202" i="54"/>
  <c r="AO202" i="54" s="1"/>
  <c r="AN202" i="54"/>
  <c r="AM203" i="54"/>
  <c r="AO203" i="54" s="1"/>
  <c r="AN203" i="54"/>
  <c r="AM204" i="54"/>
  <c r="AO204" i="54" s="1"/>
  <c r="AN204" i="54"/>
  <c r="AM205" i="54"/>
  <c r="AO205" i="54" s="1"/>
  <c r="AN205" i="54"/>
  <c r="AM206" i="54"/>
  <c r="AO206" i="54" s="1"/>
  <c r="AN206" i="54"/>
  <c r="AM207" i="54"/>
  <c r="AO207" i="54" s="1"/>
  <c r="AN207" i="54"/>
  <c r="AM208" i="54"/>
  <c r="AO208" i="54" s="1"/>
  <c r="AN208" i="54"/>
  <c r="AM209" i="54"/>
  <c r="AO209" i="54" s="1"/>
  <c r="AN209" i="54"/>
  <c r="AM210" i="54"/>
  <c r="AO210" i="54" s="1"/>
  <c r="AN210" i="54"/>
  <c r="AM211" i="54"/>
  <c r="AO211" i="54" s="1"/>
  <c r="AN211" i="54"/>
  <c r="AM212" i="54"/>
  <c r="AO212" i="54" s="1"/>
  <c r="AN212" i="54"/>
  <c r="AM213" i="54"/>
  <c r="AO213" i="54" s="1"/>
  <c r="AN213" i="54"/>
  <c r="AM214" i="54"/>
  <c r="AO214" i="54" s="1"/>
  <c r="AN214" i="54"/>
  <c r="AM215" i="54"/>
  <c r="AO215" i="54" s="1"/>
  <c r="AN215" i="54"/>
  <c r="AM216" i="54"/>
  <c r="AO216" i="54" s="1"/>
  <c r="AN216" i="54"/>
  <c r="AM217" i="54"/>
  <c r="AO217" i="54" s="1"/>
  <c r="AN217" i="54"/>
  <c r="AM218" i="54"/>
  <c r="AO218" i="54" s="1"/>
  <c r="AN218" i="54"/>
  <c r="AM219" i="54"/>
  <c r="AO219" i="54" s="1"/>
  <c r="AN219" i="54"/>
  <c r="AM220" i="54"/>
  <c r="AO220" i="54" s="1"/>
  <c r="AN220" i="54"/>
  <c r="AM221" i="54"/>
  <c r="AO221" i="54" s="1"/>
  <c r="AN221" i="54"/>
  <c r="AM222" i="54"/>
  <c r="AO222" i="54" s="1"/>
  <c r="AN222" i="54"/>
  <c r="AM223" i="54"/>
  <c r="AO223" i="54" s="1"/>
  <c r="AN223" i="54"/>
  <c r="AM224" i="54"/>
  <c r="AO224" i="54" s="1"/>
  <c r="AN224" i="54"/>
  <c r="AM225" i="54"/>
  <c r="AO225" i="54" s="1"/>
  <c r="AN225" i="54"/>
  <c r="AM226" i="54"/>
  <c r="AO226" i="54" s="1"/>
  <c r="AN226" i="54"/>
  <c r="AM227" i="54"/>
  <c r="AO227" i="54" s="1"/>
  <c r="AN227" i="54"/>
  <c r="AM228" i="54"/>
  <c r="AO228" i="54" s="1"/>
  <c r="AN228" i="54"/>
  <c r="AM229" i="54"/>
  <c r="AO229" i="54" s="1"/>
  <c r="AN229" i="54"/>
  <c r="AM230" i="54"/>
  <c r="AO230" i="54" s="1"/>
  <c r="AN230" i="54"/>
  <c r="AM231" i="54"/>
  <c r="AO231" i="54" s="1"/>
  <c r="AN231" i="54"/>
  <c r="AM232" i="54"/>
  <c r="AO232" i="54" s="1"/>
  <c r="AN232" i="54"/>
  <c r="AM233" i="54"/>
  <c r="AO233" i="54" s="1"/>
  <c r="AN233" i="54"/>
  <c r="AM234" i="54"/>
  <c r="AO234" i="54" s="1"/>
  <c r="AN234" i="54"/>
  <c r="AM235" i="54"/>
  <c r="AO235" i="54" s="1"/>
  <c r="AN235" i="54"/>
  <c r="AM236" i="54"/>
  <c r="AO236" i="54" s="1"/>
  <c r="AN236" i="54"/>
  <c r="AM237" i="54"/>
  <c r="AO237" i="54" s="1"/>
  <c r="AN237" i="54"/>
  <c r="AM238" i="54"/>
  <c r="AO238" i="54" s="1"/>
  <c r="AN238" i="54"/>
  <c r="AM239" i="54"/>
  <c r="AO239" i="54" s="1"/>
  <c r="AN239" i="54"/>
  <c r="AM240" i="54"/>
  <c r="AO240" i="54" s="1"/>
  <c r="AN240" i="54"/>
  <c r="AM241" i="54"/>
  <c r="AO241" i="54" s="1"/>
  <c r="AN241" i="54"/>
  <c r="AM242" i="54"/>
  <c r="AO242" i="54" s="1"/>
  <c r="AN242" i="54"/>
  <c r="AM243" i="54"/>
  <c r="AO243" i="54" s="1"/>
  <c r="AN243" i="54"/>
  <c r="AM244" i="54"/>
  <c r="AO244" i="54" s="1"/>
  <c r="AN244" i="54"/>
  <c r="AM245" i="54"/>
  <c r="AO245" i="54" s="1"/>
  <c r="AN245" i="54"/>
  <c r="AM246" i="54"/>
  <c r="AO246" i="54" s="1"/>
  <c r="AN246" i="54"/>
  <c r="AM247" i="54"/>
  <c r="AO247" i="54" s="1"/>
  <c r="AN247" i="54"/>
  <c r="AM248" i="54"/>
  <c r="AO248" i="54" s="1"/>
  <c r="AN248" i="54"/>
  <c r="AM249" i="54"/>
  <c r="AO249" i="54" s="1"/>
  <c r="AN249" i="54"/>
  <c r="AM250" i="54"/>
  <c r="AO250" i="54" s="1"/>
  <c r="AN250" i="54"/>
  <c r="AM251" i="54"/>
  <c r="AO251" i="54" s="1"/>
  <c r="AN251" i="54"/>
  <c r="AM252" i="54"/>
  <c r="AO252" i="54" s="1"/>
  <c r="AN252" i="54"/>
  <c r="AM253" i="54"/>
  <c r="AO253" i="54" s="1"/>
  <c r="AN253" i="54"/>
  <c r="AM254" i="54"/>
  <c r="AO254" i="54" s="1"/>
  <c r="AN254" i="54"/>
  <c r="AM255" i="54"/>
  <c r="AO255" i="54" s="1"/>
  <c r="AN255" i="54"/>
  <c r="AM256" i="54"/>
  <c r="AO256" i="54" s="1"/>
  <c r="AN256" i="54"/>
  <c r="AM257" i="54"/>
  <c r="AO257" i="54" s="1"/>
  <c r="AN257" i="54"/>
  <c r="AM258" i="54"/>
  <c r="AO258" i="54" s="1"/>
  <c r="AN258" i="54"/>
  <c r="AM259" i="54"/>
  <c r="AO259" i="54" s="1"/>
  <c r="AN259" i="54"/>
  <c r="AM260" i="54"/>
  <c r="AO260" i="54" s="1"/>
  <c r="AN260" i="54"/>
  <c r="AM261" i="54"/>
  <c r="AO261" i="54" s="1"/>
  <c r="AN261" i="54"/>
  <c r="AM262" i="54"/>
  <c r="AO262" i="54" s="1"/>
  <c r="AN262" i="54"/>
  <c r="AM263" i="54"/>
  <c r="AO263" i="54" s="1"/>
  <c r="AN263" i="54"/>
  <c r="AM264" i="54"/>
  <c r="AO264" i="54" s="1"/>
  <c r="AN264" i="54"/>
  <c r="AM265" i="54"/>
  <c r="AO265" i="54" s="1"/>
  <c r="AN265" i="54"/>
  <c r="AM266" i="54"/>
  <c r="AO266" i="54" s="1"/>
  <c r="AN266" i="54"/>
  <c r="AM267" i="54"/>
  <c r="AO267" i="54" s="1"/>
  <c r="AN267" i="54"/>
  <c r="AM268" i="54"/>
  <c r="AO268" i="54" s="1"/>
  <c r="AN268" i="54"/>
  <c r="AM269" i="54"/>
  <c r="AO269" i="54" s="1"/>
  <c r="AN269" i="54"/>
  <c r="AM270" i="54"/>
  <c r="AO270" i="54" s="1"/>
  <c r="AN270" i="54"/>
  <c r="AM271" i="54"/>
  <c r="AO271" i="54" s="1"/>
  <c r="AN271" i="54"/>
  <c r="AM272" i="54"/>
  <c r="AO272" i="54" s="1"/>
  <c r="AN272" i="54"/>
  <c r="AM273" i="54"/>
  <c r="AO273" i="54" s="1"/>
  <c r="AN273" i="54"/>
  <c r="AM274" i="54"/>
  <c r="AO274" i="54" s="1"/>
  <c r="AN274" i="54"/>
  <c r="AM275" i="54"/>
  <c r="AO275" i="54" s="1"/>
  <c r="AN275" i="54"/>
  <c r="AM276" i="54"/>
  <c r="AO276" i="54" s="1"/>
  <c r="AN276" i="54"/>
  <c r="AM277" i="54"/>
  <c r="AO277" i="54" s="1"/>
  <c r="AN277" i="54"/>
  <c r="AM278" i="54"/>
  <c r="AO278" i="54" s="1"/>
  <c r="AN278" i="54"/>
  <c r="AM279" i="54"/>
  <c r="AO279" i="54" s="1"/>
  <c r="AN279" i="54"/>
  <c r="AM280" i="54"/>
  <c r="AO280" i="54" s="1"/>
  <c r="AN280" i="54"/>
  <c r="AM281" i="54"/>
  <c r="AO281" i="54" s="1"/>
  <c r="AN281" i="54"/>
  <c r="AM282" i="54"/>
  <c r="AO282" i="54" s="1"/>
  <c r="AN282" i="54"/>
  <c r="AM283" i="54"/>
  <c r="AO283" i="54" s="1"/>
  <c r="AN283" i="54"/>
  <c r="AM284" i="54"/>
  <c r="AO284" i="54" s="1"/>
  <c r="AN284" i="54"/>
  <c r="AM285" i="54"/>
  <c r="AO285" i="54" s="1"/>
  <c r="AN285" i="54"/>
  <c r="AM286" i="54"/>
  <c r="AO286" i="54" s="1"/>
  <c r="AN286" i="54"/>
  <c r="AM287" i="54"/>
  <c r="AO287" i="54" s="1"/>
  <c r="AN287" i="54"/>
  <c r="AM288" i="54"/>
  <c r="AO288" i="54" s="1"/>
  <c r="AN288" i="54"/>
  <c r="AM289" i="54"/>
  <c r="AO289" i="54" s="1"/>
  <c r="AN289" i="54"/>
  <c r="AM290" i="54"/>
  <c r="AO290" i="54" s="1"/>
  <c r="AN290" i="54"/>
  <c r="AM291" i="54"/>
  <c r="AO291" i="54" s="1"/>
  <c r="AN291" i="54"/>
  <c r="AM292" i="54"/>
  <c r="AO292" i="54" s="1"/>
  <c r="AN292" i="54"/>
  <c r="AM293" i="54"/>
  <c r="AO293" i="54" s="1"/>
  <c r="AN293" i="54"/>
  <c r="AM294" i="54"/>
  <c r="AO294" i="54" s="1"/>
  <c r="AN294" i="54"/>
  <c r="AM295" i="54"/>
  <c r="AO295" i="54" s="1"/>
  <c r="AN295" i="54"/>
  <c r="AM296" i="54"/>
  <c r="AO296" i="54" s="1"/>
  <c r="AN296" i="54"/>
  <c r="AM297" i="54"/>
  <c r="AO297" i="54" s="1"/>
  <c r="AN297" i="54"/>
  <c r="AM298" i="54"/>
  <c r="AO298" i="54" s="1"/>
  <c r="AN298" i="54"/>
  <c r="AM299" i="54"/>
  <c r="AO299" i="54" s="1"/>
  <c r="AN299" i="54"/>
  <c r="AM300" i="54"/>
  <c r="AO300" i="54" s="1"/>
  <c r="AN300" i="54"/>
  <c r="AM301" i="54"/>
  <c r="AO301" i="54" s="1"/>
  <c r="AN301" i="54"/>
  <c r="AM302" i="54"/>
  <c r="AO302" i="54" s="1"/>
  <c r="AN302" i="54"/>
  <c r="AM303" i="54"/>
  <c r="AO303" i="54" s="1"/>
  <c r="AN303" i="54"/>
  <c r="AM304" i="54"/>
  <c r="AO304" i="54" s="1"/>
  <c r="AN304" i="54"/>
  <c r="AM305" i="54"/>
  <c r="AO305" i="54" s="1"/>
  <c r="AN305" i="54"/>
  <c r="AM306" i="54"/>
  <c r="AO306" i="54" s="1"/>
  <c r="AN306" i="54"/>
  <c r="AM307" i="54"/>
  <c r="AO307" i="54" s="1"/>
  <c r="AN307" i="54"/>
  <c r="AL7" i="54"/>
  <c r="AK7" i="54"/>
  <c r="AL6" i="54"/>
  <c r="AK6" i="54"/>
  <c r="AN6" i="54"/>
  <c r="AM6" i="54"/>
  <c r="J57" i="52"/>
  <c r="J56" i="52"/>
  <c r="J54" i="52"/>
  <c r="J53" i="52"/>
  <c r="J51" i="52"/>
  <c r="J52" i="52"/>
  <c r="J50" i="52"/>
  <c r="F57" i="52"/>
  <c r="F58" i="52"/>
  <c r="F56" i="52"/>
  <c r="J49" i="52"/>
  <c r="D65" i="52"/>
  <c r="J8" i="48" s="1"/>
  <c r="Q8" i="48" s="1"/>
  <c r="B34" i="52"/>
  <c r="C34" i="52"/>
  <c r="D34" i="52"/>
  <c r="B35" i="52"/>
  <c r="C35" i="52"/>
  <c r="D35" i="52"/>
  <c r="B36" i="52"/>
  <c r="C36" i="52"/>
  <c r="D36" i="52"/>
  <c r="B37" i="52"/>
  <c r="C37" i="52"/>
  <c r="D37" i="52"/>
  <c r="B38" i="52"/>
  <c r="C38" i="52"/>
  <c r="D38" i="52"/>
  <c r="B39" i="52"/>
  <c r="C39" i="52"/>
  <c r="D39" i="52"/>
  <c r="C33" i="52"/>
  <c r="D33" i="52"/>
  <c r="B33" i="52"/>
  <c r="L3560" i="50"/>
  <c r="L4" i="50"/>
  <c r="L5" i="50"/>
  <c r="L6" i="50"/>
  <c r="L7" i="50"/>
  <c r="L8" i="50"/>
  <c r="L9" i="50"/>
  <c r="L10" i="50"/>
  <c r="L11" i="50"/>
  <c r="L12" i="50"/>
  <c r="L13" i="50"/>
  <c r="L14" i="50"/>
  <c r="L15" i="50"/>
  <c r="L16" i="50"/>
  <c r="L17" i="50"/>
  <c r="L18" i="50"/>
  <c r="L19" i="50"/>
  <c r="L20" i="50"/>
  <c r="L21" i="50"/>
  <c r="L22" i="50"/>
  <c r="L23" i="50"/>
  <c r="L24" i="50"/>
  <c r="L25" i="50"/>
  <c r="L26" i="50"/>
  <c r="L27" i="50"/>
  <c r="L28" i="50"/>
  <c r="L29" i="50"/>
  <c r="L30" i="50"/>
  <c r="L31" i="50"/>
  <c r="L32" i="50"/>
  <c r="L33" i="50"/>
  <c r="L34" i="50"/>
  <c r="L35" i="50"/>
  <c r="L36" i="50"/>
  <c r="L37" i="50"/>
  <c r="L38" i="50"/>
  <c r="L39" i="50"/>
  <c r="L40" i="50"/>
  <c r="L41" i="50"/>
  <c r="L42" i="50"/>
  <c r="L43" i="50"/>
  <c r="L44" i="50"/>
  <c r="L45" i="50"/>
  <c r="L46" i="50"/>
  <c r="L47" i="50"/>
  <c r="L48" i="50"/>
  <c r="L49" i="50"/>
  <c r="L50" i="50"/>
  <c r="L51" i="50"/>
  <c r="L52" i="50"/>
  <c r="L53" i="50"/>
  <c r="L54" i="50"/>
  <c r="L55" i="50"/>
  <c r="L56" i="50"/>
  <c r="L57" i="50"/>
  <c r="L58" i="50"/>
  <c r="L59" i="50"/>
  <c r="L60" i="50"/>
  <c r="L61" i="50"/>
  <c r="L62" i="50"/>
  <c r="L63" i="50"/>
  <c r="L64" i="50"/>
  <c r="L65" i="50"/>
  <c r="L66" i="50"/>
  <c r="L67" i="50"/>
  <c r="L68" i="50"/>
  <c r="L69" i="50"/>
  <c r="L70" i="50"/>
  <c r="L71" i="50"/>
  <c r="L72" i="50"/>
  <c r="L73" i="50"/>
  <c r="L74" i="50"/>
  <c r="L75" i="50"/>
  <c r="L76" i="50"/>
  <c r="L77" i="50"/>
  <c r="L78" i="50"/>
  <c r="L79" i="50"/>
  <c r="L80" i="50"/>
  <c r="L81" i="50"/>
  <c r="L82" i="50"/>
  <c r="L83" i="50"/>
  <c r="L84" i="50"/>
  <c r="L85" i="50"/>
  <c r="L86" i="50"/>
  <c r="L87" i="50"/>
  <c r="L88" i="50"/>
  <c r="L89" i="50"/>
  <c r="L90" i="50"/>
  <c r="L91" i="50"/>
  <c r="L92" i="50"/>
  <c r="L93" i="50"/>
  <c r="L94" i="50"/>
  <c r="L95" i="50"/>
  <c r="L96" i="50"/>
  <c r="L97" i="50"/>
  <c r="L98" i="50"/>
  <c r="L99" i="50"/>
  <c r="L100" i="50"/>
  <c r="L101" i="50"/>
  <c r="L102" i="50"/>
  <c r="L103" i="50"/>
  <c r="L104" i="50"/>
  <c r="L105" i="50"/>
  <c r="L106" i="50"/>
  <c r="L107" i="50"/>
  <c r="L108" i="50"/>
  <c r="L109" i="50"/>
  <c r="L110" i="50"/>
  <c r="L111" i="50"/>
  <c r="L112" i="50"/>
  <c r="L113" i="50"/>
  <c r="L114" i="50"/>
  <c r="L115" i="50"/>
  <c r="L116" i="50"/>
  <c r="L117" i="50"/>
  <c r="L118" i="50"/>
  <c r="L119" i="50"/>
  <c r="L120" i="50"/>
  <c r="L121" i="50"/>
  <c r="L122" i="50"/>
  <c r="L123" i="50"/>
  <c r="L124" i="50"/>
  <c r="L125" i="50"/>
  <c r="L126" i="50"/>
  <c r="L127" i="50"/>
  <c r="L128" i="50"/>
  <c r="L129" i="50"/>
  <c r="L130" i="50"/>
  <c r="L131" i="50"/>
  <c r="L132" i="50"/>
  <c r="L133" i="50"/>
  <c r="L134" i="50"/>
  <c r="L135" i="50"/>
  <c r="L136" i="50"/>
  <c r="L137" i="50"/>
  <c r="L138" i="50"/>
  <c r="L139" i="50"/>
  <c r="L140" i="50"/>
  <c r="L141" i="50"/>
  <c r="L142" i="50"/>
  <c r="L143" i="50"/>
  <c r="L144" i="50"/>
  <c r="L145" i="50"/>
  <c r="L146" i="50"/>
  <c r="L147" i="50"/>
  <c r="L148" i="50"/>
  <c r="L149" i="50"/>
  <c r="L150" i="50"/>
  <c r="L151" i="50"/>
  <c r="L152" i="50"/>
  <c r="L153" i="50"/>
  <c r="L154" i="50"/>
  <c r="L155" i="50"/>
  <c r="L156" i="50"/>
  <c r="L157" i="50"/>
  <c r="L158" i="50"/>
  <c r="L159" i="50"/>
  <c r="L160" i="50"/>
  <c r="L161" i="50"/>
  <c r="L162" i="50"/>
  <c r="L163" i="50"/>
  <c r="L164" i="50"/>
  <c r="L165" i="50"/>
  <c r="L166" i="50"/>
  <c r="L167" i="50"/>
  <c r="L168" i="50"/>
  <c r="L169" i="50"/>
  <c r="L170" i="50"/>
  <c r="L171" i="50"/>
  <c r="L172" i="50"/>
  <c r="L173" i="50"/>
  <c r="L174" i="50"/>
  <c r="L175" i="50"/>
  <c r="L176" i="50"/>
  <c r="L177" i="50"/>
  <c r="L178" i="50"/>
  <c r="L179" i="50"/>
  <c r="L180" i="50"/>
  <c r="L181" i="50"/>
  <c r="L182" i="50"/>
  <c r="L183" i="50"/>
  <c r="L184" i="50"/>
  <c r="L185" i="50"/>
  <c r="L186" i="50"/>
  <c r="L187" i="50"/>
  <c r="L188" i="50"/>
  <c r="L189" i="50"/>
  <c r="L190" i="50"/>
  <c r="L191" i="50"/>
  <c r="L192" i="50"/>
  <c r="L193" i="50"/>
  <c r="L194" i="50"/>
  <c r="L195" i="50"/>
  <c r="L196" i="50"/>
  <c r="L197" i="50"/>
  <c r="L198" i="50"/>
  <c r="L199" i="50"/>
  <c r="L200" i="50"/>
  <c r="L201" i="50"/>
  <c r="L202" i="50"/>
  <c r="L203" i="50"/>
  <c r="L204" i="50"/>
  <c r="L205" i="50"/>
  <c r="L206" i="50"/>
  <c r="L207" i="50"/>
  <c r="L208" i="50"/>
  <c r="L209" i="50"/>
  <c r="L210" i="50"/>
  <c r="L211" i="50"/>
  <c r="L212" i="50"/>
  <c r="L213" i="50"/>
  <c r="L214" i="50"/>
  <c r="L215" i="50"/>
  <c r="L216" i="50"/>
  <c r="L217" i="50"/>
  <c r="L218" i="50"/>
  <c r="L219" i="50"/>
  <c r="L220" i="50"/>
  <c r="L221" i="50"/>
  <c r="L222" i="50"/>
  <c r="L223" i="50"/>
  <c r="L224" i="50"/>
  <c r="L225" i="50"/>
  <c r="L226" i="50"/>
  <c r="L227" i="50"/>
  <c r="L228" i="50"/>
  <c r="L229" i="50"/>
  <c r="L230" i="50"/>
  <c r="L231" i="50"/>
  <c r="L232" i="50"/>
  <c r="L233" i="50"/>
  <c r="L234" i="50"/>
  <c r="L235" i="50"/>
  <c r="L236" i="50"/>
  <c r="L237" i="50"/>
  <c r="L238" i="50"/>
  <c r="L239" i="50"/>
  <c r="L240" i="50"/>
  <c r="L241" i="50"/>
  <c r="L242" i="50"/>
  <c r="L243" i="50"/>
  <c r="L244" i="50"/>
  <c r="L245" i="50"/>
  <c r="L246" i="50"/>
  <c r="L247" i="50"/>
  <c r="L248" i="50"/>
  <c r="L249" i="50"/>
  <c r="L250" i="50"/>
  <c r="L251" i="50"/>
  <c r="L252" i="50"/>
  <c r="L253" i="50"/>
  <c r="L254" i="50"/>
  <c r="L255" i="50"/>
  <c r="L256" i="50"/>
  <c r="L257" i="50"/>
  <c r="L258" i="50"/>
  <c r="L259" i="50"/>
  <c r="L260" i="50"/>
  <c r="L261" i="50"/>
  <c r="L262" i="50"/>
  <c r="L263" i="50"/>
  <c r="L264" i="50"/>
  <c r="L265" i="50"/>
  <c r="L266" i="50"/>
  <c r="L267" i="50"/>
  <c r="L268" i="50"/>
  <c r="L269" i="50"/>
  <c r="L270" i="50"/>
  <c r="L271" i="50"/>
  <c r="L272" i="50"/>
  <c r="L273" i="50"/>
  <c r="L274" i="50"/>
  <c r="L275" i="50"/>
  <c r="L276" i="50"/>
  <c r="L277" i="50"/>
  <c r="L278" i="50"/>
  <c r="L279" i="50"/>
  <c r="L280" i="50"/>
  <c r="L281" i="50"/>
  <c r="L282" i="50"/>
  <c r="L283" i="50"/>
  <c r="L284" i="50"/>
  <c r="L285" i="50"/>
  <c r="L286" i="50"/>
  <c r="L287" i="50"/>
  <c r="L288" i="50"/>
  <c r="L289" i="50"/>
  <c r="L290" i="50"/>
  <c r="L291" i="50"/>
  <c r="L292" i="50"/>
  <c r="L293" i="50"/>
  <c r="L294" i="50"/>
  <c r="L295" i="50"/>
  <c r="L296" i="50"/>
  <c r="L297" i="50"/>
  <c r="L298" i="50"/>
  <c r="L299" i="50"/>
  <c r="L300" i="50"/>
  <c r="L301" i="50"/>
  <c r="L302" i="50"/>
  <c r="L303" i="50"/>
  <c r="L304" i="50"/>
  <c r="L305" i="50"/>
  <c r="L306" i="50"/>
  <c r="L307" i="50"/>
  <c r="L308" i="50"/>
  <c r="L309" i="50"/>
  <c r="L310" i="50"/>
  <c r="L311" i="50"/>
  <c r="L312" i="50"/>
  <c r="L313" i="50"/>
  <c r="L314" i="50"/>
  <c r="L315" i="50"/>
  <c r="L316" i="50"/>
  <c r="L317" i="50"/>
  <c r="L318" i="50"/>
  <c r="L319" i="50"/>
  <c r="L320" i="50"/>
  <c r="L321" i="50"/>
  <c r="L322" i="50"/>
  <c r="L323" i="50"/>
  <c r="L324" i="50"/>
  <c r="L325" i="50"/>
  <c r="L326" i="50"/>
  <c r="L327" i="50"/>
  <c r="L328" i="50"/>
  <c r="L329" i="50"/>
  <c r="L330" i="50"/>
  <c r="L331" i="50"/>
  <c r="L332" i="50"/>
  <c r="L333" i="50"/>
  <c r="L334" i="50"/>
  <c r="L335" i="50"/>
  <c r="L336" i="50"/>
  <c r="L337" i="50"/>
  <c r="L338" i="50"/>
  <c r="L339" i="50"/>
  <c r="L340" i="50"/>
  <c r="L341" i="50"/>
  <c r="L342" i="50"/>
  <c r="L343" i="50"/>
  <c r="L344" i="50"/>
  <c r="L345" i="50"/>
  <c r="L346" i="50"/>
  <c r="L347" i="50"/>
  <c r="L348" i="50"/>
  <c r="L349" i="50"/>
  <c r="L350" i="50"/>
  <c r="L351" i="50"/>
  <c r="L352" i="50"/>
  <c r="L353" i="50"/>
  <c r="L354" i="50"/>
  <c r="L355" i="50"/>
  <c r="L356" i="50"/>
  <c r="L357" i="50"/>
  <c r="L358" i="50"/>
  <c r="L359" i="50"/>
  <c r="L360" i="50"/>
  <c r="L361" i="50"/>
  <c r="L362" i="50"/>
  <c r="L363" i="50"/>
  <c r="L364" i="50"/>
  <c r="L365" i="50"/>
  <c r="L366" i="50"/>
  <c r="L367" i="50"/>
  <c r="L368" i="50"/>
  <c r="L369" i="50"/>
  <c r="L370" i="50"/>
  <c r="L371" i="50"/>
  <c r="L372" i="50"/>
  <c r="L373" i="50"/>
  <c r="L374" i="50"/>
  <c r="L375" i="50"/>
  <c r="L376" i="50"/>
  <c r="L377" i="50"/>
  <c r="L378" i="50"/>
  <c r="L379" i="50"/>
  <c r="L380" i="50"/>
  <c r="L381" i="50"/>
  <c r="L382" i="50"/>
  <c r="L383" i="50"/>
  <c r="L384" i="50"/>
  <c r="L385" i="50"/>
  <c r="L386" i="50"/>
  <c r="L387" i="50"/>
  <c r="L388" i="50"/>
  <c r="L389" i="50"/>
  <c r="L390" i="50"/>
  <c r="L391" i="50"/>
  <c r="L392" i="50"/>
  <c r="L393" i="50"/>
  <c r="L394" i="50"/>
  <c r="L395" i="50"/>
  <c r="L396" i="50"/>
  <c r="L397" i="50"/>
  <c r="L398" i="50"/>
  <c r="L399" i="50"/>
  <c r="L400" i="50"/>
  <c r="L401" i="50"/>
  <c r="L402" i="50"/>
  <c r="L403" i="50"/>
  <c r="L404" i="50"/>
  <c r="L405" i="50"/>
  <c r="L406" i="50"/>
  <c r="L407" i="50"/>
  <c r="L408" i="50"/>
  <c r="L409" i="50"/>
  <c r="L410" i="50"/>
  <c r="L411" i="50"/>
  <c r="L412" i="50"/>
  <c r="L413" i="50"/>
  <c r="L414" i="50"/>
  <c r="L415" i="50"/>
  <c r="L416" i="50"/>
  <c r="L417" i="50"/>
  <c r="L418" i="50"/>
  <c r="L419" i="50"/>
  <c r="L420" i="50"/>
  <c r="L421" i="50"/>
  <c r="L422" i="50"/>
  <c r="L423" i="50"/>
  <c r="L424" i="50"/>
  <c r="L425" i="50"/>
  <c r="L426" i="50"/>
  <c r="L427" i="50"/>
  <c r="L428" i="50"/>
  <c r="L429" i="50"/>
  <c r="L430" i="50"/>
  <c r="L431" i="50"/>
  <c r="L432" i="50"/>
  <c r="L433" i="50"/>
  <c r="L434" i="50"/>
  <c r="L435" i="50"/>
  <c r="L436" i="50"/>
  <c r="L437" i="50"/>
  <c r="L438" i="50"/>
  <c r="L439" i="50"/>
  <c r="L440" i="50"/>
  <c r="L441" i="50"/>
  <c r="L442" i="50"/>
  <c r="L443" i="50"/>
  <c r="L444" i="50"/>
  <c r="L445" i="50"/>
  <c r="L446" i="50"/>
  <c r="L447" i="50"/>
  <c r="L448" i="50"/>
  <c r="L449" i="50"/>
  <c r="L450" i="50"/>
  <c r="L451" i="50"/>
  <c r="L452" i="50"/>
  <c r="L453" i="50"/>
  <c r="L454" i="50"/>
  <c r="L455" i="50"/>
  <c r="L456" i="50"/>
  <c r="L457" i="50"/>
  <c r="L458" i="50"/>
  <c r="L459" i="50"/>
  <c r="L460" i="50"/>
  <c r="L461" i="50"/>
  <c r="L462" i="50"/>
  <c r="L463" i="50"/>
  <c r="L464" i="50"/>
  <c r="L465" i="50"/>
  <c r="L466" i="50"/>
  <c r="L467" i="50"/>
  <c r="L468" i="50"/>
  <c r="L469" i="50"/>
  <c r="L470" i="50"/>
  <c r="L471" i="50"/>
  <c r="L472" i="50"/>
  <c r="L473" i="50"/>
  <c r="L474" i="50"/>
  <c r="L475" i="50"/>
  <c r="L476" i="50"/>
  <c r="L477" i="50"/>
  <c r="L478" i="50"/>
  <c r="L479" i="50"/>
  <c r="L480" i="50"/>
  <c r="L481" i="50"/>
  <c r="L482" i="50"/>
  <c r="L483" i="50"/>
  <c r="L484" i="50"/>
  <c r="L485" i="50"/>
  <c r="L486" i="50"/>
  <c r="L487" i="50"/>
  <c r="L488" i="50"/>
  <c r="L489" i="50"/>
  <c r="L490" i="50"/>
  <c r="L491" i="50"/>
  <c r="L492" i="50"/>
  <c r="L493" i="50"/>
  <c r="L494" i="50"/>
  <c r="L495" i="50"/>
  <c r="L496" i="50"/>
  <c r="L497" i="50"/>
  <c r="L498" i="50"/>
  <c r="L499" i="50"/>
  <c r="L500" i="50"/>
  <c r="L501" i="50"/>
  <c r="L502" i="50"/>
  <c r="L503" i="50"/>
  <c r="L504" i="50"/>
  <c r="L505" i="50"/>
  <c r="L506" i="50"/>
  <c r="L507" i="50"/>
  <c r="L508" i="50"/>
  <c r="L509" i="50"/>
  <c r="L510" i="50"/>
  <c r="L511" i="50"/>
  <c r="L512" i="50"/>
  <c r="L513" i="50"/>
  <c r="L514" i="50"/>
  <c r="L515" i="50"/>
  <c r="L516" i="50"/>
  <c r="L517" i="50"/>
  <c r="L518" i="50"/>
  <c r="L519" i="50"/>
  <c r="L520" i="50"/>
  <c r="L521" i="50"/>
  <c r="L522" i="50"/>
  <c r="L523" i="50"/>
  <c r="L524" i="50"/>
  <c r="L525" i="50"/>
  <c r="L526" i="50"/>
  <c r="L527" i="50"/>
  <c r="L528" i="50"/>
  <c r="L529" i="50"/>
  <c r="L530" i="50"/>
  <c r="L531" i="50"/>
  <c r="L532" i="50"/>
  <c r="L533" i="50"/>
  <c r="L534" i="50"/>
  <c r="L535" i="50"/>
  <c r="L536" i="50"/>
  <c r="L537" i="50"/>
  <c r="L538" i="50"/>
  <c r="L539" i="50"/>
  <c r="L540" i="50"/>
  <c r="L541" i="50"/>
  <c r="L542" i="50"/>
  <c r="L543" i="50"/>
  <c r="L544" i="50"/>
  <c r="L545" i="50"/>
  <c r="L546" i="50"/>
  <c r="L547" i="50"/>
  <c r="L548" i="50"/>
  <c r="L549" i="50"/>
  <c r="L550" i="50"/>
  <c r="L551" i="50"/>
  <c r="L552" i="50"/>
  <c r="L553" i="50"/>
  <c r="L554" i="50"/>
  <c r="L555" i="50"/>
  <c r="L556" i="50"/>
  <c r="L557" i="50"/>
  <c r="L558" i="50"/>
  <c r="L559" i="50"/>
  <c r="L560" i="50"/>
  <c r="L561" i="50"/>
  <c r="L562" i="50"/>
  <c r="L563" i="50"/>
  <c r="L564" i="50"/>
  <c r="L565" i="50"/>
  <c r="L566" i="50"/>
  <c r="L567" i="50"/>
  <c r="L568" i="50"/>
  <c r="L569" i="50"/>
  <c r="L570" i="50"/>
  <c r="L571" i="50"/>
  <c r="L572" i="50"/>
  <c r="L573" i="50"/>
  <c r="L574" i="50"/>
  <c r="L575" i="50"/>
  <c r="L576" i="50"/>
  <c r="L577" i="50"/>
  <c r="L578" i="50"/>
  <c r="L579" i="50"/>
  <c r="L580" i="50"/>
  <c r="L581" i="50"/>
  <c r="L582" i="50"/>
  <c r="L583" i="50"/>
  <c r="L584" i="50"/>
  <c r="L585" i="50"/>
  <c r="L586" i="50"/>
  <c r="L587" i="50"/>
  <c r="L588" i="50"/>
  <c r="L589" i="50"/>
  <c r="L590" i="50"/>
  <c r="L591" i="50"/>
  <c r="L592" i="50"/>
  <c r="L593" i="50"/>
  <c r="L594" i="50"/>
  <c r="L595" i="50"/>
  <c r="L596" i="50"/>
  <c r="L597" i="50"/>
  <c r="L598" i="50"/>
  <c r="L599" i="50"/>
  <c r="L600" i="50"/>
  <c r="L601" i="50"/>
  <c r="L602" i="50"/>
  <c r="L603" i="50"/>
  <c r="L604" i="50"/>
  <c r="L605" i="50"/>
  <c r="L606" i="50"/>
  <c r="L607" i="50"/>
  <c r="L608" i="50"/>
  <c r="L609" i="50"/>
  <c r="L610" i="50"/>
  <c r="L611" i="50"/>
  <c r="L612" i="50"/>
  <c r="L613" i="50"/>
  <c r="L614" i="50"/>
  <c r="L615" i="50"/>
  <c r="L616" i="50"/>
  <c r="L617" i="50"/>
  <c r="L618" i="50"/>
  <c r="L619" i="50"/>
  <c r="L620" i="50"/>
  <c r="L621" i="50"/>
  <c r="L622" i="50"/>
  <c r="L623" i="50"/>
  <c r="L624" i="50"/>
  <c r="L625" i="50"/>
  <c r="L626" i="50"/>
  <c r="L627" i="50"/>
  <c r="L628" i="50"/>
  <c r="L629" i="50"/>
  <c r="L630" i="50"/>
  <c r="L631" i="50"/>
  <c r="L632" i="50"/>
  <c r="L633" i="50"/>
  <c r="L634" i="50"/>
  <c r="L635" i="50"/>
  <c r="L636" i="50"/>
  <c r="L637" i="50"/>
  <c r="L638" i="50"/>
  <c r="L639" i="50"/>
  <c r="L640" i="50"/>
  <c r="L641" i="50"/>
  <c r="L642" i="50"/>
  <c r="L643" i="50"/>
  <c r="L644" i="50"/>
  <c r="L645" i="50"/>
  <c r="L646" i="50"/>
  <c r="L647" i="50"/>
  <c r="L648" i="50"/>
  <c r="L649" i="50"/>
  <c r="L650" i="50"/>
  <c r="L651" i="50"/>
  <c r="L652" i="50"/>
  <c r="L653" i="50"/>
  <c r="L654" i="50"/>
  <c r="L655" i="50"/>
  <c r="L656" i="50"/>
  <c r="L657" i="50"/>
  <c r="L658" i="50"/>
  <c r="L659" i="50"/>
  <c r="L660" i="50"/>
  <c r="L661" i="50"/>
  <c r="L662" i="50"/>
  <c r="L663" i="50"/>
  <c r="L664" i="50"/>
  <c r="L665" i="50"/>
  <c r="L666" i="50"/>
  <c r="L667" i="50"/>
  <c r="L668" i="50"/>
  <c r="L669" i="50"/>
  <c r="L670" i="50"/>
  <c r="L671" i="50"/>
  <c r="L672" i="50"/>
  <c r="L673" i="50"/>
  <c r="L674" i="50"/>
  <c r="L675" i="50"/>
  <c r="L676" i="50"/>
  <c r="L677" i="50"/>
  <c r="L678" i="50"/>
  <c r="L679" i="50"/>
  <c r="L680" i="50"/>
  <c r="L681" i="50"/>
  <c r="L682" i="50"/>
  <c r="L683" i="50"/>
  <c r="L684" i="50"/>
  <c r="L685" i="50"/>
  <c r="L686" i="50"/>
  <c r="L687" i="50"/>
  <c r="L688" i="50"/>
  <c r="L689" i="50"/>
  <c r="L690" i="50"/>
  <c r="L691" i="50"/>
  <c r="L692" i="50"/>
  <c r="L693" i="50"/>
  <c r="L694" i="50"/>
  <c r="L695" i="50"/>
  <c r="L696" i="50"/>
  <c r="L697" i="50"/>
  <c r="L698" i="50"/>
  <c r="L699" i="50"/>
  <c r="L700" i="50"/>
  <c r="L701" i="50"/>
  <c r="L702" i="50"/>
  <c r="L703" i="50"/>
  <c r="L704" i="50"/>
  <c r="L705" i="50"/>
  <c r="L706" i="50"/>
  <c r="L707" i="50"/>
  <c r="L708" i="50"/>
  <c r="L709" i="50"/>
  <c r="L710" i="50"/>
  <c r="L711" i="50"/>
  <c r="L712" i="50"/>
  <c r="L713" i="50"/>
  <c r="L714" i="50"/>
  <c r="L715" i="50"/>
  <c r="L716" i="50"/>
  <c r="L717" i="50"/>
  <c r="L718" i="50"/>
  <c r="L719" i="50"/>
  <c r="L720" i="50"/>
  <c r="L721" i="50"/>
  <c r="L722" i="50"/>
  <c r="L723" i="50"/>
  <c r="L724" i="50"/>
  <c r="L725" i="50"/>
  <c r="L726" i="50"/>
  <c r="L727" i="50"/>
  <c r="L728" i="50"/>
  <c r="L729" i="50"/>
  <c r="L730" i="50"/>
  <c r="L731" i="50"/>
  <c r="L732" i="50"/>
  <c r="L733" i="50"/>
  <c r="L734" i="50"/>
  <c r="L735" i="50"/>
  <c r="L736" i="50"/>
  <c r="L737" i="50"/>
  <c r="L738" i="50"/>
  <c r="L739" i="50"/>
  <c r="L740" i="50"/>
  <c r="L741" i="50"/>
  <c r="L742" i="50"/>
  <c r="L743" i="50"/>
  <c r="L744" i="50"/>
  <c r="L745" i="50"/>
  <c r="L746" i="50"/>
  <c r="L747" i="50"/>
  <c r="L748" i="50"/>
  <c r="L749" i="50"/>
  <c r="L750" i="50"/>
  <c r="L751" i="50"/>
  <c r="L752" i="50"/>
  <c r="L753" i="50"/>
  <c r="L754" i="50"/>
  <c r="L755" i="50"/>
  <c r="L756" i="50"/>
  <c r="L757" i="50"/>
  <c r="L758" i="50"/>
  <c r="L759" i="50"/>
  <c r="L760" i="50"/>
  <c r="L761" i="50"/>
  <c r="L762" i="50"/>
  <c r="L763" i="50"/>
  <c r="L764" i="50"/>
  <c r="L765" i="50"/>
  <c r="L766" i="50"/>
  <c r="L767" i="50"/>
  <c r="L768" i="50"/>
  <c r="L769" i="50"/>
  <c r="L770" i="50"/>
  <c r="L771" i="50"/>
  <c r="L772" i="50"/>
  <c r="L773" i="50"/>
  <c r="L774" i="50"/>
  <c r="L775" i="50"/>
  <c r="L776" i="50"/>
  <c r="L777" i="50"/>
  <c r="L778" i="50"/>
  <c r="L779" i="50"/>
  <c r="L780" i="50"/>
  <c r="L781" i="50"/>
  <c r="L782" i="50"/>
  <c r="L783" i="50"/>
  <c r="L784" i="50"/>
  <c r="L785" i="50"/>
  <c r="L786" i="50"/>
  <c r="L787" i="50"/>
  <c r="L788" i="50"/>
  <c r="L789" i="50"/>
  <c r="L790" i="50"/>
  <c r="L791" i="50"/>
  <c r="L792" i="50"/>
  <c r="L793" i="50"/>
  <c r="L794" i="50"/>
  <c r="L795" i="50"/>
  <c r="L796" i="50"/>
  <c r="L797" i="50"/>
  <c r="L798" i="50"/>
  <c r="L799" i="50"/>
  <c r="L800" i="50"/>
  <c r="L801" i="50"/>
  <c r="L802" i="50"/>
  <c r="L803" i="50"/>
  <c r="L804" i="50"/>
  <c r="L805" i="50"/>
  <c r="L806" i="50"/>
  <c r="L807" i="50"/>
  <c r="L808" i="50"/>
  <c r="L809" i="50"/>
  <c r="L810" i="50"/>
  <c r="L811" i="50"/>
  <c r="L812" i="50"/>
  <c r="L813" i="50"/>
  <c r="L814" i="50"/>
  <c r="L815" i="50"/>
  <c r="L816" i="50"/>
  <c r="L817" i="50"/>
  <c r="L818" i="50"/>
  <c r="L819" i="50"/>
  <c r="L820" i="50"/>
  <c r="L821" i="50"/>
  <c r="L822" i="50"/>
  <c r="L823" i="50"/>
  <c r="L824" i="50"/>
  <c r="L825" i="50"/>
  <c r="L826" i="50"/>
  <c r="L827" i="50"/>
  <c r="L828" i="50"/>
  <c r="L829" i="50"/>
  <c r="L830" i="50"/>
  <c r="L831" i="50"/>
  <c r="L832" i="50"/>
  <c r="L833" i="50"/>
  <c r="L834" i="50"/>
  <c r="L835" i="50"/>
  <c r="L836" i="50"/>
  <c r="L837" i="50"/>
  <c r="L838" i="50"/>
  <c r="L839" i="50"/>
  <c r="L840" i="50"/>
  <c r="L841" i="50"/>
  <c r="L842" i="50"/>
  <c r="L843" i="50"/>
  <c r="L844" i="50"/>
  <c r="L845" i="50"/>
  <c r="L846" i="50"/>
  <c r="L847" i="50"/>
  <c r="L848" i="50"/>
  <c r="L849" i="50"/>
  <c r="L850" i="50"/>
  <c r="L851" i="50"/>
  <c r="L852" i="50"/>
  <c r="L853" i="50"/>
  <c r="L854" i="50"/>
  <c r="L855" i="50"/>
  <c r="L856" i="50"/>
  <c r="L857" i="50"/>
  <c r="L858" i="50"/>
  <c r="L859" i="50"/>
  <c r="L860" i="50"/>
  <c r="L861" i="50"/>
  <c r="L862" i="50"/>
  <c r="L863" i="50"/>
  <c r="L864" i="50"/>
  <c r="L865" i="50"/>
  <c r="L866" i="50"/>
  <c r="L867" i="50"/>
  <c r="L868" i="50"/>
  <c r="L869" i="50"/>
  <c r="L870" i="50"/>
  <c r="L871" i="50"/>
  <c r="L872" i="50"/>
  <c r="L873" i="50"/>
  <c r="L874" i="50"/>
  <c r="L875" i="50"/>
  <c r="L876" i="50"/>
  <c r="L877" i="50"/>
  <c r="L878" i="50"/>
  <c r="L879" i="50"/>
  <c r="L880" i="50"/>
  <c r="L881" i="50"/>
  <c r="L882" i="50"/>
  <c r="L883" i="50"/>
  <c r="L884" i="50"/>
  <c r="L885" i="50"/>
  <c r="L886" i="50"/>
  <c r="L887" i="50"/>
  <c r="L888" i="50"/>
  <c r="L889" i="50"/>
  <c r="L890" i="50"/>
  <c r="L891" i="50"/>
  <c r="L892" i="50"/>
  <c r="L893" i="50"/>
  <c r="L894" i="50"/>
  <c r="L895" i="50"/>
  <c r="L896" i="50"/>
  <c r="L897" i="50"/>
  <c r="L898" i="50"/>
  <c r="L899" i="50"/>
  <c r="L900" i="50"/>
  <c r="L901" i="50"/>
  <c r="L902" i="50"/>
  <c r="L903" i="50"/>
  <c r="L904" i="50"/>
  <c r="L905" i="50"/>
  <c r="L906" i="50"/>
  <c r="L907" i="50"/>
  <c r="L908" i="50"/>
  <c r="L909" i="50"/>
  <c r="L910" i="50"/>
  <c r="L911" i="50"/>
  <c r="L912" i="50"/>
  <c r="L913" i="50"/>
  <c r="L914" i="50"/>
  <c r="L915" i="50"/>
  <c r="L916" i="50"/>
  <c r="L917" i="50"/>
  <c r="L918" i="50"/>
  <c r="L919" i="50"/>
  <c r="L920" i="50"/>
  <c r="L921" i="50"/>
  <c r="L922" i="50"/>
  <c r="L923" i="50"/>
  <c r="L924" i="50"/>
  <c r="L925" i="50"/>
  <c r="L926" i="50"/>
  <c r="L927" i="50"/>
  <c r="L928" i="50"/>
  <c r="L929" i="50"/>
  <c r="L930" i="50"/>
  <c r="L931" i="50"/>
  <c r="L932" i="50"/>
  <c r="L933" i="50"/>
  <c r="L934" i="50"/>
  <c r="L935" i="50"/>
  <c r="L936" i="50"/>
  <c r="L937" i="50"/>
  <c r="L938" i="50"/>
  <c r="L939" i="50"/>
  <c r="L940" i="50"/>
  <c r="L941" i="50"/>
  <c r="L942" i="50"/>
  <c r="L943" i="50"/>
  <c r="L944" i="50"/>
  <c r="L945" i="50"/>
  <c r="L946" i="50"/>
  <c r="L947" i="50"/>
  <c r="L948" i="50"/>
  <c r="L949" i="50"/>
  <c r="L950" i="50"/>
  <c r="L951" i="50"/>
  <c r="L952" i="50"/>
  <c r="L953" i="50"/>
  <c r="L954" i="50"/>
  <c r="L955" i="50"/>
  <c r="L956" i="50"/>
  <c r="L957" i="50"/>
  <c r="L958" i="50"/>
  <c r="L959" i="50"/>
  <c r="L960" i="50"/>
  <c r="L961" i="50"/>
  <c r="L962" i="50"/>
  <c r="L963" i="50"/>
  <c r="L964" i="50"/>
  <c r="L965" i="50"/>
  <c r="L966" i="50"/>
  <c r="L967" i="50"/>
  <c r="L968" i="50"/>
  <c r="L969" i="50"/>
  <c r="L970" i="50"/>
  <c r="L971" i="50"/>
  <c r="L972" i="50"/>
  <c r="L973" i="50"/>
  <c r="L974" i="50"/>
  <c r="L975" i="50"/>
  <c r="L976" i="50"/>
  <c r="L977" i="50"/>
  <c r="L978" i="50"/>
  <c r="L979" i="50"/>
  <c r="L980" i="50"/>
  <c r="L981" i="50"/>
  <c r="L982" i="50"/>
  <c r="L983" i="50"/>
  <c r="L984" i="50"/>
  <c r="L985" i="50"/>
  <c r="L986" i="50"/>
  <c r="L987" i="50"/>
  <c r="L988" i="50"/>
  <c r="L989" i="50"/>
  <c r="L990" i="50"/>
  <c r="L991" i="50"/>
  <c r="L992" i="50"/>
  <c r="L993" i="50"/>
  <c r="L994" i="50"/>
  <c r="L995" i="50"/>
  <c r="L996" i="50"/>
  <c r="L997" i="50"/>
  <c r="L998" i="50"/>
  <c r="L999" i="50"/>
  <c r="L1000" i="50"/>
  <c r="L1001" i="50"/>
  <c r="L1002" i="50"/>
  <c r="L1003" i="50"/>
  <c r="L1004" i="50"/>
  <c r="L1005" i="50"/>
  <c r="L1006" i="50"/>
  <c r="L1007" i="50"/>
  <c r="L1008" i="50"/>
  <c r="L1009" i="50"/>
  <c r="L1010" i="50"/>
  <c r="L1011" i="50"/>
  <c r="L1012" i="50"/>
  <c r="L1013" i="50"/>
  <c r="L1014" i="50"/>
  <c r="L1015" i="50"/>
  <c r="L1016" i="50"/>
  <c r="L1017" i="50"/>
  <c r="L1018" i="50"/>
  <c r="L1019" i="50"/>
  <c r="L1020" i="50"/>
  <c r="L1021" i="50"/>
  <c r="L1022" i="50"/>
  <c r="L1023" i="50"/>
  <c r="L1024" i="50"/>
  <c r="L1025" i="50"/>
  <c r="L1026" i="50"/>
  <c r="L1027" i="50"/>
  <c r="L1028" i="50"/>
  <c r="L1029" i="50"/>
  <c r="L1030" i="50"/>
  <c r="L1031" i="50"/>
  <c r="L1032" i="50"/>
  <c r="L1033" i="50"/>
  <c r="L1034" i="50"/>
  <c r="L1035" i="50"/>
  <c r="L1036" i="50"/>
  <c r="L1037" i="50"/>
  <c r="L1038" i="50"/>
  <c r="L1039" i="50"/>
  <c r="L1040" i="50"/>
  <c r="L1041" i="50"/>
  <c r="L1042" i="50"/>
  <c r="L1043" i="50"/>
  <c r="L1044" i="50"/>
  <c r="L1045" i="50"/>
  <c r="L1046" i="50"/>
  <c r="L1047" i="50"/>
  <c r="L1048" i="50"/>
  <c r="L1049" i="50"/>
  <c r="L1050" i="50"/>
  <c r="L1051" i="50"/>
  <c r="L1052" i="50"/>
  <c r="L1053" i="50"/>
  <c r="L1054" i="50"/>
  <c r="L1055" i="50"/>
  <c r="L1056" i="50"/>
  <c r="L1057" i="50"/>
  <c r="L1058" i="50"/>
  <c r="L1059" i="50"/>
  <c r="L1060" i="50"/>
  <c r="L1061" i="50"/>
  <c r="L1062" i="50"/>
  <c r="L1063" i="50"/>
  <c r="L1064" i="50"/>
  <c r="L1065" i="50"/>
  <c r="L1066" i="50"/>
  <c r="L1067" i="50"/>
  <c r="L1068" i="50"/>
  <c r="L1069" i="50"/>
  <c r="L1070" i="50"/>
  <c r="L1071" i="50"/>
  <c r="L1072" i="50"/>
  <c r="L1073" i="50"/>
  <c r="L1074" i="50"/>
  <c r="L1075" i="50"/>
  <c r="L1076" i="50"/>
  <c r="L1077" i="50"/>
  <c r="L1078" i="50"/>
  <c r="L1079" i="50"/>
  <c r="L1080" i="50"/>
  <c r="L1081" i="50"/>
  <c r="L1082" i="50"/>
  <c r="L1083" i="50"/>
  <c r="L1084" i="50"/>
  <c r="L1085" i="50"/>
  <c r="L1086" i="50"/>
  <c r="L1087" i="50"/>
  <c r="L1088" i="50"/>
  <c r="L1089" i="50"/>
  <c r="L1090" i="50"/>
  <c r="L1091" i="50"/>
  <c r="L1092" i="50"/>
  <c r="L1093" i="50"/>
  <c r="L1094" i="50"/>
  <c r="L1095" i="50"/>
  <c r="L1096" i="50"/>
  <c r="L1097" i="50"/>
  <c r="L1098" i="50"/>
  <c r="L1099" i="50"/>
  <c r="L1100" i="50"/>
  <c r="L1101" i="50"/>
  <c r="L1102" i="50"/>
  <c r="L1103" i="50"/>
  <c r="L1104" i="50"/>
  <c r="L1105" i="50"/>
  <c r="L1106" i="50"/>
  <c r="L1107" i="50"/>
  <c r="L1108" i="50"/>
  <c r="L1109" i="50"/>
  <c r="L1110" i="50"/>
  <c r="L1111" i="50"/>
  <c r="L1112" i="50"/>
  <c r="L1113" i="50"/>
  <c r="L1114" i="50"/>
  <c r="L1115" i="50"/>
  <c r="L1116" i="50"/>
  <c r="L1117" i="50"/>
  <c r="L1118" i="50"/>
  <c r="L1119" i="50"/>
  <c r="L1120" i="50"/>
  <c r="L1121" i="50"/>
  <c r="L1122" i="50"/>
  <c r="L1123" i="50"/>
  <c r="L1124" i="50"/>
  <c r="L1125" i="50"/>
  <c r="L1126" i="50"/>
  <c r="L1127" i="50"/>
  <c r="L1128" i="50"/>
  <c r="L1129" i="50"/>
  <c r="L1130" i="50"/>
  <c r="L1131" i="50"/>
  <c r="L1132" i="50"/>
  <c r="L1133" i="50"/>
  <c r="L1134" i="50"/>
  <c r="L1135" i="50"/>
  <c r="L1136" i="50"/>
  <c r="L1137" i="50"/>
  <c r="L1138" i="50"/>
  <c r="L1139" i="50"/>
  <c r="L1140" i="50"/>
  <c r="L1141" i="50"/>
  <c r="L1142" i="50"/>
  <c r="L1143" i="50"/>
  <c r="L1144" i="50"/>
  <c r="L1145" i="50"/>
  <c r="L1146" i="50"/>
  <c r="L1147" i="50"/>
  <c r="L1148" i="50"/>
  <c r="L1149" i="50"/>
  <c r="L1150" i="50"/>
  <c r="L1151" i="50"/>
  <c r="L1152" i="50"/>
  <c r="L1153" i="50"/>
  <c r="L1154" i="50"/>
  <c r="L1155" i="50"/>
  <c r="L1156" i="50"/>
  <c r="L1157" i="50"/>
  <c r="L1158" i="50"/>
  <c r="L1159" i="50"/>
  <c r="L1160" i="50"/>
  <c r="L1161" i="50"/>
  <c r="L1162" i="50"/>
  <c r="L1163" i="50"/>
  <c r="L1164" i="50"/>
  <c r="L1165" i="50"/>
  <c r="L1166" i="50"/>
  <c r="L1167" i="50"/>
  <c r="L1168" i="50"/>
  <c r="L1169" i="50"/>
  <c r="L1170" i="50"/>
  <c r="L1171" i="50"/>
  <c r="L1172" i="50"/>
  <c r="L1173" i="50"/>
  <c r="L1174" i="50"/>
  <c r="L1175" i="50"/>
  <c r="L1176" i="50"/>
  <c r="L1177" i="50"/>
  <c r="L1178" i="50"/>
  <c r="L1179" i="50"/>
  <c r="L1180" i="50"/>
  <c r="L1181" i="50"/>
  <c r="L1182" i="50"/>
  <c r="L1183" i="50"/>
  <c r="L1184" i="50"/>
  <c r="L1185" i="50"/>
  <c r="L1186" i="50"/>
  <c r="L1187" i="50"/>
  <c r="L1188" i="50"/>
  <c r="L1189" i="50"/>
  <c r="L1190" i="50"/>
  <c r="L1191" i="50"/>
  <c r="L1192" i="50"/>
  <c r="L1193" i="50"/>
  <c r="L1194" i="50"/>
  <c r="L1195" i="50"/>
  <c r="L1196" i="50"/>
  <c r="L1197" i="50"/>
  <c r="L1198" i="50"/>
  <c r="L1199" i="50"/>
  <c r="L1200" i="50"/>
  <c r="L1201" i="50"/>
  <c r="L1202" i="50"/>
  <c r="L1203" i="50"/>
  <c r="L1204" i="50"/>
  <c r="L1205" i="50"/>
  <c r="L1206" i="50"/>
  <c r="L1207" i="50"/>
  <c r="L1208" i="50"/>
  <c r="L1209" i="50"/>
  <c r="L1210" i="50"/>
  <c r="L1211" i="50"/>
  <c r="L1212" i="50"/>
  <c r="L1213" i="50"/>
  <c r="L1214" i="50"/>
  <c r="L1215" i="50"/>
  <c r="L1216" i="50"/>
  <c r="L1217" i="50"/>
  <c r="L1218" i="50"/>
  <c r="L1219" i="50"/>
  <c r="L1220" i="50"/>
  <c r="L1221" i="50"/>
  <c r="L1222" i="50"/>
  <c r="L1223" i="50"/>
  <c r="L1224" i="50"/>
  <c r="L1225" i="50"/>
  <c r="L1226" i="50"/>
  <c r="L1227" i="50"/>
  <c r="L1228" i="50"/>
  <c r="L1229" i="50"/>
  <c r="L1230" i="50"/>
  <c r="L1231" i="50"/>
  <c r="L1232" i="50"/>
  <c r="L1233" i="50"/>
  <c r="L1234" i="50"/>
  <c r="L1235" i="50"/>
  <c r="L1236" i="50"/>
  <c r="L1237" i="50"/>
  <c r="L1238" i="50"/>
  <c r="L1239" i="50"/>
  <c r="L1240" i="50"/>
  <c r="L1241" i="50"/>
  <c r="L1242" i="50"/>
  <c r="L1243" i="50"/>
  <c r="L1244" i="50"/>
  <c r="L1245" i="50"/>
  <c r="L1246" i="50"/>
  <c r="L1247" i="50"/>
  <c r="L1248" i="50"/>
  <c r="L1249" i="50"/>
  <c r="L1250" i="50"/>
  <c r="L1251" i="50"/>
  <c r="L1252" i="50"/>
  <c r="L1253" i="50"/>
  <c r="L1254" i="50"/>
  <c r="L1255" i="50"/>
  <c r="L1256" i="50"/>
  <c r="L1257" i="50"/>
  <c r="L1258" i="50"/>
  <c r="L1259" i="50"/>
  <c r="L1260" i="50"/>
  <c r="L1261" i="50"/>
  <c r="L1262" i="50"/>
  <c r="L1263" i="50"/>
  <c r="L1264" i="50"/>
  <c r="L1265" i="50"/>
  <c r="L1266" i="50"/>
  <c r="L1267" i="50"/>
  <c r="L1268" i="50"/>
  <c r="L1269" i="50"/>
  <c r="L1270" i="50"/>
  <c r="L1271" i="50"/>
  <c r="L1272" i="50"/>
  <c r="L1273" i="50"/>
  <c r="L1274" i="50"/>
  <c r="L1275" i="50"/>
  <c r="L1276" i="50"/>
  <c r="L1277" i="50"/>
  <c r="L1278" i="50"/>
  <c r="L1279" i="50"/>
  <c r="L1280" i="50"/>
  <c r="L1281" i="50"/>
  <c r="L1282" i="50"/>
  <c r="L1283" i="50"/>
  <c r="L1284" i="50"/>
  <c r="L1285" i="50"/>
  <c r="L1286" i="50"/>
  <c r="L1287" i="50"/>
  <c r="L1288" i="50"/>
  <c r="L1289" i="50"/>
  <c r="L1290" i="50"/>
  <c r="L1291" i="50"/>
  <c r="L1292" i="50"/>
  <c r="L1293" i="50"/>
  <c r="L1294" i="50"/>
  <c r="L1295" i="50"/>
  <c r="L1296" i="50"/>
  <c r="L1297" i="50"/>
  <c r="L1298" i="50"/>
  <c r="L1299" i="50"/>
  <c r="L1300" i="50"/>
  <c r="L1301" i="50"/>
  <c r="L1302" i="50"/>
  <c r="L1303" i="50"/>
  <c r="L1304" i="50"/>
  <c r="L1305" i="50"/>
  <c r="L1306" i="50"/>
  <c r="L1307" i="50"/>
  <c r="L1308" i="50"/>
  <c r="L1309" i="50"/>
  <c r="L1310" i="50"/>
  <c r="L1311" i="50"/>
  <c r="L1312" i="50"/>
  <c r="L1313" i="50"/>
  <c r="L1314" i="50"/>
  <c r="L1315" i="50"/>
  <c r="L1316" i="50"/>
  <c r="L1317" i="50"/>
  <c r="L1318" i="50"/>
  <c r="L1319" i="50"/>
  <c r="L1320" i="50"/>
  <c r="L1321" i="50"/>
  <c r="L1322" i="50"/>
  <c r="L1323" i="50"/>
  <c r="L1324" i="50"/>
  <c r="L1325" i="50"/>
  <c r="L1326" i="50"/>
  <c r="L1327" i="50"/>
  <c r="L1328" i="50"/>
  <c r="L1329" i="50"/>
  <c r="L1330" i="50"/>
  <c r="L1331" i="50"/>
  <c r="L1332" i="50"/>
  <c r="L1333" i="50"/>
  <c r="L1334" i="50"/>
  <c r="L1335" i="50"/>
  <c r="L1336" i="50"/>
  <c r="L1337" i="50"/>
  <c r="L1338" i="50"/>
  <c r="L1339" i="50"/>
  <c r="L1340" i="50"/>
  <c r="L1341" i="50"/>
  <c r="L1342" i="50"/>
  <c r="L1343" i="50"/>
  <c r="L1344" i="50"/>
  <c r="L1345" i="50"/>
  <c r="L1346" i="50"/>
  <c r="L1347" i="50"/>
  <c r="L1348" i="50"/>
  <c r="L1349" i="50"/>
  <c r="L1350" i="50"/>
  <c r="L1351" i="50"/>
  <c r="L1352" i="50"/>
  <c r="L1353" i="50"/>
  <c r="L1354" i="50"/>
  <c r="L1355" i="50"/>
  <c r="L1356" i="50"/>
  <c r="L1357" i="50"/>
  <c r="L1358" i="50"/>
  <c r="L1359" i="50"/>
  <c r="L1360" i="50"/>
  <c r="L1361" i="50"/>
  <c r="L1362" i="50"/>
  <c r="L1363" i="50"/>
  <c r="L1364" i="50"/>
  <c r="L1365" i="50"/>
  <c r="L1366" i="50"/>
  <c r="L1367" i="50"/>
  <c r="L1368" i="50"/>
  <c r="L1369" i="50"/>
  <c r="L1370" i="50"/>
  <c r="L1371" i="50"/>
  <c r="L1372" i="50"/>
  <c r="L1373" i="50"/>
  <c r="L1374" i="50"/>
  <c r="L1375" i="50"/>
  <c r="L1376" i="50"/>
  <c r="L1377" i="50"/>
  <c r="L1378" i="50"/>
  <c r="L1379" i="50"/>
  <c r="L1380" i="50"/>
  <c r="L1381" i="50"/>
  <c r="L1382" i="50"/>
  <c r="L1383" i="50"/>
  <c r="L1384" i="50"/>
  <c r="L1385" i="50"/>
  <c r="L1386" i="50"/>
  <c r="L1387" i="50"/>
  <c r="L1388" i="50"/>
  <c r="L1389" i="50"/>
  <c r="L1390" i="50"/>
  <c r="L1391" i="50"/>
  <c r="L1392" i="50"/>
  <c r="L1393" i="50"/>
  <c r="L1394" i="50"/>
  <c r="L1395" i="50"/>
  <c r="L1396" i="50"/>
  <c r="L1397" i="50"/>
  <c r="L1398" i="50"/>
  <c r="L1399" i="50"/>
  <c r="L1400" i="50"/>
  <c r="L1401" i="50"/>
  <c r="L1402" i="50"/>
  <c r="L1403" i="50"/>
  <c r="L1404" i="50"/>
  <c r="L1405" i="50"/>
  <c r="L1406" i="50"/>
  <c r="L1407" i="50"/>
  <c r="L1408" i="50"/>
  <c r="L1409" i="50"/>
  <c r="L1410" i="50"/>
  <c r="L1411" i="50"/>
  <c r="L1412" i="50"/>
  <c r="L1413" i="50"/>
  <c r="L1414" i="50"/>
  <c r="L1415" i="50"/>
  <c r="L1416" i="50"/>
  <c r="L1417" i="50"/>
  <c r="L1418" i="50"/>
  <c r="L1419" i="50"/>
  <c r="L1420" i="50"/>
  <c r="L1421" i="50"/>
  <c r="L1422" i="50"/>
  <c r="L1423" i="50"/>
  <c r="L1424" i="50"/>
  <c r="L1425" i="50"/>
  <c r="L1426" i="50"/>
  <c r="L1427" i="50"/>
  <c r="L1428" i="50"/>
  <c r="L1429" i="50"/>
  <c r="L1430" i="50"/>
  <c r="L1431" i="50"/>
  <c r="L1432" i="50"/>
  <c r="L1433" i="50"/>
  <c r="L1434" i="50"/>
  <c r="L1435" i="50"/>
  <c r="L1436" i="50"/>
  <c r="L1437" i="50"/>
  <c r="L1438" i="50"/>
  <c r="L1439" i="50"/>
  <c r="L1440" i="50"/>
  <c r="L1441" i="50"/>
  <c r="L1442" i="50"/>
  <c r="L1443" i="50"/>
  <c r="L1444" i="50"/>
  <c r="L1445" i="50"/>
  <c r="L1446" i="50"/>
  <c r="L1447" i="50"/>
  <c r="L1448" i="50"/>
  <c r="L1449" i="50"/>
  <c r="L1450" i="50"/>
  <c r="L1451" i="50"/>
  <c r="L1452" i="50"/>
  <c r="L1453" i="50"/>
  <c r="L1454" i="50"/>
  <c r="L1455" i="50"/>
  <c r="L1456" i="50"/>
  <c r="L1457" i="50"/>
  <c r="L1458" i="50"/>
  <c r="L1459" i="50"/>
  <c r="L1460" i="50"/>
  <c r="L1461" i="50"/>
  <c r="L1462" i="50"/>
  <c r="L1463" i="50"/>
  <c r="L1464" i="50"/>
  <c r="L1465" i="50"/>
  <c r="L1466" i="50"/>
  <c r="L1467" i="50"/>
  <c r="L1468" i="50"/>
  <c r="L1469" i="50"/>
  <c r="L1470" i="50"/>
  <c r="L1471" i="50"/>
  <c r="L1472" i="50"/>
  <c r="L1473" i="50"/>
  <c r="L1474" i="50"/>
  <c r="L1475" i="50"/>
  <c r="L1476" i="50"/>
  <c r="L1477" i="50"/>
  <c r="L1478" i="50"/>
  <c r="L1479" i="50"/>
  <c r="L1480" i="50"/>
  <c r="L1481" i="50"/>
  <c r="L1482" i="50"/>
  <c r="L1483" i="50"/>
  <c r="L1484" i="50"/>
  <c r="L1485" i="50"/>
  <c r="L1486" i="50"/>
  <c r="L1487" i="50"/>
  <c r="L1488" i="50"/>
  <c r="L1489" i="50"/>
  <c r="L1490" i="50"/>
  <c r="L1491" i="50"/>
  <c r="L1492" i="50"/>
  <c r="L1493" i="50"/>
  <c r="L1494" i="50"/>
  <c r="L1495" i="50"/>
  <c r="L1496" i="50"/>
  <c r="L1497" i="50"/>
  <c r="L1498" i="50"/>
  <c r="L1499" i="50"/>
  <c r="L1500" i="50"/>
  <c r="L1501" i="50"/>
  <c r="L1502" i="50"/>
  <c r="L1503" i="50"/>
  <c r="L1504" i="50"/>
  <c r="L1505" i="50"/>
  <c r="L1506" i="50"/>
  <c r="L1507" i="50"/>
  <c r="L1508" i="50"/>
  <c r="L1509" i="50"/>
  <c r="L1510" i="50"/>
  <c r="L1511" i="50"/>
  <c r="L1512" i="50"/>
  <c r="L1513" i="50"/>
  <c r="L1514" i="50"/>
  <c r="L1515" i="50"/>
  <c r="L1516" i="50"/>
  <c r="L1517" i="50"/>
  <c r="L1518" i="50"/>
  <c r="L1519" i="50"/>
  <c r="L1520" i="50"/>
  <c r="L1521" i="50"/>
  <c r="L1522" i="50"/>
  <c r="L1523" i="50"/>
  <c r="L1524" i="50"/>
  <c r="L1525" i="50"/>
  <c r="L1526" i="50"/>
  <c r="L1527" i="50"/>
  <c r="L1528" i="50"/>
  <c r="L1529" i="50"/>
  <c r="L1530" i="50"/>
  <c r="L1531" i="50"/>
  <c r="L1532" i="50"/>
  <c r="L1533" i="50"/>
  <c r="L1534" i="50"/>
  <c r="L1535" i="50"/>
  <c r="L1536" i="50"/>
  <c r="L1537" i="50"/>
  <c r="L1538" i="50"/>
  <c r="L1539" i="50"/>
  <c r="L1540" i="50"/>
  <c r="L1541" i="50"/>
  <c r="L1542" i="50"/>
  <c r="L1543" i="50"/>
  <c r="L1544" i="50"/>
  <c r="L1545" i="50"/>
  <c r="L1546" i="50"/>
  <c r="L1547" i="50"/>
  <c r="L1548" i="50"/>
  <c r="L1549" i="50"/>
  <c r="L1550" i="50"/>
  <c r="L1551" i="50"/>
  <c r="L1552" i="50"/>
  <c r="L1553" i="50"/>
  <c r="L1554" i="50"/>
  <c r="L1555" i="50"/>
  <c r="L1556" i="50"/>
  <c r="L1557" i="50"/>
  <c r="L1558" i="50"/>
  <c r="L1559" i="50"/>
  <c r="L1560" i="50"/>
  <c r="L1561" i="50"/>
  <c r="L1562" i="50"/>
  <c r="L1563" i="50"/>
  <c r="L1564" i="50"/>
  <c r="L1565" i="50"/>
  <c r="L1566" i="50"/>
  <c r="L1567" i="50"/>
  <c r="L1568" i="50"/>
  <c r="L1569" i="50"/>
  <c r="L1570" i="50"/>
  <c r="L1571" i="50"/>
  <c r="L1572" i="50"/>
  <c r="L1573" i="50"/>
  <c r="L1574" i="50"/>
  <c r="L1575" i="50"/>
  <c r="L1576" i="50"/>
  <c r="L1577" i="50"/>
  <c r="L1578" i="50"/>
  <c r="L1579" i="50"/>
  <c r="L1580" i="50"/>
  <c r="L1581" i="50"/>
  <c r="L1582" i="50"/>
  <c r="L1583" i="50"/>
  <c r="L1584" i="50"/>
  <c r="L1585" i="50"/>
  <c r="L1586" i="50"/>
  <c r="L1587" i="50"/>
  <c r="L1588" i="50"/>
  <c r="L1589" i="50"/>
  <c r="L1590" i="50"/>
  <c r="L1591" i="50"/>
  <c r="L1592" i="50"/>
  <c r="L1593" i="50"/>
  <c r="L1594" i="50"/>
  <c r="L1595" i="50"/>
  <c r="L1596" i="50"/>
  <c r="L1597" i="50"/>
  <c r="L1598" i="50"/>
  <c r="L1599" i="50"/>
  <c r="L1600" i="50"/>
  <c r="L1601" i="50"/>
  <c r="L1602" i="50"/>
  <c r="L1603" i="50"/>
  <c r="L1604" i="50"/>
  <c r="L1605" i="50"/>
  <c r="L1606" i="50"/>
  <c r="L1607" i="50"/>
  <c r="L1608" i="50"/>
  <c r="L1609" i="50"/>
  <c r="L1610" i="50"/>
  <c r="L1611" i="50"/>
  <c r="L1612" i="50"/>
  <c r="L1613" i="50"/>
  <c r="L1614" i="50"/>
  <c r="L1615" i="50"/>
  <c r="L1616" i="50"/>
  <c r="L1617" i="50"/>
  <c r="L1618" i="50"/>
  <c r="L1619" i="50"/>
  <c r="L1620" i="50"/>
  <c r="L1621" i="50"/>
  <c r="L1622" i="50"/>
  <c r="L1623" i="50"/>
  <c r="L1624" i="50"/>
  <c r="L1625" i="50"/>
  <c r="L1626" i="50"/>
  <c r="L1627" i="50"/>
  <c r="L1628" i="50"/>
  <c r="L1629" i="50"/>
  <c r="L1630" i="50"/>
  <c r="L1631" i="50"/>
  <c r="L1632" i="50"/>
  <c r="L1633" i="50"/>
  <c r="L1634" i="50"/>
  <c r="L1635" i="50"/>
  <c r="L1636" i="50"/>
  <c r="L1637" i="50"/>
  <c r="L1638" i="50"/>
  <c r="L1639" i="50"/>
  <c r="L1640" i="50"/>
  <c r="L1641" i="50"/>
  <c r="L1642" i="50"/>
  <c r="L1643" i="50"/>
  <c r="L1644" i="50"/>
  <c r="L1645" i="50"/>
  <c r="L1646" i="50"/>
  <c r="L1647" i="50"/>
  <c r="L1648" i="50"/>
  <c r="L1649" i="50"/>
  <c r="L1650" i="50"/>
  <c r="L1651" i="50"/>
  <c r="L1652" i="50"/>
  <c r="L1653" i="50"/>
  <c r="L1654" i="50"/>
  <c r="L1655" i="50"/>
  <c r="L1656" i="50"/>
  <c r="L1657" i="50"/>
  <c r="L1658" i="50"/>
  <c r="L1659" i="50"/>
  <c r="L1660" i="50"/>
  <c r="L1661" i="50"/>
  <c r="L1662" i="50"/>
  <c r="L1663" i="50"/>
  <c r="L1664" i="50"/>
  <c r="L1665" i="50"/>
  <c r="L1666" i="50"/>
  <c r="L1667" i="50"/>
  <c r="L1668" i="50"/>
  <c r="L1669" i="50"/>
  <c r="L1670" i="50"/>
  <c r="L1671" i="50"/>
  <c r="L1672" i="50"/>
  <c r="L1673" i="50"/>
  <c r="L1674" i="50"/>
  <c r="L1675" i="50"/>
  <c r="L1676" i="50"/>
  <c r="L1677" i="50"/>
  <c r="L1678" i="50"/>
  <c r="L1679" i="50"/>
  <c r="L1680" i="50"/>
  <c r="L1681" i="50"/>
  <c r="L1682" i="50"/>
  <c r="L1683" i="50"/>
  <c r="L1684" i="50"/>
  <c r="L1685" i="50"/>
  <c r="L1686" i="50"/>
  <c r="L1687" i="50"/>
  <c r="L1688" i="50"/>
  <c r="L1689" i="50"/>
  <c r="L1690" i="50"/>
  <c r="L1691" i="50"/>
  <c r="L1692" i="50"/>
  <c r="L1693" i="50"/>
  <c r="L1694" i="50"/>
  <c r="L1695" i="50"/>
  <c r="L1696" i="50"/>
  <c r="L1697" i="50"/>
  <c r="L1698" i="50"/>
  <c r="L1699" i="50"/>
  <c r="L1700" i="50"/>
  <c r="L1701" i="50"/>
  <c r="L1702" i="50"/>
  <c r="L1703" i="50"/>
  <c r="L1704" i="50"/>
  <c r="L1705" i="50"/>
  <c r="L1706" i="50"/>
  <c r="L1707" i="50"/>
  <c r="L1708" i="50"/>
  <c r="L1709" i="50"/>
  <c r="L1710" i="50"/>
  <c r="L1711" i="50"/>
  <c r="L1712" i="50"/>
  <c r="L1713" i="50"/>
  <c r="L1714" i="50"/>
  <c r="L1715" i="50"/>
  <c r="L1716" i="50"/>
  <c r="L1717" i="50"/>
  <c r="L1718" i="50"/>
  <c r="L1719" i="50"/>
  <c r="L1720" i="50"/>
  <c r="L1721" i="50"/>
  <c r="L1722" i="50"/>
  <c r="L1723" i="50"/>
  <c r="L1724" i="50"/>
  <c r="L1725" i="50"/>
  <c r="L1726" i="50"/>
  <c r="L1727" i="50"/>
  <c r="L1728" i="50"/>
  <c r="L1729" i="50"/>
  <c r="L1730" i="50"/>
  <c r="L1731" i="50"/>
  <c r="L1732" i="50"/>
  <c r="L1733" i="50"/>
  <c r="L1734" i="50"/>
  <c r="L1735" i="50"/>
  <c r="L1736" i="50"/>
  <c r="L1737" i="50"/>
  <c r="L1738" i="50"/>
  <c r="L1739" i="50"/>
  <c r="L1740" i="50"/>
  <c r="L1741" i="50"/>
  <c r="L1742" i="50"/>
  <c r="L1743" i="50"/>
  <c r="L1744" i="50"/>
  <c r="L1745" i="50"/>
  <c r="L1746" i="50"/>
  <c r="L1747" i="50"/>
  <c r="L1748" i="50"/>
  <c r="L1749" i="50"/>
  <c r="L1750" i="50"/>
  <c r="L1751" i="50"/>
  <c r="L1752" i="50"/>
  <c r="L1753" i="50"/>
  <c r="L1754" i="50"/>
  <c r="L1755" i="50"/>
  <c r="L1756" i="50"/>
  <c r="L1757" i="50"/>
  <c r="L1758" i="50"/>
  <c r="L1759" i="50"/>
  <c r="L1760" i="50"/>
  <c r="L1761" i="50"/>
  <c r="L1762" i="50"/>
  <c r="L1763" i="50"/>
  <c r="L1764" i="50"/>
  <c r="L1765" i="50"/>
  <c r="L1766" i="50"/>
  <c r="L1767" i="50"/>
  <c r="L1768" i="50"/>
  <c r="L1769" i="50"/>
  <c r="L1770" i="50"/>
  <c r="L1771" i="50"/>
  <c r="L1772" i="50"/>
  <c r="L1773" i="50"/>
  <c r="L1774" i="50"/>
  <c r="L1775" i="50"/>
  <c r="L1776" i="50"/>
  <c r="L1777" i="50"/>
  <c r="L1778" i="50"/>
  <c r="L1779" i="50"/>
  <c r="L1780" i="50"/>
  <c r="L1781" i="50"/>
  <c r="L1782" i="50"/>
  <c r="L1783" i="50"/>
  <c r="L1784" i="50"/>
  <c r="L1785" i="50"/>
  <c r="L1786" i="50"/>
  <c r="L1787" i="50"/>
  <c r="L1788" i="50"/>
  <c r="L1789" i="50"/>
  <c r="L1790" i="50"/>
  <c r="L1791" i="50"/>
  <c r="L1792" i="50"/>
  <c r="L1793" i="50"/>
  <c r="L1794" i="50"/>
  <c r="L1795" i="50"/>
  <c r="L1796" i="50"/>
  <c r="L1797" i="50"/>
  <c r="L1798" i="50"/>
  <c r="L1799" i="50"/>
  <c r="L1800" i="50"/>
  <c r="L1801" i="50"/>
  <c r="L1802" i="50"/>
  <c r="L1803" i="50"/>
  <c r="L1804" i="50"/>
  <c r="L1805" i="50"/>
  <c r="L1806" i="50"/>
  <c r="L1807" i="50"/>
  <c r="L1808" i="50"/>
  <c r="L1809" i="50"/>
  <c r="L1810" i="50"/>
  <c r="L1811" i="50"/>
  <c r="L1812" i="50"/>
  <c r="L1813" i="50"/>
  <c r="L1814" i="50"/>
  <c r="L1815" i="50"/>
  <c r="L1816" i="50"/>
  <c r="L1817" i="50"/>
  <c r="L1818" i="50"/>
  <c r="L1819" i="50"/>
  <c r="L1820" i="50"/>
  <c r="L1821" i="50"/>
  <c r="L1822" i="50"/>
  <c r="L1823" i="50"/>
  <c r="L1824" i="50"/>
  <c r="L1825" i="50"/>
  <c r="L1826" i="50"/>
  <c r="L1827" i="50"/>
  <c r="L1828" i="50"/>
  <c r="L1829" i="50"/>
  <c r="L1830" i="50"/>
  <c r="L1831" i="50"/>
  <c r="L1832" i="50"/>
  <c r="L1833" i="50"/>
  <c r="L1834" i="50"/>
  <c r="L1835" i="50"/>
  <c r="L1836" i="50"/>
  <c r="L1837" i="50"/>
  <c r="L1838" i="50"/>
  <c r="L1839" i="50"/>
  <c r="L1840" i="50"/>
  <c r="L1841" i="50"/>
  <c r="L1842" i="50"/>
  <c r="L1843" i="50"/>
  <c r="L1844" i="50"/>
  <c r="L1845" i="50"/>
  <c r="L1846" i="50"/>
  <c r="L1847" i="50"/>
  <c r="L1848" i="50"/>
  <c r="L1849" i="50"/>
  <c r="L1850" i="50"/>
  <c r="L1851" i="50"/>
  <c r="L1852" i="50"/>
  <c r="L1853" i="50"/>
  <c r="L1854" i="50"/>
  <c r="L1855" i="50"/>
  <c r="L1856" i="50"/>
  <c r="L1857" i="50"/>
  <c r="L1858" i="50"/>
  <c r="L1859" i="50"/>
  <c r="L1860" i="50"/>
  <c r="L1861" i="50"/>
  <c r="L1862" i="50"/>
  <c r="L1863" i="50"/>
  <c r="L1864" i="50"/>
  <c r="L1865" i="50"/>
  <c r="L1866" i="50"/>
  <c r="L1867" i="50"/>
  <c r="L1868" i="50"/>
  <c r="L1869" i="50"/>
  <c r="L1870" i="50"/>
  <c r="L1871" i="50"/>
  <c r="L1872" i="50"/>
  <c r="L1873" i="50"/>
  <c r="L1874" i="50"/>
  <c r="L1875" i="50"/>
  <c r="L1876" i="50"/>
  <c r="L1877" i="50"/>
  <c r="L1878" i="50"/>
  <c r="L1879" i="50"/>
  <c r="L1880" i="50"/>
  <c r="L1881" i="50"/>
  <c r="L1882" i="50"/>
  <c r="L1883" i="50"/>
  <c r="L1884" i="50"/>
  <c r="L1885" i="50"/>
  <c r="L1886" i="50"/>
  <c r="L1887" i="50"/>
  <c r="L1888" i="50"/>
  <c r="L1889" i="50"/>
  <c r="L1890" i="50"/>
  <c r="L1891" i="50"/>
  <c r="L1892" i="50"/>
  <c r="L1893" i="50"/>
  <c r="L1894" i="50"/>
  <c r="L1895" i="50"/>
  <c r="L1896" i="50"/>
  <c r="L1897" i="50"/>
  <c r="L1898" i="50"/>
  <c r="L1899" i="50"/>
  <c r="L1900" i="50"/>
  <c r="L1901" i="50"/>
  <c r="L1902" i="50"/>
  <c r="L1903" i="50"/>
  <c r="L1904" i="50"/>
  <c r="L1905" i="50"/>
  <c r="L1906" i="50"/>
  <c r="L1907" i="50"/>
  <c r="L1908" i="50"/>
  <c r="L1909" i="50"/>
  <c r="L1910" i="50"/>
  <c r="L1911" i="50"/>
  <c r="L1912" i="50"/>
  <c r="L1913" i="50"/>
  <c r="L1914" i="50"/>
  <c r="L1915" i="50"/>
  <c r="L1916" i="50"/>
  <c r="L1917" i="50"/>
  <c r="L1918" i="50"/>
  <c r="L1919" i="50"/>
  <c r="L1920" i="50"/>
  <c r="L1921" i="50"/>
  <c r="L1922" i="50"/>
  <c r="L1923" i="50"/>
  <c r="L1924" i="50"/>
  <c r="L1925" i="50"/>
  <c r="L1926" i="50"/>
  <c r="L1927" i="50"/>
  <c r="L1928" i="50"/>
  <c r="L1929" i="50"/>
  <c r="L1930" i="50"/>
  <c r="L1931" i="50"/>
  <c r="L1932" i="50"/>
  <c r="L1933" i="50"/>
  <c r="L1934" i="50"/>
  <c r="L1935" i="50"/>
  <c r="L1936" i="50"/>
  <c r="L1937" i="50"/>
  <c r="L1938" i="50"/>
  <c r="L1939" i="50"/>
  <c r="L1940" i="50"/>
  <c r="L1941" i="50"/>
  <c r="L1942" i="50"/>
  <c r="L1943" i="50"/>
  <c r="L1944" i="50"/>
  <c r="L1945" i="50"/>
  <c r="L1946" i="50"/>
  <c r="L1947" i="50"/>
  <c r="L1948" i="50"/>
  <c r="L1949" i="50"/>
  <c r="L1950" i="50"/>
  <c r="L1951" i="50"/>
  <c r="L1952" i="50"/>
  <c r="L1953" i="50"/>
  <c r="L1954" i="50"/>
  <c r="L1955" i="50"/>
  <c r="L1956" i="50"/>
  <c r="L1957" i="50"/>
  <c r="L1958" i="50"/>
  <c r="L1959" i="50"/>
  <c r="L1960" i="50"/>
  <c r="L1961" i="50"/>
  <c r="L1962" i="50"/>
  <c r="L1963" i="50"/>
  <c r="L1964" i="50"/>
  <c r="L1965" i="50"/>
  <c r="L1966" i="50"/>
  <c r="L1967" i="50"/>
  <c r="L1968" i="50"/>
  <c r="L1969" i="50"/>
  <c r="L1970" i="50"/>
  <c r="L1971" i="50"/>
  <c r="L1972" i="50"/>
  <c r="L1973" i="50"/>
  <c r="L1974" i="50"/>
  <c r="L1975" i="50"/>
  <c r="L1976" i="50"/>
  <c r="L1977" i="50"/>
  <c r="L1978" i="50"/>
  <c r="L1979" i="50"/>
  <c r="L1980" i="50"/>
  <c r="L1981" i="50"/>
  <c r="L1982" i="50"/>
  <c r="L1983" i="50"/>
  <c r="L1984" i="50"/>
  <c r="L1985" i="50"/>
  <c r="L1986" i="50"/>
  <c r="L1987" i="50"/>
  <c r="L1988" i="50"/>
  <c r="L1989" i="50"/>
  <c r="L1990" i="50"/>
  <c r="L1991" i="50"/>
  <c r="L1992" i="50"/>
  <c r="L1993" i="50"/>
  <c r="L1994" i="50"/>
  <c r="L1995" i="50"/>
  <c r="L1996" i="50"/>
  <c r="L1997" i="50"/>
  <c r="L1998" i="50"/>
  <c r="L1999" i="50"/>
  <c r="L2000" i="50"/>
  <c r="L2001" i="50"/>
  <c r="L2002" i="50"/>
  <c r="L2003" i="50"/>
  <c r="L2004" i="50"/>
  <c r="L2005" i="50"/>
  <c r="L2006" i="50"/>
  <c r="L2007" i="50"/>
  <c r="L2008" i="50"/>
  <c r="L2009" i="50"/>
  <c r="L2010" i="50"/>
  <c r="L2011" i="50"/>
  <c r="L2012" i="50"/>
  <c r="L2013" i="50"/>
  <c r="L2014" i="50"/>
  <c r="L2015" i="50"/>
  <c r="L2016" i="50"/>
  <c r="L2017" i="50"/>
  <c r="L2018" i="50"/>
  <c r="L2019" i="50"/>
  <c r="L2020" i="50"/>
  <c r="L2021" i="50"/>
  <c r="L2022" i="50"/>
  <c r="L2023" i="50"/>
  <c r="L2024" i="50"/>
  <c r="L2025" i="50"/>
  <c r="L2026" i="50"/>
  <c r="L2027" i="50"/>
  <c r="L2028" i="50"/>
  <c r="L2029" i="50"/>
  <c r="L2030" i="50"/>
  <c r="L2031" i="50"/>
  <c r="L2032" i="50"/>
  <c r="L2033" i="50"/>
  <c r="L2034" i="50"/>
  <c r="L2035" i="50"/>
  <c r="L2036" i="50"/>
  <c r="L2037" i="50"/>
  <c r="L2038" i="50"/>
  <c r="L2039" i="50"/>
  <c r="L2040" i="50"/>
  <c r="L2041" i="50"/>
  <c r="L2042" i="50"/>
  <c r="L2043" i="50"/>
  <c r="L2044" i="50"/>
  <c r="L2045" i="50"/>
  <c r="L2046" i="50"/>
  <c r="L2047" i="50"/>
  <c r="L2048" i="50"/>
  <c r="L2049" i="50"/>
  <c r="L2050" i="50"/>
  <c r="L2051" i="50"/>
  <c r="L2052" i="50"/>
  <c r="L2053" i="50"/>
  <c r="L2054" i="50"/>
  <c r="L2055" i="50"/>
  <c r="L2056" i="50"/>
  <c r="L2057" i="50"/>
  <c r="L2058" i="50"/>
  <c r="L2059" i="50"/>
  <c r="L2060" i="50"/>
  <c r="L2061" i="50"/>
  <c r="L2062" i="50"/>
  <c r="L2063" i="50"/>
  <c r="L2064" i="50"/>
  <c r="L2065" i="50"/>
  <c r="L2066" i="50"/>
  <c r="L2067" i="50"/>
  <c r="L2068" i="50"/>
  <c r="L2069" i="50"/>
  <c r="L2070" i="50"/>
  <c r="L2071" i="50"/>
  <c r="L2072" i="50"/>
  <c r="L2073" i="50"/>
  <c r="L2074" i="50"/>
  <c r="L2075" i="50"/>
  <c r="L2076" i="50"/>
  <c r="L2077" i="50"/>
  <c r="L2078" i="50"/>
  <c r="L2079" i="50"/>
  <c r="L2080" i="50"/>
  <c r="L2081" i="50"/>
  <c r="L2082" i="50"/>
  <c r="L2083" i="50"/>
  <c r="L2084" i="50"/>
  <c r="L2085" i="50"/>
  <c r="L2086" i="50"/>
  <c r="L2087" i="50"/>
  <c r="L2088" i="50"/>
  <c r="L2089" i="50"/>
  <c r="L2090" i="50"/>
  <c r="L2091" i="50"/>
  <c r="L2092" i="50"/>
  <c r="L2093" i="50"/>
  <c r="L2094" i="50"/>
  <c r="L2095" i="50"/>
  <c r="L2096" i="50"/>
  <c r="L2097" i="50"/>
  <c r="L2098" i="50"/>
  <c r="L2099" i="50"/>
  <c r="L2100" i="50"/>
  <c r="L2101" i="50"/>
  <c r="L2102" i="50"/>
  <c r="L2103" i="50"/>
  <c r="L2104" i="50"/>
  <c r="L2105" i="50"/>
  <c r="L2106" i="50"/>
  <c r="L2107" i="50"/>
  <c r="L2108" i="50"/>
  <c r="L2109" i="50"/>
  <c r="L2110" i="50"/>
  <c r="L2111" i="50"/>
  <c r="L2112" i="50"/>
  <c r="L2113" i="50"/>
  <c r="L2114" i="50"/>
  <c r="L2115" i="50"/>
  <c r="L2116" i="50"/>
  <c r="L2117" i="50"/>
  <c r="L2118" i="50"/>
  <c r="L2119" i="50"/>
  <c r="L2120" i="50"/>
  <c r="L2121" i="50"/>
  <c r="L2122" i="50"/>
  <c r="L2123" i="50"/>
  <c r="L2124" i="50"/>
  <c r="L2125" i="50"/>
  <c r="L2126" i="50"/>
  <c r="L2127" i="50"/>
  <c r="L2128" i="50"/>
  <c r="L2129" i="50"/>
  <c r="L2130" i="50"/>
  <c r="L2131" i="50"/>
  <c r="L2132" i="50"/>
  <c r="L2133" i="50"/>
  <c r="L2134" i="50"/>
  <c r="L2135" i="50"/>
  <c r="L2136" i="50"/>
  <c r="L2137" i="50"/>
  <c r="L2138" i="50"/>
  <c r="L2139" i="50"/>
  <c r="L2140" i="50"/>
  <c r="L2141" i="50"/>
  <c r="L2142" i="50"/>
  <c r="L2143" i="50"/>
  <c r="L2144" i="50"/>
  <c r="L2145" i="50"/>
  <c r="L2146" i="50"/>
  <c r="L2147" i="50"/>
  <c r="L2148" i="50"/>
  <c r="L2149" i="50"/>
  <c r="L2150" i="50"/>
  <c r="L2151" i="50"/>
  <c r="L2152" i="50"/>
  <c r="L2153" i="50"/>
  <c r="L2154" i="50"/>
  <c r="L2155" i="50"/>
  <c r="L2156" i="50"/>
  <c r="L2157" i="50"/>
  <c r="L2158" i="50"/>
  <c r="L2159" i="50"/>
  <c r="L2160" i="50"/>
  <c r="L2161" i="50"/>
  <c r="L2162" i="50"/>
  <c r="L2163" i="50"/>
  <c r="L2164" i="50"/>
  <c r="L2165" i="50"/>
  <c r="L2166" i="50"/>
  <c r="L2167" i="50"/>
  <c r="L2168" i="50"/>
  <c r="L2169" i="50"/>
  <c r="L2170" i="50"/>
  <c r="L2171" i="50"/>
  <c r="L2172" i="50"/>
  <c r="L2173" i="50"/>
  <c r="L2174" i="50"/>
  <c r="L2175" i="50"/>
  <c r="L2176" i="50"/>
  <c r="L2177" i="50"/>
  <c r="L2178" i="50"/>
  <c r="L2179" i="50"/>
  <c r="L2180" i="50"/>
  <c r="L2181" i="50"/>
  <c r="L2182" i="50"/>
  <c r="L2183" i="50"/>
  <c r="L2184" i="50"/>
  <c r="L2185" i="50"/>
  <c r="L2186" i="50"/>
  <c r="L2187" i="50"/>
  <c r="L2188" i="50"/>
  <c r="L2189" i="50"/>
  <c r="L2190" i="50"/>
  <c r="L2191" i="50"/>
  <c r="L2192" i="50"/>
  <c r="L2193" i="50"/>
  <c r="L2194" i="50"/>
  <c r="L2195" i="50"/>
  <c r="L2196" i="50"/>
  <c r="L2197" i="50"/>
  <c r="L2198" i="50"/>
  <c r="L2199" i="50"/>
  <c r="L2200" i="50"/>
  <c r="L2201" i="50"/>
  <c r="L2202" i="50"/>
  <c r="L2203" i="50"/>
  <c r="L2204" i="50"/>
  <c r="L2205" i="50"/>
  <c r="L2206" i="50"/>
  <c r="L2207" i="50"/>
  <c r="L2208" i="50"/>
  <c r="L2209" i="50"/>
  <c r="L2210" i="50"/>
  <c r="L2211" i="50"/>
  <c r="L2212" i="50"/>
  <c r="L2213" i="50"/>
  <c r="L2214" i="50"/>
  <c r="L2215" i="50"/>
  <c r="L2216" i="50"/>
  <c r="L2217" i="50"/>
  <c r="L2218" i="50"/>
  <c r="L2219" i="50"/>
  <c r="L2220" i="50"/>
  <c r="L2221" i="50"/>
  <c r="L2222" i="50"/>
  <c r="L2223" i="50"/>
  <c r="L2224" i="50"/>
  <c r="L2225" i="50"/>
  <c r="L2226" i="50"/>
  <c r="L2227" i="50"/>
  <c r="L2228" i="50"/>
  <c r="L2229" i="50"/>
  <c r="L2230" i="50"/>
  <c r="L2231" i="50"/>
  <c r="L2232" i="50"/>
  <c r="L2233" i="50"/>
  <c r="L2234" i="50"/>
  <c r="L2235" i="50"/>
  <c r="L2236" i="50"/>
  <c r="L2237" i="50"/>
  <c r="L2238" i="50"/>
  <c r="L2239" i="50"/>
  <c r="L2240" i="50"/>
  <c r="L2241" i="50"/>
  <c r="L2242" i="50"/>
  <c r="L2243" i="50"/>
  <c r="L2244" i="50"/>
  <c r="L2245" i="50"/>
  <c r="L2246" i="50"/>
  <c r="L2247" i="50"/>
  <c r="L2248" i="50"/>
  <c r="L2249" i="50"/>
  <c r="L2250" i="50"/>
  <c r="L2251" i="50"/>
  <c r="L2252" i="50"/>
  <c r="L2253" i="50"/>
  <c r="L2254" i="50"/>
  <c r="L2255" i="50"/>
  <c r="L2256" i="50"/>
  <c r="L2257" i="50"/>
  <c r="L2258" i="50"/>
  <c r="L2259" i="50"/>
  <c r="L2260" i="50"/>
  <c r="L2261" i="50"/>
  <c r="L2262" i="50"/>
  <c r="L2263" i="50"/>
  <c r="L2264" i="50"/>
  <c r="L2265" i="50"/>
  <c r="L2266" i="50"/>
  <c r="L2267" i="50"/>
  <c r="L2268" i="50"/>
  <c r="L2269" i="50"/>
  <c r="L2270" i="50"/>
  <c r="L2271" i="50"/>
  <c r="L2272" i="50"/>
  <c r="L2273" i="50"/>
  <c r="L2274" i="50"/>
  <c r="L2275" i="50"/>
  <c r="L2276" i="50"/>
  <c r="L2277" i="50"/>
  <c r="L2278" i="50"/>
  <c r="L2279" i="50"/>
  <c r="L2280" i="50"/>
  <c r="L2281" i="50"/>
  <c r="L2282" i="50"/>
  <c r="L2283" i="50"/>
  <c r="L2284" i="50"/>
  <c r="L2285" i="50"/>
  <c r="L2286" i="50"/>
  <c r="L2287" i="50"/>
  <c r="L2288" i="50"/>
  <c r="L2289" i="50"/>
  <c r="L2290" i="50"/>
  <c r="L2291" i="50"/>
  <c r="L2292" i="50"/>
  <c r="L2293" i="50"/>
  <c r="L2294" i="50"/>
  <c r="L2295" i="50"/>
  <c r="L2296" i="50"/>
  <c r="L2297" i="50"/>
  <c r="L2298" i="50"/>
  <c r="L2299" i="50"/>
  <c r="L2300" i="50"/>
  <c r="L2301" i="50"/>
  <c r="L2302" i="50"/>
  <c r="L2303" i="50"/>
  <c r="L2304" i="50"/>
  <c r="L2305" i="50"/>
  <c r="L2306" i="50"/>
  <c r="L2307" i="50"/>
  <c r="L2308" i="50"/>
  <c r="L2309" i="50"/>
  <c r="L2310" i="50"/>
  <c r="L2311" i="50"/>
  <c r="L2312" i="50"/>
  <c r="L2313" i="50"/>
  <c r="L2314" i="50"/>
  <c r="L2315" i="50"/>
  <c r="L2316" i="50"/>
  <c r="L2317" i="50"/>
  <c r="L2318" i="50"/>
  <c r="L2319" i="50"/>
  <c r="L2320" i="50"/>
  <c r="L2321" i="50"/>
  <c r="L2322" i="50"/>
  <c r="L2323" i="50"/>
  <c r="L2324" i="50"/>
  <c r="L2325" i="50"/>
  <c r="L2326" i="50"/>
  <c r="L2327" i="50"/>
  <c r="L2328" i="50"/>
  <c r="L2329" i="50"/>
  <c r="L2330" i="50"/>
  <c r="L2331" i="50"/>
  <c r="L2332" i="50"/>
  <c r="L2333" i="50"/>
  <c r="L2334" i="50"/>
  <c r="L2335" i="50"/>
  <c r="L2336" i="50"/>
  <c r="L2337" i="50"/>
  <c r="L2338" i="50"/>
  <c r="L2339" i="50"/>
  <c r="L2340" i="50"/>
  <c r="L2341" i="50"/>
  <c r="L2342" i="50"/>
  <c r="L2343" i="50"/>
  <c r="L2344" i="50"/>
  <c r="L2345" i="50"/>
  <c r="L2346" i="50"/>
  <c r="L2347" i="50"/>
  <c r="L2348" i="50"/>
  <c r="L2349" i="50"/>
  <c r="L2350" i="50"/>
  <c r="L2351" i="50"/>
  <c r="L2352" i="50"/>
  <c r="L2353" i="50"/>
  <c r="L2354" i="50"/>
  <c r="L2355" i="50"/>
  <c r="L2356" i="50"/>
  <c r="L2357" i="50"/>
  <c r="L2358" i="50"/>
  <c r="L2359" i="50"/>
  <c r="L2360" i="50"/>
  <c r="L2361" i="50"/>
  <c r="L2362" i="50"/>
  <c r="L2363" i="50"/>
  <c r="L2364" i="50"/>
  <c r="L2365" i="50"/>
  <c r="L2366" i="50"/>
  <c r="L2367" i="50"/>
  <c r="L2368" i="50"/>
  <c r="L2369" i="50"/>
  <c r="L2370" i="50"/>
  <c r="L2371" i="50"/>
  <c r="L2372" i="50"/>
  <c r="L2373" i="50"/>
  <c r="L2374" i="50"/>
  <c r="L2375" i="50"/>
  <c r="L2376" i="50"/>
  <c r="L2377" i="50"/>
  <c r="L2378" i="50"/>
  <c r="L2379" i="50"/>
  <c r="L2380" i="50"/>
  <c r="L2381" i="50"/>
  <c r="L2382" i="50"/>
  <c r="L2383" i="50"/>
  <c r="L2384" i="50"/>
  <c r="L2385" i="50"/>
  <c r="L2386" i="50"/>
  <c r="L2387" i="50"/>
  <c r="L2388" i="50"/>
  <c r="L2389" i="50"/>
  <c r="L2390" i="50"/>
  <c r="L2391" i="50"/>
  <c r="L2392" i="50"/>
  <c r="L2393" i="50"/>
  <c r="L2394" i="50"/>
  <c r="L2395" i="50"/>
  <c r="L2396" i="50"/>
  <c r="L2397" i="50"/>
  <c r="L2398" i="50"/>
  <c r="L2399" i="50"/>
  <c r="L2400" i="50"/>
  <c r="L2401" i="50"/>
  <c r="L2402" i="50"/>
  <c r="L2403" i="50"/>
  <c r="L2404" i="50"/>
  <c r="L2405" i="50"/>
  <c r="L2406" i="50"/>
  <c r="L2407" i="50"/>
  <c r="L2408" i="50"/>
  <c r="L2409" i="50"/>
  <c r="L2410" i="50"/>
  <c r="L2411" i="50"/>
  <c r="L2412" i="50"/>
  <c r="L2413" i="50"/>
  <c r="L2414" i="50"/>
  <c r="L2415" i="50"/>
  <c r="L2416" i="50"/>
  <c r="L2417" i="50"/>
  <c r="L2418" i="50"/>
  <c r="L2419" i="50"/>
  <c r="L2420" i="50"/>
  <c r="L2421" i="50"/>
  <c r="L2422" i="50"/>
  <c r="L2423" i="50"/>
  <c r="L2424" i="50"/>
  <c r="L2425" i="50"/>
  <c r="L2426" i="50"/>
  <c r="L2427" i="50"/>
  <c r="L2428" i="50"/>
  <c r="L2429" i="50"/>
  <c r="L2430" i="50"/>
  <c r="L2431" i="50"/>
  <c r="L2432" i="50"/>
  <c r="L2433" i="50"/>
  <c r="L2434" i="50"/>
  <c r="L2435" i="50"/>
  <c r="L2436" i="50"/>
  <c r="L2437" i="50"/>
  <c r="L2438" i="50"/>
  <c r="L2439" i="50"/>
  <c r="L2440" i="50"/>
  <c r="L2441" i="50"/>
  <c r="L2442" i="50"/>
  <c r="L2443" i="50"/>
  <c r="L2444" i="50"/>
  <c r="L2445" i="50"/>
  <c r="L2446" i="50"/>
  <c r="L2447" i="50"/>
  <c r="L2448" i="50"/>
  <c r="L2449" i="50"/>
  <c r="L2450" i="50"/>
  <c r="L2451" i="50"/>
  <c r="L2452" i="50"/>
  <c r="L2453" i="50"/>
  <c r="L2454" i="50"/>
  <c r="L2455" i="50"/>
  <c r="L2456" i="50"/>
  <c r="L2457" i="50"/>
  <c r="L2458" i="50"/>
  <c r="L2459" i="50"/>
  <c r="L2460" i="50"/>
  <c r="L2461" i="50"/>
  <c r="L2462" i="50"/>
  <c r="L2463" i="50"/>
  <c r="L2464" i="50"/>
  <c r="L2465" i="50"/>
  <c r="L2466" i="50"/>
  <c r="L2467" i="50"/>
  <c r="L2468" i="50"/>
  <c r="L2469" i="50"/>
  <c r="L2470" i="50"/>
  <c r="L2471" i="50"/>
  <c r="L2472" i="50"/>
  <c r="L2473" i="50"/>
  <c r="L2474" i="50"/>
  <c r="L2475" i="50"/>
  <c r="L2476" i="50"/>
  <c r="L2477" i="50"/>
  <c r="L2478" i="50"/>
  <c r="L2479" i="50"/>
  <c r="L2480" i="50"/>
  <c r="L2481" i="50"/>
  <c r="L2482" i="50"/>
  <c r="L2483" i="50"/>
  <c r="L2484" i="50"/>
  <c r="L2485" i="50"/>
  <c r="L2486" i="50"/>
  <c r="L2487" i="50"/>
  <c r="L2488" i="50"/>
  <c r="L2489" i="50"/>
  <c r="L2490" i="50"/>
  <c r="L2491" i="50"/>
  <c r="L2492" i="50"/>
  <c r="L2493" i="50"/>
  <c r="L2494" i="50"/>
  <c r="L2495" i="50"/>
  <c r="L2496" i="50"/>
  <c r="L2497" i="50"/>
  <c r="L2498" i="50"/>
  <c r="L2499" i="50"/>
  <c r="L2500" i="50"/>
  <c r="L2501" i="50"/>
  <c r="L2502" i="50"/>
  <c r="L2503" i="50"/>
  <c r="L2504" i="50"/>
  <c r="L2505" i="50"/>
  <c r="L2506" i="50"/>
  <c r="L2507" i="50"/>
  <c r="L2508" i="50"/>
  <c r="L2509" i="50"/>
  <c r="L2510" i="50"/>
  <c r="L2511" i="50"/>
  <c r="L2512" i="50"/>
  <c r="L2513" i="50"/>
  <c r="L2514" i="50"/>
  <c r="L2515" i="50"/>
  <c r="L2516" i="50"/>
  <c r="L2517" i="50"/>
  <c r="L2518" i="50"/>
  <c r="L2519" i="50"/>
  <c r="L2520" i="50"/>
  <c r="L2521" i="50"/>
  <c r="L2522" i="50"/>
  <c r="L2523" i="50"/>
  <c r="L2524" i="50"/>
  <c r="L2525" i="50"/>
  <c r="L2526" i="50"/>
  <c r="L2527" i="50"/>
  <c r="L2528" i="50"/>
  <c r="L2529" i="50"/>
  <c r="L2530" i="50"/>
  <c r="L2531" i="50"/>
  <c r="L2532" i="50"/>
  <c r="L2533" i="50"/>
  <c r="L2534" i="50"/>
  <c r="L2535" i="50"/>
  <c r="L2536" i="50"/>
  <c r="L2537" i="50"/>
  <c r="L2538" i="50"/>
  <c r="L2539" i="50"/>
  <c r="L2540" i="50"/>
  <c r="L2541" i="50"/>
  <c r="L2542" i="50"/>
  <c r="L2543" i="50"/>
  <c r="L2544" i="50"/>
  <c r="L2545" i="50"/>
  <c r="L2546" i="50"/>
  <c r="L2547" i="50"/>
  <c r="L2548" i="50"/>
  <c r="L2549" i="50"/>
  <c r="L2550" i="50"/>
  <c r="L2551" i="50"/>
  <c r="L2552" i="50"/>
  <c r="L2553" i="50"/>
  <c r="L2554" i="50"/>
  <c r="L2555" i="50"/>
  <c r="L2556" i="50"/>
  <c r="L2557" i="50"/>
  <c r="L2558" i="50"/>
  <c r="L2559" i="50"/>
  <c r="L2560" i="50"/>
  <c r="L2561" i="50"/>
  <c r="L2562" i="50"/>
  <c r="L2563" i="50"/>
  <c r="L2564" i="50"/>
  <c r="L2565" i="50"/>
  <c r="L2566" i="50"/>
  <c r="L2567" i="50"/>
  <c r="L2568" i="50"/>
  <c r="L2569" i="50"/>
  <c r="L2570" i="50"/>
  <c r="L2571" i="50"/>
  <c r="L2572" i="50"/>
  <c r="L2573" i="50"/>
  <c r="L2574" i="50"/>
  <c r="L2575" i="50"/>
  <c r="L2576" i="50"/>
  <c r="L2577" i="50"/>
  <c r="L2578" i="50"/>
  <c r="L2579" i="50"/>
  <c r="L2580" i="50"/>
  <c r="L2581" i="50"/>
  <c r="L2582" i="50"/>
  <c r="L2583" i="50"/>
  <c r="L2584" i="50"/>
  <c r="L2585" i="50"/>
  <c r="L2586" i="50"/>
  <c r="L2587" i="50"/>
  <c r="L2588" i="50"/>
  <c r="L2589" i="50"/>
  <c r="L2590" i="50"/>
  <c r="L2591" i="50"/>
  <c r="L2592" i="50"/>
  <c r="L2593" i="50"/>
  <c r="L2594" i="50"/>
  <c r="L2595" i="50"/>
  <c r="L2596" i="50"/>
  <c r="L2597" i="50"/>
  <c r="L2598" i="50"/>
  <c r="L2599" i="50"/>
  <c r="L2600" i="50"/>
  <c r="L2601" i="50"/>
  <c r="L2602" i="50"/>
  <c r="L2603" i="50"/>
  <c r="L2604" i="50"/>
  <c r="L2605" i="50"/>
  <c r="L2606" i="50"/>
  <c r="L2607" i="50"/>
  <c r="L2608" i="50"/>
  <c r="L2609" i="50"/>
  <c r="L2610" i="50"/>
  <c r="L2611" i="50"/>
  <c r="L2612" i="50"/>
  <c r="L2613" i="50"/>
  <c r="L2614" i="50"/>
  <c r="L2615" i="50"/>
  <c r="L2616" i="50"/>
  <c r="L2617" i="50"/>
  <c r="L2618" i="50"/>
  <c r="L2619" i="50"/>
  <c r="L2620" i="50"/>
  <c r="L2621" i="50"/>
  <c r="L2622" i="50"/>
  <c r="L2623" i="50"/>
  <c r="L2624" i="50"/>
  <c r="L2625" i="50"/>
  <c r="L2626" i="50"/>
  <c r="L2627" i="50"/>
  <c r="L2628" i="50"/>
  <c r="L2629" i="50"/>
  <c r="L2630" i="50"/>
  <c r="L2631" i="50"/>
  <c r="L2632" i="50"/>
  <c r="L2633" i="50"/>
  <c r="L2634" i="50"/>
  <c r="L2635" i="50"/>
  <c r="L2636" i="50"/>
  <c r="L2637" i="50"/>
  <c r="L2638" i="50"/>
  <c r="L2639" i="50"/>
  <c r="L2640" i="50"/>
  <c r="L2641" i="50"/>
  <c r="L2642" i="50"/>
  <c r="L2643" i="50"/>
  <c r="L2644" i="50"/>
  <c r="L2645" i="50"/>
  <c r="L2646" i="50"/>
  <c r="L2647" i="50"/>
  <c r="L2648" i="50"/>
  <c r="L2649" i="50"/>
  <c r="L2650" i="50"/>
  <c r="L2651" i="50"/>
  <c r="L2652" i="50"/>
  <c r="L2653" i="50"/>
  <c r="L2654" i="50"/>
  <c r="L2655" i="50"/>
  <c r="L2656" i="50"/>
  <c r="L2657" i="50"/>
  <c r="L2658" i="50"/>
  <c r="L2659" i="50"/>
  <c r="L2660" i="50"/>
  <c r="L2661" i="50"/>
  <c r="L2662" i="50"/>
  <c r="L2663" i="50"/>
  <c r="L2664" i="50"/>
  <c r="L2665" i="50"/>
  <c r="L2666" i="50"/>
  <c r="L2667" i="50"/>
  <c r="L2668" i="50"/>
  <c r="L2669" i="50"/>
  <c r="L2670" i="50"/>
  <c r="L2671" i="50"/>
  <c r="L2672" i="50"/>
  <c r="L2673" i="50"/>
  <c r="L2674" i="50"/>
  <c r="L2675" i="50"/>
  <c r="L2676" i="50"/>
  <c r="L2677" i="50"/>
  <c r="L2678" i="50"/>
  <c r="L2679" i="50"/>
  <c r="L2680" i="50"/>
  <c r="L2681" i="50"/>
  <c r="L2682" i="50"/>
  <c r="L2683" i="50"/>
  <c r="L2684" i="50"/>
  <c r="L2685" i="50"/>
  <c r="L2686" i="50"/>
  <c r="L2687" i="50"/>
  <c r="L2688" i="50"/>
  <c r="L2689" i="50"/>
  <c r="L2690" i="50"/>
  <c r="L2691" i="50"/>
  <c r="L2692" i="50"/>
  <c r="L2693" i="50"/>
  <c r="L2694" i="50"/>
  <c r="L2695" i="50"/>
  <c r="L2696" i="50"/>
  <c r="L2697" i="50"/>
  <c r="L2698" i="50"/>
  <c r="L2699" i="50"/>
  <c r="L2700" i="50"/>
  <c r="L2701" i="50"/>
  <c r="L2702" i="50"/>
  <c r="L2703" i="50"/>
  <c r="L2704" i="50"/>
  <c r="L2705" i="50"/>
  <c r="L2706" i="50"/>
  <c r="L2707" i="50"/>
  <c r="L2708" i="50"/>
  <c r="L2709" i="50"/>
  <c r="L2710" i="50"/>
  <c r="L2711" i="50"/>
  <c r="L2712" i="50"/>
  <c r="L2713" i="50"/>
  <c r="L2714" i="50"/>
  <c r="L2715" i="50"/>
  <c r="L2716" i="50"/>
  <c r="L2717" i="50"/>
  <c r="L2718" i="50"/>
  <c r="L2719" i="50"/>
  <c r="L2720" i="50"/>
  <c r="L2721" i="50"/>
  <c r="L2722" i="50"/>
  <c r="L2723" i="50"/>
  <c r="L2724" i="50"/>
  <c r="L2725" i="50"/>
  <c r="L2726" i="50"/>
  <c r="L2727" i="50"/>
  <c r="L2728" i="50"/>
  <c r="L2729" i="50"/>
  <c r="L2730" i="50"/>
  <c r="L2731" i="50"/>
  <c r="L2732" i="50"/>
  <c r="L2733" i="50"/>
  <c r="L2734" i="50"/>
  <c r="L2735" i="50"/>
  <c r="L2736" i="50"/>
  <c r="L2737" i="50"/>
  <c r="L2738" i="50"/>
  <c r="L2739" i="50"/>
  <c r="L2740" i="50"/>
  <c r="L2741" i="50"/>
  <c r="L2742" i="50"/>
  <c r="L2743" i="50"/>
  <c r="L2744" i="50"/>
  <c r="L2745" i="50"/>
  <c r="L2746" i="50"/>
  <c r="L2747" i="50"/>
  <c r="L2748" i="50"/>
  <c r="L2749" i="50"/>
  <c r="L2750" i="50"/>
  <c r="L2751" i="50"/>
  <c r="L2752" i="50"/>
  <c r="L2753" i="50"/>
  <c r="L2754" i="50"/>
  <c r="L2755" i="50"/>
  <c r="L2756" i="50"/>
  <c r="L2757" i="50"/>
  <c r="L2758" i="50"/>
  <c r="L2759" i="50"/>
  <c r="L2760" i="50"/>
  <c r="L2761" i="50"/>
  <c r="L2762" i="50"/>
  <c r="L2763" i="50"/>
  <c r="L2764" i="50"/>
  <c r="L2765" i="50"/>
  <c r="L2766" i="50"/>
  <c r="L2767" i="50"/>
  <c r="L2768" i="50"/>
  <c r="L2769" i="50"/>
  <c r="L2770" i="50"/>
  <c r="L2771" i="50"/>
  <c r="L2772" i="50"/>
  <c r="L2773" i="50"/>
  <c r="L2774" i="50"/>
  <c r="L2775" i="50"/>
  <c r="L2776" i="50"/>
  <c r="L2777" i="50"/>
  <c r="L2778" i="50"/>
  <c r="L2779" i="50"/>
  <c r="L2780" i="50"/>
  <c r="L2781" i="50"/>
  <c r="L2782" i="50"/>
  <c r="L2783" i="50"/>
  <c r="L2784" i="50"/>
  <c r="L2785" i="50"/>
  <c r="L2786" i="50"/>
  <c r="L2787" i="50"/>
  <c r="L2788" i="50"/>
  <c r="L2789" i="50"/>
  <c r="L2790" i="50"/>
  <c r="L2791" i="50"/>
  <c r="L2792" i="50"/>
  <c r="L2793" i="50"/>
  <c r="L2794" i="50"/>
  <c r="L2795" i="50"/>
  <c r="L2796" i="50"/>
  <c r="L2797" i="50"/>
  <c r="L2798" i="50"/>
  <c r="L2799" i="50"/>
  <c r="L2800" i="50"/>
  <c r="L2801" i="50"/>
  <c r="L2802" i="50"/>
  <c r="L2803" i="50"/>
  <c r="L2804" i="50"/>
  <c r="L2805" i="50"/>
  <c r="L2806" i="50"/>
  <c r="L2807" i="50"/>
  <c r="L2808" i="50"/>
  <c r="L2809" i="50"/>
  <c r="L2810" i="50"/>
  <c r="L2811" i="50"/>
  <c r="L2812" i="50"/>
  <c r="L2813" i="50"/>
  <c r="L2814" i="50"/>
  <c r="L2815" i="50"/>
  <c r="L2816" i="50"/>
  <c r="L2817" i="50"/>
  <c r="L2818" i="50"/>
  <c r="L2819" i="50"/>
  <c r="L2820" i="50"/>
  <c r="L2821" i="50"/>
  <c r="L2822" i="50"/>
  <c r="L2823" i="50"/>
  <c r="L2824" i="50"/>
  <c r="L2825" i="50"/>
  <c r="L2826" i="50"/>
  <c r="L2827" i="50"/>
  <c r="L2828" i="50"/>
  <c r="L2829" i="50"/>
  <c r="L2830" i="50"/>
  <c r="L2831" i="50"/>
  <c r="L2832" i="50"/>
  <c r="L2833" i="50"/>
  <c r="L2834" i="50"/>
  <c r="L2835" i="50"/>
  <c r="L2836" i="50"/>
  <c r="L2837" i="50"/>
  <c r="L2838" i="50"/>
  <c r="L2839" i="50"/>
  <c r="L2840" i="50"/>
  <c r="L2841" i="50"/>
  <c r="L2842" i="50"/>
  <c r="L2843" i="50"/>
  <c r="L2844" i="50"/>
  <c r="L2845" i="50"/>
  <c r="L2846" i="50"/>
  <c r="L2847" i="50"/>
  <c r="L2848" i="50"/>
  <c r="L2849" i="50"/>
  <c r="L2850" i="50"/>
  <c r="L2851" i="50"/>
  <c r="L2852" i="50"/>
  <c r="L2853" i="50"/>
  <c r="L2854" i="50"/>
  <c r="L2855" i="50"/>
  <c r="L2856" i="50"/>
  <c r="L2857" i="50"/>
  <c r="L2858" i="50"/>
  <c r="L2859" i="50"/>
  <c r="L2860" i="50"/>
  <c r="L2861" i="50"/>
  <c r="L2862" i="50"/>
  <c r="L2863" i="50"/>
  <c r="L2864" i="50"/>
  <c r="L2865" i="50"/>
  <c r="L2866" i="50"/>
  <c r="L2867" i="50"/>
  <c r="L2868" i="50"/>
  <c r="L2869" i="50"/>
  <c r="L2870" i="50"/>
  <c r="L2871" i="50"/>
  <c r="L2872" i="50"/>
  <c r="L2873" i="50"/>
  <c r="L2874" i="50"/>
  <c r="L2875" i="50"/>
  <c r="L2876" i="50"/>
  <c r="L2877" i="50"/>
  <c r="L2878" i="50"/>
  <c r="L2879" i="50"/>
  <c r="L2880" i="50"/>
  <c r="L2881" i="50"/>
  <c r="L2882" i="50"/>
  <c r="L2883" i="50"/>
  <c r="L2884" i="50"/>
  <c r="L2885" i="50"/>
  <c r="L2886" i="50"/>
  <c r="L2887" i="50"/>
  <c r="L2888" i="50"/>
  <c r="L2889" i="50"/>
  <c r="L2890" i="50"/>
  <c r="L2891" i="50"/>
  <c r="L2892" i="50"/>
  <c r="L2893" i="50"/>
  <c r="L2894" i="50"/>
  <c r="L2895" i="50"/>
  <c r="L2896" i="50"/>
  <c r="L2897" i="50"/>
  <c r="L2898" i="50"/>
  <c r="L2899" i="50"/>
  <c r="L2900" i="50"/>
  <c r="L2901" i="50"/>
  <c r="L2902" i="50"/>
  <c r="L2903" i="50"/>
  <c r="L2904" i="50"/>
  <c r="L2905" i="50"/>
  <c r="L2906" i="50"/>
  <c r="L2907" i="50"/>
  <c r="L2908" i="50"/>
  <c r="L2909" i="50"/>
  <c r="L2910" i="50"/>
  <c r="L2911" i="50"/>
  <c r="L2912" i="50"/>
  <c r="L2913" i="50"/>
  <c r="L2914" i="50"/>
  <c r="L2915" i="50"/>
  <c r="L2916" i="50"/>
  <c r="L2917" i="50"/>
  <c r="L2918" i="50"/>
  <c r="L2919" i="50"/>
  <c r="L2920" i="50"/>
  <c r="L2921" i="50"/>
  <c r="L2922" i="50"/>
  <c r="L2923" i="50"/>
  <c r="L2924" i="50"/>
  <c r="L2925" i="50"/>
  <c r="L2926" i="50"/>
  <c r="L2927" i="50"/>
  <c r="L2928" i="50"/>
  <c r="L2929" i="50"/>
  <c r="L2930" i="50"/>
  <c r="L2931" i="50"/>
  <c r="L2932" i="50"/>
  <c r="L2933" i="50"/>
  <c r="L2934" i="50"/>
  <c r="L2935" i="50"/>
  <c r="L2936" i="50"/>
  <c r="L2937" i="50"/>
  <c r="L2938" i="50"/>
  <c r="L2939" i="50"/>
  <c r="L2940" i="50"/>
  <c r="L2941" i="50"/>
  <c r="L2942" i="50"/>
  <c r="L2943" i="50"/>
  <c r="L2944" i="50"/>
  <c r="L2945" i="50"/>
  <c r="L2946" i="50"/>
  <c r="L2947" i="50"/>
  <c r="L2948" i="50"/>
  <c r="L2949" i="50"/>
  <c r="L2950" i="50"/>
  <c r="L2951" i="50"/>
  <c r="L2952" i="50"/>
  <c r="L2953" i="50"/>
  <c r="L2954" i="50"/>
  <c r="L2955" i="50"/>
  <c r="L2956" i="50"/>
  <c r="L2957" i="50"/>
  <c r="L2958" i="50"/>
  <c r="L2959" i="50"/>
  <c r="L2960" i="50"/>
  <c r="L2961" i="50"/>
  <c r="L2962" i="50"/>
  <c r="L2963" i="50"/>
  <c r="L2964" i="50"/>
  <c r="L2965" i="50"/>
  <c r="L2966" i="50"/>
  <c r="L2967" i="50"/>
  <c r="L2968" i="50"/>
  <c r="L2969" i="50"/>
  <c r="L2970" i="50"/>
  <c r="L2971" i="50"/>
  <c r="L2972" i="50"/>
  <c r="L2973" i="50"/>
  <c r="L2974" i="50"/>
  <c r="L2975" i="50"/>
  <c r="L2976" i="50"/>
  <c r="L2977" i="50"/>
  <c r="L2978" i="50"/>
  <c r="L2979" i="50"/>
  <c r="L2980" i="50"/>
  <c r="L2981" i="50"/>
  <c r="L2982" i="50"/>
  <c r="L2983" i="50"/>
  <c r="L2984" i="50"/>
  <c r="L2985" i="50"/>
  <c r="L2986" i="50"/>
  <c r="L2987" i="50"/>
  <c r="L2988" i="50"/>
  <c r="L2989" i="50"/>
  <c r="L2990" i="50"/>
  <c r="L2991" i="50"/>
  <c r="L2992" i="50"/>
  <c r="L2993" i="50"/>
  <c r="L2994" i="50"/>
  <c r="L2995" i="50"/>
  <c r="L2996" i="50"/>
  <c r="L2997" i="50"/>
  <c r="L2998" i="50"/>
  <c r="L2999" i="50"/>
  <c r="L3000" i="50"/>
  <c r="L3001" i="50"/>
  <c r="L3002" i="50"/>
  <c r="L3003" i="50"/>
  <c r="L3004" i="50"/>
  <c r="L3005" i="50"/>
  <c r="L3006" i="50"/>
  <c r="L3007" i="50"/>
  <c r="L3008" i="50"/>
  <c r="L3009" i="50"/>
  <c r="L3010" i="50"/>
  <c r="L3011" i="50"/>
  <c r="L3012" i="50"/>
  <c r="L3013" i="50"/>
  <c r="L3014" i="50"/>
  <c r="L3015" i="50"/>
  <c r="L3016" i="50"/>
  <c r="L3017" i="50"/>
  <c r="L3018" i="50"/>
  <c r="L3019" i="50"/>
  <c r="L3020" i="50"/>
  <c r="L3021" i="50"/>
  <c r="L3022" i="50"/>
  <c r="L3023" i="50"/>
  <c r="L3024" i="50"/>
  <c r="L3025" i="50"/>
  <c r="L3026" i="50"/>
  <c r="L3027" i="50"/>
  <c r="L3028" i="50"/>
  <c r="L3029" i="50"/>
  <c r="L3030" i="50"/>
  <c r="L3031" i="50"/>
  <c r="L3032" i="50"/>
  <c r="L3033" i="50"/>
  <c r="L3034" i="50"/>
  <c r="L3035" i="50"/>
  <c r="L3036" i="50"/>
  <c r="L3037" i="50"/>
  <c r="L3038" i="50"/>
  <c r="L3039" i="50"/>
  <c r="L3040" i="50"/>
  <c r="L3041" i="50"/>
  <c r="L3042" i="50"/>
  <c r="L3043" i="50"/>
  <c r="L3044" i="50"/>
  <c r="L3045" i="50"/>
  <c r="L3046" i="50"/>
  <c r="L3047" i="50"/>
  <c r="L3048" i="50"/>
  <c r="L3049" i="50"/>
  <c r="L3050" i="50"/>
  <c r="L3051" i="50"/>
  <c r="L3052" i="50"/>
  <c r="L3053" i="50"/>
  <c r="L3054" i="50"/>
  <c r="L3055" i="50"/>
  <c r="L3056" i="50"/>
  <c r="L3057" i="50"/>
  <c r="L3058" i="50"/>
  <c r="L3059" i="50"/>
  <c r="L3060" i="50"/>
  <c r="L3061" i="50"/>
  <c r="L3062" i="50"/>
  <c r="L3063" i="50"/>
  <c r="L3064" i="50"/>
  <c r="L3065" i="50"/>
  <c r="L3066" i="50"/>
  <c r="L3067" i="50"/>
  <c r="L3068" i="50"/>
  <c r="L3069" i="50"/>
  <c r="L3070" i="50"/>
  <c r="L3071" i="50"/>
  <c r="L3072" i="50"/>
  <c r="L3073" i="50"/>
  <c r="L3074" i="50"/>
  <c r="L3075" i="50"/>
  <c r="L3076" i="50"/>
  <c r="L3077" i="50"/>
  <c r="L3078" i="50"/>
  <c r="L3079" i="50"/>
  <c r="L3080" i="50"/>
  <c r="L3081" i="50"/>
  <c r="L3082" i="50"/>
  <c r="L3083" i="50"/>
  <c r="L3084" i="50"/>
  <c r="L3085" i="50"/>
  <c r="L3086" i="50"/>
  <c r="L3087" i="50"/>
  <c r="L3088" i="50"/>
  <c r="L3089" i="50"/>
  <c r="L3090" i="50"/>
  <c r="L3091" i="50"/>
  <c r="L3092" i="50"/>
  <c r="L3093" i="50"/>
  <c r="L3094" i="50"/>
  <c r="L3095" i="50"/>
  <c r="L3096" i="50"/>
  <c r="L3097" i="50"/>
  <c r="L3098" i="50"/>
  <c r="L3099" i="50"/>
  <c r="L3100" i="50"/>
  <c r="L3101" i="50"/>
  <c r="L3102" i="50"/>
  <c r="L3103" i="50"/>
  <c r="L3104" i="50"/>
  <c r="L3105" i="50"/>
  <c r="L3106" i="50"/>
  <c r="L3107" i="50"/>
  <c r="L3108" i="50"/>
  <c r="L3109" i="50"/>
  <c r="L3110" i="50"/>
  <c r="L3111" i="50"/>
  <c r="L3112" i="50"/>
  <c r="L3113" i="50"/>
  <c r="L3114" i="50"/>
  <c r="L3115" i="50"/>
  <c r="L3116" i="50"/>
  <c r="L3117" i="50"/>
  <c r="L3118" i="50"/>
  <c r="L3119" i="50"/>
  <c r="L3120" i="50"/>
  <c r="L3121" i="50"/>
  <c r="L3122" i="50"/>
  <c r="L3123" i="50"/>
  <c r="L3124" i="50"/>
  <c r="L3125" i="50"/>
  <c r="L3126" i="50"/>
  <c r="L3127" i="50"/>
  <c r="L3128" i="50"/>
  <c r="L3129" i="50"/>
  <c r="L3130" i="50"/>
  <c r="L3131" i="50"/>
  <c r="L3132" i="50"/>
  <c r="L3133" i="50"/>
  <c r="L3134" i="50"/>
  <c r="L3135" i="50"/>
  <c r="L3136" i="50"/>
  <c r="L3137" i="50"/>
  <c r="L3138" i="50"/>
  <c r="L3139" i="50"/>
  <c r="L3140" i="50"/>
  <c r="L3141" i="50"/>
  <c r="L3142" i="50"/>
  <c r="L3143" i="50"/>
  <c r="L3144" i="50"/>
  <c r="L3145" i="50"/>
  <c r="L3146" i="50"/>
  <c r="L3147" i="50"/>
  <c r="L3148" i="50"/>
  <c r="L3149" i="50"/>
  <c r="L3150" i="50"/>
  <c r="L3151" i="50"/>
  <c r="L3152" i="50"/>
  <c r="L3153" i="50"/>
  <c r="L3154" i="50"/>
  <c r="L3155" i="50"/>
  <c r="L3156" i="50"/>
  <c r="L3157" i="50"/>
  <c r="L3158" i="50"/>
  <c r="L3159" i="50"/>
  <c r="L3160" i="50"/>
  <c r="L3161" i="50"/>
  <c r="L3162" i="50"/>
  <c r="L3163" i="50"/>
  <c r="L3164" i="50"/>
  <c r="L3165" i="50"/>
  <c r="L3166" i="50"/>
  <c r="L3167" i="50"/>
  <c r="L3168" i="50"/>
  <c r="L3169" i="50"/>
  <c r="L3170" i="50"/>
  <c r="L3171" i="50"/>
  <c r="L3172" i="50"/>
  <c r="L3173" i="50"/>
  <c r="L3174" i="50"/>
  <c r="L3175" i="50"/>
  <c r="L3176" i="50"/>
  <c r="L3177" i="50"/>
  <c r="L3178" i="50"/>
  <c r="L3179" i="50"/>
  <c r="L3180" i="50"/>
  <c r="L3181" i="50"/>
  <c r="L3182" i="50"/>
  <c r="L3183" i="50"/>
  <c r="L3184" i="50"/>
  <c r="L3185" i="50"/>
  <c r="L3186" i="50"/>
  <c r="L3187" i="50"/>
  <c r="L3188" i="50"/>
  <c r="L3189" i="50"/>
  <c r="L3190" i="50"/>
  <c r="L3191" i="50"/>
  <c r="L3192" i="50"/>
  <c r="L3193" i="50"/>
  <c r="L3194" i="50"/>
  <c r="L3195" i="50"/>
  <c r="L3196" i="50"/>
  <c r="L3197" i="50"/>
  <c r="L3198" i="50"/>
  <c r="L3199" i="50"/>
  <c r="L3200" i="50"/>
  <c r="L3201" i="50"/>
  <c r="L3202" i="50"/>
  <c r="L3203" i="50"/>
  <c r="L3204" i="50"/>
  <c r="L3205" i="50"/>
  <c r="L3206" i="50"/>
  <c r="L3207" i="50"/>
  <c r="L3208" i="50"/>
  <c r="L3209" i="50"/>
  <c r="L3210" i="50"/>
  <c r="L3211" i="50"/>
  <c r="L3212" i="50"/>
  <c r="L3213" i="50"/>
  <c r="L3214" i="50"/>
  <c r="L3215" i="50"/>
  <c r="L3216" i="50"/>
  <c r="L3217" i="50"/>
  <c r="L3218" i="50"/>
  <c r="L3219" i="50"/>
  <c r="L3220" i="50"/>
  <c r="L3221" i="50"/>
  <c r="L3222" i="50"/>
  <c r="L3223" i="50"/>
  <c r="L3224" i="50"/>
  <c r="L3225" i="50"/>
  <c r="L3226" i="50"/>
  <c r="L3227" i="50"/>
  <c r="L3228" i="50"/>
  <c r="L3229" i="50"/>
  <c r="L3230" i="50"/>
  <c r="L3231" i="50"/>
  <c r="L3232" i="50"/>
  <c r="L3233" i="50"/>
  <c r="L3234" i="50"/>
  <c r="L3235" i="50"/>
  <c r="L3236" i="50"/>
  <c r="L3237" i="50"/>
  <c r="L3238" i="50"/>
  <c r="L3239" i="50"/>
  <c r="L3240" i="50"/>
  <c r="L3241" i="50"/>
  <c r="L3242" i="50"/>
  <c r="L3243" i="50"/>
  <c r="L3244" i="50"/>
  <c r="L3245" i="50"/>
  <c r="L3246" i="50"/>
  <c r="L3247" i="50"/>
  <c r="L3248" i="50"/>
  <c r="L3249" i="50"/>
  <c r="L3250" i="50"/>
  <c r="L3251" i="50"/>
  <c r="L3252" i="50"/>
  <c r="L3253" i="50"/>
  <c r="L3254" i="50"/>
  <c r="L3255" i="50"/>
  <c r="L3256" i="50"/>
  <c r="L3257" i="50"/>
  <c r="L3258" i="50"/>
  <c r="L3259" i="50"/>
  <c r="L3260" i="50"/>
  <c r="L3261" i="50"/>
  <c r="L3262" i="50"/>
  <c r="L3263" i="50"/>
  <c r="L3264" i="50"/>
  <c r="L3265" i="50"/>
  <c r="L3266" i="50"/>
  <c r="L3267" i="50"/>
  <c r="L3268" i="50"/>
  <c r="L3269" i="50"/>
  <c r="L3270" i="50"/>
  <c r="L3271" i="50"/>
  <c r="L3272" i="50"/>
  <c r="L3273" i="50"/>
  <c r="L3274" i="50"/>
  <c r="L3275" i="50"/>
  <c r="L3276" i="50"/>
  <c r="L3277" i="50"/>
  <c r="L3278" i="50"/>
  <c r="L3279" i="50"/>
  <c r="L3280" i="50"/>
  <c r="L3281" i="50"/>
  <c r="L3282" i="50"/>
  <c r="L3283" i="50"/>
  <c r="L3284" i="50"/>
  <c r="L3285" i="50"/>
  <c r="L3286" i="50"/>
  <c r="L3287" i="50"/>
  <c r="L3288" i="50"/>
  <c r="L3289" i="50"/>
  <c r="L3290" i="50"/>
  <c r="L3291" i="50"/>
  <c r="L3292" i="50"/>
  <c r="L3293" i="50"/>
  <c r="L3294" i="50"/>
  <c r="L3295" i="50"/>
  <c r="L3296" i="50"/>
  <c r="L3297" i="50"/>
  <c r="L3298" i="50"/>
  <c r="L3299" i="50"/>
  <c r="L3300" i="50"/>
  <c r="L3301" i="50"/>
  <c r="L3302" i="50"/>
  <c r="L3303" i="50"/>
  <c r="L3304" i="50"/>
  <c r="L3305" i="50"/>
  <c r="L3306" i="50"/>
  <c r="L3307" i="50"/>
  <c r="L3308" i="50"/>
  <c r="L3309" i="50"/>
  <c r="L3310" i="50"/>
  <c r="L3311" i="50"/>
  <c r="L3312" i="50"/>
  <c r="L3313" i="50"/>
  <c r="L3314" i="50"/>
  <c r="L3315" i="50"/>
  <c r="L3316" i="50"/>
  <c r="L3317" i="50"/>
  <c r="L3318" i="50"/>
  <c r="L3319" i="50"/>
  <c r="L3320" i="50"/>
  <c r="L3321" i="50"/>
  <c r="L3322" i="50"/>
  <c r="L3323" i="50"/>
  <c r="L3324" i="50"/>
  <c r="L3325" i="50"/>
  <c r="L3326" i="50"/>
  <c r="L3327" i="50"/>
  <c r="L3328" i="50"/>
  <c r="L3329" i="50"/>
  <c r="L3330" i="50"/>
  <c r="L3331" i="50"/>
  <c r="L3332" i="50"/>
  <c r="L3333" i="50"/>
  <c r="L3334" i="50"/>
  <c r="L3335" i="50"/>
  <c r="L3336" i="50"/>
  <c r="L3337" i="50"/>
  <c r="L3338" i="50"/>
  <c r="L3339" i="50"/>
  <c r="L3340" i="50"/>
  <c r="L3341" i="50"/>
  <c r="L3342" i="50"/>
  <c r="L3343" i="50"/>
  <c r="L3344" i="50"/>
  <c r="L3345" i="50"/>
  <c r="L3346" i="50"/>
  <c r="L3347" i="50"/>
  <c r="L3348" i="50"/>
  <c r="L3349" i="50"/>
  <c r="L3350" i="50"/>
  <c r="L3351" i="50"/>
  <c r="L3352" i="50"/>
  <c r="L3353" i="50"/>
  <c r="L3354" i="50"/>
  <c r="L3355" i="50"/>
  <c r="L3356" i="50"/>
  <c r="L3357" i="50"/>
  <c r="L3358" i="50"/>
  <c r="L3359" i="50"/>
  <c r="L3360" i="50"/>
  <c r="L3361" i="50"/>
  <c r="L3362" i="50"/>
  <c r="L3363" i="50"/>
  <c r="L3364" i="50"/>
  <c r="L3365" i="50"/>
  <c r="L3366" i="50"/>
  <c r="L3367" i="50"/>
  <c r="L3368" i="50"/>
  <c r="L3369" i="50"/>
  <c r="L3370" i="50"/>
  <c r="L3371" i="50"/>
  <c r="L3372" i="50"/>
  <c r="L3373" i="50"/>
  <c r="L3374" i="50"/>
  <c r="L3375" i="50"/>
  <c r="L3376" i="50"/>
  <c r="L3377" i="50"/>
  <c r="L3378" i="50"/>
  <c r="L3379" i="50"/>
  <c r="L3380" i="50"/>
  <c r="L3381" i="50"/>
  <c r="L3382" i="50"/>
  <c r="L3383" i="50"/>
  <c r="L3384" i="50"/>
  <c r="L3385" i="50"/>
  <c r="L3386" i="50"/>
  <c r="L3387" i="50"/>
  <c r="L3388" i="50"/>
  <c r="L3389" i="50"/>
  <c r="L3390" i="50"/>
  <c r="L3391" i="50"/>
  <c r="L3392" i="50"/>
  <c r="L3393" i="50"/>
  <c r="L3394" i="50"/>
  <c r="L3395" i="50"/>
  <c r="L3396" i="50"/>
  <c r="L3397" i="50"/>
  <c r="L3398" i="50"/>
  <c r="L3399" i="50"/>
  <c r="L3400" i="50"/>
  <c r="L3401" i="50"/>
  <c r="L3402" i="50"/>
  <c r="L3403" i="50"/>
  <c r="L3404" i="50"/>
  <c r="L3405" i="50"/>
  <c r="L3406" i="50"/>
  <c r="L3407" i="50"/>
  <c r="L3408" i="50"/>
  <c r="L3409" i="50"/>
  <c r="L3410" i="50"/>
  <c r="L3411" i="50"/>
  <c r="L3412" i="50"/>
  <c r="L3413" i="50"/>
  <c r="L3414" i="50"/>
  <c r="L3415" i="50"/>
  <c r="L3416" i="50"/>
  <c r="L3417" i="50"/>
  <c r="L3418" i="50"/>
  <c r="L3419" i="50"/>
  <c r="L3420" i="50"/>
  <c r="L3421" i="50"/>
  <c r="L3422" i="50"/>
  <c r="L3423" i="50"/>
  <c r="L3424" i="50"/>
  <c r="L3425" i="50"/>
  <c r="L3426" i="50"/>
  <c r="L3427" i="50"/>
  <c r="L3428" i="50"/>
  <c r="L3429" i="50"/>
  <c r="L3430" i="50"/>
  <c r="L3431" i="50"/>
  <c r="L3432" i="50"/>
  <c r="L3433" i="50"/>
  <c r="L3434" i="50"/>
  <c r="L3435" i="50"/>
  <c r="L3436" i="50"/>
  <c r="L3437" i="50"/>
  <c r="L3438" i="50"/>
  <c r="L3439" i="50"/>
  <c r="L3440" i="50"/>
  <c r="L3441" i="50"/>
  <c r="L3442" i="50"/>
  <c r="L3443" i="50"/>
  <c r="L3444" i="50"/>
  <c r="L3445" i="50"/>
  <c r="L3446" i="50"/>
  <c r="L3447" i="50"/>
  <c r="L3448" i="50"/>
  <c r="L3449" i="50"/>
  <c r="L3450" i="50"/>
  <c r="L3451" i="50"/>
  <c r="L3452" i="50"/>
  <c r="L3453" i="50"/>
  <c r="L3454" i="50"/>
  <c r="L3455" i="50"/>
  <c r="L3456" i="50"/>
  <c r="L3457" i="50"/>
  <c r="L3458" i="50"/>
  <c r="L3459" i="50"/>
  <c r="L3460" i="50"/>
  <c r="L3461" i="50"/>
  <c r="L3462" i="50"/>
  <c r="L3463" i="50"/>
  <c r="L3464" i="50"/>
  <c r="L3465" i="50"/>
  <c r="L3466" i="50"/>
  <c r="L3467" i="50"/>
  <c r="L3468" i="50"/>
  <c r="L3469" i="50"/>
  <c r="L3470" i="50"/>
  <c r="L3471" i="50"/>
  <c r="L3472" i="50"/>
  <c r="L3473" i="50"/>
  <c r="L3474" i="50"/>
  <c r="L3475" i="50"/>
  <c r="L3476" i="50"/>
  <c r="L3477" i="50"/>
  <c r="L3478" i="50"/>
  <c r="L3479" i="50"/>
  <c r="L3480" i="50"/>
  <c r="L3481" i="50"/>
  <c r="L3482" i="50"/>
  <c r="L3483" i="50"/>
  <c r="L3484" i="50"/>
  <c r="L3485" i="50"/>
  <c r="L3486" i="50"/>
  <c r="L3487" i="50"/>
  <c r="L3488" i="50"/>
  <c r="L3489" i="50"/>
  <c r="L3490" i="50"/>
  <c r="L3491" i="50"/>
  <c r="L3492" i="50"/>
  <c r="L3493" i="50"/>
  <c r="L3494" i="50"/>
  <c r="L3495" i="50"/>
  <c r="L3496" i="50"/>
  <c r="L3497" i="50"/>
  <c r="L3498" i="50"/>
  <c r="L3499" i="50"/>
  <c r="L3500" i="50"/>
  <c r="L3501" i="50"/>
  <c r="L3502" i="50"/>
  <c r="L3503" i="50"/>
  <c r="L3504" i="50"/>
  <c r="L3505" i="50"/>
  <c r="L3506" i="50"/>
  <c r="L3507" i="50"/>
  <c r="L3508" i="50"/>
  <c r="L3509" i="50"/>
  <c r="L3510" i="50"/>
  <c r="L3511" i="50"/>
  <c r="L3512" i="50"/>
  <c r="L3513" i="50"/>
  <c r="L3514" i="50"/>
  <c r="L3515" i="50"/>
  <c r="L3516" i="50"/>
  <c r="L3517" i="50"/>
  <c r="L3518" i="50"/>
  <c r="L3519" i="50"/>
  <c r="L3520" i="50"/>
  <c r="L3521" i="50"/>
  <c r="L3522" i="50"/>
  <c r="L3523" i="50"/>
  <c r="L3524" i="50"/>
  <c r="L3525" i="50"/>
  <c r="L3526" i="50"/>
  <c r="L3527" i="50"/>
  <c r="L3528" i="50"/>
  <c r="L3529" i="50"/>
  <c r="L3530" i="50"/>
  <c r="L3531" i="50"/>
  <c r="L3532" i="50"/>
  <c r="L3533" i="50"/>
  <c r="L3534" i="50"/>
  <c r="L3535" i="50"/>
  <c r="L3536" i="50"/>
  <c r="L3537" i="50"/>
  <c r="L3538" i="50"/>
  <c r="L3539" i="50"/>
  <c r="L3540" i="50"/>
  <c r="L3541" i="50"/>
  <c r="L3542" i="50"/>
  <c r="L3543" i="50"/>
  <c r="L3544" i="50"/>
  <c r="L3545" i="50"/>
  <c r="L3546" i="50"/>
  <c r="L3547" i="50"/>
  <c r="L3548" i="50"/>
  <c r="L3549" i="50"/>
  <c r="L3550" i="50"/>
  <c r="L3551" i="50"/>
  <c r="L3552" i="50"/>
  <c r="L3553" i="50"/>
  <c r="L3554" i="50"/>
  <c r="L3555" i="50"/>
  <c r="L3556" i="50"/>
  <c r="L3557" i="50"/>
  <c r="L3558" i="50"/>
  <c r="L3559" i="50"/>
  <c r="L3" i="50"/>
  <c r="H2537" i="50"/>
  <c r="H2538" i="50"/>
  <c r="H2539" i="50"/>
  <c r="H2540" i="50"/>
  <c r="H2541" i="50"/>
  <c r="H2542" i="50"/>
  <c r="H2543" i="50"/>
  <c r="H2544" i="50"/>
  <c r="H2545" i="50"/>
  <c r="H2546" i="50"/>
  <c r="H2547" i="50"/>
  <c r="H2548" i="50"/>
  <c r="H2549" i="50"/>
  <c r="H2550" i="50"/>
  <c r="H2551" i="50"/>
  <c r="H2552" i="50"/>
  <c r="H2553" i="50"/>
  <c r="H2554" i="50"/>
  <c r="H2555" i="50"/>
  <c r="H2556" i="50"/>
  <c r="H2557" i="50"/>
  <c r="H2558" i="50"/>
  <c r="H2559" i="50"/>
  <c r="H2560" i="50"/>
  <c r="H2561" i="50"/>
  <c r="H2562" i="50"/>
  <c r="H2563" i="50"/>
  <c r="H2564" i="50"/>
  <c r="H2565" i="50"/>
  <c r="H2566" i="50"/>
  <c r="H2567" i="50"/>
  <c r="H2568" i="50"/>
  <c r="H2569" i="50"/>
  <c r="H2570" i="50"/>
  <c r="H2571" i="50"/>
  <c r="H2572" i="50"/>
  <c r="H2573" i="50"/>
  <c r="H2574" i="50"/>
  <c r="H2575" i="50"/>
  <c r="H2576" i="50"/>
  <c r="H2577" i="50"/>
  <c r="H2578" i="50"/>
  <c r="H2579" i="50"/>
  <c r="H2580" i="50"/>
  <c r="H2581" i="50"/>
  <c r="H2582" i="50"/>
  <c r="H2583" i="50"/>
  <c r="H2584" i="50"/>
  <c r="H2585" i="50"/>
  <c r="H2586" i="50"/>
  <c r="H2587" i="50"/>
  <c r="H2588" i="50"/>
  <c r="H2589" i="50"/>
  <c r="H2590" i="50"/>
  <c r="H2591" i="50"/>
  <c r="H2592" i="50"/>
  <c r="H2593" i="50"/>
  <c r="H2594" i="50"/>
  <c r="H2595" i="50"/>
  <c r="H2596" i="50"/>
  <c r="H2597" i="50"/>
  <c r="H2598" i="50"/>
  <c r="H2599" i="50"/>
  <c r="H2600" i="50"/>
  <c r="H2601" i="50"/>
  <c r="H2602" i="50"/>
  <c r="H2603" i="50"/>
  <c r="H2604" i="50"/>
  <c r="H2605" i="50"/>
  <c r="H2606" i="50"/>
  <c r="H2607" i="50"/>
  <c r="H2608" i="50"/>
  <c r="H2609" i="50"/>
  <c r="H2610" i="50"/>
  <c r="H2611" i="50"/>
  <c r="H2612" i="50"/>
  <c r="H2613" i="50"/>
  <c r="H2614" i="50"/>
  <c r="H2615" i="50"/>
  <c r="H2616" i="50"/>
  <c r="H2617" i="50"/>
  <c r="H2618" i="50"/>
  <c r="H2619" i="50"/>
  <c r="H2620" i="50"/>
  <c r="H2621" i="50"/>
  <c r="H2622" i="50"/>
  <c r="H2623" i="50"/>
  <c r="H2624" i="50"/>
  <c r="H2625" i="50"/>
  <c r="H2626" i="50"/>
  <c r="H2627" i="50"/>
  <c r="H2628" i="50"/>
  <c r="H2629" i="50"/>
  <c r="H2630" i="50"/>
  <c r="H2631" i="50"/>
  <c r="H2632" i="50"/>
  <c r="H2633" i="50"/>
  <c r="H2634" i="50"/>
  <c r="H2635" i="50"/>
  <c r="H2636" i="50"/>
  <c r="H2637" i="50"/>
  <c r="H2638" i="50"/>
  <c r="H2639" i="50"/>
  <c r="H2640" i="50"/>
  <c r="H2641" i="50"/>
  <c r="H2642" i="50"/>
  <c r="H2643" i="50"/>
  <c r="H2644" i="50"/>
  <c r="H2645" i="50"/>
  <c r="H2646" i="50"/>
  <c r="H2647" i="50"/>
  <c r="H2648" i="50"/>
  <c r="H2649" i="50"/>
  <c r="H2650" i="50"/>
  <c r="H2651" i="50"/>
  <c r="H2652" i="50"/>
  <c r="H2653" i="50"/>
  <c r="H2654" i="50"/>
  <c r="H2655" i="50"/>
  <c r="H2656" i="50"/>
  <c r="H2657" i="50"/>
  <c r="H2658" i="50"/>
  <c r="H2659" i="50"/>
  <c r="H2660" i="50"/>
  <c r="H2661" i="50"/>
  <c r="H2662" i="50"/>
  <c r="H2663" i="50"/>
  <c r="H2664" i="50"/>
  <c r="H2665" i="50"/>
  <c r="H2666" i="50"/>
  <c r="H2667" i="50"/>
  <c r="H2668" i="50"/>
  <c r="H2669" i="50"/>
  <c r="H2670" i="50"/>
  <c r="H2671" i="50"/>
  <c r="H2672" i="50"/>
  <c r="H2673" i="50"/>
  <c r="H2674" i="50"/>
  <c r="H2675" i="50"/>
  <c r="H2676" i="50"/>
  <c r="H2677" i="50"/>
  <c r="H2678" i="50"/>
  <c r="H2679" i="50"/>
  <c r="H2680" i="50"/>
  <c r="H2681" i="50"/>
  <c r="H2682" i="50"/>
  <c r="H2683" i="50"/>
  <c r="H2684" i="50"/>
  <c r="H2685" i="50"/>
  <c r="H2686" i="50"/>
  <c r="H2687" i="50"/>
  <c r="H2688" i="50"/>
  <c r="H2689" i="50"/>
  <c r="H2690" i="50"/>
  <c r="H2691" i="50"/>
  <c r="H2692" i="50"/>
  <c r="H2693" i="50"/>
  <c r="H2694" i="50"/>
  <c r="H2695" i="50"/>
  <c r="H2696" i="50"/>
  <c r="H2697" i="50"/>
  <c r="H2698" i="50"/>
  <c r="H2699" i="50"/>
  <c r="H2700" i="50"/>
  <c r="H2701" i="50"/>
  <c r="H2702" i="50"/>
  <c r="H2703" i="50"/>
  <c r="H2704" i="50"/>
  <c r="H2705" i="50"/>
  <c r="H2706" i="50"/>
  <c r="H2707" i="50"/>
  <c r="H2708" i="50"/>
  <c r="H2709" i="50"/>
  <c r="H2710" i="50"/>
  <c r="H2711" i="50"/>
  <c r="H2712" i="50"/>
  <c r="H2713" i="50"/>
  <c r="H2714" i="50"/>
  <c r="H2715" i="50"/>
  <c r="H2716" i="50"/>
  <c r="H2717" i="50"/>
  <c r="H2718" i="50"/>
  <c r="H2719" i="50"/>
  <c r="H2720" i="50"/>
  <c r="H2721" i="50"/>
  <c r="H2722" i="50"/>
  <c r="H2723" i="50"/>
  <c r="H2724" i="50"/>
  <c r="H2725" i="50"/>
  <c r="H2726" i="50"/>
  <c r="H2727" i="50"/>
  <c r="H2728" i="50"/>
  <c r="H2729" i="50"/>
  <c r="H2730" i="50"/>
  <c r="H2731" i="50"/>
  <c r="H2732" i="50"/>
  <c r="H2733" i="50"/>
  <c r="H2734" i="50"/>
  <c r="H2735" i="50"/>
  <c r="H2736" i="50"/>
  <c r="H2737" i="50"/>
  <c r="H2738" i="50"/>
  <c r="H2739" i="50"/>
  <c r="H2740" i="50"/>
  <c r="H2741" i="50"/>
  <c r="H2742" i="50"/>
  <c r="H2743" i="50"/>
  <c r="H2744" i="50"/>
  <c r="H2745" i="50"/>
  <c r="H2746" i="50"/>
  <c r="H2747" i="50"/>
  <c r="H2748" i="50"/>
  <c r="H2749" i="50"/>
  <c r="H2750" i="50"/>
  <c r="H2751" i="50"/>
  <c r="H2752" i="50"/>
  <c r="H2753" i="50"/>
  <c r="H2754" i="50"/>
  <c r="H2755" i="50"/>
  <c r="H2756" i="50"/>
  <c r="H2757" i="50"/>
  <c r="H2758" i="50"/>
  <c r="H2759" i="50"/>
  <c r="H2760" i="50"/>
  <c r="H2761" i="50"/>
  <c r="H2762" i="50"/>
  <c r="H2763" i="50"/>
  <c r="H2764" i="50"/>
  <c r="H2765" i="50"/>
  <c r="H2766" i="50"/>
  <c r="H2767" i="50"/>
  <c r="H2768" i="50"/>
  <c r="H2769" i="50"/>
  <c r="H2770" i="50"/>
  <c r="H2771" i="50"/>
  <c r="H2772" i="50"/>
  <c r="H2773" i="50"/>
  <c r="H2774" i="50"/>
  <c r="H2775" i="50"/>
  <c r="H2776" i="50"/>
  <c r="H2777" i="50"/>
  <c r="H2778" i="50"/>
  <c r="H2779" i="50"/>
  <c r="H2780" i="50"/>
  <c r="H2781" i="50"/>
  <c r="H2782" i="50"/>
  <c r="H2783" i="50"/>
  <c r="H2784" i="50"/>
  <c r="H2785" i="50"/>
  <c r="H2786" i="50"/>
  <c r="H2787" i="50"/>
  <c r="H2788" i="50"/>
  <c r="H2789" i="50"/>
  <c r="H2790" i="50"/>
  <c r="H2791" i="50"/>
  <c r="H2792" i="50"/>
  <c r="H2793" i="50"/>
  <c r="H2794" i="50"/>
  <c r="H2795" i="50"/>
  <c r="H2796" i="50"/>
  <c r="H2797" i="50"/>
  <c r="H2798" i="50"/>
  <c r="H2799" i="50"/>
  <c r="H2800" i="50"/>
  <c r="H2801" i="50"/>
  <c r="H2802" i="50"/>
  <c r="H2803" i="50"/>
  <c r="H2804" i="50"/>
  <c r="H2805" i="50"/>
  <c r="H2806" i="50"/>
  <c r="H2807" i="50"/>
  <c r="H2808" i="50"/>
  <c r="H2809" i="50"/>
  <c r="H2810" i="50"/>
  <c r="H2811" i="50"/>
  <c r="H2812" i="50"/>
  <c r="H2813" i="50"/>
  <c r="H2814" i="50"/>
  <c r="H2815" i="50"/>
  <c r="H2816" i="50"/>
  <c r="H2817" i="50"/>
  <c r="H2818" i="50"/>
  <c r="H2819" i="50"/>
  <c r="H2820" i="50"/>
  <c r="H2821" i="50"/>
  <c r="H2822" i="50"/>
  <c r="H2823" i="50"/>
  <c r="H2824" i="50"/>
  <c r="H2825" i="50"/>
  <c r="H2826" i="50"/>
  <c r="H2827" i="50"/>
  <c r="H2828" i="50"/>
  <c r="H2829" i="50"/>
  <c r="H2830" i="50"/>
  <c r="H2831" i="50"/>
  <c r="H2832" i="50"/>
  <c r="H2833" i="50"/>
  <c r="H2834" i="50"/>
  <c r="H2835" i="50"/>
  <c r="H2836" i="50"/>
  <c r="H2837" i="50"/>
  <c r="H2838" i="50"/>
  <c r="H2839" i="50"/>
  <c r="H2840" i="50"/>
  <c r="H2841" i="50"/>
  <c r="H2842" i="50"/>
  <c r="H2843" i="50"/>
  <c r="H2844" i="50"/>
  <c r="H2845" i="50"/>
  <c r="H2846" i="50"/>
  <c r="H2847" i="50"/>
  <c r="H2848" i="50"/>
  <c r="H2849" i="50"/>
  <c r="H2850" i="50"/>
  <c r="H2851" i="50"/>
  <c r="H2852" i="50"/>
  <c r="H2853" i="50"/>
  <c r="H2854" i="50"/>
  <c r="H2855" i="50"/>
  <c r="H2856" i="50"/>
  <c r="H2857" i="50"/>
  <c r="H2858" i="50"/>
  <c r="H2859" i="50"/>
  <c r="H2860" i="50"/>
  <c r="H2861" i="50"/>
  <c r="H2862" i="50"/>
  <c r="H2863" i="50"/>
  <c r="H2864" i="50"/>
  <c r="H2865" i="50"/>
  <c r="H2866" i="50"/>
  <c r="H2867" i="50"/>
  <c r="H2868" i="50"/>
  <c r="H2869" i="50"/>
  <c r="H2870" i="50"/>
  <c r="H2871" i="50"/>
  <c r="H2872" i="50"/>
  <c r="H2873" i="50"/>
  <c r="H2874" i="50"/>
  <c r="H2875" i="50"/>
  <c r="H2876" i="50"/>
  <c r="H2877" i="50"/>
  <c r="H2878" i="50"/>
  <c r="H2879" i="50"/>
  <c r="H2880" i="50"/>
  <c r="H2881" i="50"/>
  <c r="H2882" i="50"/>
  <c r="H2883" i="50"/>
  <c r="H2884" i="50"/>
  <c r="H2885" i="50"/>
  <c r="H2886" i="50"/>
  <c r="H2887" i="50"/>
  <c r="H2888" i="50"/>
  <c r="H2889" i="50"/>
  <c r="H2890" i="50"/>
  <c r="H2891" i="50"/>
  <c r="H2892" i="50"/>
  <c r="H2893" i="50"/>
  <c r="H2894" i="50"/>
  <c r="H2895" i="50"/>
  <c r="H2896" i="50"/>
  <c r="H2897" i="50"/>
  <c r="H2898" i="50"/>
  <c r="H2899" i="50"/>
  <c r="H2900" i="50"/>
  <c r="H2901" i="50"/>
  <c r="H2902" i="50"/>
  <c r="H2903" i="50"/>
  <c r="H2904" i="50"/>
  <c r="H2905" i="50"/>
  <c r="H2906" i="50"/>
  <c r="H2907" i="50"/>
  <c r="H2908" i="50"/>
  <c r="H2909" i="50"/>
  <c r="H2910" i="50"/>
  <c r="H2911" i="50"/>
  <c r="H2912" i="50"/>
  <c r="H2913" i="50"/>
  <c r="H2914" i="50"/>
  <c r="H2915" i="50"/>
  <c r="H2916" i="50"/>
  <c r="H2917" i="50"/>
  <c r="H2918" i="50"/>
  <c r="H2919" i="50"/>
  <c r="H2920" i="50"/>
  <c r="H2921" i="50"/>
  <c r="H2922" i="50"/>
  <c r="H2923" i="50"/>
  <c r="H2924" i="50"/>
  <c r="H2925" i="50"/>
  <c r="H2926" i="50"/>
  <c r="H2927" i="50"/>
  <c r="H2928" i="50"/>
  <c r="H2929" i="50"/>
  <c r="H2930" i="50"/>
  <c r="H2931" i="50"/>
  <c r="H2932" i="50"/>
  <c r="H2933" i="50"/>
  <c r="H2934" i="50"/>
  <c r="H2935" i="50"/>
  <c r="H2936" i="50"/>
  <c r="H2937" i="50"/>
  <c r="H2938" i="50"/>
  <c r="H2939" i="50"/>
  <c r="H2940" i="50"/>
  <c r="H2941" i="50"/>
  <c r="H2942" i="50"/>
  <c r="H2943" i="50"/>
  <c r="H2944" i="50"/>
  <c r="H2945" i="50"/>
  <c r="H2946" i="50"/>
  <c r="H2947" i="50"/>
  <c r="H2948" i="50"/>
  <c r="H2949" i="50"/>
  <c r="H2950" i="50"/>
  <c r="H2951" i="50"/>
  <c r="H2952" i="50"/>
  <c r="H2953" i="50"/>
  <c r="H2954" i="50"/>
  <c r="H2955" i="50"/>
  <c r="H2956" i="50"/>
  <c r="H2957" i="50"/>
  <c r="H2958" i="50"/>
  <c r="H2959" i="50"/>
  <c r="H2960" i="50"/>
  <c r="H2961" i="50"/>
  <c r="H2962" i="50"/>
  <c r="H2963" i="50"/>
  <c r="H2964" i="50"/>
  <c r="H2965" i="50"/>
  <c r="H2966" i="50"/>
  <c r="H2967" i="50"/>
  <c r="H2968" i="50"/>
  <c r="H2969" i="50"/>
  <c r="H2970" i="50"/>
  <c r="H2971" i="50"/>
  <c r="H2972" i="50"/>
  <c r="H2973" i="50"/>
  <c r="H2974" i="50"/>
  <c r="H2975" i="50"/>
  <c r="H2976" i="50"/>
  <c r="H2977" i="50"/>
  <c r="H2978" i="50"/>
  <c r="H2979" i="50"/>
  <c r="H2980" i="50"/>
  <c r="H2981" i="50"/>
  <c r="H2982" i="50"/>
  <c r="H2983" i="50"/>
  <c r="H2984" i="50"/>
  <c r="H2985" i="50"/>
  <c r="H2986" i="50"/>
  <c r="H2987" i="50"/>
  <c r="H2988" i="50"/>
  <c r="H2989" i="50"/>
  <c r="H2990" i="50"/>
  <c r="H2991" i="50"/>
  <c r="H2992" i="50"/>
  <c r="H2993" i="50"/>
  <c r="H2994" i="50"/>
  <c r="H2995" i="50"/>
  <c r="H2996" i="50"/>
  <c r="H2997" i="50"/>
  <c r="H2998" i="50"/>
  <c r="H2999" i="50"/>
  <c r="H3000" i="50"/>
  <c r="H3001" i="50"/>
  <c r="H3002" i="50"/>
  <c r="H3003" i="50"/>
  <c r="H3004" i="50"/>
  <c r="H3005" i="50"/>
  <c r="H3006" i="50"/>
  <c r="H3007" i="50"/>
  <c r="H3008" i="50"/>
  <c r="H3009" i="50"/>
  <c r="H3010" i="50"/>
  <c r="H3011" i="50"/>
  <c r="H3012" i="50"/>
  <c r="H3013" i="50"/>
  <c r="H3014" i="50"/>
  <c r="H3015" i="50"/>
  <c r="H3016" i="50"/>
  <c r="H3017" i="50"/>
  <c r="H3018" i="50"/>
  <c r="H3019" i="50"/>
  <c r="H3020" i="50"/>
  <c r="H3021" i="50"/>
  <c r="H3022" i="50"/>
  <c r="H3023" i="50"/>
  <c r="H3024" i="50"/>
  <c r="H3025" i="50"/>
  <c r="H3026" i="50"/>
  <c r="H3027" i="50"/>
  <c r="H3028" i="50"/>
  <c r="H3029" i="50"/>
  <c r="H3030" i="50"/>
  <c r="H3031" i="50"/>
  <c r="H3032" i="50"/>
  <c r="H3033" i="50"/>
  <c r="H3034" i="50"/>
  <c r="H3035" i="50"/>
  <c r="H3036" i="50"/>
  <c r="H3037" i="50"/>
  <c r="H3038" i="50"/>
  <c r="H3039" i="50"/>
  <c r="H3040" i="50"/>
  <c r="H3041" i="50"/>
  <c r="H3042" i="50"/>
  <c r="H3043" i="50"/>
  <c r="H3044" i="50"/>
  <c r="H3045" i="50"/>
  <c r="H3046" i="50"/>
  <c r="H3047" i="50"/>
  <c r="H3048" i="50"/>
  <c r="H3049" i="50"/>
  <c r="H3050" i="50"/>
  <c r="H3051" i="50"/>
  <c r="H3052" i="50"/>
  <c r="H3053" i="50"/>
  <c r="H3054" i="50"/>
  <c r="H3055" i="50"/>
  <c r="H3056" i="50"/>
  <c r="H3057" i="50"/>
  <c r="H3058" i="50"/>
  <c r="H3059" i="50"/>
  <c r="H3060" i="50"/>
  <c r="H3061" i="50"/>
  <c r="H3062" i="50"/>
  <c r="H3063" i="50"/>
  <c r="H3064" i="50"/>
  <c r="H3065" i="50"/>
  <c r="H3066" i="50"/>
  <c r="H3067" i="50"/>
  <c r="H3068" i="50"/>
  <c r="H3069" i="50"/>
  <c r="H3070" i="50"/>
  <c r="H3071" i="50"/>
  <c r="H3072" i="50"/>
  <c r="H3073" i="50"/>
  <c r="H3074" i="50"/>
  <c r="H3075" i="50"/>
  <c r="H3076" i="50"/>
  <c r="H3077" i="50"/>
  <c r="H3078" i="50"/>
  <c r="H3079" i="50"/>
  <c r="H3080" i="50"/>
  <c r="H3081" i="50"/>
  <c r="H3082" i="50"/>
  <c r="H3083" i="50"/>
  <c r="H3084" i="50"/>
  <c r="H3085" i="50"/>
  <c r="H3086" i="50"/>
  <c r="H3087" i="50"/>
  <c r="H3088" i="50"/>
  <c r="H3089" i="50"/>
  <c r="H3090" i="50"/>
  <c r="H3091" i="50"/>
  <c r="H3092" i="50"/>
  <c r="H3093" i="50"/>
  <c r="H3094" i="50"/>
  <c r="H3095" i="50"/>
  <c r="H3096" i="50"/>
  <c r="H3097" i="50"/>
  <c r="H3098" i="50"/>
  <c r="H3099" i="50"/>
  <c r="H3100" i="50"/>
  <c r="H3101" i="50"/>
  <c r="H3102" i="50"/>
  <c r="H3103" i="50"/>
  <c r="H3104" i="50"/>
  <c r="H3105" i="50"/>
  <c r="H3106" i="50"/>
  <c r="H3107" i="50"/>
  <c r="H3108" i="50"/>
  <c r="H3109" i="50"/>
  <c r="H3110" i="50"/>
  <c r="H3111" i="50"/>
  <c r="H3112" i="50"/>
  <c r="H3113" i="50"/>
  <c r="H3114" i="50"/>
  <c r="H3115" i="50"/>
  <c r="H3116" i="50"/>
  <c r="H3117" i="50"/>
  <c r="H3118" i="50"/>
  <c r="H3119" i="50"/>
  <c r="H3120" i="50"/>
  <c r="H3121" i="50"/>
  <c r="H3122" i="50"/>
  <c r="H3123" i="50"/>
  <c r="H3124" i="50"/>
  <c r="H3125" i="50"/>
  <c r="H3126" i="50"/>
  <c r="H3127" i="50"/>
  <c r="H3128" i="50"/>
  <c r="H3129" i="50"/>
  <c r="H3130" i="50"/>
  <c r="H3131" i="50"/>
  <c r="H3132" i="50"/>
  <c r="H3133" i="50"/>
  <c r="H3134" i="50"/>
  <c r="H3135" i="50"/>
  <c r="H3136" i="50"/>
  <c r="H3137" i="50"/>
  <c r="H3138" i="50"/>
  <c r="H3139" i="50"/>
  <c r="H3140" i="50"/>
  <c r="H3141" i="50"/>
  <c r="H3142" i="50"/>
  <c r="H3143" i="50"/>
  <c r="H3144" i="50"/>
  <c r="H3145" i="50"/>
  <c r="H3146" i="50"/>
  <c r="H3147" i="50"/>
  <c r="H3148" i="50"/>
  <c r="H3149" i="50"/>
  <c r="H3150" i="50"/>
  <c r="H3151" i="50"/>
  <c r="H3152" i="50"/>
  <c r="H3153" i="50"/>
  <c r="H3154" i="50"/>
  <c r="H3155" i="50"/>
  <c r="H3156" i="50"/>
  <c r="H3157" i="50"/>
  <c r="H3158" i="50"/>
  <c r="H3159" i="50"/>
  <c r="H3160" i="50"/>
  <c r="H3161" i="50"/>
  <c r="H3162" i="50"/>
  <c r="H3163" i="50"/>
  <c r="H3164" i="50"/>
  <c r="H3165" i="50"/>
  <c r="H3166" i="50"/>
  <c r="H3167" i="50"/>
  <c r="H3168" i="50"/>
  <c r="H3169" i="50"/>
  <c r="H3170" i="50"/>
  <c r="H3171" i="50"/>
  <c r="H3172" i="50"/>
  <c r="H3173" i="50"/>
  <c r="H3174" i="50"/>
  <c r="H3175" i="50"/>
  <c r="H3176" i="50"/>
  <c r="H3177" i="50"/>
  <c r="H3178" i="50"/>
  <c r="H3179" i="50"/>
  <c r="H3180" i="50"/>
  <c r="H3181" i="50"/>
  <c r="H3182" i="50"/>
  <c r="H3183" i="50"/>
  <c r="H3184" i="50"/>
  <c r="H3185" i="50"/>
  <c r="H3186" i="50"/>
  <c r="H3187" i="50"/>
  <c r="H3188" i="50"/>
  <c r="H3189" i="50"/>
  <c r="H3190" i="50"/>
  <c r="H3191" i="50"/>
  <c r="H3192" i="50"/>
  <c r="H3193" i="50"/>
  <c r="H3194" i="50"/>
  <c r="H3195" i="50"/>
  <c r="H3196" i="50"/>
  <c r="H3197" i="50"/>
  <c r="H3198" i="50"/>
  <c r="H3199" i="50"/>
  <c r="H3200" i="50"/>
  <c r="H3201" i="50"/>
  <c r="H3202" i="50"/>
  <c r="H3203" i="50"/>
  <c r="H3204" i="50"/>
  <c r="H3205" i="50"/>
  <c r="H3206" i="50"/>
  <c r="H3207" i="50"/>
  <c r="H3208" i="50"/>
  <c r="H3209" i="50"/>
  <c r="H3210" i="50"/>
  <c r="H3211" i="50"/>
  <c r="H3212" i="50"/>
  <c r="H3213" i="50"/>
  <c r="H3214" i="50"/>
  <c r="H3215" i="50"/>
  <c r="H3216" i="50"/>
  <c r="H3217" i="50"/>
  <c r="H3218" i="50"/>
  <c r="H3219" i="50"/>
  <c r="H3220" i="50"/>
  <c r="H3221" i="50"/>
  <c r="H3222" i="50"/>
  <c r="H3223" i="50"/>
  <c r="H3224" i="50"/>
  <c r="H3225" i="50"/>
  <c r="H3226" i="50"/>
  <c r="H3227" i="50"/>
  <c r="H3228" i="50"/>
  <c r="H3229" i="50"/>
  <c r="H3230" i="50"/>
  <c r="H3231" i="50"/>
  <c r="H3232" i="50"/>
  <c r="H3233" i="50"/>
  <c r="H3234" i="50"/>
  <c r="H3235" i="50"/>
  <c r="H3236" i="50"/>
  <c r="H3237" i="50"/>
  <c r="H3238" i="50"/>
  <c r="H3239" i="50"/>
  <c r="H3240" i="50"/>
  <c r="H3241" i="50"/>
  <c r="H3242" i="50"/>
  <c r="H3243" i="50"/>
  <c r="H3244" i="50"/>
  <c r="H3245" i="50"/>
  <c r="H3246" i="50"/>
  <c r="H3247" i="50"/>
  <c r="H3248" i="50"/>
  <c r="H3249" i="50"/>
  <c r="H3250" i="50"/>
  <c r="H3251" i="50"/>
  <c r="H3252" i="50"/>
  <c r="H3253" i="50"/>
  <c r="H3254" i="50"/>
  <c r="H3255" i="50"/>
  <c r="H3256" i="50"/>
  <c r="H3257" i="50"/>
  <c r="H3258" i="50"/>
  <c r="H3259" i="50"/>
  <c r="H3260" i="50"/>
  <c r="H3261" i="50"/>
  <c r="H3262" i="50"/>
  <c r="H3263" i="50"/>
  <c r="H3264" i="50"/>
  <c r="H3265" i="50"/>
  <c r="H3266" i="50"/>
  <c r="H3267" i="50"/>
  <c r="H3268" i="50"/>
  <c r="H3269" i="50"/>
  <c r="H3270" i="50"/>
  <c r="H3271" i="50"/>
  <c r="H3272" i="50"/>
  <c r="H3273" i="50"/>
  <c r="H3274" i="50"/>
  <c r="H3275" i="50"/>
  <c r="H3276" i="50"/>
  <c r="H3277" i="50"/>
  <c r="H3278" i="50"/>
  <c r="H3279" i="50"/>
  <c r="H3280" i="50"/>
  <c r="H3281" i="50"/>
  <c r="H3282" i="50"/>
  <c r="H3283" i="50"/>
  <c r="H3284" i="50"/>
  <c r="H3285" i="50"/>
  <c r="H3286" i="50"/>
  <c r="H3287" i="50"/>
  <c r="H3288" i="50"/>
  <c r="H3289" i="50"/>
  <c r="H3290" i="50"/>
  <c r="H3291" i="50"/>
  <c r="H3292" i="50"/>
  <c r="H3293" i="50"/>
  <c r="H3294" i="50"/>
  <c r="H3295" i="50"/>
  <c r="H3296" i="50"/>
  <c r="H3297" i="50"/>
  <c r="H3298" i="50"/>
  <c r="H3299" i="50"/>
  <c r="H3300" i="50"/>
  <c r="H3301" i="50"/>
  <c r="H3302" i="50"/>
  <c r="H3303" i="50"/>
  <c r="H3304" i="50"/>
  <c r="H3305" i="50"/>
  <c r="H3306" i="50"/>
  <c r="H3307" i="50"/>
  <c r="H3308" i="50"/>
  <c r="H3309" i="50"/>
  <c r="H3310" i="50"/>
  <c r="H3311" i="50"/>
  <c r="H3312" i="50"/>
  <c r="H3313" i="50"/>
  <c r="H3314" i="50"/>
  <c r="H3315" i="50"/>
  <c r="H3316" i="50"/>
  <c r="H3317" i="50"/>
  <c r="H3318" i="50"/>
  <c r="H3319" i="50"/>
  <c r="H3320" i="50"/>
  <c r="H3321" i="50"/>
  <c r="H3322" i="50"/>
  <c r="H3323" i="50"/>
  <c r="H3324" i="50"/>
  <c r="H3325" i="50"/>
  <c r="H3326" i="50"/>
  <c r="H3327" i="50"/>
  <c r="H3328" i="50"/>
  <c r="H3329" i="50"/>
  <c r="H3330" i="50"/>
  <c r="H3331" i="50"/>
  <c r="H3332" i="50"/>
  <c r="H3333" i="50"/>
  <c r="H3334" i="50"/>
  <c r="H3335" i="50"/>
  <c r="H3336" i="50"/>
  <c r="H3337" i="50"/>
  <c r="H3338" i="50"/>
  <c r="H3339" i="50"/>
  <c r="H3340" i="50"/>
  <c r="H3341" i="50"/>
  <c r="H3342" i="50"/>
  <c r="H3343" i="50"/>
  <c r="H3344" i="50"/>
  <c r="H3345" i="50"/>
  <c r="H3346" i="50"/>
  <c r="H3347" i="50"/>
  <c r="H3348" i="50"/>
  <c r="H3349" i="50"/>
  <c r="H3350" i="50"/>
  <c r="H3351" i="50"/>
  <c r="H3352" i="50"/>
  <c r="H3353" i="50"/>
  <c r="H3354" i="50"/>
  <c r="H3355" i="50"/>
  <c r="H3356" i="50"/>
  <c r="H3357" i="50"/>
  <c r="H3358" i="50"/>
  <c r="H3359" i="50"/>
  <c r="H3360" i="50"/>
  <c r="H3361" i="50"/>
  <c r="H3362" i="50"/>
  <c r="H3363" i="50"/>
  <c r="H3364" i="50"/>
  <c r="H3365" i="50"/>
  <c r="H3366" i="50"/>
  <c r="H3367" i="50"/>
  <c r="H3368" i="50"/>
  <c r="H3369" i="50"/>
  <c r="H3370" i="50"/>
  <c r="H3371" i="50"/>
  <c r="H3372" i="50"/>
  <c r="H3373" i="50"/>
  <c r="H3374" i="50"/>
  <c r="H3375" i="50"/>
  <c r="H3376" i="50"/>
  <c r="H3377" i="50"/>
  <c r="H3378" i="50"/>
  <c r="H3379" i="50"/>
  <c r="H3380" i="50"/>
  <c r="H3381" i="50"/>
  <c r="H3382" i="50"/>
  <c r="H3383" i="50"/>
  <c r="H3384" i="50"/>
  <c r="H3385" i="50"/>
  <c r="H3386" i="50"/>
  <c r="H3387" i="50"/>
  <c r="H3388" i="50"/>
  <c r="H3389" i="50"/>
  <c r="H3390" i="50"/>
  <c r="H3391" i="50"/>
  <c r="H3392" i="50"/>
  <c r="H3393" i="50"/>
  <c r="H3394" i="50"/>
  <c r="H3395" i="50"/>
  <c r="H3396" i="50"/>
  <c r="H3397" i="50"/>
  <c r="H3398" i="50"/>
  <c r="H3399" i="50"/>
  <c r="H3400" i="50"/>
  <c r="H3401" i="50"/>
  <c r="H3402" i="50"/>
  <c r="H3403" i="50"/>
  <c r="H3404" i="50"/>
  <c r="H3405" i="50"/>
  <c r="H3406" i="50"/>
  <c r="H3407" i="50"/>
  <c r="H3408" i="50"/>
  <c r="H3409" i="50"/>
  <c r="H3410" i="50"/>
  <c r="H3411" i="50"/>
  <c r="H3412" i="50"/>
  <c r="H3413" i="50"/>
  <c r="H3414" i="50"/>
  <c r="H3415" i="50"/>
  <c r="H3416" i="50"/>
  <c r="H3417" i="50"/>
  <c r="H3418" i="50"/>
  <c r="H3419" i="50"/>
  <c r="H3420" i="50"/>
  <c r="H3421" i="50"/>
  <c r="H3422" i="50"/>
  <c r="H3423" i="50"/>
  <c r="H3424" i="50"/>
  <c r="H3425" i="50"/>
  <c r="H3426" i="50"/>
  <c r="H3427" i="50"/>
  <c r="H3428" i="50"/>
  <c r="H3429" i="50"/>
  <c r="H3430" i="50"/>
  <c r="H3431" i="50"/>
  <c r="H3432" i="50"/>
  <c r="H3433" i="50"/>
  <c r="H3434" i="50"/>
  <c r="H3435" i="50"/>
  <c r="H3436" i="50"/>
  <c r="H3437" i="50"/>
  <c r="H3438" i="50"/>
  <c r="H3439" i="50"/>
  <c r="H3440" i="50"/>
  <c r="H3441" i="50"/>
  <c r="H3442" i="50"/>
  <c r="H3443" i="50"/>
  <c r="H3444" i="50"/>
  <c r="H3445" i="50"/>
  <c r="H3446" i="50"/>
  <c r="H3447" i="50"/>
  <c r="H3448" i="50"/>
  <c r="H3449" i="50"/>
  <c r="H3450" i="50"/>
  <c r="H3451" i="50"/>
  <c r="H3452" i="50"/>
  <c r="H3453" i="50"/>
  <c r="H3454" i="50"/>
  <c r="H3455" i="50"/>
  <c r="H3456" i="50"/>
  <c r="H3457" i="50"/>
  <c r="H3458" i="50"/>
  <c r="H3459" i="50"/>
  <c r="H3460" i="50"/>
  <c r="H3461" i="50"/>
  <c r="H3462" i="50"/>
  <c r="H3463" i="50"/>
  <c r="H3464" i="50"/>
  <c r="H3465" i="50"/>
  <c r="H3466" i="50"/>
  <c r="H3467" i="50"/>
  <c r="H3468" i="50"/>
  <c r="H3469" i="50"/>
  <c r="H3470" i="50"/>
  <c r="H3471" i="50"/>
  <c r="H3472" i="50"/>
  <c r="H3473" i="50"/>
  <c r="H3474" i="50"/>
  <c r="H3475" i="50"/>
  <c r="H3476" i="50"/>
  <c r="H3477" i="50"/>
  <c r="H3478" i="50"/>
  <c r="H3479" i="50"/>
  <c r="H3480" i="50"/>
  <c r="H3481" i="50"/>
  <c r="H3482" i="50"/>
  <c r="H3483" i="50"/>
  <c r="H3484" i="50"/>
  <c r="H3485" i="50"/>
  <c r="H3486" i="50"/>
  <c r="H3487" i="50"/>
  <c r="H3488" i="50"/>
  <c r="H3489" i="50"/>
  <c r="H3490" i="50"/>
  <c r="H3491" i="50"/>
  <c r="H3492" i="50"/>
  <c r="H3493" i="50"/>
  <c r="H3494" i="50"/>
  <c r="H3495" i="50"/>
  <c r="H3496" i="50"/>
  <c r="H3497" i="50"/>
  <c r="H3498" i="50"/>
  <c r="H3499" i="50"/>
  <c r="H3500" i="50"/>
  <c r="H3501" i="50"/>
  <c r="H3502" i="50"/>
  <c r="H3503" i="50"/>
  <c r="H3504" i="50"/>
  <c r="H3505" i="50"/>
  <c r="H3506" i="50"/>
  <c r="H3507" i="50"/>
  <c r="H3508" i="50"/>
  <c r="H3509" i="50"/>
  <c r="H3510" i="50"/>
  <c r="H3511" i="50"/>
  <c r="H3512" i="50"/>
  <c r="H3513" i="50"/>
  <c r="H3514" i="50"/>
  <c r="H3515" i="50"/>
  <c r="H3516" i="50"/>
  <c r="H3517" i="50"/>
  <c r="H3518" i="50"/>
  <c r="H3519" i="50"/>
  <c r="H3520" i="50"/>
  <c r="H3521" i="50"/>
  <c r="H3522" i="50"/>
  <c r="H3523" i="50"/>
  <c r="H3524" i="50"/>
  <c r="H3525" i="50"/>
  <c r="H3526" i="50"/>
  <c r="H3527" i="50"/>
  <c r="H3528" i="50"/>
  <c r="H3529" i="50"/>
  <c r="H3530" i="50"/>
  <c r="H3531" i="50"/>
  <c r="H3532" i="50"/>
  <c r="H3533" i="50"/>
  <c r="H3534" i="50"/>
  <c r="H3535" i="50"/>
  <c r="H3536" i="50"/>
  <c r="H3537" i="50"/>
  <c r="H3538" i="50"/>
  <c r="H3539" i="50"/>
  <c r="H3540" i="50"/>
  <c r="H3541" i="50"/>
  <c r="H3542" i="50"/>
  <c r="H3543" i="50"/>
  <c r="H3544" i="50"/>
  <c r="H3545" i="50"/>
  <c r="H3546" i="50"/>
  <c r="H3547" i="50"/>
  <c r="H3548" i="50"/>
  <c r="H3549" i="50"/>
  <c r="H3550" i="50"/>
  <c r="H3551" i="50"/>
  <c r="H3552" i="50"/>
  <c r="H3553" i="50"/>
  <c r="H3554" i="50"/>
  <c r="H3555" i="50"/>
  <c r="H3556" i="50"/>
  <c r="H3557" i="50"/>
  <c r="H3558" i="50"/>
  <c r="H3559" i="50"/>
  <c r="H3560" i="50"/>
  <c r="H4" i="50"/>
  <c r="H5" i="50"/>
  <c r="H6" i="50"/>
  <c r="H7" i="50"/>
  <c r="H8" i="50"/>
  <c r="H9" i="50"/>
  <c r="H10" i="50"/>
  <c r="H11" i="50"/>
  <c r="H12" i="50"/>
  <c r="H13" i="50"/>
  <c r="H14" i="50"/>
  <c r="H15" i="50"/>
  <c r="H16" i="50"/>
  <c r="H17" i="50"/>
  <c r="H18" i="50"/>
  <c r="H19" i="50"/>
  <c r="H20" i="50"/>
  <c r="H21" i="50"/>
  <c r="H22" i="50"/>
  <c r="H23" i="50"/>
  <c r="H24" i="50"/>
  <c r="H25" i="50"/>
  <c r="H26" i="50"/>
  <c r="H27" i="50"/>
  <c r="H28" i="50"/>
  <c r="H29" i="50"/>
  <c r="H30" i="50"/>
  <c r="H31" i="50"/>
  <c r="H32" i="50"/>
  <c r="H33" i="50"/>
  <c r="H34" i="50"/>
  <c r="H35" i="50"/>
  <c r="H36" i="50"/>
  <c r="H37" i="50"/>
  <c r="H38" i="50"/>
  <c r="H39" i="50"/>
  <c r="H40" i="50"/>
  <c r="H41" i="50"/>
  <c r="H42" i="50"/>
  <c r="H43" i="50"/>
  <c r="H44" i="50"/>
  <c r="H45" i="50"/>
  <c r="H46" i="50"/>
  <c r="H47" i="50"/>
  <c r="H48" i="50"/>
  <c r="H49" i="50"/>
  <c r="H50" i="50"/>
  <c r="H51" i="50"/>
  <c r="H52" i="50"/>
  <c r="H53" i="50"/>
  <c r="H54" i="50"/>
  <c r="H55" i="50"/>
  <c r="H56" i="50"/>
  <c r="H57" i="50"/>
  <c r="H58" i="50"/>
  <c r="H59" i="50"/>
  <c r="H60" i="50"/>
  <c r="H61" i="50"/>
  <c r="H62" i="50"/>
  <c r="H63" i="50"/>
  <c r="H64" i="50"/>
  <c r="H65" i="50"/>
  <c r="H66" i="50"/>
  <c r="H67" i="50"/>
  <c r="H68" i="50"/>
  <c r="H69" i="50"/>
  <c r="H70" i="50"/>
  <c r="H71" i="50"/>
  <c r="H72" i="50"/>
  <c r="H73" i="50"/>
  <c r="H74" i="50"/>
  <c r="H75" i="50"/>
  <c r="H76" i="50"/>
  <c r="H77" i="50"/>
  <c r="H78" i="50"/>
  <c r="H79" i="50"/>
  <c r="H80" i="50"/>
  <c r="H81" i="50"/>
  <c r="H82" i="50"/>
  <c r="H83" i="50"/>
  <c r="H84" i="50"/>
  <c r="H85" i="50"/>
  <c r="H86" i="50"/>
  <c r="H87" i="50"/>
  <c r="H88" i="50"/>
  <c r="H89" i="50"/>
  <c r="H90" i="50"/>
  <c r="H91" i="50"/>
  <c r="H92" i="50"/>
  <c r="H93" i="50"/>
  <c r="H94" i="50"/>
  <c r="H95" i="50"/>
  <c r="H96" i="50"/>
  <c r="H97" i="50"/>
  <c r="H98" i="50"/>
  <c r="H99" i="50"/>
  <c r="H100" i="50"/>
  <c r="H101" i="50"/>
  <c r="H102" i="50"/>
  <c r="H103" i="50"/>
  <c r="H104" i="50"/>
  <c r="H105" i="50"/>
  <c r="H106" i="50"/>
  <c r="H107" i="50"/>
  <c r="H108" i="50"/>
  <c r="H109" i="50"/>
  <c r="H110" i="50"/>
  <c r="H111" i="50"/>
  <c r="H112" i="50"/>
  <c r="H113" i="50"/>
  <c r="H114" i="50"/>
  <c r="H115" i="50"/>
  <c r="H116" i="50"/>
  <c r="H117" i="50"/>
  <c r="H118" i="50"/>
  <c r="H119" i="50"/>
  <c r="H120" i="50"/>
  <c r="H121" i="50"/>
  <c r="H122" i="50"/>
  <c r="H123" i="50"/>
  <c r="H124" i="50"/>
  <c r="H125" i="50"/>
  <c r="H126" i="50"/>
  <c r="H127" i="50"/>
  <c r="H128" i="50"/>
  <c r="H129" i="50"/>
  <c r="H130" i="50"/>
  <c r="H131" i="50"/>
  <c r="H132" i="50"/>
  <c r="H133" i="50"/>
  <c r="H134" i="50"/>
  <c r="H135" i="50"/>
  <c r="H136" i="50"/>
  <c r="H137" i="50"/>
  <c r="H138" i="50"/>
  <c r="H139" i="50"/>
  <c r="H140" i="50"/>
  <c r="H141" i="50"/>
  <c r="H142" i="50"/>
  <c r="H143" i="50"/>
  <c r="H144" i="50"/>
  <c r="H145" i="50"/>
  <c r="H146" i="50"/>
  <c r="H147" i="50"/>
  <c r="H148" i="50"/>
  <c r="H149" i="50"/>
  <c r="H150" i="50"/>
  <c r="H151" i="50"/>
  <c r="H152" i="50"/>
  <c r="H153" i="50"/>
  <c r="H154" i="50"/>
  <c r="H155" i="50"/>
  <c r="H156" i="50"/>
  <c r="H157" i="50"/>
  <c r="H158" i="50"/>
  <c r="H159" i="50"/>
  <c r="H160" i="50"/>
  <c r="H161" i="50"/>
  <c r="H162" i="50"/>
  <c r="H163" i="50"/>
  <c r="H164" i="50"/>
  <c r="H165" i="50"/>
  <c r="H166" i="50"/>
  <c r="H167" i="50"/>
  <c r="H168" i="50"/>
  <c r="H169" i="50"/>
  <c r="H170" i="50"/>
  <c r="H171" i="50"/>
  <c r="H172" i="50"/>
  <c r="H173" i="50"/>
  <c r="H174" i="50"/>
  <c r="H175" i="50"/>
  <c r="H176" i="50"/>
  <c r="H177" i="50"/>
  <c r="H178" i="50"/>
  <c r="H179" i="50"/>
  <c r="H180" i="50"/>
  <c r="H181" i="50"/>
  <c r="H182" i="50"/>
  <c r="H183" i="50"/>
  <c r="H184" i="50"/>
  <c r="H185" i="50"/>
  <c r="H186" i="50"/>
  <c r="H187" i="50"/>
  <c r="H188" i="50"/>
  <c r="H189" i="50"/>
  <c r="H190" i="50"/>
  <c r="H191" i="50"/>
  <c r="H192" i="50"/>
  <c r="H193" i="50"/>
  <c r="H194" i="50"/>
  <c r="H195" i="50"/>
  <c r="H196" i="50"/>
  <c r="H197" i="50"/>
  <c r="H198" i="50"/>
  <c r="H199" i="50"/>
  <c r="H200" i="50"/>
  <c r="H201" i="50"/>
  <c r="H202" i="50"/>
  <c r="H203" i="50"/>
  <c r="H204" i="50"/>
  <c r="H205" i="50"/>
  <c r="H206" i="50"/>
  <c r="H207" i="50"/>
  <c r="H208" i="50"/>
  <c r="H209" i="50"/>
  <c r="H210" i="50"/>
  <c r="H211" i="50"/>
  <c r="H212" i="50"/>
  <c r="H213" i="50"/>
  <c r="H214" i="50"/>
  <c r="H215" i="50"/>
  <c r="H216" i="50"/>
  <c r="H217" i="50"/>
  <c r="H218" i="50"/>
  <c r="H219" i="50"/>
  <c r="H220" i="50"/>
  <c r="H221" i="50"/>
  <c r="H222" i="50"/>
  <c r="H223" i="50"/>
  <c r="H224" i="50"/>
  <c r="H225" i="50"/>
  <c r="H226" i="50"/>
  <c r="H227" i="50"/>
  <c r="H228" i="50"/>
  <c r="H229" i="50"/>
  <c r="H230" i="50"/>
  <c r="H231" i="50"/>
  <c r="H232" i="50"/>
  <c r="H233" i="50"/>
  <c r="H234" i="50"/>
  <c r="H235" i="50"/>
  <c r="H236" i="50"/>
  <c r="H237" i="50"/>
  <c r="H238" i="50"/>
  <c r="H239" i="50"/>
  <c r="H240" i="50"/>
  <c r="H241" i="50"/>
  <c r="H242" i="50"/>
  <c r="H243" i="50"/>
  <c r="H244" i="50"/>
  <c r="H245" i="50"/>
  <c r="H246" i="50"/>
  <c r="H247" i="50"/>
  <c r="H248" i="50"/>
  <c r="H249" i="50"/>
  <c r="H250" i="50"/>
  <c r="H251" i="50"/>
  <c r="H252" i="50"/>
  <c r="H253" i="50"/>
  <c r="H254" i="50"/>
  <c r="H255" i="50"/>
  <c r="H256" i="50"/>
  <c r="H257" i="50"/>
  <c r="H258" i="50"/>
  <c r="H259" i="50"/>
  <c r="H260" i="50"/>
  <c r="H261" i="50"/>
  <c r="H262" i="50"/>
  <c r="H263" i="50"/>
  <c r="H264" i="50"/>
  <c r="H265" i="50"/>
  <c r="H266" i="50"/>
  <c r="H267" i="50"/>
  <c r="H268" i="50"/>
  <c r="H269" i="50"/>
  <c r="H270" i="50"/>
  <c r="H271" i="50"/>
  <c r="H272" i="50"/>
  <c r="H273" i="50"/>
  <c r="H274" i="50"/>
  <c r="H275" i="50"/>
  <c r="H276" i="50"/>
  <c r="H277" i="50"/>
  <c r="H278" i="50"/>
  <c r="H279" i="50"/>
  <c r="H280" i="50"/>
  <c r="H281" i="50"/>
  <c r="H282" i="50"/>
  <c r="H283" i="50"/>
  <c r="H284" i="50"/>
  <c r="H285" i="50"/>
  <c r="H286" i="50"/>
  <c r="H287" i="50"/>
  <c r="H288" i="50"/>
  <c r="H289" i="50"/>
  <c r="H290" i="50"/>
  <c r="H291" i="50"/>
  <c r="H292" i="50"/>
  <c r="H293" i="50"/>
  <c r="H294" i="50"/>
  <c r="H295" i="50"/>
  <c r="H296" i="50"/>
  <c r="H297" i="50"/>
  <c r="H298" i="50"/>
  <c r="H299" i="50"/>
  <c r="H300" i="50"/>
  <c r="H301" i="50"/>
  <c r="H302" i="50"/>
  <c r="H303" i="50"/>
  <c r="H304" i="50"/>
  <c r="H305" i="50"/>
  <c r="H306" i="50"/>
  <c r="H307" i="50"/>
  <c r="H308" i="50"/>
  <c r="H309" i="50"/>
  <c r="H310" i="50"/>
  <c r="H311" i="50"/>
  <c r="H312" i="50"/>
  <c r="H313" i="50"/>
  <c r="H314" i="50"/>
  <c r="H315" i="50"/>
  <c r="H316" i="50"/>
  <c r="H317" i="50"/>
  <c r="H318" i="50"/>
  <c r="H319" i="50"/>
  <c r="H320" i="50"/>
  <c r="H321" i="50"/>
  <c r="H322" i="50"/>
  <c r="H323" i="50"/>
  <c r="H324" i="50"/>
  <c r="H325" i="50"/>
  <c r="H326" i="50"/>
  <c r="H327" i="50"/>
  <c r="H328" i="50"/>
  <c r="H329" i="50"/>
  <c r="H330" i="50"/>
  <c r="H331" i="50"/>
  <c r="H332" i="50"/>
  <c r="H333" i="50"/>
  <c r="H334" i="50"/>
  <c r="H335" i="50"/>
  <c r="H336" i="50"/>
  <c r="H337" i="50"/>
  <c r="H338" i="50"/>
  <c r="H339" i="50"/>
  <c r="H340" i="50"/>
  <c r="H341" i="50"/>
  <c r="H342" i="50"/>
  <c r="H343" i="50"/>
  <c r="H344" i="50"/>
  <c r="H345" i="50"/>
  <c r="H346" i="50"/>
  <c r="H347" i="50"/>
  <c r="H348" i="50"/>
  <c r="H349" i="50"/>
  <c r="H350" i="50"/>
  <c r="H351" i="50"/>
  <c r="H352" i="50"/>
  <c r="H353" i="50"/>
  <c r="H354" i="50"/>
  <c r="H355" i="50"/>
  <c r="H356" i="50"/>
  <c r="H357" i="50"/>
  <c r="H358" i="50"/>
  <c r="H359" i="50"/>
  <c r="H360" i="50"/>
  <c r="H361" i="50"/>
  <c r="H362" i="50"/>
  <c r="H363" i="50"/>
  <c r="H364" i="50"/>
  <c r="H365" i="50"/>
  <c r="H366" i="50"/>
  <c r="H367" i="50"/>
  <c r="H368" i="50"/>
  <c r="H369" i="50"/>
  <c r="H370" i="50"/>
  <c r="H371" i="50"/>
  <c r="H372" i="50"/>
  <c r="H373" i="50"/>
  <c r="H374" i="50"/>
  <c r="H375" i="50"/>
  <c r="H376" i="50"/>
  <c r="H377" i="50"/>
  <c r="H378" i="50"/>
  <c r="H379" i="50"/>
  <c r="H380" i="50"/>
  <c r="H381" i="50"/>
  <c r="H382" i="50"/>
  <c r="H383" i="50"/>
  <c r="H384" i="50"/>
  <c r="H385" i="50"/>
  <c r="H386" i="50"/>
  <c r="H387" i="50"/>
  <c r="H388" i="50"/>
  <c r="H389" i="50"/>
  <c r="H390" i="50"/>
  <c r="H391" i="50"/>
  <c r="H392" i="50"/>
  <c r="H393" i="50"/>
  <c r="H394" i="50"/>
  <c r="H395" i="50"/>
  <c r="H396" i="50"/>
  <c r="H397" i="50"/>
  <c r="H398" i="50"/>
  <c r="H399" i="50"/>
  <c r="H400" i="50"/>
  <c r="H401" i="50"/>
  <c r="H402" i="50"/>
  <c r="H403" i="50"/>
  <c r="H404" i="50"/>
  <c r="H405" i="50"/>
  <c r="H406" i="50"/>
  <c r="H407" i="50"/>
  <c r="H408" i="50"/>
  <c r="H409" i="50"/>
  <c r="H410" i="50"/>
  <c r="H411" i="50"/>
  <c r="H412" i="50"/>
  <c r="H413" i="50"/>
  <c r="H414" i="50"/>
  <c r="H415" i="50"/>
  <c r="H416" i="50"/>
  <c r="H417" i="50"/>
  <c r="H418" i="50"/>
  <c r="H419" i="50"/>
  <c r="H420" i="50"/>
  <c r="H421" i="50"/>
  <c r="H422" i="50"/>
  <c r="H423" i="50"/>
  <c r="H424" i="50"/>
  <c r="H425" i="50"/>
  <c r="H426" i="50"/>
  <c r="H427" i="50"/>
  <c r="H428" i="50"/>
  <c r="H429" i="50"/>
  <c r="H430" i="50"/>
  <c r="H431" i="50"/>
  <c r="H432" i="50"/>
  <c r="H433" i="50"/>
  <c r="H434" i="50"/>
  <c r="H435" i="50"/>
  <c r="H436" i="50"/>
  <c r="H437" i="50"/>
  <c r="H438" i="50"/>
  <c r="H439" i="50"/>
  <c r="H440" i="50"/>
  <c r="H441" i="50"/>
  <c r="H442" i="50"/>
  <c r="H443" i="50"/>
  <c r="H444" i="50"/>
  <c r="H445" i="50"/>
  <c r="H446" i="50"/>
  <c r="H447" i="50"/>
  <c r="H448" i="50"/>
  <c r="H449" i="50"/>
  <c r="H450" i="50"/>
  <c r="H451" i="50"/>
  <c r="H452" i="50"/>
  <c r="H453" i="50"/>
  <c r="H454" i="50"/>
  <c r="H455" i="50"/>
  <c r="H456" i="50"/>
  <c r="H457" i="50"/>
  <c r="H458" i="50"/>
  <c r="H459" i="50"/>
  <c r="H460" i="50"/>
  <c r="H461" i="50"/>
  <c r="H462" i="50"/>
  <c r="H463" i="50"/>
  <c r="H464" i="50"/>
  <c r="H465" i="50"/>
  <c r="H466" i="50"/>
  <c r="H467" i="50"/>
  <c r="H468" i="50"/>
  <c r="H469" i="50"/>
  <c r="H470" i="50"/>
  <c r="H471" i="50"/>
  <c r="H472" i="50"/>
  <c r="H473" i="50"/>
  <c r="H474" i="50"/>
  <c r="H475" i="50"/>
  <c r="H476" i="50"/>
  <c r="H477" i="50"/>
  <c r="H478" i="50"/>
  <c r="H479" i="50"/>
  <c r="H480" i="50"/>
  <c r="H481" i="50"/>
  <c r="H482" i="50"/>
  <c r="H483" i="50"/>
  <c r="H484" i="50"/>
  <c r="H485" i="50"/>
  <c r="H486" i="50"/>
  <c r="H487" i="50"/>
  <c r="H488" i="50"/>
  <c r="H489" i="50"/>
  <c r="H490" i="50"/>
  <c r="H491" i="50"/>
  <c r="H492" i="50"/>
  <c r="H493" i="50"/>
  <c r="H494" i="50"/>
  <c r="H495" i="50"/>
  <c r="H496" i="50"/>
  <c r="H497" i="50"/>
  <c r="H498" i="50"/>
  <c r="H499" i="50"/>
  <c r="H500" i="50"/>
  <c r="H501" i="50"/>
  <c r="H502" i="50"/>
  <c r="H503" i="50"/>
  <c r="H504" i="50"/>
  <c r="H505" i="50"/>
  <c r="H506" i="50"/>
  <c r="H507" i="50"/>
  <c r="H508" i="50"/>
  <c r="H509" i="50"/>
  <c r="H510" i="50"/>
  <c r="H511" i="50"/>
  <c r="H512" i="50"/>
  <c r="H513" i="50"/>
  <c r="H514" i="50"/>
  <c r="H515" i="50"/>
  <c r="H516" i="50"/>
  <c r="H517" i="50"/>
  <c r="H518" i="50"/>
  <c r="H519" i="50"/>
  <c r="H520" i="50"/>
  <c r="H521" i="50"/>
  <c r="H522" i="50"/>
  <c r="H523" i="50"/>
  <c r="H524" i="50"/>
  <c r="H525" i="50"/>
  <c r="H526" i="50"/>
  <c r="H527" i="50"/>
  <c r="H528" i="50"/>
  <c r="H529" i="50"/>
  <c r="H530" i="50"/>
  <c r="H531" i="50"/>
  <c r="H532" i="50"/>
  <c r="H533" i="50"/>
  <c r="H534" i="50"/>
  <c r="H535" i="50"/>
  <c r="H536" i="50"/>
  <c r="H537" i="50"/>
  <c r="H538" i="50"/>
  <c r="H539" i="50"/>
  <c r="H540" i="50"/>
  <c r="H541" i="50"/>
  <c r="H542" i="50"/>
  <c r="H543" i="50"/>
  <c r="H544" i="50"/>
  <c r="H545" i="50"/>
  <c r="H546" i="50"/>
  <c r="H547" i="50"/>
  <c r="H548" i="50"/>
  <c r="H549" i="50"/>
  <c r="H550" i="50"/>
  <c r="H551" i="50"/>
  <c r="H552" i="50"/>
  <c r="H553" i="50"/>
  <c r="H554" i="50"/>
  <c r="H555" i="50"/>
  <c r="H556" i="50"/>
  <c r="H557" i="50"/>
  <c r="H558" i="50"/>
  <c r="H559" i="50"/>
  <c r="H560" i="50"/>
  <c r="H561" i="50"/>
  <c r="H562" i="50"/>
  <c r="H563" i="50"/>
  <c r="H564" i="50"/>
  <c r="H565" i="50"/>
  <c r="H566" i="50"/>
  <c r="H567" i="50"/>
  <c r="H568" i="50"/>
  <c r="H569" i="50"/>
  <c r="H570" i="50"/>
  <c r="H571" i="50"/>
  <c r="H572" i="50"/>
  <c r="H573" i="50"/>
  <c r="H574" i="50"/>
  <c r="H575" i="50"/>
  <c r="H576" i="50"/>
  <c r="H577" i="50"/>
  <c r="H578" i="50"/>
  <c r="H579" i="50"/>
  <c r="H580" i="50"/>
  <c r="H581" i="50"/>
  <c r="H582" i="50"/>
  <c r="H583" i="50"/>
  <c r="H584" i="50"/>
  <c r="H585" i="50"/>
  <c r="H586" i="50"/>
  <c r="H587" i="50"/>
  <c r="H588" i="50"/>
  <c r="H589" i="50"/>
  <c r="H590" i="50"/>
  <c r="H591" i="50"/>
  <c r="H592" i="50"/>
  <c r="H593" i="50"/>
  <c r="H594" i="50"/>
  <c r="H595" i="50"/>
  <c r="H596" i="50"/>
  <c r="H597" i="50"/>
  <c r="H598" i="50"/>
  <c r="H599" i="50"/>
  <c r="H600" i="50"/>
  <c r="H601" i="50"/>
  <c r="H602" i="50"/>
  <c r="H603" i="50"/>
  <c r="H604" i="50"/>
  <c r="H605" i="50"/>
  <c r="H606" i="50"/>
  <c r="H607" i="50"/>
  <c r="H608" i="50"/>
  <c r="H609" i="50"/>
  <c r="H610" i="50"/>
  <c r="H611" i="50"/>
  <c r="H612" i="50"/>
  <c r="H613" i="50"/>
  <c r="H614" i="50"/>
  <c r="H615" i="50"/>
  <c r="H616" i="50"/>
  <c r="H617" i="50"/>
  <c r="H618" i="50"/>
  <c r="H619" i="50"/>
  <c r="H620" i="50"/>
  <c r="H621" i="50"/>
  <c r="H622" i="50"/>
  <c r="H623" i="50"/>
  <c r="H624" i="50"/>
  <c r="H625" i="50"/>
  <c r="H626" i="50"/>
  <c r="H627" i="50"/>
  <c r="H628" i="50"/>
  <c r="H629" i="50"/>
  <c r="H630" i="50"/>
  <c r="H631" i="50"/>
  <c r="H632" i="50"/>
  <c r="H633" i="50"/>
  <c r="H634" i="50"/>
  <c r="H635" i="50"/>
  <c r="H636" i="50"/>
  <c r="H637" i="50"/>
  <c r="H638" i="50"/>
  <c r="H639" i="50"/>
  <c r="H640" i="50"/>
  <c r="H641" i="50"/>
  <c r="H642" i="50"/>
  <c r="H643" i="50"/>
  <c r="H644" i="50"/>
  <c r="H645" i="50"/>
  <c r="H646" i="50"/>
  <c r="H647" i="50"/>
  <c r="H648" i="50"/>
  <c r="H649" i="50"/>
  <c r="H650" i="50"/>
  <c r="H651" i="50"/>
  <c r="H652" i="50"/>
  <c r="H653" i="50"/>
  <c r="H654" i="50"/>
  <c r="H655" i="50"/>
  <c r="H656" i="50"/>
  <c r="H657" i="50"/>
  <c r="H658" i="50"/>
  <c r="H659" i="50"/>
  <c r="H660" i="50"/>
  <c r="H661" i="50"/>
  <c r="H662" i="50"/>
  <c r="H663" i="50"/>
  <c r="H664" i="50"/>
  <c r="H665" i="50"/>
  <c r="H666" i="50"/>
  <c r="H667" i="50"/>
  <c r="H668" i="50"/>
  <c r="H669" i="50"/>
  <c r="H670" i="50"/>
  <c r="H671" i="50"/>
  <c r="H672" i="50"/>
  <c r="H673" i="50"/>
  <c r="H674" i="50"/>
  <c r="H675" i="50"/>
  <c r="H676" i="50"/>
  <c r="H677" i="50"/>
  <c r="H678" i="50"/>
  <c r="H679" i="50"/>
  <c r="H680" i="50"/>
  <c r="H681" i="50"/>
  <c r="H682" i="50"/>
  <c r="H683" i="50"/>
  <c r="H684" i="50"/>
  <c r="H685" i="50"/>
  <c r="H686" i="50"/>
  <c r="H687" i="50"/>
  <c r="H688" i="50"/>
  <c r="H689" i="50"/>
  <c r="H690" i="50"/>
  <c r="H691" i="50"/>
  <c r="H692" i="50"/>
  <c r="H693" i="50"/>
  <c r="H694" i="50"/>
  <c r="H695" i="50"/>
  <c r="H696" i="50"/>
  <c r="H697" i="50"/>
  <c r="H698" i="50"/>
  <c r="H699" i="50"/>
  <c r="H700" i="50"/>
  <c r="H701" i="50"/>
  <c r="H702" i="50"/>
  <c r="H703" i="50"/>
  <c r="H704" i="50"/>
  <c r="H705" i="50"/>
  <c r="H706" i="50"/>
  <c r="H707" i="50"/>
  <c r="H708" i="50"/>
  <c r="H709" i="50"/>
  <c r="H710" i="50"/>
  <c r="H711" i="50"/>
  <c r="H712" i="50"/>
  <c r="H713" i="50"/>
  <c r="H714" i="50"/>
  <c r="H715" i="50"/>
  <c r="H716" i="50"/>
  <c r="H717" i="50"/>
  <c r="H718" i="50"/>
  <c r="H719" i="50"/>
  <c r="H720" i="50"/>
  <c r="H721" i="50"/>
  <c r="H722" i="50"/>
  <c r="H723" i="50"/>
  <c r="H724" i="50"/>
  <c r="H725" i="50"/>
  <c r="H726" i="50"/>
  <c r="H727" i="50"/>
  <c r="H728" i="50"/>
  <c r="H729" i="50"/>
  <c r="H730" i="50"/>
  <c r="H731" i="50"/>
  <c r="H732" i="50"/>
  <c r="H733" i="50"/>
  <c r="H734" i="50"/>
  <c r="H735" i="50"/>
  <c r="H736" i="50"/>
  <c r="H737" i="50"/>
  <c r="H738" i="50"/>
  <c r="H739" i="50"/>
  <c r="H740" i="50"/>
  <c r="H741" i="50"/>
  <c r="H742" i="50"/>
  <c r="H743" i="50"/>
  <c r="H744" i="50"/>
  <c r="H745" i="50"/>
  <c r="H746" i="50"/>
  <c r="H747" i="50"/>
  <c r="H748" i="50"/>
  <c r="H749" i="50"/>
  <c r="H750" i="50"/>
  <c r="H751" i="50"/>
  <c r="H752" i="50"/>
  <c r="H753" i="50"/>
  <c r="H754" i="50"/>
  <c r="H755" i="50"/>
  <c r="H756" i="50"/>
  <c r="H757" i="50"/>
  <c r="H758" i="50"/>
  <c r="H759" i="50"/>
  <c r="H760" i="50"/>
  <c r="H761" i="50"/>
  <c r="H762" i="50"/>
  <c r="H763" i="50"/>
  <c r="H764" i="50"/>
  <c r="H765" i="50"/>
  <c r="H766" i="50"/>
  <c r="H767" i="50"/>
  <c r="H768" i="50"/>
  <c r="H769" i="50"/>
  <c r="H770" i="50"/>
  <c r="H771" i="50"/>
  <c r="H772" i="50"/>
  <c r="H773" i="50"/>
  <c r="H774" i="50"/>
  <c r="H775" i="50"/>
  <c r="H776" i="50"/>
  <c r="H777" i="50"/>
  <c r="H778" i="50"/>
  <c r="H779" i="50"/>
  <c r="H780" i="50"/>
  <c r="H781" i="50"/>
  <c r="H782" i="50"/>
  <c r="H783" i="50"/>
  <c r="H784" i="50"/>
  <c r="H785" i="50"/>
  <c r="H786" i="50"/>
  <c r="H787" i="50"/>
  <c r="H788" i="50"/>
  <c r="H789" i="50"/>
  <c r="H790" i="50"/>
  <c r="H791" i="50"/>
  <c r="H792" i="50"/>
  <c r="H793" i="50"/>
  <c r="H794" i="50"/>
  <c r="H795" i="50"/>
  <c r="H796" i="50"/>
  <c r="H797" i="50"/>
  <c r="H798" i="50"/>
  <c r="H799" i="50"/>
  <c r="H800" i="50"/>
  <c r="H801" i="50"/>
  <c r="H802" i="50"/>
  <c r="H803" i="50"/>
  <c r="H804" i="50"/>
  <c r="H805" i="50"/>
  <c r="H806" i="50"/>
  <c r="H807" i="50"/>
  <c r="H808" i="50"/>
  <c r="H809" i="50"/>
  <c r="H810" i="50"/>
  <c r="H811" i="50"/>
  <c r="H812" i="50"/>
  <c r="H813" i="50"/>
  <c r="H814" i="50"/>
  <c r="H815" i="50"/>
  <c r="H816" i="50"/>
  <c r="H817" i="50"/>
  <c r="H818" i="50"/>
  <c r="H819" i="50"/>
  <c r="H820" i="50"/>
  <c r="H821" i="50"/>
  <c r="H822" i="50"/>
  <c r="H823" i="50"/>
  <c r="H824" i="50"/>
  <c r="H825" i="50"/>
  <c r="H826" i="50"/>
  <c r="H827" i="50"/>
  <c r="H828" i="50"/>
  <c r="H829" i="50"/>
  <c r="H830" i="50"/>
  <c r="H831" i="50"/>
  <c r="H832" i="50"/>
  <c r="H833" i="50"/>
  <c r="H834" i="50"/>
  <c r="H835" i="50"/>
  <c r="H836" i="50"/>
  <c r="H837" i="50"/>
  <c r="H838" i="50"/>
  <c r="H839" i="50"/>
  <c r="H840" i="50"/>
  <c r="H841" i="50"/>
  <c r="H842" i="50"/>
  <c r="H843" i="50"/>
  <c r="H844" i="50"/>
  <c r="H845" i="50"/>
  <c r="H846" i="50"/>
  <c r="H847" i="50"/>
  <c r="H848" i="50"/>
  <c r="H849" i="50"/>
  <c r="H850" i="50"/>
  <c r="H851" i="50"/>
  <c r="H852" i="50"/>
  <c r="H853" i="50"/>
  <c r="H854" i="50"/>
  <c r="H855" i="50"/>
  <c r="H856" i="50"/>
  <c r="H857" i="50"/>
  <c r="H858" i="50"/>
  <c r="H859" i="50"/>
  <c r="H860" i="50"/>
  <c r="H861" i="50"/>
  <c r="H862" i="50"/>
  <c r="H863" i="50"/>
  <c r="H864" i="50"/>
  <c r="H865" i="50"/>
  <c r="H866" i="50"/>
  <c r="H867" i="50"/>
  <c r="H868" i="50"/>
  <c r="H869" i="50"/>
  <c r="H870" i="50"/>
  <c r="H871" i="50"/>
  <c r="H872" i="50"/>
  <c r="H873" i="50"/>
  <c r="H874" i="50"/>
  <c r="H875" i="50"/>
  <c r="H876" i="50"/>
  <c r="H877" i="50"/>
  <c r="H878" i="50"/>
  <c r="H879" i="50"/>
  <c r="H880" i="50"/>
  <c r="H881" i="50"/>
  <c r="H882" i="50"/>
  <c r="H883" i="50"/>
  <c r="H884" i="50"/>
  <c r="H885" i="50"/>
  <c r="H886" i="50"/>
  <c r="H887" i="50"/>
  <c r="H888" i="50"/>
  <c r="H889" i="50"/>
  <c r="H890" i="50"/>
  <c r="H891" i="50"/>
  <c r="H892" i="50"/>
  <c r="H893" i="50"/>
  <c r="H894" i="50"/>
  <c r="H895" i="50"/>
  <c r="H896" i="50"/>
  <c r="H897" i="50"/>
  <c r="H898" i="50"/>
  <c r="H899" i="50"/>
  <c r="H900" i="50"/>
  <c r="H901" i="50"/>
  <c r="H902" i="50"/>
  <c r="H903" i="50"/>
  <c r="H904" i="50"/>
  <c r="H905" i="50"/>
  <c r="H906" i="50"/>
  <c r="H907" i="50"/>
  <c r="H908" i="50"/>
  <c r="H909" i="50"/>
  <c r="H910" i="50"/>
  <c r="H911" i="50"/>
  <c r="H912" i="50"/>
  <c r="H913" i="50"/>
  <c r="H914" i="50"/>
  <c r="H915" i="50"/>
  <c r="H916" i="50"/>
  <c r="H917" i="50"/>
  <c r="H918" i="50"/>
  <c r="H919" i="50"/>
  <c r="H920" i="50"/>
  <c r="H921" i="50"/>
  <c r="H922" i="50"/>
  <c r="H923" i="50"/>
  <c r="H924" i="50"/>
  <c r="H925" i="50"/>
  <c r="H926" i="50"/>
  <c r="H927" i="50"/>
  <c r="H928" i="50"/>
  <c r="H929" i="50"/>
  <c r="H930" i="50"/>
  <c r="H931" i="50"/>
  <c r="H932" i="50"/>
  <c r="H933" i="50"/>
  <c r="H934" i="50"/>
  <c r="H935" i="50"/>
  <c r="H936" i="50"/>
  <c r="H937" i="50"/>
  <c r="H938" i="50"/>
  <c r="H939" i="50"/>
  <c r="H940" i="50"/>
  <c r="H941" i="50"/>
  <c r="H942" i="50"/>
  <c r="H943" i="50"/>
  <c r="H944" i="50"/>
  <c r="H945" i="50"/>
  <c r="H946" i="50"/>
  <c r="H947" i="50"/>
  <c r="H948" i="50"/>
  <c r="H949" i="50"/>
  <c r="H950" i="50"/>
  <c r="H951" i="50"/>
  <c r="H952" i="50"/>
  <c r="H953" i="50"/>
  <c r="H954" i="50"/>
  <c r="H955" i="50"/>
  <c r="H956" i="50"/>
  <c r="H957" i="50"/>
  <c r="H958" i="50"/>
  <c r="H959" i="50"/>
  <c r="H960" i="50"/>
  <c r="H961" i="50"/>
  <c r="H962" i="50"/>
  <c r="H963" i="50"/>
  <c r="H964" i="50"/>
  <c r="H965" i="50"/>
  <c r="H966" i="50"/>
  <c r="H967" i="50"/>
  <c r="H968" i="50"/>
  <c r="H969" i="50"/>
  <c r="H970" i="50"/>
  <c r="H971" i="50"/>
  <c r="H972" i="50"/>
  <c r="H973" i="50"/>
  <c r="H974" i="50"/>
  <c r="H975" i="50"/>
  <c r="H976" i="50"/>
  <c r="H977" i="50"/>
  <c r="H978" i="50"/>
  <c r="H979" i="50"/>
  <c r="H980" i="50"/>
  <c r="H981" i="50"/>
  <c r="H982" i="50"/>
  <c r="H983" i="50"/>
  <c r="H984" i="50"/>
  <c r="H985" i="50"/>
  <c r="H986" i="50"/>
  <c r="H987" i="50"/>
  <c r="H988" i="50"/>
  <c r="H989" i="50"/>
  <c r="H990" i="50"/>
  <c r="H991" i="50"/>
  <c r="H992" i="50"/>
  <c r="H993" i="50"/>
  <c r="H994" i="50"/>
  <c r="H995" i="50"/>
  <c r="H996" i="50"/>
  <c r="H997" i="50"/>
  <c r="H998" i="50"/>
  <c r="H999" i="50"/>
  <c r="H1000" i="50"/>
  <c r="H1001" i="50"/>
  <c r="H1002" i="50"/>
  <c r="H1003" i="50"/>
  <c r="H1004" i="50"/>
  <c r="H1005" i="50"/>
  <c r="H1006" i="50"/>
  <c r="H1007" i="50"/>
  <c r="H1008" i="50"/>
  <c r="H1009" i="50"/>
  <c r="H1010" i="50"/>
  <c r="H1011" i="50"/>
  <c r="H1012" i="50"/>
  <c r="H1013" i="50"/>
  <c r="H1014" i="50"/>
  <c r="H1015" i="50"/>
  <c r="H1016" i="50"/>
  <c r="H1017" i="50"/>
  <c r="H1018" i="50"/>
  <c r="H1019" i="50"/>
  <c r="H1020" i="50"/>
  <c r="H1021" i="50"/>
  <c r="H1022" i="50"/>
  <c r="H1023" i="50"/>
  <c r="H1024" i="50"/>
  <c r="H1025" i="50"/>
  <c r="H1026" i="50"/>
  <c r="H1027" i="50"/>
  <c r="H1028" i="50"/>
  <c r="H1029" i="50"/>
  <c r="H1030" i="50"/>
  <c r="H1031" i="50"/>
  <c r="H1032" i="50"/>
  <c r="H1033" i="50"/>
  <c r="H1034" i="50"/>
  <c r="H1035" i="50"/>
  <c r="H1036" i="50"/>
  <c r="H1037" i="50"/>
  <c r="H1038" i="50"/>
  <c r="H1039" i="50"/>
  <c r="H1040" i="50"/>
  <c r="H1041" i="50"/>
  <c r="H1042" i="50"/>
  <c r="H1043" i="50"/>
  <c r="H1044" i="50"/>
  <c r="H1045" i="50"/>
  <c r="H1046" i="50"/>
  <c r="H1047" i="50"/>
  <c r="H1048" i="50"/>
  <c r="H1049" i="50"/>
  <c r="H1050" i="50"/>
  <c r="H1051" i="50"/>
  <c r="H1052" i="50"/>
  <c r="H1053" i="50"/>
  <c r="H1054" i="50"/>
  <c r="H1055" i="50"/>
  <c r="H1056" i="50"/>
  <c r="H1057" i="50"/>
  <c r="H1058" i="50"/>
  <c r="H1059" i="50"/>
  <c r="H1060" i="50"/>
  <c r="H1061" i="50"/>
  <c r="H1062" i="50"/>
  <c r="H1063" i="50"/>
  <c r="H1064" i="50"/>
  <c r="H1065" i="50"/>
  <c r="H1066" i="50"/>
  <c r="H1067" i="50"/>
  <c r="H1068" i="50"/>
  <c r="H1069" i="50"/>
  <c r="H1070" i="50"/>
  <c r="H1071" i="50"/>
  <c r="H1072" i="50"/>
  <c r="H1073" i="50"/>
  <c r="H1074" i="50"/>
  <c r="H1075" i="50"/>
  <c r="H1076" i="50"/>
  <c r="H1077" i="50"/>
  <c r="H1078" i="50"/>
  <c r="H1079" i="50"/>
  <c r="H1080" i="50"/>
  <c r="H1081" i="50"/>
  <c r="H1082" i="50"/>
  <c r="H1083" i="50"/>
  <c r="H1084" i="50"/>
  <c r="H1085" i="50"/>
  <c r="H1086" i="50"/>
  <c r="H1087" i="50"/>
  <c r="H1088" i="50"/>
  <c r="H1089" i="50"/>
  <c r="H1090" i="50"/>
  <c r="H1091" i="50"/>
  <c r="H1092" i="50"/>
  <c r="H1093" i="50"/>
  <c r="H1094" i="50"/>
  <c r="H1095" i="50"/>
  <c r="H1096" i="50"/>
  <c r="H1097" i="50"/>
  <c r="H1098" i="50"/>
  <c r="H1099" i="50"/>
  <c r="H1100" i="50"/>
  <c r="H1101" i="50"/>
  <c r="H1102" i="50"/>
  <c r="H1103" i="50"/>
  <c r="H1104" i="50"/>
  <c r="H1105" i="50"/>
  <c r="H1106" i="50"/>
  <c r="H1107" i="50"/>
  <c r="H1108" i="50"/>
  <c r="H1109" i="50"/>
  <c r="H1110" i="50"/>
  <c r="H1111" i="50"/>
  <c r="H1112" i="50"/>
  <c r="H1113" i="50"/>
  <c r="H1114" i="50"/>
  <c r="H1115" i="50"/>
  <c r="H1116" i="50"/>
  <c r="H1117" i="50"/>
  <c r="H1118" i="50"/>
  <c r="H1119" i="50"/>
  <c r="H1120" i="50"/>
  <c r="H1121" i="50"/>
  <c r="H1122" i="50"/>
  <c r="H1123" i="50"/>
  <c r="H1124" i="50"/>
  <c r="H1125" i="50"/>
  <c r="H1126" i="50"/>
  <c r="H1127" i="50"/>
  <c r="H1128" i="50"/>
  <c r="H1129" i="50"/>
  <c r="H1130" i="50"/>
  <c r="H1131" i="50"/>
  <c r="H1132" i="50"/>
  <c r="H1133" i="50"/>
  <c r="H1134" i="50"/>
  <c r="H1135" i="50"/>
  <c r="H1136" i="50"/>
  <c r="H1137" i="50"/>
  <c r="H1138" i="50"/>
  <c r="H1139" i="50"/>
  <c r="H1140" i="50"/>
  <c r="H1141" i="50"/>
  <c r="H1142" i="50"/>
  <c r="H1143" i="50"/>
  <c r="H1144" i="50"/>
  <c r="H1145" i="50"/>
  <c r="H1146" i="50"/>
  <c r="H1147" i="50"/>
  <c r="H1148" i="50"/>
  <c r="H1149" i="50"/>
  <c r="H1150" i="50"/>
  <c r="H1151" i="50"/>
  <c r="H1152" i="50"/>
  <c r="H1153" i="50"/>
  <c r="H1154" i="50"/>
  <c r="H1155" i="50"/>
  <c r="H1156" i="50"/>
  <c r="H1157" i="50"/>
  <c r="H1158" i="50"/>
  <c r="H1159" i="50"/>
  <c r="H1160" i="50"/>
  <c r="H1161" i="50"/>
  <c r="H1162" i="50"/>
  <c r="H1163" i="50"/>
  <c r="H1164" i="50"/>
  <c r="H1165" i="50"/>
  <c r="H1166" i="50"/>
  <c r="H1167" i="50"/>
  <c r="H1168" i="50"/>
  <c r="H1169" i="50"/>
  <c r="H1170" i="50"/>
  <c r="H1171" i="50"/>
  <c r="H1172" i="50"/>
  <c r="H1173" i="50"/>
  <c r="H1174" i="50"/>
  <c r="H1175" i="50"/>
  <c r="H1176" i="50"/>
  <c r="H1177" i="50"/>
  <c r="H1178" i="50"/>
  <c r="H1179" i="50"/>
  <c r="H1180" i="50"/>
  <c r="H1181" i="50"/>
  <c r="H1182" i="50"/>
  <c r="H1183" i="50"/>
  <c r="H1184" i="50"/>
  <c r="H1185" i="50"/>
  <c r="H1186" i="50"/>
  <c r="H1187" i="50"/>
  <c r="H1188" i="50"/>
  <c r="H1189" i="50"/>
  <c r="H1190" i="50"/>
  <c r="H1191" i="50"/>
  <c r="H1192" i="50"/>
  <c r="H1193" i="50"/>
  <c r="H1194" i="50"/>
  <c r="H1195" i="50"/>
  <c r="H1196" i="50"/>
  <c r="H1197" i="50"/>
  <c r="H1198" i="50"/>
  <c r="H1199" i="50"/>
  <c r="H1200" i="50"/>
  <c r="H1201" i="50"/>
  <c r="H1202" i="50"/>
  <c r="H1203" i="50"/>
  <c r="H1204" i="50"/>
  <c r="H1205" i="50"/>
  <c r="H1206" i="50"/>
  <c r="H1207" i="50"/>
  <c r="H1208" i="50"/>
  <c r="H1209" i="50"/>
  <c r="H1210" i="50"/>
  <c r="H1211" i="50"/>
  <c r="H1212" i="50"/>
  <c r="H1213" i="50"/>
  <c r="H1214" i="50"/>
  <c r="H1215" i="50"/>
  <c r="H1216" i="50"/>
  <c r="H1217" i="50"/>
  <c r="H1218" i="50"/>
  <c r="H1219" i="50"/>
  <c r="H1220" i="50"/>
  <c r="H1221" i="50"/>
  <c r="H1222" i="50"/>
  <c r="H1223" i="50"/>
  <c r="H1224" i="50"/>
  <c r="H1225" i="50"/>
  <c r="H1226" i="50"/>
  <c r="H1227" i="50"/>
  <c r="H1228" i="50"/>
  <c r="H1229" i="50"/>
  <c r="H1230" i="50"/>
  <c r="H1231" i="50"/>
  <c r="H1232" i="50"/>
  <c r="H1233" i="50"/>
  <c r="H1234" i="50"/>
  <c r="H1235" i="50"/>
  <c r="H1236" i="50"/>
  <c r="H1237" i="50"/>
  <c r="H1238" i="50"/>
  <c r="H1239" i="50"/>
  <c r="H1240" i="50"/>
  <c r="H1241" i="50"/>
  <c r="H1242" i="50"/>
  <c r="H1243" i="50"/>
  <c r="H1244" i="50"/>
  <c r="H1245" i="50"/>
  <c r="H1246" i="50"/>
  <c r="H1247" i="50"/>
  <c r="H1248" i="50"/>
  <c r="H1249" i="50"/>
  <c r="H1250" i="50"/>
  <c r="H1251" i="50"/>
  <c r="H1252" i="50"/>
  <c r="H1253" i="50"/>
  <c r="H1254" i="50"/>
  <c r="H1255" i="50"/>
  <c r="H1256" i="50"/>
  <c r="H1257" i="50"/>
  <c r="H1258" i="50"/>
  <c r="H1259" i="50"/>
  <c r="H1260" i="50"/>
  <c r="H1261" i="50"/>
  <c r="H1262" i="50"/>
  <c r="H1263" i="50"/>
  <c r="H1264" i="50"/>
  <c r="H1265" i="50"/>
  <c r="H1266" i="50"/>
  <c r="H1267" i="50"/>
  <c r="H1268" i="50"/>
  <c r="H1269" i="50"/>
  <c r="H1270" i="50"/>
  <c r="H1271" i="50"/>
  <c r="H1272" i="50"/>
  <c r="H1273" i="50"/>
  <c r="H1274" i="50"/>
  <c r="H1275" i="50"/>
  <c r="H1276" i="50"/>
  <c r="H1277" i="50"/>
  <c r="H1278" i="50"/>
  <c r="H1279" i="50"/>
  <c r="H1280" i="50"/>
  <c r="H1281" i="50"/>
  <c r="H1282" i="50"/>
  <c r="H1283" i="50"/>
  <c r="H1284" i="50"/>
  <c r="H1285" i="50"/>
  <c r="H1286" i="50"/>
  <c r="H1287" i="50"/>
  <c r="H1288" i="50"/>
  <c r="H1289" i="50"/>
  <c r="H1290" i="50"/>
  <c r="H1291" i="50"/>
  <c r="H1292" i="50"/>
  <c r="H1293" i="50"/>
  <c r="H1294" i="50"/>
  <c r="H1295" i="50"/>
  <c r="H1296" i="50"/>
  <c r="H1297" i="50"/>
  <c r="H1298" i="50"/>
  <c r="H1299" i="50"/>
  <c r="H1300" i="50"/>
  <c r="H1301" i="50"/>
  <c r="H1302" i="50"/>
  <c r="H1303" i="50"/>
  <c r="H1304" i="50"/>
  <c r="H1305" i="50"/>
  <c r="H1306" i="50"/>
  <c r="H1307" i="50"/>
  <c r="H1308" i="50"/>
  <c r="H1309" i="50"/>
  <c r="H1310" i="50"/>
  <c r="H1311" i="50"/>
  <c r="H1312" i="50"/>
  <c r="H1313" i="50"/>
  <c r="H1314" i="50"/>
  <c r="H1315" i="50"/>
  <c r="H1316" i="50"/>
  <c r="H1317" i="50"/>
  <c r="H1318" i="50"/>
  <c r="H1319" i="50"/>
  <c r="H1320" i="50"/>
  <c r="H1321" i="50"/>
  <c r="H1322" i="50"/>
  <c r="H1323" i="50"/>
  <c r="H1324" i="50"/>
  <c r="H1325" i="50"/>
  <c r="H1326" i="50"/>
  <c r="H1327" i="50"/>
  <c r="H1328" i="50"/>
  <c r="H1329" i="50"/>
  <c r="H1330" i="50"/>
  <c r="H1331" i="50"/>
  <c r="H1332" i="50"/>
  <c r="H1333" i="50"/>
  <c r="H1334" i="50"/>
  <c r="H1335" i="50"/>
  <c r="H1336" i="50"/>
  <c r="H1337" i="50"/>
  <c r="H1338" i="50"/>
  <c r="H1339" i="50"/>
  <c r="H1340" i="50"/>
  <c r="H1341" i="50"/>
  <c r="H1342" i="50"/>
  <c r="H1343" i="50"/>
  <c r="H1344" i="50"/>
  <c r="H1345" i="50"/>
  <c r="H1346" i="50"/>
  <c r="H1347" i="50"/>
  <c r="H1348" i="50"/>
  <c r="H1349" i="50"/>
  <c r="H1350" i="50"/>
  <c r="H1351" i="50"/>
  <c r="H1352" i="50"/>
  <c r="H1353" i="50"/>
  <c r="H1354" i="50"/>
  <c r="H1355" i="50"/>
  <c r="H1356" i="50"/>
  <c r="H1357" i="50"/>
  <c r="H1358" i="50"/>
  <c r="H1359" i="50"/>
  <c r="H1360" i="50"/>
  <c r="H1361" i="50"/>
  <c r="H1362" i="50"/>
  <c r="H1363" i="50"/>
  <c r="H1364" i="50"/>
  <c r="H1365" i="50"/>
  <c r="H1366" i="50"/>
  <c r="H1367" i="50"/>
  <c r="H1368" i="50"/>
  <c r="H1369" i="50"/>
  <c r="H1370" i="50"/>
  <c r="H1371" i="50"/>
  <c r="H1372" i="50"/>
  <c r="H1373" i="50"/>
  <c r="H1374" i="50"/>
  <c r="H1375" i="50"/>
  <c r="H1376" i="50"/>
  <c r="H1377" i="50"/>
  <c r="H1378" i="50"/>
  <c r="H1379" i="50"/>
  <c r="H1380" i="50"/>
  <c r="H1381" i="50"/>
  <c r="H1382" i="50"/>
  <c r="H1383" i="50"/>
  <c r="H1384" i="50"/>
  <c r="H1385" i="50"/>
  <c r="H1386" i="50"/>
  <c r="H1387" i="50"/>
  <c r="H1388" i="50"/>
  <c r="H1389" i="50"/>
  <c r="H1390" i="50"/>
  <c r="H1391" i="50"/>
  <c r="H1392" i="50"/>
  <c r="H1393" i="50"/>
  <c r="H1394" i="50"/>
  <c r="H1395" i="50"/>
  <c r="H1396" i="50"/>
  <c r="H1397" i="50"/>
  <c r="H1398" i="50"/>
  <c r="H1399" i="50"/>
  <c r="H1400" i="50"/>
  <c r="H1401" i="50"/>
  <c r="H1402" i="50"/>
  <c r="H1403" i="50"/>
  <c r="H1404" i="50"/>
  <c r="H1405" i="50"/>
  <c r="H1406" i="50"/>
  <c r="H1407" i="50"/>
  <c r="H1408" i="50"/>
  <c r="H1409" i="50"/>
  <c r="H1410" i="50"/>
  <c r="H1411" i="50"/>
  <c r="H1412" i="50"/>
  <c r="H1413" i="50"/>
  <c r="H1414" i="50"/>
  <c r="H1415" i="50"/>
  <c r="H1416" i="50"/>
  <c r="H1417" i="50"/>
  <c r="H1418" i="50"/>
  <c r="H1419" i="50"/>
  <c r="H1420" i="50"/>
  <c r="H1421" i="50"/>
  <c r="H1422" i="50"/>
  <c r="H1423" i="50"/>
  <c r="H1424" i="50"/>
  <c r="H1425" i="50"/>
  <c r="H1426" i="50"/>
  <c r="H1427" i="50"/>
  <c r="H1428" i="50"/>
  <c r="H1429" i="50"/>
  <c r="H1430" i="50"/>
  <c r="H1431" i="50"/>
  <c r="H1432" i="50"/>
  <c r="H1433" i="50"/>
  <c r="H1434" i="50"/>
  <c r="H1435" i="50"/>
  <c r="H1436" i="50"/>
  <c r="H1437" i="50"/>
  <c r="H1438" i="50"/>
  <c r="H1439" i="50"/>
  <c r="H1440" i="50"/>
  <c r="H1441" i="50"/>
  <c r="H1442" i="50"/>
  <c r="H1443" i="50"/>
  <c r="H1444" i="50"/>
  <c r="H1445" i="50"/>
  <c r="H1446" i="50"/>
  <c r="H1447" i="50"/>
  <c r="H1448" i="50"/>
  <c r="H1449" i="50"/>
  <c r="H1450" i="50"/>
  <c r="H1451" i="50"/>
  <c r="H1452" i="50"/>
  <c r="H1453" i="50"/>
  <c r="H1454" i="50"/>
  <c r="H1455" i="50"/>
  <c r="H1456" i="50"/>
  <c r="H1457" i="50"/>
  <c r="H1458" i="50"/>
  <c r="H1459" i="50"/>
  <c r="H1460" i="50"/>
  <c r="H1461" i="50"/>
  <c r="H1462" i="50"/>
  <c r="H1463" i="50"/>
  <c r="H1464" i="50"/>
  <c r="H1465" i="50"/>
  <c r="H1466" i="50"/>
  <c r="H1467" i="50"/>
  <c r="H1468" i="50"/>
  <c r="H1469" i="50"/>
  <c r="H1470" i="50"/>
  <c r="H1471" i="50"/>
  <c r="H1472" i="50"/>
  <c r="H1473" i="50"/>
  <c r="H1474" i="50"/>
  <c r="H1475" i="50"/>
  <c r="H1476" i="50"/>
  <c r="H1477" i="50"/>
  <c r="H1478" i="50"/>
  <c r="H1479" i="50"/>
  <c r="H1480" i="50"/>
  <c r="H1481" i="50"/>
  <c r="H1482" i="50"/>
  <c r="H1483" i="50"/>
  <c r="H1484" i="50"/>
  <c r="H1485" i="50"/>
  <c r="H1486" i="50"/>
  <c r="H1487" i="50"/>
  <c r="H1488" i="50"/>
  <c r="H1489" i="50"/>
  <c r="H1490" i="50"/>
  <c r="H1491" i="50"/>
  <c r="H1492" i="50"/>
  <c r="H1493" i="50"/>
  <c r="H1494" i="50"/>
  <c r="H1495" i="50"/>
  <c r="H1496" i="50"/>
  <c r="H1497" i="50"/>
  <c r="H1498" i="50"/>
  <c r="H1499" i="50"/>
  <c r="H1500" i="50"/>
  <c r="H1501" i="50"/>
  <c r="H1502" i="50"/>
  <c r="H1503" i="50"/>
  <c r="H1504" i="50"/>
  <c r="H1505" i="50"/>
  <c r="H1506" i="50"/>
  <c r="H1507" i="50"/>
  <c r="H1508" i="50"/>
  <c r="H1509" i="50"/>
  <c r="H1510" i="50"/>
  <c r="H1511" i="50"/>
  <c r="H1512" i="50"/>
  <c r="H1513" i="50"/>
  <c r="H1514" i="50"/>
  <c r="H1515" i="50"/>
  <c r="H1516" i="50"/>
  <c r="H1517" i="50"/>
  <c r="H1518" i="50"/>
  <c r="H1519" i="50"/>
  <c r="H1520" i="50"/>
  <c r="H1521" i="50"/>
  <c r="H1522" i="50"/>
  <c r="H1523" i="50"/>
  <c r="H1524" i="50"/>
  <c r="H1525" i="50"/>
  <c r="H1526" i="50"/>
  <c r="H1527" i="50"/>
  <c r="H1528" i="50"/>
  <c r="H1529" i="50"/>
  <c r="H1530" i="50"/>
  <c r="H1531" i="50"/>
  <c r="H1532" i="50"/>
  <c r="H1533" i="50"/>
  <c r="H1534" i="50"/>
  <c r="H1535" i="50"/>
  <c r="H1536" i="50"/>
  <c r="H1537" i="50"/>
  <c r="H1538" i="50"/>
  <c r="H1539" i="50"/>
  <c r="H1540" i="50"/>
  <c r="H1541" i="50"/>
  <c r="H1542" i="50"/>
  <c r="H1543" i="50"/>
  <c r="H1544" i="50"/>
  <c r="H1545" i="50"/>
  <c r="H1546" i="50"/>
  <c r="H1547" i="50"/>
  <c r="H1548" i="50"/>
  <c r="H1549" i="50"/>
  <c r="H1550" i="50"/>
  <c r="H1551" i="50"/>
  <c r="H1552" i="50"/>
  <c r="H1553" i="50"/>
  <c r="H1554" i="50"/>
  <c r="H1555" i="50"/>
  <c r="H1556" i="50"/>
  <c r="H1557" i="50"/>
  <c r="H1558" i="50"/>
  <c r="H1559" i="50"/>
  <c r="H1560" i="50"/>
  <c r="H1561" i="50"/>
  <c r="H1562" i="50"/>
  <c r="H1563" i="50"/>
  <c r="H1564" i="50"/>
  <c r="H1565" i="50"/>
  <c r="H1566" i="50"/>
  <c r="H1567" i="50"/>
  <c r="H1568" i="50"/>
  <c r="H1569" i="50"/>
  <c r="H1570" i="50"/>
  <c r="H1571" i="50"/>
  <c r="H1572" i="50"/>
  <c r="H1573" i="50"/>
  <c r="H1574" i="50"/>
  <c r="H1575" i="50"/>
  <c r="H1576" i="50"/>
  <c r="H1577" i="50"/>
  <c r="H1578" i="50"/>
  <c r="H1579" i="50"/>
  <c r="H1580" i="50"/>
  <c r="H1581" i="50"/>
  <c r="H1582" i="50"/>
  <c r="H1583" i="50"/>
  <c r="H1584" i="50"/>
  <c r="H1585" i="50"/>
  <c r="H1586" i="50"/>
  <c r="H1587" i="50"/>
  <c r="H1588" i="50"/>
  <c r="H1589" i="50"/>
  <c r="H1590" i="50"/>
  <c r="H1591" i="50"/>
  <c r="H1592" i="50"/>
  <c r="H1593" i="50"/>
  <c r="H1594" i="50"/>
  <c r="H1595" i="50"/>
  <c r="H1596" i="50"/>
  <c r="H1597" i="50"/>
  <c r="H1598" i="50"/>
  <c r="H1599" i="50"/>
  <c r="H1600" i="50"/>
  <c r="H1601" i="50"/>
  <c r="H1602" i="50"/>
  <c r="H1603" i="50"/>
  <c r="H1604" i="50"/>
  <c r="H1605" i="50"/>
  <c r="H1606" i="50"/>
  <c r="H1607" i="50"/>
  <c r="H1608" i="50"/>
  <c r="H1609" i="50"/>
  <c r="H1610" i="50"/>
  <c r="H1611" i="50"/>
  <c r="H1612" i="50"/>
  <c r="H1613" i="50"/>
  <c r="H1614" i="50"/>
  <c r="H1615" i="50"/>
  <c r="H1616" i="50"/>
  <c r="H1617" i="50"/>
  <c r="H1618" i="50"/>
  <c r="H1619" i="50"/>
  <c r="H1620" i="50"/>
  <c r="H1621" i="50"/>
  <c r="H1622" i="50"/>
  <c r="H1623" i="50"/>
  <c r="H1624" i="50"/>
  <c r="H1625" i="50"/>
  <c r="H1626" i="50"/>
  <c r="H1627" i="50"/>
  <c r="H1628" i="50"/>
  <c r="H1629" i="50"/>
  <c r="H1630" i="50"/>
  <c r="H1631" i="50"/>
  <c r="H1632" i="50"/>
  <c r="H1633" i="50"/>
  <c r="H1634" i="50"/>
  <c r="H1635" i="50"/>
  <c r="H1636" i="50"/>
  <c r="H1637" i="50"/>
  <c r="H1638" i="50"/>
  <c r="H1639" i="50"/>
  <c r="H1640" i="50"/>
  <c r="H1641" i="50"/>
  <c r="H1642" i="50"/>
  <c r="H1643" i="50"/>
  <c r="H1644" i="50"/>
  <c r="H1645" i="50"/>
  <c r="H1646" i="50"/>
  <c r="H1647" i="50"/>
  <c r="H1648" i="50"/>
  <c r="H1649" i="50"/>
  <c r="H1650" i="50"/>
  <c r="H1651" i="50"/>
  <c r="H1652" i="50"/>
  <c r="H1653" i="50"/>
  <c r="H1654" i="50"/>
  <c r="H1655" i="50"/>
  <c r="H1656" i="50"/>
  <c r="H1657" i="50"/>
  <c r="H1658" i="50"/>
  <c r="H1659" i="50"/>
  <c r="H1660" i="50"/>
  <c r="H1661" i="50"/>
  <c r="H1662" i="50"/>
  <c r="H1663" i="50"/>
  <c r="H1664" i="50"/>
  <c r="H1665" i="50"/>
  <c r="H1666" i="50"/>
  <c r="H1667" i="50"/>
  <c r="H1668" i="50"/>
  <c r="H1669" i="50"/>
  <c r="H1670" i="50"/>
  <c r="H1671" i="50"/>
  <c r="H1672" i="50"/>
  <c r="H1673" i="50"/>
  <c r="H1674" i="50"/>
  <c r="H1675" i="50"/>
  <c r="H1676" i="50"/>
  <c r="H1677" i="50"/>
  <c r="H1678" i="50"/>
  <c r="H1679" i="50"/>
  <c r="H1680" i="50"/>
  <c r="H1681" i="50"/>
  <c r="H1682" i="50"/>
  <c r="H1683" i="50"/>
  <c r="H1684" i="50"/>
  <c r="H1685" i="50"/>
  <c r="H1686" i="50"/>
  <c r="H1687" i="50"/>
  <c r="H1688" i="50"/>
  <c r="H1689" i="50"/>
  <c r="H1690" i="50"/>
  <c r="H1691" i="50"/>
  <c r="H1692" i="50"/>
  <c r="H1693" i="50"/>
  <c r="H1694" i="50"/>
  <c r="H1695" i="50"/>
  <c r="H1696" i="50"/>
  <c r="H1697" i="50"/>
  <c r="H1698" i="50"/>
  <c r="H1699" i="50"/>
  <c r="H1700" i="50"/>
  <c r="H1701" i="50"/>
  <c r="H1702" i="50"/>
  <c r="H1703" i="50"/>
  <c r="H1704" i="50"/>
  <c r="H1705" i="50"/>
  <c r="H1706" i="50"/>
  <c r="H1707" i="50"/>
  <c r="H1708" i="50"/>
  <c r="H1709" i="50"/>
  <c r="H1710" i="50"/>
  <c r="H1711" i="50"/>
  <c r="H1712" i="50"/>
  <c r="H1713" i="50"/>
  <c r="H1714" i="50"/>
  <c r="H1715" i="50"/>
  <c r="H1716" i="50"/>
  <c r="H1717" i="50"/>
  <c r="H1718" i="50"/>
  <c r="H1719" i="50"/>
  <c r="H1720" i="50"/>
  <c r="H1721" i="50"/>
  <c r="H1722" i="50"/>
  <c r="H1723" i="50"/>
  <c r="H1724" i="50"/>
  <c r="H1725" i="50"/>
  <c r="H1726" i="50"/>
  <c r="H1727" i="50"/>
  <c r="H1728" i="50"/>
  <c r="H1729" i="50"/>
  <c r="H1730" i="50"/>
  <c r="H1731" i="50"/>
  <c r="H1732" i="50"/>
  <c r="H1733" i="50"/>
  <c r="H1734" i="50"/>
  <c r="H1735" i="50"/>
  <c r="H1736" i="50"/>
  <c r="H1737" i="50"/>
  <c r="H1738" i="50"/>
  <c r="H1739" i="50"/>
  <c r="H1740" i="50"/>
  <c r="H1741" i="50"/>
  <c r="H1742" i="50"/>
  <c r="H1743" i="50"/>
  <c r="H1744" i="50"/>
  <c r="H1745" i="50"/>
  <c r="H1746" i="50"/>
  <c r="H1747" i="50"/>
  <c r="H1748" i="50"/>
  <c r="H1749" i="50"/>
  <c r="H1750" i="50"/>
  <c r="H1751" i="50"/>
  <c r="H1752" i="50"/>
  <c r="H1753" i="50"/>
  <c r="H1754" i="50"/>
  <c r="H1755" i="50"/>
  <c r="H1756" i="50"/>
  <c r="H1757" i="50"/>
  <c r="H1758" i="50"/>
  <c r="H1759" i="50"/>
  <c r="H1760" i="50"/>
  <c r="H1761" i="50"/>
  <c r="H1762" i="50"/>
  <c r="H1763" i="50"/>
  <c r="H1764" i="50"/>
  <c r="H1765" i="50"/>
  <c r="H1766" i="50"/>
  <c r="H1767" i="50"/>
  <c r="H1768" i="50"/>
  <c r="H1769" i="50"/>
  <c r="H1770" i="50"/>
  <c r="H1771" i="50"/>
  <c r="H1772" i="50"/>
  <c r="H1773" i="50"/>
  <c r="H1774" i="50"/>
  <c r="H1775" i="50"/>
  <c r="H1776" i="50"/>
  <c r="H1777" i="50"/>
  <c r="H1778" i="50"/>
  <c r="H1779" i="50"/>
  <c r="H1780" i="50"/>
  <c r="H1781" i="50"/>
  <c r="H1782" i="50"/>
  <c r="H1783" i="50"/>
  <c r="H1784" i="50"/>
  <c r="H1785" i="50"/>
  <c r="H1786" i="50"/>
  <c r="H1787" i="50"/>
  <c r="H1788" i="50"/>
  <c r="H1789" i="50"/>
  <c r="H1790" i="50"/>
  <c r="H1791" i="50"/>
  <c r="H1792" i="50"/>
  <c r="H1793" i="50"/>
  <c r="H1794" i="50"/>
  <c r="H1795" i="50"/>
  <c r="H1796" i="50"/>
  <c r="H1797" i="50"/>
  <c r="H1798" i="50"/>
  <c r="H1799" i="50"/>
  <c r="H1800" i="50"/>
  <c r="H1801" i="50"/>
  <c r="H1802" i="50"/>
  <c r="H1803" i="50"/>
  <c r="H1804" i="50"/>
  <c r="H1805" i="50"/>
  <c r="H1806" i="50"/>
  <c r="H1807" i="50"/>
  <c r="H1808" i="50"/>
  <c r="H1809" i="50"/>
  <c r="H1810" i="50"/>
  <c r="H1811" i="50"/>
  <c r="H1812" i="50"/>
  <c r="H1813" i="50"/>
  <c r="H1814" i="50"/>
  <c r="H1815" i="50"/>
  <c r="H1816" i="50"/>
  <c r="H1817" i="50"/>
  <c r="H1818" i="50"/>
  <c r="H1819" i="50"/>
  <c r="H1820" i="50"/>
  <c r="H1821" i="50"/>
  <c r="H1822" i="50"/>
  <c r="H1823" i="50"/>
  <c r="H1824" i="50"/>
  <c r="H1825" i="50"/>
  <c r="H1826" i="50"/>
  <c r="H1827" i="50"/>
  <c r="H1828" i="50"/>
  <c r="H1829" i="50"/>
  <c r="H1830" i="50"/>
  <c r="H1831" i="50"/>
  <c r="H1832" i="50"/>
  <c r="H1833" i="50"/>
  <c r="H1834" i="50"/>
  <c r="H1835" i="50"/>
  <c r="H1836" i="50"/>
  <c r="H1837" i="50"/>
  <c r="H1838" i="50"/>
  <c r="H1839" i="50"/>
  <c r="H1840" i="50"/>
  <c r="H1841" i="50"/>
  <c r="H1842" i="50"/>
  <c r="H1843" i="50"/>
  <c r="H1844" i="50"/>
  <c r="H1845" i="50"/>
  <c r="H1846" i="50"/>
  <c r="H1847" i="50"/>
  <c r="H1848" i="50"/>
  <c r="H1849" i="50"/>
  <c r="H1850" i="50"/>
  <c r="H1851" i="50"/>
  <c r="H1852" i="50"/>
  <c r="H1853" i="50"/>
  <c r="H1854" i="50"/>
  <c r="H1855" i="50"/>
  <c r="H1856" i="50"/>
  <c r="H1857" i="50"/>
  <c r="H1858" i="50"/>
  <c r="H1859" i="50"/>
  <c r="H1860" i="50"/>
  <c r="H1861" i="50"/>
  <c r="H1862" i="50"/>
  <c r="H1863" i="50"/>
  <c r="H1864" i="50"/>
  <c r="H1865" i="50"/>
  <c r="H1866" i="50"/>
  <c r="H1867" i="50"/>
  <c r="H1868" i="50"/>
  <c r="H1869" i="50"/>
  <c r="H1870" i="50"/>
  <c r="H1871" i="50"/>
  <c r="H1872" i="50"/>
  <c r="H1873" i="50"/>
  <c r="H1874" i="50"/>
  <c r="H1875" i="50"/>
  <c r="H1876" i="50"/>
  <c r="H1877" i="50"/>
  <c r="H1878" i="50"/>
  <c r="H1879" i="50"/>
  <c r="H1880" i="50"/>
  <c r="H1881" i="50"/>
  <c r="H1882" i="50"/>
  <c r="H1883" i="50"/>
  <c r="H1884" i="50"/>
  <c r="H1885" i="50"/>
  <c r="H1886" i="50"/>
  <c r="H1887" i="50"/>
  <c r="H1888" i="50"/>
  <c r="H1889" i="50"/>
  <c r="H1890" i="50"/>
  <c r="H1891" i="50"/>
  <c r="H1892" i="50"/>
  <c r="H1893" i="50"/>
  <c r="H1894" i="50"/>
  <c r="H1895" i="50"/>
  <c r="H1896" i="50"/>
  <c r="H1897" i="50"/>
  <c r="H1898" i="50"/>
  <c r="H1899" i="50"/>
  <c r="H1900" i="50"/>
  <c r="H1901" i="50"/>
  <c r="H1902" i="50"/>
  <c r="H1903" i="50"/>
  <c r="H1904" i="50"/>
  <c r="H1905" i="50"/>
  <c r="H1906" i="50"/>
  <c r="H1907" i="50"/>
  <c r="H1908" i="50"/>
  <c r="H1909" i="50"/>
  <c r="H1910" i="50"/>
  <c r="H1911" i="50"/>
  <c r="H1912" i="50"/>
  <c r="H1913" i="50"/>
  <c r="H1914" i="50"/>
  <c r="H1915" i="50"/>
  <c r="H1916" i="50"/>
  <c r="H1917" i="50"/>
  <c r="H1918" i="50"/>
  <c r="H1919" i="50"/>
  <c r="H1920" i="50"/>
  <c r="H1921" i="50"/>
  <c r="H1922" i="50"/>
  <c r="H1923" i="50"/>
  <c r="H1924" i="50"/>
  <c r="H1925" i="50"/>
  <c r="H1926" i="50"/>
  <c r="H1927" i="50"/>
  <c r="H1928" i="50"/>
  <c r="H1929" i="50"/>
  <c r="H1930" i="50"/>
  <c r="H1931" i="50"/>
  <c r="H1932" i="50"/>
  <c r="H1933" i="50"/>
  <c r="H1934" i="50"/>
  <c r="H1935" i="50"/>
  <c r="H1936" i="50"/>
  <c r="H1937" i="50"/>
  <c r="H1938" i="50"/>
  <c r="H1939" i="50"/>
  <c r="H1940" i="50"/>
  <c r="H1941" i="50"/>
  <c r="H1942" i="50"/>
  <c r="H1943" i="50"/>
  <c r="H1944" i="50"/>
  <c r="H1945" i="50"/>
  <c r="H1946" i="50"/>
  <c r="H1947" i="50"/>
  <c r="H1948" i="50"/>
  <c r="H1949" i="50"/>
  <c r="H1950" i="50"/>
  <c r="H1951" i="50"/>
  <c r="H1952" i="50"/>
  <c r="H1953" i="50"/>
  <c r="H1954" i="50"/>
  <c r="H1955" i="50"/>
  <c r="H1956" i="50"/>
  <c r="H1957" i="50"/>
  <c r="H1958" i="50"/>
  <c r="H1959" i="50"/>
  <c r="H1960" i="50"/>
  <c r="H1961" i="50"/>
  <c r="H1962" i="50"/>
  <c r="H1963" i="50"/>
  <c r="H1964" i="50"/>
  <c r="H1965" i="50"/>
  <c r="H1966" i="50"/>
  <c r="H1967" i="50"/>
  <c r="H1968" i="50"/>
  <c r="H1969" i="50"/>
  <c r="H1970" i="50"/>
  <c r="H1971" i="50"/>
  <c r="H1972" i="50"/>
  <c r="H1973" i="50"/>
  <c r="H1974" i="50"/>
  <c r="H1975" i="50"/>
  <c r="H1976" i="50"/>
  <c r="H1977" i="50"/>
  <c r="H1978" i="50"/>
  <c r="H1979" i="50"/>
  <c r="H1980" i="50"/>
  <c r="H1981" i="50"/>
  <c r="H1982" i="50"/>
  <c r="H1983" i="50"/>
  <c r="H1984" i="50"/>
  <c r="H1985" i="50"/>
  <c r="H1986" i="50"/>
  <c r="H1987" i="50"/>
  <c r="H1988" i="50"/>
  <c r="H1989" i="50"/>
  <c r="H1990" i="50"/>
  <c r="H1991" i="50"/>
  <c r="H1992" i="50"/>
  <c r="H1993" i="50"/>
  <c r="H1994" i="50"/>
  <c r="H1995" i="50"/>
  <c r="H1996" i="50"/>
  <c r="H1997" i="50"/>
  <c r="H1998" i="50"/>
  <c r="H1999" i="50"/>
  <c r="H2000" i="50"/>
  <c r="H2001" i="50"/>
  <c r="H2002" i="50"/>
  <c r="H2003" i="50"/>
  <c r="H2004" i="50"/>
  <c r="H2005" i="50"/>
  <c r="H2006" i="50"/>
  <c r="H2007" i="50"/>
  <c r="H2008" i="50"/>
  <c r="H2009" i="50"/>
  <c r="H2010" i="50"/>
  <c r="H2011" i="50"/>
  <c r="H2012" i="50"/>
  <c r="H2013" i="50"/>
  <c r="H2014" i="50"/>
  <c r="H2015" i="50"/>
  <c r="H2016" i="50"/>
  <c r="H2017" i="50"/>
  <c r="H2018" i="50"/>
  <c r="H2019" i="50"/>
  <c r="H2020" i="50"/>
  <c r="H2021" i="50"/>
  <c r="H2022" i="50"/>
  <c r="H2023" i="50"/>
  <c r="H2024" i="50"/>
  <c r="H2025" i="50"/>
  <c r="H2026" i="50"/>
  <c r="H2027" i="50"/>
  <c r="H2028" i="50"/>
  <c r="H2029" i="50"/>
  <c r="H2030" i="50"/>
  <c r="H2031" i="50"/>
  <c r="H2032" i="50"/>
  <c r="H2033" i="50"/>
  <c r="H2034" i="50"/>
  <c r="H2035" i="50"/>
  <c r="H2036" i="50"/>
  <c r="H2037" i="50"/>
  <c r="H2038" i="50"/>
  <c r="H2039" i="50"/>
  <c r="H2040" i="50"/>
  <c r="H2041" i="50"/>
  <c r="H2042" i="50"/>
  <c r="H2043" i="50"/>
  <c r="H2044" i="50"/>
  <c r="H2045" i="50"/>
  <c r="H2046" i="50"/>
  <c r="H2047" i="50"/>
  <c r="H2048" i="50"/>
  <c r="H2049" i="50"/>
  <c r="H2050" i="50"/>
  <c r="H2051" i="50"/>
  <c r="H2052" i="50"/>
  <c r="H2053" i="50"/>
  <c r="H2054" i="50"/>
  <c r="H2055" i="50"/>
  <c r="H2056" i="50"/>
  <c r="H2057" i="50"/>
  <c r="H2058" i="50"/>
  <c r="H2059" i="50"/>
  <c r="H2060" i="50"/>
  <c r="H2061" i="50"/>
  <c r="H2062" i="50"/>
  <c r="H2063" i="50"/>
  <c r="H2064" i="50"/>
  <c r="H2065" i="50"/>
  <c r="H2066" i="50"/>
  <c r="H2067" i="50"/>
  <c r="H2068" i="50"/>
  <c r="H2069" i="50"/>
  <c r="H2070" i="50"/>
  <c r="H2071" i="50"/>
  <c r="H2072" i="50"/>
  <c r="H2073" i="50"/>
  <c r="H2074" i="50"/>
  <c r="H2075" i="50"/>
  <c r="H2076" i="50"/>
  <c r="H2077" i="50"/>
  <c r="H2078" i="50"/>
  <c r="H2079" i="50"/>
  <c r="H2080" i="50"/>
  <c r="H2081" i="50"/>
  <c r="H2082" i="50"/>
  <c r="H2083" i="50"/>
  <c r="H2084" i="50"/>
  <c r="H2085" i="50"/>
  <c r="H2086" i="50"/>
  <c r="H2087" i="50"/>
  <c r="H2088" i="50"/>
  <c r="H2089" i="50"/>
  <c r="H2090" i="50"/>
  <c r="H2091" i="50"/>
  <c r="H2092" i="50"/>
  <c r="H2093" i="50"/>
  <c r="H2094" i="50"/>
  <c r="H2095" i="50"/>
  <c r="H2096" i="50"/>
  <c r="H2097" i="50"/>
  <c r="H2098" i="50"/>
  <c r="H2099" i="50"/>
  <c r="H2100" i="50"/>
  <c r="H2101" i="50"/>
  <c r="H2102" i="50"/>
  <c r="H2103" i="50"/>
  <c r="H2104" i="50"/>
  <c r="H2105" i="50"/>
  <c r="H2106" i="50"/>
  <c r="H2107" i="50"/>
  <c r="H2108" i="50"/>
  <c r="H2109" i="50"/>
  <c r="H2110" i="50"/>
  <c r="H2111" i="50"/>
  <c r="H2112" i="50"/>
  <c r="H2113" i="50"/>
  <c r="H2114" i="50"/>
  <c r="H2115" i="50"/>
  <c r="H2116" i="50"/>
  <c r="H2117" i="50"/>
  <c r="H2118" i="50"/>
  <c r="H2119" i="50"/>
  <c r="H2120" i="50"/>
  <c r="H2121" i="50"/>
  <c r="H2122" i="50"/>
  <c r="H2123" i="50"/>
  <c r="H2124" i="50"/>
  <c r="H2125" i="50"/>
  <c r="H2126" i="50"/>
  <c r="H2127" i="50"/>
  <c r="H2128" i="50"/>
  <c r="H2129" i="50"/>
  <c r="H2130" i="50"/>
  <c r="H2131" i="50"/>
  <c r="H2132" i="50"/>
  <c r="H2133" i="50"/>
  <c r="H2134" i="50"/>
  <c r="H2135" i="50"/>
  <c r="H2136" i="50"/>
  <c r="H2137" i="50"/>
  <c r="H2138" i="50"/>
  <c r="H2139" i="50"/>
  <c r="H2140" i="50"/>
  <c r="H2141" i="50"/>
  <c r="H2142" i="50"/>
  <c r="H2143" i="50"/>
  <c r="H2144" i="50"/>
  <c r="H2145" i="50"/>
  <c r="H2146" i="50"/>
  <c r="H2147" i="50"/>
  <c r="H2148" i="50"/>
  <c r="H2149" i="50"/>
  <c r="H2150" i="50"/>
  <c r="H2151" i="50"/>
  <c r="H2152" i="50"/>
  <c r="H2153" i="50"/>
  <c r="H2154" i="50"/>
  <c r="H2155" i="50"/>
  <c r="H2156" i="50"/>
  <c r="H2157" i="50"/>
  <c r="H2158" i="50"/>
  <c r="H2159" i="50"/>
  <c r="H2160" i="50"/>
  <c r="H2161" i="50"/>
  <c r="H2162" i="50"/>
  <c r="H2163" i="50"/>
  <c r="H2164" i="50"/>
  <c r="H2165" i="50"/>
  <c r="H2166" i="50"/>
  <c r="H2167" i="50"/>
  <c r="H2168" i="50"/>
  <c r="H2169" i="50"/>
  <c r="H2170" i="50"/>
  <c r="H2171" i="50"/>
  <c r="H2172" i="50"/>
  <c r="H2173" i="50"/>
  <c r="H2174" i="50"/>
  <c r="H2175" i="50"/>
  <c r="H2176" i="50"/>
  <c r="H2177" i="50"/>
  <c r="H2178" i="50"/>
  <c r="H2179" i="50"/>
  <c r="H2180" i="50"/>
  <c r="H2181" i="50"/>
  <c r="H2182" i="50"/>
  <c r="H2183" i="50"/>
  <c r="H2184" i="50"/>
  <c r="H2185" i="50"/>
  <c r="H2186" i="50"/>
  <c r="H2187" i="50"/>
  <c r="H2188" i="50"/>
  <c r="H2189" i="50"/>
  <c r="H2190" i="50"/>
  <c r="H2191" i="50"/>
  <c r="H2192" i="50"/>
  <c r="H2193" i="50"/>
  <c r="H2194" i="50"/>
  <c r="H2195" i="50"/>
  <c r="H2196" i="50"/>
  <c r="H2197" i="50"/>
  <c r="H2198" i="50"/>
  <c r="H2199" i="50"/>
  <c r="H2200" i="50"/>
  <c r="H2201" i="50"/>
  <c r="H2202" i="50"/>
  <c r="H2203" i="50"/>
  <c r="H2204" i="50"/>
  <c r="H2205" i="50"/>
  <c r="H2206" i="50"/>
  <c r="H2207" i="50"/>
  <c r="H2208" i="50"/>
  <c r="H2209" i="50"/>
  <c r="H2210" i="50"/>
  <c r="H2211" i="50"/>
  <c r="H2212" i="50"/>
  <c r="H2213" i="50"/>
  <c r="H2214" i="50"/>
  <c r="H2215" i="50"/>
  <c r="H2216" i="50"/>
  <c r="H2217" i="50"/>
  <c r="H2218" i="50"/>
  <c r="H2219" i="50"/>
  <c r="H2220" i="50"/>
  <c r="H2221" i="50"/>
  <c r="H2222" i="50"/>
  <c r="H2223" i="50"/>
  <c r="H2224" i="50"/>
  <c r="H2225" i="50"/>
  <c r="H2226" i="50"/>
  <c r="H2227" i="50"/>
  <c r="H2228" i="50"/>
  <c r="H2229" i="50"/>
  <c r="H2230" i="50"/>
  <c r="H2231" i="50"/>
  <c r="H2232" i="50"/>
  <c r="H2233" i="50"/>
  <c r="H2234" i="50"/>
  <c r="H2235" i="50"/>
  <c r="H2236" i="50"/>
  <c r="H2237" i="50"/>
  <c r="H2238" i="50"/>
  <c r="H2239" i="50"/>
  <c r="H2240" i="50"/>
  <c r="H2241" i="50"/>
  <c r="H2242" i="50"/>
  <c r="H2243" i="50"/>
  <c r="H2244" i="50"/>
  <c r="H2245" i="50"/>
  <c r="H2246" i="50"/>
  <c r="H2247" i="50"/>
  <c r="H2248" i="50"/>
  <c r="H2249" i="50"/>
  <c r="H2250" i="50"/>
  <c r="H2251" i="50"/>
  <c r="H2252" i="50"/>
  <c r="H2253" i="50"/>
  <c r="H2254" i="50"/>
  <c r="H2255" i="50"/>
  <c r="H2256" i="50"/>
  <c r="H2257" i="50"/>
  <c r="H2258" i="50"/>
  <c r="H2259" i="50"/>
  <c r="H2260" i="50"/>
  <c r="H2261" i="50"/>
  <c r="H2262" i="50"/>
  <c r="H2263" i="50"/>
  <c r="H2264" i="50"/>
  <c r="H2265" i="50"/>
  <c r="H2266" i="50"/>
  <c r="H2267" i="50"/>
  <c r="H2268" i="50"/>
  <c r="H2269" i="50"/>
  <c r="H2270" i="50"/>
  <c r="H2271" i="50"/>
  <c r="H2272" i="50"/>
  <c r="H2273" i="50"/>
  <c r="H2274" i="50"/>
  <c r="H2275" i="50"/>
  <c r="H2276" i="50"/>
  <c r="H2277" i="50"/>
  <c r="H2278" i="50"/>
  <c r="H2279" i="50"/>
  <c r="H2280" i="50"/>
  <c r="H2281" i="50"/>
  <c r="H2282" i="50"/>
  <c r="H2283" i="50"/>
  <c r="H2284" i="50"/>
  <c r="H2285" i="50"/>
  <c r="H2286" i="50"/>
  <c r="H2287" i="50"/>
  <c r="H2288" i="50"/>
  <c r="H2289" i="50"/>
  <c r="H2290" i="50"/>
  <c r="H2291" i="50"/>
  <c r="H2292" i="50"/>
  <c r="H2293" i="50"/>
  <c r="H2294" i="50"/>
  <c r="H2295" i="50"/>
  <c r="H2296" i="50"/>
  <c r="H2297" i="50"/>
  <c r="H2298" i="50"/>
  <c r="H2299" i="50"/>
  <c r="H2300" i="50"/>
  <c r="H2301" i="50"/>
  <c r="H2302" i="50"/>
  <c r="H2303" i="50"/>
  <c r="H2304" i="50"/>
  <c r="H2305" i="50"/>
  <c r="H2306" i="50"/>
  <c r="H2307" i="50"/>
  <c r="H2308" i="50"/>
  <c r="H2309" i="50"/>
  <c r="H2310" i="50"/>
  <c r="H2311" i="50"/>
  <c r="H2312" i="50"/>
  <c r="H2313" i="50"/>
  <c r="H2314" i="50"/>
  <c r="H2315" i="50"/>
  <c r="H2316" i="50"/>
  <c r="H2317" i="50"/>
  <c r="H2318" i="50"/>
  <c r="H2319" i="50"/>
  <c r="H2320" i="50"/>
  <c r="H2321" i="50"/>
  <c r="H2322" i="50"/>
  <c r="H2323" i="50"/>
  <c r="H2324" i="50"/>
  <c r="H2325" i="50"/>
  <c r="H2326" i="50"/>
  <c r="H2327" i="50"/>
  <c r="H2328" i="50"/>
  <c r="H2329" i="50"/>
  <c r="H2330" i="50"/>
  <c r="H2331" i="50"/>
  <c r="H2332" i="50"/>
  <c r="H2333" i="50"/>
  <c r="H2334" i="50"/>
  <c r="H2335" i="50"/>
  <c r="H2336" i="50"/>
  <c r="H2337" i="50"/>
  <c r="H2338" i="50"/>
  <c r="H2339" i="50"/>
  <c r="H2340" i="50"/>
  <c r="H2341" i="50"/>
  <c r="H2342" i="50"/>
  <c r="H2343" i="50"/>
  <c r="H2344" i="50"/>
  <c r="H2345" i="50"/>
  <c r="H2346" i="50"/>
  <c r="H2347" i="50"/>
  <c r="H2348" i="50"/>
  <c r="H2349" i="50"/>
  <c r="H2350" i="50"/>
  <c r="H2351" i="50"/>
  <c r="H2352" i="50"/>
  <c r="H2353" i="50"/>
  <c r="H2354" i="50"/>
  <c r="H2355" i="50"/>
  <c r="H2356" i="50"/>
  <c r="H2357" i="50"/>
  <c r="H2358" i="50"/>
  <c r="H2359" i="50"/>
  <c r="H2360" i="50"/>
  <c r="H2361" i="50"/>
  <c r="H2362" i="50"/>
  <c r="H2363" i="50"/>
  <c r="H2364" i="50"/>
  <c r="H2365" i="50"/>
  <c r="H2366" i="50"/>
  <c r="H2367" i="50"/>
  <c r="H2368" i="50"/>
  <c r="H2369" i="50"/>
  <c r="H2370" i="50"/>
  <c r="H2371" i="50"/>
  <c r="H2372" i="50"/>
  <c r="H2373" i="50"/>
  <c r="H2374" i="50"/>
  <c r="H2375" i="50"/>
  <c r="H2376" i="50"/>
  <c r="H2377" i="50"/>
  <c r="H2378" i="50"/>
  <c r="H2379" i="50"/>
  <c r="H2380" i="50"/>
  <c r="H2381" i="50"/>
  <c r="H2382" i="50"/>
  <c r="H2383" i="50"/>
  <c r="H2384" i="50"/>
  <c r="H2385" i="50"/>
  <c r="H2386" i="50"/>
  <c r="H2387" i="50"/>
  <c r="H2388" i="50"/>
  <c r="H2389" i="50"/>
  <c r="H2390" i="50"/>
  <c r="H2391" i="50"/>
  <c r="H2392" i="50"/>
  <c r="H2393" i="50"/>
  <c r="H2394" i="50"/>
  <c r="H2395" i="50"/>
  <c r="H2396" i="50"/>
  <c r="H2397" i="50"/>
  <c r="H2398" i="50"/>
  <c r="H2399" i="50"/>
  <c r="H2400" i="50"/>
  <c r="H2401" i="50"/>
  <c r="H2402" i="50"/>
  <c r="H2403" i="50"/>
  <c r="H2404" i="50"/>
  <c r="H2405" i="50"/>
  <c r="H2406" i="50"/>
  <c r="H2407" i="50"/>
  <c r="H2408" i="50"/>
  <c r="H2409" i="50"/>
  <c r="H2410" i="50"/>
  <c r="H2411" i="50"/>
  <c r="H2412" i="50"/>
  <c r="H2413" i="50"/>
  <c r="H2414" i="50"/>
  <c r="H2415" i="50"/>
  <c r="H2416" i="50"/>
  <c r="H2417" i="50"/>
  <c r="H2418" i="50"/>
  <c r="H2419" i="50"/>
  <c r="H2420" i="50"/>
  <c r="H2421" i="50"/>
  <c r="H2422" i="50"/>
  <c r="H2423" i="50"/>
  <c r="H2424" i="50"/>
  <c r="H2425" i="50"/>
  <c r="H2426" i="50"/>
  <c r="H2427" i="50"/>
  <c r="H2428" i="50"/>
  <c r="H2429" i="50"/>
  <c r="H2430" i="50"/>
  <c r="H2431" i="50"/>
  <c r="H2432" i="50"/>
  <c r="H2433" i="50"/>
  <c r="H2434" i="50"/>
  <c r="H2435" i="50"/>
  <c r="H2436" i="50"/>
  <c r="H2437" i="50"/>
  <c r="H2438" i="50"/>
  <c r="H2439" i="50"/>
  <c r="H2440" i="50"/>
  <c r="H2441" i="50"/>
  <c r="H2442" i="50"/>
  <c r="H2443" i="50"/>
  <c r="H2444" i="50"/>
  <c r="H2445" i="50"/>
  <c r="H2446" i="50"/>
  <c r="H2447" i="50"/>
  <c r="H2448" i="50"/>
  <c r="H2449" i="50"/>
  <c r="H2450" i="50"/>
  <c r="H2451" i="50"/>
  <c r="H2452" i="50"/>
  <c r="H2453" i="50"/>
  <c r="H2454" i="50"/>
  <c r="H2455" i="50"/>
  <c r="H2456" i="50"/>
  <c r="H2457" i="50"/>
  <c r="H2458" i="50"/>
  <c r="H2459" i="50"/>
  <c r="H2460" i="50"/>
  <c r="H2461" i="50"/>
  <c r="H2462" i="50"/>
  <c r="H2463" i="50"/>
  <c r="H2464" i="50"/>
  <c r="H2465" i="50"/>
  <c r="H2466" i="50"/>
  <c r="H2467" i="50"/>
  <c r="H2468" i="50"/>
  <c r="H2469" i="50"/>
  <c r="H2470" i="50"/>
  <c r="H2471" i="50"/>
  <c r="H2472" i="50"/>
  <c r="H2473" i="50"/>
  <c r="H2474" i="50"/>
  <c r="H2475" i="50"/>
  <c r="H2476" i="50"/>
  <c r="H2477" i="50"/>
  <c r="H2478" i="50"/>
  <c r="H2479" i="50"/>
  <c r="H2480" i="50"/>
  <c r="H2481" i="50"/>
  <c r="H2482" i="50"/>
  <c r="H2483" i="50"/>
  <c r="H2484" i="50"/>
  <c r="H2485" i="50"/>
  <c r="H2486" i="50"/>
  <c r="H2487" i="50"/>
  <c r="H2488" i="50"/>
  <c r="H2489" i="50"/>
  <c r="H2490" i="50"/>
  <c r="H2491" i="50"/>
  <c r="H2492" i="50"/>
  <c r="H2493" i="50"/>
  <c r="H2494" i="50"/>
  <c r="H2495" i="50"/>
  <c r="H2496" i="50"/>
  <c r="H2497" i="50"/>
  <c r="H2498" i="50"/>
  <c r="H2499" i="50"/>
  <c r="H2500" i="50"/>
  <c r="H2501" i="50"/>
  <c r="H2502" i="50"/>
  <c r="H2503" i="50"/>
  <c r="H2504" i="50"/>
  <c r="H2505" i="50"/>
  <c r="H2506" i="50"/>
  <c r="H2507" i="50"/>
  <c r="H2508" i="50"/>
  <c r="H2509" i="50"/>
  <c r="H2510" i="50"/>
  <c r="H2511" i="50"/>
  <c r="H2512" i="50"/>
  <c r="H2513" i="50"/>
  <c r="H2514" i="50"/>
  <c r="H2515" i="50"/>
  <c r="H2516" i="50"/>
  <c r="H2517" i="50"/>
  <c r="H2518" i="50"/>
  <c r="H2519" i="50"/>
  <c r="H2520" i="50"/>
  <c r="H2521" i="50"/>
  <c r="H2522" i="50"/>
  <c r="H2523" i="50"/>
  <c r="H2524" i="50"/>
  <c r="H2525" i="50"/>
  <c r="H2526" i="50"/>
  <c r="H2527" i="50"/>
  <c r="H2528" i="50"/>
  <c r="H2529" i="50"/>
  <c r="H2530" i="50"/>
  <c r="H2531" i="50"/>
  <c r="H2532" i="50"/>
  <c r="H2533" i="50"/>
  <c r="H2534" i="50"/>
  <c r="H2535" i="50"/>
  <c r="H2536" i="50"/>
  <c r="H3" i="50"/>
  <c r="D71" i="22"/>
  <c r="I85" i="48"/>
  <c r="H5" i="48"/>
  <c r="H6" i="48"/>
  <c r="H7" i="48"/>
  <c r="H8" i="48"/>
  <c r="H9" i="48"/>
  <c r="H10" i="48"/>
  <c r="H11" i="48"/>
  <c r="H12" i="48"/>
  <c r="H13" i="48"/>
  <c r="H14" i="48"/>
  <c r="H15" i="48"/>
  <c r="H16" i="48"/>
  <c r="H18" i="48"/>
  <c r="H19" i="48"/>
  <c r="H20" i="48"/>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8" i="48"/>
  <c r="H49" i="48"/>
  <c r="H50" i="48"/>
  <c r="H51" i="48"/>
  <c r="H52" i="48"/>
  <c r="H53" i="48"/>
  <c r="H54" i="48"/>
  <c r="H55" i="48"/>
  <c r="H56" i="48"/>
  <c r="H57" i="48"/>
  <c r="H58" i="48"/>
  <c r="H60" i="48"/>
  <c r="H61" i="48"/>
  <c r="H62" i="48"/>
  <c r="H63" i="48"/>
  <c r="H64" i="48"/>
  <c r="H65" i="48"/>
  <c r="H66" i="48"/>
  <c r="H67" i="48"/>
  <c r="H68" i="48"/>
  <c r="H69" i="48"/>
  <c r="H70" i="48"/>
  <c r="H71" i="48"/>
  <c r="H72" i="48"/>
  <c r="H73" i="48"/>
  <c r="H74" i="48"/>
  <c r="H77" i="48"/>
  <c r="H78" i="48"/>
  <c r="H79" i="48"/>
  <c r="H81" i="48"/>
  <c r="H82" i="48"/>
  <c r="H84" i="48"/>
  <c r="H85" i="48"/>
  <c r="H86" i="48"/>
  <c r="H87" i="48"/>
  <c r="H88" i="48"/>
  <c r="H89" i="48"/>
  <c r="H91" i="48"/>
  <c r="H92" i="48"/>
  <c r="H93" i="48"/>
  <c r="H94" i="48"/>
  <c r="H95" i="48"/>
  <c r="H97" i="48"/>
  <c r="H98" i="48"/>
  <c r="H99" i="48"/>
  <c r="H100" i="48"/>
  <c r="H101" i="48"/>
  <c r="H102" i="48"/>
  <c r="H103" i="48"/>
  <c r="H104" i="48"/>
  <c r="H105" i="48"/>
  <c r="H106" i="48"/>
  <c r="H107" i="48"/>
  <c r="H109" i="48"/>
  <c r="H110" i="48"/>
  <c r="H111" i="48"/>
  <c r="H112" i="48"/>
  <c r="H113" i="48"/>
  <c r="H114" i="48"/>
  <c r="H115" i="48"/>
  <c r="H116" i="48"/>
  <c r="H117" i="48"/>
  <c r="H118" i="48"/>
  <c r="H119" i="48"/>
  <c r="H120" i="48"/>
  <c r="H121" i="48"/>
  <c r="H122" i="48"/>
  <c r="H124" i="48"/>
  <c r="H125" i="48"/>
  <c r="H126" i="48"/>
  <c r="H127" i="48"/>
  <c r="H128" i="48"/>
  <c r="H130" i="48"/>
  <c r="H131" i="48"/>
  <c r="H132" i="48"/>
  <c r="H133" i="48"/>
  <c r="H135" i="48"/>
  <c r="H136" i="48"/>
  <c r="H139" i="48"/>
  <c r="H140" i="48"/>
  <c r="H141" i="48"/>
  <c r="H142" i="48"/>
  <c r="H143" i="48"/>
  <c r="H144" i="48"/>
  <c r="H145" i="48"/>
  <c r="H146" i="48"/>
  <c r="H147" i="48"/>
  <c r="H148" i="48"/>
  <c r="H149" i="48"/>
  <c r="H150" i="48"/>
  <c r="H151" i="48"/>
  <c r="H152" i="48"/>
  <c r="H153" i="48"/>
  <c r="H154" i="48"/>
  <c r="H155" i="48"/>
  <c r="H157" i="48"/>
  <c r="H158" i="48"/>
  <c r="H159" i="48"/>
  <c r="H161" i="48"/>
  <c r="H162" i="48"/>
  <c r="H163" i="48"/>
  <c r="H164" i="48"/>
  <c r="H165" i="48"/>
  <c r="H166" i="48"/>
  <c r="H167" i="48"/>
  <c r="H168" i="48"/>
  <c r="H169" i="48"/>
  <c r="H170" i="48"/>
  <c r="H171" i="48"/>
  <c r="H172" i="48"/>
  <c r="H173" i="48"/>
  <c r="H174" i="48"/>
  <c r="H175" i="48"/>
  <c r="H176" i="48"/>
  <c r="H177" i="48"/>
  <c r="H178" i="48"/>
  <c r="H179" i="48"/>
  <c r="H180" i="48"/>
  <c r="H183" i="48"/>
  <c r="H184" i="48"/>
  <c r="H185" i="48"/>
  <c r="H186" i="48"/>
  <c r="H187" i="48"/>
  <c r="H188" i="48"/>
  <c r="H189" i="48"/>
  <c r="H190" i="48"/>
  <c r="H191" i="48"/>
  <c r="H192" i="48"/>
  <c r="H193" i="48"/>
  <c r="H194" i="48"/>
  <c r="H195" i="48"/>
  <c r="H196" i="48"/>
  <c r="H198" i="48"/>
  <c r="H199" i="48"/>
  <c r="H200" i="48"/>
  <c r="H201" i="48"/>
  <c r="H202" i="48"/>
  <c r="H203" i="48"/>
  <c r="H204" i="48"/>
  <c r="H205" i="48"/>
  <c r="H206" i="48"/>
  <c r="H207" i="48"/>
  <c r="H208" i="48"/>
  <c r="H209" i="48"/>
  <c r="H211" i="48"/>
  <c r="H212" i="48"/>
  <c r="H213" i="48"/>
  <c r="H214" i="48"/>
  <c r="H215" i="48"/>
  <c r="H217" i="48"/>
  <c r="H218" i="48"/>
  <c r="H219" i="48"/>
  <c r="H220" i="48"/>
  <c r="H221" i="48"/>
  <c r="H223" i="48"/>
  <c r="H224" i="48"/>
  <c r="H225" i="48"/>
  <c r="H226" i="48"/>
  <c r="H227" i="48"/>
  <c r="H228" i="48"/>
  <c r="H229" i="48"/>
  <c r="H230" i="48"/>
  <c r="H231" i="48"/>
  <c r="H232" i="48"/>
  <c r="H233" i="48"/>
  <c r="H234" i="48"/>
  <c r="H235" i="48"/>
  <c r="H236" i="48"/>
  <c r="H237" i="48"/>
  <c r="H238" i="48"/>
  <c r="H239" i="48"/>
  <c r="H240" i="48"/>
  <c r="H241" i="48"/>
  <c r="H242" i="48"/>
  <c r="H243" i="48"/>
  <c r="H244" i="48"/>
  <c r="H245" i="48"/>
  <c r="H247" i="48"/>
  <c r="H248" i="48"/>
  <c r="H249" i="48"/>
  <c r="H250" i="48"/>
  <c r="H251" i="48"/>
  <c r="H252" i="48"/>
  <c r="H253" i="48"/>
  <c r="H254" i="48"/>
  <c r="H255" i="48"/>
  <c r="H256" i="48"/>
  <c r="H257" i="48"/>
  <c r="H258" i="48"/>
  <c r="H259" i="48"/>
  <c r="H260" i="48"/>
  <c r="H261" i="48"/>
  <c r="H262" i="48"/>
  <c r="H263" i="48"/>
  <c r="H264" i="48"/>
  <c r="H265" i="48"/>
  <c r="H266" i="48"/>
  <c r="H267" i="48"/>
  <c r="H268" i="48"/>
  <c r="H269" i="48"/>
  <c r="H270" i="48"/>
  <c r="H271" i="48"/>
  <c r="H272" i="48"/>
  <c r="H273" i="48"/>
  <c r="H274" i="48"/>
  <c r="H275" i="48"/>
  <c r="H276" i="48"/>
  <c r="H277" i="48"/>
  <c r="H279" i="48"/>
  <c r="H280" i="48"/>
  <c r="H281" i="48"/>
  <c r="H282" i="48"/>
  <c r="H283" i="48"/>
  <c r="H284" i="48"/>
  <c r="H285" i="48"/>
  <c r="H286" i="48"/>
  <c r="H287" i="48"/>
  <c r="H288" i="48"/>
  <c r="H289" i="48"/>
  <c r="H290" i="48"/>
  <c r="H291" i="48"/>
  <c r="H292" i="48"/>
  <c r="H293" i="48"/>
  <c r="H294" i="48"/>
  <c r="H295" i="48"/>
  <c r="H298" i="48"/>
  <c r="H299" i="48"/>
  <c r="H300" i="48"/>
  <c r="H301" i="48"/>
  <c r="H302" i="48"/>
  <c r="H303" i="48"/>
  <c r="H304" i="48"/>
  <c r="H305" i="48"/>
  <c r="H306" i="48"/>
  <c r="H307" i="48"/>
  <c r="H308" i="48"/>
  <c r="H309" i="48"/>
  <c r="H310" i="48"/>
  <c r="H311" i="48"/>
  <c r="H312" i="48"/>
  <c r="H314" i="48"/>
  <c r="H4" i="48"/>
  <c r="K11" i="22"/>
  <c r="J11" i="22"/>
  <c r="I11" i="22"/>
  <c r="T85" i="43" l="1"/>
  <c r="AS7" i="54"/>
  <c r="AT7" i="54" s="1"/>
  <c r="AS23" i="54"/>
  <c r="AT23" i="54" s="1"/>
  <c r="AS38" i="54"/>
  <c r="AT38" i="54" s="1"/>
  <c r="AS48" i="54"/>
  <c r="AT48" i="54" s="1"/>
  <c r="AS60" i="54"/>
  <c r="AT60" i="54" s="1"/>
  <c r="AS71" i="54"/>
  <c r="AT71" i="54" s="1"/>
  <c r="AS80" i="54"/>
  <c r="AT80" i="54" s="1"/>
  <c r="AS92" i="54"/>
  <c r="AT92" i="54" s="1"/>
  <c r="AS103" i="54"/>
  <c r="AT103" i="54" s="1"/>
  <c r="AS112" i="54"/>
  <c r="AT112" i="54" s="1"/>
  <c r="AS124" i="54"/>
  <c r="AT124" i="54" s="1"/>
  <c r="AS133" i="54"/>
  <c r="AT133" i="54" s="1"/>
  <c r="AS140" i="54"/>
  <c r="AT140" i="54" s="1"/>
  <c r="AS148" i="54"/>
  <c r="AT148" i="54" s="1"/>
  <c r="AS155" i="54"/>
  <c r="AT155" i="54" s="1"/>
  <c r="AS161" i="54"/>
  <c r="AT161" i="54" s="1"/>
  <c r="AS169" i="54"/>
  <c r="AT169" i="54" s="1"/>
  <c r="AS176" i="54"/>
  <c r="AT176" i="54" s="1"/>
  <c r="AS183" i="54"/>
  <c r="AT183" i="54" s="1"/>
  <c r="AS191" i="54"/>
  <c r="AT191" i="54" s="1"/>
  <c r="AS197" i="54"/>
  <c r="AT197" i="54" s="1"/>
  <c r="AS204" i="54"/>
  <c r="AT204" i="54" s="1"/>
  <c r="AS212" i="54"/>
  <c r="AT212" i="54" s="1"/>
  <c r="AS219" i="54"/>
  <c r="AT219" i="54" s="1"/>
  <c r="AS225" i="54"/>
  <c r="AT225" i="54" s="1"/>
  <c r="AS233" i="54"/>
  <c r="AT233" i="54" s="1"/>
  <c r="AS240" i="54"/>
  <c r="AT240" i="54" s="1"/>
  <c r="AS247" i="54"/>
  <c r="AT247" i="54" s="1"/>
  <c r="AS255" i="54"/>
  <c r="AT255" i="54" s="1"/>
  <c r="AS261" i="54"/>
  <c r="AT261" i="54" s="1"/>
  <c r="AS268" i="54"/>
  <c r="AT268" i="54" s="1"/>
  <c r="AS276" i="54"/>
  <c r="AT276" i="54" s="1"/>
  <c r="AS283" i="54"/>
  <c r="AT283" i="54" s="1"/>
  <c r="AS289" i="54"/>
  <c r="AT289" i="54" s="1"/>
  <c r="AS297" i="54"/>
  <c r="AT297" i="54" s="1"/>
  <c r="AS304" i="54"/>
  <c r="AT304" i="54" s="1"/>
  <c r="AS12" i="54"/>
  <c r="AT12" i="54" s="1"/>
  <c r="AS27" i="54"/>
  <c r="AT27" i="54" s="1"/>
  <c r="AS39" i="54"/>
  <c r="AT39" i="54" s="1"/>
  <c r="AS52" i="54"/>
  <c r="AT52" i="54" s="1"/>
  <c r="AS63" i="54"/>
  <c r="AT63" i="54" s="1"/>
  <c r="AS72" i="54"/>
  <c r="AT72" i="54" s="1"/>
  <c r="AS84" i="54"/>
  <c r="AT84" i="54" s="1"/>
  <c r="AS95" i="54"/>
  <c r="AT95" i="54" s="1"/>
  <c r="AS104" i="54"/>
  <c r="AT104" i="54" s="1"/>
  <c r="AS116" i="54"/>
  <c r="AT116" i="54" s="1"/>
  <c r="AS127" i="54"/>
  <c r="AT127" i="54" s="1"/>
  <c r="AS135" i="54"/>
  <c r="AT135" i="54" s="1"/>
  <c r="AS143" i="54"/>
  <c r="AT143" i="54" s="1"/>
  <c r="AS149" i="54"/>
  <c r="AT149" i="54" s="1"/>
  <c r="AS156" i="54"/>
  <c r="AT156" i="54" s="1"/>
  <c r="AS164" i="54"/>
  <c r="AT164" i="54" s="1"/>
  <c r="AS171" i="54"/>
  <c r="AT171" i="54" s="1"/>
  <c r="AS177" i="54"/>
  <c r="AT177" i="54" s="1"/>
  <c r="AS185" i="54"/>
  <c r="AT185" i="54" s="1"/>
  <c r="AS192" i="54"/>
  <c r="AT192" i="54" s="1"/>
  <c r="AS199" i="54"/>
  <c r="AT199" i="54" s="1"/>
  <c r="AS207" i="54"/>
  <c r="AT207" i="54" s="1"/>
  <c r="AS213" i="54"/>
  <c r="AT213" i="54" s="1"/>
  <c r="AS220" i="54"/>
  <c r="AT220" i="54" s="1"/>
  <c r="AS228" i="54"/>
  <c r="AT228" i="54" s="1"/>
  <c r="AS235" i="54"/>
  <c r="AT235" i="54" s="1"/>
  <c r="AS241" i="54"/>
  <c r="AT241" i="54" s="1"/>
  <c r="AS249" i="54"/>
  <c r="AT249" i="54" s="1"/>
  <c r="AS256" i="54"/>
  <c r="AT256" i="54" s="1"/>
  <c r="AS263" i="54"/>
  <c r="AT263" i="54" s="1"/>
  <c r="AS271" i="54"/>
  <c r="AT271" i="54" s="1"/>
  <c r="AS277" i="54"/>
  <c r="AT277" i="54" s="1"/>
  <c r="AS284" i="54"/>
  <c r="AT284" i="54" s="1"/>
  <c r="AS292" i="54"/>
  <c r="AT292" i="54" s="1"/>
  <c r="AS299" i="54"/>
  <c r="AT299" i="54" s="1"/>
  <c r="AS305" i="54"/>
  <c r="AT305" i="54" s="1"/>
  <c r="AS16" i="54"/>
  <c r="AT16" i="54" s="1"/>
  <c r="AS28" i="54"/>
  <c r="AT28" i="54" s="1"/>
  <c r="AS44" i="54"/>
  <c r="AT44" i="54" s="1"/>
  <c r="AS55" i="54"/>
  <c r="AT55" i="54" s="1"/>
  <c r="AS64" i="54"/>
  <c r="AT64" i="54" s="1"/>
  <c r="AS76" i="54"/>
  <c r="AT76" i="54" s="1"/>
  <c r="AS87" i="54"/>
  <c r="AT87" i="54" s="1"/>
  <c r="AS96" i="54"/>
  <c r="AT96" i="54" s="1"/>
  <c r="AS108" i="54"/>
  <c r="AT108" i="54" s="1"/>
  <c r="AS119" i="54"/>
  <c r="AT119" i="54" s="1"/>
  <c r="AS128" i="54"/>
  <c r="AT128" i="54" s="1"/>
  <c r="AS137" i="54"/>
  <c r="AT137" i="54" s="1"/>
  <c r="AS144" i="54"/>
  <c r="AT144" i="54" s="1"/>
  <c r="AS151" i="54"/>
  <c r="AT151" i="54" s="1"/>
  <c r="AS159" i="54"/>
  <c r="AT159" i="54" s="1"/>
  <c r="AS165" i="54"/>
  <c r="AT165" i="54" s="1"/>
  <c r="AS172" i="54"/>
  <c r="AT172" i="54" s="1"/>
  <c r="AS180" i="54"/>
  <c r="AT180" i="54" s="1"/>
  <c r="AS187" i="54"/>
  <c r="AT187" i="54" s="1"/>
  <c r="AS193" i="54"/>
  <c r="AT193" i="54" s="1"/>
  <c r="AS201" i="54"/>
  <c r="AT201" i="54" s="1"/>
  <c r="AS208" i="54"/>
  <c r="AT208" i="54" s="1"/>
  <c r="AS215" i="54"/>
  <c r="AT215" i="54" s="1"/>
  <c r="AS223" i="54"/>
  <c r="AT223" i="54" s="1"/>
  <c r="AS229" i="54"/>
  <c r="AT229" i="54" s="1"/>
  <c r="AS236" i="54"/>
  <c r="AT236" i="54" s="1"/>
  <c r="AS244" i="54"/>
  <c r="AT244" i="54" s="1"/>
  <c r="AS251" i="54"/>
  <c r="AT251" i="54" s="1"/>
  <c r="AS257" i="54"/>
  <c r="AT257" i="54" s="1"/>
  <c r="AS265" i="54"/>
  <c r="AT265" i="54" s="1"/>
  <c r="AS272" i="54"/>
  <c r="AT272" i="54" s="1"/>
  <c r="AS279" i="54"/>
  <c r="AT279" i="54" s="1"/>
  <c r="AS287" i="54"/>
  <c r="AT287" i="54" s="1"/>
  <c r="AS293" i="54"/>
  <c r="AT293" i="54" s="1"/>
  <c r="AS300" i="54"/>
  <c r="AT300" i="54" s="1"/>
  <c r="AS18" i="54"/>
  <c r="AT18" i="54" s="1"/>
  <c r="AS34" i="54"/>
  <c r="AT34" i="54" s="1"/>
  <c r="AS47" i="54"/>
  <c r="AT47" i="54" s="1"/>
  <c r="AS56" i="54"/>
  <c r="AT56" i="54" s="1"/>
  <c r="AS68" i="54"/>
  <c r="AT68" i="54" s="1"/>
  <c r="AS79" i="54"/>
  <c r="AT79" i="54" s="1"/>
  <c r="AS88" i="54"/>
  <c r="AT88" i="54" s="1"/>
  <c r="AS100" i="54"/>
  <c r="AT100" i="54" s="1"/>
  <c r="AS111" i="54"/>
  <c r="AT111" i="54" s="1"/>
  <c r="AS120" i="54"/>
  <c r="AT120" i="54" s="1"/>
  <c r="AS132" i="54"/>
  <c r="AT132" i="54" s="1"/>
  <c r="AS139" i="54"/>
  <c r="AT139" i="54" s="1"/>
  <c r="AS145" i="54"/>
  <c r="AT145" i="54" s="1"/>
  <c r="AS153" i="54"/>
  <c r="AT153" i="54" s="1"/>
  <c r="AS160" i="54"/>
  <c r="AT160" i="54" s="1"/>
  <c r="AS167" i="54"/>
  <c r="AT167" i="54" s="1"/>
  <c r="AS175" i="54"/>
  <c r="AT175" i="54" s="1"/>
  <c r="AS181" i="54"/>
  <c r="AT181" i="54" s="1"/>
  <c r="AS188" i="54"/>
  <c r="AT188" i="54" s="1"/>
  <c r="AS196" i="54"/>
  <c r="AT196" i="54" s="1"/>
  <c r="AS203" i="54"/>
  <c r="AT203" i="54" s="1"/>
  <c r="AS209" i="54"/>
  <c r="AT209" i="54" s="1"/>
  <c r="AS217" i="54"/>
  <c r="AT217" i="54" s="1"/>
  <c r="AS224" i="54"/>
  <c r="AT224" i="54" s="1"/>
  <c r="AS231" i="54"/>
  <c r="AT231" i="54" s="1"/>
  <c r="AS239" i="54"/>
  <c r="AT239" i="54" s="1"/>
  <c r="AS245" i="54"/>
  <c r="AT245" i="54" s="1"/>
  <c r="AS252" i="54"/>
  <c r="AT252" i="54" s="1"/>
  <c r="AS260" i="54"/>
  <c r="AT260" i="54" s="1"/>
  <c r="AS267" i="54"/>
  <c r="AT267" i="54" s="1"/>
  <c r="AS273" i="54"/>
  <c r="AT273" i="54" s="1"/>
  <c r="AS281" i="54"/>
  <c r="AT281" i="54" s="1"/>
  <c r="AS288" i="54"/>
  <c r="AT288" i="54" s="1"/>
  <c r="AS295" i="54"/>
  <c r="AT295" i="54" s="1"/>
  <c r="AS303" i="54"/>
  <c r="AT303" i="54" s="1"/>
  <c r="AS9" i="54"/>
  <c r="AT9" i="54" s="1"/>
  <c r="AS13" i="54"/>
  <c r="AT13" i="54" s="1"/>
  <c r="AS17" i="54"/>
  <c r="AT17" i="54" s="1"/>
  <c r="AS21" i="54"/>
  <c r="AT21" i="54" s="1"/>
  <c r="AS25" i="54"/>
  <c r="AT25" i="54" s="1"/>
  <c r="AS29" i="54"/>
  <c r="AT29" i="54" s="1"/>
  <c r="AS33" i="54"/>
  <c r="AT33" i="54" s="1"/>
  <c r="AS37" i="54"/>
  <c r="AT37" i="54" s="1"/>
  <c r="AS41" i="54"/>
  <c r="AT41" i="54" s="1"/>
  <c r="AS8" i="54"/>
  <c r="AT8" i="54" s="1"/>
  <c r="AS14" i="54"/>
  <c r="AT14" i="54" s="1"/>
  <c r="AS19" i="54"/>
  <c r="AT19" i="54" s="1"/>
  <c r="AS24" i="54"/>
  <c r="AT24" i="54" s="1"/>
  <c r="AS30" i="54"/>
  <c r="AT30" i="54" s="1"/>
  <c r="AS35" i="54"/>
  <c r="AT35" i="54" s="1"/>
  <c r="AS40" i="54"/>
  <c r="AT40" i="54" s="1"/>
  <c r="AS45" i="54"/>
  <c r="AT45" i="54" s="1"/>
  <c r="AS49" i="54"/>
  <c r="AT49" i="54" s="1"/>
  <c r="AS53" i="54"/>
  <c r="AT53" i="54" s="1"/>
  <c r="AS57" i="54"/>
  <c r="AT57" i="54" s="1"/>
  <c r="AS61" i="54"/>
  <c r="AT61" i="54" s="1"/>
  <c r="AS65" i="54"/>
  <c r="AT65" i="54" s="1"/>
  <c r="AS69" i="54"/>
  <c r="AT69" i="54" s="1"/>
  <c r="AS73" i="54"/>
  <c r="AT73" i="54" s="1"/>
  <c r="AS77" i="54"/>
  <c r="AT77" i="54" s="1"/>
  <c r="AS81" i="54"/>
  <c r="AT81" i="54" s="1"/>
  <c r="AS85" i="54"/>
  <c r="AT85" i="54" s="1"/>
  <c r="AS89" i="54"/>
  <c r="AT89" i="54" s="1"/>
  <c r="AS93" i="54"/>
  <c r="AT93" i="54" s="1"/>
  <c r="AS97" i="54"/>
  <c r="AT97" i="54" s="1"/>
  <c r="AS101" i="54"/>
  <c r="AT101" i="54" s="1"/>
  <c r="AS105" i="54"/>
  <c r="AT105" i="54" s="1"/>
  <c r="AS109" i="54"/>
  <c r="AT109" i="54" s="1"/>
  <c r="AS113" i="54"/>
  <c r="AT113" i="54" s="1"/>
  <c r="AS117" i="54"/>
  <c r="AT117" i="54" s="1"/>
  <c r="AS121" i="54"/>
  <c r="AT121" i="54" s="1"/>
  <c r="AS125" i="54"/>
  <c r="AT125" i="54" s="1"/>
  <c r="AS129" i="54"/>
  <c r="AT129" i="54" s="1"/>
  <c r="AS10" i="54"/>
  <c r="AT10" i="54" s="1"/>
  <c r="AS15" i="54"/>
  <c r="AT15" i="54" s="1"/>
  <c r="AS20" i="54"/>
  <c r="AT20" i="54" s="1"/>
  <c r="AS26" i="54"/>
  <c r="AT26" i="54" s="1"/>
  <c r="AS31" i="54"/>
  <c r="AT31" i="54" s="1"/>
  <c r="AS36" i="54"/>
  <c r="AT36" i="54" s="1"/>
  <c r="AS42" i="54"/>
  <c r="AT42" i="54" s="1"/>
  <c r="AS46" i="54"/>
  <c r="AT46" i="54" s="1"/>
  <c r="AS50" i="54"/>
  <c r="AT50" i="54" s="1"/>
  <c r="AS54" i="54"/>
  <c r="AT54" i="54" s="1"/>
  <c r="AS58" i="54"/>
  <c r="AT58" i="54" s="1"/>
  <c r="AS62" i="54"/>
  <c r="AT62" i="54" s="1"/>
  <c r="AS66" i="54"/>
  <c r="AT66" i="54" s="1"/>
  <c r="AS70" i="54"/>
  <c r="AT70" i="54" s="1"/>
  <c r="AS74" i="54"/>
  <c r="AT74" i="54" s="1"/>
  <c r="AS78" i="54"/>
  <c r="AT78" i="54" s="1"/>
  <c r="AS82" i="54"/>
  <c r="AT82" i="54" s="1"/>
  <c r="AS86" i="54"/>
  <c r="AT86" i="54" s="1"/>
  <c r="AS90" i="54"/>
  <c r="AT90" i="54" s="1"/>
  <c r="AS94" i="54"/>
  <c r="AT94" i="54" s="1"/>
  <c r="AS98" i="54"/>
  <c r="AT98" i="54" s="1"/>
  <c r="AS102" i="54"/>
  <c r="AT102" i="54" s="1"/>
  <c r="AS106" i="54"/>
  <c r="AT106" i="54" s="1"/>
  <c r="AS110" i="54"/>
  <c r="AT110" i="54" s="1"/>
  <c r="AS114" i="54"/>
  <c r="AT114" i="54" s="1"/>
  <c r="AS118" i="54"/>
  <c r="AT118" i="54" s="1"/>
  <c r="AS122" i="54"/>
  <c r="AT122" i="54" s="1"/>
  <c r="AS126" i="54"/>
  <c r="AT126" i="54" s="1"/>
  <c r="AS130" i="54"/>
  <c r="AT130" i="54" s="1"/>
  <c r="AS134" i="54"/>
  <c r="AT134" i="54" s="1"/>
  <c r="AS138" i="54"/>
  <c r="AT138" i="54" s="1"/>
  <c r="AS142" i="54"/>
  <c r="AT142" i="54" s="1"/>
  <c r="AS146" i="54"/>
  <c r="AT146" i="54" s="1"/>
  <c r="AS150" i="54"/>
  <c r="AT150" i="54" s="1"/>
  <c r="AS154" i="54"/>
  <c r="AT154" i="54" s="1"/>
  <c r="AS158" i="54"/>
  <c r="AT158" i="54" s="1"/>
  <c r="AS162" i="54"/>
  <c r="AT162" i="54" s="1"/>
  <c r="AS166" i="54"/>
  <c r="AT166" i="54" s="1"/>
  <c r="AS170" i="54"/>
  <c r="AT170" i="54" s="1"/>
  <c r="AS174" i="54"/>
  <c r="AT174" i="54" s="1"/>
  <c r="AS178" i="54"/>
  <c r="AT178" i="54" s="1"/>
  <c r="AS182" i="54"/>
  <c r="AT182" i="54" s="1"/>
  <c r="AS186" i="54"/>
  <c r="AT186" i="54" s="1"/>
  <c r="AS190" i="54"/>
  <c r="AT190" i="54" s="1"/>
  <c r="AS194" i="54"/>
  <c r="AT194" i="54" s="1"/>
  <c r="AS198" i="54"/>
  <c r="AT198" i="54" s="1"/>
  <c r="AS202" i="54"/>
  <c r="AT202" i="54" s="1"/>
  <c r="AS206" i="54"/>
  <c r="AT206" i="54" s="1"/>
  <c r="AS210" i="54"/>
  <c r="AT210" i="54" s="1"/>
  <c r="AS214" i="54"/>
  <c r="AT214" i="54" s="1"/>
  <c r="AS218" i="54"/>
  <c r="AT218" i="54" s="1"/>
  <c r="AS222" i="54"/>
  <c r="AT222" i="54" s="1"/>
  <c r="AS226" i="54"/>
  <c r="AT226" i="54" s="1"/>
  <c r="AS230" i="54"/>
  <c r="AT230" i="54" s="1"/>
  <c r="AS234" i="54"/>
  <c r="AT234" i="54" s="1"/>
  <c r="AS238" i="54"/>
  <c r="AT238" i="54" s="1"/>
  <c r="AS242" i="54"/>
  <c r="AT242" i="54" s="1"/>
  <c r="AS246" i="54"/>
  <c r="AT246" i="54" s="1"/>
  <c r="AS250" i="54"/>
  <c r="AT250" i="54" s="1"/>
  <c r="AS254" i="54"/>
  <c r="AT254" i="54" s="1"/>
  <c r="AS258" i="54"/>
  <c r="AT258" i="54" s="1"/>
  <c r="AS262" i="54"/>
  <c r="AT262" i="54" s="1"/>
  <c r="AS266" i="54"/>
  <c r="AT266" i="54" s="1"/>
  <c r="AS270" i="54"/>
  <c r="AT270" i="54" s="1"/>
  <c r="AS274" i="54"/>
  <c r="AT274" i="54" s="1"/>
  <c r="AS278" i="54"/>
  <c r="AT278" i="54" s="1"/>
  <c r="AS282" i="54"/>
  <c r="AT282" i="54" s="1"/>
  <c r="AS286" i="54"/>
  <c r="AT286" i="54" s="1"/>
  <c r="AS290" i="54"/>
  <c r="AT290" i="54" s="1"/>
  <c r="AS294" i="54"/>
  <c r="AT294" i="54" s="1"/>
  <c r="AS298" i="54"/>
  <c r="AT298" i="54" s="1"/>
  <c r="AS302" i="54"/>
  <c r="AT302" i="54" s="1"/>
  <c r="AS306" i="54"/>
  <c r="AT306" i="54" s="1"/>
  <c r="AS307" i="54"/>
  <c r="AT307" i="54" s="1"/>
  <c r="AS301" i="54"/>
  <c r="AT301" i="54" s="1"/>
  <c r="AS296" i="54"/>
  <c r="AT296" i="54" s="1"/>
  <c r="AS291" i="54"/>
  <c r="AT291" i="54" s="1"/>
  <c r="AS285" i="54"/>
  <c r="AT285" i="54" s="1"/>
  <c r="AS280" i="54"/>
  <c r="AT280" i="54" s="1"/>
  <c r="AS275" i="54"/>
  <c r="AT275" i="54" s="1"/>
  <c r="AS269" i="54"/>
  <c r="AT269" i="54" s="1"/>
  <c r="AS264" i="54"/>
  <c r="AT264" i="54" s="1"/>
  <c r="AS259" i="54"/>
  <c r="AT259" i="54" s="1"/>
  <c r="AS253" i="54"/>
  <c r="AT253" i="54" s="1"/>
  <c r="AS248" i="54"/>
  <c r="AT248" i="54" s="1"/>
  <c r="AS243" i="54"/>
  <c r="AT243" i="54" s="1"/>
  <c r="AS237" i="54"/>
  <c r="AT237" i="54" s="1"/>
  <c r="AS232" i="54"/>
  <c r="AT232" i="54" s="1"/>
  <c r="AS227" i="54"/>
  <c r="AT227" i="54" s="1"/>
  <c r="AS221" i="54"/>
  <c r="AT221" i="54" s="1"/>
  <c r="AS216" i="54"/>
  <c r="AT216" i="54" s="1"/>
  <c r="AS211" i="54"/>
  <c r="AT211" i="54" s="1"/>
  <c r="AS205" i="54"/>
  <c r="AT205" i="54" s="1"/>
  <c r="AS200" i="54"/>
  <c r="AT200" i="54" s="1"/>
  <c r="AS195" i="54"/>
  <c r="AT195" i="54" s="1"/>
  <c r="AS189" i="54"/>
  <c r="AT189" i="54" s="1"/>
  <c r="AS184" i="54"/>
  <c r="AT184" i="54" s="1"/>
  <c r="AS179" i="54"/>
  <c r="AT179" i="54" s="1"/>
  <c r="AS173" i="54"/>
  <c r="AT173" i="54" s="1"/>
  <c r="AS168" i="54"/>
  <c r="AT168" i="54" s="1"/>
  <c r="AS163" i="54"/>
  <c r="AT163" i="54" s="1"/>
  <c r="AS157" i="54"/>
  <c r="AT157" i="54" s="1"/>
  <c r="AS152" i="54"/>
  <c r="AT152" i="54" s="1"/>
  <c r="AS147" i="54"/>
  <c r="AT147" i="54" s="1"/>
  <c r="AS141" i="54"/>
  <c r="AT141" i="54" s="1"/>
  <c r="AS136" i="54"/>
  <c r="AT136" i="54" s="1"/>
  <c r="AS131" i="54"/>
  <c r="AT131" i="54" s="1"/>
  <c r="AS123" i="54"/>
  <c r="AT123" i="54" s="1"/>
  <c r="AS115" i="54"/>
  <c r="AT115" i="54" s="1"/>
  <c r="AS107" i="54"/>
  <c r="AT107" i="54" s="1"/>
  <c r="AS99" i="54"/>
  <c r="AT99" i="54" s="1"/>
  <c r="AS91" i="54"/>
  <c r="AT91" i="54" s="1"/>
  <c r="AS83" i="54"/>
  <c r="AT83" i="54" s="1"/>
  <c r="AS75" i="54"/>
  <c r="AT75" i="54" s="1"/>
  <c r="AS67" i="54"/>
  <c r="AT67" i="54" s="1"/>
  <c r="AS59" i="54"/>
  <c r="AT59" i="54" s="1"/>
  <c r="AS51" i="54"/>
  <c r="AT51" i="54" s="1"/>
  <c r="AS43" i="54"/>
  <c r="AT43" i="54" s="1"/>
  <c r="AS32" i="54"/>
  <c r="AT32" i="54" s="1"/>
  <c r="AS22" i="54"/>
  <c r="AT22" i="54" s="1"/>
  <c r="AS11" i="54"/>
  <c r="AT11" i="54" s="1"/>
  <c r="AO6" i="54"/>
  <c r="J310" i="48"/>
  <c r="J302" i="48"/>
  <c r="J4" i="48"/>
  <c r="Q4" i="48" s="1"/>
  <c r="J309" i="48"/>
  <c r="J314" i="48"/>
  <c r="J308" i="48"/>
  <c r="J312" i="48"/>
  <c r="J306" i="48"/>
  <c r="Q306" i="48" s="1"/>
  <c r="J298" i="48"/>
  <c r="J292" i="48"/>
  <c r="J288" i="48"/>
  <c r="P288" i="48" s="1"/>
  <c r="G288" i="43" s="1"/>
  <c r="J284" i="48"/>
  <c r="P284" i="48" s="1"/>
  <c r="G284" i="43" s="1"/>
  <c r="J280" i="48"/>
  <c r="P280" i="48" s="1"/>
  <c r="G280" i="43" s="1"/>
  <c r="J275" i="48"/>
  <c r="J271" i="48"/>
  <c r="J267" i="48"/>
  <c r="J263" i="48"/>
  <c r="J259" i="48"/>
  <c r="J255" i="48"/>
  <c r="J251" i="48"/>
  <c r="J247" i="48"/>
  <c r="J242" i="48"/>
  <c r="Q242" i="48" s="1"/>
  <c r="J238" i="48"/>
  <c r="P238" i="48" s="1"/>
  <c r="G238" i="43" s="1"/>
  <c r="J234" i="48"/>
  <c r="J230" i="48"/>
  <c r="J226" i="48"/>
  <c r="Q226" i="48" s="1"/>
  <c r="J221" i="48"/>
  <c r="J217" i="48"/>
  <c r="J212" i="48"/>
  <c r="J207" i="48"/>
  <c r="J203" i="48"/>
  <c r="J199" i="48"/>
  <c r="J194" i="48"/>
  <c r="Q194" i="48" s="1"/>
  <c r="J190" i="48"/>
  <c r="P190" i="48" s="1"/>
  <c r="G190" i="43" s="1"/>
  <c r="J186" i="48"/>
  <c r="J180" i="48"/>
  <c r="J176" i="48"/>
  <c r="P176" i="48" s="1"/>
  <c r="G176" i="43" s="1"/>
  <c r="J172" i="48"/>
  <c r="P172" i="48" s="1"/>
  <c r="G172" i="43" s="1"/>
  <c r="J168" i="48"/>
  <c r="P168" i="48" s="1"/>
  <c r="G168" i="43" s="1"/>
  <c r="J164" i="48"/>
  <c r="J159" i="48"/>
  <c r="J154" i="48"/>
  <c r="J150" i="48"/>
  <c r="J146" i="48"/>
  <c r="J142" i="48"/>
  <c r="P142" i="48" s="1"/>
  <c r="G142" i="43" s="1"/>
  <c r="J136" i="48"/>
  <c r="P136" i="48" s="1"/>
  <c r="G136" i="43" s="1"/>
  <c r="J131" i="48"/>
  <c r="J126" i="48"/>
  <c r="P126" i="48" s="1"/>
  <c r="G126" i="43" s="1"/>
  <c r="J121" i="48"/>
  <c r="P121" i="48" s="1"/>
  <c r="G121" i="43" s="1"/>
  <c r="J117" i="48"/>
  <c r="Q117" i="48" s="1"/>
  <c r="J113" i="48"/>
  <c r="J109" i="48"/>
  <c r="Q109" i="48" s="1"/>
  <c r="J104" i="48"/>
  <c r="P104" i="48" s="1"/>
  <c r="G104" i="43" s="1"/>
  <c r="J100" i="48"/>
  <c r="J95" i="48"/>
  <c r="J91" i="48"/>
  <c r="J86" i="48"/>
  <c r="J81" i="48"/>
  <c r="J74" i="48"/>
  <c r="Q74" i="48" s="1"/>
  <c r="J70" i="48"/>
  <c r="J66" i="48"/>
  <c r="P66" i="48" s="1"/>
  <c r="G66" i="43" s="1"/>
  <c r="J62" i="48"/>
  <c r="P62" i="48" s="1"/>
  <c r="G62" i="43" s="1"/>
  <c r="J57" i="48"/>
  <c r="P57" i="48" s="1"/>
  <c r="G57" i="43" s="1"/>
  <c r="J53" i="48"/>
  <c r="Q53" i="48" s="1"/>
  <c r="J49" i="48"/>
  <c r="J44" i="48"/>
  <c r="P44" i="48" s="1"/>
  <c r="G44" i="43" s="1"/>
  <c r="J40" i="48"/>
  <c r="P40" i="48" s="1"/>
  <c r="G40" i="43" s="1"/>
  <c r="J36" i="48"/>
  <c r="J32" i="48"/>
  <c r="Q32" i="48" s="1"/>
  <c r="J28" i="48"/>
  <c r="P28" i="48" s="1"/>
  <c r="G28" i="43" s="1"/>
  <c r="J24" i="48"/>
  <c r="J20" i="48"/>
  <c r="P20" i="48" s="1"/>
  <c r="G20" i="43" s="1"/>
  <c r="J15" i="48"/>
  <c r="J11" i="48"/>
  <c r="P11" i="48" s="1"/>
  <c r="G11" i="43" s="1"/>
  <c r="J7" i="48"/>
  <c r="J305" i="48"/>
  <c r="J301" i="48"/>
  <c r="J295" i="48"/>
  <c r="J291" i="48"/>
  <c r="J287" i="48"/>
  <c r="J283" i="48"/>
  <c r="J279" i="48"/>
  <c r="J274" i="48"/>
  <c r="Q274" i="48" s="1"/>
  <c r="J270" i="48"/>
  <c r="P270" i="48" s="1"/>
  <c r="G270" i="43" s="1"/>
  <c r="J266" i="48"/>
  <c r="J262" i="48"/>
  <c r="J258" i="48"/>
  <c r="Q258" i="48" s="1"/>
  <c r="J254" i="48"/>
  <c r="P254" i="48" s="1"/>
  <c r="G254" i="43" s="1"/>
  <c r="J250" i="48"/>
  <c r="J245" i="48"/>
  <c r="J241" i="48"/>
  <c r="J237" i="48"/>
  <c r="J233" i="48"/>
  <c r="J229" i="48"/>
  <c r="J225" i="48"/>
  <c r="J220" i="48"/>
  <c r="P220" i="48" s="1"/>
  <c r="G220" i="43" s="1"/>
  <c r="J215" i="48"/>
  <c r="J211" i="48"/>
  <c r="J206" i="48"/>
  <c r="P206" i="48" s="1"/>
  <c r="G206" i="43" s="1"/>
  <c r="J202" i="48"/>
  <c r="J198" i="48"/>
  <c r="J193" i="48"/>
  <c r="J189" i="48"/>
  <c r="J185" i="48"/>
  <c r="J179" i="48"/>
  <c r="J175" i="48"/>
  <c r="J171" i="48"/>
  <c r="J167" i="48"/>
  <c r="J163" i="48"/>
  <c r="J158" i="48"/>
  <c r="P158" i="48" s="1"/>
  <c r="G158" i="43" s="1"/>
  <c r="J153" i="48"/>
  <c r="P153" i="48" s="1"/>
  <c r="G153" i="43" s="1"/>
  <c r="J149" i="48"/>
  <c r="Q149" i="48" s="1"/>
  <c r="J145" i="48"/>
  <c r="J141" i="48"/>
  <c r="Q141" i="48" s="1"/>
  <c r="J135" i="48"/>
  <c r="J130" i="48"/>
  <c r="P130" i="48" s="1"/>
  <c r="G130" i="43" s="1"/>
  <c r="J125" i="48"/>
  <c r="Q125" i="48" s="1"/>
  <c r="J120" i="48"/>
  <c r="P120" i="48" s="1"/>
  <c r="G120" i="43" s="1"/>
  <c r="J116" i="48"/>
  <c r="J112" i="48"/>
  <c r="P112" i="48" s="1"/>
  <c r="G112" i="43" s="1"/>
  <c r="J107" i="48"/>
  <c r="J103" i="48"/>
  <c r="J99" i="48"/>
  <c r="J94" i="48"/>
  <c r="P94" i="48" s="1"/>
  <c r="G94" i="43" s="1"/>
  <c r="J89" i="48"/>
  <c r="P89" i="48" s="1"/>
  <c r="G89" i="43" s="1"/>
  <c r="J85" i="48"/>
  <c r="Q85" i="48" s="1"/>
  <c r="J79" i="48"/>
  <c r="J73" i="48"/>
  <c r="P73" i="48" s="1"/>
  <c r="G73" i="43" s="1"/>
  <c r="J69" i="48"/>
  <c r="Q69" i="48" s="1"/>
  <c r="J65" i="48"/>
  <c r="J61" i="48"/>
  <c r="Q61" i="48" s="1"/>
  <c r="J56" i="48"/>
  <c r="P56" i="48" s="1"/>
  <c r="G56" i="43" s="1"/>
  <c r="J52" i="48"/>
  <c r="J48" i="48"/>
  <c r="P48" i="48" s="1"/>
  <c r="G48" i="43" s="1"/>
  <c r="J43" i="48"/>
  <c r="J39" i="48"/>
  <c r="J35" i="48"/>
  <c r="J31" i="48"/>
  <c r="J27" i="48"/>
  <c r="J23" i="48"/>
  <c r="J19" i="48"/>
  <c r="P19" i="48" s="1"/>
  <c r="G19" i="43" s="1"/>
  <c r="J14" i="48"/>
  <c r="Q14" i="48" s="1"/>
  <c r="J10" i="48"/>
  <c r="Q10" i="48" s="1"/>
  <c r="J6" i="48"/>
  <c r="Q6" i="48" s="1"/>
  <c r="J304" i="48"/>
  <c r="Q304" i="48" s="1"/>
  <c r="J300" i="48"/>
  <c r="J294" i="48"/>
  <c r="J290" i="48"/>
  <c r="Q290" i="48" s="1"/>
  <c r="J286" i="48"/>
  <c r="P286" i="48" s="1"/>
  <c r="G286" i="43" s="1"/>
  <c r="J282" i="48"/>
  <c r="J277" i="48"/>
  <c r="J273" i="48"/>
  <c r="J269" i="48"/>
  <c r="J265" i="48"/>
  <c r="J261" i="48"/>
  <c r="J257" i="48"/>
  <c r="J253" i="48"/>
  <c r="J249" i="48"/>
  <c r="J244" i="48"/>
  <c r="J240" i="48"/>
  <c r="P240" i="48" s="1"/>
  <c r="G240" i="43" s="1"/>
  <c r="J236" i="48"/>
  <c r="P236" i="48" s="1"/>
  <c r="G236" i="43" s="1"/>
  <c r="J232" i="48"/>
  <c r="P232" i="48" s="1"/>
  <c r="G232" i="43" s="1"/>
  <c r="J228" i="48"/>
  <c r="J224" i="48"/>
  <c r="P224" i="48" s="1"/>
  <c r="G224" i="43" s="1"/>
  <c r="J219" i="48"/>
  <c r="J214" i="48"/>
  <c r="J209" i="48"/>
  <c r="J205" i="48"/>
  <c r="J201" i="48"/>
  <c r="J196" i="48"/>
  <c r="J192" i="48"/>
  <c r="P192" i="48" s="1"/>
  <c r="G192" i="43" s="1"/>
  <c r="J188" i="48"/>
  <c r="P188" i="48" s="1"/>
  <c r="G188" i="43" s="1"/>
  <c r="J184" i="48"/>
  <c r="P184" i="48" s="1"/>
  <c r="G184" i="43" s="1"/>
  <c r="J178" i="48"/>
  <c r="Q178" i="48" s="1"/>
  <c r="J174" i="48"/>
  <c r="P174" i="48" s="1"/>
  <c r="G174" i="43" s="1"/>
  <c r="J170" i="48"/>
  <c r="J166" i="48"/>
  <c r="J162" i="48"/>
  <c r="Q162" i="48" s="1"/>
  <c r="J157" i="48"/>
  <c r="J152" i="48"/>
  <c r="P152" i="48" s="1"/>
  <c r="G152" i="43" s="1"/>
  <c r="J148" i="48"/>
  <c r="J144" i="48"/>
  <c r="P144" i="48" s="1"/>
  <c r="G144" i="43" s="1"/>
  <c r="J140" i="48"/>
  <c r="P140" i="48" s="1"/>
  <c r="G140" i="43" s="1"/>
  <c r="J133" i="48"/>
  <c r="Q133" i="48" s="1"/>
  <c r="J128" i="48"/>
  <c r="P128" i="48" s="1"/>
  <c r="G128" i="43" s="1"/>
  <c r="J124" i="48"/>
  <c r="P124" i="48" s="1"/>
  <c r="G124" i="43" s="1"/>
  <c r="J119" i="48"/>
  <c r="J115" i="48"/>
  <c r="J111" i="48"/>
  <c r="J106" i="48"/>
  <c r="Q106" i="48" s="1"/>
  <c r="J102" i="48"/>
  <c r="J98" i="48"/>
  <c r="P98" i="48" s="1"/>
  <c r="G98" i="43" s="1"/>
  <c r="J93" i="48"/>
  <c r="Q93" i="48" s="1"/>
  <c r="J88" i="48"/>
  <c r="P88" i="48" s="1"/>
  <c r="G88" i="43" s="1"/>
  <c r="J84" i="48"/>
  <c r="J78" i="48"/>
  <c r="P78" i="48" s="1"/>
  <c r="G78" i="43" s="1"/>
  <c r="J72" i="48"/>
  <c r="P72" i="48" s="1"/>
  <c r="G72" i="43" s="1"/>
  <c r="J68" i="48"/>
  <c r="J64" i="48"/>
  <c r="P64" i="48" s="1"/>
  <c r="G64" i="43" s="1"/>
  <c r="J60" i="48"/>
  <c r="P60" i="48" s="1"/>
  <c r="G60" i="43" s="1"/>
  <c r="J55" i="48"/>
  <c r="J51" i="48"/>
  <c r="J46" i="48"/>
  <c r="P46" i="48" s="1"/>
  <c r="G46" i="43" s="1"/>
  <c r="J42" i="48"/>
  <c r="Q42" i="48" s="1"/>
  <c r="J38" i="48"/>
  <c r="J34" i="48"/>
  <c r="Q34" i="48" s="1"/>
  <c r="J30" i="48"/>
  <c r="P30" i="48" s="1"/>
  <c r="G30" i="43" s="1"/>
  <c r="J26" i="48"/>
  <c r="Q26" i="48" s="1"/>
  <c r="J22" i="48"/>
  <c r="J18" i="48"/>
  <c r="Q18" i="48" s="1"/>
  <c r="J13" i="48"/>
  <c r="Q13" i="48" s="1"/>
  <c r="J9" i="48"/>
  <c r="J5" i="48"/>
  <c r="Q5" i="48" s="1"/>
  <c r="J311" i="48"/>
  <c r="Q311" i="48" s="1"/>
  <c r="J307" i="48"/>
  <c r="J303" i="48"/>
  <c r="J299" i="48"/>
  <c r="J293" i="48"/>
  <c r="J289" i="48"/>
  <c r="J285" i="48"/>
  <c r="J281" i="48"/>
  <c r="J276" i="48"/>
  <c r="J272" i="48"/>
  <c r="P272" i="48" s="1"/>
  <c r="G272" i="43" s="1"/>
  <c r="J268" i="48"/>
  <c r="P268" i="48" s="1"/>
  <c r="G268" i="43" s="1"/>
  <c r="J264" i="48"/>
  <c r="P264" i="48" s="1"/>
  <c r="G264" i="43" s="1"/>
  <c r="J260" i="48"/>
  <c r="J256" i="48"/>
  <c r="P256" i="48" s="1"/>
  <c r="G256" i="43" s="1"/>
  <c r="J252" i="48"/>
  <c r="P252" i="48" s="1"/>
  <c r="G252" i="43" s="1"/>
  <c r="J248" i="48"/>
  <c r="P248" i="48" s="1"/>
  <c r="G248" i="43" s="1"/>
  <c r="J243" i="48"/>
  <c r="J239" i="48"/>
  <c r="J235" i="48"/>
  <c r="J231" i="48"/>
  <c r="J227" i="48"/>
  <c r="P227" i="48" s="1"/>
  <c r="G227" i="43" s="1"/>
  <c r="J223" i="48"/>
  <c r="Q223" i="48" s="1"/>
  <c r="R223" i="48" s="1"/>
  <c r="N223" i="43" s="1"/>
  <c r="J218" i="48"/>
  <c r="J213" i="48"/>
  <c r="J208" i="48"/>
  <c r="P208" i="48" s="1"/>
  <c r="G208" i="43" s="1"/>
  <c r="J204" i="48"/>
  <c r="P204" i="48" s="1"/>
  <c r="G204" i="43" s="1"/>
  <c r="J200" i="48"/>
  <c r="P200" i="48" s="1"/>
  <c r="G200" i="43" s="1"/>
  <c r="J195" i="48"/>
  <c r="J191" i="48"/>
  <c r="Q191" i="48" s="1"/>
  <c r="R191" i="48" s="1"/>
  <c r="N191" i="43" s="1"/>
  <c r="J187" i="48"/>
  <c r="Q187" i="48" s="1"/>
  <c r="R187" i="48" s="1"/>
  <c r="N187" i="43" s="1"/>
  <c r="J183" i="48"/>
  <c r="J177" i="48"/>
  <c r="J173" i="48"/>
  <c r="Q173" i="48" s="1"/>
  <c r="R173" i="48" s="1"/>
  <c r="N173" i="43" s="1"/>
  <c r="J169" i="48"/>
  <c r="J165" i="48"/>
  <c r="Q165" i="48" s="1"/>
  <c r="R165" i="48" s="1"/>
  <c r="N165" i="43" s="1"/>
  <c r="J161" i="48"/>
  <c r="J155" i="48"/>
  <c r="J151" i="48"/>
  <c r="J147" i="48"/>
  <c r="Q147" i="48" s="1"/>
  <c r="R147" i="48" s="1"/>
  <c r="N147" i="43" s="1"/>
  <c r="J143" i="48"/>
  <c r="J139" i="48"/>
  <c r="Q139" i="48" s="1"/>
  <c r="R139" i="48" s="1"/>
  <c r="N139" i="43" s="1"/>
  <c r="J132" i="48"/>
  <c r="J127" i="48"/>
  <c r="Q127" i="48" s="1"/>
  <c r="R127" i="48" s="1"/>
  <c r="N127" i="43" s="1"/>
  <c r="J122" i="48"/>
  <c r="Q122" i="48" s="1"/>
  <c r="J118" i="48"/>
  <c r="P118" i="48" s="1"/>
  <c r="G118" i="43" s="1"/>
  <c r="J114" i="48"/>
  <c r="J110" i="48"/>
  <c r="P110" i="48" s="1"/>
  <c r="G110" i="43" s="1"/>
  <c r="J105" i="48"/>
  <c r="P105" i="48" s="1"/>
  <c r="G105" i="43" s="1"/>
  <c r="J101" i="48"/>
  <c r="Q101" i="48" s="1"/>
  <c r="J97" i="48"/>
  <c r="J92" i="48"/>
  <c r="P92" i="48" s="1"/>
  <c r="G92" i="43" s="1"/>
  <c r="J87" i="48"/>
  <c r="J82" i="48"/>
  <c r="P82" i="48" s="1"/>
  <c r="G82" i="43" s="1"/>
  <c r="J77" i="48"/>
  <c r="Q77" i="48" s="1"/>
  <c r="J71" i="48"/>
  <c r="Q71" i="48" s="1"/>
  <c r="R71" i="48" s="1"/>
  <c r="N71" i="43" s="1"/>
  <c r="J67" i="48"/>
  <c r="Q67" i="48" s="1"/>
  <c r="R67" i="48" s="1"/>
  <c r="N67" i="43" s="1"/>
  <c r="J63" i="48"/>
  <c r="Q63" i="48" s="1"/>
  <c r="R63" i="48" s="1"/>
  <c r="N63" i="43" s="1"/>
  <c r="J58" i="48"/>
  <c r="Q58" i="48" s="1"/>
  <c r="J54" i="48"/>
  <c r="J50" i="48"/>
  <c r="Q50" i="48" s="1"/>
  <c r="R50" i="48" s="1"/>
  <c r="N50" i="43" s="1"/>
  <c r="J45" i="48"/>
  <c r="Q45" i="48" s="1"/>
  <c r="J41" i="48"/>
  <c r="P41" i="48" s="1"/>
  <c r="G41" i="43" s="1"/>
  <c r="J37" i="48"/>
  <c r="Q37" i="48" s="1"/>
  <c r="J33" i="48"/>
  <c r="J29" i="48"/>
  <c r="Q29" i="48" s="1"/>
  <c r="J25" i="48"/>
  <c r="Q25" i="48" s="1"/>
  <c r="R25" i="48" s="1"/>
  <c r="N25" i="43" s="1"/>
  <c r="J21" i="48"/>
  <c r="Q21" i="48" s="1"/>
  <c r="J16" i="48"/>
  <c r="J12" i="48"/>
  <c r="P12" i="48" s="1"/>
  <c r="G12" i="43" s="1"/>
  <c r="Q303" i="48"/>
  <c r="R303" i="48" s="1"/>
  <c r="N303" i="43" s="1"/>
  <c r="Q295" i="48"/>
  <c r="R295" i="48" s="1"/>
  <c r="N295" i="43" s="1"/>
  <c r="Q287" i="48"/>
  <c r="R287" i="48" s="1"/>
  <c r="N287" i="43" s="1"/>
  <c r="Q279" i="48"/>
  <c r="R279" i="48" s="1"/>
  <c r="N279" i="43" s="1"/>
  <c r="Q271" i="48"/>
  <c r="R271" i="48" s="1"/>
  <c r="N271" i="43" s="1"/>
  <c r="Q263" i="48"/>
  <c r="R263" i="48" s="1"/>
  <c r="N263" i="43" s="1"/>
  <c r="Q255" i="48"/>
  <c r="R255" i="48" s="1"/>
  <c r="N255" i="43" s="1"/>
  <c r="Q247" i="48"/>
  <c r="R247" i="48" s="1"/>
  <c r="N247" i="43" s="1"/>
  <c r="Q239" i="48"/>
  <c r="R239" i="48" s="1"/>
  <c r="N239" i="43" s="1"/>
  <c r="Q231" i="48"/>
  <c r="R231" i="48" s="1"/>
  <c r="N231" i="43" s="1"/>
  <c r="Q215" i="48"/>
  <c r="R215" i="48" s="1"/>
  <c r="N215" i="43" s="1"/>
  <c r="Q207" i="48"/>
  <c r="R207" i="48" s="1"/>
  <c r="N207" i="43" s="1"/>
  <c r="Q199" i="48"/>
  <c r="R199" i="48" s="1"/>
  <c r="N199" i="43" s="1"/>
  <c r="Q183" i="48"/>
  <c r="R183" i="48" s="1"/>
  <c r="N183" i="43" s="1"/>
  <c r="Q175" i="48"/>
  <c r="R175" i="48" s="1"/>
  <c r="N175" i="43" s="1"/>
  <c r="Q167" i="48"/>
  <c r="R167" i="48" s="1"/>
  <c r="N167" i="43" s="1"/>
  <c r="Q159" i="48"/>
  <c r="R159" i="48" s="1"/>
  <c r="N159" i="43" s="1"/>
  <c r="Q151" i="48"/>
  <c r="R151" i="48" s="1"/>
  <c r="N151" i="43" s="1"/>
  <c r="Q143" i="48"/>
  <c r="R143" i="48" s="1"/>
  <c r="N143" i="43" s="1"/>
  <c r="Q135" i="48"/>
  <c r="R135" i="48" s="1"/>
  <c r="N135" i="43" s="1"/>
  <c r="Q131" i="48"/>
  <c r="R131" i="48" s="1"/>
  <c r="N131" i="43" s="1"/>
  <c r="Q119" i="48"/>
  <c r="R119" i="48" s="1"/>
  <c r="N119" i="43" s="1"/>
  <c r="Q115" i="48"/>
  <c r="R115" i="48" s="1"/>
  <c r="N115" i="43" s="1"/>
  <c r="Q111" i="48"/>
  <c r="R111" i="48" s="1"/>
  <c r="N111" i="43" s="1"/>
  <c r="Q107" i="48"/>
  <c r="R107" i="48" s="1"/>
  <c r="N107" i="43" s="1"/>
  <c r="Q103" i="48"/>
  <c r="R103" i="48" s="1"/>
  <c r="N103" i="43" s="1"/>
  <c r="Q99" i="48"/>
  <c r="R99" i="48" s="1"/>
  <c r="N99" i="43" s="1"/>
  <c r="Q95" i="48"/>
  <c r="R95" i="48" s="1"/>
  <c r="N95" i="43" s="1"/>
  <c r="Q91" i="48"/>
  <c r="R91" i="48" s="1"/>
  <c r="N91" i="43" s="1"/>
  <c r="Q87" i="48"/>
  <c r="R87" i="48" s="1"/>
  <c r="N87" i="43" s="1"/>
  <c r="Q79" i="48"/>
  <c r="R79" i="48" s="1"/>
  <c r="N79" i="43" s="1"/>
  <c r="Q55" i="48"/>
  <c r="R55" i="48" s="1"/>
  <c r="N55" i="43" s="1"/>
  <c r="Q51" i="48"/>
  <c r="R51" i="48" s="1"/>
  <c r="N51" i="43" s="1"/>
  <c r="Q43" i="48"/>
  <c r="R43" i="48" s="1"/>
  <c r="N43" i="43" s="1"/>
  <c r="Q39" i="48"/>
  <c r="R39" i="48" s="1"/>
  <c r="N39" i="43" s="1"/>
  <c r="Q35" i="48"/>
  <c r="R35" i="48" s="1"/>
  <c r="N35" i="43" s="1"/>
  <c r="Q31" i="48"/>
  <c r="R31" i="48" s="1"/>
  <c r="N31" i="43" s="1"/>
  <c r="Q27" i="48"/>
  <c r="R27" i="48" s="1"/>
  <c r="N27" i="43" s="1"/>
  <c r="Q23" i="48"/>
  <c r="R23" i="48" s="1"/>
  <c r="N23" i="43" s="1"/>
  <c r="Q19" i="48"/>
  <c r="R19" i="48" s="1"/>
  <c r="Q15" i="48"/>
  <c r="R15" i="48" s="1"/>
  <c r="N15" i="43" s="1"/>
  <c r="Q11" i="48"/>
  <c r="R11" i="48" s="1"/>
  <c r="Q7" i="48"/>
  <c r="R7" i="48" s="1"/>
  <c r="N7" i="43" s="1"/>
  <c r="P5" i="48"/>
  <c r="G5" i="43" s="1"/>
  <c r="P311" i="48"/>
  <c r="G311" i="43" s="1"/>
  <c r="P307" i="48"/>
  <c r="G307" i="43" s="1"/>
  <c r="P303" i="48"/>
  <c r="G303" i="43" s="1"/>
  <c r="P299" i="48"/>
  <c r="G299" i="43" s="1"/>
  <c r="P295" i="48"/>
  <c r="G295" i="43" s="1"/>
  <c r="P291" i="48"/>
  <c r="G291" i="43" s="1"/>
  <c r="P275" i="48"/>
  <c r="G275" i="43" s="1"/>
  <c r="P259" i="48"/>
  <c r="G259" i="43" s="1"/>
  <c r="P243" i="48"/>
  <c r="G243" i="43" s="1"/>
  <c r="P211" i="48"/>
  <c r="G211" i="43" s="1"/>
  <c r="P195" i="48"/>
  <c r="G195" i="43" s="1"/>
  <c r="P179" i="48"/>
  <c r="G179" i="43" s="1"/>
  <c r="P163" i="48"/>
  <c r="G163" i="43" s="1"/>
  <c r="P147" i="48"/>
  <c r="G147" i="43" s="1"/>
  <c r="P131" i="48"/>
  <c r="G131" i="43" s="1"/>
  <c r="P115" i="48"/>
  <c r="G115" i="43" s="1"/>
  <c r="P99" i="48"/>
  <c r="G99" i="43" s="1"/>
  <c r="P67" i="48"/>
  <c r="G67" i="43" s="1"/>
  <c r="P51" i="48"/>
  <c r="G51" i="43" s="1"/>
  <c r="P35" i="48"/>
  <c r="G35" i="43" s="1"/>
  <c r="P23" i="48"/>
  <c r="G23" i="43" s="1"/>
  <c r="P15" i="48"/>
  <c r="G15" i="43" s="1"/>
  <c r="P7" i="48"/>
  <c r="G7" i="43" s="1"/>
  <c r="Q66" i="48"/>
  <c r="R66" i="48" s="1"/>
  <c r="Q98" i="48"/>
  <c r="R98" i="48" s="1"/>
  <c r="Q114" i="48"/>
  <c r="R114" i="48" s="1"/>
  <c r="N114" i="43" s="1"/>
  <c r="Q130" i="48"/>
  <c r="R130" i="48" s="1"/>
  <c r="Q146" i="48"/>
  <c r="R146" i="48" s="1"/>
  <c r="N146" i="43" s="1"/>
  <c r="Q155" i="48"/>
  <c r="R155" i="48" s="1"/>
  <c r="N155" i="43" s="1"/>
  <c r="Q171" i="48"/>
  <c r="R171" i="48" s="1"/>
  <c r="N171" i="43" s="1"/>
  <c r="Q203" i="48"/>
  <c r="R203" i="48" s="1"/>
  <c r="N203" i="43" s="1"/>
  <c r="Q219" i="48"/>
  <c r="R219" i="48" s="1"/>
  <c r="N219" i="43" s="1"/>
  <c r="Q235" i="48"/>
  <c r="R235" i="48" s="1"/>
  <c r="N235" i="43" s="1"/>
  <c r="Q251" i="48"/>
  <c r="R251" i="48" s="1"/>
  <c r="N251" i="43" s="1"/>
  <c r="Q267" i="48"/>
  <c r="R267" i="48" s="1"/>
  <c r="N267" i="43" s="1"/>
  <c r="Q283" i="48"/>
  <c r="R283" i="48" s="1"/>
  <c r="N283" i="43" s="1"/>
  <c r="Q299" i="48"/>
  <c r="R299" i="48" s="1"/>
  <c r="N299" i="43" s="1"/>
  <c r="U299" i="43" s="1"/>
  <c r="R4" i="48"/>
  <c r="N4" i="43" s="1"/>
  <c r="R290" i="48"/>
  <c r="N290" i="43" s="1"/>
  <c r="R258" i="48"/>
  <c r="N258" i="43" s="1"/>
  <c r="R226" i="48"/>
  <c r="N226" i="43" s="1"/>
  <c r="R194" i="48"/>
  <c r="N194" i="43" s="1"/>
  <c r="R162" i="48"/>
  <c r="N162" i="43" s="1"/>
  <c r="R32" i="48"/>
  <c r="N32" i="43" s="1"/>
  <c r="Q314" i="48"/>
  <c r="R314" i="48" s="1"/>
  <c r="N314" i="43" s="1"/>
  <c r="Q310" i="48"/>
  <c r="R310" i="48" s="1"/>
  <c r="N310" i="43" s="1"/>
  <c r="Q302" i="48"/>
  <c r="R302" i="48" s="1"/>
  <c r="N302" i="43" s="1"/>
  <c r="Q298" i="48"/>
  <c r="R298" i="48" s="1"/>
  <c r="N298" i="43" s="1"/>
  <c r="Q294" i="48"/>
  <c r="R294" i="48" s="1"/>
  <c r="N294" i="43" s="1"/>
  <c r="Q286" i="48"/>
  <c r="R286" i="48" s="1"/>
  <c r="Q282" i="48"/>
  <c r="R282" i="48" s="1"/>
  <c r="N282" i="43" s="1"/>
  <c r="Q270" i="48"/>
  <c r="R270" i="48" s="1"/>
  <c r="Q266" i="48"/>
  <c r="R266" i="48" s="1"/>
  <c r="N266" i="43" s="1"/>
  <c r="Q262" i="48"/>
  <c r="R262" i="48" s="1"/>
  <c r="N262" i="43" s="1"/>
  <c r="Q254" i="48"/>
  <c r="R254" i="48" s="1"/>
  <c r="Q250" i="48"/>
  <c r="R250" i="48" s="1"/>
  <c r="N250" i="43" s="1"/>
  <c r="Q238" i="48"/>
  <c r="R238" i="48" s="1"/>
  <c r="Q234" i="48"/>
  <c r="R234" i="48" s="1"/>
  <c r="N234" i="43" s="1"/>
  <c r="Q230" i="48"/>
  <c r="R230" i="48" s="1"/>
  <c r="N230" i="43" s="1"/>
  <c r="Q218" i="48"/>
  <c r="R218" i="48" s="1"/>
  <c r="N218" i="43" s="1"/>
  <c r="Q214" i="48"/>
  <c r="R214" i="48" s="1"/>
  <c r="N214" i="43" s="1"/>
  <c r="Q206" i="48"/>
  <c r="R206" i="48" s="1"/>
  <c r="Q202" i="48"/>
  <c r="R202" i="48" s="1"/>
  <c r="N202" i="43" s="1"/>
  <c r="Q198" i="48"/>
  <c r="R198" i="48" s="1"/>
  <c r="N198" i="43" s="1"/>
  <c r="Q190" i="48"/>
  <c r="R190" i="48" s="1"/>
  <c r="Q186" i="48"/>
  <c r="R186" i="48" s="1"/>
  <c r="N186" i="43" s="1"/>
  <c r="Q174" i="48"/>
  <c r="R174" i="48" s="1"/>
  <c r="Q170" i="48"/>
  <c r="R170" i="48" s="1"/>
  <c r="N170" i="43" s="1"/>
  <c r="Q166" i="48"/>
  <c r="R166" i="48" s="1"/>
  <c r="N166" i="43" s="1"/>
  <c r="Q158" i="48"/>
  <c r="R158" i="48" s="1"/>
  <c r="Q154" i="48"/>
  <c r="R154" i="48" s="1"/>
  <c r="N154" i="43" s="1"/>
  <c r="R122" i="48"/>
  <c r="N122" i="43" s="1"/>
  <c r="R106" i="48"/>
  <c r="N106" i="43" s="1"/>
  <c r="R74" i="48"/>
  <c r="N74" i="43" s="1"/>
  <c r="R58" i="48"/>
  <c r="N58" i="43" s="1"/>
  <c r="R42" i="48"/>
  <c r="N42" i="43" s="1"/>
  <c r="R34" i="48"/>
  <c r="N34" i="43" s="1"/>
  <c r="R26" i="48"/>
  <c r="N26" i="43" s="1"/>
  <c r="P26" i="48"/>
  <c r="G26" i="43" s="1"/>
  <c r="P22" i="48"/>
  <c r="G22" i="43" s="1"/>
  <c r="R18" i="48"/>
  <c r="N18" i="43" s="1"/>
  <c r="P18" i="48"/>
  <c r="G18" i="43" s="1"/>
  <c r="R14" i="48"/>
  <c r="N14" i="43" s="1"/>
  <c r="P14" i="48"/>
  <c r="G14" i="43" s="1"/>
  <c r="R10" i="48"/>
  <c r="N10" i="43" s="1"/>
  <c r="P10" i="48"/>
  <c r="G10" i="43" s="1"/>
  <c r="R6" i="48"/>
  <c r="N6" i="43" s="1"/>
  <c r="P6" i="48"/>
  <c r="G6" i="43" s="1"/>
  <c r="P314" i="48"/>
  <c r="G314" i="43" s="1"/>
  <c r="P310" i="48"/>
  <c r="G310" i="43" s="1"/>
  <c r="P306" i="48"/>
  <c r="G306" i="43" s="1"/>
  <c r="P302" i="48"/>
  <c r="G302" i="43" s="1"/>
  <c r="P298" i="48"/>
  <c r="G298" i="43" s="1"/>
  <c r="P294" i="48"/>
  <c r="G294" i="43" s="1"/>
  <c r="P290" i="48"/>
  <c r="G290" i="43" s="1"/>
  <c r="P279" i="48"/>
  <c r="G279" i="43" s="1"/>
  <c r="P274" i="48"/>
  <c r="G274" i="43" s="1"/>
  <c r="P263" i="48"/>
  <c r="G263" i="43" s="1"/>
  <c r="P258" i="48"/>
  <c r="G258" i="43" s="1"/>
  <c r="P247" i="48"/>
  <c r="G247" i="43" s="1"/>
  <c r="P242" i="48"/>
  <c r="G242" i="43" s="1"/>
  <c r="P231" i="48"/>
  <c r="G231" i="43" s="1"/>
  <c r="P226" i="48"/>
  <c r="G226" i="43" s="1"/>
  <c r="P215" i="48"/>
  <c r="G215" i="43" s="1"/>
  <c r="P199" i="48"/>
  <c r="G199" i="43" s="1"/>
  <c r="P194" i="48"/>
  <c r="G194" i="43" s="1"/>
  <c r="P183" i="48"/>
  <c r="G183" i="43" s="1"/>
  <c r="P178" i="48"/>
  <c r="G178" i="43" s="1"/>
  <c r="P167" i="48"/>
  <c r="G167" i="43" s="1"/>
  <c r="P162" i="48"/>
  <c r="G162" i="43" s="1"/>
  <c r="P151" i="48"/>
  <c r="G151" i="43" s="1"/>
  <c r="P146" i="48"/>
  <c r="G146" i="43" s="1"/>
  <c r="P135" i="48"/>
  <c r="G135" i="43" s="1"/>
  <c r="P119" i="48"/>
  <c r="G119" i="43" s="1"/>
  <c r="P114" i="48"/>
  <c r="G114" i="43" s="1"/>
  <c r="P103" i="48"/>
  <c r="G103" i="43" s="1"/>
  <c r="P87" i="48"/>
  <c r="G87" i="43" s="1"/>
  <c r="P71" i="48"/>
  <c r="G71" i="43" s="1"/>
  <c r="P55" i="48"/>
  <c r="G55" i="43" s="1"/>
  <c r="P50" i="48"/>
  <c r="G50" i="43" s="1"/>
  <c r="P39" i="48"/>
  <c r="G39" i="43" s="1"/>
  <c r="P34" i="48"/>
  <c r="G34" i="43" s="1"/>
  <c r="Q176" i="48"/>
  <c r="R176" i="48" s="1"/>
  <c r="Q192" i="48"/>
  <c r="Q224" i="48"/>
  <c r="R224" i="48" s="1"/>
  <c r="Q240" i="48"/>
  <c r="R240" i="48" s="1"/>
  <c r="Q256" i="48"/>
  <c r="R256" i="48" s="1"/>
  <c r="Q272" i="48"/>
  <c r="R272" i="48" s="1"/>
  <c r="Q288" i="48"/>
  <c r="R288" i="48" s="1"/>
  <c r="R311" i="48"/>
  <c r="N311" i="43" s="1"/>
  <c r="U311" i="43" s="1"/>
  <c r="R8" i="48"/>
  <c r="N8" i="43" s="1"/>
  <c r="Q309" i="48"/>
  <c r="R309" i="48" s="1"/>
  <c r="N309" i="43" s="1"/>
  <c r="Q305" i="48"/>
  <c r="R305" i="48" s="1"/>
  <c r="N305" i="43" s="1"/>
  <c r="Q301" i="48"/>
  <c r="R301" i="48" s="1"/>
  <c r="N301" i="43" s="1"/>
  <c r="Q293" i="48"/>
  <c r="R293" i="48" s="1"/>
  <c r="N293" i="43" s="1"/>
  <c r="Q289" i="48"/>
  <c r="R289" i="48" s="1"/>
  <c r="N289" i="43" s="1"/>
  <c r="P289" i="48"/>
  <c r="G289" i="43" s="1"/>
  <c r="Q285" i="48"/>
  <c r="R285" i="48" s="1"/>
  <c r="N285" i="43" s="1"/>
  <c r="P285" i="48"/>
  <c r="G285" i="43" s="1"/>
  <c r="Q281" i="48"/>
  <c r="R281" i="48" s="1"/>
  <c r="N281" i="43" s="1"/>
  <c r="P281" i="48"/>
  <c r="G281" i="43" s="1"/>
  <c r="Q277" i="48"/>
  <c r="R277" i="48" s="1"/>
  <c r="N277" i="43" s="1"/>
  <c r="P277" i="48"/>
  <c r="G277" i="43" s="1"/>
  <c r="Q273" i="48"/>
  <c r="R273" i="48" s="1"/>
  <c r="N273" i="43" s="1"/>
  <c r="P273" i="48"/>
  <c r="G273" i="43" s="1"/>
  <c r="Q269" i="48"/>
  <c r="R269" i="48" s="1"/>
  <c r="N269" i="43" s="1"/>
  <c r="P269" i="48"/>
  <c r="G269" i="43" s="1"/>
  <c r="Q265" i="48"/>
  <c r="R265" i="48" s="1"/>
  <c r="N265" i="43" s="1"/>
  <c r="P265" i="48"/>
  <c r="G265" i="43" s="1"/>
  <c r="Q261" i="48"/>
  <c r="R261" i="48" s="1"/>
  <c r="N261" i="43" s="1"/>
  <c r="P261" i="48"/>
  <c r="G261" i="43" s="1"/>
  <c r="Q257" i="48"/>
  <c r="R257" i="48" s="1"/>
  <c r="N257" i="43" s="1"/>
  <c r="P257" i="48"/>
  <c r="G257" i="43" s="1"/>
  <c r="Q253" i="48"/>
  <c r="R253" i="48" s="1"/>
  <c r="N253" i="43" s="1"/>
  <c r="P253" i="48"/>
  <c r="G253" i="43" s="1"/>
  <c r="Q249" i="48"/>
  <c r="R249" i="48" s="1"/>
  <c r="N249" i="43" s="1"/>
  <c r="P249" i="48"/>
  <c r="G249" i="43" s="1"/>
  <c r="Q245" i="48"/>
  <c r="R245" i="48" s="1"/>
  <c r="N245" i="43" s="1"/>
  <c r="P245" i="48"/>
  <c r="G245" i="43" s="1"/>
  <c r="Q241" i="48"/>
  <c r="R241" i="48" s="1"/>
  <c r="N241" i="43" s="1"/>
  <c r="P241" i="48"/>
  <c r="G241" i="43" s="1"/>
  <c r="Q237" i="48"/>
  <c r="R237" i="48" s="1"/>
  <c r="N237" i="43" s="1"/>
  <c r="P237" i="48"/>
  <c r="G237" i="43" s="1"/>
  <c r="Q233" i="48"/>
  <c r="R233" i="48" s="1"/>
  <c r="N233" i="43" s="1"/>
  <c r="P233" i="48"/>
  <c r="G233" i="43" s="1"/>
  <c r="Q229" i="48"/>
  <c r="R229" i="48" s="1"/>
  <c r="N229" i="43" s="1"/>
  <c r="P229" i="48"/>
  <c r="G229" i="43" s="1"/>
  <c r="Q225" i="48"/>
  <c r="R225" i="48" s="1"/>
  <c r="N225" i="43" s="1"/>
  <c r="P225" i="48"/>
  <c r="G225" i="43" s="1"/>
  <c r="Q221" i="48"/>
  <c r="R221" i="48" s="1"/>
  <c r="N221" i="43" s="1"/>
  <c r="P221" i="48"/>
  <c r="G221" i="43" s="1"/>
  <c r="Q217" i="48"/>
  <c r="R217" i="48" s="1"/>
  <c r="N217" i="43" s="1"/>
  <c r="P217" i="48"/>
  <c r="G217" i="43" s="1"/>
  <c r="Q213" i="48"/>
  <c r="R213" i="48" s="1"/>
  <c r="N213" i="43" s="1"/>
  <c r="P213" i="48"/>
  <c r="G213" i="43" s="1"/>
  <c r="Q209" i="48"/>
  <c r="R209" i="48" s="1"/>
  <c r="N209" i="43" s="1"/>
  <c r="P209" i="48"/>
  <c r="G209" i="43" s="1"/>
  <c r="Q205" i="48"/>
  <c r="R205" i="48" s="1"/>
  <c r="N205" i="43" s="1"/>
  <c r="P205" i="48"/>
  <c r="G205" i="43" s="1"/>
  <c r="Q201" i="48"/>
  <c r="P201" i="48"/>
  <c r="G201" i="43" s="1"/>
  <c r="Q193" i="48"/>
  <c r="R193" i="48" s="1"/>
  <c r="N193" i="43" s="1"/>
  <c r="P193" i="48"/>
  <c r="G193" i="43" s="1"/>
  <c r="Q189" i="48"/>
  <c r="R189" i="48" s="1"/>
  <c r="N189" i="43" s="1"/>
  <c r="P189" i="48"/>
  <c r="G189" i="43" s="1"/>
  <c r="Q185" i="48"/>
  <c r="R185" i="48" s="1"/>
  <c r="N185" i="43" s="1"/>
  <c r="P185" i="48"/>
  <c r="G185" i="43" s="1"/>
  <c r="Q177" i="48"/>
  <c r="R177" i="48" s="1"/>
  <c r="N177" i="43" s="1"/>
  <c r="P177" i="48"/>
  <c r="G177" i="43" s="1"/>
  <c r="P173" i="48"/>
  <c r="G173" i="43" s="1"/>
  <c r="Q169" i="48"/>
  <c r="R169" i="48" s="1"/>
  <c r="N169" i="43" s="1"/>
  <c r="P169" i="48"/>
  <c r="G169" i="43" s="1"/>
  <c r="P165" i="48"/>
  <c r="G165" i="43" s="1"/>
  <c r="Q161" i="48"/>
  <c r="R161" i="48" s="1"/>
  <c r="N161" i="43" s="1"/>
  <c r="P161" i="48"/>
  <c r="G161" i="43" s="1"/>
  <c r="Q157" i="48"/>
  <c r="R157" i="48" s="1"/>
  <c r="N157" i="43" s="1"/>
  <c r="P157" i="48"/>
  <c r="G157" i="43" s="1"/>
  <c r="R149" i="48"/>
  <c r="N149" i="43" s="1"/>
  <c r="P149" i="48"/>
  <c r="G149" i="43" s="1"/>
  <c r="P145" i="48"/>
  <c r="G145" i="43" s="1"/>
  <c r="R141" i="48"/>
  <c r="N141" i="43" s="1"/>
  <c r="P141" i="48"/>
  <c r="G141" i="43" s="1"/>
  <c r="R133" i="48"/>
  <c r="N133" i="43" s="1"/>
  <c r="P133" i="48"/>
  <c r="G133" i="43" s="1"/>
  <c r="R125" i="48"/>
  <c r="N125" i="43" s="1"/>
  <c r="P125" i="48"/>
  <c r="G125" i="43" s="1"/>
  <c r="R117" i="48"/>
  <c r="N117" i="43" s="1"/>
  <c r="P117" i="48"/>
  <c r="G117" i="43" s="1"/>
  <c r="P113" i="48"/>
  <c r="G113" i="43" s="1"/>
  <c r="R109" i="48"/>
  <c r="N109" i="43" s="1"/>
  <c r="P109" i="48"/>
  <c r="G109" i="43" s="1"/>
  <c r="P97" i="48"/>
  <c r="G97" i="43" s="1"/>
  <c r="R93" i="48"/>
  <c r="N93" i="43" s="1"/>
  <c r="P93" i="48"/>
  <c r="G93" i="43" s="1"/>
  <c r="R85" i="48"/>
  <c r="N85" i="43" s="1"/>
  <c r="P85" i="48"/>
  <c r="G85" i="43" s="1"/>
  <c r="P81" i="48"/>
  <c r="G81" i="43" s="1"/>
  <c r="P77" i="48"/>
  <c r="G77" i="43" s="1"/>
  <c r="R69" i="48"/>
  <c r="N69" i="43" s="1"/>
  <c r="P69" i="48"/>
  <c r="G69" i="43" s="1"/>
  <c r="P65" i="48"/>
  <c r="G65" i="43" s="1"/>
  <c r="R61" i="48"/>
  <c r="N61" i="43" s="1"/>
  <c r="P61" i="48"/>
  <c r="G61" i="43" s="1"/>
  <c r="R53" i="48"/>
  <c r="N53" i="43" s="1"/>
  <c r="P53" i="48"/>
  <c r="G53" i="43" s="1"/>
  <c r="P49" i="48"/>
  <c r="G49" i="43" s="1"/>
  <c r="P45" i="48"/>
  <c r="G45" i="43" s="1"/>
  <c r="P37" i="48"/>
  <c r="G37" i="43" s="1"/>
  <c r="P33" i="48"/>
  <c r="G33" i="43" s="1"/>
  <c r="P25" i="48"/>
  <c r="G25" i="43" s="1"/>
  <c r="R21" i="48"/>
  <c r="N21" i="43" s="1"/>
  <c r="P21" i="48"/>
  <c r="G21" i="43" s="1"/>
  <c r="R13" i="48"/>
  <c r="N13" i="43" s="1"/>
  <c r="P13" i="48"/>
  <c r="G13" i="43" s="1"/>
  <c r="P9" i="48"/>
  <c r="G9" i="43" s="1"/>
  <c r="R5" i="48"/>
  <c r="N5" i="43" s="1"/>
  <c r="U5" i="43" s="1"/>
  <c r="P309" i="48"/>
  <c r="G309" i="43" s="1"/>
  <c r="P305" i="48"/>
  <c r="G305" i="43" s="1"/>
  <c r="P301" i="48"/>
  <c r="G301" i="43" s="1"/>
  <c r="P293" i="48"/>
  <c r="G293" i="43" s="1"/>
  <c r="P283" i="48"/>
  <c r="G283" i="43" s="1"/>
  <c r="P267" i="48"/>
  <c r="G267" i="43" s="1"/>
  <c r="P262" i="48"/>
  <c r="G262" i="43" s="1"/>
  <c r="P251" i="48"/>
  <c r="G251" i="43" s="1"/>
  <c r="P235" i="48"/>
  <c r="G235" i="43" s="1"/>
  <c r="P230" i="48"/>
  <c r="G230" i="43" s="1"/>
  <c r="P219" i="48"/>
  <c r="G219" i="43" s="1"/>
  <c r="P214" i="48"/>
  <c r="G214" i="43" s="1"/>
  <c r="P203" i="48"/>
  <c r="G203" i="43" s="1"/>
  <c r="P198" i="48"/>
  <c r="G198" i="43" s="1"/>
  <c r="P187" i="48"/>
  <c r="G187" i="43" s="1"/>
  <c r="P171" i="48"/>
  <c r="G171" i="43" s="1"/>
  <c r="P166" i="48"/>
  <c r="G166" i="43" s="1"/>
  <c r="P155" i="48"/>
  <c r="G155" i="43" s="1"/>
  <c r="P150" i="48"/>
  <c r="G150" i="43" s="1"/>
  <c r="P139" i="48"/>
  <c r="G139" i="43" s="1"/>
  <c r="P107" i="48"/>
  <c r="G107" i="43" s="1"/>
  <c r="P102" i="48"/>
  <c r="G102" i="43" s="1"/>
  <c r="P91" i="48"/>
  <c r="G91" i="43" s="1"/>
  <c r="P86" i="48"/>
  <c r="G86" i="43" s="1"/>
  <c r="P70" i="48"/>
  <c r="G70" i="43" s="1"/>
  <c r="P54" i="48"/>
  <c r="G54" i="43" s="1"/>
  <c r="P43" i="48"/>
  <c r="G43" i="43" s="1"/>
  <c r="P38" i="48"/>
  <c r="G38" i="43" s="1"/>
  <c r="P32" i="48"/>
  <c r="G32" i="43" s="1"/>
  <c r="P27" i="48"/>
  <c r="G27" i="43" s="1"/>
  <c r="Q22" i="48"/>
  <c r="R22" i="48" s="1"/>
  <c r="N22" i="43" s="1"/>
  <c r="U22" i="43" s="1"/>
  <c r="Q30" i="48"/>
  <c r="R30" i="48" s="1"/>
  <c r="Q38" i="48"/>
  <c r="R38" i="48" s="1"/>
  <c r="N38" i="43" s="1"/>
  <c r="Q46" i="48"/>
  <c r="R46" i="48" s="1"/>
  <c r="Q54" i="48"/>
  <c r="R54" i="48" s="1"/>
  <c r="N54" i="43" s="1"/>
  <c r="Q62" i="48"/>
  <c r="R62" i="48" s="1"/>
  <c r="Q70" i="48"/>
  <c r="R70" i="48" s="1"/>
  <c r="Q78" i="48"/>
  <c r="R78" i="48" s="1"/>
  <c r="Q86" i="48"/>
  <c r="R86" i="48" s="1"/>
  <c r="N86" i="43" s="1"/>
  <c r="Q94" i="48"/>
  <c r="R94" i="48" s="1"/>
  <c r="Q102" i="48"/>
  <c r="R102" i="48" s="1"/>
  <c r="N102" i="43" s="1"/>
  <c r="Q110" i="48"/>
  <c r="R110" i="48" s="1"/>
  <c r="Q118" i="48"/>
  <c r="R118" i="48" s="1"/>
  <c r="N118" i="43" s="1"/>
  <c r="U118" i="43" s="1"/>
  <c r="Q126" i="48"/>
  <c r="R126" i="48" s="1"/>
  <c r="Q142" i="48"/>
  <c r="R142" i="48" s="1"/>
  <c r="Q150" i="48"/>
  <c r="R150" i="48" s="1"/>
  <c r="N150" i="43" s="1"/>
  <c r="Q163" i="48"/>
  <c r="R163" i="48" s="1"/>
  <c r="Q179" i="48"/>
  <c r="R179" i="48" s="1"/>
  <c r="N179" i="43" s="1"/>
  <c r="U179" i="43" s="1"/>
  <c r="Q195" i="48"/>
  <c r="R195" i="48" s="1"/>
  <c r="N195" i="43" s="1"/>
  <c r="U195" i="43" s="1"/>
  <c r="Q211" i="48"/>
  <c r="R211" i="48" s="1"/>
  <c r="Q227" i="48"/>
  <c r="R227" i="48" s="1"/>
  <c r="N227" i="43" s="1"/>
  <c r="U227" i="43" s="1"/>
  <c r="Q243" i="48"/>
  <c r="R243" i="48" s="1"/>
  <c r="N243" i="43" s="1"/>
  <c r="U243" i="43" s="1"/>
  <c r="Q259" i="48"/>
  <c r="R259" i="48" s="1"/>
  <c r="N259" i="43" s="1"/>
  <c r="U259" i="43" s="1"/>
  <c r="Q275" i="48"/>
  <c r="R275" i="48" s="1"/>
  <c r="N275" i="43" s="1"/>
  <c r="U275" i="43" s="1"/>
  <c r="Q291" i="48"/>
  <c r="R291" i="48" s="1"/>
  <c r="Q307" i="48"/>
  <c r="R307" i="48" s="1"/>
  <c r="N307" i="43" s="1"/>
  <c r="U307" i="43" s="1"/>
  <c r="R306" i="48"/>
  <c r="N306" i="43" s="1"/>
  <c r="U306" i="43" s="1"/>
  <c r="R274" i="48"/>
  <c r="N274" i="43" s="1"/>
  <c r="U274" i="43" s="1"/>
  <c r="R242" i="48"/>
  <c r="N242" i="43" s="1"/>
  <c r="U242" i="43" s="1"/>
  <c r="R178" i="48"/>
  <c r="N178" i="43" s="1"/>
  <c r="U178" i="43" s="1"/>
  <c r="Q308" i="48"/>
  <c r="R308" i="48" s="1"/>
  <c r="N308" i="43" s="1"/>
  <c r="R304" i="48"/>
  <c r="N304" i="43" s="1"/>
  <c r="Q300" i="48"/>
  <c r="R300" i="48" s="1"/>
  <c r="N300" i="43" s="1"/>
  <c r="Q292" i="48"/>
  <c r="R292" i="48" s="1"/>
  <c r="N292" i="43" s="1"/>
  <c r="Q284" i="48"/>
  <c r="R284" i="48" s="1"/>
  <c r="Q276" i="48"/>
  <c r="R276" i="48" s="1"/>
  <c r="N276" i="43" s="1"/>
  <c r="Q268" i="48"/>
  <c r="R268" i="48" s="1"/>
  <c r="Q260" i="48"/>
  <c r="R260" i="48" s="1"/>
  <c r="N260" i="43" s="1"/>
  <c r="Q252" i="48"/>
  <c r="R252" i="48" s="1"/>
  <c r="Q244" i="48"/>
  <c r="R244" i="48" s="1"/>
  <c r="N244" i="43" s="1"/>
  <c r="Q236" i="48"/>
  <c r="R236" i="48" s="1"/>
  <c r="Q228" i="48"/>
  <c r="R228" i="48" s="1"/>
  <c r="N228" i="43" s="1"/>
  <c r="Q220" i="48"/>
  <c r="R220" i="48" s="1"/>
  <c r="Q212" i="48"/>
  <c r="R212" i="48" s="1"/>
  <c r="N212" i="43" s="1"/>
  <c r="Q204" i="48"/>
  <c r="R204" i="48" s="1"/>
  <c r="Q196" i="48"/>
  <c r="R196" i="48" s="1"/>
  <c r="N196" i="43" s="1"/>
  <c r="R192" i="48"/>
  <c r="Q188" i="48"/>
  <c r="R188" i="48" s="1"/>
  <c r="Q180" i="48"/>
  <c r="R180" i="48" s="1"/>
  <c r="N180" i="43" s="1"/>
  <c r="Q172" i="48"/>
  <c r="R172" i="48" s="1"/>
  <c r="Q164" i="48"/>
  <c r="R164" i="48" s="1"/>
  <c r="N164" i="43" s="1"/>
  <c r="Q152" i="48"/>
  <c r="R152" i="48" s="1"/>
  <c r="Q148" i="48"/>
  <c r="R148" i="48" s="1"/>
  <c r="N148" i="43" s="1"/>
  <c r="Q144" i="48"/>
  <c r="R144" i="48" s="1"/>
  <c r="Q140" i="48"/>
  <c r="R140" i="48" s="1"/>
  <c r="Q136" i="48"/>
  <c r="R136" i="48" s="1"/>
  <c r="Q132" i="48"/>
  <c r="R132" i="48" s="1"/>
  <c r="N132" i="43" s="1"/>
  <c r="Q128" i="48"/>
  <c r="R128" i="48" s="1"/>
  <c r="Q124" i="48"/>
  <c r="R124" i="48" s="1"/>
  <c r="Q120" i="48"/>
  <c r="R120" i="48" s="1"/>
  <c r="Q116" i="48"/>
  <c r="R116" i="48" s="1"/>
  <c r="N116" i="43" s="1"/>
  <c r="Q112" i="48"/>
  <c r="R112" i="48" s="1"/>
  <c r="Q104" i="48"/>
  <c r="R104" i="48" s="1"/>
  <c r="Q100" i="48"/>
  <c r="R100" i="48" s="1"/>
  <c r="N100" i="43" s="1"/>
  <c r="Q92" i="48"/>
  <c r="R92" i="48" s="1"/>
  <c r="Q88" i="48"/>
  <c r="R88" i="48" s="1"/>
  <c r="Q84" i="48"/>
  <c r="R84" i="48" s="1"/>
  <c r="N84" i="43" s="1"/>
  <c r="Q72" i="48"/>
  <c r="R72" i="48" s="1"/>
  <c r="Q68" i="48"/>
  <c r="R68" i="48" s="1"/>
  <c r="N68" i="43" s="1"/>
  <c r="Q64" i="48"/>
  <c r="R64" i="48" s="1"/>
  <c r="Q60" i="48"/>
  <c r="R60" i="48" s="1"/>
  <c r="Q56" i="48"/>
  <c r="R56" i="48" s="1"/>
  <c r="Q52" i="48"/>
  <c r="R52" i="48" s="1"/>
  <c r="N52" i="43" s="1"/>
  <c r="Q48" i="48"/>
  <c r="R48" i="48" s="1"/>
  <c r="Q44" i="48"/>
  <c r="R44" i="48" s="1"/>
  <c r="Q40" i="48"/>
  <c r="R40" i="48" s="1"/>
  <c r="Q36" i="48"/>
  <c r="R36" i="48" s="1"/>
  <c r="N36" i="43" s="1"/>
  <c r="Q28" i="48"/>
  <c r="R28" i="48" s="1"/>
  <c r="Q24" i="48"/>
  <c r="R24" i="48" s="1"/>
  <c r="N24" i="43" s="1"/>
  <c r="Q20" i="48"/>
  <c r="R20" i="48" s="1"/>
  <c r="Q16" i="48"/>
  <c r="R16" i="48" s="1"/>
  <c r="N16" i="43" s="1"/>
  <c r="Q12" i="48"/>
  <c r="R12" i="48" s="1"/>
  <c r="P4" i="48"/>
  <c r="G4" i="43" s="1"/>
  <c r="P312" i="48"/>
  <c r="G312" i="43" s="1"/>
  <c r="P308" i="48"/>
  <c r="G308" i="43" s="1"/>
  <c r="P304" i="48"/>
  <c r="G304" i="43" s="1"/>
  <c r="P300" i="48"/>
  <c r="G300" i="43" s="1"/>
  <c r="P292" i="48"/>
  <c r="G292" i="43" s="1"/>
  <c r="P287" i="48"/>
  <c r="G287" i="43" s="1"/>
  <c r="P282" i="48"/>
  <c r="G282" i="43" s="1"/>
  <c r="P276" i="48"/>
  <c r="G276" i="43" s="1"/>
  <c r="P271" i="48"/>
  <c r="G271" i="43" s="1"/>
  <c r="P266" i="48"/>
  <c r="G266" i="43" s="1"/>
  <c r="P260" i="48"/>
  <c r="G260" i="43" s="1"/>
  <c r="P255" i="48"/>
  <c r="G255" i="43" s="1"/>
  <c r="P250" i="48"/>
  <c r="G250" i="43" s="1"/>
  <c r="P244" i="48"/>
  <c r="G244" i="43" s="1"/>
  <c r="P239" i="48"/>
  <c r="G239" i="43" s="1"/>
  <c r="P234" i="48"/>
  <c r="G234" i="43" s="1"/>
  <c r="P228" i="48"/>
  <c r="G228" i="43" s="1"/>
  <c r="P223" i="48"/>
  <c r="G223" i="43" s="1"/>
  <c r="P218" i="48"/>
  <c r="G218" i="43" s="1"/>
  <c r="P212" i="48"/>
  <c r="G212" i="43" s="1"/>
  <c r="P207" i="48"/>
  <c r="G207" i="43" s="1"/>
  <c r="P202" i="48"/>
  <c r="G202" i="43" s="1"/>
  <c r="P196" i="48"/>
  <c r="G196" i="43" s="1"/>
  <c r="P191" i="48"/>
  <c r="G191" i="43" s="1"/>
  <c r="P186" i="48"/>
  <c r="G186" i="43" s="1"/>
  <c r="P180" i="48"/>
  <c r="G180" i="43" s="1"/>
  <c r="P175" i="48"/>
  <c r="G175" i="43" s="1"/>
  <c r="P170" i="48"/>
  <c r="G170" i="43" s="1"/>
  <c r="P164" i="48"/>
  <c r="G164" i="43" s="1"/>
  <c r="P159" i="48"/>
  <c r="G159" i="43" s="1"/>
  <c r="P154" i="48"/>
  <c r="G154" i="43" s="1"/>
  <c r="P148" i="48"/>
  <c r="G148" i="43" s="1"/>
  <c r="P143" i="48"/>
  <c r="G143" i="43" s="1"/>
  <c r="P132" i="48"/>
  <c r="G132" i="43" s="1"/>
  <c r="P127" i="48"/>
  <c r="G127" i="43" s="1"/>
  <c r="P122" i="48"/>
  <c r="G122" i="43" s="1"/>
  <c r="P116" i="48"/>
  <c r="G116" i="43" s="1"/>
  <c r="P111" i="48"/>
  <c r="G111" i="43" s="1"/>
  <c r="P106" i="48"/>
  <c r="G106" i="43" s="1"/>
  <c r="P100" i="48"/>
  <c r="G100" i="43" s="1"/>
  <c r="P95" i="48"/>
  <c r="G95" i="43" s="1"/>
  <c r="P84" i="48"/>
  <c r="G84" i="43" s="1"/>
  <c r="P79" i="48"/>
  <c r="G79" i="43" s="1"/>
  <c r="P74" i="48"/>
  <c r="G74" i="43" s="1"/>
  <c r="P68" i="48"/>
  <c r="G68" i="43" s="1"/>
  <c r="P63" i="48"/>
  <c r="G63" i="43" s="1"/>
  <c r="P58" i="48"/>
  <c r="G58" i="43" s="1"/>
  <c r="P52" i="48"/>
  <c r="G52" i="43" s="1"/>
  <c r="P42" i="48"/>
  <c r="G42" i="43" s="1"/>
  <c r="P36" i="48"/>
  <c r="G36" i="43" s="1"/>
  <c r="P31" i="48"/>
  <c r="G31" i="43" s="1"/>
  <c r="P24" i="48"/>
  <c r="G24" i="43" s="1"/>
  <c r="P16" i="48"/>
  <c r="G16" i="43" s="1"/>
  <c r="P8" i="48"/>
  <c r="G8" i="43" s="1"/>
  <c r="Q9" i="48"/>
  <c r="R9" i="48" s="1"/>
  <c r="N9" i="43" s="1"/>
  <c r="U9" i="43" s="1"/>
  <c r="Q33" i="48"/>
  <c r="R33" i="48" s="1"/>
  <c r="N33" i="43" s="1"/>
  <c r="U33" i="43" s="1"/>
  <c r="Q41" i="48"/>
  <c r="R41" i="48" s="1"/>
  <c r="Q49" i="48"/>
  <c r="R49" i="48" s="1"/>
  <c r="N49" i="43" s="1"/>
  <c r="U49" i="43" s="1"/>
  <c r="Q57" i="48"/>
  <c r="R57" i="48" s="1"/>
  <c r="Q65" i="48"/>
  <c r="R65" i="48" s="1"/>
  <c r="Q73" i="48"/>
  <c r="R73" i="48" s="1"/>
  <c r="Q81" i="48"/>
  <c r="R81" i="48" s="1"/>
  <c r="N81" i="43" s="1"/>
  <c r="Q89" i="48"/>
  <c r="R89" i="48" s="1"/>
  <c r="Q97" i="48"/>
  <c r="R97" i="48" s="1"/>
  <c r="N97" i="43" s="1"/>
  <c r="U97" i="43" s="1"/>
  <c r="Q105" i="48"/>
  <c r="R105" i="48" s="1"/>
  <c r="Q113" i="48"/>
  <c r="R113" i="48" s="1"/>
  <c r="N113" i="43" s="1"/>
  <c r="Q121" i="48"/>
  <c r="R121" i="48" s="1"/>
  <c r="Q145" i="48"/>
  <c r="R145" i="48" s="1"/>
  <c r="Q153" i="48"/>
  <c r="R153" i="48" s="1"/>
  <c r="Q168" i="48"/>
  <c r="R168" i="48" s="1"/>
  <c r="Q184" i="48"/>
  <c r="R184" i="48" s="1"/>
  <c r="Q200" i="48"/>
  <c r="R200" i="48" s="1"/>
  <c r="Q232" i="48"/>
  <c r="R232" i="48" s="1"/>
  <c r="Q248" i="48"/>
  <c r="R248" i="48" s="1"/>
  <c r="Q264" i="48"/>
  <c r="R264" i="48" s="1"/>
  <c r="Q280" i="48"/>
  <c r="R280" i="48" s="1"/>
  <c r="Q312" i="48"/>
  <c r="R312" i="48" s="1"/>
  <c r="N312" i="43" s="1"/>
  <c r="U312" i="43" s="1"/>
  <c r="R201" i="48"/>
  <c r="N201" i="43" s="1"/>
  <c r="N85" i="48"/>
  <c r="W314" i="43"/>
  <c r="W6" i="43"/>
  <c r="W7" i="43"/>
  <c r="W8" i="43"/>
  <c r="W9" i="43"/>
  <c r="W10" i="43"/>
  <c r="W11" i="43"/>
  <c r="W12" i="43"/>
  <c r="W13" i="43"/>
  <c r="W14" i="43"/>
  <c r="W15" i="43"/>
  <c r="W16" i="43"/>
  <c r="W17" i="43"/>
  <c r="W18" i="43"/>
  <c r="W19" i="43"/>
  <c r="W20" i="43"/>
  <c r="W21" i="43"/>
  <c r="W22" i="43"/>
  <c r="W23" i="43"/>
  <c r="W24" i="43"/>
  <c r="W25" i="43"/>
  <c r="W26" i="43"/>
  <c r="W27" i="43"/>
  <c r="W28" i="43"/>
  <c r="W29" i="43"/>
  <c r="W30" i="43"/>
  <c r="W31" i="43"/>
  <c r="W32" i="43"/>
  <c r="W33" i="43"/>
  <c r="W34" i="43"/>
  <c r="W35" i="43"/>
  <c r="W36" i="43"/>
  <c r="W37" i="43"/>
  <c r="W38" i="43"/>
  <c r="W39" i="43"/>
  <c r="W40" i="43"/>
  <c r="W41" i="43"/>
  <c r="W42" i="43"/>
  <c r="W43" i="43"/>
  <c r="W44" i="43"/>
  <c r="W45" i="43"/>
  <c r="W46" i="43"/>
  <c r="W47" i="43"/>
  <c r="W48" i="43"/>
  <c r="W49" i="43"/>
  <c r="W50" i="43"/>
  <c r="W51" i="43"/>
  <c r="W52" i="43"/>
  <c r="W53" i="43"/>
  <c r="W54" i="43"/>
  <c r="W55" i="43"/>
  <c r="W56" i="43"/>
  <c r="W57" i="43"/>
  <c r="W58" i="43"/>
  <c r="W59" i="43"/>
  <c r="W60" i="43"/>
  <c r="W61" i="43"/>
  <c r="W62" i="43"/>
  <c r="W63" i="43"/>
  <c r="W64" i="43"/>
  <c r="W65" i="43"/>
  <c r="W66" i="43"/>
  <c r="W67" i="43"/>
  <c r="W68" i="43"/>
  <c r="W69" i="43"/>
  <c r="W70" i="43"/>
  <c r="W71" i="43"/>
  <c r="W72" i="43"/>
  <c r="W73" i="43"/>
  <c r="W74" i="43"/>
  <c r="W75" i="43"/>
  <c r="W76" i="43"/>
  <c r="W77" i="43"/>
  <c r="W78" i="43"/>
  <c r="W79" i="43"/>
  <c r="W80" i="43"/>
  <c r="W81" i="43"/>
  <c r="W82" i="43"/>
  <c r="W83" i="43"/>
  <c r="W84" i="43"/>
  <c r="W85" i="43"/>
  <c r="W86" i="43"/>
  <c r="W87" i="43"/>
  <c r="W88" i="43"/>
  <c r="W89" i="43"/>
  <c r="W90" i="43"/>
  <c r="W91" i="43"/>
  <c r="W92" i="43"/>
  <c r="W93" i="43"/>
  <c r="W94" i="43"/>
  <c r="W95" i="43"/>
  <c r="W96" i="43"/>
  <c r="W97" i="43"/>
  <c r="W98" i="43"/>
  <c r="W99" i="43"/>
  <c r="W100" i="43"/>
  <c r="W101" i="43"/>
  <c r="W102" i="43"/>
  <c r="W103" i="43"/>
  <c r="W104" i="43"/>
  <c r="W105" i="43"/>
  <c r="W106" i="43"/>
  <c r="W107" i="43"/>
  <c r="W108" i="43"/>
  <c r="W109" i="43"/>
  <c r="W110" i="43"/>
  <c r="W111" i="43"/>
  <c r="W112" i="43"/>
  <c r="W113" i="43"/>
  <c r="W114" i="43"/>
  <c r="W115" i="43"/>
  <c r="W116" i="43"/>
  <c r="W117" i="43"/>
  <c r="W118" i="43"/>
  <c r="W119" i="43"/>
  <c r="W120" i="43"/>
  <c r="W121" i="43"/>
  <c r="W122" i="43"/>
  <c r="W123" i="43"/>
  <c r="W124" i="43"/>
  <c r="W125" i="43"/>
  <c r="W126" i="43"/>
  <c r="W127" i="43"/>
  <c r="W128" i="43"/>
  <c r="W129" i="43"/>
  <c r="W130" i="43"/>
  <c r="W131" i="43"/>
  <c r="W132" i="43"/>
  <c r="W133" i="43"/>
  <c r="W134" i="43"/>
  <c r="W135" i="43"/>
  <c r="W136" i="43"/>
  <c r="W137" i="43"/>
  <c r="W138" i="43"/>
  <c r="W139" i="43"/>
  <c r="W140" i="43"/>
  <c r="W141" i="43"/>
  <c r="W142" i="43"/>
  <c r="W143" i="43"/>
  <c r="W144" i="43"/>
  <c r="W145" i="43"/>
  <c r="W146" i="43"/>
  <c r="W147" i="43"/>
  <c r="W148" i="43"/>
  <c r="W149" i="43"/>
  <c r="W150" i="43"/>
  <c r="W151" i="43"/>
  <c r="W152" i="43"/>
  <c r="W153" i="43"/>
  <c r="W154" i="43"/>
  <c r="W155" i="43"/>
  <c r="W156" i="43"/>
  <c r="W157" i="43"/>
  <c r="W158" i="43"/>
  <c r="W159" i="43"/>
  <c r="W160" i="43"/>
  <c r="W161" i="43"/>
  <c r="W162" i="43"/>
  <c r="W163" i="43"/>
  <c r="W164" i="43"/>
  <c r="W165" i="43"/>
  <c r="W166" i="43"/>
  <c r="W167" i="43"/>
  <c r="W168" i="43"/>
  <c r="W169" i="43"/>
  <c r="W170" i="43"/>
  <c r="W171" i="43"/>
  <c r="W172" i="43"/>
  <c r="W173" i="43"/>
  <c r="W174" i="43"/>
  <c r="W175" i="43"/>
  <c r="W176" i="43"/>
  <c r="W177" i="43"/>
  <c r="W178" i="43"/>
  <c r="W179" i="43"/>
  <c r="W180" i="43"/>
  <c r="W181" i="43"/>
  <c r="W182" i="43"/>
  <c r="W183" i="43"/>
  <c r="W184" i="43"/>
  <c r="W185" i="43"/>
  <c r="W186" i="43"/>
  <c r="W187" i="43"/>
  <c r="W188" i="43"/>
  <c r="W189" i="43"/>
  <c r="W190" i="43"/>
  <c r="W191" i="43"/>
  <c r="W192" i="43"/>
  <c r="W193" i="43"/>
  <c r="W194" i="43"/>
  <c r="W195" i="43"/>
  <c r="W196" i="43"/>
  <c r="W197" i="43"/>
  <c r="W198" i="43"/>
  <c r="W199" i="43"/>
  <c r="W200" i="43"/>
  <c r="W201" i="43"/>
  <c r="W202" i="43"/>
  <c r="W203" i="43"/>
  <c r="W204" i="43"/>
  <c r="W205" i="43"/>
  <c r="W206" i="43"/>
  <c r="W207" i="43"/>
  <c r="W208" i="43"/>
  <c r="W209" i="43"/>
  <c r="W210" i="43"/>
  <c r="W211" i="43"/>
  <c r="W212" i="43"/>
  <c r="W213" i="43"/>
  <c r="W214" i="43"/>
  <c r="W215" i="43"/>
  <c r="W216" i="43"/>
  <c r="W217" i="43"/>
  <c r="W218" i="43"/>
  <c r="W219" i="43"/>
  <c r="W220" i="43"/>
  <c r="W221" i="43"/>
  <c r="W222" i="43"/>
  <c r="W223" i="43"/>
  <c r="W224" i="43"/>
  <c r="W225" i="43"/>
  <c r="W226" i="43"/>
  <c r="W227" i="43"/>
  <c r="W228" i="43"/>
  <c r="W229" i="43"/>
  <c r="W230" i="43"/>
  <c r="W231" i="43"/>
  <c r="W232" i="43"/>
  <c r="W233" i="43"/>
  <c r="W234" i="43"/>
  <c r="W235" i="43"/>
  <c r="W236" i="43"/>
  <c r="W237" i="43"/>
  <c r="W238" i="43"/>
  <c r="W239" i="43"/>
  <c r="W240" i="43"/>
  <c r="W241" i="43"/>
  <c r="W242" i="43"/>
  <c r="W243" i="43"/>
  <c r="W244" i="43"/>
  <c r="W245" i="43"/>
  <c r="W246" i="43"/>
  <c r="W247" i="43"/>
  <c r="W248" i="43"/>
  <c r="W249" i="43"/>
  <c r="W250" i="43"/>
  <c r="W251" i="43"/>
  <c r="W252" i="43"/>
  <c r="W253" i="43"/>
  <c r="W254" i="43"/>
  <c r="W255" i="43"/>
  <c r="W256" i="43"/>
  <c r="W257" i="43"/>
  <c r="W258" i="43"/>
  <c r="W259" i="43"/>
  <c r="W260" i="43"/>
  <c r="W261" i="43"/>
  <c r="W262" i="43"/>
  <c r="W263" i="43"/>
  <c r="W264" i="43"/>
  <c r="W265" i="43"/>
  <c r="W266" i="43"/>
  <c r="W267" i="43"/>
  <c r="W268" i="43"/>
  <c r="W269" i="43"/>
  <c r="W270" i="43"/>
  <c r="W271" i="43"/>
  <c r="W272" i="43"/>
  <c r="W273" i="43"/>
  <c r="W274" i="43"/>
  <c r="W275" i="43"/>
  <c r="W276" i="43"/>
  <c r="W277" i="43"/>
  <c r="W278" i="43"/>
  <c r="W279" i="43"/>
  <c r="W280" i="43"/>
  <c r="W281" i="43"/>
  <c r="W282" i="43"/>
  <c r="W283" i="43"/>
  <c r="W284" i="43"/>
  <c r="W285" i="43"/>
  <c r="W286" i="43"/>
  <c r="W287" i="43"/>
  <c r="W288" i="43"/>
  <c r="W289" i="43"/>
  <c r="W290" i="43"/>
  <c r="W291" i="43"/>
  <c r="W292" i="43"/>
  <c r="W293" i="43"/>
  <c r="W294" i="43"/>
  <c r="W295" i="43"/>
  <c r="W296" i="43"/>
  <c r="W297" i="43"/>
  <c r="W298" i="43"/>
  <c r="W299" i="43"/>
  <c r="W300" i="43"/>
  <c r="W301" i="43"/>
  <c r="W302" i="43"/>
  <c r="W303" i="43"/>
  <c r="W304" i="43"/>
  <c r="W305" i="43"/>
  <c r="W306" i="43"/>
  <c r="W307" i="43"/>
  <c r="W308" i="43"/>
  <c r="W309" i="43"/>
  <c r="W310" i="43"/>
  <c r="W311" i="43"/>
  <c r="W312" i="43"/>
  <c r="W313" i="43"/>
  <c r="W5" i="43"/>
  <c r="W4" i="43"/>
  <c r="P4" i="43"/>
  <c r="P5" i="43"/>
  <c r="P6" i="43"/>
  <c r="P7" i="43"/>
  <c r="P8" i="43"/>
  <c r="P9" i="43"/>
  <c r="P10" i="43"/>
  <c r="P11" i="43"/>
  <c r="P12" i="43"/>
  <c r="P13" i="43"/>
  <c r="P14" i="43"/>
  <c r="P15" i="43"/>
  <c r="P16" i="43"/>
  <c r="P17" i="43"/>
  <c r="P18" i="43"/>
  <c r="P19" i="43"/>
  <c r="P20" i="43"/>
  <c r="P21" i="43"/>
  <c r="P22" i="43"/>
  <c r="P23" i="43"/>
  <c r="P24" i="43"/>
  <c r="P25" i="43"/>
  <c r="P26" i="43"/>
  <c r="P27" i="43"/>
  <c r="P28" i="43"/>
  <c r="P29" i="43"/>
  <c r="P30" i="43"/>
  <c r="P31" i="43"/>
  <c r="P32" i="43"/>
  <c r="P33" i="43"/>
  <c r="P34" i="43"/>
  <c r="P35" i="43"/>
  <c r="P36" i="43"/>
  <c r="P37" i="43"/>
  <c r="P38" i="43"/>
  <c r="P39" i="43"/>
  <c r="P40" i="43"/>
  <c r="P41" i="43"/>
  <c r="P42" i="43"/>
  <c r="P43" i="43"/>
  <c r="P44" i="43"/>
  <c r="P45" i="43"/>
  <c r="P46" i="43"/>
  <c r="P47" i="43"/>
  <c r="P48" i="43"/>
  <c r="P49" i="43"/>
  <c r="P50" i="43"/>
  <c r="P51" i="43"/>
  <c r="P52" i="43"/>
  <c r="P53" i="43"/>
  <c r="P54" i="43"/>
  <c r="P55" i="43"/>
  <c r="P56" i="43"/>
  <c r="P57" i="43"/>
  <c r="P58" i="43"/>
  <c r="P59" i="43"/>
  <c r="P60" i="43"/>
  <c r="P61" i="43"/>
  <c r="P62" i="43"/>
  <c r="P63" i="43"/>
  <c r="P64" i="43"/>
  <c r="P65" i="43"/>
  <c r="P66" i="43"/>
  <c r="P67" i="43"/>
  <c r="P68" i="43"/>
  <c r="P69" i="43"/>
  <c r="P70" i="43"/>
  <c r="P71" i="43"/>
  <c r="P72" i="43"/>
  <c r="P73" i="43"/>
  <c r="P74" i="43"/>
  <c r="P75" i="43"/>
  <c r="P76" i="43"/>
  <c r="P77" i="43"/>
  <c r="P78" i="43"/>
  <c r="P79" i="43"/>
  <c r="P80" i="43"/>
  <c r="P81" i="43"/>
  <c r="P82" i="43"/>
  <c r="P83" i="43"/>
  <c r="P84" i="43"/>
  <c r="P85" i="43"/>
  <c r="P86" i="43"/>
  <c r="P87" i="43"/>
  <c r="P88" i="43"/>
  <c r="P89" i="43"/>
  <c r="P90" i="43"/>
  <c r="P91" i="43"/>
  <c r="P92" i="43"/>
  <c r="P93" i="43"/>
  <c r="P94" i="43"/>
  <c r="P95" i="43"/>
  <c r="P96" i="43"/>
  <c r="P97" i="43"/>
  <c r="P98" i="43"/>
  <c r="P99" i="43"/>
  <c r="P100" i="43"/>
  <c r="P101" i="43"/>
  <c r="P102" i="43"/>
  <c r="P103" i="43"/>
  <c r="P104" i="43"/>
  <c r="P105" i="43"/>
  <c r="P106" i="43"/>
  <c r="P107" i="43"/>
  <c r="P108" i="43"/>
  <c r="P109" i="43"/>
  <c r="P110" i="43"/>
  <c r="P111" i="43"/>
  <c r="P112" i="43"/>
  <c r="P113" i="43"/>
  <c r="P114" i="43"/>
  <c r="P115" i="43"/>
  <c r="P116" i="43"/>
  <c r="P117" i="43"/>
  <c r="P118" i="43"/>
  <c r="P119" i="43"/>
  <c r="P120" i="43"/>
  <c r="P121" i="43"/>
  <c r="P122" i="43"/>
  <c r="P123" i="43"/>
  <c r="P124" i="43"/>
  <c r="P125" i="43"/>
  <c r="P126" i="43"/>
  <c r="P127" i="43"/>
  <c r="P128" i="43"/>
  <c r="P129" i="43"/>
  <c r="P130" i="43"/>
  <c r="P131" i="43"/>
  <c r="P132" i="43"/>
  <c r="P133" i="43"/>
  <c r="P134" i="43"/>
  <c r="P135" i="43"/>
  <c r="P136" i="43"/>
  <c r="P137" i="43"/>
  <c r="P138" i="43"/>
  <c r="P139" i="43"/>
  <c r="P140" i="43"/>
  <c r="P141" i="43"/>
  <c r="P142" i="43"/>
  <c r="P143" i="43"/>
  <c r="P144" i="43"/>
  <c r="P145" i="43"/>
  <c r="P146" i="43"/>
  <c r="P147" i="43"/>
  <c r="P148" i="43"/>
  <c r="P149" i="43"/>
  <c r="P150" i="43"/>
  <c r="P151" i="43"/>
  <c r="P152" i="43"/>
  <c r="P153" i="43"/>
  <c r="P154" i="43"/>
  <c r="P155" i="43"/>
  <c r="P156" i="43"/>
  <c r="P157" i="43"/>
  <c r="P158" i="43"/>
  <c r="P159" i="43"/>
  <c r="P160" i="43"/>
  <c r="P161" i="43"/>
  <c r="P162" i="43"/>
  <c r="P163" i="43"/>
  <c r="P164" i="43"/>
  <c r="P165" i="43"/>
  <c r="P166" i="43"/>
  <c r="P167" i="43"/>
  <c r="P168" i="43"/>
  <c r="P169" i="43"/>
  <c r="P170" i="43"/>
  <c r="P171" i="43"/>
  <c r="P172" i="43"/>
  <c r="P173" i="43"/>
  <c r="P174" i="43"/>
  <c r="P175" i="43"/>
  <c r="P176" i="43"/>
  <c r="P177" i="43"/>
  <c r="P178" i="43"/>
  <c r="P179" i="43"/>
  <c r="P180" i="43"/>
  <c r="P181" i="43"/>
  <c r="P182" i="43"/>
  <c r="P183" i="43"/>
  <c r="P184" i="43"/>
  <c r="P185" i="43"/>
  <c r="P186" i="43"/>
  <c r="P187" i="43"/>
  <c r="P188" i="43"/>
  <c r="P189" i="43"/>
  <c r="P190" i="43"/>
  <c r="P191" i="43"/>
  <c r="P192" i="43"/>
  <c r="P193" i="43"/>
  <c r="P194" i="43"/>
  <c r="P195" i="43"/>
  <c r="P196" i="43"/>
  <c r="P197" i="43"/>
  <c r="P198" i="43"/>
  <c r="P199" i="43"/>
  <c r="P200" i="43"/>
  <c r="P201" i="43"/>
  <c r="P202" i="43"/>
  <c r="P203" i="43"/>
  <c r="P204" i="43"/>
  <c r="P205" i="43"/>
  <c r="P206" i="43"/>
  <c r="P207" i="43"/>
  <c r="P208" i="43"/>
  <c r="P209" i="43"/>
  <c r="P210" i="43"/>
  <c r="P211" i="43"/>
  <c r="P212" i="43"/>
  <c r="P213" i="43"/>
  <c r="P214" i="43"/>
  <c r="P215" i="43"/>
  <c r="P216" i="43"/>
  <c r="P217" i="43"/>
  <c r="P218" i="43"/>
  <c r="P219" i="43"/>
  <c r="P220" i="43"/>
  <c r="P221" i="43"/>
  <c r="P222" i="43"/>
  <c r="P223" i="43"/>
  <c r="P224" i="43"/>
  <c r="P225" i="43"/>
  <c r="P226" i="43"/>
  <c r="P227" i="43"/>
  <c r="P228" i="43"/>
  <c r="P229" i="43"/>
  <c r="P230" i="43"/>
  <c r="P231" i="43"/>
  <c r="P232" i="43"/>
  <c r="P233" i="43"/>
  <c r="P234" i="43"/>
  <c r="P235" i="43"/>
  <c r="P236" i="43"/>
  <c r="P237" i="43"/>
  <c r="P238" i="43"/>
  <c r="P239" i="43"/>
  <c r="P240" i="43"/>
  <c r="P241" i="43"/>
  <c r="P242" i="43"/>
  <c r="P243" i="43"/>
  <c r="P244" i="43"/>
  <c r="P245" i="43"/>
  <c r="P246" i="43"/>
  <c r="P247" i="43"/>
  <c r="P248" i="43"/>
  <c r="P249" i="43"/>
  <c r="P250" i="43"/>
  <c r="P251" i="43"/>
  <c r="P252" i="43"/>
  <c r="P253" i="43"/>
  <c r="P254" i="43"/>
  <c r="P255" i="43"/>
  <c r="P256" i="43"/>
  <c r="P257" i="43"/>
  <c r="P258" i="43"/>
  <c r="P259" i="43"/>
  <c r="P260" i="43"/>
  <c r="P261" i="43"/>
  <c r="P262" i="43"/>
  <c r="P263" i="43"/>
  <c r="P264" i="43"/>
  <c r="P265" i="43"/>
  <c r="P266" i="43"/>
  <c r="P267" i="43"/>
  <c r="P268" i="43"/>
  <c r="P269" i="43"/>
  <c r="P270" i="43"/>
  <c r="P271" i="43"/>
  <c r="P272" i="43"/>
  <c r="P273" i="43"/>
  <c r="P274" i="43"/>
  <c r="P275" i="43"/>
  <c r="P276" i="43"/>
  <c r="P277" i="43"/>
  <c r="P278" i="43"/>
  <c r="P279" i="43"/>
  <c r="P281" i="43"/>
  <c r="P282" i="43"/>
  <c r="P283" i="43"/>
  <c r="P284" i="43"/>
  <c r="P285" i="43"/>
  <c r="P286" i="43"/>
  <c r="P287" i="43"/>
  <c r="P288" i="43"/>
  <c r="P289" i="43"/>
  <c r="P290" i="43"/>
  <c r="P291" i="43"/>
  <c r="P292" i="43"/>
  <c r="P293" i="43"/>
  <c r="P294" i="43"/>
  <c r="P295" i="43"/>
  <c r="P296" i="43"/>
  <c r="P297" i="43"/>
  <c r="P298" i="43"/>
  <c r="P299" i="43"/>
  <c r="P300" i="43"/>
  <c r="P301" i="43"/>
  <c r="P302" i="43"/>
  <c r="P303" i="43"/>
  <c r="P304" i="43"/>
  <c r="P305" i="43"/>
  <c r="P306" i="43"/>
  <c r="P307" i="43"/>
  <c r="P308" i="43"/>
  <c r="P309" i="43"/>
  <c r="P310" i="43"/>
  <c r="P311" i="43"/>
  <c r="P312" i="43"/>
  <c r="P313" i="43"/>
  <c r="P314" i="43"/>
  <c r="I21" i="43"/>
  <c r="I22" i="43"/>
  <c r="I23" i="43"/>
  <c r="I24" i="43"/>
  <c r="I25" i="43"/>
  <c r="I26" i="43"/>
  <c r="I27" i="43"/>
  <c r="I28" i="43"/>
  <c r="I29" i="43"/>
  <c r="I30" i="43"/>
  <c r="I31" i="43"/>
  <c r="I32" i="43"/>
  <c r="I33" i="43"/>
  <c r="I34" i="43"/>
  <c r="I35" i="43"/>
  <c r="I36" i="43"/>
  <c r="I37" i="43"/>
  <c r="I38" i="43"/>
  <c r="I39" i="43"/>
  <c r="I40" i="43"/>
  <c r="I41" i="43"/>
  <c r="I42" i="43"/>
  <c r="I43" i="43"/>
  <c r="I44" i="43"/>
  <c r="I45" i="43"/>
  <c r="I46" i="43"/>
  <c r="I47" i="43"/>
  <c r="I48" i="43"/>
  <c r="I49" i="43"/>
  <c r="I50" i="43"/>
  <c r="I51" i="43"/>
  <c r="I52" i="43"/>
  <c r="I53" i="43"/>
  <c r="I54" i="43"/>
  <c r="I55" i="43"/>
  <c r="I56" i="43"/>
  <c r="I57" i="43"/>
  <c r="I58" i="43"/>
  <c r="I59" i="43"/>
  <c r="I60" i="43"/>
  <c r="I61" i="43"/>
  <c r="I62" i="43"/>
  <c r="I63" i="43"/>
  <c r="I64" i="43"/>
  <c r="I65" i="43"/>
  <c r="I66" i="43"/>
  <c r="I67" i="43"/>
  <c r="I68" i="43"/>
  <c r="I69" i="43"/>
  <c r="I70" i="43"/>
  <c r="I71" i="43"/>
  <c r="I72" i="43"/>
  <c r="I73" i="43"/>
  <c r="I74" i="43"/>
  <c r="I75" i="43"/>
  <c r="I76" i="43"/>
  <c r="I77" i="43"/>
  <c r="I78" i="43"/>
  <c r="I79" i="43"/>
  <c r="I80" i="43"/>
  <c r="I81" i="43"/>
  <c r="I82" i="43"/>
  <c r="I83" i="43"/>
  <c r="I84" i="43"/>
  <c r="I85" i="43"/>
  <c r="I86" i="43"/>
  <c r="I87" i="43"/>
  <c r="I88" i="43"/>
  <c r="I89" i="43"/>
  <c r="I90" i="43"/>
  <c r="I91" i="43"/>
  <c r="I92" i="43"/>
  <c r="I93" i="43"/>
  <c r="I94" i="43"/>
  <c r="I95" i="43"/>
  <c r="I96" i="43"/>
  <c r="I97" i="43"/>
  <c r="I98" i="43"/>
  <c r="I99" i="43"/>
  <c r="I100" i="43"/>
  <c r="I101" i="43"/>
  <c r="I102" i="43"/>
  <c r="I103" i="43"/>
  <c r="I104" i="43"/>
  <c r="I105" i="43"/>
  <c r="I106" i="43"/>
  <c r="I107" i="43"/>
  <c r="I108" i="43"/>
  <c r="I109" i="43"/>
  <c r="I110" i="43"/>
  <c r="I111" i="43"/>
  <c r="I112" i="43"/>
  <c r="I113" i="43"/>
  <c r="I114" i="43"/>
  <c r="I115" i="43"/>
  <c r="I116" i="43"/>
  <c r="I117" i="43"/>
  <c r="I118" i="43"/>
  <c r="I119" i="43"/>
  <c r="I120" i="43"/>
  <c r="I121" i="43"/>
  <c r="I122" i="43"/>
  <c r="I123" i="43"/>
  <c r="I124" i="43"/>
  <c r="I125" i="43"/>
  <c r="I126" i="43"/>
  <c r="I127" i="43"/>
  <c r="I128" i="43"/>
  <c r="I129" i="43"/>
  <c r="I130" i="43"/>
  <c r="I131" i="43"/>
  <c r="I132" i="43"/>
  <c r="I133" i="43"/>
  <c r="I134" i="43"/>
  <c r="I135" i="43"/>
  <c r="I136" i="43"/>
  <c r="I137" i="43"/>
  <c r="I138" i="43"/>
  <c r="I139" i="43"/>
  <c r="I140" i="43"/>
  <c r="I141" i="43"/>
  <c r="I142" i="43"/>
  <c r="I143" i="43"/>
  <c r="I144" i="43"/>
  <c r="I145" i="43"/>
  <c r="I146" i="43"/>
  <c r="I147" i="43"/>
  <c r="I148" i="43"/>
  <c r="I149" i="43"/>
  <c r="I150" i="43"/>
  <c r="I151" i="43"/>
  <c r="I152" i="43"/>
  <c r="I153" i="43"/>
  <c r="I154" i="43"/>
  <c r="I155" i="43"/>
  <c r="I156" i="43"/>
  <c r="I157" i="43"/>
  <c r="I158" i="43"/>
  <c r="I159" i="43"/>
  <c r="I160" i="43"/>
  <c r="I161" i="43"/>
  <c r="I162" i="43"/>
  <c r="I163" i="43"/>
  <c r="I164" i="43"/>
  <c r="I165" i="43"/>
  <c r="I166" i="43"/>
  <c r="I167" i="43"/>
  <c r="I168" i="43"/>
  <c r="I169" i="43"/>
  <c r="I170" i="43"/>
  <c r="I171" i="43"/>
  <c r="I172" i="43"/>
  <c r="I173" i="43"/>
  <c r="I174" i="43"/>
  <c r="I175" i="43"/>
  <c r="I176" i="43"/>
  <c r="I177" i="43"/>
  <c r="I178" i="43"/>
  <c r="I179" i="43"/>
  <c r="I180" i="43"/>
  <c r="I181" i="43"/>
  <c r="I182" i="43"/>
  <c r="I183" i="43"/>
  <c r="I184" i="43"/>
  <c r="I185" i="43"/>
  <c r="I186" i="43"/>
  <c r="I187" i="43"/>
  <c r="I188" i="43"/>
  <c r="I189" i="43"/>
  <c r="I190" i="43"/>
  <c r="I191" i="43"/>
  <c r="I192" i="43"/>
  <c r="I193" i="43"/>
  <c r="I194" i="43"/>
  <c r="I195" i="43"/>
  <c r="I196" i="43"/>
  <c r="I197" i="43"/>
  <c r="I198" i="43"/>
  <c r="I199" i="43"/>
  <c r="I200" i="43"/>
  <c r="I201" i="43"/>
  <c r="I202" i="43"/>
  <c r="I203" i="43"/>
  <c r="I204" i="43"/>
  <c r="I205" i="43"/>
  <c r="I206" i="43"/>
  <c r="I207" i="43"/>
  <c r="I208" i="43"/>
  <c r="I209" i="43"/>
  <c r="I210" i="43"/>
  <c r="I211" i="43"/>
  <c r="I212" i="43"/>
  <c r="I213" i="43"/>
  <c r="I214" i="43"/>
  <c r="I215" i="43"/>
  <c r="I216" i="43"/>
  <c r="I217" i="43"/>
  <c r="I218" i="43"/>
  <c r="I219" i="43"/>
  <c r="I220" i="43"/>
  <c r="I221" i="43"/>
  <c r="I222" i="43"/>
  <c r="I223" i="43"/>
  <c r="I224" i="43"/>
  <c r="I225" i="43"/>
  <c r="I226" i="43"/>
  <c r="I227" i="43"/>
  <c r="I228" i="43"/>
  <c r="I229" i="43"/>
  <c r="I230" i="43"/>
  <c r="I231" i="43"/>
  <c r="I232" i="43"/>
  <c r="I233" i="43"/>
  <c r="I234" i="43"/>
  <c r="I235" i="43"/>
  <c r="I236" i="43"/>
  <c r="I237" i="43"/>
  <c r="I238" i="43"/>
  <c r="I239" i="43"/>
  <c r="I240" i="43"/>
  <c r="I241" i="43"/>
  <c r="I242" i="43"/>
  <c r="I243" i="43"/>
  <c r="I244" i="43"/>
  <c r="I245" i="43"/>
  <c r="I246" i="43"/>
  <c r="I247" i="43"/>
  <c r="I248" i="43"/>
  <c r="I249" i="43"/>
  <c r="I250" i="43"/>
  <c r="I251" i="43"/>
  <c r="I252" i="43"/>
  <c r="I253" i="43"/>
  <c r="I254" i="43"/>
  <c r="I255" i="43"/>
  <c r="I256" i="43"/>
  <c r="I257" i="43"/>
  <c r="I258" i="43"/>
  <c r="I259" i="43"/>
  <c r="I260" i="43"/>
  <c r="I261" i="43"/>
  <c r="I262" i="43"/>
  <c r="I263" i="43"/>
  <c r="I264" i="43"/>
  <c r="I265" i="43"/>
  <c r="I266" i="43"/>
  <c r="I267" i="43"/>
  <c r="I268" i="43"/>
  <c r="I269" i="43"/>
  <c r="I270" i="43"/>
  <c r="I271" i="43"/>
  <c r="I272" i="43"/>
  <c r="I273" i="43"/>
  <c r="I274" i="43"/>
  <c r="I275" i="43"/>
  <c r="I276" i="43"/>
  <c r="I277" i="43"/>
  <c r="I278" i="43"/>
  <c r="I279" i="43"/>
  <c r="I280" i="43"/>
  <c r="I281" i="43"/>
  <c r="I282" i="43"/>
  <c r="I283" i="43"/>
  <c r="I284" i="43"/>
  <c r="I285" i="43"/>
  <c r="I286" i="43"/>
  <c r="I287" i="43"/>
  <c r="I288" i="43"/>
  <c r="I289" i="43"/>
  <c r="I290" i="43"/>
  <c r="I291" i="43"/>
  <c r="I292" i="43"/>
  <c r="I293" i="43"/>
  <c r="I294" i="43"/>
  <c r="I295" i="43"/>
  <c r="I296" i="43"/>
  <c r="I297" i="43"/>
  <c r="I298" i="43"/>
  <c r="I299" i="43"/>
  <c r="I300" i="43"/>
  <c r="I301" i="43"/>
  <c r="I302" i="43"/>
  <c r="I303" i="43"/>
  <c r="I304" i="43"/>
  <c r="I305" i="43"/>
  <c r="I306" i="43"/>
  <c r="I307" i="43"/>
  <c r="I308" i="43"/>
  <c r="I309" i="43"/>
  <c r="I310" i="43"/>
  <c r="I311" i="43"/>
  <c r="I312" i="43"/>
  <c r="I313" i="43"/>
  <c r="I314" i="43"/>
  <c r="I6" i="43"/>
  <c r="I7" i="43"/>
  <c r="I8" i="43"/>
  <c r="I9" i="43"/>
  <c r="I10" i="43"/>
  <c r="I11" i="43"/>
  <c r="I12" i="43"/>
  <c r="I13" i="43"/>
  <c r="I14" i="43"/>
  <c r="I15" i="43"/>
  <c r="I16" i="43"/>
  <c r="I17" i="43"/>
  <c r="I18" i="43"/>
  <c r="I19" i="43"/>
  <c r="I20" i="43"/>
  <c r="I5" i="43"/>
  <c r="I4" i="43"/>
  <c r="AP5" i="49"/>
  <c r="AP6" i="49"/>
  <c r="AP7" i="49"/>
  <c r="AP8" i="49"/>
  <c r="AP9" i="49"/>
  <c r="AP10" i="49"/>
  <c r="AP11" i="49"/>
  <c r="AP12" i="49"/>
  <c r="AP13" i="49"/>
  <c r="AP14" i="49"/>
  <c r="AP15" i="49"/>
  <c r="AP16" i="49"/>
  <c r="AP17" i="49"/>
  <c r="AP18" i="49"/>
  <c r="AP19" i="49"/>
  <c r="AP20" i="49"/>
  <c r="AP21" i="49"/>
  <c r="AP22" i="49"/>
  <c r="AP23" i="49"/>
  <c r="AP24" i="49"/>
  <c r="AP25" i="49"/>
  <c r="AP26" i="49"/>
  <c r="AP27" i="49"/>
  <c r="AP28" i="49"/>
  <c r="AP29" i="49"/>
  <c r="AP30" i="49"/>
  <c r="AP31" i="49"/>
  <c r="AP32" i="49"/>
  <c r="AP33" i="49"/>
  <c r="AP34" i="49"/>
  <c r="AP35" i="49"/>
  <c r="AP36" i="49"/>
  <c r="AP37" i="49"/>
  <c r="AP38" i="49"/>
  <c r="AP39" i="49"/>
  <c r="AP40" i="49"/>
  <c r="AP41" i="49"/>
  <c r="AP42" i="49"/>
  <c r="AP43" i="49"/>
  <c r="AP44" i="49"/>
  <c r="AP45" i="49"/>
  <c r="AP46" i="49"/>
  <c r="AP47" i="49"/>
  <c r="AP48" i="49"/>
  <c r="AP49" i="49"/>
  <c r="AP50" i="49"/>
  <c r="AP51" i="49"/>
  <c r="AP52" i="49"/>
  <c r="AP53" i="49"/>
  <c r="AP54" i="49"/>
  <c r="AP55" i="49"/>
  <c r="AP56" i="49"/>
  <c r="AP57" i="49"/>
  <c r="AP58" i="49"/>
  <c r="AP59" i="49"/>
  <c r="AP60" i="49"/>
  <c r="AP61" i="49"/>
  <c r="AP62" i="49"/>
  <c r="AP63" i="49"/>
  <c r="AP64" i="49"/>
  <c r="AP65" i="49"/>
  <c r="AP66" i="49"/>
  <c r="AP67" i="49"/>
  <c r="AP68" i="49"/>
  <c r="AP69" i="49"/>
  <c r="AP70" i="49"/>
  <c r="AP71" i="49"/>
  <c r="AP72" i="49"/>
  <c r="AP73" i="49"/>
  <c r="AP74" i="49"/>
  <c r="AP75" i="49"/>
  <c r="AP76" i="49"/>
  <c r="AP77" i="49"/>
  <c r="AP78" i="49"/>
  <c r="AP79" i="49"/>
  <c r="AP80" i="49"/>
  <c r="AP81" i="49"/>
  <c r="AP82" i="49"/>
  <c r="AP83" i="49"/>
  <c r="AP84" i="49"/>
  <c r="AP85" i="49"/>
  <c r="AP86" i="49"/>
  <c r="AP87" i="49"/>
  <c r="AP88" i="49"/>
  <c r="AP89" i="49"/>
  <c r="AP90" i="49"/>
  <c r="AP91" i="49"/>
  <c r="AP92" i="49"/>
  <c r="AP93" i="49"/>
  <c r="AP94" i="49"/>
  <c r="AP95" i="49"/>
  <c r="AP96" i="49"/>
  <c r="AP97" i="49"/>
  <c r="AP98" i="49"/>
  <c r="AP99" i="49"/>
  <c r="AP100" i="49"/>
  <c r="AP101" i="49"/>
  <c r="AP102" i="49"/>
  <c r="AP103" i="49"/>
  <c r="AP104" i="49"/>
  <c r="AP105" i="49"/>
  <c r="AP106" i="49"/>
  <c r="AP107" i="49"/>
  <c r="AP108" i="49"/>
  <c r="AP109" i="49"/>
  <c r="AP110" i="49"/>
  <c r="AP111" i="49"/>
  <c r="AP112" i="49"/>
  <c r="AP113" i="49"/>
  <c r="AP114" i="49"/>
  <c r="AP115" i="49"/>
  <c r="AP116" i="49"/>
  <c r="AP117" i="49"/>
  <c r="AP118" i="49"/>
  <c r="AP119" i="49"/>
  <c r="AP120" i="49"/>
  <c r="AP121" i="49"/>
  <c r="AP122" i="49"/>
  <c r="AP123" i="49"/>
  <c r="AP124" i="49"/>
  <c r="AP125" i="49"/>
  <c r="AP126" i="49"/>
  <c r="AP127" i="49"/>
  <c r="AP128" i="49"/>
  <c r="AP129" i="49"/>
  <c r="AP130" i="49"/>
  <c r="AP131" i="49"/>
  <c r="AP132" i="49"/>
  <c r="AP133" i="49"/>
  <c r="AP134" i="49"/>
  <c r="AP135" i="49"/>
  <c r="AP136" i="49"/>
  <c r="AP137" i="49"/>
  <c r="AP138" i="49"/>
  <c r="AP139" i="49"/>
  <c r="AP140" i="49"/>
  <c r="AP141" i="49"/>
  <c r="AP142" i="49"/>
  <c r="AP143" i="49"/>
  <c r="AP144" i="49"/>
  <c r="AP145" i="49"/>
  <c r="AP146" i="49"/>
  <c r="AP147" i="49"/>
  <c r="AP148" i="49"/>
  <c r="AP149" i="49"/>
  <c r="AP150" i="49"/>
  <c r="AP151" i="49"/>
  <c r="AP152" i="49"/>
  <c r="AP153" i="49"/>
  <c r="AP154" i="49"/>
  <c r="AP155" i="49"/>
  <c r="AP156" i="49"/>
  <c r="AP157" i="49"/>
  <c r="AP158" i="49"/>
  <c r="AP159" i="49"/>
  <c r="AP160" i="49"/>
  <c r="AP161" i="49"/>
  <c r="AP162" i="49"/>
  <c r="AP163" i="49"/>
  <c r="AP164" i="49"/>
  <c r="AP165" i="49"/>
  <c r="AP166" i="49"/>
  <c r="AP167" i="49"/>
  <c r="AP168" i="49"/>
  <c r="AP169" i="49"/>
  <c r="AP170" i="49"/>
  <c r="AP171" i="49"/>
  <c r="AP172" i="49"/>
  <c r="AP173" i="49"/>
  <c r="AP174" i="49"/>
  <c r="AP175" i="49"/>
  <c r="AP176" i="49"/>
  <c r="AP177" i="49"/>
  <c r="AP178" i="49"/>
  <c r="AP179" i="49"/>
  <c r="AP180" i="49"/>
  <c r="AP181" i="49"/>
  <c r="AP182" i="49"/>
  <c r="AP183" i="49"/>
  <c r="AP184" i="49"/>
  <c r="AP185" i="49"/>
  <c r="AP186" i="49"/>
  <c r="AP187" i="49"/>
  <c r="AP188" i="49"/>
  <c r="AP189" i="49"/>
  <c r="AP190" i="49"/>
  <c r="AP191" i="49"/>
  <c r="AP192" i="49"/>
  <c r="AP193" i="49"/>
  <c r="AP194" i="49"/>
  <c r="AP195" i="49"/>
  <c r="AP196" i="49"/>
  <c r="AP197" i="49"/>
  <c r="AP198" i="49"/>
  <c r="AP199" i="49"/>
  <c r="AP200" i="49"/>
  <c r="AP201" i="49"/>
  <c r="AP202" i="49"/>
  <c r="AP203" i="49"/>
  <c r="AP204" i="49"/>
  <c r="AP205" i="49"/>
  <c r="AP206" i="49"/>
  <c r="AP207" i="49"/>
  <c r="AP208" i="49"/>
  <c r="AP209" i="49"/>
  <c r="AP210" i="49"/>
  <c r="AP211" i="49"/>
  <c r="AP212" i="49"/>
  <c r="AP213" i="49"/>
  <c r="AP214" i="49"/>
  <c r="AP215" i="49"/>
  <c r="AP216" i="49"/>
  <c r="AP217" i="49"/>
  <c r="AP218" i="49"/>
  <c r="AP219" i="49"/>
  <c r="AP220" i="49"/>
  <c r="AP221" i="49"/>
  <c r="AP222" i="49"/>
  <c r="AP223" i="49"/>
  <c r="AP224" i="49"/>
  <c r="AP225" i="49"/>
  <c r="AP226" i="49"/>
  <c r="AP227" i="49"/>
  <c r="AP228" i="49"/>
  <c r="AP229" i="49"/>
  <c r="AP230" i="49"/>
  <c r="AP231" i="49"/>
  <c r="AP232" i="49"/>
  <c r="AP233" i="49"/>
  <c r="AP234" i="49"/>
  <c r="AP235" i="49"/>
  <c r="AP236" i="49"/>
  <c r="AP237" i="49"/>
  <c r="AP238" i="49"/>
  <c r="AP239" i="49"/>
  <c r="AP240" i="49"/>
  <c r="AP241" i="49"/>
  <c r="AP242" i="49"/>
  <c r="AP243" i="49"/>
  <c r="AP244" i="49"/>
  <c r="AP245" i="49"/>
  <c r="AP246" i="49"/>
  <c r="AP247" i="49"/>
  <c r="AP248" i="49"/>
  <c r="AP249" i="49"/>
  <c r="AP250" i="49"/>
  <c r="AP251" i="49"/>
  <c r="AP252" i="49"/>
  <c r="AP253" i="49"/>
  <c r="AP254" i="49"/>
  <c r="AP255" i="49"/>
  <c r="AP256" i="49"/>
  <c r="AP257" i="49"/>
  <c r="AP258" i="49"/>
  <c r="AP259" i="49"/>
  <c r="AP260" i="49"/>
  <c r="AP261" i="49"/>
  <c r="AP262" i="49"/>
  <c r="AP263" i="49"/>
  <c r="AP264" i="49"/>
  <c r="AP265" i="49"/>
  <c r="AP266" i="49"/>
  <c r="AP267" i="49"/>
  <c r="AP268" i="49"/>
  <c r="AP269" i="49"/>
  <c r="AP270" i="49"/>
  <c r="AP271" i="49"/>
  <c r="AP272" i="49"/>
  <c r="AP273" i="49"/>
  <c r="AP274" i="49"/>
  <c r="AP275" i="49"/>
  <c r="AP276" i="49"/>
  <c r="AP277" i="49"/>
  <c r="AP278" i="49"/>
  <c r="AP279" i="49"/>
  <c r="AP280" i="49"/>
  <c r="AP281" i="49"/>
  <c r="AP282" i="49"/>
  <c r="AP283" i="49"/>
  <c r="AP284" i="49"/>
  <c r="AP285" i="49"/>
  <c r="AP286" i="49"/>
  <c r="AP287" i="49"/>
  <c r="AP288" i="49"/>
  <c r="AP289" i="49"/>
  <c r="AP290" i="49"/>
  <c r="AP291" i="49"/>
  <c r="AP292" i="49"/>
  <c r="AP293" i="49"/>
  <c r="AP294" i="49"/>
  <c r="AP295" i="49"/>
  <c r="AP296" i="49"/>
  <c r="AP297" i="49"/>
  <c r="AP298" i="49"/>
  <c r="AP299" i="49"/>
  <c r="AP300" i="49"/>
  <c r="AP301" i="49"/>
  <c r="AP302" i="49"/>
  <c r="AP303" i="49"/>
  <c r="AP304" i="49"/>
  <c r="AP305" i="49"/>
  <c r="AP306" i="49"/>
  <c r="AP307" i="49"/>
  <c r="AP308" i="49"/>
  <c r="AP309" i="49"/>
  <c r="AP310" i="49"/>
  <c r="AP311" i="49"/>
  <c r="AP312" i="49"/>
  <c r="AP313" i="49"/>
  <c r="AP314" i="49"/>
  <c r="AP315" i="49"/>
  <c r="AP316" i="49"/>
  <c r="AP317" i="49"/>
  <c r="AP318" i="49"/>
  <c r="AP319" i="49"/>
  <c r="AP320" i="49"/>
  <c r="AP321" i="49"/>
  <c r="AP322" i="49"/>
  <c r="AP323" i="49"/>
  <c r="AP324" i="49"/>
  <c r="AP325" i="49"/>
  <c r="AP326" i="49"/>
  <c r="AP327" i="49"/>
  <c r="AP328" i="49"/>
  <c r="AP329" i="49"/>
  <c r="AP330" i="49"/>
  <c r="AP331" i="49"/>
  <c r="AP332" i="49"/>
  <c r="AP333" i="49"/>
  <c r="AP334" i="49"/>
  <c r="AP335" i="49"/>
  <c r="AP336" i="49"/>
  <c r="AP337" i="49"/>
  <c r="AP338" i="49"/>
  <c r="AP339" i="49"/>
  <c r="AP340" i="49"/>
  <c r="AP341" i="49"/>
  <c r="AP342" i="49"/>
  <c r="AP343" i="49"/>
  <c r="AP344" i="49"/>
  <c r="AP345" i="49"/>
  <c r="AP346" i="49"/>
  <c r="AP347" i="49"/>
  <c r="AP348" i="49"/>
  <c r="AP349" i="49"/>
  <c r="AP350" i="49"/>
  <c r="AP351" i="49"/>
  <c r="AP352" i="49"/>
  <c r="AP353" i="49"/>
  <c r="AP354" i="49"/>
  <c r="AP355" i="49"/>
  <c r="AP356" i="49"/>
  <c r="AP357" i="49"/>
  <c r="AP358" i="49"/>
  <c r="AP359" i="49"/>
  <c r="AP360" i="49"/>
  <c r="AP361" i="49"/>
  <c r="AP362" i="49"/>
  <c r="AP363" i="49"/>
  <c r="AP364" i="49"/>
  <c r="AP365" i="49"/>
  <c r="AP366" i="49"/>
  <c r="AP367" i="49"/>
  <c r="AP368" i="49"/>
  <c r="AP369" i="49"/>
  <c r="AP370" i="49"/>
  <c r="AP371" i="49"/>
  <c r="AP372" i="49"/>
  <c r="AP373" i="49"/>
  <c r="AP374" i="49"/>
  <c r="AP375" i="49"/>
  <c r="AP376" i="49"/>
  <c r="AP377" i="49"/>
  <c r="AP378" i="49"/>
  <c r="AP379" i="49"/>
  <c r="AP380" i="49"/>
  <c r="AP381" i="49"/>
  <c r="AP382" i="49"/>
  <c r="AP383" i="49"/>
  <c r="AP384" i="49"/>
  <c r="AP385" i="49"/>
  <c r="AP386" i="49"/>
  <c r="AP4" i="49"/>
  <c r="AP408" i="49"/>
  <c r="AP407" i="49"/>
  <c r="AP406" i="49"/>
  <c r="AP405" i="49"/>
  <c r="AP404" i="49"/>
  <c r="AP403" i="49"/>
  <c r="AP402" i="49"/>
  <c r="AP401" i="49"/>
  <c r="AP400" i="49"/>
  <c r="AP399" i="49"/>
  <c r="AP398" i="49"/>
  <c r="AP397" i="49"/>
  <c r="AP396" i="49"/>
  <c r="AP395" i="49"/>
  <c r="AP394" i="49"/>
  <c r="AP393" i="49"/>
  <c r="AP392" i="49"/>
  <c r="AP391" i="49"/>
  <c r="AP390" i="49"/>
  <c r="AP389" i="49"/>
  <c r="AP388" i="49"/>
  <c r="AP387" i="49"/>
  <c r="Z6" i="49"/>
  <c r="AA6" i="49"/>
  <c r="AB6" i="49"/>
  <c r="AC6" i="49"/>
  <c r="AD6" i="49"/>
  <c r="AE6" i="49"/>
  <c r="AF6" i="49"/>
  <c r="AG6" i="49"/>
  <c r="AH6" i="49"/>
  <c r="AI6" i="49"/>
  <c r="AJ6" i="49"/>
  <c r="AK6" i="49"/>
  <c r="AL6" i="49"/>
  <c r="AM6" i="49"/>
  <c r="AN6" i="49"/>
  <c r="AO6" i="49"/>
  <c r="Z7" i="49"/>
  <c r="AA7" i="49"/>
  <c r="AB7" i="49"/>
  <c r="AC7" i="49"/>
  <c r="AD7" i="49"/>
  <c r="AE7" i="49"/>
  <c r="AF7" i="49"/>
  <c r="AG7" i="49"/>
  <c r="AH7" i="49"/>
  <c r="AI7" i="49"/>
  <c r="AJ7" i="49"/>
  <c r="AK7" i="49"/>
  <c r="AL7" i="49"/>
  <c r="AM7" i="49"/>
  <c r="AN7" i="49"/>
  <c r="AO7" i="49"/>
  <c r="Z8" i="49"/>
  <c r="AA8" i="49"/>
  <c r="AB8" i="49"/>
  <c r="AC8" i="49"/>
  <c r="AD8" i="49"/>
  <c r="AE8" i="49"/>
  <c r="AF8" i="49"/>
  <c r="AG8" i="49"/>
  <c r="AH8" i="49"/>
  <c r="AI8" i="49"/>
  <c r="AJ8" i="49"/>
  <c r="AK8" i="49"/>
  <c r="AL8" i="49"/>
  <c r="AM8" i="49"/>
  <c r="AN8" i="49"/>
  <c r="AO8" i="49"/>
  <c r="Z9" i="49"/>
  <c r="AA9" i="49"/>
  <c r="AB9" i="49"/>
  <c r="AC9" i="49"/>
  <c r="AD9" i="49"/>
  <c r="AE9" i="49"/>
  <c r="AF9" i="49"/>
  <c r="AG9" i="49"/>
  <c r="AH9" i="49"/>
  <c r="AI9" i="49"/>
  <c r="AJ9" i="49"/>
  <c r="AK9" i="49"/>
  <c r="AL9" i="49"/>
  <c r="AM9" i="49"/>
  <c r="AN9" i="49"/>
  <c r="AO9" i="49"/>
  <c r="Z10" i="49"/>
  <c r="AA10" i="49"/>
  <c r="AB10" i="49"/>
  <c r="AC10" i="49"/>
  <c r="AD10" i="49"/>
  <c r="AE10" i="49"/>
  <c r="AF10" i="49"/>
  <c r="AG10" i="49"/>
  <c r="AH10" i="49"/>
  <c r="AI10" i="49"/>
  <c r="AJ10" i="49"/>
  <c r="AK10" i="49"/>
  <c r="AL10" i="49"/>
  <c r="AM10" i="49"/>
  <c r="AN10" i="49"/>
  <c r="AO10" i="49"/>
  <c r="Z11" i="49"/>
  <c r="AA11" i="49"/>
  <c r="AB11" i="49"/>
  <c r="AC11" i="49"/>
  <c r="AD11" i="49"/>
  <c r="AE11" i="49"/>
  <c r="AF11" i="49"/>
  <c r="AG11" i="49"/>
  <c r="AH11" i="49"/>
  <c r="AI11" i="49"/>
  <c r="AJ11" i="49"/>
  <c r="AK11" i="49"/>
  <c r="AL11" i="49"/>
  <c r="AM11" i="49"/>
  <c r="AN11" i="49"/>
  <c r="AO11" i="49"/>
  <c r="Z12" i="49"/>
  <c r="AA12" i="49"/>
  <c r="AB12" i="49"/>
  <c r="AC12" i="49"/>
  <c r="AD12" i="49"/>
  <c r="AE12" i="49"/>
  <c r="AF12" i="49"/>
  <c r="AG12" i="49"/>
  <c r="AH12" i="49"/>
  <c r="AI12" i="49"/>
  <c r="AJ12" i="49"/>
  <c r="AK12" i="49"/>
  <c r="AL12" i="49"/>
  <c r="AM12" i="49"/>
  <c r="AN12" i="49"/>
  <c r="AO12" i="49"/>
  <c r="Z13" i="49"/>
  <c r="AA13" i="49"/>
  <c r="AB13" i="49"/>
  <c r="AC13" i="49"/>
  <c r="AD13" i="49"/>
  <c r="AE13" i="49"/>
  <c r="AF13" i="49"/>
  <c r="AG13" i="49"/>
  <c r="AH13" i="49"/>
  <c r="AI13" i="49"/>
  <c r="AJ13" i="49"/>
  <c r="AK13" i="49"/>
  <c r="AL13" i="49"/>
  <c r="AM13" i="49"/>
  <c r="AN13" i="49"/>
  <c r="AO13" i="49"/>
  <c r="Z14" i="49"/>
  <c r="AA14" i="49"/>
  <c r="AB14" i="49"/>
  <c r="AC14" i="49"/>
  <c r="AD14" i="49"/>
  <c r="AE14" i="49"/>
  <c r="AF14" i="49"/>
  <c r="AG14" i="49"/>
  <c r="AH14" i="49"/>
  <c r="AI14" i="49"/>
  <c r="AJ14" i="49"/>
  <c r="AK14" i="49"/>
  <c r="AL14" i="49"/>
  <c r="AM14" i="49"/>
  <c r="AN14" i="49"/>
  <c r="AO14" i="49"/>
  <c r="Z15" i="49"/>
  <c r="AA15" i="49"/>
  <c r="AB15" i="49"/>
  <c r="AC15" i="49"/>
  <c r="AD15" i="49"/>
  <c r="AE15" i="49"/>
  <c r="AF15" i="49"/>
  <c r="AG15" i="49"/>
  <c r="AH15" i="49"/>
  <c r="AI15" i="49"/>
  <c r="AJ15" i="49"/>
  <c r="AK15" i="49"/>
  <c r="AL15" i="49"/>
  <c r="AM15" i="49"/>
  <c r="AN15" i="49"/>
  <c r="AO15" i="49"/>
  <c r="Z16" i="49"/>
  <c r="AA16" i="49"/>
  <c r="AB16" i="49"/>
  <c r="AC16" i="49"/>
  <c r="AD16" i="49"/>
  <c r="AE16" i="49"/>
  <c r="AF16" i="49"/>
  <c r="AG16" i="49"/>
  <c r="AH16" i="49"/>
  <c r="AI16" i="49"/>
  <c r="AJ16" i="49"/>
  <c r="AK16" i="49"/>
  <c r="AL16" i="49"/>
  <c r="AM16" i="49"/>
  <c r="AN16" i="49"/>
  <c r="AO16" i="49"/>
  <c r="Z17" i="49"/>
  <c r="AA17" i="49"/>
  <c r="AB17" i="49"/>
  <c r="AC17" i="49"/>
  <c r="AD17" i="49"/>
  <c r="AE17" i="49"/>
  <c r="AF17" i="49"/>
  <c r="AG17" i="49"/>
  <c r="AH17" i="49"/>
  <c r="AI17" i="49"/>
  <c r="AJ17" i="49"/>
  <c r="AK17" i="49"/>
  <c r="AL17" i="49"/>
  <c r="AM17" i="49"/>
  <c r="AN17" i="49"/>
  <c r="AO17" i="49"/>
  <c r="Z18" i="49"/>
  <c r="AA18" i="49"/>
  <c r="AB18" i="49"/>
  <c r="AC18" i="49"/>
  <c r="AD18" i="49"/>
  <c r="AE18" i="49"/>
  <c r="AF18" i="49"/>
  <c r="AG18" i="49"/>
  <c r="AH18" i="49"/>
  <c r="AI18" i="49"/>
  <c r="AJ18" i="49"/>
  <c r="AK18" i="49"/>
  <c r="AL18" i="49"/>
  <c r="AM18" i="49"/>
  <c r="AN18" i="49"/>
  <c r="AO18" i="49"/>
  <c r="Z19" i="49"/>
  <c r="AA19" i="49"/>
  <c r="AB19" i="49"/>
  <c r="AC19" i="49"/>
  <c r="AD19" i="49"/>
  <c r="AE19" i="49"/>
  <c r="AF19" i="49"/>
  <c r="AG19" i="49"/>
  <c r="AH19" i="49"/>
  <c r="AI19" i="49"/>
  <c r="AJ19" i="49"/>
  <c r="AK19" i="49"/>
  <c r="AL19" i="49"/>
  <c r="AM19" i="49"/>
  <c r="AN19" i="49"/>
  <c r="AO19" i="49"/>
  <c r="Z20" i="49"/>
  <c r="AA20" i="49"/>
  <c r="AB20" i="49"/>
  <c r="AC20" i="49"/>
  <c r="AD20" i="49"/>
  <c r="AE20" i="49"/>
  <c r="AF20" i="49"/>
  <c r="AG20" i="49"/>
  <c r="AH20" i="49"/>
  <c r="AI20" i="49"/>
  <c r="AJ20" i="49"/>
  <c r="AK20" i="49"/>
  <c r="AL20" i="49"/>
  <c r="AM20" i="49"/>
  <c r="AN20" i="49"/>
  <c r="AO20" i="49"/>
  <c r="Z21" i="49"/>
  <c r="AA21" i="49"/>
  <c r="AB21" i="49"/>
  <c r="AC21" i="49"/>
  <c r="AD21" i="49"/>
  <c r="AE21" i="49"/>
  <c r="AF21" i="49"/>
  <c r="AG21" i="49"/>
  <c r="AH21" i="49"/>
  <c r="AI21" i="49"/>
  <c r="AJ21" i="49"/>
  <c r="AK21" i="49"/>
  <c r="AL21" i="49"/>
  <c r="AM21" i="49"/>
  <c r="AN21" i="49"/>
  <c r="AO21" i="49"/>
  <c r="Z22" i="49"/>
  <c r="AA22" i="49"/>
  <c r="AB22" i="49"/>
  <c r="AC22" i="49"/>
  <c r="AD22" i="49"/>
  <c r="AE22" i="49"/>
  <c r="AF22" i="49"/>
  <c r="AG22" i="49"/>
  <c r="AH22" i="49"/>
  <c r="AI22" i="49"/>
  <c r="AJ22" i="49"/>
  <c r="AK22" i="49"/>
  <c r="AL22" i="49"/>
  <c r="AM22" i="49"/>
  <c r="AN22" i="49"/>
  <c r="AO22" i="49"/>
  <c r="Z23" i="49"/>
  <c r="AA23" i="49"/>
  <c r="AB23" i="49"/>
  <c r="AC23" i="49"/>
  <c r="AD23" i="49"/>
  <c r="AE23" i="49"/>
  <c r="AF23" i="49"/>
  <c r="AG23" i="49"/>
  <c r="AH23" i="49"/>
  <c r="AI23" i="49"/>
  <c r="AJ23" i="49"/>
  <c r="AK23" i="49"/>
  <c r="AL23" i="49"/>
  <c r="AM23" i="49"/>
  <c r="AN23" i="49"/>
  <c r="AO23" i="49"/>
  <c r="Z24" i="49"/>
  <c r="AA24" i="49"/>
  <c r="AB24" i="49"/>
  <c r="AC24" i="49"/>
  <c r="AD24" i="49"/>
  <c r="AE24" i="49"/>
  <c r="AF24" i="49"/>
  <c r="AG24" i="49"/>
  <c r="AH24" i="49"/>
  <c r="AI24" i="49"/>
  <c r="AJ24" i="49"/>
  <c r="AK24" i="49"/>
  <c r="AL24" i="49"/>
  <c r="AM24" i="49"/>
  <c r="AN24" i="49"/>
  <c r="AO24" i="49"/>
  <c r="Z25" i="49"/>
  <c r="AA25" i="49"/>
  <c r="AB25" i="49"/>
  <c r="AC25" i="49"/>
  <c r="AD25" i="49"/>
  <c r="AE25" i="49"/>
  <c r="AF25" i="49"/>
  <c r="AG25" i="49"/>
  <c r="AH25" i="49"/>
  <c r="AI25" i="49"/>
  <c r="AJ25" i="49"/>
  <c r="AK25" i="49"/>
  <c r="AL25" i="49"/>
  <c r="AM25" i="49"/>
  <c r="AN25" i="49"/>
  <c r="AO25" i="49"/>
  <c r="Z26" i="49"/>
  <c r="AA26" i="49"/>
  <c r="AB26" i="49"/>
  <c r="AC26" i="49"/>
  <c r="AD26" i="49"/>
  <c r="AE26" i="49"/>
  <c r="AF26" i="49"/>
  <c r="AG26" i="49"/>
  <c r="AH26" i="49"/>
  <c r="AI26" i="49"/>
  <c r="AJ26" i="49"/>
  <c r="AK26" i="49"/>
  <c r="AL26" i="49"/>
  <c r="AM26" i="49"/>
  <c r="AN26" i="49"/>
  <c r="AO26" i="49"/>
  <c r="Z27" i="49"/>
  <c r="AA27" i="49"/>
  <c r="AB27" i="49"/>
  <c r="AC27" i="49"/>
  <c r="AD27" i="49"/>
  <c r="AE27" i="49"/>
  <c r="AF27" i="49"/>
  <c r="AG27" i="49"/>
  <c r="AH27" i="49"/>
  <c r="AI27" i="49"/>
  <c r="AJ27" i="49"/>
  <c r="AK27" i="49"/>
  <c r="AL27" i="49"/>
  <c r="AM27" i="49"/>
  <c r="AN27" i="49"/>
  <c r="AO27" i="49"/>
  <c r="Z28" i="49"/>
  <c r="AA28" i="49"/>
  <c r="AB28" i="49"/>
  <c r="AC28" i="49"/>
  <c r="AD28" i="49"/>
  <c r="AE28" i="49"/>
  <c r="AF28" i="49"/>
  <c r="AG28" i="49"/>
  <c r="AH28" i="49"/>
  <c r="AI28" i="49"/>
  <c r="AJ28" i="49"/>
  <c r="AK28" i="49"/>
  <c r="AL28" i="49"/>
  <c r="AM28" i="49"/>
  <c r="AN28" i="49"/>
  <c r="AO28" i="49"/>
  <c r="Z29" i="49"/>
  <c r="AA29" i="49"/>
  <c r="AB29" i="49"/>
  <c r="AC29" i="49"/>
  <c r="AD29" i="49"/>
  <c r="AE29" i="49"/>
  <c r="AF29" i="49"/>
  <c r="AG29" i="49"/>
  <c r="AH29" i="49"/>
  <c r="AI29" i="49"/>
  <c r="AJ29" i="49"/>
  <c r="AK29" i="49"/>
  <c r="AL29" i="49"/>
  <c r="AM29" i="49"/>
  <c r="AN29" i="49"/>
  <c r="AO29" i="49"/>
  <c r="Z30" i="49"/>
  <c r="AA30" i="49"/>
  <c r="AB30" i="49"/>
  <c r="AC30" i="49"/>
  <c r="AD30" i="49"/>
  <c r="AE30" i="49"/>
  <c r="AF30" i="49"/>
  <c r="AG30" i="49"/>
  <c r="AH30" i="49"/>
  <c r="AI30" i="49"/>
  <c r="AJ30" i="49"/>
  <c r="AK30" i="49"/>
  <c r="AL30" i="49"/>
  <c r="AM30" i="49"/>
  <c r="AN30" i="49"/>
  <c r="AO30" i="49"/>
  <c r="Z31" i="49"/>
  <c r="AA31" i="49"/>
  <c r="AB31" i="49"/>
  <c r="AC31" i="49"/>
  <c r="AD31" i="49"/>
  <c r="AE31" i="49"/>
  <c r="AF31" i="49"/>
  <c r="AG31" i="49"/>
  <c r="AH31" i="49"/>
  <c r="AI31" i="49"/>
  <c r="AJ31" i="49"/>
  <c r="AK31" i="49"/>
  <c r="AL31" i="49"/>
  <c r="AM31" i="49"/>
  <c r="AN31" i="49"/>
  <c r="AO31" i="49"/>
  <c r="Z32" i="49"/>
  <c r="AA32" i="49"/>
  <c r="AB32" i="49"/>
  <c r="AC32" i="49"/>
  <c r="AD32" i="49"/>
  <c r="AE32" i="49"/>
  <c r="AF32" i="49"/>
  <c r="AG32" i="49"/>
  <c r="AH32" i="49"/>
  <c r="AI32" i="49"/>
  <c r="AJ32" i="49"/>
  <c r="AK32" i="49"/>
  <c r="AL32" i="49"/>
  <c r="AM32" i="49"/>
  <c r="AN32" i="49"/>
  <c r="AO32" i="49"/>
  <c r="Z33" i="49"/>
  <c r="AA33" i="49"/>
  <c r="AB33" i="49"/>
  <c r="AC33" i="49"/>
  <c r="AD33" i="49"/>
  <c r="AE33" i="49"/>
  <c r="AF33" i="49"/>
  <c r="AG33" i="49"/>
  <c r="AH33" i="49"/>
  <c r="AI33" i="49"/>
  <c r="AJ33" i="49"/>
  <c r="AK33" i="49"/>
  <c r="AL33" i="49"/>
  <c r="AM33" i="49"/>
  <c r="AN33" i="49"/>
  <c r="AO33" i="49"/>
  <c r="Z34" i="49"/>
  <c r="AA34" i="49"/>
  <c r="AB34" i="49"/>
  <c r="AC34" i="49"/>
  <c r="AD34" i="49"/>
  <c r="AE34" i="49"/>
  <c r="AF34" i="49"/>
  <c r="AG34" i="49"/>
  <c r="AH34" i="49"/>
  <c r="AI34" i="49"/>
  <c r="AJ34" i="49"/>
  <c r="AK34" i="49"/>
  <c r="AL34" i="49"/>
  <c r="AM34" i="49"/>
  <c r="AN34" i="49"/>
  <c r="AO34" i="49"/>
  <c r="Z35" i="49"/>
  <c r="AA35" i="49"/>
  <c r="AB35" i="49"/>
  <c r="AC35" i="49"/>
  <c r="AD35" i="49"/>
  <c r="AE35" i="49"/>
  <c r="AF35" i="49"/>
  <c r="AG35" i="49"/>
  <c r="AH35" i="49"/>
  <c r="AI35" i="49"/>
  <c r="AJ35" i="49"/>
  <c r="AK35" i="49"/>
  <c r="AL35" i="49"/>
  <c r="AM35" i="49"/>
  <c r="AN35" i="49"/>
  <c r="AO35" i="49"/>
  <c r="Z36" i="49"/>
  <c r="AA36" i="49"/>
  <c r="AB36" i="49"/>
  <c r="AC36" i="49"/>
  <c r="AD36" i="49"/>
  <c r="AE36" i="49"/>
  <c r="AF36" i="49"/>
  <c r="AG36" i="49"/>
  <c r="AH36" i="49"/>
  <c r="AI36" i="49"/>
  <c r="AJ36" i="49"/>
  <c r="AK36" i="49"/>
  <c r="AL36" i="49"/>
  <c r="AM36" i="49"/>
  <c r="AN36" i="49"/>
  <c r="AO36" i="49"/>
  <c r="Z37" i="49"/>
  <c r="AA37" i="49"/>
  <c r="AB37" i="49"/>
  <c r="AC37" i="49"/>
  <c r="AD37" i="49"/>
  <c r="AE37" i="49"/>
  <c r="AF37" i="49"/>
  <c r="AG37" i="49"/>
  <c r="AH37" i="49"/>
  <c r="AI37" i="49"/>
  <c r="AJ37" i="49"/>
  <c r="AK37" i="49"/>
  <c r="AL37" i="49"/>
  <c r="AM37" i="49"/>
  <c r="AN37" i="49"/>
  <c r="AO37" i="49"/>
  <c r="Z38" i="49"/>
  <c r="AA38" i="49"/>
  <c r="AB38" i="49"/>
  <c r="AC38" i="49"/>
  <c r="AD38" i="49"/>
  <c r="AE38" i="49"/>
  <c r="AF38" i="49"/>
  <c r="AG38" i="49"/>
  <c r="AH38" i="49"/>
  <c r="AI38" i="49"/>
  <c r="AJ38" i="49"/>
  <c r="AK38" i="49"/>
  <c r="AL38" i="49"/>
  <c r="AM38" i="49"/>
  <c r="AN38" i="49"/>
  <c r="AO38" i="49"/>
  <c r="Z39" i="49"/>
  <c r="AA39" i="49"/>
  <c r="AB39" i="49"/>
  <c r="AC39" i="49"/>
  <c r="AD39" i="49"/>
  <c r="AE39" i="49"/>
  <c r="AF39" i="49"/>
  <c r="AG39" i="49"/>
  <c r="AH39" i="49"/>
  <c r="AI39" i="49"/>
  <c r="AJ39" i="49"/>
  <c r="AK39" i="49"/>
  <c r="AL39" i="49"/>
  <c r="AM39" i="49"/>
  <c r="AN39" i="49"/>
  <c r="AO39" i="49"/>
  <c r="Z40" i="49"/>
  <c r="AA40" i="49"/>
  <c r="AB40" i="49"/>
  <c r="AC40" i="49"/>
  <c r="AD40" i="49"/>
  <c r="AE40" i="49"/>
  <c r="AF40" i="49"/>
  <c r="AG40" i="49"/>
  <c r="AH40" i="49"/>
  <c r="AI40" i="49"/>
  <c r="AJ40" i="49"/>
  <c r="AK40" i="49"/>
  <c r="AL40" i="49"/>
  <c r="AM40" i="49"/>
  <c r="AN40" i="49"/>
  <c r="AO40" i="49"/>
  <c r="Z41" i="49"/>
  <c r="AA41" i="49"/>
  <c r="AB41" i="49"/>
  <c r="AC41" i="49"/>
  <c r="AD41" i="49"/>
  <c r="AE41" i="49"/>
  <c r="AF41" i="49"/>
  <c r="AG41" i="49"/>
  <c r="AH41" i="49"/>
  <c r="AI41" i="49"/>
  <c r="AJ41" i="49"/>
  <c r="AK41" i="49"/>
  <c r="AL41" i="49"/>
  <c r="AM41" i="49"/>
  <c r="AN41" i="49"/>
  <c r="AO41" i="49"/>
  <c r="Z42" i="49"/>
  <c r="AA42" i="49"/>
  <c r="AB42" i="49"/>
  <c r="AC42" i="49"/>
  <c r="AD42" i="49"/>
  <c r="AE42" i="49"/>
  <c r="AF42" i="49"/>
  <c r="AG42" i="49"/>
  <c r="AH42" i="49"/>
  <c r="AI42" i="49"/>
  <c r="AJ42" i="49"/>
  <c r="AK42" i="49"/>
  <c r="AL42" i="49"/>
  <c r="AM42" i="49"/>
  <c r="AN42" i="49"/>
  <c r="AO42" i="49"/>
  <c r="Z43" i="49"/>
  <c r="AA43" i="49"/>
  <c r="AB43" i="49"/>
  <c r="AC43" i="49"/>
  <c r="AD43" i="49"/>
  <c r="AE43" i="49"/>
  <c r="AF43" i="49"/>
  <c r="AG43" i="49"/>
  <c r="AH43" i="49"/>
  <c r="AI43" i="49"/>
  <c r="AJ43" i="49"/>
  <c r="AK43" i="49"/>
  <c r="AL43" i="49"/>
  <c r="AM43" i="49"/>
  <c r="AN43" i="49"/>
  <c r="AO43" i="49"/>
  <c r="Z44" i="49"/>
  <c r="AA44" i="49"/>
  <c r="AB44" i="49"/>
  <c r="AC44" i="49"/>
  <c r="AD44" i="49"/>
  <c r="AE44" i="49"/>
  <c r="AF44" i="49"/>
  <c r="AG44" i="49"/>
  <c r="AH44" i="49"/>
  <c r="AI44" i="49"/>
  <c r="AJ44" i="49"/>
  <c r="AK44" i="49"/>
  <c r="AL44" i="49"/>
  <c r="AM44" i="49"/>
  <c r="AN44" i="49"/>
  <c r="AO44" i="49"/>
  <c r="Z45" i="49"/>
  <c r="AA45" i="49"/>
  <c r="AB45" i="49"/>
  <c r="AC45" i="49"/>
  <c r="AD45" i="49"/>
  <c r="AE45" i="49"/>
  <c r="AF45" i="49"/>
  <c r="AG45" i="49"/>
  <c r="AH45" i="49"/>
  <c r="AI45" i="49"/>
  <c r="AJ45" i="49"/>
  <c r="AK45" i="49"/>
  <c r="AL45" i="49"/>
  <c r="AM45" i="49"/>
  <c r="AN45" i="49"/>
  <c r="AO45" i="49"/>
  <c r="Z46" i="49"/>
  <c r="AA46" i="49"/>
  <c r="AB46" i="49"/>
  <c r="AC46" i="49"/>
  <c r="AD46" i="49"/>
  <c r="AE46" i="49"/>
  <c r="AF46" i="49"/>
  <c r="AG46" i="49"/>
  <c r="AH46" i="49"/>
  <c r="AI46" i="49"/>
  <c r="AJ46" i="49"/>
  <c r="AK46" i="49"/>
  <c r="AL46" i="49"/>
  <c r="AM46" i="49"/>
  <c r="AN46" i="49"/>
  <c r="AO46" i="49"/>
  <c r="Z47" i="49"/>
  <c r="AA47" i="49"/>
  <c r="AB47" i="49"/>
  <c r="AC47" i="49"/>
  <c r="AD47" i="49"/>
  <c r="AE47" i="49"/>
  <c r="AF47" i="49"/>
  <c r="AG47" i="49"/>
  <c r="AH47" i="49"/>
  <c r="AI47" i="49"/>
  <c r="AJ47" i="49"/>
  <c r="AK47" i="49"/>
  <c r="AL47" i="49"/>
  <c r="AM47" i="49"/>
  <c r="AN47" i="49"/>
  <c r="AO47" i="49"/>
  <c r="Z48" i="49"/>
  <c r="AA48" i="49"/>
  <c r="AB48" i="49"/>
  <c r="AC48" i="49"/>
  <c r="AD48" i="49"/>
  <c r="AE48" i="49"/>
  <c r="AF48" i="49"/>
  <c r="AG48" i="49"/>
  <c r="AH48" i="49"/>
  <c r="AI48" i="49"/>
  <c r="AJ48" i="49"/>
  <c r="AK48" i="49"/>
  <c r="AL48" i="49"/>
  <c r="AM48" i="49"/>
  <c r="AN48" i="49"/>
  <c r="AO48" i="49"/>
  <c r="Z49" i="49"/>
  <c r="AA49" i="49"/>
  <c r="AB49" i="49"/>
  <c r="AC49" i="49"/>
  <c r="AD49" i="49"/>
  <c r="AE49" i="49"/>
  <c r="AF49" i="49"/>
  <c r="AG49" i="49"/>
  <c r="AH49" i="49"/>
  <c r="AI49" i="49"/>
  <c r="AJ49" i="49"/>
  <c r="AK49" i="49"/>
  <c r="AL49" i="49"/>
  <c r="AM49" i="49"/>
  <c r="AN49" i="49"/>
  <c r="AO49" i="49"/>
  <c r="Z50" i="49"/>
  <c r="AA50" i="49"/>
  <c r="AB50" i="49"/>
  <c r="AC50" i="49"/>
  <c r="AD50" i="49"/>
  <c r="AE50" i="49"/>
  <c r="AF50" i="49"/>
  <c r="AG50" i="49"/>
  <c r="AH50" i="49"/>
  <c r="AI50" i="49"/>
  <c r="AJ50" i="49"/>
  <c r="AK50" i="49"/>
  <c r="AL50" i="49"/>
  <c r="AM50" i="49"/>
  <c r="AN50" i="49"/>
  <c r="AO50" i="49"/>
  <c r="Z51" i="49"/>
  <c r="AA51" i="49"/>
  <c r="AB51" i="49"/>
  <c r="AC51" i="49"/>
  <c r="AD51" i="49"/>
  <c r="AE51" i="49"/>
  <c r="AF51" i="49"/>
  <c r="AG51" i="49"/>
  <c r="AH51" i="49"/>
  <c r="AI51" i="49"/>
  <c r="AJ51" i="49"/>
  <c r="AK51" i="49"/>
  <c r="AL51" i="49"/>
  <c r="AM51" i="49"/>
  <c r="AN51" i="49"/>
  <c r="AO51" i="49"/>
  <c r="Z52" i="49"/>
  <c r="AA52" i="49"/>
  <c r="AB52" i="49"/>
  <c r="AC52" i="49"/>
  <c r="AD52" i="49"/>
  <c r="AE52" i="49"/>
  <c r="AF52" i="49"/>
  <c r="AG52" i="49"/>
  <c r="AH52" i="49"/>
  <c r="AI52" i="49"/>
  <c r="AJ52" i="49"/>
  <c r="AK52" i="49"/>
  <c r="AL52" i="49"/>
  <c r="AM52" i="49"/>
  <c r="AN52" i="49"/>
  <c r="AO52" i="49"/>
  <c r="Z53" i="49"/>
  <c r="AA53" i="49"/>
  <c r="AB53" i="49"/>
  <c r="AC53" i="49"/>
  <c r="AD53" i="49"/>
  <c r="AE53" i="49"/>
  <c r="AF53" i="49"/>
  <c r="AG53" i="49"/>
  <c r="AH53" i="49"/>
  <c r="AI53" i="49"/>
  <c r="AJ53" i="49"/>
  <c r="AK53" i="49"/>
  <c r="AL53" i="49"/>
  <c r="AM53" i="49"/>
  <c r="AN53" i="49"/>
  <c r="AO53" i="49"/>
  <c r="Z54" i="49"/>
  <c r="AA54" i="49"/>
  <c r="AB54" i="49"/>
  <c r="AC54" i="49"/>
  <c r="AD54" i="49"/>
  <c r="AE54" i="49"/>
  <c r="AF54" i="49"/>
  <c r="AG54" i="49"/>
  <c r="AH54" i="49"/>
  <c r="AI54" i="49"/>
  <c r="AJ54" i="49"/>
  <c r="AK54" i="49"/>
  <c r="AL54" i="49"/>
  <c r="AM54" i="49"/>
  <c r="AN54" i="49"/>
  <c r="AO54" i="49"/>
  <c r="Z55" i="49"/>
  <c r="AA55" i="49"/>
  <c r="AB55" i="49"/>
  <c r="AC55" i="49"/>
  <c r="AD55" i="49"/>
  <c r="AE55" i="49"/>
  <c r="AF55" i="49"/>
  <c r="AG55" i="49"/>
  <c r="AH55" i="49"/>
  <c r="AI55" i="49"/>
  <c r="AJ55" i="49"/>
  <c r="AK55" i="49"/>
  <c r="AL55" i="49"/>
  <c r="AM55" i="49"/>
  <c r="AN55" i="49"/>
  <c r="AO55" i="49"/>
  <c r="Z56" i="49"/>
  <c r="AA56" i="49"/>
  <c r="AB56" i="49"/>
  <c r="AC56" i="49"/>
  <c r="AD56" i="49"/>
  <c r="AE56" i="49"/>
  <c r="AF56" i="49"/>
  <c r="AG56" i="49"/>
  <c r="AH56" i="49"/>
  <c r="AI56" i="49"/>
  <c r="AJ56" i="49"/>
  <c r="AK56" i="49"/>
  <c r="AL56" i="49"/>
  <c r="AM56" i="49"/>
  <c r="AN56" i="49"/>
  <c r="AO56" i="49"/>
  <c r="Z57" i="49"/>
  <c r="AA57" i="49"/>
  <c r="AB57" i="49"/>
  <c r="AC57" i="49"/>
  <c r="AD57" i="49"/>
  <c r="AE57" i="49"/>
  <c r="AF57" i="49"/>
  <c r="AG57" i="49"/>
  <c r="AH57" i="49"/>
  <c r="AI57" i="49"/>
  <c r="AJ57" i="49"/>
  <c r="AK57" i="49"/>
  <c r="AL57" i="49"/>
  <c r="AM57" i="49"/>
  <c r="AN57" i="49"/>
  <c r="AO57" i="49"/>
  <c r="Z58" i="49"/>
  <c r="AA58" i="49"/>
  <c r="AB58" i="49"/>
  <c r="AC58" i="49"/>
  <c r="AD58" i="49"/>
  <c r="AE58" i="49"/>
  <c r="AF58" i="49"/>
  <c r="AG58" i="49"/>
  <c r="AH58" i="49"/>
  <c r="AI58" i="49"/>
  <c r="AJ58" i="49"/>
  <c r="AK58" i="49"/>
  <c r="AL58" i="49"/>
  <c r="AM58" i="49"/>
  <c r="AN58" i="49"/>
  <c r="AO58" i="49"/>
  <c r="Z59" i="49"/>
  <c r="AA59" i="49"/>
  <c r="AB59" i="49"/>
  <c r="AC59" i="49"/>
  <c r="AD59" i="49"/>
  <c r="AE59" i="49"/>
  <c r="AF59" i="49"/>
  <c r="AG59" i="49"/>
  <c r="AH59" i="49"/>
  <c r="AI59" i="49"/>
  <c r="AJ59" i="49"/>
  <c r="AK59" i="49"/>
  <c r="AL59" i="49"/>
  <c r="AM59" i="49"/>
  <c r="AN59" i="49"/>
  <c r="AO59" i="49"/>
  <c r="Z60" i="49"/>
  <c r="AA60" i="49"/>
  <c r="AB60" i="49"/>
  <c r="AC60" i="49"/>
  <c r="AD60" i="49"/>
  <c r="AE60" i="49"/>
  <c r="AF60" i="49"/>
  <c r="AG60" i="49"/>
  <c r="AH60" i="49"/>
  <c r="AI60" i="49"/>
  <c r="AJ60" i="49"/>
  <c r="AK60" i="49"/>
  <c r="AL60" i="49"/>
  <c r="AM60" i="49"/>
  <c r="AN60" i="49"/>
  <c r="AO60" i="49"/>
  <c r="Z61" i="49"/>
  <c r="AA61" i="49"/>
  <c r="AB61" i="49"/>
  <c r="AC61" i="49"/>
  <c r="AD61" i="49"/>
  <c r="AE61" i="49"/>
  <c r="AF61" i="49"/>
  <c r="AG61" i="49"/>
  <c r="AH61" i="49"/>
  <c r="AI61" i="49"/>
  <c r="AJ61" i="49"/>
  <c r="AK61" i="49"/>
  <c r="AL61" i="49"/>
  <c r="AM61" i="49"/>
  <c r="AN61" i="49"/>
  <c r="AO61" i="49"/>
  <c r="Z62" i="49"/>
  <c r="AA62" i="49"/>
  <c r="AB62" i="49"/>
  <c r="AC62" i="49"/>
  <c r="AD62" i="49"/>
  <c r="AE62" i="49"/>
  <c r="AF62" i="49"/>
  <c r="AG62" i="49"/>
  <c r="AH62" i="49"/>
  <c r="AI62" i="49"/>
  <c r="AJ62" i="49"/>
  <c r="AK62" i="49"/>
  <c r="AL62" i="49"/>
  <c r="AM62" i="49"/>
  <c r="AN62" i="49"/>
  <c r="AO62" i="49"/>
  <c r="Z63" i="49"/>
  <c r="AA63" i="49"/>
  <c r="AB63" i="49"/>
  <c r="AC63" i="49"/>
  <c r="AD63" i="49"/>
  <c r="AE63" i="49"/>
  <c r="AF63" i="49"/>
  <c r="AG63" i="49"/>
  <c r="AH63" i="49"/>
  <c r="AI63" i="49"/>
  <c r="AJ63" i="49"/>
  <c r="AK63" i="49"/>
  <c r="AL63" i="49"/>
  <c r="AM63" i="49"/>
  <c r="AN63" i="49"/>
  <c r="AO63" i="49"/>
  <c r="Z64" i="49"/>
  <c r="AA64" i="49"/>
  <c r="AB64" i="49"/>
  <c r="AC64" i="49"/>
  <c r="AD64" i="49"/>
  <c r="AE64" i="49"/>
  <c r="AF64" i="49"/>
  <c r="AG64" i="49"/>
  <c r="AH64" i="49"/>
  <c r="AI64" i="49"/>
  <c r="AJ64" i="49"/>
  <c r="AK64" i="49"/>
  <c r="AL64" i="49"/>
  <c r="AM64" i="49"/>
  <c r="AN64" i="49"/>
  <c r="AO64" i="49"/>
  <c r="Z65" i="49"/>
  <c r="AA65" i="49"/>
  <c r="AB65" i="49"/>
  <c r="AC65" i="49"/>
  <c r="AD65" i="49"/>
  <c r="AE65" i="49"/>
  <c r="AF65" i="49"/>
  <c r="AG65" i="49"/>
  <c r="AH65" i="49"/>
  <c r="AI65" i="49"/>
  <c r="AJ65" i="49"/>
  <c r="AK65" i="49"/>
  <c r="AL65" i="49"/>
  <c r="AM65" i="49"/>
  <c r="AN65" i="49"/>
  <c r="AO65" i="49"/>
  <c r="Z66" i="49"/>
  <c r="AA66" i="49"/>
  <c r="AB66" i="49"/>
  <c r="AC66" i="49"/>
  <c r="AD66" i="49"/>
  <c r="AE66" i="49"/>
  <c r="AF66" i="49"/>
  <c r="AG66" i="49"/>
  <c r="AH66" i="49"/>
  <c r="AI66" i="49"/>
  <c r="AJ66" i="49"/>
  <c r="AK66" i="49"/>
  <c r="AL66" i="49"/>
  <c r="AM66" i="49"/>
  <c r="AN66" i="49"/>
  <c r="AO66" i="49"/>
  <c r="Z67" i="49"/>
  <c r="AA67" i="49"/>
  <c r="AB67" i="49"/>
  <c r="AC67" i="49"/>
  <c r="AD67" i="49"/>
  <c r="AE67" i="49"/>
  <c r="AF67" i="49"/>
  <c r="AG67" i="49"/>
  <c r="AH67" i="49"/>
  <c r="AI67" i="49"/>
  <c r="AJ67" i="49"/>
  <c r="AK67" i="49"/>
  <c r="AL67" i="49"/>
  <c r="AM67" i="49"/>
  <c r="AN67" i="49"/>
  <c r="AO67" i="49"/>
  <c r="Z68" i="49"/>
  <c r="AA68" i="49"/>
  <c r="AB68" i="49"/>
  <c r="AC68" i="49"/>
  <c r="AD68" i="49"/>
  <c r="AE68" i="49"/>
  <c r="AF68" i="49"/>
  <c r="AG68" i="49"/>
  <c r="AH68" i="49"/>
  <c r="AI68" i="49"/>
  <c r="AJ68" i="49"/>
  <c r="AK68" i="49"/>
  <c r="AL68" i="49"/>
  <c r="AM68" i="49"/>
  <c r="AN68" i="49"/>
  <c r="AO68" i="49"/>
  <c r="Z69" i="49"/>
  <c r="AA69" i="49"/>
  <c r="AB69" i="49"/>
  <c r="AC69" i="49"/>
  <c r="AD69" i="49"/>
  <c r="AE69" i="49"/>
  <c r="AF69" i="49"/>
  <c r="AG69" i="49"/>
  <c r="AH69" i="49"/>
  <c r="AI69" i="49"/>
  <c r="AJ69" i="49"/>
  <c r="AK69" i="49"/>
  <c r="AL69" i="49"/>
  <c r="AM69" i="49"/>
  <c r="AN69" i="49"/>
  <c r="AO69" i="49"/>
  <c r="Z70" i="49"/>
  <c r="AA70" i="49"/>
  <c r="AB70" i="49"/>
  <c r="AC70" i="49"/>
  <c r="AD70" i="49"/>
  <c r="AE70" i="49"/>
  <c r="AF70" i="49"/>
  <c r="AG70" i="49"/>
  <c r="AH70" i="49"/>
  <c r="AI70" i="49"/>
  <c r="AJ70" i="49"/>
  <c r="AK70" i="49"/>
  <c r="AL70" i="49"/>
  <c r="AM70" i="49"/>
  <c r="AN70" i="49"/>
  <c r="AO70" i="49"/>
  <c r="Z71" i="49"/>
  <c r="AA71" i="49"/>
  <c r="AB71" i="49"/>
  <c r="AC71" i="49"/>
  <c r="AD71" i="49"/>
  <c r="AE71" i="49"/>
  <c r="AF71" i="49"/>
  <c r="AG71" i="49"/>
  <c r="AH71" i="49"/>
  <c r="AI71" i="49"/>
  <c r="AJ71" i="49"/>
  <c r="AK71" i="49"/>
  <c r="AL71" i="49"/>
  <c r="AM71" i="49"/>
  <c r="AN71" i="49"/>
  <c r="AO71" i="49"/>
  <c r="Z72" i="49"/>
  <c r="AA72" i="49"/>
  <c r="AB72" i="49"/>
  <c r="AC72" i="49"/>
  <c r="AD72" i="49"/>
  <c r="AE72" i="49"/>
  <c r="AF72" i="49"/>
  <c r="AG72" i="49"/>
  <c r="AH72" i="49"/>
  <c r="AI72" i="49"/>
  <c r="AJ72" i="49"/>
  <c r="AK72" i="49"/>
  <c r="AL72" i="49"/>
  <c r="AM72" i="49"/>
  <c r="AN72" i="49"/>
  <c r="AO72" i="49"/>
  <c r="Z73" i="49"/>
  <c r="AA73" i="49"/>
  <c r="AB73" i="49"/>
  <c r="AC73" i="49"/>
  <c r="AD73" i="49"/>
  <c r="AE73" i="49"/>
  <c r="AF73" i="49"/>
  <c r="AG73" i="49"/>
  <c r="AH73" i="49"/>
  <c r="AI73" i="49"/>
  <c r="AJ73" i="49"/>
  <c r="AK73" i="49"/>
  <c r="AL73" i="49"/>
  <c r="AM73" i="49"/>
  <c r="AN73" i="49"/>
  <c r="AO73" i="49"/>
  <c r="Z74" i="49"/>
  <c r="AA74" i="49"/>
  <c r="AB74" i="49"/>
  <c r="AC74" i="49"/>
  <c r="AD74" i="49"/>
  <c r="AE74" i="49"/>
  <c r="AF74" i="49"/>
  <c r="AG74" i="49"/>
  <c r="AH74" i="49"/>
  <c r="AI74" i="49"/>
  <c r="AJ74" i="49"/>
  <c r="AK74" i="49"/>
  <c r="AL74" i="49"/>
  <c r="AM74" i="49"/>
  <c r="AN74" i="49"/>
  <c r="AO74" i="49"/>
  <c r="Z75" i="49"/>
  <c r="AA75" i="49"/>
  <c r="AB75" i="49"/>
  <c r="AC75" i="49"/>
  <c r="AD75" i="49"/>
  <c r="AE75" i="49"/>
  <c r="AF75" i="49"/>
  <c r="AG75" i="49"/>
  <c r="AH75" i="49"/>
  <c r="AI75" i="49"/>
  <c r="AJ75" i="49"/>
  <c r="AK75" i="49"/>
  <c r="AL75" i="49"/>
  <c r="AM75" i="49"/>
  <c r="AN75" i="49"/>
  <c r="AO75" i="49"/>
  <c r="Z76" i="49"/>
  <c r="AA76" i="49"/>
  <c r="AB76" i="49"/>
  <c r="AC76" i="49"/>
  <c r="AD76" i="49"/>
  <c r="AE76" i="49"/>
  <c r="AF76" i="49"/>
  <c r="AG76" i="49"/>
  <c r="AH76" i="49"/>
  <c r="AI76" i="49"/>
  <c r="AJ76" i="49"/>
  <c r="AK76" i="49"/>
  <c r="AL76" i="49"/>
  <c r="AM76" i="49"/>
  <c r="AN76" i="49"/>
  <c r="AO76" i="49"/>
  <c r="Z77" i="49"/>
  <c r="AA77" i="49"/>
  <c r="AB77" i="49"/>
  <c r="AC77" i="49"/>
  <c r="AD77" i="49"/>
  <c r="AE77" i="49"/>
  <c r="AF77" i="49"/>
  <c r="AG77" i="49"/>
  <c r="AH77" i="49"/>
  <c r="AI77" i="49"/>
  <c r="AJ77" i="49"/>
  <c r="AK77" i="49"/>
  <c r="AL77" i="49"/>
  <c r="AM77" i="49"/>
  <c r="AN77" i="49"/>
  <c r="AO77" i="49"/>
  <c r="Z78" i="49"/>
  <c r="AA78" i="49"/>
  <c r="AB78" i="49"/>
  <c r="AC78" i="49"/>
  <c r="AD78" i="49"/>
  <c r="AE78" i="49"/>
  <c r="AF78" i="49"/>
  <c r="AG78" i="49"/>
  <c r="AH78" i="49"/>
  <c r="AI78" i="49"/>
  <c r="AJ78" i="49"/>
  <c r="AK78" i="49"/>
  <c r="AL78" i="49"/>
  <c r="AM78" i="49"/>
  <c r="AN78" i="49"/>
  <c r="AO78" i="49"/>
  <c r="Z79" i="49"/>
  <c r="AA79" i="49"/>
  <c r="AB79" i="49"/>
  <c r="AC79" i="49"/>
  <c r="AD79" i="49"/>
  <c r="AE79" i="49"/>
  <c r="AF79" i="49"/>
  <c r="AG79" i="49"/>
  <c r="AH79" i="49"/>
  <c r="AI79" i="49"/>
  <c r="AJ79" i="49"/>
  <c r="AK79" i="49"/>
  <c r="AL79" i="49"/>
  <c r="AM79" i="49"/>
  <c r="AN79" i="49"/>
  <c r="AO79" i="49"/>
  <c r="Z80" i="49"/>
  <c r="AA80" i="49"/>
  <c r="AB80" i="49"/>
  <c r="AC80" i="49"/>
  <c r="AD80" i="49"/>
  <c r="AE80" i="49"/>
  <c r="AF80" i="49"/>
  <c r="AG80" i="49"/>
  <c r="AH80" i="49"/>
  <c r="AI80" i="49"/>
  <c r="AJ80" i="49"/>
  <c r="AK80" i="49"/>
  <c r="AL80" i="49"/>
  <c r="AM80" i="49"/>
  <c r="AN80" i="49"/>
  <c r="AO80" i="49"/>
  <c r="Z81" i="49"/>
  <c r="AA81" i="49"/>
  <c r="AB81" i="49"/>
  <c r="AC81" i="49"/>
  <c r="AD81" i="49"/>
  <c r="AE81" i="49"/>
  <c r="AF81" i="49"/>
  <c r="AG81" i="49"/>
  <c r="AH81" i="49"/>
  <c r="AI81" i="49"/>
  <c r="AJ81" i="49"/>
  <c r="AK81" i="49"/>
  <c r="AL81" i="49"/>
  <c r="AM81" i="49"/>
  <c r="AN81" i="49"/>
  <c r="AO81" i="49"/>
  <c r="Z82" i="49"/>
  <c r="AA82" i="49"/>
  <c r="AB82" i="49"/>
  <c r="AC82" i="49"/>
  <c r="AD82" i="49"/>
  <c r="AE82" i="49"/>
  <c r="AF82" i="49"/>
  <c r="AG82" i="49"/>
  <c r="AH82" i="49"/>
  <c r="AI82" i="49"/>
  <c r="AJ82" i="49"/>
  <c r="AK82" i="49"/>
  <c r="AL82" i="49"/>
  <c r="AM82" i="49"/>
  <c r="AN82" i="49"/>
  <c r="AO82" i="49"/>
  <c r="Z83" i="49"/>
  <c r="AA83" i="49"/>
  <c r="AB83" i="49"/>
  <c r="AC83" i="49"/>
  <c r="AD83" i="49"/>
  <c r="AE83" i="49"/>
  <c r="AF83" i="49"/>
  <c r="AG83" i="49"/>
  <c r="AH83" i="49"/>
  <c r="AI83" i="49"/>
  <c r="AJ83" i="49"/>
  <c r="AK83" i="49"/>
  <c r="AL83" i="49"/>
  <c r="AM83" i="49"/>
  <c r="AN83" i="49"/>
  <c r="AO83" i="49"/>
  <c r="Z84" i="49"/>
  <c r="AA84" i="49"/>
  <c r="AB84" i="49"/>
  <c r="AC84" i="49"/>
  <c r="AD84" i="49"/>
  <c r="AE84" i="49"/>
  <c r="AF84" i="49"/>
  <c r="AG84" i="49"/>
  <c r="AH84" i="49"/>
  <c r="AI84" i="49"/>
  <c r="AJ84" i="49"/>
  <c r="AK84" i="49"/>
  <c r="AL84" i="49"/>
  <c r="AM84" i="49"/>
  <c r="AN84" i="49"/>
  <c r="AO84" i="49"/>
  <c r="Z85" i="49"/>
  <c r="AA85" i="49"/>
  <c r="AB85" i="49"/>
  <c r="AC85" i="49"/>
  <c r="AD85" i="49"/>
  <c r="AE85" i="49"/>
  <c r="AF85" i="49"/>
  <c r="AG85" i="49"/>
  <c r="AH85" i="49"/>
  <c r="AI85" i="49"/>
  <c r="AJ85" i="49"/>
  <c r="AK85" i="49"/>
  <c r="AL85" i="49"/>
  <c r="AM85" i="49"/>
  <c r="AN85" i="49"/>
  <c r="AO85" i="49"/>
  <c r="Z86" i="49"/>
  <c r="AA86" i="49"/>
  <c r="AB86" i="49"/>
  <c r="AC86" i="49"/>
  <c r="AD86" i="49"/>
  <c r="AE86" i="49"/>
  <c r="AF86" i="49"/>
  <c r="AG86" i="49"/>
  <c r="AH86" i="49"/>
  <c r="AI86" i="49"/>
  <c r="AJ86" i="49"/>
  <c r="AK86" i="49"/>
  <c r="AL86" i="49"/>
  <c r="AM86" i="49"/>
  <c r="AN86" i="49"/>
  <c r="AO86" i="49"/>
  <c r="Z87" i="49"/>
  <c r="AA87" i="49"/>
  <c r="AB87" i="49"/>
  <c r="AC87" i="49"/>
  <c r="AD87" i="49"/>
  <c r="AE87" i="49"/>
  <c r="AF87" i="49"/>
  <c r="AG87" i="49"/>
  <c r="AH87" i="49"/>
  <c r="AI87" i="49"/>
  <c r="AJ87" i="49"/>
  <c r="AK87" i="49"/>
  <c r="AL87" i="49"/>
  <c r="AM87" i="49"/>
  <c r="AN87" i="49"/>
  <c r="AO87" i="49"/>
  <c r="Z88" i="49"/>
  <c r="AA88" i="49"/>
  <c r="AB88" i="49"/>
  <c r="AC88" i="49"/>
  <c r="AD88" i="49"/>
  <c r="AE88" i="49"/>
  <c r="AF88" i="49"/>
  <c r="AG88" i="49"/>
  <c r="AH88" i="49"/>
  <c r="AI88" i="49"/>
  <c r="AJ88" i="49"/>
  <c r="AK88" i="49"/>
  <c r="AL88" i="49"/>
  <c r="AM88" i="49"/>
  <c r="AN88" i="49"/>
  <c r="AO88" i="49"/>
  <c r="Z89" i="49"/>
  <c r="AA89" i="49"/>
  <c r="AB89" i="49"/>
  <c r="AC89" i="49"/>
  <c r="AD89" i="49"/>
  <c r="AE89" i="49"/>
  <c r="AF89" i="49"/>
  <c r="AG89" i="49"/>
  <c r="AH89" i="49"/>
  <c r="AI89" i="49"/>
  <c r="AJ89" i="49"/>
  <c r="AK89" i="49"/>
  <c r="AL89" i="49"/>
  <c r="AM89" i="49"/>
  <c r="AN89" i="49"/>
  <c r="AO89" i="49"/>
  <c r="Z90" i="49"/>
  <c r="AA90" i="49"/>
  <c r="AB90" i="49"/>
  <c r="AC90" i="49"/>
  <c r="AD90" i="49"/>
  <c r="AE90" i="49"/>
  <c r="AF90" i="49"/>
  <c r="AG90" i="49"/>
  <c r="AH90" i="49"/>
  <c r="AI90" i="49"/>
  <c r="AJ90" i="49"/>
  <c r="AK90" i="49"/>
  <c r="AL90" i="49"/>
  <c r="AM90" i="49"/>
  <c r="AN90" i="49"/>
  <c r="AO90" i="49"/>
  <c r="Z91" i="49"/>
  <c r="AA91" i="49"/>
  <c r="AB91" i="49"/>
  <c r="AC91" i="49"/>
  <c r="AD91" i="49"/>
  <c r="AE91" i="49"/>
  <c r="AF91" i="49"/>
  <c r="AG91" i="49"/>
  <c r="AH91" i="49"/>
  <c r="AI91" i="49"/>
  <c r="AJ91" i="49"/>
  <c r="AK91" i="49"/>
  <c r="AL91" i="49"/>
  <c r="AM91" i="49"/>
  <c r="AN91" i="49"/>
  <c r="AO91" i="49"/>
  <c r="Z92" i="49"/>
  <c r="AA92" i="49"/>
  <c r="AB92" i="49"/>
  <c r="AC92" i="49"/>
  <c r="AD92" i="49"/>
  <c r="AE92" i="49"/>
  <c r="AF92" i="49"/>
  <c r="AG92" i="49"/>
  <c r="AH92" i="49"/>
  <c r="AI92" i="49"/>
  <c r="AJ92" i="49"/>
  <c r="AK92" i="49"/>
  <c r="AL92" i="49"/>
  <c r="AM92" i="49"/>
  <c r="AN92" i="49"/>
  <c r="AO92" i="49"/>
  <c r="Z93" i="49"/>
  <c r="AA93" i="49"/>
  <c r="AB93" i="49"/>
  <c r="AC93" i="49"/>
  <c r="AD93" i="49"/>
  <c r="AE93" i="49"/>
  <c r="AF93" i="49"/>
  <c r="AG93" i="49"/>
  <c r="AH93" i="49"/>
  <c r="AI93" i="49"/>
  <c r="AJ93" i="49"/>
  <c r="AK93" i="49"/>
  <c r="AL93" i="49"/>
  <c r="AM93" i="49"/>
  <c r="AN93" i="49"/>
  <c r="AO93" i="49"/>
  <c r="Z94" i="49"/>
  <c r="AA94" i="49"/>
  <c r="AB94" i="49"/>
  <c r="AC94" i="49"/>
  <c r="AD94" i="49"/>
  <c r="AE94" i="49"/>
  <c r="AF94" i="49"/>
  <c r="AG94" i="49"/>
  <c r="AH94" i="49"/>
  <c r="AI94" i="49"/>
  <c r="AJ94" i="49"/>
  <c r="AK94" i="49"/>
  <c r="AL94" i="49"/>
  <c r="AM94" i="49"/>
  <c r="AN94" i="49"/>
  <c r="AO94" i="49"/>
  <c r="Z95" i="49"/>
  <c r="AA95" i="49"/>
  <c r="AB95" i="49"/>
  <c r="AC95" i="49"/>
  <c r="AD95" i="49"/>
  <c r="AE95" i="49"/>
  <c r="AF95" i="49"/>
  <c r="AG95" i="49"/>
  <c r="AH95" i="49"/>
  <c r="AI95" i="49"/>
  <c r="AJ95" i="49"/>
  <c r="AK95" i="49"/>
  <c r="AL95" i="49"/>
  <c r="AM95" i="49"/>
  <c r="AN95" i="49"/>
  <c r="AO95" i="49"/>
  <c r="Z96" i="49"/>
  <c r="AA96" i="49"/>
  <c r="AB96" i="49"/>
  <c r="AC96" i="49"/>
  <c r="AD96" i="49"/>
  <c r="AE96" i="49"/>
  <c r="AF96" i="49"/>
  <c r="AG96" i="49"/>
  <c r="AH96" i="49"/>
  <c r="AI96" i="49"/>
  <c r="AJ96" i="49"/>
  <c r="AK96" i="49"/>
  <c r="AL96" i="49"/>
  <c r="AM96" i="49"/>
  <c r="AN96" i="49"/>
  <c r="AO96" i="49"/>
  <c r="Z97" i="49"/>
  <c r="AA97" i="49"/>
  <c r="AB97" i="49"/>
  <c r="AC97" i="49"/>
  <c r="AD97" i="49"/>
  <c r="AE97" i="49"/>
  <c r="AF97" i="49"/>
  <c r="AG97" i="49"/>
  <c r="AH97" i="49"/>
  <c r="AI97" i="49"/>
  <c r="AJ97" i="49"/>
  <c r="AK97" i="49"/>
  <c r="AL97" i="49"/>
  <c r="AM97" i="49"/>
  <c r="AN97" i="49"/>
  <c r="AO97" i="49"/>
  <c r="Z98" i="49"/>
  <c r="AA98" i="49"/>
  <c r="AB98" i="49"/>
  <c r="AC98" i="49"/>
  <c r="AD98" i="49"/>
  <c r="AE98" i="49"/>
  <c r="AF98" i="49"/>
  <c r="AG98" i="49"/>
  <c r="AH98" i="49"/>
  <c r="AI98" i="49"/>
  <c r="AJ98" i="49"/>
  <c r="AK98" i="49"/>
  <c r="AL98" i="49"/>
  <c r="AM98" i="49"/>
  <c r="AN98" i="49"/>
  <c r="AO98" i="49"/>
  <c r="Z99" i="49"/>
  <c r="AA99" i="49"/>
  <c r="AB99" i="49"/>
  <c r="AC99" i="49"/>
  <c r="AD99" i="49"/>
  <c r="AE99" i="49"/>
  <c r="AF99" i="49"/>
  <c r="AG99" i="49"/>
  <c r="AH99" i="49"/>
  <c r="AI99" i="49"/>
  <c r="AJ99" i="49"/>
  <c r="AK99" i="49"/>
  <c r="AL99" i="49"/>
  <c r="AM99" i="49"/>
  <c r="AN99" i="49"/>
  <c r="AO99" i="49"/>
  <c r="Z100" i="49"/>
  <c r="AA100" i="49"/>
  <c r="AB100" i="49"/>
  <c r="AC100" i="49"/>
  <c r="AD100" i="49"/>
  <c r="AE100" i="49"/>
  <c r="AF100" i="49"/>
  <c r="AG100" i="49"/>
  <c r="AH100" i="49"/>
  <c r="AI100" i="49"/>
  <c r="AJ100" i="49"/>
  <c r="AK100" i="49"/>
  <c r="AL100" i="49"/>
  <c r="AM100" i="49"/>
  <c r="AN100" i="49"/>
  <c r="AO100" i="49"/>
  <c r="Z101" i="49"/>
  <c r="AA101" i="49"/>
  <c r="AB101" i="49"/>
  <c r="AC101" i="49"/>
  <c r="AD101" i="49"/>
  <c r="AE101" i="49"/>
  <c r="AF101" i="49"/>
  <c r="AG101" i="49"/>
  <c r="AH101" i="49"/>
  <c r="AI101" i="49"/>
  <c r="AJ101" i="49"/>
  <c r="AK101" i="49"/>
  <c r="AL101" i="49"/>
  <c r="AM101" i="49"/>
  <c r="AN101" i="49"/>
  <c r="AO101" i="49"/>
  <c r="Z102" i="49"/>
  <c r="AA102" i="49"/>
  <c r="AB102" i="49"/>
  <c r="AC102" i="49"/>
  <c r="AD102" i="49"/>
  <c r="AE102" i="49"/>
  <c r="AF102" i="49"/>
  <c r="AG102" i="49"/>
  <c r="AH102" i="49"/>
  <c r="AI102" i="49"/>
  <c r="AJ102" i="49"/>
  <c r="AK102" i="49"/>
  <c r="AL102" i="49"/>
  <c r="AM102" i="49"/>
  <c r="AN102" i="49"/>
  <c r="AO102" i="49"/>
  <c r="Z103" i="49"/>
  <c r="AA103" i="49"/>
  <c r="AB103" i="49"/>
  <c r="AC103" i="49"/>
  <c r="AD103" i="49"/>
  <c r="AE103" i="49"/>
  <c r="AF103" i="49"/>
  <c r="AG103" i="49"/>
  <c r="AH103" i="49"/>
  <c r="AI103" i="49"/>
  <c r="AJ103" i="49"/>
  <c r="AK103" i="49"/>
  <c r="AL103" i="49"/>
  <c r="AM103" i="49"/>
  <c r="AN103" i="49"/>
  <c r="AO103" i="49"/>
  <c r="Z104" i="49"/>
  <c r="AA104" i="49"/>
  <c r="AB104" i="49"/>
  <c r="AC104" i="49"/>
  <c r="AD104" i="49"/>
  <c r="AE104" i="49"/>
  <c r="AF104" i="49"/>
  <c r="AG104" i="49"/>
  <c r="AH104" i="49"/>
  <c r="AI104" i="49"/>
  <c r="AJ104" i="49"/>
  <c r="AK104" i="49"/>
  <c r="AL104" i="49"/>
  <c r="AM104" i="49"/>
  <c r="AN104" i="49"/>
  <c r="AO104" i="49"/>
  <c r="Z105" i="49"/>
  <c r="AA105" i="49"/>
  <c r="AB105" i="49"/>
  <c r="AC105" i="49"/>
  <c r="AD105" i="49"/>
  <c r="AE105" i="49"/>
  <c r="AF105" i="49"/>
  <c r="AG105" i="49"/>
  <c r="AH105" i="49"/>
  <c r="AI105" i="49"/>
  <c r="AJ105" i="49"/>
  <c r="AK105" i="49"/>
  <c r="AL105" i="49"/>
  <c r="AM105" i="49"/>
  <c r="AN105" i="49"/>
  <c r="AO105" i="49"/>
  <c r="Z106" i="49"/>
  <c r="AA106" i="49"/>
  <c r="AB106" i="49"/>
  <c r="AC106" i="49"/>
  <c r="AD106" i="49"/>
  <c r="AE106" i="49"/>
  <c r="AF106" i="49"/>
  <c r="AG106" i="49"/>
  <c r="AH106" i="49"/>
  <c r="AI106" i="49"/>
  <c r="AJ106" i="49"/>
  <c r="AK106" i="49"/>
  <c r="AL106" i="49"/>
  <c r="AM106" i="49"/>
  <c r="AN106" i="49"/>
  <c r="AO106" i="49"/>
  <c r="Z107" i="49"/>
  <c r="AA107" i="49"/>
  <c r="AB107" i="49"/>
  <c r="AC107" i="49"/>
  <c r="AD107" i="49"/>
  <c r="AE107" i="49"/>
  <c r="AF107" i="49"/>
  <c r="AG107" i="49"/>
  <c r="AH107" i="49"/>
  <c r="AI107" i="49"/>
  <c r="AJ107" i="49"/>
  <c r="AK107" i="49"/>
  <c r="AL107" i="49"/>
  <c r="AM107" i="49"/>
  <c r="AN107" i="49"/>
  <c r="AO107" i="49"/>
  <c r="Z108" i="49"/>
  <c r="AA108" i="49"/>
  <c r="AB108" i="49"/>
  <c r="AC108" i="49"/>
  <c r="AD108" i="49"/>
  <c r="AE108" i="49"/>
  <c r="AF108" i="49"/>
  <c r="AG108" i="49"/>
  <c r="AH108" i="49"/>
  <c r="AI108" i="49"/>
  <c r="AJ108" i="49"/>
  <c r="AK108" i="49"/>
  <c r="AL108" i="49"/>
  <c r="AM108" i="49"/>
  <c r="AN108" i="49"/>
  <c r="AO108" i="49"/>
  <c r="Z109" i="49"/>
  <c r="AA109" i="49"/>
  <c r="AB109" i="49"/>
  <c r="AC109" i="49"/>
  <c r="AD109" i="49"/>
  <c r="AE109" i="49"/>
  <c r="AF109" i="49"/>
  <c r="AG109" i="49"/>
  <c r="AH109" i="49"/>
  <c r="AI109" i="49"/>
  <c r="AJ109" i="49"/>
  <c r="AK109" i="49"/>
  <c r="AL109" i="49"/>
  <c r="AM109" i="49"/>
  <c r="AN109" i="49"/>
  <c r="AO109" i="49"/>
  <c r="Z110" i="49"/>
  <c r="AA110" i="49"/>
  <c r="AB110" i="49"/>
  <c r="AC110" i="49"/>
  <c r="AD110" i="49"/>
  <c r="AE110" i="49"/>
  <c r="AF110" i="49"/>
  <c r="AG110" i="49"/>
  <c r="AH110" i="49"/>
  <c r="AI110" i="49"/>
  <c r="AJ110" i="49"/>
  <c r="AK110" i="49"/>
  <c r="AL110" i="49"/>
  <c r="AM110" i="49"/>
  <c r="AN110" i="49"/>
  <c r="AO110" i="49"/>
  <c r="Z111" i="49"/>
  <c r="AA111" i="49"/>
  <c r="AB111" i="49"/>
  <c r="AC111" i="49"/>
  <c r="AD111" i="49"/>
  <c r="AE111" i="49"/>
  <c r="AF111" i="49"/>
  <c r="AG111" i="49"/>
  <c r="AH111" i="49"/>
  <c r="AI111" i="49"/>
  <c r="AJ111" i="49"/>
  <c r="AK111" i="49"/>
  <c r="AL111" i="49"/>
  <c r="AM111" i="49"/>
  <c r="AN111" i="49"/>
  <c r="AO111" i="49"/>
  <c r="Z112" i="49"/>
  <c r="AA112" i="49"/>
  <c r="AB112" i="49"/>
  <c r="AC112" i="49"/>
  <c r="AD112" i="49"/>
  <c r="AE112" i="49"/>
  <c r="AF112" i="49"/>
  <c r="AG112" i="49"/>
  <c r="AH112" i="49"/>
  <c r="AI112" i="49"/>
  <c r="AJ112" i="49"/>
  <c r="AK112" i="49"/>
  <c r="AL112" i="49"/>
  <c r="AM112" i="49"/>
  <c r="AN112" i="49"/>
  <c r="AO112" i="49"/>
  <c r="Z113" i="49"/>
  <c r="AA113" i="49"/>
  <c r="AB113" i="49"/>
  <c r="AC113" i="49"/>
  <c r="AD113" i="49"/>
  <c r="AE113" i="49"/>
  <c r="AF113" i="49"/>
  <c r="AG113" i="49"/>
  <c r="AH113" i="49"/>
  <c r="AI113" i="49"/>
  <c r="AJ113" i="49"/>
  <c r="AK113" i="49"/>
  <c r="AL113" i="49"/>
  <c r="AM113" i="49"/>
  <c r="AN113" i="49"/>
  <c r="AO113" i="49"/>
  <c r="Z114" i="49"/>
  <c r="AA114" i="49"/>
  <c r="AB114" i="49"/>
  <c r="AC114" i="49"/>
  <c r="AD114" i="49"/>
  <c r="AE114" i="49"/>
  <c r="AF114" i="49"/>
  <c r="AG114" i="49"/>
  <c r="AH114" i="49"/>
  <c r="AI114" i="49"/>
  <c r="AJ114" i="49"/>
  <c r="AK114" i="49"/>
  <c r="AL114" i="49"/>
  <c r="AM114" i="49"/>
  <c r="AN114" i="49"/>
  <c r="AO114" i="49"/>
  <c r="Z115" i="49"/>
  <c r="AA115" i="49"/>
  <c r="AB115" i="49"/>
  <c r="AC115" i="49"/>
  <c r="AD115" i="49"/>
  <c r="AE115" i="49"/>
  <c r="AF115" i="49"/>
  <c r="AG115" i="49"/>
  <c r="AH115" i="49"/>
  <c r="AI115" i="49"/>
  <c r="AJ115" i="49"/>
  <c r="AK115" i="49"/>
  <c r="AL115" i="49"/>
  <c r="AM115" i="49"/>
  <c r="AN115" i="49"/>
  <c r="AO115" i="49"/>
  <c r="Z116" i="49"/>
  <c r="AA116" i="49"/>
  <c r="AB116" i="49"/>
  <c r="AC116" i="49"/>
  <c r="AD116" i="49"/>
  <c r="AE116" i="49"/>
  <c r="AF116" i="49"/>
  <c r="AG116" i="49"/>
  <c r="AH116" i="49"/>
  <c r="AI116" i="49"/>
  <c r="AJ116" i="49"/>
  <c r="AK116" i="49"/>
  <c r="AL116" i="49"/>
  <c r="AM116" i="49"/>
  <c r="AN116" i="49"/>
  <c r="AO116" i="49"/>
  <c r="Z117" i="49"/>
  <c r="AA117" i="49"/>
  <c r="AB117" i="49"/>
  <c r="AC117" i="49"/>
  <c r="AD117" i="49"/>
  <c r="AE117" i="49"/>
  <c r="AF117" i="49"/>
  <c r="AG117" i="49"/>
  <c r="AH117" i="49"/>
  <c r="AI117" i="49"/>
  <c r="AJ117" i="49"/>
  <c r="AK117" i="49"/>
  <c r="AL117" i="49"/>
  <c r="AM117" i="49"/>
  <c r="AN117" i="49"/>
  <c r="AO117" i="49"/>
  <c r="Z118" i="49"/>
  <c r="AA118" i="49"/>
  <c r="AB118" i="49"/>
  <c r="AC118" i="49"/>
  <c r="AD118" i="49"/>
  <c r="AE118" i="49"/>
  <c r="AF118" i="49"/>
  <c r="AG118" i="49"/>
  <c r="AH118" i="49"/>
  <c r="AI118" i="49"/>
  <c r="AJ118" i="49"/>
  <c r="AK118" i="49"/>
  <c r="AL118" i="49"/>
  <c r="AM118" i="49"/>
  <c r="AN118" i="49"/>
  <c r="AO118" i="49"/>
  <c r="Z119" i="49"/>
  <c r="AA119" i="49"/>
  <c r="AB119" i="49"/>
  <c r="AC119" i="49"/>
  <c r="AD119" i="49"/>
  <c r="AE119" i="49"/>
  <c r="AF119" i="49"/>
  <c r="AG119" i="49"/>
  <c r="AH119" i="49"/>
  <c r="AI119" i="49"/>
  <c r="AJ119" i="49"/>
  <c r="AK119" i="49"/>
  <c r="AL119" i="49"/>
  <c r="AM119" i="49"/>
  <c r="AN119" i="49"/>
  <c r="AO119" i="49"/>
  <c r="Z120" i="49"/>
  <c r="AA120" i="49"/>
  <c r="AB120" i="49"/>
  <c r="AC120" i="49"/>
  <c r="AD120" i="49"/>
  <c r="AE120" i="49"/>
  <c r="AF120" i="49"/>
  <c r="AG120" i="49"/>
  <c r="AH120" i="49"/>
  <c r="AI120" i="49"/>
  <c r="AJ120" i="49"/>
  <c r="AK120" i="49"/>
  <c r="AL120" i="49"/>
  <c r="AM120" i="49"/>
  <c r="AN120" i="49"/>
  <c r="AO120" i="49"/>
  <c r="Z121" i="49"/>
  <c r="AA121" i="49"/>
  <c r="AB121" i="49"/>
  <c r="AC121" i="49"/>
  <c r="AD121" i="49"/>
  <c r="AE121" i="49"/>
  <c r="AF121" i="49"/>
  <c r="AG121" i="49"/>
  <c r="AH121" i="49"/>
  <c r="AI121" i="49"/>
  <c r="AJ121" i="49"/>
  <c r="AK121" i="49"/>
  <c r="AL121" i="49"/>
  <c r="AM121" i="49"/>
  <c r="AN121" i="49"/>
  <c r="AO121" i="49"/>
  <c r="Z122" i="49"/>
  <c r="AA122" i="49"/>
  <c r="AB122" i="49"/>
  <c r="AC122" i="49"/>
  <c r="AD122" i="49"/>
  <c r="AE122" i="49"/>
  <c r="AF122" i="49"/>
  <c r="AG122" i="49"/>
  <c r="AH122" i="49"/>
  <c r="AI122" i="49"/>
  <c r="AJ122" i="49"/>
  <c r="AK122" i="49"/>
  <c r="AL122" i="49"/>
  <c r="AM122" i="49"/>
  <c r="AN122" i="49"/>
  <c r="AO122" i="49"/>
  <c r="Z123" i="49"/>
  <c r="AA123" i="49"/>
  <c r="AB123" i="49"/>
  <c r="AC123" i="49"/>
  <c r="AD123" i="49"/>
  <c r="AE123" i="49"/>
  <c r="AF123" i="49"/>
  <c r="AG123" i="49"/>
  <c r="AH123" i="49"/>
  <c r="AI123" i="49"/>
  <c r="AJ123" i="49"/>
  <c r="AK123" i="49"/>
  <c r="AL123" i="49"/>
  <c r="AM123" i="49"/>
  <c r="AN123" i="49"/>
  <c r="AO123" i="49"/>
  <c r="Z124" i="49"/>
  <c r="AA124" i="49"/>
  <c r="AB124" i="49"/>
  <c r="AC124" i="49"/>
  <c r="AD124" i="49"/>
  <c r="AE124" i="49"/>
  <c r="AF124" i="49"/>
  <c r="AG124" i="49"/>
  <c r="AH124" i="49"/>
  <c r="AI124" i="49"/>
  <c r="AJ124" i="49"/>
  <c r="AK124" i="49"/>
  <c r="AL124" i="49"/>
  <c r="AM124" i="49"/>
  <c r="AN124" i="49"/>
  <c r="AO124" i="49"/>
  <c r="Z125" i="49"/>
  <c r="AA125" i="49"/>
  <c r="AB125" i="49"/>
  <c r="AC125" i="49"/>
  <c r="AD125" i="49"/>
  <c r="AE125" i="49"/>
  <c r="AF125" i="49"/>
  <c r="AG125" i="49"/>
  <c r="AH125" i="49"/>
  <c r="AI125" i="49"/>
  <c r="AJ125" i="49"/>
  <c r="AK125" i="49"/>
  <c r="AL125" i="49"/>
  <c r="AM125" i="49"/>
  <c r="AN125" i="49"/>
  <c r="AO125" i="49"/>
  <c r="Z126" i="49"/>
  <c r="AA126" i="49"/>
  <c r="AB126" i="49"/>
  <c r="AC126" i="49"/>
  <c r="AD126" i="49"/>
  <c r="AE126" i="49"/>
  <c r="AF126" i="49"/>
  <c r="AG126" i="49"/>
  <c r="AH126" i="49"/>
  <c r="AI126" i="49"/>
  <c r="AJ126" i="49"/>
  <c r="AK126" i="49"/>
  <c r="AL126" i="49"/>
  <c r="AM126" i="49"/>
  <c r="AN126" i="49"/>
  <c r="AO126" i="49"/>
  <c r="Z127" i="49"/>
  <c r="AA127" i="49"/>
  <c r="AB127" i="49"/>
  <c r="AC127" i="49"/>
  <c r="AD127" i="49"/>
  <c r="AE127" i="49"/>
  <c r="AF127" i="49"/>
  <c r="AG127" i="49"/>
  <c r="AH127" i="49"/>
  <c r="AI127" i="49"/>
  <c r="AJ127" i="49"/>
  <c r="AK127" i="49"/>
  <c r="AL127" i="49"/>
  <c r="AM127" i="49"/>
  <c r="AN127" i="49"/>
  <c r="AO127" i="49"/>
  <c r="Z128" i="49"/>
  <c r="AA128" i="49"/>
  <c r="AB128" i="49"/>
  <c r="AC128" i="49"/>
  <c r="AD128" i="49"/>
  <c r="AE128" i="49"/>
  <c r="AF128" i="49"/>
  <c r="AG128" i="49"/>
  <c r="AH128" i="49"/>
  <c r="AI128" i="49"/>
  <c r="AJ128" i="49"/>
  <c r="AK128" i="49"/>
  <c r="AL128" i="49"/>
  <c r="AM128" i="49"/>
  <c r="AN128" i="49"/>
  <c r="AO128" i="49"/>
  <c r="Z129" i="49"/>
  <c r="AA129" i="49"/>
  <c r="AB129" i="49"/>
  <c r="AC129" i="49"/>
  <c r="AD129" i="49"/>
  <c r="AE129" i="49"/>
  <c r="AF129" i="49"/>
  <c r="AG129" i="49"/>
  <c r="AH129" i="49"/>
  <c r="AI129" i="49"/>
  <c r="AJ129" i="49"/>
  <c r="AK129" i="49"/>
  <c r="AL129" i="49"/>
  <c r="AM129" i="49"/>
  <c r="AN129" i="49"/>
  <c r="AO129" i="49"/>
  <c r="Z130" i="49"/>
  <c r="AA130" i="49"/>
  <c r="AB130" i="49"/>
  <c r="AC130" i="49"/>
  <c r="AD130" i="49"/>
  <c r="AE130" i="49"/>
  <c r="AF130" i="49"/>
  <c r="AG130" i="49"/>
  <c r="AH130" i="49"/>
  <c r="AI130" i="49"/>
  <c r="AJ130" i="49"/>
  <c r="AK130" i="49"/>
  <c r="AL130" i="49"/>
  <c r="AM130" i="49"/>
  <c r="AN130" i="49"/>
  <c r="AO130" i="49"/>
  <c r="Z131" i="49"/>
  <c r="AA131" i="49"/>
  <c r="AB131" i="49"/>
  <c r="AC131" i="49"/>
  <c r="AD131" i="49"/>
  <c r="AE131" i="49"/>
  <c r="AF131" i="49"/>
  <c r="AG131" i="49"/>
  <c r="AH131" i="49"/>
  <c r="AI131" i="49"/>
  <c r="AJ131" i="49"/>
  <c r="AK131" i="49"/>
  <c r="AL131" i="49"/>
  <c r="AM131" i="49"/>
  <c r="AN131" i="49"/>
  <c r="AO131" i="49"/>
  <c r="Z132" i="49"/>
  <c r="AA132" i="49"/>
  <c r="AB132" i="49"/>
  <c r="AC132" i="49"/>
  <c r="AD132" i="49"/>
  <c r="AE132" i="49"/>
  <c r="AF132" i="49"/>
  <c r="AG132" i="49"/>
  <c r="AH132" i="49"/>
  <c r="AI132" i="49"/>
  <c r="AJ132" i="49"/>
  <c r="AK132" i="49"/>
  <c r="AL132" i="49"/>
  <c r="AM132" i="49"/>
  <c r="AN132" i="49"/>
  <c r="AO132" i="49"/>
  <c r="Z133" i="49"/>
  <c r="AA133" i="49"/>
  <c r="AB133" i="49"/>
  <c r="AC133" i="49"/>
  <c r="AD133" i="49"/>
  <c r="AE133" i="49"/>
  <c r="AF133" i="49"/>
  <c r="AG133" i="49"/>
  <c r="AH133" i="49"/>
  <c r="AI133" i="49"/>
  <c r="AJ133" i="49"/>
  <c r="AK133" i="49"/>
  <c r="AL133" i="49"/>
  <c r="AM133" i="49"/>
  <c r="AN133" i="49"/>
  <c r="AO133" i="49"/>
  <c r="Z134" i="49"/>
  <c r="AA134" i="49"/>
  <c r="AB134" i="49"/>
  <c r="AC134" i="49"/>
  <c r="AD134" i="49"/>
  <c r="AE134" i="49"/>
  <c r="AF134" i="49"/>
  <c r="AG134" i="49"/>
  <c r="AH134" i="49"/>
  <c r="AI134" i="49"/>
  <c r="AJ134" i="49"/>
  <c r="AK134" i="49"/>
  <c r="AL134" i="49"/>
  <c r="AM134" i="49"/>
  <c r="AN134" i="49"/>
  <c r="AO134" i="49"/>
  <c r="Z135" i="49"/>
  <c r="AA135" i="49"/>
  <c r="AB135" i="49"/>
  <c r="AC135" i="49"/>
  <c r="AD135" i="49"/>
  <c r="AE135" i="49"/>
  <c r="AF135" i="49"/>
  <c r="AG135" i="49"/>
  <c r="AH135" i="49"/>
  <c r="AI135" i="49"/>
  <c r="AJ135" i="49"/>
  <c r="AK135" i="49"/>
  <c r="AL135" i="49"/>
  <c r="AM135" i="49"/>
  <c r="AN135" i="49"/>
  <c r="AO135" i="49"/>
  <c r="Z136" i="49"/>
  <c r="AA136" i="49"/>
  <c r="AB136" i="49"/>
  <c r="AC136" i="49"/>
  <c r="AD136" i="49"/>
  <c r="AE136" i="49"/>
  <c r="AF136" i="49"/>
  <c r="AG136" i="49"/>
  <c r="AH136" i="49"/>
  <c r="AI136" i="49"/>
  <c r="AJ136" i="49"/>
  <c r="AK136" i="49"/>
  <c r="AL136" i="49"/>
  <c r="AM136" i="49"/>
  <c r="AN136" i="49"/>
  <c r="AO136" i="49"/>
  <c r="Z137" i="49"/>
  <c r="AA137" i="49"/>
  <c r="AB137" i="49"/>
  <c r="AC137" i="49"/>
  <c r="AD137" i="49"/>
  <c r="AE137" i="49"/>
  <c r="AF137" i="49"/>
  <c r="AG137" i="49"/>
  <c r="AH137" i="49"/>
  <c r="AI137" i="49"/>
  <c r="AJ137" i="49"/>
  <c r="AK137" i="49"/>
  <c r="AL137" i="49"/>
  <c r="AM137" i="49"/>
  <c r="AN137" i="49"/>
  <c r="AO137" i="49"/>
  <c r="Z138" i="49"/>
  <c r="AA138" i="49"/>
  <c r="AB138" i="49"/>
  <c r="AC138" i="49"/>
  <c r="AD138" i="49"/>
  <c r="AE138" i="49"/>
  <c r="AF138" i="49"/>
  <c r="AG138" i="49"/>
  <c r="AH138" i="49"/>
  <c r="AI138" i="49"/>
  <c r="AJ138" i="49"/>
  <c r="AK138" i="49"/>
  <c r="AL138" i="49"/>
  <c r="AM138" i="49"/>
  <c r="AN138" i="49"/>
  <c r="AO138" i="49"/>
  <c r="Z139" i="49"/>
  <c r="AA139" i="49"/>
  <c r="AB139" i="49"/>
  <c r="AC139" i="49"/>
  <c r="AD139" i="49"/>
  <c r="AE139" i="49"/>
  <c r="AF139" i="49"/>
  <c r="AG139" i="49"/>
  <c r="AH139" i="49"/>
  <c r="AI139" i="49"/>
  <c r="AJ139" i="49"/>
  <c r="AK139" i="49"/>
  <c r="AL139" i="49"/>
  <c r="AM139" i="49"/>
  <c r="AN139" i="49"/>
  <c r="AO139" i="49"/>
  <c r="Z140" i="49"/>
  <c r="AA140" i="49"/>
  <c r="AB140" i="49"/>
  <c r="AC140" i="49"/>
  <c r="AD140" i="49"/>
  <c r="AE140" i="49"/>
  <c r="AF140" i="49"/>
  <c r="AG140" i="49"/>
  <c r="AH140" i="49"/>
  <c r="AI140" i="49"/>
  <c r="AJ140" i="49"/>
  <c r="AK140" i="49"/>
  <c r="AL140" i="49"/>
  <c r="AM140" i="49"/>
  <c r="AN140" i="49"/>
  <c r="AO140" i="49"/>
  <c r="Z141" i="49"/>
  <c r="AA141" i="49"/>
  <c r="AB141" i="49"/>
  <c r="AC141" i="49"/>
  <c r="AD141" i="49"/>
  <c r="AE141" i="49"/>
  <c r="AF141" i="49"/>
  <c r="AG141" i="49"/>
  <c r="AH141" i="49"/>
  <c r="AI141" i="49"/>
  <c r="AJ141" i="49"/>
  <c r="AK141" i="49"/>
  <c r="AL141" i="49"/>
  <c r="AM141" i="49"/>
  <c r="AN141" i="49"/>
  <c r="AO141" i="49"/>
  <c r="Z142" i="49"/>
  <c r="AA142" i="49"/>
  <c r="AB142" i="49"/>
  <c r="AC142" i="49"/>
  <c r="AD142" i="49"/>
  <c r="AE142" i="49"/>
  <c r="AF142" i="49"/>
  <c r="AG142" i="49"/>
  <c r="AH142" i="49"/>
  <c r="AI142" i="49"/>
  <c r="AJ142" i="49"/>
  <c r="AK142" i="49"/>
  <c r="AL142" i="49"/>
  <c r="AM142" i="49"/>
  <c r="AN142" i="49"/>
  <c r="AO142" i="49"/>
  <c r="Z143" i="49"/>
  <c r="AA143" i="49"/>
  <c r="AB143" i="49"/>
  <c r="AC143" i="49"/>
  <c r="AD143" i="49"/>
  <c r="AE143" i="49"/>
  <c r="AF143" i="49"/>
  <c r="AG143" i="49"/>
  <c r="AH143" i="49"/>
  <c r="AI143" i="49"/>
  <c r="AJ143" i="49"/>
  <c r="AK143" i="49"/>
  <c r="AL143" i="49"/>
  <c r="AM143" i="49"/>
  <c r="AN143" i="49"/>
  <c r="AO143" i="49"/>
  <c r="Z144" i="49"/>
  <c r="AA144" i="49"/>
  <c r="AB144" i="49"/>
  <c r="AC144" i="49"/>
  <c r="AD144" i="49"/>
  <c r="AE144" i="49"/>
  <c r="AF144" i="49"/>
  <c r="AG144" i="49"/>
  <c r="AH144" i="49"/>
  <c r="AI144" i="49"/>
  <c r="AJ144" i="49"/>
  <c r="AK144" i="49"/>
  <c r="AL144" i="49"/>
  <c r="AM144" i="49"/>
  <c r="AN144" i="49"/>
  <c r="AO144" i="49"/>
  <c r="Z145" i="49"/>
  <c r="AA145" i="49"/>
  <c r="AB145" i="49"/>
  <c r="AC145" i="49"/>
  <c r="AD145" i="49"/>
  <c r="AE145" i="49"/>
  <c r="AF145" i="49"/>
  <c r="AG145" i="49"/>
  <c r="AH145" i="49"/>
  <c r="AI145" i="49"/>
  <c r="AJ145" i="49"/>
  <c r="AK145" i="49"/>
  <c r="AL145" i="49"/>
  <c r="AM145" i="49"/>
  <c r="AN145" i="49"/>
  <c r="AO145" i="49"/>
  <c r="Z146" i="49"/>
  <c r="AA146" i="49"/>
  <c r="AB146" i="49"/>
  <c r="AC146" i="49"/>
  <c r="AD146" i="49"/>
  <c r="AE146" i="49"/>
  <c r="AF146" i="49"/>
  <c r="AG146" i="49"/>
  <c r="AH146" i="49"/>
  <c r="AI146" i="49"/>
  <c r="AJ146" i="49"/>
  <c r="AK146" i="49"/>
  <c r="AL146" i="49"/>
  <c r="AM146" i="49"/>
  <c r="AN146" i="49"/>
  <c r="AO146" i="49"/>
  <c r="Z147" i="49"/>
  <c r="AA147" i="49"/>
  <c r="AB147" i="49"/>
  <c r="AC147" i="49"/>
  <c r="AD147" i="49"/>
  <c r="AE147" i="49"/>
  <c r="AF147" i="49"/>
  <c r="AG147" i="49"/>
  <c r="AH147" i="49"/>
  <c r="AI147" i="49"/>
  <c r="AJ147" i="49"/>
  <c r="AK147" i="49"/>
  <c r="AL147" i="49"/>
  <c r="AM147" i="49"/>
  <c r="AN147" i="49"/>
  <c r="AO147" i="49"/>
  <c r="Z148" i="49"/>
  <c r="AA148" i="49"/>
  <c r="AB148" i="49"/>
  <c r="AC148" i="49"/>
  <c r="AD148" i="49"/>
  <c r="AE148" i="49"/>
  <c r="AF148" i="49"/>
  <c r="AG148" i="49"/>
  <c r="AH148" i="49"/>
  <c r="AI148" i="49"/>
  <c r="AJ148" i="49"/>
  <c r="AK148" i="49"/>
  <c r="AL148" i="49"/>
  <c r="AM148" i="49"/>
  <c r="AN148" i="49"/>
  <c r="AO148" i="49"/>
  <c r="Z149" i="49"/>
  <c r="AA149" i="49"/>
  <c r="AB149" i="49"/>
  <c r="AC149" i="49"/>
  <c r="AD149" i="49"/>
  <c r="AE149" i="49"/>
  <c r="AF149" i="49"/>
  <c r="AG149" i="49"/>
  <c r="AH149" i="49"/>
  <c r="AI149" i="49"/>
  <c r="AJ149" i="49"/>
  <c r="AK149" i="49"/>
  <c r="AL149" i="49"/>
  <c r="AM149" i="49"/>
  <c r="AN149" i="49"/>
  <c r="AO149" i="49"/>
  <c r="Z150" i="49"/>
  <c r="AA150" i="49"/>
  <c r="AB150" i="49"/>
  <c r="AC150" i="49"/>
  <c r="AD150" i="49"/>
  <c r="AE150" i="49"/>
  <c r="AF150" i="49"/>
  <c r="AG150" i="49"/>
  <c r="AH150" i="49"/>
  <c r="AI150" i="49"/>
  <c r="AJ150" i="49"/>
  <c r="AK150" i="49"/>
  <c r="AL150" i="49"/>
  <c r="AM150" i="49"/>
  <c r="AN150" i="49"/>
  <c r="AO150" i="49"/>
  <c r="Z151" i="49"/>
  <c r="AA151" i="49"/>
  <c r="AB151" i="49"/>
  <c r="AC151" i="49"/>
  <c r="AD151" i="49"/>
  <c r="AE151" i="49"/>
  <c r="AF151" i="49"/>
  <c r="AG151" i="49"/>
  <c r="AH151" i="49"/>
  <c r="AI151" i="49"/>
  <c r="AJ151" i="49"/>
  <c r="AK151" i="49"/>
  <c r="AL151" i="49"/>
  <c r="AM151" i="49"/>
  <c r="AN151" i="49"/>
  <c r="AO151" i="49"/>
  <c r="Z152" i="49"/>
  <c r="AA152" i="49"/>
  <c r="AB152" i="49"/>
  <c r="AC152" i="49"/>
  <c r="AD152" i="49"/>
  <c r="AE152" i="49"/>
  <c r="AF152" i="49"/>
  <c r="AG152" i="49"/>
  <c r="AH152" i="49"/>
  <c r="AI152" i="49"/>
  <c r="AJ152" i="49"/>
  <c r="AK152" i="49"/>
  <c r="AL152" i="49"/>
  <c r="AM152" i="49"/>
  <c r="AN152" i="49"/>
  <c r="AO152" i="49"/>
  <c r="Z153" i="49"/>
  <c r="AA153" i="49"/>
  <c r="AB153" i="49"/>
  <c r="AC153" i="49"/>
  <c r="AD153" i="49"/>
  <c r="AE153" i="49"/>
  <c r="AF153" i="49"/>
  <c r="AG153" i="49"/>
  <c r="AH153" i="49"/>
  <c r="AI153" i="49"/>
  <c r="AJ153" i="49"/>
  <c r="AK153" i="49"/>
  <c r="AL153" i="49"/>
  <c r="AM153" i="49"/>
  <c r="AN153" i="49"/>
  <c r="AO153" i="49"/>
  <c r="Z154" i="49"/>
  <c r="AA154" i="49"/>
  <c r="AB154" i="49"/>
  <c r="AC154" i="49"/>
  <c r="AD154" i="49"/>
  <c r="AE154" i="49"/>
  <c r="AF154" i="49"/>
  <c r="AG154" i="49"/>
  <c r="AH154" i="49"/>
  <c r="AI154" i="49"/>
  <c r="AJ154" i="49"/>
  <c r="AK154" i="49"/>
  <c r="AL154" i="49"/>
  <c r="AM154" i="49"/>
  <c r="AN154" i="49"/>
  <c r="AO154" i="49"/>
  <c r="Z155" i="49"/>
  <c r="AA155" i="49"/>
  <c r="AB155" i="49"/>
  <c r="AC155" i="49"/>
  <c r="AD155" i="49"/>
  <c r="AE155" i="49"/>
  <c r="AF155" i="49"/>
  <c r="AG155" i="49"/>
  <c r="AH155" i="49"/>
  <c r="AI155" i="49"/>
  <c r="AJ155" i="49"/>
  <c r="AK155" i="49"/>
  <c r="AL155" i="49"/>
  <c r="AM155" i="49"/>
  <c r="AN155" i="49"/>
  <c r="AO155" i="49"/>
  <c r="Z156" i="49"/>
  <c r="AA156" i="49"/>
  <c r="AB156" i="49"/>
  <c r="AC156" i="49"/>
  <c r="AD156" i="49"/>
  <c r="AE156" i="49"/>
  <c r="AF156" i="49"/>
  <c r="AG156" i="49"/>
  <c r="AH156" i="49"/>
  <c r="AI156" i="49"/>
  <c r="AJ156" i="49"/>
  <c r="AK156" i="49"/>
  <c r="AL156" i="49"/>
  <c r="AM156" i="49"/>
  <c r="AN156" i="49"/>
  <c r="AO156" i="49"/>
  <c r="Z157" i="49"/>
  <c r="AA157" i="49"/>
  <c r="AB157" i="49"/>
  <c r="AC157" i="49"/>
  <c r="AD157" i="49"/>
  <c r="AE157" i="49"/>
  <c r="AF157" i="49"/>
  <c r="AG157" i="49"/>
  <c r="AH157" i="49"/>
  <c r="AI157" i="49"/>
  <c r="AJ157" i="49"/>
  <c r="AK157" i="49"/>
  <c r="AL157" i="49"/>
  <c r="AM157" i="49"/>
  <c r="AN157" i="49"/>
  <c r="AO157" i="49"/>
  <c r="Z158" i="49"/>
  <c r="AA158" i="49"/>
  <c r="AB158" i="49"/>
  <c r="AC158" i="49"/>
  <c r="AD158" i="49"/>
  <c r="AE158" i="49"/>
  <c r="AF158" i="49"/>
  <c r="AG158" i="49"/>
  <c r="AH158" i="49"/>
  <c r="AI158" i="49"/>
  <c r="AJ158" i="49"/>
  <c r="AK158" i="49"/>
  <c r="AL158" i="49"/>
  <c r="AM158" i="49"/>
  <c r="AN158" i="49"/>
  <c r="AO158" i="49"/>
  <c r="Z159" i="49"/>
  <c r="AA159" i="49"/>
  <c r="AB159" i="49"/>
  <c r="AC159" i="49"/>
  <c r="AD159" i="49"/>
  <c r="AE159" i="49"/>
  <c r="AF159" i="49"/>
  <c r="AG159" i="49"/>
  <c r="AH159" i="49"/>
  <c r="AI159" i="49"/>
  <c r="AJ159" i="49"/>
  <c r="AK159" i="49"/>
  <c r="AL159" i="49"/>
  <c r="AM159" i="49"/>
  <c r="AN159" i="49"/>
  <c r="AO159" i="49"/>
  <c r="Z160" i="49"/>
  <c r="AA160" i="49"/>
  <c r="AB160" i="49"/>
  <c r="AC160" i="49"/>
  <c r="AD160" i="49"/>
  <c r="AE160" i="49"/>
  <c r="AF160" i="49"/>
  <c r="AG160" i="49"/>
  <c r="AH160" i="49"/>
  <c r="AI160" i="49"/>
  <c r="AJ160" i="49"/>
  <c r="AK160" i="49"/>
  <c r="AL160" i="49"/>
  <c r="AM160" i="49"/>
  <c r="AN160" i="49"/>
  <c r="AO160" i="49"/>
  <c r="Z161" i="49"/>
  <c r="AA161" i="49"/>
  <c r="AB161" i="49"/>
  <c r="AC161" i="49"/>
  <c r="AD161" i="49"/>
  <c r="AE161" i="49"/>
  <c r="AF161" i="49"/>
  <c r="AG161" i="49"/>
  <c r="AH161" i="49"/>
  <c r="AI161" i="49"/>
  <c r="AJ161" i="49"/>
  <c r="AK161" i="49"/>
  <c r="AL161" i="49"/>
  <c r="AM161" i="49"/>
  <c r="AN161" i="49"/>
  <c r="AO161" i="49"/>
  <c r="Z162" i="49"/>
  <c r="AA162" i="49"/>
  <c r="AB162" i="49"/>
  <c r="AC162" i="49"/>
  <c r="AD162" i="49"/>
  <c r="AE162" i="49"/>
  <c r="AF162" i="49"/>
  <c r="AG162" i="49"/>
  <c r="AH162" i="49"/>
  <c r="AI162" i="49"/>
  <c r="AJ162" i="49"/>
  <c r="AK162" i="49"/>
  <c r="AL162" i="49"/>
  <c r="AM162" i="49"/>
  <c r="AN162" i="49"/>
  <c r="AO162" i="49"/>
  <c r="Z163" i="49"/>
  <c r="AA163" i="49"/>
  <c r="AB163" i="49"/>
  <c r="AC163" i="49"/>
  <c r="AD163" i="49"/>
  <c r="AE163" i="49"/>
  <c r="AF163" i="49"/>
  <c r="AG163" i="49"/>
  <c r="AH163" i="49"/>
  <c r="AI163" i="49"/>
  <c r="AJ163" i="49"/>
  <c r="AK163" i="49"/>
  <c r="AL163" i="49"/>
  <c r="AM163" i="49"/>
  <c r="AN163" i="49"/>
  <c r="AO163" i="49"/>
  <c r="Z164" i="49"/>
  <c r="AA164" i="49"/>
  <c r="AB164" i="49"/>
  <c r="AC164" i="49"/>
  <c r="AD164" i="49"/>
  <c r="AE164" i="49"/>
  <c r="AF164" i="49"/>
  <c r="AG164" i="49"/>
  <c r="AH164" i="49"/>
  <c r="AI164" i="49"/>
  <c r="AJ164" i="49"/>
  <c r="AK164" i="49"/>
  <c r="AL164" i="49"/>
  <c r="AM164" i="49"/>
  <c r="AN164" i="49"/>
  <c r="AO164" i="49"/>
  <c r="Z165" i="49"/>
  <c r="AA165" i="49"/>
  <c r="AB165" i="49"/>
  <c r="AC165" i="49"/>
  <c r="AD165" i="49"/>
  <c r="AE165" i="49"/>
  <c r="AF165" i="49"/>
  <c r="AG165" i="49"/>
  <c r="AH165" i="49"/>
  <c r="AI165" i="49"/>
  <c r="AJ165" i="49"/>
  <c r="AK165" i="49"/>
  <c r="AL165" i="49"/>
  <c r="AM165" i="49"/>
  <c r="AN165" i="49"/>
  <c r="AO165" i="49"/>
  <c r="Z166" i="49"/>
  <c r="AA166" i="49"/>
  <c r="AB166" i="49"/>
  <c r="AC166" i="49"/>
  <c r="AD166" i="49"/>
  <c r="AE166" i="49"/>
  <c r="AF166" i="49"/>
  <c r="AG166" i="49"/>
  <c r="AH166" i="49"/>
  <c r="AI166" i="49"/>
  <c r="AJ166" i="49"/>
  <c r="AK166" i="49"/>
  <c r="AL166" i="49"/>
  <c r="AM166" i="49"/>
  <c r="AN166" i="49"/>
  <c r="AO166" i="49"/>
  <c r="Z167" i="49"/>
  <c r="AA167" i="49"/>
  <c r="AB167" i="49"/>
  <c r="AC167" i="49"/>
  <c r="AD167" i="49"/>
  <c r="AE167" i="49"/>
  <c r="AF167" i="49"/>
  <c r="AG167" i="49"/>
  <c r="AH167" i="49"/>
  <c r="AI167" i="49"/>
  <c r="AJ167" i="49"/>
  <c r="AK167" i="49"/>
  <c r="AL167" i="49"/>
  <c r="AM167" i="49"/>
  <c r="AN167" i="49"/>
  <c r="AO167" i="49"/>
  <c r="Z168" i="49"/>
  <c r="AA168" i="49"/>
  <c r="AB168" i="49"/>
  <c r="AC168" i="49"/>
  <c r="AD168" i="49"/>
  <c r="AE168" i="49"/>
  <c r="AF168" i="49"/>
  <c r="AG168" i="49"/>
  <c r="AH168" i="49"/>
  <c r="AI168" i="49"/>
  <c r="AJ168" i="49"/>
  <c r="AK168" i="49"/>
  <c r="AL168" i="49"/>
  <c r="AM168" i="49"/>
  <c r="AN168" i="49"/>
  <c r="AO168" i="49"/>
  <c r="Z169" i="49"/>
  <c r="AA169" i="49"/>
  <c r="AB169" i="49"/>
  <c r="AC169" i="49"/>
  <c r="AD169" i="49"/>
  <c r="AE169" i="49"/>
  <c r="AF169" i="49"/>
  <c r="AG169" i="49"/>
  <c r="AH169" i="49"/>
  <c r="AI169" i="49"/>
  <c r="AJ169" i="49"/>
  <c r="AK169" i="49"/>
  <c r="AL169" i="49"/>
  <c r="AM169" i="49"/>
  <c r="AN169" i="49"/>
  <c r="AO169" i="49"/>
  <c r="Z170" i="49"/>
  <c r="AA170" i="49"/>
  <c r="AB170" i="49"/>
  <c r="AC170" i="49"/>
  <c r="AD170" i="49"/>
  <c r="AE170" i="49"/>
  <c r="AF170" i="49"/>
  <c r="AG170" i="49"/>
  <c r="AH170" i="49"/>
  <c r="AI170" i="49"/>
  <c r="AJ170" i="49"/>
  <c r="AK170" i="49"/>
  <c r="AL170" i="49"/>
  <c r="AM170" i="49"/>
  <c r="AN170" i="49"/>
  <c r="AO170" i="49"/>
  <c r="Z171" i="49"/>
  <c r="AA171" i="49"/>
  <c r="AB171" i="49"/>
  <c r="AC171" i="49"/>
  <c r="AD171" i="49"/>
  <c r="AE171" i="49"/>
  <c r="AF171" i="49"/>
  <c r="AG171" i="49"/>
  <c r="AH171" i="49"/>
  <c r="AI171" i="49"/>
  <c r="AJ171" i="49"/>
  <c r="AK171" i="49"/>
  <c r="AL171" i="49"/>
  <c r="AM171" i="49"/>
  <c r="AN171" i="49"/>
  <c r="AO171" i="49"/>
  <c r="Z172" i="49"/>
  <c r="AA172" i="49"/>
  <c r="AB172" i="49"/>
  <c r="AC172" i="49"/>
  <c r="AD172" i="49"/>
  <c r="AE172" i="49"/>
  <c r="AF172" i="49"/>
  <c r="AG172" i="49"/>
  <c r="AH172" i="49"/>
  <c r="AI172" i="49"/>
  <c r="AJ172" i="49"/>
  <c r="AK172" i="49"/>
  <c r="AL172" i="49"/>
  <c r="AM172" i="49"/>
  <c r="AN172" i="49"/>
  <c r="AO172" i="49"/>
  <c r="Z173" i="49"/>
  <c r="AA173" i="49"/>
  <c r="AB173" i="49"/>
  <c r="AC173" i="49"/>
  <c r="AD173" i="49"/>
  <c r="AE173" i="49"/>
  <c r="AF173" i="49"/>
  <c r="AG173" i="49"/>
  <c r="AH173" i="49"/>
  <c r="AI173" i="49"/>
  <c r="AJ173" i="49"/>
  <c r="AK173" i="49"/>
  <c r="AL173" i="49"/>
  <c r="AM173" i="49"/>
  <c r="AN173" i="49"/>
  <c r="AO173" i="49"/>
  <c r="Z174" i="49"/>
  <c r="AA174" i="49"/>
  <c r="AB174" i="49"/>
  <c r="AC174" i="49"/>
  <c r="AD174" i="49"/>
  <c r="AE174" i="49"/>
  <c r="AF174" i="49"/>
  <c r="AG174" i="49"/>
  <c r="AH174" i="49"/>
  <c r="AI174" i="49"/>
  <c r="AJ174" i="49"/>
  <c r="AK174" i="49"/>
  <c r="AL174" i="49"/>
  <c r="AM174" i="49"/>
  <c r="AN174" i="49"/>
  <c r="AO174" i="49"/>
  <c r="Z175" i="49"/>
  <c r="AA175" i="49"/>
  <c r="AB175" i="49"/>
  <c r="AC175" i="49"/>
  <c r="AD175" i="49"/>
  <c r="AE175" i="49"/>
  <c r="AF175" i="49"/>
  <c r="AG175" i="49"/>
  <c r="AH175" i="49"/>
  <c r="AI175" i="49"/>
  <c r="AJ175" i="49"/>
  <c r="AK175" i="49"/>
  <c r="AL175" i="49"/>
  <c r="AM175" i="49"/>
  <c r="AN175" i="49"/>
  <c r="AO175" i="49"/>
  <c r="Z176" i="49"/>
  <c r="AA176" i="49"/>
  <c r="AB176" i="49"/>
  <c r="AC176" i="49"/>
  <c r="AD176" i="49"/>
  <c r="AE176" i="49"/>
  <c r="AF176" i="49"/>
  <c r="AG176" i="49"/>
  <c r="AH176" i="49"/>
  <c r="AI176" i="49"/>
  <c r="AJ176" i="49"/>
  <c r="AK176" i="49"/>
  <c r="AL176" i="49"/>
  <c r="AM176" i="49"/>
  <c r="AN176" i="49"/>
  <c r="AO176" i="49"/>
  <c r="Z177" i="49"/>
  <c r="AA177" i="49"/>
  <c r="AB177" i="49"/>
  <c r="AC177" i="49"/>
  <c r="AD177" i="49"/>
  <c r="AE177" i="49"/>
  <c r="AF177" i="49"/>
  <c r="AG177" i="49"/>
  <c r="AH177" i="49"/>
  <c r="AI177" i="49"/>
  <c r="AJ177" i="49"/>
  <c r="AK177" i="49"/>
  <c r="AL177" i="49"/>
  <c r="AM177" i="49"/>
  <c r="AN177" i="49"/>
  <c r="AO177" i="49"/>
  <c r="Z178" i="49"/>
  <c r="AA178" i="49"/>
  <c r="AB178" i="49"/>
  <c r="AC178" i="49"/>
  <c r="AD178" i="49"/>
  <c r="AE178" i="49"/>
  <c r="AF178" i="49"/>
  <c r="AG178" i="49"/>
  <c r="AH178" i="49"/>
  <c r="AI178" i="49"/>
  <c r="AJ178" i="49"/>
  <c r="AK178" i="49"/>
  <c r="AL178" i="49"/>
  <c r="AM178" i="49"/>
  <c r="AN178" i="49"/>
  <c r="AO178" i="49"/>
  <c r="Z179" i="49"/>
  <c r="AA179" i="49"/>
  <c r="AB179" i="49"/>
  <c r="AC179" i="49"/>
  <c r="AD179" i="49"/>
  <c r="AE179" i="49"/>
  <c r="AF179" i="49"/>
  <c r="AG179" i="49"/>
  <c r="AH179" i="49"/>
  <c r="AI179" i="49"/>
  <c r="AJ179" i="49"/>
  <c r="AK179" i="49"/>
  <c r="AL179" i="49"/>
  <c r="AM179" i="49"/>
  <c r="AN179" i="49"/>
  <c r="AO179" i="49"/>
  <c r="Z180" i="49"/>
  <c r="AA180" i="49"/>
  <c r="AB180" i="49"/>
  <c r="AC180" i="49"/>
  <c r="AD180" i="49"/>
  <c r="AE180" i="49"/>
  <c r="AF180" i="49"/>
  <c r="AG180" i="49"/>
  <c r="AH180" i="49"/>
  <c r="AI180" i="49"/>
  <c r="AJ180" i="49"/>
  <c r="AK180" i="49"/>
  <c r="AL180" i="49"/>
  <c r="AM180" i="49"/>
  <c r="AN180" i="49"/>
  <c r="AO180" i="49"/>
  <c r="Z181" i="49"/>
  <c r="AA181" i="49"/>
  <c r="AB181" i="49"/>
  <c r="AC181" i="49"/>
  <c r="AD181" i="49"/>
  <c r="AE181" i="49"/>
  <c r="AF181" i="49"/>
  <c r="AG181" i="49"/>
  <c r="AH181" i="49"/>
  <c r="AI181" i="49"/>
  <c r="AJ181" i="49"/>
  <c r="AK181" i="49"/>
  <c r="AL181" i="49"/>
  <c r="AM181" i="49"/>
  <c r="AN181" i="49"/>
  <c r="AO181" i="49"/>
  <c r="Z182" i="49"/>
  <c r="AA182" i="49"/>
  <c r="AB182" i="49"/>
  <c r="AC182" i="49"/>
  <c r="AD182" i="49"/>
  <c r="AE182" i="49"/>
  <c r="AF182" i="49"/>
  <c r="AG182" i="49"/>
  <c r="AH182" i="49"/>
  <c r="AI182" i="49"/>
  <c r="AJ182" i="49"/>
  <c r="AK182" i="49"/>
  <c r="AL182" i="49"/>
  <c r="AM182" i="49"/>
  <c r="AN182" i="49"/>
  <c r="AO182" i="49"/>
  <c r="Z183" i="49"/>
  <c r="AA183" i="49"/>
  <c r="AB183" i="49"/>
  <c r="AC183" i="49"/>
  <c r="AD183" i="49"/>
  <c r="AE183" i="49"/>
  <c r="AF183" i="49"/>
  <c r="AG183" i="49"/>
  <c r="AH183" i="49"/>
  <c r="AI183" i="49"/>
  <c r="AJ183" i="49"/>
  <c r="AK183" i="49"/>
  <c r="AL183" i="49"/>
  <c r="AM183" i="49"/>
  <c r="AN183" i="49"/>
  <c r="AO183" i="49"/>
  <c r="Z184" i="49"/>
  <c r="AA184" i="49"/>
  <c r="AB184" i="49"/>
  <c r="AC184" i="49"/>
  <c r="AD184" i="49"/>
  <c r="AE184" i="49"/>
  <c r="AF184" i="49"/>
  <c r="AG184" i="49"/>
  <c r="AH184" i="49"/>
  <c r="AI184" i="49"/>
  <c r="AJ184" i="49"/>
  <c r="AK184" i="49"/>
  <c r="AL184" i="49"/>
  <c r="AM184" i="49"/>
  <c r="AN184" i="49"/>
  <c r="AO184" i="49"/>
  <c r="Z185" i="49"/>
  <c r="AA185" i="49"/>
  <c r="AB185" i="49"/>
  <c r="AC185" i="49"/>
  <c r="AD185" i="49"/>
  <c r="AE185" i="49"/>
  <c r="AF185" i="49"/>
  <c r="AG185" i="49"/>
  <c r="AH185" i="49"/>
  <c r="AI185" i="49"/>
  <c r="AJ185" i="49"/>
  <c r="AK185" i="49"/>
  <c r="AL185" i="49"/>
  <c r="AM185" i="49"/>
  <c r="AN185" i="49"/>
  <c r="AO185" i="49"/>
  <c r="Z186" i="49"/>
  <c r="AA186" i="49"/>
  <c r="AB186" i="49"/>
  <c r="AC186" i="49"/>
  <c r="AD186" i="49"/>
  <c r="AE186" i="49"/>
  <c r="AF186" i="49"/>
  <c r="AG186" i="49"/>
  <c r="AH186" i="49"/>
  <c r="AI186" i="49"/>
  <c r="AJ186" i="49"/>
  <c r="AK186" i="49"/>
  <c r="AL186" i="49"/>
  <c r="AM186" i="49"/>
  <c r="AN186" i="49"/>
  <c r="AO186" i="49"/>
  <c r="Z187" i="49"/>
  <c r="AA187" i="49"/>
  <c r="AB187" i="49"/>
  <c r="AC187" i="49"/>
  <c r="AD187" i="49"/>
  <c r="AE187" i="49"/>
  <c r="AF187" i="49"/>
  <c r="AG187" i="49"/>
  <c r="AH187" i="49"/>
  <c r="AI187" i="49"/>
  <c r="AJ187" i="49"/>
  <c r="AK187" i="49"/>
  <c r="AL187" i="49"/>
  <c r="AM187" i="49"/>
  <c r="AN187" i="49"/>
  <c r="AO187" i="49"/>
  <c r="Z188" i="49"/>
  <c r="AA188" i="49"/>
  <c r="AB188" i="49"/>
  <c r="AC188" i="49"/>
  <c r="AD188" i="49"/>
  <c r="AE188" i="49"/>
  <c r="AF188" i="49"/>
  <c r="AG188" i="49"/>
  <c r="AH188" i="49"/>
  <c r="AI188" i="49"/>
  <c r="AJ188" i="49"/>
  <c r="AK188" i="49"/>
  <c r="AL188" i="49"/>
  <c r="AM188" i="49"/>
  <c r="AN188" i="49"/>
  <c r="AO188" i="49"/>
  <c r="Z189" i="49"/>
  <c r="AA189" i="49"/>
  <c r="AB189" i="49"/>
  <c r="AC189" i="49"/>
  <c r="AD189" i="49"/>
  <c r="AE189" i="49"/>
  <c r="AF189" i="49"/>
  <c r="AG189" i="49"/>
  <c r="AH189" i="49"/>
  <c r="AI189" i="49"/>
  <c r="AJ189" i="49"/>
  <c r="AK189" i="49"/>
  <c r="AL189" i="49"/>
  <c r="AM189" i="49"/>
  <c r="AN189" i="49"/>
  <c r="AO189" i="49"/>
  <c r="Z190" i="49"/>
  <c r="AA190" i="49"/>
  <c r="AB190" i="49"/>
  <c r="AC190" i="49"/>
  <c r="AD190" i="49"/>
  <c r="AE190" i="49"/>
  <c r="AF190" i="49"/>
  <c r="AG190" i="49"/>
  <c r="AH190" i="49"/>
  <c r="AI190" i="49"/>
  <c r="AJ190" i="49"/>
  <c r="AK190" i="49"/>
  <c r="AL190" i="49"/>
  <c r="AM190" i="49"/>
  <c r="AN190" i="49"/>
  <c r="AO190" i="49"/>
  <c r="Z191" i="49"/>
  <c r="AA191" i="49"/>
  <c r="AB191" i="49"/>
  <c r="AC191" i="49"/>
  <c r="AD191" i="49"/>
  <c r="AE191" i="49"/>
  <c r="AF191" i="49"/>
  <c r="AG191" i="49"/>
  <c r="AH191" i="49"/>
  <c r="AI191" i="49"/>
  <c r="AJ191" i="49"/>
  <c r="AK191" i="49"/>
  <c r="AL191" i="49"/>
  <c r="AM191" i="49"/>
  <c r="AN191" i="49"/>
  <c r="AO191" i="49"/>
  <c r="Z192" i="49"/>
  <c r="AA192" i="49"/>
  <c r="AB192" i="49"/>
  <c r="AC192" i="49"/>
  <c r="AD192" i="49"/>
  <c r="AE192" i="49"/>
  <c r="AF192" i="49"/>
  <c r="AG192" i="49"/>
  <c r="AH192" i="49"/>
  <c r="AI192" i="49"/>
  <c r="AJ192" i="49"/>
  <c r="AK192" i="49"/>
  <c r="AL192" i="49"/>
  <c r="AM192" i="49"/>
  <c r="AN192" i="49"/>
  <c r="AO192" i="49"/>
  <c r="Z193" i="49"/>
  <c r="AA193" i="49"/>
  <c r="AB193" i="49"/>
  <c r="AC193" i="49"/>
  <c r="AD193" i="49"/>
  <c r="AE193" i="49"/>
  <c r="AF193" i="49"/>
  <c r="AG193" i="49"/>
  <c r="AH193" i="49"/>
  <c r="AI193" i="49"/>
  <c r="AJ193" i="49"/>
  <c r="AK193" i="49"/>
  <c r="AL193" i="49"/>
  <c r="AM193" i="49"/>
  <c r="AN193" i="49"/>
  <c r="AO193" i="49"/>
  <c r="Z194" i="49"/>
  <c r="AA194" i="49"/>
  <c r="AB194" i="49"/>
  <c r="AC194" i="49"/>
  <c r="AD194" i="49"/>
  <c r="AE194" i="49"/>
  <c r="AF194" i="49"/>
  <c r="AG194" i="49"/>
  <c r="AH194" i="49"/>
  <c r="AI194" i="49"/>
  <c r="AJ194" i="49"/>
  <c r="AK194" i="49"/>
  <c r="AL194" i="49"/>
  <c r="AM194" i="49"/>
  <c r="AN194" i="49"/>
  <c r="AO194" i="49"/>
  <c r="Z195" i="49"/>
  <c r="AA195" i="49"/>
  <c r="AB195" i="49"/>
  <c r="AC195" i="49"/>
  <c r="AD195" i="49"/>
  <c r="AE195" i="49"/>
  <c r="AF195" i="49"/>
  <c r="AG195" i="49"/>
  <c r="AH195" i="49"/>
  <c r="AI195" i="49"/>
  <c r="AJ195" i="49"/>
  <c r="AK195" i="49"/>
  <c r="AL195" i="49"/>
  <c r="AM195" i="49"/>
  <c r="AN195" i="49"/>
  <c r="AO195" i="49"/>
  <c r="Z196" i="49"/>
  <c r="AA196" i="49"/>
  <c r="AB196" i="49"/>
  <c r="AC196" i="49"/>
  <c r="AD196" i="49"/>
  <c r="AE196" i="49"/>
  <c r="AF196" i="49"/>
  <c r="AG196" i="49"/>
  <c r="AH196" i="49"/>
  <c r="AI196" i="49"/>
  <c r="AJ196" i="49"/>
  <c r="AK196" i="49"/>
  <c r="AL196" i="49"/>
  <c r="AM196" i="49"/>
  <c r="AN196" i="49"/>
  <c r="AO196" i="49"/>
  <c r="Z197" i="49"/>
  <c r="AA197" i="49"/>
  <c r="AB197" i="49"/>
  <c r="AC197" i="49"/>
  <c r="AD197" i="49"/>
  <c r="AE197" i="49"/>
  <c r="AF197" i="49"/>
  <c r="AG197" i="49"/>
  <c r="AH197" i="49"/>
  <c r="AI197" i="49"/>
  <c r="AJ197" i="49"/>
  <c r="AK197" i="49"/>
  <c r="AL197" i="49"/>
  <c r="AM197" i="49"/>
  <c r="AN197" i="49"/>
  <c r="AO197" i="49"/>
  <c r="Z198" i="49"/>
  <c r="AA198" i="49"/>
  <c r="AB198" i="49"/>
  <c r="AC198" i="49"/>
  <c r="AD198" i="49"/>
  <c r="AE198" i="49"/>
  <c r="AF198" i="49"/>
  <c r="AG198" i="49"/>
  <c r="AH198" i="49"/>
  <c r="AI198" i="49"/>
  <c r="AJ198" i="49"/>
  <c r="AK198" i="49"/>
  <c r="AL198" i="49"/>
  <c r="AM198" i="49"/>
  <c r="AN198" i="49"/>
  <c r="AO198" i="49"/>
  <c r="Z199" i="49"/>
  <c r="AA199" i="49"/>
  <c r="AB199" i="49"/>
  <c r="AC199" i="49"/>
  <c r="AD199" i="49"/>
  <c r="AE199" i="49"/>
  <c r="AF199" i="49"/>
  <c r="AG199" i="49"/>
  <c r="AH199" i="49"/>
  <c r="AI199" i="49"/>
  <c r="AJ199" i="49"/>
  <c r="AK199" i="49"/>
  <c r="AL199" i="49"/>
  <c r="AM199" i="49"/>
  <c r="AN199" i="49"/>
  <c r="AO199" i="49"/>
  <c r="Z200" i="49"/>
  <c r="AA200" i="49"/>
  <c r="AB200" i="49"/>
  <c r="AC200" i="49"/>
  <c r="AD200" i="49"/>
  <c r="AE200" i="49"/>
  <c r="AF200" i="49"/>
  <c r="AG200" i="49"/>
  <c r="AH200" i="49"/>
  <c r="AI200" i="49"/>
  <c r="AJ200" i="49"/>
  <c r="AK200" i="49"/>
  <c r="AL200" i="49"/>
  <c r="AM200" i="49"/>
  <c r="AN200" i="49"/>
  <c r="AO200" i="49"/>
  <c r="Z201" i="49"/>
  <c r="AA201" i="49"/>
  <c r="AB201" i="49"/>
  <c r="AC201" i="49"/>
  <c r="AD201" i="49"/>
  <c r="AE201" i="49"/>
  <c r="AF201" i="49"/>
  <c r="AG201" i="49"/>
  <c r="AH201" i="49"/>
  <c r="AI201" i="49"/>
  <c r="AJ201" i="49"/>
  <c r="AK201" i="49"/>
  <c r="AL201" i="49"/>
  <c r="AM201" i="49"/>
  <c r="AN201" i="49"/>
  <c r="AO201" i="49"/>
  <c r="Z202" i="49"/>
  <c r="AA202" i="49"/>
  <c r="AB202" i="49"/>
  <c r="AC202" i="49"/>
  <c r="AD202" i="49"/>
  <c r="AE202" i="49"/>
  <c r="AF202" i="49"/>
  <c r="AG202" i="49"/>
  <c r="AH202" i="49"/>
  <c r="AI202" i="49"/>
  <c r="AJ202" i="49"/>
  <c r="AK202" i="49"/>
  <c r="AL202" i="49"/>
  <c r="AM202" i="49"/>
  <c r="AN202" i="49"/>
  <c r="AO202" i="49"/>
  <c r="Z203" i="49"/>
  <c r="AA203" i="49"/>
  <c r="AB203" i="49"/>
  <c r="AC203" i="49"/>
  <c r="AD203" i="49"/>
  <c r="AE203" i="49"/>
  <c r="AF203" i="49"/>
  <c r="AG203" i="49"/>
  <c r="AH203" i="49"/>
  <c r="AI203" i="49"/>
  <c r="AJ203" i="49"/>
  <c r="AK203" i="49"/>
  <c r="AL203" i="49"/>
  <c r="AM203" i="49"/>
  <c r="AN203" i="49"/>
  <c r="AO203" i="49"/>
  <c r="Z204" i="49"/>
  <c r="AA204" i="49"/>
  <c r="AB204" i="49"/>
  <c r="AC204" i="49"/>
  <c r="AD204" i="49"/>
  <c r="AE204" i="49"/>
  <c r="AF204" i="49"/>
  <c r="AG204" i="49"/>
  <c r="AH204" i="49"/>
  <c r="AI204" i="49"/>
  <c r="AJ204" i="49"/>
  <c r="AK204" i="49"/>
  <c r="AL204" i="49"/>
  <c r="AM204" i="49"/>
  <c r="AN204" i="49"/>
  <c r="AO204" i="49"/>
  <c r="Z205" i="49"/>
  <c r="AA205" i="49"/>
  <c r="AB205" i="49"/>
  <c r="AC205" i="49"/>
  <c r="AD205" i="49"/>
  <c r="AE205" i="49"/>
  <c r="AF205" i="49"/>
  <c r="AG205" i="49"/>
  <c r="AH205" i="49"/>
  <c r="AI205" i="49"/>
  <c r="AJ205" i="49"/>
  <c r="AK205" i="49"/>
  <c r="AL205" i="49"/>
  <c r="AM205" i="49"/>
  <c r="AN205" i="49"/>
  <c r="AO205" i="49"/>
  <c r="Z206" i="49"/>
  <c r="AA206" i="49"/>
  <c r="AB206" i="49"/>
  <c r="AC206" i="49"/>
  <c r="AD206" i="49"/>
  <c r="AE206" i="49"/>
  <c r="AF206" i="49"/>
  <c r="AG206" i="49"/>
  <c r="AH206" i="49"/>
  <c r="AI206" i="49"/>
  <c r="AJ206" i="49"/>
  <c r="AK206" i="49"/>
  <c r="AL206" i="49"/>
  <c r="AM206" i="49"/>
  <c r="AN206" i="49"/>
  <c r="AO206" i="49"/>
  <c r="Z207" i="49"/>
  <c r="AA207" i="49"/>
  <c r="AB207" i="49"/>
  <c r="AC207" i="49"/>
  <c r="AD207" i="49"/>
  <c r="AE207" i="49"/>
  <c r="AF207" i="49"/>
  <c r="AG207" i="49"/>
  <c r="AH207" i="49"/>
  <c r="AI207" i="49"/>
  <c r="AJ207" i="49"/>
  <c r="AK207" i="49"/>
  <c r="AL207" i="49"/>
  <c r="AM207" i="49"/>
  <c r="AN207" i="49"/>
  <c r="AO207" i="49"/>
  <c r="Z208" i="49"/>
  <c r="AA208" i="49"/>
  <c r="AB208" i="49"/>
  <c r="AC208" i="49"/>
  <c r="AD208" i="49"/>
  <c r="AE208" i="49"/>
  <c r="AF208" i="49"/>
  <c r="AG208" i="49"/>
  <c r="AH208" i="49"/>
  <c r="AI208" i="49"/>
  <c r="AJ208" i="49"/>
  <c r="AK208" i="49"/>
  <c r="AL208" i="49"/>
  <c r="AM208" i="49"/>
  <c r="AN208" i="49"/>
  <c r="AO208" i="49"/>
  <c r="Z209" i="49"/>
  <c r="AA209" i="49"/>
  <c r="AB209" i="49"/>
  <c r="AC209" i="49"/>
  <c r="AD209" i="49"/>
  <c r="AE209" i="49"/>
  <c r="AF209" i="49"/>
  <c r="AG209" i="49"/>
  <c r="AH209" i="49"/>
  <c r="AI209" i="49"/>
  <c r="AJ209" i="49"/>
  <c r="AK209" i="49"/>
  <c r="AL209" i="49"/>
  <c r="AM209" i="49"/>
  <c r="AN209" i="49"/>
  <c r="AO209" i="49"/>
  <c r="Z210" i="49"/>
  <c r="AA210" i="49"/>
  <c r="AB210" i="49"/>
  <c r="AC210" i="49"/>
  <c r="AD210" i="49"/>
  <c r="AE210" i="49"/>
  <c r="AF210" i="49"/>
  <c r="AG210" i="49"/>
  <c r="AH210" i="49"/>
  <c r="AI210" i="49"/>
  <c r="AJ210" i="49"/>
  <c r="AK210" i="49"/>
  <c r="AL210" i="49"/>
  <c r="AM210" i="49"/>
  <c r="AN210" i="49"/>
  <c r="AO210" i="49"/>
  <c r="Z211" i="49"/>
  <c r="AA211" i="49"/>
  <c r="AB211" i="49"/>
  <c r="AC211" i="49"/>
  <c r="AD211" i="49"/>
  <c r="AE211" i="49"/>
  <c r="AF211" i="49"/>
  <c r="AG211" i="49"/>
  <c r="AH211" i="49"/>
  <c r="AI211" i="49"/>
  <c r="AJ211" i="49"/>
  <c r="AK211" i="49"/>
  <c r="AL211" i="49"/>
  <c r="AM211" i="49"/>
  <c r="AN211" i="49"/>
  <c r="AO211" i="49"/>
  <c r="Z212" i="49"/>
  <c r="AA212" i="49"/>
  <c r="AB212" i="49"/>
  <c r="AC212" i="49"/>
  <c r="AD212" i="49"/>
  <c r="AE212" i="49"/>
  <c r="AF212" i="49"/>
  <c r="AG212" i="49"/>
  <c r="AH212" i="49"/>
  <c r="AI212" i="49"/>
  <c r="AJ212" i="49"/>
  <c r="AK212" i="49"/>
  <c r="AL212" i="49"/>
  <c r="AM212" i="49"/>
  <c r="AN212" i="49"/>
  <c r="AO212" i="49"/>
  <c r="Z213" i="49"/>
  <c r="AA213" i="49"/>
  <c r="AB213" i="49"/>
  <c r="AC213" i="49"/>
  <c r="AD213" i="49"/>
  <c r="AE213" i="49"/>
  <c r="AF213" i="49"/>
  <c r="AG213" i="49"/>
  <c r="AH213" i="49"/>
  <c r="AI213" i="49"/>
  <c r="AJ213" i="49"/>
  <c r="AK213" i="49"/>
  <c r="AL213" i="49"/>
  <c r="AM213" i="49"/>
  <c r="AN213" i="49"/>
  <c r="AO213" i="49"/>
  <c r="Z214" i="49"/>
  <c r="AA214" i="49"/>
  <c r="AB214" i="49"/>
  <c r="AC214" i="49"/>
  <c r="AD214" i="49"/>
  <c r="AE214" i="49"/>
  <c r="AF214" i="49"/>
  <c r="AG214" i="49"/>
  <c r="AH214" i="49"/>
  <c r="AI214" i="49"/>
  <c r="AJ214" i="49"/>
  <c r="AK214" i="49"/>
  <c r="AL214" i="49"/>
  <c r="AM214" i="49"/>
  <c r="AN214" i="49"/>
  <c r="AO214" i="49"/>
  <c r="Z215" i="49"/>
  <c r="AA215" i="49"/>
  <c r="AB215" i="49"/>
  <c r="AC215" i="49"/>
  <c r="AD215" i="49"/>
  <c r="AE215" i="49"/>
  <c r="AF215" i="49"/>
  <c r="AG215" i="49"/>
  <c r="AH215" i="49"/>
  <c r="AI215" i="49"/>
  <c r="AJ215" i="49"/>
  <c r="AK215" i="49"/>
  <c r="AL215" i="49"/>
  <c r="AM215" i="49"/>
  <c r="AN215" i="49"/>
  <c r="AO215" i="49"/>
  <c r="Z216" i="49"/>
  <c r="AA216" i="49"/>
  <c r="AB216" i="49"/>
  <c r="AC216" i="49"/>
  <c r="AD216" i="49"/>
  <c r="AE216" i="49"/>
  <c r="AF216" i="49"/>
  <c r="AG216" i="49"/>
  <c r="AH216" i="49"/>
  <c r="AI216" i="49"/>
  <c r="AJ216" i="49"/>
  <c r="AK216" i="49"/>
  <c r="AL216" i="49"/>
  <c r="AM216" i="49"/>
  <c r="AN216" i="49"/>
  <c r="AO216" i="49"/>
  <c r="Z217" i="49"/>
  <c r="AA217" i="49"/>
  <c r="AB217" i="49"/>
  <c r="AC217" i="49"/>
  <c r="AD217" i="49"/>
  <c r="AE217" i="49"/>
  <c r="AF217" i="49"/>
  <c r="AG217" i="49"/>
  <c r="AH217" i="49"/>
  <c r="AI217" i="49"/>
  <c r="AJ217" i="49"/>
  <c r="AK217" i="49"/>
  <c r="AL217" i="49"/>
  <c r="AM217" i="49"/>
  <c r="AN217" i="49"/>
  <c r="AO217" i="49"/>
  <c r="Z218" i="49"/>
  <c r="AA218" i="49"/>
  <c r="AB218" i="49"/>
  <c r="AC218" i="49"/>
  <c r="AD218" i="49"/>
  <c r="AE218" i="49"/>
  <c r="AF218" i="49"/>
  <c r="AG218" i="49"/>
  <c r="AH218" i="49"/>
  <c r="AI218" i="49"/>
  <c r="AJ218" i="49"/>
  <c r="AK218" i="49"/>
  <c r="AL218" i="49"/>
  <c r="AM218" i="49"/>
  <c r="AN218" i="49"/>
  <c r="AO218" i="49"/>
  <c r="Z219" i="49"/>
  <c r="AA219" i="49"/>
  <c r="AB219" i="49"/>
  <c r="AC219" i="49"/>
  <c r="AD219" i="49"/>
  <c r="AE219" i="49"/>
  <c r="AF219" i="49"/>
  <c r="AG219" i="49"/>
  <c r="AH219" i="49"/>
  <c r="AI219" i="49"/>
  <c r="AJ219" i="49"/>
  <c r="AK219" i="49"/>
  <c r="AL219" i="49"/>
  <c r="AM219" i="49"/>
  <c r="AN219" i="49"/>
  <c r="AO219" i="49"/>
  <c r="Z220" i="49"/>
  <c r="AA220" i="49"/>
  <c r="AB220" i="49"/>
  <c r="AC220" i="49"/>
  <c r="AD220" i="49"/>
  <c r="AE220" i="49"/>
  <c r="AF220" i="49"/>
  <c r="AG220" i="49"/>
  <c r="AH220" i="49"/>
  <c r="AI220" i="49"/>
  <c r="AJ220" i="49"/>
  <c r="AK220" i="49"/>
  <c r="AL220" i="49"/>
  <c r="AM220" i="49"/>
  <c r="AN220" i="49"/>
  <c r="AO220" i="49"/>
  <c r="Z221" i="49"/>
  <c r="AA221" i="49"/>
  <c r="AB221" i="49"/>
  <c r="AC221" i="49"/>
  <c r="AD221" i="49"/>
  <c r="AE221" i="49"/>
  <c r="AF221" i="49"/>
  <c r="AG221" i="49"/>
  <c r="AH221" i="49"/>
  <c r="AI221" i="49"/>
  <c r="AJ221" i="49"/>
  <c r="AK221" i="49"/>
  <c r="AL221" i="49"/>
  <c r="AM221" i="49"/>
  <c r="AN221" i="49"/>
  <c r="AO221" i="49"/>
  <c r="Z222" i="49"/>
  <c r="AA222" i="49"/>
  <c r="AB222" i="49"/>
  <c r="AC222" i="49"/>
  <c r="AD222" i="49"/>
  <c r="AE222" i="49"/>
  <c r="AF222" i="49"/>
  <c r="AG222" i="49"/>
  <c r="AH222" i="49"/>
  <c r="AI222" i="49"/>
  <c r="AJ222" i="49"/>
  <c r="AK222" i="49"/>
  <c r="AL222" i="49"/>
  <c r="AM222" i="49"/>
  <c r="AN222" i="49"/>
  <c r="AO222" i="49"/>
  <c r="Z223" i="49"/>
  <c r="AA223" i="49"/>
  <c r="AB223" i="49"/>
  <c r="AC223" i="49"/>
  <c r="AD223" i="49"/>
  <c r="AE223" i="49"/>
  <c r="AF223" i="49"/>
  <c r="AG223" i="49"/>
  <c r="AH223" i="49"/>
  <c r="AI223" i="49"/>
  <c r="AJ223" i="49"/>
  <c r="AK223" i="49"/>
  <c r="AL223" i="49"/>
  <c r="AM223" i="49"/>
  <c r="AN223" i="49"/>
  <c r="AO223" i="49"/>
  <c r="Z224" i="49"/>
  <c r="AA224" i="49"/>
  <c r="AB224" i="49"/>
  <c r="AC224" i="49"/>
  <c r="AD224" i="49"/>
  <c r="AE224" i="49"/>
  <c r="AF224" i="49"/>
  <c r="AG224" i="49"/>
  <c r="AH224" i="49"/>
  <c r="AI224" i="49"/>
  <c r="AJ224" i="49"/>
  <c r="AK224" i="49"/>
  <c r="AL224" i="49"/>
  <c r="AM224" i="49"/>
  <c r="AN224" i="49"/>
  <c r="AO224" i="49"/>
  <c r="Z225" i="49"/>
  <c r="AA225" i="49"/>
  <c r="AB225" i="49"/>
  <c r="AC225" i="49"/>
  <c r="AD225" i="49"/>
  <c r="AE225" i="49"/>
  <c r="AF225" i="49"/>
  <c r="AG225" i="49"/>
  <c r="AH225" i="49"/>
  <c r="AI225" i="49"/>
  <c r="AJ225" i="49"/>
  <c r="AK225" i="49"/>
  <c r="AL225" i="49"/>
  <c r="AM225" i="49"/>
  <c r="AN225" i="49"/>
  <c r="AO225" i="49"/>
  <c r="Z226" i="49"/>
  <c r="AA226" i="49"/>
  <c r="AB226" i="49"/>
  <c r="AC226" i="49"/>
  <c r="AD226" i="49"/>
  <c r="AE226" i="49"/>
  <c r="AF226" i="49"/>
  <c r="AG226" i="49"/>
  <c r="AH226" i="49"/>
  <c r="AI226" i="49"/>
  <c r="AJ226" i="49"/>
  <c r="AK226" i="49"/>
  <c r="AL226" i="49"/>
  <c r="AM226" i="49"/>
  <c r="AN226" i="49"/>
  <c r="AO226" i="49"/>
  <c r="Z227" i="49"/>
  <c r="AA227" i="49"/>
  <c r="AB227" i="49"/>
  <c r="AC227" i="49"/>
  <c r="AD227" i="49"/>
  <c r="AE227" i="49"/>
  <c r="AF227" i="49"/>
  <c r="AG227" i="49"/>
  <c r="AH227" i="49"/>
  <c r="AI227" i="49"/>
  <c r="AJ227" i="49"/>
  <c r="AK227" i="49"/>
  <c r="AL227" i="49"/>
  <c r="AM227" i="49"/>
  <c r="AN227" i="49"/>
  <c r="AO227" i="49"/>
  <c r="Z228" i="49"/>
  <c r="AA228" i="49"/>
  <c r="AB228" i="49"/>
  <c r="AC228" i="49"/>
  <c r="AD228" i="49"/>
  <c r="AE228" i="49"/>
  <c r="AF228" i="49"/>
  <c r="AG228" i="49"/>
  <c r="AH228" i="49"/>
  <c r="AI228" i="49"/>
  <c r="AJ228" i="49"/>
  <c r="AK228" i="49"/>
  <c r="AL228" i="49"/>
  <c r="AM228" i="49"/>
  <c r="AN228" i="49"/>
  <c r="AO228" i="49"/>
  <c r="Z229" i="49"/>
  <c r="AA229" i="49"/>
  <c r="AB229" i="49"/>
  <c r="AC229" i="49"/>
  <c r="AD229" i="49"/>
  <c r="AE229" i="49"/>
  <c r="AF229" i="49"/>
  <c r="AG229" i="49"/>
  <c r="AH229" i="49"/>
  <c r="AI229" i="49"/>
  <c r="AJ229" i="49"/>
  <c r="AK229" i="49"/>
  <c r="AL229" i="49"/>
  <c r="AM229" i="49"/>
  <c r="AN229" i="49"/>
  <c r="AO229" i="49"/>
  <c r="Z230" i="49"/>
  <c r="AA230" i="49"/>
  <c r="AB230" i="49"/>
  <c r="AC230" i="49"/>
  <c r="AD230" i="49"/>
  <c r="AE230" i="49"/>
  <c r="AF230" i="49"/>
  <c r="AG230" i="49"/>
  <c r="AH230" i="49"/>
  <c r="AI230" i="49"/>
  <c r="AJ230" i="49"/>
  <c r="AK230" i="49"/>
  <c r="AL230" i="49"/>
  <c r="AM230" i="49"/>
  <c r="AN230" i="49"/>
  <c r="AO230" i="49"/>
  <c r="Z231" i="49"/>
  <c r="AA231" i="49"/>
  <c r="AB231" i="49"/>
  <c r="AC231" i="49"/>
  <c r="AD231" i="49"/>
  <c r="AE231" i="49"/>
  <c r="AF231" i="49"/>
  <c r="AG231" i="49"/>
  <c r="AH231" i="49"/>
  <c r="AI231" i="49"/>
  <c r="AJ231" i="49"/>
  <c r="AK231" i="49"/>
  <c r="AL231" i="49"/>
  <c r="AM231" i="49"/>
  <c r="AN231" i="49"/>
  <c r="AO231" i="49"/>
  <c r="Z232" i="49"/>
  <c r="AA232" i="49"/>
  <c r="AB232" i="49"/>
  <c r="AC232" i="49"/>
  <c r="AD232" i="49"/>
  <c r="AE232" i="49"/>
  <c r="AF232" i="49"/>
  <c r="AG232" i="49"/>
  <c r="AH232" i="49"/>
  <c r="AI232" i="49"/>
  <c r="AJ232" i="49"/>
  <c r="AK232" i="49"/>
  <c r="AL232" i="49"/>
  <c r="AM232" i="49"/>
  <c r="AN232" i="49"/>
  <c r="AO232" i="49"/>
  <c r="Z233" i="49"/>
  <c r="AA233" i="49"/>
  <c r="AB233" i="49"/>
  <c r="AC233" i="49"/>
  <c r="AD233" i="49"/>
  <c r="AE233" i="49"/>
  <c r="AF233" i="49"/>
  <c r="AG233" i="49"/>
  <c r="AH233" i="49"/>
  <c r="AI233" i="49"/>
  <c r="AJ233" i="49"/>
  <c r="AK233" i="49"/>
  <c r="AL233" i="49"/>
  <c r="AM233" i="49"/>
  <c r="AN233" i="49"/>
  <c r="AO233" i="49"/>
  <c r="Z234" i="49"/>
  <c r="AA234" i="49"/>
  <c r="AB234" i="49"/>
  <c r="AC234" i="49"/>
  <c r="AD234" i="49"/>
  <c r="AE234" i="49"/>
  <c r="AF234" i="49"/>
  <c r="AG234" i="49"/>
  <c r="AH234" i="49"/>
  <c r="AI234" i="49"/>
  <c r="AJ234" i="49"/>
  <c r="AK234" i="49"/>
  <c r="AL234" i="49"/>
  <c r="AM234" i="49"/>
  <c r="AN234" i="49"/>
  <c r="AO234" i="49"/>
  <c r="Z235" i="49"/>
  <c r="AA235" i="49"/>
  <c r="AB235" i="49"/>
  <c r="AC235" i="49"/>
  <c r="AD235" i="49"/>
  <c r="AE235" i="49"/>
  <c r="AF235" i="49"/>
  <c r="AG235" i="49"/>
  <c r="AH235" i="49"/>
  <c r="AI235" i="49"/>
  <c r="AJ235" i="49"/>
  <c r="AK235" i="49"/>
  <c r="AL235" i="49"/>
  <c r="AM235" i="49"/>
  <c r="AN235" i="49"/>
  <c r="AO235" i="49"/>
  <c r="Z236" i="49"/>
  <c r="AA236" i="49"/>
  <c r="AB236" i="49"/>
  <c r="AC236" i="49"/>
  <c r="AD236" i="49"/>
  <c r="AE236" i="49"/>
  <c r="AF236" i="49"/>
  <c r="AG236" i="49"/>
  <c r="AH236" i="49"/>
  <c r="AI236" i="49"/>
  <c r="AJ236" i="49"/>
  <c r="AK236" i="49"/>
  <c r="AL236" i="49"/>
  <c r="AM236" i="49"/>
  <c r="AN236" i="49"/>
  <c r="AO236" i="49"/>
  <c r="Z237" i="49"/>
  <c r="AA237" i="49"/>
  <c r="AB237" i="49"/>
  <c r="AC237" i="49"/>
  <c r="AD237" i="49"/>
  <c r="AE237" i="49"/>
  <c r="AF237" i="49"/>
  <c r="AG237" i="49"/>
  <c r="AH237" i="49"/>
  <c r="AI237" i="49"/>
  <c r="AJ237" i="49"/>
  <c r="AK237" i="49"/>
  <c r="AL237" i="49"/>
  <c r="AM237" i="49"/>
  <c r="AN237" i="49"/>
  <c r="AO237" i="49"/>
  <c r="Z238" i="49"/>
  <c r="AA238" i="49"/>
  <c r="AB238" i="49"/>
  <c r="AC238" i="49"/>
  <c r="AD238" i="49"/>
  <c r="AE238" i="49"/>
  <c r="AF238" i="49"/>
  <c r="AG238" i="49"/>
  <c r="AH238" i="49"/>
  <c r="AI238" i="49"/>
  <c r="AJ238" i="49"/>
  <c r="AK238" i="49"/>
  <c r="AL238" i="49"/>
  <c r="AM238" i="49"/>
  <c r="AN238" i="49"/>
  <c r="AO238" i="49"/>
  <c r="Z239" i="49"/>
  <c r="AA239" i="49"/>
  <c r="AB239" i="49"/>
  <c r="AC239" i="49"/>
  <c r="AD239" i="49"/>
  <c r="AE239" i="49"/>
  <c r="AF239" i="49"/>
  <c r="AG239" i="49"/>
  <c r="AH239" i="49"/>
  <c r="AI239" i="49"/>
  <c r="AJ239" i="49"/>
  <c r="AK239" i="49"/>
  <c r="AL239" i="49"/>
  <c r="AM239" i="49"/>
  <c r="AN239" i="49"/>
  <c r="AO239" i="49"/>
  <c r="Z240" i="49"/>
  <c r="AA240" i="49"/>
  <c r="AB240" i="49"/>
  <c r="AC240" i="49"/>
  <c r="AD240" i="49"/>
  <c r="AE240" i="49"/>
  <c r="AF240" i="49"/>
  <c r="AG240" i="49"/>
  <c r="AH240" i="49"/>
  <c r="AI240" i="49"/>
  <c r="AJ240" i="49"/>
  <c r="AK240" i="49"/>
  <c r="AL240" i="49"/>
  <c r="AM240" i="49"/>
  <c r="AN240" i="49"/>
  <c r="AO240" i="49"/>
  <c r="Z241" i="49"/>
  <c r="AA241" i="49"/>
  <c r="AB241" i="49"/>
  <c r="AC241" i="49"/>
  <c r="AD241" i="49"/>
  <c r="AE241" i="49"/>
  <c r="AF241" i="49"/>
  <c r="AG241" i="49"/>
  <c r="AH241" i="49"/>
  <c r="AI241" i="49"/>
  <c r="AJ241" i="49"/>
  <c r="AK241" i="49"/>
  <c r="AL241" i="49"/>
  <c r="AM241" i="49"/>
  <c r="AN241" i="49"/>
  <c r="AO241" i="49"/>
  <c r="Z242" i="49"/>
  <c r="AA242" i="49"/>
  <c r="AB242" i="49"/>
  <c r="AC242" i="49"/>
  <c r="AD242" i="49"/>
  <c r="AE242" i="49"/>
  <c r="AF242" i="49"/>
  <c r="AG242" i="49"/>
  <c r="AH242" i="49"/>
  <c r="AI242" i="49"/>
  <c r="AJ242" i="49"/>
  <c r="AK242" i="49"/>
  <c r="AL242" i="49"/>
  <c r="AM242" i="49"/>
  <c r="AN242" i="49"/>
  <c r="AO242" i="49"/>
  <c r="Z243" i="49"/>
  <c r="AA243" i="49"/>
  <c r="AB243" i="49"/>
  <c r="AC243" i="49"/>
  <c r="AD243" i="49"/>
  <c r="AE243" i="49"/>
  <c r="AF243" i="49"/>
  <c r="AG243" i="49"/>
  <c r="AH243" i="49"/>
  <c r="AI243" i="49"/>
  <c r="AJ243" i="49"/>
  <c r="AK243" i="49"/>
  <c r="AL243" i="49"/>
  <c r="AM243" i="49"/>
  <c r="AN243" i="49"/>
  <c r="AO243" i="49"/>
  <c r="Z244" i="49"/>
  <c r="AA244" i="49"/>
  <c r="AB244" i="49"/>
  <c r="AC244" i="49"/>
  <c r="AD244" i="49"/>
  <c r="AE244" i="49"/>
  <c r="AF244" i="49"/>
  <c r="AG244" i="49"/>
  <c r="AH244" i="49"/>
  <c r="AI244" i="49"/>
  <c r="AJ244" i="49"/>
  <c r="AK244" i="49"/>
  <c r="AL244" i="49"/>
  <c r="AM244" i="49"/>
  <c r="AN244" i="49"/>
  <c r="AO244" i="49"/>
  <c r="Z245" i="49"/>
  <c r="AA245" i="49"/>
  <c r="AB245" i="49"/>
  <c r="AC245" i="49"/>
  <c r="AD245" i="49"/>
  <c r="AE245" i="49"/>
  <c r="AF245" i="49"/>
  <c r="AG245" i="49"/>
  <c r="AH245" i="49"/>
  <c r="AI245" i="49"/>
  <c r="AJ245" i="49"/>
  <c r="AK245" i="49"/>
  <c r="AL245" i="49"/>
  <c r="AM245" i="49"/>
  <c r="AN245" i="49"/>
  <c r="AO245" i="49"/>
  <c r="Z246" i="49"/>
  <c r="AA246" i="49"/>
  <c r="AB246" i="49"/>
  <c r="AC246" i="49"/>
  <c r="AD246" i="49"/>
  <c r="AE246" i="49"/>
  <c r="AF246" i="49"/>
  <c r="AG246" i="49"/>
  <c r="AH246" i="49"/>
  <c r="AI246" i="49"/>
  <c r="AJ246" i="49"/>
  <c r="AK246" i="49"/>
  <c r="AL246" i="49"/>
  <c r="AM246" i="49"/>
  <c r="AN246" i="49"/>
  <c r="AO246" i="49"/>
  <c r="Z247" i="49"/>
  <c r="AA247" i="49"/>
  <c r="AB247" i="49"/>
  <c r="AC247" i="49"/>
  <c r="AD247" i="49"/>
  <c r="AE247" i="49"/>
  <c r="AF247" i="49"/>
  <c r="AG247" i="49"/>
  <c r="AH247" i="49"/>
  <c r="AI247" i="49"/>
  <c r="AJ247" i="49"/>
  <c r="AK247" i="49"/>
  <c r="AL247" i="49"/>
  <c r="AM247" i="49"/>
  <c r="AN247" i="49"/>
  <c r="AO247" i="49"/>
  <c r="Z248" i="49"/>
  <c r="AA248" i="49"/>
  <c r="AB248" i="49"/>
  <c r="AC248" i="49"/>
  <c r="AD248" i="49"/>
  <c r="AE248" i="49"/>
  <c r="AF248" i="49"/>
  <c r="AG248" i="49"/>
  <c r="AH248" i="49"/>
  <c r="AI248" i="49"/>
  <c r="AJ248" i="49"/>
  <c r="AK248" i="49"/>
  <c r="AL248" i="49"/>
  <c r="AM248" i="49"/>
  <c r="AN248" i="49"/>
  <c r="AO248" i="49"/>
  <c r="Z249" i="49"/>
  <c r="AA249" i="49"/>
  <c r="AB249" i="49"/>
  <c r="AC249" i="49"/>
  <c r="AD249" i="49"/>
  <c r="AE249" i="49"/>
  <c r="AF249" i="49"/>
  <c r="AG249" i="49"/>
  <c r="AH249" i="49"/>
  <c r="AI249" i="49"/>
  <c r="AJ249" i="49"/>
  <c r="AK249" i="49"/>
  <c r="AL249" i="49"/>
  <c r="AM249" i="49"/>
  <c r="AN249" i="49"/>
  <c r="AO249" i="49"/>
  <c r="Z250" i="49"/>
  <c r="AA250" i="49"/>
  <c r="AB250" i="49"/>
  <c r="AC250" i="49"/>
  <c r="AD250" i="49"/>
  <c r="AE250" i="49"/>
  <c r="AF250" i="49"/>
  <c r="AG250" i="49"/>
  <c r="AH250" i="49"/>
  <c r="AI250" i="49"/>
  <c r="AJ250" i="49"/>
  <c r="AK250" i="49"/>
  <c r="AL250" i="49"/>
  <c r="AM250" i="49"/>
  <c r="AN250" i="49"/>
  <c r="AO250" i="49"/>
  <c r="Z251" i="49"/>
  <c r="AA251" i="49"/>
  <c r="AB251" i="49"/>
  <c r="AC251" i="49"/>
  <c r="AD251" i="49"/>
  <c r="AE251" i="49"/>
  <c r="AF251" i="49"/>
  <c r="AG251" i="49"/>
  <c r="AH251" i="49"/>
  <c r="AI251" i="49"/>
  <c r="AJ251" i="49"/>
  <c r="AK251" i="49"/>
  <c r="AL251" i="49"/>
  <c r="AM251" i="49"/>
  <c r="AN251" i="49"/>
  <c r="AO251" i="49"/>
  <c r="Z252" i="49"/>
  <c r="AA252" i="49"/>
  <c r="AB252" i="49"/>
  <c r="AC252" i="49"/>
  <c r="AD252" i="49"/>
  <c r="AE252" i="49"/>
  <c r="AF252" i="49"/>
  <c r="AG252" i="49"/>
  <c r="AH252" i="49"/>
  <c r="AI252" i="49"/>
  <c r="AJ252" i="49"/>
  <c r="AK252" i="49"/>
  <c r="AL252" i="49"/>
  <c r="AM252" i="49"/>
  <c r="AN252" i="49"/>
  <c r="AO252" i="49"/>
  <c r="Z253" i="49"/>
  <c r="AA253" i="49"/>
  <c r="AB253" i="49"/>
  <c r="AC253" i="49"/>
  <c r="AD253" i="49"/>
  <c r="AE253" i="49"/>
  <c r="AF253" i="49"/>
  <c r="AG253" i="49"/>
  <c r="AH253" i="49"/>
  <c r="AI253" i="49"/>
  <c r="AJ253" i="49"/>
  <c r="AK253" i="49"/>
  <c r="AL253" i="49"/>
  <c r="AM253" i="49"/>
  <c r="AN253" i="49"/>
  <c r="AO253" i="49"/>
  <c r="Z254" i="49"/>
  <c r="AA254" i="49"/>
  <c r="AB254" i="49"/>
  <c r="AC254" i="49"/>
  <c r="AD254" i="49"/>
  <c r="AE254" i="49"/>
  <c r="AF254" i="49"/>
  <c r="AG254" i="49"/>
  <c r="AH254" i="49"/>
  <c r="AI254" i="49"/>
  <c r="AJ254" i="49"/>
  <c r="AK254" i="49"/>
  <c r="AL254" i="49"/>
  <c r="AM254" i="49"/>
  <c r="AN254" i="49"/>
  <c r="AO254" i="49"/>
  <c r="Z255" i="49"/>
  <c r="AA255" i="49"/>
  <c r="AB255" i="49"/>
  <c r="AC255" i="49"/>
  <c r="AD255" i="49"/>
  <c r="AE255" i="49"/>
  <c r="AF255" i="49"/>
  <c r="AG255" i="49"/>
  <c r="AH255" i="49"/>
  <c r="AI255" i="49"/>
  <c r="AJ255" i="49"/>
  <c r="AK255" i="49"/>
  <c r="AL255" i="49"/>
  <c r="AM255" i="49"/>
  <c r="AN255" i="49"/>
  <c r="AO255" i="49"/>
  <c r="Z256" i="49"/>
  <c r="AA256" i="49"/>
  <c r="AB256" i="49"/>
  <c r="AC256" i="49"/>
  <c r="AD256" i="49"/>
  <c r="AE256" i="49"/>
  <c r="AF256" i="49"/>
  <c r="AG256" i="49"/>
  <c r="AH256" i="49"/>
  <c r="AI256" i="49"/>
  <c r="AJ256" i="49"/>
  <c r="AK256" i="49"/>
  <c r="AL256" i="49"/>
  <c r="AM256" i="49"/>
  <c r="AN256" i="49"/>
  <c r="AO256" i="49"/>
  <c r="Z257" i="49"/>
  <c r="AA257" i="49"/>
  <c r="AB257" i="49"/>
  <c r="AC257" i="49"/>
  <c r="AD257" i="49"/>
  <c r="AE257" i="49"/>
  <c r="AF257" i="49"/>
  <c r="AG257" i="49"/>
  <c r="AH257" i="49"/>
  <c r="AI257" i="49"/>
  <c r="AJ257" i="49"/>
  <c r="AK257" i="49"/>
  <c r="AL257" i="49"/>
  <c r="AM257" i="49"/>
  <c r="AN257" i="49"/>
  <c r="AO257" i="49"/>
  <c r="Z258" i="49"/>
  <c r="AA258" i="49"/>
  <c r="AB258" i="49"/>
  <c r="AC258" i="49"/>
  <c r="AD258" i="49"/>
  <c r="AE258" i="49"/>
  <c r="AF258" i="49"/>
  <c r="AG258" i="49"/>
  <c r="AH258" i="49"/>
  <c r="AI258" i="49"/>
  <c r="AJ258" i="49"/>
  <c r="AK258" i="49"/>
  <c r="AL258" i="49"/>
  <c r="AM258" i="49"/>
  <c r="AN258" i="49"/>
  <c r="AO258" i="49"/>
  <c r="Z259" i="49"/>
  <c r="AA259" i="49"/>
  <c r="AB259" i="49"/>
  <c r="AC259" i="49"/>
  <c r="AD259" i="49"/>
  <c r="AE259" i="49"/>
  <c r="AF259" i="49"/>
  <c r="AG259" i="49"/>
  <c r="AH259" i="49"/>
  <c r="AI259" i="49"/>
  <c r="AJ259" i="49"/>
  <c r="AK259" i="49"/>
  <c r="AL259" i="49"/>
  <c r="AM259" i="49"/>
  <c r="AN259" i="49"/>
  <c r="AO259" i="49"/>
  <c r="Z260" i="49"/>
  <c r="AA260" i="49"/>
  <c r="AB260" i="49"/>
  <c r="AC260" i="49"/>
  <c r="AD260" i="49"/>
  <c r="AE260" i="49"/>
  <c r="AF260" i="49"/>
  <c r="AG260" i="49"/>
  <c r="AH260" i="49"/>
  <c r="AI260" i="49"/>
  <c r="AJ260" i="49"/>
  <c r="AK260" i="49"/>
  <c r="AL260" i="49"/>
  <c r="AM260" i="49"/>
  <c r="AN260" i="49"/>
  <c r="AO260" i="49"/>
  <c r="Z261" i="49"/>
  <c r="AA261" i="49"/>
  <c r="AB261" i="49"/>
  <c r="AC261" i="49"/>
  <c r="AD261" i="49"/>
  <c r="AE261" i="49"/>
  <c r="AF261" i="49"/>
  <c r="AG261" i="49"/>
  <c r="AH261" i="49"/>
  <c r="AI261" i="49"/>
  <c r="AJ261" i="49"/>
  <c r="AK261" i="49"/>
  <c r="AL261" i="49"/>
  <c r="AM261" i="49"/>
  <c r="AN261" i="49"/>
  <c r="AO261" i="49"/>
  <c r="Z262" i="49"/>
  <c r="AA262" i="49"/>
  <c r="AB262" i="49"/>
  <c r="AC262" i="49"/>
  <c r="AD262" i="49"/>
  <c r="AE262" i="49"/>
  <c r="AF262" i="49"/>
  <c r="AG262" i="49"/>
  <c r="AH262" i="49"/>
  <c r="AI262" i="49"/>
  <c r="AJ262" i="49"/>
  <c r="AK262" i="49"/>
  <c r="AL262" i="49"/>
  <c r="AM262" i="49"/>
  <c r="AN262" i="49"/>
  <c r="AO262" i="49"/>
  <c r="Z263" i="49"/>
  <c r="AA263" i="49"/>
  <c r="AB263" i="49"/>
  <c r="AC263" i="49"/>
  <c r="AD263" i="49"/>
  <c r="AE263" i="49"/>
  <c r="AF263" i="49"/>
  <c r="AG263" i="49"/>
  <c r="AH263" i="49"/>
  <c r="AI263" i="49"/>
  <c r="AJ263" i="49"/>
  <c r="AK263" i="49"/>
  <c r="AL263" i="49"/>
  <c r="AM263" i="49"/>
  <c r="AN263" i="49"/>
  <c r="AO263" i="49"/>
  <c r="Z264" i="49"/>
  <c r="AA264" i="49"/>
  <c r="AB264" i="49"/>
  <c r="AC264" i="49"/>
  <c r="AD264" i="49"/>
  <c r="AE264" i="49"/>
  <c r="AF264" i="49"/>
  <c r="AG264" i="49"/>
  <c r="AH264" i="49"/>
  <c r="AI264" i="49"/>
  <c r="AJ264" i="49"/>
  <c r="AK264" i="49"/>
  <c r="AL264" i="49"/>
  <c r="AM264" i="49"/>
  <c r="AN264" i="49"/>
  <c r="AO264" i="49"/>
  <c r="Z265" i="49"/>
  <c r="AA265" i="49"/>
  <c r="AB265" i="49"/>
  <c r="AC265" i="49"/>
  <c r="AD265" i="49"/>
  <c r="AE265" i="49"/>
  <c r="AF265" i="49"/>
  <c r="AG265" i="49"/>
  <c r="AH265" i="49"/>
  <c r="AI265" i="49"/>
  <c r="AJ265" i="49"/>
  <c r="AK265" i="49"/>
  <c r="AL265" i="49"/>
  <c r="AM265" i="49"/>
  <c r="AN265" i="49"/>
  <c r="AO265" i="49"/>
  <c r="Z266" i="49"/>
  <c r="AA266" i="49"/>
  <c r="AB266" i="49"/>
  <c r="AC266" i="49"/>
  <c r="AD266" i="49"/>
  <c r="AE266" i="49"/>
  <c r="AF266" i="49"/>
  <c r="AG266" i="49"/>
  <c r="AH266" i="49"/>
  <c r="AI266" i="49"/>
  <c r="AJ266" i="49"/>
  <c r="AK266" i="49"/>
  <c r="AL266" i="49"/>
  <c r="AM266" i="49"/>
  <c r="AN266" i="49"/>
  <c r="AO266" i="49"/>
  <c r="Z267" i="49"/>
  <c r="AA267" i="49"/>
  <c r="AB267" i="49"/>
  <c r="AC267" i="49"/>
  <c r="AD267" i="49"/>
  <c r="AE267" i="49"/>
  <c r="AF267" i="49"/>
  <c r="AG267" i="49"/>
  <c r="AH267" i="49"/>
  <c r="AI267" i="49"/>
  <c r="AJ267" i="49"/>
  <c r="AK267" i="49"/>
  <c r="AL267" i="49"/>
  <c r="AM267" i="49"/>
  <c r="AN267" i="49"/>
  <c r="AO267" i="49"/>
  <c r="Z268" i="49"/>
  <c r="AA268" i="49"/>
  <c r="AB268" i="49"/>
  <c r="AC268" i="49"/>
  <c r="AD268" i="49"/>
  <c r="AE268" i="49"/>
  <c r="AF268" i="49"/>
  <c r="AG268" i="49"/>
  <c r="AH268" i="49"/>
  <c r="AI268" i="49"/>
  <c r="AJ268" i="49"/>
  <c r="AK268" i="49"/>
  <c r="AL268" i="49"/>
  <c r="AM268" i="49"/>
  <c r="AN268" i="49"/>
  <c r="AO268" i="49"/>
  <c r="Z269" i="49"/>
  <c r="AA269" i="49"/>
  <c r="AB269" i="49"/>
  <c r="AC269" i="49"/>
  <c r="AD269" i="49"/>
  <c r="AE269" i="49"/>
  <c r="AF269" i="49"/>
  <c r="AG269" i="49"/>
  <c r="AH269" i="49"/>
  <c r="AI269" i="49"/>
  <c r="AJ269" i="49"/>
  <c r="AK269" i="49"/>
  <c r="AL269" i="49"/>
  <c r="AM269" i="49"/>
  <c r="AN269" i="49"/>
  <c r="AO269" i="49"/>
  <c r="Z270" i="49"/>
  <c r="AA270" i="49"/>
  <c r="AB270" i="49"/>
  <c r="AC270" i="49"/>
  <c r="AD270" i="49"/>
  <c r="AE270" i="49"/>
  <c r="AF270" i="49"/>
  <c r="AG270" i="49"/>
  <c r="AH270" i="49"/>
  <c r="AI270" i="49"/>
  <c r="AJ270" i="49"/>
  <c r="AK270" i="49"/>
  <c r="AL270" i="49"/>
  <c r="AM270" i="49"/>
  <c r="AN270" i="49"/>
  <c r="AO270" i="49"/>
  <c r="Z271" i="49"/>
  <c r="AA271" i="49"/>
  <c r="AB271" i="49"/>
  <c r="AC271" i="49"/>
  <c r="AD271" i="49"/>
  <c r="AE271" i="49"/>
  <c r="AF271" i="49"/>
  <c r="AG271" i="49"/>
  <c r="AH271" i="49"/>
  <c r="AI271" i="49"/>
  <c r="AJ271" i="49"/>
  <c r="AK271" i="49"/>
  <c r="AL271" i="49"/>
  <c r="AM271" i="49"/>
  <c r="AN271" i="49"/>
  <c r="AO271" i="49"/>
  <c r="Z272" i="49"/>
  <c r="AA272" i="49"/>
  <c r="AB272" i="49"/>
  <c r="AC272" i="49"/>
  <c r="AD272" i="49"/>
  <c r="AE272" i="49"/>
  <c r="AF272" i="49"/>
  <c r="AG272" i="49"/>
  <c r="AH272" i="49"/>
  <c r="AI272" i="49"/>
  <c r="AJ272" i="49"/>
  <c r="AK272" i="49"/>
  <c r="AL272" i="49"/>
  <c r="AM272" i="49"/>
  <c r="AN272" i="49"/>
  <c r="AO272" i="49"/>
  <c r="Z273" i="49"/>
  <c r="AA273" i="49"/>
  <c r="AB273" i="49"/>
  <c r="AC273" i="49"/>
  <c r="AD273" i="49"/>
  <c r="AE273" i="49"/>
  <c r="AF273" i="49"/>
  <c r="AG273" i="49"/>
  <c r="AH273" i="49"/>
  <c r="AI273" i="49"/>
  <c r="AJ273" i="49"/>
  <c r="AK273" i="49"/>
  <c r="AL273" i="49"/>
  <c r="AM273" i="49"/>
  <c r="AN273" i="49"/>
  <c r="AO273" i="49"/>
  <c r="Z274" i="49"/>
  <c r="AA274" i="49"/>
  <c r="AB274" i="49"/>
  <c r="AC274" i="49"/>
  <c r="AD274" i="49"/>
  <c r="AE274" i="49"/>
  <c r="AF274" i="49"/>
  <c r="AG274" i="49"/>
  <c r="AH274" i="49"/>
  <c r="AI274" i="49"/>
  <c r="AJ274" i="49"/>
  <c r="AK274" i="49"/>
  <c r="AL274" i="49"/>
  <c r="AM274" i="49"/>
  <c r="AN274" i="49"/>
  <c r="AO274" i="49"/>
  <c r="Z275" i="49"/>
  <c r="AA275" i="49"/>
  <c r="AB275" i="49"/>
  <c r="AC275" i="49"/>
  <c r="AD275" i="49"/>
  <c r="AE275" i="49"/>
  <c r="AF275" i="49"/>
  <c r="AG275" i="49"/>
  <c r="AH275" i="49"/>
  <c r="AI275" i="49"/>
  <c r="AJ275" i="49"/>
  <c r="AK275" i="49"/>
  <c r="AL275" i="49"/>
  <c r="AM275" i="49"/>
  <c r="AN275" i="49"/>
  <c r="AO275" i="49"/>
  <c r="Z276" i="49"/>
  <c r="AA276" i="49"/>
  <c r="AB276" i="49"/>
  <c r="AC276" i="49"/>
  <c r="AD276" i="49"/>
  <c r="AE276" i="49"/>
  <c r="AF276" i="49"/>
  <c r="AG276" i="49"/>
  <c r="AH276" i="49"/>
  <c r="AI276" i="49"/>
  <c r="AJ276" i="49"/>
  <c r="AK276" i="49"/>
  <c r="AL276" i="49"/>
  <c r="AM276" i="49"/>
  <c r="AN276" i="49"/>
  <c r="AO276" i="49"/>
  <c r="Z277" i="49"/>
  <c r="AA277" i="49"/>
  <c r="AB277" i="49"/>
  <c r="AC277" i="49"/>
  <c r="AD277" i="49"/>
  <c r="AE277" i="49"/>
  <c r="AF277" i="49"/>
  <c r="AG277" i="49"/>
  <c r="AH277" i="49"/>
  <c r="AI277" i="49"/>
  <c r="AJ277" i="49"/>
  <c r="AK277" i="49"/>
  <c r="AL277" i="49"/>
  <c r="AM277" i="49"/>
  <c r="AN277" i="49"/>
  <c r="AO277" i="49"/>
  <c r="Z278" i="49"/>
  <c r="AA278" i="49"/>
  <c r="AB278" i="49"/>
  <c r="AC278" i="49"/>
  <c r="AD278" i="49"/>
  <c r="AE278" i="49"/>
  <c r="AF278" i="49"/>
  <c r="AG278" i="49"/>
  <c r="AH278" i="49"/>
  <c r="AI278" i="49"/>
  <c r="AJ278" i="49"/>
  <c r="AK278" i="49"/>
  <c r="AL278" i="49"/>
  <c r="AM278" i="49"/>
  <c r="AN278" i="49"/>
  <c r="AO278" i="49"/>
  <c r="Z279" i="49"/>
  <c r="AA279" i="49"/>
  <c r="AB279" i="49"/>
  <c r="AC279" i="49"/>
  <c r="AD279" i="49"/>
  <c r="AE279" i="49"/>
  <c r="AF279" i="49"/>
  <c r="AG279" i="49"/>
  <c r="AH279" i="49"/>
  <c r="AI279" i="49"/>
  <c r="AJ279" i="49"/>
  <c r="AK279" i="49"/>
  <c r="AL279" i="49"/>
  <c r="AM279" i="49"/>
  <c r="AN279" i="49"/>
  <c r="AO279" i="49"/>
  <c r="Z280" i="49"/>
  <c r="AA280" i="49"/>
  <c r="AB280" i="49"/>
  <c r="AC280" i="49"/>
  <c r="AD280" i="49"/>
  <c r="AE280" i="49"/>
  <c r="AF280" i="49"/>
  <c r="AG280" i="49"/>
  <c r="AH280" i="49"/>
  <c r="AI280" i="49"/>
  <c r="AJ280" i="49"/>
  <c r="AK280" i="49"/>
  <c r="AL280" i="49"/>
  <c r="AM280" i="49"/>
  <c r="AN280" i="49"/>
  <c r="AO280" i="49"/>
  <c r="Z281" i="49"/>
  <c r="AA281" i="49"/>
  <c r="AB281" i="49"/>
  <c r="AC281" i="49"/>
  <c r="AD281" i="49"/>
  <c r="AE281" i="49"/>
  <c r="AF281" i="49"/>
  <c r="AG281" i="49"/>
  <c r="AH281" i="49"/>
  <c r="AI281" i="49"/>
  <c r="AJ281" i="49"/>
  <c r="AK281" i="49"/>
  <c r="AL281" i="49"/>
  <c r="AM281" i="49"/>
  <c r="AN281" i="49"/>
  <c r="AO281" i="49"/>
  <c r="Z282" i="49"/>
  <c r="AA282" i="49"/>
  <c r="AB282" i="49"/>
  <c r="AC282" i="49"/>
  <c r="AD282" i="49"/>
  <c r="AE282" i="49"/>
  <c r="AF282" i="49"/>
  <c r="AG282" i="49"/>
  <c r="AH282" i="49"/>
  <c r="AI282" i="49"/>
  <c r="AJ282" i="49"/>
  <c r="AK282" i="49"/>
  <c r="AL282" i="49"/>
  <c r="AM282" i="49"/>
  <c r="AN282" i="49"/>
  <c r="AO282" i="49"/>
  <c r="Z283" i="49"/>
  <c r="AA283" i="49"/>
  <c r="AB283" i="49"/>
  <c r="AC283" i="49"/>
  <c r="AD283" i="49"/>
  <c r="AE283" i="49"/>
  <c r="AF283" i="49"/>
  <c r="AG283" i="49"/>
  <c r="AH283" i="49"/>
  <c r="AI283" i="49"/>
  <c r="AJ283" i="49"/>
  <c r="AK283" i="49"/>
  <c r="AL283" i="49"/>
  <c r="AM283" i="49"/>
  <c r="AN283" i="49"/>
  <c r="AO283" i="49"/>
  <c r="Z284" i="49"/>
  <c r="AA284" i="49"/>
  <c r="AB284" i="49"/>
  <c r="AC284" i="49"/>
  <c r="AD284" i="49"/>
  <c r="AE284" i="49"/>
  <c r="AF284" i="49"/>
  <c r="AG284" i="49"/>
  <c r="AH284" i="49"/>
  <c r="AI284" i="49"/>
  <c r="AJ284" i="49"/>
  <c r="AK284" i="49"/>
  <c r="AL284" i="49"/>
  <c r="AM284" i="49"/>
  <c r="AN284" i="49"/>
  <c r="AO284" i="49"/>
  <c r="Z285" i="49"/>
  <c r="AA285" i="49"/>
  <c r="AB285" i="49"/>
  <c r="AC285" i="49"/>
  <c r="AD285" i="49"/>
  <c r="AE285" i="49"/>
  <c r="AF285" i="49"/>
  <c r="AG285" i="49"/>
  <c r="AH285" i="49"/>
  <c r="AI285" i="49"/>
  <c r="AJ285" i="49"/>
  <c r="AK285" i="49"/>
  <c r="AL285" i="49"/>
  <c r="AM285" i="49"/>
  <c r="AN285" i="49"/>
  <c r="AO285" i="49"/>
  <c r="Z286" i="49"/>
  <c r="AA286" i="49"/>
  <c r="AB286" i="49"/>
  <c r="AC286" i="49"/>
  <c r="AD286" i="49"/>
  <c r="AE286" i="49"/>
  <c r="AF286" i="49"/>
  <c r="AG286" i="49"/>
  <c r="AH286" i="49"/>
  <c r="AI286" i="49"/>
  <c r="AJ286" i="49"/>
  <c r="AK286" i="49"/>
  <c r="AL286" i="49"/>
  <c r="AM286" i="49"/>
  <c r="AN286" i="49"/>
  <c r="AO286" i="49"/>
  <c r="Z287" i="49"/>
  <c r="AA287" i="49"/>
  <c r="AB287" i="49"/>
  <c r="AC287" i="49"/>
  <c r="AD287" i="49"/>
  <c r="AE287" i="49"/>
  <c r="AF287" i="49"/>
  <c r="AG287" i="49"/>
  <c r="AH287" i="49"/>
  <c r="AI287" i="49"/>
  <c r="AJ287" i="49"/>
  <c r="AK287" i="49"/>
  <c r="AL287" i="49"/>
  <c r="AM287" i="49"/>
  <c r="AN287" i="49"/>
  <c r="AO287" i="49"/>
  <c r="Z288" i="49"/>
  <c r="AA288" i="49"/>
  <c r="AB288" i="49"/>
  <c r="AC288" i="49"/>
  <c r="AD288" i="49"/>
  <c r="AE288" i="49"/>
  <c r="AF288" i="49"/>
  <c r="AG288" i="49"/>
  <c r="AH288" i="49"/>
  <c r="AI288" i="49"/>
  <c r="AJ288" i="49"/>
  <c r="AK288" i="49"/>
  <c r="AL288" i="49"/>
  <c r="AM288" i="49"/>
  <c r="AN288" i="49"/>
  <c r="AO288" i="49"/>
  <c r="Z289" i="49"/>
  <c r="AA289" i="49"/>
  <c r="AB289" i="49"/>
  <c r="AC289" i="49"/>
  <c r="AD289" i="49"/>
  <c r="AE289" i="49"/>
  <c r="AF289" i="49"/>
  <c r="AG289" i="49"/>
  <c r="AH289" i="49"/>
  <c r="AI289" i="49"/>
  <c r="AJ289" i="49"/>
  <c r="AK289" i="49"/>
  <c r="AL289" i="49"/>
  <c r="AM289" i="49"/>
  <c r="AN289" i="49"/>
  <c r="AO289" i="49"/>
  <c r="Z290" i="49"/>
  <c r="AA290" i="49"/>
  <c r="AB290" i="49"/>
  <c r="AC290" i="49"/>
  <c r="AD290" i="49"/>
  <c r="AE290" i="49"/>
  <c r="AF290" i="49"/>
  <c r="AG290" i="49"/>
  <c r="AH290" i="49"/>
  <c r="AI290" i="49"/>
  <c r="AJ290" i="49"/>
  <c r="AK290" i="49"/>
  <c r="AL290" i="49"/>
  <c r="AM290" i="49"/>
  <c r="AN290" i="49"/>
  <c r="AO290" i="49"/>
  <c r="Z291" i="49"/>
  <c r="AA291" i="49"/>
  <c r="AB291" i="49"/>
  <c r="AC291" i="49"/>
  <c r="AD291" i="49"/>
  <c r="AE291" i="49"/>
  <c r="AF291" i="49"/>
  <c r="AG291" i="49"/>
  <c r="AH291" i="49"/>
  <c r="AI291" i="49"/>
  <c r="AJ291" i="49"/>
  <c r="AK291" i="49"/>
  <c r="AL291" i="49"/>
  <c r="AM291" i="49"/>
  <c r="AN291" i="49"/>
  <c r="AO291" i="49"/>
  <c r="Z292" i="49"/>
  <c r="AA292" i="49"/>
  <c r="AB292" i="49"/>
  <c r="AC292" i="49"/>
  <c r="AD292" i="49"/>
  <c r="AE292" i="49"/>
  <c r="AF292" i="49"/>
  <c r="AG292" i="49"/>
  <c r="AH292" i="49"/>
  <c r="AI292" i="49"/>
  <c r="AJ292" i="49"/>
  <c r="AK292" i="49"/>
  <c r="AL292" i="49"/>
  <c r="AM292" i="49"/>
  <c r="AN292" i="49"/>
  <c r="AO292" i="49"/>
  <c r="Z293" i="49"/>
  <c r="AA293" i="49"/>
  <c r="AB293" i="49"/>
  <c r="AC293" i="49"/>
  <c r="AD293" i="49"/>
  <c r="AE293" i="49"/>
  <c r="AF293" i="49"/>
  <c r="AG293" i="49"/>
  <c r="AH293" i="49"/>
  <c r="AI293" i="49"/>
  <c r="AJ293" i="49"/>
  <c r="AK293" i="49"/>
  <c r="AL293" i="49"/>
  <c r="AM293" i="49"/>
  <c r="AN293" i="49"/>
  <c r="AO293" i="49"/>
  <c r="Z294" i="49"/>
  <c r="AA294" i="49"/>
  <c r="AB294" i="49"/>
  <c r="AC294" i="49"/>
  <c r="AD294" i="49"/>
  <c r="AE294" i="49"/>
  <c r="AF294" i="49"/>
  <c r="AG294" i="49"/>
  <c r="AH294" i="49"/>
  <c r="AI294" i="49"/>
  <c r="AJ294" i="49"/>
  <c r="AK294" i="49"/>
  <c r="AL294" i="49"/>
  <c r="AM294" i="49"/>
  <c r="AN294" i="49"/>
  <c r="AO294" i="49"/>
  <c r="Z295" i="49"/>
  <c r="AA295" i="49"/>
  <c r="AB295" i="49"/>
  <c r="AC295" i="49"/>
  <c r="AD295" i="49"/>
  <c r="AE295" i="49"/>
  <c r="AF295" i="49"/>
  <c r="AG295" i="49"/>
  <c r="AH295" i="49"/>
  <c r="AI295" i="49"/>
  <c r="AJ295" i="49"/>
  <c r="AK295" i="49"/>
  <c r="AL295" i="49"/>
  <c r="AM295" i="49"/>
  <c r="AN295" i="49"/>
  <c r="AO295" i="49"/>
  <c r="Z296" i="49"/>
  <c r="AA296" i="49"/>
  <c r="AB296" i="49"/>
  <c r="AC296" i="49"/>
  <c r="AD296" i="49"/>
  <c r="AE296" i="49"/>
  <c r="AF296" i="49"/>
  <c r="AG296" i="49"/>
  <c r="AH296" i="49"/>
  <c r="AI296" i="49"/>
  <c r="AJ296" i="49"/>
  <c r="AK296" i="49"/>
  <c r="AL296" i="49"/>
  <c r="AM296" i="49"/>
  <c r="AN296" i="49"/>
  <c r="AO296" i="49"/>
  <c r="Z297" i="49"/>
  <c r="AA297" i="49"/>
  <c r="AB297" i="49"/>
  <c r="AC297" i="49"/>
  <c r="AD297" i="49"/>
  <c r="AE297" i="49"/>
  <c r="AF297" i="49"/>
  <c r="AG297" i="49"/>
  <c r="AH297" i="49"/>
  <c r="AI297" i="49"/>
  <c r="AJ297" i="49"/>
  <c r="AK297" i="49"/>
  <c r="AL297" i="49"/>
  <c r="AM297" i="49"/>
  <c r="AN297" i="49"/>
  <c r="AO297" i="49"/>
  <c r="Z298" i="49"/>
  <c r="AA298" i="49"/>
  <c r="AB298" i="49"/>
  <c r="AC298" i="49"/>
  <c r="AD298" i="49"/>
  <c r="AE298" i="49"/>
  <c r="AF298" i="49"/>
  <c r="AG298" i="49"/>
  <c r="AH298" i="49"/>
  <c r="AI298" i="49"/>
  <c r="AJ298" i="49"/>
  <c r="AK298" i="49"/>
  <c r="AL298" i="49"/>
  <c r="AM298" i="49"/>
  <c r="AN298" i="49"/>
  <c r="AO298" i="49"/>
  <c r="Z299" i="49"/>
  <c r="AA299" i="49"/>
  <c r="AB299" i="49"/>
  <c r="AC299" i="49"/>
  <c r="AD299" i="49"/>
  <c r="AE299" i="49"/>
  <c r="AF299" i="49"/>
  <c r="AG299" i="49"/>
  <c r="AH299" i="49"/>
  <c r="AI299" i="49"/>
  <c r="AJ299" i="49"/>
  <c r="AK299" i="49"/>
  <c r="AL299" i="49"/>
  <c r="AM299" i="49"/>
  <c r="AN299" i="49"/>
  <c r="AO299" i="49"/>
  <c r="Z300" i="49"/>
  <c r="AA300" i="49"/>
  <c r="AB300" i="49"/>
  <c r="AC300" i="49"/>
  <c r="AD300" i="49"/>
  <c r="AE300" i="49"/>
  <c r="AF300" i="49"/>
  <c r="AG300" i="49"/>
  <c r="AH300" i="49"/>
  <c r="AI300" i="49"/>
  <c r="AJ300" i="49"/>
  <c r="AK300" i="49"/>
  <c r="AL300" i="49"/>
  <c r="AM300" i="49"/>
  <c r="AN300" i="49"/>
  <c r="AO300" i="49"/>
  <c r="Z301" i="49"/>
  <c r="AA301" i="49"/>
  <c r="AB301" i="49"/>
  <c r="AC301" i="49"/>
  <c r="AD301" i="49"/>
  <c r="AE301" i="49"/>
  <c r="AF301" i="49"/>
  <c r="AG301" i="49"/>
  <c r="AH301" i="49"/>
  <c r="AI301" i="49"/>
  <c r="AJ301" i="49"/>
  <c r="AK301" i="49"/>
  <c r="AL301" i="49"/>
  <c r="AM301" i="49"/>
  <c r="AN301" i="49"/>
  <c r="AO301" i="49"/>
  <c r="Z302" i="49"/>
  <c r="AA302" i="49"/>
  <c r="AB302" i="49"/>
  <c r="AC302" i="49"/>
  <c r="AD302" i="49"/>
  <c r="AE302" i="49"/>
  <c r="AF302" i="49"/>
  <c r="AG302" i="49"/>
  <c r="AH302" i="49"/>
  <c r="AI302" i="49"/>
  <c r="AJ302" i="49"/>
  <c r="AK302" i="49"/>
  <c r="AL302" i="49"/>
  <c r="AM302" i="49"/>
  <c r="AN302" i="49"/>
  <c r="AO302" i="49"/>
  <c r="Z303" i="49"/>
  <c r="AA303" i="49"/>
  <c r="AB303" i="49"/>
  <c r="AC303" i="49"/>
  <c r="AD303" i="49"/>
  <c r="AE303" i="49"/>
  <c r="AF303" i="49"/>
  <c r="AG303" i="49"/>
  <c r="AH303" i="49"/>
  <c r="AI303" i="49"/>
  <c r="AJ303" i="49"/>
  <c r="AK303" i="49"/>
  <c r="AL303" i="49"/>
  <c r="AM303" i="49"/>
  <c r="AN303" i="49"/>
  <c r="AO303" i="49"/>
  <c r="Z304" i="49"/>
  <c r="AA304" i="49"/>
  <c r="AB304" i="49"/>
  <c r="AC304" i="49"/>
  <c r="AD304" i="49"/>
  <c r="AE304" i="49"/>
  <c r="AF304" i="49"/>
  <c r="AG304" i="49"/>
  <c r="AH304" i="49"/>
  <c r="AI304" i="49"/>
  <c r="AJ304" i="49"/>
  <c r="AK304" i="49"/>
  <c r="AL304" i="49"/>
  <c r="AM304" i="49"/>
  <c r="AN304" i="49"/>
  <c r="AO304" i="49"/>
  <c r="Z305" i="49"/>
  <c r="AA305" i="49"/>
  <c r="AB305" i="49"/>
  <c r="AC305" i="49"/>
  <c r="AD305" i="49"/>
  <c r="AE305" i="49"/>
  <c r="AF305" i="49"/>
  <c r="AG305" i="49"/>
  <c r="AH305" i="49"/>
  <c r="AI305" i="49"/>
  <c r="AJ305" i="49"/>
  <c r="AK305" i="49"/>
  <c r="AL305" i="49"/>
  <c r="AM305" i="49"/>
  <c r="AN305" i="49"/>
  <c r="AO305" i="49"/>
  <c r="Z306" i="49"/>
  <c r="AA306" i="49"/>
  <c r="AB306" i="49"/>
  <c r="AC306" i="49"/>
  <c r="AD306" i="49"/>
  <c r="AE306" i="49"/>
  <c r="AF306" i="49"/>
  <c r="AG306" i="49"/>
  <c r="AH306" i="49"/>
  <c r="AI306" i="49"/>
  <c r="AJ306" i="49"/>
  <c r="AK306" i="49"/>
  <c r="AL306" i="49"/>
  <c r="AM306" i="49"/>
  <c r="AN306" i="49"/>
  <c r="AO306" i="49"/>
  <c r="Z307" i="49"/>
  <c r="AA307" i="49"/>
  <c r="AB307" i="49"/>
  <c r="AC307" i="49"/>
  <c r="AD307" i="49"/>
  <c r="AE307" i="49"/>
  <c r="AF307" i="49"/>
  <c r="AG307" i="49"/>
  <c r="AH307" i="49"/>
  <c r="AI307" i="49"/>
  <c r="AJ307" i="49"/>
  <c r="AK307" i="49"/>
  <c r="AL307" i="49"/>
  <c r="AM307" i="49"/>
  <c r="AN307" i="49"/>
  <c r="AO307" i="49"/>
  <c r="Z308" i="49"/>
  <c r="AA308" i="49"/>
  <c r="AB308" i="49"/>
  <c r="AC308" i="49"/>
  <c r="AD308" i="49"/>
  <c r="AE308" i="49"/>
  <c r="AF308" i="49"/>
  <c r="AG308" i="49"/>
  <c r="AH308" i="49"/>
  <c r="AI308" i="49"/>
  <c r="AJ308" i="49"/>
  <c r="AK308" i="49"/>
  <c r="AL308" i="49"/>
  <c r="AM308" i="49"/>
  <c r="AN308" i="49"/>
  <c r="AO308" i="49"/>
  <c r="AO5" i="49"/>
  <c r="AN5" i="49"/>
  <c r="AM5" i="49"/>
  <c r="AL5" i="49"/>
  <c r="AK5" i="49"/>
  <c r="AJ5" i="49"/>
  <c r="AI5" i="49"/>
  <c r="AH5" i="49"/>
  <c r="AG5" i="49"/>
  <c r="AF5" i="49"/>
  <c r="AE5" i="49"/>
  <c r="AD5" i="49"/>
  <c r="AC5" i="49"/>
  <c r="AB5" i="49"/>
  <c r="AA5" i="49"/>
  <c r="Z5" i="49"/>
  <c r="AO4" i="49"/>
  <c r="AN4" i="49"/>
  <c r="AM4" i="49"/>
  <c r="AL4" i="49"/>
  <c r="AK4" i="49"/>
  <c r="AJ4" i="49"/>
  <c r="AI4" i="49"/>
  <c r="AH4" i="49"/>
  <c r="AG4" i="49"/>
  <c r="AF4" i="49"/>
  <c r="AE4" i="49"/>
  <c r="AD4" i="49"/>
  <c r="AC4" i="49"/>
  <c r="AB4" i="49"/>
  <c r="AA4" i="49"/>
  <c r="Z4" i="49"/>
  <c r="D26" i="58" l="1"/>
  <c r="U201" i="43"/>
  <c r="U113" i="43"/>
  <c r="U81" i="43"/>
  <c r="U150" i="43"/>
  <c r="U61" i="43"/>
  <c r="U109" i="43"/>
  <c r="U149" i="43"/>
  <c r="U161" i="43"/>
  <c r="U185" i="43"/>
  <c r="U193" i="43"/>
  <c r="U205" i="43"/>
  <c r="U213" i="43"/>
  <c r="U221" i="43"/>
  <c r="U229" i="43"/>
  <c r="U237" i="43"/>
  <c r="U245" i="43"/>
  <c r="U253" i="43"/>
  <c r="U261" i="43"/>
  <c r="U269" i="43"/>
  <c r="U277" i="43"/>
  <c r="U285" i="43"/>
  <c r="U6" i="43"/>
  <c r="U14" i="43"/>
  <c r="U71" i="43"/>
  <c r="U84" i="43"/>
  <c r="U164" i="43"/>
  <c r="U308" i="43"/>
  <c r="U102" i="43"/>
  <c r="U38" i="43"/>
  <c r="U13" i="43"/>
  <c r="U93" i="43"/>
  <c r="U125" i="43"/>
  <c r="U141" i="43"/>
  <c r="U10" i="43"/>
  <c r="U18" i="43"/>
  <c r="U34" i="43"/>
  <c r="U294" i="43"/>
  <c r="U226" i="43"/>
  <c r="U15" i="43"/>
  <c r="U51" i="43"/>
  <c r="S232" i="48"/>
  <c r="N232" i="43"/>
  <c r="U232" i="43" s="1"/>
  <c r="S153" i="48"/>
  <c r="N153" i="43"/>
  <c r="U153" i="43" s="1"/>
  <c r="S105" i="48"/>
  <c r="N105" i="43"/>
  <c r="U105" i="43" s="1"/>
  <c r="S73" i="48"/>
  <c r="N73" i="43"/>
  <c r="U73" i="43" s="1"/>
  <c r="S41" i="48"/>
  <c r="N41" i="43"/>
  <c r="U41" i="43" s="1"/>
  <c r="S20" i="48"/>
  <c r="N20" i="43"/>
  <c r="U20" i="43" s="1"/>
  <c r="S40" i="48"/>
  <c r="N40" i="43"/>
  <c r="U40" i="43" s="1"/>
  <c r="S56" i="48"/>
  <c r="N56" i="43"/>
  <c r="U56" i="43" s="1"/>
  <c r="S72" i="48"/>
  <c r="N72" i="43"/>
  <c r="U72" i="43" s="1"/>
  <c r="U100" i="43"/>
  <c r="S120" i="48"/>
  <c r="N120" i="43"/>
  <c r="U120" i="43" s="1"/>
  <c r="S136" i="48"/>
  <c r="N136" i="43"/>
  <c r="U136" i="43" s="1"/>
  <c r="S152" i="48"/>
  <c r="N152" i="43"/>
  <c r="U152" i="43" s="1"/>
  <c r="S188" i="48"/>
  <c r="N188" i="43"/>
  <c r="U188" i="43" s="1"/>
  <c r="U212" i="43"/>
  <c r="U244" i="43"/>
  <c r="U276" i="43"/>
  <c r="U304" i="43"/>
  <c r="S211" i="48"/>
  <c r="N211" i="43"/>
  <c r="U211" i="43" s="1"/>
  <c r="S110" i="48"/>
  <c r="N110" i="43"/>
  <c r="U110" i="43" s="1"/>
  <c r="S78" i="48"/>
  <c r="N78" i="43"/>
  <c r="U78" i="43" s="1"/>
  <c r="S46" i="48"/>
  <c r="N46" i="43"/>
  <c r="U46" i="43" s="1"/>
  <c r="U301" i="43"/>
  <c r="S240" i="48"/>
  <c r="N240" i="43"/>
  <c r="U240" i="43" s="1"/>
  <c r="U26" i="43"/>
  <c r="U74" i="43"/>
  <c r="S158" i="48"/>
  <c r="N158" i="43"/>
  <c r="U158" i="43" s="1"/>
  <c r="U186" i="43"/>
  <c r="S206" i="48"/>
  <c r="N206" i="43"/>
  <c r="U206" i="43" s="1"/>
  <c r="U234" i="43"/>
  <c r="U262" i="43"/>
  <c r="S286" i="48"/>
  <c r="N286" i="43"/>
  <c r="U286" i="43" s="1"/>
  <c r="U310" i="43"/>
  <c r="U194" i="43"/>
  <c r="U4" i="43"/>
  <c r="U251" i="43"/>
  <c r="U171" i="43"/>
  <c r="U114" i="43"/>
  <c r="S11" i="48"/>
  <c r="N11" i="43"/>
  <c r="U11" i="43" s="1"/>
  <c r="U27" i="43"/>
  <c r="U43" i="43"/>
  <c r="U79" i="43"/>
  <c r="U99" i="43"/>
  <c r="U115" i="43"/>
  <c r="U143" i="43"/>
  <c r="U175" i="43"/>
  <c r="U215" i="43"/>
  <c r="U255" i="43"/>
  <c r="U287" i="43"/>
  <c r="U50" i="43"/>
  <c r="U67" i="43"/>
  <c r="S280" i="48"/>
  <c r="N280" i="43"/>
  <c r="U280" i="43" s="1"/>
  <c r="S200" i="48"/>
  <c r="N200" i="43"/>
  <c r="U200" i="43" s="1"/>
  <c r="S145" i="48"/>
  <c r="N145" i="43"/>
  <c r="U145" i="43" s="1"/>
  <c r="S65" i="48"/>
  <c r="N65" i="43"/>
  <c r="U65" i="43" s="1"/>
  <c r="U24" i="43"/>
  <c r="S44" i="48"/>
  <c r="N44" i="43"/>
  <c r="U44" i="43" s="1"/>
  <c r="S60" i="48"/>
  <c r="N60" i="43"/>
  <c r="U60" i="43" s="1"/>
  <c r="S104" i="48"/>
  <c r="N104" i="43"/>
  <c r="U104" i="43" s="1"/>
  <c r="S124" i="48"/>
  <c r="N124" i="43"/>
  <c r="U124" i="43" s="1"/>
  <c r="S140" i="48"/>
  <c r="N140" i="43"/>
  <c r="U140" i="43" s="1"/>
  <c r="S192" i="48"/>
  <c r="N192" i="43"/>
  <c r="U192" i="43" s="1"/>
  <c r="S220" i="48"/>
  <c r="N220" i="43"/>
  <c r="U220" i="43" s="1"/>
  <c r="S252" i="48"/>
  <c r="N252" i="43"/>
  <c r="U252" i="43" s="1"/>
  <c r="S284" i="48"/>
  <c r="N284" i="43"/>
  <c r="U284" i="43" s="1"/>
  <c r="S142" i="48"/>
  <c r="N142" i="43"/>
  <c r="U142" i="43" s="1"/>
  <c r="S70" i="48"/>
  <c r="N70" i="43"/>
  <c r="U70" i="43" s="1"/>
  <c r="U305" i="43"/>
  <c r="S288" i="48"/>
  <c r="N288" i="43"/>
  <c r="U288" i="43" s="1"/>
  <c r="S224" i="48"/>
  <c r="N224" i="43"/>
  <c r="U224" i="43" s="1"/>
  <c r="U106" i="43"/>
  <c r="U166" i="43"/>
  <c r="S190" i="48"/>
  <c r="N190" i="43"/>
  <c r="U190" i="43" s="1"/>
  <c r="U214" i="43"/>
  <c r="S238" i="48"/>
  <c r="N238" i="43"/>
  <c r="U238" i="43" s="1"/>
  <c r="U266" i="43"/>
  <c r="U314" i="43"/>
  <c r="U235" i="43"/>
  <c r="U155" i="43"/>
  <c r="S98" i="48"/>
  <c r="N98" i="43"/>
  <c r="U98" i="43" s="1"/>
  <c r="U31" i="43"/>
  <c r="U87" i="43"/>
  <c r="U103" i="43"/>
  <c r="U119" i="43"/>
  <c r="U151" i="43"/>
  <c r="U183" i="43"/>
  <c r="U231" i="43"/>
  <c r="U263" i="43"/>
  <c r="U295" i="43"/>
  <c r="U127" i="43"/>
  <c r="U147" i="43"/>
  <c r="U165" i="43"/>
  <c r="S264" i="48"/>
  <c r="N264" i="43"/>
  <c r="U264" i="43" s="1"/>
  <c r="S184" i="48"/>
  <c r="N184" i="43"/>
  <c r="U184" i="43" s="1"/>
  <c r="S121" i="48"/>
  <c r="N121" i="43"/>
  <c r="U121" i="43" s="1"/>
  <c r="S89" i="48"/>
  <c r="N89" i="43"/>
  <c r="U89" i="43" s="1"/>
  <c r="S57" i="48"/>
  <c r="N57" i="43"/>
  <c r="U57" i="43" s="1"/>
  <c r="S12" i="48"/>
  <c r="N12" i="43"/>
  <c r="U12" i="43" s="1"/>
  <c r="S28" i="48"/>
  <c r="N28" i="43"/>
  <c r="U28" i="43" s="1"/>
  <c r="S48" i="48"/>
  <c r="N48" i="43"/>
  <c r="U48" i="43" s="1"/>
  <c r="S64" i="48"/>
  <c r="N64" i="43"/>
  <c r="U64" i="43" s="1"/>
  <c r="S88" i="48"/>
  <c r="N88" i="43"/>
  <c r="U88" i="43" s="1"/>
  <c r="S112" i="48"/>
  <c r="N112" i="43"/>
  <c r="U112" i="43" s="1"/>
  <c r="S128" i="48"/>
  <c r="N128" i="43"/>
  <c r="U128" i="43" s="1"/>
  <c r="S144" i="48"/>
  <c r="N144" i="43"/>
  <c r="U144" i="43" s="1"/>
  <c r="S172" i="48"/>
  <c r="N172" i="43"/>
  <c r="U172" i="43" s="1"/>
  <c r="U196" i="43"/>
  <c r="U228" i="43"/>
  <c r="U260" i="43"/>
  <c r="U292" i="43"/>
  <c r="S126" i="48"/>
  <c r="N126" i="43"/>
  <c r="U126" i="43" s="1"/>
  <c r="S94" i="48"/>
  <c r="N94" i="43"/>
  <c r="U94" i="43" s="1"/>
  <c r="S62" i="48"/>
  <c r="N62" i="43"/>
  <c r="U62" i="43" s="1"/>
  <c r="S30" i="48"/>
  <c r="N30" i="43"/>
  <c r="U30" i="43" s="1"/>
  <c r="U53" i="43"/>
  <c r="U157" i="43"/>
  <c r="U177" i="43"/>
  <c r="U189" i="43"/>
  <c r="U209" i="43"/>
  <c r="U217" i="43"/>
  <c r="U225" i="43"/>
  <c r="U233" i="43"/>
  <c r="U241" i="43"/>
  <c r="U249" i="43"/>
  <c r="U257" i="43"/>
  <c r="U265" i="43"/>
  <c r="U273" i="43"/>
  <c r="U281" i="43"/>
  <c r="U289" i="43"/>
  <c r="U309" i="43"/>
  <c r="S272" i="48"/>
  <c r="N272" i="43"/>
  <c r="U272" i="43" s="1"/>
  <c r="U42" i="43"/>
  <c r="U122" i="43"/>
  <c r="U170" i="43"/>
  <c r="U198" i="43"/>
  <c r="U218" i="43"/>
  <c r="U250" i="43"/>
  <c r="S270" i="48"/>
  <c r="N270" i="43"/>
  <c r="U270" i="43" s="1"/>
  <c r="U298" i="43"/>
  <c r="U32" i="43"/>
  <c r="U258" i="43"/>
  <c r="U283" i="43"/>
  <c r="U219" i="43"/>
  <c r="U146" i="43"/>
  <c r="S66" i="48"/>
  <c r="N66" i="43"/>
  <c r="U66" i="43" s="1"/>
  <c r="S19" i="48"/>
  <c r="N19" i="43"/>
  <c r="U19" i="43" s="1"/>
  <c r="U35" i="43"/>
  <c r="U55" i="43"/>
  <c r="U91" i="43"/>
  <c r="U107" i="43"/>
  <c r="U131" i="43"/>
  <c r="U159" i="43"/>
  <c r="U199" i="43"/>
  <c r="U239" i="43"/>
  <c r="U271" i="43"/>
  <c r="U303" i="43"/>
  <c r="U25" i="43"/>
  <c r="U187" i="43"/>
  <c r="U223" i="43"/>
  <c r="S248" i="48"/>
  <c r="N248" i="43"/>
  <c r="U248" i="43" s="1"/>
  <c r="S168" i="48"/>
  <c r="N168" i="43"/>
  <c r="U168" i="43" s="1"/>
  <c r="U16" i="43"/>
  <c r="U36" i="43"/>
  <c r="U52" i="43"/>
  <c r="U68" i="43"/>
  <c r="S92" i="48"/>
  <c r="N92" i="43"/>
  <c r="U92" i="43" s="1"/>
  <c r="U116" i="43"/>
  <c r="U132" i="43"/>
  <c r="U148" i="43"/>
  <c r="U180" i="43"/>
  <c r="S204" i="48"/>
  <c r="N204" i="43"/>
  <c r="U204" i="43" s="1"/>
  <c r="S236" i="48"/>
  <c r="N236" i="43"/>
  <c r="U236" i="43" s="1"/>
  <c r="S268" i="48"/>
  <c r="N268" i="43"/>
  <c r="U268" i="43" s="1"/>
  <c r="U300" i="43"/>
  <c r="S291" i="48"/>
  <c r="N291" i="43"/>
  <c r="U291" i="43" s="1"/>
  <c r="S163" i="48"/>
  <c r="N163" i="43"/>
  <c r="U163" i="43" s="1"/>
  <c r="U86" i="43"/>
  <c r="U54" i="43"/>
  <c r="U21" i="43"/>
  <c r="U69" i="43"/>
  <c r="U85" i="43"/>
  <c r="U117" i="43"/>
  <c r="U133" i="43"/>
  <c r="U169" i="43"/>
  <c r="U293" i="43"/>
  <c r="U8" i="43"/>
  <c r="S256" i="48"/>
  <c r="N256" i="43"/>
  <c r="U256" i="43" s="1"/>
  <c r="S176" i="48"/>
  <c r="N176" i="43"/>
  <c r="U176" i="43" s="1"/>
  <c r="U58" i="43"/>
  <c r="U154" i="43"/>
  <c r="S174" i="48"/>
  <c r="N174" i="43"/>
  <c r="U174" i="43" s="1"/>
  <c r="U202" i="43"/>
  <c r="U230" i="43"/>
  <c r="S254" i="48"/>
  <c r="N254" i="43"/>
  <c r="U254" i="43" s="1"/>
  <c r="U282" i="43"/>
  <c r="U302" i="43"/>
  <c r="U162" i="43"/>
  <c r="U290" i="43"/>
  <c r="U267" i="43"/>
  <c r="U203" i="43"/>
  <c r="S130" i="48"/>
  <c r="N130" i="43"/>
  <c r="U130" i="43" s="1"/>
  <c r="U7" i="43"/>
  <c r="U23" i="43"/>
  <c r="U39" i="43"/>
  <c r="U95" i="43"/>
  <c r="U111" i="43"/>
  <c r="U135" i="43"/>
  <c r="U167" i="43"/>
  <c r="U207" i="43"/>
  <c r="U247" i="43"/>
  <c r="U279" i="43"/>
  <c r="U63" i="43"/>
  <c r="U139" i="43"/>
  <c r="U173" i="43"/>
  <c r="U191" i="43"/>
  <c r="S242" i="48"/>
  <c r="S10" i="48"/>
  <c r="S18" i="48"/>
  <c r="S201" i="48"/>
  <c r="S113" i="48"/>
  <c r="S49" i="48"/>
  <c r="R29" i="48"/>
  <c r="N29" i="43" s="1"/>
  <c r="R45" i="48"/>
  <c r="N45" i="43" s="1"/>
  <c r="U45" i="43" s="1"/>
  <c r="P101" i="48"/>
  <c r="G101" i="43" s="1"/>
  <c r="Q82" i="48"/>
  <c r="R82" i="48" s="1"/>
  <c r="N82" i="43" s="1"/>
  <c r="U82" i="43" s="1"/>
  <c r="S275" i="48"/>
  <c r="S150" i="48"/>
  <c r="S227" i="48"/>
  <c r="S241" i="48"/>
  <c r="S249" i="48"/>
  <c r="S257" i="48"/>
  <c r="S265" i="48"/>
  <c r="S273" i="48"/>
  <c r="P29" i="48"/>
  <c r="G29" i="43" s="1"/>
  <c r="R37" i="48"/>
  <c r="R77" i="48"/>
  <c r="N77" i="43" s="1"/>
  <c r="U77" i="43" s="1"/>
  <c r="R101" i="48"/>
  <c r="Q208" i="48"/>
  <c r="R208" i="48" s="1"/>
  <c r="S118" i="48"/>
  <c r="S86" i="48"/>
  <c r="S5" i="48"/>
  <c r="S29" i="48"/>
  <c r="S93" i="48"/>
  <c r="S173" i="48"/>
  <c r="S285" i="48"/>
  <c r="S306" i="48"/>
  <c r="S259" i="48"/>
  <c r="S195" i="48"/>
  <c r="S281" i="48"/>
  <c r="S289" i="48"/>
  <c r="S299" i="48"/>
  <c r="S196" i="48"/>
  <c r="S102" i="48"/>
  <c r="S38" i="48"/>
  <c r="S7" i="48"/>
  <c r="S132" i="48"/>
  <c r="S260" i="48"/>
  <c r="S185" i="48"/>
  <c r="S193" i="48"/>
  <c r="S205" i="48"/>
  <c r="S114" i="48"/>
  <c r="S304" i="48"/>
  <c r="S21" i="48"/>
  <c r="S69" i="48"/>
  <c r="S149" i="48"/>
  <c r="S161" i="48"/>
  <c r="S221" i="48"/>
  <c r="S229" i="48"/>
  <c r="S219" i="48"/>
  <c r="S157" i="48"/>
  <c r="S217" i="48"/>
  <c r="S225" i="48"/>
  <c r="S233" i="48"/>
  <c r="S245" i="48"/>
  <c r="S253" i="48"/>
  <c r="S261" i="48"/>
  <c r="S305" i="48"/>
  <c r="S166" i="48"/>
  <c r="S139" i="48"/>
  <c r="S199" i="48"/>
  <c r="S84" i="48"/>
  <c r="S100" i="48"/>
  <c r="S165" i="48"/>
  <c r="S214" i="48"/>
  <c r="S234" i="48"/>
  <c r="S262" i="48"/>
  <c r="S302" i="48"/>
  <c r="S103" i="48"/>
  <c r="S293" i="48"/>
  <c r="S154" i="48"/>
  <c r="S198" i="48"/>
  <c r="S310" i="48"/>
  <c r="S194" i="48"/>
  <c r="S187" i="48"/>
  <c r="S63" i="48"/>
  <c r="S167" i="48"/>
  <c r="S164" i="48"/>
  <c r="S292" i="48"/>
  <c r="S308" i="48"/>
  <c r="S202" i="48"/>
  <c r="S314" i="48"/>
  <c r="S235" i="48"/>
  <c r="S171" i="48"/>
  <c r="S50" i="48"/>
  <c r="S23" i="48"/>
  <c r="S35" i="48"/>
  <c r="S147" i="48"/>
  <c r="S32" i="48"/>
  <c r="S295" i="48"/>
  <c r="S81" i="48"/>
  <c r="S9" i="48"/>
  <c r="S36" i="48"/>
  <c r="S68" i="48"/>
  <c r="S116" i="48"/>
  <c r="S148" i="48"/>
  <c r="S178" i="48"/>
  <c r="S307" i="48"/>
  <c r="S243" i="48"/>
  <c r="S179" i="48"/>
  <c r="S61" i="48"/>
  <c r="S125" i="48"/>
  <c r="S141" i="48"/>
  <c r="S177" i="48"/>
  <c r="S189" i="48"/>
  <c r="S209" i="48"/>
  <c r="S269" i="48"/>
  <c r="S26" i="48"/>
  <c r="S294" i="48"/>
  <c r="S15" i="48"/>
  <c r="S51" i="48"/>
  <c r="S95" i="48"/>
  <c r="S131" i="48"/>
  <c r="S223" i="48"/>
  <c r="S263" i="48"/>
  <c r="S212" i="48"/>
  <c r="S170" i="48"/>
  <c r="S312" i="48"/>
  <c r="S24" i="48"/>
  <c r="S300" i="48"/>
  <c r="S54" i="48"/>
  <c r="S22" i="48"/>
  <c r="S230" i="48"/>
  <c r="S282" i="48"/>
  <c r="S162" i="48"/>
  <c r="S290" i="48"/>
  <c r="S267" i="48"/>
  <c r="S203" i="48"/>
  <c r="S146" i="48"/>
  <c r="S82" i="48"/>
  <c r="S39" i="48"/>
  <c r="S87" i="48"/>
  <c r="S119" i="48"/>
  <c r="S191" i="48"/>
  <c r="S231" i="48"/>
  <c r="S276" i="48"/>
  <c r="S255" i="48"/>
  <c r="S169" i="48"/>
  <c r="S97" i="48"/>
  <c r="S33" i="48"/>
  <c r="S16" i="48"/>
  <c r="S52" i="48"/>
  <c r="S228" i="48"/>
  <c r="S311" i="48"/>
  <c r="S266" i="48"/>
  <c r="S31" i="48"/>
  <c r="S71" i="48"/>
  <c r="S111" i="48"/>
  <c r="S159" i="48"/>
  <c r="S287" i="48"/>
  <c r="S274" i="48"/>
  <c r="S6" i="48"/>
  <c r="S14" i="48"/>
  <c r="S34" i="48"/>
  <c r="S74" i="48"/>
  <c r="S122" i="48"/>
  <c r="S226" i="48"/>
  <c r="S244" i="48"/>
  <c r="S213" i="48"/>
  <c r="S237" i="48"/>
  <c r="S277" i="48"/>
  <c r="S301" i="48"/>
  <c r="S309" i="48"/>
  <c r="S58" i="48"/>
  <c r="S106" i="48"/>
  <c r="S258" i="48"/>
  <c r="S27" i="48"/>
  <c r="S43" i="48"/>
  <c r="S55" i="48"/>
  <c r="S67" i="48"/>
  <c r="S79" i="48"/>
  <c r="S91" i="48"/>
  <c r="S99" i="48"/>
  <c r="S107" i="48"/>
  <c r="S115" i="48"/>
  <c r="S127" i="48"/>
  <c r="S135" i="48"/>
  <c r="S143" i="48"/>
  <c r="S151" i="48"/>
  <c r="S183" i="48"/>
  <c r="S215" i="48"/>
  <c r="S247" i="48"/>
  <c r="S279" i="48"/>
  <c r="S180" i="48"/>
  <c r="S8" i="48"/>
  <c r="S42" i="48"/>
  <c r="S186" i="48"/>
  <c r="S218" i="48"/>
  <c r="S250" i="48"/>
  <c r="S298" i="48"/>
  <c r="S155" i="48"/>
  <c r="S175" i="48"/>
  <c r="S207" i="48"/>
  <c r="S239" i="48"/>
  <c r="S251" i="48"/>
  <c r="S271" i="48"/>
  <c r="S283" i="48"/>
  <c r="S303" i="48"/>
  <c r="S13" i="48"/>
  <c r="S25" i="48"/>
  <c r="S53" i="48"/>
  <c r="S85" i="48"/>
  <c r="S109" i="48"/>
  <c r="S117" i="48"/>
  <c r="S133" i="48"/>
  <c r="S4" i="48"/>
  <c r="S140" i="20"/>
  <c r="D140" i="20"/>
  <c r="D314" i="49"/>
  <c r="C314" i="49"/>
  <c r="E314" i="49" s="1"/>
  <c r="D313" i="49"/>
  <c r="C313" i="49"/>
  <c r="F313" i="49" s="1"/>
  <c r="D312" i="49"/>
  <c r="C312" i="49"/>
  <c r="D311" i="49"/>
  <c r="C311" i="49"/>
  <c r="F311" i="49" s="1"/>
  <c r="D310" i="49"/>
  <c r="C310" i="49"/>
  <c r="F310" i="49" s="1"/>
  <c r="D309" i="49"/>
  <c r="C309" i="49"/>
  <c r="D308" i="49"/>
  <c r="C308" i="49"/>
  <c r="E308" i="49" s="1"/>
  <c r="J308" i="49" s="1"/>
  <c r="D307" i="49"/>
  <c r="C307" i="49"/>
  <c r="F307" i="49" s="1"/>
  <c r="D306" i="49"/>
  <c r="C306" i="49"/>
  <c r="F306" i="49" s="1"/>
  <c r="D305" i="49"/>
  <c r="C305" i="49"/>
  <c r="F305" i="49" s="1"/>
  <c r="D304" i="49"/>
  <c r="C304" i="49"/>
  <c r="D303" i="49"/>
  <c r="C303" i="49"/>
  <c r="E303" i="49" s="1"/>
  <c r="D302" i="49"/>
  <c r="C302" i="49"/>
  <c r="F302" i="49" s="1"/>
  <c r="D301" i="49"/>
  <c r="C301" i="49"/>
  <c r="F301" i="49" s="1"/>
  <c r="D300" i="49"/>
  <c r="C300" i="49"/>
  <c r="D299" i="49"/>
  <c r="C299" i="49"/>
  <c r="F299" i="49" s="1"/>
  <c r="D298" i="49"/>
  <c r="C298" i="49"/>
  <c r="E298" i="49" s="1"/>
  <c r="J298" i="49" s="1"/>
  <c r="D297" i="49"/>
  <c r="C297" i="49"/>
  <c r="F297" i="49" s="1"/>
  <c r="D296" i="49"/>
  <c r="C296" i="49"/>
  <c r="D295" i="49"/>
  <c r="C295" i="49"/>
  <c r="F295" i="49" s="1"/>
  <c r="D294" i="49"/>
  <c r="C294" i="49"/>
  <c r="F294" i="49" s="1"/>
  <c r="D293" i="49"/>
  <c r="C293" i="49"/>
  <c r="D292" i="49"/>
  <c r="C292" i="49"/>
  <c r="E292" i="49" s="1"/>
  <c r="J292" i="49" s="1"/>
  <c r="D291" i="49"/>
  <c r="C291" i="49"/>
  <c r="F291" i="49" s="1"/>
  <c r="D290" i="49"/>
  <c r="C290" i="49"/>
  <c r="F290" i="49" s="1"/>
  <c r="D289" i="49"/>
  <c r="C289" i="49"/>
  <c r="D288" i="49"/>
  <c r="C288" i="49"/>
  <c r="D287" i="49"/>
  <c r="C287" i="49"/>
  <c r="D286" i="49"/>
  <c r="C286" i="49"/>
  <c r="F286" i="49" s="1"/>
  <c r="D285" i="49"/>
  <c r="C285" i="49"/>
  <c r="D284" i="49"/>
  <c r="C284" i="49"/>
  <c r="D283" i="49"/>
  <c r="C283" i="49"/>
  <c r="D282" i="49"/>
  <c r="C282" i="49"/>
  <c r="E282" i="49" s="1"/>
  <c r="J282" i="49" s="1"/>
  <c r="D281" i="49"/>
  <c r="C281" i="49"/>
  <c r="D280" i="49"/>
  <c r="C280" i="49"/>
  <c r="D279" i="49"/>
  <c r="C279" i="49"/>
  <c r="D278" i="49"/>
  <c r="C278" i="49"/>
  <c r="F278" i="49" s="1"/>
  <c r="D277" i="49"/>
  <c r="C277" i="49"/>
  <c r="D276" i="49"/>
  <c r="C276" i="49"/>
  <c r="E276" i="49" s="1"/>
  <c r="J276" i="49" s="1"/>
  <c r="D275" i="49"/>
  <c r="C275" i="49"/>
  <c r="D274" i="49"/>
  <c r="C274" i="49"/>
  <c r="F274" i="49" s="1"/>
  <c r="D273" i="49"/>
  <c r="C273" i="49"/>
  <c r="D272" i="49"/>
  <c r="C272" i="49"/>
  <c r="D271" i="49"/>
  <c r="C271" i="49"/>
  <c r="D270" i="49"/>
  <c r="C270" i="49"/>
  <c r="F270" i="49" s="1"/>
  <c r="D269" i="49"/>
  <c r="C269" i="49"/>
  <c r="D268" i="49"/>
  <c r="C268" i="49"/>
  <c r="D267" i="49"/>
  <c r="C267" i="49"/>
  <c r="D266" i="49"/>
  <c r="C266" i="49"/>
  <c r="E266" i="49" s="1"/>
  <c r="J266" i="49" s="1"/>
  <c r="D265" i="49"/>
  <c r="C265" i="49"/>
  <c r="D264" i="49"/>
  <c r="C264" i="49"/>
  <c r="D263" i="49"/>
  <c r="C263" i="49"/>
  <c r="D262" i="49"/>
  <c r="C262" i="49"/>
  <c r="F262" i="49" s="1"/>
  <c r="D261" i="49"/>
  <c r="C261" i="49"/>
  <c r="D260" i="49"/>
  <c r="C260" i="49"/>
  <c r="E260" i="49" s="1"/>
  <c r="J260" i="49" s="1"/>
  <c r="D259" i="49"/>
  <c r="C259" i="49"/>
  <c r="D258" i="49"/>
  <c r="C258" i="49"/>
  <c r="F258" i="49" s="1"/>
  <c r="D257" i="49"/>
  <c r="C257" i="49"/>
  <c r="D256" i="49"/>
  <c r="C256" i="49"/>
  <c r="D255" i="49"/>
  <c r="C255" i="49"/>
  <c r="D254" i="49"/>
  <c r="C254" i="49"/>
  <c r="F254" i="49" s="1"/>
  <c r="D253" i="49"/>
  <c r="C253" i="49"/>
  <c r="D252" i="49"/>
  <c r="C252" i="49"/>
  <c r="D251" i="49"/>
  <c r="C251" i="49"/>
  <c r="D250" i="49"/>
  <c r="C250" i="49"/>
  <c r="E250" i="49" s="1"/>
  <c r="J250" i="49" s="1"/>
  <c r="D249" i="49"/>
  <c r="C249" i="49"/>
  <c r="D248" i="49"/>
  <c r="C248" i="49"/>
  <c r="D247" i="49"/>
  <c r="C247" i="49"/>
  <c r="D246" i="49"/>
  <c r="C246" i="49"/>
  <c r="F246" i="49" s="1"/>
  <c r="D245" i="49"/>
  <c r="C245" i="49"/>
  <c r="D244" i="49"/>
  <c r="C244" i="49"/>
  <c r="E244" i="49" s="1"/>
  <c r="J244" i="49" s="1"/>
  <c r="D243" i="49"/>
  <c r="C243" i="49"/>
  <c r="D242" i="49"/>
  <c r="C242" i="49"/>
  <c r="F242" i="49" s="1"/>
  <c r="D241" i="49"/>
  <c r="C241" i="49"/>
  <c r="D240" i="49"/>
  <c r="C240" i="49"/>
  <c r="D239" i="49"/>
  <c r="C239" i="49"/>
  <c r="D238" i="49"/>
  <c r="C238" i="49"/>
  <c r="F238" i="49" s="1"/>
  <c r="D237" i="49"/>
  <c r="C237" i="49"/>
  <c r="D236" i="49"/>
  <c r="C236" i="49"/>
  <c r="D235" i="49"/>
  <c r="C235" i="49"/>
  <c r="D234" i="49"/>
  <c r="C234" i="49"/>
  <c r="E234" i="49" s="1"/>
  <c r="J234" i="49" s="1"/>
  <c r="D233" i="49"/>
  <c r="C233" i="49"/>
  <c r="D232" i="49"/>
  <c r="C232" i="49"/>
  <c r="D231" i="49"/>
  <c r="C231" i="49"/>
  <c r="D230" i="49"/>
  <c r="C230" i="49"/>
  <c r="F230" i="49" s="1"/>
  <c r="D229" i="49"/>
  <c r="C229" i="49"/>
  <c r="D228" i="49"/>
  <c r="C228" i="49"/>
  <c r="E228" i="49" s="1"/>
  <c r="J228" i="49" s="1"/>
  <c r="D227" i="49"/>
  <c r="C227" i="49"/>
  <c r="D226" i="49"/>
  <c r="C226" i="49"/>
  <c r="F226" i="49" s="1"/>
  <c r="D225" i="49"/>
  <c r="C225" i="49"/>
  <c r="D224" i="49"/>
  <c r="C224" i="49"/>
  <c r="D223" i="49"/>
  <c r="C223" i="49"/>
  <c r="D222" i="49"/>
  <c r="C222" i="49"/>
  <c r="F222" i="49" s="1"/>
  <c r="D221" i="49"/>
  <c r="C221" i="49"/>
  <c r="D220" i="49"/>
  <c r="C220" i="49"/>
  <c r="D219" i="49"/>
  <c r="C219" i="49"/>
  <c r="D218" i="49"/>
  <c r="C218" i="49"/>
  <c r="E218" i="49" s="1"/>
  <c r="J218" i="49" s="1"/>
  <c r="D217" i="49"/>
  <c r="C217" i="49"/>
  <c r="D216" i="49"/>
  <c r="C216" i="49"/>
  <c r="D215" i="49"/>
  <c r="C215" i="49"/>
  <c r="D214" i="49"/>
  <c r="C214" i="49"/>
  <c r="D213" i="49"/>
  <c r="C213" i="49"/>
  <c r="D212" i="49"/>
  <c r="C212" i="49"/>
  <c r="D211" i="49"/>
  <c r="C211" i="49"/>
  <c r="D210" i="49"/>
  <c r="C210" i="49"/>
  <c r="D209" i="49"/>
  <c r="C209" i="49"/>
  <c r="D208" i="49"/>
  <c r="C208" i="49"/>
  <c r="D207" i="49"/>
  <c r="C207" i="49"/>
  <c r="D206" i="49"/>
  <c r="C206" i="49"/>
  <c r="D205" i="49"/>
  <c r="C205" i="49"/>
  <c r="D204" i="49"/>
  <c r="C204" i="49"/>
  <c r="D203" i="49"/>
  <c r="C203" i="49"/>
  <c r="D202" i="49"/>
  <c r="C202" i="49"/>
  <c r="D201" i="49"/>
  <c r="C201" i="49"/>
  <c r="D200" i="49"/>
  <c r="C200" i="49"/>
  <c r="D199" i="49"/>
  <c r="C199" i="49"/>
  <c r="D198" i="49"/>
  <c r="C198" i="49"/>
  <c r="D197" i="49"/>
  <c r="C197" i="49"/>
  <c r="D196" i="49"/>
  <c r="C196" i="49"/>
  <c r="D195" i="49"/>
  <c r="C195" i="49"/>
  <c r="D194" i="49"/>
  <c r="C194" i="49"/>
  <c r="D193" i="49"/>
  <c r="C193" i="49"/>
  <c r="D192" i="49"/>
  <c r="C192" i="49"/>
  <c r="D191" i="49"/>
  <c r="C191" i="49"/>
  <c r="D190" i="49"/>
  <c r="C190" i="49"/>
  <c r="D189" i="49"/>
  <c r="C189" i="49"/>
  <c r="D188" i="49"/>
  <c r="C188" i="49"/>
  <c r="D187" i="49"/>
  <c r="C187" i="49"/>
  <c r="D186" i="49"/>
  <c r="C186" i="49"/>
  <c r="D185" i="49"/>
  <c r="C185" i="49"/>
  <c r="D184" i="49"/>
  <c r="C184" i="49"/>
  <c r="D183" i="49"/>
  <c r="C183" i="49"/>
  <c r="D182" i="49"/>
  <c r="C182" i="49"/>
  <c r="D181" i="49"/>
  <c r="C181" i="49"/>
  <c r="D180" i="49"/>
  <c r="C180" i="49"/>
  <c r="D179" i="49"/>
  <c r="C179" i="49"/>
  <c r="D178" i="49"/>
  <c r="C178" i="49"/>
  <c r="D177" i="49"/>
  <c r="C177" i="49"/>
  <c r="D176" i="49"/>
  <c r="C176" i="49"/>
  <c r="D175" i="49"/>
  <c r="C175" i="49"/>
  <c r="D174" i="49"/>
  <c r="C174" i="49"/>
  <c r="D173" i="49"/>
  <c r="C173" i="49"/>
  <c r="D172" i="49"/>
  <c r="C172" i="49"/>
  <c r="D171" i="49"/>
  <c r="C171" i="49"/>
  <c r="D170" i="49"/>
  <c r="C170" i="49"/>
  <c r="D169" i="49"/>
  <c r="C169" i="49"/>
  <c r="D168" i="49"/>
  <c r="C168" i="49"/>
  <c r="D167" i="49"/>
  <c r="C167" i="49"/>
  <c r="D166" i="49"/>
  <c r="C166" i="49"/>
  <c r="D165" i="49"/>
  <c r="C165" i="49"/>
  <c r="D164" i="49"/>
  <c r="C164" i="49"/>
  <c r="D163" i="49"/>
  <c r="C163" i="49"/>
  <c r="D162" i="49"/>
  <c r="C162" i="49"/>
  <c r="D161" i="49"/>
  <c r="C161" i="49"/>
  <c r="D160" i="49"/>
  <c r="C160" i="49"/>
  <c r="D159" i="49"/>
  <c r="C159" i="49"/>
  <c r="D158" i="49"/>
  <c r="C158" i="49"/>
  <c r="D157" i="49"/>
  <c r="C157" i="49"/>
  <c r="D156" i="49"/>
  <c r="C156" i="49"/>
  <c r="D155" i="49"/>
  <c r="C155" i="49"/>
  <c r="D154" i="49"/>
  <c r="C154" i="49"/>
  <c r="D153" i="49"/>
  <c r="C153" i="49"/>
  <c r="D152" i="49"/>
  <c r="C152" i="49"/>
  <c r="D151" i="49"/>
  <c r="C151" i="49"/>
  <c r="D150" i="49"/>
  <c r="C150" i="49"/>
  <c r="D149" i="49"/>
  <c r="C149" i="49"/>
  <c r="D148" i="49"/>
  <c r="C148" i="49"/>
  <c r="D147" i="49"/>
  <c r="C147" i="49"/>
  <c r="D146" i="49"/>
  <c r="C146" i="49"/>
  <c r="D145" i="49"/>
  <c r="C145" i="49"/>
  <c r="D144" i="49"/>
  <c r="C144" i="49"/>
  <c r="D143" i="49"/>
  <c r="C143" i="49"/>
  <c r="D142" i="49"/>
  <c r="C142" i="49"/>
  <c r="D141" i="49"/>
  <c r="C141" i="49"/>
  <c r="D140" i="49"/>
  <c r="C140" i="49"/>
  <c r="D139" i="49"/>
  <c r="C139" i="49"/>
  <c r="D138" i="49"/>
  <c r="C138" i="49"/>
  <c r="D137" i="49"/>
  <c r="C137" i="49"/>
  <c r="D136" i="49"/>
  <c r="C136" i="49"/>
  <c r="D135" i="49"/>
  <c r="C135" i="49"/>
  <c r="D134" i="49"/>
  <c r="C134" i="49"/>
  <c r="D133" i="49"/>
  <c r="C133" i="49"/>
  <c r="D132" i="49"/>
  <c r="C132" i="49"/>
  <c r="D131" i="49"/>
  <c r="C131" i="49"/>
  <c r="D130" i="49"/>
  <c r="C130" i="49"/>
  <c r="D129" i="49"/>
  <c r="C129" i="49"/>
  <c r="D128" i="49"/>
  <c r="C128" i="49"/>
  <c r="D127" i="49"/>
  <c r="C127" i="49"/>
  <c r="D126" i="49"/>
  <c r="C126" i="49"/>
  <c r="D125" i="49"/>
  <c r="C125" i="49"/>
  <c r="D124" i="49"/>
  <c r="C124" i="49"/>
  <c r="D123" i="49"/>
  <c r="C123" i="49"/>
  <c r="D122" i="49"/>
  <c r="C122" i="49"/>
  <c r="D121" i="49"/>
  <c r="C121" i="49"/>
  <c r="D120" i="49"/>
  <c r="C120" i="49"/>
  <c r="D119" i="49"/>
  <c r="C119" i="49"/>
  <c r="D118" i="49"/>
  <c r="C118" i="49"/>
  <c r="D117" i="49"/>
  <c r="C117" i="49"/>
  <c r="D116" i="49"/>
  <c r="C116" i="49"/>
  <c r="D115" i="49"/>
  <c r="C115" i="49"/>
  <c r="D114" i="49"/>
  <c r="C114" i="49"/>
  <c r="D113" i="49"/>
  <c r="C113" i="49"/>
  <c r="D112" i="49"/>
  <c r="C112" i="49"/>
  <c r="D111" i="49"/>
  <c r="C111" i="49"/>
  <c r="D110" i="49"/>
  <c r="C110" i="49"/>
  <c r="D109" i="49"/>
  <c r="C109" i="49"/>
  <c r="D108" i="49"/>
  <c r="C108" i="49"/>
  <c r="D107" i="49"/>
  <c r="C107" i="49"/>
  <c r="D106" i="49"/>
  <c r="C106" i="49"/>
  <c r="D105" i="49"/>
  <c r="C105" i="49"/>
  <c r="D104" i="49"/>
  <c r="C104" i="49"/>
  <c r="D103" i="49"/>
  <c r="C103" i="49"/>
  <c r="D102" i="49"/>
  <c r="C102" i="49"/>
  <c r="D101" i="49"/>
  <c r="C101" i="49"/>
  <c r="D100" i="49"/>
  <c r="C100" i="49"/>
  <c r="D99" i="49"/>
  <c r="C99" i="49"/>
  <c r="D98" i="49"/>
  <c r="C98" i="49"/>
  <c r="D97" i="49"/>
  <c r="C97" i="49"/>
  <c r="D96" i="49"/>
  <c r="C96" i="49"/>
  <c r="D95" i="49"/>
  <c r="C95" i="49"/>
  <c r="D94" i="49"/>
  <c r="C94" i="49"/>
  <c r="D93" i="49"/>
  <c r="C93" i="49"/>
  <c r="D92" i="49"/>
  <c r="C92" i="49"/>
  <c r="D91" i="49"/>
  <c r="C91" i="49"/>
  <c r="D90" i="49"/>
  <c r="C90" i="49"/>
  <c r="D89" i="49"/>
  <c r="C89" i="49"/>
  <c r="D88" i="49"/>
  <c r="C88" i="49"/>
  <c r="D87" i="49"/>
  <c r="C87" i="49"/>
  <c r="D86" i="49"/>
  <c r="C86" i="49"/>
  <c r="D85" i="49"/>
  <c r="C85" i="49"/>
  <c r="D84" i="49"/>
  <c r="C84" i="49"/>
  <c r="D83" i="49"/>
  <c r="C83" i="49"/>
  <c r="D82" i="49"/>
  <c r="C82" i="49"/>
  <c r="D81" i="49"/>
  <c r="C81" i="49"/>
  <c r="D80" i="49"/>
  <c r="C80" i="49"/>
  <c r="D79" i="49"/>
  <c r="C79" i="49"/>
  <c r="D78" i="49"/>
  <c r="C78" i="49"/>
  <c r="D77" i="49"/>
  <c r="C77" i="49"/>
  <c r="D76" i="49"/>
  <c r="C76" i="49"/>
  <c r="D75" i="49"/>
  <c r="C75" i="49"/>
  <c r="D74" i="49"/>
  <c r="C74" i="49"/>
  <c r="D73" i="49"/>
  <c r="C73" i="49"/>
  <c r="D72" i="49"/>
  <c r="C72" i="49"/>
  <c r="D71" i="49"/>
  <c r="C71" i="49"/>
  <c r="D70" i="49"/>
  <c r="C70" i="49"/>
  <c r="D69" i="49"/>
  <c r="C69" i="49"/>
  <c r="D68" i="49"/>
  <c r="C68" i="49"/>
  <c r="D67" i="49"/>
  <c r="C67" i="49"/>
  <c r="D66" i="49"/>
  <c r="C66" i="49"/>
  <c r="D65" i="49"/>
  <c r="C65" i="49"/>
  <c r="D64" i="49"/>
  <c r="C64" i="49"/>
  <c r="D63" i="49"/>
  <c r="C63" i="49"/>
  <c r="D62" i="49"/>
  <c r="C62" i="49"/>
  <c r="D61" i="49"/>
  <c r="C61" i="49"/>
  <c r="D60" i="49"/>
  <c r="C60" i="49"/>
  <c r="D59" i="49"/>
  <c r="C59" i="49"/>
  <c r="D58" i="49"/>
  <c r="C58" i="49"/>
  <c r="D57" i="49"/>
  <c r="C57" i="49"/>
  <c r="D56" i="49"/>
  <c r="C56" i="49"/>
  <c r="D55" i="49"/>
  <c r="C55" i="49"/>
  <c r="D54" i="49"/>
  <c r="C54" i="49"/>
  <c r="D53" i="49"/>
  <c r="C53" i="49"/>
  <c r="D52" i="49"/>
  <c r="C52" i="49"/>
  <c r="D51" i="49"/>
  <c r="C51" i="49"/>
  <c r="D50" i="49"/>
  <c r="C50" i="49"/>
  <c r="D49" i="49"/>
  <c r="C49" i="49"/>
  <c r="D48" i="49"/>
  <c r="C48" i="49"/>
  <c r="D47" i="49"/>
  <c r="C47" i="49"/>
  <c r="D46" i="49"/>
  <c r="C46" i="49"/>
  <c r="D45" i="49"/>
  <c r="C45" i="49"/>
  <c r="D44" i="49"/>
  <c r="C44" i="49"/>
  <c r="D43" i="49"/>
  <c r="C43" i="49"/>
  <c r="D42" i="49"/>
  <c r="C42" i="49"/>
  <c r="D41" i="49"/>
  <c r="C41" i="49"/>
  <c r="D40" i="49"/>
  <c r="C40" i="49"/>
  <c r="D39" i="49"/>
  <c r="C39" i="49"/>
  <c r="D38" i="49"/>
  <c r="C38" i="49"/>
  <c r="D37" i="49"/>
  <c r="C37" i="49"/>
  <c r="D36" i="49"/>
  <c r="C36" i="49"/>
  <c r="D35" i="49"/>
  <c r="C35" i="49"/>
  <c r="D34" i="49"/>
  <c r="C34" i="49"/>
  <c r="D33" i="49"/>
  <c r="C33" i="49"/>
  <c r="D32" i="49"/>
  <c r="C32" i="49"/>
  <c r="D31" i="49"/>
  <c r="C31" i="49"/>
  <c r="D30" i="49"/>
  <c r="C30" i="49"/>
  <c r="D29" i="49"/>
  <c r="C29" i="49"/>
  <c r="D28" i="49"/>
  <c r="C28" i="49"/>
  <c r="D27" i="49"/>
  <c r="C27" i="49"/>
  <c r="D26" i="49"/>
  <c r="C26" i="49"/>
  <c r="D25" i="49"/>
  <c r="C25" i="49"/>
  <c r="D24" i="49"/>
  <c r="C24" i="49"/>
  <c r="D23" i="49"/>
  <c r="C23" i="49"/>
  <c r="D22" i="49"/>
  <c r="C22" i="49"/>
  <c r="D21" i="49"/>
  <c r="C21" i="49"/>
  <c r="D20" i="49"/>
  <c r="C20" i="49"/>
  <c r="D19" i="49"/>
  <c r="C19" i="49"/>
  <c r="D18" i="49"/>
  <c r="C18" i="49"/>
  <c r="D17" i="49"/>
  <c r="C17" i="49"/>
  <c r="D16" i="49"/>
  <c r="C16" i="49"/>
  <c r="D15" i="49"/>
  <c r="C15" i="49"/>
  <c r="D14" i="49"/>
  <c r="C14" i="49"/>
  <c r="D13" i="49"/>
  <c r="C13" i="49"/>
  <c r="D12" i="49"/>
  <c r="C12" i="49"/>
  <c r="D11" i="49"/>
  <c r="C11" i="49"/>
  <c r="D10" i="49"/>
  <c r="C10" i="49"/>
  <c r="D9" i="49"/>
  <c r="C9" i="49"/>
  <c r="D8" i="49"/>
  <c r="C8" i="49"/>
  <c r="D7" i="49"/>
  <c r="C7" i="49"/>
  <c r="D6" i="49"/>
  <c r="C6" i="49"/>
  <c r="D5" i="49"/>
  <c r="C5" i="49"/>
  <c r="C4" i="49"/>
  <c r="D4" i="49"/>
  <c r="S77" i="48" l="1"/>
  <c r="S208" i="48"/>
  <c r="N208" i="43"/>
  <c r="U208" i="43" s="1"/>
  <c r="U29" i="43"/>
  <c r="S37" i="48"/>
  <c r="N37" i="43"/>
  <c r="U37" i="43" s="1"/>
  <c r="S101" i="48"/>
  <c r="N101" i="43"/>
  <c r="U101" i="43" s="1"/>
  <c r="S45" i="48"/>
  <c r="G310" i="49"/>
  <c r="E310" i="49"/>
  <c r="X308" i="49"/>
  <c r="Y308" i="49"/>
  <c r="U308" i="49"/>
  <c r="Q308" i="49"/>
  <c r="M308" i="49"/>
  <c r="E274" i="49"/>
  <c r="J274" i="49" s="1"/>
  <c r="E302" i="49"/>
  <c r="J302" i="49" s="1"/>
  <c r="Y302" i="49" s="1"/>
  <c r="F282" i="49"/>
  <c r="G282" i="49" s="1"/>
  <c r="G302" i="49"/>
  <c r="H302" i="49" s="1"/>
  <c r="E278" i="49"/>
  <c r="J278" i="49" s="1"/>
  <c r="E306" i="49"/>
  <c r="G306" i="49" s="1"/>
  <c r="F298" i="49"/>
  <c r="G298" i="49" s="1"/>
  <c r="E258" i="49"/>
  <c r="J258" i="49" s="1"/>
  <c r="E286" i="49"/>
  <c r="J286" i="49" s="1"/>
  <c r="F308" i="49"/>
  <c r="G308" i="49" s="1"/>
  <c r="H308" i="49" s="1"/>
  <c r="E270" i="49"/>
  <c r="J270" i="49" s="1"/>
  <c r="E294" i="49"/>
  <c r="J294" i="49" s="1"/>
  <c r="F276" i="49"/>
  <c r="G276" i="49" s="1"/>
  <c r="H276" i="49" s="1"/>
  <c r="N308" i="49"/>
  <c r="R308" i="49"/>
  <c r="V308" i="49"/>
  <c r="K308" i="49"/>
  <c r="O308" i="49"/>
  <c r="S308" i="49"/>
  <c r="W308" i="49"/>
  <c r="L308" i="49"/>
  <c r="P308" i="49"/>
  <c r="T308" i="49"/>
  <c r="K302" i="49"/>
  <c r="O302" i="49"/>
  <c r="S302" i="49"/>
  <c r="L302" i="49"/>
  <c r="P302" i="49"/>
  <c r="X302" i="49"/>
  <c r="M302" i="49"/>
  <c r="U302" i="49"/>
  <c r="F7" i="49"/>
  <c r="E7" i="49"/>
  <c r="F13" i="49"/>
  <c r="E13" i="49"/>
  <c r="F19" i="49"/>
  <c r="E19" i="49"/>
  <c r="F25" i="49"/>
  <c r="E25" i="49"/>
  <c r="E31" i="49"/>
  <c r="F31" i="49"/>
  <c r="F35" i="49"/>
  <c r="E35" i="49"/>
  <c r="J35" i="49" s="1"/>
  <c r="F41" i="49"/>
  <c r="E41" i="49"/>
  <c r="F47" i="49"/>
  <c r="E47" i="49"/>
  <c r="F53" i="49"/>
  <c r="E53" i="49"/>
  <c r="F61" i="49"/>
  <c r="E61" i="49"/>
  <c r="F65" i="49"/>
  <c r="E65" i="49"/>
  <c r="F71" i="49"/>
  <c r="E71" i="49"/>
  <c r="E79" i="49"/>
  <c r="F79" i="49"/>
  <c r="F85" i="49"/>
  <c r="E85" i="49"/>
  <c r="F91" i="49"/>
  <c r="G91" i="49" s="1"/>
  <c r="E91" i="49"/>
  <c r="F99" i="49"/>
  <c r="E99" i="49"/>
  <c r="G31" i="49"/>
  <c r="F6" i="49"/>
  <c r="E6" i="49"/>
  <c r="F8" i="49"/>
  <c r="E8" i="49"/>
  <c r="E10" i="49"/>
  <c r="F10" i="49"/>
  <c r="F12" i="49"/>
  <c r="E12" i="49"/>
  <c r="F14" i="49"/>
  <c r="E14" i="49"/>
  <c r="E16" i="49"/>
  <c r="F16" i="49"/>
  <c r="F18" i="49"/>
  <c r="E18" i="49"/>
  <c r="J18" i="49" s="1"/>
  <c r="F20" i="49"/>
  <c r="E20" i="49"/>
  <c r="E22" i="49"/>
  <c r="J22" i="49" s="1"/>
  <c r="R22" i="49" s="1"/>
  <c r="F22" i="49"/>
  <c r="F24" i="49"/>
  <c r="E24" i="49"/>
  <c r="F26" i="49"/>
  <c r="E26" i="49"/>
  <c r="F28" i="49"/>
  <c r="E28" i="49"/>
  <c r="G28" i="49" s="1"/>
  <c r="F30" i="49"/>
  <c r="E30" i="49"/>
  <c r="G30" i="49" s="1"/>
  <c r="E32" i="49"/>
  <c r="J32" i="49" s="1"/>
  <c r="F32" i="49"/>
  <c r="F34" i="49"/>
  <c r="E34" i="49"/>
  <c r="E36" i="49"/>
  <c r="G36" i="49" s="1"/>
  <c r="F36" i="49"/>
  <c r="E38" i="49"/>
  <c r="F38" i="49"/>
  <c r="F40" i="49"/>
  <c r="E40" i="49"/>
  <c r="F42" i="49"/>
  <c r="E42" i="49"/>
  <c r="F44" i="49"/>
  <c r="E44" i="49"/>
  <c r="F46" i="49"/>
  <c r="E46" i="49"/>
  <c r="F48" i="49"/>
  <c r="E48" i="49"/>
  <c r="F50" i="49"/>
  <c r="E50" i="49"/>
  <c r="E52" i="49"/>
  <c r="F52" i="49"/>
  <c r="E54" i="49"/>
  <c r="F54" i="49"/>
  <c r="F56" i="49"/>
  <c r="E56" i="49"/>
  <c r="E58" i="49"/>
  <c r="F58" i="49"/>
  <c r="F60" i="49"/>
  <c r="E60" i="49"/>
  <c r="F62" i="49"/>
  <c r="E62" i="49"/>
  <c r="E64" i="49"/>
  <c r="F64" i="49"/>
  <c r="F66" i="49"/>
  <c r="E66" i="49"/>
  <c r="F68" i="49"/>
  <c r="E68" i="49"/>
  <c r="F70" i="49"/>
  <c r="E70" i="49"/>
  <c r="F72" i="49"/>
  <c r="E72" i="49"/>
  <c r="E74" i="49"/>
  <c r="F74" i="49"/>
  <c r="F76" i="49"/>
  <c r="E76" i="49"/>
  <c r="F78" i="49"/>
  <c r="E78" i="49"/>
  <c r="E80" i="49"/>
  <c r="F80" i="49"/>
  <c r="F82" i="49"/>
  <c r="E82" i="49"/>
  <c r="F84" i="49"/>
  <c r="E84" i="49"/>
  <c r="E86" i="49"/>
  <c r="F86" i="49"/>
  <c r="F88" i="49"/>
  <c r="E88" i="49"/>
  <c r="F90" i="49"/>
  <c r="E90" i="49"/>
  <c r="F92" i="49"/>
  <c r="E92" i="49"/>
  <c r="J92" i="49" s="1"/>
  <c r="F94" i="49"/>
  <c r="E94" i="49"/>
  <c r="E96" i="49"/>
  <c r="G96" i="49" s="1"/>
  <c r="F96" i="49"/>
  <c r="F98" i="49"/>
  <c r="E98" i="49"/>
  <c r="E100" i="49"/>
  <c r="F100" i="49"/>
  <c r="E102" i="49"/>
  <c r="F102" i="49"/>
  <c r="F104" i="49"/>
  <c r="E104" i="49"/>
  <c r="F106" i="49"/>
  <c r="E106" i="49"/>
  <c r="F108" i="49"/>
  <c r="E108" i="49"/>
  <c r="F110" i="49"/>
  <c r="E110" i="49"/>
  <c r="F112" i="49"/>
  <c r="E112" i="49"/>
  <c r="F114" i="49"/>
  <c r="E114" i="49"/>
  <c r="G114" i="49" s="1"/>
  <c r="E116" i="49"/>
  <c r="F116" i="49"/>
  <c r="E118" i="49"/>
  <c r="F118" i="49"/>
  <c r="E120" i="49"/>
  <c r="F120" i="49"/>
  <c r="E122" i="49"/>
  <c r="F122" i="49"/>
  <c r="E124" i="49"/>
  <c r="J124" i="49" s="1"/>
  <c r="Y124" i="49" s="1"/>
  <c r="F124" i="49"/>
  <c r="F126" i="49"/>
  <c r="E126" i="49"/>
  <c r="J126" i="49" s="1"/>
  <c r="E128" i="49"/>
  <c r="J128" i="49" s="1"/>
  <c r="F128" i="49"/>
  <c r="F130" i="49"/>
  <c r="E130" i="49"/>
  <c r="J130" i="49" s="1"/>
  <c r="E132" i="49"/>
  <c r="J132" i="49" s="1"/>
  <c r="F132" i="49"/>
  <c r="F134" i="49"/>
  <c r="E134" i="49"/>
  <c r="J134" i="49" s="1"/>
  <c r="E136" i="49"/>
  <c r="J136" i="49" s="1"/>
  <c r="F136" i="49"/>
  <c r="E138" i="49"/>
  <c r="J138" i="49" s="1"/>
  <c r="F138" i="49"/>
  <c r="E140" i="49"/>
  <c r="J140" i="49" s="1"/>
  <c r="F140" i="49"/>
  <c r="F142" i="49"/>
  <c r="E142" i="49"/>
  <c r="J142" i="49" s="1"/>
  <c r="E144" i="49"/>
  <c r="J144" i="49" s="1"/>
  <c r="F144" i="49"/>
  <c r="F146" i="49"/>
  <c r="E146" i="49"/>
  <c r="J146" i="49" s="1"/>
  <c r="E148" i="49"/>
  <c r="J148" i="49" s="1"/>
  <c r="F148" i="49"/>
  <c r="F150" i="49"/>
  <c r="E150" i="49"/>
  <c r="J150" i="49" s="1"/>
  <c r="E152" i="49"/>
  <c r="J152" i="49" s="1"/>
  <c r="F152" i="49"/>
  <c r="E154" i="49"/>
  <c r="J154" i="49" s="1"/>
  <c r="F154" i="49"/>
  <c r="E156" i="49"/>
  <c r="J156" i="49" s="1"/>
  <c r="F156" i="49"/>
  <c r="F158" i="49"/>
  <c r="E158" i="49"/>
  <c r="J158" i="49" s="1"/>
  <c r="E160" i="49"/>
  <c r="J160" i="49" s="1"/>
  <c r="F160" i="49"/>
  <c r="F162" i="49"/>
  <c r="E162" i="49"/>
  <c r="J162" i="49" s="1"/>
  <c r="E164" i="49"/>
  <c r="J164" i="49" s="1"/>
  <c r="F164" i="49"/>
  <c r="F166" i="49"/>
  <c r="E166" i="49"/>
  <c r="J166" i="49" s="1"/>
  <c r="V166" i="49" s="1"/>
  <c r="E168" i="49"/>
  <c r="J168" i="49" s="1"/>
  <c r="F168" i="49"/>
  <c r="E170" i="49"/>
  <c r="J170" i="49" s="1"/>
  <c r="F170" i="49"/>
  <c r="E172" i="49"/>
  <c r="J172" i="49" s="1"/>
  <c r="Y172" i="49" s="1"/>
  <c r="F172" i="49"/>
  <c r="F174" i="49"/>
  <c r="E174" i="49"/>
  <c r="J174" i="49" s="1"/>
  <c r="E176" i="49"/>
  <c r="J176" i="49" s="1"/>
  <c r="F176" i="49"/>
  <c r="F178" i="49"/>
  <c r="E178" i="49"/>
  <c r="J178" i="49" s="1"/>
  <c r="E180" i="49"/>
  <c r="J180" i="49" s="1"/>
  <c r="F180" i="49"/>
  <c r="F182" i="49"/>
  <c r="E182" i="49"/>
  <c r="J182" i="49" s="1"/>
  <c r="E184" i="49"/>
  <c r="J184" i="49" s="1"/>
  <c r="F184" i="49"/>
  <c r="E186" i="49"/>
  <c r="J186" i="49" s="1"/>
  <c r="F186" i="49"/>
  <c r="E188" i="49"/>
  <c r="J188" i="49" s="1"/>
  <c r="F188" i="49"/>
  <c r="F190" i="49"/>
  <c r="E190" i="49"/>
  <c r="J190" i="49" s="1"/>
  <c r="E192" i="49"/>
  <c r="J192" i="49" s="1"/>
  <c r="F192" i="49"/>
  <c r="F194" i="49"/>
  <c r="E194" i="49"/>
  <c r="J194" i="49" s="1"/>
  <c r="E196" i="49"/>
  <c r="J196" i="49" s="1"/>
  <c r="F196" i="49"/>
  <c r="F198" i="49"/>
  <c r="E198" i="49"/>
  <c r="J198" i="49" s="1"/>
  <c r="Y198" i="49" s="1"/>
  <c r="E200" i="49"/>
  <c r="J200" i="49" s="1"/>
  <c r="F200" i="49"/>
  <c r="E202" i="49"/>
  <c r="J202" i="49" s="1"/>
  <c r="F202" i="49"/>
  <c r="E204" i="49"/>
  <c r="J204" i="49" s="1"/>
  <c r="F204" i="49"/>
  <c r="F206" i="49"/>
  <c r="E206" i="49"/>
  <c r="J206" i="49" s="1"/>
  <c r="E208" i="49"/>
  <c r="J208" i="49" s="1"/>
  <c r="F208" i="49"/>
  <c r="F210" i="49"/>
  <c r="E210" i="49"/>
  <c r="J210" i="49" s="1"/>
  <c r="E212" i="49"/>
  <c r="J212" i="49" s="1"/>
  <c r="F212" i="49"/>
  <c r="F214" i="49"/>
  <c r="E214" i="49"/>
  <c r="J214" i="49" s="1"/>
  <c r="E216" i="49"/>
  <c r="J216" i="49" s="1"/>
  <c r="F216" i="49"/>
  <c r="F4" i="49"/>
  <c r="E4" i="49"/>
  <c r="G4" i="49" s="1"/>
  <c r="G12" i="49"/>
  <c r="G18" i="49"/>
  <c r="G46" i="49"/>
  <c r="G54" i="49"/>
  <c r="G76" i="49"/>
  <c r="G98" i="49"/>
  <c r="G104" i="49"/>
  <c r="G112" i="49"/>
  <c r="G120" i="49"/>
  <c r="G128" i="49"/>
  <c r="G130" i="49"/>
  <c r="G144" i="49"/>
  <c r="G146" i="49"/>
  <c r="G152" i="49"/>
  <c r="G162" i="49"/>
  <c r="G168" i="49"/>
  <c r="G178" i="49"/>
  <c r="G210" i="49"/>
  <c r="I276" i="49"/>
  <c r="I302" i="49"/>
  <c r="I308" i="49"/>
  <c r="G10" i="49"/>
  <c r="G16" i="49"/>
  <c r="G26" i="49"/>
  <c r="G52" i="49"/>
  <c r="G60" i="49"/>
  <c r="G84" i="49"/>
  <c r="E11" i="49"/>
  <c r="F11" i="49"/>
  <c r="F17" i="49"/>
  <c r="E17" i="49"/>
  <c r="F23" i="49"/>
  <c r="E23" i="49"/>
  <c r="G23" i="49" s="1"/>
  <c r="F29" i="49"/>
  <c r="G29" i="49" s="1"/>
  <c r="E29" i="49"/>
  <c r="F37" i="49"/>
  <c r="E37" i="49"/>
  <c r="G37" i="49" s="1"/>
  <c r="F45" i="49"/>
  <c r="E45" i="49"/>
  <c r="F51" i="49"/>
  <c r="E51" i="49"/>
  <c r="G51" i="49" s="1"/>
  <c r="F57" i="49"/>
  <c r="E57" i="49"/>
  <c r="F63" i="49"/>
  <c r="E63" i="49"/>
  <c r="G63" i="49" s="1"/>
  <c r="F69" i="49"/>
  <c r="E69" i="49"/>
  <c r="E75" i="49"/>
  <c r="F75" i="49"/>
  <c r="F81" i="49"/>
  <c r="E81" i="49"/>
  <c r="F87" i="49"/>
  <c r="E87" i="49"/>
  <c r="G87" i="49" s="1"/>
  <c r="F93" i="49"/>
  <c r="E93" i="49"/>
  <c r="F97" i="49"/>
  <c r="E97" i="49"/>
  <c r="G97" i="49" s="1"/>
  <c r="F101" i="49"/>
  <c r="E101" i="49"/>
  <c r="F103" i="49"/>
  <c r="E103" i="49"/>
  <c r="G103" i="49" s="1"/>
  <c r="F105" i="49"/>
  <c r="E105" i="49"/>
  <c r="E107" i="49"/>
  <c r="F107" i="49"/>
  <c r="F109" i="49"/>
  <c r="G109" i="49" s="1"/>
  <c r="E109" i="49"/>
  <c r="F111" i="49"/>
  <c r="E111" i="49"/>
  <c r="G111" i="49" s="1"/>
  <c r="F113" i="49"/>
  <c r="E113" i="49"/>
  <c r="F115" i="49"/>
  <c r="E115" i="49"/>
  <c r="G115" i="49" s="1"/>
  <c r="F117" i="49"/>
  <c r="E117" i="49"/>
  <c r="F119" i="49"/>
  <c r="E119" i="49"/>
  <c r="G119" i="49" s="1"/>
  <c r="F121" i="49"/>
  <c r="E121" i="49"/>
  <c r="F123" i="49"/>
  <c r="E123" i="49"/>
  <c r="G123" i="49" s="1"/>
  <c r="F125" i="49"/>
  <c r="G125" i="49" s="1"/>
  <c r="E125" i="49"/>
  <c r="J125" i="49" s="1"/>
  <c r="E127" i="49"/>
  <c r="F127" i="49"/>
  <c r="F129" i="49"/>
  <c r="E129" i="49"/>
  <c r="J129" i="49" s="1"/>
  <c r="F131" i="49"/>
  <c r="E131" i="49"/>
  <c r="F133" i="49"/>
  <c r="E133" i="49"/>
  <c r="F135" i="49"/>
  <c r="E135" i="49"/>
  <c r="J135" i="49" s="1"/>
  <c r="F137" i="49"/>
  <c r="G137" i="49" s="1"/>
  <c r="E137" i="49"/>
  <c r="J137" i="49" s="1"/>
  <c r="F139" i="49"/>
  <c r="E139" i="49"/>
  <c r="F141" i="49"/>
  <c r="E141" i="49"/>
  <c r="E143" i="49"/>
  <c r="J143" i="49" s="1"/>
  <c r="F143" i="49"/>
  <c r="G143" i="49" s="1"/>
  <c r="F145" i="49"/>
  <c r="E145" i="49"/>
  <c r="J145" i="49" s="1"/>
  <c r="F147" i="49"/>
  <c r="E147" i="49"/>
  <c r="J147" i="49" s="1"/>
  <c r="F149" i="49"/>
  <c r="E149" i="49"/>
  <c r="F151" i="49"/>
  <c r="E151" i="49"/>
  <c r="F153" i="49"/>
  <c r="G153" i="49" s="1"/>
  <c r="E153" i="49"/>
  <c r="J153" i="49" s="1"/>
  <c r="F155" i="49"/>
  <c r="E155" i="49"/>
  <c r="J155" i="49" s="1"/>
  <c r="F157" i="49"/>
  <c r="E157" i="49"/>
  <c r="E159" i="49"/>
  <c r="J159" i="49" s="1"/>
  <c r="F159" i="49"/>
  <c r="F161" i="49"/>
  <c r="G161" i="49" s="1"/>
  <c r="E161" i="49"/>
  <c r="J161" i="49" s="1"/>
  <c r="F163" i="49"/>
  <c r="E163" i="49"/>
  <c r="J163" i="49" s="1"/>
  <c r="F165" i="49"/>
  <c r="E165" i="49"/>
  <c r="F167" i="49"/>
  <c r="E167" i="49"/>
  <c r="J167" i="49" s="1"/>
  <c r="F169" i="49"/>
  <c r="G169" i="49" s="1"/>
  <c r="E169" i="49"/>
  <c r="J169" i="49" s="1"/>
  <c r="F171" i="49"/>
  <c r="E171" i="49"/>
  <c r="F173" i="49"/>
  <c r="E173" i="49"/>
  <c r="E175" i="49"/>
  <c r="J175" i="49" s="1"/>
  <c r="F175" i="49"/>
  <c r="F177" i="49"/>
  <c r="E177" i="49"/>
  <c r="J177" i="49" s="1"/>
  <c r="F179" i="49"/>
  <c r="E179" i="49"/>
  <c r="J179" i="49" s="1"/>
  <c r="F181" i="49"/>
  <c r="E181" i="49"/>
  <c r="F183" i="49"/>
  <c r="E183" i="49"/>
  <c r="F185" i="49"/>
  <c r="G185" i="49" s="1"/>
  <c r="E185" i="49"/>
  <c r="J185" i="49" s="1"/>
  <c r="F187" i="49"/>
  <c r="E187" i="49"/>
  <c r="J187" i="49" s="1"/>
  <c r="F189" i="49"/>
  <c r="E189" i="49"/>
  <c r="E191" i="49"/>
  <c r="J191" i="49" s="1"/>
  <c r="F191" i="49"/>
  <c r="F193" i="49"/>
  <c r="G193" i="49" s="1"/>
  <c r="E193" i="49"/>
  <c r="J193" i="49" s="1"/>
  <c r="F195" i="49"/>
  <c r="E195" i="49"/>
  <c r="J195" i="49" s="1"/>
  <c r="F197" i="49"/>
  <c r="E197" i="49"/>
  <c r="F199" i="49"/>
  <c r="E199" i="49"/>
  <c r="J199" i="49" s="1"/>
  <c r="F201" i="49"/>
  <c r="E201" i="49"/>
  <c r="J201" i="49" s="1"/>
  <c r="F203" i="49"/>
  <c r="E203" i="49"/>
  <c r="J203" i="49" s="1"/>
  <c r="F205" i="49"/>
  <c r="E205" i="49"/>
  <c r="E207" i="49"/>
  <c r="J207" i="49" s="1"/>
  <c r="F207" i="49"/>
  <c r="G207" i="49" s="1"/>
  <c r="F209" i="49"/>
  <c r="G209" i="49" s="1"/>
  <c r="E209" i="49"/>
  <c r="J209" i="49" s="1"/>
  <c r="F211" i="49"/>
  <c r="E211" i="49"/>
  <c r="J211" i="49" s="1"/>
  <c r="F213" i="49"/>
  <c r="E213" i="49"/>
  <c r="F215" i="49"/>
  <c r="E215" i="49"/>
  <c r="J215" i="49" s="1"/>
  <c r="F217" i="49"/>
  <c r="G217" i="49" s="1"/>
  <c r="E217" i="49"/>
  <c r="J217" i="49" s="1"/>
  <c r="F219" i="49"/>
  <c r="E219" i="49"/>
  <c r="J219" i="49" s="1"/>
  <c r="F221" i="49"/>
  <c r="E221" i="49"/>
  <c r="E223" i="49"/>
  <c r="J223" i="49" s="1"/>
  <c r="F223" i="49"/>
  <c r="F225" i="49"/>
  <c r="E225" i="49"/>
  <c r="J225" i="49" s="1"/>
  <c r="F227" i="49"/>
  <c r="E227" i="49"/>
  <c r="J227" i="49" s="1"/>
  <c r="F229" i="49"/>
  <c r="E229" i="49"/>
  <c r="F231" i="49"/>
  <c r="E231" i="49"/>
  <c r="J231" i="49" s="1"/>
  <c r="F233" i="49"/>
  <c r="E233" i="49"/>
  <c r="J233" i="49" s="1"/>
  <c r="F235" i="49"/>
  <c r="E235" i="49"/>
  <c r="J235" i="49" s="1"/>
  <c r="F237" i="49"/>
  <c r="E237" i="49"/>
  <c r="E239" i="49"/>
  <c r="J239" i="49" s="1"/>
  <c r="F239" i="49"/>
  <c r="G239" i="49" s="1"/>
  <c r="F241" i="49"/>
  <c r="G241" i="49" s="1"/>
  <c r="E241" i="49"/>
  <c r="J241" i="49" s="1"/>
  <c r="F243" i="49"/>
  <c r="E243" i="49"/>
  <c r="J243" i="49" s="1"/>
  <c r="F245" i="49"/>
  <c r="E245" i="49"/>
  <c r="F247" i="49"/>
  <c r="E247" i="49"/>
  <c r="J247" i="49" s="1"/>
  <c r="F249" i="49"/>
  <c r="G249" i="49" s="1"/>
  <c r="E249" i="49"/>
  <c r="J249" i="49" s="1"/>
  <c r="F251" i="49"/>
  <c r="E251" i="49"/>
  <c r="J251" i="49" s="1"/>
  <c r="F253" i="49"/>
  <c r="E253" i="49"/>
  <c r="E255" i="49"/>
  <c r="J255" i="49" s="1"/>
  <c r="F255" i="49"/>
  <c r="F257" i="49"/>
  <c r="E257" i="49"/>
  <c r="J257" i="49" s="1"/>
  <c r="F259" i="49"/>
  <c r="E259" i="49"/>
  <c r="J259" i="49" s="1"/>
  <c r="F261" i="49"/>
  <c r="E261" i="49"/>
  <c r="F263" i="49"/>
  <c r="E263" i="49"/>
  <c r="J263" i="49" s="1"/>
  <c r="F265" i="49"/>
  <c r="E265" i="49"/>
  <c r="F267" i="49"/>
  <c r="E267" i="49"/>
  <c r="J267" i="49" s="1"/>
  <c r="F269" i="49"/>
  <c r="E269" i="49"/>
  <c r="J269" i="49" s="1"/>
  <c r="E271" i="49"/>
  <c r="J271" i="49" s="1"/>
  <c r="F271" i="49"/>
  <c r="F273" i="49"/>
  <c r="E273" i="49"/>
  <c r="F275" i="49"/>
  <c r="E275" i="49"/>
  <c r="J275" i="49" s="1"/>
  <c r="F277" i="49"/>
  <c r="G277" i="49" s="1"/>
  <c r="E277" i="49"/>
  <c r="J277" i="49" s="1"/>
  <c r="F279" i="49"/>
  <c r="E279" i="49"/>
  <c r="J279" i="49" s="1"/>
  <c r="F281" i="49"/>
  <c r="E281" i="49"/>
  <c r="F283" i="49"/>
  <c r="E283" i="49"/>
  <c r="J283" i="49" s="1"/>
  <c r="F285" i="49"/>
  <c r="E285" i="49"/>
  <c r="E287" i="49"/>
  <c r="J287" i="49" s="1"/>
  <c r="F287" i="49"/>
  <c r="G287" i="49" s="1"/>
  <c r="F289" i="49"/>
  <c r="E289" i="49"/>
  <c r="J289" i="49" s="1"/>
  <c r="G8" i="49"/>
  <c r="G20" i="49"/>
  <c r="G22" i="49"/>
  <c r="G34" i="49"/>
  <c r="G42" i="49"/>
  <c r="G50" i="49"/>
  <c r="G56" i="49"/>
  <c r="G64" i="49"/>
  <c r="G72" i="49"/>
  <c r="G78" i="49"/>
  <c r="G88" i="49"/>
  <c r="F5" i="49"/>
  <c r="G5" i="49" s="1"/>
  <c r="E5" i="49"/>
  <c r="F9" i="49"/>
  <c r="E9" i="49"/>
  <c r="J9" i="49" s="1"/>
  <c r="E15" i="49"/>
  <c r="G15" i="49" s="1"/>
  <c r="F15" i="49"/>
  <c r="F21" i="49"/>
  <c r="E21" i="49"/>
  <c r="F27" i="49"/>
  <c r="E27" i="49"/>
  <c r="F33" i="49"/>
  <c r="E33" i="49"/>
  <c r="F39" i="49"/>
  <c r="E39" i="49"/>
  <c r="E43" i="49"/>
  <c r="F43" i="49"/>
  <c r="F49" i="49"/>
  <c r="E49" i="49"/>
  <c r="F55" i="49"/>
  <c r="E55" i="49"/>
  <c r="E59" i="49"/>
  <c r="F59" i="49"/>
  <c r="F67" i="49"/>
  <c r="E67" i="49"/>
  <c r="F73" i="49"/>
  <c r="E73" i="49"/>
  <c r="F77" i="49"/>
  <c r="E77" i="49"/>
  <c r="F83" i="49"/>
  <c r="E83" i="49"/>
  <c r="F89" i="49"/>
  <c r="E89" i="49"/>
  <c r="E95" i="49"/>
  <c r="F95" i="49"/>
  <c r="G9" i="49"/>
  <c r="G13" i="49"/>
  <c r="G25" i="49"/>
  <c r="G35" i="49"/>
  <c r="G45" i="49"/>
  <c r="G53" i="49"/>
  <c r="G61" i="49"/>
  <c r="G71" i="49"/>
  <c r="G85" i="49"/>
  <c r="G93" i="49"/>
  <c r="G129" i="49"/>
  <c r="G135" i="49"/>
  <c r="G145" i="49"/>
  <c r="G159" i="49"/>
  <c r="G163" i="49"/>
  <c r="G175" i="49"/>
  <c r="G187" i="49"/>
  <c r="G191" i="49"/>
  <c r="G201" i="49"/>
  <c r="G211" i="49"/>
  <c r="G215" i="49"/>
  <c r="G223" i="49"/>
  <c r="G233" i="49"/>
  <c r="G235" i="49"/>
  <c r="G255" i="49"/>
  <c r="G257" i="49"/>
  <c r="E220" i="49"/>
  <c r="F220" i="49"/>
  <c r="E224" i="49"/>
  <c r="F224" i="49"/>
  <c r="E232" i="49"/>
  <c r="F232" i="49"/>
  <c r="E236" i="49"/>
  <c r="F236" i="49"/>
  <c r="E240" i="49"/>
  <c r="F240" i="49"/>
  <c r="E248" i="49"/>
  <c r="F248" i="49"/>
  <c r="E252" i="49"/>
  <c r="F252" i="49"/>
  <c r="E256" i="49"/>
  <c r="F256" i="49"/>
  <c r="E264" i="49"/>
  <c r="F264" i="49"/>
  <c r="E268" i="49"/>
  <c r="F268" i="49"/>
  <c r="E272" i="49"/>
  <c r="F272" i="49"/>
  <c r="E280" i="49"/>
  <c r="F280" i="49"/>
  <c r="E284" i="49"/>
  <c r="F284" i="49"/>
  <c r="E288" i="49"/>
  <c r="F288" i="49"/>
  <c r="E296" i="49"/>
  <c r="F296" i="49"/>
  <c r="E300" i="49"/>
  <c r="J300" i="49" s="1"/>
  <c r="F300" i="49"/>
  <c r="E304" i="49"/>
  <c r="F304" i="49"/>
  <c r="E312" i="49"/>
  <c r="G312" i="49" s="1"/>
  <c r="F312" i="49"/>
  <c r="E226" i="49"/>
  <c r="E254" i="49"/>
  <c r="E262" i="49"/>
  <c r="E290" i="49"/>
  <c r="E297" i="49"/>
  <c r="E305" i="49"/>
  <c r="G305" i="49" s="1"/>
  <c r="E311" i="49"/>
  <c r="G311" i="49" s="1"/>
  <c r="F228" i="49"/>
  <c r="G228" i="49" s="1"/>
  <c r="F250" i="49"/>
  <c r="G250" i="49" s="1"/>
  <c r="F292" i="49"/>
  <c r="G292" i="49" s="1"/>
  <c r="F314" i="49"/>
  <c r="H298" i="49"/>
  <c r="I298" i="49"/>
  <c r="H306" i="49"/>
  <c r="I306" i="49"/>
  <c r="H310" i="49"/>
  <c r="I310" i="49"/>
  <c r="G314" i="49"/>
  <c r="E242" i="49"/>
  <c r="E291" i="49"/>
  <c r="J291" i="49" s="1"/>
  <c r="E299" i="49"/>
  <c r="J299" i="49" s="1"/>
  <c r="E313" i="49"/>
  <c r="G313" i="49" s="1"/>
  <c r="F234" i="49"/>
  <c r="G234" i="49" s="1"/>
  <c r="F293" i="49"/>
  <c r="E293" i="49"/>
  <c r="J293" i="49" s="1"/>
  <c r="F309" i="49"/>
  <c r="G309" i="49" s="1"/>
  <c r="E309" i="49"/>
  <c r="E222" i="49"/>
  <c r="E230" i="49"/>
  <c r="E301" i="49"/>
  <c r="E307" i="49"/>
  <c r="F218" i="49"/>
  <c r="G218" i="49" s="1"/>
  <c r="F260" i="49"/>
  <c r="G260" i="49" s="1"/>
  <c r="F303" i="49"/>
  <c r="G269" i="49"/>
  <c r="G271" i="49"/>
  <c r="G289" i="49"/>
  <c r="E238" i="49"/>
  <c r="E246" i="49"/>
  <c r="E295" i="49"/>
  <c r="F244" i="49"/>
  <c r="G244" i="49" s="1"/>
  <c r="F266" i="49"/>
  <c r="G266" i="49" s="1"/>
  <c r="G283" i="49"/>
  <c r="G303" i="49"/>
  <c r="G307" i="49"/>
  <c r="F54" i="22"/>
  <c r="F45" i="22"/>
  <c r="E6" i="48"/>
  <c r="E8" i="48"/>
  <c r="E9" i="48"/>
  <c r="E10" i="48"/>
  <c r="E12" i="48"/>
  <c r="E13" i="48"/>
  <c r="E18" i="48"/>
  <c r="E22" i="48"/>
  <c r="E23" i="48"/>
  <c r="E25" i="48"/>
  <c r="E26" i="48"/>
  <c r="E33" i="48"/>
  <c r="E36" i="48"/>
  <c r="E38" i="48"/>
  <c r="E43" i="48"/>
  <c r="E44" i="48"/>
  <c r="E47" i="48"/>
  <c r="E49" i="48"/>
  <c r="E50" i="48"/>
  <c r="E57" i="48"/>
  <c r="E59" i="48"/>
  <c r="E70" i="48"/>
  <c r="E71" i="48"/>
  <c r="E75" i="48"/>
  <c r="E76" i="48"/>
  <c r="E77" i="48"/>
  <c r="E78" i="48"/>
  <c r="E79" i="48"/>
  <c r="E80" i="48"/>
  <c r="E92" i="48"/>
  <c r="E94" i="48"/>
  <c r="E95" i="48"/>
  <c r="E99" i="48"/>
  <c r="E104" i="48"/>
  <c r="E105" i="48"/>
  <c r="E108" i="48"/>
  <c r="E109" i="48"/>
  <c r="E110" i="48"/>
  <c r="E111" i="48"/>
  <c r="E113" i="48"/>
  <c r="E115" i="48"/>
  <c r="E116" i="48"/>
  <c r="E117" i="48"/>
  <c r="E121" i="48"/>
  <c r="E122" i="48"/>
  <c r="E123" i="48"/>
  <c r="E124" i="48"/>
  <c r="E126" i="48"/>
  <c r="E127" i="48"/>
  <c r="E128" i="48"/>
  <c r="E129" i="48"/>
  <c r="E138" i="48"/>
  <c r="E139" i="48"/>
  <c r="E141" i="48"/>
  <c r="E143" i="48"/>
  <c r="E144" i="48"/>
  <c r="E150" i="48"/>
  <c r="E158" i="48"/>
  <c r="E159" i="48"/>
  <c r="E160" i="48"/>
  <c r="E162" i="48"/>
  <c r="E164" i="48"/>
  <c r="E166" i="48"/>
  <c r="E170" i="48"/>
  <c r="E172" i="48"/>
  <c r="E175" i="48"/>
  <c r="E182" i="48"/>
  <c r="E183" i="48"/>
  <c r="E185" i="48"/>
  <c r="E186" i="48"/>
  <c r="E188" i="48"/>
  <c r="E192" i="48"/>
  <c r="E195" i="48"/>
  <c r="E197" i="48"/>
  <c r="E198" i="48"/>
  <c r="E199" i="48"/>
  <c r="E201" i="48"/>
  <c r="E203" i="48"/>
  <c r="E206" i="48"/>
  <c r="E209" i="48"/>
  <c r="E210" i="48"/>
  <c r="E211" i="48"/>
  <c r="E212" i="48"/>
  <c r="E214" i="48"/>
  <c r="E215" i="48"/>
  <c r="E218" i="48"/>
  <c r="E219" i="48"/>
  <c r="E220" i="48"/>
  <c r="E222" i="48"/>
  <c r="E231" i="48"/>
  <c r="E232" i="48"/>
  <c r="E236" i="48"/>
  <c r="E239" i="48"/>
  <c r="E241" i="48"/>
  <c r="E245" i="48"/>
  <c r="E246" i="48"/>
  <c r="E249" i="48"/>
  <c r="E251" i="48"/>
  <c r="E252" i="48"/>
  <c r="E260" i="48"/>
  <c r="E261" i="48"/>
  <c r="E263" i="48"/>
  <c r="E264" i="48"/>
  <c r="E265" i="48"/>
  <c r="E267" i="48"/>
  <c r="E268" i="48"/>
  <c r="E271" i="48"/>
  <c r="E275" i="48"/>
  <c r="E279" i="48"/>
  <c r="E280" i="48"/>
  <c r="E282" i="48"/>
  <c r="E283" i="48"/>
  <c r="E284" i="48"/>
  <c r="E285" i="48"/>
  <c r="E286" i="48"/>
  <c r="E290" i="48"/>
  <c r="E292" i="48"/>
  <c r="E296" i="48"/>
  <c r="E299" i="48"/>
  <c r="E301" i="48"/>
  <c r="E302" i="48"/>
  <c r="E303" i="48"/>
  <c r="E306" i="48"/>
  <c r="E308" i="48"/>
  <c r="E311" i="48"/>
  <c r="E313" i="48"/>
  <c r="E4" i="48"/>
  <c r="D6" i="48"/>
  <c r="D8" i="48"/>
  <c r="G8" i="48" s="1"/>
  <c r="I8" i="48" s="1"/>
  <c r="D9" i="48"/>
  <c r="G9" i="48" s="1"/>
  <c r="I9" i="48" s="1"/>
  <c r="D10" i="48"/>
  <c r="D12" i="48"/>
  <c r="D13" i="48"/>
  <c r="G13" i="48" s="1"/>
  <c r="I13" i="48" s="1"/>
  <c r="D23" i="48"/>
  <c r="D25" i="48"/>
  <c r="G25" i="48" s="1"/>
  <c r="I25" i="48" s="1"/>
  <c r="D26" i="48"/>
  <c r="G26" i="48" s="1"/>
  <c r="I26" i="48" s="1"/>
  <c r="D33" i="48"/>
  <c r="D36" i="48"/>
  <c r="D38" i="48"/>
  <c r="G38" i="48" s="1"/>
  <c r="I38" i="48" s="1"/>
  <c r="D43" i="48"/>
  <c r="G43" i="48" s="1"/>
  <c r="I43" i="48" s="1"/>
  <c r="D44" i="48"/>
  <c r="D49" i="48"/>
  <c r="G49" i="48" s="1"/>
  <c r="I49" i="48" s="1"/>
  <c r="D50" i="48"/>
  <c r="G50" i="48" s="1"/>
  <c r="I50" i="48" s="1"/>
  <c r="D54" i="48"/>
  <c r="D57" i="48"/>
  <c r="D70" i="48"/>
  <c r="G70" i="48" s="1"/>
  <c r="I70" i="48" s="1"/>
  <c r="D71" i="48"/>
  <c r="G71" i="48" s="1"/>
  <c r="I71" i="48" s="1"/>
  <c r="D77" i="48"/>
  <c r="G77" i="48" s="1"/>
  <c r="I77" i="48" s="1"/>
  <c r="D78" i="48"/>
  <c r="G78" i="48" s="1"/>
  <c r="I78" i="48" s="1"/>
  <c r="D81" i="48"/>
  <c r="D82" i="48"/>
  <c r="D92" i="48"/>
  <c r="G92" i="48" s="1"/>
  <c r="I92" i="48" s="1"/>
  <c r="D94" i="48"/>
  <c r="G94" i="48" s="1"/>
  <c r="I94" i="48" s="1"/>
  <c r="D95" i="48"/>
  <c r="D109" i="48"/>
  <c r="D110" i="48"/>
  <c r="G110" i="48" s="1"/>
  <c r="I110" i="48" s="1"/>
  <c r="D113" i="48"/>
  <c r="D115" i="48"/>
  <c r="D116" i="48"/>
  <c r="G116" i="48" s="1"/>
  <c r="I116" i="48" s="1"/>
  <c r="D121" i="48"/>
  <c r="G121" i="48" s="1"/>
  <c r="I121" i="48" s="1"/>
  <c r="D122" i="48"/>
  <c r="G122" i="48" s="1"/>
  <c r="I122" i="48" s="1"/>
  <c r="D124" i="48"/>
  <c r="D126" i="48"/>
  <c r="D129" i="48"/>
  <c r="D139" i="48"/>
  <c r="G139" i="48" s="1"/>
  <c r="I139" i="48" s="1"/>
  <c r="D141" i="48"/>
  <c r="G141" i="48" s="1"/>
  <c r="I141" i="48" s="1"/>
  <c r="D143" i="48"/>
  <c r="D144" i="48"/>
  <c r="D158" i="48"/>
  <c r="G158" i="48" s="1"/>
  <c r="I158" i="48" s="1"/>
  <c r="D159" i="48"/>
  <c r="D164" i="48"/>
  <c r="G164" i="48" s="1"/>
  <c r="I164" i="48" s="1"/>
  <c r="D166" i="48"/>
  <c r="D175" i="48"/>
  <c r="G175" i="48" s="1"/>
  <c r="I175" i="48" s="1"/>
  <c r="D183" i="48"/>
  <c r="D185" i="48"/>
  <c r="D192" i="48"/>
  <c r="D198" i="48"/>
  <c r="D199" i="48"/>
  <c r="D201" i="48"/>
  <c r="D203" i="48"/>
  <c r="G203" i="48" s="1"/>
  <c r="I203" i="48" s="1"/>
  <c r="D209" i="48"/>
  <c r="D211" i="48"/>
  <c r="G211" i="48" s="1"/>
  <c r="I211" i="48" s="1"/>
  <c r="D212" i="48"/>
  <c r="D214" i="48"/>
  <c r="D215" i="48"/>
  <c r="D219" i="48"/>
  <c r="D220" i="48"/>
  <c r="D231" i="48"/>
  <c r="G231" i="48" s="1"/>
  <c r="I231" i="48" s="1"/>
  <c r="D232" i="48"/>
  <c r="D236" i="48"/>
  <c r="D241" i="48"/>
  <c r="G241" i="48" s="1"/>
  <c r="I241" i="48" s="1"/>
  <c r="D245" i="48"/>
  <c r="D249" i="48"/>
  <c r="D251" i="48"/>
  <c r="G251" i="48" s="1"/>
  <c r="I251" i="48" s="1"/>
  <c r="D252" i="48"/>
  <c r="D260" i="48"/>
  <c r="D261" i="48"/>
  <c r="D263" i="48"/>
  <c r="G263" i="48" s="1"/>
  <c r="I263" i="48" s="1"/>
  <c r="D264" i="48"/>
  <c r="D265" i="48"/>
  <c r="D268" i="48"/>
  <c r="G268" i="48" s="1"/>
  <c r="I268" i="48" s="1"/>
  <c r="D270" i="48"/>
  <c r="D275" i="48"/>
  <c r="D279" i="48"/>
  <c r="D282" i="48"/>
  <c r="D283" i="48"/>
  <c r="D284" i="48"/>
  <c r="D285" i="48"/>
  <c r="D286" i="48"/>
  <c r="D290" i="48"/>
  <c r="D299" i="48"/>
  <c r="G299" i="48" s="1"/>
  <c r="I299" i="48" s="1"/>
  <c r="D302" i="48"/>
  <c r="D303" i="48"/>
  <c r="D306" i="48"/>
  <c r="D308" i="48"/>
  <c r="D311" i="48"/>
  <c r="D4" i="48"/>
  <c r="C5" i="48"/>
  <c r="F5" i="48" s="1"/>
  <c r="E5" i="48" s="1"/>
  <c r="C6" i="48"/>
  <c r="F6" i="48" s="1"/>
  <c r="C7" i="48"/>
  <c r="F7" i="48" s="1"/>
  <c r="E7" i="48" s="1"/>
  <c r="C8" i="48"/>
  <c r="F8" i="48" s="1"/>
  <c r="C9" i="48"/>
  <c r="F9" i="48" s="1"/>
  <c r="C10" i="48"/>
  <c r="F10" i="48" s="1"/>
  <c r="C11" i="48"/>
  <c r="F11" i="48" s="1"/>
  <c r="E11" i="48" s="1"/>
  <c r="C12" i="48"/>
  <c r="F12" i="48" s="1"/>
  <c r="C13" i="48"/>
  <c r="F13" i="48" s="1"/>
  <c r="C14" i="48"/>
  <c r="D14" i="48" s="1"/>
  <c r="C15" i="48"/>
  <c r="F15" i="48" s="1"/>
  <c r="E15" i="48" s="1"/>
  <c r="C16" i="48"/>
  <c r="C17" i="48"/>
  <c r="F17" i="48" s="1"/>
  <c r="E17" i="48" s="1"/>
  <c r="C18" i="48"/>
  <c r="F18" i="48" s="1"/>
  <c r="C19" i="48"/>
  <c r="F19" i="48" s="1"/>
  <c r="E19" i="48" s="1"/>
  <c r="C20" i="48"/>
  <c r="C21" i="48"/>
  <c r="F21" i="48" s="1"/>
  <c r="C22" i="48"/>
  <c r="F22" i="48" s="1"/>
  <c r="C23" i="48"/>
  <c r="F23" i="48" s="1"/>
  <c r="C24" i="48"/>
  <c r="C25" i="48"/>
  <c r="F25" i="48" s="1"/>
  <c r="C26" i="48"/>
  <c r="F26" i="48" s="1"/>
  <c r="C27" i="48"/>
  <c r="F27" i="48" s="1"/>
  <c r="E27" i="48" s="1"/>
  <c r="C28" i="48"/>
  <c r="C29" i="48"/>
  <c r="F29" i="48" s="1"/>
  <c r="E29" i="48" s="1"/>
  <c r="C30" i="48"/>
  <c r="D30" i="48" s="1"/>
  <c r="C31" i="48"/>
  <c r="F31" i="48" s="1"/>
  <c r="E31" i="48" s="1"/>
  <c r="C32" i="48"/>
  <c r="C33" i="48"/>
  <c r="F33" i="48" s="1"/>
  <c r="C34" i="48"/>
  <c r="D34" i="48" s="1"/>
  <c r="C35" i="48"/>
  <c r="F35" i="48" s="1"/>
  <c r="E35" i="48" s="1"/>
  <c r="C36" i="48"/>
  <c r="F36" i="48" s="1"/>
  <c r="C37" i="48"/>
  <c r="F37" i="48" s="1"/>
  <c r="E37" i="48" s="1"/>
  <c r="C38" i="48"/>
  <c r="F38" i="48" s="1"/>
  <c r="C39" i="48"/>
  <c r="F39" i="48" s="1"/>
  <c r="E39" i="48" s="1"/>
  <c r="C40" i="48"/>
  <c r="C41" i="48"/>
  <c r="F41" i="48" s="1"/>
  <c r="E41" i="48" s="1"/>
  <c r="C42" i="48"/>
  <c r="D42" i="48" s="1"/>
  <c r="C43" i="48"/>
  <c r="F43" i="48" s="1"/>
  <c r="C44" i="48"/>
  <c r="F44" i="48" s="1"/>
  <c r="C45" i="48"/>
  <c r="F45" i="48" s="1"/>
  <c r="E45" i="48" s="1"/>
  <c r="C46" i="48"/>
  <c r="D46" i="48" s="1"/>
  <c r="C47" i="48"/>
  <c r="F47" i="48" s="1"/>
  <c r="C48" i="48"/>
  <c r="C49" i="48"/>
  <c r="F49" i="48" s="1"/>
  <c r="C50" i="48"/>
  <c r="F50" i="48" s="1"/>
  <c r="C51" i="48"/>
  <c r="F51" i="48" s="1"/>
  <c r="E51" i="48" s="1"/>
  <c r="C52" i="48"/>
  <c r="C53" i="48"/>
  <c r="F53" i="48" s="1"/>
  <c r="E53" i="48" s="1"/>
  <c r="C54" i="48"/>
  <c r="F54" i="48" s="1"/>
  <c r="C55" i="48"/>
  <c r="F55" i="48" s="1"/>
  <c r="E55" i="48" s="1"/>
  <c r="C56" i="48"/>
  <c r="C57" i="48"/>
  <c r="F57" i="48" s="1"/>
  <c r="C58" i="48"/>
  <c r="D58" i="48" s="1"/>
  <c r="C59" i="48"/>
  <c r="F59" i="48" s="1"/>
  <c r="C60" i="48"/>
  <c r="C61" i="48"/>
  <c r="F61" i="48" s="1"/>
  <c r="E61" i="48" s="1"/>
  <c r="C62" i="48"/>
  <c r="D62" i="48" s="1"/>
  <c r="C63" i="48"/>
  <c r="F63" i="48" s="1"/>
  <c r="E63" i="48" s="1"/>
  <c r="C64" i="48"/>
  <c r="C65" i="48"/>
  <c r="F65" i="48" s="1"/>
  <c r="E65" i="48" s="1"/>
  <c r="C66" i="48"/>
  <c r="D66" i="48" s="1"/>
  <c r="C67" i="48"/>
  <c r="F67" i="48" s="1"/>
  <c r="E67" i="48" s="1"/>
  <c r="C68" i="48"/>
  <c r="C69" i="48"/>
  <c r="F69" i="48" s="1"/>
  <c r="E69" i="48" s="1"/>
  <c r="C70" i="48"/>
  <c r="F70" i="48" s="1"/>
  <c r="C71" i="48"/>
  <c r="F71" i="48" s="1"/>
  <c r="C72" i="48"/>
  <c r="C73" i="48"/>
  <c r="F73" i="48" s="1"/>
  <c r="E73" i="48" s="1"/>
  <c r="C74" i="48"/>
  <c r="D74" i="48" s="1"/>
  <c r="C75" i="48"/>
  <c r="F75" i="48" s="1"/>
  <c r="C76" i="48"/>
  <c r="F76" i="48" s="1"/>
  <c r="C77" i="48"/>
  <c r="F77" i="48" s="1"/>
  <c r="C78" i="48"/>
  <c r="F78" i="48" s="1"/>
  <c r="C79" i="48"/>
  <c r="F79" i="48" s="1"/>
  <c r="C80" i="48"/>
  <c r="F80" i="48" s="1"/>
  <c r="C81" i="48"/>
  <c r="F81" i="48" s="1"/>
  <c r="C82" i="48"/>
  <c r="F82" i="48" s="1"/>
  <c r="C83" i="48"/>
  <c r="D83" i="48" s="1"/>
  <c r="C84" i="48"/>
  <c r="C85" i="48"/>
  <c r="E85" i="48" s="1"/>
  <c r="C86" i="48"/>
  <c r="D86" i="48" s="1"/>
  <c r="C87" i="48"/>
  <c r="D87" i="48" s="1"/>
  <c r="C88" i="48"/>
  <c r="C89" i="48"/>
  <c r="D89" i="48" s="1"/>
  <c r="C90" i="48"/>
  <c r="D90" i="48" s="1"/>
  <c r="C91" i="48"/>
  <c r="D91" i="48" s="1"/>
  <c r="C92" i="48"/>
  <c r="F92" i="48" s="1"/>
  <c r="C93" i="48"/>
  <c r="D93" i="48" s="1"/>
  <c r="C94" i="48"/>
  <c r="F94" i="48" s="1"/>
  <c r="C95" i="48"/>
  <c r="F95" i="48" s="1"/>
  <c r="C96" i="48"/>
  <c r="C97" i="48"/>
  <c r="D97" i="48" s="1"/>
  <c r="C98" i="48"/>
  <c r="D98" i="48" s="1"/>
  <c r="C99" i="48"/>
  <c r="F99" i="48" s="1"/>
  <c r="C100" i="48"/>
  <c r="C101" i="48"/>
  <c r="D101" i="48" s="1"/>
  <c r="C102" i="48"/>
  <c r="D102" i="48" s="1"/>
  <c r="C103" i="48"/>
  <c r="D103" i="48" s="1"/>
  <c r="C104" i="48"/>
  <c r="F104" i="48" s="1"/>
  <c r="C105" i="48"/>
  <c r="F105" i="48" s="1"/>
  <c r="C106" i="48"/>
  <c r="D106" i="48" s="1"/>
  <c r="C107" i="48"/>
  <c r="D107" i="48" s="1"/>
  <c r="C108" i="48"/>
  <c r="F108" i="48" s="1"/>
  <c r="C109" i="48"/>
  <c r="F109" i="48" s="1"/>
  <c r="C110" i="48"/>
  <c r="F110" i="48" s="1"/>
  <c r="C111" i="48"/>
  <c r="F111" i="48" s="1"/>
  <c r="C112" i="48"/>
  <c r="C113" i="48"/>
  <c r="F113" i="48" s="1"/>
  <c r="C114" i="48"/>
  <c r="D114" i="48" s="1"/>
  <c r="C115" i="48"/>
  <c r="F115" i="48" s="1"/>
  <c r="C116" i="48"/>
  <c r="F116" i="48" s="1"/>
  <c r="C117" i="48"/>
  <c r="F117" i="48" s="1"/>
  <c r="C118" i="48"/>
  <c r="D118" i="48" s="1"/>
  <c r="C119" i="48"/>
  <c r="D119" i="48" s="1"/>
  <c r="C120" i="48"/>
  <c r="C121" i="48"/>
  <c r="F121" i="48" s="1"/>
  <c r="C122" i="48"/>
  <c r="F122" i="48" s="1"/>
  <c r="C123" i="48"/>
  <c r="F123" i="48" s="1"/>
  <c r="C124" i="48"/>
  <c r="F124" i="48" s="1"/>
  <c r="C125" i="48"/>
  <c r="D125" i="48" s="1"/>
  <c r="C126" i="48"/>
  <c r="F126" i="48" s="1"/>
  <c r="C127" i="48"/>
  <c r="F127" i="48" s="1"/>
  <c r="C128" i="48"/>
  <c r="F128" i="48" s="1"/>
  <c r="C129" i="48"/>
  <c r="F129" i="48" s="1"/>
  <c r="C130" i="48"/>
  <c r="D130" i="48" s="1"/>
  <c r="C131" i="48"/>
  <c r="D131" i="48" s="1"/>
  <c r="C132" i="48"/>
  <c r="C133" i="48"/>
  <c r="D133" i="48" s="1"/>
  <c r="C134" i="48"/>
  <c r="D134" i="48" s="1"/>
  <c r="C135" i="48"/>
  <c r="D135" i="48" s="1"/>
  <c r="C136" i="48"/>
  <c r="C137" i="48"/>
  <c r="D137" i="48" s="1"/>
  <c r="C138" i="48"/>
  <c r="F138" i="48" s="1"/>
  <c r="C139" i="48"/>
  <c r="F139" i="48" s="1"/>
  <c r="C140" i="48"/>
  <c r="C141" i="48"/>
  <c r="F141" i="48" s="1"/>
  <c r="C142" i="48"/>
  <c r="D142" i="48" s="1"/>
  <c r="C143" i="48"/>
  <c r="F143" i="48" s="1"/>
  <c r="C144" i="48"/>
  <c r="F144" i="48" s="1"/>
  <c r="C145" i="48"/>
  <c r="D145" i="48" s="1"/>
  <c r="C146" i="48"/>
  <c r="D146" i="48" s="1"/>
  <c r="C147" i="48"/>
  <c r="D147" i="48" s="1"/>
  <c r="C148" i="48"/>
  <c r="C149" i="48"/>
  <c r="D149" i="48" s="1"/>
  <c r="C150" i="48"/>
  <c r="F150" i="48" s="1"/>
  <c r="C151" i="48"/>
  <c r="D151" i="48" s="1"/>
  <c r="C152" i="48"/>
  <c r="C153" i="48"/>
  <c r="D153" i="48" s="1"/>
  <c r="C154" i="48"/>
  <c r="D154" i="48" s="1"/>
  <c r="C155" i="48"/>
  <c r="D155" i="48" s="1"/>
  <c r="C156" i="48"/>
  <c r="C157" i="48"/>
  <c r="D157" i="48" s="1"/>
  <c r="C158" i="48"/>
  <c r="F158" i="48" s="1"/>
  <c r="C159" i="48"/>
  <c r="F159" i="48" s="1"/>
  <c r="C160" i="48"/>
  <c r="F160" i="48" s="1"/>
  <c r="C161" i="48"/>
  <c r="D161" i="48" s="1"/>
  <c r="C162" i="48"/>
  <c r="F162" i="48" s="1"/>
  <c r="C163" i="48"/>
  <c r="D163" i="48" s="1"/>
  <c r="C164" i="48"/>
  <c r="F164" i="48" s="1"/>
  <c r="C165" i="48"/>
  <c r="D165" i="48" s="1"/>
  <c r="C166" i="48"/>
  <c r="F166" i="48" s="1"/>
  <c r="C167" i="48"/>
  <c r="D167" i="48" s="1"/>
  <c r="C168" i="48"/>
  <c r="C169" i="48"/>
  <c r="D169" i="48" s="1"/>
  <c r="C170" i="48"/>
  <c r="F170" i="48" s="1"/>
  <c r="C171" i="48"/>
  <c r="D171" i="48" s="1"/>
  <c r="C172" i="48"/>
  <c r="F172" i="48" s="1"/>
  <c r="C173" i="48"/>
  <c r="D173" i="48" s="1"/>
  <c r="C174" i="48"/>
  <c r="D174" i="48" s="1"/>
  <c r="C175" i="48"/>
  <c r="F175" i="48" s="1"/>
  <c r="C176" i="48"/>
  <c r="C177" i="48"/>
  <c r="D177" i="48" s="1"/>
  <c r="C178" i="48"/>
  <c r="D178" i="48" s="1"/>
  <c r="C179" i="48"/>
  <c r="D179" i="48" s="1"/>
  <c r="C180" i="48"/>
  <c r="C181" i="48"/>
  <c r="D181" i="48" s="1"/>
  <c r="C182" i="48"/>
  <c r="F182" i="48" s="1"/>
  <c r="C183" i="48"/>
  <c r="F183" i="48" s="1"/>
  <c r="C184" i="48"/>
  <c r="C185" i="48"/>
  <c r="F185" i="48" s="1"/>
  <c r="C186" i="48"/>
  <c r="F186" i="48" s="1"/>
  <c r="C187" i="48"/>
  <c r="D187" i="48" s="1"/>
  <c r="C188" i="48"/>
  <c r="F188" i="48" s="1"/>
  <c r="C189" i="48"/>
  <c r="D189" i="48" s="1"/>
  <c r="C190" i="48"/>
  <c r="D190" i="48" s="1"/>
  <c r="C191" i="48"/>
  <c r="D191" i="48" s="1"/>
  <c r="C192" i="48"/>
  <c r="F192" i="48" s="1"/>
  <c r="C193" i="48"/>
  <c r="D193" i="48" s="1"/>
  <c r="C194" i="48"/>
  <c r="D194" i="48" s="1"/>
  <c r="C195" i="48"/>
  <c r="F195" i="48" s="1"/>
  <c r="C196" i="48"/>
  <c r="C197" i="48"/>
  <c r="F197" i="48" s="1"/>
  <c r="C198" i="48"/>
  <c r="F198" i="48" s="1"/>
  <c r="C199" i="48"/>
  <c r="F199" i="48" s="1"/>
  <c r="C200" i="48"/>
  <c r="C201" i="48"/>
  <c r="F201" i="48" s="1"/>
  <c r="C202" i="48"/>
  <c r="D202" i="48" s="1"/>
  <c r="C203" i="48"/>
  <c r="F203" i="48" s="1"/>
  <c r="C204" i="48"/>
  <c r="C205" i="48"/>
  <c r="D205" i="48" s="1"/>
  <c r="C206" i="48"/>
  <c r="F206" i="48" s="1"/>
  <c r="C207" i="48"/>
  <c r="D207" i="48" s="1"/>
  <c r="C208" i="48"/>
  <c r="C209" i="48"/>
  <c r="F209" i="48" s="1"/>
  <c r="C210" i="48"/>
  <c r="F210" i="48" s="1"/>
  <c r="C211" i="48"/>
  <c r="F211" i="48" s="1"/>
  <c r="C212" i="48"/>
  <c r="F212" i="48" s="1"/>
  <c r="C213" i="48"/>
  <c r="D213" i="48" s="1"/>
  <c r="C214" i="48"/>
  <c r="F214" i="48" s="1"/>
  <c r="C215" i="48"/>
  <c r="F215" i="48" s="1"/>
  <c r="C216" i="48"/>
  <c r="C217" i="48"/>
  <c r="D217" i="48" s="1"/>
  <c r="C218" i="48"/>
  <c r="F218" i="48" s="1"/>
  <c r="C219" i="48"/>
  <c r="F219" i="48" s="1"/>
  <c r="C220" i="48"/>
  <c r="F220" i="48" s="1"/>
  <c r="C221" i="48"/>
  <c r="D221" i="48" s="1"/>
  <c r="C222" i="48"/>
  <c r="F222" i="48" s="1"/>
  <c r="C223" i="48"/>
  <c r="D223" i="48" s="1"/>
  <c r="C224" i="48"/>
  <c r="C225" i="48"/>
  <c r="D225" i="48" s="1"/>
  <c r="C226" i="48"/>
  <c r="D226" i="48" s="1"/>
  <c r="C227" i="48"/>
  <c r="D227" i="48" s="1"/>
  <c r="C228" i="48"/>
  <c r="C229" i="48"/>
  <c r="D229" i="48" s="1"/>
  <c r="C230" i="48"/>
  <c r="D230" i="48" s="1"/>
  <c r="C231" i="48"/>
  <c r="F231" i="48" s="1"/>
  <c r="C232" i="48"/>
  <c r="F232" i="48" s="1"/>
  <c r="C233" i="48"/>
  <c r="D233" i="48" s="1"/>
  <c r="C234" i="48"/>
  <c r="D234" i="48" s="1"/>
  <c r="C235" i="48"/>
  <c r="D235" i="48" s="1"/>
  <c r="C236" i="48"/>
  <c r="F236" i="48" s="1"/>
  <c r="C237" i="48"/>
  <c r="D237" i="48" s="1"/>
  <c r="C238" i="48"/>
  <c r="D238" i="48" s="1"/>
  <c r="C239" i="48"/>
  <c r="F239" i="48" s="1"/>
  <c r="C240" i="48"/>
  <c r="C241" i="48"/>
  <c r="F241" i="48" s="1"/>
  <c r="C242" i="48"/>
  <c r="D242" i="48" s="1"/>
  <c r="C243" i="48"/>
  <c r="D243" i="48" s="1"/>
  <c r="C244" i="48"/>
  <c r="C245" i="48"/>
  <c r="F245" i="48" s="1"/>
  <c r="C246" i="48"/>
  <c r="F246" i="48" s="1"/>
  <c r="C247" i="48"/>
  <c r="D247" i="48" s="1"/>
  <c r="C248" i="48"/>
  <c r="C249" i="48"/>
  <c r="F249" i="48" s="1"/>
  <c r="C250" i="48"/>
  <c r="D250" i="48" s="1"/>
  <c r="C251" i="48"/>
  <c r="F251" i="48" s="1"/>
  <c r="C252" i="48"/>
  <c r="F252" i="48" s="1"/>
  <c r="C253" i="48"/>
  <c r="D253" i="48" s="1"/>
  <c r="C254" i="48"/>
  <c r="D254" i="48" s="1"/>
  <c r="C255" i="48"/>
  <c r="D255" i="48" s="1"/>
  <c r="C256" i="48"/>
  <c r="C257" i="48"/>
  <c r="D257" i="48" s="1"/>
  <c r="C258" i="48"/>
  <c r="D258" i="48" s="1"/>
  <c r="C259" i="48"/>
  <c r="D259" i="48" s="1"/>
  <c r="C260" i="48"/>
  <c r="F260" i="48" s="1"/>
  <c r="C261" i="48"/>
  <c r="F261" i="48" s="1"/>
  <c r="C262" i="48"/>
  <c r="D262" i="48" s="1"/>
  <c r="C263" i="48"/>
  <c r="F263" i="48" s="1"/>
  <c r="C264" i="48"/>
  <c r="F264" i="48" s="1"/>
  <c r="C265" i="48"/>
  <c r="F265" i="48" s="1"/>
  <c r="C266" i="48"/>
  <c r="D266" i="48" s="1"/>
  <c r="C267" i="48"/>
  <c r="F267" i="48" s="1"/>
  <c r="C268" i="48"/>
  <c r="F268" i="48" s="1"/>
  <c r="C269" i="48"/>
  <c r="D269" i="48" s="1"/>
  <c r="C270" i="48"/>
  <c r="F270" i="48" s="1"/>
  <c r="C271" i="48"/>
  <c r="F271" i="48" s="1"/>
  <c r="C272" i="48"/>
  <c r="F272" i="48" s="1"/>
  <c r="C273" i="48"/>
  <c r="D273" i="48" s="1"/>
  <c r="C274" i="48"/>
  <c r="F274" i="48" s="1"/>
  <c r="C275" i="48"/>
  <c r="F275" i="48" s="1"/>
  <c r="C276" i="48"/>
  <c r="F276" i="48" s="1"/>
  <c r="C277" i="48"/>
  <c r="F277" i="48" s="1"/>
  <c r="C278" i="48"/>
  <c r="F278" i="48" s="1"/>
  <c r="C279" i="48"/>
  <c r="F279" i="48" s="1"/>
  <c r="C280" i="48"/>
  <c r="F280" i="48" s="1"/>
  <c r="C281" i="48"/>
  <c r="F281" i="48" s="1"/>
  <c r="C282" i="48"/>
  <c r="F282" i="48" s="1"/>
  <c r="C283" i="48"/>
  <c r="F283" i="48" s="1"/>
  <c r="C284" i="48"/>
  <c r="F284" i="48" s="1"/>
  <c r="C285" i="48"/>
  <c r="F285" i="48" s="1"/>
  <c r="C286" i="48"/>
  <c r="F286" i="48" s="1"/>
  <c r="C287" i="48"/>
  <c r="F287" i="48" s="1"/>
  <c r="C288" i="48"/>
  <c r="F288" i="48" s="1"/>
  <c r="C289" i="48"/>
  <c r="F289" i="48" s="1"/>
  <c r="C290" i="48"/>
  <c r="F290" i="48" s="1"/>
  <c r="C291" i="48"/>
  <c r="F291" i="48" s="1"/>
  <c r="C292" i="48"/>
  <c r="F292" i="48" s="1"/>
  <c r="C293" i="48"/>
  <c r="F293" i="48" s="1"/>
  <c r="C294" i="48"/>
  <c r="F294" i="48" s="1"/>
  <c r="C295" i="48"/>
  <c r="F295" i="48" s="1"/>
  <c r="C296" i="48"/>
  <c r="F296" i="48" s="1"/>
  <c r="C297" i="48"/>
  <c r="F297" i="48" s="1"/>
  <c r="C298" i="48"/>
  <c r="F298" i="48" s="1"/>
  <c r="C299" i="48"/>
  <c r="F299" i="48" s="1"/>
  <c r="C300" i="48"/>
  <c r="F300" i="48" s="1"/>
  <c r="C301" i="48"/>
  <c r="F301" i="48" s="1"/>
  <c r="C302" i="48"/>
  <c r="F302" i="48" s="1"/>
  <c r="C303" i="48"/>
  <c r="F303" i="48" s="1"/>
  <c r="C304" i="48"/>
  <c r="F304" i="48" s="1"/>
  <c r="C305" i="48"/>
  <c r="F305" i="48" s="1"/>
  <c r="C306" i="48"/>
  <c r="F306" i="48" s="1"/>
  <c r="C307" i="48"/>
  <c r="F307" i="48" s="1"/>
  <c r="C308" i="48"/>
  <c r="F308" i="48" s="1"/>
  <c r="C309" i="48"/>
  <c r="F309" i="48" s="1"/>
  <c r="C310" i="48"/>
  <c r="F310" i="48" s="1"/>
  <c r="C311" i="48"/>
  <c r="F311" i="48" s="1"/>
  <c r="C312" i="48"/>
  <c r="F312" i="48" s="1"/>
  <c r="C313" i="48"/>
  <c r="F313" i="48" s="1"/>
  <c r="C314" i="48"/>
  <c r="C4" i="48"/>
  <c r="F4" i="48" s="1"/>
  <c r="K314" i="47"/>
  <c r="J314" i="47"/>
  <c r="I314" i="47"/>
  <c r="H314" i="47" s="1"/>
  <c r="K313" i="47"/>
  <c r="J313" i="47"/>
  <c r="I313" i="47"/>
  <c r="H313" i="47" s="1"/>
  <c r="K312" i="47"/>
  <c r="J312" i="47"/>
  <c r="I312" i="47"/>
  <c r="H312" i="47" s="1"/>
  <c r="K311" i="47"/>
  <c r="J311" i="47"/>
  <c r="I311" i="47"/>
  <c r="H311" i="47" s="1"/>
  <c r="K310" i="47"/>
  <c r="J310" i="47"/>
  <c r="I310" i="47"/>
  <c r="H310" i="47" s="1"/>
  <c r="K309" i="47"/>
  <c r="J309" i="47"/>
  <c r="I309" i="47"/>
  <c r="H309" i="47" s="1"/>
  <c r="K308" i="47"/>
  <c r="J308" i="47"/>
  <c r="I308" i="47"/>
  <c r="H308" i="47" s="1"/>
  <c r="K307" i="47"/>
  <c r="J307" i="47"/>
  <c r="I307" i="47"/>
  <c r="H307" i="47" s="1"/>
  <c r="K306" i="47"/>
  <c r="J306" i="47"/>
  <c r="I306" i="47"/>
  <c r="H306" i="47" s="1"/>
  <c r="K305" i="47"/>
  <c r="J305" i="47"/>
  <c r="I305" i="47"/>
  <c r="H305" i="47" s="1"/>
  <c r="K304" i="47"/>
  <c r="J304" i="47"/>
  <c r="I304" i="47"/>
  <c r="H304" i="47" s="1"/>
  <c r="K303" i="47"/>
  <c r="J303" i="47"/>
  <c r="I303" i="47"/>
  <c r="H303" i="47" s="1"/>
  <c r="K302" i="47"/>
  <c r="J302" i="47"/>
  <c r="I302" i="47"/>
  <c r="H302" i="47" s="1"/>
  <c r="K301" i="47"/>
  <c r="J301" i="47"/>
  <c r="I301" i="47"/>
  <c r="H301" i="47" s="1"/>
  <c r="K300" i="47"/>
  <c r="J300" i="47"/>
  <c r="I300" i="47"/>
  <c r="H300" i="47" s="1"/>
  <c r="K299" i="47"/>
  <c r="J299" i="47"/>
  <c r="I299" i="47"/>
  <c r="H299" i="47" s="1"/>
  <c r="K298" i="47"/>
  <c r="J298" i="47"/>
  <c r="I298" i="47"/>
  <c r="H298" i="47" s="1"/>
  <c r="K297" i="47"/>
  <c r="J297" i="47"/>
  <c r="I297" i="47"/>
  <c r="H297" i="47" s="1"/>
  <c r="K296" i="47"/>
  <c r="J296" i="47"/>
  <c r="I296" i="47"/>
  <c r="H296" i="47" s="1"/>
  <c r="K295" i="47"/>
  <c r="J295" i="47"/>
  <c r="I295" i="47"/>
  <c r="H295" i="47" s="1"/>
  <c r="K294" i="47"/>
  <c r="J294" i="47"/>
  <c r="I294" i="47"/>
  <c r="H294" i="47" s="1"/>
  <c r="K293" i="47"/>
  <c r="J293" i="47"/>
  <c r="I293" i="47"/>
  <c r="H293" i="47" s="1"/>
  <c r="K292" i="47"/>
  <c r="J292" i="47"/>
  <c r="I292" i="47"/>
  <c r="H292" i="47" s="1"/>
  <c r="K291" i="47"/>
  <c r="J291" i="47"/>
  <c r="I291" i="47"/>
  <c r="H291" i="47" s="1"/>
  <c r="K290" i="47"/>
  <c r="J290" i="47"/>
  <c r="I290" i="47"/>
  <c r="H290" i="47" s="1"/>
  <c r="K289" i="47"/>
  <c r="J289" i="47"/>
  <c r="I289" i="47"/>
  <c r="H289" i="47" s="1"/>
  <c r="K288" i="47"/>
  <c r="J288" i="47"/>
  <c r="I288" i="47"/>
  <c r="H288" i="47" s="1"/>
  <c r="K287" i="47"/>
  <c r="J287" i="47"/>
  <c r="I287" i="47"/>
  <c r="H287" i="47" s="1"/>
  <c r="K286" i="47"/>
  <c r="J286" i="47"/>
  <c r="I286" i="47"/>
  <c r="H286" i="47" s="1"/>
  <c r="K285" i="47"/>
  <c r="J285" i="47"/>
  <c r="I285" i="47"/>
  <c r="H285" i="47" s="1"/>
  <c r="K284" i="47"/>
  <c r="J284" i="47"/>
  <c r="I284" i="47"/>
  <c r="H284" i="47" s="1"/>
  <c r="K283" i="47"/>
  <c r="J283" i="47"/>
  <c r="I283" i="47"/>
  <c r="H283" i="47" s="1"/>
  <c r="K282" i="47"/>
  <c r="J282" i="47"/>
  <c r="I282" i="47"/>
  <c r="H282" i="47" s="1"/>
  <c r="K281" i="47"/>
  <c r="J281" i="47"/>
  <c r="I281" i="47"/>
  <c r="H281" i="47" s="1"/>
  <c r="K280" i="47"/>
  <c r="J280" i="47"/>
  <c r="I280" i="47"/>
  <c r="H280" i="47" s="1"/>
  <c r="K279" i="47"/>
  <c r="J279" i="47"/>
  <c r="I279" i="47"/>
  <c r="H279" i="47" s="1"/>
  <c r="K278" i="47"/>
  <c r="J278" i="47"/>
  <c r="I278" i="47"/>
  <c r="H278" i="47" s="1"/>
  <c r="K277" i="47"/>
  <c r="J277" i="47"/>
  <c r="I277" i="47"/>
  <c r="H277" i="47" s="1"/>
  <c r="K276" i="47"/>
  <c r="J276" i="47"/>
  <c r="I276" i="47"/>
  <c r="H276" i="47" s="1"/>
  <c r="K275" i="47"/>
  <c r="J275" i="47"/>
  <c r="I275" i="47"/>
  <c r="H275" i="47" s="1"/>
  <c r="K274" i="47"/>
  <c r="J274" i="47"/>
  <c r="I274" i="47"/>
  <c r="H274" i="47" s="1"/>
  <c r="K273" i="47"/>
  <c r="J273" i="47"/>
  <c r="I273" i="47"/>
  <c r="H273" i="47" s="1"/>
  <c r="K272" i="47"/>
  <c r="J272" i="47"/>
  <c r="I272" i="47"/>
  <c r="H272" i="47" s="1"/>
  <c r="K271" i="47"/>
  <c r="J271" i="47"/>
  <c r="I271" i="47"/>
  <c r="H271" i="47" s="1"/>
  <c r="K270" i="47"/>
  <c r="J270" i="47"/>
  <c r="I270" i="47"/>
  <c r="H270" i="47" s="1"/>
  <c r="K269" i="47"/>
  <c r="J269" i="47"/>
  <c r="I269" i="47"/>
  <c r="H269" i="47" s="1"/>
  <c r="K268" i="47"/>
  <c r="J268" i="47"/>
  <c r="I268" i="47"/>
  <c r="H268" i="47" s="1"/>
  <c r="K267" i="47"/>
  <c r="J267" i="47"/>
  <c r="I267" i="47"/>
  <c r="H267" i="47" s="1"/>
  <c r="K266" i="47"/>
  <c r="J266" i="47"/>
  <c r="I266" i="47"/>
  <c r="H266" i="47" s="1"/>
  <c r="K265" i="47"/>
  <c r="J265" i="47"/>
  <c r="I265" i="47"/>
  <c r="H265" i="47" s="1"/>
  <c r="K264" i="47"/>
  <c r="J264" i="47"/>
  <c r="I264" i="47"/>
  <c r="H264" i="47" s="1"/>
  <c r="K263" i="47"/>
  <c r="J263" i="47"/>
  <c r="I263" i="47"/>
  <c r="H263" i="47" s="1"/>
  <c r="K262" i="47"/>
  <c r="J262" i="47"/>
  <c r="I262" i="47"/>
  <c r="H262" i="47" s="1"/>
  <c r="K261" i="47"/>
  <c r="J261" i="47"/>
  <c r="I261" i="47"/>
  <c r="H261" i="47" s="1"/>
  <c r="K260" i="47"/>
  <c r="J260" i="47"/>
  <c r="I260" i="47"/>
  <c r="H260" i="47" s="1"/>
  <c r="K259" i="47"/>
  <c r="J259" i="47"/>
  <c r="I259" i="47"/>
  <c r="H259" i="47" s="1"/>
  <c r="K258" i="47"/>
  <c r="J258" i="47"/>
  <c r="I258" i="47"/>
  <c r="H258" i="47" s="1"/>
  <c r="K257" i="47"/>
  <c r="J257" i="47"/>
  <c r="I257" i="47"/>
  <c r="H257" i="47" s="1"/>
  <c r="K256" i="47"/>
  <c r="J256" i="47"/>
  <c r="I256" i="47"/>
  <c r="H256" i="47" s="1"/>
  <c r="K255" i="47"/>
  <c r="J255" i="47"/>
  <c r="I255" i="47"/>
  <c r="H255" i="47" s="1"/>
  <c r="K254" i="47"/>
  <c r="J254" i="47"/>
  <c r="I254" i="47"/>
  <c r="H254" i="47" s="1"/>
  <c r="K253" i="47"/>
  <c r="J253" i="47"/>
  <c r="I253" i="47"/>
  <c r="H253" i="47" s="1"/>
  <c r="K252" i="47"/>
  <c r="J252" i="47"/>
  <c r="I252" i="47"/>
  <c r="H252" i="47" s="1"/>
  <c r="K251" i="47"/>
  <c r="J251" i="47"/>
  <c r="I251" i="47"/>
  <c r="H251" i="47" s="1"/>
  <c r="K250" i="47"/>
  <c r="J250" i="47"/>
  <c r="I250" i="47"/>
  <c r="H250" i="47" s="1"/>
  <c r="K249" i="47"/>
  <c r="J249" i="47"/>
  <c r="I249" i="47"/>
  <c r="H249" i="47" s="1"/>
  <c r="K248" i="47"/>
  <c r="J248" i="47"/>
  <c r="I248" i="47"/>
  <c r="H248" i="47" s="1"/>
  <c r="K247" i="47"/>
  <c r="J247" i="47"/>
  <c r="I247" i="47"/>
  <c r="H247" i="47" s="1"/>
  <c r="K246" i="47"/>
  <c r="J246" i="47"/>
  <c r="I246" i="47"/>
  <c r="H246" i="47" s="1"/>
  <c r="K245" i="47"/>
  <c r="J245" i="47"/>
  <c r="I245" i="47"/>
  <c r="H245" i="47" s="1"/>
  <c r="K244" i="47"/>
  <c r="J244" i="47"/>
  <c r="I244" i="47"/>
  <c r="H244" i="47" s="1"/>
  <c r="K243" i="47"/>
  <c r="J243" i="47"/>
  <c r="I243" i="47" s="1"/>
  <c r="H243" i="47" s="1"/>
  <c r="K242" i="47"/>
  <c r="J242" i="47"/>
  <c r="I242" i="47" s="1"/>
  <c r="H242" i="47" s="1"/>
  <c r="K241" i="47"/>
  <c r="J241" i="47"/>
  <c r="I241" i="47"/>
  <c r="H241" i="47" s="1"/>
  <c r="K240" i="47"/>
  <c r="J240" i="47"/>
  <c r="I240" i="47"/>
  <c r="H240" i="47" s="1"/>
  <c r="K239" i="47"/>
  <c r="J239" i="47"/>
  <c r="I239" i="47" s="1"/>
  <c r="H239" i="47" s="1"/>
  <c r="K238" i="47"/>
  <c r="J238" i="47"/>
  <c r="I238" i="47" s="1"/>
  <c r="H238" i="47" s="1"/>
  <c r="K237" i="47"/>
  <c r="J237" i="47"/>
  <c r="I237" i="47"/>
  <c r="H237" i="47" s="1"/>
  <c r="K236" i="47"/>
  <c r="J236" i="47"/>
  <c r="I236" i="47"/>
  <c r="H236" i="47" s="1"/>
  <c r="K235" i="47"/>
  <c r="J235" i="47"/>
  <c r="I235" i="47" s="1"/>
  <c r="H235" i="47" s="1"/>
  <c r="K234" i="47"/>
  <c r="J234" i="47"/>
  <c r="I234" i="47" s="1"/>
  <c r="H234" i="47" s="1"/>
  <c r="K233" i="47"/>
  <c r="J233" i="47"/>
  <c r="I233" i="47"/>
  <c r="H233" i="47" s="1"/>
  <c r="K232" i="47"/>
  <c r="J232" i="47"/>
  <c r="I232" i="47"/>
  <c r="H232" i="47" s="1"/>
  <c r="K231" i="47"/>
  <c r="J231" i="47"/>
  <c r="I231" i="47" s="1"/>
  <c r="H231" i="47" s="1"/>
  <c r="K230" i="47"/>
  <c r="J230" i="47"/>
  <c r="I230" i="47" s="1"/>
  <c r="H230" i="47" s="1"/>
  <c r="K229" i="47"/>
  <c r="J229" i="47"/>
  <c r="I229" i="47"/>
  <c r="H229" i="47" s="1"/>
  <c r="K228" i="47"/>
  <c r="J228" i="47"/>
  <c r="I228" i="47"/>
  <c r="H228" i="47" s="1"/>
  <c r="K227" i="47"/>
  <c r="J227" i="47"/>
  <c r="I227" i="47"/>
  <c r="H227" i="47" s="1"/>
  <c r="K226" i="47"/>
  <c r="J226" i="47"/>
  <c r="I226" i="47"/>
  <c r="H226" i="47" s="1"/>
  <c r="K225" i="47"/>
  <c r="J225" i="47"/>
  <c r="I225" i="47"/>
  <c r="H225" i="47" s="1"/>
  <c r="K224" i="47"/>
  <c r="J224" i="47"/>
  <c r="I224" i="47"/>
  <c r="H224" i="47" s="1"/>
  <c r="K223" i="47"/>
  <c r="J223" i="47"/>
  <c r="I223" i="47"/>
  <c r="H223" i="47" s="1"/>
  <c r="K222" i="47"/>
  <c r="J222" i="47"/>
  <c r="I222" i="47"/>
  <c r="H222" i="47" s="1"/>
  <c r="K221" i="47"/>
  <c r="J221" i="47"/>
  <c r="I221" i="47"/>
  <c r="H221" i="47" s="1"/>
  <c r="K220" i="47"/>
  <c r="J220" i="47"/>
  <c r="I220" i="47"/>
  <c r="H220" i="47" s="1"/>
  <c r="K219" i="47"/>
  <c r="J219" i="47"/>
  <c r="I219" i="47"/>
  <c r="H219" i="47" s="1"/>
  <c r="K218" i="47"/>
  <c r="J218" i="47"/>
  <c r="I218" i="47"/>
  <c r="H218" i="47" s="1"/>
  <c r="K217" i="47"/>
  <c r="J217" i="47"/>
  <c r="I217" i="47"/>
  <c r="H217" i="47" s="1"/>
  <c r="K216" i="47"/>
  <c r="J216" i="47"/>
  <c r="I216" i="47"/>
  <c r="H216" i="47" s="1"/>
  <c r="K215" i="47"/>
  <c r="J215" i="47"/>
  <c r="I215" i="47"/>
  <c r="H215" i="47" s="1"/>
  <c r="K214" i="47"/>
  <c r="J214" i="47"/>
  <c r="I214" i="47"/>
  <c r="H214" i="47" s="1"/>
  <c r="K213" i="47"/>
  <c r="J213" i="47"/>
  <c r="I213" i="47"/>
  <c r="H213" i="47" s="1"/>
  <c r="K212" i="47"/>
  <c r="J212" i="47"/>
  <c r="I212" i="47"/>
  <c r="H212" i="47" s="1"/>
  <c r="K211" i="47"/>
  <c r="J211" i="47"/>
  <c r="I211" i="47"/>
  <c r="H211" i="47" s="1"/>
  <c r="K210" i="47"/>
  <c r="J210" i="47"/>
  <c r="I210" i="47"/>
  <c r="H210" i="47" s="1"/>
  <c r="K209" i="47"/>
  <c r="J209" i="47"/>
  <c r="I209" i="47"/>
  <c r="H209" i="47" s="1"/>
  <c r="K208" i="47"/>
  <c r="J208" i="47"/>
  <c r="I208" i="47"/>
  <c r="H208" i="47" s="1"/>
  <c r="K207" i="47"/>
  <c r="J207" i="47"/>
  <c r="I207" i="47"/>
  <c r="H207" i="47" s="1"/>
  <c r="K206" i="47"/>
  <c r="J206" i="47"/>
  <c r="I206" i="47"/>
  <c r="H206" i="47" s="1"/>
  <c r="K205" i="47"/>
  <c r="J205" i="47"/>
  <c r="I205" i="47"/>
  <c r="H205" i="47" s="1"/>
  <c r="K204" i="47"/>
  <c r="J204" i="47"/>
  <c r="I204" i="47"/>
  <c r="H204" i="47" s="1"/>
  <c r="K203" i="47"/>
  <c r="J203" i="47"/>
  <c r="I203" i="47"/>
  <c r="H203" i="47" s="1"/>
  <c r="K202" i="47"/>
  <c r="J202" i="47"/>
  <c r="I202" i="47"/>
  <c r="H202" i="47" s="1"/>
  <c r="K201" i="47"/>
  <c r="J201" i="47"/>
  <c r="I201" i="47"/>
  <c r="H201" i="47" s="1"/>
  <c r="K200" i="47"/>
  <c r="J200" i="47"/>
  <c r="I200" i="47"/>
  <c r="H200" i="47" s="1"/>
  <c r="K199" i="47"/>
  <c r="J199" i="47"/>
  <c r="I199" i="47"/>
  <c r="H199" i="47" s="1"/>
  <c r="K198" i="47"/>
  <c r="J198" i="47"/>
  <c r="I198" i="47"/>
  <c r="H198" i="47" s="1"/>
  <c r="K197" i="47"/>
  <c r="J197" i="47"/>
  <c r="I197" i="47"/>
  <c r="H197" i="47" s="1"/>
  <c r="K196" i="47"/>
  <c r="J196" i="47"/>
  <c r="I196" i="47"/>
  <c r="H196" i="47" s="1"/>
  <c r="K195" i="47"/>
  <c r="J195" i="47"/>
  <c r="I195" i="47"/>
  <c r="H195" i="47" s="1"/>
  <c r="K194" i="47"/>
  <c r="J194" i="47"/>
  <c r="I194" i="47"/>
  <c r="H194" i="47" s="1"/>
  <c r="K193" i="47"/>
  <c r="J193" i="47"/>
  <c r="I193" i="47"/>
  <c r="H193" i="47" s="1"/>
  <c r="K192" i="47"/>
  <c r="J192" i="47"/>
  <c r="I192" i="47"/>
  <c r="H192" i="47" s="1"/>
  <c r="K191" i="47"/>
  <c r="J191" i="47"/>
  <c r="I191" i="47"/>
  <c r="H191" i="47" s="1"/>
  <c r="K190" i="47"/>
  <c r="J190" i="47"/>
  <c r="I190" i="47"/>
  <c r="H190" i="47" s="1"/>
  <c r="K189" i="47"/>
  <c r="J189" i="47"/>
  <c r="I189" i="47"/>
  <c r="H189" i="47" s="1"/>
  <c r="K188" i="47"/>
  <c r="J188" i="47"/>
  <c r="I188" i="47"/>
  <c r="H188" i="47" s="1"/>
  <c r="K187" i="47"/>
  <c r="J187" i="47"/>
  <c r="I187" i="47"/>
  <c r="H187" i="47" s="1"/>
  <c r="K186" i="47"/>
  <c r="J186" i="47"/>
  <c r="I186" i="47"/>
  <c r="H186" i="47" s="1"/>
  <c r="K185" i="47"/>
  <c r="J185" i="47"/>
  <c r="I185" i="47"/>
  <c r="H185" i="47" s="1"/>
  <c r="K184" i="47"/>
  <c r="J184" i="47"/>
  <c r="I184" i="47"/>
  <c r="H184" i="47" s="1"/>
  <c r="K183" i="47"/>
  <c r="J183" i="47"/>
  <c r="I183" i="47"/>
  <c r="H183" i="47" s="1"/>
  <c r="K182" i="47"/>
  <c r="J182" i="47"/>
  <c r="I182" i="47"/>
  <c r="H182" i="47" s="1"/>
  <c r="K181" i="47"/>
  <c r="J181" i="47"/>
  <c r="I181" i="47"/>
  <c r="H181" i="47" s="1"/>
  <c r="K180" i="47"/>
  <c r="J180" i="47"/>
  <c r="I180" i="47"/>
  <c r="H180" i="47" s="1"/>
  <c r="K179" i="47"/>
  <c r="J179" i="47"/>
  <c r="I179" i="47"/>
  <c r="H179" i="47" s="1"/>
  <c r="K178" i="47"/>
  <c r="J178" i="47"/>
  <c r="I178" i="47"/>
  <c r="H178" i="47" s="1"/>
  <c r="K177" i="47"/>
  <c r="J177" i="47"/>
  <c r="I177" i="47"/>
  <c r="H177" i="47" s="1"/>
  <c r="K176" i="47"/>
  <c r="J176" i="47"/>
  <c r="I176" i="47"/>
  <c r="H176" i="47" s="1"/>
  <c r="K175" i="47"/>
  <c r="J175" i="47"/>
  <c r="I175" i="47"/>
  <c r="H175" i="47" s="1"/>
  <c r="K174" i="47"/>
  <c r="J174" i="47"/>
  <c r="I174" i="47"/>
  <c r="H174" i="47" s="1"/>
  <c r="K173" i="47"/>
  <c r="J173" i="47"/>
  <c r="I173" i="47"/>
  <c r="H173" i="47" s="1"/>
  <c r="K172" i="47"/>
  <c r="J172" i="47"/>
  <c r="I172" i="47"/>
  <c r="H172" i="47" s="1"/>
  <c r="K171" i="47"/>
  <c r="J171" i="47"/>
  <c r="I171" i="47"/>
  <c r="H171" i="47" s="1"/>
  <c r="K170" i="47"/>
  <c r="J170" i="47"/>
  <c r="I170" i="47"/>
  <c r="H170" i="47" s="1"/>
  <c r="K169" i="47"/>
  <c r="J169" i="47"/>
  <c r="I169" i="47"/>
  <c r="H169" i="47" s="1"/>
  <c r="K168" i="47"/>
  <c r="J168" i="47"/>
  <c r="I168" i="47"/>
  <c r="H168" i="47" s="1"/>
  <c r="K167" i="47"/>
  <c r="J167" i="47"/>
  <c r="I167" i="47"/>
  <c r="H167" i="47" s="1"/>
  <c r="K166" i="47"/>
  <c r="J166" i="47"/>
  <c r="I166" i="47"/>
  <c r="H166" i="47" s="1"/>
  <c r="K165" i="47"/>
  <c r="J165" i="47"/>
  <c r="I165" i="47"/>
  <c r="H165" i="47" s="1"/>
  <c r="K164" i="47"/>
  <c r="J164" i="47"/>
  <c r="I164" i="47"/>
  <c r="H164" i="47" s="1"/>
  <c r="K163" i="47"/>
  <c r="J163" i="47"/>
  <c r="I163" i="47"/>
  <c r="H163" i="47" s="1"/>
  <c r="K162" i="47"/>
  <c r="J162" i="47"/>
  <c r="I162" i="47"/>
  <c r="H162" i="47" s="1"/>
  <c r="K161" i="47"/>
  <c r="J161" i="47"/>
  <c r="I161" i="47"/>
  <c r="H161" i="47" s="1"/>
  <c r="K160" i="47"/>
  <c r="J160" i="47"/>
  <c r="I160" i="47"/>
  <c r="H160" i="47" s="1"/>
  <c r="K159" i="47"/>
  <c r="J159" i="47"/>
  <c r="I159" i="47"/>
  <c r="H159" i="47" s="1"/>
  <c r="K158" i="47"/>
  <c r="J158" i="47"/>
  <c r="I158" i="47"/>
  <c r="H158" i="47" s="1"/>
  <c r="K157" i="47"/>
  <c r="J157" i="47"/>
  <c r="I157" i="47"/>
  <c r="H157" i="47" s="1"/>
  <c r="K156" i="47"/>
  <c r="J156" i="47"/>
  <c r="I156" i="47"/>
  <c r="H156" i="47" s="1"/>
  <c r="K155" i="47"/>
  <c r="J155" i="47"/>
  <c r="I155" i="47"/>
  <c r="H155" i="47" s="1"/>
  <c r="K154" i="47"/>
  <c r="J154" i="47"/>
  <c r="I154" i="47"/>
  <c r="H154" i="47" s="1"/>
  <c r="K153" i="47"/>
  <c r="J153" i="47"/>
  <c r="I153" i="47"/>
  <c r="H153" i="47" s="1"/>
  <c r="K152" i="47"/>
  <c r="J152" i="47"/>
  <c r="I152" i="47"/>
  <c r="H152" i="47" s="1"/>
  <c r="K151" i="47"/>
  <c r="J151" i="47"/>
  <c r="I151" i="47"/>
  <c r="H151" i="47" s="1"/>
  <c r="K150" i="47"/>
  <c r="J150" i="47"/>
  <c r="I150" i="47"/>
  <c r="H150" i="47" s="1"/>
  <c r="K149" i="47"/>
  <c r="J149" i="47"/>
  <c r="I149" i="47"/>
  <c r="H149" i="47" s="1"/>
  <c r="K148" i="47"/>
  <c r="J148" i="47"/>
  <c r="I148" i="47"/>
  <c r="H148" i="47"/>
  <c r="K147" i="47"/>
  <c r="J147" i="47"/>
  <c r="I147" i="47"/>
  <c r="H147" i="47"/>
  <c r="K146" i="47"/>
  <c r="J146" i="47"/>
  <c r="I146" i="47"/>
  <c r="H146" i="47"/>
  <c r="K145" i="47"/>
  <c r="J145" i="47"/>
  <c r="I145" i="47"/>
  <c r="H145" i="47"/>
  <c r="K144" i="47"/>
  <c r="J144" i="47"/>
  <c r="I144" i="47"/>
  <c r="H144" i="47"/>
  <c r="K143" i="47"/>
  <c r="J143" i="47"/>
  <c r="I143" i="47"/>
  <c r="H143" i="47"/>
  <c r="K142" i="47"/>
  <c r="J142" i="47"/>
  <c r="I142" i="47"/>
  <c r="H142" i="47"/>
  <c r="K141" i="47"/>
  <c r="J141" i="47"/>
  <c r="I141" i="47"/>
  <c r="H141" i="47"/>
  <c r="K140" i="47"/>
  <c r="J140" i="47"/>
  <c r="I140" i="47"/>
  <c r="H140" i="47"/>
  <c r="K139" i="47"/>
  <c r="J139" i="47"/>
  <c r="I139" i="47"/>
  <c r="H139" i="47"/>
  <c r="K138" i="47"/>
  <c r="J138" i="47"/>
  <c r="I138" i="47"/>
  <c r="H138" i="47"/>
  <c r="K137" i="47"/>
  <c r="J137" i="47"/>
  <c r="I137" i="47"/>
  <c r="H137" i="47"/>
  <c r="K136" i="47"/>
  <c r="J136" i="47"/>
  <c r="I136" i="47"/>
  <c r="H136" i="47"/>
  <c r="K135" i="47"/>
  <c r="J135" i="47"/>
  <c r="I135" i="47"/>
  <c r="H135" i="47"/>
  <c r="K134" i="47"/>
  <c r="J134" i="47"/>
  <c r="I134" i="47"/>
  <c r="H134" i="47"/>
  <c r="K133" i="47"/>
  <c r="J133" i="47"/>
  <c r="I133" i="47"/>
  <c r="H133" i="47"/>
  <c r="K132" i="47"/>
  <c r="J132" i="47"/>
  <c r="I132" i="47"/>
  <c r="H132" i="47"/>
  <c r="K131" i="47"/>
  <c r="J131" i="47"/>
  <c r="I131" i="47"/>
  <c r="H131" i="47"/>
  <c r="K130" i="47"/>
  <c r="J130" i="47"/>
  <c r="I130" i="47"/>
  <c r="H130" i="47"/>
  <c r="K129" i="47"/>
  <c r="J129" i="47"/>
  <c r="I129" i="47"/>
  <c r="H129" i="47"/>
  <c r="K128" i="47"/>
  <c r="J128" i="47"/>
  <c r="I128" i="47"/>
  <c r="H128" i="47"/>
  <c r="K127" i="47"/>
  <c r="J127" i="47"/>
  <c r="I127" i="47"/>
  <c r="H127" i="47"/>
  <c r="K126" i="47"/>
  <c r="J126" i="47"/>
  <c r="I126" i="47"/>
  <c r="H126" i="47"/>
  <c r="K125" i="47"/>
  <c r="J125" i="47"/>
  <c r="I125" i="47"/>
  <c r="H125" i="47"/>
  <c r="K124" i="47"/>
  <c r="J124" i="47"/>
  <c r="I124" i="47"/>
  <c r="H124" i="47"/>
  <c r="K123" i="47"/>
  <c r="J123" i="47"/>
  <c r="I123" i="47"/>
  <c r="H123" i="47"/>
  <c r="K122" i="47"/>
  <c r="J122" i="47"/>
  <c r="I122" i="47"/>
  <c r="H122" i="47"/>
  <c r="K121" i="47"/>
  <c r="J121" i="47"/>
  <c r="I121" i="47"/>
  <c r="H121" i="47"/>
  <c r="K120" i="47"/>
  <c r="J120" i="47"/>
  <c r="I120" i="47"/>
  <c r="H120" i="47"/>
  <c r="K119" i="47"/>
  <c r="J119" i="47"/>
  <c r="I119" i="47"/>
  <c r="H119" i="47"/>
  <c r="K118" i="47"/>
  <c r="J118" i="47"/>
  <c r="I118" i="47"/>
  <c r="H118" i="47"/>
  <c r="K117" i="47"/>
  <c r="J117" i="47"/>
  <c r="I117" i="47"/>
  <c r="H117" i="47"/>
  <c r="K116" i="47"/>
  <c r="J116" i="47"/>
  <c r="I116" i="47"/>
  <c r="H116" i="47"/>
  <c r="K115" i="47"/>
  <c r="J115" i="47"/>
  <c r="I115" i="47"/>
  <c r="H115" i="47"/>
  <c r="K114" i="47"/>
  <c r="J114" i="47"/>
  <c r="I114" i="47"/>
  <c r="H114" i="47"/>
  <c r="K113" i="47"/>
  <c r="J113" i="47"/>
  <c r="I113" i="47"/>
  <c r="H113" i="47"/>
  <c r="K112" i="47"/>
  <c r="J112" i="47"/>
  <c r="I112" i="47"/>
  <c r="H112" i="47"/>
  <c r="K111" i="47"/>
  <c r="J111" i="47"/>
  <c r="I111" i="47"/>
  <c r="H111" i="47"/>
  <c r="K110" i="47"/>
  <c r="J110" i="47"/>
  <c r="I110" i="47"/>
  <c r="H110" i="47"/>
  <c r="K109" i="47"/>
  <c r="J109" i="47"/>
  <c r="I109" i="47"/>
  <c r="H109" i="47"/>
  <c r="K108" i="47"/>
  <c r="J108" i="47"/>
  <c r="I108" i="47"/>
  <c r="H108" i="47"/>
  <c r="K107" i="47"/>
  <c r="J107" i="47"/>
  <c r="I107" i="47"/>
  <c r="H107" i="47"/>
  <c r="K106" i="47"/>
  <c r="J106" i="47"/>
  <c r="I106" i="47"/>
  <c r="H106" i="47"/>
  <c r="K105" i="47"/>
  <c r="J105" i="47"/>
  <c r="I105" i="47"/>
  <c r="H105" i="47"/>
  <c r="K104" i="47"/>
  <c r="J104" i="47"/>
  <c r="I104" i="47"/>
  <c r="H104" i="47"/>
  <c r="K103" i="47"/>
  <c r="J103" i="47"/>
  <c r="I103" i="47"/>
  <c r="H103" i="47"/>
  <c r="K102" i="47"/>
  <c r="J102" i="47"/>
  <c r="I102" i="47"/>
  <c r="H102" i="47"/>
  <c r="K101" i="47"/>
  <c r="J101" i="47"/>
  <c r="I101" i="47"/>
  <c r="H101" i="47"/>
  <c r="K100" i="47"/>
  <c r="J100" i="47"/>
  <c r="I100" i="47"/>
  <c r="H100" i="47"/>
  <c r="K99" i="47"/>
  <c r="J99" i="47"/>
  <c r="I99" i="47"/>
  <c r="H99" i="47"/>
  <c r="K98" i="47"/>
  <c r="J98" i="47"/>
  <c r="I98" i="47"/>
  <c r="H98" i="47"/>
  <c r="K97" i="47"/>
  <c r="J97" i="47"/>
  <c r="I97" i="47"/>
  <c r="H97" i="47"/>
  <c r="K96" i="47"/>
  <c r="J96" i="47"/>
  <c r="I96" i="47"/>
  <c r="H96" i="47"/>
  <c r="K95" i="47"/>
  <c r="J95" i="47"/>
  <c r="I95" i="47"/>
  <c r="H95" i="47"/>
  <c r="K94" i="47"/>
  <c r="J94" i="47"/>
  <c r="I94" i="47"/>
  <c r="H94" i="47"/>
  <c r="K93" i="47"/>
  <c r="J93" i="47"/>
  <c r="I93" i="47"/>
  <c r="H93" i="47"/>
  <c r="K92" i="47"/>
  <c r="J92" i="47"/>
  <c r="I92" i="47"/>
  <c r="H92" i="47"/>
  <c r="K91" i="47"/>
  <c r="J91" i="47"/>
  <c r="I91" i="47"/>
  <c r="H91" i="47"/>
  <c r="K90" i="47"/>
  <c r="J90" i="47"/>
  <c r="I90" i="47"/>
  <c r="H90" i="47"/>
  <c r="K89" i="47"/>
  <c r="J89" i="47"/>
  <c r="I89" i="47"/>
  <c r="H89" i="47"/>
  <c r="K88" i="47"/>
  <c r="J88" i="47"/>
  <c r="I88" i="47"/>
  <c r="H88" i="47"/>
  <c r="K87" i="47"/>
  <c r="J87" i="47"/>
  <c r="I87" i="47"/>
  <c r="H87" i="47"/>
  <c r="K86" i="47"/>
  <c r="J86" i="47"/>
  <c r="I86" i="47"/>
  <c r="H86" i="47"/>
  <c r="K85" i="47"/>
  <c r="J85" i="47"/>
  <c r="I85" i="47"/>
  <c r="H85" i="47"/>
  <c r="K84" i="47"/>
  <c r="J84" i="47"/>
  <c r="I84" i="47"/>
  <c r="H84" i="47"/>
  <c r="K83" i="47"/>
  <c r="J83" i="47"/>
  <c r="I83" i="47"/>
  <c r="H83" i="47"/>
  <c r="K82" i="47"/>
  <c r="J82" i="47"/>
  <c r="I82" i="47"/>
  <c r="H82" i="47"/>
  <c r="K81" i="47"/>
  <c r="J81" i="47"/>
  <c r="I81" i="47"/>
  <c r="H81" i="47"/>
  <c r="K80" i="47"/>
  <c r="J80" i="47"/>
  <c r="I80" i="47"/>
  <c r="H80" i="47"/>
  <c r="K79" i="47"/>
  <c r="J79" i="47"/>
  <c r="I79" i="47"/>
  <c r="H79" i="47"/>
  <c r="K78" i="47"/>
  <c r="J78" i="47"/>
  <c r="I78" i="47"/>
  <c r="H78" i="47"/>
  <c r="K77" i="47"/>
  <c r="J77" i="47"/>
  <c r="I77" i="47"/>
  <c r="H77" i="47"/>
  <c r="K76" i="47"/>
  <c r="J76" i="47"/>
  <c r="I76" i="47"/>
  <c r="H76" i="47"/>
  <c r="K75" i="47"/>
  <c r="J75" i="47"/>
  <c r="I75" i="47"/>
  <c r="H75" i="47"/>
  <c r="K74" i="47"/>
  <c r="J74" i="47"/>
  <c r="I74" i="47"/>
  <c r="H74" i="47"/>
  <c r="K73" i="47"/>
  <c r="J73" i="47"/>
  <c r="I73" i="47"/>
  <c r="H73" i="47"/>
  <c r="K72" i="47"/>
  <c r="J72" i="47"/>
  <c r="I72" i="47"/>
  <c r="H72" i="47"/>
  <c r="K71" i="47"/>
  <c r="J71" i="47"/>
  <c r="I71" i="47"/>
  <c r="H71" i="47"/>
  <c r="K70" i="47"/>
  <c r="J70" i="47"/>
  <c r="I70" i="47"/>
  <c r="H70" i="47"/>
  <c r="K69" i="47"/>
  <c r="J69" i="47"/>
  <c r="I69" i="47"/>
  <c r="H69" i="47"/>
  <c r="K68" i="47"/>
  <c r="J68" i="47"/>
  <c r="I68" i="47"/>
  <c r="H68" i="47"/>
  <c r="K67" i="47"/>
  <c r="J67" i="47"/>
  <c r="I67" i="47"/>
  <c r="H67" i="47"/>
  <c r="K66" i="47"/>
  <c r="J66" i="47"/>
  <c r="I66" i="47"/>
  <c r="H66" i="47"/>
  <c r="K65" i="47"/>
  <c r="J65" i="47"/>
  <c r="I65" i="47"/>
  <c r="H65" i="47"/>
  <c r="K64" i="47"/>
  <c r="J64" i="47"/>
  <c r="I64" i="47"/>
  <c r="H64" i="47"/>
  <c r="K63" i="47"/>
  <c r="J63" i="47"/>
  <c r="I63" i="47"/>
  <c r="H63" i="47"/>
  <c r="K62" i="47"/>
  <c r="J62" i="47"/>
  <c r="I62" i="47"/>
  <c r="H62" i="47"/>
  <c r="K61" i="47"/>
  <c r="J61" i="47"/>
  <c r="I61" i="47"/>
  <c r="H61" i="47"/>
  <c r="K60" i="47"/>
  <c r="J60" i="47"/>
  <c r="I60" i="47"/>
  <c r="H60" i="47"/>
  <c r="K59" i="47"/>
  <c r="J59" i="47"/>
  <c r="I59" i="47"/>
  <c r="H59" i="47"/>
  <c r="K58" i="47"/>
  <c r="J58" i="47"/>
  <c r="I58" i="47"/>
  <c r="H58" i="47"/>
  <c r="K57" i="47"/>
  <c r="J57" i="47"/>
  <c r="I57" i="47"/>
  <c r="H57" i="47"/>
  <c r="K56" i="47"/>
  <c r="J56" i="47"/>
  <c r="I56" i="47"/>
  <c r="H56" i="47"/>
  <c r="K55" i="47"/>
  <c r="J55" i="47"/>
  <c r="I55" i="47"/>
  <c r="H55" i="47"/>
  <c r="K54" i="47"/>
  <c r="J54" i="47"/>
  <c r="I54" i="47"/>
  <c r="H54" i="47"/>
  <c r="K53" i="47"/>
  <c r="J53" i="47"/>
  <c r="I53" i="47"/>
  <c r="H53" i="47"/>
  <c r="K52" i="47"/>
  <c r="J52" i="47"/>
  <c r="I52" i="47"/>
  <c r="H52" i="47"/>
  <c r="K51" i="47"/>
  <c r="J51" i="47"/>
  <c r="I51" i="47"/>
  <c r="H51" i="47"/>
  <c r="K50" i="47"/>
  <c r="J50" i="47"/>
  <c r="I50" i="47"/>
  <c r="H50" i="47"/>
  <c r="K49" i="47"/>
  <c r="J49" i="47"/>
  <c r="I49" i="47"/>
  <c r="H49" i="47"/>
  <c r="K48" i="47"/>
  <c r="J48" i="47"/>
  <c r="I48" i="47"/>
  <c r="H48" i="47"/>
  <c r="K47" i="47"/>
  <c r="J47" i="47"/>
  <c r="I47" i="47"/>
  <c r="H47" i="47"/>
  <c r="K46" i="47"/>
  <c r="J46" i="47"/>
  <c r="I46" i="47"/>
  <c r="H46" i="47"/>
  <c r="K45" i="47"/>
  <c r="J45" i="47"/>
  <c r="I45" i="47"/>
  <c r="H45" i="47"/>
  <c r="K44" i="47"/>
  <c r="J44" i="47"/>
  <c r="I44" i="47"/>
  <c r="H44" i="47"/>
  <c r="K43" i="47"/>
  <c r="J43" i="47"/>
  <c r="I43" i="47"/>
  <c r="H43" i="47"/>
  <c r="K42" i="47"/>
  <c r="J42" i="47"/>
  <c r="I42" i="47"/>
  <c r="H42" i="47"/>
  <c r="K41" i="47"/>
  <c r="J41" i="47"/>
  <c r="I41" i="47"/>
  <c r="H41" i="47"/>
  <c r="K40" i="47"/>
  <c r="J40" i="47"/>
  <c r="I40" i="47"/>
  <c r="H40" i="47"/>
  <c r="K39" i="47"/>
  <c r="J39" i="47"/>
  <c r="I39" i="47"/>
  <c r="H39" i="47"/>
  <c r="K38" i="47"/>
  <c r="J38" i="47"/>
  <c r="I38" i="47"/>
  <c r="H38" i="47"/>
  <c r="K37" i="47"/>
  <c r="J37" i="47"/>
  <c r="I37" i="47"/>
  <c r="H37" i="47"/>
  <c r="K36" i="47"/>
  <c r="J36" i="47"/>
  <c r="I36" i="47"/>
  <c r="H36" i="47"/>
  <c r="K35" i="47"/>
  <c r="J35" i="47"/>
  <c r="I35" i="47"/>
  <c r="H35" i="47"/>
  <c r="K34" i="47"/>
  <c r="J34" i="47"/>
  <c r="I34" i="47"/>
  <c r="H34" i="47"/>
  <c r="K33" i="47"/>
  <c r="J33" i="47"/>
  <c r="I33" i="47"/>
  <c r="H33" i="47"/>
  <c r="K32" i="47"/>
  <c r="J32" i="47"/>
  <c r="I32" i="47"/>
  <c r="H32" i="47"/>
  <c r="K31" i="47"/>
  <c r="J31" i="47"/>
  <c r="I31" i="47"/>
  <c r="H31" i="47"/>
  <c r="K30" i="47"/>
  <c r="J30" i="47"/>
  <c r="I30" i="47"/>
  <c r="H30" i="47"/>
  <c r="K29" i="47"/>
  <c r="J29" i="47"/>
  <c r="I29" i="47"/>
  <c r="H29" i="47"/>
  <c r="K28" i="47"/>
  <c r="J28" i="47"/>
  <c r="I28" i="47"/>
  <c r="H28" i="47"/>
  <c r="K27" i="47"/>
  <c r="J27" i="47"/>
  <c r="I27" i="47"/>
  <c r="H27" i="47"/>
  <c r="K26" i="47"/>
  <c r="J26" i="47"/>
  <c r="I26" i="47"/>
  <c r="H26" i="47"/>
  <c r="K25" i="47"/>
  <c r="J25" i="47"/>
  <c r="I25" i="47"/>
  <c r="H25" i="47"/>
  <c r="K24" i="47"/>
  <c r="J24" i="47"/>
  <c r="I24" i="47"/>
  <c r="H24" i="47"/>
  <c r="K23" i="47"/>
  <c r="J23" i="47"/>
  <c r="I23" i="47"/>
  <c r="H23" i="47"/>
  <c r="K22" i="47"/>
  <c r="J22" i="47"/>
  <c r="I22" i="47"/>
  <c r="H22" i="47"/>
  <c r="K21" i="47"/>
  <c r="J21" i="47"/>
  <c r="I21" i="47"/>
  <c r="H21" i="47"/>
  <c r="K20" i="47"/>
  <c r="J20" i="47"/>
  <c r="I20" i="47"/>
  <c r="H20" i="47"/>
  <c r="K19" i="47"/>
  <c r="J19" i="47"/>
  <c r="I19" i="47"/>
  <c r="H19" i="47"/>
  <c r="K18" i="47"/>
  <c r="J18" i="47"/>
  <c r="I18" i="47"/>
  <c r="H18" i="47"/>
  <c r="K17" i="47"/>
  <c r="J17" i="47"/>
  <c r="I17" i="47"/>
  <c r="H17" i="47"/>
  <c r="K16" i="47"/>
  <c r="J16" i="47"/>
  <c r="I16" i="47"/>
  <c r="H16" i="47"/>
  <c r="K15" i="47"/>
  <c r="J15" i="47"/>
  <c r="I15" i="47"/>
  <c r="H15" i="47"/>
  <c r="K14" i="47"/>
  <c r="J14" i="47"/>
  <c r="I14" i="47"/>
  <c r="H14" i="47"/>
  <c r="K13" i="47"/>
  <c r="J13" i="47"/>
  <c r="I13" i="47"/>
  <c r="H13" i="47"/>
  <c r="K12" i="47"/>
  <c r="J12" i="47"/>
  <c r="I12" i="47"/>
  <c r="H12" i="47"/>
  <c r="K11" i="47"/>
  <c r="J11" i="47"/>
  <c r="I11" i="47"/>
  <c r="H11" i="47"/>
  <c r="K10" i="47"/>
  <c r="J10" i="47"/>
  <c r="I10" i="47"/>
  <c r="H10" i="47"/>
  <c r="K9" i="47"/>
  <c r="J9" i="47"/>
  <c r="I9" i="47"/>
  <c r="H9" i="47"/>
  <c r="K8" i="47"/>
  <c r="J8" i="47"/>
  <c r="I8" i="47"/>
  <c r="H8" i="47"/>
  <c r="K7" i="47"/>
  <c r="J7" i="47"/>
  <c r="I7" i="47"/>
  <c r="H7" i="47"/>
  <c r="K6" i="47"/>
  <c r="J6" i="47"/>
  <c r="I6" i="47"/>
  <c r="H6" i="47"/>
  <c r="K5" i="47"/>
  <c r="J5" i="47"/>
  <c r="I5" i="47"/>
  <c r="H5" i="47"/>
  <c r="K4" i="47"/>
  <c r="H4" i="47"/>
  <c r="N80" i="16"/>
  <c r="N79" i="16"/>
  <c r="E314" i="47"/>
  <c r="E313" i="47"/>
  <c r="E312" i="47"/>
  <c r="E311" i="47"/>
  <c r="E310" i="47"/>
  <c r="E309" i="47"/>
  <c r="E308" i="47"/>
  <c r="E307" i="47"/>
  <c r="E306" i="47"/>
  <c r="E305" i="47"/>
  <c r="E304" i="47"/>
  <c r="E303" i="47"/>
  <c r="E302" i="47"/>
  <c r="E301" i="47"/>
  <c r="E300" i="47"/>
  <c r="E299" i="47"/>
  <c r="E298" i="47"/>
  <c r="E297" i="47"/>
  <c r="E296" i="47"/>
  <c r="E295" i="47"/>
  <c r="E294" i="47"/>
  <c r="E293" i="47"/>
  <c r="E292" i="47"/>
  <c r="E291" i="47"/>
  <c r="E290" i="47"/>
  <c r="E289" i="47"/>
  <c r="E288" i="47"/>
  <c r="E287" i="47"/>
  <c r="E286" i="47"/>
  <c r="E285" i="47"/>
  <c r="E284" i="47"/>
  <c r="E283" i="47"/>
  <c r="E282" i="47"/>
  <c r="E281" i="47"/>
  <c r="E280" i="47"/>
  <c r="E279" i="47"/>
  <c r="E278" i="47"/>
  <c r="E277" i="47"/>
  <c r="E276" i="47"/>
  <c r="E275" i="47"/>
  <c r="E274" i="47"/>
  <c r="E273" i="47"/>
  <c r="E272" i="47"/>
  <c r="E271" i="47"/>
  <c r="E270" i="47"/>
  <c r="E269" i="47"/>
  <c r="E268" i="47"/>
  <c r="E267" i="47"/>
  <c r="E266" i="47"/>
  <c r="E265" i="47"/>
  <c r="E264" i="47"/>
  <c r="E263" i="47"/>
  <c r="E262" i="47"/>
  <c r="E261" i="47"/>
  <c r="E260" i="47"/>
  <c r="E259" i="47"/>
  <c r="E258" i="47"/>
  <c r="E257" i="47"/>
  <c r="E256" i="47"/>
  <c r="E255" i="47"/>
  <c r="E254" i="47"/>
  <c r="E253" i="47"/>
  <c r="E252" i="47"/>
  <c r="E251" i="47"/>
  <c r="E250" i="47"/>
  <c r="E249" i="47"/>
  <c r="E248" i="47"/>
  <c r="E247" i="47"/>
  <c r="E246" i="47"/>
  <c r="E245" i="47"/>
  <c r="E244" i="47"/>
  <c r="E243" i="47"/>
  <c r="E242" i="47"/>
  <c r="E241" i="47"/>
  <c r="E240" i="47"/>
  <c r="E239" i="47"/>
  <c r="E238" i="47"/>
  <c r="E237" i="47"/>
  <c r="E236" i="47"/>
  <c r="E235" i="47"/>
  <c r="E234" i="47"/>
  <c r="E233" i="47"/>
  <c r="E232" i="47"/>
  <c r="E231" i="47"/>
  <c r="E230" i="47"/>
  <c r="E229" i="47"/>
  <c r="E228" i="47"/>
  <c r="E227" i="47"/>
  <c r="E226" i="47"/>
  <c r="E225" i="47"/>
  <c r="E224" i="47"/>
  <c r="E223" i="47"/>
  <c r="E222" i="47"/>
  <c r="E221" i="47"/>
  <c r="E220" i="47"/>
  <c r="E219" i="47"/>
  <c r="E218" i="47"/>
  <c r="E217" i="47"/>
  <c r="E216" i="47"/>
  <c r="E215" i="47"/>
  <c r="E214" i="47"/>
  <c r="E213" i="47"/>
  <c r="E212" i="47"/>
  <c r="E211" i="47"/>
  <c r="E210" i="47"/>
  <c r="E209" i="47"/>
  <c r="E208" i="47"/>
  <c r="E207" i="47"/>
  <c r="E206" i="47"/>
  <c r="E205" i="47"/>
  <c r="E204" i="47"/>
  <c r="E203" i="47"/>
  <c r="E202" i="47"/>
  <c r="E201" i="47"/>
  <c r="E200" i="47"/>
  <c r="E199" i="47"/>
  <c r="E198" i="47"/>
  <c r="E197" i="47"/>
  <c r="E196" i="47"/>
  <c r="E195" i="47"/>
  <c r="E194" i="47"/>
  <c r="E193" i="47"/>
  <c r="E192" i="47"/>
  <c r="E191" i="47"/>
  <c r="E190" i="47"/>
  <c r="E189" i="47"/>
  <c r="E188" i="47"/>
  <c r="E187" i="47"/>
  <c r="E186" i="47"/>
  <c r="E185" i="47"/>
  <c r="E184" i="47"/>
  <c r="E183" i="47"/>
  <c r="E182" i="47"/>
  <c r="E181" i="47"/>
  <c r="E180" i="47"/>
  <c r="E179" i="47"/>
  <c r="E178" i="47"/>
  <c r="E177" i="47"/>
  <c r="E176" i="47"/>
  <c r="E175" i="47"/>
  <c r="E174" i="47"/>
  <c r="E173" i="47"/>
  <c r="E172" i="47"/>
  <c r="E171" i="47"/>
  <c r="E170" i="47"/>
  <c r="E169" i="47"/>
  <c r="E168" i="47"/>
  <c r="E167" i="47"/>
  <c r="E166" i="47"/>
  <c r="E165" i="47"/>
  <c r="E164" i="47"/>
  <c r="E163" i="47"/>
  <c r="E162" i="47"/>
  <c r="E161" i="47"/>
  <c r="E160" i="47"/>
  <c r="E159" i="47"/>
  <c r="E158" i="47"/>
  <c r="E157" i="47"/>
  <c r="E156" i="47"/>
  <c r="E155" i="47"/>
  <c r="E154" i="47"/>
  <c r="E153" i="47"/>
  <c r="E152" i="47"/>
  <c r="E151" i="47"/>
  <c r="E150" i="47"/>
  <c r="E149" i="47"/>
  <c r="E148" i="47"/>
  <c r="E147" i="47"/>
  <c r="E146" i="47"/>
  <c r="E145" i="47"/>
  <c r="E144" i="47"/>
  <c r="E143" i="47"/>
  <c r="E142" i="47"/>
  <c r="E141" i="47"/>
  <c r="E140" i="47"/>
  <c r="E139" i="47"/>
  <c r="E138" i="47"/>
  <c r="E137" i="47"/>
  <c r="E136" i="47"/>
  <c r="E135" i="47"/>
  <c r="E134" i="47"/>
  <c r="E133" i="47"/>
  <c r="E132" i="47"/>
  <c r="E131" i="47"/>
  <c r="E130" i="47"/>
  <c r="E129" i="47"/>
  <c r="E128" i="47"/>
  <c r="E127" i="47"/>
  <c r="E126" i="47"/>
  <c r="E125" i="47"/>
  <c r="E124" i="47"/>
  <c r="E123" i="47"/>
  <c r="E122" i="47"/>
  <c r="E121" i="47"/>
  <c r="E120" i="47"/>
  <c r="E119" i="47"/>
  <c r="E118" i="47"/>
  <c r="E117" i="47"/>
  <c r="E116" i="47"/>
  <c r="E115" i="47"/>
  <c r="E114" i="47"/>
  <c r="E113" i="47"/>
  <c r="E112" i="47"/>
  <c r="E111" i="47"/>
  <c r="E110" i="47"/>
  <c r="E109" i="47"/>
  <c r="E108" i="47"/>
  <c r="E107" i="47"/>
  <c r="E106" i="47"/>
  <c r="E105" i="47"/>
  <c r="E104" i="47"/>
  <c r="E103" i="47"/>
  <c r="E102" i="47"/>
  <c r="E101" i="47"/>
  <c r="E100" i="47"/>
  <c r="E99" i="47"/>
  <c r="E98" i="47"/>
  <c r="E97" i="47"/>
  <c r="E96" i="47"/>
  <c r="F96" i="47" s="1"/>
  <c r="E95" i="47"/>
  <c r="E94" i="47"/>
  <c r="E93" i="47"/>
  <c r="E92" i="47"/>
  <c r="F92" i="47" s="1"/>
  <c r="E91" i="47"/>
  <c r="E90" i="47"/>
  <c r="E89" i="47"/>
  <c r="E88" i="47"/>
  <c r="F88" i="47" s="1"/>
  <c r="E87" i="47"/>
  <c r="E86" i="47"/>
  <c r="E85" i="47"/>
  <c r="E84" i="47"/>
  <c r="F84" i="47" s="1"/>
  <c r="E83" i="47"/>
  <c r="E82" i="47"/>
  <c r="E81" i="47"/>
  <c r="E80" i="47"/>
  <c r="F80" i="47" s="1"/>
  <c r="E79" i="47"/>
  <c r="E78" i="47"/>
  <c r="E77" i="47"/>
  <c r="E76" i="47"/>
  <c r="F76" i="47" s="1"/>
  <c r="E75" i="47"/>
  <c r="E74" i="47"/>
  <c r="E73" i="47"/>
  <c r="E72" i="47"/>
  <c r="F72" i="47" s="1"/>
  <c r="E71" i="47"/>
  <c r="E70" i="47"/>
  <c r="E69" i="47"/>
  <c r="E68" i="47"/>
  <c r="F68" i="47" s="1"/>
  <c r="E67" i="47"/>
  <c r="E66" i="47"/>
  <c r="E65" i="47"/>
  <c r="E64" i="47"/>
  <c r="F64" i="47" s="1"/>
  <c r="E63" i="47"/>
  <c r="E62" i="47"/>
  <c r="E61" i="47"/>
  <c r="E60" i="47"/>
  <c r="F60" i="47" s="1"/>
  <c r="E59" i="47"/>
  <c r="E58" i="47"/>
  <c r="E57" i="47"/>
  <c r="E56" i="47"/>
  <c r="F56" i="47" s="1"/>
  <c r="E55" i="47"/>
  <c r="E54" i="47"/>
  <c r="E53" i="47"/>
  <c r="E52" i="47"/>
  <c r="F52" i="47" s="1"/>
  <c r="E51" i="47"/>
  <c r="E50" i="47"/>
  <c r="E49" i="47"/>
  <c r="E48" i="47"/>
  <c r="E47" i="47"/>
  <c r="E46" i="47"/>
  <c r="E45" i="47"/>
  <c r="E44" i="47"/>
  <c r="F44" i="47" s="1"/>
  <c r="E43" i="47"/>
  <c r="E42" i="47"/>
  <c r="E41" i="47"/>
  <c r="E40" i="47"/>
  <c r="F40" i="47" s="1"/>
  <c r="E39" i="47"/>
  <c r="E38" i="47"/>
  <c r="E37" i="47"/>
  <c r="E36" i="47"/>
  <c r="F36" i="47" s="1"/>
  <c r="E35" i="47"/>
  <c r="E34" i="47"/>
  <c r="E33" i="47"/>
  <c r="E32" i="47"/>
  <c r="E31" i="47"/>
  <c r="E30" i="47"/>
  <c r="E29" i="47"/>
  <c r="E28" i="47"/>
  <c r="F28" i="47" s="1"/>
  <c r="E27" i="47"/>
  <c r="F27" i="47" s="1"/>
  <c r="E26" i="47"/>
  <c r="E25" i="47"/>
  <c r="E24" i="47"/>
  <c r="F24" i="47" s="1"/>
  <c r="E23" i="47"/>
  <c r="E22" i="47"/>
  <c r="E21" i="47"/>
  <c r="E20" i="47"/>
  <c r="F20" i="47" s="1"/>
  <c r="E19" i="47"/>
  <c r="E18" i="47"/>
  <c r="E17" i="47"/>
  <c r="E16" i="47"/>
  <c r="E15" i="47"/>
  <c r="E14" i="47"/>
  <c r="E13" i="47"/>
  <c r="E12" i="47"/>
  <c r="F12" i="47" s="1"/>
  <c r="E11" i="47"/>
  <c r="F11" i="47" s="1"/>
  <c r="E10" i="47"/>
  <c r="E9" i="47"/>
  <c r="E8" i="47"/>
  <c r="F8" i="47" s="1"/>
  <c r="E7" i="47"/>
  <c r="E6" i="47"/>
  <c r="E5" i="47"/>
  <c r="E4" i="47"/>
  <c r="F4" i="47" s="1"/>
  <c r="J4" i="47" s="1"/>
  <c r="G220" i="48" l="1"/>
  <c r="I220" i="48" s="1"/>
  <c r="N220" i="48" s="1"/>
  <c r="G126" i="48"/>
  <c r="I126" i="48" s="1"/>
  <c r="N126" i="48" s="1"/>
  <c r="G10" i="48"/>
  <c r="I10" i="48" s="1"/>
  <c r="G95" i="48"/>
  <c r="I95" i="48" s="1"/>
  <c r="N95" i="48" s="1"/>
  <c r="G113" i="48"/>
  <c r="I113" i="48" s="1"/>
  <c r="G57" i="48"/>
  <c r="I57" i="48" s="1"/>
  <c r="N57" i="48" s="1"/>
  <c r="G44" i="48"/>
  <c r="I44" i="48" s="1"/>
  <c r="G33" i="48"/>
  <c r="I33" i="48" s="1"/>
  <c r="N231" i="48"/>
  <c r="N203" i="48"/>
  <c r="N121" i="48"/>
  <c r="N110" i="48"/>
  <c r="N92" i="48"/>
  <c r="N77" i="48"/>
  <c r="N43" i="48"/>
  <c r="N26" i="48"/>
  <c r="N299" i="48"/>
  <c r="N241" i="48"/>
  <c r="N164" i="48"/>
  <c r="N116" i="48"/>
  <c r="N71" i="48"/>
  <c r="N50" i="48"/>
  <c r="N38" i="48"/>
  <c r="N25" i="48"/>
  <c r="N263" i="48"/>
  <c r="N251" i="48"/>
  <c r="N211" i="48"/>
  <c r="N141" i="48"/>
  <c r="N70" i="48"/>
  <c r="N49" i="48"/>
  <c r="N9" i="48"/>
  <c r="N268" i="48"/>
  <c r="N175" i="48"/>
  <c r="N158" i="48"/>
  <c r="N139" i="48"/>
  <c r="N122" i="48"/>
  <c r="N94" i="48"/>
  <c r="N78" i="48"/>
  <c r="N13" i="48"/>
  <c r="N8" i="48"/>
  <c r="G311" i="48"/>
  <c r="I311" i="48" s="1"/>
  <c r="G302" i="48"/>
  <c r="I302" i="48" s="1"/>
  <c r="G279" i="48"/>
  <c r="I279" i="48" s="1"/>
  <c r="G12" i="48"/>
  <c r="I12" i="48" s="1"/>
  <c r="G6" i="48"/>
  <c r="I6" i="48" s="1"/>
  <c r="G284" i="48"/>
  <c r="I284" i="48" s="1"/>
  <c r="G201" i="48"/>
  <c r="I201" i="48" s="1"/>
  <c r="G185" i="48"/>
  <c r="I185" i="48" s="1"/>
  <c r="G109" i="48"/>
  <c r="I109" i="48" s="1"/>
  <c r="G115" i="48"/>
  <c r="I115" i="48" s="1"/>
  <c r="G36" i="48"/>
  <c r="I36" i="48" s="1"/>
  <c r="G23" i="48"/>
  <c r="I23" i="48" s="1"/>
  <c r="G219" i="48"/>
  <c r="I219" i="48" s="1"/>
  <c r="G159" i="48"/>
  <c r="I159" i="48" s="1"/>
  <c r="G124" i="48"/>
  <c r="I124" i="48" s="1"/>
  <c r="E270" i="48"/>
  <c r="G270" i="48" s="1"/>
  <c r="I270" i="48" s="1"/>
  <c r="G261" i="48"/>
  <c r="I261" i="48" s="1"/>
  <c r="G249" i="48"/>
  <c r="I249" i="48" s="1"/>
  <c r="G215" i="48"/>
  <c r="I215" i="48" s="1"/>
  <c r="E82" i="48"/>
  <c r="G82" i="48" s="1"/>
  <c r="I82" i="48" s="1"/>
  <c r="E81" i="48"/>
  <c r="G81" i="48" s="1"/>
  <c r="I81" i="48" s="1"/>
  <c r="G290" i="48"/>
  <c r="I290" i="48" s="1"/>
  <c r="G283" i="48"/>
  <c r="I283" i="48" s="1"/>
  <c r="G308" i="48"/>
  <c r="I308" i="48" s="1"/>
  <c r="G275" i="48"/>
  <c r="I275" i="48" s="1"/>
  <c r="E54" i="48"/>
  <c r="G54" i="48" s="1"/>
  <c r="I54" i="48" s="1"/>
  <c r="G4" i="48"/>
  <c r="I4" i="48" s="1"/>
  <c r="G286" i="48"/>
  <c r="I286" i="48" s="1"/>
  <c r="G282" i="48"/>
  <c r="I282" i="48" s="1"/>
  <c r="G209" i="48"/>
  <c r="I209" i="48" s="1"/>
  <c r="G265" i="48"/>
  <c r="I265" i="48" s="1"/>
  <c r="G260" i="48"/>
  <c r="I260" i="48" s="1"/>
  <c r="G214" i="48"/>
  <c r="I214" i="48" s="1"/>
  <c r="G192" i="48"/>
  <c r="I192" i="48" s="1"/>
  <c r="G144" i="48"/>
  <c r="I144" i="48" s="1"/>
  <c r="G306" i="48"/>
  <c r="I306" i="48" s="1"/>
  <c r="G236" i="48"/>
  <c r="I236" i="48" s="1"/>
  <c r="G199" i="48"/>
  <c r="I199" i="48" s="1"/>
  <c r="G183" i="48"/>
  <c r="I183" i="48" s="1"/>
  <c r="E21" i="48"/>
  <c r="G285" i="48"/>
  <c r="I285" i="48" s="1"/>
  <c r="G245" i="48"/>
  <c r="I245" i="48" s="1"/>
  <c r="G166" i="48"/>
  <c r="I166" i="48" s="1"/>
  <c r="G129" i="48"/>
  <c r="G264" i="48"/>
  <c r="I264" i="48" s="1"/>
  <c r="G252" i="48"/>
  <c r="I252" i="48" s="1"/>
  <c r="G212" i="48"/>
  <c r="I212" i="48" s="1"/>
  <c r="G143" i="48"/>
  <c r="I143" i="48" s="1"/>
  <c r="G303" i="48"/>
  <c r="I303" i="48" s="1"/>
  <c r="G232" i="48"/>
  <c r="I232" i="48" s="1"/>
  <c r="G198" i="48"/>
  <c r="I198" i="48" s="1"/>
  <c r="G21" i="49"/>
  <c r="M9" i="49"/>
  <c r="Q9" i="49"/>
  <c r="U9" i="49"/>
  <c r="L9" i="49"/>
  <c r="O9" i="49"/>
  <c r="S9" i="49"/>
  <c r="W9" i="49"/>
  <c r="N9" i="49"/>
  <c r="R9" i="49"/>
  <c r="V9" i="49"/>
  <c r="Y9" i="49"/>
  <c r="P9" i="49"/>
  <c r="T9" i="49"/>
  <c r="X9" i="49"/>
  <c r="K9" i="49"/>
  <c r="Y18" i="49"/>
  <c r="U18" i="49"/>
  <c r="Q18" i="49"/>
  <c r="M18" i="49"/>
  <c r="T18" i="49"/>
  <c r="W18" i="49"/>
  <c r="S18" i="49"/>
  <c r="O18" i="49"/>
  <c r="K18" i="49"/>
  <c r="X18" i="49"/>
  <c r="L18" i="49"/>
  <c r="V18" i="49"/>
  <c r="R18" i="49"/>
  <c r="N18" i="49"/>
  <c r="P18" i="49"/>
  <c r="G279" i="49"/>
  <c r="G247" i="49"/>
  <c r="G225" i="49"/>
  <c r="G203" i="49"/>
  <c r="G177" i="49"/>
  <c r="G147" i="49"/>
  <c r="G83" i="49"/>
  <c r="G73" i="49"/>
  <c r="G27" i="49"/>
  <c r="G11" i="49"/>
  <c r="G194" i="49"/>
  <c r="G160" i="49"/>
  <c r="G136" i="49"/>
  <c r="G14" i="49"/>
  <c r="G6" i="49"/>
  <c r="G19" i="49"/>
  <c r="G7" i="49"/>
  <c r="N302" i="49"/>
  <c r="V302" i="49"/>
  <c r="G243" i="49"/>
  <c r="G17" i="49"/>
  <c r="G216" i="49"/>
  <c r="G212" i="49"/>
  <c r="G208" i="49"/>
  <c r="G204" i="49"/>
  <c r="G200" i="49"/>
  <c r="G196" i="49"/>
  <c r="G192" i="49"/>
  <c r="G188" i="49"/>
  <c r="G184" i="49"/>
  <c r="G180" i="49"/>
  <c r="G176" i="49"/>
  <c r="G172" i="49"/>
  <c r="G164" i="49"/>
  <c r="G156" i="49"/>
  <c r="G148" i="49"/>
  <c r="G140" i="49"/>
  <c r="G132" i="49"/>
  <c r="G124" i="49"/>
  <c r="G116" i="49"/>
  <c r="G108" i="49"/>
  <c r="G100" i="49"/>
  <c r="G80" i="49"/>
  <c r="G68" i="49"/>
  <c r="G48" i="49"/>
  <c r="I282" i="49"/>
  <c r="H282" i="49"/>
  <c r="G304" i="49"/>
  <c r="I304" i="49" s="1"/>
  <c r="T22" i="49"/>
  <c r="S22" i="49"/>
  <c r="W166" i="49"/>
  <c r="R166" i="49"/>
  <c r="X198" i="49"/>
  <c r="S198" i="49"/>
  <c r="G300" i="49"/>
  <c r="G81" i="49"/>
  <c r="G57" i="49"/>
  <c r="G214" i="49"/>
  <c r="I214" i="49" s="1"/>
  <c r="G206" i="49"/>
  <c r="G198" i="49"/>
  <c r="I198" i="49" s="1"/>
  <c r="G190" i="49"/>
  <c r="G182" i="49"/>
  <c r="I182" i="49" s="1"/>
  <c r="G174" i="49"/>
  <c r="G166" i="49"/>
  <c r="I166" i="49" s="1"/>
  <c r="G158" i="49"/>
  <c r="G150" i="49"/>
  <c r="I150" i="49" s="1"/>
  <c r="G142" i="49"/>
  <c r="G134" i="49"/>
  <c r="I134" i="49" s="1"/>
  <c r="G126" i="49"/>
  <c r="G122" i="49"/>
  <c r="G118" i="49"/>
  <c r="G110" i="49"/>
  <c r="G106" i="49"/>
  <c r="G102" i="49"/>
  <c r="I102" i="49" s="1"/>
  <c r="G94" i="49"/>
  <c r="G86" i="49"/>
  <c r="I86" i="49" s="1"/>
  <c r="G82" i="49"/>
  <c r="G74" i="49"/>
  <c r="G70" i="49"/>
  <c r="G62" i="49"/>
  <c r="G58" i="49"/>
  <c r="I58" i="49" s="1"/>
  <c r="X22" i="49"/>
  <c r="Y22" i="49"/>
  <c r="U22" i="49"/>
  <c r="Q22" i="49"/>
  <c r="M22" i="49"/>
  <c r="G99" i="49"/>
  <c r="G47" i="49"/>
  <c r="P22" i="49"/>
  <c r="O22" i="49"/>
  <c r="N22" i="49"/>
  <c r="S166" i="49"/>
  <c r="U198" i="49"/>
  <c r="P198" i="49"/>
  <c r="O198" i="49"/>
  <c r="G44" i="49"/>
  <c r="G40" i="49"/>
  <c r="G24" i="49"/>
  <c r="G79" i="49"/>
  <c r="G65" i="49"/>
  <c r="G41" i="49"/>
  <c r="L22" i="49"/>
  <c r="K22" i="49"/>
  <c r="T166" i="49"/>
  <c r="K166" i="49"/>
  <c r="M198" i="49"/>
  <c r="L198" i="49"/>
  <c r="K198" i="49"/>
  <c r="G270" i="49"/>
  <c r="W22" i="49"/>
  <c r="V22" i="49"/>
  <c r="L166" i="49"/>
  <c r="N198" i="49"/>
  <c r="R198" i="49"/>
  <c r="G258" i="49"/>
  <c r="G295" i="49"/>
  <c r="J295" i="49"/>
  <c r="G230" i="49"/>
  <c r="J230" i="49"/>
  <c r="G254" i="49"/>
  <c r="J254" i="49"/>
  <c r="G89" i="49"/>
  <c r="G77" i="49"/>
  <c r="I77" i="49" s="1"/>
  <c r="J77" i="49"/>
  <c r="G67" i="49"/>
  <c r="G55" i="49"/>
  <c r="H55" i="49" s="1"/>
  <c r="G33" i="49"/>
  <c r="G246" i="49"/>
  <c r="I246" i="49" s="1"/>
  <c r="J246" i="49"/>
  <c r="G222" i="49"/>
  <c r="H222" i="49" s="1"/>
  <c r="J222" i="49"/>
  <c r="G296" i="49"/>
  <c r="J296" i="49"/>
  <c r="G284" i="49"/>
  <c r="I284" i="49" s="1"/>
  <c r="J284" i="49"/>
  <c r="G272" i="49"/>
  <c r="J272" i="49"/>
  <c r="G264" i="49"/>
  <c r="I264" i="49" s="1"/>
  <c r="J264" i="49"/>
  <c r="G252" i="49"/>
  <c r="I252" i="49" s="1"/>
  <c r="J252" i="49"/>
  <c r="G240" i="49"/>
  <c r="I240" i="49" s="1"/>
  <c r="J240" i="49"/>
  <c r="G232" i="49"/>
  <c r="H232" i="49" s="1"/>
  <c r="J232" i="49"/>
  <c r="G220" i="49"/>
  <c r="I220" i="49" s="1"/>
  <c r="J220" i="49"/>
  <c r="G43" i="49"/>
  <c r="I43" i="49" s="1"/>
  <c r="J43" i="49"/>
  <c r="Y195" i="49"/>
  <c r="S195" i="49"/>
  <c r="P195" i="49"/>
  <c r="M195" i="49"/>
  <c r="V195" i="49"/>
  <c r="W195" i="49"/>
  <c r="T195" i="49"/>
  <c r="Q195" i="49"/>
  <c r="K195" i="49"/>
  <c r="N195" i="49"/>
  <c r="X195" i="49"/>
  <c r="U195" i="49"/>
  <c r="O195" i="49"/>
  <c r="L195" i="49"/>
  <c r="R195" i="49"/>
  <c r="J183" i="49"/>
  <c r="G183" i="49"/>
  <c r="J171" i="49"/>
  <c r="G171" i="49"/>
  <c r="J151" i="49"/>
  <c r="G151" i="49"/>
  <c r="J139" i="49"/>
  <c r="G139" i="49"/>
  <c r="G131" i="49"/>
  <c r="I131" i="49" s="1"/>
  <c r="J131" i="49"/>
  <c r="G297" i="49"/>
  <c r="J297" i="49"/>
  <c r="G299" i="49"/>
  <c r="G238" i="49"/>
  <c r="I238" i="49" s="1"/>
  <c r="J238" i="49"/>
  <c r="G267" i="49"/>
  <c r="H267" i="49" s="1"/>
  <c r="G242" i="49"/>
  <c r="H242" i="49" s="1"/>
  <c r="J242" i="49"/>
  <c r="G290" i="49"/>
  <c r="H290" i="49" s="1"/>
  <c r="J290" i="49"/>
  <c r="G263" i="49"/>
  <c r="G251" i="49"/>
  <c r="G231" i="49"/>
  <c r="G219" i="49"/>
  <c r="G199" i="49"/>
  <c r="G155" i="49"/>
  <c r="X271" i="49"/>
  <c r="Q271" i="49"/>
  <c r="M271" i="49"/>
  <c r="Y271" i="49"/>
  <c r="U271" i="49"/>
  <c r="K271" i="49"/>
  <c r="L271" i="49"/>
  <c r="N271" i="49"/>
  <c r="O271" i="49"/>
  <c r="P271" i="49"/>
  <c r="R271" i="49"/>
  <c r="S271" i="49"/>
  <c r="T271" i="49"/>
  <c r="V271" i="49"/>
  <c r="W271" i="49"/>
  <c r="X175" i="49"/>
  <c r="M175" i="49"/>
  <c r="Y175" i="49"/>
  <c r="U175" i="49"/>
  <c r="Q175" i="49"/>
  <c r="R175" i="49"/>
  <c r="S175" i="49"/>
  <c r="T175" i="49"/>
  <c r="V175" i="49"/>
  <c r="W175" i="49"/>
  <c r="K175" i="49"/>
  <c r="L175" i="49"/>
  <c r="N175" i="49"/>
  <c r="O175" i="49"/>
  <c r="P175" i="49"/>
  <c r="G127" i="49"/>
  <c r="J127" i="49"/>
  <c r="G107" i="49"/>
  <c r="G75" i="49"/>
  <c r="G226" i="49"/>
  <c r="I226" i="49" s="1"/>
  <c r="J226" i="49"/>
  <c r="G291" i="49"/>
  <c r="G293" i="49"/>
  <c r="G275" i="49"/>
  <c r="G301" i="49"/>
  <c r="J301" i="49"/>
  <c r="G262" i="49"/>
  <c r="H262" i="49" s="1"/>
  <c r="J262" i="49"/>
  <c r="G288" i="49"/>
  <c r="I288" i="49" s="1"/>
  <c r="J288" i="49"/>
  <c r="G280" i="49"/>
  <c r="J280" i="49"/>
  <c r="G268" i="49"/>
  <c r="H268" i="49" s="1"/>
  <c r="J268" i="49"/>
  <c r="G256" i="49"/>
  <c r="J256" i="49"/>
  <c r="G248" i="49"/>
  <c r="I248" i="49" s="1"/>
  <c r="J248" i="49"/>
  <c r="G236" i="49"/>
  <c r="H236" i="49" s="1"/>
  <c r="J236" i="49"/>
  <c r="G224" i="49"/>
  <c r="I224" i="49" s="1"/>
  <c r="J224" i="49"/>
  <c r="G259" i="49"/>
  <c r="G227" i="49"/>
  <c r="G195" i="49"/>
  <c r="G179" i="49"/>
  <c r="G167" i="49"/>
  <c r="G95" i="49"/>
  <c r="H95" i="49" s="1"/>
  <c r="G59" i="49"/>
  <c r="I59" i="49" s="1"/>
  <c r="J59" i="49"/>
  <c r="G49" i="49"/>
  <c r="G39" i="49"/>
  <c r="I39" i="49" s="1"/>
  <c r="G285" i="49"/>
  <c r="J285" i="49"/>
  <c r="G281" i="49"/>
  <c r="I281" i="49" s="1"/>
  <c r="J281" i="49"/>
  <c r="G273" i="49"/>
  <c r="J273" i="49"/>
  <c r="G265" i="49"/>
  <c r="I265" i="49" s="1"/>
  <c r="J265" i="49"/>
  <c r="G261" i="49"/>
  <c r="I261" i="49" s="1"/>
  <c r="J261" i="49"/>
  <c r="G253" i="49"/>
  <c r="I253" i="49" s="1"/>
  <c r="J253" i="49"/>
  <c r="G245" i="49"/>
  <c r="H245" i="49" s="1"/>
  <c r="J245" i="49"/>
  <c r="G237" i="49"/>
  <c r="I237" i="49" s="1"/>
  <c r="J237" i="49"/>
  <c r="G229" i="49"/>
  <c r="J229" i="49"/>
  <c r="G221" i="49"/>
  <c r="I221" i="49" s="1"/>
  <c r="J221" i="49"/>
  <c r="G213" i="49"/>
  <c r="J213" i="49"/>
  <c r="G205" i="49"/>
  <c r="I205" i="49" s="1"/>
  <c r="J205" i="49"/>
  <c r="G197" i="49"/>
  <c r="I197" i="49" s="1"/>
  <c r="J197" i="49"/>
  <c r="G189" i="49"/>
  <c r="I189" i="49" s="1"/>
  <c r="J189" i="49"/>
  <c r="G181" i="49"/>
  <c r="H181" i="49" s="1"/>
  <c r="J181" i="49"/>
  <c r="G173" i="49"/>
  <c r="I173" i="49" s="1"/>
  <c r="J173" i="49"/>
  <c r="G165" i="49"/>
  <c r="J165" i="49"/>
  <c r="G157" i="49"/>
  <c r="I157" i="49" s="1"/>
  <c r="J157" i="49"/>
  <c r="G149" i="49"/>
  <c r="J149" i="49"/>
  <c r="G141" i="49"/>
  <c r="I141" i="49" s="1"/>
  <c r="J141" i="49"/>
  <c r="G133" i="49"/>
  <c r="I133" i="49" s="1"/>
  <c r="J133" i="49"/>
  <c r="X129" i="49"/>
  <c r="Y129" i="49"/>
  <c r="U129" i="49"/>
  <c r="Q129" i="49"/>
  <c r="M129" i="49"/>
  <c r="G121" i="49"/>
  <c r="J121" i="49"/>
  <c r="G117" i="49"/>
  <c r="G113" i="49"/>
  <c r="I113" i="49" s="1"/>
  <c r="J113" i="49"/>
  <c r="G105" i="49"/>
  <c r="H105" i="49" s="1"/>
  <c r="G101" i="49"/>
  <c r="G69" i="49"/>
  <c r="H69" i="49" s="1"/>
  <c r="G92" i="49"/>
  <c r="G202" i="49"/>
  <c r="G186" i="49"/>
  <c r="G170" i="49"/>
  <c r="G154" i="49"/>
  <c r="G138" i="49"/>
  <c r="G32" i="49"/>
  <c r="X166" i="49"/>
  <c r="U166" i="49"/>
  <c r="Q166" i="49"/>
  <c r="M166" i="49"/>
  <c r="Y166" i="49"/>
  <c r="G90" i="49"/>
  <c r="G66" i="49"/>
  <c r="H66" i="49" s="1"/>
  <c r="Q124" i="49"/>
  <c r="T124" i="49"/>
  <c r="W124" i="49"/>
  <c r="V124" i="49"/>
  <c r="W129" i="49"/>
  <c r="V129" i="49"/>
  <c r="P166" i="49"/>
  <c r="O166" i="49"/>
  <c r="N166" i="49"/>
  <c r="X172" i="49"/>
  <c r="W172" i="49"/>
  <c r="V172" i="49"/>
  <c r="Q198" i="49"/>
  <c r="T198" i="49"/>
  <c r="W198" i="49"/>
  <c r="V198" i="49"/>
  <c r="Q302" i="49"/>
  <c r="T302" i="49"/>
  <c r="W302" i="49"/>
  <c r="R302" i="49"/>
  <c r="G294" i="49"/>
  <c r="G38" i="49"/>
  <c r="I38" i="49" s="1"/>
  <c r="J38" i="49"/>
  <c r="Y35" i="49"/>
  <c r="U35" i="49"/>
  <c r="Q35" i="49"/>
  <c r="M35" i="49"/>
  <c r="X35" i="49"/>
  <c r="T35" i="49"/>
  <c r="P35" i="49"/>
  <c r="L35" i="49"/>
  <c r="W35" i="49"/>
  <c r="S35" i="49"/>
  <c r="O35" i="49"/>
  <c r="K35" i="49"/>
  <c r="V35" i="49"/>
  <c r="R35" i="49"/>
  <c r="N35" i="49"/>
  <c r="M124" i="49"/>
  <c r="P124" i="49"/>
  <c r="S124" i="49"/>
  <c r="T129" i="49"/>
  <c r="S129" i="49"/>
  <c r="R129" i="49"/>
  <c r="U172" i="49"/>
  <c r="T172" i="49"/>
  <c r="S172" i="49"/>
  <c r="R172" i="49"/>
  <c r="G286" i="49"/>
  <c r="G274" i="49"/>
  <c r="V92" i="49"/>
  <c r="R92" i="49"/>
  <c r="N92" i="49"/>
  <c r="Y92" i="49"/>
  <c r="U92" i="49"/>
  <c r="Q92" i="49"/>
  <c r="M92" i="49"/>
  <c r="X92" i="49"/>
  <c r="T92" i="49"/>
  <c r="P92" i="49"/>
  <c r="L92" i="49"/>
  <c r="W92" i="49"/>
  <c r="S92" i="49"/>
  <c r="O92" i="49"/>
  <c r="K92" i="49"/>
  <c r="N124" i="49"/>
  <c r="L124" i="49"/>
  <c r="O124" i="49"/>
  <c r="P129" i="49"/>
  <c r="O129" i="49"/>
  <c r="N129" i="49"/>
  <c r="Q172" i="49"/>
  <c r="P172" i="49"/>
  <c r="O172" i="49"/>
  <c r="N172" i="49"/>
  <c r="X32" i="49"/>
  <c r="T32" i="49"/>
  <c r="P32" i="49"/>
  <c r="L32" i="49"/>
  <c r="W32" i="49"/>
  <c r="S32" i="49"/>
  <c r="O32" i="49"/>
  <c r="K32" i="49"/>
  <c r="V32" i="49"/>
  <c r="R32" i="49"/>
  <c r="N32" i="49"/>
  <c r="Y32" i="49"/>
  <c r="U32" i="49"/>
  <c r="Q32" i="49"/>
  <c r="M32" i="49"/>
  <c r="U124" i="49"/>
  <c r="X124" i="49"/>
  <c r="R124" i="49"/>
  <c r="K124" i="49"/>
  <c r="L129" i="49"/>
  <c r="K129" i="49"/>
  <c r="M172" i="49"/>
  <c r="L172" i="49"/>
  <c r="K172" i="49"/>
  <c r="G278" i="49"/>
  <c r="I218" i="49"/>
  <c r="H218" i="49"/>
  <c r="I222" i="49"/>
  <c r="I250" i="49"/>
  <c r="H250" i="49"/>
  <c r="H226" i="49"/>
  <c r="H304" i="49"/>
  <c r="I296" i="49"/>
  <c r="H296" i="49"/>
  <c r="I272" i="49"/>
  <c r="H272" i="49"/>
  <c r="H264" i="49"/>
  <c r="H252" i="49"/>
  <c r="H240" i="49"/>
  <c r="I232" i="49"/>
  <c r="H220" i="49"/>
  <c r="I89" i="49"/>
  <c r="H89" i="49"/>
  <c r="H77" i="49"/>
  <c r="H67" i="49"/>
  <c r="I67" i="49"/>
  <c r="I55" i="49"/>
  <c r="I33" i="49"/>
  <c r="H33" i="49"/>
  <c r="I21" i="49"/>
  <c r="H21" i="49"/>
  <c r="H214" i="49"/>
  <c r="I206" i="49"/>
  <c r="H206" i="49"/>
  <c r="H198" i="49"/>
  <c r="I190" i="49"/>
  <c r="H190" i="49"/>
  <c r="H182" i="49"/>
  <c r="I174" i="49"/>
  <c r="H174" i="49"/>
  <c r="H166" i="49"/>
  <c r="I158" i="49"/>
  <c r="H158" i="49"/>
  <c r="H150" i="49"/>
  <c r="I142" i="49"/>
  <c r="H142" i="49"/>
  <c r="H134" i="49"/>
  <c r="I126" i="49"/>
  <c r="H126" i="49"/>
  <c r="I118" i="49"/>
  <c r="H118" i="49"/>
  <c r="I110" i="49"/>
  <c r="H110" i="49"/>
  <c r="H102" i="49"/>
  <c r="I94" i="49"/>
  <c r="H94" i="49"/>
  <c r="H86" i="49"/>
  <c r="I74" i="49"/>
  <c r="H74" i="49"/>
  <c r="I70" i="49"/>
  <c r="H70" i="49"/>
  <c r="I62" i="49"/>
  <c r="H62" i="49"/>
  <c r="H58" i="49"/>
  <c r="I14" i="49"/>
  <c r="H14" i="49"/>
  <c r="I6" i="49"/>
  <c r="H6" i="49"/>
  <c r="I266" i="49"/>
  <c r="H266" i="49"/>
  <c r="I234" i="49"/>
  <c r="H234" i="49"/>
  <c r="I242" i="49"/>
  <c r="I228" i="49"/>
  <c r="H228" i="49"/>
  <c r="I290" i="49"/>
  <c r="I300" i="49"/>
  <c r="H300" i="49"/>
  <c r="H43" i="49"/>
  <c r="H131" i="49"/>
  <c r="I123" i="49"/>
  <c r="H123" i="49"/>
  <c r="I111" i="49"/>
  <c r="H111" i="49"/>
  <c r="I103" i="49"/>
  <c r="H103" i="49"/>
  <c r="H87" i="49"/>
  <c r="I87" i="49"/>
  <c r="I63" i="49"/>
  <c r="H63" i="49"/>
  <c r="H51" i="49"/>
  <c r="I51" i="49"/>
  <c r="I37" i="49"/>
  <c r="H37" i="49"/>
  <c r="H23" i="49"/>
  <c r="I23" i="49"/>
  <c r="I212" i="49"/>
  <c r="H212" i="49"/>
  <c r="H204" i="49"/>
  <c r="I204" i="49"/>
  <c r="I196" i="49"/>
  <c r="H196" i="49"/>
  <c r="I188" i="49"/>
  <c r="H188" i="49"/>
  <c r="I180" i="49"/>
  <c r="H180" i="49"/>
  <c r="H172" i="49"/>
  <c r="I172" i="49"/>
  <c r="I164" i="49"/>
  <c r="H164" i="49"/>
  <c r="I156" i="49"/>
  <c r="H156" i="49"/>
  <c r="I148" i="49"/>
  <c r="H148" i="49"/>
  <c r="H140" i="49"/>
  <c r="I140" i="49"/>
  <c r="I132" i="49"/>
  <c r="H132" i="49"/>
  <c r="I124" i="49"/>
  <c r="H124" i="49"/>
  <c r="I116" i="49"/>
  <c r="H116" i="49"/>
  <c r="H108" i="49"/>
  <c r="I108" i="49"/>
  <c r="I100" i="49"/>
  <c r="H100" i="49"/>
  <c r="I80" i="49"/>
  <c r="H80" i="49"/>
  <c r="I68" i="49"/>
  <c r="H68" i="49"/>
  <c r="I48" i="49"/>
  <c r="H48" i="49"/>
  <c r="I40" i="49"/>
  <c r="H40" i="49"/>
  <c r="I24" i="49"/>
  <c r="H24" i="49"/>
  <c r="H99" i="49"/>
  <c r="I99" i="49"/>
  <c r="I244" i="49"/>
  <c r="H244" i="49"/>
  <c r="I309" i="49"/>
  <c r="H309" i="49"/>
  <c r="I262" i="49"/>
  <c r="H288" i="49"/>
  <c r="I280" i="49"/>
  <c r="H280" i="49"/>
  <c r="I256" i="49"/>
  <c r="H256" i="49"/>
  <c r="H248" i="49"/>
  <c r="I236" i="49"/>
  <c r="H224" i="49"/>
  <c r="H83" i="49"/>
  <c r="I83" i="49"/>
  <c r="I73" i="49"/>
  <c r="H73" i="49"/>
  <c r="I27" i="49"/>
  <c r="H27" i="49"/>
  <c r="I127" i="49"/>
  <c r="H127" i="49"/>
  <c r="I107" i="49"/>
  <c r="H107" i="49"/>
  <c r="I11" i="49"/>
  <c r="H11" i="49"/>
  <c r="I79" i="49"/>
  <c r="H79" i="49"/>
  <c r="I65" i="49"/>
  <c r="H65" i="49"/>
  <c r="I41" i="49"/>
  <c r="H41" i="49"/>
  <c r="H19" i="49"/>
  <c r="I19" i="49"/>
  <c r="I7" i="49"/>
  <c r="H7" i="49"/>
  <c r="H295" i="49"/>
  <c r="I295" i="49"/>
  <c r="I260" i="49"/>
  <c r="H260" i="49"/>
  <c r="I230" i="49"/>
  <c r="H230" i="49"/>
  <c r="I292" i="49"/>
  <c r="H292" i="49"/>
  <c r="I254" i="49"/>
  <c r="H254" i="49"/>
  <c r="I95" i="49"/>
  <c r="H59" i="49"/>
  <c r="I49" i="49"/>
  <c r="H49" i="49"/>
  <c r="H39" i="49"/>
  <c r="I15" i="49"/>
  <c r="H15" i="49"/>
  <c r="H5" i="49"/>
  <c r="I5" i="49"/>
  <c r="I285" i="49"/>
  <c r="H285" i="49"/>
  <c r="I273" i="49"/>
  <c r="H273" i="49"/>
  <c r="H265" i="49"/>
  <c r="H261" i="49"/>
  <c r="H253" i="49"/>
  <c r="I245" i="49"/>
  <c r="H237" i="49"/>
  <c r="I229" i="49"/>
  <c r="H229" i="49"/>
  <c r="I213" i="49"/>
  <c r="H213" i="49"/>
  <c r="H205" i="49"/>
  <c r="H197" i="49"/>
  <c r="H189" i="49"/>
  <c r="I181" i="49"/>
  <c r="H173" i="49"/>
  <c r="I165" i="49"/>
  <c r="H165" i="49"/>
  <c r="I149" i="49"/>
  <c r="H149" i="49"/>
  <c r="H141" i="49"/>
  <c r="H133" i="49"/>
  <c r="I121" i="49"/>
  <c r="H121" i="49"/>
  <c r="I117" i="49"/>
  <c r="H117" i="49"/>
  <c r="H113" i="49"/>
  <c r="I105" i="49"/>
  <c r="I101" i="49"/>
  <c r="H101" i="49"/>
  <c r="I69" i="49"/>
  <c r="I17" i="49"/>
  <c r="H17" i="49"/>
  <c r="I4" i="49"/>
  <c r="H4" i="49"/>
  <c r="I90" i="49"/>
  <c r="H90" i="49"/>
  <c r="I66" i="49"/>
  <c r="I30" i="49"/>
  <c r="H30" i="49"/>
  <c r="H311" i="49"/>
  <c r="I311" i="49"/>
  <c r="H275" i="49"/>
  <c r="I275" i="49"/>
  <c r="I267" i="49"/>
  <c r="I263" i="49"/>
  <c r="H263" i="49"/>
  <c r="I255" i="49"/>
  <c r="H255" i="49"/>
  <c r="H247" i="49"/>
  <c r="I247" i="49"/>
  <c r="I239" i="49"/>
  <c r="H239" i="49"/>
  <c r="I231" i="49"/>
  <c r="H231" i="49"/>
  <c r="I223" i="49"/>
  <c r="H223" i="49"/>
  <c r="H215" i="49"/>
  <c r="I215" i="49"/>
  <c r="I207" i="49"/>
  <c r="H207" i="49"/>
  <c r="I199" i="49"/>
  <c r="H199" i="49"/>
  <c r="I191" i="49"/>
  <c r="H191" i="49"/>
  <c r="H183" i="49"/>
  <c r="I183" i="49"/>
  <c r="I175" i="49"/>
  <c r="H175" i="49"/>
  <c r="I167" i="49"/>
  <c r="H167" i="49"/>
  <c r="I159" i="49"/>
  <c r="H159" i="49"/>
  <c r="H151" i="49"/>
  <c r="I151" i="49"/>
  <c r="I143" i="49"/>
  <c r="H143" i="49"/>
  <c r="I135" i="49"/>
  <c r="H135" i="49"/>
  <c r="I71" i="49"/>
  <c r="H71" i="49"/>
  <c r="I53" i="49"/>
  <c r="H53" i="49"/>
  <c r="H35" i="49"/>
  <c r="I35" i="49"/>
  <c r="I78" i="49"/>
  <c r="H78" i="49"/>
  <c r="I50" i="49"/>
  <c r="H50" i="49"/>
  <c r="I20" i="49"/>
  <c r="H20" i="49"/>
  <c r="I36" i="49"/>
  <c r="H36" i="49"/>
  <c r="H12" i="49"/>
  <c r="I12" i="49"/>
  <c r="H307" i="49"/>
  <c r="I307" i="49"/>
  <c r="H291" i="49"/>
  <c r="I291" i="49"/>
  <c r="H119" i="49"/>
  <c r="I119" i="49"/>
  <c r="I85" i="49"/>
  <c r="H85" i="49"/>
  <c r="I72" i="49"/>
  <c r="H72" i="49"/>
  <c r="I42" i="49"/>
  <c r="H42" i="49"/>
  <c r="I8" i="49"/>
  <c r="H8" i="49"/>
  <c r="I60" i="49"/>
  <c r="H60" i="49"/>
  <c r="I26" i="49"/>
  <c r="H26" i="49"/>
  <c r="I32" i="49"/>
  <c r="H32" i="49"/>
  <c r="H303" i="49"/>
  <c r="I303" i="49"/>
  <c r="H287" i="49"/>
  <c r="I287" i="49"/>
  <c r="I293" i="49"/>
  <c r="H293" i="49"/>
  <c r="H279" i="49"/>
  <c r="I279" i="49"/>
  <c r="I271" i="49"/>
  <c r="H271" i="49"/>
  <c r="I301" i="49"/>
  <c r="H301" i="49"/>
  <c r="I313" i="49"/>
  <c r="H313" i="49"/>
  <c r="H314" i="49"/>
  <c r="I314" i="49"/>
  <c r="I305" i="49"/>
  <c r="H305" i="49"/>
  <c r="H259" i="49"/>
  <c r="I259" i="49"/>
  <c r="I251" i="49"/>
  <c r="H251" i="49"/>
  <c r="H243" i="49"/>
  <c r="I243" i="49"/>
  <c r="I235" i="49"/>
  <c r="H235" i="49"/>
  <c r="H227" i="49"/>
  <c r="I227" i="49"/>
  <c r="I219" i="49"/>
  <c r="H219" i="49"/>
  <c r="H211" i="49"/>
  <c r="I211" i="49"/>
  <c r="I203" i="49"/>
  <c r="H203" i="49"/>
  <c r="H195" i="49"/>
  <c r="I195" i="49"/>
  <c r="I187" i="49"/>
  <c r="H187" i="49"/>
  <c r="H179" i="49"/>
  <c r="I179" i="49"/>
  <c r="I171" i="49"/>
  <c r="H171" i="49"/>
  <c r="H163" i="49"/>
  <c r="I163" i="49"/>
  <c r="I155" i="49"/>
  <c r="H155" i="49"/>
  <c r="H147" i="49"/>
  <c r="I147" i="49"/>
  <c r="I139" i="49"/>
  <c r="H139" i="49"/>
  <c r="I129" i="49"/>
  <c r="H129" i="49"/>
  <c r="H115" i="49"/>
  <c r="I115" i="49"/>
  <c r="I97" i="49"/>
  <c r="H97" i="49"/>
  <c r="I81" i="49"/>
  <c r="H81" i="49"/>
  <c r="I61" i="49"/>
  <c r="H61" i="49"/>
  <c r="I45" i="49"/>
  <c r="H45" i="49"/>
  <c r="I29" i="49"/>
  <c r="H29" i="49"/>
  <c r="I13" i="49"/>
  <c r="H13" i="49"/>
  <c r="I64" i="49"/>
  <c r="H64" i="49"/>
  <c r="I34" i="49"/>
  <c r="H34" i="49"/>
  <c r="I92" i="49"/>
  <c r="H92" i="49"/>
  <c r="I52" i="49"/>
  <c r="H52" i="49"/>
  <c r="I16" i="49"/>
  <c r="H16" i="49"/>
  <c r="I210" i="49"/>
  <c r="H210" i="49"/>
  <c r="I202" i="49"/>
  <c r="H202" i="49"/>
  <c r="I194" i="49"/>
  <c r="H194" i="49"/>
  <c r="I186" i="49"/>
  <c r="H186" i="49"/>
  <c r="I178" i="49"/>
  <c r="H178" i="49"/>
  <c r="I170" i="49"/>
  <c r="H170" i="49"/>
  <c r="I162" i="49"/>
  <c r="H162" i="49"/>
  <c r="I154" i="49"/>
  <c r="H154" i="49"/>
  <c r="I146" i="49"/>
  <c r="H146" i="49"/>
  <c r="I138" i="49"/>
  <c r="H138" i="49"/>
  <c r="I130" i="49"/>
  <c r="H130" i="49"/>
  <c r="I122" i="49"/>
  <c r="H122" i="49"/>
  <c r="I114" i="49"/>
  <c r="H114" i="49"/>
  <c r="I106" i="49"/>
  <c r="H106" i="49"/>
  <c r="I98" i="49"/>
  <c r="H98" i="49"/>
  <c r="I82" i="49"/>
  <c r="H82" i="49"/>
  <c r="I54" i="49"/>
  <c r="H54" i="49"/>
  <c r="I28" i="49"/>
  <c r="H28" i="49"/>
  <c r="I91" i="49"/>
  <c r="H91" i="49"/>
  <c r="I47" i="49"/>
  <c r="H47" i="49"/>
  <c r="I31" i="49"/>
  <c r="H31" i="49"/>
  <c r="H299" i="49"/>
  <c r="I299" i="49"/>
  <c r="I283" i="49"/>
  <c r="H283" i="49"/>
  <c r="I289" i="49"/>
  <c r="H289" i="49"/>
  <c r="I277" i="49"/>
  <c r="H277" i="49"/>
  <c r="I269" i="49"/>
  <c r="H269" i="49"/>
  <c r="I312" i="49"/>
  <c r="H312" i="49"/>
  <c r="I297" i="49"/>
  <c r="H297" i="49"/>
  <c r="I257" i="49"/>
  <c r="H257" i="49"/>
  <c r="I249" i="49"/>
  <c r="H249" i="49"/>
  <c r="I241" i="49"/>
  <c r="H241" i="49"/>
  <c r="I233" i="49"/>
  <c r="H233" i="49"/>
  <c r="I225" i="49"/>
  <c r="H225" i="49"/>
  <c r="I217" i="49"/>
  <c r="H217" i="49"/>
  <c r="I209" i="49"/>
  <c r="H209" i="49"/>
  <c r="I201" i="49"/>
  <c r="H201" i="49"/>
  <c r="I193" i="49"/>
  <c r="H193" i="49"/>
  <c r="I185" i="49"/>
  <c r="H185" i="49"/>
  <c r="I177" i="49"/>
  <c r="H177" i="49"/>
  <c r="I169" i="49"/>
  <c r="H169" i="49"/>
  <c r="I161" i="49"/>
  <c r="H161" i="49"/>
  <c r="I153" i="49"/>
  <c r="H153" i="49"/>
  <c r="I145" i="49"/>
  <c r="H145" i="49"/>
  <c r="I137" i="49"/>
  <c r="H137" i="49"/>
  <c r="I125" i="49"/>
  <c r="H125" i="49"/>
  <c r="I109" i="49"/>
  <c r="H109" i="49"/>
  <c r="I93" i="49"/>
  <c r="H93" i="49"/>
  <c r="I75" i="49"/>
  <c r="H75" i="49"/>
  <c r="I57" i="49"/>
  <c r="H57" i="49"/>
  <c r="I25" i="49"/>
  <c r="H25" i="49"/>
  <c r="H9" i="49"/>
  <c r="I9" i="49"/>
  <c r="I88" i="49"/>
  <c r="H88" i="49"/>
  <c r="I56" i="49"/>
  <c r="H56" i="49"/>
  <c r="I22" i="49"/>
  <c r="H22" i="49"/>
  <c r="I84" i="49"/>
  <c r="H84" i="49"/>
  <c r="H44" i="49"/>
  <c r="I44" i="49"/>
  <c r="I10" i="49"/>
  <c r="H10" i="49"/>
  <c r="I216" i="49"/>
  <c r="H216" i="49"/>
  <c r="I208" i="49"/>
  <c r="H208" i="49"/>
  <c r="I200" i="49"/>
  <c r="H200" i="49"/>
  <c r="I192" i="49"/>
  <c r="H192" i="49"/>
  <c r="I184" i="49"/>
  <c r="H184" i="49"/>
  <c r="I176" i="49"/>
  <c r="H176" i="49"/>
  <c r="I168" i="49"/>
  <c r="H168" i="49"/>
  <c r="I160" i="49"/>
  <c r="H160" i="49"/>
  <c r="I152" i="49"/>
  <c r="H152" i="49"/>
  <c r="I144" i="49"/>
  <c r="H144" i="49"/>
  <c r="I136" i="49"/>
  <c r="H136" i="49"/>
  <c r="I128" i="49"/>
  <c r="H128" i="49"/>
  <c r="I120" i="49"/>
  <c r="H120" i="49"/>
  <c r="I112" i="49"/>
  <c r="H112" i="49"/>
  <c r="I104" i="49"/>
  <c r="H104" i="49"/>
  <c r="I96" i="49"/>
  <c r="H96" i="49"/>
  <c r="H76" i="49"/>
  <c r="I76" i="49"/>
  <c r="I46" i="49"/>
  <c r="H46" i="49"/>
  <c r="I18" i="49"/>
  <c r="H18" i="49"/>
  <c r="F256" i="48"/>
  <c r="E256" i="48" s="1"/>
  <c r="F248" i="48"/>
  <c r="E248" i="48" s="1"/>
  <c r="F244" i="48"/>
  <c r="E244" i="48" s="1"/>
  <c r="F240" i="48"/>
  <c r="E240" i="48" s="1"/>
  <c r="F228" i="48"/>
  <c r="E228" i="48" s="1"/>
  <c r="F224" i="48"/>
  <c r="E224" i="48" s="1"/>
  <c r="F216" i="48"/>
  <c r="E216" i="48" s="1"/>
  <c r="F208" i="48"/>
  <c r="E208" i="48" s="1"/>
  <c r="F204" i="48"/>
  <c r="E204" i="48" s="1"/>
  <c r="F200" i="48"/>
  <c r="E200" i="48" s="1"/>
  <c r="F196" i="48"/>
  <c r="E196" i="48" s="1"/>
  <c r="F184" i="48"/>
  <c r="E184" i="48" s="1"/>
  <c r="F180" i="48"/>
  <c r="E180" i="48" s="1"/>
  <c r="F176" i="48"/>
  <c r="E176" i="48" s="1"/>
  <c r="F168" i="48"/>
  <c r="E168" i="48" s="1"/>
  <c r="F156" i="48"/>
  <c r="E156" i="48" s="1"/>
  <c r="F152" i="48"/>
  <c r="E152" i="48" s="1"/>
  <c r="F148" i="48"/>
  <c r="E148" i="48" s="1"/>
  <c r="F140" i="48"/>
  <c r="E140" i="48" s="1"/>
  <c r="F136" i="48"/>
  <c r="E136" i="48" s="1"/>
  <c r="F132" i="48"/>
  <c r="E132" i="48" s="1"/>
  <c r="F120" i="48"/>
  <c r="E120" i="48" s="1"/>
  <c r="F112" i="48"/>
  <c r="E112" i="48" s="1"/>
  <c r="F100" i="48"/>
  <c r="E100" i="48" s="1"/>
  <c r="F96" i="48"/>
  <c r="E96" i="48" s="1"/>
  <c r="F88" i="48"/>
  <c r="E88" i="48" s="1"/>
  <c r="F84" i="48"/>
  <c r="E84" i="48" s="1"/>
  <c r="F72" i="48"/>
  <c r="E72" i="48" s="1"/>
  <c r="F68" i="48"/>
  <c r="E68" i="48" s="1"/>
  <c r="F64" i="48"/>
  <c r="E64" i="48" s="1"/>
  <c r="F60" i="48"/>
  <c r="E60" i="48" s="1"/>
  <c r="F56" i="48"/>
  <c r="E56" i="48" s="1"/>
  <c r="F52" i="48"/>
  <c r="E52" i="48" s="1"/>
  <c r="F48" i="48"/>
  <c r="E48" i="48" s="1"/>
  <c r="F40" i="48"/>
  <c r="E40" i="48" s="1"/>
  <c r="F32" i="48"/>
  <c r="E32" i="48" s="1"/>
  <c r="F28" i="48"/>
  <c r="E28" i="48" s="1"/>
  <c r="F24" i="48"/>
  <c r="E24" i="48" s="1"/>
  <c r="F20" i="48"/>
  <c r="E20" i="48" s="1"/>
  <c r="F16" i="48"/>
  <c r="E16" i="48" s="1"/>
  <c r="D307" i="48"/>
  <c r="D295" i="48"/>
  <c r="D291" i="48"/>
  <c r="D287" i="48"/>
  <c r="D271" i="48"/>
  <c r="G271" i="48" s="1"/>
  <c r="I271" i="48" s="1"/>
  <c r="D267" i="48"/>
  <c r="G267" i="48" s="1"/>
  <c r="I267" i="48" s="1"/>
  <c r="D239" i="48"/>
  <c r="G239" i="48" s="1"/>
  <c r="I239" i="48" s="1"/>
  <c r="D195" i="48"/>
  <c r="G195" i="48" s="1"/>
  <c r="I195" i="48" s="1"/>
  <c r="D127" i="48"/>
  <c r="G127" i="48" s="1"/>
  <c r="I127" i="48" s="1"/>
  <c r="D123" i="48"/>
  <c r="G123" i="48" s="1"/>
  <c r="D111" i="48"/>
  <c r="G111" i="48" s="1"/>
  <c r="I111" i="48" s="1"/>
  <c r="D99" i="48"/>
  <c r="G99" i="48" s="1"/>
  <c r="I99" i="48" s="1"/>
  <c r="D79" i="48"/>
  <c r="G79" i="48" s="1"/>
  <c r="I79" i="48" s="1"/>
  <c r="D75" i="48"/>
  <c r="G75" i="48" s="1"/>
  <c r="D67" i="48"/>
  <c r="G67" i="48" s="1"/>
  <c r="I67" i="48" s="1"/>
  <c r="D63" i="48"/>
  <c r="G63" i="48" s="1"/>
  <c r="I63" i="48" s="1"/>
  <c r="D59" i="48"/>
  <c r="G59" i="48" s="1"/>
  <c r="D55" i="48"/>
  <c r="G55" i="48" s="1"/>
  <c r="I55" i="48" s="1"/>
  <c r="D51" i="48"/>
  <c r="G51" i="48" s="1"/>
  <c r="I51" i="48" s="1"/>
  <c r="D47" i="48"/>
  <c r="G47" i="48" s="1"/>
  <c r="D39" i="48"/>
  <c r="G39" i="48" s="1"/>
  <c r="I39" i="48" s="1"/>
  <c r="D35" i="48"/>
  <c r="G35" i="48" s="1"/>
  <c r="I35" i="48" s="1"/>
  <c r="D31" i="48"/>
  <c r="G31" i="48" s="1"/>
  <c r="I31" i="48" s="1"/>
  <c r="D27" i="48"/>
  <c r="G27" i="48" s="1"/>
  <c r="I27" i="48" s="1"/>
  <c r="D19" i="48"/>
  <c r="G19" i="48" s="1"/>
  <c r="I19" i="48" s="1"/>
  <c r="D15" i="48"/>
  <c r="G15" i="48" s="1"/>
  <c r="I15" i="48" s="1"/>
  <c r="D11" i="48"/>
  <c r="G11" i="48" s="1"/>
  <c r="I11" i="48" s="1"/>
  <c r="D7" i="48"/>
  <c r="G7" i="48" s="1"/>
  <c r="I7" i="48" s="1"/>
  <c r="E310" i="48"/>
  <c r="E298" i="48"/>
  <c r="E294" i="48"/>
  <c r="E278" i="48"/>
  <c r="E274" i="48"/>
  <c r="F259" i="48"/>
  <c r="E259" i="48" s="1"/>
  <c r="G259" i="48" s="1"/>
  <c r="I259" i="48" s="1"/>
  <c r="F255" i="48"/>
  <c r="E255" i="48" s="1"/>
  <c r="G255" i="48" s="1"/>
  <c r="I255" i="48" s="1"/>
  <c r="F247" i="48"/>
  <c r="E247" i="48" s="1"/>
  <c r="G247" i="48" s="1"/>
  <c r="I247" i="48" s="1"/>
  <c r="F243" i="48"/>
  <c r="E243" i="48" s="1"/>
  <c r="G243" i="48" s="1"/>
  <c r="I243" i="48" s="1"/>
  <c r="F235" i="48"/>
  <c r="E235" i="48" s="1"/>
  <c r="G235" i="48" s="1"/>
  <c r="I235" i="48" s="1"/>
  <c r="F227" i="48"/>
  <c r="E227" i="48" s="1"/>
  <c r="G227" i="48" s="1"/>
  <c r="I227" i="48" s="1"/>
  <c r="F223" i="48"/>
  <c r="E223" i="48" s="1"/>
  <c r="G223" i="48" s="1"/>
  <c r="I223" i="48" s="1"/>
  <c r="F207" i="48"/>
  <c r="E207" i="48" s="1"/>
  <c r="G207" i="48" s="1"/>
  <c r="I207" i="48" s="1"/>
  <c r="F191" i="48"/>
  <c r="E191" i="48" s="1"/>
  <c r="G191" i="48" s="1"/>
  <c r="I191" i="48" s="1"/>
  <c r="F187" i="48"/>
  <c r="E187" i="48" s="1"/>
  <c r="G187" i="48" s="1"/>
  <c r="I187" i="48" s="1"/>
  <c r="F179" i="48"/>
  <c r="E179" i="48" s="1"/>
  <c r="G179" i="48" s="1"/>
  <c r="I179" i="48" s="1"/>
  <c r="F171" i="48"/>
  <c r="E171" i="48" s="1"/>
  <c r="G171" i="48" s="1"/>
  <c r="I171" i="48" s="1"/>
  <c r="F167" i="48"/>
  <c r="E167" i="48" s="1"/>
  <c r="G167" i="48" s="1"/>
  <c r="I167" i="48" s="1"/>
  <c r="F163" i="48"/>
  <c r="E163" i="48" s="1"/>
  <c r="G163" i="48" s="1"/>
  <c r="I163" i="48" s="1"/>
  <c r="F155" i="48"/>
  <c r="E155" i="48" s="1"/>
  <c r="G155" i="48" s="1"/>
  <c r="I155" i="48" s="1"/>
  <c r="F151" i="48"/>
  <c r="E151" i="48" s="1"/>
  <c r="G151" i="48" s="1"/>
  <c r="I151" i="48" s="1"/>
  <c r="F147" i="48"/>
  <c r="E147" i="48" s="1"/>
  <c r="G147" i="48" s="1"/>
  <c r="I147" i="48" s="1"/>
  <c r="F135" i="48"/>
  <c r="E135" i="48" s="1"/>
  <c r="G135" i="48" s="1"/>
  <c r="I135" i="48" s="1"/>
  <c r="F131" i="48"/>
  <c r="E131" i="48" s="1"/>
  <c r="G131" i="48" s="1"/>
  <c r="I131" i="48" s="1"/>
  <c r="F119" i="48"/>
  <c r="E119" i="48" s="1"/>
  <c r="G119" i="48" s="1"/>
  <c r="I119" i="48" s="1"/>
  <c r="F107" i="48"/>
  <c r="E107" i="48" s="1"/>
  <c r="G107" i="48" s="1"/>
  <c r="I107" i="48" s="1"/>
  <c r="F103" i="48"/>
  <c r="E103" i="48" s="1"/>
  <c r="G103" i="48" s="1"/>
  <c r="I103" i="48" s="1"/>
  <c r="F91" i="48"/>
  <c r="E91" i="48" s="1"/>
  <c r="G91" i="48" s="1"/>
  <c r="I91" i="48" s="1"/>
  <c r="F87" i="48"/>
  <c r="E87" i="48" s="1"/>
  <c r="G87" i="48" s="1"/>
  <c r="I87" i="48" s="1"/>
  <c r="F83" i="48"/>
  <c r="E83" i="48" s="1"/>
  <c r="G83" i="48" s="1"/>
  <c r="D314" i="48"/>
  <c r="D310" i="48"/>
  <c r="D298" i="48"/>
  <c r="D294" i="48"/>
  <c r="D278" i="48"/>
  <c r="D274" i="48"/>
  <c r="D246" i="48"/>
  <c r="G246" i="48" s="1"/>
  <c r="D222" i="48"/>
  <c r="G222" i="48" s="1"/>
  <c r="D218" i="48"/>
  <c r="G218" i="48" s="1"/>
  <c r="I218" i="48" s="1"/>
  <c r="D210" i="48"/>
  <c r="G210" i="48" s="1"/>
  <c r="D206" i="48"/>
  <c r="G206" i="48" s="1"/>
  <c r="I206" i="48" s="1"/>
  <c r="D186" i="48"/>
  <c r="G186" i="48" s="1"/>
  <c r="I186" i="48" s="1"/>
  <c r="D182" i="48"/>
  <c r="G182" i="48" s="1"/>
  <c r="D170" i="48"/>
  <c r="G170" i="48" s="1"/>
  <c r="I170" i="48" s="1"/>
  <c r="D162" i="48"/>
  <c r="G162" i="48" s="1"/>
  <c r="I162" i="48" s="1"/>
  <c r="D150" i="48"/>
  <c r="G150" i="48" s="1"/>
  <c r="I150" i="48" s="1"/>
  <c r="D138" i="48"/>
  <c r="G138" i="48" s="1"/>
  <c r="D22" i="48"/>
  <c r="G22" i="48" s="1"/>
  <c r="I22" i="48" s="1"/>
  <c r="D18" i="48"/>
  <c r="G18" i="48" s="1"/>
  <c r="I18" i="48" s="1"/>
  <c r="F314" i="48"/>
  <c r="E314" i="48" s="1"/>
  <c r="E312" i="48"/>
  <c r="E309" i="48"/>
  <c r="E305" i="48"/>
  <c r="E297" i="48"/>
  <c r="E293" i="48"/>
  <c r="E289" i="48"/>
  <c r="E281" i="48"/>
  <c r="E277" i="48"/>
  <c r="E272" i="48"/>
  <c r="F266" i="48"/>
  <c r="E266" i="48" s="1"/>
  <c r="G266" i="48" s="1"/>
  <c r="I266" i="48" s="1"/>
  <c r="F262" i="48"/>
  <c r="E262" i="48" s="1"/>
  <c r="G262" i="48" s="1"/>
  <c r="I262" i="48" s="1"/>
  <c r="F258" i="48"/>
  <c r="E258" i="48" s="1"/>
  <c r="G258" i="48" s="1"/>
  <c r="I258" i="48" s="1"/>
  <c r="F254" i="48"/>
  <c r="E254" i="48" s="1"/>
  <c r="G254" i="48" s="1"/>
  <c r="I254" i="48" s="1"/>
  <c r="F250" i="48"/>
  <c r="E250" i="48" s="1"/>
  <c r="G250" i="48" s="1"/>
  <c r="I250" i="48" s="1"/>
  <c r="F242" i="48"/>
  <c r="E242" i="48" s="1"/>
  <c r="G242" i="48" s="1"/>
  <c r="I242" i="48" s="1"/>
  <c r="F238" i="48"/>
  <c r="E238" i="48" s="1"/>
  <c r="G238" i="48" s="1"/>
  <c r="I238" i="48" s="1"/>
  <c r="F234" i="48"/>
  <c r="E234" i="48" s="1"/>
  <c r="G234" i="48" s="1"/>
  <c r="I234" i="48" s="1"/>
  <c r="F230" i="48"/>
  <c r="E230" i="48" s="1"/>
  <c r="G230" i="48" s="1"/>
  <c r="I230" i="48" s="1"/>
  <c r="F226" i="48"/>
  <c r="E226" i="48" s="1"/>
  <c r="G226" i="48" s="1"/>
  <c r="I226" i="48" s="1"/>
  <c r="F202" i="48"/>
  <c r="E202" i="48" s="1"/>
  <c r="G202" i="48" s="1"/>
  <c r="I202" i="48" s="1"/>
  <c r="F194" i="48"/>
  <c r="E194" i="48" s="1"/>
  <c r="G194" i="48" s="1"/>
  <c r="I194" i="48" s="1"/>
  <c r="F190" i="48"/>
  <c r="E190" i="48" s="1"/>
  <c r="G190" i="48" s="1"/>
  <c r="I190" i="48" s="1"/>
  <c r="F178" i="48"/>
  <c r="E178" i="48" s="1"/>
  <c r="G178" i="48" s="1"/>
  <c r="I178" i="48" s="1"/>
  <c r="F174" i="48"/>
  <c r="E174" i="48" s="1"/>
  <c r="G174" i="48" s="1"/>
  <c r="I174" i="48" s="1"/>
  <c r="F154" i="48"/>
  <c r="E154" i="48" s="1"/>
  <c r="G154" i="48" s="1"/>
  <c r="I154" i="48" s="1"/>
  <c r="F146" i="48"/>
  <c r="E146" i="48" s="1"/>
  <c r="G146" i="48" s="1"/>
  <c r="I146" i="48" s="1"/>
  <c r="F142" i="48"/>
  <c r="E142" i="48" s="1"/>
  <c r="G142" i="48" s="1"/>
  <c r="I142" i="48" s="1"/>
  <c r="F134" i="48"/>
  <c r="E134" i="48" s="1"/>
  <c r="G134" i="48" s="1"/>
  <c r="F130" i="48"/>
  <c r="E130" i="48" s="1"/>
  <c r="G130" i="48" s="1"/>
  <c r="I130" i="48" s="1"/>
  <c r="F118" i="48"/>
  <c r="E118" i="48" s="1"/>
  <c r="G118" i="48" s="1"/>
  <c r="I118" i="48" s="1"/>
  <c r="F114" i="48"/>
  <c r="E114" i="48" s="1"/>
  <c r="G114" i="48" s="1"/>
  <c r="I114" i="48" s="1"/>
  <c r="F106" i="48"/>
  <c r="E106" i="48" s="1"/>
  <c r="G106" i="48" s="1"/>
  <c r="I106" i="48" s="1"/>
  <c r="F102" i="48"/>
  <c r="E102" i="48" s="1"/>
  <c r="G102" i="48" s="1"/>
  <c r="I102" i="48" s="1"/>
  <c r="F98" i="48"/>
  <c r="E98" i="48" s="1"/>
  <c r="G98" i="48" s="1"/>
  <c r="I98" i="48" s="1"/>
  <c r="F90" i="48"/>
  <c r="E90" i="48" s="1"/>
  <c r="G90" i="48" s="1"/>
  <c r="F86" i="48"/>
  <c r="E86" i="48" s="1"/>
  <c r="G86" i="48" s="1"/>
  <c r="I86" i="48" s="1"/>
  <c r="F74" i="48"/>
  <c r="E74" i="48" s="1"/>
  <c r="G74" i="48" s="1"/>
  <c r="I74" i="48" s="1"/>
  <c r="F66" i="48"/>
  <c r="E66" i="48" s="1"/>
  <c r="G66" i="48" s="1"/>
  <c r="I66" i="48" s="1"/>
  <c r="F62" i="48"/>
  <c r="E62" i="48" s="1"/>
  <c r="G62" i="48" s="1"/>
  <c r="I62" i="48" s="1"/>
  <c r="F58" i="48"/>
  <c r="E58" i="48" s="1"/>
  <c r="G58" i="48" s="1"/>
  <c r="I58" i="48" s="1"/>
  <c r="F46" i="48"/>
  <c r="E46" i="48" s="1"/>
  <c r="G46" i="48" s="1"/>
  <c r="I46" i="48" s="1"/>
  <c r="F42" i="48"/>
  <c r="E42" i="48" s="1"/>
  <c r="G42" i="48" s="1"/>
  <c r="I42" i="48" s="1"/>
  <c r="F34" i="48"/>
  <c r="E34" i="48" s="1"/>
  <c r="G34" i="48" s="1"/>
  <c r="I34" i="48" s="1"/>
  <c r="F30" i="48"/>
  <c r="E30" i="48" s="1"/>
  <c r="G30" i="48" s="1"/>
  <c r="I30" i="48" s="1"/>
  <c r="F14" i="48"/>
  <c r="E14" i="48" s="1"/>
  <c r="G14" i="48" s="1"/>
  <c r="I14" i="48" s="1"/>
  <c r="D313" i="48"/>
  <c r="G313" i="48" s="1"/>
  <c r="D309" i="48"/>
  <c r="D305" i="48"/>
  <c r="D301" i="48"/>
  <c r="G301" i="48" s="1"/>
  <c r="I301" i="48" s="1"/>
  <c r="D297" i="48"/>
  <c r="D293" i="48"/>
  <c r="D289" i="48"/>
  <c r="D281" i="48"/>
  <c r="D277" i="48"/>
  <c r="G277" i="48" s="1"/>
  <c r="I277" i="48" s="1"/>
  <c r="D197" i="48"/>
  <c r="G197" i="48" s="1"/>
  <c r="D117" i="48"/>
  <c r="G117" i="48" s="1"/>
  <c r="I117" i="48" s="1"/>
  <c r="D105" i="48"/>
  <c r="G105" i="48" s="1"/>
  <c r="I105" i="48" s="1"/>
  <c r="D85" i="48"/>
  <c r="D73" i="48"/>
  <c r="G73" i="48" s="1"/>
  <c r="I73" i="48" s="1"/>
  <c r="D69" i="48"/>
  <c r="G69" i="48" s="1"/>
  <c r="I69" i="48" s="1"/>
  <c r="D65" i="48"/>
  <c r="G65" i="48" s="1"/>
  <c r="I65" i="48" s="1"/>
  <c r="D61" i="48"/>
  <c r="G61" i="48" s="1"/>
  <c r="I61" i="48" s="1"/>
  <c r="D53" i="48"/>
  <c r="G53" i="48" s="1"/>
  <c r="I53" i="48" s="1"/>
  <c r="D45" i="48"/>
  <c r="G45" i="48" s="1"/>
  <c r="I45" i="48" s="1"/>
  <c r="D41" i="48"/>
  <c r="G41" i="48" s="1"/>
  <c r="I41" i="48" s="1"/>
  <c r="D37" i="48"/>
  <c r="G37" i="48" s="1"/>
  <c r="I37" i="48" s="1"/>
  <c r="D29" i="48"/>
  <c r="G29" i="48" s="1"/>
  <c r="I29" i="48" s="1"/>
  <c r="D21" i="48"/>
  <c r="D17" i="48"/>
  <c r="G17" i="48" s="1"/>
  <c r="D5" i="48"/>
  <c r="G5" i="48" s="1"/>
  <c r="I5" i="48" s="1"/>
  <c r="E304" i="48"/>
  <c r="E300" i="48"/>
  <c r="E288" i="48"/>
  <c r="E276" i="48"/>
  <c r="F273" i="48"/>
  <c r="E273" i="48" s="1"/>
  <c r="G273" i="48" s="1"/>
  <c r="I273" i="48" s="1"/>
  <c r="F269" i="48"/>
  <c r="E269" i="48" s="1"/>
  <c r="G269" i="48" s="1"/>
  <c r="I269" i="48" s="1"/>
  <c r="F257" i="48"/>
  <c r="E257" i="48" s="1"/>
  <c r="G257" i="48" s="1"/>
  <c r="I257" i="48" s="1"/>
  <c r="F253" i="48"/>
  <c r="E253" i="48" s="1"/>
  <c r="G253" i="48" s="1"/>
  <c r="I253" i="48" s="1"/>
  <c r="F237" i="48"/>
  <c r="E237" i="48" s="1"/>
  <c r="G237" i="48" s="1"/>
  <c r="I237" i="48" s="1"/>
  <c r="F233" i="48"/>
  <c r="E233" i="48" s="1"/>
  <c r="G233" i="48" s="1"/>
  <c r="I233" i="48" s="1"/>
  <c r="F229" i="48"/>
  <c r="E229" i="48" s="1"/>
  <c r="G229" i="48" s="1"/>
  <c r="I229" i="48" s="1"/>
  <c r="F225" i="48"/>
  <c r="E225" i="48" s="1"/>
  <c r="G225" i="48" s="1"/>
  <c r="I225" i="48" s="1"/>
  <c r="F221" i="48"/>
  <c r="E221" i="48" s="1"/>
  <c r="G221" i="48" s="1"/>
  <c r="I221" i="48" s="1"/>
  <c r="F217" i="48"/>
  <c r="E217" i="48" s="1"/>
  <c r="G217" i="48" s="1"/>
  <c r="I217" i="48" s="1"/>
  <c r="F213" i="48"/>
  <c r="E213" i="48" s="1"/>
  <c r="G213" i="48" s="1"/>
  <c r="I213" i="48" s="1"/>
  <c r="F205" i="48"/>
  <c r="E205" i="48" s="1"/>
  <c r="G205" i="48" s="1"/>
  <c r="I205" i="48" s="1"/>
  <c r="F193" i="48"/>
  <c r="E193" i="48" s="1"/>
  <c r="G193" i="48" s="1"/>
  <c r="I193" i="48" s="1"/>
  <c r="F189" i="48"/>
  <c r="E189" i="48" s="1"/>
  <c r="G189" i="48" s="1"/>
  <c r="I189" i="48" s="1"/>
  <c r="F181" i="48"/>
  <c r="E181" i="48" s="1"/>
  <c r="G181" i="48" s="1"/>
  <c r="F177" i="48"/>
  <c r="E177" i="48" s="1"/>
  <c r="G177" i="48" s="1"/>
  <c r="I177" i="48" s="1"/>
  <c r="F173" i="48"/>
  <c r="E173" i="48" s="1"/>
  <c r="G173" i="48" s="1"/>
  <c r="I173" i="48" s="1"/>
  <c r="F169" i="48"/>
  <c r="E169" i="48" s="1"/>
  <c r="G169" i="48" s="1"/>
  <c r="I169" i="48" s="1"/>
  <c r="F165" i="48"/>
  <c r="E165" i="48" s="1"/>
  <c r="G165" i="48" s="1"/>
  <c r="I165" i="48" s="1"/>
  <c r="F161" i="48"/>
  <c r="E161" i="48" s="1"/>
  <c r="G161" i="48" s="1"/>
  <c r="I161" i="48" s="1"/>
  <c r="F157" i="48"/>
  <c r="E157" i="48" s="1"/>
  <c r="G157" i="48" s="1"/>
  <c r="I157" i="48" s="1"/>
  <c r="F153" i="48"/>
  <c r="E153" i="48" s="1"/>
  <c r="G153" i="48" s="1"/>
  <c r="I153" i="48" s="1"/>
  <c r="F149" i="48"/>
  <c r="E149" i="48" s="1"/>
  <c r="G149" i="48" s="1"/>
  <c r="I149" i="48" s="1"/>
  <c r="F145" i="48"/>
  <c r="E145" i="48" s="1"/>
  <c r="G145" i="48" s="1"/>
  <c r="I145" i="48" s="1"/>
  <c r="F137" i="48"/>
  <c r="E137" i="48" s="1"/>
  <c r="G137" i="48" s="1"/>
  <c r="F133" i="48"/>
  <c r="E133" i="48" s="1"/>
  <c r="G133" i="48" s="1"/>
  <c r="I133" i="48" s="1"/>
  <c r="F125" i="48"/>
  <c r="E125" i="48" s="1"/>
  <c r="G125" i="48" s="1"/>
  <c r="I125" i="48" s="1"/>
  <c r="F101" i="48"/>
  <c r="E101" i="48" s="1"/>
  <c r="G101" i="48" s="1"/>
  <c r="I101" i="48" s="1"/>
  <c r="F97" i="48"/>
  <c r="E97" i="48" s="1"/>
  <c r="G97" i="48" s="1"/>
  <c r="I97" i="48" s="1"/>
  <c r="F93" i="48"/>
  <c r="E93" i="48" s="1"/>
  <c r="G93" i="48" s="1"/>
  <c r="I93" i="48" s="1"/>
  <c r="F89" i="48"/>
  <c r="E89" i="48" s="1"/>
  <c r="G89" i="48" s="1"/>
  <c r="I89" i="48" s="1"/>
  <c r="D312" i="48"/>
  <c r="D304" i="48"/>
  <c r="D300" i="48"/>
  <c r="D296" i="48"/>
  <c r="G296" i="48" s="1"/>
  <c r="D292" i="48"/>
  <c r="G292" i="48" s="1"/>
  <c r="I292" i="48" s="1"/>
  <c r="D288" i="48"/>
  <c r="D280" i="48"/>
  <c r="G280" i="48" s="1"/>
  <c r="I280" i="48" s="1"/>
  <c r="D276" i="48"/>
  <c r="D272" i="48"/>
  <c r="D256" i="48"/>
  <c r="D248" i="48"/>
  <c r="D244" i="48"/>
  <c r="D240" i="48"/>
  <c r="D228" i="48"/>
  <c r="D224" i="48"/>
  <c r="D216" i="48"/>
  <c r="D208" i="48"/>
  <c r="D204" i="48"/>
  <c r="D200" i="48"/>
  <c r="D196" i="48"/>
  <c r="D188" i="48"/>
  <c r="G188" i="48" s="1"/>
  <c r="I188" i="48" s="1"/>
  <c r="D184" i="48"/>
  <c r="D180" i="48"/>
  <c r="D176" i="48"/>
  <c r="D172" i="48"/>
  <c r="G172" i="48" s="1"/>
  <c r="I172" i="48" s="1"/>
  <c r="D168" i="48"/>
  <c r="D160" i="48"/>
  <c r="G160" i="48" s="1"/>
  <c r="D156" i="48"/>
  <c r="D152" i="48"/>
  <c r="D148" i="48"/>
  <c r="D140" i="48"/>
  <c r="D136" i="48"/>
  <c r="D132" i="48"/>
  <c r="D128" i="48"/>
  <c r="G128" i="48" s="1"/>
  <c r="I128" i="48" s="1"/>
  <c r="D120" i="48"/>
  <c r="D112" i="48"/>
  <c r="D108" i="48"/>
  <c r="G108" i="48" s="1"/>
  <c r="D104" i="48"/>
  <c r="G104" i="48" s="1"/>
  <c r="I104" i="48" s="1"/>
  <c r="D100" i="48"/>
  <c r="D96" i="48"/>
  <c r="D88" i="48"/>
  <c r="D84" i="48"/>
  <c r="D80" i="48"/>
  <c r="G80" i="48" s="1"/>
  <c r="D76" i="48"/>
  <c r="G76" i="48" s="1"/>
  <c r="D72" i="48"/>
  <c r="D68" i="48"/>
  <c r="D64" i="48"/>
  <c r="D60" i="48"/>
  <c r="D56" i="48"/>
  <c r="D52" i="48"/>
  <c r="D48" i="48"/>
  <c r="D40" i="48"/>
  <c r="D32" i="48"/>
  <c r="D28" i="48"/>
  <c r="D24" i="48"/>
  <c r="D20" i="48"/>
  <c r="D16" i="48"/>
  <c r="E307" i="48"/>
  <c r="E295" i="48"/>
  <c r="E291" i="48"/>
  <c r="E287" i="48"/>
  <c r="F5" i="47"/>
  <c r="F9" i="47"/>
  <c r="F13" i="47"/>
  <c r="F21" i="47"/>
  <c r="F25" i="47"/>
  <c r="F29" i="47"/>
  <c r="F33" i="47"/>
  <c r="F37" i="47"/>
  <c r="F41" i="47"/>
  <c r="F45" i="47"/>
  <c r="F49" i="47"/>
  <c r="F57" i="47"/>
  <c r="F61" i="47"/>
  <c r="F65" i="47"/>
  <c r="F73" i="47"/>
  <c r="F77" i="47"/>
  <c r="F81" i="47"/>
  <c r="F89" i="47"/>
  <c r="F93" i="47"/>
  <c r="F97" i="47"/>
  <c r="F101" i="47"/>
  <c r="F105" i="47"/>
  <c r="F109" i="47"/>
  <c r="F117" i="47"/>
  <c r="F121" i="47"/>
  <c r="F125" i="47"/>
  <c r="F137" i="47"/>
  <c r="F141" i="47"/>
  <c r="F145" i="47"/>
  <c r="F153" i="47"/>
  <c r="F157" i="47"/>
  <c r="F161" i="47"/>
  <c r="F169" i="47"/>
  <c r="F173" i="47"/>
  <c r="F181" i="47"/>
  <c r="F189" i="47"/>
  <c r="F193" i="47"/>
  <c r="F197" i="47"/>
  <c r="F205" i="47"/>
  <c r="F213" i="47"/>
  <c r="F217" i="47"/>
  <c r="F221" i="47"/>
  <c r="F225" i="47"/>
  <c r="F229" i="47"/>
  <c r="F237" i="47"/>
  <c r="F245" i="47"/>
  <c r="F253" i="47"/>
  <c r="F257" i="47"/>
  <c r="F261" i="47"/>
  <c r="F269" i="47"/>
  <c r="F277" i="47"/>
  <c r="F281" i="47"/>
  <c r="F285" i="47"/>
  <c r="F293" i="47"/>
  <c r="F297" i="47"/>
  <c r="F301" i="47"/>
  <c r="F305" i="47"/>
  <c r="F309" i="47"/>
  <c r="F313" i="47"/>
  <c r="F19" i="47"/>
  <c r="F35" i="47"/>
  <c r="G5" i="47"/>
  <c r="G101" i="47"/>
  <c r="G193" i="47"/>
  <c r="F209" i="47"/>
  <c r="F249" i="47"/>
  <c r="F273" i="47"/>
  <c r="F113" i="47"/>
  <c r="F133" i="47"/>
  <c r="F241" i="47"/>
  <c r="F265" i="47"/>
  <c r="G21" i="47"/>
  <c r="G49" i="47"/>
  <c r="G81" i="47"/>
  <c r="G117" i="47"/>
  <c r="G145" i="47"/>
  <c r="F165" i="47"/>
  <c r="F185" i="47"/>
  <c r="G217" i="47"/>
  <c r="G225" i="47"/>
  <c r="F17" i="47"/>
  <c r="F53" i="47"/>
  <c r="F69" i="47"/>
  <c r="F85" i="47"/>
  <c r="F129" i="47"/>
  <c r="F149" i="47"/>
  <c r="F177" i="47"/>
  <c r="F201" i="47"/>
  <c r="F233" i="47"/>
  <c r="F289" i="47"/>
  <c r="F59" i="47"/>
  <c r="F71" i="47"/>
  <c r="F79" i="47"/>
  <c r="F87" i="47"/>
  <c r="F95" i="47"/>
  <c r="F103" i="47"/>
  <c r="F111" i="47"/>
  <c r="F119" i="47"/>
  <c r="F127" i="47"/>
  <c r="F135" i="47"/>
  <c r="F143" i="47"/>
  <c r="F147" i="47"/>
  <c r="F155" i="47"/>
  <c r="F159" i="47"/>
  <c r="F167" i="47"/>
  <c r="F175" i="47"/>
  <c r="F183" i="47"/>
  <c r="F191" i="47"/>
  <c r="F199" i="47"/>
  <c r="F207" i="47"/>
  <c r="F223" i="47"/>
  <c r="F287" i="47"/>
  <c r="G4" i="47"/>
  <c r="G8" i="47"/>
  <c r="G12" i="47"/>
  <c r="G20" i="47"/>
  <c r="G24" i="47"/>
  <c r="G28" i="47"/>
  <c r="G36" i="47"/>
  <c r="G40" i="47"/>
  <c r="G44" i="47"/>
  <c r="G52" i="47"/>
  <c r="G56" i="47"/>
  <c r="G60" i="47"/>
  <c r="G64" i="47"/>
  <c r="G68" i="47"/>
  <c r="G72" i="47"/>
  <c r="G76" i="47"/>
  <c r="G80" i="47"/>
  <c r="G84" i="47"/>
  <c r="G88" i="47"/>
  <c r="G92" i="47"/>
  <c r="G96" i="47"/>
  <c r="F100" i="47"/>
  <c r="F104" i="47"/>
  <c r="F108" i="47"/>
  <c r="F112" i="47"/>
  <c r="F116" i="47"/>
  <c r="F120" i="47"/>
  <c r="F124" i="47"/>
  <c r="F128" i="47"/>
  <c r="F132" i="47"/>
  <c r="F136" i="47"/>
  <c r="F140" i="47"/>
  <c r="F144" i="47"/>
  <c r="F148" i="47"/>
  <c r="F152" i="47"/>
  <c r="F156" i="47"/>
  <c r="F160" i="47"/>
  <c r="F164" i="47"/>
  <c r="F168" i="47"/>
  <c r="F172" i="47"/>
  <c r="F176" i="47"/>
  <c r="F180" i="47"/>
  <c r="F184" i="47"/>
  <c r="F188" i="47"/>
  <c r="F192" i="47"/>
  <c r="F196" i="47"/>
  <c r="F200" i="47"/>
  <c r="F204" i="47"/>
  <c r="F208" i="47"/>
  <c r="F212" i="47"/>
  <c r="F216" i="47"/>
  <c r="F220" i="47"/>
  <c r="F224" i="47"/>
  <c r="F228" i="47"/>
  <c r="F232" i="47"/>
  <c r="F236" i="47"/>
  <c r="F240" i="47"/>
  <c r="F244" i="47"/>
  <c r="F248" i="47"/>
  <c r="F252" i="47"/>
  <c r="F256" i="47"/>
  <c r="F260" i="47"/>
  <c r="F264" i="47"/>
  <c r="F268" i="47"/>
  <c r="F272" i="47"/>
  <c r="F276" i="47"/>
  <c r="F280" i="47"/>
  <c r="F284" i="47"/>
  <c r="F288" i="47"/>
  <c r="F292" i="47"/>
  <c r="F296" i="47"/>
  <c r="F300" i="47"/>
  <c r="F304" i="47"/>
  <c r="F308" i="47"/>
  <c r="F312" i="47"/>
  <c r="F16" i="47"/>
  <c r="F32" i="47"/>
  <c r="F43" i="47"/>
  <c r="F48" i="47"/>
  <c r="G125" i="47"/>
  <c r="G141" i="47"/>
  <c r="G157" i="47"/>
  <c r="G189" i="47"/>
  <c r="G205" i="47"/>
  <c r="G221" i="47"/>
  <c r="G253" i="47"/>
  <c r="G269" i="47"/>
  <c r="G285" i="47"/>
  <c r="G301" i="47"/>
  <c r="F7" i="47"/>
  <c r="F23" i="47"/>
  <c r="F39" i="47"/>
  <c r="F6" i="47"/>
  <c r="F10" i="47"/>
  <c r="F14" i="47"/>
  <c r="F18" i="47"/>
  <c r="F22" i="47"/>
  <c r="F26" i="47"/>
  <c r="F30" i="47"/>
  <c r="F34" i="47"/>
  <c r="F38" i="47"/>
  <c r="F42" i="47"/>
  <c r="F46" i="47"/>
  <c r="F50" i="47"/>
  <c r="F54" i="47"/>
  <c r="F58" i="47"/>
  <c r="F62" i="47"/>
  <c r="F66" i="47"/>
  <c r="F70" i="47"/>
  <c r="F74" i="47"/>
  <c r="F78" i="47"/>
  <c r="F82" i="47"/>
  <c r="F86" i="47"/>
  <c r="F90" i="47"/>
  <c r="F94" i="47"/>
  <c r="F98" i="47"/>
  <c r="F102" i="47"/>
  <c r="F106" i="47"/>
  <c r="F110" i="47"/>
  <c r="F114" i="47"/>
  <c r="F118" i="47"/>
  <c r="F122" i="47"/>
  <c r="F126" i="47"/>
  <c r="F130" i="47"/>
  <c r="F134" i="47"/>
  <c r="F138" i="47"/>
  <c r="F142" i="47"/>
  <c r="F146" i="47"/>
  <c r="F150" i="47"/>
  <c r="F154" i="47"/>
  <c r="F158" i="47"/>
  <c r="F162" i="47"/>
  <c r="F166" i="47"/>
  <c r="F170" i="47"/>
  <c r="F174" i="47"/>
  <c r="F178" i="47"/>
  <c r="F182" i="47"/>
  <c r="F186" i="47"/>
  <c r="F190" i="47"/>
  <c r="F194" i="47"/>
  <c r="F198" i="47"/>
  <c r="F202" i="47"/>
  <c r="F206" i="47"/>
  <c r="F210" i="47"/>
  <c r="F214" i="47"/>
  <c r="F218" i="47"/>
  <c r="F222" i="47"/>
  <c r="F226" i="47"/>
  <c r="F230" i="47"/>
  <c r="F234" i="47"/>
  <c r="F238" i="47"/>
  <c r="F242" i="47"/>
  <c r="F246" i="47"/>
  <c r="F250" i="47"/>
  <c r="F254" i="47"/>
  <c r="F258" i="47"/>
  <c r="F262" i="47"/>
  <c r="F266" i="47"/>
  <c r="F270" i="47"/>
  <c r="F274" i="47"/>
  <c r="F278" i="47"/>
  <c r="F282" i="47"/>
  <c r="F286" i="47"/>
  <c r="F290" i="47"/>
  <c r="F294" i="47"/>
  <c r="F298" i="47"/>
  <c r="F302" i="47"/>
  <c r="F306" i="47"/>
  <c r="F310" i="47"/>
  <c r="F314" i="47"/>
  <c r="G13" i="47"/>
  <c r="G29" i="47"/>
  <c r="F51" i="47"/>
  <c r="G11" i="47"/>
  <c r="G19" i="47"/>
  <c r="G27" i="47"/>
  <c r="G35" i="47"/>
  <c r="F55" i="47"/>
  <c r="F63" i="47"/>
  <c r="F67" i="47"/>
  <c r="F75" i="47"/>
  <c r="F83" i="47"/>
  <c r="F91" i="47"/>
  <c r="F99" i="47"/>
  <c r="F107" i="47"/>
  <c r="F115" i="47"/>
  <c r="F123" i="47"/>
  <c r="F131" i="47"/>
  <c r="F139" i="47"/>
  <c r="F151" i="47"/>
  <c r="F163" i="47"/>
  <c r="F171" i="47"/>
  <c r="F179" i="47"/>
  <c r="F187" i="47"/>
  <c r="F195" i="47"/>
  <c r="F203" i="47"/>
  <c r="F211" i="47"/>
  <c r="F215" i="47"/>
  <c r="F219" i="47"/>
  <c r="F227" i="47"/>
  <c r="F231" i="47"/>
  <c r="F235" i="47"/>
  <c r="F239" i="47"/>
  <c r="F243" i="47"/>
  <c r="F247" i="47"/>
  <c r="F251" i="47"/>
  <c r="F255" i="47"/>
  <c r="F259" i="47"/>
  <c r="F263" i="47"/>
  <c r="F267" i="47"/>
  <c r="F271" i="47"/>
  <c r="F275" i="47"/>
  <c r="F279" i="47"/>
  <c r="F283" i="47"/>
  <c r="F291" i="47"/>
  <c r="F295" i="47"/>
  <c r="F299" i="47"/>
  <c r="F303" i="47"/>
  <c r="F307" i="47"/>
  <c r="F311" i="47"/>
  <c r="G9" i="47"/>
  <c r="F15" i="47"/>
  <c r="G25" i="47"/>
  <c r="F31" i="47"/>
  <c r="G41" i="47"/>
  <c r="F47" i="47"/>
  <c r="G293" i="47"/>
  <c r="G297" i="47"/>
  <c r="G305" i="47"/>
  <c r="G309" i="47"/>
  <c r="G313" i="47"/>
  <c r="G61" i="47"/>
  <c r="G77" i="47"/>
  <c r="G93" i="47"/>
  <c r="G181" i="47"/>
  <c r="G197" i="47"/>
  <c r="G213" i="47"/>
  <c r="G229" i="47"/>
  <c r="G245" i="47"/>
  <c r="G277" i="47"/>
  <c r="G57" i="47"/>
  <c r="G73" i="47"/>
  <c r="G105" i="47"/>
  <c r="G121" i="47"/>
  <c r="G137" i="47"/>
  <c r="G169" i="47"/>
  <c r="C5" i="46"/>
  <c r="D5" i="46"/>
  <c r="C6" i="46"/>
  <c r="D6" i="46"/>
  <c r="C7" i="46"/>
  <c r="D7" i="46"/>
  <c r="C8" i="46"/>
  <c r="D8" i="46"/>
  <c r="C9" i="46"/>
  <c r="D9" i="46"/>
  <c r="C10" i="46"/>
  <c r="D10" i="46"/>
  <c r="C11" i="46"/>
  <c r="D11" i="46"/>
  <c r="C12" i="46"/>
  <c r="D12" i="46"/>
  <c r="C13" i="46"/>
  <c r="D13" i="46"/>
  <c r="C14" i="46"/>
  <c r="D14" i="46"/>
  <c r="C15" i="46"/>
  <c r="D15" i="46"/>
  <c r="C16" i="46"/>
  <c r="D16" i="46"/>
  <c r="C17" i="46"/>
  <c r="D17" i="46"/>
  <c r="C18" i="46"/>
  <c r="D18" i="46"/>
  <c r="C19" i="46"/>
  <c r="D19" i="46"/>
  <c r="C20" i="46"/>
  <c r="D20" i="46"/>
  <c r="C21" i="46"/>
  <c r="D21" i="46"/>
  <c r="C22" i="46"/>
  <c r="D22" i="46"/>
  <c r="C23" i="46"/>
  <c r="D23" i="46"/>
  <c r="C24" i="46"/>
  <c r="D24" i="46"/>
  <c r="C25" i="46"/>
  <c r="D25" i="46"/>
  <c r="C26" i="46"/>
  <c r="D26" i="46"/>
  <c r="C27" i="46"/>
  <c r="D27" i="46"/>
  <c r="C28" i="46"/>
  <c r="D28" i="46"/>
  <c r="C29" i="46"/>
  <c r="D29" i="46"/>
  <c r="C30" i="46"/>
  <c r="D30" i="46"/>
  <c r="C31" i="46"/>
  <c r="D31" i="46"/>
  <c r="C32" i="46"/>
  <c r="D32" i="46"/>
  <c r="C33" i="46"/>
  <c r="D33" i="46"/>
  <c r="C34" i="46"/>
  <c r="D34" i="46"/>
  <c r="C35" i="46"/>
  <c r="D35" i="46"/>
  <c r="C36" i="46"/>
  <c r="D36" i="46"/>
  <c r="C37" i="46"/>
  <c r="D37" i="46"/>
  <c r="C38" i="46"/>
  <c r="D38" i="46"/>
  <c r="C39" i="46"/>
  <c r="D39" i="46"/>
  <c r="C40" i="46"/>
  <c r="D40" i="46"/>
  <c r="C41" i="46"/>
  <c r="D41" i="46"/>
  <c r="C42" i="46"/>
  <c r="D42" i="46"/>
  <c r="C43" i="46"/>
  <c r="D43" i="46"/>
  <c r="C44" i="46"/>
  <c r="D44" i="46"/>
  <c r="C45" i="46"/>
  <c r="D45" i="46"/>
  <c r="C46" i="46"/>
  <c r="D46" i="46"/>
  <c r="C47" i="46"/>
  <c r="D47" i="46"/>
  <c r="C48" i="46"/>
  <c r="D48" i="46"/>
  <c r="C49" i="46"/>
  <c r="D49" i="46"/>
  <c r="C50" i="46"/>
  <c r="D50" i="46"/>
  <c r="C51" i="46"/>
  <c r="D51" i="46"/>
  <c r="C52" i="46"/>
  <c r="D52" i="46"/>
  <c r="C53" i="46"/>
  <c r="D53" i="46"/>
  <c r="C54" i="46"/>
  <c r="D54" i="46"/>
  <c r="C55" i="46"/>
  <c r="D55" i="46"/>
  <c r="C56" i="46"/>
  <c r="D56" i="46"/>
  <c r="C57" i="46"/>
  <c r="D57" i="46"/>
  <c r="C58" i="46"/>
  <c r="D58" i="46"/>
  <c r="C59" i="46"/>
  <c r="D59" i="46"/>
  <c r="C60" i="46"/>
  <c r="D60" i="46"/>
  <c r="C61" i="46"/>
  <c r="D61" i="46"/>
  <c r="C62" i="46"/>
  <c r="D62" i="46"/>
  <c r="C63" i="46"/>
  <c r="D63" i="46"/>
  <c r="C64" i="46"/>
  <c r="D64" i="46"/>
  <c r="C65" i="46"/>
  <c r="D65" i="46"/>
  <c r="C66" i="46"/>
  <c r="D66" i="46"/>
  <c r="C67" i="46"/>
  <c r="D67" i="46"/>
  <c r="C68" i="46"/>
  <c r="D68" i="46"/>
  <c r="C69" i="46"/>
  <c r="D69" i="46"/>
  <c r="C70" i="46"/>
  <c r="D70" i="46"/>
  <c r="C71" i="46"/>
  <c r="D71" i="46"/>
  <c r="C72" i="46"/>
  <c r="D72" i="46"/>
  <c r="C73" i="46"/>
  <c r="D73" i="46"/>
  <c r="C74" i="46"/>
  <c r="D74" i="46"/>
  <c r="C75" i="46"/>
  <c r="D75" i="46"/>
  <c r="C76" i="46"/>
  <c r="D76" i="46"/>
  <c r="C77" i="46"/>
  <c r="D77" i="46"/>
  <c r="C78" i="46"/>
  <c r="D78" i="46"/>
  <c r="C79" i="46"/>
  <c r="D79" i="46"/>
  <c r="C80" i="46"/>
  <c r="D80" i="46"/>
  <c r="C81" i="46"/>
  <c r="D81" i="46"/>
  <c r="C82" i="46"/>
  <c r="D82" i="46"/>
  <c r="C83" i="46"/>
  <c r="D83" i="46"/>
  <c r="C84" i="46"/>
  <c r="D84" i="46"/>
  <c r="C85" i="46"/>
  <c r="D85" i="46"/>
  <c r="C86" i="46"/>
  <c r="D86" i="46"/>
  <c r="C87" i="46"/>
  <c r="D87" i="46"/>
  <c r="C88" i="46"/>
  <c r="D88" i="46"/>
  <c r="C89" i="46"/>
  <c r="D89" i="46"/>
  <c r="C90" i="46"/>
  <c r="D90" i="46"/>
  <c r="C91" i="46"/>
  <c r="D91" i="46"/>
  <c r="C92" i="46"/>
  <c r="D92" i="46"/>
  <c r="C93" i="46"/>
  <c r="D93" i="46"/>
  <c r="C94" i="46"/>
  <c r="D94" i="46"/>
  <c r="C95" i="46"/>
  <c r="D95" i="46"/>
  <c r="C96" i="46"/>
  <c r="D96" i="46"/>
  <c r="C97" i="46"/>
  <c r="D97" i="46"/>
  <c r="C98" i="46"/>
  <c r="D98" i="46"/>
  <c r="C99" i="46"/>
  <c r="D99" i="46"/>
  <c r="C100" i="46"/>
  <c r="D100" i="46"/>
  <c r="C101" i="46"/>
  <c r="D101" i="46"/>
  <c r="C102" i="46"/>
  <c r="D102" i="46"/>
  <c r="C103" i="46"/>
  <c r="D103" i="46"/>
  <c r="C104" i="46"/>
  <c r="D104" i="46"/>
  <c r="C105" i="46"/>
  <c r="D105" i="46"/>
  <c r="C106" i="46"/>
  <c r="D106" i="46"/>
  <c r="C107" i="46"/>
  <c r="D107" i="46"/>
  <c r="C108" i="46"/>
  <c r="D108" i="46"/>
  <c r="C109" i="46"/>
  <c r="D109" i="46"/>
  <c r="C110" i="46"/>
  <c r="D110" i="46"/>
  <c r="C111" i="46"/>
  <c r="D111" i="46"/>
  <c r="C112" i="46"/>
  <c r="D112" i="46"/>
  <c r="C113" i="46"/>
  <c r="D113" i="46"/>
  <c r="C114" i="46"/>
  <c r="D114" i="46"/>
  <c r="C115" i="46"/>
  <c r="D115" i="46"/>
  <c r="C116" i="46"/>
  <c r="D116" i="46"/>
  <c r="C117" i="46"/>
  <c r="D117" i="46"/>
  <c r="C118" i="46"/>
  <c r="D118" i="46"/>
  <c r="C119" i="46"/>
  <c r="D119" i="46"/>
  <c r="C120" i="46"/>
  <c r="D120" i="46"/>
  <c r="C121" i="46"/>
  <c r="D121" i="46"/>
  <c r="C122" i="46"/>
  <c r="D122" i="46"/>
  <c r="C123" i="46"/>
  <c r="D123" i="46"/>
  <c r="C124" i="46"/>
  <c r="D124" i="46"/>
  <c r="C125" i="46"/>
  <c r="D125" i="46"/>
  <c r="C126" i="46"/>
  <c r="D126" i="46"/>
  <c r="C127" i="46"/>
  <c r="D127" i="46"/>
  <c r="C128" i="46"/>
  <c r="D128" i="46"/>
  <c r="C129" i="46"/>
  <c r="D129" i="46"/>
  <c r="C130" i="46"/>
  <c r="D130" i="46"/>
  <c r="C131" i="46"/>
  <c r="D131" i="46"/>
  <c r="C132" i="46"/>
  <c r="D132" i="46"/>
  <c r="C133" i="46"/>
  <c r="D133" i="46"/>
  <c r="C134" i="46"/>
  <c r="D134" i="46"/>
  <c r="C135" i="46"/>
  <c r="D135" i="46"/>
  <c r="C136" i="46"/>
  <c r="D136" i="46"/>
  <c r="C137" i="46"/>
  <c r="D137" i="46"/>
  <c r="C138" i="46"/>
  <c r="D138" i="46"/>
  <c r="C139" i="46"/>
  <c r="D139" i="46"/>
  <c r="C140" i="46"/>
  <c r="D140" i="46"/>
  <c r="C141" i="46"/>
  <c r="D141" i="46"/>
  <c r="C142" i="46"/>
  <c r="D142" i="46"/>
  <c r="C143" i="46"/>
  <c r="D143" i="46"/>
  <c r="C144" i="46"/>
  <c r="D144" i="46"/>
  <c r="C145" i="46"/>
  <c r="D145" i="46"/>
  <c r="C146" i="46"/>
  <c r="D146" i="46"/>
  <c r="C147" i="46"/>
  <c r="D147" i="46"/>
  <c r="C148" i="46"/>
  <c r="D148" i="46"/>
  <c r="C149" i="46"/>
  <c r="D149" i="46"/>
  <c r="C150" i="46"/>
  <c r="D150" i="46"/>
  <c r="C151" i="46"/>
  <c r="D151" i="46"/>
  <c r="C152" i="46"/>
  <c r="D152" i="46"/>
  <c r="C153" i="46"/>
  <c r="D153" i="46"/>
  <c r="C154" i="46"/>
  <c r="D154" i="46"/>
  <c r="C155" i="46"/>
  <c r="D155" i="46"/>
  <c r="C156" i="46"/>
  <c r="D156" i="46"/>
  <c r="C157" i="46"/>
  <c r="D157" i="46"/>
  <c r="C158" i="46"/>
  <c r="D158" i="46"/>
  <c r="C159" i="46"/>
  <c r="D159" i="46"/>
  <c r="C160" i="46"/>
  <c r="D160" i="46"/>
  <c r="C161" i="46"/>
  <c r="D161" i="46"/>
  <c r="C162" i="46"/>
  <c r="D162" i="46"/>
  <c r="C163" i="46"/>
  <c r="D163" i="46"/>
  <c r="C164" i="46"/>
  <c r="D164" i="46"/>
  <c r="C165" i="46"/>
  <c r="D165" i="46"/>
  <c r="C166" i="46"/>
  <c r="D166" i="46"/>
  <c r="C167" i="46"/>
  <c r="D167" i="46"/>
  <c r="C168" i="46"/>
  <c r="D168" i="46"/>
  <c r="C169" i="46"/>
  <c r="D169" i="46"/>
  <c r="C170" i="46"/>
  <c r="D170" i="46"/>
  <c r="C171" i="46"/>
  <c r="D171" i="46"/>
  <c r="C172" i="46"/>
  <c r="D172" i="46"/>
  <c r="C173" i="46"/>
  <c r="D173" i="46"/>
  <c r="C174" i="46"/>
  <c r="D174" i="46"/>
  <c r="C175" i="46"/>
  <c r="D175" i="46"/>
  <c r="C176" i="46"/>
  <c r="D176" i="46"/>
  <c r="C177" i="46"/>
  <c r="D177" i="46"/>
  <c r="C178" i="46"/>
  <c r="D178" i="46"/>
  <c r="C179" i="46"/>
  <c r="D179" i="46"/>
  <c r="C180" i="46"/>
  <c r="D180" i="46"/>
  <c r="C181" i="46"/>
  <c r="D181" i="46"/>
  <c r="C182" i="46"/>
  <c r="D182" i="46"/>
  <c r="C183" i="46"/>
  <c r="D183" i="46"/>
  <c r="C184" i="46"/>
  <c r="D184" i="46"/>
  <c r="C185" i="46"/>
  <c r="D185" i="46"/>
  <c r="C186" i="46"/>
  <c r="D186" i="46"/>
  <c r="C187" i="46"/>
  <c r="D187" i="46"/>
  <c r="C188" i="46"/>
  <c r="D188" i="46"/>
  <c r="C189" i="46"/>
  <c r="D189" i="46"/>
  <c r="C190" i="46"/>
  <c r="D190" i="46"/>
  <c r="C191" i="46"/>
  <c r="D191" i="46"/>
  <c r="C192" i="46"/>
  <c r="D192" i="46"/>
  <c r="C193" i="46"/>
  <c r="D193" i="46"/>
  <c r="C194" i="46"/>
  <c r="D194" i="46"/>
  <c r="C195" i="46"/>
  <c r="D195" i="46"/>
  <c r="C196" i="46"/>
  <c r="D196" i="46"/>
  <c r="C197" i="46"/>
  <c r="D197" i="46"/>
  <c r="C198" i="46"/>
  <c r="D198" i="46"/>
  <c r="C199" i="46"/>
  <c r="D199" i="46"/>
  <c r="C200" i="46"/>
  <c r="D200" i="46"/>
  <c r="C201" i="46"/>
  <c r="D201" i="46"/>
  <c r="C202" i="46"/>
  <c r="D202" i="46"/>
  <c r="C203" i="46"/>
  <c r="D203" i="46"/>
  <c r="C204" i="46"/>
  <c r="D204" i="46"/>
  <c r="C205" i="46"/>
  <c r="D205" i="46"/>
  <c r="C206" i="46"/>
  <c r="D206" i="46"/>
  <c r="C207" i="46"/>
  <c r="D207" i="46"/>
  <c r="C208" i="46"/>
  <c r="D208" i="46"/>
  <c r="C209" i="46"/>
  <c r="D209" i="46"/>
  <c r="C210" i="46"/>
  <c r="D210" i="46"/>
  <c r="C211" i="46"/>
  <c r="D211" i="46"/>
  <c r="C212" i="46"/>
  <c r="D212" i="46"/>
  <c r="C213" i="46"/>
  <c r="D213" i="46"/>
  <c r="C214" i="46"/>
  <c r="D214" i="46"/>
  <c r="C215" i="46"/>
  <c r="D215" i="46"/>
  <c r="C216" i="46"/>
  <c r="D216" i="46"/>
  <c r="C217" i="46"/>
  <c r="D217" i="46"/>
  <c r="C218" i="46"/>
  <c r="D218" i="46"/>
  <c r="C219" i="46"/>
  <c r="D219" i="46"/>
  <c r="C220" i="46"/>
  <c r="D220" i="46"/>
  <c r="C221" i="46"/>
  <c r="D221" i="46"/>
  <c r="C222" i="46"/>
  <c r="D222" i="46"/>
  <c r="C223" i="46"/>
  <c r="D223" i="46"/>
  <c r="C224" i="46"/>
  <c r="D224" i="46"/>
  <c r="C225" i="46"/>
  <c r="D225" i="46"/>
  <c r="C226" i="46"/>
  <c r="D226" i="46"/>
  <c r="C227" i="46"/>
  <c r="D227" i="46"/>
  <c r="C228" i="46"/>
  <c r="D228" i="46"/>
  <c r="C229" i="46"/>
  <c r="D229" i="46"/>
  <c r="C230" i="46"/>
  <c r="D230" i="46"/>
  <c r="C231" i="46"/>
  <c r="D231" i="46"/>
  <c r="C232" i="46"/>
  <c r="D232" i="46"/>
  <c r="C233" i="46"/>
  <c r="D233" i="46"/>
  <c r="C234" i="46"/>
  <c r="D234" i="46"/>
  <c r="C235" i="46"/>
  <c r="D235" i="46"/>
  <c r="C236" i="46"/>
  <c r="D236" i="46"/>
  <c r="C237" i="46"/>
  <c r="D237" i="46"/>
  <c r="C238" i="46"/>
  <c r="D238" i="46"/>
  <c r="C239" i="46"/>
  <c r="D239" i="46"/>
  <c r="C240" i="46"/>
  <c r="D240" i="46"/>
  <c r="C241" i="46"/>
  <c r="D241" i="46"/>
  <c r="C242" i="46"/>
  <c r="D242" i="46"/>
  <c r="C243" i="46"/>
  <c r="D243" i="46"/>
  <c r="C244" i="46"/>
  <c r="D244" i="46"/>
  <c r="C245" i="46"/>
  <c r="D245" i="46"/>
  <c r="C246" i="46"/>
  <c r="D246" i="46"/>
  <c r="C247" i="46"/>
  <c r="D247" i="46"/>
  <c r="C248" i="46"/>
  <c r="D248" i="46"/>
  <c r="C249" i="46"/>
  <c r="D249" i="46"/>
  <c r="C250" i="46"/>
  <c r="D250" i="46"/>
  <c r="C251" i="46"/>
  <c r="D251" i="46"/>
  <c r="C252" i="46"/>
  <c r="D252" i="46"/>
  <c r="C253" i="46"/>
  <c r="D253" i="46"/>
  <c r="C254" i="46"/>
  <c r="D254" i="46"/>
  <c r="C255" i="46"/>
  <c r="D255" i="46"/>
  <c r="C256" i="46"/>
  <c r="D256" i="46"/>
  <c r="C257" i="46"/>
  <c r="D257" i="46"/>
  <c r="C258" i="46"/>
  <c r="D258" i="46"/>
  <c r="C259" i="46"/>
  <c r="D259" i="46"/>
  <c r="C260" i="46"/>
  <c r="D260" i="46"/>
  <c r="C261" i="46"/>
  <c r="D261" i="46"/>
  <c r="C262" i="46"/>
  <c r="D262" i="46"/>
  <c r="C263" i="46"/>
  <c r="D263" i="46"/>
  <c r="C264" i="46"/>
  <c r="D264" i="46"/>
  <c r="C265" i="46"/>
  <c r="D265" i="46"/>
  <c r="C266" i="46"/>
  <c r="D266" i="46"/>
  <c r="C267" i="46"/>
  <c r="D267" i="46"/>
  <c r="C268" i="46"/>
  <c r="D268" i="46"/>
  <c r="C269" i="46"/>
  <c r="D269" i="46"/>
  <c r="C270" i="46"/>
  <c r="D270" i="46"/>
  <c r="C271" i="46"/>
  <c r="D271" i="46"/>
  <c r="C272" i="46"/>
  <c r="D272" i="46"/>
  <c r="C273" i="46"/>
  <c r="D273" i="46"/>
  <c r="C274" i="46"/>
  <c r="D274" i="46"/>
  <c r="C275" i="46"/>
  <c r="D275" i="46"/>
  <c r="C276" i="46"/>
  <c r="D276" i="46"/>
  <c r="C277" i="46"/>
  <c r="D277" i="46"/>
  <c r="C278" i="46"/>
  <c r="D278" i="46"/>
  <c r="C279" i="46"/>
  <c r="D279" i="46"/>
  <c r="C280" i="46"/>
  <c r="D280" i="46"/>
  <c r="C281" i="46"/>
  <c r="D281" i="46"/>
  <c r="C282" i="46"/>
  <c r="D282" i="46"/>
  <c r="C283" i="46"/>
  <c r="D283" i="46"/>
  <c r="C284" i="46"/>
  <c r="D284" i="46"/>
  <c r="C285" i="46"/>
  <c r="D285" i="46"/>
  <c r="C286" i="46"/>
  <c r="D286" i="46"/>
  <c r="C287" i="46"/>
  <c r="D287" i="46"/>
  <c r="C288" i="46"/>
  <c r="D288" i="46"/>
  <c r="C289" i="46"/>
  <c r="D289" i="46"/>
  <c r="C290" i="46"/>
  <c r="D290" i="46"/>
  <c r="C291" i="46"/>
  <c r="D291" i="46"/>
  <c r="C292" i="46"/>
  <c r="D292" i="46"/>
  <c r="C293" i="46"/>
  <c r="D293" i="46"/>
  <c r="C294" i="46"/>
  <c r="D294" i="46"/>
  <c r="C295" i="46"/>
  <c r="D295" i="46"/>
  <c r="C296" i="46"/>
  <c r="D296" i="46"/>
  <c r="C297" i="46"/>
  <c r="D297" i="46"/>
  <c r="C298" i="46"/>
  <c r="D298" i="46"/>
  <c r="C299" i="46"/>
  <c r="D299" i="46"/>
  <c r="C300" i="46"/>
  <c r="D300" i="46"/>
  <c r="C301" i="46"/>
  <c r="D301" i="46"/>
  <c r="C302" i="46"/>
  <c r="D302" i="46"/>
  <c r="C303" i="46"/>
  <c r="D303" i="46"/>
  <c r="C304" i="46"/>
  <c r="D304" i="46"/>
  <c r="C305" i="46"/>
  <c r="D305" i="46"/>
  <c r="C306" i="46"/>
  <c r="D306" i="46"/>
  <c r="C307" i="46"/>
  <c r="D307" i="46"/>
  <c r="C308" i="46"/>
  <c r="D308" i="46"/>
  <c r="C309" i="46"/>
  <c r="D309" i="46"/>
  <c r="C310" i="46"/>
  <c r="D310" i="46"/>
  <c r="C311" i="46"/>
  <c r="D311" i="46"/>
  <c r="C312" i="46"/>
  <c r="D312" i="46"/>
  <c r="C313" i="46"/>
  <c r="D313" i="46"/>
  <c r="C314" i="46"/>
  <c r="D314" i="46"/>
  <c r="D4" i="46"/>
  <c r="C4" i="46"/>
  <c r="AW17" i="29"/>
  <c r="AW16" i="29"/>
  <c r="AW15" i="29"/>
  <c r="AW14" i="29"/>
  <c r="G281" i="48" l="1"/>
  <c r="I281" i="48" s="1"/>
  <c r="M13" i="43"/>
  <c r="T13" i="43" s="1"/>
  <c r="O13" i="48"/>
  <c r="M139" i="43"/>
  <c r="T139" i="43" s="1"/>
  <c r="O139" i="48"/>
  <c r="M9" i="43"/>
  <c r="T9" i="43" s="1"/>
  <c r="O9" i="48"/>
  <c r="M141" i="43"/>
  <c r="T141" i="43" s="1"/>
  <c r="O141" i="48"/>
  <c r="M25" i="43"/>
  <c r="T25" i="43" s="1"/>
  <c r="O25" i="48"/>
  <c r="M116" i="43"/>
  <c r="T116" i="43" s="1"/>
  <c r="O116" i="48"/>
  <c r="M26" i="43"/>
  <c r="T26" i="43" s="1"/>
  <c r="O26" i="48"/>
  <c r="M110" i="43"/>
  <c r="T110" i="43" s="1"/>
  <c r="O110" i="48"/>
  <c r="M78" i="43"/>
  <c r="T78" i="43" s="1"/>
  <c r="O78" i="48"/>
  <c r="M158" i="43"/>
  <c r="T158" i="43" s="1"/>
  <c r="O158" i="48"/>
  <c r="M49" i="43"/>
  <c r="T49" i="43" s="1"/>
  <c r="O49" i="48"/>
  <c r="M211" i="43"/>
  <c r="T211" i="43" s="1"/>
  <c r="O211" i="48"/>
  <c r="M38" i="43"/>
  <c r="T38" i="43" s="1"/>
  <c r="O38" i="48"/>
  <c r="M164" i="43"/>
  <c r="T164" i="43" s="1"/>
  <c r="O164" i="48"/>
  <c r="M43" i="43"/>
  <c r="T43" i="43" s="1"/>
  <c r="O43" i="48"/>
  <c r="M121" i="43"/>
  <c r="T121" i="43" s="1"/>
  <c r="O121" i="48"/>
  <c r="M94" i="43"/>
  <c r="T94" i="43" s="1"/>
  <c r="O94" i="48"/>
  <c r="M175" i="43"/>
  <c r="T175" i="43" s="1"/>
  <c r="O175" i="48"/>
  <c r="M70" i="43"/>
  <c r="T70" i="43" s="1"/>
  <c r="O70" i="48"/>
  <c r="M251" i="43"/>
  <c r="T251" i="43" s="1"/>
  <c r="O251" i="48"/>
  <c r="M50" i="43"/>
  <c r="T50" i="43" s="1"/>
  <c r="O50" i="48"/>
  <c r="M241" i="43"/>
  <c r="T241" i="43" s="1"/>
  <c r="O241" i="48"/>
  <c r="M77" i="43"/>
  <c r="T77" i="43" s="1"/>
  <c r="O77" i="48"/>
  <c r="M203" i="43"/>
  <c r="T203" i="43" s="1"/>
  <c r="O203" i="48"/>
  <c r="M57" i="43"/>
  <c r="T57" i="43" s="1"/>
  <c r="O57" i="48"/>
  <c r="M126" i="43"/>
  <c r="T126" i="43" s="1"/>
  <c r="O126" i="48"/>
  <c r="M8" i="43"/>
  <c r="T8" i="43" s="1"/>
  <c r="O8" i="48"/>
  <c r="M122" i="43"/>
  <c r="T122" i="43" s="1"/>
  <c r="O122" i="48"/>
  <c r="M268" i="43"/>
  <c r="T268" i="43" s="1"/>
  <c r="O268" i="48"/>
  <c r="M95" i="43"/>
  <c r="T95" i="43" s="1"/>
  <c r="O95" i="48"/>
  <c r="M263" i="43"/>
  <c r="T263" i="43" s="1"/>
  <c r="O263" i="48"/>
  <c r="M71" i="43"/>
  <c r="T71" i="43" s="1"/>
  <c r="O71" i="48"/>
  <c r="M299" i="43"/>
  <c r="T299" i="43" s="1"/>
  <c r="O299" i="48"/>
  <c r="M92" i="43"/>
  <c r="T92" i="43" s="1"/>
  <c r="O92" i="48"/>
  <c r="M231" i="43"/>
  <c r="T231" i="43" s="1"/>
  <c r="O231" i="48"/>
  <c r="M220" i="43"/>
  <c r="T220" i="43" s="1"/>
  <c r="O220" i="48"/>
  <c r="N33" i="48"/>
  <c r="N113" i="48"/>
  <c r="N44" i="48"/>
  <c r="N10" i="48"/>
  <c r="N178" i="48"/>
  <c r="N226" i="48"/>
  <c r="N242" i="48"/>
  <c r="N262" i="48"/>
  <c r="N18" i="48"/>
  <c r="N162" i="48"/>
  <c r="N206" i="48"/>
  <c r="N218" i="48"/>
  <c r="N87" i="48"/>
  <c r="N119" i="48"/>
  <c r="N151" i="48"/>
  <c r="N171" i="48"/>
  <c r="N207" i="48"/>
  <c r="N243" i="48"/>
  <c r="N19" i="48"/>
  <c r="N31" i="48"/>
  <c r="N271" i="48"/>
  <c r="N232" i="48"/>
  <c r="N199" i="48"/>
  <c r="N54" i="48"/>
  <c r="N104" i="48"/>
  <c r="N128" i="48"/>
  <c r="N157" i="48"/>
  <c r="N221" i="48"/>
  <c r="N73" i="48"/>
  <c r="N105" i="48"/>
  <c r="N281" i="48"/>
  <c r="N34" i="48"/>
  <c r="N62" i="48"/>
  <c r="N114" i="48"/>
  <c r="N142" i="48"/>
  <c r="N172" i="48"/>
  <c r="N188" i="48"/>
  <c r="N280" i="48"/>
  <c r="N292" i="48"/>
  <c r="N101" i="48"/>
  <c r="N145" i="48"/>
  <c r="N161" i="48"/>
  <c r="N177" i="48"/>
  <c r="N205" i="48"/>
  <c r="N225" i="48"/>
  <c r="N253" i="48"/>
  <c r="N5" i="48"/>
  <c r="N37" i="48"/>
  <c r="N61" i="48"/>
  <c r="N117" i="48"/>
  <c r="N42" i="48"/>
  <c r="N66" i="48"/>
  <c r="N98" i="48"/>
  <c r="N118" i="48"/>
  <c r="N146" i="48"/>
  <c r="N190" i="48"/>
  <c r="N230" i="48"/>
  <c r="N250" i="48"/>
  <c r="N266" i="48"/>
  <c r="N22" i="48"/>
  <c r="N150" i="48"/>
  <c r="N170" i="48"/>
  <c r="N91" i="48"/>
  <c r="N131" i="48"/>
  <c r="N155" i="48"/>
  <c r="N179" i="48"/>
  <c r="N223" i="48"/>
  <c r="N247" i="48"/>
  <c r="N7" i="48"/>
  <c r="N35" i="48"/>
  <c r="N63" i="48"/>
  <c r="N99" i="48"/>
  <c r="N195" i="48"/>
  <c r="N264" i="48"/>
  <c r="N214" i="48"/>
  <c r="N282" i="48"/>
  <c r="N81" i="48"/>
  <c r="N219" i="48"/>
  <c r="N97" i="48"/>
  <c r="N173" i="48"/>
  <c r="N273" i="48"/>
  <c r="N125" i="48"/>
  <c r="N165" i="48"/>
  <c r="N213" i="48"/>
  <c r="N257" i="48"/>
  <c r="N29" i="48"/>
  <c r="N53" i="48"/>
  <c r="N46" i="48"/>
  <c r="N102" i="48"/>
  <c r="N130" i="48"/>
  <c r="N194" i="48"/>
  <c r="N254" i="48"/>
  <c r="N103" i="48"/>
  <c r="N135" i="48"/>
  <c r="N163" i="48"/>
  <c r="N187" i="48"/>
  <c r="N227" i="48"/>
  <c r="N255" i="48"/>
  <c r="N11" i="48"/>
  <c r="N39" i="48"/>
  <c r="N51" i="48"/>
  <c r="N67" i="48"/>
  <c r="N79" i="48"/>
  <c r="N111" i="48"/>
  <c r="N127" i="48"/>
  <c r="N239" i="48"/>
  <c r="N306" i="48"/>
  <c r="N260" i="48"/>
  <c r="N286" i="48"/>
  <c r="N308" i="48"/>
  <c r="N82" i="48"/>
  <c r="N270" i="48"/>
  <c r="N23" i="48"/>
  <c r="N193" i="48"/>
  <c r="N237" i="48"/>
  <c r="N89" i="48"/>
  <c r="N149" i="48"/>
  <c r="N229" i="48"/>
  <c r="N41" i="48"/>
  <c r="N65" i="48"/>
  <c r="N301" i="48"/>
  <c r="N14" i="48"/>
  <c r="N74" i="48"/>
  <c r="N154" i="48"/>
  <c r="N234" i="48"/>
  <c r="N93" i="48"/>
  <c r="N133" i="48"/>
  <c r="N153" i="48"/>
  <c r="N169" i="48"/>
  <c r="N189" i="48"/>
  <c r="N217" i="48"/>
  <c r="N233" i="48"/>
  <c r="N269" i="48"/>
  <c r="N45" i="48"/>
  <c r="N69" i="48"/>
  <c r="N277" i="48"/>
  <c r="N30" i="48"/>
  <c r="N58" i="48"/>
  <c r="N86" i="48"/>
  <c r="N106" i="48"/>
  <c r="N174" i="48"/>
  <c r="N202" i="48"/>
  <c r="N238" i="48"/>
  <c r="N258" i="48"/>
  <c r="N186" i="48"/>
  <c r="N107" i="48"/>
  <c r="N147" i="48"/>
  <c r="N167" i="48"/>
  <c r="N191" i="48"/>
  <c r="N235" i="48"/>
  <c r="N259" i="48"/>
  <c r="N15" i="48"/>
  <c r="N27" i="48"/>
  <c r="N55" i="48"/>
  <c r="N267" i="48"/>
  <c r="N198" i="48"/>
  <c r="N212" i="48"/>
  <c r="N166" i="48"/>
  <c r="N144" i="48"/>
  <c r="N265" i="48"/>
  <c r="N4" i="48"/>
  <c r="N36" i="48"/>
  <c r="H296" i="48"/>
  <c r="J296" i="48" s="1"/>
  <c r="I296" i="48"/>
  <c r="H181" i="48"/>
  <c r="J181" i="48" s="1"/>
  <c r="I181" i="48"/>
  <c r="H17" i="48"/>
  <c r="J17" i="48" s="1"/>
  <c r="I17" i="48"/>
  <c r="H197" i="48"/>
  <c r="J197" i="48" s="1"/>
  <c r="I197" i="48"/>
  <c r="H90" i="48"/>
  <c r="J90" i="48" s="1"/>
  <c r="I90" i="48"/>
  <c r="H138" i="48"/>
  <c r="J138" i="48" s="1"/>
  <c r="I138" i="48"/>
  <c r="H59" i="48"/>
  <c r="J59" i="48" s="1"/>
  <c r="I59" i="48"/>
  <c r="H313" i="48"/>
  <c r="J313" i="48" s="1"/>
  <c r="I313" i="48"/>
  <c r="H210" i="48"/>
  <c r="J210" i="48" s="1"/>
  <c r="I210" i="48"/>
  <c r="H222" i="48"/>
  <c r="J222" i="48" s="1"/>
  <c r="I222" i="48"/>
  <c r="H47" i="48"/>
  <c r="J47" i="48" s="1"/>
  <c r="I47" i="48"/>
  <c r="H75" i="48"/>
  <c r="J75" i="48" s="1"/>
  <c r="I75" i="48"/>
  <c r="H123" i="48"/>
  <c r="J123" i="48" s="1"/>
  <c r="I123" i="48"/>
  <c r="H76" i="48"/>
  <c r="J76" i="48" s="1"/>
  <c r="I76" i="48"/>
  <c r="H137" i="48"/>
  <c r="J137" i="48" s="1"/>
  <c r="I137" i="48"/>
  <c r="H182" i="48"/>
  <c r="J182" i="48" s="1"/>
  <c r="I182" i="48"/>
  <c r="H246" i="48"/>
  <c r="J246" i="48" s="1"/>
  <c r="I246" i="48"/>
  <c r="H129" i="48"/>
  <c r="J129" i="48" s="1"/>
  <c r="I129" i="48"/>
  <c r="H80" i="48"/>
  <c r="J80" i="48" s="1"/>
  <c r="I80" i="48"/>
  <c r="H108" i="48"/>
  <c r="J108" i="48" s="1"/>
  <c r="I108" i="48"/>
  <c r="H160" i="48"/>
  <c r="J160" i="48" s="1"/>
  <c r="I160" i="48"/>
  <c r="H134" i="48"/>
  <c r="J134" i="48" s="1"/>
  <c r="I134" i="48"/>
  <c r="H83" i="48"/>
  <c r="J83" i="48" s="1"/>
  <c r="I83" i="48"/>
  <c r="G288" i="48"/>
  <c r="I288" i="48" s="1"/>
  <c r="G21" i="48"/>
  <c r="I21" i="48" s="1"/>
  <c r="G310" i="48"/>
  <c r="I310" i="48" s="1"/>
  <c r="G274" i="48"/>
  <c r="I274" i="48" s="1"/>
  <c r="G300" i="48"/>
  <c r="I300" i="48" s="1"/>
  <c r="G297" i="48"/>
  <c r="G298" i="48"/>
  <c r="I298" i="48" s="1"/>
  <c r="G289" i="48"/>
  <c r="I289" i="48" s="1"/>
  <c r="G309" i="48"/>
  <c r="I309" i="48" s="1"/>
  <c r="E125" i="46"/>
  <c r="E121" i="46"/>
  <c r="F121" i="46" s="1"/>
  <c r="H121" i="46" s="1"/>
  <c r="E105" i="46"/>
  <c r="E89" i="46"/>
  <c r="F89" i="46" s="1"/>
  <c r="H89" i="46" s="1"/>
  <c r="E85" i="46"/>
  <c r="F85" i="46" s="1"/>
  <c r="E73" i="46"/>
  <c r="F73" i="46" s="1"/>
  <c r="E69" i="46"/>
  <c r="E65" i="46"/>
  <c r="F65" i="46" s="1"/>
  <c r="E57" i="46"/>
  <c r="F57" i="46" s="1"/>
  <c r="H57" i="46" s="1"/>
  <c r="E29" i="46"/>
  <c r="F29" i="46" s="1"/>
  <c r="H29" i="46" s="1"/>
  <c r="E5" i="46"/>
  <c r="E197" i="46"/>
  <c r="F197" i="46" s="1"/>
  <c r="H197" i="46" s="1"/>
  <c r="G294" i="48"/>
  <c r="I294" i="48" s="1"/>
  <c r="G304" i="48"/>
  <c r="I304" i="48" s="1"/>
  <c r="G305" i="48"/>
  <c r="I305" i="48" s="1"/>
  <c r="G180" i="48"/>
  <c r="I180" i="48" s="1"/>
  <c r="G216" i="48"/>
  <c r="E301" i="46"/>
  <c r="F301" i="46" s="1"/>
  <c r="H301" i="46" s="1"/>
  <c r="E289" i="46"/>
  <c r="E261" i="46"/>
  <c r="F261" i="46" s="1"/>
  <c r="H261" i="46" s="1"/>
  <c r="E312" i="46"/>
  <c r="E308" i="46"/>
  <c r="E284" i="46"/>
  <c r="E280" i="46"/>
  <c r="F280" i="46" s="1"/>
  <c r="H280" i="46" s="1"/>
  <c r="E274" i="46"/>
  <c r="F274" i="46" s="1"/>
  <c r="H274" i="46" s="1"/>
  <c r="E266" i="46"/>
  <c r="F266" i="46" s="1"/>
  <c r="H266" i="46" s="1"/>
  <c r="E159" i="46"/>
  <c r="E39" i="46"/>
  <c r="F39" i="46" s="1"/>
  <c r="G196" i="48"/>
  <c r="I196" i="48" s="1"/>
  <c r="E253" i="46"/>
  <c r="F253" i="46" s="1"/>
  <c r="H253" i="46" s="1"/>
  <c r="E196" i="46"/>
  <c r="E192" i="46"/>
  <c r="F192" i="46" s="1"/>
  <c r="H192" i="46" s="1"/>
  <c r="E190" i="46"/>
  <c r="F190" i="46" s="1"/>
  <c r="H190" i="46" s="1"/>
  <c r="E188" i="46"/>
  <c r="F188" i="46" s="1"/>
  <c r="H188" i="46" s="1"/>
  <c r="E186" i="46"/>
  <c r="E182" i="46"/>
  <c r="F182" i="46" s="1"/>
  <c r="H182" i="46" s="1"/>
  <c r="E130" i="46"/>
  <c r="F130" i="46" s="1"/>
  <c r="H130" i="46" s="1"/>
  <c r="E126" i="46"/>
  <c r="F126" i="46" s="1"/>
  <c r="H126" i="46" s="1"/>
  <c r="E110" i="46"/>
  <c r="E106" i="46"/>
  <c r="F106" i="46" s="1"/>
  <c r="H106" i="46" s="1"/>
  <c r="E102" i="46"/>
  <c r="F102" i="46" s="1"/>
  <c r="H102" i="46" s="1"/>
  <c r="E100" i="46"/>
  <c r="F100" i="46" s="1"/>
  <c r="H100" i="46" s="1"/>
  <c r="E98" i="46"/>
  <c r="E94" i="46"/>
  <c r="F94" i="46" s="1"/>
  <c r="H94" i="46" s="1"/>
  <c r="E90" i="46"/>
  <c r="F90" i="46" s="1"/>
  <c r="H90" i="46" s="1"/>
  <c r="E86" i="46"/>
  <c r="F86" i="46" s="1"/>
  <c r="H86" i="46" s="1"/>
  <c r="E84" i="46"/>
  <c r="E82" i="46"/>
  <c r="F82" i="46" s="1"/>
  <c r="H82" i="46" s="1"/>
  <c r="E78" i="46"/>
  <c r="F78" i="46" s="1"/>
  <c r="H78" i="46" s="1"/>
  <c r="E74" i="46"/>
  <c r="F74" i="46" s="1"/>
  <c r="H74" i="46" s="1"/>
  <c r="E70" i="46"/>
  <c r="E68" i="46"/>
  <c r="F68" i="46" s="1"/>
  <c r="H68" i="46" s="1"/>
  <c r="E66" i="46"/>
  <c r="E62" i="46"/>
  <c r="F62" i="46" s="1"/>
  <c r="H62" i="46" s="1"/>
  <c r="E58" i="46"/>
  <c r="E56" i="46"/>
  <c r="F56" i="46" s="1"/>
  <c r="H56" i="46" s="1"/>
  <c r="E50" i="46"/>
  <c r="E48" i="46"/>
  <c r="F48" i="46" s="1"/>
  <c r="E42" i="46"/>
  <c r="E40" i="46"/>
  <c r="F40" i="46" s="1"/>
  <c r="E34" i="46"/>
  <c r="F34" i="46" s="1"/>
  <c r="H34" i="46" s="1"/>
  <c r="E30" i="46"/>
  <c r="F30" i="46" s="1"/>
  <c r="H30" i="46" s="1"/>
  <c r="E26" i="46"/>
  <c r="E24" i="46"/>
  <c r="F24" i="46" s="1"/>
  <c r="H24" i="46" s="1"/>
  <c r="E22" i="46"/>
  <c r="F22" i="46" s="1"/>
  <c r="H22" i="46" s="1"/>
  <c r="E14" i="46"/>
  <c r="F14" i="46" s="1"/>
  <c r="E10" i="46"/>
  <c r="E8" i="46"/>
  <c r="F8" i="46" s="1"/>
  <c r="H8" i="46" s="1"/>
  <c r="E6" i="46"/>
  <c r="G112" i="48"/>
  <c r="I112" i="48" s="1"/>
  <c r="G228" i="48"/>
  <c r="I228" i="48" s="1"/>
  <c r="H157" i="49"/>
  <c r="H221" i="49"/>
  <c r="H281" i="49"/>
  <c r="I268" i="49"/>
  <c r="H238" i="49"/>
  <c r="H284" i="49"/>
  <c r="H246" i="49"/>
  <c r="I270" i="49"/>
  <c r="H270" i="49"/>
  <c r="H38" i="49"/>
  <c r="I258" i="49"/>
  <c r="H258" i="49"/>
  <c r="I286" i="49"/>
  <c r="H286" i="49"/>
  <c r="I294" i="49"/>
  <c r="H294" i="49"/>
  <c r="X59" i="49"/>
  <c r="T59" i="49"/>
  <c r="P59" i="49"/>
  <c r="L59" i="49"/>
  <c r="W59" i="49"/>
  <c r="S59" i="49"/>
  <c r="O59" i="49"/>
  <c r="K59" i="49"/>
  <c r="V59" i="49"/>
  <c r="R59" i="49"/>
  <c r="N59" i="49"/>
  <c r="Y59" i="49"/>
  <c r="U59" i="49"/>
  <c r="Q59" i="49"/>
  <c r="M59" i="49"/>
  <c r="Y220" i="49"/>
  <c r="S220" i="49"/>
  <c r="P220" i="49"/>
  <c r="M220" i="49"/>
  <c r="R220" i="49"/>
  <c r="W220" i="49"/>
  <c r="T220" i="49"/>
  <c r="Q220" i="49"/>
  <c r="K220" i="49"/>
  <c r="V220" i="49"/>
  <c r="X220" i="49"/>
  <c r="U220" i="49"/>
  <c r="O220" i="49"/>
  <c r="L220" i="49"/>
  <c r="N220" i="49"/>
  <c r="H278" i="49"/>
  <c r="I278" i="49"/>
  <c r="X121" i="49"/>
  <c r="T121" i="49"/>
  <c r="P121" i="49"/>
  <c r="L121" i="49"/>
  <c r="W121" i="49"/>
  <c r="S121" i="49"/>
  <c r="O121" i="49"/>
  <c r="K121" i="49"/>
  <c r="V121" i="49"/>
  <c r="R121" i="49"/>
  <c r="N121" i="49"/>
  <c r="Y121" i="49"/>
  <c r="U121" i="49"/>
  <c r="Q121" i="49"/>
  <c r="M121" i="49"/>
  <c r="V38" i="49"/>
  <c r="R38" i="49"/>
  <c r="N38" i="49"/>
  <c r="Y38" i="49"/>
  <c r="U38" i="49"/>
  <c r="Q38" i="49"/>
  <c r="M38" i="49"/>
  <c r="X38" i="49"/>
  <c r="T38" i="49"/>
  <c r="P38" i="49"/>
  <c r="L38" i="49"/>
  <c r="W38" i="49"/>
  <c r="S38" i="49"/>
  <c r="O38" i="49"/>
  <c r="K38" i="49"/>
  <c r="W113" i="49"/>
  <c r="S113" i="49"/>
  <c r="O113" i="49"/>
  <c r="K113" i="49"/>
  <c r="V113" i="49"/>
  <c r="R113" i="49"/>
  <c r="N113" i="49"/>
  <c r="Y113" i="49"/>
  <c r="U113" i="49"/>
  <c r="Q113" i="49"/>
  <c r="M113" i="49"/>
  <c r="X113" i="49"/>
  <c r="T113" i="49"/>
  <c r="P113" i="49"/>
  <c r="L113" i="49"/>
  <c r="Y265" i="49"/>
  <c r="K265" i="49"/>
  <c r="V265" i="49"/>
  <c r="X265" i="49"/>
  <c r="U265" i="49"/>
  <c r="O265" i="49"/>
  <c r="L265" i="49"/>
  <c r="N265" i="49"/>
  <c r="S265" i="49"/>
  <c r="P265" i="49"/>
  <c r="M265" i="49"/>
  <c r="R265" i="49"/>
  <c r="W265" i="49"/>
  <c r="T265" i="49"/>
  <c r="Q265" i="49"/>
  <c r="Y236" i="49"/>
  <c r="L236" i="49"/>
  <c r="X236" i="49"/>
  <c r="T236" i="49"/>
  <c r="P236" i="49"/>
  <c r="R236" i="49"/>
  <c r="S236" i="49"/>
  <c r="U236" i="49"/>
  <c r="V236" i="49"/>
  <c r="W236" i="49"/>
  <c r="K236" i="49"/>
  <c r="M236" i="49"/>
  <c r="N236" i="49"/>
  <c r="O236" i="49"/>
  <c r="Q236" i="49"/>
  <c r="Y262" i="49"/>
  <c r="W262" i="49"/>
  <c r="S262" i="49"/>
  <c r="O262" i="49"/>
  <c r="K262" i="49"/>
  <c r="L262" i="49"/>
  <c r="M262" i="49"/>
  <c r="N262" i="49"/>
  <c r="P262" i="49"/>
  <c r="Q262" i="49"/>
  <c r="R262" i="49"/>
  <c r="T262" i="49"/>
  <c r="U262" i="49"/>
  <c r="V262" i="49"/>
  <c r="X262" i="49"/>
  <c r="W43" i="49"/>
  <c r="S43" i="49"/>
  <c r="O43" i="49"/>
  <c r="K43" i="49"/>
  <c r="V43" i="49"/>
  <c r="R43" i="49"/>
  <c r="N43" i="49"/>
  <c r="Y43" i="49"/>
  <c r="U43" i="49"/>
  <c r="Q43" i="49"/>
  <c r="M43" i="49"/>
  <c r="X43" i="49"/>
  <c r="T43" i="49"/>
  <c r="P43" i="49"/>
  <c r="L43" i="49"/>
  <c r="H274" i="49"/>
  <c r="I274" i="49"/>
  <c r="Y77" i="49"/>
  <c r="U77" i="49"/>
  <c r="Q77" i="49"/>
  <c r="M77" i="49"/>
  <c r="X77" i="49"/>
  <c r="T77" i="49"/>
  <c r="P77" i="49"/>
  <c r="L77" i="49"/>
  <c r="W77" i="49"/>
  <c r="S77" i="49"/>
  <c r="O77" i="49"/>
  <c r="K77" i="49"/>
  <c r="V77" i="49"/>
  <c r="R77" i="49"/>
  <c r="N77" i="49"/>
  <c r="G244" i="48"/>
  <c r="I244" i="48" s="1"/>
  <c r="G272" i="48"/>
  <c r="I272" i="48" s="1"/>
  <c r="G312" i="48"/>
  <c r="I312" i="48" s="1"/>
  <c r="G293" i="48"/>
  <c r="I293" i="48" s="1"/>
  <c r="G140" i="48"/>
  <c r="G276" i="48"/>
  <c r="G278" i="48"/>
  <c r="G20" i="48"/>
  <c r="I20" i="48" s="1"/>
  <c r="G168" i="48"/>
  <c r="G60" i="48"/>
  <c r="I60" i="48" s="1"/>
  <c r="G152" i="48"/>
  <c r="I152" i="48" s="1"/>
  <c r="G204" i="48"/>
  <c r="I204" i="48" s="1"/>
  <c r="G64" i="48"/>
  <c r="I64" i="48" s="1"/>
  <c r="G40" i="48"/>
  <c r="I40" i="48" s="1"/>
  <c r="G68" i="48"/>
  <c r="I68" i="48" s="1"/>
  <c r="G96" i="48"/>
  <c r="I96" i="48" s="1"/>
  <c r="G132" i="48"/>
  <c r="I132" i="48" s="1"/>
  <c r="G52" i="48"/>
  <c r="I52" i="48" s="1"/>
  <c r="G84" i="48"/>
  <c r="I84" i="48" s="1"/>
  <c r="G148" i="48"/>
  <c r="I148" i="48" s="1"/>
  <c r="G314" i="48"/>
  <c r="I314" i="48" s="1"/>
  <c r="G291" i="48"/>
  <c r="I291" i="48" s="1"/>
  <c r="G307" i="48"/>
  <c r="I307" i="48" s="1"/>
  <c r="G24" i="48"/>
  <c r="I24" i="48" s="1"/>
  <c r="G56" i="48"/>
  <c r="I56" i="48" s="1"/>
  <c r="G72" i="48"/>
  <c r="I72" i="48" s="1"/>
  <c r="G120" i="48"/>
  <c r="I120" i="48" s="1"/>
  <c r="G176" i="48"/>
  <c r="I176" i="48" s="1"/>
  <c r="G200" i="48"/>
  <c r="I200" i="48" s="1"/>
  <c r="G248" i="48"/>
  <c r="I248" i="48" s="1"/>
  <c r="G256" i="48"/>
  <c r="I256" i="48" s="1"/>
  <c r="G295" i="48"/>
  <c r="I295" i="48" s="1"/>
  <c r="G88" i="48"/>
  <c r="I88" i="48" s="1"/>
  <c r="G28" i="48"/>
  <c r="I28" i="48" s="1"/>
  <c r="G100" i="48"/>
  <c r="I100" i="48" s="1"/>
  <c r="G156" i="48"/>
  <c r="G16" i="48"/>
  <c r="I16" i="48" s="1"/>
  <c r="G32" i="48"/>
  <c r="I32" i="48" s="1"/>
  <c r="G48" i="48"/>
  <c r="I48" i="48" s="1"/>
  <c r="G136" i="48"/>
  <c r="I136" i="48" s="1"/>
  <c r="G184" i="48"/>
  <c r="I184" i="48" s="1"/>
  <c r="G208" i="48"/>
  <c r="I208" i="48" s="1"/>
  <c r="G224" i="48"/>
  <c r="I224" i="48" s="1"/>
  <c r="G240" i="48"/>
  <c r="I240" i="48" s="1"/>
  <c r="G287" i="48"/>
  <c r="I287" i="48" s="1"/>
  <c r="G118" i="47"/>
  <c r="G10" i="47"/>
  <c r="I4" i="47"/>
  <c r="G153" i="47"/>
  <c r="G89" i="47"/>
  <c r="G261" i="47"/>
  <c r="G45" i="47"/>
  <c r="G122" i="47"/>
  <c r="G114" i="47"/>
  <c r="G237" i="47"/>
  <c r="G173" i="47"/>
  <c r="G109" i="47"/>
  <c r="G281" i="47"/>
  <c r="G97" i="47"/>
  <c r="G37" i="47"/>
  <c r="G33" i="47"/>
  <c r="G257" i="47"/>
  <c r="G65" i="47"/>
  <c r="G161" i="47"/>
  <c r="E162" i="46"/>
  <c r="F162" i="46" s="1"/>
  <c r="E229" i="46"/>
  <c r="F229" i="46" s="1"/>
  <c r="E221" i="46"/>
  <c r="F221" i="46" s="1"/>
  <c r="E177" i="46"/>
  <c r="F177" i="46" s="1"/>
  <c r="E165" i="46"/>
  <c r="F165" i="46" s="1"/>
  <c r="E260" i="46"/>
  <c r="F260" i="46" s="1"/>
  <c r="E256" i="46"/>
  <c r="F256" i="46" s="1"/>
  <c r="E254" i="46"/>
  <c r="F254" i="46" s="1"/>
  <c r="E250" i="46"/>
  <c r="F250" i="46" s="1"/>
  <c r="E242" i="46"/>
  <c r="F242" i="46" s="1"/>
  <c r="E234" i="46"/>
  <c r="F234" i="46" s="1"/>
  <c r="E218" i="46"/>
  <c r="F218" i="46" s="1"/>
  <c r="E202" i="46"/>
  <c r="F202" i="46" s="1"/>
  <c r="E45" i="46"/>
  <c r="F45" i="46" s="1"/>
  <c r="E290" i="46"/>
  <c r="F290" i="46" s="1"/>
  <c r="E228" i="46"/>
  <c r="F228" i="46" s="1"/>
  <c r="E224" i="46"/>
  <c r="F224" i="46" s="1"/>
  <c r="E222" i="46"/>
  <c r="F222" i="46" s="1"/>
  <c r="E195" i="46"/>
  <c r="F195" i="46" s="1"/>
  <c r="E193" i="46"/>
  <c r="F193" i="46" s="1"/>
  <c r="E191" i="46"/>
  <c r="F191" i="46" s="1"/>
  <c r="E183" i="46"/>
  <c r="F183" i="46" s="1"/>
  <c r="E141" i="46"/>
  <c r="F141" i="46" s="1"/>
  <c r="E133" i="46"/>
  <c r="F133" i="46" s="1"/>
  <c r="E118" i="46"/>
  <c r="E313" i="46"/>
  <c r="F313" i="46" s="1"/>
  <c r="E311" i="46"/>
  <c r="F311" i="46" s="1"/>
  <c r="E309" i="46"/>
  <c r="F309" i="46" s="1"/>
  <c r="E305" i="46"/>
  <c r="F305" i="46" s="1"/>
  <c r="E245" i="46"/>
  <c r="F245" i="46" s="1"/>
  <c r="E241" i="46"/>
  <c r="F241" i="46" s="1"/>
  <c r="E239" i="46"/>
  <c r="F239" i="46" s="1"/>
  <c r="E237" i="46"/>
  <c r="E208" i="46"/>
  <c r="F208" i="46" s="1"/>
  <c r="E206" i="46"/>
  <c r="F206" i="46" s="1"/>
  <c r="E174" i="46"/>
  <c r="F174" i="46" s="1"/>
  <c r="E46" i="46"/>
  <c r="F46" i="46" s="1"/>
  <c r="E117" i="46"/>
  <c r="F117" i="46" s="1"/>
  <c r="E113" i="46"/>
  <c r="F113" i="46" s="1"/>
  <c r="E20" i="46"/>
  <c r="F20" i="46" s="1"/>
  <c r="E302" i="46"/>
  <c r="F302" i="46" s="1"/>
  <c r="E285" i="46"/>
  <c r="F285" i="46" s="1"/>
  <c r="E283" i="46"/>
  <c r="F283" i="46" s="1"/>
  <c r="E281" i="46"/>
  <c r="F281" i="46" s="1"/>
  <c r="E279" i="46"/>
  <c r="F279" i="46" s="1"/>
  <c r="E277" i="46"/>
  <c r="F277" i="46" s="1"/>
  <c r="E273" i="46"/>
  <c r="F273" i="46" s="1"/>
  <c r="E269" i="46"/>
  <c r="E213" i="46"/>
  <c r="E211" i="46"/>
  <c r="F211" i="46" s="1"/>
  <c r="E209" i="46"/>
  <c r="F209" i="46" s="1"/>
  <c r="E207" i="46"/>
  <c r="F207" i="46" s="1"/>
  <c r="E205" i="46"/>
  <c r="F205" i="46" s="1"/>
  <c r="E160" i="46"/>
  <c r="F160" i="46" s="1"/>
  <c r="E154" i="46"/>
  <c r="F154" i="46" s="1"/>
  <c r="E152" i="46"/>
  <c r="F152" i="46" s="1"/>
  <c r="E150" i="46"/>
  <c r="F150" i="46" s="1"/>
  <c r="E146" i="46"/>
  <c r="F146" i="46" s="1"/>
  <c r="E142" i="46"/>
  <c r="F142" i="46" s="1"/>
  <c r="E136" i="46"/>
  <c r="F136" i="46" s="1"/>
  <c r="E134" i="46"/>
  <c r="F134" i="46" s="1"/>
  <c r="E75" i="46"/>
  <c r="F75" i="46" s="1"/>
  <c r="E53" i="46"/>
  <c r="F53" i="46" s="1"/>
  <c r="E37" i="46"/>
  <c r="F37" i="46" s="1"/>
  <c r="E25" i="46"/>
  <c r="F25" i="46" s="1"/>
  <c r="E21" i="46"/>
  <c r="F21" i="46" s="1"/>
  <c r="E9" i="46"/>
  <c r="F9" i="46" s="1"/>
  <c r="F312" i="46"/>
  <c r="H312" i="46" s="1"/>
  <c r="F308" i="46"/>
  <c r="F289" i="46"/>
  <c r="H289" i="46" s="1"/>
  <c r="E286" i="46"/>
  <c r="F284" i="46"/>
  <c r="H284" i="46" s="1"/>
  <c r="E267" i="46"/>
  <c r="E265" i="46"/>
  <c r="E263" i="46"/>
  <c r="E252" i="46"/>
  <c r="E248" i="46"/>
  <c r="E246" i="46"/>
  <c r="E233" i="46"/>
  <c r="E231" i="46"/>
  <c r="E220" i="46"/>
  <c r="E216" i="46"/>
  <c r="E214" i="46"/>
  <c r="F110" i="46"/>
  <c r="H110" i="46" s="1"/>
  <c r="E297" i="46"/>
  <c r="E295" i="46"/>
  <c r="E293" i="46"/>
  <c r="E272" i="46"/>
  <c r="E270" i="46"/>
  <c r="E257" i="46"/>
  <c r="E255" i="46"/>
  <c r="E244" i="46"/>
  <c r="E240" i="46"/>
  <c r="E238" i="46"/>
  <c r="E227" i="46"/>
  <c r="E225" i="46"/>
  <c r="E223" i="46"/>
  <c r="E212" i="46"/>
  <c r="E4" i="46"/>
  <c r="E300" i="46"/>
  <c r="E296" i="46"/>
  <c r="E268" i="46"/>
  <c r="E264" i="46"/>
  <c r="E262" i="46"/>
  <c r="E258" i="46"/>
  <c r="E249" i="46"/>
  <c r="E247" i="46"/>
  <c r="E236" i="46"/>
  <c r="E232" i="46"/>
  <c r="E230" i="46"/>
  <c r="E226" i="46"/>
  <c r="E219" i="46"/>
  <c r="E217" i="46"/>
  <c r="E215" i="46"/>
  <c r="F58" i="46"/>
  <c r="H58" i="46" s="1"/>
  <c r="F42" i="46"/>
  <c r="H42" i="46" s="1"/>
  <c r="E204" i="46"/>
  <c r="E200" i="46"/>
  <c r="E198" i="46"/>
  <c r="E194" i="46"/>
  <c r="E181" i="46"/>
  <c r="E173" i="46"/>
  <c r="E167" i="46"/>
  <c r="E157" i="46"/>
  <c r="E153" i="46"/>
  <c r="E149" i="46"/>
  <c r="E127" i="46"/>
  <c r="F125" i="46"/>
  <c r="H125" i="46" s="1"/>
  <c r="F98" i="46"/>
  <c r="H98" i="46" s="1"/>
  <c r="F70" i="46"/>
  <c r="H70" i="46" s="1"/>
  <c r="F66" i="46"/>
  <c r="H66" i="46" s="1"/>
  <c r="E47" i="46"/>
  <c r="E18" i="46"/>
  <c r="E11" i="46"/>
  <c r="F196" i="46"/>
  <c r="H196" i="46" s="1"/>
  <c r="F186" i="46"/>
  <c r="F159" i="46"/>
  <c r="H159" i="46" s="1"/>
  <c r="E138" i="46"/>
  <c r="E114" i="46"/>
  <c r="E107" i="46"/>
  <c r="F105" i="46"/>
  <c r="H105" i="46" s="1"/>
  <c r="E101" i="46"/>
  <c r="E97" i="46"/>
  <c r="F69" i="46"/>
  <c r="H69" i="46" s="1"/>
  <c r="F26" i="46"/>
  <c r="H26" i="46" s="1"/>
  <c r="E210" i="46"/>
  <c r="E203" i="46"/>
  <c r="E201" i="46"/>
  <c r="E199" i="46"/>
  <c r="E189" i="46"/>
  <c r="E180" i="46"/>
  <c r="E178" i="46"/>
  <c r="E176" i="46"/>
  <c r="E170" i="46"/>
  <c r="E168" i="46"/>
  <c r="E166" i="46"/>
  <c r="E158" i="46"/>
  <c r="E143" i="46"/>
  <c r="E137" i="46"/>
  <c r="F84" i="46"/>
  <c r="F50" i="46"/>
  <c r="H50" i="46" s="1"/>
  <c r="E31" i="46"/>
  <c r="F10" i="46"/>
  <c r="H10" i="46" s="1"/>
  <c r="F6" i="46"/>
  <c r="H6" i="46" s="1"/>
  <c r="E122" i="46"/>
  <c r="E91" i="46"/>
  <c r="E81" i="46"/>
  <c r="E59" i="46"/>
  <c r="E15" i="46"/>
  <c r="F5" i="46"/>
  <c r="G191" i="47"/>
  <c r="G214" i="47"/>
  <c r="G100" i="47"/>
  <c r="G258" i="47"/>
  <c r="G198" i="47"/>
  <c r="G74" i="47"/>
  <c r="G175" i="47"/>
  <c r="G59" i="47"/>
  <c r="G249" i="47"/>
  <c r="G262" i="47"/>
  <c r="G167" i="47"/>
  <c r="G69" i="47"/>
  <c r="G50" i="47"/>
  <c r="G307" i="47"/>
  <c r="G234" i="47"/>
  <c r="G170" i="47"/>
  <c r="G162" i="47"/>
  <c r="G134" i="47"/>
  <c r="G42" i="47"/>
  <c r="G111" i="47"/>
  <c r="G185" i="47"/>
  <c r="G201" i="47"/>
  <c r="G85" i="47"/>
  <c r="G282" i="47"/>
  <c r="G166" i="47"/>
  <c r="G127" i="47"/>
  <c r="G311" i="47"/>
  <c r="G303" i="47"/>
  <c r="G290" i="47"/>
  <c r="G138" i="47"/>
  <c r="G130" i="47"/>
  <c r="G82" i="47"/>
  <c r="G18" i="47"/>
  <c r="G207" i="47"/>
  <c r="G273" i="47"/>
  <c r="G209" i="47"/>
  <c r="G295" i="47"/>
  <c r="G274" i="47"/>
  <c r="G242" i="47"/>
  <c r="G230" i="47"/>
  <c r="G218" i="47"/>
  <c r="G182" i="47"/>
  <c r="G154" i="47"/>
  <c r="G106" i="47"/>
  <c r="G98" i="47"/>
  <c r="G66" i="47"/>
  <c r="G34" i="47"/>
  <c r="G143" i="47"/>
  <c r="G177" i="47"/>
  <c r="G113" i="47"/>
  <c r="G53" i="47"/>
  <c r="G291" i="47"/>
  <c r="G99" i="47"/>
  <c r="G75" i="47"/>
  <c r="G278" i="47"/>
  <c r="G246" i="47"/>
  <c r="G102" i="47"/>
  <c r="G155" i="47"/>
  <c r="G119" i="47"/>
  <c r="G103" i="47"/>
  <c r="G129" i="47"/>
  <c r="G241" i="47"/>
  <c r="G149" i="47"/>
  <c r="G17" i="47"/>
  <c r="G146" i="47"/>
  <c r="G90" i="47"/>
  <c r="G58" i="47"/>
  <c r="G26" i="47"/>
  <c r="G183" i="47"/>
  <c r="G289" i="47"/>
  <c r="G165" i="47"/>
  <c r="G265" i="47"/>
  <c r="G233" i="47"/>
  <c r="G133" i="47"/>
  <c r="G163" i="47"/>
  <c r="G139" i="47"/>
  <c r="G123" i="47"/>
  <c r="G107" i="47"/>
  <c r="G91" i="47"/>
  <c r="G47" i="47"/>
  <c r="G266" i="47"/>
  <c r="G250" i="47"/>
  <c r="G202" i="47"/>
  <c r="G186" i="47"/>
  <c r="G308" i="47"/>
  <c r="G300" i="47"/>
  <c r="G292" i="47"/>
  <c r="G284" i="47"/>
  <c r="G276" i="47"/>
  <c r="G268" i="47"/>
  <c r="G260" i="47"/>
  <c r="G252" i="47"/>
  <c r="G244" i="47"/>
  <c r="G236" i="47"/>
  <c r="G228" i="47"/>
  <c r="G220" i="47"/>
  <c r="G212" i="47"/>
  <c r="G204" i="47"/>
  <c r="G196" i="47"/>
  <c r="G188" i="47"/>
  <c r="G180" i="47"/>
  <c r="G172" i="47"/>
  <c r="G164" i="47"/>
  <c r="G156" i="47"/>
  <c r="G148" i="47"/>
  <c r="G140" i="47"/>
  <c r="G132" i="47"/>
  <c r="G124" i="47"/>
  <c r="G116" i="47"/>
  <c r="G108" i="47"/>
  <c r="G223" i="47"/>
  <c r="G199" i="47"/>
  <c r="G95" i="47"/>
  <c r="G79" i="47"/>
  <c r="G31" i="47"/>
  <c r="G299" i="47"/>
  <c r="G279" i="47"/>
  <c r="G271" i="47"/>
  <c r="G263" i="47"/>
  <c r="G255" i="47"/>
  <c r="G247" i="47"/>
  <c r="G239" i="47"/>
  <c r="G231" i="47"/>
  <c r="G219" i="47"/>
  <c r="G211" i="47"/>
  <c r="G195" i="47"/>
  <c r="G179" i="47"/>
  <c r="G63" i="47"/>
  <c r="G314" i="47"/>
  <c r="G306" i="47"/>
  <c r="G298" i="47"/>
  <c r="G226" i="47"/>
  <c r="G210" i="47"/>
  <c r="G194" i="47"/>
  <c r="G178" i="47"/>
  <c r="G48" i="47"/>
  <c r="G32" i="47"/>
  <c r="G16" i="47"/>
  <c r="G159" i="47"/>
  <c r="G147" i="47"/>
  <c r="G135" i="47"/>
  <c r="G51" i="47"/>
  <c r="G23" i="47"/>
  <c r="G171" i="47"/>
  <c r="G151" i="47"/>
  <c r="G131" i="47"/>
  <c r="G115" i="47"/>
  <c r="G312" i="47"/>
  <c r="G304" i="47"/>
  <c r="G296" i="47"/>
  <c r="G288" i="47"/>
  <c r="G280" i="47"/>
  <c r="G272" i="47"/>
  <c r="G264" i="47"/>
  <c r="G256" i="47"/>
  <c r="G248" i="47"/>
  <c r="G240" i="47"/>
  <c r="G232" i="47"/>
  <c r="G224" i="47"/>
  <c r="G216" i="47"/>
  <c r="G208" i="47"/>
  <c r="G200" i="47"/>
  <c r="G192" i="47"/>
  <c r="G184" i="47"/>
  <c r="G176" i="47"/>
  <c r="G168" i="47"/>
  <c r="G160" i="47"/>
  <c r="G152" i="47"/>
  <c r="G144" i="47"/>
  <c r="G136" i="47"/>
  <c r="G128" i="47"/>
  <c r="G120" i="47"/>
  <c r="G112" i="47"/>
  <c r="G104" i="47"/>
  <c r="G287" i="47"/>
  <c r="G87" i="47"/>
  <c r="G71" i="47"/>
  <c r="G43" i="47"/>
  <c r="G15" i="47"/>
  <c r="G283" i="47"/>
  <c r="G275" i="47"/>
  <c r="G267" i="47"/>
  <c r="G259" i="47"/>
  <c r="G251" i="47"/>
  <c r="G243" i="47"/>
  <c r="G235" i="47"/>
  <c r="G227" i="47"/>
  <c r="G215" i="47"/>
  <c r="G203" i="47"/>
  <c r="G187" i="47"/>
  <c r="G83" i="47"/>
  <c r="G67" i="47"/>
  <c r="G55" i="47"/>
  <c r="G310" i="47"/>
  <c r="G302" i="47"/>
  <c r="G294" i="47"/>
  <c r="G286" i="47"/>
  <c r="G270" i="47"/>
  <c r="G254" i="47"/>
  <c r="G238" i="47"/>
  <c r="G222" i="47"/>
  <c r="G206" i="47"/>
  <c r="G190" i="47"/>
  <c r="G174" i="47"/>
  <c r="G158" i="47"/>
  <c r="G150" i="47"/>
  <c r="G142" i="47"/>
  <c r="G126" i="47"/>
  <c r="G110" i="47"/>
  <c r="G94" i="47"/>
  <c r="G86" i="47"/>
  <c r="G78" i="47"/>
  <c r="G70" i="47"/>
  <c r="G62" i="47"/>
  <c r="G54" i="47"/>
  <c r="G46" i="47"/>
  <c r="G38" i="47"/>
  <c r="G30" i="47"/>
  <c r="G22" i="47"/>
  <c r="G14" i="47"/>
  <c r="G6" i="47"/>
  <c r="G39" i="47"/>
  <c r="G7" i="47"/>
  <c r="E307" i="46"/>
  <c r="E298" i="46"/>
  <c r="E291" i="46"/>
  <c r="E187" i="46"/>
  <c r="E185" i="46"/>
  <c r="E175" i="46"/>
  <c r="E172" i="46"/>
  <c r="E163" i="46"/>
  <c r="E161" i="46"/>
  <c r="E156" i="46"/>
  <c r="E147" i="46"/>
  <c r="E145" i="46"/>
  <c r="E140" i="46"/>
  <c r="E131" i="46"/>
  <c r="E129" i="46"/>
  <c r="E124" i="46"/>
  <c r="E119" i="46"/>
  <c r="E116" i="46"/>
  <c r="E111" i="46"/>
  <c r="E109" i="46"/>
  <c r="E104" i="46"/>
  <c r="E95" i="46"/>
  <c r="E93" i="46"/>
  <c r="E88" i="46"/>
  <c r="E79" i="46"/>
  <c r="E77" i="46"/>
  <c r="E72" i="46"/>
  <c r="E63" i="46"/>
  <c r="E61" i="46"/>
  <c r="E54" i="46"/>
  <c r="E52" i="46"/>
  <c r="E43" i="46"/>
  <c r="E41" i="46"/>
  <c r="E32" i="46"/>
  <c r="E13" i="46"/>
  <c r="E314" i="46"/>
  <c r="E310" i="46"/>
  <c r="E303" i="46"/>
  <c r="E294" i="46"/>
  <c r="E282" i="46"/>
  <c r="E275" i="46"/>
  <c r="E259" i="46"/>
  <c r="E251" i="46"/>
  <c r="E243" i="46"/>
  <c r="E235" i="46"/>
  <c r="E306" i="46"/>
  <c r="E304" i="46"/>
  <c r="E299" i="46"/>
  <c r="E292" i="46"/>
  <c r="E287" i="46"/>
  <c r="E278" i="46"/>
  <c r="E276" i="46"/>
  <c r="E171" i="46"/>
  <c r="E169" i="46"/>
  <c r="E164" i="46"/>
  <c r="E155" i="46"/>
  <c r="E148" i="46"/>
  <c r="E139" i="46"/>
  <c r="E132" i="46"/>
  <c r="E123" i="46"/>
  <c r="E120" i="46"/>
  <c r="E115" i="46"/>
  <c r="E112" i="46"/>
  <c r="E103" i="46"/>
  <c r="E96" i="46"/>
  <c r="E87" i="46"/>
  <c r="E80" i="46"/>
  <c r="E71" i="46"/>
  <c r="E64" i="46"/>
  <c r="E55" i="46"/>
  <c r="E288" i="46"/>
  <c r="E271" i="46"/>
  <c r="E184" i="46"/>
  <c r="E179" i="46"/>
  <c r="E151" i="46"/>
  <c r="E144" i="46"/>
  <c r="E135" i="46"/>
  <c r="E128" i="46"/>
  <c r="E108" i="46"/>
  <c r="E99" i="46"/>
  <c r="E92" i="46"/>
  <c r="E83" i="46"/>
  <c r="E76" i="46"/>
  <c r="E67" i="46"/>
  <c r="E38" i="46"/>
  <c r="E36" i="46"/>
  <c r="E27" i="46"/>
  <c r="E60" i="46"/>
  <c r="E51" i="46"/>
  <c r="E49" i="46"/>
  <c r="E44" i="46"/>
  <c r="E35" i="46"/>
  <c r="E33" i="46"/>
  <c r="E28" i="46"/>
  <c r="E19" i="46"/>
  <c r="E17" i="46"/>
  <c r="E12" i="46"/>
  <c r="E23" i="46"/>
  <c r="E16" i="46"/>
  <c r="E7" i="46"/>
  <c r="AW13" i="29"/>
  <c r="AW12" i="29"/>
  <c r="AW11" i="29"/>
  <c r="AW10" i="29"/>
  <c r="AW9" i="29"/>
  <c r="AX9" i="29" s="1"/>
  <c r="AW8" i="29"/>
  <c r="AX8" i="29" s="1"/>
  <c r="AX7" i="29"/>
  <c r="AX10" i="29"/>
  <c r="AX11" i="29"/>
  <c r="AX12" i="29"/>
  <c r="AX13" i="29"/>
  <c r="AX14" i="29"/>
  <c r="AX15" i="29"/>
  <c r="AX16" i="29"/>
  <c r="AX17" i="29"/>
  <c r="AW7" i="29"/>
  <c r="AX6" i="29"/>
  <c r="AW6" i="29"/>
  <c r="C52" i="6"/>
  <c r="K5" i="45"/>
  <c r="L5" i="45" s="1"/>
  <c r="K6" i="45"/>
  <c r="L6" i="45" s="1"/>
  <c r="K7" i="45"/>
  <c r="L7" i="45" s="1"/>
  <c r="K8" i="45"/>
  <c r="L8" i="45" s="1"/>
  <c r="K9" i="45"/>
  <c r="L9" i="45" s="1"/>
  <c r="K10" i="45"/>
  <c r="L10" i="45" s="1"/>
  <c r="K11" i="45"/>
  <c r="L11" i="45" s="1"/>
  <c r="K12" i="45"/>
  <c r="L12" i="45" s="1"/>
  <c r="K13" i="45"/>
  <c r="L13" i="45" s="1"/>
  <c r="K14" i="45"/>
  <c r="L14" i="45" s="1"/>
  <c r="K15" i="45"/>
  <c r="L15" i="45" s="1"/>
  <c r="K16" i="45"/>
  <c r="L16" i="45" s="1"/>
  <c r="K17" i="45"/>
  <c r="L17" i="45" s="1"/>
  <c r="K18" i="45"/>
  <c r="L18" i="45" s="1"/>
  <c r="K19" i="45"/>
  <c r="L19" i="45" s="1"/>
  <c r="K20" i="45"/>
  <c r="L20" i="45" s="1"/>
  <c r="K21" i="45"/>
  <c r="L21" i="45" s="1"/>
  <c r="K22" i="45"/>
  <c r="L22" i="45" s="1"/>
  <c r="K23" i="45"/>
  <c r="L23" i="45" s="1"/>
  <c r="K24" i="45"/>
  <c r="L24" i="45" s="1"/>
  <c r="K25" i="45"/>
  <c r="L25" i="45" s="1"/>
  <c r="K26" i="45"/>
  <c r="L26" i="45" s="1"/>
  <c r="K27" i="45"/>
  <c r="L27" i="45" s="1"/>
  <c r="K28" i="45"/>
  <c r="L28" i="45" s="1"/>
  <c r="K29" i="45"/>
  <c r="L29" i="45" s="1"/>
  <c r="K30" i="45"/>
  <c r="L30" i="45" s="1"/>
  <c r="K31" i="45"/>
  <c r="L31" i="45" s="1"/>
  <c r="K32" i="45"/>
  <c r="L32" i="45" s="1"/>
  <c r="K33" i="45"/>
  <c r="L33" i="45" s="1"/>
  <c r="K34" i="45"/>
  <c r="L34" i="45" s="1"/>
  <c r="K35" i="45"/>
  <c r="L35" i="45" s="1"/>
  <c r="K36" i="45"/>
  <c r="L36" i="45" s="1"/>
  <c r="K37" i="45"/>
  <c r="L37" i="45" s="1"/>
  <c r="K38" i="45"/>
  <c r="L38" i="45" s="1"/>
  <c r="K39" i="45"/>
  <c r="L39" i="45" s="1"/>
  <c r="K40" i="45"/>
  <c r="L40" i="45" s="1"/>
  <c r="K41" i="45"/>
  <c r="L41" i="45" s="1"/>
  <c r="K42" i="45"/>
  <c r="L42" i="45" s="1"/>
  <c r="K43" i="45"/>
  <c r="L43" i="45" s="1"/>
  <c r="K44" i="45"/>
  <c r="L44" i="45" s="1"/>
  <c r="K45" i="45"/>
  <c r="L45" i="45" s="1"/>
  <c r="K46" i="45"/>
  <c r="L46" i="45" s="1"/>
  <c r="K47" i="45"/>
  <c r="L47" i="45" s="1"/>
  <c r="K48" i="45"/>
  <c r="L48" i="45" s="1"/>
  <c r="K49" i="45"/>
  <c r="L49" i="45" s="1"/>
  <c r="K50" i="45"/>
  <c r="L50" i="45" s="1"/>
  <c r="K51" i="45"/>
  <c r="L51" i="45" s="1"/>
  <c r="K52" i="45"/>
  <c r="L52" i="45" s="1"/>
  <c r="K53" i="45"/>
  <c r="L53" i="45" s="1"/>
  <c r="K54" i="45"/>
  <c r="L54" i="45" s="1"/>
  <c r="K55" i="45"/>
  <c r="L55" i="45" s="1"/>
  <c r="K56" i="45"/>
  <c r="L56" i="45" s="1"/>
  <c r="K57" i="45"/>
  <c r="L57" i="45" s="1"/>
  <c r="K58" i="45"/>
  <c r="L58" i="45" s="1"/>
  <c r="K59" i="45"/>
  <c r="L59" i="45" s="1"/>
  <c r="K60" i="45"/>
  <c r="L60" i="45" s="1"/>
  <c r="K61" i="45"/>
  <c r="L61" i="45" s="1"/>
  <c r="K62" i="45"/>
  <c r="L62" i="45" s="1"/>
  <c r="K63" i="45"/>
  <c r="L63" i="45" s="1"/>
  <c r="K64" i="45"/>
  <c r="L64" i="45" s="1"/>
  <c r="K65" i="45"/>
  <c r="L65" i="45" s="1"/>
  <c r="K66" i="45"/>
  <c r="L66" i="45" s="1"/>
  <c r="K67" i="45"/>
  <c r="L67" i="45" s="1"/>
  <c r="K68" i="45"/>
  <c r="L68" i="45" s="1"/>
  <c r="K69" i="45"/>
  <c r="L69" i="45" s="1"/>
  <c r="K70" i="45"/>
  <c r="L70" i="45" s="1"/>
  <c r="K71" i="45"/>
  <c r="L71" i="45" s="1"/>
  <c r="K72" i="45"/>
  <c r="L72" i="45" s="1"/>
  <c r="K73" i="45"/>
  <c r="L73" i="45" s="1"/>
  <c r="K74" i="45"/>
  <c r="L74" i="45" s="1"/>
  <c r="K75" i="45"/>
  <c r="L75" i="45" s="1"/>
  <c r="K76" i="45"/>
  <c r="L76" i="45" s="1"/>
  <c r="K77" i="45"/>
  <c r="L77" i="45" s="1"/>
  <c r="K78" i="45"/>
  <c r="L78" i="45" s="1"/>
  <c r="K79" i="45"/>
  <c r="L79" i="45" s="1"/>
  <c r="K80" i="45"/>
  <c r="L80" i="45" s="1"/>
  <c r="K81" i="45"/>
  <c r="L81" i="45" s="1"/>
  <c r="K82" i="45"/>
  <c r="L82" i="45" s="1"/>
  <c r="K83" i="45"/>
  <c r="L83" i="45" s="1"/>
  <c r="K84" i="45"/>
  <c r="L84" i="45" s="1"/>
  <c r="K85" i="45"/>
  <c r="L85" i="45" s="1"/>
  <c r="K86" i="45"/>
  <c r="L86" i="45" s="1"/>
  <c r="K87" i="45"/>
  <c r="L87" i="45" s="1"/>
  <c r="K88" i="45"/>
  <c r="L88" i="45" s="1"/>
  <c r="K89" i="45"/>
  <c r="L89" i="45" s="1"/>
  <c r="K90" i="45"/>
  <c r="L90" i="45" s="1"/>
  <c r="K91" i="45"/>
  <c r="L91" i="45" s="1"/>
  <c r="K92" i="45"/>
  <c r="L92" i="45" s="1"/>
  <c r="K93" i="45"/>
  <c r="L93" i="45" s="1"/>
  <c r="K94" i="45"/>
  <c r="L94" i="45" s="1"/>
  <c r="K95" i="45"/>
  <c r="L95" i="45" s="1"/>
  <c r="K96" i="45"/>
  <c r="L96" i="45" s="1"/>
  <c r="K97" i="45"/>
  <c r="L97" i="45" s="1"/>
  <c r="K98" i="45"/>
  <c r="L98" i="45" s="1"/>
  <c r="K99" i="45"/>
  <c r="L99" i="45" s="1"/>
  <c r="K100" i="45"/>
  <c r="L100" i="45" s="1"/>
  <c r="K101" i="45"/>
  <c r="L101" i="45" s="1"/>
  <c r="K102" i="45"/>
  <c r="L102" i="45" s="1"/>
  <c r="K103" i="45"/>
  <c r="L103" i="45" s="1"/>
  <c r="K104" i="45"/>
  <c r="L104" i="45" s="1"/>
  <c r="K105" i="45"/>
  <c r="L105" i="45" s="1"/>
  <c r="K106" i="45"/>
  <c r="L106" i="45" s="1"/>
  <c r="K107" i="45"/>
  <c r="L107" i="45" s="1"/>
  <c r="K108" i="45"/>
  <c r="L108" i="45" s="1"/>
  <c r="K109" i="45"/>
  <c r="L109" i="45" s="1"/>
  <c r="K110" i="45"/>
  <c r="L110" i="45" s="1"/>
  <c r="K111" i="45"/>
  <c r="L111" i="45" s="1"/>
  <c r="K112" i="45"/>
  <c r="L112" i="45" s="1"/>
  <c r="K113" i="45"/>
  <c r="L113" i="45" s="1"/>
  <c r="K114" i="45"/>
  <c r="L114" i="45" s="1"/>
  <c r="K115" i="45"/>
  <c r="L115" i="45" s="1"/>
  <c r="K116" i="45"/>
  <c r="L116" i="45" s="1"/>
  <c r="K117" i="45"/>
  <c r="L117" i="45" s="1"/>
  <c r="K118" i="45"/>
  <c r="L118" i="45" s="1"/>
  <c r="K119" i="45"/>
  <c r="L119" i="45" s="1"/>
  <c r="K120" i="45"/>
  <c r="L120" i="45" s="1"/>
  <c r="K121" i="45"/>
  <c r="L121" i="45" s="1"/>
  <c r="K122" i="45"/>
  <c r="L122" i="45" s="1"/>
  <c r="K123" i="45"/>
  <c r="L123" i="45" s="1"/>
  <c r="K124" i="45"/>
  <c r="L124" i="45" s="1"/>
  <c r="K125" i="45"/>
  <c r="L125" i="45" s="1"/>
  <c r="K126" i="45"/>
  <c r="L126" i="45" s="1"/>
  <c r="K127" i="45"/>
  <c r="L127" i="45" s="1"/>
  <c r="K128" i="45"/>
  <c r="L128" i="45" s="1"/>
  <c r="K129" i="45"/>
  <c r="L129" i="45" s="1"/>
  <c r="K130" i="45"/>
  <c r="L130" i="45" s="1"/>
  <c r="K131" i="45"/>
  <c r="L131" i="45" s="1"/>
  <c r="K132" i="45"/>
  <c r="L132" i="45" s="1"/>
  <c r="K133" i="45"/>
  <c r="L133" i="45" s="1"/>
  <c r="K134" i="45"/>
  <c r="L134" i="45" s="1"/>
  <c r="K135" i="45"/>
  <c r="L135" i="45" s="1"/>
  <c r="K136" i="45"/>
  <c r="L136" i="45" s="1"/>
  <c r="K137" i="45"/>
  <c r="L137" i="45" s="1"/>
  <c r="K138" i="45"/>
  <c r="L138" i="45" s="1"/>
  <c r="K139" i="45"/>
  <c r="L139" i="45" s="1"/>
  <c r="K140" i="45"/>
  <c r="L140" i="45" s="1"/>
  <c r="K141" i="45"/>
  <c r="L141" i="45" s="1"/>
  <c r="K142" i="45"/>
  <c r="L142" i="45" s="1"/>
  <c r="K143" i="45"/>
  <c r="L143" i="45" s="1"/>
  <c r="K144" i="45"/>
  <c r="L144" i="45" s="1"/>
  <c r="K145" i="45"/>
  <c r="L145" i="45" s="1"/>
  <c r="K146" i="45"/>
  <c r="L146" i="45" s="1"/>
  <c r="K147" i="45"/>
  <c r="L147" i="45" s="1"/>
  <c r="K148" i="45"/>
  <c r="L148" i="45" s="1"/>
  <c r="K149" i="45"/>
  <c r="L149" i="45" s="1"/>
  <c r="K150" i="45"/>
  <c r="L150" i="45" s="1"/>
  <c r="K151" i="45"/>
  <c r="L151" i="45" s="1"/>
  <c r="K152" i="45"/>
  <c r="L152" i="45" s="1"/>
  <c r="K153" i="45"/>
  <c r="L153" i="45" s="1"/>
  <c r="K154" i="45"/>
  <c r="L154" i="45" s="1"/>
  <c r="K155" i="45"/>
  <c r="L155" i="45" s="1"/>
  <c r="K156" i="45"/>
  <c r="L156" i="45" s="1"/>
  <c r="K157" i="45"/>
  <c r="L157" i="45" s="1"/>
  <c r="K158" i="45"/>
  <c r="L158" i="45" s="1"/>
  <c r="K159" i="45"/>
  <c r="L159" i="45" s="1"/>
  <c r="K160" i="45"/>
  <c r="L160" i="45" s="1"/>
  <c r="K161" i="45"/>
  <c r="L161" i="45" s="1"/>
  <c r="K162" i="45"/>
  <c r="L162" i="45" s="1"/>
  <c r="K163" i="45"/>
  <c r="L163" i="45" s="1"/>
  <c r="K164" i="45"/>
  <c r="L164" i="45" s="1"/>
  <c r="K165" i="45"/>
  <c r="L165" i="45" s="1"/>
  <c r="K166" i="45"/>
  <c r="L166" i="45" s="1"/>
  <c r="K167" i="45"/>
  <c r="L167" i="45" s="1"/>
  <c r="K168" i="45"/>
  <c r="L168" i="45" s="1"/>
  <c r="K169" i="45"/>
  <c r="L169" i="45" s="1"/>
  <c r="K170" i="45"/>
  <c r="L170" i="45" s="1"/>
  <c r="K171" i="45"/>
  <c r="L171" i="45" s="1"/>
  <c r="K172" i="45"/>
  <c r="L172" i="45" s="1"/>
  <c r="K173" i="45"/>
  <c r="L173" i="45" s="1"/>
  <c r="K174" i="45"/>
  <c r="L174" i="45" s="1"/>
  <c r="K175" i="45"/>
  <c r="L175" i="45" s="1"/>
  <c r="K176" i="45"/>
  <c r="L176" i="45" s="1"/>
  <c r="K177" i="45"/>
  <c r="L177" i="45" s="1"/>
  <c r="K178" i="45"/>
  <c r="L178" i="45" s="1"/>
  <c r="K179" i="45"/>
  <c r="L179" i="45" s="1"/>
  <c r="K180" i="45"/>
  <c r="L180" i="45" s="1"/>
  <c r="K181" i="45"/>
  <c r="L181" i="45" s="1"/>
  <c r="K182" i="45"/>
  <c r="L182" i="45" s="1"/>
  <c r="K183" i="45"/>
  <c r="L183" i="45" s="1"/>
  <c r="K184" i="45"/>
  <c r="L184" i="45" s="1"/>
  <c r="K185" i="45"/>
  <c r="L185" i="45" s="1"/>
  <c r="K186" i="45"/>
  <c r="L186" i="45" s="1"/>
  <c r="K187" i="45"/>
  <c r="L187" i="45" s="1"/>
  <c r="K188" i="45"/>
  <c r="L188" i="45" s="1"/>
  <c r="K189" i="45"/>
  <c r="L189" i="45" s="1"/>
  <c r="K190" i="45"/>
  <c r="L190" i="45" s="1"/>
  <c r="K191" i="45"/>
  <c r="L191" i="45" s="1"/>
  <c r="K192" i="45"/>
  <c r="L192" i="45" s="1"/>
  <c r="K193" i="45"/>
  <c r="L193" i="45" s="1"/>
  <c r="K194" i="45"/>
  <c r="L194" i="45" s="1"/>
  <c r="K195" i="45"/>
  <c r="L195" i="45" s="1"/>
  <c r="K196" i="45"/>
  <c r="L196" i="45" s="1"/>
  <c r="K197" i="45"/>
  <c r="L197" i="45" s="1"/>
  <c r="K198" i="45"/>
  <c r="L198" i="45" s="1"/>
  <c r="K199" i="45"/>
  <c r="L199" i="45" s="1"/>
  <c r="K200" i="45"/>
  <c r="L200" i="45" s="1"/>
  <c r="K201" i="45"/>
  <c r="L201" i="45" s="1"/>
  <c r="K202" i="45"/>
  <c r="L202" i="45" s="1"/>
  <c r="K203" i="45"/>
  <c r="L203" i="45" s="1"/>
  <c r="K204" i="45"/>
  <c r="L204" i="45" s="1"/>
  <c r="K205" i="45"/>
  <c r="L205" i="45" s="1"/>
  <c r="K206" i="45"/>
  <c r="L206" i="45" s="1"/>
  <c r="K207" i="45"/>
  <c r="L207" i="45" s="1"/>
  <c r="K208" i="45"/>
  <c r="L208" i="45" s="1"/>
  <c r="K209" i="45"/>
  <c r="L209" i="45" s="1"/>
  <c r="K210" i="45"/>
  <c r="L210" i="45" s="1"/>
  <c r="K211" i="45"/>
  <c r="L211" i="45" s="1"/>
  <c r="K212" i="45"/>
  <c r="L212" i="45" s="1"/>
  <c r="K213" i="45"/>
  <c r="L213" i="45" s="1"/>
  <c r="K214" i="45"/>
  <c r="L214" i="45" s="1"/>
  <c r="K215" i="45"/>
  <c r="L215" i="45" s="1"/>
  <c r="K216" i="45"/>
  <c r="L216" i="45" s="1"/>
  <c r="K217" i="45"/>
  <c r="L217" i="45" s="1"/>
  <c r="K218" i="45"/>
  <c r="L218" i="45" s="1"/>
  <c r="K219" i="45"/>
  <c r="L219" i="45" s="1"/>
  <c r="K220" i="45"/>
  <c r="L220" i="45" s="1"/>
  <c r="K221" i="45"/>
  <c r="L221" i="45" s="1"/>
  <c r="K222" i="45"/>
  <c r="L222" i="45" s="1"/>
  <c r="K223" i="45"/>
  <c r="L223" i="45" s="1"/>
  <c r="K224" i="45"/>
  <c r="L224" i="45" s="1"/>
  <c r="K225" i="45"/>
  <c r="L225" i="45" s="1"/>
  <c r="K226" i="45"/>
  <c r="L226" i="45" s="1"/>
  <c r="K227" i="45"/>
  <c r="L227" i="45" s="1"/>
  <c r="K228" i="45"/>
  <c r="L228" i="45" s="1"/>
  <c r="K229" i="45"/>
  <c r="L229" i="45" s="1"/>
  <c r="K230" i="45"/>
  <c r="L230" i="45" s="1"/>
  <c r="K231" i="45"/>
  <c r="L231" i="45" s="1"/>
  <c r="K232" i="45"/>
  <c r="L232" i="45" s="1"/>
  <c r="K233" i="45"/>
  <c r="L233" i="45" s="1"/>
  <c r="K234" i="45"/>
  <c r="L234" i="45" s="1"/>
  <c r="K235" i="45"/>
  <c r="L235" i="45" s="1"/>
  <c r="K236" i="45"/>
  <c r="L236" i="45" s="1"/>
  <c r="K237" i="45"/>
  <c r="L237" i="45" s="1"/>
  <c r="K238" i="45"/>
  <c r="L238" i="45" s="1"/>
  <c r="K239" i="45"/>
  <c r="L239" i="45" s="1"/>
  <c r="K240" i="45"/>
  <c r="L240" i="45" s="1"/>
  <c r="K241" i="45"/>
  <c r="L241" i="45" s="1"/>
  <c r="K242" i="45"/>
  <c r="L242" i="45" s="1"/>
  <c r="K243" i="45"/>
  <c r="L243" i="45" s="1"/>
  <c r="K244" i="45"/>
  <c r="L244" i="45" s="1"/>
  <c r="K245" i="45"/>
  <c r="L245" i="45" s="1"/>
  <c r="K246" i="45"/>
  <c r="L246" i="45" s="1"/>
  <c r="K247" i="45"/>
  <c r="L247" i="45" s="1"/>
  <c r="K248" i="45"/>
  <c r="L248" i="45" s="1"/>
  <c r="K249" i="45"/>
  <c r="L249" i="45" s="1"/>
  <c r="K250" i="45"/>
  <c r="L250" i="45" s="1"/>
  <c r="K251" i="45"/>
  <c r="L251" i="45" s="1"/>
  <c r="K252" i="45"/>
  <c r="L252" i="45" s="1"/>
  <c r="K253" i="45"/>
  <c r="L253" i="45" s="1"/>
  <c r="K254" i="45"/>
  <c r="L254" i="45" s="1"/>
  <c r="K255" i="45"/>
  <c r="L255" i="45" s="1"/>
  <c r="K256" i="45"/>
  <c r="L256" i="45" s="1"/>
  <c r="K257" i="45"/>
  <c r="L257" i="45" s="1"/>
  <c r="K258" i="45"/>
  <c r="L258" i="45" s="1"/>
  <c r="K259" i="45"/>
  <c r="L259" i="45" s="1"/>
  <c r="K260" i="45"/>
  <c r="L260" i="45" s="1"/>
  <c r="K261" i="45"/>
  <c r="L261" i="45" s="1"/>
  <c r="K262" i="45"/>
  <c r="L262" i="45" s="1"/>
  <c r="K263" i="45"/>
  <c r="L263" i="45" s="1"/>
  <c r="K264" i="45"/>
  <c r="L264" i="45" s="1"/>
  <c r="K265" i="45"/>
  <c r="L265" i="45" s="1"/>
  <c r="K266" i="45"/>
  <c r="L266" i="45" s="1"/>
  <c r="K267" i="45"/>
  <c r="L267" i="45" s="1"/>
  <c r="K268" i="45"/>
  <c r="L268" i="45" s="1"/>
  <c r="K269" i="45"/>
  <c r="L269" i="45" s="1"/>
  <c r="K270" i="45"/>
  <c r="L270" i="45" s="1"/>
  <c r="K271" i="45"/>
  <c r="L271" i="45" s="1"/>
  <c r="K272" i="45"/>
  <c r="L272" i="45" s="1"/>
  <c r="K273" i="45"/>
  <c r="L273" i="45" s="1"/>
  <c r="K274" i="45"/>
  <c r="L274" i="45" s="1"/>
  <c r="K275" i="45"/>
  <c r="L275" i="45" s="1"/>
  <c r="K276" i="45"/>
  <c r="L276" i="45" s="1"/>
  <c r="K277" i="45"/>
  <c r="L277" i="45" s="1"/>
  <c r="K278" i="45"/>
  <c r="L278" i="45" s="1"/>
  <c r="K279" i="45"/>
  <c r="L279" i="45" s="1"/>
  <c r="K280" i="45"/>
  <c r="L280" i="45" s="1"/>
  <c r="K281" i="45"/>
  <c r="L281" i="45" s="1"/>
  <c r="K282" i="45"/>
  <c r="L282" i="45" s="1"/>
  <c r="K283" i="45"/>
  <c r="L283" i="45" s="1"/>
  <c r="K284" i="45"/>
  <c r="L284" i="45" s="1"/>
  <c r="K285" i="45"/>
  <c r="L285" i="45" s="1"/>
  <c r="K286" i="45"/>
  <c r="L286" i="45" s="1"/>
  <c r="K287" i="45"/>
  <c r="L287" i="45" s="1"/>
  <c r="K288" i="45"/>
  <c r="L288" i="45" s="1"/>
  <c r="K289" i="45"/>
  <c r="L289" i="45" s="1"/>
  <c r="K290" i="45"/>
  <c r="L290" i="45" s="1"/>
  <c r="K291" i="45"/>
  <c r="L291" i="45" s="1"/>
  <c r="K292" i="45"/>
  <c r="L292" i="45" s="1"/>
  <c r="K293" i="45"/>
  <c r="L293" i="45" s="1"/>
  <c r="K294" i="45"/>
  <c r="L294" i="45" s="1"/>
  <c r="K295" i="45"/>
  <c r="L295" i="45" s="1"/>
  <c r="K296" i="45"/>
  <c r="L296" i="45" s="1"/>
  <c r="K297" i="45"/>
  <c r="L297" i="45" s="1"/>
  <c r="K298" i="45"/>
  <c r="L298" i="45" s="1"/>
  <c r="K299" i="45"/>
  <c r="L299" i="45" s="1"/>
  <c r="K300" i="45"/>
  <c r="L300" i="45" s="1"/>
  <c r="K301" i="45"/>
  <c r="L301" i="45" s="1"/>
  <c r="K302" i="45"/>
  <c r="L302" i="45" s="1"/>
  <c r="K303" i="45"/>
  <c r="L303" i="45" s="1"/>
  <c r="K304" i="45"/>
  <c r="L304" i="45" s="1"/>
  <c r="K305" i="45"/>
  <c r="L305" i="45" s="1"/>
  <c r="K306" i="45"/>
  <c r="L306" i="45" s="1"/>
  <c r="K307" i="45"/>
  <c r="L307" i="45" s="1"/>
  <c r="K308" i="45"/>
  <c r="L308" i="45" s="1"/>
  <c r="K309" i="45"/>
  <c r="L309" i="45" s="1"/>
  <c r="K310" i="45"/>
  <c r="L310" i="45" s="1"/>
  <c r="K311" i="45"/>
  <c r="L311" i="45" s="1"/>
  <c r="K312" i="45"/>
  <c r="L312" i="45" s="1"/>
  <c r="K313" i="45"/>
  <c r="L313" i="45" s="1"/>
  <c r="K314" i="45"/>
  <c r="L314" i="45" s="1"/>
  <c r="K4" i="45"/>
  <c r="L4" i="45" s="1"/>
  <c r="C2" i="45"/>
  <c r="M265" i="43" l="1"/>
  <c r="T265" i="43" s="1"/>
  <c r="O265" i="48"/>
  <c r="M198" i="43"/>
  <c r="T198" i="43" s="1"/>
  <c r="O198" i="48"/>
  <c r="M15" i="43"/>
  <c r="T15" i="43" s="1"/>
  <c r="O15" i="48"/>
  <c r="M167" i="43"/>
  <c r="T167" i="43" s="1"/>
  <c r="O167" i="48"/>
  <c r="M258" i="43"/>
  <c r="T258" i="43" s="1"/>
  <c r="O258" i="48"/>
  <c r="M106" i="43"/>
  <c r="T106" i="43" s="1"/>
  <c r="O106" i="48"/>
  <c r="M277" i="43"/>
  <c r="T277" i="43" s="1"/>
  <c r="O277" i="48"/>
  <c r="M233" i="43"/>
  <c r="T233" i="43" s="1"/>
  <c r="O233" i="48"/>
  <c r="M153" i="43"/>
  <c r="T153" i="43" s="1"/>
  <c r="O153" i="48"/>
  <c r="M154" i="43"/>
  <c r="T154" i="43" s="1"/>
  <c r="O154" i="48"/>
  <c r="M65" i="43"/>
  <c r="T65" i="43" s="1"/>
  <c r="O65" i="48"/>
  <c r="M89" i="43"/>
  <c r="T89" i="43" s="1"/>
  <c r="O89" i="48"/>
  <c r="M270" i="43"/>
  <c r="T270" i="43" s="1"/>
  <c r="O270" i="48"/>
  <c r="M260" i="43"/>
  <c r="T260" i="43" s="1"/>
  <c r="O260" i="48"/>
  <c r="M111" i="43"/>
  <c r="T111" i="43" s="1"/>
  <c r="O111" i="48"/>
  <c r="M39" i="43"/>
  <c r="T39" i="43" s="1"/>
  <c r="O39" i="48"/>
  <c r="M187" i="43"/>
  <c r="T187" i="43" s="1"/>
  <c r="O187" i="48"/>
  <c r="M254" i="43"/>
  <c r="T254" i="43" s="1"/>
  <c r="O254" i="48"/>
  <c r="M46" i="43"/>
  <c r="T46" i="43" s="1"/>
  <c r="O46" i="48"/>
  <c r="M213" i="43"/>
  <c r="T213" i="43" s="1"/>
  <c r="O213" i="48"/>
  <c r="M173" i="43"/>
  <c r="T173" i="43" s="1"/>
  <c r="O173" i="48"/>
  <c r="M282" i="43"/>
  <c r="T282" i="43" s="1"/>
  <c r="O282" i="48"/>
  <c r="M99" i="43"/>
  <c r="T99" i="43" s="1"/>
  <c r="O99" i="48"/>
  <c r="M247" i="43"/>
  <c r="T247" i="43" s="1"/>
  <c r="O247" i="48"/>
  <c r="M131" i="43"/>
  <c r="T131" i="43" s="1"/>
  <c r="O131" i="48"/>
  <c r="M22" i="43"/>
  <c r="T22" i="43" s="1"/>
  <c r="O22" i="48"/>
  <c r="M190" i="43"/>
  <c r="T190" i="43" s="1"/>
  <c r="O190" i="48"/>
  <c r="M66" i="43"/>
  <c r="T66" i="43" s="1"/>
  <c r="O66" i="48"/>
  <c r="M37" i="43"/>
  <c r="T37" i="43" s="1"/>
  <c r="O37" i="48"/>
  <c r="M205" i="43"/>
  <c r="T205" i="43" s="1"/>
  <c r="O205" i="48"/>
  <c r="M101" i="43"/>
  <c r="T101" i="43" s="1"/>
  <c r="O101" i="48"/>
  <c r="M172" i="43"/>
  <c r="T172" i="43" s="1"/>
  <c r="O172" i="48"/>
  <c r="M34" i="43"/>
  <c r="T34" i="43" s="1"/>
  <c r="O34" i="48"/>
  <c r="M221" i="43"/>
  <c r="T221" i="43" s="1"/>
  <c r="O221" i="48"/>
  <c r="M54" i="43"/>
  <c r="T54" i="43" s="1"/>
  <c r="O54" i="48"/>
  <c r="M31" i="43"/>
  <c r="T31" i="43" s="1"/>
  <c r="O31" i="48"/>
  <c r="M171" i="43"/>
  <c r="T171" i="43" s="1"/>
  <c r="O171" i="48"/>
  <c r="M218" i="43"/>
  <c r="T218" i="43" s="1"/>
  <c r="O218" i="48"/>
  <c r="M262" i="43"/>
  <c r="T262" i="43" s="1"/>
  <c r="O262" i="48"/>
  <c r="M10" i="43"/>
  <c r="T10" i="43" s="1"/>
  <c r="O10" i="48"/>
  <c r="M144" i="43"/>
  <c r="T144" i="43" s="1"/>
  <c r="O144" i="48"/>
  <c r="M267" i="43"/>
  <c r="T267" i="43" s="1"/>
  <c r="O267" i="48"/>
  <c r="M259" i="43"/>
  <c r="T259" i="43" s="1"/>
  <c r="O259" i="48"/>
  <c r="M147" i="43"/>
  <c r="T147" i="43" s="1"/>
  <c r="O147" i="48"/>
  <c r="M238" i="43"/>
  <c r="T238" i="43" s="1"/>
  <c r="O238" i="48"/>
  <c r="M86" i="43"/>
  <c r="T86" i="43" s="1"/>
  <c r="O86" i="48"/>
  <c r="M69" i="43"/>
  <c r="T69" i="43" s="1"/>
  <c r="O69" i="48"/>
  <c r="M217" i="43"/>
  <c r="T217" i="43" s="1"/>
  <c r="O217" i="48"/>
  <c r="M133" i="43"/>
  <c r="T133" i="43" s="1"/>
  <c r="O133" i="48"/>
  <c r="M74" i="43"/>
  <c r="T74" i="43" s="1"/>
  <c r="O74" i="48"/>
  <c r="M41" i="43"/>
  <c r="T41" i="43" s="1"/>
  <c r="O41" i="48"/>
  <c r="M237" i="43"/>
  <c r="T237" i="43" s="1"/>
  <c r="O237" i="48"/>
  <c r="M82" i="43"/>
  <c r="T82" i="43" s="1"/>
  <c r="O82" i="48"/>
  <c r="M306" i="43"/>
  <c r="T306" i="43" s="1"/>
  <c r="O306" i="48"/>
  <c r="M79" i="43"/>
  <c r="T79" i="43" s="1"/>
  <c r="O79" i="48"/>
  <c r="M11" i="43"/>
  <c r="T11" i="43" s="1"/>
  <c r="O11" i="48"/>
  <c r="M163" i="43"/>
  <c r="T163" i="43" s="1"/>
  <c r="O163" i="48"/>
  <c r="M194" i="43"/>
  <c r="T194" i="43" s="1"/>
  <c r="O194" i="48"/>
  <c r="M53" i="43"/>
  <c r="T53" i="43" s="1"/>
  <c r="O53" i="48"/>
  <c r="M165" i="43"/>
  <c r="T165" i="43" s="1"/>
  <c r="O165" i="48"/>
  <c r="M97" i="43"/>
  <c r="T97" i="43" s="1"/>
  <c r="O97" i="48"/>
  <c r="M214" i="43"/>
  <c r="T214" i="43" s="1"/>
  <c r="O214" i="48"/>
  <c r="M63" i="43"/>
  <c r="T63" i="43" s="1"/>
  <c r="O63" i="48"/>
  <c r="M223" i="43"/>
  <c r="T223" i="43" s="1"/>
  <c r="O223" i="48"/>
  <c r="M91" i="43"/>
  <c r="T91" i="43" s="1"/>
  <c r="O91" i="48"/>
  <c r="M266" i="43"/>
  <c r="T266" i="43" s="1"/>
  <c r="O266" i="48"/>
  <c r="M146" i="43"/>
  <c r="T146" i="43" s="1"/>
  <c r="O146" i="48"/>
  <c r="M42" i="43"/>
  <c r="T42" i="43" s="1"/>
  <c r="O42" i="48"/>
  <c r="M5" i="43"/>
  <c r="T5" i="43" s="1"/>
  <c r="O5" i="48"/>
  <c r="M177" i="43"/>
  <c r="T177" i="43" s="1"/>
  <c r="O177" i="48"/>
  <c r="M292" i="43"/>
  <c r="T292" i="43" s="1"/>
  <c r="O292" i="48"/>
  <c r="M142" i="43"/>
  <c r="T142" i="43" s="1"/>
  <c r="O142" i="48"/>
  <c r="M281" i="43"/>
  <c r="T281" i="43" s="1"/>
  <c r="O281" i="48"/>
  <c r="M157" i="43"/>
  <c r="T157" i="43" s="1"/>
  <c r="O157" i="48"/>
  <c r="M199" i="43"/>
  <c r="T199" i="43" s="1"/>
  <c r="O199" i="48"/>
  <c r="M19" i="43"/>
  <c r="T19" i="43" s="1"/>
  <c r="O19" i="48"/>
  <c r="M151" i="43"/>
  <c r="T151" i="43" s="1"/>
  <c r="O151" i="48"/>
  <c r="M206" i="43"/>
  <c r="T206" i="43" s="1"/>
  <c r="O206" i="48"/>
  <c r="M242" i="43"/>
  <c r="T242" i="43" s="1"/>
  <c r="O242" i="48"/>
  <c r="M44" i="43"/>
  <c r="T44" i="43" s="1"/>
  <c r="O44" i="48"/>
  <c r="M36" i="43"/>
  <c r="T36" i="43" s="1"/>
  <c r="O36" i="48"/>
  <c r="M166" i="43"/>
  <c r="T166" i="43" s="1"/>
  <c r="O166" i="48"/>
  <c r="M55" i="43"/>
  <c r="T55" i="43" s="1"/>
  <c r="O55" i="48"/>
  <c r="M235" i="43"/>
  <c r="T235" i="43" s="1"/>
  <c r="O235" i="48"/>
  <c r="M107" i="43"/>
  <c r="T107" i="43" s="1"/>
  <c r="O107" i="48"/>
  <c r="M202" i="43"/>
  <c r="T202" i="43" s="1"/>
  <c r="O202" i="48"/>
  <c r="M58" i="43"/>
  <c r="T58" i="43" s="1"/>
  <c r="O58" i="48"/>
  <c r="M45" i="43"/>
  <c r="T45" i="43" s="1"/>
  <c r="O45" i="48"/>
  <c r="M189" i="43"/>
  <c r="T189" i="43" s="1"/>
  <c r="O189" i="48"/>
  <c r="M93" i="43"/>
  <c r="T93" i="43" s="1"/>
  <c r="O93" i="48"/>
  <c r="M14" i="43"/>
  <c r="T14" i="43" s="1"/>
  <c r="O14" i="48"/>
  <c r="M229" i="43"/>
  <c r="T229" i="43" s="1"/>
  <c r="O229" i="48"/>
  <c r="M193" i="43"/>
  <c r="T193" i="43" s="1"/>
  <c r="O193" i="48"/>
  <c r="M308" i="43"/>
  <c r="T308" i="43" s="1"/>
  <c r="O308" i="48"/>
  <c r="M239" i="43"/>
  <c r="T239" i="43" s="1"/>
  <c r="O239" i="48"/>
  <c r="M67" i="43"/>
  <c r="T67" i="43" s="1"/>
  <c r="O67" i="48"/>
  <c r="M255" i="43"/>
  <c r="T255" i="43" s="1"/>
  <c r="O255" i="48"/>
  <c r="M135" i="43"/>
  <c r="T135" i="43" s="1"/>
  <c r="O135" i="48"/>
  <c r="M130" i="43"/>
  <c r="T130" i="43" s="1"/>
  <c r="O130" i="48"/>
  <c r="M29" i="43"/>
  <c r="T29" i="43" s="1"/>
  <c r="O29" i="48"/>
  <c r="M125" i="43"/>
  <c r="T125" i="43" s="1"/>
  <c r="O125" i="48"/>
  <c r="M219" i="43"/>
  <c r="T219" i="43" s="1"/>
  <c r="O219" i="48"/>
  <c r="M264" i="43"/>
  <c r="T264" i="43" s="1"/>
  <c r="O264" i="48"/>
  <c r="M35" i="43"/>
  <c r="T35" i="43" s="1"/>
  <c r="O35" i="48"/>
  <c r="M179" i="43"/>
  <c r="T179" i="43" s="1"/>
  <c r="O179" i="48"/>
  <c r="M170" i="43"/>
  <c r="T170" i="43" s="1"/>
  <c r="O170" i="48"/>
  <c r="M250" i="43"/>
  <c r="T250" i="43" s="1"/>
  <c r="O250" i="48"/>
  <c r="M118" i="43"/>
  <c r="T118" i="43" s="1"/>
  <c r="O118" i="48"/>
  <c r="M117" i="43"/>
  <c r="T117" i="43" s="1"/>
  <c r="O117" i="48"/>
  <c r="M253" i="43"/>
  <c r="T253" i="43" s="1"/>
  <c r="O253" i="48"/>
  <c r="M161" i="43"/>
  <c r="T161" i="43" s="1"/>
  <c r="O161" i="48"/>
  <c r="M280" i="43"/>
  <c r="T280" i="43" s="1"/>
  <c r="O280" i="48"/>
  <c r="M114" i="43"/>
  <c r="T114" i="43" s="1"/>
  <c r="O114" i="48"/>
  <c r="M105" i="43"/>
  <c r="T105" i="43" s="1"/>
  <c r="O105" i="48"/>
  <c r="M128" i="43"/>
  <c r="T128" i="43" s="1"/>
  <c r="O128" i="48"/>
  <c r="M232" i="43"/>
  <c r="T232" i="43" s="1"/>
  <c r="O232" i="48"/>
  <c r="M243" i="43"/>
  <c r="T243" i="43" s="1"/>
  <c r="O243" i="48"/>
  <c r="M119" i="43"/>
  <c r="T119" i="43" s="1"/>
  <c r="O119" i="48"/>
  <c r="M162" i="43"/>
  <c r="T162" i="43" s="1"/>
  <c r="O162" i="48"/>
  <c r="M226" i="43"/>
  <c r="T226" i="43" s="1"/>
  <c r="O226" i="48"/>
  <c r="M113" i="43"/>
  <c r="T113" i="43" s="1"/>
  <c r="O113" i="48"/>
  <c r="M4" i="43"/>
  <c r="T4" i="43" s="1"/>
  <c r="O4" i="48"/>
  <c r="M212" i="43"/>
  <c r="T212" i="43" s="1"/>
  <c r="O212" i="48"/>
  <c r="M27" i="43"/>
  <c r="T27" i="43" s="1"/>
  <c r="O27" i="48"/>
  <c r="M191" i="43"/>
  <c r="T191" i="43" s="1"/>
  <c r="O191" i="48"/>
  <c r="M186" i="43"/>
  <c r="T186" i="43" s="1"/>
  <c r="O186" i="48"/>
  <c r="M174" i="43"/>
  <c r="T174" i="43" s="1"/>
  <c r="O174" i="48"/>
  <c r="M30" i="43"/>
  <c r="T30" i="43" s="1"/>
  <c r="O30" i="48"/>
  <c r="M269" i="43"/>
  <c r="T269" i="43" s="1"/>
  <c r="O269" i="48"/>
  <c r="M169" i="43"/>
  <c r="T169" i="43" s="1"/>
  <c r="O169" i="48"/>
  <c r="M234" i="43"/>
  <c r="T234" i="43" s="1"/>
  <c r="O234" i="48"/>
  <c r="M301" i="43"/>
  <c r="T301" i="43" s="1"/>
  <c r="O301" i="48"/>
  <c r="M149" i="43"/>
  <c r="T149" i="43" s="1"/>
  <c r="O149" i="48"/>
  <c r="M23" i="43"/>
  <c r="T23" i="43" s="1"/>
  <c r="O23" i="48"/>
  <c r="M286" i="43"/>
  <c r="T286" i="43" s="1"/>
  <c r="O286" i="48"/>
  <c r="M127" i="43"/>
  <c r="T127" i="43" s="1"/>
  <c r="O127" i="48"/>
  <c r="M51" i="43"/>
  <c r="T51" i="43" s="1"/>
  <c r="O51" i="48"/>
  <c r="M227" i="43"/>
  <c r="T227" i="43" s="1"/>
  <c r="O227" i="48"/>
  <c r="M103" i="43"/>
  <c r="T103" i="43" s="1"/>
  <c r="O103" i="48"/>
  <c r="M102" i="43"/>
  <c r="T102" i="43" s="1"/>
  <c r="O102" i="48"/>
  <c r="M257" i="43"/>
  <c r="T257" i="43" s="1"/>
  <c r="O257" i="48"/>
  <c r="M273" i="43"/>
  <c r="T273" i="43" s="1"/>
  <c r="O273" i="48"/>
  <c r="M81" i="43"/>
  <c r="T81" i="43" s="1"/>
  <c r="O81" i="48"/>
  <c r="M195" i="43"/>
  <c r="T195" i="43" s="1"/>
  <c r="O195" i="48"/>
  <c r="M7" i="43"/>
  <c r="T7" i="43" s="1"/>
  <c r="O7" i="48"/>
  <c r="M155" i="43"/>
  <c r="T155" i="43" s="1"/>
  <c r="O155" i="48"/>
  <c r="M150" i="43"/>
  <c r="T150" i="43" s="1"/>
  <c r="O150" i="48"/>
  <c r="M230" i="43"/>
  <c r="T230" i="43" s="1"/>
  <c r="O230" i="48"/>
  <c r="M98" i="43"/>
  <c r="T98" i="43" s="1"/>
  <c r="O98" i="48"/>
  <c r="M61" i="43"/>
  <c r="T61" i="43" s="1"/>
  <c r="O61" i="48"/>
  <c r="M225" i="43"/>
  <c r="T225" i="43" s="1"/>
  <c r="O225" i="48"/>
  <c r="M145" i="43"/>
  <c r="T145" i="43" s="1"/>
  <c r="O145" i="48"/>
  <c r="M188" i="43"/>
  <c r="T188" i="43" s="1"/>
  <c r="O188" i="48"/>
  <c r="M62" i="43"/>
  <c r="T62" i="43" s="1"/>
  <c r="O62" i="48"/>
  <c r="M73" i="43"/>
  <c r="T73" i="43" s="1"/>
  <c r="O73" i="48"/>
  <c r="M104" i="43"/>
  <c r="T104" i="43" s="1"/>
  <c r="O104" i="48"/>
  <c r="M271" i="43"/>
  <c r="T271" i="43" s="1"/>
  <c r="O271" i="48"/>
  <c r="M207" i="43"/>
  <c r="T207" i="43" s="1"/>
  <c r="O207" i="48"/>
  <c r="M87" i="43"/>
  <c r="T87" i="43" s="1"/>
  <c r="O87" i="48"/>
  <c r="M18" i="43"/>
  <c r="T18" i="43" s="1"/>
  <c r="O18" i="48"/>
  <c r="M178" i="43"/>
  <c r="T178" i="43" s="1"/>
  <c r="O178" i="48"/>
  <c r="M33" i="43"/>
  <c r="T33" i="43" s="1"/>
  <c r="O33" i="48"/>
  <c r="Q83" i="48"/>
  <c r="R83" i="48" s="1"/>
  <c r="N83" i="43" s="1"/>
  <c r="U83" i="43" s="1"/>
  <c r="P83" i="48"/>
  <c r="G83" i="43" s="1"/>
  <c r="P160" i="48"/>
  <c r="G160" i="43" s="1"/>
  <c r="Q160" i="48"/>
  <c r="R160" i="48" s="1"/>
  <c r="N160" i="43" s="1"/>
  <c r="Q80" i="48"/>
  <c r="R80" i="48" s="1"/>
  <c r="N80" i="43" s="1"/>
  <c r="U80" i="43" s="1"/>
  <c r="P80" i="48"/>
  <c r="G80" i="43" s="1"/>
  <c r="Q246" i="48"/>
  <c r="R246" i="48" s="1"/>
  <c r="N246" i="43" s="1"/>
  <c r="P246" i="48"/>
  <c r="G246" i="43" s="1"/>
  <c r="P137" i="48"/>
  <c r="G137" i="43" s="1"/>
  <c r="Q137" i="48"/>
  <c r="R137" i="48" s="1"/>
  <c r="N137" i="43" s="1"/>
  <c r="Q123" i="48"/>
  <c r="R123" i="48" s="1"/>
  <c r="N123" i="43" s="1"/>
  <c r="P123" i="48"/>
  <c r="G123" i="43" s="1"/>
  <c r="Q47" i="48"/>
  <c r="R47" i="48" s="1"/>
  <c r="N47" i="43" s="1"/>
  <c r="U47" i="43" s="1"/>
  <c r="P47" i="48"/>
  <c r="G47" i="43" s="1"/>
  <c r="Q210" i="48"/>
  <c r="R210" i="48" s="1"/>
  <c r="N210" i="43" s="1"/>
  <c r="P210" i="48"/>
  <c r="G210" i="43" s="1"/>
  <c r="Q59" i="48"/>
  <c r="R59" i="48" s="1"/>
  <c r="N59" i="43" s="1"/>
  <c r="U59" i="43" s="1"/>
  <c r="P59" i="48"/>
  <c r="G59" i="43" s="1"/>
  <c r="P90" i="48"/>
  <c r="G90" i="43" s="1"/>
  <c r="Q90" i="48"/>
  <c r="R90" i="48" s="1"/>
  <c r="N90" i="43" s="1"/>
  <c r="P17" i="48"/>
  <c r="G17" i="43" s="1"/>
  <c r="Q17" i="48"/>
  <c r="R17" i="48" s="1"/>
  <c r="N17" i="43" s="1"/>
  <c r="Q296" i="48"/>
  <c r="R296" i="48" s="1"/>
  <c r="N296" i="43" s="1"/>
  <c r="P296" i="48"/>
  <c r="G296" i="43" s="1"/>
  <c r="Q134" i="48"/>
  <c r="R134" i="48" s="1"/>
  <c r="N134" i="43" s="1"/>
  <c r="U134" i="43" s="1"/>
  <c r="P134" i="48"/>
  <c r="G134" i="43" s="1"/>
  <c r="Q108" i="48"/>
  <c r="R108" i="48" s="1"/>
  <c r="N108" i="43" s="1"/>
  <c r="P108" i="48"/>
  <c r="G108" i="43" s="1"/>
  <c r="P129" i="48"/>
  <c r="G129" i="43" s="1"/>
  <c r="Q129" i="48"/>
  <c r="R129" i="48" s="1"/>
  <c r="N129" i="43" s="1"/>
  <c r="Q182" i="48"/>
  <c r="R182" i="48" s="1"/>
  <c r="N182" i="43" s="1"/>
  <c r="P182" i="48"/>
  <c r="G182" i="43" s="1"/>
  <c r="Q76" i="48"/>
  <c r="R76" i="48" s="1"/>
  <c r="N76" i="43" s="1"/>
  <c r="U76" i="43" s="1"/>
  <c r="P76" i="48"/>
  <c r="G76" i="43" s="1"/>
  <c r="Q75" i="48"/>
  <c r="R75" i="48" s="1"/>
  <c r="N75" i="43" s="1"/>
  <c r="P75" i="48"/>
  <c r="G75" i="43" s="1"/>
  <c r="Q222" i="48"/>
  <c r="R222" i="48" s="1"/>
  <c r="N222" i="43" s="1"/>
  <c r="U222" i="43" s="1"/>
  <c r="P222" i="48"/>
  <c r="G222" i="43" s="1"/>
  <c r="Q313" i="48"/>
  <c r="R313" i="48" s="1"/>
  <c r="N313" i="43" s="1"/>
  <c r="P313" i="48"/>
  <c r="G313" i="43" s="1"/>
  <c r="P138" i="48"/>
  <c r="G138" i="43" s="1"/>
  <c r="Q138" i="48"/>
  <c r="R138" i="48" s="1"/>
  <c r="N138" i="43" s="1"/>
  <c r="Q197" i="48"/>
  <c r="R197" i="48" s="1"/>
  <c r="N197" i="43" s="1"/>
  <c r="P197" i="48"/>
  <c r="G197" i="43" s="1"/>
  <c r="Q181" i="48"/>
  <c r="R181" i="48" s="1"/>
  <c r="N181" i="43" s="1"/>
  <c r="U181" i="43" s="1"/>
  <c r="P181" i="48"/>
  <c r="G181" i="43" s="1"/>
  <c r="N6" i="48"/>
  <c r="N215" i="48"/>
  <c r="N284" i="48"/>
  <c r="N143" i="48"/>
  <c r="N201" i="48"/>
  <c r="N261" i="48"/>
  <c r="N275" i="48"/>
  <c r="N285" i="48"/>
  <c r="N303" i="48"/>
  <c r="N12" i="48"/>
  <c r="N115" i="48"/>
  <c r="N249" i="48"/>
  <c r="N192" i="48"/>
  <c r="N245" i="48"/>
  <c r="N311" i="48"/>
  <c r="N109" i="48"/>
  <c r="N124" i="48"/>
  <c r="N283" i="48"/>
  <c r="N183" i="48"/>
  <c r="N302" i="48"/>
  <c r="N279" i="48"/>
  <c r="N236" i="48"/>
  <c r="N185" i="48"/>
  <c r="N159" i="48"/>
  <c r="N290" i="48"/>
  <c r="N209" i="48"/>
  <c r="N252" i="48"/>
  <c r="N240" i="48"/>
  <c r="N224" i="48"/>
  <c r="N136" i="48"/>
  <c r="N248" i="48"/>
  <c r="N72" i="48"/>
  <c r="N291" i="48"/>
  <c r="N148" i="48"/>
  <c r="N96" i="48"/>
  <c r="N204" i="48"/>
  <c r="N20" i="48"/>
  <c r="N293" i="48"/>
  <c r="N228" i="48"/>
  <c r="N298" i="48"/>
  <c r="N83" i="48"/>
  <c r="N160" i="48"/>
  <c r="N80" i="48"/>
  <c r="N246" i="48"/>
  <c r="N137" i="48"/>
  <c r="N123" i="48"/>
  <c r="N47" i="48"/>
  <c r="N210" i="48"/>
  <c r="N59" i="48"/>
  <c r="N90" i="48"/>
  <c r="N17" i="48"/>
  <c r="N296" i="48"/>
  <c r="N100" i="48"/>
  <c r="N256" i="48"/>
  <c r="N287" i="48"/>
  <c r="N48" i="48"/>
  <c r="N208" i="48"/>
  <c r="N32" i="48"/>
  <c r="N28" i="48"/>
  <c r="N200" i="48"/>
  <c r="N56" i="48"/>
  <c r="N314" i="48"/>
  <c r="N68" i="48"/>
  <c r="N152" i="48"/>
  <c r="N312" i="48"/>
  <c r="N288" i="48"/>
  <c r="N184" i="48"/>
  <c r="N16" i="48"/>
  <c r="N88" i="48"/>
  <c r="N176" i="48"/>
  <c r="N120" i="48"/>
  <c r="N24" i="48"/>
  <c r="N84" i="48"/>
  <c r="N40" i="48"/>
  <c r="N60" i="48"/>
  <c r="N272" i="48"/>
  <c r="N196" i="48"/>
  <c r="N134" i="48"/>
  <c r="N129" i="48"/>
  <c r="N138" i="48"/>
  <c r="N295" i="48"/>
  <c r="N307" i="48"/>
  <c r="N52" i="48"/>
  <c r="N132" i="48"/>
  <c r="N64" i="48"/>
  <c r="N244" i="48"/>
  <c r="N112" i="48"/>
  <c r="H278" i="48"/>
  <c r="J278" i="48" s="1"/>
  <c r="I278" i="48"/>
  <c r="I276" i="48"/>
  <c r="I168" i="48"/>
  <c r="I140" i="48"/>
  <c r="H297" i="48"/>
  <c r="J297" i="48" s="1"/>
  <c r="I297" i="48"/>
  <c r="H156" i="48"/>
  <c r="J156" i="48" s="1"/>
  <c r="I156" i="48"/>
  <c r="H216" i="48"/>
  <c r="J216" i="48" s="1"/>
  <c r="I216" i="48"/>
  <c r="H96" i="48"/>
  <c r="J96" i="48" s="1"/>
  <c r="G56" i="46"/>
  <c r="J56" i="46"/>
  <c r="L56" i="43" s="1"/>
  <c r="I56" i="46"/>
  <c r="E56" i="43" s="1"/>
  <c r="J190" i="46"/>
  <c r="L190" i="43" s="1"/>
  <c r="I190" i="46"/>
  <c r="E190" i="43" s="1"/>
  <c r="G130" i="46"/>
  <c r="J130" i="46"/>
  <c r="L130" i="43" s="1"/>
  <c r="I130" i="46"/>
  <c r="E130" i="43" s="1"/>
  <c r="G30" i="46"/>
  <c r="J30" i="46"/>
  <c r="L30" i="43" s="1"/>
  <c r="I30" i="46"/>
  <c r="E30" i="43" s="1"/>
  <c r="G253" i="46"/>
  <c r="I253" i="46"/>
  <c r="E253" i="43" s="1"/>
  <c r="J253" i="46"/>
  <c r="L253" i="43" s="1"/>
  <c r="J89" i="46"/>
  <c r="L89" i="43" s="1"/>
  <c r="I89" i="46"/>
  <c r="E89" i="43" s="1"/>
  <c r="I125" i="46"/>
  <c r="E125" i="43" s="1"/>
  <c r="J125" i="46"/>
  <c r="L125" i="43" s="1"/>
  <c r="G94" i="46"/>
  <c r="J94" i="46"/>
  <c r="L94" i="43" s="1"/>
  <c r="I94" i="46"/>
  <c r="E94" i="43" s="1"/>
  <c r="G284" i="46"/>
  <c r="J284" i="46"/>
  <c r="L284" i="43" s="1"/>
  <c r="I284" i="46"/>
  <c r="E284" i="43" s="1"/>
  <c r="G66" i="46"/>
  <c r="J66" i="46"/>
  <c r="L66" i="43" s="1"/>
  <c r="I66" i="46"/>
  <c r="E66" i="43" s="1"/>
  <c r="J22" i="46"/>
  <c r="L22" i="43" s="1"/>
  <c r="I22" i="46"/>
  <c r="E22" i="43" s="1"/>
  <c r="G196" i="46"/>
  <c r="J196" i="46"/>
  <c r="L196" i="43" s="1"/>
  <c r="I196" i="46"/>
  <c r="E196" i="43" s="1"/>
  <c r="J70" i="46"/>
  <c r="L70" i="43" s="1"/>
  <c r="I70" i="46"/>
  <c r="E70" i="43" s="1"/>
  <c r="G42" i="46"/>
  <c r="J42" i="46"/>
  <c r="L42" i="43" s="1"/>
  <c r="I42" i="46"/>
  <c r="E42" i="43" s="1"/>
  <c r="G266" i="46"/>
  <c r="J266" i="46"/>
  <c r="L266" i="43" s="1"/>
  <c r="I266" i="46"/>
  <c r="E266" i="43" s="1"/>
  <c r="J312" i="46"/>
  <c r="L312" i="43" s="1"/>
  <c r="I312" i="46"/>
  <c r="E312" i="43" s="1"/>
  <c r="J62" i="46"/>
  <c r="L62" i="43" s="1"/>
  <c r="I62" i="46"/>
  <c r="E62" i="43" s="1"/>
  <c r="J6" i="46"/>
  <c r="L6" i="43" s="1"/>
  <c r="I6" i="46"/>
  <c r="E6" i="43" s="1"/>
  <c r="J50" i="46"/>
  <c r="L50" i="43" s="1"/>
  <c r="I50" i="46"/>
  <c r="E50" i="43" s="1"/>
  <c r="S50" i="43" s="1"/>
  <c r="J86" i="46"/>
  <c r="L86" i="43" s="1"/>
  <c r="I86" i="46"/>
  <c r="E86" i="43" s="1"/>
  <c r="S86" i="43" s="1"/>
  <c r="G24" i="46"/>
  <c r="J24" i="46"/>
  <c r="L24" i="43" s="1"/>
  <c r="I24" i="46"/>
  <c r="E24" i="43" s="1"/>
  <c r="G159" i="46"/>
  <c r="J159" i="46"/>
  <c r="L159" i="43" s="1"/>
  <c r="I159" i="46"/>
  <c r="E159" i="43" s="1"/>
  <c r="G188" i="46"/>
  <c r="J188" i="46"/>
  <c r="L188" i="43" s="1"/>
  <c r="I188" i="46"/>
  <c r="E188" i="43" s="1"/>
  <c r="I197" i="46"/>
  <c r="E197" i="43" s="1"/>
  <c r="J197" i="46"/>
  <c r="L197" i="43" s="1"/>
  <c r="G98" i="46"/>
  <c r="J98" i="46"/>
  <c r="L98" i="43" s="1"/>
  <c r="I98" i="46"/>
  <c r="E98" i="43" s="1"/>
  <c r="G301" i="46"/>
  <c r="I301" i="46"/>
  <c r="E301" i="43" s="1"/>
  <c r="J301" i="46"/>
  <c r="L301" i="43" s="1"/>
  <c r="G58" i="46"/>
  <c r="J58" i="46"/>
  <c r="L58" i="43" s="1"/>
  <c r="I58" i="46"/>
  <c r="E58" i="43" s="1"/>
  <c r="G74" i="46"/>
  <c r="J74" i="46"/>
  <c r="L74" i="43" s="1"/>
  <c r="I74" i="46"/>
  <c r="E74" i="43" s="1"/>
  <c r="J121" i="46"/>
  <c r="L121" i="43" s="1"/>
  <c r="I121" i="46"/>
  <c r="E121" i="43" s="1"/>
  <c r="G29" i="46"/>
  <c r="I29" i="46"/>
  <c r="E29" i="43" s="1"/>
  <c r="J29" i="46"/>
  <c r="L29" i="43" s="1"/>
  <c r="I69" i="46"/>
  <c r="E69" i="43" s="1"/>
  <c r="J69" i="46"/>
  <c r="L69" i="43" s="1"/>
  <c r="J110" i="46"/>
  <c r="L110" i="43" s="1"/>
  <c r="I110" i="46"/>
  <c r="E110" i="43" s="1"/>
  <c r="J289" i="46"/>
  <c r="L289" i="43" s="1"/>
  <c r="I289" i="46"/>
  <c r="E289" i="43" s="1"/>
  <c r="G8" i="46"/>
  <c r="J8" i="46"/>
  <c r="L8" i="43" s="1"/>
  <c r="I8" i="46"/>
  <c r="E8" i="43" s="1"/>
  <c r="G106" i="46"/>
  <c r="J106" i="46"/>
  <c r="L106" i="43" s="1"/>
  <c r="I106" i="46"/>
  <c r="E106" i="43" s="1"/>
  <c r="G26" i="46"/>
  <c r="J26" i="46"/>
  <c r="L26" i="43" s="1"/>
  <c r="I26" i="46"/>
  <c r="E26" i="43" s="1"/>
  <c r="J100" i="46"/>
  <c r="L100" i="43" s="1"/>
  <c r="I100" i="46"/>
  <c r="E100" i="43" s="1"/>
  <c r="I261" i="46"/>
  <c r="E261" i="43" s="1"/>
  <c r="J261" i="46"/>
  <c r="L261" i="43" s="1"/>
  <c r="J78" i="46"/>
  <c r="L78" i="43" s="1"/>
  <c r="I78" i="46"/>
  <c r="E78" i="43" s="1"/>
  <c r="G274" i="46"/>
  <c r="J274" i="46"/>
  <c r="L274" i="43" s="1"/>
  <c r="I274" i="46"/>
  <c r="E274" i="43" s="1"/>
  <c r="G57" i="46"/>
  <c r="J57" i="46"/>
  <c r="L57" i="43" s="1"/>
  <c r="I57" i="46"/>
  <c r="E57" i="43" s="1"/>
  <c r="G10" i="46"/>
  <c r="J10" i="46"/>
  <c r="L10" i="43" s="1"/>
  <c r="I10" i="46"/>
  <c r="E10" i="43" s="1"/>
  <c r="G82" i="46"/>
  <c r="J82" i="46"/>
  <c r="L82" i="43" s="1"/>
  <c r="I82" i="46"/>
  <c r="E82" i="43" s="1"/>
  <c r="J105" i="46"/>
  <c r="L105" i="43" s="1"/>
  <c r="I105" i="46"/>
  <c r="E105" i="43" s="1"/>
  <c r="J192" i="46"/>
  <c r="L192" i="43" s="1"/>
  <c r="I192" i="46"/>
  <c r="E192" i="43" s="1"/>
  <c r="G68" i="46"/>
  <c r="J68" i="46"/>
  <c r="L68" i="43" s="1"/>
  <c r="I68" i="46"/>
  <c r="E68" i="43" s="1"/>
  <c r="G102" i="46"/>
  <c r="J102" i="46"/>
  <c r="L102" i="43" s="1"/>
  <c r="I102" i="46"/>
  <c r="E102" i="43" s="1"/>
  <c r="G34" i="46"/>
  <c r="J34" i="46"/>
  <c r="L34" i="43" s="1"/>
  <c r="I34" i="46"/>
  <c r="E34" i="43" s="1"/>
  <c r="G182" i="46"/>
  <c r="J182" i="46"/>
  <c r="L182" i="43" s="1"/>
  <c r="I182" i="46"/>
  <c r="E182" i="43" s="1"/>
  <c r="G90" i="46"/>
  <c r="J90" i="46"/>
  <c r="L90" i="43" s="1"/>
  <c r="I90" i="46"/>
  <c r="E90" i="43" s="1"/>
  <c r="G126" i="46"/>
  <c r="J126" i="46"/>
  <c r="L126" i="43" s="1"/>
  <c r="I126" i="46"/>
  <c r="E126" i="43" s="1"/>
  <c r="J280" i="46"/>
  <c r="L280" i="43" s="1"/>
  <c r="I280" i="46"/>
  <c r="E280" i="43" s="1"/>
  <c r="G105" i="46"/>
  <c r="G192" i="46"/>
  <c r="G280" i="46"/>
  <c r="G89" i="46"/>
  <c r="G22" i="46"/>
  <c r="G70" i="46"/>
  <c r="G125" i="46"/>
  <c r="G312" i="46"/>
  <c r="H5" i="46"/>
  <c r="G62" i="46"/>
  <c r="G6" i="46"/>
  <c r="G50" i="46"/>
  <c r="G86" i="46"/>
  <c r="G197" i="46"/>
  <c r="G121" i="46"/>
  <c r="G69" i="46"/>
  <c r="G190" i="46"/>
  <c r="G100" i="46"/>
  <c r="G261" i="46"/>
  <c r="G78" i="46"/>
  <c r="G110" i="46"/>
  <c r="G289" i="46"/>
  <c r="H25" i="46"/>
  <c r="H134" i="46"/>
  <c r="H150" i="46"/>
  <c r="H205" i="46"/>
  <c r="F213" i="46"/>
  <c r="H213" i="46" s="1"/>
  <c r="H279" i="46"/>
  <c r="H302" i="46"/>
  <c r="H46" i="46"/>
  <c r="F237" i="46"/>
  <c r="H237" i="46" s="1"/>
  <c r="H305" i="46"/>
  <c r="F118" i="46"/>
  <c r="H118" i="46" s="1"/>
  <c r="H191" i="46"/>
  <c r="H224" i="46"/>
  <c r="H202" i="46"/>
  <c r="H250" i="46"/>
  <c r="H165" i="46"/>
  <c r="H162" i="46"/>
  <c r="H308" i="46"/>
  <c r="H37" i="46"/>
  <c r="H136" i="46"/>
  <c r="H152" i="46"/>
  <c r="H207" i="46"/>
  <c r="H281" i="46"/>
  <c r="H20" i="46"/>
  <c r="H174" i="46"/>
  <c r="H239" i="46"/>
  <c r="H309" i="46"/>
  <c r="H133" i="46"/>
  <c r="H193" i="46"/>
  <c r="H228" i="46"/>
  <c r="H45" i="46"/>
  <c r="H73" i="46"/>
  <c r="H218" i="46"/>
  <c r="H254" i="46"/>
  <c r="H40" i="46"/>
  <c r="H177" i="46"/>
  <c r="H9" i="46"/>
  <c r="H53" i="46"/>
  <c r="H142" i="46"/>
  <c r="H154" i="46"/>
  <c r="H209" i="46"/>
  <c r="H273" i="46"/>
  <c r="H283" i="46"/>
  <c r="H113" i="46"/>
  <c r="H206" i="46"/>
  <c r="H241" i="46"/>
  <c r="H311" i="46"/>
  <c r="H141" i="46"/>
  <c r="H195" i="46"/>
  <c r="H290" i="46"/>
  <c r="H85" i="46"/>
  <c r="H234" i="46"/>
  <c r="H256" i="46"/>
  <c r="H84" i="46"/>
  <c r="H221" i="46"/>
  <c r="H186" i="46"/>
  <c r="H39" i="46"/>
  <c r="F269" i="46"/>
  <c r="H269" i="46" s="1"/>
  <c r="H21" i="46"/>
  <c r="H75" i="46"/>
  <c r="H146" i="46"/>
  <c r="H160" i="46"/>
  <c r="H211" i="46"/>
  <c r="H277" i="46"/>
  <c r="H285" i="46"/>
  <c r="H117" i="46"/>
  <c r="H208" i="46"/>
  <c r="H245" i="46"/>
  <c r="H313" i="46"/>
  <c r="H183" i="46"/>
  <c r="H222" i="46"/>
  <c r="H65" i="46"/>
  <c r="H242" i="46"/>
  <c r="H260" i="46"/>
  <c r="H14" i="46"/>
  <c r="H48" i="46"/>
  <c r="H229" i="46"/>
  <c r="F137" i="46"/>
  <c r="H137" i="46" s="1"/>
  <c r="S190" i="43"/>
  <c r="F4" i="46"/>
  <c r="H4" i="46" s="1"/>
  <c r="F255" i="46"/>
  <c r="H255" i="46" s="1"/>
  <c r="F246" i="46"/>
  <c r="H246" i="46" s="1"/>
  <c r="F55" i="46"/>
  <c r="H55" i="46" s="1"/>
  <c r="F54" i="46"/>
  <c r="H54" i="46" s="1"/>
  <c r="F49" i="46"/>
  <c r="H49" i="46" s="1"/>
  <c r="F99" i="46"/>
  <c r="H99" i="46" s="1"/>
  <c r="F139" i="46"/>
  <c r="H139" i="46" s="1"/>
  <c r="F299" i="46"/>
  <c r="H299" i="46" s="1"/>
  <c r="F294" i="46"/>
  <c r="H294" i="46" s="1"/>
  <c r="F88" i="46"/>
  <c r="H88" i="46" s="1"/>
  <c r="F163" i="46"/>
  <c r="H163" i="46" s="1"/>
  <c r="F15" i="46"/>
  <c r="H15" i="46" s="1"/>
  <c r="F153" i="46"/>
  <c r="H153" i="46" s="1"/>
  <c r="F181" i="46"/>
  <c r="H181" i="46" s="1"/>
  <c r="F204" i="46"/>
  <c r="H204" i="46" s="1"/>
  <c r="F217" i="46"/>
  <c r="H217" i="46" s="1"/>
  <c r="F232" i="46"/>
  <c r="H232" i="46" s="1"/>
  <c r="F258" i="46"/>
  <c r="H258" i="46" s="1"/>
  <c r="F296" i="46"/>
  <c r="H296" i="46" s="1"/>
  <c r="F223" i="46"/>
  <c r="H223" i="46" s="1"/>
  <c r="F216" i="46"/>
  <c r="H216" i="46" s="1"/>
  <c r="F231" i="46"/>
  <c r="H231" i="46" s="1"/>
  <c r="F103" i="46"/>
  <c r="H103" i="46" s="1"/>
  <c r="F123" i="46"/>
  <c r="H123" i="46" s="1"/>
  <c r="F275" i="46"/>
  <c r="H275" i="46" s="1"/>
  <c r="F19" i="46"/>
  <c r="H19" i="46" s="1"/>
  <c r="F44" i="46"/>
  <c r="H44" i="46" s="1"/>
  <c r="F27" i="46"/>
  <c r="H27" i="46" s="1"/>
  <c r="F92" i="46"/>
  <c r="H92" i="46" s="1"/>
  <c r="F135" i="46"/>
  <c r="H135" i="46" s="1"/>
  <c r="F179" i="46"/>
  <c r="H179" i="46" s="1"/>
  <c r="F271" i="46"/>
  <c r="H271" i="46" s="1"/>
  <c r="F64" i="46"/>
  <c r="H64" i="46" s="1"/>
  <c r="F87" i="46"/>
  <c r="H87" i="46" s="1"/>
  <c r="F112" i="46"/>
  <c r="H112" i="46" s="1"/>
  <c r="F292" i="46"/>
  <c r="H292" i="46" s="1"/>
  <c r="F23" i="46"/>
  <c r="H23" i="46" s="1"/>
  <c r="F28" i="46"/>
  <c r="H28" i="46" s="1"/>
  <c r="F67" i="46"/>
  <c r="H67" i="46" s="1"/>
  <c r="F144" i="46"/>
  <c r="H144" i="46" s="1"/>
  <c r="F184" i="46"/>
  <c r="H184" i="46" s="1"/>
  <c r="F288" i="46"/>
  <c r="H288" i="46" s="1"/>
  <c r="F115" i="46"/>
  <c r="H115" i="46" s="1"/>
  <c r="F169" i="46"/>
  <c r="H169" i="46" s="1"/>
  <c r="F276" i="46"/>
  <c r="H276" i="46" s="1"/>
  <c r="F235" i="46"/>
  <c r="H235" i="46" s="1"/>
  <c r="F13" i="46"/>
  <c r="H13" i="46" s="1"/>
  <c r="F43" i="46"/>
  <c r="H43" i="46" s="1"/>
  <c r="F63" i="46"/>
  <c r="H63" i="46" s="1"/>
  <c r="F109" i="46"/>
  <c r="H109" i="46" s="1"/>
  <c r="F124" i="46"/>
  <c r="H124" i="46" s="1"/>
  <c r="F145" i="46"/>
  <c r="H145" i="46" s="1"/>
  <c r="F187" i="46"/>
  <c r="H187" i="46" s="1"/>
  <c r="F307" i="46"/>
  <c r="H307" i="46" s="1"/>
  <c r="F7" i="46"/>
  <c r="H7" i="46" s="1"/>
  <c r="F12" i="46"/>
  <c r="H12" i="46" s="1"/>
  <c r="F33" i="46"/>
  <c r="H33" i="46" s="1"/>
  <c r="F51" i="46"/>
  <c r="H51" i="46" s="1"/>
  <c r="F36" i="46"/>
  <c r="H36" i="46" s="1"/>
  <c r="F76" i="46"/>
  <c r="H76" i="46" s="1"/>
  <c r="F108" i="46"/>
  <c r="H108" i="46" s="1"/>
  <c r="F151" i="46"/>
  <c r="H151" i="46" s="1"/>
  <c r="F80" i="46"/>
  <c r="H80" i="46" s="1"/>
  <c r="F120" i="46"/>
  <c r="H120" i="46" s="1"/>
  <c r="F148" i="46"/>
  <c r="H148" i="46" s="1"/>
  <c r="F171" i="46"/>
  <c r="H171" i="46" s="1"/>
  <c r="F278" i="46"/>
  <c r="H278" i="46" s="1"/>
  <c r="F304" i="46"/>
  <c r="H304" i="46" s="1"/>
  <c r="F243" i="46"/>
  <c r="H243" i="46" s="1"/>
  <c r="F259" i="46"/>
  <c r="H259" i="46" s="1"/>
  <c r="F303" i="46"/>
  <c r="H303" i="46" s="1"/>
  <c r="F52" i="46"/>
  <c r="H52" i="46" s="1"/>
  <c r="F72" i="46"/>
  <c r="H72" i="46" s="1"/>
  <c r="F93" i="46"/>
  <c r="H93" i="46" s="1"/>
  <c r="F111" i="46"/>
  <c r="H111" i="46" s="1"/>
  <c r="F129" i="46"/>
  <c r="H129" i="46" s="1"/>
  <c r="F147" i="46"/>
  <c r="H147" i="46" s="1"/>
  <c r="F172" i="46"/>
  <c r="H172" i="46" s="1"/>
  <c r="F291" i="46"/>
  <c r="H291" i="46" s="1"/>
  <c r="F122" i="46"/>
  <c r="H122" i="46" s="1"/>
  <c r="F97" i="46"/>
  <c r="H97" i="46" s="1"/>
  <c r="F107" i="46"/>
  <c r="H107" i="46" s="1"/>
  <c r="F127" i="46"/>
  <c r="H127" i="46" s="1"/>
  <c r="F155" i="46"/>
  <c r="H155" i="46" s="1"/>
  <c r="F310" i="46"/>
  <c r="H310" i="46" s="1"/>
  <c r="F32" i="46"/>
  <c r="H32" i="46" s="1"/>
  <c r="F77" i="46"/>
  <c r="H77" i="46" s="1"/>
  <c r="F95" i="46"/>
  <c r="H95" i="46" s="1"/>
  <c r="F116" i="46"/>
  <c r="H116" i="46" s="1"/>
  <c r="F131" i="46"/>
  <c r="H131" i="46" s="1"/>
  <c r="F156" i="46"/>
  <c r="H156" i="46" s="1"/>
  <c r="F175" i="46"/>
  <c r="H175" i="46" s="1"/>
  <c r="F81" i="46"/>
  <c r="H81" i="46" s="1"/>
  <c r="F158" i="46"/>
  <c r="H158" i="46" s="1"/>
  <c r="F176" i="46"/>
  <c r="H176" i="46" s="1"/>
  <c r="F199" i="46"/>
  <c r="H199" i="46" s="1"/>
  <c r="F270" i="46"/>
  <c r="H270" i="46" s="1"/>
  <c r="F297" i="46"/>
  <c r="H297" i="46" s="1"/>
  <c r="F59" i="46"/>
  <c r="H59" i="46" s="1"/>
  <c r="F91" i="46"/>
  <c r="H91" i="46" s="1"/>
  <c r="F166" i="46"/>
  <c r="H166" i="46" s="1"/>
  <c r="F178" i="46"/>
  <c r="H178" i="46" s="1"/>
  <c r="F201" i="46"/>
  <c r="H201" i="46" s="1"/>
  <c r="F101" i="46"/>
  <c r="H101" i="46" s="1"/>
  <c r="F114" i="46"/>
  <c r="H114" i="46" s="1"/>
  <c r="F11" i="46"/>
  <c r="H11" i="46" s="1"/>
  <c r="F47" i="46"/>
  <c r="H47" i="46" s="1"/>
  <c r="F157" i="46"/>
  <c r="H157" i="46" s="1"/>
  <c r="F194" i="46"/>
  <c r="H194" i="46" s="1"/>
  <c r="F219" i="46"/>
  <c r="H219" i="46" s="1"/>
  <c r="F236" i="46"/>
  <c r="H236" i="46" s="1"/>
  <c r="F262" i="46"/>
  <c r="H262" i="46" s="1"/>
  <c r="F300" i="46"/>
  <c r="H300" i="46" s="1"/>
  <c r="F225" i="46"/>
  <c r="H225" i="46" s="1"/>
  <c r="F238" i="46"/>
  <c r="H238" i="46" s="1"/>
  <c r="F257" i="46"/>
  <c r="H257" i="46" s="1"/>
  <c r="F272" i="46"/>
  <c r="H272" i="46" s="1"/>
  <c r="F220" i="46"/>
  <c r="H220" i="46" s="1"/>
  <c r="F233" i="46"/>
  <c r="H233" i="46" s="1"/>
  <c r="F248" i="46"/>
  <c r="H248" i="46" s="1"/>
  <c r="F263" i="46"/>
  <c r="H263" i="46" s="1"/>
  <c r="F16" i="46"/>
  <c r="H16" i="46" s="1"/>
  <c r="F17" i="46"/>
  <c r="H17" i="46" s="1"/>
  <c r="F35" i="46"/>
  <c r="H35" i="46" s="1"/>
  <c r="F60" i="46"/>
  <c r="H60" i="46" s="1"/>
  <c r="F38" i="46"/>
  <c r="H38" i="46" s="1"/>
  <c r="F83" i="46"/>
  <c r="H83" i="46" s="1"/>
  <c r="F128" i="46"/>
  <c r="H128" i="46" s="1"/>
  <c r="F71" i="46"/>
  <c r="H71" i="46" s="1"/>
  <c r="F96" i="46"/>
  <c r="H96" i="46" s="1"/>
  <c r="F132" i="46"/>
  <c r="H132" i="46" s="1"/>
  <c r="F164" i="46"/>
  <c r="H164" i="46" s="1"/>
  <c r="F287" i="46"/>
  <c r="H287" i="46" s="1"/>
  <c r="F306" i="46"/>
  <c r="H306" i="46" s="1"/>
  <c r="F251" i="46"/>
  <c r="H251" i="46" s="1"/>
  <c r="F282" i="46"/>
  <c r="H282" i="46" s="1"/>
  <c r="F314" i="46"/>
  <c r="H314" i="46" s="1"/>
  <c r="F41" i="46"/>
  <c r="H41" i="46" s="1"/>
  <c r="F61" i="46"/>
  <c r="H61" i="46" s="1"/>
  <c r="F79" i="46"/>
  <c r="H79" i="46" s="1"/>
  <c r="F104" i="46"/>
  <c r="H104" i="46" s="1"/>
  <c r="F119" i="46"/>
  <c r="H119" i="46" s="1"/>
  <c r="F140" i="46"/>
  <c r="H140" i="46" s="1"/>
  <c r="F161" i="46"/>
  <c r="H161" i="46" s="1"/>
  <c r="F185" i="46"/>
  <c r="H185" i="46" s="1"/>
  <c r="F298" i="46"/>
  <c r="H298" i="46" s="1"/>
  <c r="F168" i="46"/>
  <c r="H168" i="46" s="1"/>
  <c r="F180" i="46"/>
  <c r="H180" i="46" s="1"/>
  <c r="F203" i="46"/>
  <c r="H203" i="46" s="1"/>
  <c r="F138" i="46"/>
  <c r="H138" i="46" s="1"/>
  <c r="F18" i="46"/>
  <c r="H18" i="46" s="1"/>
  <c r="F167" i="46"/>
  <c r="H167" i="46" s="1"/>
  <c r="F198" i="46"/>
  <c r="H198" i="46" s="1"/>
  <c r="F226" i="46"/>
  <c r="H226" i="46" s="1"/>
  <c r="F247" i="46"/>
  <c r="H247" i="46" s="1"/>
  <c r="F264" i="46"/>
  <c r="H264" i="46" s="1"/>
  <c r="F227" i="46"/>
  <c r="H227" i="46" s="1"/>
  <c r="F240" i="46"/>
  <c r="H240" i="46" s="1"/>
  <c r="F293" i="46"/>
  <c r="H293" i="46" s="1"/>
  <c r="F252" i="46"/>
  <c r="H252" i="46" s="1"/>
  <c r="F265" i="46"/>
  <c r="H265" i="46" s="1"/>
  <c r="F286" i="46"/>
  <c r="H286" i="46" s="1"/>
  <c r="F31" i="46"/>
  <c r="H31" i="46" s="1"/>
  <c r="F143" i="46"/>
  <c r="H143" i="46" s="1"/>
  <c r="F170" i="46"/>
  <c r="H170" i="46" s="1"/>
  <c r="F189" i="46"/>
  <c r="H189" i="46" s="1"/>
  <c r="F210" i="46"/>
  <c r="H210" i="46" s="1"/>
  <c r="F149" i="46"/>
  <c r="H149" i="46" s="1"/>
  <c r="F173" i="46"/>
  <c r="H173" i="46" s="1"/>
  <c r="F200" i="46"/>
  <c r="H200" i="46" s="1"/>
  <c r="F215" i="46"/>
  <c r="H215" i="46" s="1"/>
  <c r="F230" i="46"/>
  <c r="H230" i="46" s="1"/>
  <c r="F249" i="46"/>
  <c r="H249" i="46" s="1"/>
  <c r="F268" i="46"/>
  <c r="H268" i="46" s="1"/>
  <c r="F212" i="46"/>
  <c r="H212" i="46" s="1"/>
  <c r="F244" i="46"/>
  <c r="H244" i="46" s="1"/>
  <c r="F295" i="46"/>
  <c r="H295" i="46" s="1"/>
  <c r="F214" i="46"/>
  <c r="H214" i="46" s="1"/>
  <c r="F267" i="46"/>
  <c r="H267" i="46" s="1"/>
  <c r="AB5" i="44"/>
  <c r="AC5" i="44" s="1"/>
  <c r="AB6" i="44"/>
  <c r="AC6" i="44" s="1"/>
  <c r="AB7" i="44"/>
  <c r="AD7" i="44" s="1"/>
  <c r="AB8" i="44"/>
  <c r="AC8" i="44" s="1"/>
  <c r="AB9" i="44"/>
  <c r="AC9" i="44" s="1"/>
  <c r="AB10" i="44"/>
  <c r="AC10" i="44" s="1"/>
  <c r="AB11" i="44"/>
  <c r="AD11" i="44" s="1"/>
  <c r="AB12" i="44"/>
  <c r="AC12" i="44" s="1"/>
  <c r="AB13" i="44"/>
  <c r="AC13" i="44" s="1"/>
  <c r="AB14" i="44"/>
  <c r="AC14" i="44" s="1"/>
  <c r="AB15" i="44"/>
  <c r="AD15" i="44" s="1"/>
  <c r="AB16" i="44"/>
  <c r="AC16" i="44" s="1"/>
  <c r="AB17" i="44"/>
  <c r="AC17" i="44" s="1"/>
  <c r="AB18" i="44"/>
  <c r="AC18" i="44" s="1"/>
  <c r="AB19" i="44"/>
  <c r="AD19" i="44" s="1"/>
  <c r="AB20" i="44"/>
  <c r="AC20" i="44" s="1"/>
  <c r="AB21" i="44"/>
  <c r="AC21" i="44" s="1"/>
  <c r="AB22" i="44"/>
  <c r="AC22" i="44" s="1"/>
  <c r="AB23" i="44"/>
  <c r="AD23" i="44" s="1"/>
  <c r="AB24" i="44"/>
  <c r="AC24" i="44" s="1"/>
  <c r="AB25" i="44"/>
  <c r="AC25" i="44" s="1"/>
  <c r="AB26" i="44"/>
  <c r="AC26" i="44" s="1"/>
  <c r="AB27" i="44"/>
  <c r="AD27" i="44" s="1"/>
  <c r="AB28" i="44"/>
  <c r="AC28" i="44" s="1"/>
  <c r="AB29" i="44"/>
  <c r="AC29" i="44" s="1"/>
  <c r="AB30" i="44"/>
  <c r="AC30" i="44" s="1"/>
  <c r="AB31" i="44"/>
  <c r="AD31" i="44" s="1"/>
  <c r="AB32" i="44"/>
  <c r="AC32" i="44" s="1"/>
  <c r="AB33" i="44"/>
  <c r="AC33" i="44" s="1"/>
  <c r="AB34" i="44"/>
  <c r="AC34" i="44" s="1"/>
  <c r="AB35" i="44"/>
  <c r="AD35" i="44" s="1"/>
  <c r="AB36" i="44"/>
  <c r="AC36" i="44" s="1"/>
  <c r="AB37" i="44"/>
  <c r="AC37" i="44" s="1"/>
  <c r="AB38" i="44"/>
  <c r="AC38" i="44" s="1"/>
  <c r="AB39" i="44"/>
  <c r="AD39" i="44" s="1"/>
  <c r="AB40" i="44"/>
  <c r="AC40" i="44" s="1"/>
  <c r="AB41" i="44"/>
  <c r="AC41" i="44" s="1"/>
  <c r="AB42" i="44"/>
  <c r="AC42" i="44" s="1"/>
  <c r="AB43" i="44"/>
  <c r="AD43" i="44" s="1"/>
  <c r="AB44" i="44"/>
  <c r="AC44" i="44" s="1"/>
  <c r="AB45" i="44"/>
  <c r="AC45" i="44" s="1"/>
  <c r="AB46" i="44"/>
  <c r="AC46" i="44" s="1"/>
  <c r="AB47" i="44"/>
  <c r="AD47" i="44" s="1"/>
  <c r="AB48" i="44"/>
  <c r="AC48" i="44" s="1"/>
  <c r="AB49" i="44"/>
  <c r="AC49" i="44" s="1"/>
  <c r="AB50" i="44"/>
  <c r="AC50" i="44" s="1"/>
  <c r="AB51" i="44"/>
  <c r="AD51" i="44" s="1"/>
  <c r="AB52" i="44"/>
  <c r="AC52" i="44" s="1"/>
  <c r="AB53" i="44"/>
  <c r="AC53" i="44" s="1"/>
  <c r="AB54" i="44"/>
  <c r="AC54" i="44" s="1"/>
  <c r="AB55" i="44"/>
  <c r="AD55" i="44" s="1"/>
  <c r="AB56" i="44"/>
  <c r="AC56" i="44" s="1"/>
  <c r="AB57" i="44"/>
  <c r="AD57" i="44" s="1"/>
  <c r="AB58" i="44"/>
  <c r="AC58" i="44" s="1"/>
  <c r="AB59" i="44"/>
  <c r="AD59" i="44" s="1"/>
  <c r="AB60" i="44"/>
  <c r="AC60" i="44" s="1"/>
  <c r="AB61" i="44"/>
  <c r="AC61" i="44" s="1"/>
  <c r="AB62" i="44"/>
  <c r="AC62" i="44" s="1"/>
  <c r="AB63" i="44"/>
  <c r="AD63" i="44" s="1"/>
  <c r="AB64" i="44"/>
  <c r="AC64" i="44" s="1"/>
  <c r="AB65" i="44"/>
  <c r="AD65" i="44" s="1"/>
  <c r="AB66" i="44"/>
  <c r="AC66" i="44" s="1"/>
  <c r="AB67" i="44"/>
  <c r="AD67" i="44" s="1"/>
  <c r="AB68" i="44"/>
  <c r="AC68" i="44" s="1"/>
  <c r="AB69" i="44"/>
  <c r="AC69" i="44" s="1"/>
  <c r="AB70" i="44"/>
  <c r="AC70" i="44" s="1"/>
  <c r="AB71" i="44"/>
  <c r="AD71" i="44" s="1"/>
  <c r="AB72" i="44"/>
  <c r="AC72" i="44" s="1"/>
  <c r="AB73" i="44"/>
  <c r="AD73" i="44" s="1"/>
  <c r="AB74" i="44"/>
  <c r="AC74" i="44" s="1"/>
  <c r="AB75" i="44"/>
  <c r="AD75" i="44" s="1"/>
  <c r="AB76" i="44"/>
  <c r="AC76" i="44" s="1"/>
  <c r="AB77" i="44"/>
  <c r="AC77" i="44" s="1"/>
  <c r="AB78" i="44"/>
  <c r="AC78" i="44" s="1"/>
  <c r="AB79" i="44"/>
  <c r="AD79" i="44" s="1"/>
  <c r="AB80" i="44"/>
  <c r="AC80" i="44" s="1"/>
  <c r="AB81" i="44"/>
  <c r="AD81" i="44" s="1"/>
  <c r="AB82" i="44"/>
  <c r="AC82" i="44" s="1"/>
  <c r="AB83" i="44"/>
  <c r="AD83" i="44" s="1"/>
  <c r="AB84" i="44"/>
  <c r="AC84" i="44" s="1"/>
  <c r="AB85" i="44"/>
  <c r="AC85" i="44" s="1"/>
  <c r="AB86" i="44"/>
  <c r="AC86" i="44" s="1"/>
  <c r="AB87" i="44"/>
  <c r="AD87" i="44" s="1"/>
  <c r="AB88" i="44"/>
  <c r="AC88" i="44" s="1"/>
  <c r="AB89" i="44"/>
  <c r="AD89" i="44" s="1"/>
  <c r="AB90" i="44"/>
  <c r="AC90" i="44" s="1"/>
  <c r="AB91" i="44"/>
  <c r="AD91" i="44" s="1"/>
  <c r="AB92" i="44"/>
  <c r="AC92" i="44" s="1"/>
  <c r="AB93" i="44"/>
  <c r="AC93" i="44" s="1"/>
  <c r="AB94" i="44"/>
  <c r="AC94" i="44" s="1"/>
  <c r="AB95" i="44"/>
  <c r="AD95" i="44" s="1"/>
  <c r="AB96" i="44"/>
  <c r="AC96" i="44" s="1"/>
  <c r="AB97" i="44"/>
  <c r="AD97" i="44" s="1"/>
  <c r="AB98" i="44"/>
  <c r="AC98" i="44" s="1"/>
  <c r="AB99" i="44"/>
  <c r="AD99" i="44" s="1"/>
  <c r="AB100" i="44"/>
  <c r="AC100" i="44" s="1"/>
  <c r="AB101" i="44"/>
  <c r="AC101" i="44" s="1"/>
  <c r="AB102" i="44"/>
  <c r="AC102" i="44" s="1"/>
  <c r="AB103" i="44"/>
  <c r="AD103" i="44" s="1"/>
  <c r="AB104" i="44"/>
  <c r="AC104" i="44" s="1"/>
  <c r="AB105" i="44"/>
  <c r="AD105" i="44" s="1"/>
  <c r="AB106" i="44"/>
  <c r="AC106" i="44" s="1"/>
  <c r="AB107" i="44"/>
  <c r="AD107" i="44" s="1"/>
  <c r="AB108" i="44"/>
  <c r="AC108" i="44" s="1"/>
  <c r="AB109" i="44"/>
  <c r="AC109" i="44" s="1"/>
  <c r="AB110" i="44"/>
  <c r="AC110" i="44" s="1"/>
  <c r="AB111" i="44"/>
  <c r="AD111" i="44" s="1"/>
  <c r="AB112" i="44"/>
  <c r="AC112" i="44" s="1"/>
  <c r="AB113" i="44"/>
  <c r="AD113" i="44" s="1"/>
  <c r="AB114" i="44"/>
  <c r="AC114" i="44" s="1"/>
  <c r="AB115" i="44"/>
  <c r="AD115" i="44" s="1"/>
  <c r="AB116" i="44"/>
  <c r="AC116" i="44" s="1"/>
  <c r="AB117" i="44"/>
  <c r="AC117" i="44" s="1"/>
  <c r="AB118" i="44"/>
  <c r="AC118" i="44" s="1"/>
  <c r="AB119" i="44"/>
  <c r="AD119" i="44" s="1"/>
  <c r="AB120" i="44"/>
  <c r="AC120" i="44" s="1"/>
  <c r="AB121" i="44"/>
  <c r="AD121" i="44" s="1"/>
  <c r="AB122" i="44"/>
  <c r="AC122" i="44" s="1"/>
  <c r="AB123" i="44"/>
  <c r="AD123" i="44" s="1"/>
  <c r="AB124" i="44"/>
  <c r="AC124" i="44" s="1"/>
  <c r="AB125" i="44"/>
  <c r="AC125" i="44" s="1"/>
  <c r="AB126" i="44"/>
  <c r="AC126" i="44" s="1"/>
  <c r="AB127" i="44"/>
  <c r="AD127" i="44" s="1"/>
  <c r="AB128" i="44"/>
  <c r="AC128" i="44" s="1"/>
  <c r="AB129" i="44"/>
  <c r="AD129" i="44" s="1"/>
  <c r="AB130" i="44"/>
  <c r="AC130" i="44" s="1"/>
  <c r="AB131" i="44"/>
  <c r="AD131" i="44" s="1"/>
  <c r="AB132" i="44"/>
  <c r="AC132" i="44" s="1"/>
  <c r="AB133" i="44"/>
  <c r="AC133" i="44" s="1"/>
  <c r="AB134" i="44"/>
  <c r="AC134" i="44" s="1"/>
  <c r="AB135" i="44"/>
  <c r="AD135" i="44" s="1"/>
  <c r="AB136" i="44"/>
  <c r="AC136" i="44" s="1"/>
  <c r="AB137" i="44"/>
  <c r="AD137" i="44" s="1"/>
  <c r="AB138" i="44"/>
  <c r="AC138" i="44" s="1"/>
  <c r="AB139" i="44"/>
  <c r="AD139" i="44" s="1"/>
  <c r="AB140" i="44"/>
  <c r="AC140" i="44" s="1"/>
  <c r="AB141" i="44"/>
  <c r="AC141" i="44" s="1"/>
  <c r="AB142" i="44"/>
  <c r="AC142" i="44" s="1"/>
  <c r="AB143" i="44"/>
  <c r="AD143" i="44" s="1"/>
  <c r="AB144" i="44"/>
  <c r="AC144" i="44" s="1"/>
  <c r="AB145" i="44"/>
  <c r="AD145" i="44" s="1"/>
  <c r="AB146" i="44"/>
  <c r="AC146" i="44" s="1"/>
  <c r="AB147" i="44"/>
  <c r="AD147" i="44" s="1"/>
  <c r="AB148" i="44"/>
  <c r="AC148" i="44" s="1"/>
  <c r="AB149" i="44"/>
  <c r="AC149" i="44" s="1"/>
  <c r="AB150" i="44"/>
  <c r="AC150" i="44" s="1"/>
  <c r="AB151" i="44"/>
  <c r="AD151" i="44" s="1"/>
  <c r="AB152" i="44"/>
  <c r="AC152" i="44" s="1"/>
  <c r="AB153" i="44"/>
  <c r="AD153" i="44" s="1"/>
  <c r="AB154" i="44"/>
  <c r="AC154" i="44" s="1"/>
  <c r="AB155" i="44"/>
  <c r="AD155" i="44" s="1"/>
  <c r="AB156" i="44"/>
  <c r="AC156" i="44" s="1"/>
  <c r="AB157" i="44"/>
  <c r="AC157" i="44" s="1"/>
  <c r="AB158" i="44"/>
  <c r="AC158" i="44" s="1"/>
  <c r="AB159" i="44"/>
  <c r="AD159" i="44" s="1"/>
  <c r="AB160" i="44"/>
  <c r="AC160" i="44" s="1"/>
  <c r="AB161" i="44"/>
  <c r="AD161" i="44" s="1"/>
  <c r="AB162" i="44"/>
  <c r="AC162" i="44" s="1"/>
  <c r="AB163" i="44"/>
  <c r="AD163" i="44" s="1"/>
  <c r="AB164" i="44"/>
  <c r="AC164" i="44" s="1"/>
  <c r="AB165" i="44"/>
  <c r="AC165" i="44" s="1"/>
  <c r="AB166" i="44"/>
  <c r="AC166" i="44" s="1"/>
  <c r="AB167" i="44"/>
  <c r="AD167" i="44" s="1"/>
  <c r="AB168" i="44"/>
  <c r="AC168" i="44" s="1"/>
  <c r="AB169" i="44"/>
  <c r="AD169" i="44" s="1"/>
  <c r="AB170" i="44"/>
  <c r="AC170" i="44" s="1"/>
  <c r="AB171" i="44"/>
  <c r="AD171" i="44" s="1"/>
  <c r="AB172" i="44"/>
  <c r="AC172" i="44" s="1"/>
  <c r="AB173" i="44"/>
  <c r="AC173" i="44" s="1"/>
  <c r="AB174" i="44"/>
  <c r="AC174" i="44" s="1"/>
  <c r="AB175" i="44"/>
  <c r="AD175" i="44" s="1"/>
  <c r="AB176" i="44"/>
  <c r="AC176" i="44" s="1"/>
  <c r="AB177" i="44"/>
  <c r="AD177" i="44" s="1"/>
  <c r="AB178" i="44"/>
  <c r="AC178" i="44" s="1"/>
  <c r="AB179" i="44"/>
  <c r="AD179" i="44" s="1"/>
  <c r="AB180" i="44"/>
  <c r="AC180" i="44" s="1"/>
  <c r="AB181" i="44"/>
  <c r="AC181" i="44" s="1"/>
  <c r="AB182" i="44"/>
  <c r="AC182" i="44" s="1"/>
  <c r="AB183" i="44"/>
  <c r="AD183" i="44" s="1"/>
  <c r="AB184" i="44"/>
  <c r="AC184" i="44" s="1"/>
  <c r="AB185" i="44"/>
  <c r="AD185" i="44" s="1"/>
  <c r="AB186" i="44"/>
  <c r="AC186" i="44" s="1"/>
  <c r="AB187" i="44"/>
  <c r="AD187" i="44" s="1"/>
  <c r="AB188" i="44"/>
  <c r="AC188" i="44" s="1"/>
  <c r="AB189" i="44"/>
  <c r="AC189" i="44" s="1"/>
  <c r="AB190" i="44"/>
  <c r="AC190" i="44" s="1"/>
  <c r="AB191" i="44"/>
  <c r="AD191" i="44" s="1"/>
  <c r="AB192" i="44"/>
  <c r="AC192" i="44" s="1"/>
  <c r="AB193" i="44"/>
  <c r="AD193" i="44" s="1"/>
  <c r="AB194" i="44"/>
  <c r="AC194" i="44" s="1"/>
  <c r="AB195" i="44"/>
  <c r="AD195" i="44" s="1"/>
  <c r="AB196" i="44"/>
  <c r="AC196" i="44" s="1"/>
  <c r="AB197" i="44"/>
  <c r="AC197" i="44" s="1"/>
  <c r="AB198" i="44"/>
  <c r="AC198" i="44" s="1"/>
  <c r="AB199" i="44"/>
  <c r="AD199" i="44" s="1"/>
  <c r="AB200" i="44"/>
  <c r="AC200" i="44" s="1"/>
  <c r="AB201" i="44"/>
  <c r="AD201" i="44" s="1"/>
  <c r="AB202" i="44"/>
  <c r="AC202" i="44" s="1"/>
  <c r="AB203" i="44"/>
  <c r="AD203" i="44" s="1"/>
  <c r="AB204" i="44"/>
  <c r="AC204" i="44" s="1"/>
  <c r="AB205" i="44"/>
  <c r="AC205" i="44" s="1"/>
  <c r="AB206" i="44"/>
  <c r="AC206" i="44" s="1"/>
  <c r="AB207" i="44"/>
  <c r="AD207" i="44" s="1"/>
  <c r="AB208" i="44"/>
  <c r="AC208" i="44" s="1"/>
  <c r="AB209" i="44"/>
  <c r="AD209" i="44" s="1"/>
  <c r="AB210" i="44"/>
  <c r="AC210" i="44" s="1"/>
  <c r="AB211" i="44"/>
  <c r="AD211" i="44" s="1"/>
  <c r="AB212" i="44"/>
  <c r="AC212" i="44" s="1"/>
  <c r="AB213" i="44"/>
  <c r="AC213" i="44" s="1"/>
  <c r="AB214" i="44"/>
  <c r="AC214" i="44" s="1"/>
  <c r="AB215" i="44"/>
  <c r="AD215" i="44" s="1"/>
  <c r="AB216" i="44"/>
  <c r="AC216" i="44" s="1"/>
  <c r="AB217" i="44"/>
  <c r="AD217" i="44" s="1"/>
  <c r="AB218" i="44"/>
  <c r="AC218" i="44" s="1"/>
  <c r="AB219" i="44"/>
  <c r="AD219" i="44" s="1"/>
  <c r="AB220" i="44"/>
  <c r="AC220" i="44" s="1"/>
  <c r="AB221" i="44"/>
  <c r="AC221" i="44" s="1"/>
  <c r="AB222" i="44"/>
  <c r="AC222" i="44" s="1"/>
  <c r="AB223" i="44"/>
  <c r="AD223" i="44" s="1"/>
  <c r="AB224" i="44"/>
  <c r="AC224" i="44" s="1"/>
  <c r="AB225" i="44"/>
  <c r="AD225" i="44" s="1"/>
  <c r="AB226" i="44"/>
  <c r="AC226" i="44" s="1"/>
  <c r="AB227" i="44"/>
  <c r="AD227" i="44" s="1"/>
  <c r="AB228" i="44"/>
  <c r="AC228" i="44" s="1"/>
  <c r="AB229" i="44"/>
  <c r="AC229" i="44" s="1"/>
  <c r="AB230" i="44"/>
  <c r="AC230" i="44" s="1"/>
  <c r="AB231" i="44"/>
  <c r="AD231" i="44" s="1"/>
  <c r="AB232" i="44"/>
  <c r="AC232" i="44" s="1"/>
  <c r="AB233" i="44"/>
  <c r="AD233" i="44" s="1"/>
  <c r="AB234" i="44"/>
  <c r="AC234" i="44" s="1"/>
  <c r="AB235" i="44"/>
  <c r="AD235" i="44" s="1"/>
  <c r="AB236" i="44"/>
  <c r="AC236" i="44" s="1"/>
  <c r="AB237" i="44"/>
  <c r="AC237" i="44" s="1"/>
  <c r="AB238" i="44"/>
  <c r="AC238" i="44" s="1"/>
  <c r="AB239" i="44"/>
  <c r="AD239" i="44" s="1"/>
  <c r="AB240" i="44"/>
  <c r="AC240" i="44" s="1"/>
  <c r="AB241" i="44"/>
  <c r="AD241" i="44" s="1"/>
  <c r="AB242" i="44"/>
  <c r="AC242" i="44" s="1"/>
  <c r="AB243" i="44"/>
  <c r="AD243" i="44" s="1"/>
  <c r="AB244" i="44"/>
  <c r="AC244" i="44" s="1"/>
  <c r="AB245" i="44"/>
  <c r="AC245" i="44" s="1"/>
  <c r="AB246" i="44"/>
  <c r="AC246" i="44" s="1"/>
  <c r="AB247" i="44"/>
  <c r="AD247" i="44" s="1"/>
  <c r="AB248" i="44"/>
  <c r="AC248" i="44" s="1"/>
  <c r="AB249" i="44"/>
  <c r="AD249" i="44" s="1"/>
  <c r="AB250" i="44"/>
  <c r="AC250" i="44" s="1"/>
  <c r="AB251" i="44"/>
  <c r="AD251" i="44" s="1"/>
  <c r="AB252" i="44"/>
  <c r="AC252" i="44" s="1"/>
  <c r="AB253" i="44"/>
  <c r="AC253" i="44" s="1"/>
  <c r="AB254" i="44"/>
  <c r="AC254" i="44" s="1"/>
  <c r="AB255" i="44"/>
  <c r="AD255" i="44" s="1"/>
  <c r="AB256" i="44"/>
  <c r="AC256" i="44" s="1"/>
  <c r="AB257" i="44"/>
  <c r="AD257" i="44" s="1"/>
  <c r="AB258" i="44"/>
  <c r="AC258" i="44" s="1"/>
  <c r="AB259" i="44"/>
  <c r="AD259" i="44" s="1"/>
  <c r="AB260" i="44"/>
  <c r="AC260" i="44" s="1"/>
  <c r="AB261" i="44"/>
  <c r="AC261" i="44" s="1"/>
  <c r="AB262" i="44"/>
  <c r="AC262" i="44" s="1"/>
  <c r="AB263" i="44"/>
  <c r="AD263" i="44" s="1"/>
  <c r="AB264" i="44"/>
  <c r="AC264" i="44" s="1"/>
  <c r="AB265" i="44"/>
  <c r="AD265" i="44" s="1"/>
  <c r="AB266" i="44"/>
  <c r="AC266" i="44" s="1"/>
  <c r="AB267" i="44"/>
  <c r="AD267" i="44" s="1"/>
  <c r="AB268" i="44"/>
  <c r="AC268" i="44" s="1"/>
  <c r="AB269" i="44"/>
  <c r="AC269" i="44" s="1"/>
  <c r="AB270" i="44"/>
  <c r="AC270" i="44" s="1"/>
  <c r="AB271" i="44"/>
  <c r="AD271" i="44" s="1"/>
  <c r="AB272" i="44"/>
  <c r="AC272" i="44" s="1"/>
  <c r="AB273" i="44"/>
  <c r="AD273" i="44" s="1"/>
  <c r="AB274" i="44"/>
  <c r="AC274" i="44" s="1"/>
  <c r="AB275" i="44"/>
  <c r="AD275" i="44" s="1"/>
  <c r="AB276" i="44"/>
  <c r="AC276" i="44" s="1"/>
  <c r="AB277" i="44"/>
  <c r="AC277" i="44" s="1"/>
  <c r="AB278" i="44"/>
  <c r="AC278" i="44" s="1"/>
  <c r="AB279" i="44"/>
  <c r="AD279" i="44" s="1"/>
  <c r="AB280" i="44"/>
  <c r="AC280" i="44" s="1"/>
  <c r="AB281" i="44"/>
  <c r="AD281" i="44" s="1"/>
  <c r="AB282" i="44"/>
  <c r="AC282" i="44" s="1"/>
  <c r="AB283" i="44"/>
  <c r="AD283" i="44" s="1"/>
  <c r="AB284" i="44"/>
  <c r="AC284" i="44" s="1"/>
  <c r="AB285" i="44"/>
  <c r="AD285" i="44" s="1"/>
  <c r="AB286" i="44"/>
  <c r="AC286" i="44" s="1"/>
  <c r="AB287" i="44"/>
  <c r="AD287" i="44" s="1"/>
  <c r="AB288" i="44"/>
  <c r="AC288" i="44" s="1"/>
  <c r="AB289" i="44"/>
  <c r="AD289" i="44" s="1"/>
  <c r="AB290" i="44"/>
  <c r="AC290" i="44" s="1"/>
  <c r="AB291" i="44"/>
  <c r="AD291" i="44" s="1"/>
  <c r="AB292" i="44"/>
  <c r="AC292" i="44" s="1"/>
  <c r="AB293" i="44"/>
  <c r="AD293" i="44" s="1"/>
  <c r="AB294" i="44"/>
  <c r="AC294" i="44" s="1"/>
  <c r="AB295" i="44"/>
  <c r="AD295" i="44" s="1"/>
  <c r="AB296" i="44"/>
  <c r="AC296" i="44" s="1"/>
  <c r="AB297" i="44"/>
  <c r="AD297" i="44" s="1"/>
  <c r="AB298" i="44"/>
  <c r="AC298" i="44" s="1"/>
  <c r="AB299" i="44"/>
  <c r="AD299" i="44" s="1"/>
  <c r="AB300" i="44"/>
  <c r="AC300" i="44" s="1"/>
  <c r="AB301" i="44"/>
  <c r="AD301" i="44" s="1"/>
  <c r="AB302" i="44"/>
  <c r="AC302" i="44" s="1"/>
  <c r="AB303" i="44"/>
  <c r="AD303" i="44" s="1"/>
  <c r="AB304" i="44"/>
  <c r="AC304" i="44" s="1"/>
  <c r="AB305" i="44"/>
  <c r="AD305" i="44" s="1"/>
  <c r="AB306" i="44"/>
  <c r="AC306" i="44" s="1"/>
  <c r="AB307" i="44"/>
  <c r="AD307" i="44" s="1"/>
  <c r="AB308" i="44"/>
  <c r="AC308" i="44" s="1"/>
  <c r="AB309" i="44"/>
  <c r="AD309" i="44" s="1"/>
  <c r="AB310" i="44"/>
  <c r="AC310" i="44" s="1"/>
  <c r="AB311" i="44"/>
  <c r="AD311" i="44" s="1"/>
  <c r="AB312" i="44"/>
  <c r="AC312" i="44" s="1"/>
  <c r="AB313" i="44"/>
  <c r="AD313" i="44" s="1"/>
  <c r="AB314" i="44"/>
  <c r="AC314" i="44" s="1"/>
  <c r="AB4" i="44"/>
  <c r="AC4" i="44" s="1"/>
  <c r="F40" i="8"/>
  <c r="F41" i="8"/>
  <c r="F42" i="8"/>
  <c r="E41" i="8"/>
  <c r="E42" i="8"/>
  <c r="E5" i="45"/>
  <c r="F5" i="45"/>
  <c r="G5" i="45"/>
  <c r="E6" i="45"/>
  <c r="F6" i="45"/>
  <c r="G6" i="45"/>
  <c r="E7" i="45"/>
  <c r="F7" i="45"/>
  <c r="G7" i="45"/>
  <c r="E8" i="45"/>
  <c r="F8" i="45"/>
  <c r="G8" i="45"/>
  <c r="E9" i="45"/>
  <c r="F9" i="45"/>
  <c r="G9" i="45"/>
  <c r="E10" i="45"/>
  <c r="F10" i="45"/>
  <c r="G10" i="45"/>
  <c r="E11" i="45"/>
  <c r="F11" i="45"/>
  <c r="G11" i="45"/>
  <c r="E12" i="45"/>
  <c r="F12" i="45"/>
  <c r="G12" i="45"/>
  <c r="E13" i="45"/>
  <c r="F13" i="45"/>
  <c r="G13" i="45"/>
  <c r="E14" i="45"/>
  <c r="F14" i="45"/>
  <c r="G14" i="45"/>
  <c r="E15" i="45"/>
  <c r="F15" i="45"/>
  <c r="G15" i="45"/>
  <c r="E16" i="45"/>
  <c r="F16" i="45"/>
  <c r="G16" i="45"/>
  <c r="E17" i="45"/>
  <c r="F17" i="45"/>
  <c r="G17" i="45"/>
  <c r="E18" i="45"/>
  <c r="F18" i="45"/>
  <c r="G18" i="45"/>
  <c r="E19" i="45"/>
  <c r="F19" i="45"/>
  <c r="G19" i="45"/>
  <c r="E20" i="45"/>
  <c r="F20" i="45"/>
  <c r="G20" i="45"/>
  <c r="E21" i="45"/>
  <c r="F21" i="45"/>
  <c r="G21" i="45"/>
  <c r="E22" i="45"/>
  <c r="F22" i="45"/>
  <c r="G22" i="45"/>
  <c r="E23" i="45"/>
  <c r="F23" i="45"/>
  <c r="G23" i="45"/>
  <c r="E24" i="45"/>
  <c r="F24" i="45"/>
  <c r="G24" i="45"/>
  <c r="E25" i="45"/>
  <c r="F25" i="45"/>
  <c r="G25" i="45"/>
  <c r="E26" i="45"/>
  <c r="F26" i="45"/>
  <c r="G26" i="45"/>
  <c r="E27" i="45"/>
  <c r="F27" i="45"/>
  <c r="G27" i="45"/>
  <c r="E28" i="45"/>
  <c r="F28" i="45"/>
  <c r="G28" i="45"/>
  <c r="E29" i="45"/>
  <c r="F29" i="45"/>
  <c r="G29" i="45"/>
  <c r="E30" i="45"/>
  <c r="F30" i="45"/>
  <c r="G30" i="45"/>
  <c r="E31" i="45"/>
  <c r="F31" i="45"/>
  <c r="G31" i="45"/>
  <c r="E32" i="45"/>
  <c r="F32" i="45"/>
  <c r="G32" i="45"/>
  <c r="E33" i="45"/>
  <c r="F33" i="45"/>
  <c r="G33" i="45"/>
  <c r="E34" i="45"/>
  <c r="F34" i="45"/>
  <c r="G34" i="45"/>
  <c r="E35" i="45"/>
  <c r="F35" i="45"/>
  <c r="G35" i="45"/>
  <c r="E36" i="45"/>
  <c r="F36" i="45"/>
  <c r="G36" i="45"/>
  <c r="E37" i="45"/>
  <c r="F37" i="45"/>
  <c r="G37" i="45"/>
  <c r="E38" i="45"/>
  <c r="F38" i="45"/>
  <c r="G38" i="45"/>
  <c r="E39" i="45"/>
  <c r="F39" i="45"/>
  <c r="G39" i="45"/>
  <c r="E40" i="45"/>
  <c r="F40" i="45"/>
  <c r="G40" i="45"/>
  <c r="E41" i="45"/>
  <c r="F41" i="45"/>
  <c r="G41" i="45"/>
  <c r="E42" i="45"/>
  <c r="F42" i="45"/>
  <c r="G42" i="45"/>
  <c r="E43" i="45"/>
  <c r="F43" i="45"/>
  <c r="G43" i="45"/>
  <c r="E44" i="45"/>
  <c r="F44" i="45"/>
  <c r="G44" i="45"/>
  <c r="E45" i="45"/>
  <c r="F45" i="45"/>
  <c r="G45" i="45"/>
  <c r="E46" i="45"/>
  <c r="F46" i="45"/>
  <c r="G46" i="45"/>
  <c r="E47" i="45"/>
  <c r="F47" i="45"/>
  <c r="G47" i="45"/>
  <c r="E48" i="45"/>
  <c r="F48" i="45"/>
  <c r="G48" i="45"/>
  <c r="E49" i="45"/>
  <c r="F49" i="45"/>
  <c r="G49" i="45"/>
  <c r="E50" i="45"/>
  <c r="F50" i="45"/>
  <c r="G50" i="45"/>
  <c r="E51" i="45"/>
  <c r="F51" i="45"/>
  <c r="G51" i="45"/>
  <c r="E52" i="45"/>
  <c r="F52" i="45"/>
  <c r="G52" i="45"/>
  <c r="E53" i="45"/>
  <c r="F53" i="45"/>
  <c r="G53" i="45"/>
  <c r="E54" i="45"/>
  <c r="F54" i="45"/>
  <c r="G54" i="45"/>
  <c r="E55" i="45"/>
  <c r="F55" i="45"/>
  <c r="G55" i="45"/>
  <c r="E56" i="45"/>
  <c r="F56" i="45"/>
  <c r="G56" i="45"/>
  <c r="E57" i="45"/>
  <c r="F57" i="45"/>
  <c r="G57" i="45"/>
  <c r="E58" i="45"/>
  <c r="F58" i="45"/>
  <c r="G58" i="45"/>
  <c r="E59" i="45"/>
  <c r="F59" i="45"/>
  <c r="G59" i="45"/>
  <c r="E60" i="45"/>
  <c r="F60" i="45"/>
  <c r="G60" i="45"/>
  <c r="E61" i="45"/>
  <c r="F61" i="45"/>
  <c r="G61" i="45"/>
  <c r="E62" i="45"/>
  <c r="F62" i="45"/>
  <c r="G62" i="45"/>
  <c r="E63" i="45"/>
  <c r="F63" i="45"/>
  <c r="G63" i="45"/>
  <c r="E64" i="45"/>
  <c r="F64" i="45"/>
  <c r="G64" i="45"/>
  <c r="E65" i="45"/>
  <c r="F65" i="45"/>
  <c r="G65" i="45"/>
  <c r="E66" i="45"/>
  <c r="F66" i="45"/>
  <c r="G66" i="45"/>
  <c r="E67" i="45"/>
  <c r="F67" i="45"/>
  <c r="G67" i="45"/>
  <c r="E68" i="45"/>
  <c r="F68" i="45"/>
  <c r="G68" i="45"/>
  <c r="E69" i="45"/>
  <c r="F69" i="45"/>
  <c r="G69" i="45"/>
  <c r="E70" i="45"/>
  <c r="F70" i="45"/>
  <c r="G70" i="45"/>
  <c r="E71" i="45"/>
  <c r="F71" i="45"/>
  <c r="G71" i="45"/>
  <c r="E72" i="45"/>
  <c r="F72" i="45"/>
  <c r="G72" i="45"/>
  <c r="E73" i="45"/>
  <c r="F73" i="45"/>
  <c r="G73" i="45"/>
  <c r="E74" i="45"/>
  <c r="F74" i="45"/>
  <c r="G74" i="45"/>
  <c r="E75" i="45"/>
  <c r="F75" i="45"/>
  <c r="G75" i="45"/>
  <c r="E76" i="45"/>
  <c r="F76" i="45"/>
  <c r="G76" i="45"/>
  <c r="E77" i="45"/>
  <c r="F77" i="45"/>
  <c r="G77" i="45"/>
  <c r="E78" i="45"/>
  <c r="F78" i="45"/>
  <c r="G78" i="45"/>
  <c r="E79" i="45"/>
  <c r="F79" i="45"/>
  <c r="G79" i="45"/>
  <c r="E80" i="45"/>
  <c r="F80" i="45"/>
  <c r="G80" i="45"/>
  <c r="E81" i="45"/>
  <c r="F81" i="45"/>
  <c r="G81" i="45"/>
  <c r="E82" i="45"/>
  <c r="F82" i="45"/>
  <c r="G82" i="45"/>
  <c r="E83" i="45"/>
  <c r="F83" i="45"/>
  <c r="G83" i="45"/>
  <c r="E84" i="45"/>
  <c r="F84" i="45"/>
  <c r="G84" i="45"/>
  <c r="E85" i="45"/>
  <c r="F85" i="45"/>
  <c r="G85" i="45"/>
  <c r="E86" i="45"/>
  <c r="F86" i="45"/>
  <c r="G86" i="45"/>
  <c r="E87" i="45"/>
  <c r="F87" i="45"/>
  <c r="G87" i="45"/>
  <c r="E88" i="45"/>
  <c r="F88" i="45"/>
  <c r="G88" i="45"/>
  <c r="E89" i="45"/>
  <c r="F89" i="45"/>
  <c r="G89" i="45"/>
  <c r="E90" i="45"/>
  <c r="F90" i="45"/>
  <c r="G90" i="45"/>
  <c r="E91" i="45"/>
  <c r="F91" i="45"/>
  <c r="G91" i="45"/>
  <c r="E92" i="45"/>
  <c r="F92" i="45"/>
  <c r="G92" i="45"/>
  <c r="E93" i="45"/>
  <c r="F93" i="45"/>
  <c r="G93" i="45"/>
  <c r="E94" i="45"/>
  <c r="F94" i="45"/>
  <c r="G94" i="45"/>
  <c r="E95" i="45"/>
  <c r="F95" i="45"/>
  <c r="G95" i="45"/>
  <c r="E96" i="45"/>
  <c r="F96" i="45"/>
  <c r="G96" i="45"/>
  <c r="E97" i="45"/>
  <c r="F97" i="45"/>
  <c r="G97" i="45"/>
  <c r="E98" i="45"/>
  <c r="F98" i="45"/>
  <c r="G98" i="45"/>
  <c r="E99" i="45"/>
  <c r="F99" i="45"/>
  <c r="G99" i="45"/>
  <c r="E100" i="45"/>
  <c r="F100" i="45"/>
  <c r="G100" i="45"/>
  <c r="E101" i="45"/>
  <c r="F101" i="45"/>
  <c r="G101" i="45"/>
  <c r="E102" i="45"/>
  <c r="F102" i="45"/>
  <c r="G102" i="45"/>
  <c r="E103" i="45"/>
  <c r="F103" i="45"/>
  <c r="G103" i="45"/>
  <c r="E104" i="45"/>
  <c r="F104" i="45"/>
  <c r="G104" i="45"/>
  <c r="E105" i="45"/>
  <c r="F105" i="45"/>
  <c r="G105" i="45"/>
  <c r="E106" i="45"/>
  <c r="F106" i="45"/>
  <c r="G106" i="45"/>
  <c r="E107" i="45"/>
  <c r="F107" i="45"/>
  <c r="G107" i="45"/>
  <c r="E108" i="45"/>
  <c r="F108" i="45"/>
  <c r="G108" i="45"/>
  <c r="E109" i="45"/>
  <c r="F109" i="45"/>
  <c r="G109" i="45"/>
  <c r="E110" i="45"/>
  <c r="F110" i="45"/>
  <c r="G110" i="45"/>
  <c r="E111" i="45"/>
  <c r="F111" i="45"/>
  <c r="G111" i="45"/>
  <c r="E112" i="45"/>
  <c r="F112" i="45"/>
  <c r="G112" i="45"/>
  <c r="E113" i="45"/>
  <c r="F113" i="45"/>
  <c r="G113" i="45"/>
  <c r="E114" i="45"/>
  <c r="F114" i="45"/>
  <c r="G114" i="45"/>
  <c r="E115" i="45"/>
  <c r="F115" i="45"/>
  <c r="G115" i="45"/>
  <c r="E116" i="45"/>
  <c r="F116" i="45"/>
  <c r="G116" i="45"/>
  <c r="E117" i="45"/>
  <c r="F117" i="45"/>
  <c r="G117" i="45"/>
  <c r="E118" i="45"/>
  <c r="F118" i="45"/>
  <c r="G118" i="45"/>
  <c r="E119" i="45"/>
  <c r="F119" i="45"/>
  <c r="G119" i="45"/>
  <c r="E120" i="45"/>
  <c r="F120" i="45"/>
  <c r="G120" i="45"/>
  <c r="E121" i="45"/>
  <c r="F121" i="45"/>
  <c r="G121" i="45"/>
  <c r="E122" i="45"/>
  <c r="F122" i="45"/>
  <c r="G122" i="45"/>
  <c r="E123" i="45"/>
  <c r="F123" i="45"/>
  <c r="G123" i="45"/>
  <c r="E124" i="45"/>
  <c r="F124" i="45"/>
  <c r="G124" i="45"/>
  <c r="E125" i="45"/>
  <c r="F125" i="45"/>
  <c r="G125" i="45"/>
  <c r="E126" i="45"/>
  <c r="F126" i="45"/>
  <c r="G126" i="45"/>
  <c r="E127" i="45"/>
  <c r="F127" i="45"/>
  <c r="G127" i="45"/>
  <c r="E128" i="45"/>
  <c r="F128" i="45"/>
  <c r="G128" i="45"/>
  <c r="E129" i="45"/>
  <c r="F129" i="45"/>
  <c r="G129" i="45"/>
  <c r="E130" i="45"/>
  <c r="F130" i="45"/>
  <c r="G130" i="45"/>
  <c r="E131" i="45"/>
  <c r="F131" i="45"/>
  <c r="G131" i="45"/>
  <c r="E132" i="45"/>
  <c r="F132" i="45"/>
  <c r="G132" i="45"/>
  <c r="E133" i="45"/>
  <c r="F133" i="45"/>
  <c r="G133" i="45"/>
  <c r="E134" i="45"/>
  <c r="F134" i="45"/>
  <c r="G134" i="45"/>
  <c r="E135" i="45"/>
  <c r="F135" i="45"/>
  <c r="G135" i="45"/>
  <c r="E136" i="45"/>
  <c r="F136" i="45"/>
  <c r="G136" i="45"/>
  <c r="E137" i="45"/>
  <c r="F137" i="45"/>
  <c r="G137" i="45"/>
  <c r="E138" i="45"/>
  <c r="F138" i="45"/>
  <c r="G138" i="45"/>
  <c r="E139" i="45"/>
  <c r="F139" i="45"/>
  <c r="G139" i="45"/>
  <c r="E140" i="45"/>
  <c r="F140" i="45"/>
  <c r="G140" i="45"/>
  <c r="E141" i="45"/>
  <c r="F141" i="45"/>
  <c r="G141" i="45"/>
  <c r="E142" i="45"/>
  <c r="F142" i="45"/>
  <c r="G142" i="45"/>
  <c r="E143" i="45"/>
  <c r="F143" i="45"/>
  <c r="G143" i="45"/>
  <c r="E144" i="45"/>
  <c r="F144" i="45"/>
  <c r="G144" i="45"/>
  <c r="E145" i="45"/>
  <c r="F145" i="45"/>
  <c r="G145" i="45"/>
  <c r="E146" i="45"/>
  <c r="F146" i="45"/>
  <c r="G146" i="45"/>
  <c r="E147" i="45"/>
  <c r="F147" i="45"/>
  <c r="G147" i="45"/>
  <c r="E148" i="45"/>
  <c r="F148" i="45"/>
  <c r="G148" i="45"/>
  <c r="E149" i="45"/>
  <c r="F149" i="45"/>
  <c r="G149" i="45"/>
  <c r="E150" i="45"/>
  <c r="F150" i="45"/>
  <c r="G150" i="45"/>
  <c r="E151" i="45"/>
  <c r="F151" i="45"/>
  <c r="G151" i="45"/>
  <c r="E152" i="45"/>
  <c r="F152" i="45"/>
  <c r="G152" i="45"/>
  <c r="E153" i="45"/>
  <c r="F153" i="45"/>
  <c r="G153" i="45"/>
  <c r="E154" i="45"/>
  <c r="F154" i="45"/>
  <c r="G154" i="45"/>
  <c r="E155" i="45"/>
  <c r="F155" i="45"/>
  <c r="G155" i="45"/>
  <c r="E156" i="45"/>
  <c r="F156" i="45"/>
  <c r="G156" i="45"/>
  <c r="E157" i="45"/>
  <c r="F157" i="45"/>
  <c r="G157" i="45"/>
  <c r="E158" i="45"/>
  <c r="F158" i="45"/>
  <c r="G158" i="45"/>
  <c r="E159" i="45"/>
  <c r="F159" i="45"/>
  <c r="G159" i="45"/>
  <c r="E160" i="45"/>
  <c r="F160" i="45"/>
  <c r="G160" i="45"/>
  <c r="E161" i="45"/>
  <c r="F161" i="45"/>
  <c r="G161" i="45"/>
  <c r="E162" i="45"/>
  <c r="F162" i="45"/>
  <c r="G162" i="45"/>
  <c r="E163" i="45"/>
  <c r="F163" i="45"/>
  <c r="G163" i="45"/>
  <c r="E164" i="45"/>
  <c r="F164" i="45"/>
  <c r="G164" i="45"/>
  <c r="E165" i="45"/>
  <c r="F165" i="45"/>
  <c r="G165" i="45"/>
  <c r="E166" i="45"/>
  <c r="F166" i="45"/>
  <c r="G166" i="45"/>
  <c r="E167" i="45"/>
  <c r="F167" i="45"/>
  <c r="G167" i="45"/>
  <c r="E168" i="45"/>
  <c r="F168" i="45"/>
  <c r="G168" i="45"/>
  <c r="E169" i="45"/>
  <c r="F169" i="45"/>
  <c r="G169" i="45"/>
  <c r="E170" i="45"/>
  <c r="F170" i="45"/>
  <c r="G170" i="45"/>
  <c r="E171" i="45"/>
  <c r="F171" i="45"/>
  <c r="G171" i="45"/>
  <c r="E172" i="45"/>
  <c r="F172" i="45"/>
  <c r="G172" i="45"/>
  <c r="E173" i="45"/>
  <c r="F173" i="45"/>
  <c r="G173" i="45"/>
  <c r="E174" i="45"/>
  <c r="F174" i="45"/>
  <c r="G174" i="45"/>
  <c r="E175" i="45"/>
  <c r="F175" i="45"/>
  <c r="G175" i="45"/>
  <c r="E176" i="45"/>
  <c r="F176" i="45"/>
  <c r="G176" i="45"/>
  <c r="E177" i="45"/>
  <c r="F177" i="45"/>
  <c r="G177" i="45"/>
  <c r="E178" i="45"/>
  <c r="F178" i="45"/>
  <c r="G178" i="45"/>
  <c r="E179" i="45"/>
  <c r="F179" i="45"/>
  <c r="G179" i="45"/>
  <c r="E180" i="45"/>
  <c r="F180" i="45"/>
  <c r="G180" i="45"/>
  <c r="E181" i="45"/>
  <c r="F181" i="45"/>
  <c r="G181" i="45"/>
  <c r="E182" i="45"/>
  <c r="F182" i="45"/>
  <c r="G182" i="45"/>
  <c r="E183" i="45"/>
  <c r="F183" i="45"/>
  <c r="G183" i="45"/>
  <c r="E184" i="45"/>
  <c r="F184" i="45"/>
  <c r="G184" i="45"/>
  <c r="E185" i="45"/>
  <c r="F185" i="45"/>
  <c r="G185" i="45"/>
  <c r="E186" i="45"/>
  <c r="F186" i="45"/>
  <c r="G186" i="45"/>
  <c r="E187" i="45"/>
  <c r="F187" i="45"/>
  <c r="G187" i="45"/>
  <c r="E188" i="45"/>
  <c r="F188" i="45"/>
  <c r="G188" i="45"/>
  <c r="E189" i="45"/>
  <c r="F189" i="45"/>
  <c r="G189" i="45"/>
  <c r="E190" i="45"/>
  <c r="F190" i="45"/>
  <c r="G190" i="45"/>
  <c r="E191" i="45"/>
  <c r="F191" i="45"/>
  <c r="G191" i="45"/>
  <c r="E192" i="45"/>
  <c r="F192" i="45"/>
  <c r="G192" i="45"/>
  <c r="E193" i="45"/>
  <c r="F193" i="45"/>
  <c r="G193" i="45"/>
  <c r="E194" i="45"/>
  <c r="F194" i="45"/>
  <c r="G194" i="45"/>
  <c r="E195" i="45"/>
  <c r="F195" i="45"/>
  <c r="G195" i="45"/>
  <c r="E196" i="45"/>
  <c r="F196" i="45"/>
  <c r="G196" i="45"/>
  <c r="E197" i="45"/>
  <c r="F197" i="45"/>
  <c r="G197" i="45"/>
  <c r="E198" i="45"/>
  <c r="F198" i="45"/>
  <c r="G198" i="45"/>
  <c r="E199" i="45"/>
  <c r="F199" i="45"/>
  <c r="G199" i="45"/>
  <c r="E200" i="45"/>
  <c r="F200" i="45"/>
  <c r="G200" i="45"/>
  <c r="E201" i="45"/>
  <c r="F201" i="45"/>
  <c r="G201" i="45"/>
  <c r="E202" i="45"/>
  <c r="F202" i="45"/>
  <c r="G202" i="45"/>
  <c r="E203" i="45"/>
  <c r="F203" i="45"/>
  <c r="G203" i="45"/>
  <c r="E204" i="45"/>
  <c r="F204" i="45"/>
  <c r="G204" i="45"/>
  <c r="E205" i="45"/>
  <c r="F205" i="45"/>
  <c r="G205" i="45"/>
  <c r="E206" i="45"/>
  <c r="F206" i="45"/>
  <c r="G206" i="45"/>
  <c r="E207" i="45"/>
  <c r="F207" i="45"/>
  <c r="G207" i="45"/>
  <c r="E208" i="45"/>
  <c r="F208" i="45"/>
  <c r="G208" i="45"/>
  <c r="E209" i="45"/>
  <c r="F209" i="45"/>
  <c r="G209" i="45"/>
  <c r="E210" i="45"/>
  <c r="F210" i="45"/>
  <c r="G210" i="45"/>
  <c r="E211" i="45"/>
  <c r="F211" i="45"/>
  <c r="G211" i="45"/>
  <c r="E212" i="45"/>
  <c r="F212" i="45"/>
  <c r="G212" i="45"/>
  <c r="E213" i="45"/>
  <c r="F213" i="45"/>
  <c r="G213" i="45"/>
  <c r="E214" i="45"/>
  <c r="F214" i="45"/>
  <c r="G214" i="45"/>
  <c r="E215" i="45"/>
  <c r="F215" i="45"/>
  <c r="G215" i="45"/>
  <c r="E216" i="45"/>
  <c r="F216" i="45"/>
  <c r="G216" i="45"/>
  <c r="E217" i="45"/>
  <c r="F217" i="45"/>
  <c r="G217" i="45"/>
  <c r="E218" i="45"/>
  <c r="F218" i="45"/>
  <c r="G218" i="45"/>
  <c r="E219" i="45"/>
  <c r="F219" i="45"/>
  <c r="G219" i="45"/>
  <c r="E220" i="45"/>
  <c r="F220" i="45"/>
  <c r="G220" i="45"/>
  <c r="E221" i="45"/>
  <c r="F221" i="45"/>
  <c r="G221" i="45"/>
  <c r="E222" i="45"/>
  <c r="F222" i="45"/>
  <c r="G222" i="45"/>
  <c r="E223" i="45"/>
  <c r="F223" i="45"/>
  <c r="G223" i="45"/>
  <c r="E224" i="45"/>
  <c r="F224" i="45"/>
  <c r="G224" i="45"/>
  <c r="E225" i="45"/>
  <c r="F225" i="45"/>
  <c r="G225" i="45"/>
  <c r="E226" i="45"/>
  <c r="F226" i="45"/>
  <c r="G226" i="45"/>
  <c r="E227" i="45"/>
  <c r="F227" i="45"/>
  <c r="G227" i="45"/>
  <c r="E228" i="45"/>
  <c r="F228" i="45"/>
  <c r="G228" i="45"/>
  <c r="E229" i="45"/>
  <c r="F229" i="45"/>
  <c r="G229" i="45"/>
  <c r="E230" i="45"/>
  <c r="F230" i="45"/>
  <c r="G230" i="45"/>
  <c r="E231" i="45"/>
  <c r="F231" i="45"/>
  <c r="G231" i="45"/>
  <c r="E232" i="45"/>
  <c r="F232" i="45"/>
  <c r="G232" i="45"/>
  <c r="E233" i="45"/>
  <c r="F233" i="45"/>
  <c r="G233" i="45"/>
  <c r="E234" i="45"/>
  <c r="F234" i="45"/>
  <c r="G234" i="45"/>
  <c r="E235" i="45"/>
  <c r="F235" i="45"/>
  <c r="G235" i="45"/>
  <c r="E236" i="45"/>
  <c r="F236" i="45"/>
  <c r="G236" i="45"/>
  <c r="E237" i="45"/>
  <c r="F237" i="45"/>
  <c r="G237" i="45"/>
  <c r="E238" i="45"/>
  <c r="F238" i="45"/>
  <c r="G238" i="45"/>
  <c r="E239" i="45"/>
  <c r="F239" i="45"/>
  <c r="G239" i="45"/>
  <c r="E240" i="45"/>
  <c r="F240" i="45"/>
  <c r="G240" i="45"/>
  <c r="E241" i="45"/>
  <c r="F241" i="45"/>
  <c r="G241" i="45"/>
  <c r="E242" i="45"/>
  <c r="F242" i="45"/>
  <c r="G242" i="45"/>
  <c r="E243" i="45"/>
  <c r="F243" i="45"/>
  <c r="G243" i="45"/>
  <c r="E244" i="45"/>
  <c r="F244" i="45"/>
  <c r="G244" i="45"/>
  <c r="E245" i="45"/>
  <c r="F245" i="45"/>
  <c r="G245" i="45"/>
  <c r="E246" i="45"/>
  <c r="F246" i="45"/>
  <c r="G246" i="45"/>
  <c r="E247" i="45"/>
  <c r="F247" i="45"/>
  <c r="G247" i="45"/>
  <c r="E248" i="45"/>
  <c r="F248" i="45"/>
  <c r="G248" i="45"/>
  <c r="E249" i="45"/>
  <c r="F249" i="45"/>
  <c r="G249" i="45"/>
  <c r="E250" i="45"/>
  <c r="F250" i="45"/>
  <c r="G250" i="45"/>
  <c r="E251" i="45"/>
  <c r="F251" i="45"/>
  <c r="G251" i="45"/>
  <c r="E252" i="45"/>
  <c r="F252" i="45"/>
  <c r="G252" i="45"/>
  <c r="E253" i="45"/>
  <c r="F253" i="45"/>
  <c r="G253" i="45"/>
  <c r="E254" i="45"/>
  <c r="F254" i="45"/>
  <c r="G254" i="45"/>
  <c r="E255" i="45"/>
  <c r="F255" i="45"/>
  <c r="G255" i="45"/>
  <c r="E256" i="45"/>
  <c r="F256" i="45"/>
  <c r="G256" i="45"/>
  <c r="E257" i="45"/>
  <c r="F257" i="45"/>
  <c r="G257" i="45"/>
  <c r="E258" i="45"/>
  <c r="F258" i="45"/>
  <c r="G258" i="45"/>
  <c r="E259" i="45"/>
  <c r="F259" i="45"/>
  <c r="G259" i="45"/>
  <c r="E260" i="45"/>
  <c r="F260" i="45"/>
  <c r="G260" i="45"/>
  <c r="E261" i="45"/>
  <c r="F261" i="45"/>
  <c r="G261" i="45"/>
  <c r="E262" i="45"/>
  <c r="F262" i="45"/>
  <c r="G262" i="45"/>
  <c r="E263" i="45"/>
  <c r="F263" i="45"/>
  <c r="G263" i="45"/>
  <c r="E264" i="45"/>
  <c r="F264" i="45"/>
  <c r="G264" i="45"/>
  <c r="E265" i="45"/>
  <c r="F265" i="45"/>
  <c r="G265" i="45"/>
  <c r="E266" i="45"/>
  <c r="F266" i="45"/>
  <c r="G266" i="45"/>
  <c r="E267" i="45"/>
  <c r="F267" i="45"/>
  <c r="G267" i="45"/>
  <c r="E268" i="45"/>
  <c r="F268" i="45"/>
  <c r="G268" i="45"/>
  <c r="E269" i="45"/>
  <c r="F269" i="45"/>
  <c r="G269" i="45"/>
  <c r="E270" i="45"/>
  <c r="F270" i="45"/>
  <c r="G270" i="45"/>
  <c r="E271" i="45"/>
  <c r="F271" i="45"/>
  <c r="G271" i="45"/>
  <c r="E272" i="45"/>
  <c r="F272" i="45"/>
  <c r="G272" i="45"/>
  <c r="E273" i="45"/>
  <c r="F273" i="45"/>
  <c r="G273" i="45"/>
  <c r="E274" i="45"/>
  <c r="F274" i="45"/>
  <c r="G274" i="45"/>
  <c r="E275" i="45"/>
  <c r="F275" i="45"/>
  <c r="G275" i="45"/>
  <c r="E276" i="45"/>
  <c r="F276" i="45"/>
  <c r="G276" i="45"/>
  <c r="E277" i="45"/>
  <c r="F277" i="45"/>
  <c r="G277" i="45"/>
  <c r="E278" i="45"/>
  <c r="F278" i="45"/>
  <c r="G278" i="45"/>
  <c r="E279" i="45"/>
  <c r="F279" i="45"/>
  <c r="G279" i="45"/>
  <c r="E280" i="45"/>
  <c r="F280" i="45"/>
  <c r="G280" i="45"/>
  <c r="E281" i="45"/>
  <c r="F281" i="45"/>
  <c r="G281" i="45"/>
  <c r="E282" i="45"/>
  <c r="F282" i="45"/>
  <c r="G282" i="45"/>
  <c r="E283" i="45"/>
  <c r="F283" i="45"/>
  <c r="G283" i="45"/>
  <c r="E284" i="45"/>
  <c r="F284" i="45"/>
  <c r="G284" i="45"/>
  <c r="E285" i="45"/>
  <c r="F285" i="45"/>
  <c r="G285" i="45"/>
  <c r="E286" i="45"/>
  <c r="F286" i="45"/>
  <c r="G286" i="45"/>
  <c r="E287" i="45"/>
  <c r="F287" i="45"/>
  <c r="G287" i="45"/>
  <c r="E288" i="45"/>
  <c r="F288" i="45"/>
  <c r="G288" i="45"/>
  <c r="E289" i="45"/>
  <c r="F289" i="45"/>
  <c r="G289" i="45"/>
  <c r="E290" i="45"/>
  <c r="F290" i="45"/>
  <c r="G290" i="45"/>
  <c r="E291" i="45"/>
  <c r="F291" i="45"/>
  <c r="G291" i="45"/>
  <c r="E292" i="45"/>
  <c r="F292" i="45"/>
  <c r="G292" i="45"/>
  <c r="E293" i="45"/>
  <c r="F293" i="45"/>
  <c r="G293" i="45"/>
  <c r="E294" i="45"/>
  <c r="F294" i="45"/>
  <c r="G294" i="45"/>
  <c r="E295" i="45"/>
  <c r="F295" i="45"/>
  <c r="G295" i="45"/>
  <c r="E296" i="45"/>
  <c r="F296" i="45"/>
  <c r="G296" i="45"/>
  <c r="E297" i="45"/>
  <c r="F297" i="45"/>
  <c r="G297" i="45"/>
  <c r="E298" i="45"/>
  <c r="F298" i="45"/>
  <c r="G298" i="45"/>
  <c r="E299" i="45"/>
  <c r="F299" i="45"/>
  <c r="G299" i="45"/>
  <c r="E300" i="45"/>
  <c r="F300" i="45"/>
  <c r="G300" i="45"/>
  <c r="E301" i="45"/>
  <c r="F301" i="45"/>
  <c r="G301" i="45"/>
  <c r="E302" i="45"/>
  <c r="F302" i="45"/>
  <c r="G302" i="45"/>
  <c r="E303" i="45"/>
  <c r="F303" i="45"/>
  <c r="G303" i="45"/>
  <c r="E304" i="45"/>
  <c r="F304" i="45"/>
  <c r="G304" i="45"/>
  <c r="E305" i="45"/>
  <c r="F305" i="45"/>
  <c r="G305" i="45"/>
  <c r="E306" i="45"/>
  <c r="F306" i="45"/>
  <c r="G306" i="45"/>
  <c r="E307" i="45"/>
  <c r="F307" i="45"/>
  <c r="G307" i="45"/>
  <c r="E308" i="45"/>
  <c r="F308" i="45"/>
  <c r="G308" i="45"/>
  <c r="E309" i="45"/>
  <c r="F309" i="45"/>
  <c r="G309" i="45"/>
  <c r="E310" i="45"/>
  <c r="F310" i="45"/>
  <c r="G310" i="45"/>
  <c r="E311" i="45"/>
  <c r="F311" i="45"/>
  <c r="G311" i="45"/>
  <c r="E312" i="45"/>
  <c r="F312" i="45"/>
  <c r="G312" i="45"/>
  <c r="E313" i="45"/>
  <c r="F313" i="45"/>
  <c r="G313" i="45"/>
  <c r="E314" i="45"/>
  <c r="F314" i="45"/>
  <c r="G314" i="45"/>
  <c r="G4" i="45"/>
  <c r="F4" i="45"/>
  <c r="E4" i="45"/>
  <c r="D5" i="45"/>
  <c r="Q5" i="45" s="1"/>
  <c r="R5" i="45" s="1"/>
  <c r="H5" i="45" s="1"/>
  <c r="D6" i="45"/>
  <c r="Q6" i="45" s="1"/>
  <c r="R6" i="45" s="1"/>
  <c r="H6" i="45" s="1"/>
  <c r="D7" i="45"/>
  <c r="Q7" i="45" s="1"/>
  <c r="R7" i="45" s="1"/>
  <c r="H7" i="45" s="1"/>
  <c r="D8" i="45"/>
  <c r="Q8" i="45" s="1"/>
  <c r="R8" i="45" s="1"/>
  <c r="H8" i="45" s="1"/>
  <c r="D9" i="45"/>
  <c r="Q9" i="45" s="1"/>
  <c r="R9" i="45" s="1"/>
  <c r="H9" i="45" s="1"/>
  <c r="D10" i="45"/>
  <c r="Q10" i="45" s="1"/>
  <c r="R10" i="45" s="1"/>
  <c r="H10" i="45" s="1"/>
  <c r="D11" i="45"/>
  <c r="Q11" i="45" s="1"/>
  <c r="R11" i="45" s="1"/>
  <c r="H11" i="45" s="1"/>
  <c r="D12" i="45"/>
  <c r="Q12" i="45" s="1"/>
  <c r="R12" i="45" s="1"/>
  <c r="H12" i="45" s="1"/>
  <c r="D13" i="45"/>
  <c r="Q13" i="45" s="1"/>
  <c r="R13" i="45" s="1"/>
  <c r="H13" i="45" s="1"/>
  <c r="D14" i="45"/>
  <c r="Q14" i="45" s="1"/>
  <c r="R14" i="45" s="1"/>
  <c r="H14" i="45" s="1"/>
  <c r="D15" i="45"/>
  <c r="Q15" i="45" s="1"/>
  <c r="R15" i="45" s="1"/>
  <c r="H15" i="45" s="1"/>
  <c r="D16" i="45"/>
  <c r="Q16" i="45" s="1"/>
  <c r="R16" i="45" s="1"/>
  <c r="H16" i="45" s="1"/>
  <c r="D17" i="45"/>
  <c r="Q17" i="45" s="1"/>
  <c r="R17" i="45" s="1"/>
  <c r="H17" i="45" s="1"/>
  <c r="D18" i="45"/>
  <c r="Q18" i="45" s="1"/>
  <c r="R18" i="45" s="1"/>
  <c r="H18" i="45" s="1"/>
  <c r="D19" i="45"/>
  <c r="Q19" i="45" s="1"/>
  <c r="R19" i="45" s="1"/>
  <c r="H19" i="45" s="1"/>
  <c r="D20" i="45"/>
  <c r="Q20" i="45" s="1"/>
  <c r="R20" i="45" s="1"/>
  <c r="H20" i="45" s="1"/>
  <c r="D21" i="45"/>
  <c r="Q21" i="45" s="1"/>
  <c r="R21" i="45" s="1"/>
  <c r="H21" i="45" s="1"/>
  <c r="D22" i="45"/>
  <c r="Q22" i="45" s="1"/>
  <c r="R22" i="45" s="1"/>
  <c r="H22" i="45" s="1"/>
  <c r="D23" i="45"/>
  <c r="Q23" i="45" s="1"/>
  <c r="R23" i="45" s="1"/>
  <c r="H23" i="45" s="1"/>
  <c r="D24" i="45"/>
  <c r="Q24" i="45" s="1"/>
  <c r="R24" i="45" s="1"/>
  <c r="H24" i="45" s="1"/>
  <c r="D25" i="45"/>
  <c r="Q25" i="45" s="1"/>
  <c r="R25" i="45" s="1"/>
  <c r="H25" i="45" s="1"/>
  <c r="D26" i="45"/>
  <c r="Q26" i="45" s="1"/>
  <c r="R26" i="45" s="1"/>
  <c r="H26" i="45" s="1"/>
  <c r="D27" i="45"/>
  <c r="Q27" i="45" s="1"/>
  <c r="R27" i="45" s="1"/>
  <c r="H27" i="45" s="1"/>
  <c r="D28" i="45"/>
  <c r="Q28" i="45" s="1"/>
  <c r="R28" i="45" s="1"/>
  <c r="H28" i="45" s="1"/>
  <c r="D29" i="45"/>
  <c r="Q29" i="45" s="1"/>
  <c r="R29" i="45" s="1"/>
  <c r="H29" i="45" s="1"/>
  <c r="D30" i="45"/>
  <c r="Q30" i="45" s="1"/>
  <c r="R30" i="45" s="1"/>
  <c r="H30" i="45" s="1"/>
  <c r="D31" i="45"/>
  <c r="Q31" i="45" s="1"/>
  <c r="R31" i="45" s="1"/>
  <c r="H31" i="45" s="1"/>
  <c r="D32" i="45"/>
  <c r="Q32" i="45" s="1"/>
  <c r="R32" i="45" s="1"/>
  <c r="H32" i="45" s="1"/>
  <c r="D33" i="45"/>
  <c r="Q33" i="45" s="1"/>
  <c r="R33" i="45" s="1"/>
  <c r="H33" i="45" s="1"/>
  <c r="D34" i="45"/>
  <c r="Q34" i="45" s="1"/>
  <c r="R34" i="45" s="1"/>
  <c r="H34" i="45" s="1"/>
  <c r="D35" i="45"/>
  <c r="Q35" i="45" s="1"/>
  <c r="R35" i="45" s="1"/>
  <c r="H35" i="45" s="1"/>
  <c r="D36" i="45"/>
  <c r="Q36" i="45" s="1"/>
  <c r="R36" i="45" s="1"/>
  <c r="H36" i="45" s="1"/>
  <c r="D37" i="45"/>
  <c r="Q37" i="45" s="1"/>
  <c r="R37" i="45" s="1"/>
  <c r="H37" i="45" s="1"/>
  <c r="D38" i="45"/>
  <c r="Q38" i="45" s="1"/>
  <c r="R38" i="45" s="1"/>
  <c r="H38" i="45" s="1"/>
  <c r="D39" i="45"/>
  <c r="Q39" i="45" s="1"/>
  <c r="R39" i="45" s="1"/>
  <c r="H39" i="45" s="1"/>
  <c r="D40" i="45"/>
  <c r="Q40" i="45" s="1"/>
  <c r="R40" i="45" s="1"/>
  <c r="H40" i="45" s="1"/>
  <c r="D41" i="45"/>
  <c r="Q41" i="45" s="1"/>
  <c r="R41" i="45" s="1"/>
  <c r="H41" i="45" s="1"/>
  <c r="D42" i="45"/>
  <c r="Q42" i="45" s="1"/>
  <c r="R42" i="45" s="1"/>
  <c r="H42" i="45" s="1"/>
  <c r="D43" i="45"/>
  <c r="Q43" i="45" s="1"/>
  <c r="R43" i="45" s="1"/>
  <c r="H43" i="45" s="1"/>
  <c r="D44" i="45"/>
  <c r="Q44" i="45" s="1"/>
  <c r="R44" i="45" s="1"/>
  <c r="H44" i="45" s="1"/>
  <c r="D45" i="45"/>
  <c r="Q45" i="45" s="1"/>
  <c r="R45" i="45" s="1"/>
  <c r="H45" i="45" s="1"/>
  <c r="D46" i="45"/>
  <c r="Q46" i="45" s="1"/>
  <c r="R46" i="45" s="1"/>
  <c r="H46" i="45" s="1"/>
  <c r="D47" i="45"/>
  <c r="Q47" i="45" s="1"/>
  <c r="R47" i="45" s="1"/>
  <c r="H47" i="45" s="1"/>
  <c r="D48" i="45"/>
  <c r="Q48" i="45" s="1"/>
  <c r="R48" i="45" s="1"/>
  <c r="H48" i="45" s="1"/>
  <c r="D49" i="45"/>
  <c r="Q49" i="45" s="1"/>
  <c r="R49" i="45" s="1"/>
  <c r="H49" i="45" s="1"/>
  <c r="D50" i="45"/>
  <c r="Q50" i="45" s="1"/>
  <c r="R50" i="45" s="1"/>
  <c r="H50" i="45" s="1"/>
  <c r="D51" i="45"/>
  <c r="Q51" i="45" s="1"/>
  <c r="R51" i="45" s="1"/>
  <c r="H51" i="45" s="1"/>
  <c r="D52" i="45"/>
  <c r="Q52" i="45" s="1"/>
  <c r="R52" i="45" s="1"/>
  <c r="H52" i="45" s="1"/>
  <c r="D53" i="45"/>
  <c r="Q53" i="45" s="1"/>
  <c r="R53" i="45" s="1"/>
  <c r="H53" i="45" s="1"/>
  <c r="D54" i="45"/>
  <c r="Q54" i="45" s="1"/>
  <c r="R54" i="45" s="1"/>
  <c r="H54" i="45" s="1"/>
  <c r="D55" i="45"/>
  <c r="Q55" i="45" s="1"/>
  <c r="R55" i="45" s="1"/>
  <c r="H55" i="45" s="1"/>
  <c r="D56" i="45"/>
  <c r="Q56" i="45" s="1"/>
  <c r="R56" i="45" s="1"/>
  <c r="H56" i="45" s="1"/>
  <c r="D57" i="45"/>
  <c r="Q57" i="45" s="1"/>
  <c r="R57" i="45" s="1"/>
  <c r="H57" i="45" s="1"/>
  <c r="D58" i="45"/>
  <c r="Q58" i="45" s="1"/>
  <c r="R58" i="45" s="1"/>
  <c r="H58" i="45" s="1"/>
  <c r="D59" i="45"/>
  <c r="Q59" i="45" s="1"/>
  <c r="R59" i="45" s="1"/>
  <c r="H59" i="45" s="1"/>
  <c r="D60" i="45"/>
  <c r="Q60" i="45" s="1"/>
  <c r="R60" i="45" s="1"/>
  <c r="H60" i="45" s="1"/>
  <c r="D61" i="45"/>
  <c r="Q61" i="45" s="1"/>
  <c r="R61" i="45" s="1"/>
  <c r="H61" i="45" s="1"/>
  <c r="D62" i="45"/>
  <c r="Q62" i="45" s="1"/>
  <c r="R62" i="45" s="1"/>
  <c r="H62" i="45" s="1"/>
  <c r="D63" i="45"/>
  <c r="Q63" i="45" s="1"/>
  <c r="R63" i="45" s="1"/>
  <c r="H63" i="45" s="1"/>
  <c r="D64" i="45"/>
  <c r="Q64" i="45" s="1"/>
  <c r="R64" i="45" s="1"/>
  <c r="H64" i="45" s="1"/>
  <c r="D65" i="45"/>
  <c r="Q65" i="45" s="1"/>
  <c r="R65" i="45" s="1"/>
  <c r="H65" i="45" s="1"/>
  <c r="D66" i="45"/>
  <c r="Q66" i="45" s="1"/>
  <c r="R66" i="45" s="1"/>
  <c r="H66" i="45" s="1"/>
  <c r="D67" i="45"/>
  <c r="Q67" i="45" s="1"/>
  <c r="R67" i="45" s="1"/>
  <c r="H67" i="45" s="1"/>
  <c r="D68" i="45"/>
  <c r="Q68" i="45" s="1"/>
  <c r="R68" i="45" s="1"/>
  <c r="H68" i="45" s="1"/>
  <c r="D69" i="45"/>
  <c r="Q69" i="45" s="1"/>
  <c r="R69" i="45" s="1"/>
  <c r="H69" i="45" s="1"/>
  <c r="D70" i="45"/>
  <c r="Q70" i="45" s="1"/>
  <c r="R70" i="45" s="1"/>
  <c r="H70" i="45" s="1"/>
  <c r="D71" i="45"/>
  <c r="Q71" i="45" s="1"/>
  <c r="R71" i="45" s="1"/>
  <c r="H71" i="45" s="1"/>
  <c r="D72" i="45"/>
  <c r="Q72" i="45" s="1"/>
  <c r="R72" i="45" s="1"/>
  <c r="H72" i="45" s="1"/>
  <c r="D73" i="45"/>
  <c r="Q73" i="45" s="1"/>
  <c r="R73" i="45" s="1"/>
  <c r="H73" i="45" s="1"/>
  <c r="D74" i="45"/>
  <c r="Q74" i="45" s="1"/>
  <c r="R74" i="45" s="1"/>
  <c r="H74" i="45" s="1"/>
  <c r="D75" i="45"/>
  <c r="Q75" i="45" s="1"/>
  <c r="R75" i="45" s="1"/>
  <c r="H75" i="45" s="1"/>
  <c r="D76" i="45"/>
  <c r="Q76" i="45" s="1"/>
  <c r="R76" i="45" s="1"/>
  <c r="H76" i="45" s="1"/>
  <c r="D77" i="45"/>
  <c r="Q77" i="45" s="1"/>
  <c r="R77" i="45" s="1"/>
  <c r="H77" i="45" s="1"/>
  <c r="D78" i="45"/>
  <c r="Q78" i="45" s="1"/>
  <c r="R78" i="45" s="1"/>
  <c r="H78" i="45" s="1"/>
  <c r="D79" i="45"/>
  <c r="Q79" i="45" s="1"/>
  <c r="R79" i="45" s="1"/>
  <c r="H79" i="45" s="1"/>
  <c r="D80" i="45"/>
  <c r="Q80" i="45" s="1"/>
  <c r="R80" i="45" s="1"/>
  <c r="H80" i="45" s="1"/>
  <c r="D81" i="45"/>
  <c r="Q81" i="45" s="1"/>
  <c r="R81" i="45" s="1"/>
  <c r="H81" i="45" s="1"/>
  <c r="D82" i="45"/>
  <c r="Q82" i="45" s="1"/>
  <c r="R82" i="45" s="1"/>
  <c r="H82" i="45" s="1"/>
  <c r="D83" i="45"/>
  <c r="Q83" i="45" s="1"/>
  <c r="R83" i="45" s="1"/>
  <c r="H83" i="45" s="1"/>
  <c r="D84" i="45"/>
  <c r="Q84" i="45" s="1"/>
  <c r="R84" i="45" s="1"/>
  <c r="H84" i="45" s="1"/>
  <c r="D85" i="45"/>
  <c r="Q85" i="45" s="1"/>
  <c r="R85" i="45" s="1"/>
  <c r="H85" i="45" s="1"/>
  <c r="D86" i="45"/>
  <c r="Q86" i="45" s="1"/>
  <c r="R86" i="45" s="1"/>
  <c r="H86" i="45" s="1"/>
  <c r="D87" i="45"/>
  <c r="Q87" i="45" s="1"/>
  <c r="R87" i="45" s="1"/>
  <c r="H87" i="45" s="1"/>
  <c r="D88" i="45"/>
  <c r="Q88" i="45" s="1"/>
  <c r="R88" i="45" s="1"/>
  <c r="H88" i="45" s="1"/>
  <c r="D89" i="45"/>
  <c r="Q89" i="45" s="1"/>
  <c r="R89" i="45" s="1"/>
  <c r="H89" i="45" s="1"/>
  <c r="D90" i="45"/>
  <c r="Q90" i="45" s="1"/>
  <c r="R90" i="45" s="1"/>
  <c r="H90" i="45" s="1"/>
  <c r="D91" i="45"/>
  <c r="Q91" i="45" s="1"/>
  <c r="R91" i="45" s="1"/>
  <c r="H91" i="45" s="1"/>
  <c r="D92" i="45"/>
  <c r="Q92" i="45" s="1"/>
  <c r="R92" i="45" s="1"/>
  <c r="H92" i="45" s="1"/>
  <c r="D93" i="45"/>
  <c r="Q93" i="45" s="1"/>
  <c r="R93" i="45" s="1"/>
  <c r="H93" i="45" s="1"/>
  <c r="D94" i="45"/>
  <c r="Q94" i="45" s="1"/>
  <c r="R94" i="45" s="1"/>
  <c r="H94" i="45" s="1"/>
  <c r="D95" i="45"/>
  <c r="Q95" i="45" s="1"/>
  <c r="R95" i="45" s="1"/>
  <c r="H95" i="45" s="1"/>
  <c r="D96" i="45"/>
  <c r="Q96" i="45" s="1"/>
  <c r="R96" i="45" s="1"/>
  <c r="H96" i="45" s="1"/>
  <c r="D97" i="45"/>
  <c r="Q97" i="45" s="1"/>
  <c r="R97" i="45" s="1"/>
  <c r="H97" i="45" s="1"/>
  <c r="D98" i="45"/>
  <c r="Q98" i="45" s="1"/>
  <c r="R98" i="45" s="1"/>
  <c r="H98" i="45" s="1"/>
  <c r="D99" i="45"/>
  <c r="Q99" i="45" s="1"/>
  <c r="R99" i="45" s="1"/>
  <c r="H99" i="45" s="1"/>
  <c r="D100" i="45"/>
  <c r="Q100" i="45" s="1"/>
  <c r="R100" i="45" s="1"/>
  <c r="H100" i="45" s="1"/>
  <c r="D101" i="45"/>
  <c r="Q101" i="45" s="1"/>
  <c r="R101" i="45" s="1"/>
  <c r="H101" i="45" s="1"/>
  <c r="D102" i="45"/>
  <c r="Q102" i="45" s="1"/>
  <c r="R102" i="45" s="1"/>
  <c r="H102" i="45" s="1"/>
  <c r="D103" i="45"/>
  <c r="Q103" i="45" s="1"/>
  <c r="R103" i="45" s="1"/>
  <c r="H103" i="45" s="1"/>
  <c r="D104" i="45"/>
  <c r="Q104" i="45" s="1"/>
  <c r="R104" i="45" s="1"/>
  <c r="H104" i="45" s="1"/>
  <c r="D105" i="45"/>
  <c r="Q105" i="45" s="1"/>
  <c r="R105" i="45" s="1"/>
  <c r="H105" i="45" s="1"/>
  <c r="D106" i="45"/>
  <c r="Q106" i="45" s="1"/>
  <c r="R106" i="45" s="1"/>
  <c r="H106" i="45" s="1"/>
  <c r="D107" i="45"/>
  <c r="Q107" i="45" s="1"/>
  <c r="R107" i="45" s="1"/>
  <c r="H107" i="45" s="1"/>
  <c r="D108" i="45"/>
  <c r="Q108" i="45" s="1"/>
  <c r="R108" i="45" s="1"/>
  <c r="H108" i="45" s="1"/>
  <c r="D109" i="45"/>
  <c r="Q109" i="45" s="1"/>
  <c r="R109" i="45" s="1"/>
  <c r="H109" i="45" s="1"/>
  <c r="D110" i="45"/>
  <c r="Q110" i="45" s="1"/>
  <c r="R110" i="45" s="1"/>
  <c r="H110" i="45" s="1"/>
  <c r="D111" i="45"/>
  <c r="Q111" i="45" s="1"/>
  <c r="R111" i="45" s="1"/>
  <c r="H111" i="45" s="1"/>
  <c r="D112" i="45"/>
  <c r="Q112" i="45" s="1"/>
  <c r="R112" i="45" s="1"/>
  <c r="H112" i="45" s="1"/>
  <c r="D113" i="45"/>
  <c r="Q113" i="45" s="1"/>
  <c r="R113" i="45" s="1"/>
  <c r="H113" i="45" s="1"/>
  <c r="D114" i="45"/>
  <c r="Q114" i="45" s="1"/>
  <c r="R114" i="45" s="1"/>
  <c r="H114" i="45" s="1"/>
  <c r="D115" i="45"/>
  <c r="Q115" i="45" s="1"/>
  <c r="R115" i="45" s="1"/>
  <c r="H115" i="45" s="1"/>
  <c r="D116" i="45"/>
  <c r="Q116" i="45" s="1"/>
  <c r="R116" i="45" s="1"/>
  <c r="H116" i="45" s="1"/>
  <c r="D117" i="45"/>
  <c r="Q117" i="45" s="1"/>
  <c r="R117" i="45" s="1"/>
  <c r="H117" i="45" s="1"/>
  <c r="D118" i="45"/>
  <c r="Q118" i="45" s="1"/>
  <c r="R118" i="45" s="1"/>
  <c r="H118" i="45" s="1"/>
  <c r="D119" i="45"/>
  <c r="Q119" i="45" s="1"/>
  <c r="R119" i="45" s="1"/>
  <c r="H119" i="45" s="1"/>
  <c r="D120" i="45"/>
  <c r="Q120" i="45" s="1"/>
  <c r="R120" i="45" s="1"/>
  <c r="H120" i="45" s="1"/>
  <c r="D121" i="45"/>
  <c r="Q121" i="45" s="1"/>
  <c r="R121" i="45" s="1"/>
  <c r="H121" i="45" s="1"/>
  <c r="D122" i="45"/>
  <c r="Q122" i="45" s="1"/>
  <c r="R122" i="45" s="1"/>
  <c r="H122" i="45" s="1"/>
  <c r="D123" i="45"/>
  <c r="Q123" i="45" s="1"/>
  <c r="R123" i="45" s="1"/>
  <c r="H123" i="45" s="1"/>
  <c r="D124" i="45"/>
  <c r="Q124" i="45" s="1"/>
  <c r="R124" i="45" s="1"/>
  <c r="H124" i="45" s="1"/>
  <c r="D125" i="45"/>
  <c r="Q125" i="45" s="1"/>
  <c r="R125" i="45" s="1"/>
  <c r="H125" i="45" s="1"/>
  <c r="D126" i="45"/>
  <c r="Q126" i="45" s="1"/>
  <c r="R126" i="45" s="1"/>
  <c r="H126" i="45" s="1"/>
  <c r="D127" i="45"/>
  <c r="Q127" i="45" s="1"/>
  <c r="R127" i="45" s="1"/>
  <c r="H127" i="45" s="1"/>
  <c r="D128" i="45"/>
  <c r="Q128" i="45" s="1"/>
  <c r="R128" i="45" s="1"/>
  <c r="H128" i="45" s="1"/>
  <c r="D129" i="45"/>
  <c r="Q129" i="45" s="1"/>
  <c r="R129" i="45" s="1"/>
  <c r="H129" i="45" s="1"/>
  <c r="D130" i="45"/>
  <c r="Q130" i="45" s="1"/>
  <c r="R130" i="45" s="1"/>
  <c r="H130" i="45" s="1"/>
  <c r="D131" i="45"/>
  <c r="Q131" i="45" s="1"/>
  <c r="R131" i="45" s="1"/>
  <c r="H131" i="45" s="1"/>
  <c r="D132" i="45"/>
  <c r="Q132" i="45" s="1"/>
  <c r="R132" i="45" s="1"/>
  <c r="H132" i="45" s="1"/>
  <c r="D133" i="45"/>
  <c r="Q133" i="45" s="1"/>
  <c r="R133" i="45" s="1"/>
  <c r="H133" i="45" s="1"/>
  <c r="D134" i="45"/>
  <c r="Q134" i="45" s="1"/>
  <c r="R134" i="45" s="1"/>
  <c r="H134" i="45" s="1"/>
  <c r="D135" i="45"/>
  <c r="Q135" i="45" s="1"/>
  <c r="R135" i="45" s="1"/>
  <c r="H135" i="45" s="1"/>
  <c r="D136" i="45"/>
  <c r="Q136" i="45" s="1"/>
  <c r="R136" i="45" s="1"/>
  <c r="H136" i="45" s="1"/>
  <c r="D137" i="45"/>
  <c r="Q137" i="45" s="1"/>
  <c r="R137" i="45" s="1"/>
  <c r="H137" i="45" s="1"/>
  <c r="D138" i="45"/>
  <c r="Q138" i="45" s="1"/>
  <c r="R138" i="45" s="1"/>
  <c r="H138" i="45" s="1"/>
  <c r="D139" i="45"/>
  <c r="Q139" i="45" s="1"/>
  <c r="R139" i="45" s="1"/>
  <c r="H139" i="45" s="1"/>
  <c r="D140" i="45"/>
  <c r="Q140" i="45" s="1"/>
  <c r="R140" i="45" s="1"/>
  <c r="H140" i="45" s="1"/>
  <c r="D141" i="45"/>
  <c r="Q141" i="45" s="1"/>
  <c r="R141" i="45" s="1"/>
  <c r="H141" i="45" s="1"/>
  <c r="D142" i="45"/>
  <c r="Q142" i="45" s="1"/>
  <c r="R142" i="45" s="1"/>
  <c r="H142" i="45" s="1"/>
  <c r="D143" i="45"/>
  <c r="Q143" i="45" s="1"/>
  <c r="R143" i="45" s="1"/>
  <c r="H143" i="45" s="1"/>
  <c r="D144" i="45"/>
  <c r="Q144" i="45" s="1"/>
  <c r="R144" i="45" s="1"/>
  <c r="H144" i="45" s="1"/>
  <c r="D145" i="45"/>
  <c r="Q145" i="45" s="1"/>
  <c r="R145" i="45" s="1"/>
  <c r="H145" i="45" s="1"/>
  <c r="D146" i="45"/>
  <c r="Q146" i="45" s="1"/>
  <c r="R146" i="45" s="1"/>
  <c r="H146" i="45" s="1"/>
  <c r="D147" i="45"/>
  <c r="Q147" i="45" s="1"/>
  <c r="R147" i="45" s="1"/>
  <c r="H147" i="45" s="1"/>
  <c r="D148" i="45"/>
  <c r="Q148" i="45" s="1"/>
  <c r="R148" i="45" s="1"/>
  <c r="H148" i="45" s="1"/>
  <c r="D149" i="45"/>
  <c r="Q149" i="45" s="1"/>
  <c r="R149" i="45" s="1"/>
  <c r="H149" i="45" s="1"/>
  <c r="D150" i="45"/>
  <c r="Q150" i="45" s="1"/>
  <c r="R150" i="45" s="1"/>
  <c r="H150" i="45" s="1"/>
  <c r="D151" i="45"/>
  <c r="Q151" i="45" s="1"/>
  <c r="R151" i="45" s="1"/>
  <c r="H151" i="45" s="1"/>
  <c r="D152" i="45"/>
  <c r="Q152" i="45" s="1"/>
  <c r="R152" i="45" s="1"/>
  <c r="H152" i="45" s="1"/>
  <c r="D153" i="45"/>
  <c r="Q153" i="45" s="1"/>
  <c r="R153" i="45" s="1"/>
  <c r="H153" i="45" s="1"/>
  <c r="D154" i="45"/>
  <c r="Q154" i="45" s="1"/>
  <c r="R154" i="45" s="1"/>
  <c r="H154" i="45" s="1"/>
  <c r="D155" i="45"/>
  <c r="Q155" i="45" s="1"/>
  <c r="R155" i="45" s="1"/>
  <c r="H155" i="45" s="1"/>
  <c r="D156" i="45"/>
  <c r="Q156" i="45" s="1"/>
  <c r="R156" i="45" s="1"/>
  <c r="H156" i="45" s="1"/>
  <c r="D157" i="45"/>
  <c r="Q157" i="45" s="1"/>
  <c r="R157" i="45" s="1"/>
  <c r="H157" i="45" s="1"/>
  <c r="D158" i="45"/>
  <c r="Q158" i="45" s="1"/>
  <c r="R158" i="45" s="1"/>
  <c r="H158" i="45" s="1"/>
  <c r="D159" i="45"/>
  <c r="Q159" i="45" s="1"/>
  <c r="R159" i="45" s="1"/>
  <c r="H159" i="45" s="1"/>
  <c r="D160" i="45"/>
  <c r="Q160" i="45" s="1"/>
  <c r="R160" i="45" s="1"/>
  <c r="H160" i="45" s="1"/>
  <c r="D161" i="45"/>
  <c r="Q161" i="45" s="1"/>
  <c r="R161" i="45" s="1"/>
  <c r="H161" i="45" s="1"/>
  <c r="D162" i="45"/>
  <c r="Q162" i="45" s="1"/>
  <c r="R162" i="45" s="1"/>
  <c r="H162" i="45" s="1"/>
  <c r="D163" i="45"/>
  <c r="Q163" i="45" s="1"/>
  <c r="R163" i="45" s="1"/>
  <c r="H163" i="45" s="1"/>
  <c r="D164" i="45"/>
  <c r="Q164" i="45" s="1"/>
  <c r="R164" i="45" s="1"/>
  <c r="H164" i="45" s="1"/>
  <c r="D165" i="45"/>
  <c r="Q165" i="45" s="1"/>
  <c r="R165" i="45" s="1"/>
  <c r="H165" i="45" s="1"/>
  <c r="D166" i="45"/>
  <c r="Q166" i="45" s="1"/>
  <c r="R166" i="45" s="1"/>
  <c r="H166" i="45" s="1"/>
  <c r="D167" i="45"/>
  <c r="Q167" i="45" s="1"/>
  <c r="R167" i="45" s="1"/>
  <c r="H167" i="45" s="1"/>
  <c r="D168" i="45"/>
  <c r="Q168" i="45" s="1"/>
  <c r="R168" i="45" s="1"/>
  <c r="H168" i="45" s="1"/>
  <c r="D169" i="45"/>
  <c r="Q169" i="45" s="1"/>
  <c r="R169" i="45" s="1"/>
  <c r="H169" i="45" s="1"/>
  <c r="D170" i="45"/>
  <c r="Q170" i="45" s="1"/>
  <c r="R170" i="45" s="1"/>
  <c r="H170" i="45" s="1"/>
  <c r="D171" i="45"/>
  <c r="Q171" i="45" s="1"/>
  <c r="R171" i="45" s="1"/>
  <c r="H171" i="45" s="1"/>
  <c r="D172" i="45"/>
  <c r="Q172" i="45" s="1"/>
  <c r="R172" i="45" s="1"/>
  <c r="H172" i="45" s="1"/>
  <c r="D173" i="45"/>
  <c r="Q173" i="45" s="1"/>
  <c r="R173" i="45" s="1"/>
  <c r="H173" i="45" s="1"/>
  <c r="D174" i="45"/>
  <c r="Q174" i="45" s="1"/>
  <c r="R174" i="45" s="1"/>
  <c r="H174" i="45" s="1"/>
  <c r="D175" i="45"/>
  <c r="Q175" i="45" s="1"/>
  <c r="R175" i="45" s="1"/>
  <c r="H175" i="45" s="1"/>
  <c r="D176" i="45"/>
  <c r="Q176" i="45" s="1"/>
  <c r="R176" i="45" s="1"/>
  <c r="H176" i="45" s="1"/>
  <c r="D177" i="45"/>
  <c r="Q177" i="45" s="1"/>
  <c r="R177" i="45" s="1"/>
  <c r="H177" i="45" s="1"/>
  <c r="D178" i="45"/>
  <c r="Q178" i="45" s="1"/>
  <c r="R178" i="45" s="1"/>
  <c r="H178" i="45" s="1"/>
  <c r="D179" i="45"/>
  <c r="Q179" i="45" s="1"/>
  <c r="R179" i="45" s="1"/>
  <c r="H179" i="45" s="1"/>
  <c r="D180" i="45"/>
  <c r="Q180" i="45" s="1"/>
  <c r="R180" i="45" s="1"/>
  <c r="H180" i="45" s="1"/>
  <c r="D181" i="45"/>
  <c r="Q181" i="45" s="1"/>
  <c r="R181" i="45" s="1"/>
  <c r="H181" i="45" s="1"/>
  <c r="D182" i="45"/>
  <c r="Q182" i="45" s="1"/>
  <c r="R182" i="45" s="1"/>
  <c r="H182" i="45" s="1"/>
  <c r="D183" i="45"/>
  <c r="Q183" i="45" s="1"/>
  <c r="R183" i="45" s="1"/>
  <c r="H183" i="45" s="1"/>
  <c r="D184" i="45"/>
  <c r="Q184" i="45" s="1"/>
  <c r="R184" i="45" s="1"/>
  <c r="H184" i="45" s="1"/>
  <c r="D185" i="45"/>
  <c r="Q185" i="45" s="1"/>
  <c r="R185" i="45" s="1"/>
  <c r="H185" i="45" s="1"/>
  <c r="D186" i="45"/>
  <c r="Q186" i="45" s="1"/>
  <c r="R186" i="45" s="1"/>
  <c r="H186" i="45" s="1"/>
  <c r="D187" i="45"/>
  <c r="Q187" i="45" s="1"/>
  <c r="R187" i="45" s="1"/>
  <c r="H187" i="45" s="1"/>
  <c r="D188" i="45"/>
  <c r="Q188" i="45" s="1"/>
  <c r="R188" i="45" s="1"/>
  <c r="H188" i="45" s="1"/>
  <c r="D189" i="45"/>
  <c r="Q189" i="45" s="1"/>
  <c r="R189" i="45" s="1"/>
  <c r="H189" i="45" s="1"/>
  <c r="D190" i="45"/>
  <c r="Q190" i="45" s="1"/>
  <c r="R190" i="45" s="1"/>
  <c r="H190" i="45" s="1"/>
  <c r="D191" i="45"/>
  <c r="Q191" i="45" s="1"/>
  <c r="R191" i="45" s="1"/>
  <c r="H191" i="45" s="1"/>
  <c r="D192" i="45"/>
  <c r="Q192" i="45" s="1"/>
  <c r="R192" i="45" s="1"/>
  <c r="H192" i="45" s="1"/>
  <c r="D193" i="45"/>
  <c r="Q193" i="45" s="1"/>
  <c r="R193" i="45" s="1"/>
  <c r="H193" i="45" s="1"/>
  <c r="D194" i="45"/>
  <c r="Q194" i="45" s="1"/>
  <c r="R194" i="45" s="1"/>
  <c r="H194" i="45" s="1"/>
  <c r="D195" i="45"/>
  <c r="Q195" i="45" s="1"/>
  <c r="R195" i="45" s="1"/>
  <c r="H195" i="45" s="1"/>
  <c r="D196" i="45"/>
  <c r="Q196" i="45" s="1"/>
  <c r="R196" i="45" s="1"/>
  <c r="H196" i="45" s="1"/>
  <c r="D197" i="45"/>
  <c r="Q197" i="45" s="1"/>
  <c r="R197" i="45" s="1"/>
  <c r="H197" i="45" s="1"/>
  <c r="D198" i="45"/>
  <c r="Q198" i="45" s="1"/>
  <c r="R198" i="45" s="1"/>
  <c r="H198" i="45" s="1"/>
  <c r="D199" i="45"/>
  <c r="Q199" i="45" s="1"/>
  <c r="R199" i="45" s="1"/>
  <c r="H199" i="45" s="1"/>
  <c r="D200" i="45"/>
  <c r="Q200" i="45" s="1"/>
  <c r="R200" i="45" s="1"/>
  <c r="H200" i="45" s="1"/>
  <c r="D201" i="45"/>
  <c r="Q201" i="45" s="1"/>
  <c r="R201" i="45" s="1"/>
  <c r="H201" i="45" s="1"/>
  <c r="D202" i="45"/>
  <c r="Q202" i="45" s="1"/>
  <c r="R202" i="45" s="1"/>
  <c r="H202" i="45" s="1"/>
  <c r="D203" i="45"/>
  <c r="Q203" i="45" s="1"/>
  <c r="R203" i="45" s="1"/>
  <c r="H203" i="45" s="1"/>
  <c r="D204" i="45"/>
  <c r="Q204" i="45" s="1"/>
  <c r="R204" i="45" s="1"/>
  <c r="H204" i="45" s="1"/>
  <c r="D205" i="45"/>
  <c r="Q205" i="45" s="1"/>
  <c r="R205" i="45" s="1"/>
  <c r="H205" i="45" s="1"/>
  <c r="D206" i="45"/>
  <c r="Q206" i="45" s="1"/>
  <c r="R206" i="45" s="1"/>
  <c r="H206" i="45" s="1"/>
  <c r="D207" i="45"/>
  <c r="Q207" i="45" s="1"/>
  <c r="R207" i="45" s="1"/>
  <c r="H207" i="45" s="1"/>
  <c r="D208" i="45"/>
  <c r="Q208" i="45" s="1"/>
  <c r="R208" i="45" s="1"/>
  <c r="H208" i="45" s="1"/>
  <c r="D209" i="45"/>
  <c r="Q209" i="45" s="1"/>
  <c r="R209" i="45" s="1"/>
  <c r="H209" i="45" s="1"/>
  <c r="D210" i="45"/>
  <c r="Q210" i="45" s="1"/>
  <c r="R210" i="45" s="1"/>
  <c r="H210" i="45" s="1"/>
  <c r="D211" i="45"/>
  <c r="Q211" i="45" s="1"/>
  <c r="R211" i="45" s="1"/>
  <c r="H211" i="45" s="1"/>
  <c r="D212" i="45"/>
  <c r="Q212" i="45" s="1"/>
  <c r="R212" i="45" s="1"/>
  <c r="H212" i="45" s="1"/>
  <c r="D213" i="45"/>
  <c r="Q213" i="45" s="1"/>
  <c r="R213" i="45" s="1"/>
  <c r="H213" i="45" s="1"/>
  <c r="D214" i="45"/>
  <c r="Q214" i="45" s="1"/>
  <c r="R214" i="45" s="1"/>
  <c r="H214" i="45" s="1"/>
  <c r="D215" i="45"/>
  <c r="Q215" i="45" s="1"/>
  <c r="R215" i="45" s="1"/>
  <c r="H215" i="45" s="1"/>
  <c r="D216" i="45"/>
  <c r="Q216" i="45" s="1"/>
  <c r="R216" i="45" s="1"/>
  <c r="H216" i="45" s="1"/>
  <c r="D217" i="45"/>
  <c r="Q217" i="45" s="1"/>
  <c r="R217" i="45" s="1"/>
  <c r="H217" i="45" s="1"/>
  <c r="D218" i="45"/>
  <c r="Q218" i="45" s="1"/>
  <c r="R218" i="45" s="1"/>
  <c r="H218" i="45" s="1"/>
  <c r="D219" i="45"/>
  <c r="Q219" i="45" s="1"/>
  <c r="R219" i="45" s="1"/>
  <c r="H219" i="45" s="1"/>
  <c r="D220" i="45"/>
  <c r="Q220" i="45" s="1"/>
  <c r="R220" i="45" s="1"/>
  <c r="H220" i="45" s="1"/>
  <c r="D221" i="45"/>
  <c r="Q221" i="45" s="1"/>
  <c r="R221" i="45" s="1"/>
  <c r="H221" i="45" s="1"/>
  <c r="D222" i="45"/>
  <c r="Q222" i="45" s="1"/>
  <c r="R222" i="45" s="1"/>
  <c r="H222" i="45" s="1"/>
  <c r="D223" i="45"/>
  <c r="Q223" i="45" s="1"/>
  <c r="R223" i="45" s="1"/>
  <c r="H223" i="45" s="1"/>
  <c r="D224" i="45"/>
  <c r="Q224" i="45" s="1"/>
  <c r="R224" i="45" s="1"/>
  <c r="H224" i="45" s="1"/>
  <c r="D225" i="45"/>
  <c r="Q225" i="45" s="1"/>
  <c r="R225" i="45" s="1"/>
  <c r="H225" i="45" s="1"/>
  <c r="D226" i="45"/>
  <c r="Q226" i="45" s="1"/>
  <c r="R226" i="45" s="1"/>
  <c r="H226" i="45" s="1"/>
  <c r="D227" i="45"/>
  <c r="Q227" i="45" s="1"/>
  <c r="R227" i="45" s="1"/>
  <c r="H227" i="45" s="1"/>
  <c r="D228" i="45"/>
  <c r="Q228" i="45" s="1"/>
  <c r="R228" i="45" s="1"/>
  <c r="H228" i="45" s="1"/>
  <c r="D229" i="45"/>
  <c r="Q229" i="45" s="1"/>
  <c r="R229" i="45" s="1"/>
  <c r="H229" i="45" s="1"/>
  <c r="D230" i="45"/>
  <c r="Q230" i="45" s="1"/>
  <c r="R230" i="45" s="1"/>
  <c r="H230" i="45" s="1"/>
  <c r="D231" i="45"/>
  <c r="Q231" i="45" s="1"/>
  <c r="R231" i="45" s="1"/>
  <c r="H231" i="45" s="1"/>
  <c r="D232" i="45"/>
  <c r="Q232" i="45" s="1"/>
  <c r="R232" i="45" s="1"/>
  <c r="H232" i="45" s="1"/>
  <c r="D233" i="45"/>
  <c r="Q233" i="45" s="1"/>
  <c r="R233" i="45" s="1"/>
  <c r="H233" i="45" s="1"/>
  <c r="D234" i="45"/>
  <c r="Q234" i="45" s="1"/>
  <c r="R234" i="45" s="1"/>
  <c r="H234" i="45" s="1"/>
  <c r="D235" i="45"/>
  <c r="Q235" i="45" s="1"/>
  <c r="R235" i="45" s="1"/>
  <c r="H235" i="45" s="1"/>
  <c r="D236" i="45"/>
  <c r="Q236" i="45" s="1"/>
  <c r="R236" i="45" s="1"/>
  <c r="H236" i="45" s="1"/>
  <c r="D237" i="45"/>
  <c r="Q237" i="45" s="1"/>
  <c r="R237" i="45" s="1"/>
  <c r="H237" i="45" s="1"/>
  <c r="D238" i="45"/>
  <c r="Q238" i="45" s="1"/>
  <c r="R238" i="45" s="1"/>
  <c r="H238" i="45" s="1"/>
  <c r="D239" i="45"/>
  <c r="Q239" i="45" s="1"/>
  <c r="R239" i="45" s="1"/>
  <c r="H239" i="45" s="1"/>
  <c r="D240" i="45"/>
  <c r="Q240" i="45" s="1"/>
  <c r="R240" i="45" s="1"/>
  <c r="H240" i="45" s="1"/>
  <c r="D241" i="45"/>
  <c r="Q241" i="45" s="1"/>
  <c r="R241" i="45" s="1"/>
  <c r="H241" i="45" s="1"/>
  <c r="D242" i="45"/>
  <c r="Q242" i="45" s="1"/>
  <c r="R242" i="45" s="1"/>
  <c r="H242" i="45" s="1"/>
  <c r="D243" i="45"/>
  <c r="Q243" i="45" s="1"/>
  <c r="R243" i="45" s="1"/>
  <c r="H243" i="45" s="1"/>
  <c r="D244" i="45"/>
  <c r="Q244" i="45" s="1"/>
  <c r="R244" i="45" s="1"/>
  <c r="H244" i="45" s="1"/>
  <c r="D245" i="45"/>
  <c r="Q245" i="45" s="1"/>
  <c r="R245" i="45" s="1"/>
  <c r="H245" i="45" s="1"/>
  <c r="D246" i="45"/>
  <c r="Q246" i="45" s="1"/>
  <c r="R246" i="45" s="1"/>
  <c r="H246" i="45" s="1"/>
  <c r="D247" i="45"/>
  <c r="Q247" i="45" s="1"/>
  <c r="R247" i="45" s="1"/>
  <c r="H247" i="45" s="1"/>
  <c r="D248" i="45"/>
  <c r="Q248" i="45" s="1"/>
  <c r="R248" i="45" s="1"/>
  <c r="H248" i="45" s="1"/>
  <c r="D249" i="45"/>
  <c r="Q249" i="45" s="1"/>
  <c r="R249" i="45" s="1"/>
  <c r="H249" i="45" s="1"/>
  <c r="D250" i="45"/>
  <c r="Q250" i="45" s="1"/>
  <c r="R250" i="45" s="1"/>
  <c r="H250" i="45" s="1"/>
  <c r="D251" i="45"/>
  <c r="Q251" i="45" s="1"/>
  <c r="R251" i="45" s="1"/>
  <c r="H251" i="45" s="1"/>
  <c r="D252" i="45"/>
  <c r="Q252" i="45" s="1"/>
  <c r="R252" i="45" s="1"/>
  <c r="H252" i="45" s="1"/>
  <c r="D253" i="45"/>
  <c r="Q253" i="45" s="1"/>
  <c r="R253" i="45" s="1"/>
  <c r="H253" i="45" s="1"/>
  <c r="D254" i="45"/>
  <c r="Q254" i="45" s="1"/>
  <c r="R254" i="45" s="1"/>
  <c r="H254" i="45" s="1"/>
  <c r="D255" i="45"/>
  <c r="Q255" i="45" s="1"/>
  <c r="R255" i="45" s="1"/>
  <c r="H255" i="45" s="1"/>
  <c r="D256" i="45"/>
  <c r="Q256" i="45" s="1"/>
  <c r="R256" i="45" s="1"/>
  <c r="H256" i="45" s="1"/>
  <c r="D257" i="45"/>
  <c r="Q257" i="45" s="1"/>
  <c r="R257" i="45" s="1"/>
  <c r="H257" i="45" s="1"/>
  <c r="D258" i="45"/>
  <c r="Q258" i="45" s="1"/>
  <c r="R258" i="45" s="1"/>
  <c r="H258" i="45" s="1"/>
  <c r="D259" i="45"/>
  <c r="Q259" i="45" s="1"/>
  <c r="R259" i="45" s="1"/>
  <c r="H259" i="45" s="1"/>
  <c r="D260" i="45"/>
  <c r="Q260" i="45" s="1"/>
  <c r="R260" i="45" s="1"/>
  <c r="H260" i="45" s="1"/>
  <c r="D261" i="45"/>
  <c r="Q261" i="45" s="1"/>
  <c r="R261" i="45" s="1"/>
  <c r="H261" i="45" s="1"/>
  <c r="D262" i="45"/>
  <c r="Q262" i="45" s="1"/>
  <c r="R262" i="45" s="1"/>
  <c r="H262" i="45" s="1"/>
  <c r="D263" i="45"/>
  <c r="Q263" i="45" s="1"/>
  <c r="R263" i="45" s="1"/>
  <c r="H263" i="45" s="1"/>
  <c r="D264" i="45"/>
  <c r="Q264" i="45" s="1"/>
  <c r="R264" i="45" s="1"/>
  <c r="H264" i="45" s="1"/>
  <c r="D265" i="45"/>
  <c r="Q265" i="45" s="1"/>
  <c r="R265" i="45" s="1"/>
  <c r="H265" i="45" s="1"/>
  <c r="D266" i="45"/>
  <c r="Q266" i="45" s="1"/>
  <c r="R266" i="45" s="1"/>
  <c r="H266" i="45" s="1"/>
  <c r="D267" i="45"/>
  <c r="Q267" i="45" s="1"/>
  <c r="R267" i="45" s="1"/>
  <c r="H267" i="45" s="1"/>
  <c r="D268" i="45"/>
  <c r="Q268" i="45" s="1"/>
  <c r="R268" i="45" s="1"/>
  <c r="H268" i="45" s="1"/>
  <c r="D269" i="45"/>
  <c r="Q269" i="45" s="1"/>
  <c r="R269" i="45" s="1"/>
  <c r="H269" i="45" s="1"/>
  <c r="D270" i="45"/>
  <c r="Q270" i="45" s="1"/>
  <c r="R270" i="45" s="1"/>
  <c r="H270" i="45" s="1"/>
  <c r="D271" i="45"/>
  <c r="Q271" i="45" s="1"/>
  <c r="R271" i="45" s="1"/>
  <c r="H271" i="45" s="1"/>
  <c r="D272" i="45"/>
  <c r="Q272" i="45" s="1"/>
  <c r="R272" i="45" s="1"/>
  <c r="H272" i="45" s="1"/>
  <c r="D273" i="45"/>
  <c r="Q273" i="45" s="1"/>
  <c r="R273" i="45" s="1"/>
  <c r="H273" i="45" s="1"/>
  <c r="D274" i="45"/>
  <c r="Q274" i="45" s="1"/>
  <c r="R274" i="45" s="1"/>
  <c r="H274" i="45" s="1"/>
  <c r="D275" i="45"/>
  <c r="Q275" i="45" s="1"/>
  <c r="R275" i="45" s="1"/>
  <c r="H275" i="45" s="1"/>
  <c r="D276" i="45"/>
  <c r="Q276" i="45" s="1"/>
  <c r="R276" i="45" s="1"/>
  <c r="H276" i="45" s="1"/>
  <c r="D277" i="45"/>
  <c r="Q277" i="45" s="1"/>
  <c r="R277" i="45" s="1"/>
  <c r="H277" i="45" s="1"/>
  <c r="D278" i="45"/>
  <c r="Q278" i="45" s="1"/>
  <c r="R278" i="45" s="1"/>
  <c r="H278" i="45" s="1"/>
  <c r="D279" i="45"/>
  <c r="Q279" i="45" s="1"/>
  <c r="R279" i="45" s="1"/>
  <c r="H279" i="45" s="1"/>
  <c r="D280" i="45"/>
  <c r="Q280" i="45" s="1"/>
  <c r="R280" i="45" s="1"/>
  <c r="H280" i="45" s="1"/>
  <c r="D281" i="45"/>
  <c r="Q281" i="45" s="1"/>
  <c r="R281" i="45" s="1"/>
  <c r="H281" i="45" s="1"/>
  <c r="D282" i="45"/>
  <c r="Q282" i="45" s="1"/>
  <c r="R282" i="45" s="1"/>
  <c r="H282" i="45" s="1"/>
  <c r="D283" i="45"/>
  <c r="Q283" i="45" s="1"/>
  <c r="R283" i="45" s="1"/>
  <c r="H283" i="45" s="1"/>
  <c r="D284" i="45"/>
  <c r="Q284" i="45" s="1"/>
  <c r="R284" i="45" s="1"/>
  <c r="H284" i="45" s="1"/>
  <c r="D285" i="45"/>
  <c r="Q285" i="45" s="1"/>
  <c r="R285" i="45" s="1"/>
  <c r="H285" i="45" s="1"/>
  <c r="D286" i="45"/>
  <c r="Q286" i="45" s="1"/>
  <c r="R286" i="45" s="1"/>
  <c r="H286" i="45" s="1"/>
  <c r="D287" i="45"/>
  <c r="Q287" i="45" s="1"/>
  <c r="R287" i="45" s="1"/>
  <c r="H287" i="45" s="1"/>
  <c r="D288" i="45"/>
  <c r="Q288" i="45" s="1"/>
  <c r="R288" i="45" s="1"/>
  <c r="H288" i="45" s="1"/>
  <c r="D289" i="45"/>
  <c r="Q289" i="45" s="1"/>
  <c r="R289" i="45" s="1"/>
  <c r="H289" i="45" s="1"/>
  <c r="D290" i="45"/>
  <c r="Q290" i="45" s="1"/>
  <c r="R290" i="45" s="1"/>
  <c r="H290" i="45" s="1"/>
  <c r="D291" i="45"/>
  <c r="Q291" i="45" s="1"/>
  <c r="R291" i="45" s="1"/>
  <c r="H291" i="45" s="1"/>
  <c r="D292" i="45"/>
  <c r="Q292" i="45" s="1"/>
  <c r="R292" i="45" s="1"/>
  <c r="H292" i="45" s="1"/>
  <c r="D293" i="45"/>
  <c r="Q293" i="45" s="1"/>
  <c r="R293" i="45" s="1"/>
  <c r="H293" i="45" s="1"/>
  <c r="D294" i="45"/>
  <c r="Q294" i="45" s="1"/>
  <c r="R294" i="45" s="1"/>
  <c r="H294" i="45" s="1"/>
  <c r="D295" i="45"/>
  <c r="Q295" i="45" s="1"/>
  <c r="R295" i="45" s="1"/>
  <c r="H295" i="45" s="1"/>
  <c r="D296" i="45"/>
  <c r="Q296" i="45" s="1"/>
  <c r="R296" i="45" s="1"/>
  <c r="H296" i="45" s="1"/>
  <c r="D297" i="45"/>
  <c r="Q297" i="45" s="1"/>
  <c r="R297" i="45" s="1"/>
  <c r="H297" i="45" s="1"/>
  <c r="D298" i="45"/>
  <c r="Q298" i="45" s="1"/>
  <c r="R298" i="45" s="1"/>
  <c r="H298" i="45" s="1"/>
  <c r="D299" i="45"/>
  <c r="Q299" i="45" s="1"/>
  <c r="R299" i="45" s="1"/>
  <c r="H299" i="45" s="1"/>
  <c r="D300" i="45"/>
  <c r="Q300" i="45" s="1"/>
  <c r="R300" i="45" s="1"/>
  <c r="H300" i="45" s="1"/>
  <c r="D301" i="45"/>
  <c r="Q301" i="45" s="1"/>
  <c r="R301" i="45" s="1"/>
  <c r="H301" i="45" s="1"/>
  <c r="D302" i="45"/>
  <c r="Q302" i="45" s="1"/>
  <c r="R302" i="45" s="1"/>
  <c r="H302" i="45" s="1"/>
  <c r="D303" i="45"/>
  <c r="Q303" i="45" s="1"/>
  <c r="R303" i="45" s="1"/>
  <c r="H303" i="45" s="1"/>
  <c r="D304" i="45"/>
  <c r="Q304" i="45" s="1"/>
  <c r="R304" i="45" s="1"/>
  <c r="H304" i="45" s="1"/>
  <c r="D305" i="45"/>
  <c r="Q305" i="45" s="1"/>
  <c r="R305" i="45" s="1"/>
  <c r="H305" i="45" s="1"/>
  <c r="D306" i="45"/>
  <c r="Q306" i="45" s="1"/>
  <c r="R306" i="45" s="1"/>
  <c r="H306" i="45" s="1"/>
  <c r="D307" i="45"/>
  <c r="Q307" i="45" s="1"/>
  <c r="R307" i="45" s="1"/>
  <c r="H307" i="45" s="1"/>
  <c r="D308" i="45"/>
  <c r="Q308" i="45" s="1"/>
  <c r="R308" i="45" s="1"/>
  <c r="H308" i="45" s="1"/>
  <c r="D309" i="45"/>
  <c r="Q309" i="45" s="1"/>
  <c r="R309" i="45" s="1"/>
  <c r="H309" i="45" s="1"/>
  <c r="D310" i="45"/>
  <c r="Q310" i="45" s="1"/>
  <c r="R310" i="45" s="1"/>
  <c r="H310" i="45" s="1"/>
  <c r="D311" i="45"/>
  <c r="Q311" i="45" s="1"/>
  <c r="R311" i="45" s="1"/>
  <c r="H311" i="45" s="1"/>
  <c r="D312" i="45"/>
  <c r="Q312" i="45" s="1"/>
  <c r="R312" i="45" s="1"/>
  <c r="H312" i="45" s="1"/>
  <c r="D313" i="45"/>
  <c r="Q313" i="45" s="1"/>
  <c r="R313" i="45" s="1"/>
  <c r="H313" i="45" s="1"/>
  <c r="D314" i="45"/>
  <c r="Q314" i="45" s="1"/>
  <c r="R314" i="45" s="1"/>
  <c r="H314" i="45" s="1"/>
  <c r="D4" i="45"/>
  <c r="Q4" i="45" s="1"/>
  <c r="R4" i="45" s="1"/>
  <c r="H4" i="45" s="1"/>
  <c r="AD49" i="44" l="1"/>
  <c r="AD17" i="44"/>
  <c r="AD33" i="44"/>
  <c r="K197" i="46"/>
  <c r="AD41" i="44"/>
  <c r="AD9" i="44"/>
  <c r="AD25" i="44"/>
  <c r="AC297" i="44"/>
  <c r="AC281" i="44"/>
  <c r="AC273" i="44"/>
  <c r="AC265" i="44"/>
  <c r="AC257" i="44"/>
  <c r="AC249" i="44"/>
  <c r="AC241" i="44"/>
  <c r="AC233" i="44"/>
  <c r="AC225" i="44"/>
  <c r="AC217" i="44"/>
  <c r="AC209" i="44"/>
  <c r="AC201" i="44"/>
  <c r="AC193" i="44"/>
  <c r="AC185" i="44"/>
  <c r="AC177" i="44"/>
  <c r="AC169" i="44"/>
  <c r="AC161" i="44"/>
  <c r="AC153" i="44"/>
  <c r="AC145" i="44"/>
  <c r="AC137" i="44"/>
  <c r="AC129" i="44"/>
  <c r="AC121" i="44"/>
  <c r="AC113" i="44"/>
  <c r="AC105" i="44"/>
  <c r="AC97" i="44"/>
  <c r="AC89" i="44"/>
  <c r="AC81" i="44"/>
  <c r="AC73" i="44"/>
  <c r="AC65" i="44"/>
  <c r="AC57" i="44"/>
  <c r="K24" i="46"/>
  <c r="AC293" i="44"/>
  <c r="AD277" i="44"/>
  <c r="AD269" i="44"/>
  <c r="AD261" i="44"/>
  <c r="AD253" i="44"/>
  <c r="AD245" i="44"/>
  <c r="AD237" i="44"/>
  <c r="AD229" i="44"/>
  <c r="AD221" i="44"/>
  <c r="AD213" i="44"/>
  <c r="AD205" i="44"/>
  <c r="AD197" i="44"/>
  <c r="AD189" i="44"/>
  <c r="AD181" i="44"/>
  <c r="AD173" i="44"/>
  <c r="AD165" i="44"/>
  <c r="AD157" i="44"/>
  <c r="AD149" i="44"/>
  <c r="AD141" i="44"/>
  <c r="AD133" i="44"/>
  <c r="AD125" i="44"/>
  <c r="AD117" i="44"/>
  <c r="AD109" i="44"/>
  <c r="AD101" i="44"/>
  <c r="AD93" i="44"/>
  <c r="AD85" i="44"/>
  <c r="AD77" i="44"/>
  <c r="AD69" i="44"/>
  <c r="AD61" i="44"/>
  <c r="AD53" i="44"/>
  <c r="AD45" i="44"/>
  <c r="AD37" i="44"/>
  <c r="AD29" i="44"/>
  <c r="AD21" i="44"/>
  <c r="AD13" i="44"/>
  <c r="AD5" i="44"/>
  <c r="AC305" i="44"/>
  <c r="AC289" i="44"/>
  <c r="AC301" i="44"/>
  <c r="AC285" i="44"/>
  <c r="U90" i="43"/>
  <c r="U160" i="43"/>
  <c r="AD4" i="44"/>
  <c r="AC313" i="44"/>
  <c r="AC311" i="44"/>
  <c r="AC309" i="44"/>
  <c r="AC307" i="44"/>
  <c r="AC303" i="44"/>
  <c r="AC299" i="44"/>
  <c r="AC295" i="44"/>
  <c r="AC291" i="44"/>
  <c r="AC287" i="44"/>
  <c r="AC283" i="44"/>
  <c r="AC279" i="44"/>
  <c r="AC275" i="44"/>
  <c r="AC271" i="44"/>
  <c r="AC267" i="44"/>
  <c r="AC263" i="44"/>
  <c r="AC259" i="44"/>
  <c r="AC255" i="44"/>
  <c r="AC251" i="44"/>
  <c r="AC247" i="44"/>
  <c r="AC243" i="44"/>
  <c r="AC239" i="44"/>
  <c r="AC235" i="44"/>
  <c r="AC231" i="44"/>
  <c r="AC227" i="44"/>
  <c r="AC223" i="44"/>
  <c r="AC219" i="44"/>
  <c r="AC215" i="44"/>
  <c r="AC211" i="44"/>
  <c r="AC207" i="44"/>
  <c r="AC203" i="44"/>
  <c r="AC199" i="44"/>
  <c r="AC195" i="44"/>
  <c r="AC191" i="44"/>
  <c r="AC187" i="44"/>
  <c r="AC183" i="44"/>
  <c r="AC179" i="44"/>
  <c r="AC175" i="44"/>
  <c r="AC171" i="44"/>
  <c r="AC167" i="44"/>
  <c r="AC163" i="44"/>
  <c r="AC159" i="44"/>
  <c r="AC155" i="44"/>
  <c r="AC151" i="44"/>
  <c r="AC147" i="44"/>
  <c r="AC143" i="44"/>
  <c r="AC139" i="44"/>
  <c r="AC135" i="44"/>
  <c r="AC131" i="44"/>
  <c r="AC127" i="44"/>
  <c r="AC123" i="44"/>
  <c r="AC119" i="44"/>
  <c r="AC115" i="44"/>
  <c r="AC111" i="44"/>
  <c r="AC107" i="44"/>
  <c r="AC103" i="44"/>
  <c r="AC99" i="44"/>
  <c r="AC95" i="44"/>
  <c r="AC91" i="44"/>
  <c r="AC87" i="44"/>
  <c r="AC83" i="44"/>
  <c r="AC79" i="44"/>
  <c r="AC75" i="44"/>
  <c r="AC71" i="44"/>
  <c r="AC67" i="44"/>
  <c r="AC63" i="44"/>
  <c r="AC59" i="44"/>
  <c r="AC55" i="44"/>
  <c r="AC51" i="44"/>
  <c r="AC47" i="44"/>
  <c r="AC43" i="44"/>
  <c r="AC39" i="44"/>
  <c r="AC35" i="44"/>
  <c r="AC31" i="44"/>
  <c r="AC27" i="44"/>
  <c r="AC23" i="44"/>
  <c r="AC19" i="44"/>
  <c r="AC15" i="44"/>
  <c r="AC11" i="44"/>
  <c r="AC7" i="44"/>
  <c r="M244" i="43"/>
  <c r="T244" i="43" s="1"/>
  <c r="O244" i="48"/>
  <c r="M307" i="43"/>
  <c r="T307" i="43" s="1"/>
  <c r="O307" i="48"/>
  <c r="M134" i="43"/>
  <c r="T134" i="43" s="1"/>
  <c r="O134" i="48"/>
  <c r="M40" i="43"/>
  <c r="T40" i="43" s="1"/>
  <c r="O40" i="48"/>
  <c r="M176" i="43"/>
  <c r="T176" i="43" s="1"/>
  <c r="O176" i="48"/>
  <c r="M288" i="43"/>
  <c r="T288" i="43" s="1"/>
  <c r="O288" i="48"/>
  <c r="M314" i="43"/>
  <c r="T314" i="43" s="1"/>
  <c r="O314" i="48"/>
  <c r="M32" i="43"/>
  <c r="T32" i="43" s="1"/>
  <c r="O32" i="48"/>
  <c r="M256" i="43"/>
  <c r="T256" i="43" s="1"/>
  <c r="O256" i="48"/>
  <c r="M90" i="43"/>
  <c r="T90" i="43" s="1"/>
  <c r="O90" i="48"/>
  <c r="M123" i="43"/>
  <c r="T123" i="43" s="1"/>
  <c r="O123" i="48"/>
  <c r="M160" i="43"/>
  <c r="T160" i="43" s="1"/>
  <c r="O160" i="48"/>
  <c r="M293" i="43"/>
  <c r="T293" i="43" s="1"/>
  <c r="O293" i="48"/>
  <c r="M148" i="43"/>
  <c r="T148" i="43" s="1"/>
  <c r="O148" i="48"/>
  <c r="M136" i="43"/>
  <c r="T136" i="43" s="1"/>
  <c r="O136" i="48"/>
  <c r="M209" i="43"/>
  <c r="T209" i="43" s="1"/>
  <c r="O209" i="48"/>
  <c r="M236" i="43"/>
  <c r="T236" i="43" s="1"/>
  <c r="O236" i="48"/>
  <c r="M283" i="43"/>
  <c r="T283" i="43" s="1"/>
  <c r="O283" i="48"/>
  <c r="M245" i="43"/>
  <c r="T245" i="43" s="1"/>
  <c r="O245" i="48"/>
  <c r="M12" i="43"/>
  <c r="T12" i="43" s="1"/>
  <c r="O12" i="48"/>
  <c r="M261" i="43"/>
  <c r="T261" i="43" s="1"/>
  <c r="O261" i="48"/>
  <c r="M215" i="43"/>
  <c r="T215" i="43" s="1"/>
  <c r="O215" i="48"/>
  <c r="AD314" i="44"/>
  <c r="AD312" i="44"/>
  <c r="AD310" i="44"/>
  <c r="AD308" i="44"/>
  <c r="AD306" i="44"/>
  <c r="AD304" i="44"/>
  <c r="AD302" i="44"/>
  <c r="AD300" i="44"/>
  <c r="AD298" i="44"/>
  <c r="AD296" i="44"/>
  <c r="AD294" i="44"/>
  <c r="AD292" i="44"/>
  <c r="AD290" i="44"/>
  <c r="AD288" i="44"/>
  <c r="AD286" i="44"/>
  <c r="AD284" i="44"/>
  <c r="AD282" i="44"/>
  <c r="AD280" i="44"/>
  <c r="AD278" i="44"/>
  <c r="AD276" i="44"/>
  <c r="AD274" i="44"/>
  <c r="AD272" i="44"/>
  <c r="AD270" i="44"/>
  <c r="AD268" i="44"/>
  <c r="AD266" i="44"/>
  <c r="AD264" i="44"/>
  <c r="AD262" i="44"/>
  <c r="AD260" i="44"/>
  <c r="AD258" i="44"/>
  <c r="AD256" i="44"/>
  <c r="AD254" i="44"/>
  <c r="AD252" i="44"/>
  <c r="AD250" i="44"/>
  <c r="AD248" i="44"/>
  <c r="AD246" i="44"/>
  <c r="AD244" i="44"/>
  <c r="AD242" i="44"/>
  <c r="AD240" i="44"/>
  <c r="AD238" i="44"/>
  <c r="AD236" i="44"/>
  <c r="AD234" i="44"/>
  <c r="AD232" i="44"/>
  <c r="AD230" i="44"/>
  <c r="AD228" i="44"/>
  <c r="AD226" i="44"/>
  <c r="AD224" i="44"/>
  <c r="AD222" i="44"/>
  <c r="AD220" i="44"/>
  <c r="AD218" i="44"/>
  <c r="AD216" i="44"/>
  <c r="AD214" i="44"/>
  <c r="AD212" i="44"/>
  <c r="AD210" i="44"/>
  <c r="AD208" i="44"/>
  <c r="AD206" i="44"/>
  <c r="AD204" i="44"/>
  <c r="AD202" i="44"/>
  <c r="AD200" i="44"/>
  <c r="AD198" i="44"/>
  <c r="AD196" i="44"/>
  <c r="AD194" i="44"/>
  <c r="AD192" i="44"/>
  <c r="AD190" i="44"/>
  <c r="AD188" i="44"/>
  <c r="AD186" i="44"/>
  <c r="AD184" i="44"/>
  <c r="AD182" i="44"/>
  <c r="AD180" i="44"/>
  <c r="AD178" i="44"/>
  <c r="AD176" i="44"/>
  <c r="AD174" i="44"/>
  <c r="AD172" i="44"/>
  <c r="AD170" i="44"/>
  <c r="AD168" i="44"/>
  <c r="AD166" i="44"/>
  <c r="AD164" i="44"/>
  <c r="AD162" i="44"/>
  <c r="AD160" i="44"/>
  <c r="AD158" i="44"/>
  <c r="AD156" i="44"/>
  <c r="AD154" i="44"/>
  <c r="AD152" i="44"/>
  <c r="AD150" i="44"/>
  <c r="AD148" i="44"/>
  <c r="AD146" i="44"/>
  <c r="AD144" i="44"/>
  <c r="AD142" i="44"/>
  <c r="AD140" i="44"/>
  <c r="AD138" i="44"/>
  <c r="AD136" i="44"/>
  <c r="AD134" i="44"/>
  <c r="AD132" i="44"/>
  <c r="AD130" i="44"/>
  <c r="AD128" i="44"/>
  <c r="AD126" i="44"/>
  <c r="AD124" i="44"/>
  <c r="AD122" i="44"/>
  <c r="AD120" i="44"/>
  <c r="AD118" i="44"/>
  <c r="AD116" i="44"/>
  <c r="AD114" i="44"/>
  <c r="AD112" i="44"/>
  <c r="AD110" i="44"/>
  <c r="AD108" i="44"/>
  <c r="AD106" i="44"/>
  <c r="AD104" i="44"/>
  <c r="AD102" i="44"/>
  <c r="AD100" i="44"/>
  <c r="AD98" i="44"/>
  <c r="AD96" i="44"/>
  <c r="AD94" i="44"/>
  <c r="AD92" i="44"/>
  <c r="AD90" i="44"/>
  <c r="AD88" i="44"/>
  <c r="AD86" i="44"/>
  <c r="AD84" i="44"/>
  <c r="AD82" i="44"/>
  <c r="AD80" i="44"/>
  <c r="AD78" i="44"/>
  <c r="AD76" i="44"/>
  <c r="AD74" i="44"/>
  <c r="AD72" i="44"/>
  <c r="AD70" i="44"/>
  <c r="AD68" i="44"/>
  <c r="AD66" i="44"/>
  <c r="AD64" i="44"/>
  <c r="AD62" i="44"/>
  <c r="AD60" i="44"/>
  <c r="AD58" i="44"/>
  <c r="AD56" i="44"/>
  <c r="AD54" i="44"/>
  <c r="AD52" i="44"/>
  <c r="AD50" i="44"/>
  <c r="AD48" i="44"/>
  <c r="AD46" i="44"/>
  <c r="AD44" i="44"/>
  <c r="AD42" i="44"/>
  <c r="AD40" i="44"/>
  <c r="AD38" i="44"/>
  <c r="AD36" i="44"/>
  <c r="AD34" i="44"/>
  <c r="AD32" i="44"/>
  <c r="AD30" i="44"/>
  <c r="AD28" i="44"/>
  <c r="AD26" i="44"/>
  <c r="AD24" i="44"/>
  <c r="AD22" i="44"/>
  <c r="AD20" i="44"/>
  <c r="AD18" i="44"/>
  <c r="AD16" i="44"/>
  <c r="AD14" i="44"/>
  <c r="AD12" i="44"/>
  <c r="AD10" i="44"/>
  <c r="AD8" i="44"/>
  <c r="AD6" i="44"/>
  <c r="M64" i="43"/>
  <c r="T64" i="43" s="1"/>
  <c r="O64" i="48"/>
  <c r="M295" i="43"/>
  <c r="T295" i="43" s="1"/>
  <c r="O295" i="48"/>
  <c r="M196" i="43"/>
  <c r="T196" i="43" s="1"/>
  <c r="O196" i="48"/>
  <c r="M84" i="43"/>
  <c r="T84" i="43" s="1"/>
  <c r="O84" i="48"/>
  <c r="M88" i="43"/>
  <c r="T88" i="43" s="1"/>
  <c r="O88" i="48"/>
  <c r="M312" i="43"/>
  <c r="T312" i="43" s="1"/>
  <c r="O312" i="48"/>
  <c r="M56" i="43"/>
  <c r="T56" i="43" s="1"/>
  <c r="O56" i="48"/>
  <c r="M208" i="43"/>
  <c r="T208" i="43" s="1"/>
  <c r="O208" i="48"/>
  <c r="M100" i="43"/>
  <c r="T100" i="43" s="1"/>
  <c r="O100" i="48"/>
  <c r="M59" i="43"/>
  <c r="T59" i="43" s="1"/>
  <c r="O59" i="48"/>
  <c r="M137" i="43"/>
  <c r="T137" i="43" s="1"/>
  <c r="O137" i="48"/>
  <c r="M83" i="43"/>
  <c r="T83" i="43" s="1"/>
  <c r="O83" i="48"/>
  <c r="M20" i="43"/>
  <c r="T20" i="43" s="1"/>
  <c r="O20" i="48"/>
  <c r="M291" i="43"/>
  <c r="T291" i="43" s="1"/>
  <c r="O291" i="48"/>
  <c r="M224" i="43"/>
  <c r="T224" i="43" s="1"/>
  <c r="O224" i="48"/>
  <c r="M290" i="43"/>
  <c r="T290" i="43" s="1"/>
  <c r="O290" i="48"/>
  <c r="M279" i="43"/>
  <c r="T279" i="43" s="1"/>
  <c r="O279" i="48"/>
  <c r="M124" i="43"/>
  <c r="T124" i="43" s="1"/>
  <c r="O124" i="48"/>
  <c r="M192" i="43"/>
  <c r="T192" i="43" s="1"/>
  <c r="O192" i="48"/>
  <c r="M303" i="43"/>
  <c r="T303" i="43" s="1"/>
  <c r="O303" i="48"/>
  <c r="M201" i="43"/>
  <c r="T201" i="43" s="1"/>
  <c r="O201" i="48"/>
  <c r="M6" i="43"/>
  <c r="T6" i="43" s="1"/>
  <c r="O6" i="48"/>
  <c r="U197" i="43"/>
  <c r="U313" i="43"/>
  <c r="U75" i="43"/>
  <c r="U182" i="43"/>
  <c r="U108" i="43"/>
  <c r="U296" i="43"/>
  <c r="U210" i="43"/>
  <c r="U123" i="43"/>
  <c r="U246" i="43"/>
  <c r="K94" i="46"/>
  <c r="K190" i="46"/>
  <c r="M132" i="43"/>
  <c r="T132" i="43" s="1"/>
  <c r="O132" i="48"/>
  <c r="M138" i="43"/>
  <c r="T138" i="43" s="1"/>
  <c r="O138" i="48"/>
  <c r="M272" i="43"/>
  <c r="T272" i="43" s="1"/>
  <c r="O272" i="48"/>
  <c r="M24" i="43"/>
  <c r="T24" i="43" s="1"/>
  <c r="O24" i="48"/>
  <c r="M16" i="43"/>
  <c r="T16" i="43" s="1"/>
  <c r="O16" i="48"/>
  <c r="M152" i="43"/>
  <c r="T152" i="43" s="1"/>
  <c r="O152" i="48"/>
  <c r="M200" i="43"/>
  <c r="T200" i="43" s="1"/>
  <c r="O200" i="48"/>
  <c r="M48" i="43"/>
  <c r="T48" i="43" s="1"/>
  <c r="O48" i="48"/>
  <c r="M296" i="43"/>
  <c r="T296" i="43" s="1"/>
  <c r="O296" i="48"/>
  <c r="M210" i="43"/>
  <c r="T210" i="43" s="1"/>
  <c r="O210" i="48"/>
  <c r="M246" i="43"/>
  <c r="T246" i="43" s="1"/>
  <c r="O246" i="48"/>
  <c r="M298" i="43"/>
  <c r="T298" i="43" s="1"/>
  <c r="O298" i="48"/>
  <c r="M204" i="43"/>
  <c r="T204" i="43" s="1"/>
  <c r="O204" i="48"/>
  <c r="M72" i="43"/>
  <c r="T72" i="43" s="1"/>
  <c r="O72" i="48"/>
  <c r="M240" i="43"/>
  <c r="T240" i="43" s="1"/>
  <c r="O240" i="48"/>
  <c r="M159" i="43"/>
  <c r="T159" i="43" s="1"/>
  <c r="O159" i="48"/>
  <c r="M302" i="43"/>
  <c r="T302" i="43" s="1"/>
  <c r="O302" i="48"/>
  <c r="M109" i="43"/>
  <c r="T109" i="43" s="1"/>
  <c r="O109" i="48"/>
  <c r="M249" i="43"/>
  <c r="T249" i="43" s="1"/>
  <c r="O249" i="48"/>
  <c r="M285" i="43"/>
  <c r="T285" i="43" s="1"/>
  <c r="O285" i="48"/>
  <c r="M143" i="43"/>
  <c r="T143" i="43" s="1"/>
  <c r="O143" i="48"/>
  <c r="U138" i="43"/>
  <c r="U129" i="43"/>
  <c r="U17" i="43"/>
  <c r="U137" i="43"/>
  <c r="M112" i="43"/>
  <c r="T112" i="43" s="1"/>
  <c r="O112" i="48"/>
  <c r="M52" i="43"/>
  <c r="T52" i="43" s="1"/>
  <c r="O52" i="48"/>
  <c r="M129" i="43"/>
  <c r="T129" i="43" s="1"/>
  <c r="O129" i="48"/>
  <c r="M60" i="43"/>
  <c r="T60" i="43" s="1"/>
  <c r="O60" i="48"/>
  <c r="M120" i="43"/>
  <c r="T120" i="43" s="1"/>
  <c r="O120" i="48"/>
  <c r="M184" i="43"/>
  <c r="T184" i="43" s="1"/>
  <c r="O184" i="48"/>
  <c r="M68" i="43"/>
  <c r="T68" i="43" s="1"/>
  <c r="O68" i="48"/>
  <c r="M28" i="43"/>
  <c r="T28" i="43" s="1"/>
  <c r="O28" i="48"/>
  <c r="M287" i="43"/>
  <c r="T287" i="43" s="1"/>
  <c r="O287" i="48"/>
  <c r="M17" i="43"/>
  <c r="T17" i="43" s="1"/>
  <c r="O17" i="48"/>
  <c r="M47" i="43"/>
  <c r="T47" i="43" s="1"/>
  <c r="O47" i="48"/>
  <c r="M80" i="43"/>
  <c r="T80" i="43" s="1"/>
  <c r="O80" i="48"/>
  <c r="M228" i="43"/>
  <c r="T228" i="43" s="1"/>
  <c r="O228" i="48"/>
  <c r="M96" i="43"/>
  <c r="T96" i="43" s="1"/>
  <c r="O96" i="48"/>
  <c r="M248" i="43"/>
  <c r="T248" i="43" s="1"/>
  <c r="O248" i="48"/>
  <c r="M252" i="43"/>
  <c r="T252" i="43" s="1"/>
  <c r="O252" i="48"/>
  <c r="M185" i="43"/>
  <c r="T185" i="43" s="1"/>
  <c r="O185" i="48"/>
  <c r="M183" i="43"/>
  <c r="T183" i="43" s="1"/>
  <c r="O183" i="48"/>
  <c r="M311" i="43"/>
  <c r="T311" i="43" s="1"/>
  <c r="O311" i="48"/>
  <c r="M115" i="43"/>
  <c r="T115" i="43" s="1"/>
  <c r="O115" i="48"/>
  <c r="M275" i="43"/>
  <c r="T275" i="43" s="1"/>
  <c r="O275" i="48"/>
  <c r="M284" i="43"/>
  <c r="T284" i="43" s="1"/>
  <c r="O284" i="48"/>
  <c r="S296" i="48"/>
  <c r="S210" i="48"/>
  <c r="S123" i="48"/>
  <c r="S246" i="48"/>
  <c r="S222" i="48"/>
  <c r="S76" i="48"/>
  <c r="S134" i="48"/>
  <c r="S59" i="48"/>
  <c r="S47" i="48"/>
  <c r="S80" i="48"/>
  <c r="S83" i="48"/>
  <c r="S313" i="48"/>
  <c r="S182" i="48"/>
  <c r="S108" i="48"/>
  <c r="S17" i="48"/>
  <c r="S137" i="48"/>
  <c r="S138" i="48"/>
  <c r="S129" i="48"/>
  <c r="S160" i="48"/>
  <c r="S197" i="48"/>
  <c r="S75" i="48"/>
  <c r="S90" i="48"/>
  <c r="S181" i="48"/>
  <c r="Q156" i="48"/>
  <c r="R156" i="48" s="1"/>
  <c r="N156" i="43" s="1"/>
  <c r="P156" i="48"/>
  <c r="G156" i="43" s="1"/>
  <c r="Q278" i="48"/>
  <c r="R278" i="48" s="1"/>
  <c r="N278" i="43" s="1"/>
  <c r="P278" i="48"/>
  <c r="G278" i="43" s="1"/>
  <c r="Q96" i="48"/>
  <c r="R96" i="48" s="1"/>
  <c r="N96" i="43" s="1"/>
  <c r="P96" i="48"/>
  <c r="G96" i="43" s="1"/>
  <c r="Q216" i="48"/>
  <c r="R216" i="48" s="1"/>
  <c r="N216" i="43" s="1"/>
  <c r="P216" i="48"/>
  <c r="G216" i="43" s="1"/>
  <c r="Q297" i="48"/>
  <c r="R297" i="48" s="1"/>
  <c r="N297" i="43" s="1"/>
  <c r="P297" i="48"/>
  <c r="G297" i="43" s="1"/>
  <c r="N289" i="48"/>
  <c r="N197" i="48"/>
  <c r="N313" i="48"/>
  <c r="N75" i="48"/>
  <c r="N182" i="48"/>
  <c r="N108" i="48"/>
  <c r="N21" i="48"/>
  <c r="N309" i="48"/>
  <c r="N300" i="48"/>
  <c r="N304" i="48"/>
  <c r="N310" i="48"/>
  <c r="N305" i="48"/>
  <c r="N181" i="48"/>
  <c r="N222" i="48"/>
  <c r="N76" i="48"/>
  <c r="N274" i="48"/>
  <c r="N180" i="48"/>
  <c r="N294" i="48"/>
  <c r="N140" i="48"/>
  <c r="N216" i="48"/>
  <c r="N297" i="48"/>
  <c r="N168" i="48"/>
  <c r="N278" i="48"/>
  <c r="K312" i="46"/>
  <c r="K86" i="46"/>
  <c r="K69" i="46"/>
  <c r="S6" i="43"/>
  <c r="S312" i="43"/>
  <c r="K284" i="46"/>
  <c r="K121" i="46"/>
  <c r="K6" i="46"/>
  <c r="K301" i="46"/>
  <c r="K58" i="46"/>
  <c r="S125" i="43"/>
  <c r="S78" i="43"/>
  <c r="S266" i="43"/>
  <c r="K125" i="46"/>
  <c r="K266" i="46"/>
  <c r="K159" i="46"/>
  <c r="K110" i="46"/>
  <c r="K50" i="46"/>
  <c r="K8" i="46"/>
  <c r="S110" i="43"/>
  <c r="S100" i="43"/>
  <c r="K90" i="46"/>
  <c r="K100" i="46"/>
  <c r="K78" i="46"/>
  <c r="S280" i="43"/>
  <c r="K280" i="46"/>
  <c r="S192" i="43"/>
  <c r="S69" i="43"/>
  <c r="K192" i="46"/>
  <c r="S105" i="43"/>
  <c r="K106" i="46"/>
  <c r="K10" i="46"/>
  <c r="K105" i="46"/>
  <c r="K126" i="46"/>
  <c r="K34" i="46"/>
  <c r="K102" i="46"/>
  <c r="K261" i="46"/>
  <c r="J118" i="46"/>
  <c r="L118" i="43" s="1"/>
  <c r="I118" i="46"/>
  <c r="E118" i="43" s="1"/>
  <c r="I213" i="46"/>
  <c r="E213" i="43" s="1"/>
  <c r="J213" i="46"/>
  <c r="L213" i="43" s="1"/>
  <c r="I4" i="45"/>
  <c r="J4" i="45" s="1"/>
  <c r="D4" i="43" s="1"/>
  <c r="I313" i="45"/>
  <c r="J313" i="45" s="1"/>
  <c r="D313" i="43" s="1"/>
  <c r="I309" i="45"/>
  <c r="J309" i="45" s="1"/>
  <c r="D309" i="43" s="1"/>
  <c r="I305" i="45"/>
  <c r="J305" i="45" s="1"/>
  <c r="D305" i="43" s="1"/>
  <c r="I301" i="45"/>
  <c r="J301" i="45" s="1"/>
  <c r="D301" i="43" s="1"/>
  <c r="I297" i="45"/>
  <c r="J297" i="45" s="1"/>
  <c r="D297" i="43" s="1"/>
  <c r="I293" i="45"/>
  <c r="J293" i="45" s="1"/>
  <c r="D293" i="43" s="1"/>
  <c r="I289" i="45"/>
  <c r="J289" i="45" s="1"/>
  <c r="D289" i="43" s="1"/>
  <c r="I285" i="45"/>
  <c r="J285" i="45" s="1"/>
  <c r="D285" i="43" s="1"/>
  <c r="I281" i="45"/>
  <c r="J281" i="45" s="1"/>
  <c r="D281" i="43" s="1"/>
  <c r="I277" i="45"/>
  <c r="J277" i="45" s="1"/>
  <c r="D277" i="43" s="1"/>
  <c r="I273" i="45"/>
  <c r="J273" i="45" s="1"/>
  <c r="D273" i="43" s="1"/>
  <c r="I269" i="45"/>
  <c r="J269" i="45" s="1"/>
  <c r="D269" i="43" s="1"/>
  <c r="I265" i="45"/>
  <c r="J265" i="45" s="1"/>
  <c r="D265" i="43" s="1"/>
  <c r="I261" i="45"/>
  <c r="J261" i="45" s="1"/>
  <c r="D261" i="43" s="1"/>
  <c r="I257" i="45"/>
  <c r="J257" i="45" s="1"/>
  <c r="D257" i="43" s="1"/>
  <c r="I253" i="45"/>
  <c r="J253" i="45" s="1"/>
  <c r="D253" i="43" s="1"/>
  <c r="I249" i="45"/>
  <c r="J249" i="45" s="1"/>
  <c r="D249" i="43" s="1"/>
  <c r="I245" i="45"/>
  <c r="J245" i="45" s="1"/>
  <c r="D245" i="43" s="1"/>
  <c r="I241" i="45"/>
  <c r="J241" i="45" s="1"/>
  <c r="D241" i="43" s="1"/>
  <c r="I237" i="45"/>
  <c r="J237" i="45" s="1"/>
  <c r="D237" i="43" s="1"/>
  <c r="I233" i="45"/>
  <c r="J233" i="45" s="1"/>
  <c r="D233" i="43" s="1"/>
  <c r="I229" i="45"/>
  <c r="J229" i="45" s="1"/>
  <c r="D229" i="43" s="1"/>
  <c r="I225" i="45"/>
  <c r="J225" i="45" s="1"/>
  <c r="D225" i="43" s="1"/>
  <c r="I221" i="45"/>
  <c r="J221" i="45" s="1"/>
  <c r="D221" i="43" s="1"/>
  <c r="I217" i="45"/>
  <c r="J217" i="45" s="1"/>
  <c r="D217" i="43" s="1"/>
  <c r="I213" i="45"/>
  <c r="J213" i="45" s="1"/>
  <c r="D213" i="43" s="1"/>
  <c r="I209" i="45"/>
  <c r="J209" i="45" s="1"/>
  <c r="D209" i="43" s="1"/>
  <c r="I205" i="45"/>
  <c r="J205" i="45" s="1"/>
  <c r="D205" i="43" s="1"/>
  <c r="I201" i="45"/>
  <c r="J201" i="45" s="1"/>
  <c r="D201" i="43" s="1"/>
  <c r="I197" i="45"/>
  <c r="J197" i="45" s="1"/>
  <c r="D197" i="43" s="1"/>
  <c r="I193" i="45"/>
  <c r="J193" i="45" s="1"/>
  <c r="D193" i="43" s="1"/>
  <c r="I189" i="45"/>
  <c r="J189" i="45" s="1"/>
  <c r="D189" i="43" s="1"/>
  <c r="I185" i="45"/>
  <c r="J185" i="45" s="1"/>
  <c r="D185" i="43" s="1"/>
  <c r="I181" i="45"/>
  <c r="J181" i="45" s="1"/>
  <c r="D181" i="43" s="1"/>
  <c r="I177" i="45"/>
  <c r="J177" i="45" s="1"/>
  <c r="D177" i="43" s="1"/>
  <c r="I173" i="45"/>
  <c r="J173" i="45" s="1"/>
  <c r="D173" i="43" s="1"/>
  <c r="I169" i="45"/>
  <c r="J169" i="45" s="1"/>
  <c r="D169" i="43" s="1"/>
  <c r="I165" i="45"/>
  <c r="J165" i="45" s="1"/>
  <c r="D165" i="43" s="1"/>
  <c r="I161" i="45"/>
  <c r="J161" i="45" s="1"/>
  <c r="D161" i="43" s="1"/>
  <c r="I157" i="45"/>
  <c r="J157" i="45" s="1"/>
  <c r="D157" i="43" s="1"/>
  <c r="I153" i="45"/>
  <c r="J153" i="45" s="1"/>
  <c r="D153" i="43" s="1"/>
  <c r="I149" i="45"/>
  <c r="J149" i="45" s="1"/>
  <c r="D149" i="43" s="1"/>
  <c r="I145" i="45"/>
  <c r="J145" i="45" s="1"/>
  <c r="D145" i="43" s="1"/>
  <c r="I141" i="45"/>
  <c r="J141" i="45" s="1"/>
  <c r="D141" i="43" s="1"/>
  <c r="I137" i="45"/>
  <c r="J137" i="45" s="1"/>
  <c r="D137" i="43" s="1"/>
  <c r="I133" i="45"/>
  <c r="J133" i="45" s="1"/>
  <c r="D133" i="43" s="1"/>
  <c r="I129" i="45"/>
  <c r="J129" i="45" s="1"/>
  <c r="D129" i="43" s="1"/>
  <c r="I125" i="45"/>
  <c r="J125" i="45" s="1"/>
  <c r="D125" i="43" s="1"/>
  <c r="I121" i="45"/>
  <c r="J121" i="45" s="1"/>
  <c r="D121" i="43" s="1"/>
  <c r="I117" i="45"/>
  <c r="J117" i="45" s="1"/>
  <c r="D117" i="43" s="1"/>
  <c r="I113" i="45"/>
  <c r="J113" i="45" s="1"/>
  <c r="D113" i="43" s="1"/>
  <c r="I109" i="45"/>
  <c r="J109" i="45" s="1"/>
  <c r="D109" i="43" s="1"/>
  <c r="I105" i="45"/>
  <c r="J105" i="45" s="1"/>
  <c r="D105" i="43" s="1"/>
  <c r="I101" i="45"/>
  <c r="J101" i="45" s="1"/>
  <c r="D101" i="43" s="1"/>
  <c r="I97" i="45"/>
  <c r="J97" i="45" s="1"/>
  <c r="D97" i="43" s="1"/>
  <c r="I93" i="45"/>
  <c r="J93" i="45" s="1"/>
  <c r="D93" i="43" s="1"/>
  <c r="I89" i="45"/>
  <c r="J89" i="45" s="1"/>
  <c r="D89" i="43" s="1"/>
  <c r="I85" i="45"/>
  <c r="J85" i="45" s="1"/>
  <c r="D85" i="43" s="1"/>
  <c r="I81" i="45"/>
  <c r="J81" i="45" s="1"/>
  <c r="D81" i="43" s="1"/>
  <c r="I77" i="45"/>
  <c r="J77" i="45" s="1"/>
  <c r="D77" i="43" s="1"/>
  <c r="I73" i="45"/>
  <c r="J73" i="45" s="1"/>
  <c r="D73" i="43" s="1"/>
  <c r="I69" i="45"/>
  <c r="J69" i="45" s="1"/>
  <c r="D69" i="43" s="1"/>
  <c r="I65" i="45"/>
  <c r="J65" i="45" s="1"/>
  <c r="D65" i="43" s="1"/>
  <c r="I61" i="45"/>
  <c r="J61" i="45" s="1"/>
  <c r="D61" i="43" s="1"/>
  <c r="I57" i="45"/>
  <c r="J57" i="45" s="1"/>
  <c r="D57" i="43" s="1"/>
  <c r="I53" i="45"/>
  <c r="J53" i="45" s="1"/>
  <c r="D53" i="43" s="1"/>
  <c r="I49" i="45"/>
  <c r="J49" i="45" s="1"/>
  <c r="D49" i="43" s="1"/>
  <c r="I45" i="45"/>
  <c r="J45" i="45" s="1"/>
  <c r="D45" i="43" s="1"/>
  <c r="I41" i="45"/>
  <c r="J41" i="45" s="1"/>
  <c r="D41" i="43" s="1"/>
  <c r="I37" i="45"/>
  <c r="J37" i="45" s="1"/>
  <c r="D37" i="43" s="1"/>
  <c r="I33" i="45"/>
  <c r="J33" i="45" s="1"/>
  <c r="D33" i="43" s="1"/>
  <c r="I29" i="45"/>
  <c r="J29" i="45" s="1"/>
  <c r="D29" i="43" s="1"/>
  <c r="I25" i="45"/>
  <c r="J25" i="45" s="1"/>
  <c r="D25" i="43" s="1"/>
  <c r="I21" i="45"/>
  <c r="J21" i="45" s="1"/>
  <c r="D21" i="43" s="1"/>
  <c r="I17" i="45"/>
  <c r="J17" i="45" s="1"/>
  <c r="D17" i="43" s="1"/>
  <c r="I13" i="45"/>
  <c r="J13" i="45" s="1"/>
  <c r="D13" i="43" s="1"/>
  <c r="I9" i="45"/>
  <c r="J9" i="45" s="1"/>
  <c r="D9" i="43" s="1"/>
  <c r="I5" i="45"/>
  <c r="J5" i="45" s="1"/>
  <c r="D5" i="43" s="1"/>
  <c r="G267" i="46"/>
  <c r="J267" i="46"/>
  <c r="L267" i="43" s="1"/>
  <c r="I267" i="46"/>
  <c r="E267" i="43" s="1"/>
  <c r="G212" i="46"/>
  <c r="J212" i="46"/>
  <c r="L212" i="43" s="1"/>
  <c r="I212" i="46"/>
  <c r="E212" i="43" s="1"/>
  <c r="G215" i="46"/>
  <c r="J215" i="46"/>
  <c r="L215" i="43" s="1"/>
  <c r="I215" i="46"/>
  <c r="E215" i="43" s="1"/>
  <c r="G143" i="46"/>
  <c r="J143" i="46"/>
  <c r="L143" i="43" s="1"/>
  <c r="I143" i="46"/>
  <c r="E143" i="43" s="1"/>
  <c r="G286" i="46"/>
  <c r="J286" i="46"/>
  <c r="L286" i="43" s="1"/>
  <c r="I286" i="46"/>
  <c r="E286" i="43" s="1"/>
  <c r="G240" i="46"/>
  <c r="J240" i="46"/>
  <c r="L240" i="43" s="1"/>
  <c r="I240" i="46"/>
  <c r="E240" i="43" s="1"/>
  <c r="G226" i="46"/>
  <c r="J226" i="46"/>
  <c r="L226" i="43" s="1"/>
  <c r="I226" i="46"/>
  <c r="E226" i="43" s="1"/>
  <c r="G138" i="46"/>
  <c r="J138" i="46"/>
  <c r="L138" i="43" s="1"/>
  <c r="I138" i="46"/>
  <c r="E138" i="43" s="1"/>
  <c r="G298" i="46"/>
  <c r="J298" i="46"/>
  <c r="L298" i="43" s="1"/>
  <c r="I298" i="46"/>
  <c r="E298" i="43" s="1"/>
  <c r="G119" i="46"/>
  <c r="J119" i="46"/>
  <c r="L119" i="43" s="1"/>
  <c r="I119" i="46"/>
  <c r="E119" i="43" s="1"/>
  <c r="G41" i="46"/>
  <c r="J41" i="46"/>
  <c r="L41" i="43" s="1"/>
  <c r="I41" i="46"/>
  <c r="E41" i="43" s="1"/>
  <c r="G306" i="46"/>
  <c r="J306" i="46"/>
  <c r="L306" i="43" s="1"/>
  <c r="I306" i="46"/>
  <c r="E306" i="43" s="1"/>
  <c r="G96" i="46"/>
  <c r="J96" i="46"/>
  <c r="L96" i="43" s="1"/>
  <c r="I96" i="46"/>
  <c r="E96" i="43" s="1"/>
  <c r="G38" i="46"/>
  <c r="J38" i="46"/>
  <c r="L38" i="43" s="1"/>
  <c r="I38" i="46"/>
  <c r="E38" i="43" s="1"/>
  <c r="G16" i="46"/>
  <c r="J16" i="46"/>
  <c r="L16" i="43" s="1"/>
  <c r="I16" i="46"/>
  <c r="E16" i="43" s="1"/>
  <c r="G220" i="46"/>
  <c r="J220" i="46"/>
  <c r="L220" i="43" s="1"/>
  <c r="I220" i="46"/>
  <c r="E220" i="43" s="1"/>
  <c r="G225" i="46"/>
  <c r="J225" i="46"/>
  <c r="L225" i="43" s="1"/>
  <c r="I225" i="46"/>
  <c r="E225" i="43" s="1"/>
  <c r="G219" i="46"/>
  <c r="J219" i="46"/>
  <c r="L219" i="43" s="1"/>
  <c r="I219" i="46"/>
  <c r="E219" i="43" s="1"/>
  <c r="G11" i="46"/>
  <c r="I11" i="46"/>
  <c r="E11" i="43" s="1"/>
  <c r="J11" i="46"/>
  <c r="L11" i="43" s="1"/>
  <c r="G178" i="46"/>
  <c r="J178" i="46"/>
  <c r="L178" i="43" s="1"/>
  <c r="I178" i="46"/>
  <c r="E178" i="43" s="1"/>
  <c r="G297" i="46"/>
  <c r="J297" i="46"/>
  <c r="L297" i="43" s="1"/>
  <c r="I297" i="46"/>
  <c r="E297" i="43" s="1"/>
  <c r="G176" i="46"/>
  <c r="J176" i="46"/>
  <c r="L176" i="43" s="1"/>
  <c r="I176" i="46"/>
  <c r="E176" i="43" s="1"/>
  <c r="G156" i="46"/>
  <c r="J156" i="46"/>
  <c r="L156" i="43" s="1"/>
  <c r="I156" i="46"/>
  <c r="E156" i="43" s="1"/>
  <c r="G77" i="46"/>
  <c r="I77" i="46"/>
  <c r="E77" i="43" s="1"/>
  <c r="J77" i="46"/>
  <c r="L77" i="43" s="1"/>
  <c r="G97" i="46"/>
  <c r="J97" i="46"/>
  <c r="L97" i="43" s="1"/>
  <c r="I97" i="46"/>
  <c r="E97" i="43" s="1"/>
  <c r="G172" i="46"/>
  <c r="J172" i="46"/>
  <c r="L172" i="43" s="1"/>
  <c r="I172" i="46"/>
  <c r="E172" i="43" s="1"/>
  <c r="G93" i="46"/>
  <c r="I93" i="46"/>
  <c r="E93" i="43" s="1"/>
  <c r="J93" i="46"/>
  <c r="L93" i="43" s="1"/>
  <c r="G259" i="46"/>
  <c r="J259" i="46"/>
  <c r="L259" i="43" s="1"/>
  <c r="I259" i="46"/>
  <c r="E259" i="43" s="1"/>
  <c r="G171" i="46"/>
  <c r="J171" i="46"/>
  <c r="L171" i="43" s="1"/>
  <c r="I171" i="46"/>
  <c r="E171" i="43" s="1"/>
  <c r="G151" i="46"/>
  <c r="J151" i="46"/>
  <c r="L151" i="43" s="1"/>
  <c r="I151" i="46"/>
  <c r="E151" i="43" s="1"/>
  <c r="G51" i="46"/>
  <c r="J51" i="46"/>
  <c r="L51" i="43" s="1"/>
  <c r="I51" i="46"/>
  <c r="E51" i="43" s="1"/>
  <c r="G307" i="46"/>
  <c r="J307" i="46"/>
  <c r="L307" i="43" s="1"/>
  <c r="I307" i="46"/>
  <c r="E307" i="43" s="1"/>
  <c r="G109" i="46"/>
  <c r="I109" i="46"/>
  <c r="E109" i="43" s="1"/>
  <c r="J109" i="46"/>
  <c r="L109" i="43" s="1"/>
  <c r="G235" i="46"/>
  <c r="J235" i="46"/>
  <c r="L235" i="43" s="1"/>
  <c r="I235" i="46"/>
  <c r="E235" i="43" s="1"/>
  <c r="G288" i="46"/>
  <c r="J288" i="46"/>
  <c r="L288" i="43" s="1"/>
  <c r="I288" i="46"/>
  <c r="E288" i="43" s="1"/>
  <c r="G28" i="46"/>
  <c r="J28" i="46"/>
  <c r="L28" i="43" s="1"/>
  <c r="I28" i="46"/>
  <c r="E28" i="43" s="1"/>
  <c r="G87" i="46"/>
  <c r="J87" i="46"/>
  <c r="L87" i="43" s="1"/>
  <c r="I87" i="46"/>
  <c r="E87" i="43" s="1"/>
  <c r="G135" i="46"/>
  <c r="J135" i="46"/>
  <c r="L135" i="43" s="1"/>
  <c r="I135" i="46"/>
  <c r="E135" i="43" s="1"/>
  <c r="G19" i="46"/>
  <c r="J19" i="46"/>
  <c r="L19" i="43" s="1"/>
  <c r="I19" i="46"/>
  <c r="E19" i="43" s="1"/>
  <c r="G231" i="46"/>
  <c r="J231" i="46"/>
  <c r="L231" i="43" s="1"/>
  <c r="I231" i="46"/>
  <c r="E231" i="43" s="1"/>
  <c r="G258" i="46"/>
  <c r="J258" i="46"/>
  <c r="L258" i="43" s="1"/>
  <c r="I258" i="46"/>
  <c r="E258" i="43" s="1"/>
  <c r="G181" i="46"/>
  <c r="I181" i="46"/>
  <c r="E181" i="43" s="1"/>
  <c r="J181" i="46"/>
  <c r="L181" i="43" s="1"/>
  <c r="G294" i="46"/>
  <c r="J294" i="46"/>
  <c r="L294" i="43" s="1"/>
  <c r="I294" i="46"/>
  <c r="E294" i="43" s="1"/>
  <c r="G49" i="46"/>
  <c r="J49" i="46"/>
  <c r="L49" i="43" s="1"/>
  <c r="I49" i="46"/>
  <c r="E49" i="43" s="1"/>
  <c r="J48" i="46"/>
  <c r="L48" i="43" s="1"/>
  <c r="I48" i="46"/>
  <c r="E48" i="43" s="1"/>
  <c r="J65" i="46"/>
  <c r="L65" i="43" s="1"/>
  <c r="I65" i="46"/>
  <c r="E65" i="43" s="1"/>
  <c r="I245" i="46"/>
  <c r="E245" i="43" s="1"/>
  <c r="J245" i="46"/>
  <c r="L245" i="43" s="1"/>
  <c r="I277" i="46"/>
  <c r="E277" i="43" s="1"/>
  <c r="J277" i="46"/>
  <c r="L277" i="43" s="1"/>
  <c r="I75" i="46"/>
  <c r="E75" i="43" s="1"/>
  <c r="J75" i="46"/>
  <c r="L75" i="43" s="1"/>
  <c r="J186" i="46"/>
  <c r="L186" i="43" s="1"/>
  <c r="I186" i="46"/>
  <c r="E186" i="43" s="1"/>
  <c r="J234" i="46"/>
  <c r="L234" i="43" s="1"/>
  <c r="I234" i="46"/>
  <c r="E234" i="43" s="1"/>
  <c r="I141" i="46"/>
  <c r="E141" i="43" s="1"/>
  <c r="J141" i="46"/>
  <c r="L141" i="43" s="1"/>
  <c r="J113" i="46"/>
  <c r="L113" i="43" s="1"/>
  <c r="I113" i="46"/>
  <c r="E113" i="43" s="1"/>
  <c r="G154" i="46"/>
  <c r="J154" i="46"/>
  <c r="L154" i="43" s="1"/>
  <c r="I154" i="46"/>
  <c r="E154" i="43" s="1"/>
  <c r="J177" i="46"/>
  <c r="L177" i="43" s="1"/>
  <c r="I177" i="46"/>
  <c r="E177" i="43" s="1"/>
  <c r="J73" i="46"/>
  <c r="L73" i="43" s="1"/>
  <c r="I73" i="46"/>
  <c r="E73" i="43" s="1"/>
  <c r="I133" i="46"/>
  <c r="E133" i="43" s="1"/>
  <c r="J133" i="46"/>
  <c r="L133" i="43" s="1"/>
  <c r="G20" i="46"/>
  <c r="J20" i="46"/>
  <c r="L20" i="43" s="1"/>
  <c r="I20" i="46"/>
  <c r="E20" i="43" s="1"/>
  <c r="G136" i="46"/>
  <c r="J136" i="46"/>
  <c r="I136" i="46"/>
  <c r="E136" i="43" s="1"/>
  <c r="I165" i="46"/>
  <c r="E165" i="43" s="1"/>
  <c r="J165" i="46"/>
  <c r="L165" i="43" s="1"/>
  <c r="J191" i="46"/>
  <c r="L191" i="43" s="1"/>
  <c r="I191" i="46"/>
  <c r="E191" i="43" s="1"/>
  <c r="I237" i="46"/>
  <c r="E237" i="43" s="1"/>
  <c r="J237" i="46"/>
  <c r="L237" i="43" s="1"/>
  <c r="J134" i="46"/>
  <c r="L134" i="43" s="1"/>
  <c r="I134" i="46"/>
  <c r="E134" i="43" s="1"/>
  <c r="I314" i="45"/>
  <c r="J314" i="45" s="1"/>
  <c r="D314" i="43" s="1"/>
  <c r="I310" i="45"/>
  <c r="J310" i="45" s="1"/>
  <c r="D310" i="43" s="1"/>
  <c r="I306" i="45"/>
  <c r="J306" i="45" s="1"/>
  <c r="D306" i="43" s="1"/>
  <c r="I302" i="45"/>
  <c r="J302" i="45" s="1"/>
  <c r="D302" i="43" s="1"/>
  <c r="I298" i="45"/>
  <c r="J298" i="45" s="1"/>
  <c r="D298" i="43" s="1"/>
  <c r="I294" i="45"/>
  <c r="J294" i="45" s="1"/>
  <c r="D294" i="43" s="1"/>
  <c r="I290" i="45"/>
  <c r="J290" i="45" s="1"/>
  <c r="D290" i="43" s="1"/>
  <c r="I286" i="45"/>
  <c r="J286" i="45" s="1"/>
  <c r="D286" i="43" s="1"/>
  <c r="I282" i="45"/>
  <c r="J282" i="45" s="1"/>
  <c r="D282" i="43" s="1"/>
  <c r="I278" i="45"/>
  <c r="J278" i="45" s="1"/>
  <c r="D278" i="43" s="1"/>
  <c r="I274" i="45"/>
  <c r="J274" i="45" s="1"/>
  <c r="D274" i="43" s="1"/>
  <c r="I270" i="45"/>
  <c r="J270" i="45" s="1"/>
  <c r="D270" i="43" s="1"/>
  <c r="I266" i="45"/>
  <c r="J266" i="45" s="1"/>
  <c r="D266" i="43" s="1"/>
  <c r="I262" i="45"/>
  <c r="J262" i="45" s="1"/>
  <c r="D262" i="43" s="1"/>
  <c r="I258" i="45"/>
  <c r="J258" i="45" s="1"/>
  <c r="D258" i="43" s="1"/>
  <c r="I254" i="45"/>
  <c r="J254" i="45" s="1"/>
  <c r="D254" i="43" s="1"/>
  <c r="I250" i="45"/>
  <c r="J250" i="45" s="1"/>
  <c r="D250" i="43" s="1"/>
  <c r="I246" i="45"/>
  <c r="J246" i="45" s="1"/>
  <c r="D246" i="43" s="1"/>
  <c r="I242" i="45"/>
  <c r="J242" i="45" s="1"/>
  <c r="D242" i="43" s="1"/>
  <c r="I238" i="45"/>
  <c r="J238" i="45" s="1"/>
  <c r="D238" i="43" s="1"/>
  <c r="I234" i="45"/>
  <c r="J234" i="45" s="1"/>
  <c r="D234" i="43" s="1"/>
  <c r="I230" i="45"/>
  <c r="J230" i="45" s="1"/>
  <c r="D230" i="43" s="1"/>
  <c r="I226" i="45"/>
  <c r="J226" i="45" s="1"/>
  <c r="D226" i="43" s="1"/>
  <c r="I222" i="45"/>
  <c r="J222" i="45" s="1"/>
  <c r="D222" i="43" s="1"/>
  <c r="I218" i="45"/>
  <c r="J218" i="45" s="1"/>
  <c r="D218" i="43" s="1"/>
  <c r="I214" i="45"/>
  <c r="J214" i="45" s="1"/>
  <c r="D214" i="43" s="1"/>
  <c r="I210" i="45"/>
  <c r="J210" i="45" s="1"/>
  <c r="D210" i="43" s="1"/>
  <c r="I206" i="45"/>
  <c r="J206" i="45" s="1"/>
  <c r="D206" i="43" s="1"/>
  <c r="I202" i="45"/>
  <c r="J202" i="45" s="1"/>
  <c r="D202" i="43" s="1"/>
  <c r="I198" i="45"/>
  <c r="J198" i="45" s="1"/>
  <c r="D198" i="43" s="1"/>
  <c r="I194" i="45"/>
  <c r="J194" i="45" s="1"/>
  <c r="D194" i="43" s="1"/>
  <c r="I190" i="45"/>
  <c r="J190" i="45" s="1"/>
  <c r="D190" i="43" s="1"/>
  <c r="I186" i="45"/>
  <c r="J186" i="45" s="1"/>
  <c r="D186" i="43" s="1"/>
  <c r="I182" i="45"/>
  <c r="J182" i="45" s="1"/>
  <c r="D182" i="43" s="1"/>
  <c r="I178" i="45"/>
  <c r="J178" i="45" s="1"/>
  <c r="D178" i="43" s="1"/>
  <c r="I174" i="45"/>
  <c r="J174" i="45" s="1"/>
  <c r="D174" i="43" s="1"/>
  <c r="I170" i="45"/>
  <c r="J170" i="45" s="1"/>
  <c r="D170" i="43" s="1"/>
  <c r="I166" i="45"/>
  <c r="J166" i="45" s="1"/>
  <c r="D166" i="43" s="1"/>
  <c r="I162" i="45"/>
  <c r="J162" i="45" s="1"/>
  <c r="D162" i="43" s="1"/>
  <c r="I158" i="45"/>
  <c r="J158" i="45" s="1"/>
  <c r="D158" i="43" s="1"/>
  <c r="I154" i="45"/>
  <c r="J154" i="45" s="1"/>
  <c r="D154" i="43" s="1"/>
  <c r="I150" i="45"/>
  <c r="J150" i="45" s="1"/>
  <c r="D150" i="43" s="1"/>
  <c r="I146" i="45"/>
  <c r="J146" i="45" s="1"/>
  <c r="D146" i="43" s="1"/>
  <c r="I142" i="45"/>
  <c r="J142" i="45" s="1"/>
  <c r="D142" i="43" s="1"/>
  <c r="I138" i="45"/>
  <c r="J138" i="45" s="1"/>
  <c r="D138" i="43" s="1"/>
  <c r="I134" i="45"/>
  <c r="J134" i="45" s="1"/>
  <c r="D134" i="43" s="1"/>
  <c r="I130" i="45"/>
  <c r="J130" i="45" s="1"/>
  <c r="D130" i="43" s="1"/>
  <c r="I126" i="45"/>
  <c r="J126" i="45" s="1"/>
  <c r="D126" i="43" s="1"/>
  <c r="I122" i="45"/>
  <c r="J122" i="45" s="1"/>
  <c r="D122" i="43" s="1"/>
  <c r="I118" i="45"/>
  <c r="J118" i="45" s="1"/>
  <c r="D118" i="43" s="1"/>
  <c r="I114" i="45"/>
  <c r="J114" i="45" s="1"/>
  <c r="D114" i="43" s="1"/>
  <c r="I110" i="45"/>
  <c r="J110" i="45" s="1"/>
  <c r="D110" i="43" s="1"/>
  <c r="I106" i="45"/>
  <c r="J106" i="45" s="1"/>
  <c r="D106" i="43" s="1"/>
  <c r="I102" i="45"/>
  <c r="J102" i="45" s="1"/>
  <c r="D102" i="43" s="1"/>
  <c r="I98" i="45"/>
  <c r="J98" i="45" s="1"/>
  <c r="D98" i="43" s="1"/>
  <c r="I94" i="45"/>
  <c r="J94" i="45" s="1"/>
  <c r="D94" i="43" s="1"/>
  <c r="I90" i="45"/>
  <c r="J90" i="45" s="1"/>
  <c r="D90" i="43" s="1"/>
  <c r="I86" i="45"/>
  <c r="J86" i="45" s="1"/>
  <c r="D86" i="43" s="1"/>
  <c r="I82" i="45"/>
  <c r="J82" i="45" s="1"/>
  <c r="D82" i="43" s="1"/>
  <c r="I78" i="45"/>
  <c r="J78" i="45" s="1"/>
  <c r="D78" i="43" s="1"/>
  <c r="I74" i="45"/>
  <c r="J74" i="45" s="1"/>
  <c r="D74" i="43" s="1"/>
  <c r="I70" i="45"/>
  <c r="J70" i="45" s="1"/>
  <c r="D70" i="43" s="1"/>
  <c r="I66" i="45"/>
  <c r="J66" i="45" s="1"/>
  <c r="D66" i="43" s="1"/>
  <c r="I62" i="45"/>
  <c r="J62" i="45" s="1"/>
  <c r="D62" i="43" s="1"/>
  <c r="I58" i="45"/>
  <c r="J58" i="45" s="1"/>
  <c r="D58" i="43" s="1"/>
  <c r="I54" i="45"/>
  <c r="J54" i="45" s="1"/>
  <c r="D54" i="43" s="1"/>
  <c r="I50" i="45"/>
  <c r="J50" i="45" s="1"/>
  <c r="D50" i="43" s="1"/>
  <c r="I46" i="45"/>
  <c r="J46" i="45" s="1"/>
  <c r="D46" i="43" s="1"/>
  <c r="I42" i="45"/>
  <c r="J42" i="45" s="1"/>
  <c r="D42" i="43" s="1"/>
  <c r="I38" i="45"/>
  <c r="J38" i="45" s="1"/>
  <c r="D38" i="43" s="1"/>
  <c r="I34" i="45"/>
  <c r="J34" i="45" s="1"/>
  <c r="D34" i="43" s="1"/>
  <c r="I30" i="45"/>
  <c r="J30" i="45" s="1"/>
  <c r="D30" i="43" s="1"/>
  <c r="I26" i="45"/>
  <c r="J26" i="45" s="1"/>
  <c r="D26" i="43" s="1"/>
  <c r="I22" i="45"/>
  <c r="J22" i="45" s="1"/>
  <c r="D22" i="43" s="1"/>
  <c r="I18" i="45"/>
  <c r="J18" i="45" s="1"/>
  <c r="D18" i="43" s="1"/>
  <c r="I14" i="45"/>
  <c r="J14" i="45" s="1"/>
  <c r="D14" i="43" s="1"/>
  <c r="I10" i="45"/>
  <c r="J10" i="45" s="1"/>
  <c r="D10" i="43" s="1"/>
  <c r="I6" i="45"/>
  <c r="J6" i="45" s="1"/>
  <c r="D6" i="43" s="1"/>
  <c r="G214" i="46"/>
  <c r="J214" i="46"/>
  <c r="L214" i="43" s="1"/>
  <c r="I214" i="46"/>
  <c r="E214" i="43" s="1"/>
  <c r="G268" i="46"/>
  <c r="J268" i="46"/>
  <c r="L268" i="43" s="1"/>
  <c r="I268" i="46"/>
  <c r="E268" i="43" s="1"/>
  <c r="G200" i="46"/>
  <c r="J200" i="46"/>
  <c r="L200" i="43" s="1"/>
  <c r="I200" i="46"/>
  <c r="E200" i="43" s="1"/>
  <c r="G210" i="46"/>
  <c r="J210" i="46"/>
  <c r="L210" i="43" s="1"/>
  <c r="I210" i="46"/>
  <c r="E210" i="43" s="1"/>
  <c r="G265" i="46"/>
  <c r="J265" i="46"/>
  <c r="L265" i="43" s="1"/>
  <c r="I265" i="46"/>
  <c r="E265" i="43" s="1"/>
  <c r="G227" i="46"/>
  <c r="J227" i="46"/>
  <c r="L227" i="43" s="1"/>
  <c r="I227" i="46"/>
  <c r="E227" i="43" s="1"/>
  <c r="G198" i="46"/>
  <c r="J198" i="46"/>
  <c r="L198" i="43" s="1"/>
  <c r="I198" i="46"/>
  <c r="E198" i="43" s="1"/>
  <c r="G203" i="46"/>
  <c r="J203" i="46"/>
  <c r="L203" i="43" s="1"/>
  <c r="I203" i="46"/>
  <c r="E203" i="43" s="1"/>
  <c r="G185" i="46"/>
  <c r="J185" i="46"/>
  <c r="L185" i="43" s="1"/>
  <c r="I185" i="46"/>
  <c r="E185" i="43" s="1"/>
  <c r="G104" i="46"/>
  <c r="J104" i="46"/>
  <c r="L104" i="43" s="1"/>
  <c r="I104" i="46"/>
  <c r="E104" i="43" s="1"/>
  <c r="G314" i="46"/>
  <c r="J314" i="46"/>
  <c r="L314" i="43" s="1"/>
  <c r="I314" i="46"/>
  <c r="E314" i="43" s="1"/>
  <c r="G287" i="46"/>
  <c r="J287" i="46"/>
  <c r="L287" i="43" s="1"/>
  <c r="I287" i="46"/>
  <c r="E287" i="43" s="1"/>
  <c r="G71" i="46"/>
  <c r="J71" i="46"/>
  <c r="L71" i="43" s="1"/>
  <c r="I71" i="46"/>
  <c r="E71" i="43" s="1"/>
  <c r="G60" i="46"/>
  <c r="J60" i="46"/>
  <c r="L60" i="43" s="1"/>
  <c r="I60" i="46"/>
  <c r="E60" i="43" s="1"/>
  <c r="G263" i="46"/>
  <c r="J263" i="46"/>
  <c r="L263" i="43" s="1"/>
  <c r="I263" i="46"/>
  <c r="E263" i="43" s="1"/>
  <c r="G272" i="46"/>
  <c r="J272" i="46"/>
  <c r="L272" i="43" s="1"/>
  <c r="I272" i="46"/>
  <c r="E272" i="43" s="1"/>
  <c r="G300" i="46"/>
  <c r="J300" i="46"/>
  <c r="L300" i="43" s="1"/>
  <c r="I300" i="46"/>
  <c r="E300" i="43" s="1"/>
  <c r="G194" i="46"/>
  <c r="J194" i="46"/>
  <c r="L194" i="43" s="1"/>
  <c r="I194" i="46"/>
  <c r="E194" i="43" s="1"/>
  <c r="G114" i="46"/>
  <c r="J114" i="46"/>
  <c r="L114" i="43" s="1"/>
  <c r="I114" i="46"/>
  <c r="E114" i="43" s="1"/>
  <c r="G166" i="46"/>
  <c r="J166" i="46"/>
  <c r="L166" i="43" s="1"/>
  <c r="I166" i="46"/>
  <c r="E166" i="43" s="1"/>
  <c r="G270" i="46"/>
  <c r="J270" i="46"/>
  <c r="L270" i="43" s="1"/>
  <c r="I270" i="46"/>
  <c r="E270" i="43" s="1"/>
  <c r="G158" i="46"/>
  <c r="J158" i="46"/>
  <c r="L158" i="43" s="1"/>
  <c r="I158" i="46"/>
  <c r="E158" i="43" s="1"/>
  <c r="G131" i="46"/>
  <c r="J131" i="46"/>
  <c r="L131" i="43" s="1"/>
  <c r="I131" i="46"/>
  <c r="E131" i="43" s="1"/>
  <c r="G32" i="46"/>
  <c r="J32" i="46"/>
  <c r="L32" i="43" s="1"/>
  <c r="I32" i="46"/>
  <c r="E32" i="43" s="1"/>
  <c r="G127" i="46"/>
  <c r="J127" i="46"/>
  <c r="L127" i="43" s="1"/>
  <c r="I127" i="46"/>
  <c r="E127" i="43" s="1"/>
  <c r="G147" i="46"/>
  <c r="J147" i="46"/>
  <c r="L147" i="43" s="1"/>
  <c r="I147" i="46"/>
  <c r="E147" i="43" s="1"/>
  <c r="G72" i="46"/>
  <c r="J72" i="46"/>
  <c r="L72" i="43" s="1"/>
  <c r="I72" i="46"/>
  <c r="E72" i="43" s="1"/>
  <c r="G243" i="46"/>
  <c r="J243" i="46"/>
  <c r="L243" i="43" s="1"/>
  <c r="I243" i="46"/>
  <c r="E243" i="43" s="1"/>
  <c r="G148" i="46"/>
  <c r="J148" i="46"/>
  <c r="L148" i="43" s="1"/>
  <c r="I148" i="46"/>
  <c r="E148" i="43" s="1"/>
  <c r="G108" i="46"/>
  <c r="J108" i="46"/>
  <c r="L108" i="43" s="1"/>
  <c r="I108" i="46"/>
  <c r="E108" i="43" s="1"/>
  <c r="G33" i="46"/>
  <c r="J33" i="46"/>
  <c r="L33" i="43" s="1"/>
  <c r="I33" i="46"/>
  <c r="E33" i="43" s="1"/>
  <c r="G187" i="46"/>
  <c r="J187" i="46"/>
  <c r="L187" i="43" s="1"/>
  <c r="I187" i="46"/>
  <c r="E187" i="43" s="1"/>
  <c r="G63" i="46"/>
  <c r="J63" i="46"/>
  <c r="L63" i="43" s="1"/>
  <c r="I63" i="46"/>
  <c r="E63" i="43" s="1"/>
  <c r="G276" i="46"/>
  <c r="J276" i="46"/>
  <c r="L276" i="43" s="1"/>
  <c r="I276" i="46"/>
  <c r="E276" i="43" s="1"/>
  <c r="G184" i="46"/>
  <c r="J184" i="46"/>
  <c r="L184" i="43" s="1"/>
  <c r="I184" i="46"/>
  <c r="E184" i="43" s="1"/>
  <c r="G23" i="46"/>
  <c r="J23" i="46"/>
  <c r="L23" i="43" s="1"/>
  <c r="I23" i="46"/>
  <c r="E23" i="43" s="1"/>
  <c r="G64" i="46"/>
  <c r="J64" i="46"/>
  <c r="L64" i="43" s="1"/>
  <c r="I64" i="46"/>
  <c r="E64" i="43" s="1"/>
  <c r="G92" i="46"/>
  <c r="J92" i="46"/>
  <c r="L92" i="43" s="1"/>
  <c r="I92" i="46"/>
  <c r="E92" i="43" s="1"/>
  <c r="G275" i="46"/>
  <c r="J275" i="46"/>
  <c r="L275" i="43" s="1"/>
  <c r="I275" i="46"/>
  <c r="E275" i="43" s="1"/>
  <c r="G216" i="46"/>
  <c r="J216" i="46"/>
  <c r="L216" i="43" s="1"/>
  <c r="I216" i="46"/>
  <c r="E216" i="43" s="1"/>
  <c r="G232" i="46"/>
  <c r="J232" i="46"/>
  <c r="L232" i="43" s="1"/>
  <c r="I232" i="46"/>
  <c r="E232" i="43" s="1"/>
  <c r="G153" i="46"/>
  <c r="J153" i="46"/>
  <c r="L153" i="43" s="1"/>
  <c r="I153" i="46"/>
  <c r="E153" i="43" s="1"/>
  <c r="G299" i="46"/>
  <c r="J299" i="46"/>
  <c r="L299" i="43" s="1"/>
  <c r="I299" i="46"/>
  <c r="E299" i="43" s="1"/>
  <c r="G54" i="46"/>
  <c r="J54" i="46"/>
  <c r="L54" i="43" s="1"/>
  <c r="I54" i="46"/>
  <c r="E54" i="43" s="1"/>
  <c r="G255" i="46"/>
  <c r="J255" i="46"/>
  <c r="L255" i="43" s="1"/>
  <c r="I255" i="46"/>
  <c r="E255" i="43" s="1"/>
  <c r="G137" i="46"/>
  <c r="J137" i="46"/>
  <c r="L137" i="43" s="1"/>
  <c r="I137" i="46"/>
  <c r="E137" i="43" s="1"/>
  <c r="J14" i="46"/>
  <c r="L14" i="43" s="1"/>
  <c r="I14" i="46"/>
  <c r="E14" i="43" s="1"/>
  <c r="J222" i="46"/>
  <c r="L222" i="43" s="1"/>
  <c r="I222" i="46"/>
  <c r="E222" i="43" s="1"/>
  <c r="J208" i="46"/>
  <c r="L208" i="43" s="1"/>
  <c r="I208" i="46"/>
  <c r="E208" i="43" s="1"/>
  <c r="J211" i="46"/>
  <c r="L211" i="43" s="1"/>
  <c r="I211" i="46"/>
  <c r="E211" i="43" s="1"/>
  <c r="I21" i="46"/>
  <c r="E21" i="43" s="1"/>
  <c r="J21" i="46"/>
  <c r="L21" i="43" s="1"/>
  <c r="I221" i="46"/>
  <c r="E221" i="43" s="1"/>
  <c r="J221" i="46"/>
  <c r="L221" i="43" s="1"/>
  <c r="I85" i="46"/>
  <c r="E85" i="43" s="1"/>
  <c r="J85" i="46"/>
  <c r="L85" i="43" s="1"/>
  <c r="J311" i="46"/>
  <c r="L311" i="43" s="1"/>
  <c r="I311" i="46"/>
  <c r="E311" i="43" s="1"/>
  <c r="J283" i="46"/>
  <c r="L283" i="43" s="1"/>
  <c r="I283" i="46"/>
  <c r="E283" i="43" s="1"/>
  <c r="J142" i="46"/>
  <c r="L142" i="43" s="1"/>
  <c r="I142" i="46"/>
  <c r="E142" i="43" s="1"/>
  <c r="J40" i="46"/>
  <c r="L40" i="43" s="1"/>
  <c r="I40" i="46"/>
  <c r="E40" i="43" s="1"/>
  <c r="I45" i="46"/>
  <c r="E45" i="43" s="1"/>
  <c r="J45" i="46"/>
  <c r="L45" i="43" s="1"/>
  <c r="I309" i="46"/>
  <c r="E309" i="43" s="1"/>
  <c r="J309" i="46"/>
  <c r="L309" i="43" s="1"/>
  <c r="G281" i="46"/>
  <c r="J281" i="46"/>
  <c r="I281" i="46"/>
  <c r="E281" i="43" s="1"/>
  <c r="I37" i="46"/>
  <c r="E37" i="43" s="1"/>
  <c r="J37" i="46"/>
  <c r="L37" i="43" s="1"/>
  <c r="J250" i="46"/>
  <c r="L250" i="43" s="1"/>
  <c r="I250" i="46"/>
  <c r="E250" i="43" s="1"/>
  <c r="G46" i="46"/>
  <c r="J46" i="46"/>
  <c r="L46" i="43" s="1"/>
  <c r="I46" i="46"/>
  <c r="E46" i="43" s="1"/>
  <c r="J25" i="46"/>
  <c r="L25" i="43" s="1"/>
  <c r="I25" i="46"/>
  <c r="E25" i="43" s="1"/>
  <c r="J5" i="46"/>
  <c r="L5" i="43" s="1"/>
  <c r="I5" i="46"/>
  <c r="E5" i="43" s="1"/>
  <c r="I311" i="45"/>
  <c r="J311" i="45" s="1"/>
  <c r="D311" i="43" s="1"/>
  <c r="I307" i="45"/>
  <c r="J307" i="45" s="1"/>
  <c r="D307" i="43" s="1"/>
  <c r="I303" i="45"/>
  <c r="J303" i="45" s="1"/>
  <c r="D303" i="43" s="1"/>
  <c r="I299" i="45"/>
  <c r="J299" i="45" s="1"/>
  <c r="D299" i="43" s="1"/>
  <c r="I295" i="45"/>
  <c r="J295" i="45" s="1"/>
  <c r="D295" i="43" s="1"/>
  <c r="I291" i="45"/>
  <c r="J291" i="45" s="1"/>
  <c r="D291" i="43" s="1"/>
  <c r="I287" i="45"/>
  <c r="J287" i="45" s="1"/>
  <c r="D287" i="43" s="1"/>
  <c r="I283" i="45"/>
  <c r="J283" i="45" s="1"/>
  <c r="D283" i="43" s="1"/>
  <c r="I279" i="45"/>
  <c r="J279" i="45" s="1"/>
  <c r="D279" i="43" s="1"/>
  <c r="I275" i="45"/>
  <c r="J275" i="45" s="1"/>
  <c r="D275" i="43" s="1"/>
  <c r="I271" i="45"/>
  <c r="J271" i="45" s="1"/>
  <c r="D271" i="43" s="1"/>
  <c r="I267" i="45"/>
  <c r="J267" i="45" s="1"/>
  <c r="D267" i="43" s="1"/>
  <c r="I263" i="45"/>
  <c r="J263" i="45" s="1"/>
  <c r="D263" i="43" s="1"/>
  <c r="I259" i="45"/>
  <c r="J259" i="45" s="1"/>
  <c r="D259" i="43" s="1"/>
  <c r="I255" i="45"/>
  <c r="J255" i="45" s="1"/>
  <c r="D255" i="43" s="1"/>
  <c r="I251" i="45"/>
  <c r="J251" i="45" s="1"/>
  <c r="D251" i="43" s="1"/>
  <c r="I247" i="45"/>
  <c r="J247" i="45" s="1"/>
  <c r="D247" i="43" s="1"/>
  <c r="I243" i="45"/>
  <c r="J243" i="45" s="1"/>
  <c r="D243" i="43" s="1"/>
  <c r="I239" i="45"/>
  <c r="J239" i="45" s="1"/>
  <c r="D239" i="43" s="1"/>
  <c r="I235" i="45"/>
  <c r="J235" i="45" s="1"/>
  <c r="D235" i="43" s="1"/>
  <c r="I231" i="45"/>
  <c r="J231" i="45" s="1"/>
  <c r="D231" i="43" s="1"/>
  <c r="I227" i="45"/>
  <c r="J227" i="45" s="1"/>
  <c r="D227" i="43" s="1"/>
  <c r="I223" i="45"/>
  <c r="J223" i="45" s="1"/>
  <c r="D223" i="43" s="1"/>
  <c r="I219" i="45"/>
  <c r="J219" i="45" s="1"/>
  <c r="D219" i="43" s="1"/>
  <c r="I215" i="45"/>
  <c r="J215" i="45" s="1"/>
  <c r="D215" i="43" s="1"/>
  <c r="I211" i="45"/>
  <c r="J211" i="45" s="1"/>
  <c r="D211" i="43" s="1"/>
  <c r="I207" i="45"/>
  <c r="J207" i="45" s="1"/>
  <c r="D207" i="43" s="1"/>
  <c r="I203" i="45"/>
  <c r="J203" i="45" s="1"/>
  <c r="D203" i="43" s="1"/>
  <c r="I199" i="45"/>
  <c r="J199" i="45" s="1"/>
  <c r="D199" i="43" s="1"/>
  <c r="I195" i="45"/>
  <c r="J195" i="45" s="1"/>
  <c r="D195" i="43" s="1"/>
  <c r="I191" i="45"/>
  <c r="J191" i="45" s="1"/>
  <c r="D191" i="43" s="1"/>
  <c r="I187" i="45"/>
  <c r="J187" i="45" s="1"/>
  <c r="D187" i="43" s="1"/>
  <c r="I183" i="45"/>
  <c r="J183" i="45" s="1"/>
  <c r="D183" i="43" s="1"/>
  <c r="I179" i="45"/>
  <c r="J179" i="45" s="1"/>
  <c r="D179" i="43" s="1"/>
  <c r="I175" i="45"/>
  <c r="J175" i="45" s="1"/>
  <c r="D175" i="43" s="1"/>
  <c r="I171" i="45"/>
  <c r="J171" i="45" s="1"/>
  <c r="D171" i="43" s="1"/>
  <c r="I167" i="45"/>
  <c r="J167" i="45" s="1"/>
  <c r="D167" i="43" s="1"/>
  <c r="I163" i="45"/>
  <c r="J163" i="45" s="1"/>
  <c r="D163" i="43" s="1"/>
  <c r="I159" i="45"/>
  <c r="J159" i="45" s="1"/>
  <c r="D159" i="43" s="1"/>
  <c r="I155" i="45"/>
  <c r="J155" i="45" s="1"/>
  <c r="D155" i="43" s="1"/>
  <c r="I151" i="45"/>
  <c r="J151" i="45" s="1"/>
  <c r="D151" i="43" s="1"/>
  <c r="I147" i="45"/>
  <c r="J147" i="45" s="1"/>
  <c r="D147" i="43" s="1"/>
  <c r="I143" i="45"/>
  <c r="J143" i="45" s="1"/>
  <c r="D143" i="43" s="1"/>
  <c r="I139" i="45"/>
  <c r="J139" i="45" s="1"/>
  <c r="D139" i="43" s="1"/>
  <c r="I135" i="45"/>
  <c r="J135" i="45" s="1"/>
  <c r="D135" i="43" s="1"/>
  <c r="I131" i="45"/>
  <c r="J131" i="45" s="1"/>
  <c r="D131" i="43" s="1"/>
  <c r="I127" i="45"/>
  <c r="J127" i="45" s="1"/>
  <c r="D127" i="43" s="1"/>
  <c r="I123" i="45"/>
  <c r="J123" i="45" s="1"/>
  <c r="D123" i="43" s="1"/>
  <c r="I119" i="45"/>
  <c r="J119" i="45" s="1"/>
  <c r="D119" i="43" s="1"/>
  <c r="I115" i="45"/>
  <c r="J115" i="45" s="1"/>
  <c r="D115" i="43" s="1"/>
  <c r="I111" i="45"/>
  <c r="J111" i="45" s="1"/>
  <c r="D111" i="43" s="1"/>
  <c r="I107" i="45"/>
  <c r="J107" i="45" s="1"/>
  <c r="D107" i="43" s="1"/>
  <c r="I103" i="45"/>
  <c r="J103" i="45" s="1"/>
  <c r="D103" i="43" s="1"/>
  <c r="I99" i="45"/>
  <c r="J99" i="45" s="1"/>
  <c r="D99" i="43" s="1"/>
  <c r="I95" i="45"/>
  <c r="J95" i="45" s="1"/>
  <c r="D95" i="43" s="1"/>
  <c r="I91" i="45"/>
  <c r="J91" i="45" s="1"/>
  <c r="D91" i="43" s="1"/>
  <c r="I87" i="45"/>
  <c r="J87" i="45" s="1"/>
  <c r="D87" i="43" s="1"/>
  <c r="I83" i="45"/>
  <c r="J83" i="45" s="1"/>
  <c r="D83" i="43" s="1"/>
  <c r="I79" i="45"/>
  <c r="J79" i="45" s="1"/>
  <c r="D79" i="43" s="1"/>
  <c r="I75" i="45"/>
  <c r="J75" i="45" s="1"/>
  <c r="D75" i="43" s="1"/>
  <c r="I71" i="45"/>
  <c r="J71" i="45" s="1"/>
  <c r="D71" i="43" s="1"/>
  <c r="I67" i="45"/>
  <c r="J67" i="45" s="1"/>
  <c r="D67" i="43" s="1"/>
  <c r="I63" i="45"/>
  <c r="J63" i="45" s="1"/>
  <c r="D63" i="43" s="1"/>
  <c r="I59" i="45"/>
  <c r="J59" i="45" s="1"/>
  <c r="D59" i="43" s="1"/>
  <c r="I55" i="45"/>
  <c r="J55" i="45" s="1"/>
  <c r="D55" i="43" s="1"/>
  <c r="I51" i="45"/>
  <c r="J51" i="45" s="1"/>
  <c r="D51" i="43" s="1"/>
  <c r="I47" i="45"/>
  <c r="J47" i="45" s="1"/>
  <c r="D47" i="43" s="1"/>
  <c r="I43" i="45"/>
  <c r="J43" i="45" s="1"/>
  <c r="D43" i="43" s="1"/>
  <c r="I39" i="45"/>
  <c r="J39" i="45" s="1"/>
  <c r="D39" i="43" s="1"/>
  <c r="I35" i="45"/>
  <c r="J35" i="45" s="1"/>
  <c r="D35" i="43" s="1"/>
  <c r="I31" i="45"/>
  <c r="J31" i="45" s="1"/>
  <c r="D31" i="43" s="1"/>
  <c r="I27" i="45"/>
  <c r="J27" i="45" s="1"/>
  <c r="D27" i="43" s="1"/>
  <c r="I23" i="45"/>
  <c r="J23" i="45" s="1"/>
  <c r="D23" i="43" s="1"/>
  <c r="I19" i="45"/>
  <c r="J19" i="45" s="1"/>
  <c r="D19" i="43" s="1"/>
  <c r="I15" i="45"/>
  <c r="J15" i="45" s="1"/>
  <c r="D15" i="43" s="1"/>
  <c r="I11" i="45"/>
  <c r="J11" i="45" s="1"/>
  <c r="D11" i="43" s="1"/>
  <c r="I7" i="45"/>
  <c r="J7" i="45" s="1"/>
  <c r="D7" i="43" s="1"/>
  <c r="G295" i="46"/>
  <c r="J295" i="46"/>
  <c r="L295" i="43" s="1"/>
  <c r="I295" i="46"/>
  <c r="E295" i="43" s="1"/>
  <c r="G249" i="46"/>
  <c r="J249" i="46"/>
  <c r="L249" i="43" s="1"/>
  <c r="I249" i="46"/>
  <c r="E249" i="43" s="1"/>
  <c r="G173" i="46"/>
  <c r="I173" i="46"/>
  <c r="E173" i="43" s="1"/>
  <c r="J173" i="46"/>
  <c r="L173" i="43" s="1"/>
  <c r="G189" i="46"/>
  <c r="I189" i="46"/>
  <c r="E189" i="43" s="1"/>
  <c r="J189" i="46"/>
  <c r="L189" i="43" s="1"/>
  <c r="G252" i="46"/>
  <c r="J252" i="46"/>
  <c r="L252" i="43" s="1"/>
  <c r="I252" i="46"/>
  <c r="E252" i="43" s="1"/>
  <c r="G264" i="46"/>
  <c r="J264" i="46"/>
  <c r="L264" i="43" s="1"/>
  <c r="I264" i="46"/>
  <c r="E264" i="43" s="1"/>
  <c r="G167" i="46"/>
  <c r="J167" i="46"/>
  <c r="L167" i="43" s="1"/>
  <c r="I167" i="46"/>
  <c r="E167" i="43" s="1"/>
  <c r="G180" i="46"/>
  <c r="J180" i="46"/>
  <c r="L180" i="43" s="1"/>
  <c r="I180" i="46"/>
  <c r="E180" i="43" s="1"/>
  <c r="G161" i="46"/>
  <c r="J161" i="46"/>
  <c r="L161" i="43" s="1"/>
  <c r="I161" i="46"/>
  <c r="E161" i="43" s="1"/>
  <c r="G79" i="46"/>
  <c r="J79" i="46"/>
  <c r="L79" i="43" s="1"/>
  <c r="I79" i="46"/>
  <c r="E79" i="43" s="1"/>
  <c r="G282" i="46"/>
  <c r="J282" i="46"/>
  <c r="L282" i="43" s="1"/>
  <c r="I282" i="46"/>
  <c r="E282" i="43" s="1"/>
  <c r="G164" i="46"/>
  <c r="J164" i="46"/>
  <c r="L164" i="43" s="1"/>
  <c r="I164" i="46"/>
  <c r="E164" i="43" s="1"/>
  <c r="G128" i="46"/>
  <c r="J128" i="46"/>
  <c r="L128" i="43" s="1"/>
  <c r="I128" i="46"/>
  <c r="E128" i="43" s="1"/>
  <c r="G35" i="46"/>
  <c r="J35" i="46"/>
  <c r="L35" i="43" s="1"/>
  <c r="I35" i="46"/>
  <c r="E35" i="43" s="1"/>
  <c r="G248" i="46"/>
  <c r="J248" i="46"/>
  <c r="L248" i="43" s="1"/>
  <c r="I248" i="46"/>
  <c r="E248" i="43" s="1"/>
  <c r="G257" i="46"/>
  <c r="J257" i="46"/>
  <c r="L257" i="43" s="1"/>
  <c r="I257" i="46"/>
  <c r="E257" i="43" s="1"/>
  <c r="G262" i="46"/>
  <c r="J262" i="46"/>
  <c r="L262" i="43" s="1"/>
  <c r="I262" i="46"/>
  <c r="E262" i="43" s="1"/>
  <c r="G157" i="46"/>
  <c r="I157" i="46"/>
  <c r="E157" i="43" s="1"/>
  <c r="J157" i="46"/>
  <c r="L157" i="43" s="1"/>
  <c r="G101" i="46"/>
  <c r="I101" i="46"/>
  <c r="E101" i="43" s="1"/>
  <c r="J101" i="46"/>
  <c r="L101" i="43" s="1"/>
  <c r="G91" i="46"/>
  <c r="J91" i="46"/>
  <c r="L91" i="43" s="1"/>
  <c r="I91" i="46"/>
  <c r="E91" i="43" s="1"/>
  <c r="G81" i="46"/>
  <c r="J81" i="46"/>
  <c r="L81" i="43" s="1"/>
  <c r="I81" i="46"/>
  <c r="E81" i="43" s="1"/>
  <c r="G116" i="46"/>
  <c r="J116" i="46"/>
  <c r="L116" i="43" s="1"/>
  <c r="I116" i="46"/>
  <c r="E116" i="43" s="1"/>
  <c r="G310" i="46"/>
  <c r="J310" i="46"/>
  <c r="L310" i="43" s="1"/>
  <c r="I310" i="46"/>
  <c r="E310" i="43" s="1"/>
  <c r="G122" i="46"/>
  <c r="J122" i="46"/>
  <c r="L122" i="43" s="1"/>
  <c r="I122" i="46"/>
  <c r="E122" i="43" s="1"/>
  <c r="G129" i="46"/>
  <c r="J129" i="46"/>
  <c r="L129" i="43" s="1"/>
  <c r="I129" i="46"/>
  <c r="E129" i="43" s="1"/>
  <c r="G52" i="46"/>
  <c r="J52" i="46"/>
  <c r="L52" i="43" s="1"/>
  <c r="I52" i="46"/>
  <c r="E52" i="43" s="1"/>
  <c r="G304" i="46"/>
  <c r="J304" i="46"/>
  <c r="L304" i="43" s="1"/>
  <c r="I304" i="46"/>
  <c r="E304" i="43" s="1"/>
  <c r="G120" i="46"/>
  <c r="J120" i="46"/>
  <c r="L120" i="43" s="1"/>
  <c r="I120" i="46"/>
  <c r="E120" i="43" s="1"/>
  <c r="G76" i="46"/>
  <c r="J76" i="46"/>
  <c r="L76" i="43" s="1"/>
  <c r="I76" i="46"/>
  <c r="E76" i="43" s="1"/>
  <c r="G12" i="46"/>
  <c r="J12" i="46"/>
  <c r="L12" i="43" s="1"/>
  <c r="I12" i="46"/>
  <c r="E12" i="43" s="1"/>
  <c r="G145" i="46"/>
  <c r="J145" i="46"/>
  <c r="L145" i="43" s="1"/>
  <c r="I145" i="46"/>
  <c r="E145" i="43" s="1"/>
  <c r="G43" i="46"/>
  <c r="J43" i="46"/>
  <c r="L43" i="43" s="1"/>
  <c r="I43" i="46"/>
  <c r="E43" i="43" s="1"/>
  <c r="G169" i="46"/>
  <c r="J169" i="46"/>
  <c r="L169" i="43" s="1"/>
  <c r="I169" i="46"/>
  <c r="E169" i="43" s="1"/>
  <c r="G144" i="46"/>
  <c r="J144" i="46"/>
  <c r="L144" i="43" s="1"/>
  <c r="I144" i="46"/>
  <c r="E144" i="43" s="1"/>
  <c r="G292" i="46"/>
  <c r="J292" i="46"/>
  <c r="L292" i="43" s="1"/>
  <c r="I292" i="46"/>
  <c r="E292" i="43" s="1"/>
  <c r="G271" i="46"/>
  <c r="J271" i="46"/>
  <c r="L271" i="43" s="1"/>
  <c r="I271" i="46"/>
  <c r="E271" i="43" s="1"/>
  <c r="G27" i="46"/>
  <c r="I27" i="46"/>
  <c r="E27" i="43" s="1"/>
  <c r="J27" i="46"/>
  <c r="L27" i="43" s="1"/>
  <c r="G123" i="46"/>
  <c r="J123" i="46"/>
  <c r="L123" i="43" s="1"/>
  <c r="I123" i="46"/>
  <c r="E123" i="43" s="1"/>
  <c r="G223" i="46"/>
  <c r="J223" i="46"/>
  <c r="L223" i="43" s="1"/>
  <c r="I223" i="46"/>
  <c r="E223" i="43" s="1"/>
  <c r="G217" i="46"/>
  <c r="J217" i="46"/>
  <c r="L217" i="43" s="1"/>
  <c r="I217" i="46"/>
  <c r="E217" i="43" s="1"/>
  <c r="G163" i="46"/>
  <c r="J163" i="46"/>
  <c r="L163" i="43" s="1"/>
  <c r="I163" i="46"/>
  <c r="E163" i="43" s="1"/>
  <c r="G139" i="46"/>
  <c r="J139" i="46"/>
  <c r="L139" i="43" s="1"/>
  <c r="I139" i="46"/>
  <c r="E139" i="43" s="1"/>
  <c r="G55" i="46"/>
  <c r="J55" i="46"/>
  <c r="L55" i="43" s="1"/>
  <c r="I55" i="46"/>
  <c r="E55" i="43" s="1"/>
  <c r="G4" i="46"/>
  <c r="I4" i="46"/>
  <c r="E4" i="43" s="1"/>
  <c r="J4" i="46"/>
  <c r="L4" i="43" s="1"/>
  <c r="G260" i="46"/>
  <c r="J260" i="46"/>
  <c r="L260" i="43" s="1"/>
  <c r="I260" i="46"/>
  <c r="E260" i="43" s="1"/>
  <c r="G183" i="46"/>
  <c r="J183" i="46"/>
  <c r="L183" i="43" s="1"/>
  <c r="I183" i="46"/>
  <c r="E183" i="43" s="1"/>
  <c r="I117" i="46"/>
  <c r="E117" i="43" s="1"/>
  <c r="J117" i="46"/>
  <c r="L117" i="43" s="1"/>
  <c r="G160" i="46"/>
  <c r="J160" i="46"/>
  <c r="L160" i="43" s="1"/>
  <c r="I160" i="46"/>
  <c r="E160" i="43" s="1"/>
  <c r="I269" i="46"/>
  <c r="E269" i="43" s="1"/>
  <c r="J269" i="46"/>
  <c r="L269" i="43" s="1"/>
  <c r="J84" i="46"/>
  <c r="L84" i="43" s="1"/>
  <c r="I84" i="46"/>
  <c r="E84" i="43" s="1"/>
  <c r="G290" i="46"/>
  <c r="J290" i="46"/>
  <c r="L290" i="43" s="1"/>
  <c r="I290" i="46"/>
  <c r="E290" i="43" s="1"/>
  <c r="J241" i="46"/>
  <c r="L241" i="43" s="1"/>
  <c r="I241" i="46"/>
  <c r="E241" i="43" s="1"/>
  <c r="J273" i="46"/>
  <c r="L273" i="43" s="1"/>
  <c r="I273" i="46"/>
  <c r="E273" i="43" s="1"/>
  <c r="G53" i="46"/>
  <c r="I53" i="46"/>
  <c r="E53" i="43" s="1"/>
  <c r="J53" i="46"/>
  <c r="L53" i="43" s="1"/>
  <c r="J254" i="46"/>
  <c r="L254" i="43" s="1"/>
  <c r="I254" i="46"/>
  <c r="E254" i="43" s="1"/>
  <c r="G228" i="46"/>
  <c r="J228" i="46"/>
  <c r="I228" i="46"/>
  <c r="E228" i="43" s="1"/>
  <c r="J239" i="46"/>
  <c r="L239" i="43" s="1"/>
  <c r="I239" i="46"/>
  <c r="E239" i="43" s="1"/>
  <c r="J207" i="46"/>
  <c r="L207" i="43" s="1"/>
  <c r="I207" i="46"/>
  <c r="E207" i="43" s="1"/>
  <c r="J308" i="46"/>
  <c r="L308" i="43" s="1"/>
  <c r="I308" i="46"/>
  <c r="E308" i="43" s="1"/>
  <c r="J202" i="46"/>
  <c r="L202" i="43" s="1"/>
  <c r="I202" i="46"/>
  <c r="E202" i="43" s="1"/>
  <c r="G302" i="46"/>
  <c r="J302" i="46"/>
  <c r="L302" i="43" s="1"/>
  <c r="I302" i="46"/>
  <c r="E302" i="43" s="1"/>
  <c r="G205" i="46"/>
  <c r="I205" i="46"/>
  <c r="E205" i="43" s="1"/>
  <c r="J205" i="46"/>
  <c r="L205" i="43" s="1"/>
  <c r="I312" i="45"/>
  <c r="J312" i="45" s="1"/>
  <c r="D312" i="43" s="1"/>
  <c r="I308" i="45"/>
  <c r="J308" i="45" s="1"/>
  <c r="D308" i="43" s="1"/>
  <c r="I304" i="45"/>
  <c r="J304" i="45" s="1"/>
  <c r="D304" i="43" s="1"/>
  <c r="I300" i="45"/>
  <c r="J300" i="45" s="1"/>
  <c r="D300" i="43" s="1"/>
  <c r="I296" i="45"/>
  <c r="J296" i="45" s="1"/>
  <c r="D296" i="43" s="1"/>
  <c r="I292" i="45"/>
  <c r="J292" i="45" s="1"/>
  <c r="D292" i="43" s="1"/>
  <c r="I288" i="45"/>
  <c r="J288" i="45" s="1"/>
  <c r="D288" i="43" s="1"/>
  <c r="I284" i="45"/>
  <c r="J284" i="45" s="1"/>
  <c r="D284" i="43" s="1"/>
  <c r="I280" i="45"/>
  <c r="J280" i="45" s="1"/>
  <c r="D280" i="43" s="1"/>
  <c r="I276" i="45"/>
  <c r="J276" i="45" s="1"/>
  <c r="D276" i="43" s="1"/>
  <c r="I272" i="45"/>
  <c r="J272" i="45" s="1"/>
  <c r="D272" i="43" s="1"/>
  <c r="I268" i="45"/>
  <c r="J268" i="45" s="1"/>
  <c r="D268" i="43" s="1"/>
  <c r="I264" i="45"/>
  <c r="J264" i="45" s="1"/>
  <c r="D264" i="43" s="1"/>
  <c r="I260" i="45"/>
  <c r="J260" i="45" s="1"/>
  <c r="D260" i="43" s="1"/>
  <c r="I256" i="45"/>
  <c r="J256" i="45" s="1"/>
  <c r="D256" i="43" s="1"/>
  <c r="I252" i="45"/>
  <c r="J252" i="45" s="1"/>
  <c r="D252" i="43" s="1"/>
  <c r="I248" i="45"/>
  <c r="J248" i="45" s="1"/>
  <c r="D248" i="43" s="1"/>
  <c r="I244" i="45"/>
  <c r="J244" i="45" s="1"/>
  <c r="D244" i="43" s="1"/>
  <c r="I240" i="45"/>
  <c r="J240" i="45" s="1"/>
  <c r="D240" i="43" s="1"/>
  <c r="I236" i="45"/>
  <c r="J236" i="45" s="1"/>
  <c r="D236" i="43" s="1"/>
  <c r="I232" i="45"/>
  <c r="J232" i="45" s="1"/>
  <c r="D232" i="43" s="1"/>
  <c r="I228" i="45"/>
  <c r="J228" i="45" s="1"/>
  <c r="D228" i="43" s="1"/>
  <c r="I224" i="45"/>
  <c r="J224" i="45" s="1"/>
  <c r="D224" i="43" s="1"/>
  <c r="I220" i="45"/>
  <c r="J220" i="45" s="1"/>
  <c r="D220" i="43" s="1"/>
  <c r="I216" i="45"/>
  <c r="J216" i="45" s="1"/>
  <c r="D216" i="43" s="1"/>
  <c r="I212" i="45"/>
  <c r="J212" i="45" s="1"/>
  <c r="D212" i="43" s="1"/>
  <c r="I208" i="45"/>
  <c r="J208" i="45" s="1"/>
  <c r="D208" i="43" s="1"/>
  <c r="I204" i="45"/>
  <c r="J204" i="45" s="1"/>
  <c r="D204" i="43" s="1"/>
  <c r="I200" i="45"/>
  <c r="J200" i="45" s="1"/>
  <c r="D200" i="43" s="1"/>
  <c r="I196" i="45"/>
  <c r="J196" i="45" s="1"/>
  <c r="D196" i="43" s="1"/>
  <c r="I192" i="45"/>
  <c r="J192" i="45" s="1"/>
  <c r="D192" i="43" s="1"/>
  <c r="I188" i="45"/>
  <c r="J188" i="45" s="1"/>
  <c r="D188" i="43" s="1"/>
  <c r="I184" i="45"/>
  <c r="J184" i="45" s="1"/>
  <c r="D184" i="43" s="1"/>
  <c r="I180" i="45"/>
  <c r="J180" i="45" s="1"/>
  <c r="D180" i="43" s="1"/>
  <c r="I176" i="45"/>
  <c r="J176" i="45" s="1"/>
  <c r="D176" i="43" s="1"/>
  <c r="I172" i="45"/>
  <c r="J172" i="45" s="1"/>
  <c r="D172" i="43" s="1"/>
  <c r="I168" i="45"/>
  <c r="J168" i="45" s="1"/>
  <c r="D168" i="43" s="1"/>
  <c r="I164" i="45"/>
  <c r="J164" i="45" s="1"/>
  <c r="D164" i="43" s="1"/>
  <c r="I160" i="45"/>
  <c r="J160" i="45" s="1"/>
  <c r="D160" i="43" s="1"/>
  <c r="I156" i="45"/>
  <c r="J156" i="45" s="1"/>
  <c r="D156" i="43" s="1"/>
  <c r="I152" i="45"/>
  <c r="J152" i="45" s="1"/>
  <c r="D152" i="43" s="1"/>
  <c r="I148" i="45"/>
  <c r="J148" i="45" s="1"/>
  <c r="D148" i="43" s="1"/>
  <c r="I144" i="45"/>
  <c r="J144" i="45" s="1"/>
  <c r="D144" i="43" s="1"/>
  <c r="I140" i="45"/>
  <c r="J140" i="45" s="1"/>
  <c r="D140" i="43" s="1"/>
  <c r="I136" i="45"/>
  <c r="J136" i="45" s="1"/>
  <c r="D136" i="43" s="1"/>
  <c r="I132" i="45"/>
  <c r="J132" i="45" s="1"/>
  <c r="D132" i="43" s="1"/>
  <c r="I128" i="45"/>
  <c r="J128" i="45" s="1"/>
  <c r="D128" i="43" s="1"/>
  <c r="I124" i="45"/>
  <c r="J124" i="45" s="1"/>
  <c r="D124" i="43" s="1"/>
  <c r="I120" i="45"/>
  <c r="J120" i="45" s="1"/>
  <c r="D120" i="43" s="1"/>
  <c r="I116" i="45"/>
  <c r="J116" i="45" s="1"/>
  <c r="D116" i="43" s="1"/>
  <c r="I112" i="45"/>
  <c r="J112" i="45" s="1"/>
  <c r="D112" i="43" s="1"/>
  <c r="I108" i="45"/>
  <c r="J108" i="45" s="1"/>
  <c r="D108" i="43" s="1"/>
  <c r="I104" i="45"/>
  <c r="J104" i="45" s="1"/>
  <c r="D104" i="43" s="1"/>
  <c r="I100" i="45"/>
  <c r="J100" i="45" s="1"/>
  <c r="D100" i="43" s="1"/>
  <c r="I96" i="45"/>
  <c r="J96" i="45" s="1"/>
  <c r="D96" i="43" s="1"/>
  <c r="I92" i="45"/>
  <c r="J92" i="45" s="1"/>
  <c r="D92" i="43" s="1"/>
  <c r="I88" i="45"/>
  <c r="J88" i="45" s="1"/>
  <c r="D88" i="43" s="1"/>
  <c r="I84" i="45"/>
  <c r="J84" i="45" s="1"/>
  <c r="D84" i="43" s="1"/>
  <c r="I80" i="45"/>
  <c r="J80" i="45" s="1"/>
  <c r="D80" i="43" s="1"/>
  <c r="I76" i="45"/>
  <c r="J76" i="45" s="1"/>
  <c r="D76" i="43" s="1"/>
  <c r="I72" i="45"/>
  <c r="J72" i="45" s="1"/>
  <c r="D72" i="43" s="1"/>
  <c r="I68" i="45"/>
  <c r="J68" i="45" s="1"/>
  <c r="D68" i="43" s="1"/>
  <c r="I64" i="45"/>
  <c r="J64" i="45" s="1"/>
  <c r="D64" i="43" s="1"/>
  <c r="I60" i="45"/>
  <c r="J60" i="45" s="1"/>
  <c r="D60" i="43" s="1"/>
  <c r="I56" i="45"/>
  <c r="J56" i="45" s="1"/>
  <c r="D56" i="43" s="1"/>
  <c r="I52" i="45"/>
  <c r="J52" i="45" s="1"/>
  <c r="D52" i="43" s="1"/>
  <c r="I48" i="45"/>
  <c r="J48" i="45" s="1"/>
  <c r="D48" i="43" s="1"/>
  <c r="I44" i="45"/>
  <c r="J44" i="45" s="1"/>
  <c r="D44" i="43" s="1"/>
  <c r="I40" i="45"/>
  <c r="J40" i="45" s="1"/>
  <c r="D40" i="43" s="1"/>
  <c r="I36" i="45"/>
  <c r="J36" i="45" s="1"/>
  <c r="D36" i="43" s="1"/>
  <c r="I32" i="45"/>
  <c r="J32" i="45" s="1"/>
  <c r="D32" i="43" s="1"/>
  <c r="I28" i="45"/>
  <c r="J28" i="45" s="1"/>
  <c r="D28" i="43" s="1"/>
  <c r="I24" i="45"/>
  <c r="J24" i="45" s="1"/>
  <c r="D24" i="43" s="1"/>
  <c r="I20" i="45"/>
  <c r="J20" i="45" s="1"/>
  <c r="D20" i="43" s="1"/>
  <c r="I16" i="45"/>
  <c r="J16" i="45" s="1"/>
  <c r="D16" i="43" s="1"/>
  <c r="I12" i="45"/>
  <c r="J12" i="45" s="1"/>
  <c r="D12" i="43" s="1"/>
  <c r="I8" i="45"/>
  <c r="J8" i="45" s="1"/>
  <c r="D8" i="43" s="1"/>
  <c r="G244" i="46"/>
  <c r="J244" i="46"/>
  <c r="L244" i="43" s="1"/>
  <c r="I244" i="46"/>
  <c r="E244" i="43" s="1"/>
  <c r="G230" i="46"/>
  <c r="J230" i="46"/>
  <c r="L230" i="43" s="1"/>
  <c r="I230" i="46"/>
  <c r="E230" i="43" s="1"/>
  <c r="G149" i="46"/>
  <c r="I149" i="46"/>
  <c r="E149" i="43" s="1"/>
  <c r="J149" i="46"/>
  <c r="L149" i="43" s="1"/>
  <c r="G170" i="46"/>
  <c r="J170" i="46"/>
  <c r="L170" i="43" s="1"/>
  <c r="I170" i="46"/>
  <c r="E170" i="43" s="1"/>
  <c r="G31" i="46"/>
  <c r="J31" i="46"/>
  <c r="L31" i="43" s="1"/>
  <c r="I31" i="46"/>
  <c r="E31" i="43" s="1"/>
  <c r="G293" i="46"/>
  <c r="I293" i="46"/>
  <c r="E293" i="43" s="1"/>
  <c r="J293" i="46"/>
  <c r="L293" i="43" s="1"/>
  <c r="G247" i="46"/>
  <c r="J247" i="46"/>
  <c r="L247" i="43" s="1"/>
  <c r="I247" i="46"/>
  <c r="E247" i="43" s="1"/>
  <c r="G18" i="46"/>
  <c r="J18" i="46"/>
  <c r="L18" i="43" s="1"/>
  <c r="I18" i="46"/>
  <c r="E18" i="43" s="1"/>
  <c r="G168" i="46"/>
  <c r="J168" i="46"/>
  <c r="L168" i="43" s="1"/>
  <c r="I168" i="46"/>
  <c r="E168" i="43" s="1"/>
  <c r="G140" i="46"/>
  <c r="J140" i="46"/>
  <c r="L140" i="43" s="1"/>
  <c r="I140" i="46"/>
  <c r="E140" i="43" s="1"/>
  <c r="G61" i="46"/>
  <c r="I61" i="46"/>
  <c r="E61" i="43" s="1"/>
  <c r="J61" i="46"/>
  <c r="L61" i="43" s="1"/>
  <c r="G251" i="46"/>
  <c r="J251" i="46"/>
  <c r="L251" i="43" s="1"/>
  <c r="I251" i="46"/>
  <c r="E251" i="43" s="1"/>
  <c r="G132" i="46"/>
  <c r="J132" i="46"/>
  <c r="L132" i="43" s="1"/>
  <c r="I132" i="46"/>
  <c r="E132" i="43" s="1"/>
  <c r="G83" i="46"/>
  <c r="J83" i="46"/>
  <c r="L83" i="43" s="1"/>
  <c r="I83" i="46"/>
  <c r="E83" i="43" s="1"/>
  <c r="G17" i="46"/>
  <c r="J17" i="46"/>
  <c r="L17" i="43" s="1"/>
  <c r="I17" i="46"/>
  <c r="E17" i="43" s="1"/>
  <c r="G233" i="46"/>
  <c r="J233" i="46"/>
  <c r="L233" i="43" s="1"/>
  <c r="I233" i="46"/>
  <c r="E233" i="43" s="1"/>
  <c r="G238" i="46"/>
  <c r="J238" i="46"/>
  <c r="L238" i="43" s="1"/>
  <c r="I238" i="46"/>
  <c r="E238" i="43" s="1"/>
  <c r="G236" i="46"/>
  <c r="J236" i="46"/>
  <c r="L236" i="43" s="1"/>
  <c r="I236" i="46"/>
  <c r="E236" i="43" s="1"/>
  <c r="G47" i="46"/>
  <c r="J47" i="46"/>
  <c r="L47" i="43" s="1"/>
  <c r="I47" i="46"/>
  <c r="E47" i="43" s="1"/>
  <c r="G201" i="46"/>
  <c r="J201" i="46"/>
  <c r="L201" i="43" s="1"/>
  <c r="I201" i="46"/>
  <c r="E201" i="43" s="1"/>
  <c r="G59" i="46"/>
  <c r="I59" i="46"/>
  <c r="E59" i="43" s="1"/>
  <c r="J59" i="46"/>
  <c r="L59" i="43" s="1"/>
  <c r="G199" i="46"/>
  <c r="J199" i="46"/>
  <c r="L199" i="43" s="1"/>
  <c r="I199" i="46"/>
  <c r="E199" i="43" s="1"/>
  <c r="G175" i="46"/>
  <c r="J175" i="46"/>
  <c r="L175" i="43" s="1"/>
  <c r="I175" i="46"/>
  <c r="E175" i="43" s="1"/>
  <c r="G95" i="46"/>
  <c r="J95" i="46"/>
  <c r="L95" i="43" s="1"/>
  <c r="I95" i="46"/>
  <c r="E95" i="43" s="1"/>
  <c r="G155" i="46"/>
  <c r="I155" i="46"/>
  <c r="E155" i="43" s="1"/>
  <c r="J155" i="46"/>
  <c r="L155" i="43" s="1"/>
  <c r="G107" i="46"/>
  <c r="J107" i="46"/>
  <c r="L107" i="43" s="1"/>
  <c r="I107" i="46"/>
  <c r="E107" i="43" s="1"/>
  <c r="G291" i="46"/>
  <c r="J291" i="46"/>
  <c r="L291" i="43" s="1"/>
  <c r="I291" i="46"/>
  <c r="E291" i="43" s="1"/>
  <c r="G111" i="46"/>
  <c r="J111" i="46"/>
  <c r="L111" i="43" s="1"/>
  <c r="I111" i="46"/>
  <c r="E111" i="43" s="1"/>
  <c r="G303" i="46"/>
  <c r="J303" i="46"/>
  <c r="L303" i="43" s="1"/>
  <c r="I303" i="46"/>
  <c r="E303" i="43" s="1"/>
  <c r="G278" i="46"/>
  <c r="J278" i="46"/>
  <c r="L278" i="43" s="1"/>
  <c r="I278" i="46"/>
  <c r="E278" i="43" s="1"/>
  <c r="G80" i="46"/>
  <c r="J80" i="46"/>
  <c r="L80" i="43" s="1"/>
  <c r="I80" i="46"/>
  <c r="E80" i="43" s="1"/>
  <c r="G36" i="46"/>
  <c r="J36" i="46"/>
  <c r="L36" i="43" s="1"/>
  <c r="I36" i="46"/>
  <c r="E36" i="43" s="1"/>
  <c r="G7" i="46"/>
  <c r="J7" i="46"/>
  <c r="L7" i="43" s="1"/>
  <c r="I7" i="46"/>
  <c r="E7" i="43" s="1"/>
  <c r="G124" i="46"/>
  <c r="J124" i="46"/>
  <c r="L124" i="43" s="1"/>
  <c r="I124" i="46"/>
  <c r="E124" i="43" s="1"/>
  <c r="G13" i="46"/>
  <c r="I13" i="46"/>
  <c r="E13" i="43" s="1"/>
  <c r="J13" i="46"/>
  <c r="L13" i="43" s="1"/>
  <c r="G115" i="46"/>
  <c r="J115" i="46"/>
  <c r="L115" i="43" s="1"/>
  <c r="I115" i="46"/>
  <c r="E115" i="43" s="1"/>
  <c r="G67" i="46"/>
  <c r="J67" i="46"/>
  <c r="L67" i="43" s="1"/>
  <c r="I67" i="46"/>
  <c r="E67" i="43" s="1"/>
  <c r="G112" i="46"/>
  <c r="J112" i="46"/>
  <c r="L112" i="43" s="1"/>
  <c r="I112" i="46"/>
  <c r="E112" i="43" s="1"/>
  <c r="G179" i="46"/>
  <c r="J179" i="46"/>
  <c r="L179" i="43" s="1"/>
  <c r="I179" i="46"/>
  <c r="E179" i="43" s="1"/>
  <c r="G44" i="46"/>
  <c r="J44" i="46"/>
  <c r="L44" i="43" s="1"/>
  <c r="I44" i="46"/>
  <c r="E44" i="43" s="1"/>
  <c r="G103" i="46"/>
  <c r="J103" i="46"/>
  <c r="L103" i="43" s="1"/>
  <c r="I103" i="46"/>
  <c r="E103" i="43" s="1"/>
  <c r="G296" i="46"/>
  <c r="J296" i="46"/>
  <c r="L296" i="43" s="1"/>
  <c r="I296" i="46"/>
  <c r="E296" i="43" s="1"/>
  <c r="G204" i="46"/>
  <c r="J204" i="46"/>
  <c r="L204" i="43" s="1"/>
  <c r="I204" i="46"/>
  <c r="E204" i="43" s="1"/>
  <c r="G15" i="46"/>
  <c r="J15" i="46"/>
  <c r="L15" i="43" s="1"/>
  <c r="I15" i="46"/>
  <c r="E15" i="43" s="1"/>
  <c r="G88" i="46"/>
  <c r="J88" i="46"/>
  <c r="L88" i="43" s="1"/>
  <c r="I88" i="46"/>
  <c r="E88" i="43" s="1"/>
  <c r="G99" i="46"/>
  <c r="J99" i="46"/>
  <c r="L99" i="43" s="1"/>
  <c r="I99" i="46"/>
  <c r="E99" i="43" s="1"/>
  <c r="G246" i="46"/>
  <c r="J246" i="46"/>
  <c r="L246" i="43" s="1"/>
  <c r="I246" i="46"/>
  <c r="E246" i="43" s="1"/>
  <c r="I229" i="46"/>
  <c r="E229" i="43" s="1"/>
  <c r="J229" i="46"/>
  <c r="L229" i="43" s="1"/>
  <c r="G242" i="46"/>
  <c r="J242" i="46"/>
  <c r="L242" i="43" s="1"/>
  <c r="I242" i="46"/>
  <c r="E242" i="43" s="1"/>
  <c r="G313" i="46"/>
  <c r="J313" i="46"/>
  <c r="L313" i="43" s="1"/>
  <c r="I313" i="46"/>
  <c r="E313" i="43" s="1"/>
  <c r="G285" i="46"/>
  <c r="I285" i="46"/>
  <c r="E285" i="43" s="1"/>
  <c r="J285" i="46"/>
  <c r="J146" i="46"/>
  <c r="L146" i="43" s="1"/>
  <c r="I146" i="46"/>
  <c r="E146" i="43" s="1"/>
  <c r="J39" i="46"/>
  <c r="L39" i="43" s="1"/>
  <c r="I39" i="46"/>
  <c r="E39" i="43" s="1"/>
  <c r="J256" i="46"/>
  <c r="L256" i="43" s="1"/>
  <c r="I256" i="46"/>
  <c r="E256" i="43" s="1"/>
  <c r="G195" i="46"/>
  <c r="J195" i="46"/>
  <c r="L195" i="43" s="1"/>
  <c r="I195" i="46"/>
  <c r="E195" i="43" s="1"/>
  <c r="G206" i="46"/>
  <c r="J206" i="46"/>
  <c r="L206" i="43" s="1"/>
  <c r="I206" i="46"/>
  <c r="E206" i="43" s="1"/>
  <c r="J209" i="46"/>
  <c r="L209" i="43" s="1"/>
  <c r="I209" i="46"/>
  <c r="E209" i="43" s="1"/>
  <c r="J9" i="46"/>
  <c r="L9" i="43" s="1"/>
  <c r="I9" i="46"/>
  <c r="E9" i="43" s="1"/>
  <c r="J218" i="46"/>
  <c r="L218" i="43" s="1"/>
  <c r="I218" i="46"/>
  <c r="E218" i="43" s="1"/>
  <c r="G193" i="46"/>
  <c r="J193" i="46"/>
  <c r="L193" i="43" s="1"/>
  <c r="I193" i="46"/>
  <c r="E193" i="43" s="1"/>
  <c r="J174" i="46"/>
  <c r="L174" i="43" s="1"/>
  <c r="I174" i="46"/>
  <c r="E174" i="43" s="1"/>
  <c r="J152" i="46"/>
  <c r="L152" i="43" s="1"/>
  <c r="I152" i="46"/>
  <c r="E152" i="43" s="1"/>
  <c r="G162" i="46"/>
  <c r="J162" i="46"/>
  <c r="L162" i="43" s="1"/>
  <c r="I162" i="46"/>
  <c r="E162" i="43" s="1"/>
  <c r="J224" i="46"/>
  <c r="L224" i="43" s="1"/>
  <c r="I224" i="46"/>
  <c r="E224" i="43" s="1"/>
  <c r="J305" i="46"/>
  <c r="L305" i="43" s="1"/>
  <c r="I305" i="46"/>
  <c r="E305" i="43" s="1"/>
  <c r="G279" i="46"/>
  <c r="J279" i="46"/>
  <c r="L279" i="43" s="1"/>
  <c r="I279" i="46"/>
  <c r="E279" i="43" s="1"/>
  <c r="G150" i="46"/>
  <c r="J150" i="46"/>
  <c r="L150" i="43" s="1"/>
  <c r="I150" i="46"/>
  <c r="E150" i="43" s="1"/>
  <c r="S261" i="43"/>
  <c r="S197" i="43"/>
  <c r="K234" i="46"/>
  <c r="G237" i="46"/>
  <c r="G269" i="46"/>
  <c r="K289" i="46"/>
  <c r="K22" i="46"/>
  <c r="S289" i="43"/>
  <c r="S301" i="43"/>
  <c r="S90" i="43"/>
  <c r="G117" i="46"/>
  <c r="G84" i="46"/>
  <c r="G241" i="46"/>
  <c r="G273" i="46"/>
  <c r="G254" i="46"/>
  <c r="G239" i="46"/>
  <c r="G37" i="46"/>
  <c r="G308" i="46"/>
  <c r="G202" i="46"/>
  <c r="G25" i="46"/>
  <c r="S89" i="43"/>
  <c r="K89" i="46"/>
  <c r="G229" i="46"/>
  <c r="G146" i="46"/>
  <c r="G39" i="46"/>
  <c r="G256" i="46"/>
  <c r="G209" i="46"/>
  <c r="G9" i="46"/>
  <c r="G218" i="46"/>
  <c r="G174" i="46"/>
  <c r="G207" i="46"/>
  <c r="G224" i="46"/>
  <c r="G305" i="46"/>
  <c r="S121" i="43"/>
  <c r="K82" i="46"/>
  <c r="S284" i="43"/>
  <c r="G48" i="46"/>
  <c r="G65" i="46"/>
  <c r="G245" i="46"/>
  <c r="G277" i="46"/>
  <c r="K277" i="46"/>
  <c r="G75" i="46"/>
  <c r="G186" i="46"/>
  <c r="G234" i="46"/>
  <c r="G141" i="46"/>
  <c r="G113" i="46"/>
  <c r="G177" i="46"/>
  <c r="G73" i="46"/>
  <c r="G133" i="46"/>
  <c r="G152" i="46"/>
  <c r="G165" i="46"/>
  <c r="G191" i="46"/>
  <c r="G5" i="46"/>
  <c r="G14" i="46"/>
  <c r="G222" i="46"/>
  <c r="G208" i="46"/>
  <c r="G211" i="46"/>
  <c r="G21" i="46"/>
  <c r="G221" i="46"/>
  <c r="G85" i="46"/>
  <c r="G311" i="46"/>
  <c r="G283" i="46"/>
  <c r="G142" i="46"/>
  <c r="G40" i="46"/>
  <c r="G45" i="46"/>
  <c r="G309" i="46"/>
  <c r="G250" i="46"/>
  <c r="K250" i="46"/>
  <c r="G118" i="46"/>
  <c r="G213" i="46"/>
  <c r="G134" i="46"/>
  <c r="S74" i="43"/>
  <c r="S58" i="43"/>
  <c r="S26" i="43"/>
  <c r="S82" i="43"/>
  <c r="S34" i="43"/>
  <c r="S159" i="43"/>
  <c r="S106" i="43"/>
  <c r="S24" i="43"/>
  <c r="S10" i="43"/>
  <c r="S171" i="43"/>
  <c r="K62" i="46"/>
  <c r="K154" i="46"/>
  <c r="S62" i="43"/>
  <c r="S126" i="43"/>
  <c r="S8" i="43"/>
  <c r="S66" i="43"/>
  <c r="K66" i="46"/>
  <c r="K26" i="46"/>
  <c r="K74" i="46"/>
  <c r="K46" i="46"/>
  <c r="K130" i="46"/>
  <c r="K196" i="46"/>
  <c r="K70" i="46"/>
  <c r="S70" i="43"/>
  <c r="S22" i="43"/>
  <c r="S134" i="43"/>
  <c r="K134" i="46"/>
  <c r="S182" i="43"/>
  <c r="K182" i="46"/>
  <c r="S102" i="43"/>
  <c r="S188" i="43"/>
  <c r="K188" i="46"/>
  <c r="S94" i="43"/>
  <c r="S68" i="43"/>
  <c r="K68" i="46"/>
  <c r="S274" i="43"/>
  <c r="K274" i="46"/>
  <c r="S42" i="43"/>
  <c r="K42" i="46"/>
  <c r="S130" i="43"/>
  <c r="S196" i="43"/>
  <c r="S154" i="43"/>
  <c r="S253" i="43"/>
  <c r="K253" i="46"/>
  <c r="S30" i="43"/>
  <c r="K30" i="46"/>
  <c r="S98" i="43"/>
  <c r="K98" i="46"/>
  <c r="K51" i="46"/>
  <c r="K23" i="46"/>
  <c r="M21" i="45"/>
  <c r="N21" i="45" s="1"/>
  <c r="O21" i="45" s="1"/>
  <c r="M53" i="45"/>
  <c r="N53" i="45" s="1"/>
  <c r="O53" i="45" s="1"/>
  <c r="M85" i="45"/>
  <c r="N85" i="45" s="1"/>
  <c r="O85" i="45" s="1"/>
  <c r="M117" i="45"/>
  <c r="N117" i="45" s="1"/>
  <c r="O117" i="45" s="1"/>
  <c r="M18" i="45"/>
  <c r="N18" i="45" s="1"/>
  <c r="O18" i="45" s="1"/>
  <c r="M34" i="45"/>
  <c r="N34" i="45" s="1"/>
  <c r="O34" i="45" s="1"/>
  <c r="M66" i="45"/>
  <c r="N66" i="45" s="1"/>
  <c r="O66" i="45" s="1"/>
  <c r="M98" i="45"/>
  <c r="N98" i="45" s="1"/>
  <c r="O98" i="45" s="1"/>
  <c r="M126" i="45"/>
  <c r="N126" i="45" s="1"/>
  <c r="O126" i="45" s="1"/>
  <c r="M142" i="45"/>
  <c r="N142" i="45" s="1"/>
  <c r="O142" i="45" s="1"/>
  <c r="M158" i="45"/>
  <c r="N158" i="45" s="1"/>
  <c r="O158" i="45" s="1"/>
  <c r="M31" i="45"/>
  <c r="N31" i="45" s="1"/>
  <c r="O31" i="45" s="1"/>
  <c r="M47" i="45"/>
  <c r="N47" i="45" s="1"/>
  <c r="O47" i="45" s="1"/>
  <c r="M63" i="45"/>
  <c r="N63" i="45" s="1"/>
  <c r="O63" i="45" s="1"/>
  <c r="M79" i="45"/>
  <c r="N79" i="45" s="1"/>
  <c r="O79" i="45" s="1"/>
  <c r="M95" i="45"/>
  <c r="N95" i="45" s="1"/>
  <c r="O95" i="45" s="1"/>
  <c r="M111" i="45"/>
  <c r="N111" i="45" s="1"/>
  <c r="O111" i="45" s="1"/>
  <c r="M20" i="45"/>
  <c r="N20" i="45" s="1"/>
  <c r="O20" i="45" s="1"/>
  <c r="M40" i="45"/>
  <c r="N40" i="45" s="1"/>
  <c r="O40" i="45" s="1"/>
  <c r="M72" i="45"/>
  <c r="N72" i="45" s="1"/>
  <c r="O72" i="45" s="1"/>
  <c r="M104" i="45"/>
  <c r="N104" i="45" s="1"/>
  <c r="O104" i="45" s="1"/>
  <c r="M128" i="45"/>
  <c r="N128" i="45" s="1"/>
  <c r="O128" i="45" s="1"/>
  <c r="M144" i="45"/>
  <c r="N144" i="45" s="1"/>
  <c r="O144" i="45" s="1"/>
  <c r="M19" i="45"/>
  <c r="N19" i="45" s="1"/>
  <c r="O19" i="45" s="1"/>
  <c r="M131" i="45"/>
  <c r="N131" i="45" s="1"/>
  <c r="O131" i="45" s="1"/>
  <c r="M147" i="45"/>
  <c r="N147" i="45" s="1"/>
  <c r="O147" i="45" s="1"/>
  <c r="M163" i="45"/>
  <c r="N163" i="45" s="1"/>
  <c r="O163" i="45" s="1"/>
  <c r="M179" i="45"/>
  <c r="N179" i="45" s="1"/>
  <c r="O179" i="45" s="1"/>
  <c r="M195" i="45"/>
  <c r="N195" i="45" s="1"/>
  <c r="O195" i="45" s="1"/>
  <c r="M211" i="45"/>
  <c r="N211" i="45" s="1"/>
  <c r="O211" i="45" s="1"/>
  <c r="M227" i="45"/>
  <c r="N227" i="45" s="1"/>
  <c r="O227" i="45" s="1"/>
  <c r="M243" i="45"/>
  <c r="N243" i="45" s="1"/>
  <c r="O243" i="45" s="1"/>
  <c r="M259" i="45"/>
  <c r="N259" i="45" s="1"/>
  <c r="O259" i="45" s="1"/>
  <c r="M275" i="45"/>
  <c r="N275" i="45" s="1"/>
  <c r="O275" i="45" s="1"/>
  <c r="M291" i="45"/>
  <c r="N291" i="45" s="1"/>
  <c r="O291" i="45" s="1"/>
  <c r="M307" i="45"/>
  <c r="N307" i="45" s="1"/>
  <c r="O307" i="45" s="1"/>
  <c r="M16" i="45"/>
  <c r="N16" i="45" s="1"/>
  <c r="O16" i="45" s="1"/>
  <c r="M60" i="45"/>
  <c r="N60" i="45" s="1"/>
  <c r="O60" i="45" s="1"/>
  <c r="M92" i="45"/>
  <c r="N92" i="45" s="1"/>
  <c r="O92" i="45" s="1"/>
  <c r="M160" i="45"/>
  <c r="N160" i="45" s="1"/>
  <c r="O160" i="45" s="1"/>
  <c r="M176" i="45"/>
  <c r="N176" i="45" s="1"/>
  <c r="O176" i="45" s="1"/>
  <c r="M192" i="45"/>
  <c r="N192" i="45" s="1"/>
  <c r="O192" i="45" s="1"/>
  <c r="M208" i="45"/>
  <c r="N208" i="45" s="1"/>
  <c r="O208" i="45" s="1"/>
  <c r="M224" i="45"/>
  <c r="N224" i="45" s="1"/>
  <c r="O224" i="45" s="1"/>
  <c r="M240" i="45"/>
  <c r="N240" i="45" s="1"/>
  <c r="O240" i="45" s="1"/>
  <c r="M256" i="45"/>
  <c r="N256" i="45" s="1"/>
  <c r="O256" i="45" s="1"/>
  <c r="M272" i="45"/>
  <c r="N272" i="45" s="1"/>
  <c r="O272" i="45" s="1"/>
  <c r="M288" i="45"/>
  <c r="N288" i="45" s="1"/>
  <c r="O288" i="45" s="1"/>
  <c r="M304" i="45"/>
  <c r="N304" i="45" s="1"/>
  <c r="O304" i="45" s="1"/>
  <c r="M41" i="45"/>
  <c r="N41" i="45" s="1"/>
  <c r="O41" i="45" s="1"/>
  <c r="M73" i="45"/>
  <c r="N73" i="45" s="1"/>
  <c r="O73" i="45" s="1"/>
  <c r="M105" i="45"/>
  <c r="N105" i="45" s="1"/>
  <c r="O105" i="45" s="1"/>
  <c r="M129" i="45"/>
  <c r="N129" i="45" s="1"/>
  <c r="O129" i="45" s="1"/>
  <c r="M145" i="45"/>
  <c r="N145" i="45" s="1"/>
  <c r="O145" i="45" s="1"/>
  <c r="M161" i="45"/>
  <c r="N161" i="45" s="1"/>
  <c r="O161" i="45" s="1"/>
  <c r="M177" i="45"/>
  <c r="N177" i="45" s="1"/>
  <c r="O177" i="45" s="1"/>
  <c r="M193" i="45"/>
  <c r="N193" i="45" s="1"/>
  <c r="O193" i="45" s="1"/>
  <c r="M209" i="45"/>
  <c r="N209" i="45" s="1"/>
  <c r="O209" i="45" s="1"/>
  <c r="M225" i="45"/>
  <c r="N225" i="45" s="1"/>
  <c r="O225" i="45" s="1"/>
  <c r="M241" i="45"/>
  <c r="N241" i="45" s="1"/>
  <c r="O241" i="45" s="1"/>
  <c r="M257" i="45"/>
  <c r="N257" i="45" s="1"/>
  <c r="O257" i="45" s="1"/>
  <c r="M273" i="45"/>
  <c r="N273" i="45" s="1"/>
  <c r="O273" i="45" s="1"/>
  <c r="M289" i="45"/>
  <c r="N289" i="45" s="1"/>
  <c r="O289" i="45" s="1"/>
  <c r="M305" i="45"/>
  <c r="N305" i="45" s="1"/>
  <c r="O305" i="45" s="1"/>
  <c r="M46" i="45"/>
  <c r="N46" i="45" s="1"/>
  <c r="O46" i="45" s="1"/>
  <c r="M78" i="45"/>
  <c r="N78" i="45" s="1"/>
  <c r="O78" i="45" s="1"/>
  <c r="M110" i="45"/>
  <c r="N110" i="45" s="1"/>
  <c r="O110" i="45" s="1"/>
  <c r="M170" i="45"/>
  <c r="N170" i="45" s="1"/>
  <c r="O170" i="45" s="1"/>
  <c r="M186" i="45"/>
  <c r="N186" i="45" s="1"/>
  <c r="O186" i="45" s="1"/>
  <c r="M202" i="45"/>
  <c r="N202" i="45" s="1"/>
  <c r="O202" i="45" s="1"/>
  <c r="M218" i="45"/>
  <c r="N218" i="45" s="1"/>
  <c r="O218" i="45" s="1"/>
  <c r="M234" i="45"/>
  <c r="N234" i="45" s="1"/>
  <c r="O234" i="45" s="1"/>
  <c r="M250" i="45"/>
  <c r="N250" i="45" s="1"/>
  <c r="O250" i="45" s="1"/>
  <c r="M266" i="45"/>
  <c r="N266" i="45" s="1"/>
  <c r="O266" i="45" s="1"/>
  <c r="M282" i="45"/>
  <c r="N282" i="45" s="1"/>
  <c r="O282" i="45" s="1"/>
  <c r="M298" i="45"/>
  <c r="N298" i="45" s="1"/>
  <c r="O298" i="45" s="1"/>
  <c r="M312" i="45"/>
  <c r="N312" i="45" s="1"/>
  <c r="O312" i="45" s="1"/>
  <c r="M9" i="45"/>
  <c r="N9" i="45" s="1"/>
  <c r="O9" i="45" s="1"/>
  <c r="M25" i="45"/>
  <c r="N25" i="45" s="1"/>
  <c r="O25" i="45" s="1"/>
  <c r="M61" i="45"/>
  <c r="N61" i="45" s="1"/>
  <c r="O61" i="45" s="1"/>
  <c r="M93" i="45"/>
  <c r="N93" i="45" s="1"/>
  <c r="O93" i="45" s="1"/>
  <c r="M6" i="45"/>
  <c r="N6" i="45" s="1"/>
  <c r="O6" i="45" s="1"/>
  <c r="M22" i="45"/>
  <c r="N22" i="45" s="1"/>
  <c r="O22" i="45" s="1"/>
  <c r="M42" i="45"/>
  <c r="N42" i="45" s="1"/>
  <c r="O42" i="45" s="1"/>
  <c r="M74" i="45"/>
  <c r="N74" i="45" s="1"/>
  <c r="O74" i="45" s="1"/>
  <c r="M106" i="45"/>
  <c r="N106" i="45" s="1"/>
  <c r="O106" i="45" s="1"/>
  <c r="M130" i="45"/>
  <c r="N130" i="45" s="1"/>
  <c r="O130" i="45" s="1"/>
  <c r="M146" i="45"/>
  <c r="N146" i="45" s="1"/>
  <c r="O146" i="45" s="1"/>
  <c r="M7" i="45"/>
  <c r="N7" i="45" s="1"/>
  <c r="O7" i="45" s="1"/>
  <c r="M35" i="45"/>
  <c r="N35" i="45" s="1"/>
  <c r="O35" i="45" s="1"/>
  <c r="M51" i="45"/>
  <c r="N51" i="45" s="1"/>
  <c r="O51" i="45" s="1"/>
  <c r="M67" i="45"/>
  <c r="N67" i="45" s="1"/>
  <c r="O67" i="45" s="1"/>
  <c r="M83" i="45"/>
  <c r="N83" i="45" s="1"/>
  <c r="O83" i="45" s="1"/>
  <c r="M99" i="45"/>
  <c r="N99" i="45" s="1"/>
  <c r="O99" i="45" s="1"/>
  <c r="M115" i="45"/>
  <c r="N115" i="45" s="1"/>
  <c r="O115" i="45" s="1"/>
  <c r="M24" i="45"/>
  <c r="N24" i="45" s="1"/>
  <c r="O24" i="45" s="1"/>
  <c r="M48" i="45"/>
  <c r="N48" i="45" s="1"/>
  <c r="O48" i="45" s="1"/>
  <c r="M80" i="45"/>
  <c r="N80" i="45" s="1"/>
  <c r="O80" i="45" s="1"/>
  <c r="M112" i="45"/>
  <c r="N112" i="45" s="1"/>
  <c r="O112" i="45" s="1"/>
  <c r="M132" i="45"/>
  <c r="N132" i="45" s="1"/>
  <c r="O132" i="45" s="1"/>
  <c r="M148" i="45"/>
  <c r="N148" i="45" s="1"/>
  <c r="O148" i="45" s="1"/>
  <c r="M27" i="45"/>
  <c r="N27" i="45" s="1"/>
  <c r="O27" i="45" s="1"/>
  <c r="M135" i="45"/>
  <c r="N135" i="45" s="1"/>
  <c r="O135" i="45" s="1"/>
  <c r="M151" i="45"/>
  <c r="N151" i="45" s="1"/>
  <c r="O151" i="45" s="1"/>
  <c r="M167" i="45"/>
  <c r="N167" i="45" s="1"/>
  <c r="O167" i="45" s="1"/>
  <c r="M183" i="45"/>
  <c r="N183" i="45" s="1"/>
  <c r="O183" i="45" s="1"/>
  <c r="M199" i="45"/>
  <c r="N199" i="45" s="1"/>
  <c r="O199" i="45" s="1"/>
  <c r="M215" i="45"/>
  <c r="N215" i="45" s="1"/>
  <c r="O215" i="45" s="1"/>
  <c r="M231" i="45"/>
  <c r="N231" i="45" s="1"/>
  <c r="O231" i="45" s="1"/>
  <c r="M247" i="45"/>
  <c r="N247" i="45" s="1"/>
  <c r="O247" i="45" s="1"/>
  <c r="M263" i="45"/>
  <c r="N263" i="45" s="1"/>
  <c r="O263" i="45" s="1"/>
  <c r="M279" i="45"/>
  <c r="N279" i="45" s="1"/>
  <c r="O279" i="45" s="1"/>
  <c r="M295" i="45"/>
  <c r="N295" i="45" s="1"/>
  <c r="O295" i="45" s="1"/>
  <c r="M311" i="45"/>
  <c r="N311" i="45" s="1"/>
  <c r="O311" i="45" s="1"/>
  <c r="M36" i="45"/>
  <c r="N36" i="45" s="1"/>
  <c r="O36" i="45" s="1"/>
  <c r="M68" i="45"/>
  <c r="N68" i="45" s="1"/>
  <c r="O68" i="45" s="1"/>
  <c r="M100" i="45"/>
  <c r="N100" i="45" s="1"/>
  <c r="O100" i="45" s="1"/>
  <c r="M164" i="45"/>
  <c r="N164" i="45" s="1"/>
  <c r="O164" i="45" s="1"/>
  <c r="M180" i="45"/>
  <c r="N180" i="45" s="1"/>
  <c r="O180" i="45" s="1"/>
  <c r="M196" i="45"/>
  <c r="N196" i="45" s="1"/>
  <c r="O196" i="45" s="1"/>
  <c r="M212" i="45"/>
  <c r="N212" i="45" s="1"/>
  <c r="O212" i="45" s="1"/>
  <c r="M228" i="45"/>
  <c r="N228" i="45" s="1"/>
  <c r="O228" i="45" s="1"/>
  <c r="M244" i="45"/>
  <c r="N244" i="45" s="1"/>
  <c r="O244" i="45" s="1"/>
  <c r="M260" i="45"/>
  <c r="N260" i="45" s="1"/>
  <c r="O260" i="45" s="1"/>
  <c r="M276" i="45"/>
  <c r="N276" i="45" s="1"/>
  <c r="O276" i="45" s="1"/>
  <c r="M292" i="45"/>
  <c r="N292" i="45" s="1"/>
  <c r="O292" i="45" s="1"/>
  <c r="M5" i="45"/>
  <c r="N5" i="45" s="1"/>
  <c r="O5" i="45" s="1"/>
  <c r="M49" i="45"/>
  <c r="N49" i="45" s="1"/>
  <c r="O49" i="45" s="1"/>
  <c r="M81" i="45"/>
  <c r="N81" i="45" s="1"/>
  <c r="O81" i="45" s="1"/>
  <c r="M113" i="45"/>
  <c r="N113" i="45" s="1"/>
  <c r="O113" i="45" s="1"/>
  <c r="M133" i="45"/>
  <c r="N133" i="45" s="1"/>
  <c r="O133" i="45" s="1"/>
  <c r="M149" i="45"/>
  <c r="N149" i="45" s="1"/>
  <c r="O149" i="45" s="1"/>
  <c r="M165" i="45"/>
  <c r="N165" i="45" s="1"/>
  <c r="O165" i="45" s="1"/>
  <c r="M181" i="45"/>
  <c r="N181" i="45" s="1"/>
  <c r="O181" i="45" s="1"/>
  <c r="M197" i="45"/>
  <c r="N197" i="45" s="1"/>
  <c r="O197" i="45" s="1"/>
  <c r="M213" i="45"/>
  <c r="N213" i="45" s="1"/>
  <c r="O213" i="45" s="1"/>
  <c r="M229" i="45"/>
  <c r="N229" i="45" s="1"/>
  <c r="O229" i="45" s="1"/>
  <c r="M245" i="45"/>
  <c r="N245" i="45" s="1"/>
  <c r="O245" i="45" s="1"/>
  <c r="M261" i="45"/>
  <c r="N261" i="45" s="1"/>
  <c r="O261" i="45" s="1"/>
  <c r="M277" i="45"/>
  <c r="N277" i="45" s="1"/>
  <c r="O277" i="45" s="1"/>
  <c r="M293" i="45"/>
  <c r="N293" i="45" s="1"/>
  <c r="O293" i="45" s="1"/>
  <c r="M309" i="45"/>
  <c r="N309" i="45" s="1"/>
  <c r="O309" i="45" s="1"/>
  <c r="M54" i="45"/>
  <c r="N54" i="45" s="1"/>
  <c r="O54" i="45" s="1"/>
  <c r="M86" i="45"/>
  <c r="N86" i="45" s="1"/>
  <c r="O86" i="45" s="1"/>
  <c r="M118" i="45"/>
  <c r="N118" i="45" s="1"/>
  <c r="O118" i="45" s="1"/>
  <c r="M174" i="45"/>
  <c r="N174" i="45" s="1"/>
  <c r="O174" i="45" s="1"/>
  <c r="M190" i="45"/>
  <c r="N190" i="45" s="1"/>
  <c r="O190" i="45" s="1"/>
  <c r="M206" i="45"/>
  <c r="N206" i="45" s="1"/>
  <c r="O206" i="45" s="1"/>
  <c r="M222" i="45"/>
  <c r="N222" i="45" s="1"/>
  <c r="O222" i="45" s="1"/>
  <c r="M238" i="45"/>
  <c r="N238" i="45" s="1"/>
  <c r="O238" i="45" s="1"/>
  <c r="M254" i="45"/>
  <c r="N254" i="45" s="1"/>
  <c r="O254" i="45" s="1"/>
  <c r="M270" i="45"/>
  <c r="N270" i="45" s="1"/>
  <c r="O270" i="45" s="1"/>
  <c r="M286" i="45"/>
  <c r="N286" i="45" s="1"/>
  <c r="O286" i="45" s="1"/>
  <c r="M302" i="45"/>
  <c r="N302" i="45" s="1"/>
  <c r="O302" i="45" s="1"/>
  <c r="M306" i="45"/>
  <c r="N306" i="45" s="1"/>
  <c r="O306" i="45" s="1"/>
  <c r="M13" i="45"/>
  <c r="N13" i="45" s="1"/>
  <c r="O13" i="45" s="1"/>
  <c r="M37" i="45"/>
  <c r="N37" i="45" s="1"/>
  <c r="O37" i="45" s="1"/>
  <c r="M69" i="45"/>
  <c r="N69" i="45" s="1"/>
  <c r="O69" i="45" s="1"/>
  <c r="M101" i="45"/>
  <c r="N101" i="45" s="1"/>
  <c r="O101" i="45" s="1"/>
  <c r="M10" i="45"/>
  <c r="N10" i="45" s="1"/>
  <c r="O10" i="45" s="1"/>
  <c r="M26" i="45"/>
  <c r="N26" i="45" s="1"/>
  <c r="O26" i="45" s="1"/>
  <c r="M50" i="45"/>
  <c r="N50" i="45" s="1"/>
  <c r="O50" i="45" s="1"/>
  <c r="M82" i="45"/>
  <c r="N82" i="45" s="1"/>
  <c r="O82" i="45" s="1"/>
  <c r="M114" i="45"/>
  <c r="N114" i="45" s="1"/>
  <c r="O114" i="45" s="1"/>
  <c r="M134" i="45"/>
  <c r="N134" i="45" s="1"/>
  <c r="O134" i="45" s="1"/>
  <c r="M150" i="45"/>
  <c r="N150" i="45" s="1"/>
  <c r="O150" i="45" s="1"/>
  <c r="M11" i="45"/>
  <c r="N11" i="45" s="1"/>
  <c r="O11" i="45" s="1"/>
  <c r="M39" i="45"/>
  <c r="N39" i="45" s="1"/>
  <c r="O39" i="45" s="1"/>
  <c r="M55" i="45"/>
  <c r="N55" i="45" s="1"/>
  <c r="O55" i="45" s="1"/>
  <c r="M71" i="45"/>
  <c r="N71" i="45" s="1"/>
  <c r="O71" i="45" s="1"/>
  <c r="M87" i="45"/>
  <c r="N87" i="45" s="1"/>
  <c r="O87" i="45" s="1"/>
  <c r="M103" i="45"/>
  <c r="N103" i="45" s="1"/>
  <c r="O103" i="45" s="1"/>
  <c r="M119" i="45"/>
  <c r="N119" i="45" s="1"/>
  <c r="O119" i="45" s="1"/>
  <c r="M28" i="45"/>
  <c r="N28" i="45" s="1"/>
  <c r="O28" i="45" s="1"/>
  <c r="M56" i="45"/>
  <c r="N56" i="45" s="1"/>
  <c r="O56" i="45" s="1"/>
  <c r="M88" i="45"/>
  <c r="N88" i="45" s="1"/>
  <c r="O88" i="45" s="1"/>
  <c r="M120" i="45"/>
  <c r="N120" i="45" s="1"/>
  <c r="O120" i="45" s="1"/>
  <c r="M136" i="45"/>
  <c r="N136" i="45" s="1"/>
  <c r="O136" i="45" s="1"/>
  <c r="M152" i="45"/>
  <c r="N152" i="45" s="1"/>
  <c r="O152" i="45" s="1"/>
  <c r="M123" i="45"/>
  <c r="N123" i="45" s="1"/>
  <c r="O123" i="45" s="1"/>
  <c r="M139" i="45"/>
  <c r="N139" i="45" s="1"/>
  <c r="O139" i="45" s="1"/>
  <c r="M155" i="45"/>
  <c r="N155" i="45" s="1"/>
  <c r="O155" i="45" s="1"/>
  <c r="M171" i="45"/>
  <c r="N171" i="45" s="1"/>
  <c r="O171" i="45" s="1"/>
  <c r="M187" i="45"/>
  <c r="N187" i="45" s="1"/>
  <c r="O187" i="45" s="1"/>
  <c r="M203" i="45"/>
  <c r="N203" i="45" s="1"/>
  <c r="O203" i="45" s="1"/>
  <c r="M219" i="45"/>
  <c r="N219" i="45" s="1"/>
  <c r="O219" i="45" s="1"/>
  <c r="M235" i="45"/>
  <c r="N235" i="45" s="1"/>
  <c r="O235" i="45" s="1"/>
  <c r="M251" i="45"/>
  <c r="N251" i="45" s="1"/>
  <c r="O251" i="45" s="1"/>
  <c r="M267" i="45"/>
  <c r="N267" i="45" s="1"/>
  <c r="O267" i="45" s="1"/>
  <c r="M283" i="45"/>
  <c r="N283" i="45" s="1"/>
  <c r="O283" i="45" s="1"/>
  <c r="M299" i="45"/>
  <c r="N299" i="45" s="1"/>
  <c r="O299" i="45" s="1"/>
  <c r="M8" i="45"/>
  <c r="N8" i="45" s="1"/>
  <c r="O8" i="45" s="1"/>
  <c r="M44" i="45"/>
  <c r="N44" i="45" s="1"/>
  <c r="O44" i="45" s="1"/>
  <c r="M76" i="45"/>
  <c r="N76" i="45" s="1"/>
  <c r="O76" i="45" s="1"/>
  <c r="M108" i="45"/>
  <c r="N108" i="45" s="1"/>
  <c r="O108" i="45" s="1"/>
  <c r="M168" i="45"/>
  <c r="N168" i="45" s="1"/>
  <c r="O168" i="45" s="1"/>
  <c r="M184" i="45"/>
  <c r="N184" i="45" s="1"/>
  <c r="O184" i="45" s="1"/>
  <c r="M200" i="45"/>
  <c r="N200" i="45" s="1"/>
  <c r="O200" i="45" s="1"/>
  <c r="M216" i="45"/>
  <c r="N216" i="45" s="1"/>
  <c r="O216" i="45" s="1"/>
  <c r="M232" i="45"/>
  <c r="N232" i="45" s="1"/>
  <c r="O232" i="45" s="1"/>
  <c r="M248" i="45"/>
  <c r="N248" i="45" s="1"/>
  <c r="O248" i="45" s="1"/>
  <c r="M264" i="45"/>
  <c r="N264" i="45" s="1"/>
  <c r="O264" i="45" s="1"/>
  <c r="M280" i="45"/>
  <c r="N280" i="45" s="1"/>
  <c r="O280" i="45" s="1"/>
  <c r="M296" i="45"/>
  <c r="N296" i="45" s="1"/>
  <c r="O296" i="45" s="1"/>
  <c r="M29" i="45"/>
  <c r="N29" i="45" s="1"/>
  <c r="O29" i="45" s="1"/>
  <c r="M57" i="45"/>
  <c r="N57" i="45" s="1"/>
  <c r="O57" i="45" s="1"/>
  <c r="M89" i="45"/>
  <c r="N89" i="45" s="1"/>
  <c r="O89" i="45" s="1"/>
  <c r="M121" i="45"/>
  <c r="N121" i="45" s="1"/>
  <c r="O121" i="45" s="1"/>
  <c r="M137" i="45"/>
  <c r="N137" i="45" s="1"/>
  <c r="O137" i="45" s="1"/>
  <c r="M153" i="45"/>
  <c r="N153" i="45" s="1"/>
  <c r="O153" i="45" s="1"/>
  <c r="M169" i="45"/>
  <c r="N169" i="45" s="1"/>
  <c r="O169" i="45" s="1"/>
  <c r="M185" i="45"/>
  <c r="N185" i="45" s="1"/>
  <c r="O185" i="45" s="1"/>
  <c r="M201" i="45"/>
  <c r="N201" i="45" s="1"/>
  <c r="O201" i="45" s="1"/>
  <c r="M217" i="45"/>
  <c r="N217" i="45" s="1"/>
  <c r="O217" i="45" s="1"/>
  <c r="M233" i="45"/>
  <c r="N233" i="45" s="1"/>
  <c r="O233" i="45" s="1"/>
  <c r="M249" i="45"/>
  <c r="N249" i="45" s="1"/>
  <c r="O249" i="45" s="1"/>
  <c r="M265" i="45"/>
  <c r="N265" i="45" s="1"/>
  <c r="O265" i="45" s="1"/>
  <c r="M281" i="45"/>
  <c r="N281" i="45" s="1"/>
  <c r="O281" i="45" s="1"/>
  <c r="M297" i="45"/>
  <c r="N297" i="45" s="1"/>
  <c r="O297" i="45" s="1"/>
  <c r="M313" i="45"/>
  <c r="N313" i="45" s="1"/>
  <c r="O313" i="45" s="1"/>
  <c r="M62" i="45"/>
  <c r="N62" i="45" s="1"/>
  <c r="O62" i="45" s="1"/>
  <c r="M94" i="45"/>
  <c r="N94" i="45" s="1"/>
  <c r="O94" i="45" s="1"/>
  <c r="M162" i="45"/>
  <c r="N162" i="45" s="1"/>
  <c r="O162" i="45" s="1"/>
  <c r="M178" i="45"/>
  <c r="N178" i="45" s="1"/>
  <c r="O178" i="45" s="1"/>
  <c r="M194" i="45"/>
  <c r="N194" i="45" s="1"/>
  <c r="O194" i="45" s="1"/>
  <c r="M210" i="45"/>
  <c r="N210" i="45" s="1"/>
  <c r="O210" i="45" s="1"/>
  <c r="M226" i="45"/>
  <c r="N226" i="45" s="1"/>
  <c r="O226" i="45" s="1"/>
  <c r="M242" i="45"/>
  <c r="N242" i="45" s="1"/>
  <c r="O242" i="45" s="1"/>
  <c r="M258" i="45"/>
  <c r="N258" i="45" s="1"/>
  <c r="O258" i="45" s="1"/>
  <c r="M274" i="45"/>
  <c r="N274" i="45" s="1"/>
  <c r="O274" i="45" s="1"/>
  <c r="M290" i="45"/>
  <c r="N290" i="45" s="1"/>
  <c r="O290" i="45" s="1"/>
  <c r="M4" i="45"/>
  <c r="N4" i="45" s="1"/>
  <c r="O4" i="45" s="1"/>
  <c r="P4" i="45" s="1"/>
  <c r="M310" i="45"/>
  <c r="N310" i="45" s="1"/>
  <c r="O310" i="45" s="1"/>
  <c r="M17" i="45"/>
  <c r="N17" i="45" s="1"/>
  <c r="O17" i="45" s="1"/>
  <c r="M45" i="45"/>
  <c r="N45" i="45" s="1"/>
  <c r="O45" i="45" s="1"/>
  <c r="M77" i="45"/>
  <c r="N77" i="45" s="1"/>
  <c r="O77" i="45" s="1"/>
  <c r="M109" i="45"/>
  <c r="N109" i="45" s="1"/>
  <c r="O109" i="45" s="1"/>
  <c r="M14" i="45"/>
  <c r="N14" i="45" s="1"/>
  <c r="O14" i="45" s="1"/>
  <c r="M30" i="45"/>
  <c r="N30" i="45" s="1"/>
  <c r="O30" i="45" s="1"/>
  <c r="M58" i="45"/>
  <c r="N58" i="45" s="1"/>
  <c r="O58" i="45" s="1"/>
  <c r="M90" i="45"/>
  <c r="N90" i="45" s="1"/>
  <c r="O90" i="45" s="1"/>
  <c r="M122" i="45"/>
  <c r="N122" i="45" s="1"/>
  <c r="O122" i="45" s="1"/>
  <c r="M138" i="45"/>
  <c r="N138" i="45" s="1"/>
  <c r="O138" i="45" s="1"/>
  <c r="M154" i="45"/>
  <c r="N154" i="45" s="1"/>
  <c r="O154" i="45" s="1"/>
  <c r="M15" i="45"/>
  <c r="N15" i="45" s="1"/>
  <c r="O15" i="45" s="1"/>
  <c r="M43" i="45"/>
  <c r="N43" i="45" s="1"/>
  <c r="O43" i="45" s="1"/>
  <c r="M59" i="45"/>
  <c r="N59" i="45" s="1"/>
  <c r="O59" i="45" s="1"/>
  <c r="M75" i="45"/>
  <c r="N75" i="45" s="1"/>
  <c r="O75" i="45" s="1"/>
  <c r="M91" i="45"/>
  <c r="N91" i="45" s="1"/>
  <c r="O91" i="45" s="1"/>
  <c r="M107" i="45"/>
  <c r="N107" i="45" s="1"/>
  <c r="O107" i="45" s="1"/>
  <c r="M23" i="45"/>
  <c r="N23" i="45" s="1"/>
  <c r="O23" i="45" s="1"/>
  <c r="M32" i="45"/>
  <c r="N32" i="45" s="1"/>
  <c r="O32" i="45" s="1"/>
  <c r="M64" i="45"/>
  <c r="N64" i="45" s="1"/>
  <c r="O64" i="45" s="1"/>
  <c r="M96" i="45"/>
  <c r="N96" i="45" s="1"/>
  <c r="O96" i="45" s="1"/>
  <c r="M124" i="45"/>
  <c r="N124" i="45" s="1"/>
  <c r="O124" i="45" s="1"/>
  <c r="M140" i="45"/>
  <c r="N140" i="45" s="1"/>
  <c r="O140" i="45" s="1"/>
  <c r="M156" i="45"/>
  <c r="N156" i="45" s="1"/>
  <c r="O156" i="45" s="1"/>
  <c r="M127" i="45"/>
  <c r="N127" i="45" s="1"/>
  <c r="O127" i="45" s="1"/>
  <c r="M143" i="45"/>
  <c r="N143" i="45" s="1"/>
  <c r="O143" i="45" s="1"/>
  <c r="M159" i="45"/>
  <c r="N159" i="45" s="1"/>
  <c r="O159" i="45" s="1"/>
  <c r="M175" i="45"/>
  <c r="N175" i="45" s="1"/>
  <c r="O175" i="45" s="1"/>
  <c r="M191" i="45"/>
  <c r="N191" i="45" s="1"/>
  <c r="O191" i="45" s="1"/>
  <c r="M207" i="45"/>
  <c r="N207" i="45" s="1"/>
  <c r="O207" i="45" s="1"/>
  <c r="M223" i="45"/>
  <c r="N223" i="45" s="1"/>
  <c r="O223" i="45" s="1"/>
  <c r="M239" i="45"/>
  <c r="N239" i="45" s="1"/>
  <c r="O239" i="45" s="1"/>
  <c r="M255" i="45"/>
  <c r="N255" i="45" s="1"/>
  <c r="O255" i="45" s="1"/>
  <c r="M271" i="45"/>
  <c r="N271" i="45" s="1"/>
  <c r="O271" i="45" s="1"/>
  <c r="M287" i="45"/>
  <c r="N287" i="45" s="1"/>
  <c r="O287" i="45" s="1"/>
  <c r="M303" i="45"/>
  <c r="N303" i="45" s="1"/>
  <c r="O303" i="45" s="1"/>
  <c r="M12" i="45"/>
  <c r="N12" i="45" s="1"/>
  <c r="O12" i="45" s="1"/>
  <c r="M52" i="45"/>
  <c r="N52" i="45" s="1"/>
  <c r="O52" i="45" s="1"/>
  <c r="M84" i="45"/>
  <c r="N84" i="45" s="1"/>
  <c r="O84" i="45" s="1"/>
  <c r="M116" i="45"/>
  <c r="N116" i="45" s="1"/>
  <c r="O116" i="45" s="1"/>
  <c r="M172" i="45"/>
  <c r="N172" i="45" s="1"/>
  <c r="O172" i="45" s="1"/>
  <c r="M188" i="45"/>
  <c r="N188" i="45" s="1"/>
  <c r="O188" i="45" s="1"/>
  <c r="M204" i="45"/>
  <c r="N204" i="45" s="1"/>
  <c r="O204" i="45" s="1"/>
  <c r="M220" i="45"/>
  <c r="N220" i="45" s="1"/>
  <c r="O220" i="45" s="1"/>
  <c r="M236" i="45"/>
  <c r="N236" i="45" s="1"/>
  <c r="O236" i="45" s="1"/>
  <c r="M252" i="45"/>
  <c r="N252" i="45" s="1"/>
  <c r="O252" i="45" s="1"/>
  <c r="M268" i="45"/>
  <c r="N268" i="45" s="1"/>
  <c r="O268" i="45" s="1"/>
  <c r="M284" i="45"/>
  <c r="N284" i="45" s="1"/>
  <c r="O284" i="45" s="1"/>
  <c r="M300" i="45"/>
  <c r="N300" i="45" s="1"/>
  <c r="O300" i="45" s="1"/>
  <c r="M33" i="45"/>
  <c r="N33" i="45" s="1"/>
  <c r="O33" i="45" s="1"/>
  <c r="M65" i="45"/>
  <c r="N65" i="45" s="1"/>
  <c r="O65" i="45" s="1"/>
  <c r="M97" i="45"/>
  <c r="N97" i="45" s="1"/>
  <c r="O97" i="45" s="1"/>
  <c r="M125" i="45"/>
  <c r="N125" i="45" s="1"/>
  <c r="O125" i="45" s="1"/>
  <c r="M141" i="45"/>
  <c r="N141" i="45" s="1"/>
  <c r="O141" i="45" s="1"/>
  <c r="M157" i="45"/>
  <c r="N157" i="45" s="1"/>
  <c r="O157" i="45" s="1"/>
  <c r="M173" i="45"/>
  <c r="N173" i="45" s="1"/>
  <c r="O173" i="45" s="1"/>
  <c r="M189" i="45"/>
  <c r="N189" i="45" s="1"/>
  <c r="O189" i="45" s="1"/>
  <c r="M205" i="45"/>
  <c r="N205" i="45" s="1"/>
  <c r="O205" i="45" s="1"/>
  <c r="M221" i="45"/>
  <c r="N221" i="45" s="1"/>
  <c r="O221" i="45" s="1"/>
  <c r="M237" i="45"/>
  <c r="N237" i="45" s="1"/>
  <c r="O237" i="45" s="1"/>
  <c r="M253" i="45"/>
  <c r="N253" i="45" s="1"/>
  <c r="O253" i="45" s="1"/>
  <c r="M269" i="45"/>
  <c r="N269" i="45" s="1"/>
  <c r="O269" i="45" s="1"/>
  <c r="M285" i="45"/>
  <c r="N285" i="45" s="1"/>
  <c r="O285" i="45" s="1"/>
  <c r="M301" i="45"/>
  <c r="N301" i="45" s="1"/>
  <c r="O301" i="45" s="1"/>
  <c r="M38" i="45"/>
  <c r="N38" i="45" s="1"/>
  <c r="O38" i="45" s="1"/>
  <c r="M70" i="45"/>
  <c r="N70" i="45" s="1"/>
  <c r="O70" i="45" s="1"/>
  <c r="M102" i="45"/>
  <c r="N102" i="45" s="1"/>
  <c r="O102" i="45" s="1"/>
  <c r="M166" i="45"/>
  <c r="N166" i="45" s="1"/>
  <c r="O166" i="45" s="1"/>
  <c r="M182" i="45"/>
  <c r="N182" i="45" s="1"/>
  <c r="O182" i="45" s="1"/>
  <c r="M198" i="45"/>
  <c r="N198" i="45" s="1"/>
  <c r="O198" i="45" s="1"/>
  <c r="M214" i="45"/>
  <c r="N214" i="45" s="1"/>
  <c r="O214" i="45" s="1"/>
  <c r="M230" i="45"/>
  <c r="N230" i="45" s="1"/>
  <c r="O230" i="45" s="1"/>
  <c r="M246" i="45"/>
  <c r="N246" i="45" s="1"/>
  <c r="O246" i="45" s="1"/>
  <c r="M262" i="45"/>
  <c r="N262" i="45" s="1"/>
  <c r="O262" i="45" s="1"/>
  <c r="M278" i="45"/>
  <c r="N278" i="45" s="1"/>
  <c r="O278" i="45" s="1"/>
  <c r="M294" i="45"/>
  <c r="N294" i="45" s="1"/>
  <c r="O294" i="45" s="1"/>
  <c r="M308" i="45"/>
  <c r="N308" i="45" s="1"/>
  <c r="O308" i="45" s="1"/>
  <c r="M314" i="45"/>
  <c r="N314" i="45" s="1"/>
  <c r="O314" i="45" s="1"/>
  <c r="E40" i="8"/>
  <c r="K5" i="44"/>
  <c r="K6" i="44"/>
  <c r="K7" i="44"/>
  <c r="K8" i="44"/>
  <c r="K9" i="44"/>
  <c r="K10" i="44"/>
  <c r="K11" i="44"/>
  <c r="K12" i="44"/>
  <c r="K13" i="44"/>
  <c r="K14" i="44"/>
  <c r="K15" i="44"/>
  <c r="K16" i="44"/>
  <c r="K17" i="44"/>
  <c r="K18" i="44"/>
  <c r="K19" i="44"/>
  <c r="K20" i="44"/>
  <c r="K21" i="44"/>
  <c r="K22" i="44"/>
  <c r="K23" i="44"/>
  <c r="K24" i="44"/>
  <c r="K25" i="44"/>
  <c r="K26" i="44"/>
  <c r="K27" i="44"/>
  <c r="K28" i="44"/>
  <c r="K29" i="44"/>
  <c r="K30" i="44"/>
  <c r="K31" i="44"/>
  <c r="K32" i="44"/>
  <c r="K33" i="44"/>
  <c r="K34" i="44"/>
  <c r="K35" i="44"/>
  <c r="K36" i="44"/>
  <c r="K37" i="44"/>
  <c r="K38" i="44"/>
  <c r="K39" i="44"/>
  <c r="K40" i="44"/>
  <c r="K41" i="44"/>
  <c r="K42" i="44"/>
  <c r="K43" i="44"/>
  <c r="K44" i="44"/>
  <c r="K45" i="44"/>
  <c r="K46" i="44"/>
  <c r="K47" i="44"/>
  <c r="K48" i="44"/>
  <c r="K49" i="44"/>
  <c r="K50" i="44"/>
  <c r="K51" i="44"/>
  <c r="K52" i="44"/>
  <c r="K53" i="44"/>
  <c r="K54" i="44"/>
  <c r="K55" i="44"/>
  <c r="K56" i="44"/>
  <c r="K57" i="44"/>
  <c r="K58" i="44"/>
  <c r="K59" i="44"/>
  <c r="K60" i="44"/>
  <c r="K61" i="44"/>
  <c r="K62" i="44"/>
  <c r="K63" i="44"/>
  <c r="K64" i="44"/>
  <c r="K65" i="44"/>
  <c r="K66" i="44"/>
  <c r="K67" i="44"/>
  <c r="K68" i="44"/>
  <c r="K69" i="44"/>
  <c r="K70" i="44"/>
  <c r="K71" i="44"/>
  <c r="K72" i="44"/>
  <c r="K73" i="44"/>
  <c r="K74" i="44"/>
  <c r="K75" i="44"/>
  <c r="K76" i="44"/>
  <c r="K77" i="44"/>
  <c r="K78" i="44"/>
  <c r="K79" i="44"/>
  <c r="K80" i="44"/>
  <c r="K81" i="44"/>
  <c r="K82" i="44"/>
  <c r="K83" i="44"/>
  <c r="K84" i="44"/>
  <c r="K85" i="44"/>
  <c r="K86" i="44"/>
  <c r="K87" i="44"/>
  <c r="K88" i="44"/>
  <c r="K89" i="44"/>
  <c r="K90" i="44"/>
  <c r="K91" i="44"/>
  <c r="K92" i="44"/>
  <c r="K93" i="44"/>
  <c r="K94" i="44"/>
  <c r="K95" i="44"/>
  <c r="K96" i="44"/>
  <c r="K97" i="44"/>
  <c r="K98" i="44"/>
  <c r="K99" i="44"/>
  <c r="K100" i="44"/>
  <c r="K101" i="44"/>
  <c r="K102" i="44"/>
  <c r="K103" i="44"/>
  <c r="K104" i="44"/>
  <c r="K105" i="44"/>
  <c r="K106" i="44"/>
  <c r="K107" i="44"/>
  <c r="K108" i="44"/>
  <c r="K109" i="44"/>
  <c r="K110" i="44"/>
  <c r="K111" i="44"/>
  <c r="K112" i="44"/>
  <c r="K113" i="44"/>
  <c r="K114" i="44"/>
  <c r="K115" i="44"/>
  <c r="K116" i="44"/>
  <c r="K117" i="44"/>
  <c r="K118" i="44"/>
  <c r="K119" i="44"/>
  <c r="K120" i="44"/>
  <c r="K121" i="44"/>
  <c r="K122" i="44"/>
  <c r="K123" i="44"/>
  <c r="K124" i="44"/>
  <c r="K125" i="44"/>
  <c r="K126" i="44"/>
  <c r="K127" i="44"/>
  <c r="K128" i="44"/>
  <c r="K129" i="44"/>
  <c r="K130" i="44"/>
  <c r="K131" i="44"/>
  <c r="K132" i="44"/>
  <c r="K133" i="44"/>
  <c r="K134" i="44"/>
  <c r="K135" i="44"/>
  <c r="K136" i="44"/>
  <c r="K137" i="44"/>
  <c r="K138" i="44"/>
  <c r="K139" i="44"/>
  <c r="K140" i="44"/>
  <c r="K141" i="44"/>
  <c r="K142" i="44"/>
  <c r="K143" i="44"/>
  <c r="K144" i="44"/>
  <c r="K145" i="44"/>
  <c r="K146" i="44"/>
  <c r="K147" i="44"/>
  <c r="K148" i="44"/>
  <c r="K149" i="44"/>
  <c r="K150" i="44"/>
  <c r="K151" i="44"/>
  <c r="K152" i="44"/>
  <c r="K153" i="44"/>
  <c r="K154" i="44"/>
  <c r="K155" i="44"/>
  <c r="K156" i="44"/>
  <c r="K157" i="44"/>
  <c r="K158" i="44"/>
  <c r="K159" i="44"/>
  <c r="K160" i="44"/>
  <c r="K161" i="44"/>
  <c r="K162" i="44"/>
  <c r="K163" i="44"/>
  <c r="K164" i="44"/>
  <c r="K165" i="44"/>
  <c r="K166" i="44"/>
  <c r="K167" i="44"/>
  <c r="K168" i="44"/>
  <c r="K169" i="44"/>
  <c r="K170" i="44"/>
  <c r="K171" i="44"/>
  <c r="K172" i="44"/>
  <c r="K173" i="44"/>
  <c r="K174" i="44"/>
  <c r="K175" i="44"/>
  <c r="K176" i="44"/>
  <c r="K177" i="44"/>
  <c r="K178" i="44"/>
  <c r="K179" i="44"/>
  <c r="K180" i="44"/>
  <c r="K181" i="44"/>
  <c r="K182" i="44"/>
  <c r="K183" i="44"/>
  <c r="K184" i="44"/>
  <c r="K185" i="44"/>
  <c r="K186" i="44"/>
  <c r="K187" i="44"/>
  <c r="K188" i="44"/>
  <c r="K189" i="44"/>
  <c r="K190" i="44"/>
  <c r="K191" i="44"/>
  <c r="K192" i="44"/>
  <c r="K193" i="44"/>
  <c r="K194" i="44"/>
  <c r="K195" i="44"/>
  <c r="K196" i="44"/>
  <c r="K197" i="44"/>
  <c r="K198" i="44"/>
  <c r="K199" i="44"/>
  <c r="K200" i="44"/>
  <c r="K201" i="44"/>
  <c r="K202" i="44"/>
  <c r="K203" i="44"/>
  <c r="K204" i="44"/>
  <c r="K205" i="44"/>
  <c r="K206" i="44"/>
  <c r="K207" i="44"/>
  <c r="K208" i="44"/>
  <c r="K209" i="44"/>
  <c r="K210" i="44"/>
  <c r="K211" i="44"/>
  <c r="K212" i="44"/>
  <c r="K213" i="44"/>
  <c r="K214" i="44"/>
  <c r="K215" i="44"/>
  <c r="K216" i="44"/>
  <c r="K217" i="44"/>
  <c r="K218" i="44"/>
  <c r="K219" i="44"/>
  <c r="K220" i="44"/>
  <c r="K221" i="44"/>
  <c r="K222" i="44"/>
  <c r="K223" i="44"/>
  <c r="K224" i="44"/>
  <c r="K225" i="44"/>
  <c r="K226" i="44"/>
  <c r="K227" i="44"/>
  <c r="K228" i="44"/>
  <c r="K229" i="44"/>
  <c r="K230" i="44"/>
  <c r="K231" i="44"/>
  <c r="K232" i="44"/>
  <c r="K233" i="44"/>
  <c r="K234" i="44"/>
  <c r="K235" i="44"/>
  <c r="K236" i="44"/>
  <c r="K237" i="44"/>
  <c r="K238" i="44"/>
  <c r="K239" i="44"/>
  <c r="K240" i="44"/>
  <c r="K241" i="44"/>
  <c r="K242" i="44"/>
  <c r="K243" i="44"/>
  <c r="K244" i="44"/>
  <c r="K245" i="44"/>
  <c r="K246" i="44"/>
  <c r="K247" i="44"/>
  <c r="K248" i="44"/>
  <c r="K249" i="44"/>
  <c r="K250" i="44"/>
  <c r="K251" i="44"/>
  <c r="K252" i="44"/>
  <c r="K253" i="44"/>
  <c r="K254" i="44"/>
  <c r="K255" i="44"/>
  <c r="K256" i="44"/>
  <c r="K257" i="44"/>
  <c r="K258" i="44"/>
  <c r="K259" i="44"/>
  <c r="K260" i="44"/>
  <c r="K261" i="44"/>
  <c r="K262" i="44"/>
  <c r="K263" i="44"/>
  <c r="K264" i="44"/>
  <c r="K265" i="44"/>
  <c r="K266" i="44"/>
  <c r="K267" i="44"/>
  <c r="K268" i="44"/>
  <c r="K269" i="44"/>
  <c r="K270" i="44"/>
  <c r="K271" i="44"/>
  <c r="K272" i="44"/>
  <c r="K273" i="44"/>
  <c r="K274" i="44"/>
  <c r="K275" i="44"/>
  <c r="K276" i="44"/>
  <c r="K277" i="44"/>
  <c r="K278" i="44"/>
  <c r="K279" i="44"/>
  <c r="K280" i="44"/>
  <c r="K281" i="44"/>
  <c r="K282" i="44"/>
  <c r="K283" i="44"/>
  <c r="K284" i="44"/>
  <c r="K285" i="44"/>
  <c r="K286" i="44"/>
  <c r="K287" i="44"/>
  <c r="K288" i="44"/>
  <c r="K289" i="44"/>
  <c r="K290" i="44"/>
  <c r="K291" i="44"/>
  <c r="K292" i="44"/>
  <c r="K293" i="44"/>
  <c r="K294" i="44"/>
  <c r="K295" i="44"/>
  <c r="K296" i="44"/>
  <c r="K297" i="44"/>
  <c r="K298" i="44"/>
  <c r="K299" i="44"/>
  <c r="K300" i="44"/>
  <c r="K301" i="44"/>
  <c r="K302" i="44"/>
  <c r="K303" i="44"/>
  <c r="K304" i="44"/>
  <c r="K305" i="44"/>
  <c r="K306" i="44"/>
  <c r="K307" i="44"/>
  <c r="K308" i="44"/>
  <c r="K309" i="44"/>
  <c r="K310" i="44"/>
  <c r="K311" i="44"/>
  <c r="K312" i="44"/>
  <c r="K313" i="44"/>
  <c r="K314" i="44"/>
  <c r="K4" i="44"/>
  <c r="GP7" i="28"/>
  <c r="GP8" i="28"/>
  <c r="GP9" i="28"/>
  <c r="GP10" i="28"/>
  <c r="GP11" i="28"/>
  <c r="GP12" i="28"/>
  <c r="GP13" i="28"/>
  <c r="GP14" i="28"/>
  <c r="GP15" i="28"/>
  <c r="GP16" i="28"/>
  <c r="GP17" i="28"/>
  <c r="GP18" i="28"/>
  <c r="GP19" i="28"/>
  <c r="GP20" i="28"/>
  <c r="GP21" i="28"/>
  <c r="GP22" i="28"/>
  <c r="GP23" i="28"/>
  <c r="GP24" i="28"/>
  <c r="GP25" i="28"/>
  <c r="GP26" i="28"/>
  <c r="GP27" i="28"/>
  <c r="GP28" i="28"/>
  <c r="GP29" i="28"/>
  <c r="GP30" i="28"/>
  <c r="GP31" i="28"/>
  <c r="GP32" i="28"/>
  <c r="GP33" i="28"/>
  <c r="GP34" i="28"/>
  <c r="GP35" i="28"/>
  <c r="GP36" i="28"/>
  <c r="GP37" i="28"/>
  <c r="GP38" i="28"/>
  <c r="GP39" i="28"/>
  <c r="GP40" i="28"/>
  <c r="GP41" i="28"/>
  <c r="GP42" i="28"/>
  <c r="GP43" i="28"/>
  <c r="GP44" i="28"/>
  <c r="GP45" i="28"/>
  <c r="GP46" i="28"/>
  <c r="GP47" i="28"/>
  <c r="GP48" i="28"/>
  <c r="GP49" i="28"/>
  <c r="GP50" i="28"/>
  <c r="GP51" i="28"/>
  <c r="GP52" i="28"/>
  <c r="GP53" i="28"/>
  <c r="GP54" i="28"/>
  <c r="GP55" i="28"/>
  <c r="GP56" i="28"/>
  <c r="GP57" i="28"/>
  <c r="GP58" i="28"/>
  <c r="GP59" i="28"/>
  <c r="GP60" i="28"/>
  <c r="GP61" i="28"/>
  <c r="GP62" i="28"/>
  <c r="GP63" i="28"/>
  <c r="GP64" i="28"/>
  <c r="GP65" i="28"/>
  <c r="GP66" i="28"/>
  <c r="GP67" i="28"/>
  <c r="GP68" i="28"/>
  <c r="GP69" i="28"/>
  <c r="GP70" i="28"/>
  <c r="GP71" i="28"/>
  <c r="GP72" i="28"/>
  <c r="GP73" i="28"/>
  <c r="GP74" i="28"/>
  <c r="GP75" i="28"/>
  <c r="GP76" i="28"/>
  <c r="GP77" i="28"/>
  <c r="GP78" i="28"/>
  <c r="GP79" i="28"/>
  <c r="GP80" i="28"/>
  <c r="GP81" i="28"/>
  <c r="GP82" i="28"/>
  <c r="GP83" i="28"/>
  <c r="GP84" i="28"/>
  <c r="GP85" i="28"/>
  <c r="GP86" i="28"/>
  <c r="GP87" i="28"/>
  <c r="GP88" i="28"/>
  <c r="GP89" i="28"/>
  <c r="GP90" i="28"/>
  <c r="GP91" i="28"/>
  <c r="GP92" i="28"/>
  <c r="GP93" i="28"/>
  <c r="GP94" i="28"/>
  <c r="GP95" i="28"/>
  <c r="GP96" i="28"/>
  <c r="GP97" i="28"/>
  <c r="GP98" i="28"/>
  <c r="GP99" i="28"/>
  <c r="GP100" i="28"/>
  <c r="GP101" i="28"/>
  <c r="GP102" i="28"/>
  <c r="GP103" i="28"/>
  <c r="GP104" i="28"/>
  <c r="GP105" i="28"/>
  <c r="GP106" i="28"/>
  <c r="GP107" i="28"/>
  <c r="GP108" i="28"/>
  <c r="GP109" i="28"/>
  <c r="GP110" i="28"/>
  <c r="GP111" i="28"/>
  <c r="GP112" i="28"/>
  <c r="GP113" i="28"/>
  <c r="GP114" i="28"/>
  <c r="GP115" i="28"/>
  <c r="GP116" i="28"/>
  <c r="GP117" i="28"/>
  <c r="GP118" i="28"/>
  <c r="GP119" i="28"/>
  <c r="GP120" i="28"/>
  <c r="GP121" i="28"/>
  <c r="GP122" i="28"/>
  <c r="GP123" i="28"/>
  <c r="GP124" i="28"/>
  <c r="GP125" i="28"/>
  <c r="GP126" i="28"/>
  <c r="GP127" i="28"/>
  <c r="GP128" i="28"/>
  <c r="GP129" i="28"/>
  <c r="GP130" i="28"/>
  <c r="GP131" i="28"/>
  <c r="GP132" i="28"/>
  <c r="GP133" i="28"/>
  <c r="GP134" i="28"/>
  <c r="GP135" i="28"/>
  <c r="GP136" i="28"/>
  <c r="GP137" i="28"/>
  <c r="GP138" i="28"/>
  <c r="GP139" i="28"/>
  <c r="GP140" i="28"/>
  <c r="GP141" i="28"/>
  <c r="GP142" i="28"/>
  <c r="GP143" i="28"/>
  <c r="GP144" i="28"/>
  <c r="GP145" i="28"/>
  <c r="GP146" i="28"/>
  <c r="GP147" i="28"/>
  <c r="GP148" i="28"/>
  <c r="GP149" i="28"/>
  <c r="GP150" i="28"/>
  <c r="GP151" i="28"/>
  <c r="GP152" i="28"/>
  <c r="GP153" i="28"/>
  <c r="GP154" i="28"/>
  <c r="GP155" i="28"/>
  <c r="GP156" i="28"/>
  <c r="GP157" i="28"/>
  <c r="GP158" i="28"/>
  <c r="GP159" i="28"/>
  <c r="GP160" i="28"/>
  <c r="GP161" i="28"/>
  <c r="GP162" i="28"/>
  <c r="GP163" i="28"/>
  <c r="GP164" i="28"/>
  <c r="GP165" i="28"/>
  <c r="GP166" i="28"/>
  <c r="GP167" i="28"/>
  <c r="GP168" i="28"/>
  <c r="GP169" i="28"/>
  <c r="GP170" i="28"/>
  <c r="GP171" i="28"/>
  <c r="GP172" i="28"/>
  <c r="GP173" i="28"/>
  <c r="GP174" i="28"/>
  <c r="GP175" i="28"/>
  <c r="GP176" i="28"/>
  <c r="GP177" i="28"/>
  <c r="GP178" i="28"/>
  <c r="GP179" i="28"/>
  <c r="GP180" i="28"/>
  <c r="GP181" i="28"/>
  <c r="GP182" i="28"/>
  <c r="GP183" i="28"/>
  <c r="GP184" i="28"/>
  <c r="GP185" i="28"/>
  <c r="GP186" i="28"/>
  <c r="GP187" i="28"/>
  <c r="GP188" i="28"/>
  <c r="GP189" i="28"/>
  <c r="GP190" i="28"/>
  <c r="GP191" i="28"/>
  <c r="GP192" i="28"/>
  <c r="GP193" i="28"/>
  <c r="GP194" i="28"/>
  <c r="GP195" i="28"/>
  <c r="GP196" i="28"/>
  <c r="GP197" i="28"/>
  <c r="GP198" i="28"/>
  <c r="GP199" i="28"/>
  <c r="GP200" i="28"/>
  <c r="GP201" i="28"/>
  <c r="GP202" i="28"/>
  <c r="GP203" i="28"/>
  <c r="GP204" i="28"/>
  <c r="GP205" i="28"/>
  <c r="GP206" i="28"/>
  <c r="GP207" i="28"/>
  <c r="GP208" i="28"/>
  <c r="GP209" i="28"/>
  <c r="GP210" i="28"/>
  <c r="GP211" i="28"/>
  <c r="GP212" i="28"/>
  <c r="GP213" i="28"/>
  <c r="GP214" i="28"/>
  <c r="GP215" i="28"/>
  <c r="GP216" i="28"/>
  <c r="GP217" i="28"/>
  <c r="GP218" i="28"/>
  <c r="GP219" i="28"/>
  <c r="GP220" i="28"/>
  <c r="GP221" i="28"/>
  <c r="GP222" i="28"/>
  <c r="GP223" i="28"/>
  <c r="GP224" i="28"/>
  <c r="GP225" i="28"/>
  <c r="GP226" i="28"/>
  <c r="GP227" i="28"/>
  <c r="GP228" i="28"/>
  <c r="GP229" i="28"/>
  <c r="GP230" i="28"/>
  <c r="GP231" i="28"/>
  <c r="GP232" i="28"/>
  <c r="GP233" i="28"/>
  <c r="GP234" i="28"/>
  <c r="GP235" i="28"/>
  <c r="GP236" i="28"/>
  <c r="GP237" i="28"/>
  <c r="GP238" i="28"/>
  <c r="GP239" i="28"/>
  <c r="GP240" i="28"/>
  <c r="GP241" i="28"/>
  <c r="GP242" i="28"/>
  <c r="GP243" i="28"/>
  <c r="GP244" i="28"/>
  <c r="GP245" i="28"/>
  <c r="GP246" i="28"/>
  <c r="GP247" i="28"/>
  <c r="GP248" i="28"/>
  <c r="GP249" i="28"/>
  <c r="GP250" i="28"/>
  <c r="GP251" i="28"/>
  <c r="GP252" i="28"/>
  <c r="GP253" i="28"/>
  <c r="GP254" i="28"/>
  <c r="GP255" i="28"/>
  <c r="GP256" i="28"/>
  <c r="GP257" i="28"/>
  <c r="GP258" i="28"/>
  <c r="GP259" i="28"/>
  <c r="GP260" i="28"/>
  <c r="GP261" i="28"/>
  <c r="GP262" i="28"/>
  <c r="GP263" i="28"/>
  <c r="GP264" i="28"/>
  <c r="GP265" i="28"/>
  <c r="GP266" i="28"/>
  <c r="GP267" i="28"/>
  <c r="GP268" i="28"/>
  <c r="GP269" i="28"/>
  <c r="GP270" i="28"/>
  <c r="GP271" i="28"/>
  <c r="GP272" i="28"/>
  <c r="GP273" i="28"/>
  <c r="GP274" i="28"/>
  <c r="GP275" i="28"/>
  <c r="GP276" i="28"/>
  <c r="GP277" i="28"/>
  <c r="GP278" i="28"/>
  <c r="GP279" i="28"/>
  <c r="GP280" i="28"/>
  <c r="GP281" i="28"/>
  <c r="GP282" i="28"/>
  <c r="GP283" i="28"/>
  <c r="GP284" i="28"/>
  <c r="GP285" i="28"/>
  <c r="GP286" i="28"/>
  <c r="GP287" i="28"/>
  <c r="GP288" i="28"/>
  <c r="GP289" i="28"/>
  <c r="GP290" i="28"/>
  <c r="GP291" i="28"/>
  <c r="GP292" i="28"/>
  <c r="GP293" i="28"/>
  <c r="GP294" i="28"/>
  <c r="GP295" i="28"/>
  <c r="GP296" i="28"/>
  <c r="GP297" i="28"/>
  <c r="GP298" i="28"/>
  <c r="GP299" i="28"/>
  <c r="GP300" i="28"/>
  <c r="GP301" i="28"/>
  <c r="GP302" i="28"/>
  <c r="GP303" i="28"/>
  <c r="GP304" i="28"/>
  <c r="GP305" i="28"/>
  <c r="GP306" i="28"/>
  <c r="GP307" i="28"/>
  <c r="GP308" i="28"/>
  <c r="GP309" i="28"/>
  <c r="GP310" i="28"/>
  <c r="GP311" i="28"/>
  <c r="GP312" i="28"/>
  <c r="GP313" i="28"/>
  <c r="GP314" i="28"/>
  <c r="GP315" i="28"/>
  <c r="GP316" i="28"/>
  <c r="GP6" i="28"/>
  <c r="D24" i="15"/>
  <c r="G83" i="33"/>
  <c r="H83" i="33"/>
  <c r="F83" i="33"/>
  <c r="F84" i="33"/>
  <c r="E83" i="33"/>
  <c r="M278" i="43" l="1"/>
  <c r="T278" i="43" s="1"/>
  <c r="O278" i="48"/>
  <c r="M140" i="43"/>
  <c r="T140" i="43" s="1"/>
  <c r="O140" i="48"/>
  <c r="M76" i="43"/>
  <c r="T76" i="43" s="1"/>
  <c r="O76" i="48"/>
  <c r="M310" i="43"/>
  <c r="T310" i="43" s="1"/>
  <c r="O310" i="48"/>
  <c r="M21" i="43"/>
  <c r="T21" i="43" s="1"/>
  <c r="O21" i="48"/>
  <c r="M313" i="43"/>
  <c r="T313" i="43" s="1"/>
  <c r="O313" i="48"/>
  <c r="U297" i="43"/>
  <c r="U96" i="43"/>
  <c r="U156" i="43"/>
  <c r="M168" i="43"/>
  <c r="T168" i="43" s="1"/>
  <c r="O168" i="48"/>
  <c r="M294" i="43"/>
  <c r="T294" i="43" s="1"/>
  <c r="O294" i="48"/>
  <c r="M222" i="43"/>
  <c r="T222" i="43" s="1"/>
  <c r="O222" i="48"/>
  <c r="M304" i="43"/>
  <c r="T304" i="43" s="1"/>
  <c r="O304" i="48"/>
  <c r="M108" i="43"/>
  <c r="T108" i="43" s="1"/>
  <c r="O108" i="48"/>
  <c r="M197" i="43"/>
  <c r="T197" i="43" s="1"/>
  <c r="O197" i="48"/>
  <c r="S20" i="43"/>
  <c r="M297" i="43"/>
  <c r="T297" i="43" s="1"/>
  <c r="O297" i="48"/>
  <c r="M180" i="43"/>
  <c r="T180" i="43" s="1"/>
  <c r="O180" i="48"/>
  <c r="M181" i="43"/>
  <c r="T181" i="43" s="1"/>
  <c r="O181" i="48"/>
  <c r="M300" i="43"/>
  <c r="T300" i="43" s="1"/>
  <c r="O300" i="48"/>
  <c r="M182" i="43"/>
  <c r="T182" i="43" s="1"/>
  <c r="O182" i="48"/>
  <c r="M289" i="43"/>
  <c r="T289" i="43" s="1"/>
  <c r="O289" i="48"/>
  <c r="U216" i="43"/>
  <c r="U278" i="43"/>
  <c r="M216" i="43"/>
  <c r="T216" i="43" s="1"/>
  <c r="O216" i="48"/>
  <c r="M274" i="43"/>
  <c r="T274" i="43" s="1"/>
  <c r="O274" i="48"/>
  <c r="M305" i="43"/>
  <c r="T305" i="43" s="1"/>
  <c r="O305" i="48"/>
  <c r="M309" i="43"/>
  <c r="T309" i="43" s="1"/>
  <c r="O309" i="48"/>
  <c r="M75" i="43"/>
  <c r="T75" i="43" s="1"/>
  <c r="O75" i="48"/>
  <c r="S297" i="48"/>
  <c r="S96" i="48"/>
  <c r="S156" i="48"/>
  <c r="S278" i="48"/>
  <c r="S216" i="48"/>
  <c r="N156" i="48"/>
  <c r="N276" i="48"/>
  <c r="S129" i="43"/>
  <c r="K171" i="46"/>
  <c r="K35" i="46"/>
  <c r="K20" i="46"/>
  <c r="K118" i="46"/>
  <c r="K243" i="46"/>
  <c r="K14" i="46"/>
  <c r="K133" i="46"/>
  <c r="K113" i="46"/>
  <c r="S46" i="43"/>
  <c r="K160" i="46"/>
  <c r="K169" i="46"/>
  <c r="K260" i="46"/>
  <c r="S302" i="43"/>
  <c r="S299" i="43"/>
  <c r="S290" i="43"/>
  <c r="S160" i="43"/>
  <c r="S260" i="43"/>
  <c r="S205" i="43"/>
  <c r="K146" i="46"/>
  <c r="K304" i="46"/>
  <c r="K310" i="46"/>
  <c r="K129" i="46"/>
  <c r="K299" i="46"/>
  <c r="K27" i="46"/>
  <c r="K241" i="46"/>
  <c r="K271" i="46"/>
  <c r="K147" i="46"/>
  <c r="K131" i="46"/>
  <c r="K254" i="46"/>
  <c r="K290" i="46"/>
  <c r="K139" i="46"/>
  <c r="K13" i="46"/>
  <c r="S95" i="43"/>
  <c r="K251" i="46"/>
  <c r="S150" i="43"/>
  <c r="K205" i="46"/>
  <c r="K302" i="46"/>
  <c r="K175" i="46"/>
  <c r="S193" i="43"/>
  <c r="S195" i="43"/>
  <c r="S313" i="43"/>
  <c r="S162" i="43"/>
  <c r="K95" i="46"/>
  <c r="K67" i="46"/>
  <c r="K206" i="46"/>
  <c r="S206" i="43"/>
  <c r="K279" i="46"/>
  <c r="S242" i="43"/>
  <c r="K305" i="46"/>
  <c r="S305" i="43"/>
  <c r="K313" i="46"/>
  <c r="K80" i="46"/>
  <c r="K193" i="46"/>
  <c r="K61" i="46"/>
  <c r="K291" i="46"/>
  <c r="S279" i="43"/>
  <c r="K256" i="46"/>
  <c r="L228" i="43"/>
  <c r="S228" i="43" s="1"/>
  <c r="K228" i="46"/>
  <c r="L281" i="43"/>
  <c r="S281" i="43" s="1"/>
  <c r="K281" i="46"/>
  <c r="L136" i="43"/>
  <c r="S136" i="43" s="1"/>
  <c r="K136" i="46"/>
  <c r="K224" i="46"/>
  <c r="K218" i="46"/>
  <c r="L285" i="43"/>
  <c r="S285" i="43" s="1"/>
  <c r="K285" i="46"/>
  <c r="K99" i="46"/>
  <c r="K195" i="46"/>
  <c r="K162" i="46"/>
  <c r="K150" i="46"/>
  <c r="K242" i="46"/>
  <c r="K209" i="46"/>
  <c r="S17" i="43"/>
  <c r="S36" i="43"/>
  <c r="S139" i="43"/>
  <c r="S235" i="43"/>
  <c r="S51" i="43"/>
  <c r="S169" i="43"/>
  <c r="S271" i="43"/>
  <c r="S243" i="43"/>
  <c r="S291" i="43"/>
  <c r="S111" i="43"/>
  <c r="S79" i="43"/>
  <c r="S23" i="43"/>
  <c r="S309" i="43"/>
  <c r="K309" i="46"/>
  <c r="S245" i="43"/>
  <c r="K245" i="46"/>
  <c r="S25" i="43"/>
  <c r="K25" i="46"/>
  <c r="K202" i="46"/>
  <c r="S37" i="43"/>
  <c r="K37" i="46"/>
  <c r="K84" i="46"/>
  <c r="K33" i="46"/>
  <c r="K116" i="46"/>
  <c r="K112" i="46"/>
  <c r="K17" i="46"/>
  <c r="K292" i="46"/>
  <c r="K237" i="46"/>
  <c r="K142" i="46"/>
  <c r="S311" i="43"/>
  <c r="K311" i="46"/>
  <c r="K208" i="46"/>
  <c r="S211" i="43"/>
  <c r="K211" i="46"/>
  <c r="K222" i="46"/>
  <c r="K141" i="46"/>
  <c r="K152" i="46"/>
  <c r="K177" i="46"/>
  <c r="K273" i="46"/>
  <c r="K174" i="46"/>
  <c r="S191" i="43"/>
  <c r="K191" i="46"/>
  <c r="S237" i="43"/>
  <c r="S221" i="43"/>
  <c r="K221" i="46"/>
  <c r="K5" i="46"/>
  <c r="S73" i="43"/>
  <c r="K73" i="46"/>
  <c r="S75" i="43"/>
  <c r="K75" i="46"/>
  <c r="S65" i="43"/>
  <c r="K65" i="46"/>
  <c r="S183" i="43"/>
  <c r="K183" i="46"/>
  <c r="S9" i="43"/>
  <c r="K9" i="46"/>
  <c r="K308" i="46"/>
  <c r="S308" i="43"/>
  <c r="K39" i="46"/>
  <c r="K85" i="46"/>
  <c r="K48" i="46"/>
  <c r="K156" i="46"/>
  <c r="K79" i="46"/>
  <c r="K36" i="46"/>
  <c r="K111" i="46"/>
  <c r="K88" i="46"/>
  <c r="K96" i="46"/>
  <c r="K32" i="46"/>
  <c r="K93" i="46"/>
  <c r="K282" i="46"/>
  <c r="K278" i="46"/>
  <c r="K63" i="46"/>
  <c r="K40" i="46"/>
  <c r="S213" i="43"/>
  <c r="K213" i="46"/>
  <c r="S45" i="43"/>
  <c r="K45" i="46"/>
  <c r="S283" i="43"/>
  <c r="K283" i="46"/>
  <c r="K165" i="46"/>
  <c r="K186" i="46"/>
  <c r="S207" i="43"/>
  <c r="K207" i="46"/>
  <c r="S229" i="43"/>
  <c r="K229" i="46"/>
  <c r="K239" i="46"/>
  <c r="K117" i="46"/>
  <c r="S269" i="43"/>
  <c r="K269" i="46"/>
  <c r="K21" i="46"/>
  <c r="K235" i="46"/>
  <c r="S63" i="43"/>
  <c r="S33" i="43"/>
  <c r="S294" i="43"/>
  <c r="S128" i="43"/>
  <c r="S96" i="43"/>
  <c r="S310" i="43"/>
  <c r="S251" i="43"/>
  <c r="S270" i="43"/>
  <c r="K270" i="46"/>
  <c r="S246" i="43"/>
  <c r="K246" i="46"/>
  <c r="S101" i="43"/>
  <c r="K101" i="46"/>
  <c r="S157" i="43"/>
  <c r="K157" i="46"/>
  <c r="S225" i="43"/>
  <c r="K225" i="46"/>
  <c r="S38" i="43"/>
  <c r="K38" i="46"/>
  <c r="S180" i="43"/>
  <c r="K180" i="46"/>
  <c r="S226" i="43"/>
  <c r="K226" i="46"/>
  <c r="S258" i="43"/>
  <c r="K258" i="46"/>
  <c r="S220" i="43"/>
  <c r="K220" i="46"/>
  <c r="S287" i="43"/>
  <c r="K287" i="46"/>
  <c r="S295" i="43"/>
  <c r="K295" i="46"/>
  <c r="S223" i="43"/>
  <c r="K223" i="46"/>
  <c r="S44" i="43"/>
  <c r="K44" i="46"/>
  <c r="S59" i="43"/>
  <c r="K59" i="46"/>
  <c r="S119" i="43"/>
  <c r="K119" i="46"/>
  <c r="S293" i="43"/>
  <c r="K293" i="46"/>
  <c r="S7" i="43"/>
  <c r="K7" i="46"/>
  <c r="S114" i="43"/>
  <c r="K114" i="46"/>
  <c r="S71" i="43"/>
  <c r="K71" i="46"/>
  <c r="S189" i="43"/>
  <c r="K189" i="46"/>
  <c r="S15" i="43"/>
  <c r="K15" i="46"/>
  <c r="S275" i="43"/>
  <c r="K275" i="46"/>
  <c r="S43" i="43"/>
  <c r="K43" i="46"/>
  <c r="S127" i="43"/>
  <c r="K127" i="46"/>
  <c r="S81" i="43"/>
  <c r="K81" i="46"/>
  <c r="S135" i="43"/>
  <c r="K135" i="46"/>
  <c r="S187" i="43"/>
  <c r="K187" i="46"/>
  <c r="S97" i="43"/>
  <c r="K97" i="46"/>
  <c r="S203" i="43"/>
  <c r="K203" i="46"/>
  <c r="K294" i="46"/>
  <c r="S227" i="43"/>
  <c r="K227" i="46"/>
  <c r="S219" i="43"/>
  <c r="K219" i="46"/>
  <c r="S35" i="43"/>
  <c r="S161" i="43"/>
  <c r="K161" i="46"/>
  <c r="S167" i="43"/>
  <c r="K167" i="46"/>
  <c r="S314" i="43"/>
  <c r="K314" i="46"/>
  <c r="S104" i="43"/>
  <c r="K104" i="46"/>
  <c r="S185" i="43"/>
  <c r="K185" i="46"/>
  <c r="S143" i="43"/>
  <c r="K143" i="46"/>
  <c r="S179" i="43"/>
  <c r="K179" i="46"/>
  <c r="S72" i="43"/>
  <c r="K72" i="46"/>
  <c r="S131" i="43"/>
  <c r="S164" i="43"/>
  <c r="K164" i="46"/>
  <c r="S138" i="43"/>
  <c r="K138" i="46"/>
  <c r="S252" i="43"/>
  <c r="K252" i="46"/>
  <c r="S288" i="43"/>
  <c r="K288" i="46"/>
  <c r="S109" i="43"/>
  <c r="K109" i="46"/>
  <c r="S122" i="43"/>
  <c r="K122" i="46"/>
  <c r="S300" i="43"/>
  <c r="K300" i="46"/>
  <c r="S170" i="43"/>
  <c r="K170" i="46"/>
  <c r="S249" i="43"/>
  <c r="K249" i="46"/>
  <c r="S217" i="43"/>
  <c r="K217" i="46"/>
  <c r="S216" i="43"/>
  <c r="K216" i="46"/>
  <c r="S27" i="43"/>
  <c r="S67" i="43"/>
  <c r="S13" i="43"/>
  <c r="S80" i="43"/>
  <c r="S147" i="43"/>
  <c r="S175" i="43"/>
  <c r="S198" i="43"/>
  <c r="K198" i="46"/>
  <c r="S268" i="43"/>
  <c r="K268" i="46"/>
  <c r="S144" i="43"/>
  <c r="K144" i="46"/>
  <c r="S12" i="43"/>
  <c r="K12" i="46"/>
  <c r="S120" i="43"/>
  <c r="K120" i="46"/>
  <c r="S201" i="43"/>
  <c r="K201" i="46"/>
  <c r="S233" i="43"/>
  <c r="K233" i="46"/>
  <c r="S306" i="43"/>
  <c r="K306" i="46"/>
  <c r="S210" i="43"/>
  <c r="K210" i="46"/>
  <c r="S212" i="43"/>
  <c r="K212" i="46"/>
  <c r="S99" i="43"/>
  <c r="S276" i="43"/>
  <c r="K276" i="46"/>
  <c r="S108" i="43"/>
  <c r="K108" i="46"/>
  <c r="S304" i="43"/>
  <c r="S166" i="43"/>
  <c r="K166" i="46"/>
  <c r="S262" i="43"/>
  <c r="K262" i="46"/>
  <c r="S60" i="43"/>
  <c r="K60" i="46"/>
  <c r="S149" i="43"/>
  <c r="K149" i="46"/>
  <c r="S244" i="43"/>
  <c r="K244" i="46"/>
  <c r="S178" i="43"/>
  <c r="K178" i="46"/>
  <c r="S11" i="43"/>
  <c r="K11" i="46"/>
  <c r="S257" i="43"/>
  <c r="K257" i="46"/>
  <c r="S240" i="43"/>
  <c r="K240" i="46"/>
  <c r="S204" i="43"/>
  <c r="K204" i="46"/>
  <c r="S297" i="43"/>
  <c r="K297" i="46"/>
  <c r="S163" i="43"/>
  <c r="K163" i="46"/>
  <c r="S303" i="43"/>
  <c r="K303" i="46"/>
  <c r="S155" i="43"/>
  <c r="K155" i="46"/>
  <c r="S103" i="43"/>
  <c r="K103" i="46"/>
  <c r="S87" i="43"/>
  <c r="K87" i="46"/>
  <c r="S307" i="43"/>
  <c r="K307" i="46"/>
  <c r="S151" i="43"/>
  <c r="K151" i="46"/>
  <c r="S107" i="43"/>
  <c r="K107" i="46"/>
  <c r="S255" i="43"/>
  <c r="K255" i="46"/>
  <c r="S123" i="43"/>
  <c r="K123" i="46"/>
  <c r="S263" i="43"/>
  <c r="K263" i="46"/>
  <c r="S49" i="43"/>
  <c r="K49" i="46"/>
  <c r="S145" i="43"/>
  <c r="K145" i="46"/>
  <c r="S18" i="43"/>
  <c r="K18" i="46"/>
  <c r="S215" i="43"/>
  <c r="K215" i="46"/>
  <c r="S19" i="43"/>
  <c r="K19" i="46"/>
  <c r="S259" i="43"/>
  <c r="K259" i="46"/>
  <c r="S267" i="43"/>
  <c r="K267" i="46"/>
  <c r="S238" i="43"/>
  <c r="K238" i="46"/>
  <c r="K128" i="46"/>
  <c r="K16" i="46"/>
  <c r="S247" i="43"/>
  <c r="K247" i="46"/>
  <c r="S91" i="43"/>
  <c r="K91" i="46"/>
  <c r="S16" i="43"/>
  <c r="S41" i="43"/>
  <c r="K41" i="46"/>
  <c r="S137" i="43"/>
  <c r="K137" i="46"/>
  <c r="S153" i="43"/>
  <c r="K153" i="46"/>
  <c r="S231" i="43"/>
  <c r="K231" i="46"/>
  <c r="S199" i="43"/>
  <c r="K199" i="46"/>
  <c r="S132" i="43"/>
  <c r="K132" i="46"/>
  <c r="S61" i="43"/>
  <c r="S140" i="43"/>
  <c r="K140" i="46"/>
  <c r="S278" i="43"/>
  <c r="S248" i="43"/>
  <c r="K248" i="46"/>
  <c r="S264" i="43"/>
  <c r="K264" i="46"/>
  <c r="S4" i="43"/>
  <c r="K4" i="46"/>
  <c r="S88" i="43"/>
  <c r="S156" i="43"/>
  <c r="S47" i="43"/>
  <c r="K47" i="46"/>
  <c r="S168" i="43"/>
  <c r="K168" i="46"/>
  <c r="S286" i="43"/>
  <c r="K286" i="46"/>
  <c r="S173" i="43"/>
  <c r="K173" i="46"/>
  <c r="S181" i="43"/>
  <c r="K181" i="46"/>
  <c r="S296" i="43"/>
  <c r="K296" i="46"/>
  <c r="S112" i="43"/>
  <c r="S115" i="43"/>
  <c r="K115" i="46"/>
  <c r="S124" i="43"/>
  <c r="K124" i="46"/>
  <c r="S93" i="43"/>
  <c r="S116" i="43"/>
  <c r="S158" i="43"/>
  <c r="K158" i="46"/>
  <c r="S282" i="43"/>
  <c r="S31" i="43"/>
  <c r="K31" i="46"/>
  <c r="S200" i="43"/>
  <c r="K200" i="46"/>
  <c r="S232" i="43"/>
  <c r="K232" i="46"/>
  <c r="S92" i="43"/>
  <c r="K92" i="46"/>
  <c r="S292" i="43"/>
  <c r="S76" i="43"/>
  <c r="K76" i="46"/>
  <c r="S172" i="43"/>
  <c r="K172" i="46"/>
  <c r="S32" i="43"/>
  <c r="S176" i="43"/>
  <c r="K176" i="46"/>
  <c r="S236" i="43"/>
  <c r="K236" i="46"/>
  <c r="S83" i="43"/>
  <c r="K83" i="46"/>
  <c r="S214" i="43"/>
  <c r="K214" i="46"/>
  <c r="S64" i="43"/>
  <c r="K64" i="46"/>
  <c r="S184" i="43"/>
  <c r="K184" i="46"/>
  <c r="S148" i="43"/>
  <c r="K148" i="46"/>
  <c r="S77" i="43"/>
  <c r="K77" i="46"/>
  <c r="S194" i="43"/>
  <c r="K194" i="46"/>
  <c r="S272" i="43"/>
  <c r="K272" i="46"/>
  <c r="S298" i="43"/>
  <c r="K298" i="46"/>
  <c r="S265" i="43"/>
  <c r="K265" i="46"/>
  <c r="S230" i="43"/>
  <c r="K230" i="46"/>
  <c r="P230" i="45"/>
  <c r="K230" i="43"/>
  <c r="R230" i="43" s="1"/>
  <c r="P278" i="45"/>
  <c r="K278" i="43"/>
  <c r="R278" i="43" s="1"/>
  <c r="P214" i="45"/>
  <c r="K214" i="43"/>
  <c r="R214" i="43" s="1"/>
  <c r="P102" i="45"/>
  <c r="K102" i="43"/>
  <c r="R102" i="43" s="1"/>
  <c r="P285" i="45"/>
  <c r="K285" i="43"/>
  <c r="R285" i="43" s="1"/>
  <c r="P221" i="45"/>
  <c r="K221" i="43"/>
  <c r="R221" i="43" s="1"/>
  <c r="P157" i="45"/>
  <c r="K157" i="43"/>
  <c r="R157" i="43" s="1"/>
  <c r="P65" i="45"/>
  <c r="K65" i="43"/>
  <c r="R65" i="43" s="1"/>
  <c r="P268" i="45"/>
  <c r="K268" i="43"/>
  <c r="R268" i="43" s="1"/>
  <c r="P204" i="45"/>
  <c r="K204" i="43"/>
  <c r="R204" i="43" s="1"/>
  <c r="P84" i="45"/>
  <c r="K84" i="43"/>
  <c r="R84" i="43" s="1"/>
  <c r="P287" i="45"/>
  <c r="K287" i="43"/>
  <c r="R287" i="43" s="1"/>
  <c r="P223" i="45"/>
  <c r="K223" i="43"/>
  <c r="R223" i="43" s="1"/>
  <c r="P159" i="45"/>
  <c r="K159" i="43"/>
  <c r="R159" i="43" s="1"/>
  <c r="P140" i="45"/>
  <c r="K140" i="43"/>
  <c r="R140" i="43" s="1"/>
  <c r="P32" i="45"/>
  <c r="K32" i="43"/>
  <c r="R32" i="43" s="1"/>
  <c r="P75" i="45"/>
  <c r="K75" i="43"/>
  <c r="R75" i="43" s="1"/>
  <c r="P154" i="45"/>
  <c r="K154" i="43"/>
  <c r="R154" i="43" s="1"/>
  <c r="P58" i="45"/>
  <c r="K58" i="43"/>
  <c r="R58" i="43" s="1"/>
  <c r="P77" i="45"/>
  <c r="K77" i="43"/>
  <c r="R77" i="43" s="1"/>
  <c r="P242" i="45"/>
  <c r="K242" i="43"/>
  <c r="R242" i="43" s="1"/>
  <c r="P178" i="45"/>
  <c r="K178" i="43"/>
  <c r="R178" i="43" s="1"/>
  <c r="P313" i="45"/>
  <c r="K313" i="43"/>
  <c r="R313" i="43" s="1"/>
  <c r="P249" i="45"/>
  <c r="K249" i="43"/>
  <c r="R249" i="43" s="1"/>
  <c r="P185" i="45"/>
  <c r="K185" i="43"/>
  <c r="R185" i="43" s="1"/>
  <c r="P121" i="45"/>
  <c r="K121" i="43"/>
  <c r="R121" i="43" s="1"/>
  <c r="P296" i="45"/>
  <c r="K296" i="43"/>
  <c r="R296" i="43" s="1"/>
  <c r="P232" i="45"/>
  <c r="K232" i="43"/>
  <c r="R232" i="43" s="1"/>
  <c r="P168" i="45"/>
  <c r="K168" i="43"/>
  <c r="R168" i="43" s="1"/>
  <c r="P8" i="45"/>
  <c r="K8" i="43"/>
  <c r="R8" i="43" s="1"/>
  <c r="P251" i="45"/>
  <c r="K251" i="43"/>
  <c r="R251" i="43" s="1"/>
  <c r="P187" i="45"/>
  <c r="K187" i="43"/>
  <c r="R187" i="43" s="1"/>
  <c r="P123" i="45"/>
  <c r="K123" i="43"/>
  <c r="R123" i="43" s="1"/>
  <c r="P88" i="45"/>
  <c r="K88" i="43"/>
  <c r="R88" i="43" s="1"/>
  <c r="P103" i="45"/>
  <c r="K103" i="43"/>
  <c r="R103" i="43" s="1"/>
  <c r="P39" i="45"/>
  <c r="K39" i="43"/>
  <c r="R39" i="43" s="1"/>
  <c r="P114" i="45"/>
  <c r="K114" i="43"/>
  <c r="R114" i="43" s="1"/>
  <c r="P10" i="45"/>
  <c r="K10" i="43"/>
  <c r="R10" i="43" s="1"/>
  <c r="P13" i="45"/>
  <c r="K13" i="43"/>
  <c r="R13" i="43" s="1"/>
  <c r="P270" i="45"/>
  <c r="K270" i="43"/>
  <c r="R270" i="43" s="1"/>
  <c r="P206" i="45"/>
  <c r="K206" i="43"/>
  <c r="R206" i="43" s="1"/>
  <c r="P86" i="45"/>
  <c r="K86" i="43"/>
  <c r="R86" i="43" s="1"/>
  <c r="P277" i="45"/>
  <c r="K277" i="43"/>
  <c r="R277" i="43" s="1"/>
  <c r="P213" i="45"/>
  <c r="K213" i="43"/>
  <c r="R213" i="43" s="1"/>
  <c r="P149" i="45"/>
  <c r="K149" i="43"/>
  <c r="R149" i="43" s="1"/>
  <c r="P49" i="45"/>
  <c r="K49" i="43"/>
  <c r="R49" i="43" s="1"/>
  <c r="P260" i="45"/>
  <c r="K260" i="43"/>
  <c r="R260" i="43" s="1"/>
  <c r="P196" i="45"/>
  <c r="K196" i="43"/>
  <c r="R196" i="43" s="1"/>
  <c r="P68" i="45"/>
  <c r="K68" i="43"/>
  <c r="R68" i="43" s="1"/>
  <c r="P279" i="45"/>
  <c r="K279" i="43"/>
  <c r="R279" i="43" s="1"/>
  <c r="P215" i="45"/>
  <c r="K215" i="43"/>
  <c r="R215" i="43" s="1"/>
  <c r="P151" i="45"/>
  <c r="K151" i="43"/>
  <c r="R151" i="43" s="1"/>
  <c r="P132" i="45"/>
  <c r="K132" i="43"/>
  <c r="R132" i="43" s="1"/>
  <c r="P24" i="45"/>
  <c r="K24" i="43"/>
  <c r="R24" i="43" s="1"/>
  <c r="P67" i="45"/>
  <c r="K67" i="43"/>
  <c r="R67" i="43" s="1"/>
  <c r="P146" i="45"/>
  <c r="K146" i="43"/>
  <c r="R146" i="43" s="1"/>
  <c r="P42" i="45"/>
  <c r="K42" i="43"/>
  <c r="R42" i="43" s="1"/>
  <c r="P61" i="45"/>
  <c r="K61" i="43"/>
  <c r="R61" i="43" s="1"/>
  <c r="P298" i="45"/>
  <c r="K298" i="43"/>
  <c r="R298" i="43" s="1"/>
  <c r="P234" i="45"/>
  <c r="K234" i="43"/>
  <c r="R234" i="43" s="1"/>
  <c r="P170" i="45"/>
  <c r="K170" i="43"/>
  <c r="R170" i="43" s="1"/>
  <c r="P305" i="45"/>
  <c r="K305" i="43"/>
  <c r="R305" i="43" s="1"/>
  <c r="P241" i="45"/>
  <c r="K241" i="43"/>
  <c r="R241" i="43" s="1"/>
  <c r="P177" i="45"/>
  <c r="K177" i="43"/>
  <c r="R177" i="43" s="1"/>
  <c r="P105" i="45"/>
  <c r="K105" i="43"/>
  <c r="R105" i="43" s="1"/>
  <c r="P288" i="45"/>
  <c r="K288" i="43"/>
  <c r="R288" i="43" s="1"/>
  <c r="P224" i="45"/>
  <c r="K224" i="43"/>
  <c r="R224" i="43" s="1"/>
  <c r="P160" i="45"/>
  <c r="K160" i="43"/>
  <c r="R160" i="43" s="1"/>
  <c r="P307" i="45"/>
  <c r="K307" i="43"/>
  <c r="R307" i="43" s="1"/>
  <c r="P243" i="45"/>
  <c r="K243" i="43"/>
  <c r="R243" i="43" s="1"/>
  <c r="P179" i="45"/>
  <c r="K179" i="43"/>
  <c r="R179" i="43" s="1"/>
  <c r="P19" i="45"/>
  <c r="K19" i="43"/>
  <c r="R19" i="43" s="1"/>
  <c r="P72" i="45"/>
  <c r="K72" i="43"/>
  <c r="R72" i="43" s="1"/>
  <c r="P95" i="45"/>
  <c r="K95" i="43"/>
  <c r="R95" i="43" s="1"/>
  <c r="P31" i="45"/>
  <c r="K31" i="43"/>
  <c r="R31" i="43" s="1"/>
  <c r="P98" i="45"/>
  <c r="K98" i="43"/>
  <c r="R98" i="43" s="1"/>
  <c r="P117" i="45"/>
  <c r="K117" i="43"/>
  <c r="R117" i="43" s="1"/>
  <c r="P314" i="45"/>
  <c r="K314" i="43"/>
  <c r="R314" i="43" s="1"/>
  <c r="P262" i="45"/>
  <c r="K262" i="43"/>
  <c r="R262" i="43" s="1"/>
  <c r="P198" i="45"/>
  <c r="K198" i="43"/>
  <c r="R198" i="43" s="1"/>
  <c r="P70" i="45"/>
  <c r="K70" i="43"/>
  <c r="R70" i="43" s="1"/>
  <c r="P269" i="45"/>
  <c r="K269" i="43"/>
  <c r="R269" i="43" s="1"/>
  <c r="P205" i="45"/>
  <c r="K205" i="43"/>
  <c r="R205" i="43" s="1"/>
  <c r="P141" i="45"/>
  <c r="K141" i="43"/>
  <c r="R141" i="43" s="1"/>
  <c r="P33" i="45"/>
  <c r="K33" i="43"/>
  <c r="R33" i="43" s="1"/>
  <c r="P252" i="45"/>
  <c r="K252" i="43"/>
  <c r="R252" i="43" s="1"/>
  <c r="P188" i="45"/>
  <c r="K188" i="43"/>
  <c r="R188" i="43" s="1"/>
  <c r="P52" i="45"/>
  <c r="K52" i="43"/>
  <c r="R52" i="43" s="1"/>
  <c r="P271" i="45"/>
  <c r="K271" i="43"/>
  <c r="R271" i="43" s="1"/>
  <c r="P207" i="45"/>
  <c r="K207" i="43"/>
  <c r="R207" i="43" s="1"/>
  <c r="P143" i="45"/>
  <c r="K143" i="43"/>
  <c r="R143" i="43" s="1"/>
  <c r="P124" i="45"/>
  <c r="K124" i="43"/>
  <c r="R124" i="43" s="1"/>
  <c r="P23" i="45"/>
  <c r="K23" i="43"/>
  <c r="R23" i="43" s="1"/>
  <c r="P59" i="45"/>
  <c r="K59" i="43"/>
  <c r="R59" i="43" s="1"/>
  <c r="P138" i="45"/>
  <c r="K138" i="43"/>
  <c r="R138" i="43" s="1"/>
  <c r="P30" i="45"/>
  <c r="K30" i="43"/>
  <c r="R30" i="43" s="1"/>
  <c r="P45" i="45"/>
  <c r="K45" i="43"/>
  <c r="R45" i="43" s="1"/>
  <c r="P290" i="45"/>
  <c r="K290" i="43"/>
  <c r="R290" i="43" s="1"/>
  <c r="P226" i="45"/>
  <c r="K226" i="43"/>
  <c r="R226" i="43" s="1"/>
  <c r="P162" i="45"/>
  <c r="K162" i="43"/>
  <c r="R162" i="43" s="1"/>
  <c r="P297" i="45"/>
  <c r="K297" i="43"/>
  <c r="R297" i="43" s="1"/>
  <c r="P233" i="45"/>
  <c r="K233" i="43"/>
  <c r="R233" i="43" s="1"/>
  <c r="P169" i="45"/>
  <c r="K169" i="43"/>
  <c r="R169" i="43" s="1"/>
  <c r="P89" i="45"/>
  <c r="K89" i="43"/>
  <c r="R89" i="43" s="1"/>
  <c r="P280" i="45"/>
  <c r="K280" i="43"/>
  <c r="R280" i="43" s="1"/>
  <c r="P216" i="45"/>
  <c r="K216" i="43"/>
  <c r="R216" i="43" s="1"/>
  <c r="P108" i="45"/>
  <c r="K108" i="43"/>
  <c r="R108" i="43" s="1"/>
  <c r="P299" i="45"/>
  <c r="K299" i="43"/>
  <c r="R299" i="43" s="1"/>
  <c r="P235" i="45"/>
  <c r="K235" i="43"/>
  <c r="R235" i="43" s="1"/>
  <c r="P171" i="45"/>
  <c r="K171" i="43"/>
  <c r="R171" i="43" s="1"/>
  <c r="P152" i="45"/>
  <c r="K152" i="43"/>
  <c r="R152" i="43" s="1"/>
  <c r="P56" i="45"/>
  <c r="K56" i="43"/>
  <c r="R56" i="43" s="1"/>
  <c r="P87" i="45"/>
  <c r="K87" i="43"/>
  <c r="R87" i="43" s="1"/>
  <c r="P11" i="45"/>
  <c r="K11" i="43"/>
  <c r="R11" i="43" s="1"/>
  <c r="P82" i="45"/>
  <c r="K82" i="43"/>
  <c r="R82" i="43" s="1"/>
  <c r="P101" i="45"/>
  <c r="K101" i="43"/>
  <c r="R101" i="43" s="1"/>
  <c r="P306" i="45"/>
  <c r="K306" i="43"/>
  <c r="R306" i="43" s="1"/>
  <c r="P254" i="45"/>
  <c r="K254" i="43"/>
  <c r="R254" i="43" s="1"/>
  <c r="P190" i="45"/>
  <c r="K190" i="43"/>
  <c r="R190" i="43" s="1"/>
  <c r="P54" i="45"/>
  <c r="K54" i="43"/>
  <c r="R54" i="43" s="1"/>
  <c r="P261" i="45"/>
  <c r="K261" i="43"/>
  <c r="R261" i="43" s="1"/>
  <c r="P197" i="45"/>
  <c r="K197" i="43"/>
  <c r="R197" i="43" s="1"/>
  <c r="P133" i="45"/>
  <c r="K133" i="43"/>
  <c r="R133" i="43" s="1"/>
  <c r="P5" i="45"/>
  <c r="K5" i="43"/>
  <c r="R5" i="43" s="1"/>
  <c r="P244" i="45"/>
  <c r="K244" i="43"/>
  <c r="R244" i="43" s="1"/>
  <c r="P180" i="45"/>
  <c r="K180" i="43"/>
  <c r="R180" i="43" s="1"/>
  <c r="P36" i="45"/>
  <c r="K36" i="43"/>
  <c r="R36" i="43" s="1"/>
  <c r="P263" i="45"/>
  <c r="K263" i="43"/>
  <c r="R263" i="43" s="1"/>
  <c r="P199" i="45"/>
  <c r="K199" i="43"/>
  <c r="R199" i="43" s="1"/>
  <c r="P135" i="45"/>
  <c r="K135" i="43"/>
  <c r="R135" i="43" s="1"/>
  <c r="P112" i="45"/>
  <c r="K112" i="43"/>
  <c r="R112" i="43" s="1"/>
  <c r="P115" i="45"/>
  <c r="K115" i="43"/>
  <c r="R115" i="43" s="1"/>
  <c r="P51" i="45"/>
  <c r="K51" i="43"/>
  <c r="R51" i="43" s="1"/>
  <c r="P130" i="45"/>
  <c r="K130" i="43"/>
  <c r="R130" i="43" s="1"/>
  <c r="P22" i="45"/>
  <c r="K22" i="43"/>
  <c r="R22" i="43" s="1"/>
  <c r="P25" i="45"/>
  <c r="K25" i="43"/>
  <c r="R25" i="43" s="1"/>
  <c r="P282" i="45"/>
  <c r="K282" i="43"/>
  <c r="R282" i="43" s="1"/>
  <c r="P218" i="45"/>
  <c r="K218" i="43"/>
  <c r="R218" i="43" s="1"/>
  <c r="P110" i="45"/>
  <c r="K110" i="43"/>
  <c r="R110" i="43" s="1"/>
  <c r="P289" i="45"/>
  <c r="K289" i="43"/>
  <c r="R289" i="43" s="1"/>
  <c r="P225" i="45"/>
  <c r="K225" i="43"/>
  <c r="R225" i="43" s="1"/>
  <c r="P161" i="45"/>
  <c r="K161" i="43"/>
  <c r="R161" i="43" s="1"/>
  <c r="P73" i="45"/>
  <c r="K73" i="43"/>
  <c r="R73" i="43" s="1"/>
  <c r="P272" i="45"/>
  <c r="K272" i="43"/>
  <c r="R272" i="43" s="1"/>
  <c r="P208" i="45"/>
  <c r="K208" i="43"/>
  <c r="R208" i="43" s="1"/>
  <c r="P92" i="45"/>
  <c r="K92" i="43"/>
  <c r="R92" i="43" s="1"/>
  <c r="P291" i="45"/>
  <c r="K291" i="43"/>
  <c r="R291" i="43" s="1"/>
  <c r="P227" i="45"/>
  <c r="K227" i="43"/>
  <c r="R227" i="43" s="1"/>
  <c r="P163" i="45"/>
  <c r="K163" i="43"/>
  <c r="R163" i="43" s="1"/>
  <c r="P144" i="45"/>
  <c r="K144" i="43"/>
  <c r="R144" i="43" s="1"/>
  <c r="P40" i="45"/>
  <c r="K40" i="43"/>
  <c r="R40" i="43" s="1"/>
  <c r="P79" i="45"/>
  <c r="K79" i="43"/>
  <c r="R79" i="43" s="1"/>
  <c r="P158" i="45"/>
  <c r="K158" i="43"/>
  <c r="R158" i="43" s="1"/>
  <c r="P66" i="45"/>
  <c r="K66" i="43"/>
  <c r="R66" i="43" s="1"/>
  <c r="P85" i="45"/>
  <c r="K85" i="43"/>
  <c r="R85" i="43" s="1"/>
  <c r="P308" i="45"/>
  <c r="K308" i="43"/>
  <c r="R308" i="43" s="1"/>
  <c r="P246" i="45"/>
  <c r="K246" i="43"/>
  <c r="R246" i="43" s="1"/>
  <c r="P182" i="45"/>
  <c r="K182" i="43"/>
  <c r="R182" i="43" s="1"/>
  <c r="P38" i="45"/>
  <c r="K38" i="43"/>
  <c r="R38" i="43" s="1"/>
  <c r="P253" i="45"/>
  <c r="K253" i="43"/>
  <c r="R253" i="43" s="1"/>
  <c r="P189" i="45"/>
  <c r="K189" i="43"/>
  <c r="R189" i="43" s="1"/>
  <c r="P125" i="45"/>
  <c r="K125" i="43"/>
  <c r="R125" i="43" s="1"/>
  <c r="P300" i="45"/>
  <c r="K300" i="43"/>
  <c r="R300" i="43" s="1"/>
  <c r="P236" i="45"/>
  <c r="K236" i="43"/>
  <c r="R236" i="43" s="1"/>
  <c r="P172" i="45"/>
  <c r="K172" i="43"/>
  <c r="R172" i="43" s="1"/>
  <c r="P12" i="45"/>
  <c r="K12" i="43"/>
  <c r="R12" i="43" s="1"/>
  <c r="P255" i="45"/>
  <c r="K255" i="43"/>
  <c r="R255" i="43" s="1"/>
  <c r="P191" i="45"/>
  <c r="K191" i="43"/>
  <c r="R191" i="43" s="1"/>
  <c r="P127" i="45"/>
  <c r="K127" i="43"/>
  <c r="R127" i="43" s="1"/>
  <c r="P96" i="45"/>
  <c r="K96" i="43"/>
  <c r="R96" i="43" s="1"/>
  <c r="P107" i="45"/>
  <c r="K107" i="43"/>
  <c r="R107" i="43" s="1"/>
  <c r="P43" i="45"/>
  <c r="K43" i="43"/>
  <c r="R43" i="43" s="1"/>
  <c r="P122" i="45"/>
  <c r="K122" i="43"/>
  <c r="R122" i="43" s="1"/>
  <c r="P14" i="45"/>
  <c r="K14" i="43"/>
  <c r="R14" i="43" s="1"/>
  <c r="P17" i="45"/>
  <c r="K17" i="43"/>
  <c r="R17" i="43" s="1"/>
  <c r="P274" i="45"/>
  <c r="K274" i="43"/>
  <c r="R274" i="43" s="1"/>
  <c r="P210" i="45"/>
  <c r="K210" i="43"/>
  <c r="R210" i="43" s="1"/>
  <c r="P94" i="45"/>
  <c r="K94" i="43"/>
  <c r="R94" i="43" s="1"/>
  <c r="P281" i="45"/>
  <c r="K281" i="43"/>
  <c r="R281" i="43" s="1"/>
  <c r="P217" i="45"/>
  <c r="K217" i="43"/>
  <c r="R217" i="43" s="1"/>
  <c r="P153" i="45"/>
  <c r="K153" i="43"/>
  <c r="R153" i="43" s="1"/>
  <c r="P57" i="45"/>
  <c r="K57" i="43"/>
  <c r="R57" i="43" s="1"/>
  <c r="P264" i="45"/>
  <c r="K264" i="43"/>
  <c r="R264" i="43" s="1"/>
  <c r="P200" i="45"/>
  <c r="K200" i="43"/>
  <c r="R200" i="43" s="1"/>
  <c r="P76" i="45"/>
  <c r="K76" i="43"/>
  <c r="R76" i="43" s="1"/>
  <c r="P283" i="45"/>
  <c r="K283" i="43"/>
  <c r="R283" i="43" s="1"/>
  <c r="P219" i="45"/>
  <c r="K219" i="43"/>
  <c r="R219" i="43" s="1"/>
  <c r="P155" i="45"/>
  <c r="K155" i="43"/>
  <c r="R155" i="43" s="1"/>
  <c r="P136" i="45"/>
  <c r="K136" i="43"/>
  <c r="R136" i="43" s="1"/>
  <c r="P28" i="45"/>
  <c r="K28" i="43"/>
  <c r="R28" i="43" s="1"/>
  <c r="P71" i="45"/>
  <c r="K71" i="43"/>
  <c r="R71" i="43" s="1"/>
  <c r="P150" i="45"/>
  <c r="K150" i="43"/>
  <c r="R150" i="43" s="1"/>
  <c r="P50" i="45"/>
  <c r="K50" i="43"/>
  <c r="R50" i="43" s="1"/>
  <c r="P69" i="45"/>
  <c r="K69" i="43"/>
  <c r="R69" i="43" s="1"/>
  <c r="P302" i="45"/>
  <c r="K302" i="43"/>
  <c r="R302" i="43" s="1"/>
  <c r="P238" i="45"/>
  <c r="K238" i="43"/>
  <c r="R238" i="43" s="1"/>
  <c r="P174" i="45"/>
  <c r="K174" i="43"/>
  <c r="R174" i="43" s="1"/>
  <c r="P309" i="45"/>
  <c r="K309" i="43"/>
  <c r="R309" i="43" s="1"/>
  <c r="P245" i="45"/>
  <c r="K245" i="43"/>
  <c r="R245" i="43" s="1"/>
  <c r="P181" i="45"/>
  <c r="K181" i="43"/>
  <c r="R181" i="43" s="1"/>
  <c r="P113" i="45"/>
  <c r="K113" i="43"/>
  <c r="R113" i="43" s="1"/>
  <c r="P292" i="45"/>
  <c r="K292" i="43"/>
  <c r="R292" i="43" s="1"/>
  <c r="P228" i="45"/>
  <c r="K228" i="43"/>
  <c r="R228" i="43" s="1"/>
  <c r="P164" i="45"/>
  <c r="K164" i="43"/>
  <c r="R164" i="43" s="1"/>
  <c r="P311" i="45"/>
  <c r="K311" i="43"/>
  <c r="R311" i="43" s="1"/>
  <c r="P247" i="45"/>
  <c r="K247" i="43"/>
  <c r="R247" i="43" s="1"/>
  <c r="P183" i="45"/>
  <c r="K183" i="43"/>
  <c r="R183" i="43" s="1"/>
  <c r="P27" i="45"/>
  <c r="K27" i="43"/>
  <c r="R27" i="43" s="1"/>
  <c r="P80" i="45"/>
  <c r="K80" i="43"/>
  <c r="R80" i="43" s="1"/>
  <c r="P99" i="45"/>
  <c r="K99" i="43"/>
  <c r="R99" i="43" s="1"/>
  <c r="P35" i="45"/>
  <c r="K35" i="43"/>
  <c r="R35" i="43" s="1"/>
  <c r="P106" i="45"/>
  <c r="K106" i="43"/>
  <c r="R106" i="43" s="1"/>
  <c r="P6" i="45"/>
  <c r="K6" i="43"/>
  <c r="R6" i="43" s="1"/>
  <c r="P9" i="45"/>
  <c r="K9" i="43"/>
  <c r="R9" i="43" s="1"/>
  <c r="P266" i="45"/>
  <c r="K266" i="43"/>
  <c r="R266" i="43" s="1"/>
  <c r="P202" i="45"/>
  <c r="K202" i="43"/>
  <c r="R202" i="43" s="1"/>
  <c r="P78" i="45"/>
  <c r="K78" i="43"/>
  <c r="R78" i="43" s="1"/>
  <c r="P273" i="45"/>
  <c r="K273" i="43"/>
  <c r="R273" i="43" s="1"/>
  <c r="P209" i="45"/>
  <c r="K209" i="43"/>
  <c r="R209" i="43" s="1"/>
  <c r="P145" i="45"/>
  <c r="K145" i="43"/>
  <c r="R145" i="43" s="1"/>
  <c r="P41" i="45"/>
  <c r="K41" i="43"/>
  <c r="R41" i="43" s="1"/>
  <c r="P256" i="45"/>
  <c r="K256" i="43"/>
  <c r="R256" i="43" s="1"/>
  <c r="P192" i="45"/>
  <c r="K192" i="43"/>
  <c r="R192" i="43" s="1"/>
  <c r="P60" i="45"/>
  <c r="K60" i="43"/>
  <c r="R60" i="43" s="1"/>
  <c r="P275" i="45"/>
  <c r="K275" i="43"/>
  <c r="R275" i="43" s="1"/>
  <c r="P211" i="45"/>
  <c r="K211" i="43"/>
  <c r="R211" i="43" s="1"/>
  <c r="P147" i="45"/>
  <c r="K147" i="43"/>
  <c r="R147" i="43" s="1"/>
  <c r="P128" i="45"/>
  <c r="K128" i="43"/>
  <c r="R128" i="43" s="1"/>
  <c r="P20" i="45"/>
  <c r="K20" i="43"/>
  <c r="R20" i="43" s="1"/>
  <c r="P63" i="45"/>
  <c r="K63" i="43"/>
  <c r="R63" i="43" s="1"/>
  <c r="P142" i="45"/>
  <c r="K142" i="43"/>
  <c r="R142" i="43" s="1"/>
  <c r="P34" i="45"/>
  <c r="K34" i="43"/>
  <c r="R34" i="43" s="1"/>
  <c r="P53" i="45"/>
  <c r="K53" i="43"/>
  <c r="R53" i="43" s="1"/>
  <c r="P294" i="45"/>
  <c r="K294" i="43"/>
  <c r="R294" i="43" s="1"/>
  <c r="P166" i="45"/>
  <c r="K166" i="43"/>
  <c r="R166" i="43" s="1"/>
  <c r="P301" i="45"/>
  <c r="K301" i="43"/>
  <c r="R301" i="43" s="1"/>
  <c r="P237" i="45"/>
  <c r="K237" i="43"/>
  <c r="R237" i="43" s="1"/>
  <c r="P173" i="45"/>
  <c r="K173" i="43"/>
  <c r="R173" i="43" s="1"/>
  <c r="P97" i="45"/>
  <c r="K97" i="43"/>
  <c r="R97" i="43" s="1"/>
  <c r="P284" i="45"/>
  <c r="K284" i="43"/>
  <c r="R284" i="43" s="1"/>
  <c r="P220" i="45"/>
  <c r="K220" i="43"/>
  <c r="R220" i="43" s="1"/>
  <c r="P116" i="45"/>
  <c r="K116" i="43"/>
  <c r="R116" i="43" s="1"/>
  <c r="P303" i="45"/>
  <c r="K303" i="43"/>
  <c r="R303" i="43" s="1"/>
  <c r="P239" i="45"/>
  <c r="K239" i="43"/>
  <c r="R239" i="43" s="1"/>
  <c r="P175" i="45"/>
  <c r="K175" i="43"/>
  <c r="R175" i="43" s="1"/>
  <c r="P156" i="45"/>
  <c r="K156" i="43"/>
  <c r="R156" i="43" s="1"/>
  <c r="P64" i="45"/>
  <c r="K64" i="43"/>
  <c r="R64" i="43" s="1"/>
  <c r="P91" i="45"/>
  <c r="K91" i="43"/>
  <c r="R91" i="43" s="1"/>
  <c r="P15" i="45"/>
  <c r="K15" i="43"/>
  <c r="R15" i="43" s="1"/>
  <c r="P90" i="45"/>
  <c r="K90" i="43"/>
  <c r="R90" i="43" s="1"/>
  <c r="P109" i="45"/>
  <c r="K109" i="43"/>
  <c r="R109" i="43" s="1"/>
  <c r="P310" i="45"/>
  <c r="K310" i="43"/>
  <c r="R310" i="43" s="1"/>
  <c r="P258" i="45"/>
  <c r="K258" i="43"/>
  <c r="R258" i="43" s="1"/>
  <c r="P194" i="45"/>
  <c r="K194" i="43"/>
  <c r="R194" i="43" s="1"/>
  <c r="P62" i="45"/>
  <c r="K62" i="43"/>
  <c r="R62" i="43" s="1"/>
  <c r="P265" i="45"/>
  <c r="K265" i="43"/>
  <c r="R265" i="43" s="1"/>
  <c r="P201" i="45"/>
  <c r="K201" i="43"/>
  <c r="R201" i="43" s="1"/>
  <c r="P137" i="45"/>
  <c r="K137" i="43"/>
  <c r="R137" i="43" s="1"/>
  <c r="P29" i="45"/>
  <c r="K29" i="43"/>
  <c r="R29" i="43" s="1"/>
  <c r="P248" i="45"/>
  <c r="K248" i="43"/>
  <c r="R248" i="43" s="1"/>
  <c r="P184" i="45"/>
  <c r="K184" i="43"/>
  <c r="R184" i="43" s="1"/>
  <c r="P44" i="45"/>
  <c r="K44" i="43"/>
  <c r="R44" i="43" s="1"/>
  <c r="P267" i="45"/>
  <c r="K267" i="43"/>
  <c r="R267" i="43" s="1"/>
  <c r="P203" i="45"/>
  <c r="K203" i="43"/>
  <c r="R203" i="43" s="1"/>
  <c r="P139" i="45"/>
  <c r="K139" i="43"/>
  <c r="R139" i="43" s="1"/>
  <c r="P120" i="45"/>
  <c r="K120" i="43"/>
  <c r="R120" i="43" s="1"/>
  <c r="P119" i="45"/>
  <c r="K119" i="43"/>
  <c r="R119" i="43" s="1"/>
  <c r="P55" i="45"/>
  <c r="K55" i="43"/>
  <c r="R55" i="43" s="1"/>
  <c r="P134" i="45"/>
  <c r="K134" i="43"/>
  <c r="R134" i="43" s="1"/>
  <c r="P26" i="45"/>
  <c r="K26" i="43"/>
  <c r="R26" i="43" s="1"/>
  <c r="P37" i="45"/>
  <c r="K37" i="43"/>
  <c r="R37" i="43" s="1"/>
  <c r="P286" i="45"/>
  <c r="K286" i="43"/>
  <c r="R286" i="43" s="1"/>
  <c r="P222" i="45"/>
  <c r="K222" i="43"/>
  <c r="R222" i="43" s="1"/>
  <c r="P118" i="45"/>
  <c r="K118" i="43"/>
  <c r="R118" i="43" s="1"/>
  <c r="P293" i="45"/>
  <c r="K293" i="43"/>
  <c r="R293" i="43" s="1"/>
  <c r="P229" i="45"/>
  <c r="K229" i="43"/>
  <c r="R229" i="43" s="1"/>
  <c r="P165" i="45"/>
  <c r="K165" i="43"/>
  <c r="R165" i="43" s="1"/>
  <c r="P81" i="45"/>
  <c r="K81" i="43"/>
  <c r="R81" i="43" s="1"/>
  <c r="P276" i="45"/>
  <c r="K276" i="43"/>
  <c r="R276" i="43" s="1"/>
  <c r="P212" i="45"/>
  <c r="K212" i="43"/>
  <c r="R212" i="43" s="1"/>
  <c r="P100" i="45"/>
  <c r="K100" i="43"/>
  <c r="R100" i="43" s="1"/>
  <c r="P295" i="45"/>
  <c r="K295" i="43"/>
  <c r="R295" i="43" s="1"/>
  <c r="P231" i="45"/>
  <c r="K231" i="43"/>
  <c r="R231" i="43" s="1"/>
  <c r="P167" i="45"/>
  <c r="K167" i="43"/>
  <c r="R167" i="43" s="1"/>
  <c r="P148" i="45"/>
  <c r="K148" i="43"/>
  <c r="R148" i="43" s="1"/>
  <c r="P48" i="45"/>
  <c r="K48" i="43"/>
  <c r="R48" i="43" s="1"/>
  <c r="P83" i="45"/>
  <c r="K83" i="43"/>
  <c r="R83" i="43" s="1"/>
  <c r="P7" i="45"/>
  <c r="K7" i="43"/>
  <c r="R7" i="43" s="1"/>
  <c r="P74" i="45"/>
  <c r="K74" i="43"/>
  <c r="R74" i="43" s="1"/>
  <c r="P93" i="45"/>
  <c r="K93" i="43"/>
  <c r="R93" i="43" s="1"/>
  <c r="P312" i="45"/>
  <c r="K312" i="43"/>
  <c r="R312" i="43" s="1"/>
  <c r="P250" i="45"/>
  <c r="K250" i="43"/>
  <c r="R250" i="43" s="1"/>
  <c r="P186" i="45"/>
  <c r="K186" i="43"/>
  <c r="R186" i="43" s="1"/>
  <c r="P46" i="45"/>
  <c r="K46" i="43"/>
  <c r="R46" i="43" s="1"/>
  <c r="P257" i="45"/>
  <c r="K257" i="43"/>
  <c r="R257" i="43" s="1"/>
  <c r="P193" i="45"/>
  <c r="K193" i="43"/>
  <c r="R193" i="43" s="1"/>
  <c r="P129" i="45"/>
  <c r="K129" i="43"/>
  <c r="R129" i="43" s="1"/>
  <c r="P304" i="45"/>
  <c r="K304" i="43"/>
  <c r="R304" i="43" s="1"/>
  <c r="P240" i="45"/>
  <c r="K240" i="43"/>
  <c r="R240" i="43" s="1"/>
  <c r="P176" i="45"/>
  <c r="K176" i="43"/>
  <c r="R176" i="43" s="1"/>
  <c r="P16" i="45"/>
  <c r="K16" i="43"/>
  <c r="R16" i="43" s="1"/>
  <c r="P259" i="45"/>
  <c r="K259" i="43"/>
  <c r="R259" i="43" s="1"/>
  <c r="P195" i="45"/>
  <c r="K195" i="43"/>
  <c r="R195" i="43" s="1"/>
  <c r="P131" i="45"/>
  <c r="K131" i="43"/>
  <c r="R131" i="43" s="1"/>
  <c r="P104" i="45"/>
  <c r="K104" i="43"/>
  <c r="R104" i="43" s="1"/>
  <c r="P111" i="45"/>
  <c r="K111" i="43"/>
  <c r="R111" i="43" s="1"/>
  <c r="P47" i="45"/>
  <c r="K47" i="43"/>
  <c r="R47" i="43" s="1"/>
  <c r="P126" i="45"/>
  <c r="K126" i="43"/>
  <c r="R126" i="43" s="1"/>
  <c r="P18" i="45"/>
  <c r="K18" i="43"/>
  <c r="R18" i="43" s="1"/>
  <c r="P21" i="45"/>
  <c r="K21" i="43"/>
  <c r="R21" i="43" s="1"/>
  <c r="K4" i="43"/>
  <c r="R4" i="43" s="1"/>
  <c r="N313" i="44"/>
  <c r="U313" i="44"/>
  <c r="X313" i="44"/>
  <c r="Y313" i="44" s="1"/>
  <c r="N309" i="44"/>
  <c r="U309" i="44"/>
  <c r="X309" i="44"/>
  <c r="Y309" i="44" s="1"/>
  <c r="N305" i="44"/>
  <c r="U305" i="44"/>
  <c r="X305" i="44"/>
  <c r="Y305" i="44" s="1"/>
  <c r="N301" i="44"/>
  <c r="U301" i="44"/>
  <c r="X301" i="44"/>
  <c r="Y301" i="44" s="1"/>
  <c r="N297" i="44"/>
  <c r="U297" i="44"/>
  <c r="X297" i="44"/>
  <c r="Y297" i="44" s="1"/>
  <c r="N293" i="44"/>
  <c r="U293" i="44"/>
  <c r="X293" i="44"/>
  <c r="Y293" i="44" s="1"/>
  <c r="N289" i="44"/>
  <c r="U289" i="44"/>
  <c r="X289" i="44"/>
  <c r="Y289" i="44" s="1"/>
  <c r="N285" i="44"/>
  <c r="U285" i="44"/>
  <c r="X285" i="44"/>
  <c r="Y285" i="44" s="1"/>
  <c r="N281" i="44"/>
  <c r="U281" i="44"/>
  <c r="X281" i="44"/>
  <c r="Y281" i="44" s="1"/>
  <c r="N277" i="44"/>
  <c r="U277" i="44"/>
  <c r="X277" i="44"/>
  <c r="Y277" i="44" s="1"/>
  <c r="N273" i="44"/>
  <c r="U273" i="44"/>
  <c r="X273" i="44"/>
  <c r="Y273" i="44" s="1"/>
  <c r="N269" i="44"/>
  <c r="U269" i="44"/>
  <c r="X269" i="44"/>
  <c r="Y269" i="44" s="1"/>
  <c r="N265" i="44"/>
  <c r="U265" i="44"/>
  <c r="X265" i="44"/>
  <c r="Y265" i="44" s="1"/>
  <c r="N261" i="44"/>
  <c r="X261" i="44"/>
  <c r="Y261" i="44" s="1"/>
  <c r="U261" i="44"/>
  <c r="N257" i="44"/>
  <c r="U257" i="44"/>
  <c r="X257" i="44"/>
  <c r="Y257" i="44" s="1"/>
  <c r="N253" i="44"/>
  <c r="U253" i="44"/>
  <c r="X253" i="44"/>
  <c r="Y253" i="44" s="1"/>
  <c r="N249" i="44"/>
  <c r="U249" i="44"/>
  <c r="X249" i="44"/>
  <c r="Y249" i="44" s="1"/>
  <c r="N245" i="44"/>
  <c r="X245" i="44"/>
  <c r="Y245" i="44" s="1"/>
  <c r="U245" i="44"/>
  <c r="N241" i="44"/>
  <c r="U241" i="44"/>
  <c r="X241" i="44"/>
  <c r="Y241" i="44" s="1"/>
  <c r="N237" i="44"/>
  <c r="U237" i="44"/>
  <c r="X237" i="44"/>
  <c r="Y237" i="44" s="1"/>
  <c r="N233" i="44"/>
  <c r="U233" i="44"/>
  <c r="X233" i="44"/>
  <c r="Y233" i="44" s="1"/>
  <c r="N229" i="44"/>
  <c r="X229" i="44"/>
  <c r="Y229" i="44" s="1"/>
  <c r="U229" i="44"/>
  <c r="N225" i="44"/>
  <c r="U225" i="44"/>
  <c r="X225" i="44"/>
  <c r="Y225" i="44" s="1"/>
  <c r="N221" i="44"/>
  <c r="U221" i="44"/>
  <c r="X221" i="44"/>
  <c r="Y221" i="44" s="1"/>
  <c r="N217" i="44"/>
  <c r="U217" i="44"/>
  <c r="X217" i="44"/>
  <c r="Y217" i="44" s="1"/>
  <c r="N213" i="44"/>
  <c r="X213" i="44"/>
  <c r="Y213" i="44" s="1"/>
  <c r="U213" i="44"/>
  <c r="N209" i="44"/>
  <c r="X209" i="44"/>
  <c r="Y209" i="44" s="1"/>
  <c r="U209" i="44"/>
  <c r="N205" i="44"/>
  <c r="X205" i="44"/>
  <c r="Y205" i="44" s="1"/>
  <c r="U205" i="44"/>
  <c r="N201" i="44"/>
  <c r="X201" i="44"/>
  <c r="Y201" i="44" s="1"/>
  <c r="U201" i="44"/>
  <c r="N197" i="44"/>
  <c r="X197" i="44"/>
  <c r="Y197" i="44" s="1"/>
  <c r="U197" i="44"/>
  <c r="N193" i="44"/>
  <c r="X193" i="44"/>
  <c r="Y193" i="44" s="1"/>
  <c r="U193" i="44"/>
  <c r="N189" i="44"/>
  <c r="X189" i="44"/>
  <c r="Y189" i="44" s="1"/>
  <c r="U189" i="44"/>
  <c r="N185" i="44"/>
  <c r="X185" i="44"/>
  <c r="Y185" i="44" s="1"/>
  <c r="U185" i="44"/>
  <c r="N181" i="44"/>
  <c r="X181" i="44"/>
  <c r="Y181" i="44" s="1"/>
  <c r="U181" i="44"/>
  <c r="N177" i="44"/>
  <c r="X177" i="44"/>
  <c r="Y177" i="44" s="1"/>
  <c r="U177" i="44"/>
  <c r="N173" i="44"/>
  <c r="X173" i="44"/>
  <c r="Y173" i="44" s="1"/>
  <c r="U173" i="44"/>
  <c r="N169" i="44"/>
  <c r="X169" i="44"/>
  <c r="Y169" i="44" s="1"/>
  <c r="U169" i="44"/>
  <c r="N165" i="44"/>
  <c r="X165" i="44"/>
  <c r="Y165" i="44" s="1"/>
  <c r="U165" i="44"/>
  <c r="N161" i="44"/>
  <c r="X161" i="44"/>
  <c r="Y161" i="44" s="1"/>
  <c r="U161" i="44"/>
  <c r="N157" i="44"/>
  <c r="X157" i="44"/>
  <c r="Y157" i="44" s="1"/>
  <c r="U157" i="44"/>
  <c r="N153" i="44"/>
  <c r="X153" i="44"/>
  <c r="Y153" i="44" s="1"/>
  <c r="U153" i="44"/>
  <c r="N149" i="44"/>
  <c r="X149" i="44"/>
  <c r="Y149" i="44" s="1"/>
  <c r="U149" i="44"/>
  <c r="N145" i="44"/>
  <c r="X145" i="44"/>
  <c r="Y145" i="44" s="1"/>
  <c r="U145" i="44"/>
  <c r="N141" i="44"/>
  <c r="X141" i="44"/>
  <c r="Y141" i="44" s="1"/>
  <c r="U141" i="44"/>
  <c r="N137" i="44"/>
  <c r="X137" i="44"/>
  <c r="Y137" i="44" s="1"/>
  <c r="U137" i="44"/>
  <c r="N133" i="44"/>
  <c r="X133" i="44"/>
  <c r="Y133" i="44" s="1"/>
  <c r="U133" i="44"/>
  <c r="N129" i="44"/>
  <c r="X129" i="44"/>
  <c r="Y129" i="44" s="1"/>
  <c r="U129" i="44"/>
  <c r="N125" i="44"/>
  <c r="X125" i="44"/>
  <c r="Y125" i="44" s="1"/>
  <c r="U125" i="44"/>
  <c r="N121" i="44"/>
  <c r="X121" i="44"/>
  <c r="Y121" i="44" s="1"/>
  <c r="U121" i="44"/>
  <c r="N117" i="44"/>
  <c r="X117" i="44"/>
  <c r="Y117" i="44" s="1"/>
  <c r="U117" i="44"/>
  <c r="N113" i="44"/>
  <c r="X113" i="44"/>
  <c r="Y113" i="44" s="1"/>
  <c r="U113" i="44"/>
  <c r="N109" i="44"/>
  <c r="X109" i="44"/>
  <c r="Y109" i="44" s="1"/>
  <c r="U109" i="44"/>
  <c r="N105" i="44"/>
  <c r="X105" i="44"/>
  <c r="Y105" i="44" s="1"/>
  <c r="U105" i="44"/>
  <c r="N101" i="44"/>
  <c r="X101" i="44"/>
  <c r="Y101" i="44" s="1"/>
  <c r="U101" i="44"/>
  <c r="N97" i="44"/>
  <c r="X97" i="44"/>
  <c r="Y97" i="44" s="1"/>
  <c r="U97" i="44"/>
  <c r="N93" i="44"/>
  <c r="X93" i="44"/>
  <c r="Y93" i="44" s="1"/>
  <c r="U93" i="44"/>
  <c r="N89" i="44"/>
  <c r="X89" i="44"/>
  <c r="Y89" i="44" s="1"/>
  <c r="U89" i="44"/>
  <c r="N85" i="44"/>
  <c r="X85" i="44"/>
  <c r="Y85" i="44" s="1"/>
  <c r="U85" i="44"/>
  <c r="N81" i="44"/>
  <c r="X81" i="44"/>
  <c r="Y81" i="44" s="1"/>
  <c r="U81" i="44"/>
  <c r="N77" i="44"/>
  <c r="U77" i="44"/>
  <c r="X77" i="44"/>
  <c r="Y77" i="44" s="1"/>
  <c r="N73" i="44"/>
  <c r="X73" i="44"/>
  <c r="Y73" i="44" s="1"/>
  <c r="U73" i="44"/>
  <c r="N69" i="44"/>
  <c r="U69" i="44"/>
  <c r="X69" i="44"/>
  <c r="Y69" i="44" s="1"/>
  <c r="N65" i="44"/>
  <c r="X65" i="44"/>
  <c r="Y65" i="44" s="1"/>
  <c r="U65" i="44"/>
  <c r="N61" i="44"/>
  <c r="U61" i="44"/>
  <c r="X61" i="44"/>
  <c r="Y61" i="44" s="1"/>
  <c r="N57" i="44"/>
  <c r="X57" i="44"/>
  <c r="Y57" i="44" s="1"/>
  <c r="U57" i="44"/>
  <c r="N53" i="44"/>
  <c r="X53" i="44"/>
  <c r="Y53" i="44" s="1"/>
  <c r="U53" i="44"/>
  <c r="N49" i="44"/>
  <c r="X49" i="44"/>
  <c r="Y49" i="44" s="1"/>
  <c r="U49" i="44"/>
  <c r="N45" i="44"/>
  <c r="U45" i="44"/>
  <c r="X45" i="44"/>
  <c r="Y45" i="44" s="1"/>
  <c r="N41" i="44"/>
  <c r="X41" i="44"/>
  <c r="Y41" i="44" s="1"/>
  <c r="U41" i="44"/>
  <c r="N37" i="44"/>
  <c r="U37" i="44"/>
  <c r="X37" i="44"/>
  <c r="Y37" i="44" s="1"/>
  <c r="N33" i="44"/>
  <c r="X33" i="44"/>
  <c r="Y33" i="44" s="1"/>
  <c r="U33" i="44"/>
  <c r="N29" i="44"/>
  <c r="U29" i="44"/>
  <c r="X29" i="44"/>
  <c r="Y29" i="44" s="1"/>
  <c r="N25" i="44"/>
  <c r="X25" i="44"/>
  <c r="Y25" i="44" s="1"/>
  <c r="U25" i="44"/>
  <c r="N21" i="44"/>
  <c r="X21" i="44"/>
  <c r="Y21" i="44" s="1"/>
  <c r="U21" i="44"/>
  <c r="N17" i="44"/>
  <c r="X17" i="44"/>
  <c r="Y17" i="44" s="1"/>
  <c r="U17" i="44"/>
  <c r="N13" i="44"/>
  <c r="U13" i="44"/>
  <c r="X13" i="44"/>
  <c r="Y13" i="44" s="1"/>
  <c r="N9" i="44"/>
  <c r="X9" i="44"/>
  <c r="Y9" i="44" s="1"/>
  <c r="U9" i="44"/>
  <c r="N312" i="44"/>
  <c r="X312" i="44"/>
  <c r="Y312" i="44" s="1"/>
  <c r="U312" i="44"/>
  <c r="N308" i="44"/>
  <c r="X308" i="44"/>
  <c r="Y308" i="44" s="1"/>
  <c r="U308" i="44"/>
  <c r="N304" i="44"/>
  <c r="X304" i="44"/>
  <c r="Y304" i="44" s="1"/>
  <c r="U304" i="44"/>
  <c r="N300" i="44"/>
  <c r="X300" i="44"/>
  <c r="Y300" i="44" s="1"/>
  <c r="U300" i="44"/>
  <c r="N296" i="44"/>
  <c r="X296" i="44"/>
  <c r="Y296" i="44" s="1"/>
  <c r="U296" i="44"/>
  <c r="N292" i="44"/>
  <c r="X292" i="44"/>
  <c r="Y292" i="44" s="1"/>
  <c r="U292" i="44"/>
  <c r="N288" i="44"/>
  <c r="X288" i="44"/>
  <c r="Y288" i="44" s="1"/>
  <c r="U288" i="44"/>
  <c r="N284" i="44"/>
  <c r="X284" i="44"/>
  <c r="Y284" i="44" s="1"/>
  <c r="U284" i="44"/>
  <c r="N280" i="44"/>
  <c r="X280" i="44"/>
  <c r="Y280" i="44" s="1"/>
  <c r="U280" i="44"/>
  <c r="N276" i="44"/>
  <c r="X276" i="44"/>
  <c r="Y276" i="44" s="1"/>
  <c r="U276" i="44"/>
  <c r="N272" i="44"/>
  <c r="X272" i="44"/>
  <c r="Y272" i="44" s="1"/>
  <c r="U272" i="44"/>
  <c r="N268" i="44"/>
  <c r="X268" i="44"/>
  <c r="Y268" i="44" s="1"/>
  <c r="U268" i="44"/>
  <c r="N264" i="44"/>
  <c r="X264" i="44"/>
  <c r="Y264" i="44" s="1"/>
  <c r="U264" i="44"/>
  <c r="N260" i="44"/>
  <c r="X260" i="44"/>
  <c r="Y260" i="44" s="1"/>
  <c r="U260" i="44"/>
  <c r="N256" i="44"/>
  <c r="X256" i="44"/>
  <c r="Y256" i="44" s="1"/>
  <c r="U256" i="44"/>
  <c r="N252" i="44"/>
  <c r="X252" i="44"/>
  <c r="Y252" i="44" s="1"/>
  <c r="U252" i="44"/>
  <c r="N248" i="44"/>
  <c r="X248" i="44"/>
  <c r="Y248" i="44" s="1"/>
  <c r="U248" i="44"/>
  <c r="N244" i="44"/>
  <c r="X244" i="44"/>
  <c r="Y244" i="44" s="1"/>
  <c r="U244" i="44"/>
  <c r="N240" i="44"/>
  <c r="X240" i="44"/>
  <c r="Y240" i="44" s="1"/>
  <c r="U240" i="44"/>
  <c r="N236" i="44"/>
  <c r="X236" i="44"/>
  <c r="Y236" i="44" s="1"/>
  <c r="U236" i="44"/>
  <c r="N232" i="44"/>
  <c r="X232" i="44"/>
  <c r="Y232" i="44" s="1"/>
  <c r="U232" i="44"/>
  <c r="N228" i="44"/>
  <c r="X228" i="44"/>
  <c r="Y228" i="44" s="1"/>
  <c r="U228" i="44"/>
  <c r="N224" i="44"/>
  <c r="X224" i="44"/>
  <c r="Y224" i="44" s="1"/>
  <c r="U224" i="44"/>
  <c r="N220" i="44"/>
  <c r="X220" i="44"/>
  <c r="Y220" i="44" s="1"/>
  <c r="U220" i="44"/>
  <c r="N216" i="44"/>
  <c r="X216" i="44"/>
  <c r="Y216" i="44" s="1"/>
  <c r="U216" i="44"/>
  <c r="N212" i="44"/>
  <c r="X212" i="44"/>
  <c r="Y212" i="44" s="1"/>
  <c r="U212" i="44"/>
  <c r="N208" i="44"/>
  <c r="X208" i="44"/>
  <c r="Y208" i="44" s="1"/>
  <c r="U208" i="44"/>
  <c r="N204" i="44"/>
  <c r="X204" i="44"/>
  <c r="Y204" i="44" s="1"/>
  <c r="U204" i="44"/>
  <c r="N200" i="44"/>
  <c r="X200" i="44"/>
  <c r="Y200" i="44" s="1"/>
  <c r="U200" i="44"/>
  <c r="N196" i="44"/>
  <c r="X196" i="44"/>
  <c r="Y196" i="44" s="1"/>
  <c r="U196" i="44"/>
  <c r="N192" i="44"/>
  <c r="X192" i="44"/>
  <c r="Y192" i="44" s="1"/>
  <c r="U192" i="44"/>
  <c r="N188" i="44"/>
  <c r="X188" i="44"/>
  <c r="Y188" i="44" s="1"/>
  <c r="U188" i="44"/>
  <c r="N184" i="44"/>
  <c r="X184" i="44"/>
  <c r="Y184" i="44" s="1"/>
  <c r="U184" i="44"/>
  <c r="N180" i="44"/>
  <c r="X180" i="44"/>
  <c r="Y180" i="44" s="1"/>
  <c r="U180" i="44"/>
  <c r="N176" i="44"/>
  <c r="X176" i="44"/>
  <c r="Y176" i="44" s="1"/>
  <c r="U176" i="44"/>
  <c r="N172" i="44"/>
  <c r="X172" i="44"/>
  <c r="Y172" i="44" s="1"/>
  <c r="U172" i="44"/>
  <c r="N168" i="44"/>
  <c r="X168" i="44"/>
  <c r="Y168" i="44" s="1"/>
  <c r="U168" i="44"/>
  <c r="N164" i="44"/>
  <c r="X164" i="44"/>
  <c r="Y164" i="44" s="1"/>
  <c r="U164" i="44"/>
  <c r="N160" i="44"/>
  <c r="X160" i="44"/>
  <c r="Y160" i="44" s="1"/>
  <c r="U160" i="44"/>
  <c r="N156" i="44"/>
  <c r="X156" i="44"/>
  <c r="Y156" i="44" s="1"/>
  <c r="U156" i="44"/>
  <c r="N152" i="44"/>
  <c r="X152" i="44"/>
  <c r="Y152" i="44" s="1"/>
  <c r="U152" i="44"/>
  <c r="N148" i="44"/>
  <c r="X148" i="44"/>
  <c r="Y148" i="44" s="1"/>
  <c r="U148" i="44"/>
  <c r="N144" i="44"/>
  <c r="X144" i="44"/>
  <c r="Y144" i="44" s="1"/>
  <c r="U144" i="44"/>
  <c r="N140" i="44"/>
  <c r="X140" i="44"/>
  <c r="Y140" i="44" s="1"/>
  <c r="U140" i="44"/>
  <c r="N136" i="44"/>
  <c r="X136" i="44"/>
  <c r="Y136" i="44" s="1"/>
  <c r="U136" i="44"/>
  <c r="N132" i="44"/>
  <c r="X132" i="44"/>
  <c r="Y132" i="44" s="1"/>
  <c r="U132" i="44"/>
  <c r="N128" i="44"/>
  <c r="X128" i="44"/>
  <c r="Y128" i="44" s="1"/>
  <c r="U128" i="44"/>
  <c r="N124" i="44"/>
  <c r="X124" i="44"/>
  <c r="Y124" i="44" s="1"/>
  <c r="U124" i="44"/>
  <c r="N120" i="44"/>
  <c r="X120" i="44"/>
  <c r="Y120" i="44" s="1"/>
  <c r="U120" i="44"/>
  <c r="N116" i="44"/>
  <c r="X116" i="44"/>
  <c r="Y116" i="44" s="1"/>
  <c r="U116" i="44"/>
  <c r="N112" i="44"/>
  <c r="X112" i="44"/>
  <c r="Y112" i="44" s="1"/>
  <c r="U112" i="44"/>
  <c r="N108" i="44"/>
  <c r="X108" i="44"/>
  <c r="Y108" i="44" s="1"/>
  <c r="U108" i="44"/>
  <c r="N104" i="44"/>
  <c r="X104" i="44"/>
  <c r="Y104" i="44" s="1"/>
  <c r="U104" i="44"/>
  <c r="N100" i="44"/>
  <c r="X100" i="44"/>
  <c r="Y100" i="44" s="1"/>
  <c r="U100" i="44"/>
  <c r="N96" i="44"/>
  <c r="X96" i="44"/>
  <c r="Y96" i="44" s="1"/>
  <c r="U96" i="44"/>
  <c r="N92" i="44"/>
  <c r="X92" i="44"/>
  <c r="Y92" i="44" s="1"/>
  <c r="U92" i="44"/>
  <c r="N88" i="44"/>
  <c r="X88" i="44"/>
  <c r="Y88" i="44" s="1"/>
  <c r="U88" i="44"/>
  <c r="N84" i="44"/>
  <c r="X84" i="44"/>
  <c r="Y84" i="44" s="1"/>
  <c r="U84" i="44"/>
  <c r="N80" i="44"/>
  <c r="X80" i="44"/>
  <c r="Y80" i="44" s="1"/>
  <c r="U80" i="44"/>
  <c r="N76" i="44"/>
  <c r="X76" i="44"/>
  <c r="Y76" i="44" s="1"/>
  <c r="U76" i="44"/>
  <c r="N72" i="44"/>
  <c r="X72" i="44"/>
  <c r="Y72" i="44" s="1"/>
  <c r="U72" i="44"/>
  <c r="N68" i="44"/>
  <c r="X68" i="44"/>
  <c r="Y68" i="44" s="1"/>
  <c r="U68" i="44"/>
  <c r="N64" i="44"/>
  <c r="X64" i="44"/>
  <c r="Y64" i="44" s="1"/>
  <c r="U64" i="44"/>
  <c r="N60" i="44"/>
  <c r="X60" i="44"/>
  <c r="Y60" i="44" s="1"/>
  <c r="U60" i="44"/>
  <c r="N56" i="44"/>
  <c r="X56" i="44"/>
  <c r="Y56" i="44" s="1"/>
  <c r="U56" i="44"/>
  <c r="N52" i="44"/>
  <c r="X52" i="44"/>
  <c r="Y52" i="44" s="1"/>
  <c r="U52" i="44"/>
  <c r="N48" i="44"/>
  <c r="X48" i="44"/>
  <c r="Y48" i="44" s="1"/>
  <c r="U48" i="44"/>
  <c r="N44" i="44"/>
  <c r="X44" i="44"/>
  <c r="Y44" i="44" s="1"/>
  <c r="U44" i="44"/>
  <c r="N40" i="44"/>
  <c r="X40" i="44"/>
  <c r="Y40" i="44" s="1"/>
  <c r="U40" i="44"/>
  <c r="N36" i="44"/>
  <c r="X36" i="44"/>
  <c r="Y36" i="44" s="1"/>
  <c r="U36" i="44"/>
  <c r="N32" i="44"/>
  <c r="X32" i="44"/>
  <c r="Y32" i="44" s="1"/>
  <c r="U32" i="44"/>
  <c r="N28" i="44"/>
  <c r="X28" i="44"/>
  <c r="Y28" i="44" s="1"/>
  <c r="U28" i="44"/>
  <c r="N24" i="44"/>
  <c r="X24" i="44"/>
  <c r="Y24" i="44" s="1"/>
  <c r="U24" i="44"/>
  <c r="N20" i="44"/>
  <c r="X20" i="44"/>
  <c r="Y20" i="44" s="1"/>
  <c r="U20" i="44"/>
  <c r="N16" i="44"/>
  <c r="X16" i="44"/>
  <c r="Y16" i="44" s="1"/>
  <c r="U16" i="44"/>
  <c r="N12" i="44"/>
  <c r="X12" i="44"/>
  <c r="Y12" i="44" s="1"/>
  <c r="U12" i="44"/>
  <c r="N8" i="44"/>
  <c r="X8" i="44"/>
  <c r="Y8" i="44" s="1"/>
  <c r="U8" i="44"/>
  <c r="N4" i="44"/>
  <c r="U4" i="44"/>
  <c r="X4" i="44"/>
  <c r="Y4" i="44" s="1"/>
  <c r="N311" i="44"/>
  <c r="U311" i="44"/>
  <c r="X311" i="44"/>
  <c r="Y311" i="44" s="1"/>
  <c r="N307" i="44"/>
  <c r="U307" i="44"/>
  <c r="X307" i="44"/>
  <c r="Y307" i="44" s="1"/>
  <c r="N303" i="44"/>
  <c r="U303" i="44"/>
  <c r="X303" i="44"/>
  <c r="Y303" i="44" s="1"/>
  <c r="N299" i="44"/>
  <c r="U299" i="44"/>
  <c r="X299" i="44"/>
  <c r="Y299" i="44" s="1"/>
  <c r="N295" i="44"/>
  <c r="U295" i="44"/>
  <c r="X295" i="44"/>
  <c r="Y295" i="44" s="1"/>
  <c r="N291" i="44"/>
  <c r="U291" i="44"/>
  <c r="X291" i="44"/>
  <c r="Y291" i="44" s="1"/>
  <c r="N287" i="44"/>
  <c r="U287" i="44"/>
  <c r="X287" i="44"/>
  <c r="Y287" i="44" s="1"/>
  <c r="N283" i="44"/>
  <c r="U283" i="44"/>
  <c r="X283" i="44"/>
  <c r="Y283" i="44" s="1"/>
  <c r="N279" i="44"/>
  <c r="U279" i="44"/>
  <c r="X279" i="44"/>
  <c r="Y279" i="44" s="1"/>
  <c r="N275" i="44"/>
  <c r="U275" i="44"/>
  <c r="X275" i="44"/>
  <c r="Y275" i="44" s="1"/>
  <c r="N271" i="44"/>
  <c r="U271" i="44"/>
  <c r="X271" i="44"/>
  <c r="Y271" i="44" s="1"/>
  <c r="N267" i="44"/>
  <c r="X267" i="44"/>
  <c r="Y267" i="44" s="1"/>
  <c r="U267" i="44"/>
  <c r="N263" i="44"/>
  <c r="X263" i="44"/>
  <c r="Y263" i="44" s="1"/>
  <c r="U263" i="44"/>
  <c r="N259" i="44"/>
  <c r="U259" i="44"/>
  <c r="X259" i="44"/>
  <c r="Y259" i="44" s="1"/>
  <c r="X255" i="44"/>
  <c r="Y255" i="44" s="1"/>
  <c r="U255" i="44"/>
  <c r="N255" i="44"/>
  <c r="N251" i="44"/>
  <c r="X251" i="44"/>
  <c r="Y251" i="44" s="1"/>
  <c r="U251" i="44"/>
  <c r="N247" i="44"/>
  <c r="X247" i="44"/>
  <c r="Y247" i="44" s="1"/>
  <c r="U247" i="44"/>
  <c r="N243" i="44"/>
  <c r="U243" i="44"/>
  <c r="X243" i="44"/>
  <c r="Y243" i="44" s="1"/>
  <c r="N239" i="44"/>
  <c r="X239" i="44"/>
  <c r="Y239" i="44" s="1"/>
  <c r="U239" i="44"/>
  <c r="N235" i="44"/>
  <c r="X235" i="44"/>
  <c r="Y235" i="44" s="1"/>
  <c r="U235" i="44"/>
  <c r="N231" i="44"/>
  <c r="X231" i="44"/>
  <c r="Y231" i="44" s="1"/>
  <c r="U231" i="44"/>
  <c r="N227" i="44"/>
  <c r="U227" i="44"/>
  <c r="X227" i="44"/>
  <c r="Y227" i="44" s="1"/>
  <c r="N223" i="44"/>
  <c r="X223" i="44"/>
  <c r="Y223" i="44" s="1"/>
  <c r="U223" i="44"/>
  <c r="N219" i="44"/>
  <c r="X219" i="44"/>
  <c r="Y219" i="44" s="1"/>
  <c r="U219" i="44"/>
  <c r="N215" i="44"/>
  <c r="X215" i="44"/>
  <c r="Y215" i="44" s="1"/>
  <c r="U215" i="44"/>
  <c r="N211" i="44"/>
  <c r="X211" i="44"/>
  <c r="Y211" i="44" s="1"/>
  <c r="U211" i="44"/>
  <c r="N207" i="44"/>
  <c r="X207" i="44"/>
  <c r="Y207" i="44" s="1"/>
  <c r="U207" i="44"/>
  <c r="N203" i="44"/>
  <c r="U203" i="44"/>
  <c r="X203" i="44"/>
  <c r="Y203" i="44" s="1"/>
  <c r="N199" i="44"/>
  <c r="X199" i="44"/>
  <c r="Y199" i="44" s="1"/>
  <c r="U199" i="44"/>
  <c r="N195" i="44"/>
  <c r="X195" i="44"/>
  <c r="Y195" i="44" s="1"/>
  <c r="U195" i="44"/>
  <c r="N191" i="44"/>
  <c r="X191" i="44"/>
  <c r="Y191" i="44" s="1"/>
  <c r="U191" i="44"/>
  <c r="N187" i="44"/>
  <c r="U187" i="44"/>
  <c r="X187" i="44"/>
  <c r="Y187" i="44" s="1"/>
  <c r="N183" i="44"/>
  <c r="X183" i="44"/>
  <c r="Y183" i="44" s="1"/>
  <c r="U183" i="44"/>
  <c r="N179" i="44"/>
  <c r="X179" i="44"/>
  <c r="Y179" i="44" s="1"/>
  <c r="U179" i="44"/>
  <c r="N175" i="44"/>
  <c r="X175" i="44"/>
  <c r="Y175" i="44" s="1"/>
  <c r="U175" i="44"/>
  <c r="N171" i="44"/>
  <c r="X171" i="44"/>
  <c r="Y171" i="44" s="1"/>
  <c r="U171" i="44"/>
  <c r="N167" i="44"/>
  <c r="X167" i="44"/>
  <c r="Y167" i="44" s="1"/>
  <c r="U167" i="44"/>
  <c r="N163" i="44"/>
  <c r="X163" i="44"/>
  <c r="Y163" i="44" s="1"/>
  <c r="U163" i="44"/>
  <c r="X159" i="44"/>
  <c r="Y159" i="44" s="1"/>
  <c r="N159" i="44"/>
  <c r="U159" i="44"/>
  <c r="N155" i="44"/>
  <c r="X155" i="44"/>
  <c r="Y155" i="44" s="1"/>
  <c r="U155" i="44"/>
  <c r="N151" i="44"/>
  <c r="X151" i="44"/>
  <c r="Y151" i="44" s="1"/>
  <c r="U151" i="44"/>
  <c r="N147" i="44"/>
  <c r="U147" i="44"/>
  <c r="X147" i="44"/>
  <c r="Y147" i="44" s="1"/>
  <c r="N143" i="44"/>
  <c r="X143" i="44"/>
  <c r="Y143" i="44" s="1"/>
  <c r="U143" i="44"/>
  <c r="N139" i="44"/>
  <c r="X139" i="44"/>
  <c r="Y139" i="44" s="1"/>
  <c r="U139" i="44"/>
  <c r="N135" i="44"/>
  <c r="X135" i="44"/>
  <c r="Y135" i="44" s="1"/>
  <c r="U135" i="44"/>
  <c r="N131" i="44"/>
  <c r="X131" i="44"/>
  <c r="Y131" i="44" s="1"/>
  <c r="U131" i="44"/>
  <c r="X127" i="44"/>
  <c r="Y127" i="44" s="1"/>
  <c r="U127" i="44"/>
  <c r="N127" i="44"/>
  <c r="N123" i="44"/>
  <c r="X123" i="44"/>
  <c r="Y123" i="44" s="1"/>
  <c r="U123" i="44"/>
  <c r="N119" i="44"/>
  <c r="X119" i="44"/>
  <c r="Y119" i="44" s="1"/>
  <c r="U119" i="44"/>
  <c r="N115" i="44"/>
  <c r="U115" i="44"/>
  <c r="X115" i="44"/>
  <c r="Y115" i="44" s="1"/>
  <c r="N111" i="44"/>
  <c r="X111" i="44"/>
  <c r="Y111" i="44" s="1"/>
  <c r="U111" i="44"/>
  <c r="N107" i="44"/>
  <c r="X107" i="44"/>
  <c r="Y107" i="44" s="1"/>
  <c r="U107" i="44"/>
  <c r="N103" i="44"/>
  <c r="X103" i="44"/>
  <c r="Y103" i="44" s="1"/>
  <c r="U103" i="44"/>
  <c r="N99" i="44"/>
  <c r="X99" i="44"/>
  <c r="Y99" i="44" s="1"/>
  <c r="U99" i="44"/>
  <c r="N95" i="44"/>
  <c r="X95" i="44"/>
  <c r="Y95" i="44" s="1"/>
  <c r="U95" i="44"/>
  <c r="N91" i="44"/>
  <c r="X91" i="44"/>
  <c r="Y91" i="44" s="1"/>
  <c r="U91" i="44"/>
  <c r="N87" i="44"/>
  <c r="X87" i="44"/>
  <c r="Y87" i="44" s="1"/>
  <c r="U87" i="44"/>
  <c r="X83" i="44"/>
  <c r="Y83" i="44" s="1"/>
  <c r="N83" i="44"/>
  <c r="U83" i="44"/>
  <c r="N79" i="44"/>
  <c r="X79" i="44"/>
  <c r="Y79" i="44" s="1"/>
  <c r="U79" i="44"/>
  <c r="X75" i="44"/>
  <c r="Y75" i="44" s="1"/>
  <c r="N75" i="44"/>
  <c r="U75" i="44"/>
  <c r="N71" i="44"/>
  <c r="X71" i="44"/>
  <c r="Y71" i="44" s="1"/>
  <c r="U71" i="44"/>
  <c r="X67" i="44"/>
  <c r="Y67" i="44" s="1"/>
  <c r="N67" i="44"/>
  <c r="U67" i="44"/>
  <c r="N63" i="44"/>
  <c r="X63" i="44"/>
  <c r="Y63" i="44" s="1"/>
  <c r="U63" i="44"/>
  <c r="X59" i="44"/>
  <c r="Y59" i="44" s="1"/>
  <c r="N59" i="44"/>
  <c r="U59" i="44"/>
  <c r="N55" i="44"/>
  <c r="X55" i="44"/>
  <c r="Y55" i="44" s="1"/>
  <c r="U55" i="44"/>
  <c r="X51" i="44"/>
  <c r="Y51" i="44" s="1"/>
  <c r="N51" i="44"/>
  <c r="U51" i="44"/>
  <c r="N47" i="44"/>
  <c r="X47" i="44"/>
  <c r="Y47" i="44" s="1"/>
  <c r="U47" i="44"/>
  <c r="X43" i="44"/>
  <c r="Y43" i="44" s="1"/>
  <c r="N43" i="44"/>
  <c r="U43" i="44"/>
  <c r="N39" i="44"/>
  <c r="X39" i="44"/>
  <c r="Y39" i="44" s="1"/>
  <c r="U39" i="44"/>
  <c r="X35" i="44"/>
  <c r="Y35" i="44" s="1"/>
  <c r="N35" i="44"/>
  <c r="U35" i="44"/>
  <c r="N31" i="44"/>
  <c r="X31" i="44"/>
  <c r="Y31" i="44" s="1"/>
  <c r="U31" i="44"/>
  <c r="X27" i="44"/>
  <c r="Y27" i="44" s="1"/>
  <c r="N27" i="44"/>
  <c r="U27" i="44"/>
  <c r="N23" i="44"/>
  <c r="X23" i="44"/>
  <c r="Y23" i="44" s="1"/>
  <c r="U23" i="44"/>
  <c r="N314" i="44"/>
  <c r="X314" i="44"/>
  <c r="Y314" i="44" s="1"/>
  <c r="U314" i="44"/>
  <c r="N310" i="44"/>
  <c r="X310" i="44"/>
  <c r="Y310" i="44" s="1"/>
  <c r="U310" i="44"/>
  <c r="N306" i="44"/>
  <c r="X306" i="44"/>
  <c r="Y306" i="44" s="1"/>
  <c r="U306" i="44"/>
  <c r="N302" i="44"/>
  <c r="X302" i="44"/>
  <c r="Y302" i="44" s="1"/>
  <c r="U302" i="44"/>
  <c r="N298" i="44"/>
  <c r="X298" i="44"/>
  <c r="Y298" i="44" s="1"/>
  <c r="U298" i="44"/>
  <c r="N294" i="44"/>
  <c r="X294" i="44"/>
  <c r="Y294" i="44" s="1"/>
  <c r="U294" i="44"/>
  <c r="N290" i="44"/>
  <c r="X290" i="44"/>
  <c r="Y290" i="44" s="1"/>
  <c r="U290" i="44"/>
  <c r="N286" i="44"/>
  <c r="X286" i="44"/>
  <c r="Y286" i="44" s="1"/>
  <c r="U286" i="44"/>
  <c r="N282" i="44"/>
  <c r="X282" i="44"/>
  <c r="Y282" i="44" s="1"/>
  <c r="U282" i="44"/>
  <c r="N278" i="44"/>
  <c r="X278" i="44"/>
  <c r="Y278" i="44" s="1"/>
  <c r="U278" i="44"/>
  <c r="N274" i="44"/>
  <c r="X274" i="44"/>
  <c r="Y274" i="44" s="1"/>
  <c r="U274" i="44"/>
  <c r="N270" i="44"/>
  <c r="X270" i="44"/>
  <c r="Y270" i="44" s="1"/>
  <c r="U270" i="44"/>
  <c r="N266" i="44"/>
  <c r="X266" i="44"/>
  <c r="Y266" i="44" s="1"/>
  <c r="U266" i="44"/>
  <c r="N262" i="44"/>
  <c r="X262" i="44"/>
  <c r="Y262" i="44" s="1"/>
  <c r="U262" i="44"/>
  <c r="N258" i="44"/>
  <c r="X258" i="44"/>
  <c r="Y258" i="44" s="1"/>
  <c r="U258" i="44"/>
  <c r="N254" i="44"/>
  <c r="X254" i="44"/>
  <c r="Y254" i="44" s="1"/>
  <c r="U254" i="44"/>
  <c r="N250" i="44"/>
  <c r="X250" i="44"/>
  <c r="Y250" i="44" s="1"/>
  <c r="U250" i="44"/>
  <c r="N246" i="44"/>
  <c r="X246" i="44"/>
  <c r="Y246" i="44" s="1"/>
  <c r="U246" i="44"/>
  <c r="N242" i="44"/>
  <c r="X242" i="44"/>
  <c r="Y242" i="44" s="1"/>
  <c r="U242" i="44"/>
  <c r="N238" i="44"/>
  <c r="X238" i="44"/>
  <c r="Y238" i="44" s="1"/>
  <c r="U238" i="44"/>
  <c r="N234" i="44"/>
  <c r="X234" i="44"/>
  <c r="Y234" i="44" s="1"/>
  <c r="U234" i="44"/>
  <c r="N230" i="44"/>
  <c r="X230" i="44"/>
  <c r="Y230" i="44" s="1"/>
  <c r="U230" i="44"/>
  <c r="N226" i="44"/>
  <c r="X226" i="44"/>
  <c r="Y226" i="44" s="1"/>
  <c r="U226" i="44"/>
  <c r="N222" i="44"/>
  <c r="X222" i="44"/>
  <c r="Y222" i="44" s="1"/>
  <c r="U222" i="44"/>
  <c r="N218" i="44"/>
  <c r="X218" i="44"/>
  <c r="Y218" i="44" s="1"/>
  <c r="U218" i="44"/>
  <c r="N214" i="44"/>
  <c r="X214" i="44"/>
  <c r="Y214" i="44" s="1"/>
  <c r="U214" i="44"/>
  <c r="N210" i="44"/>
  <c r="X210" i="44"/>
  <c r="Y210" i="44" s="1"/>
  <c r="U210" i="44"/>
  <c r="N206" i="44"/>
  <c r="X206" i="44"/>
  <c r="Y206" i="44" s="1"/>
  <c r="U206" i="44"/>
  <c r="N202" i="44"/>
  <c r="X202" i="44"/>
  <c r="Y202" i="44" s="1"/>
  <c r="U202" i="44"/>
  <c r="N198" i="44"/>
  <c r="X198" i="44"/>
  <c r="Y198" i="44" s="1"/>
  <c r="U198" i="44"/>
  <c r="N194" i="44"/>
  <c r="X194" i="44"/>
  <c r="Y194" i="44" s="1"/>
  <c r="U194" i="44"/>
  <c r="N190" i="44"/>
  <c r="X190" i="44"/>
  <c r="Y190" i="44" s="1"/>
  <c r="U190" i="44"/>
  <c r="N186" i="44"/>
  <c r="X186" i="44"/>
  <c r="Y186" i="44" s="1"/>
  <c r="U186" i="44"/>
  <c r="N182" i="44"/>
  <c r="X182" i="44"/>
  <c r="Y182" i="44" s="1"/>
  <c r="U182" i="44"/>
  <c r="N178" i="44"/>
  <c r="X178" i="44"/>
  <c r="Y178" i="44" s="1"/>
  <c r="U178" i="44"/>
  <c r="N174" i="44"/>
  <c r="X174" i="44"/>
  <c r="Y174" i="44" s="1"/>
  <c r="U174" i="44"/>
  <c r="N170" i="44"/>
  <c r="X170" i="44"/>
  <c r="Y170" i="44" s="1"/>
  <c r="U170" i="44"/>
  <c r="N166" i="44"/>
  <c r="X166" i="44"/>
  <c r="Y166" i="44" s="1"/>
  <c r="U166" i="44"/>
  <c r="N162" i="44"/>
  <c r="X162" i="44"/>
  <c r="Y162" i="44" s="1"/>
  <c r="U162" i="44"/>
  <c r="N158" i="44"/>
  <c r="X158" i="44"/>
  <c r="Y158" i="44" s="1"/>
  <c r="U158" i="44"/>
  <c r="N154" i="44"/>
  <c r="X154" i="44"/>
  <c r="Y154" i="44" s="1"/>
  <c r="U154" i="44"/>
  <c r="N150" i="44"/>
  <c r="X150" i="44"/>
  <c r="Y150" i="44" s="1"/>
  <c r="U150" i="44"/>
  <c r="N146" i="44"/>
  <c r="X146" i="44"/>
  <c r="Y146" i="44" s="1"/>
  <c r="U146" i="44"/>
  <c r="N142" i="44"/>
  <c r="X142" i="44"/>
  <c r="Y142" i="44" s="1"/>
  <c r="U142" i="44"/>
  <c r="N138" i="44"/>
  <c r="X138" i="44"/>
  <c r="Y138" i="44" s="1"/>
  <c r="U138" i="44"/>
  <c r="N134" i="44"/>
  <c r="X134" i="44"/>
  <c r="Y134" i="44" s="1"/>
  <c r="U134" i="44"/>
  <c r="N130" i="44"/>
  <c r="X130" i="44"/>
  <c r="Y130" i="44" s="1"/>
  <c r="U130" i="44"/>
  <c r="N126" i="44"/>
  <c r="X126" i="44"/>
  <c r="Y126" i="44" s="1"/>
  <c r="U126" i="44"/>
  <c r="N122" i="44"/>
  <c r="X122" i="44"/>
  <c r="Y122" i="44" s="1"/>
  <c r="U122" i="44"/>
  <c r="N118" i="44"/>
  <c r="X118" i="44"/>
  <c r="Y118" i="44" s="1"/>
  <c r="U118" i="44"/>
  <c r="N114" i="44"/>
  <c r="X114" i="44"/>
  <c r="Y114" i="44" s="1"/>
  <c r="U114" i="44"/>
  <c r="N110" i="44"/>
  <c r="X110" i="44"/>
  <c r="Y110" i="44" s="1"/>
  <c r="U110" i="44"/>
  <c r="N106" i="44"/>
  <c r="X106" i="44"/>
  <c r="Y106" i="44" s="1"/>
  <c r="U106" i="44"/>
  <c r="N102" i="44"/>
  <c r="X102" i="44"/>
  <c r="Y102" i="44" s="1"/>
  <c r="U102" i="44"/>
  <c r="N98" i="44"/>
  <c r="X98" i="44"/>
  <c r="Y98" i="44" s="1"/>
  <c r="U98" i="44"/>
  <c r="N94" i="44"/>
  <c r="X94" i="44"/>
  <c r="Y94" i="44" s="1"/>
  <c r="U94" i="44"/>
  <c r="N90" i="44"/>
  <c r="X90" i="44"/>
  <c r="Y90" i="44" s="1"/>
  <c r="U90" i="44"/>
  <c r="N86" i="44"/>
  <c r="X86" i="44"/>
  <c r="Y86" i="44" s="1"/>
  <c r="U86" i="44"/>
  <c r="N82" i="44"/>
  <c r="X82" i="44"/>
  <c r="Y82" i="44" s="1"/>
  <c r="U82" i="44"/>
  <c r="N78" i="44"/>
  <c r="X78" i="44"/>
  <c r="Y78" i="44" s="1"/>
  <c r="U78" i="44"/>
  <c r="N74" i="44"/>
  <c r="X74" i="44"/>
  <c r="Y74" i="44" s="1"/>
  <c r="U74" i="44"/>
  <c r="N70" i="44"/>
  <c r="X70" i="44"/>
  <c r="Y70" i="44" s="1"/>
  <c r="U70" i="44"/>
  <c r="N66" i="44"/>
  <c r="X66" i="44"/>
  <c r="Y66" i="44" s="1"/>
  <c r="U66" i="44"/>
  <c r="N62" i="44"/>
  <c r="X62" i="44"/>
  <c r="Y62" i="44" s="1"/>
  <c r="U62" i="44"/>
  <c r="N58" i="44"/>
  <c r="X58" i="44"/>
  <c r="Y58" i="44" s="1"/>
  <c r="U58" i="44"/>
  <c r="N54" i="44"/>
  <c r="X54" i="44"/>
  <c r="Y54" i="44" s="1"/>
  <c r="U54" i="44"/>
  <c r="N50" i="44"/>
  <c r="X50" i="44"/>
  <c r="Y50" i="44" s="1"/>
  <c r="U50" i="44"/>
  <c r="N46" i="44"/>
  <c r="X46" i="44"/>
  <c r="Y46" i="44" s="1"/>
  <c r="U46" i="44"/>
  <c r="N42" i="44"/>
  <c r="X42" i="44"/>
  <c r="Y42" i="44" s="1"/>
  <c r="U42" i="44"/>
  <c r="N38" i="44"/>
  <c r="X38" i="44"/>
  <c r="Y38" i="44" s="1"/>
  <c r="U38" i="44"/>
  <c r="N34" i="44"/>
  <c r="X34" i="44"/>
  <c r="Y34" i="44" s="1"/>
  <c r="U34" i="44"/>
  <c r="N30" i="44"/>
  <c r="X30" i="44"/>
  <c r="Y30" i="44" s="1"/>
  <c r="U30" i="44"/>
  <c r="N26" i="44"/>
  <c r="X26" i="44"/>
  <c r="Y26" i="44" s="1"/>
  <c r="U26" i="44"/>
  <c r="N22" i="44"/>
  <c r="X22" i="44"/>
  <c r="Y22" i="44" s="1"/>
  <c r="U22" i="44"/>
  <c r="N18" i="44"/>
  <c r="X18" i="44"/>
  <c r="Y18" i="44" s="1"/>
  <c r="U18" i="44"/>
  <c r="N14" i="44"/>
  <c r="X14" i="44"/>
  <c r="Y14" i="44" s="1"/>
  <c r="U14" i="44"/>
  <c r="N10" i="44"/>
  <c r="X10" i="44"/>
  <c r="Y10" i="44" s="1"/>
  <c r="U10" i="44"/>
  <c r="N6" i="44"/>
  <c r="X6" i="44"/>
  <c r="Y6" i="44" s="1"/>
  <c r="U6" i="44"/>
  <c r="N5" i="44"/>
  <c r="U5" i="44"/>
  <c r="X5" i="44"/>
  <c r="Y5" i="44" s="1"/>
  <c r="X19" i="44"/>
  <c r="Y19" i="44" s="1"/>
  <c r="N19" i="44"/>
  <c r="U19" i="44"/>
  <c r="N15" i="44"/>
  <c r="X15" i="44"/>
  <c r="Y15" i="44" s="1"/>
  <c r="U15" i="44"/>
  <c r="X11" i="44"/>
  <c r="Y11" i="44" s="1"/>
  <c r="N11" i="44"/>
  <c r="U11" i="44"/>
  <c r="N7" i="44"/>
  <c r="X7" i="44"/>
  <c r="Y7" i="44" s="1"/>
  <c r="U7" i="44"/>
  <c r="Q41" i="33"/>
  <c r="P41" i="33"/>
  <c r="O41" i="33"/>
  <c r="H5" i="44"/>
  <c r="J5" i="44" s="1"/>
  <c r="H6" i="44"/>
  <c r="J6" i="44" s="1"/>
  <c r="H7" i="44"/>
  <c r="H8" i="44"/>
  <c r="J8" i="44" s="1"/>
  <c r="H9" i="44"/>
  <c r="J9" i="44" s="1"/>
  <c r="H10" i="44"/>
  <c r="J10" i="44" s="1"/>
  <c r="H11" i="44"/>
  <c r="J11" i="44" s="1"/>
  <c r="H12" i="44"/>
  <c r="J12" i="44" s="1"/>
  <c r="H13" i="44"/>
  <c r="J13" i="44" s="1"/>
  <c r="H14" i="44"/>
  <c r="J14" i="44" s="1"/>
  <c r="H15" i="44"/>
  <c r="J15" i="44" s="1"/>
  <c r="H16" i="44"/>
  <c r="J16" i="44" s="1"/>
  <c r="H17" i="44"/>
  <c r="J17" i="44" s="1"/>
  <c r="H18" i="44"/>
  <c r="J18" i="44" s="1"/>
  <c r="H19" i="44"/>
  <c r="J19" i="44" s="1"/>
  <c r="H20" i="44"/>
  <c r="H21" i="44"/>
  <c r="J21" i="44" s="1"/>
  <c r="H22" i="44"/>
  <c r="J22" i="44" s="1"/>
  <c r="H23" i="44"/>
  <c r="J23" i="44" s="1"/>
  <c r="H24" i="44"/>
  <c r="J24" i="44" s="1"/>
  <c r="H25" i="44"/>
  <c r="J25" i="44" s="1"/>
  <c r="H26" i="44"/>
  <c r="J26" i="44" s="1"/>
  <c r="H27" i="44"/>
  <c r="J27" i="44" s="1"/>
  <c r="H28" i="44"/>
  <c r="J28" i="44" s="1"/>
  <c r="H29" i="44"/>
  <c r="J29" i="44" s="1"/>
  <c r="I29" i="44"/>
  <c r="H30" i="44"/>
  <c r="J30" i="44" s="1"/>
  <c r="H31" i="44"/>
  <c r="J31" i="44" s="1"/>
  <c r="H32" i="44"/>
  <c r="J32" i="44" s="1"/>
  <c r="H33" i="44"/>
  <c r="J33" i="44" s="1"/>
  <c r="H34" i="44"/>
  <c r="J34" i="44" s="1"/>
  <c r="H35" i="44"/>
  <c r="J35" i="44" s="1"/>
  <c r="H36" i="44"/>
  <c r="J36" i="44" s="1"/>
  <c r="H37" i="44"/>
  <c r="J37" i="44" s="1"/>
  <c r="H38" i="44"/>
  <c r="J38" i="44" s="1"/>
  <c r="H39" i="44"/>
  <c r="J39" i="44" s="1"/>
  <c r="H40" i="44"/>
  <c r="H41" i="44"/>
  <c r="J41" i="44" s="1"/>
  <c r="H42" i="44"/>
  <c r="J42" i="44" s="1"/>
  <c r="H43" i="44"/>
  <c r="J43" i="44" s="1"/>
  <c r="H44" i="44"/>
  <c r="J44" i="44" s="1"/>
  <c r="H45" i="44"/>
  <c r="J45" i="44" s="1"/>
  <c r="H46" i="44"/>
  <c r="J46" i="44" s="1"/>
  <c r="H47" i="44"/>
  <c r="J47" i="44" s="1"/>
  <c r="H48" i="44"/>
  <c r="J48" i="44" s="1"/>
  <c r="H49" i="44"/>
  <c r="J49" i="44" s="1"/>
  <c r="H50" i="44"/>
  <c r="J50" i="44" s="1"/>
  <c r="H51" i="44"/>
  <c r="J51" i="44" s="1"/>
  <c r="H52" i="44"/>
  <c r="J52" i="44" s="1"/>
  <c r="H53" i="44"/>
  <c r="J53" i="44" s="1"/>
  <c r="H54" i="44"/>
  <c r="J54" i="44" s="1"/>
  <c r="H55" i="44"/>
  <c r="J55" i="44" s="1"/>
  <c r="H56" i="44"/>
  <c r="J56" i="44" s="1"/>
  <c r="H57" i="44"/>
  <c r="J57" i="44" s="1"/>
  <c r="H58" i="44"/>
  <c r="J58" i="44" s="1"/>
  <c r="H59" i="44"/>
  <c r="J59" i="44" s="1"/>
  <c r="H60" i="44"/>
  <c r="J60" i="44" s="1"/>
  <c r="H61" i="44"/>
  <c r="J61" i="44" s="1"/>
  <c r="H62" i="44"/>
  <c r="J62" i="44" s="1"/>
  <c r="H63" i="44"/>
  <c r="J63" i="44" s="1"/>
  <c r="H64" i="44"/>
  <c r="J64" i="44" s="1"/>
  <c r="H65" i="44"/>
  <c r="J65" i="44" s="1"/>
  <c r="H66" i="44"/>
  <c r="J66" i="44" s="1"/>
  <c r="H67" i="44"/>
  <c r="J67" i="44" s="1"/>
  <c r="H68" i="44"/>
  <c r="J68" i="44" s="1"/>
  <c r="H69" i="44"/>
  <c r="J69" i="44" s="1"/>
  <c r="H70" i="44"/>
  <c r="H71" i="44"/>
  <c r="J71" i="44" s="1"/>
  <c r="H72" i="44"/>
  <c r="J72" i="44" s="1"/>
  <c r="H73" i="44"/>
  <c r="H74" i="44"/>
  <c r="J74" i="44" s="1"/>
  <c r="H75" i="44"/>
  <c r="J75" i="44" s="1"/>
  <c r="H76" i="44"/>
  <c r="J76" i="44" s="1"/>
  <c r="H77" i="44"/>
  <c r="J77" i="44" s="1"/>
  <c r="H78" i="44"/>
  <c r="J78" i="44" s="1"/>
  <c r="H79" i="44"/>
  <c r="J79" i="44" s="1"/>
  <c r="H80" i="44"/>
  <c r="J80" i="44" s="1"/>
  <c r="H81" i="44"/>
  <c r="J81" i="44" s="1"/>
  <c r="H82" i="44"/>
  <c r="J82" i="44" s="1"/>
  <c r="H83" i="44"/>
  <c r="J83" i="44" s="1"/>
  <c r="H84" i="44"/>
  <c r="J84" i="44" s="1"/>
  <c r="H85" i="44"/>
  <c r="H86" i="44"/>
  <c r="H87" i="44"/>
  <c r="J87" i="44" s="1"/>
  <c r="H88" i="44"/>
  <c r="J88" i="44" s="1"/>
  <c r="H89" i="44"/>
  <c r="J89" i="44" s="1"/>
  <c r="H90" i="44"/>
  <c r="J90" i="44" s="1"/>
  <c r="H91" i="44"/>
  <c r="J91" i="44" s="1"/>
  <c r="H92" i="44"/>
  <c r="J92" i="44" s="1"/>
  <c r="H93" i="44"/>
  <c r="J93" i="44" s="1"/>
  <c r="H94" i="44"/>
  <c r="J94" i="44" s="1"/>
  <c r="H95" i="44"/>
  <c r="J95" i="44" s="1"/>
  <c r="H96" i="44"/>
  <c r="J96" i="44" s="1"/>
  <c r="H97" i="44"/>
  <c r="J97" i="44" s="1"/>
  <c r="H98" i="44"/>
  <c r="J98" i="44" s="1"/>
  <c r="H99" i="44"/>
  <c r="J99" i="44" s="1"/>
  <c r="H100" i="44"/>
  <c r="J100" i="44" s="1"/>
  <c r="H101" i="44"/>
  <c r="J101" i="44" s="1"/>
  <c r="H102" i="44"/>
  <c r="J102" i="44" s="1"/>
  <c r="H103" i="44"/>
  <c r="H104" i="44"/>
  <c r="J104" i="44" s="1"/>
  <c r="H105" i="44"/>
  <c r="J105" i="44" s="1"/>
  <c r="H106" i="44"/>
  <c r="J106" i="44" s="1"/>
  <c r="H107" i="44"/>
  <c r="J107" i="44" s="1"/>
  <c r="H108" i="44"/>
  <c r="J108" i="44" s="1"/>
  <c r="H109" i="44"/>
  <c r="J109" i="44" s="1"/>
  <c r="H110" i="44"/>
  <c r="J110" i="44" s="1"/>
  <c r="H111" i="44"/>
  <c r="J111" i="44" s="1"/>
  <c r="H112" i="44"/>
  <c r="H113" i="44"/>
  <c r="J113" i="44" s="1"/>
  <c r="H114" i="44"/>
  <c r="H115" i="44"/>
  <c r="H116" i="44"/>
  <c r="J116" i="44" s="1"/>
  <c r="H117" i="44"/>
  <c r="J117" i="44" s="1"/>
  <c r="H118" i="44"/>
  <c r="J118" i="44" s="1"/>
  <c r="H119" i="44"/>
  <c r="H120" i="44"/>
  <c r="H121" i="44"/>
  <c r="J121" i="44" s="1"/>
  <c r="H122" i="44"/>
  <c r="J122" i="44" s="1"/>
  <c r="H123" i="44"/>
  <c r="J123" i="44" s="1"/>
  <c r="H124" i="44"/>
  <c r="J124" i="44" s="1"/>
  <c r="H125" i="44"/>
  <c r="J125" i="44" s="1"/>
  <c r="H126" i="44"/>
  <c r="J126" i="44" s="1"/>
  <c r="H127" i="44"/>
  <c r="J127" i="44" s="1"/>
  <c r="H128" i="44"/>
  <c r="J128" i="44" s="1"/>
  <c r="H129" i="44"/>
  <c r="J129" i="44" s="1"/>
  <c r="H130" i="44"/>
  <c r="J130" i="44" s="1"/>
  <c r="H131" i="44"/>
  <c r="J131" i="44" s="1"/>
  <c r="H132" i="44"/>
  <c r="H133" i="44"/>
  <c r="J133" i="44" s="1"/>
  <c r="H134" i="44"/>
  <c r="H135" i="44"/>
  <c r="J135" i="44" s="1"/>
  <c r="H136" i="44"/>
  <c r="J136" i="44" s="1"/>
  <c r="H137" i="44"/>
  <c r="J137" i="44" s="1"/>
  <c r="H138" i="44"/>
  <c r="J138" i="44" s="1"/>
  <c r="H139" i="44"/>
  <c r="J139" i="44" s="1"/>
  <c r="H140" i="44"/>
  <c r="J140" i="44" s="1"/>
  <c r="H141" i="44"/>
  <c r="J141" i="44" s="1"/>
  <c r="H142" i="44"/>
  <c r="J142" i="44" s="1"/>
  <c r="H143" i="44"/>
  <c r="J143" i="44" s="1"/>
  <c r="H144" i="44"/>
  <c r="J144" i="44" s="1"/>
  <c r="H145" i="44"/>
  <c r="J145" i="44" s="1"/>
  <c r="H146" i="44"/>
  <c r="J146" i="44" s="1"/>
  <c r="H147" i="44"/>
  <c r="J147" i="44" s="1"/>
  <c r="H148" i="44"/>
  <c r="J148" i="44" s="1"/>
  <c r="H149" i="44"/>
  <c r="J149" i="44" s="1"/>
  <c r="H150" i="44"/>
  <c r="J150" i="44" s="1"/>
  <c r="H151" i="44"/>
  <c r="J151" i="44" s="1"/>
  <c r="H152" i="44"/>
  <c r="H153" i="44"/>
  <c r="H154" i="44"/>
  <c r="H155" i="44"/>
  <c r="J155" i="44" s="1"/>
  <c r="H156" i="44"/>
  <c r="J156" i="44" s="1"/>
  <c r="H157" i="44"/>
  <c r="J157" i="44" s="1"/>
  <c r="H158" i="44"/>
  <c r="J158" i="44" s="1"/>
  <c r="H159" i="44"/>
  <c r="J159" i="44" s="1"/>
  <c r="H160" i="44"/>
  <c r="J160" i="44" s="1"/>
  <c r="H161" i="44"/>
  <c r="J161" i="44" s="1"/>
  <c r="H162" i="44"/>
  <c r="J162" i="44" s="1"/>
  <c r="H163" i="44"/>
  <c r="H164" i="44"/>
  <c r="J164" i="44" s="1"/>
  <c r="H165" i="44"/>
  <c r="J165" i="44" s="1"/>
  <c r="H166" i="44"/>
  <c r="J166" i="44" s="1"/>
  <c r="H167" i="44"/>
  <c r="J167" i="44" s="1"/>
  <c r="H168" i="44"/>
  <c r="J168" i="44" s="1"/>
  <c r="H169" i="44"/>
  <c r="J169" i="44" s="1"/>
  <c r="H170" i="44"/>
  <c r="J170" i="44" s="1"/>
  <c r="H171" i="44"/>
  <c r="J171" i="44" s="1"/>
  <c r="H172" i="44"/>
  <c r="J172" i="44" s="1"/>
  <c r="H173" i="44"/>
  <c r="J173" i="44" s="1"/>
  <c r="H174" i="44"/>
  <c r="H175" i="44"/>
  <c r="J175" i="44" s="1"/>
  <c r="H176" i="44"/>
  <c r="J176" i="44" s="1"/>
  <c r="H177" i="44"/>
  <c r="J177" i="44" s="1"/>
  <c r="H178" i="44"/>
  <c r="J178" i="44" s="1"/>
  <c r="H179" i="44"/>
  <c r="J179" i="44" s="1"/>
  <c r="H180" i="44"/>
  <c r="J180" i="44" s="1"/>
  <c r="H181" i="44"/>
  <c r="J181" i="44" s="1"/>
  <c r="H182" i="44"/>
  <c r="J182" i="44" s="1"/>
  <c r="H183" i="44"/>
  <c r="J183" i="44" s="1"/>
  <c r="H184" i="44"/>
  <c r="J184" i="44" s="1"/>
  <c r="H185" i="44"/>
  <c r="H186" i="44"/>
  <c r="J186" i="44" s="1"/>
  <c r="H187" i="44"/>
  <c r="J187" i="44" s="1"/>
  <c r="H188" i="44"/>
  <c r="J188" i="44" s="1"/>
  <c r="H189" i="44"/>
  <c r="J189" i="44" s="1"/>
  <c r="H190" i="44"/>
  <c r="J190" i="44" s="1"/>
  <c r="H191" i="44"/>
  <c r="J191" i="44" s="1"/>
  <c r="H192" i="44"/>
  <c r="J192" i="44" s="1"/>
  <c r="H193" i="44"/>
  <c r="J193" i="44" s="1"/>
  <c r="H194" i="44"/>
  <c r="J194" i="44" s="1"/>
  <c r="H195" i="44"/>
  <c r="J195" i="44" s="1"/>
  <c r="H196" i="44"/>
  <c r="H197" i="44"/>
  <c r="J197" i="44" s="1"/>
  <c r="H198" i="44"/>
  <c r="J198" i="44" s="1"/>
  <c r="H199" i="44"/>
  <c r="J199" i="44" s="1"/>
  <c r="H200" i="44"/>
  <c r="H201" i="44"/>
  <c r="J201" i="44" s="1"/>
  <c r="H202" i="44"/>
  <c r="H203" i="44"/>
  <c r="J203" i="44" s="1"/>
  <c r="H204" i="44"/>
  <c r="J204" i="44" s="1"/>
  <c r="H205" i="44"/>
  <c r="J205" i="44" s="1"/>
  <c r="H206" i="44"/>
  <c r="J206" i="44" s="1"/>
  <c r="H207" i="44"/>
  <c r="J207" i="44" s="1"/>
  <c r="H208" i="44"/>
  <c r="J208" i="44" s="1"/>
  <c r="H209" i="44"/>
  <c r="J209" i="44" s="1"/>
  <c r="H210" i="44"/>
  <c r="J210" i="44" s="1"/>
  <c r="H211" i="44"/>
  <c r="J211" i="44" s="1"/>
  <c r="H212" i="44"/>
  <c r="J212" i="44" s="1"/>
  <c r="H213" i="44"/>
  <c r="J213" i="44" s="1"/>
  <c r="H214" i="44"/>
  <c r="J214" i="44" s="1"/>
  <c r="H215" i="44"/>
  <c r="J215" i="44" s="1"/>
  <c r="H216" i="44"/>
  <c r="H217" i="44"/>
  <c r="J217" i="44" s="1"/>
  <c r="H218" i="44"/>
  <c r="J218" i="44" s="1"/>
  <c r="H219" i="44"/>
  <c r="J219" i="44" s="1"/>
  <c r="H220" i="44"/>
  <c r="J220" i="44" s="1"/>
  <c r="H221" i="44"/>
  <c r="J221" i="44" s="1"/>
  <c r="H222" i="44"/>
  <c r="J222" i="44" s="1"/>
  <c r="H223" i="44"/>
  <c r="J223" i="44" s="1"/>
  <c r="H224" i="44"/>
  <c r="J224" i="44" s="1"/>
  <c r="H225" i="44"/>
  <c r="H226" i="44"/>
  <c r="H227" i="44"/>
  <c r="J227" i="44" s="1"/>
  <c r="H228" i="44"/>
  <c r="J228" i="44" s="1"/>
  <c r="H229" i="44"/>
  <c r="J229" i="44" s="1"/>
  <c r="H230" i="44"/>
  <c r="J230" i="44" s="1"/>
  <c r="H231" i="44"/>
  <c r="J231" i="44" s="1"/>
  <c r="H232" i="44"/>
  <c r="J232" i="44" s="1"/>
  <c r="H233" i="44"/>
  <c r="J233" i="44" s="1"/>
  <c r="H234" i="44"/>
  <c r="H235" i="44"/>
  <c r="J235" i="44" s="1"/>
  <c r="H236" i="44"/>
  <c r="J236" i="44" s="1"/>
  <c r="H237" i="44"/>
  <c r="J237" i="44" s="1"/>
  <c r="H238" i="44"/>
  <c r="H239" i="44"/>
  <c r="J239" i="44" s="1"/>
  <c r="H240" i="44"/>
  <c r="J240" i="44" s="1"/>
  <c r="H241" i="44"/>
  <c r="J241" i="44" s="1"/>
  <c r="H242" i="44"/>
  <c r="H243" i="44"/>
  <c r="J243" i="44" s="1"/>
  <c r="H244" i="44"/>
  <c r="H245" i="44"/>
  <c r="J245" i="44" s="1"/>
  <c r="H246" i="44"/>
  <c r="J246" i="44" s="1"/>
  <c r="H247" i="44"/>
  <c r="H248" i="44"/>
  <c r="H249" i="44"/>
  <c r="J249" i="44" s="1"/>
  <c r="H250" i="44"/>
  <c r="J250" i="44" s="1"/>
  <c r="H251" i="44"/>
  <c r="J251" i="44" s="1"/>
  <c r="H252" i="44"/>
  <c r="J252" i="44" s="1"/>
  <c r="H253" i="44"/>
  <c r="J253" i="44" s="1"/>
  <c r="H254" i="44"/>
  <c r="H255" i="44"/>
  <c r="H256" i="44"/>
  <c r="J256" i="44" s="1"/>
  <c r="H257" i="44"/>
  <c r="J257" i="44" s="1"/>
  <c r="H258" i="44"/>
  <c r="J258" i="44" s="1"/>
  <c r="H259" i="44"/>
  <c r="J259" i="44" s="1"/>
  <c r="H260" i="44"/>
  <c r="J260" i="44" s="1"/>
  <c r="H261" i="44"/>
  <c r="J261" i="44" s="1"/>
  <c r="H262" i="44"/>
  <c r="J262" i="44" s="1"/>
  <c r="H263" i="44"/>
  <c r="J263" i="44" s="1"/>
  <c r="H264" i="44"/>
  <c r="J264" i="44" s="1"/>
  <c r="H265" i="44"/>
  <c r="J265" i="44" s="1"/>
  <c r="H266" i="44"/>
  <c r="H267" i="44"/>
  <c r="J267" i="44" s="1"/>
  <c r="H268" i="44"/>
  <c r="J268" i="44" s="1"/>
  <c r="H269" i="44"/>
  <c r="J269" i="44" s="1"/>
  <c r="H270" i="44"/>
  <c r="H271" i="44"/>
  <c r="J271" i="44" s="1"/>
  <c r="H272" i="44"/>
  <c r="H273" i="44"/>
  <c r="H274" i="44"/>
  <c r="J274" i="44" s="1"/>
  <c r="H275" i="44"/>
  <c r="J275" i="44" s="1"/>
  <c r="H276" i="44"/>
  <c r="H277" i="44"/>
  <c r="J277" i="44" s="1"/>
  <c r="H278" i="44"/>
  <c r="J278" i="44" s="1"/>
  <c r="H279" i="44"/>
  <c r="H280" i="44"/>
  <c r="J280" i="44" s="1"/>
  <c r="H281" i="44"/>
  <c r="H282" i="44"/>
  <c r="J282" i="44" s="1"/>
  <c r="H283" i="44"/>
  <c r="J283" i="44" s="1"/>
  <c r="H284" i="44"/>
  <c r="H285" i="44"/>
  <c r="J285" i="44" s="1"/>
  <c r="H286" i="44"/>
  <c r="H287" i="44"/>
  <c r="J287" i="44" s="1"/>
  <c r="H288" i="44"/>
  <c r="J288" i="44" s="1"/>
  <c r="H289" i="44"/>
  <c r="J289" i="44" s="1"/>
  <c r="H290" i="44"/>
  <c r="J290" i="44" s="1"/>
  <c r="H291" i="44"/>
  <c r="J291" i="44" s="1"/>
  <c r="H292" i="44"/>
  <c r="J292" i="44" s="1"/>
  <c r="H293" i="44"/>
  <c r="J293" i="44" s="1"/>
  <c r="H294" i="44"/>
  <c r="J294" i="44" s="1"/>
  <c r="H295" i="44"/>
  <c r="J295" i="44" s="1"/>
  <c r="H296" i="44"/>
  <c r="J296" i="44" s="1"/>
  <c r="H297" i="44"/>
  <c r="J297" i="44" s="1"/>
  <c r="H298" i="44"/>
  <c r="J298" i="44" s="1"/>
  <c r="H299" i="44"/>
  <c r="H300" i="44"/>
  <c r="J300" i="44" s="1"/>
  <c r="H301" i="44"/>
  <c r="J301" i="44" s="1"/>
  <c r="H302" i="44"/>
  <c r="J302" i="44" s="1"/>
  <c r="H303" i="44"/>
  <c r="J303" i="44" s="1"/>
  <c r="H304" i="44"/>
  <c r="H305" i="44"/>
  <c r="J305" i="44" s="1"/>
  <c r="H306" i="44"/>
  <c r="J306" i="44" s="1"/>
  <c r="H307" i="44"/>
  <c r="J307" i="44" s="1"/>
  <c r="H308" i="44"/>
  <c r="J308" i="44" s="1"/>
  <c r="H309" i="44"/>
  <c r="J309" i="44" s="1"/>
  <c r="H310" i="44"/>
  <c r="H311" i="44"/>
  <c r="J311" i="44" s="1"/>
  <c r="H312" i="44"/>
  <c r="J312" i="44" s="1"/>
  <c r="H313" i="44"/>
  <c r="J313" i="44" s="1"/>
  <c r="H314" i="44"/>
  <c r="J314" i="44" s="1"/>
  <c r="H4" i="44"/>
  <c r="M276" i="43" l="1"/>
  <c r="T276" i="43" s="1"/>
  <c r="O276" i="48"/>
  <c r="M156" i="43"/>
  <c r="T156" i="43" s="1"/>
  <c r="O156" i="48"/>
  <c r="S256" i="43"/>
  <c r="S21" i="43"/>
  <c r="S241" i="43"/>
  <c r="S222" i="43"/>
  <c r="S40" i="43"/>
  <c r="S277" i="43"/>
  <c r="S273" i="43"/>
  <c r="S142" i="43"/>
  <c r="S152" i="43"/>
  <c r="S165" i="43"/>
  <c r="S186" i="43"/>
  <c r="S133" i="43"/>
  <c r="S146" i="43"/>
  <c r="S113" i="43"/>
  <c r="S118" i="43"/>
  <c r="S85" i="43"/>
  <c r="S208" i="43"/>
  <c r="S48" i="43"/>
  <c r="S117" i="43"/>
  <c r="S254" i="43"/>
  <c r="S5" i="43"/>
  <c r="S224" i="43"/>
  <c r="S84" i="43"/>
  <c r="S239" i="43"/>
  <c r="S202" i="43"/>
  <c r="S141" i="43"/>
  <c r="S39" i="43"/>
  <c r="S174" i="43"/>
  <c r="S209" i="43"/>
  <c r="S234" i="43"/>
  <c r="S250" i="43"/>
  <c r="S218" i="43"/>
  <c r="S177" i="43"/>
  <c r="S14" i="43"/>
  <c r="I221" i="44"/>
  <c r="T314" i="44"/>
  <c r="W314" i="44" s="1"/>
  <c r="M314" i="44"/>
  <c r="I310" i="44"/>
  <c r="J310" i="44"/>
  <c r="T306" i="44"/>
  <c r="W306" i="44" s="1"/>
  <c r="M306" i="44"/>
  <c r="T302" i="44"/>
  <c r="W302" i="44" s="1"/>
  <c r="M302" i="44"/>
  <c r="T298" i="44"/>
  <c r="W298" i="44" s="1"/>
  <c r="M298" i="44"/>
  <c r="T294" i="44"/>
  <c r="W294" i="44" s="1"/>
  <c r="M294" i="44"/>
  <c r="T290" i="44"/>
  <c r="W290" i="44" s="1"/>
  <c r="M290" i="44"/>
  <c r="I286" i="44"/>
  <c r="J286" i="44"/>
  <c r="T282" i="44"/>
  <c r="W282" i="44" s="1"/>
  <c r="M282" i="44"/>
  <c r="T278" i="44"/>
  <c r="W278" i="44" s="1"/>
  <c r="M278" i="44"/>
  <c r="T274" i="44"/>
  <c r="W274" i="44" s="1"/>
  <c r="M274" i="44"/>
  <c r="I270" i="44"/>
  <c r="J270" i="44"/>
  <c r="I266" i="44"/>
  <c r="J266" i="44"/>
  <c r="T262" i="44"/>
  <c r="W262" i="44" s="1"/>
  <c r="M262" i="44"/>
  <c r="T258" i="44"/>
  <c r="W258" i="44" s="1"/>
  <c r="M258" i="44"/>
  <c r="I254" i="44"/>
  <c r="J254" i="44"/>
  <c r="T250" i="44"/>
  <c r="W250" i="44" s="1"/>
  <c r="M250" i="44"/>
  <c r="T246" i="44"/>
  <c r="W246" i="44" s="1"/>
  <c r="M246" i="44"/>
  <c r="I242" i="44"/>
  <c r="J242" i="44"/>
  <c r="I238" i="44"/>
  <c r="J238" i="44"/>
  <c r="I234" i="44"/>
  <c r="J234" i="44"/>
  <c r="T230" i="44"/>
  <c r="W230" i="44" s="1"/>
  <c r="M230" i="44"/>
  <c r="I226" i="44"/>
  <c r="J226" i="44"/>
  <c r="T222" i="44"/>
  <c r="W222" i="44" s="1"/>
  <c r="M222" i="44"/>
  <c r="T219" i="44"/>
  <c r="W219" i="44" s="1"/>
  <c r="M219" i="44"/>
  <c r="T215" i="44"/>
  <c r="W215" i="44" s="1"/>
  <c r="M215" i="44"/>
  <c r="T211" i="44"/>
  <c r="W211" i="44" s="1"/>
  <c r="M211" i="44"/>
  <c r="T207" i="44"/>
  <c r="W207" i="44" s="1"/>
  <c r="M207" i="44"/>
  <c r="T203" i="44"/>
  <c r="W203" i="44" s="1"/>
  <c r="M203" i="44"/>
  <c r="T199" i="44"/>
  <c r="W199" i="44" s="1"/>
  <c r="M199" i="44"/>
  <c r="T195" i="44"/>
  <c r="W195" i="44" s="1"/>
  <c r="M195" i="44"/>
  <c r="T191" i="44"/>
  <c r="W191" i="44" s="1"/>
  <c r="M191" i="44"/>
  <c r="T187" i="44"/>
  <c r="W187" i="44" s="1"/>
  <c r="M187" i="44"/>
  <c r="T183" i="44"/>
  <c r="W183" i="44" s="1"/>
  <c r="M183" i="44"/>
  <c r="T179" i="44"/>
  <c r="W179" i="44" s="1"/>
  <c r="M179" i="44"/>
  <c r="T175" i="44"/>
  <c r="W175" i="44" s="1"/>
  <c r="M175" i="44"/>
  <c r="T171" i="44"/>
  <c r="W171" i="44" s="1"/>
  <c r="M171" i="44"/>
  <c r="T167" i="44"/>
  <c r="W167" i="44" s="1"/>
  <c r="M167" i="44"/>
  <c r="I163" i="44"/>
  <c r="J163" i="44"/>
  <c r="T159" i="44"/>
  <c r="W159" i="44" s="1"/>
  <c r="M159" i="44"/>
  <c r="T155" i="44"/>
  <c r="W155" i="44" s="1"/>
  <c r="M155" i="44"/>
  <c r="T151" i="44"/>
  <c r="W151" i="44" s="1"/>
  <c r="M151" i="44"/>
  <c r="T147" i="44"/>
  <c r="W147" i="44" s="1"/>
  <c r="M147" i="44"/>
  <c r="T143" i="44"/>
  <c r="W143" i="44" s="1"/>
  <c r="M143" i="44"/>
  <c r="T139" i="44"/>
  <c r="W139" i="44" s="1"/>
  <c r="M139" i="44"/>
  <c r="T135" i="44"/>
  <c r="W135" i="44" s="1"/>
  <c r="M135" i="44"/>
  <c r="T131" i="44"/>
  <c r="W131" i="44" s="1"/>
  <c r="M131" i="44"/>
  <c r="T127" i="44"/>
  <c r="W127" i="44" s="1"/>
  <c r="M127" i="44"/>
  <c r="T123" i="44"/>
  <c r="W123" i="44" s="1"/>
  <c r="M123" i="44"/>
  <c r="I119" i="44"/>
  <c r="J119" i="44"/>
  <c r="I115" i="44"/>
  <c r="J115" i="44"/>
  <c r="T111" i="44"/>
  <c r="W111" i="44" s="1"/>
  <c r="M111" i="44"/>
  <c r="T107" i="44"/>
  <c r="W107" i="44" s="1"/>
  <c r="M107" i="44"/>
  <c r="I103" i="44"/>
  <c r="J103" i="44"/>
  <c r="T99" i="44"/>
  <c r="W99" i="44" s="1"/>
  <c r="M99" i="44"/>
  <c r="T95" i="44"/>
  <c r="W95" i="44" s="1"/>
  <c r="M95" i="44"/>
  <c r="T91" i="44"/>
  <c r="W91" i="44" s="1"/>
  <c r="M91" i="44"/>
  <c r="T87" i="44"/>
  <c r="W87" i="44" s="1"/>
  <c r="M87" i="44"/>
  <c r="T83" i="44"/>
  <c r="W83" i="44" s="1"/>
  <c r="M83" i="44"/>
  <c r="T79" i="44"/>
  <c r="W79" i="44" s="1"/>
  <c r="M79" i="44"/>
  <c r="M75" i="44"/>
  <c r="T75" i="44"/>
  <c r="W75" i="44" s="1"/>
  <c r="T71" i="44"/>
  <c r="W71" i="44" s="1"/>
  <c r="M71" i="44"/>
  <c r="T67" i="44"/>
  <c r="W67" i="44" s="1"/>
  <c r="M67" i="44"/>
  <c r="T63" i="44"/>
  <c r="W63" i="44" s="1"/>
  <c r="M63" i="44"/>
  <c r="M59" i="44"/>
  <c r="T59" i="44"/>
  <c r="W59" i="44" s="1"/>
  <c r="T55" i="44"/>
  <c r="W55" i="44" s="1"/>
  <c r="M55" i="44"/>
  <c r="T51" i="44"/>
  <c r="W51" i="44" s="1"/>
  <c r="M51" i="44"/>
  <c r="T47" i="44"/>
  <c r="W47" i="44" s="1"/>
  <c r="M47" i="44"/>
  <c r="M43" i="44"/>
  <c r="T43" i="44"/>
  <c r="W43" i="44" s="1"/>
  <c r="T39" i="44"/>
  <c r="W39" i="44" s="1"/>
  <c r="M39" i="44"/>
  <c r="T35" i="44"/>
  <c r="W35" i="44" s="1"/>
  <c r="M35" i="44"/>
  <c r="T31" i="44"/>
  <c r="W31" i="44" s="1"/>
  <c r="M31" i="44"/>
  <c r="T28" i="44"/>
  <c r="W28" i="44" s="1"/>
  <c r="M28" i="44"/>
  <c r="T24" i="44"/>
  <c r="W24" i="44" s="1"/>
  <c r="M24" i="44"/>
  <c r="I20" i="44"/>
  <c r="J20" i="44"/>
  <c r="T16" i="44"/>
  <c r="W16" i="44" s="1"/>
  <c r="M16" i="44"/>
  <c r="T12" i="44"/>
  <c r="W12" i="44" s="1"/>
  <c r="M12" i="44"/>
  <c r="T8" i="44"/>
  <c r="W8" i="44" s="1"/>
  <c r="M8" i="44"/>
  <c r="T313" i="44"/>
  <c r="W313" i="44" s="1"/>
  <c r="M313" i="44"/>
  <c r="T309" i="44"/>
  <c r="W309" i="44" s="1"/>
  <c r="M309" i="44"/>
  <c r="T305" i="44"/>
  <c r="W305" i="44" s="1"/>
  <c r="M305" i="44"/>
  <c r="T301" i="44"/>
  <c r="W301" i="44" s="1"/>
  <c r="M301" i="44"/>
  <c r="T297" i="44"/>
  <c r="W297" i="44" s="1"/>
  <c r="M297" i="44"/>
  <c r="T293" i="44"/>
  <c r="W293" i="44" s="1"/>
  <c r="M293" i="44"/>
  <c r="T289" i="44"/>
  <c r="W289" i="44" s="1"/>
  <c r="M289" i="44"/>
  <c r="T285" i="44"/>
  <c r="W285" i="44" s="1"/>
  <c r="M285" i="44"/>
  <c r="I281" i="44"/>
  <c r="J281" i="44"/>
  <c r="T277" i="44"/>
  <c r="W277" i="44" s="1"/>
  <c r="M277" i="44"/>
  <c r="I273" i="44"/>
  <c r="J273" i="44"/>
  <c r="T269" i="44"/>
  <c r="W269" i="44" s="1"/>
  <c r="M269" i="44"/>
  <c r="T265" i="44"/>
  <c r="W265" i="44" s="1"/>
  <c r="M265" i="44"/>
  <c r="T261" i="44"/>
  <c r="W261" i="44" s="1"/>
  <c r="M261" i="44"/>
  <c r="T257" i="44"/>
  <c r="W257" i="44" s="1"/>
  <c r="M257" i="44"/>
  <c r="T253" i="44"/>
  <c r="W253" i="44" s="1"/>
  <c r="M253" i="44"/>
  <c r="T249" i="44"/>
  <c r="W249" i="44" s="1"/>
  <c r="M249" i="44"/>
  <c r="T245" i="44"/>
  <c r="W245" i="44" s="1"/>
  <c r="M245" i="44"/>
  <c r="T241" i="44"/>
  <c r="W241" i="44" s="1"/>
  <c r="M241" i="44"/>
  <c r="T237" i="44"/>
  <c r="W237" i="44" s="1"/>
  <c r="M237" i="44"/>
  <c r="T233" i="44"/>
  <c r="W233" i="44" s="1"/>
  <c r="M233" i="44"/>
  <c r="T229" i="44"/>
  <c r="W229" i="44" s="1"/>
  <c r="M229" i="44"/>
  <c r="I225" i="44"/>
  <c r="J225" i="44"/>
  <c r="S221" i="44"/>
  <c r="V221" i="44" s="1"/>
  <c r="L221" i="44"/>
  <c r="T218" i="44"/>
  <c r="W218" i="44" s="1"/>
  <c r="M218" i="44"/>
  <c r="T214" i="44"/>
  <c r="W214" i="44" s="1"/>
  <c r="M214" i="44"/>
  <c r="T210" i="44"/>
  <c r="W210" i="44" s="1"/>
  <c r="M210" i="44"/>
  <c r="T206" i="44"/>
  <c r="W206" i="44" s="1"/>
  <c r="M206" i="44"/>
  <c r="I202" i="44"/>
  <c r="J202" i="44"/>
  <c r="T198" i="44"/>
  <c r="W198" i="44" s="1"/>
  <c r="M198" i="44"/>
  <c r="T194" i="44"/>
  <c r="W194" i="44" s="1"/>
  <c r="M194" i="44"/>
  <c r="T190" i="44"/>
  <c r="W190" i="44" s="1"/>
  <c r="M190" i="44"/>
  <c r="T186" i="44"/>
  <c r="W186" i="44" s="1"/>
  <c r="M186" i="44"/>
  <c r="T182" i="44"/>
  <c r="W182" i="44" s="1"/>
  <c r="M182" i="44"/>
  <c r="T178" i="44"/>
  <c r="W178" i="44" s="1"/>
  <c r="M178" i="44"/>
  <c r="I174" i="44"/>
  <c r="J174" i="44"/>
  <c r="T170" i="44"/>
  <c r="W170" i="44" s="1"/>
  <c r="M170" i="44"/>
  <c r="T166" i="44"/>
  <c r="W166" i="44" s="1"/>
  <c r="M166" i="44"/>
  <c r="T162" i="44"/>
  <c r="W162" i="44" s="1"/>
  <c r="M162" i="44"/>
  <c r="T158" i="44"/>
  <c r="W158" i="44" s="1"/>
  <c r="M158" i="44"/>
  <c r="I154" i="44"/>
  <c r="J154" i="44"/>
  <c r="T150" i="44"/>
  <c r="W150" i="44" s="1"/>
  <c r="M150" i="44"/>
  <c r="T146" i="44"/>
  <c r="W146" i="44" s="1"/>
  <c r="M146" i="44"/>
  <c r="T142" i="44"/>
  <c r="W142" i="44" s="1"/>
  <c r="M142" i="44"/>
  <c r="T138" i="44"/>
  <c r="W138" i="44" s="1"/>
  <c r="M138" i="44"/>
  <c r="I134" i="44"/>
  <c r="J134" i="44"/>
  <c r="T130" i="44"/>
  <c r="W130" i="44" s="1"/>
  <c r="M130" i="44"/>
  <c r="T126" i="44"/>
  <c r="W126" i="44" s="1"/>
  <c r="M126" i="44"/>
  <c r="T122" i="44"/>
  <c r="W122" i="44" s="1"/>
  <c r="M122" i="44"/>
  <c r="T118" i="44"/>
  <c r="W118" i="44" s="1"/>
  <c r="M118" i="44"/>
  <c r="I114" i="44"/>
  <c r="J114" i="44"/>
  <c r="T110" i="44"/>
  <c r="W110" i="44" s="1"/>
  <c r="M110" i="44"/>
  <c r="T106" i="44"/>
  <c r="W106" i="44" s="1"/>
  <c r="M106" i="44"/>
  <c r="T102" i="44"/>
  <c r="W102" i="44" s="1"/>
  <c r="M102" i="44"/>
  <c r="T98" i="44"/>
  <c r="W98" i="44" s="1"/>
  <c r="M98" i="44"/>
  <c r="T94" i="44"/>
  <c r="W94" i="44" s="1"/>
  <c r="M94" i="44"/>
  <c r="T90" i="44"/>
  <c r="W90" i="44" s="1"/>
  <c r="M90" i="44"/>
  <c r="I86" i="44"/>
  <c r="J86" i="44"/>
  <c r="T82" i="44"/>
  <c r="W82" i="44" s="1"/>
  <c r="M82" i="44"/>
  <c r="T78" i="44"/>
  <c r="W78" i="44" s="1"/>
  <c r="M78" i="44"/>
  <c r="T74" i="44"/>
  <c r="W74" i="44" s="1"/>
  <c r="M74" i="44"/>
  <c r="I70" i="44"/>
  <c r="J70" i="44"/>
  <c r="T66" i="44"/>
  <c r="W66" i="44" s="1"/>
  <c r="M66" i="44"/>
  <c r="T62" i="44"/>
  <c r="W62" i="44" s="1"/>
  <c r="M62" i="44"/>
  <c r="T58" i="44"/>
  <c r="W58" i="44" s="1"/>
  <c r="M58" i="44"/>
  <c r="T54" i="44"/>
  <c r="W54" i="44" s="1"/>
  <c r="M54" i="44"/>
  <c r="T50" i="44"/>
  <c r="W50" i="44" s="1"/>
  <c r="M50" i="44"/>
  <c r="T46" i="44"/>
  <c r="W46" i="44" s="1"/>
  <c r="M46" i="44"/>
  <c r="T42" i="44"/>
  <c r="W42" i="44" s="1"/>
  <c r="M42" i="44"/>
  <c r="T38" i="44"/>
  <c r="W38" i="44" s="1"/>
  <c r="M38" i="44"/>
  <c r="T34" i="44"/>
  <c r="W34" i="44" s="1"/>
  <c r="M34" i="44"/>
  <c r="T30" i="44"/>
  <c r="W30" i="44" s="1"/>
  <c r="M30" i="44"/>
  <c r="M27" i="44"/>
  <c r="T27" i="44"/>
  <c r="W27" i="44" s="1"/>
  <c r="T23" i="44"/>
  <c r="W23" i="44" s="1"/>
  <c r="M23" i="44"/>
  <c r="T19" i="44"/>
  <c r="W19" i="44" s="1"/>
  <c r="M19" i="44"/>
  <c r="T15" i="44"/>
  <c r="W15" i="44" s="1"/>
  <c r="M15" i="44"/>
  <c r="M11" i="44"/>
  <c r="T11" i="44"/>
  <c r="W11" i="44" s="1"/>
  <c r="I7" i="44"/>
  <c r="J7" i="44"/>
  <c r="T312" i="44"/>
  <c r="W312" i="44" s="1"/>
  <c r="M312" i="44"/>
  <c r="T308" i="44"/>
  <c r="W308" i="44" s="1"/>
  <c r="M308" i="44"/>
  <c r="I304" i="44"/>
  <c r="J304" i="44"/>
  <c r="T300" i="44"/>
  <c r="W300" i="44" s="1"/>
  <c r="M300" i="44"/>
  <c r="T296" i="44"/>
  <c r="W296" i="44" s="1"/>
  <c r="M296" i="44"/>
  <c r="T292" i="44"/>
  <c r="W292" i="44" s="1"/>
  <c r="M292" i="44"/>
  <c r="T288" i="44"/>
  <c r="W288" i="44" s="1"/>
  <c r="M288" i="44"/>
  <c r="I284" i="44"/>
  <c r="J284" i="44"/>
  <c r="T280" i="44"/>
  <c r="W280" i="44" s="1"/>
  <c r="M280" i="44"/>
  <c r="I276" i="44"/>
  <c r="J276" i="44"/>
  <c r="I272" i="44"/>
  <c r="J272" i="44"/>
  <c r="T268" i="44"/>
  <c r="W268" i="44" s="1"/>
  <c r="M268" i="44"/>
  <c r="T264" i="44"/>
  <c r="W264" i="44" s="1"/>
  <c r="M264" i="44"/>
  <c r="T260" i="44"/>
  <c r="W260" i="44" s="1"/>
  <c r="M260" i="44"/>
  <c r="T256" i="44"/>
  <c r="W256" i="44" s="1"/>
  <c r="M256" i="44"/>
  <c r="T252" i="44"/>
  <c r="W252" i="44" s="1"/>
  <c r="M252" i="44"/>
  <c r="I248" i="44"/>
  <c r="J248" i="44"/>
  <c r="I244" i="44"/>
  <c r="J244" i="44"/>
  <c r="T240" i="44"/>
  <c r="W240" i="44" s="1"/>
  <c r="M240" i="44"/>
  <c r="T236" i="44"/>
  <c r="W236" i="44" s="1"/>
  <c r="M236" i="44"/>
  <c r="T232" i="44"/>
  <c r="W232" i="44" s="1"/>
  <c r="M232" i="44"/>
  <c r="T228" i="44"/>
  <c r="W228" i="44" s="1"/>
  <c r="M228" i="44"/>
  <c r="T224" i="44"/>
  <c r="W224" i="44" s="1"/>
  <c r="M224" i="44"/>
  <c r="T221" i="44"/>
  <c r="W221" i="44" s="1"/>
  <c r="M221" i="44"/>
  <c r="T217" i="44"/>
  <c r="W217" i="44" s="1"/>
  <c r="M217" i="44"/>
  <c r="T213" i="44"/>
  <c r="W213" i="44" s="1"/>
  <c r="M213" i="44"/>
  <c r="T209" i="44"/>
  <c r="W209" i="44" s="1"/>
  <c r="M209" i="44"/>
  <c r="T205" i="44"/>
  <c r="W205" i="44" s="1"/>
  <c r="M205" i="44"/>
  <c r="T201" i="44"/>
  <c r="W201" i="44" s="1"/>
  <c r="M201" i="44"/>
  <c r="T197" i="44"/>
  <c r="W197" i="44" s="1"/>
  <c r="M197" i="44"/>
  <c r="T193" i="44"/>
  <c r="W193" i="44" s="1"/>
  <c r="M193" i="44"/>
  <c r="T189" i="44"/>
  <c r="W189" i="44" s="1"/>
  <c r="M189" i="44"/>
  <c r="I185" i="44"/>
  <c r="J185" i="44"/>
  <c r="T181" i="44"/>
  <c r="W181" i="44" s="1"/>
  <c r="M181" i="44"/>
  <c r="T177" i="44"/>
  <c r="W177" i="44" s="1"/>
  <c r="M177" i="44"/>
  <c r="T173" i="44"/>
  <c r="W173" i="44" s="1"/>
  <c r="M173" i="44"/>
  <c r="T169" i="44"/>
  <c r="W169" i="44" s="1"/>
  <c r="M169" i="44"/>
  <c r="T165" i="44"/>
  <c r="W165" i="44" s="1"/>
  <c r="M165" i="44"/>
  <c r="T161" i="44"/>
  <c r="W161" i="44" s="1"/>
  <c r="M161" i="44"/>
  <c r="T157" i="44"/>
  <c r="W157" i="44" s="1"/>
  <c r="M157" i="44"/>
  <c r="I153" i="44"/>
  <c r="J153" i="44"/>
  <c r="T149" i="44"/>
  <c r="W149" i="44" s="1"/>
  <c r="M149" i="44"/>
  <c r="T145" i="44"/>
  <c r="W145" i="44" s="1"/>
  <c r="M145" i="44"/>
  <c r="T141" i="44"/>
  <c r="W141" i="44" s="1"/>
  <c r="M141" i="44"/>
  <c r="T137" i="44"/>
  <c r="W137" i="44" s="1"/>
  <c r="M137" i="44"/>
  <c r="T133" i="44"/>
  <c r="W133" i="44" s="1"/>
  <c r="M133" i="44"/>
  <c r="T129" i="44"/>
  <c r="W129" i="44" s="1"/>
  <c r="M129" i="44"/>
  <c r="T125" i="44"/>
  <c r="W125" i="44" s="1"/>
  <c r="M125" i="44"/>
  <c r="T121" i="44"/>
  <c r="W121" i="44" s="1"/>
  <c r="M121" i="44"/>
  <c r="T117" i="44"/>
  <c r="W117" i="44" s="1"/>
  <c r="M117" i="44"/>
  <c r="T113" i="44"/>
  <c r="W113" i="44" s="1"/>
  <c r="M113" i="44"/>
  <c r="T109" i="44"/>
  <c r="W109" i="44" s="1"/>
  <c r="M109" i="44"/>
  <c r="T105" i="44"/>
  <c r="W105" i="44" s="1"/>
  <c r="M105" i="44"/>
  <c r="T101" i="44"/>
  <c r="W101" i="44" s="1"/>
  <c r="M101" i="44"/>
  <c r="T97" i="44"/>
  <c r="W97" i="44" s="1"/>
  <c r="M97" i="44"/>
  <c r="T93" i="44"/>
  <c r="W93" i="44" s="1"/>
  <c r="M93" i="44"/>
  <c r="T89" i="44"/>
  <c r="W89" i="44" s="1"/>
  <c r="M89" i="44"/>
  <c r="T81" i="44"/>
  <c r="W81" i="44" s="1"/>
  <c r="M81" i="44"/>
  <c r="T77" i="44"/>
  <c r="W77" i="44" s="1"/>
  <c r="M77" i="44"/>
  <c r="I73" i="44"/>
  <c r="J73" i="44"/>
  <c r="T69" i="44"/>
  <c r="W69" i="44" s="1"/>
  <c r="M69" i="44"/>
  <c r="T65" i="44"/>
  <c r="W65" i="44" s="1"/>
  <c r="M65" i="44"/>
  <c r="T61" i="44"/>
  <c r="W61" i="44" s="1"/>
  <c r="M61" i="44"/>
  <c r="T57" i="44"/>
  <c r="W57" i="44" s="1"/>
  <c r="M57" i="44"/>
  <c r="T53" i="44"/>
  <c r="W53" i="44" s="1"/>
  <c r="M53" i="44"/>
  <c r="T49" i="44"/>
  <c r="W49" i="44" s="1"/>
  <c r="M49" i="44"/>
  <c r="T45" i="44"/>
  <c r="W45" i="44" s="1"/>
  <c r="M45" i="44"/>
  <c r="T41" i="44"/>
  <c r="W41" i="44" s="1"/>
  <c r="M41" i="44"/>
  <c r="T37" i="44"/>
  <c r="W37" i="44" s="1"/>
  <c r="M37" i="44"/>
  <c r="T33" i="44"/>
  <c r="W33" i="44" s="1"/>
  <c r="M33" i="44"/>
  <c r="S29" i="44"/>
  <c r="V29" i="44" s="1"/>
  <c r="L29" i="44"/>
  <c r="T26" i="44"/>
  <c r="W26" i="44" s="1"/>
  <c r="M26" i="44"/>
  <c r="T22" i="44"/>
  <c r="W22" i="44" s="1"/>
  <c r="M22" i="44"/>
  <c r="T18" i="44"/>
  <c r="W18" i="44" s="1"/>
  <c r="M18" i="44"/>
  <c r="T14" i="44"/>
  <c r="W14" i="44" s="1"/>
  <c r="M14" i="44"/>
  <c r="T10" i="44"/>
  <c r="W10" i="44" s="1"/>
  <c r="M10" i="44"/>
  <c r="T6" i="44"/>
  <c r="W6" i="44" s="1"/>
  <c r="M6" i="44"/>
  <c r="J4" i="44"/>
  <c r="I4" i="44"/>
  <c r="T311" i="44"/>
  <c r="W311" i="44" s="1"/>
  <c r="M311" i="44"/>
  <c r="T307" i="44"/>
  <c r="W307" i="44" s="1"/>
  <c r="M307" i="44"/>
  <c r="T303" i="44"/>
  <c r="W303" i="44" s="1"/>
  <c r="M303" i="44"/>
  <c r="I299" i="44"/>
  <c r="J299" i="44"/>
  <c r="T295" i="44"/>
  <c r="W295" i="44" s="1"/>
  <c r="M295" i="44"/>
  <c r="T291" i="44"/>
  <c r="W291" i="44" s="1"/>
  <c r="M291" i="44"/>
  <c r="T287" i="44"/>
  <c r="W287" i="44" s="1"/>
  <c r="M287" i="44"/>
  <c r="T283" i="44"/>
  <c r="W283" i="44" s="1"/>
  <c r="M283" i="44"/>
  <c r="I279" i="44"/>
  <c r="J279" i="44"/>
  <c r="T275" i="44"/>
  <c r="W275" i="44" s="1"/>
  <c r="M275" i="44"/>
  <c r="T271" i="44"/>
  <c r="W271" i="44" s="1"/>
  <c r="M271" i="44"/>
  <c r="T267" i="44"/>
  <c r="W267" i="44" s="1"/>
  <c r="M267" i="44"/>
  <c r="T263" i="44"/>
  <c r="W263" i="44" s="1"/>
  <c r="M263" i="44"/>
  <c r="T259" i="44"/>
  <c r="W259" i="44" s="1"/>
  <c r="M259" i="44"/>
  <c r="I255" i="44"/>
  <c r="J255" i="44"/>
  <c r="T251" i="44"/>
  <c r="W251" i="44" s="1"/>
  <c r="M251" i="44"/>
  <c r="I247" i="44"/>
  <c r="J247" i="44"/>
  <c r="T243" i="44"/>
  <c r="W243" i="44" s="1"/>
  <c r="M243" i="44"/>
  <c r="T239" i="44"/>
  <c r="W239" i="44" s="1"/>
  <c r="M239" i="44"/>
  <c r="T235" i="44"/>
  <c r="W235" i="44" s="1"/>
  <c r="M235" i="44"/>
  <c r="T231" i="44"/>
  <c r="W231" i="44" s="1"/>
  <c r="M231" i="44"/>
  <c r="T227" i="44"/>
  <c r="W227" i="44" s="1"/>
  <c r="M227" i="44"/>
  <c r="T223" i="44"/>
  <c r="W223" i="44" s="1"/>
  <c r="M223" i="44"/>
  <c r="T220" i="44"/>
  <c r="W220" i="44" s="1"/>
  <c r="M220" i="44"/>
  <c r="I216" i="44"/>
  <c r="J216" i="44"/>
  <c r="T212" i="44"/>
  <c r="W212" i="44" s="1"/>
  <c r="M212" i="44"/>
  <c r="T208" i="44"/>
  <c r="W208" i="44" s="1"/>
  <c r="M208" i="44"/>
  <c r="T204" i="44"/>
  <c r="W204" i="44" s="1"/>
  <c r="M204" i="44"/>
  <c r="I200" i="44"/>
  <c r="J200" i="44"/>
  <c r="I196" i="44"/>
  <c r="J196" i="44"/>
  <c r="T192" i="44"/>
  <c r="W192" i="44" s="1"/>
  <c r="M192" i="44"/>
  <c r="T188" i="44"/>
  <c r="W188" i="44" s="1"/>
  <c r="M188" i="44"/>
  <c r="T184" i="44"/>
  <c r="W184" i="44" s="1"/>
  <c r="M184" i="44"/>
  <c r="T180" i="44"/>
  <c r="W180" i="44" s="1"/>
  <c r="M180" i="44"/>
  <c r="T176" i="44"/>
  <c r="W176" i="44" s="1"/>
  <c r="M176" i="44"/>
  <c r="T172" i="44"/>
  <c r="W172" i="44" s="1"/>
  <c r="M172" i="44"/>
  <c r="T168" i="44"/>
  <c r="W168" i="44" s="1"/>
  <c r="M168" i="44"/>
  <c r="T164" i="44"/>
  <c r="W164" i="44" s="1"/>
  <c r="M164" i="44"/>
  <c r="T160" i="44"/>
  <c r="W160" i="44" s="1"/>
  <c r="M160" i="44"/>
  <c r="T156" i="44"/>
  <c r="W156" i="44" s="1"/>
  <c r="M156" i="44"/>
  <c r="I152" i="44"/>
  <c r="J152" i="44"/>
  <c r="T148" i="44"/>
  <c r="W148" i="44" s="1"/>
  <c r="M148" i="44"/>
  <c r="T144" i="44"/>
  <c r="W144" i="44" s="1"/>
  <c r="M144" i="44"/>
  <c r="T140" i="44"/>
  <c r="W140" i="44" s="1"/>
  <c r="M140" i="44"/>
  <c r="T136" i="44"/>
  <c r="W136" i="44" s="1"/>
  <c r="M136" i="44"/>
  <c r="I132" i="44"/>
  <c r="J132" i="44"/>
  <c r="T128" i="44"/>
  <c r="W128" i="44" s="1"/>
  <c r="M128" i="44"/>
  <c r="T124" i="44"/>
  <c r="W124" i="44" s="1"/>
  <c r="M124" i="44"/>
  <c r="I120" i="44"/>
  <c r="J120" i="44"/>
  <c r="T116" i="44"/>
  <c r="W116" i="44" s="1"/>
  <c r="M116" i="44"/>
  <c r="I112" i="44"/>
  <c r="J112" i="44"/>
  <c r="T108" i="44"/>
  <c r="W108" i="44" s="1"/>
  <c r="M108" i="44"/>
  <c r="M104" i="44"/>
  <c r="T104" i="44"/>
  <c r="W104" i="44" s="1"/>
  <c r="T100" i="44"/>
  <c r="W100" i="44" s="1"/>
  <c r="M100" i="44"/>
  <c r="T96" i="44"/>
  <c r="W96" i="44" s="1"/>
  <c r="M96" i="44"/>
  <c r="M92" i="44"/>
  <c r="T92" i="44"/>
  <c r="W92" i="44" s="1"/>
  <c r="T88" i="44"/>
  <c r="W88" i="44" s="1"/>
  <c r="M88" i="44"/>
  <c r="T84" i="44"/>
  <c r="W84" i="44" s="1"/>
  <c r="M84" i="44"/>
  <c r="T80" i="44"/>
  <c r="W80" i="44" s="1"/>
  <c r="M80" i="44"/>
  <c r="T76" i="44"/>
  <c r="W76" i="44" s="1"/>
  <c r="M76" i="44"/>
  <c r="T72" i="44"/>
  <c r="W72" i="44" s="1"/>
  <c r="M72" i="44"/>
  <c r="T68" i="44"/>
  <c r="W68" i="44" s="1"/>
  <c r="M68" i="44"/>
  <c r="T64" i="44"/>
  <c r="W64" i="44" s="1"/>
  <c r="M64" i="44"/>
  <c r="T60" i="44"/>
  <c r="W60" i="44" s="1"/>
  <c r="M60" i="44"/>
  <c r="T56" i="44"/>
  <c r="W56" i="44" s="1"/>
  <c r="M56" i="44"/>
  <c r="T52" i="44"/>
  <c r="W52" i="44" s="1"/>
  <c r="M52" i="44"/>
  <c r="T48" i="44"/>
  <c r="W48" i="44" s="1"/>
  <c r="M48" i="44"/>
  <c r="T44" i="44"/>
  <c r="W44" i="44" s="1"/>
  <c r="M44" i="44"/>
  <c r="I40" i="44"/>
  <c r="J40" i="44"/>
  <c r="T36" i="44"/>
  <c r="W36" i="44" s="1"/>
  <c r="M36" i="44"/>
  <c r="T32" i="44"/>
  <c r="W32" i="44" s="1"/>
  <c r="M32" i="44"/>
  <c r="T29" i="44"/>
  <c r="W29" i="44" s="1"/>
  <c r="M29" i="44"/>
  <c r="T25" i="44"/>
  <c r="W25" i="44" s="1"/>
  <c r="M25" i="44"/>
  <c r="T21" i="44"/>
  <c r="W21" i="44" s="1"/>
  <c r="M21" i="44"/>
  <c r="T17" i="44"/>
  <c r="W17" i="44" s="1"/>
  <c r="M17" i="44"/>
  <c r="T13" i="44"/>
  <c r="W13" i="44" s="1"/>
  <c r="M13" i="44"/>
  <c r="T9" i="44"/>
  <c r="W9" i="44" s="1"/>
  <c r="M9" i="44"/>
  <c r="T5" i="44"/>
  <c r="W5" i="44" s="1"/>
  <c r="M5" i="44"/>
  <c r="I85" i="44"/>
  <c r="J85" i="44"/>
  <c r="E140" i="8"/>
  <c r="F140" i="8"/>
  <c r="G140" i="8"/>
  <c r="H140" i="8" s="1"/>
  <c r="I140" i="8" s="1"/>
  <c r="J140" i="8" s="1"/>
  <c r="K140" i="8" s="1"/>
  <c r="L140" i="8" s="1"/>
  <c r="M140" i="8" s="1"/>
  <c r="N140" i="8" s="1"/>
  <c r="O140" i="8" s="1"/>
  <c r="P140" i="8" s="1"/>
  <c r="Q140" i="8" s="1"/>
  <c r="D140" i="8"/>
  <c r="C140" i="8"/>
  <c r="E137" i="8"/>
  <c r="C137" i="8"/>
  <c r="F134" i="8"/>
  <c r="S40" i="44" l="1"/>
  <c r="V40" i="44" s="1"/>
  <c r="L40" i="44"/>
  <c r="S255" i="44"/>
  <c r="V255" i="44" s="1"/>
  <c r="L255" i="44"/>
  <c r="S276" i="44"/>
  <c r="V276" i="44" s="1"/>
  <c r="L276" i="44"/>
  <c r="T153" i="44"/>
  <c r="W153" i="44" s="1"/>
  <c r="M153" i="44"/>
  <c r="T40" i="44"/>
  <c r="W40" i="44" s="1"/>
  <c r="M40" i="44"/>
  <c r="T112" i="44"/>
  <c r="W112" i="44" s="1"/>
  <c r="M112" i="44"/>
  <c r="T120" i="44"/>
  <c r="W120" i="44" s="1"/>
  <c r="M120" i="44"/>
  <c r="T152" i="44"/>
  <c r="W152" i="44" s="1"/>
  <c r="M152" i="44"/>
  <c r="T200" i="44"/>
  <c r="W200" i="44" s="1"/>
  <c r="M200" i="44"/>
  <c r="T216" i="44"/>
  <c r="W216" i="44" s="1"/>
  <c r="M216" i="44"/>
  <c r="T247" i="44"/>
  <c r="W247" i="44" s="1"/>
  <c r="M247" i="44"/>
  <c r="T255" i="44"/>
  <c r="W255" i="44" s="1"/>
  <c r="M255" i="44"/>
  <c r="T279" i="44"/>
  <c r="W279" i="44" s="1"/>
  <c r="M279" i="44"/>
  <c r="T73" i="44"/>
  <c r="W73" i="44" s="1"/>
  <c r="M73" i="44"/>
  <c r="T244" i="44"/>
  <c r="W244" i="44" s="1"/>
  <c r="M244" i="44"/>
  <c r="T276" i="44"/>
  <c r="W276" i="44" s="1"/>
  <c r="M276" i="44"/>
  <c r="T284" i="44"/>
  <c r="W284" i="44" s="1"/>
  <c r="M284" i="44"/>
  <c r="T114" i="44"/>
  <c r="W114" i="44" s="1"/>
  <c r="M114" i="44"/>
  <c r="T154" i="44"/>
  <c r="W154" i="44" s="1"/>
  <c r="M154" i="44"/>
  <c r="T202" i="44"/>
  <c r="W202" i="44" s="1"/>
  <c r="M202" i="44"/>
  <c r="T225" i="44"/>
  <c r="W225" i="44" s="1"/>
  <c r="M225" i="44"/>
  <c r="T273" i="44"/>
  <c r="W273" i="44" s="1"/>
  <c r="M273" i="44"/>
  <c r="T281" i="44"/>
  <c r="W281" i="44" s="1"/>
  <c r="M281" i="44"/>
  <c r="S103" i="44"/>
  <c r="V103" i="44" s="1"/>
  <c r="L103" i="44"/>
  <c r="S119" i="44"/>
  <c r="V119" i="44" s="1"/>
  <c r="L119" i="44"/>
  <c r="L238" i="44"/>
  <c r="S238" i="44"/>
  <c r="V238" i="44" s="1"/>
  <c r="L254" i="44"/>
  <c r="S254" i="44"/>
  <c r="V254" i="44" s="1"/>
  <c r="L270" i="44"/>
  <c r="S270" i="44"/>
  <c r="V270" i="44" s="1"/>
  <c r="L286" i="44"/>
  <c r="S286" i="44"/>
  <c r="V286" i="44" s="1"/>
  <c r="L310" i="44"/>
  <c r="S310" i="44"/>
  <c r="V310" i="44" s="1"/>
  <c r="S120" i="44"/>
  <c r="V120" i="44" s="1"/>
  <c r="L120" i="44"/>
  <c r="S244" i="44"/>
  <c r="V244" i="44" s="1"/>
  <c r="L244" i="44"/>
  <c r="S284" i="44"/>
  <c r="V284" i="44" s="1"/>
  <c r="L284" i="44"/>
  <c r="L114" i="44"/>
  <c r="S114" i="44"/>
  <c r="V114" i="44" s="1"/>
  <c r="S154" i="44"/>
  <c r="V154" i="44" s="1"/>
  <c r="L154" i="44"/>
  <c r="L202" i="44"/>
  <c r="S202" i="44"/>
  <c r="V202" i="44" s="1"/>
  <c r="S225" i="44"/>
  <c r="V225" i="44" s="1"/>
  <c r="L225" i="44"/>
  <c r="S273" i="44"/>
  <c r="V273" i="44" s="1"/>
  <c r="L273" i="44"/>
  <c r="S281" i="44"/>
  <c r="V281" i="44" s="1"/>
  <c r="L281" i="44"/>
  <c r="T20" i="44"/>
  <c r="W20" i="44" s="1"/>
  <c r="M20" i="44"/>
  <c r="T115" i="44"/>
  <c r="W115" i="44" s="1"/>
  <c r="M115" i="44"/>
  <c r="T163" i="44"/>
  <c r="W163" i="44" s="1"/>
  <c r="M163" i="44"/>
  <c r="T226" i="44"/>
  <c r="W226" i="44" s="1"/>
  <c r="M226" i="44"/>
  <c r="T234" i="44"/>
  <c r="W234" i="44" s="1"/>
  <c r="M234" i="44"/>
  <c r="T242" i="44"/>
  <c r="W242" i="44" s="1"/>
  <c r="M242" i="44"/>
  <c r="T266" i="44"/>
  <c r="W266" i="44" s="1"/>
  <c r="M266" i="44"/>
  <c r="L152" i="44"/>
  <c r="S152" i="44"/>
  <c r="V152" i="44" s="1"/>
  <c r="S216" i="44"/>
  <c r="V216" i="44" s="1"/>
  <c r="L216" i="44"/>
  <c r="S247" i="44"/>
  <c r="V247" i="44" s="1"/>
  <c r="L247" i="44"/>
  <c r="S73" i="44"/>
  <c r="V73" i="44" s="1"/>
  <c r="L73" i="44"/>
  <c r="T132" i="44"/>
  <c r="W132" i="44" s="1"/>
  <c r="M132" i="44"/>
  <c r="T196" i="44"/>
  <c r="W196" i="44" s="1"/>
  <c r="M196" i="44"/>
  <c r="T299" i="44"/>
  <c r="W299" i="44" s="1"/>
  <c r="M299" i="44"/>
  <c r="T185" i="44"/>
  <c r="W185" i="44" s="1"/>
  <c r="M185" i="44"/>
  <c r="T248" i="44"/>
  <c r="W248" i="44" s="1"/>
  <c r="M248" i="44"/>
  <c r="T304" i="44"/>
  <c r="W304" i="44" s="1"/>
  <c r="M304" i="44"/>
  <c r="T7" i="44"/>
  <c r="W7" i="44" s="1"/>
  <c r="M7" i="44"/>
  <c r="T70" i="44"/>
  <c r="W70" i="44" s="1"/>
  <c r="M70" i="44"/>
  <c r="T86" i="44"/>
  <c r="W86" i="44" s="1"/>
  <c r="M86" i="44"/>
  <c r="T134" i="44"/>
  <c r="W134" i="44" s="1"/>
  <c r="M134" i="44"/>
  <c r="T174" i="44"/>
  <c r="W174" i="44" s="1"/>
  <c r="M174" i="44"/>
  <c r="S20" i="44"/>
  <c r="V20" i="44" s="1"/>
  <c r="L20" i="44"/>
  <c r="S115" i="44"/>
  <c r="V115" i="44" s="1"/>
  <c r="L115" i="44"/>
  <c r="S163" i="44"/>
  <c r="V163" i="44" s="1"/>
  <c r="L163" i="44"/>
  <c r="S226" i="44"/>
  <c r="V226" i="44" s="1"/>
  <c r="L226" i="44"/>
  <c r="L234" i="44"/>
  <c r="S234" i="44"/>
  <c r="V234" i="44" s="1"/>
  <c r="S242" i="44"/>
  <c r="V242" i="44" s="1"/>
  <c r="L242" i="44"/>
  <c r="L266" i="44"/>
  <c r="S266" i="44"/>
  <c r="V266" i="44" s="1"/>
  <c r="S112" i="44"/>
  <c r="V112" i="44" s="1"/>
  <c r="L112" i="44"/>
  <c r="S200" i="44"/>
  <c r="V200" i="44" s="1"/>
  <c r="L200" i="44"/>
  <c r="S279" i="44"/>
  <c r="V279" i="44" s="1"/>
  <c r="L279" i="44"/>
  <c r="S4" i="44"/>
  <c r="V4" i="44" s="1"/>
  <c r="L4" i="44"/>
  <c r="T272" i="44"/>
  <c r="W272" i="44" s="1"/>
  <c r="M272" i="44"/>
  <c r="S132" i="44"/>
  <c r="V132" i="44" s="1"/>
  <c r="L132" i="44"/>
  <c r="S196" i="44"/>
  <c r="V196" i="44" s="1"/>
  <c r="L196" i="44"/>
  <c r="S299" i="44"/>
  <c r="V299" i="44" s="1"/>
  <c r="L299" i="44"/>
  <c r="T4" i="44"/>
  <c r="W4" i="44" s="1"/>
  <c r="M4" i="44"/>
  <c r="S153" i="44"/>
  <c r="V153" i="44" s="1"/>
  <c r="L153" i="44"/>
  <c r="S185" i="44"/>
  <c r="V185" i="44" s="1"/>
  <c r="L185" i="44"/>
  <c r="S248" i="44"/>
  <c r="V248" i="44" s="1"/>
  <c r="L248" i="44"/>
  <c r="L272" i="44"/>
  <c r="S272" i="44"/>
  <c r="V272" i="44" s="1"/>
  <c r="L304" i="44"/>
  <c r="S304" i="44"/>
  <c r="V304" i="44" s="1"/>
  <c r="S7" i="44"/>
  <c r="V7" i="44" s="1"/>
  <c r="L7" i="44"/>
  <c r="S70" i="44"/>
  <c r="V70" i="44" s="1"/>
  <c r="L70" i="44"/>
  <c r="S86" i="44"/>
  <c r="V86" i="44" s="1"/>
  <c r="L86" i="44"/>
  <c r="L134" i="44"/>
  <c r="S134" i="44"/>
  <c r="V134" i="44" s="1"/>
  <c r="L174" i="44"/>
  <c r="S174" i="44"/>
  <c r="V174" i="44" s="1"/>
  <c r="T103" i="44"/>
  <c r="W103" i="44" s="1"/>
  <c r="M103" i="44"/>
  <c r="T119" i="44"/>
  <c r="W119" i="44" s="1"/>
  <c r="M119" i="44"/>
  <c r="T238" i="44"/>
  <c r="W238" i="44" s="1"/>
  <c r="M238" i="44"/>
  <c r="T254" i="44"/>
  <c r="W254" i="44" s="1"/>
  <c r="M254" i="44"/>
  <c r="T270" i="44"/>
  <c r="W270" i="44" s="1"/>
  <c r="M270" i="44"/>
  <c r="T286" i="44"/>
  <c r="W286" i="44" s="1"/>
  <c r="M286" i="44"/>
  <c r="T310" i="44"/>
  <c r="W310" i="44" s="1"/>
  <c r="M310" i="44"/>
  <c r="S85" i="44"/>
  <c r="V85" i="44" s="1"/>
  <c r="L85" i="44"/>
  <c r="M85" i="44"/>
  <c r="T85" i="44"/>
  <c r="W85" i="44" s="1"/>
  <c r="G5" i="42"/>
  <c r="H5" i="42"/>
  <c r="I5" i="42"/>
  <c r="J5" i="42"/>
  <c r="K5" i="42"/>
  <c r="L5" i="42"/>
  <c r="M5" i="42"/>
  <c r="N5" i="42"/>
  <c r="O5" i="42"/>
  <c r="P5" i="42"/>
  <c r="Q5" i="42"/>
  <c r="R5" i="42"/>
  <c r="S5" i="42"/>
  <c r="T5" i="42"/>
  <c r="G6" i="42"/>
  <c r="H6" i="42"/>
  <c r="I6" i="42"/>
  <c r="J6" i="42"/>
  <c r="K6" i="42"/>
  <c r="L6" i="42"/>
  <c r="M6" i="42"/>
  <c r="N6" i="42"/>
  <c r="O6" i="42"/>
  <c r="P6" i="42"/>
  <c r="Q6" i="42"/>
  <c r="R6" i="42"/>
  <c r="S6" i="42"/>
  <c r="T6" i="42"/>
  <c r="G7" i="42"/>
  <c r="H7" i="42"/>
  <c r="I7" i="42"/>
  <c r="J7" i="42"/>
  <c r="K7" i="42"/>
  <c r="L7" i="42"/>
  <c r="M7" i="42"/>
  <c r="N7" i="42"/>
  <c r="O7" i="42"/>
  <c r="P7" i="42"/>
  <c r="Q7" i="42"/>
  <c r="R7" i="42"/>
  <c r="S7" i="42"/>
  <c r="T7" i="42"/>
  <c r="G8" i="42"/>
  <c r="H8" i="42"/>
  <c r="I8" i="42"/>
  <c r="J8" i="42"/>
  <c r="K8" i="42"/>
  <c r="L8" i="42"/>
  <c r="M8" i="42"/>
  <c r="N8" i="42"/>
  <c r="O8" i="42"/>
  <c r="P8" i="42"/>
  <c r="Q8" i="42"/>
  <c r="R8" i="42"/>
  <c r="S8" i="42"/>
  <c r="T8" i="42"/>
  <c r="G9" i="42"/>
  <c r="H9" i="42"/>
  <c r="I9" i="42"/>
  <c r="J9" i="42"/>
  <c r="K9" i="42"/>
  <c r="L9" i="42"/>
  <c r="M9" i="42"/>
  <c r="N9" i="42"/>
  <c r="O9" i="42"/>
  <c r="P9" i="42"/>
  <c r="Q9" i="42"/>
  <c r="R9" i="42"/>
  <c r="S9" i="42"/>
  <c r="T9" i="42"/>
  <c r="G10" i="42"/>
  <c r="H10" i="42"/>
  <c r="I10" i="42"/>
  <c r="J10" i="42"/>
  <c r="K10" i="42"/>
  <c r="L10" i="42"/>
  <c r="M10" i="42"/>
  <c r="N10" i="42"/>
  <c r="O10" i="42"/>
  <c r="P10" i="42"/>
  <c r="Q10" i="42"/>
  <c r="R10" i="42"/>
  <c r="S10" i="42"/>
  <c r="T10" i="42"/>
  <c r="G11" i="42"/>
  <c r="H11" i="42"/>
  <c r="I11" i="42"/>
  <c r="J11" i="42"/>
  <c r="K11" i="42"/>
  <c r="L11" i="42"/>
  <c r="M11" i="42"/>
  <c r="N11" i="42"/>
  <c r="O11" i="42"/>
  <c r="P11" i="42"/>
  <c r="Q11" i="42"/>
  <c r="R11" i="42"/>
  <c r="S11" i="42"/>
  <c r="T11" i="42"/>
  <c r="G12" i="42"/>
  <c r="H12" i="42"/>
  <c r="I12" i="42"/>
  <c r="J12" i="42"/>
  <c r="K12" i="42"/>
  <c r="L12" i="42"/>
  <c r="M12" i="42"/>
  <c r="N12" i="42"/>
  <c r="O12" i="42"/>
  <c r="P12" i="42"/>
  <c r="Q12" i="42"/>
  <c r="R12" i="42"/>
  <c r="S12" i="42"/>
  <c r="T12" i="42"/>
  <c r="G13" i="42"/>
  <c r="H13" i="42"/>
  <c r="I13" i="42"/>
  <c r="J13" i="42"/>
  <c r="K13" i="42"/>
  <c r="L13" i="42"/>
  <c r="M13" i="42"/>
  <c r="N13" i="42"/>
  <c r="O13" i="42"/>
  <c r="P13" i="42"/>
  <c r="Q13" i="42"/>
  <c r="R13" i="42"/>
  <c r="S13" i="42"/>
  <c r="T13" i="42"/>
  <c r="G14" i="42"/>
  <c r="H14" i="42"/>
  <c r="I14" i="42"/>
  <c r="J14" i="42"/>
  <c r="K14" i="42"/>
  <c r="L14" i="42"/>
  <c r="M14" i="42"/>
  <c r="N14" i="42"/>
  <c r="O14" i="42"/>
  <c r="P14" i="42"/>
  <c r="Q14" i="42"/>
  <c r="R14" i="42"/>
  <c r="S14" i="42"/>
  <c r="T14" i="42"/>
  <c r="G15" i="42"/>
  <c r="H15" i="42"/>
  <c r="I15" i="42"/>
  <c r="J15" i="42"/>
  <c r="K15" i="42"/>
  <c r="L15" i="42"/>
  <c r="M15" i="42"/>
  <c r="N15" i="42"/>
  <c r="O15" i="42"/>
  <c r="P15" i="42"/>
  <c r="Q15" i="42"/>
  <c r="R15" i="42"/>
  <c r="S15" i="42"/>
  <c r="T15" i="42"/>
  <c r="G16" i="42"/>
  <c r="H16" i="42"/>
  <c r="I16" i="42"/>
  <c r="J16" i="42"/>
  <c r="K16" i="42"/>
  <c r="L16" i="42"/>
  <c r="M16" i="42"/>
  <c r="N16" i="42"/>
  <c r="O16" i="42"/>
  <c r="P16" i="42"/>
  <c r="Q16" i="42"/>
  <c r="R16" i="42"/>
  <c r="S16" i="42"/>
  <c r="T16" i="42"/>
  <c r="G17" i="42"/>
  <c r="H17" i="42"/>
  <c r="I17" i="42"/>
  <c r="J17" i="42"/>
  <c r="K17" i="42"/>
  <c r="L17" i="42"/>
  <c r="M17" i="42"/>
  <c r="N17" i="42"/>
  <c r="O17" i="42"/>
  <c r="P17" i="42"/>
  <c r="Q17" i="42"/>
  <c r="R17" i="42"/>
  <c r="S17" i="42"/>
  <c r="T17" i="42"/>
  <c r="G18" i="42"/>
  <c r="H18" i="42"/>
  <c r="I18" i="42"/>
  <c r="J18" i="42"/>
  <c r="K18" i="42"/>
  <c r="L18" i="42"/>
  <c r="M18" i="42"/>
  <c r="N18" i="42"/>
  <c r="O18" i="42"/>
  <c r="P18" i="42"/>
  <c r="Q18" i="42"/>
  <c r="R18" i="42"/>
  <c r="S18" i="42"/>
  <c r="T18" i="42"/>
  <c r="G19" i="42"/>
  <c r="H19" i="42"/>
  <c r="I19" i="42"/>
  <c r="J19" i="42"/>
  <c r="K19" i="42"/>
  <c r="L19" i="42"/>
  <c r="M19" i="42"/>
  <c r="N19" i="42"/>
  <c r="O19" i="42"/>
  <c r="P19" i="42"/>
  <c r="Q19" i="42"/>
  <c r="R19" i="42"/>
  <c r="S19" i="42"/>
  <c r="T19" i="42"/>
  <c r="G20" i="42"/>
  <c r="H20" i="42"/>
  <c r="I20" i="42"/>
  <c r="J20" i="42"/>
  <c r="K20" i="42"/>
  <c r="L20" i="42"/>
  <c r="M20" i="42"/>
  <c r="N20" i="42"/>
  <c r="O20" i="42"/>
  <c r="P20" i="42"/>
  <c r="Q20" i="42"/>
  <c r="R20" i="42"/>
  <c r="S20" i="42"/>
  <c r="T20" i="42"/>
  <c r="G21" i="42"/>
  <c r="H21" i="42"/>
  <c r="I21" i="42"/>
  <c r="J21" i="42"/>
  <c r="K21" i="42"/>
  <c r="L21" i="42"/>
  <c r="M21" i="42"/>
  <c r="N21" i="42"/>
  <c r="O21" i="42"/>
  <c r="P21" i="42"/>
  <c r="Q21" i="42"/>
  <c r="R21" i="42"/>
  <c r="S21" i="42"/>
  <c r="T21" i="42"/>
  <c r="G22" i="42"/>
  <c r="H22" i="42"/>
  <c r="I22" i="42"/>
  <c r="J22" i="42"/>
  <c r="K22" i="42"/>
  <c r="L22" i="42"/>
  <c r="M22" i="42"/>
  <c r="N22" i="42"/>
  <c r="O22" i="42"/>
  <c r="P22" i="42"/>
  <c r="Q22" i="42"/>
  <c r="R22" i="42"/>
  <c r="S22" i="42"/>
  <c r="T22" i="42"/>
  <c r="G23" i="42"/>
  <c r="H23" i="42"/>
  <c r="I23" i="42"/>
  <c r="J23" i="42"/>
  <c r="K23" i="42"/>
  <c r="L23" i="42"/>
  <c r="M23" i="42"/>
  <c r="N23" i="42"/>
  <c r="O23" i="42"/>
  <c r="P23" i="42"/>
  <c r="Q23" i="42"/>
  <c r="R23" i="42"/>
  <c r="S23" i="42"/>
  <c r="T23" i="42"/>
  <c r="G24" i="42"/>
  <c r="H24" i="42"/>
  <c r="I24" i="42"/>
  <c r="J24" i="42"/>
  <c r="K24" i="42"/>
  <c r="L24" i="42"/>
  <c r="M24" i="42"/>
  <c r="N24" i="42"/>
  <c r="O24" i="42"/>
  <c r="P24" i="42"/>
  <c r="Q24" i="42"/>
  <c r="R24" i="42"/>
  <c r="S24" i="42"/>
  <c r="T24" i="42"/>
  <c r="G25" i="42"/>
  <c r="H25" i="42"/>
  <c r="I25" i="42"/>
  <c r="J25" i="42"/>
  <c r="K25" i="42"/>
  <c r="L25" i="42"/>
  <c r="M25" i="42"/>
  <c r="N25" i="42"/>
  <c r="O25" i="42"/>
  <c r="P25" i="42"/>
  <c r="Q25" i="42"/>
  <c r="R25" i="42"/>
  <c r="S25" i="42"/>
  <c r="T25" i="42"/>
  <c r="G26" i="42"/>
  <c r="H26" i="42"/>
  <c r="I26" i="42"/>
  <c r="J26" i="42"/>
  <c r="K26" i="42"/>
  <c r="L26" i="42"/>
  <c r="M26" i="42"/>
  <c r="N26" i="42"/>
  <c r="O26" i="42"/>
  <c r="P26" i="42"/>
  <c r="Q26" i="42"/>
  <c r="R26" i="42"/>
  <c r="S26" i="42"/>
  <c r="T26" i="42"/>
  <c r="G27" i="42"/>
  <c r="H27" i="42"/>
  <c r="I27" i="42"/>
  <c r="J27" i="42"/>
  <c r="K27" i="42"/>
  <c r="L27" i="42"/>
  <c r="M27" i="42"/>
  <c r="N27" i="42"/>
  <c r="O27" i="42"/>
  <c r="P27" i="42"/>
  <c r="Q27" i="42"/>
  <c r="R27" i="42"/>
  <c r="S27" i="42"/>
  <c r="T27" i="42"/>
  <c r="G28" i="42"/>
  <c r="H28" i="42"/>
  <c r="I28" i="42"/>
  <c r="J28" i="42"/>
  <c r="K28" i="42"/>
  <c r="L28" i="42"/>
  <c r="M28" i="42"/>
  <c r="N28" i="42"/>
  <c r="O28" i="42"/>
  <c r="P28" i="42"/>
  <c r="Q28" i="42"/>
  <c r="R28" i="42"/>
  <c r="S28" i="42"/>
  <c r="T28" i="42"/>
  <c r="G29" i="42"/>
  <c r="H29" i="42"/>
  <c r="I29" i="42"/>
  <c r="J29" i="42"/>
  <c r="K29" i="42"/>
  <c r="L29" i="42"/>
  <c r="M29" i="42"/>
  <c r="N29" i="42"/>
  <c r="O29" i="42"/>
  <c r="P29" i="42"/>
  <c r="Q29" i="42"/>
  <c r="R29" i="42"/>
  <c r="S29" i="42"/>
  <c r="T29" i="42"/>
  <c r="G30" i="42"/>
  <c r="H30" i="42"/>
  <c r="I30" i="42"/>
  <c r="J30" i="42"/>
  <c r="K30" i="42"/>
  <c r="L30" i="42"/>
  <c r="M30" i="42"/>
  <c r="N30" i="42"/>
  <c r="O30" i="42"/>
  <c r="P30" i="42"/>
  <c r="Q30" i="42"/>
  <c r="R30" i="42"/>
  <c r="S30" i="42"/>
  <c r="T30" i="42"/>
  <c r="G31" i="42"/>
  <c r="H31" i="42"/>
  <c r="I31" i="42"/>
  <c r="J31" i="42"/>
  <c r="K31" i="42"/>
  <c r="L31" i="42"/>
  <c r="M31" i="42"/>
  <c r="N31" i="42"/>
  <c r="O31" i="42"/>
  <c r="P31" i="42"/>
  <c r="Q31" i="42"/>
  <c r="R31" i="42"/>
  <c r="S31" i="42"/>
  <c r="T31" i="42"/>
  <c r="G32" i="42"/>
  <c r="H32" i="42"/>
  <c r="I32" i="42"/>
  <c r="J32" i="42"/>
  <c r="K32" i="42"/>
  <c r="L32" i="42"/>
  <c r="M32" i="42"/>
  <c r="N32" i="42"/>
  <c r="O32" i="42"/>
  <c r="P32" i="42"/>
  <c r="Q32" i="42"/>
  <c r="R32" i="42"/>
  <c r="S32" i="42"/>
  <c r="T32" i="42"/>
  <c r="G33" i="42"/>
  <c r="H33" i="42"/>
  <c r="I33" i="42"/>
  <c r="J33" i="42"/>
  <c r="K33" i="42"/>
  <c r="L33" i="42"/>
  <c r="M33" i="42"/>
  <c r="N33" i="42"/>
  <c r="O33" i="42"/>
  <c r="P33" i="42"/>
  <c r="Q33" i="42"/>
  <c r="R33" i="42"/>
  <c r="S33" i="42"/>
  <c r="T33" i="42"/>
  <c r="G34" i="42"/>
  <c r="H34" i="42"/>
  <c r="I34" i="42"/>
  <c r="J34" i="42"/>
  <c r="K34" i="42"/>
  <c r="L34" i="42"/>
  <c r="M34" i="42"/>
  <c r="N34" i="42"/>
  <c r="O34" i="42"/>
  <c r="P34" i="42"/>
  <c r="Q34" i="42"/>
  <c r="R34" i="42"/>
  <c r="S34" i="42"/>
  <c r="T34" i="42"/>
  <c r="G35" i="42"/>
  <c r="H35" i="42"/>
  <c r="I35" i="42"/>
  <c r="J35" i="42"/>
  <c r="K35" i="42"/>
  <c r="L35" i="42"/>
  <c r="M35" i="42"/>
  <c r="N35" i="42"/>
  <c r="O35" i="42"/>
  <c r="P35" i="42"/>
  <c r="Q35" i="42"/>
  <c r="R35" i="42"/>
  <c r="S35" i="42"/>
  <c r="T35" i="42"/>
  <c r="G36" i="42"/>
  <c r="H36" i="42"/>
  <c r="I36" i="42"/>
  <c r="J36" i="42"/>
  <c r="K36" i="42"/>
  <c r="L36" i="42"/>
  <c r="M36" i="42"/>
  <c r="N36" i="42"/>
  <c r="O36" i="42"/>
  <c r="P36" i="42"/>
  <c r="Q36" i="42"/>
  <c r="R36" i="42"/>
  <c r="S36" i="42"/>
  <c r="T36" i="42"/>
  <c r="G37" i="42"/>
  <c r="H37" i="42"/>
  <c r="I37" i="42"/>
  <c r="J37" i="42"/>
  <c r="K37" i="42"/>
  <c r="L37" i="42"/>
  <c r="M37" i="42"/>
  <c r="N37" i="42"/>
  <c r="O37" i="42"/>
  <c r="P37" i="42"/>
  <c r="Q37" i="42"/>
  <c r="R37" i="42"/>
  <c r="S37" i="42"/>
  <c r="T37" i="42"/>
  <c r="G38" i="42"/>
  <c r="H38" i="42"/>
  <c r="I38" i="42"/>
  <c r="J38" i="42"/>
  <c r="K38" i="42"/>
  <c r="L38" i="42"/>
  <c r="M38" i="42"/>
  <c r="N38" i="42"/>
  <c r="O38" i="42"/>
  <c r="P38" i="42"/>
  <c r="Q38" i="42"/>
  <c r="R38" i="42"/>
  <c r="S38" i="42"/>
  <c r="T38" i="42"/>
  <c r="G39" i="42"/>
  <c r="H39" i="42"/>
  <c r="I39" i="42"/>
  <c r="J39" i="42"/>
  <c r="K39" i="42"/>
  <c r="L39" i="42"/>
  <c r="M39" i="42"/>
  <c r="N39" i="42"/>
  <c r="O39" i="42"/>
  <c r="P39" i="42"/>
  <c r="Q39" i="42"/>
  <c r="R39" i="42"/>
  <c r="S39" i="42"/>
  <c r="T39" i="42"/>
  <c r="G40" i="42"/>
  <c r="H40" i="42"/>
  <c r="I40" i="42"/>
  <c r="J40" i="42"/>
  <c r="K40" i="42"/>
  <c r="L40" i="42"/>
  <c r="M40" i="42"/>
  <c r="N40" i="42"/>
  <c r="O40" i="42"/>
  <c r="P40" i="42"/>
  <c r="Q40" i="42"/>
  <c r="R40" i="42"/>
  <c r="S40" i="42"/>
  <c r="T40" i="42"/>
  <c r="G41" i="42"/>
  <c r="H41" i="42"/>
  <c r="I41" i="42"/>
  <c r="J41" i="42"/>
  <c r="K41" i="42"/>
  <c r="L41" i="42"/>
  <c r="M41" i="42"/>
  <c r="N41" i="42"/>
  <c r="O41" i="42"/>
  <c r="P41" i="42"/>
  <c r="Q41" i="42"/>
  <c r="R41" i="42"/>
  <c r="S41" i="42"/>
  <c r="T41" i="42"/>
  <c r="G42" i="42"/>
  <c r="H42" i="42"/>
  <c r="I42" i="42"/>
  <c r="J42" i="42"/>
  <c r="K42" i="42"/>
  <c r="L42" i="42"/>
  <c r="M42" i="42"/>
  <c r="N42" i="42"/>
  <c r="O42" i="42"/>
  <c r="P42" i="42"/>
  <c r="Q42" i="42"/>
  <c r="R42" i="42"/>
  <c r="S42" i="42"/>
  <c r="T42" i="42"/>
  <c r="G43" i="42"/>
  <c r="H43" i="42"/>
  <c r="I43" i="42"/>
  <c r="J43" i="42"/>
  <c r="K43" i="42"/>
  <c r="L43" i="42"/>
  <c r="M43" i="42"/>
  <c r="N43" i="42"/>
  <c r="O43" i="42"/>
  <c r="P43" i="42"/>
  <c r="Q43" i="42"/>
  <c r="R43" i="42"/>
  <c r="S43" i="42"/>
  <c r="T43" i="42"/>
  <c r="G44" i="42"/>
  <c r="H44" i="42"/>
  <c r="I44" i="42"/>
  <c r="J44" i="42"/>
  <c r="K44" i="42"/>
  <c r="L44" i="42"/>
  <c r="M44" i="42"/>
  <c r="N44" i="42"/>
  <c r="O44" i="42"/>
  <c r="P44" i="42"/>
  <c r="Q44" i="42"/>
  <c r="R44" i="42"/>
  <c r="S44" i="42"/>
  <c r="T44" i="42"/>
  <c r="G45" i="42"/>
  <c r="H45" i="42"/>
  <c r="I45" i="42"/>
  <c r="J45" i="42"/>
  <c r="K45" i="42"/>
  <c r="L45" i="42"/>
  <c r="M45" i="42"/>
  <c r="N45" i="42"/>
  <c r="O45" i="42"/>
  <c r="P45" i="42"/>
  <c r="Q45" i="42"/>
  <c r="R45" i="42"/>
  <c r="S45" i="42"/>
  <c r="T45" i="42"/>
  <c r="G46" i="42"/>
  <c r="H46" i="42"/>
  <c r="I46" i="42"/>
  <c r="J46" i="42"/>
  <c r="K46" i="42"/>
  <c r="L46" i="42"/>
  <c r="M46" i="42"/>
  <c r="N46" i="42"/>
  <c r="O46" i="42"/>
  <c r="P46" i="42"/>
  <c r="Q46" i="42"/>
  <c r="R46" i="42"/>
  <c r="S46" i="42"/>
  <c r="T46" i="42"/>
  <c r="G47" i="42"/>
  <c r="H47" i="42"/>
  <c r="I47" i="42"/>
  <c r="J47" i="42"/>
  <c r="K47" i="42"/>
  <c r="L47" i="42"/>
  <c r="M47" i="42"/>
  <c r="N47" i="42"/>
  <c r="O47" i="42"/>
  <c r="P47" i="42"/>
  <c r="Q47" i="42"/>
  <c r="R47" i="42"/>
  <c r="S47" i="42"/>
  <c r="T47" i="42"/>
  <c r="G48" i="42"/>
  <c r="H48" i="42"/>
  <c r="I48" i="42"/>
  <c r="J48" i="42"/>
  <c r="K48" i="42"/>
  <c r="L48" i="42"/>
  <c r="M48" i="42"/>
  <c r="N48" i="42"/>
  <c r="O48" i="42"/>
  <c r="P48" i="42"/>
  <c r="Q48" i="42"/>
  <c r="R48" i="42"/>
  <c r="S48" i="42"/>
  <c r="T48" i="42"/>
  <c r="G49" i="42"/>
  <c r="H49" i="42"/>
  <c r="I49" i="42"/>
  <c r="J49" i="42"/>
  <c r="K49" i="42"/>
  <c r="L49" i="42"/>
  <c r="M49" i="42"/>
  <c r="N49" i="42"/>
  <c r="O49" i="42"/>
  <c r="P49" i="42"/>
  <c r="Q49" i="42"/>
  <c r="R49" i="42"/>
  <c r="S49" i="42"/>
  <c r="T49" i="42"/>
  <c r="G50" i="42"/>
  <c r="H50" i="42"/>
  <c r="I50" i="42"/>
  <c r="J50" i="42"/>
  <c r="K50" i="42"/>
  <c r="L50" i="42"/>
  <c r="M50" i="42"/>
  <c r="N50" i="42"/>
  <c r="O50" i="42"/>
  <c r="P50" i="42"/>
  <c r="Q50" i="42"/>
  <c r="R50" i="42"/>
  <c r="S50" i="42"/>
  <c r="T50" i="42"/>
  <c r="G51" i="42"/>
  <c r="H51" i="42"/>
  <c r="I51" i="42"/>
  <c r="J51" i="42"/>
  <c r="K51" i="42"/>
  <c r="L51" i="42"/>
  <c r="M51" i="42"/>
  <c r="N51" i="42"/>
  <c r="O51" i="42"/>
  <c r="P51" i="42"/>
  <c r="Q51" i="42"/>
  <c r="R51" i="42"/>
  <c r="S51" i="42"/>
  <c r="T51" i="42"/>
  <c r="G52" i="42"/>
  <c r="H52" i="42"/>
  <c r="I52" i="42"/>
  <c r="J52" i="42"/>
  <c r="K52" i="42"/>
  <c r="L52" i="42"/>
  <c r="M52" i="42"/>
  <c r="N52" i="42"/>
  <c r="O52" i="42"/>
  <c r="P52" i="42"/>
  <c r="Q52" i="42"/>
  <c r="R52" i="42"/>
  <c r="S52" i="42"/>
  <c r="T52" i="42"/>
  <c r="G53" i="42"/>
  <c r="H53" i="42"/>
  <c r="I53" i="42"/>
  <c r="J53" i="42"/>
  <c r="K53" i="42"/>
  <c r="L53" i="42"/>
  <c r="M53" i="42"/>
  <c r="N53" i="42"/>
  <c r="O53" i="42"/>
  <c r="P53" i="42"/>
  <c r="Q53" i="42"/>
  <c r="R53" i="42"/>
  <c r="S53" i="42"/>
  <c r="T53" i="42"/>
  <c r="G54" i="42"/>
  <c r="H54" i="42"/>
  <c r="I54" i="42"/>
  <c r="J54" i="42"/>
  <c r="K54" i="42"/>
  <c r="L54" i="42"/>
  <c r="M54" i="42"/>
  <c r="N54" i="42"/>
  <c r="O54" i="42"/>
  <c r="P54" i="42"/>
  <c r="Q54" i="42"/>
  <c r="R54" i="42"/>
  <c r="S54" i="42"/>
  <c r="T54" i="42"/>
  <c r="G55" i="42"/>
  <c r="H55" i="42"/>
  <c r="I55" i="42"/>
  <c r="J55" i="42"/>
  <c r="K55" i="42"/>
  <c r="L55" i="42"/>
  <c r="M55" i="42"/>
  <c r="N55" i="42"/>
  <c r="O55" i="42"/>
  <c r="P55" i="42"/>
  <c r="Q55" i="42"/>
  <c r="R55" i="42"/>
  <c r="S55" i="42"/>
  <c r="T55" i="42"/>
  <c r="G56" i="42"/>
  <c r="H56" i="42"/>
  <c r="I56" i="42"/>
  <c r="J56" i="42"/>
  <c r="K56" i="42"/>
  <c r="L56" i="42"/>
  <c r="M56" i="42"/>
  <c r="N56" i="42"/>
  <c r="O56" i="42"/>
  <c r="P56" i="42"/>
  <c r="Q56" i="42"/>
  <c r="R56" i="42"/>
  <c r="S56" i="42"/>
  <c r="T56" i="42"/>
  <c r="G57" i="42"/>
  <c r="H57" i="42"/>
  <c r="I57" i="42"/>
  <c r="J57" i="42"/>
  <c r="K57" i="42"/>
  <c r="L57" i="42"/>
  <c r="M57" i="42"/>
  <c r="N57" i="42"/>
  <c r="O57" i="42"/>
  <c r="P57" i="42"/>
  <c r="Q57" i="42"/>
  <c r="R57" i="42"/>
  <c r="S57" i="42"/>
  <c r="T57" i="42"/>
  <c r="G58" i="42"/>
  <c r="H58" i="42"/>
  <c r="I58" i="42"/>
  <c r="J58" i="42"/>
  <c r="K58" i="42"/>
  <c r="L58" i="42"/>
  <c r="M58" i="42"/>
  <c r="N58" i="42"/>
  <c r="O58" i="42"/>
  <c r="P58" i="42"/>
  <c r="Q58" i="42"/>
  <c r="R58" i="42"/>
  <c r="S58" i="42"/>
  <c r="T58" i="42"/>
  <c r="G59" i="42"/>
  <c r="H59" i="42"/>
  <c r="I59" i="42"/>
  <c r="J59" i="42"/>
  <c r="K59" i="42"/>
  <c r="L59" i="42"/>
  <c r="M59" i="42"/>
  <c r="N59" i="42"/>
  <c r="O59" i="42"/>
  <c r="P59" i="42"/>
  <c r="Q59" i="42"/>
  <c r="R59" i="42"/>
  <c r="S59" i="42"/>
  <c r="T59" i="42"/>
  <c r="G60" i="42"/>
  <c r="H60" i="42"/>
  <c r="I60" i="42"/>
  <c r="J60" i="42"/>
  <c r="K60" i="42"/>
  <c r="L60" i="42"/>
  <c r="M60" i="42"/>
  <c r="N60" i="42"/>
  <c r="O60" i="42"/>
  <c r="P60" i="42"/>
  <c r="Q60" i="42"/>
  <c r="R60" i="42"/>
  <c r="S60" i="42"/>
  <c r="T60" i="42"/>
  <c r="G61" i="42"/>
  <c r="H61" i="42"/>
  <c r="I61" i="42"/>
  <c r="J61" i="42"/>
  <c r="K61" i="42"/>
  <c r="L61" i="42"/>
  <c r="M61" i="42"/>
  <c r="N61" i="42"/>
  <c r="O61" i="42"/>
  <c r="P61" i="42"/>
  <c r="Q61" i="42"/>
  <c r="R61" i="42"/>
  <c r="S61" i="42"/>
  <c r="T61" i="42"/>
  <c r="G62" i="42"/>
  <c r="H62" i="42"/>
  <c r="I62" i="42"/>
  <c r="J62" i="42"/>
  <c r="K62" i="42"/>
  <c r="L62" i="42"/>
  <c r="M62" i="42"/>
  <c r="N62" i="42"/>
  <c r="O62" i="42"/>
  <c r="P62" i="42"/>
  <c r="Q62" i="42"/>
  <c r="R62" i="42"/>
  <c r="S62" i="42"/>
  <c r="T62" i="42"/>
  <c r="G63" i="42"/>
  <c r="H63" i="42"/>
  <c r="I63" i="42"/>
  <c r="J63" i="42"/>
  <c r="K63" i="42"/>
  <c r="L63" i="42"/>
  <c r="M63" i="42"/>
  <c r="N63" i="42"/>
  <c r="O63" i="42"/>
  <c r="P63" i="42"/>
  <c r="Q63" i="42"/>
  <c r="R63" i="42"/>
  <c r="S63" i="42"/>
  <c r="T63" i="42"/>
  <c r="G64" i="42"/>
  <c r="H64" i="42"/>
  <c r="I64" i="42"/>
  <c r="J64" i="42"/>
  <c r="K64" i="42"/>
  <c r="L64" i="42"/>
  <c r="M64" i="42"/>
  <c r="N64" i="42"/>
  <c r="O64" i="42"/>
  <c r="P64" i="42"/>
  <c r="Q64" i="42"/>
  <c r="R64" i="42"/>
  <c r="S64" i="42"/>
  <c r="T64" i="42"/>
  <c r="G65" i="42"/>
  <c r="H65" i="42"/>
  <c r="I65" i="42"/>
  <c r="J65" i="42"/>
  <c r="K65" i="42"/>
  <c r="L65" i="42"/>
  <c r="M65" i="42"/>
  <c r="N65" i="42"/>
  <c r="O65" i="42"/>
  <c r="P65" i="42"/>
  <c r="Q65" i="42"/>
  <c r="R65" i="42"/>
  <c r="S65" i="42"/>
  <c r="T65" i="42"/>
  <c r="G66" i="42"/>
  <c r="H66" i="42"/>
  <c r="I66" i="42"/>
  <c r="J66" i="42"/>
  <c r="K66" i="42"/>
  <c r="L66" i="42"/>
  <c r="M66" i="42"/>
  <c r="N66" i="42"/>
  <c r="O66" i="42"/>
  <c r="P66" i="42"/>
  <c r="Q66" i="42"/>
  <c r="R66" i="42"/>
  <c r="S66" i="42"/>
  <c r="T66" i="42"/>
  <c r="G67" i="42"/>
  <c r="H67" i="42"/>
  <c r="I67" i="42"/>
  <c r="J67" i="42"/>
  <c r="K67" i="42"/>
  <c r="L67" i="42"/>
  <c r="M67" i="42"/>
  <c r="N67" i="42"/>
  <c r="O67" i="42"/>
  <c r="P67" i="42"/>
  <c r="Q67" i="42"/>
  <c r="R67" i="42"/>
  <c r="S67" i="42"/>
  <c r="T67" i="42"/>
  <c r="G68" i="42"/>
  <c r="H68" i="42"/>
  <c r="I68" i="42"/>
  <c r="J68" i="42"/>
  <c r="K68" i="42"/>
  <c r="L68" i="42"/>
  <c r="M68" i="42"/>
  <c r="N68" i="42"/>
  <c r="O68" i="42"/>
  <c r="P68" i="42"/>
  <c r="Q68" i="42"/>
  <c r="R68" i="42"/>
  <c r="S68" i="42"/>
  <c r="T68" i="42"/>
  <c r="G69" i="42"/>
  <c r="H69" i="42"/>
  <c r="I69" i="42"/>
  <c r="J69" i="42"/>
  <c r="K69" i="42"/>
  <c r="L69" i="42"/>
  <c r="M69" i="42"/>
  <c r="N69" i="42"/>
  <c r="O69" i="42"/>
  <c r="P69" i="42"/>
  <c r="Q69" i="42"/>
  <c r="R69" i="42"/>
  <c r="S69" i="42"/>
  <c r="T69" i="42"/>
  <c r="G70" i="42"/>
  <c r="H70" i="42"/>
  <c r="I70" i="42"/>
  <c r="J70" i="42"/>
  <c r="K70" i="42"/>
  <c r="L70" i="42"/>
  <c r="M70" i="42"/>
  <c r="N70" i="42"/>
  <c r="O70" i="42"/>
  <c r="P70" i="42"/>
  <c r="Q70" i="42"/>
  <c r="R70" i="42"/>
  <c r="S70" i="42"/>
  <c r="T70" i="42"/>
  <c r="G71" i="42"/>
  <c r="H71" i="42"/>
  <c r="I71" i="42"/>
  <c r="J71" i="42"/>
  <c r="K71" i="42"/>
  <c r="L71" i="42"/>
  <c r="M71" i="42"/>
  <c r="N71" i="42"/>
  <c r="O71" i="42"/>
  <c r="P71" i="42"/>
  <c r="Q71" i="42"/>
  <c r="R71" i="42"/>
  <c r="S71" i="42"/>
  <c r="T71" i="42"/>
  <c r="G72" i="42"/>
  <c r="H72" i="42"/>
  <c r="I72" i="42"/>
  <c r="J72" i="42"/>
  <c r="K72" i="42"/>
  <c r="L72" i="42"/>
  <c r="M72" i="42"/>
  <c r="N72" i="42"/>
  <c r="O72" i="42"/>
  <c r="P72" i="42"/>
  <c r="Q72" i="42"/>
  <c r="R72" i="42"/>
  <c r="S72" i="42"/>
  <c r="T72" i="42"/>
  <c r="G73" i="42"/>
  <c r="H73" i="42"/>
  <c r="I73" i="42"/>
  <c r="J73" i="42"/>
  <c r="K73" i="42"/>
  <c r="L73" i="42"/>
  <c r="M73" i="42"/>
  <c r="N73" i="42"/>
  <c r="O73" i="42"/>
  <c r="P73" i="42"/>
  <c r="Q73" i="42"/>
  <c r="R73" i="42"/>
  <c r="S73" i="42"/>
  <c r="T73" i="42"/>
  <c r="G74" i="42"/>
  <c r="H74" i="42"/>
  <c r="I74" i="42"/>
  <c r="J74" i="42"/>
  <c r="K74" i="42"/>
  <c r="L74" i="42"/>
  <c r="M74" i="42"/>
  <c r="N74" i="42"/>
  <c r="O74" i="42"/>
  <c r="P74" i="42"/>
  <c r="Q74" i="42"/>
  <c r="R74" i="42"/>
  <c r="S74" i="42"/>
  <c r="T74" i="42"/>
  <c r="G75" i="42"/>
  <c r="H75" i="42"/>
  <c r="I75" i="42"/>
  <c r="J75" i="42"/>
  <c r="K75" i="42"/>
  <c r="L75" i="42"/>
  <c r="M75" i="42"/>
  <c r="N75" i="42"/>
  <c r="O75" i="42"/>
  <c r="P75" i="42"/>
  <c r="Q75" i="42"/>
  <c r="R75" i="42"/>
  <c r="S75" i="42"/>
  <c r="T75" i="42"/>
  <c r="G76" i="42"/>
  <c r="H76" i="42"/>
  <c r="I76" i="42"/>
  <c r="J76" i="42"/>
  <c r="K76" i="42"/>
  <c r="L76" i="42"/>
  <c r="M76" i="42"/>
  <c r="N76" i="42"/>
  <c r="O76" i="42"/>
  <c r="P76" i="42"/>
  <c r="Q76" i="42"/>
  <c r="R76" i="42"/>
  <c r="S76" i="42"/>
  <c r="T76" i="42"/>
  <c r="G77" i="42"/>
  <c r="H77" i="42"/>
  <c r="I77" i="42"/>
  <c r="J77" i="42"/>
  <c r="K77" i="42"/>
  <c r="L77" i="42"/>
  <c r="M77" i="42"/>
  <c r="N77" i="42"/>
  <c r="O77" i="42"/>
  <c r="P77" i="42"/>
  <c r="Q77" i="42"/>
  <c r="R77" i="42"/>
  <c r="S77" i="42"/>
  <c r="T77" i="42"/>
  <c r="G78" i="42"/>
  <c r="H78" i="42"/>
  <c r="I78" i="42"/>
  <c r="J78" i="42"/>
  <c r="K78" i="42"/>
  <c r="L78" i="42"/>
  <c r="M78" i="42"/>
  <c r="N78" i="42"/>
  <c r="O78" i="42"/>
  <c r="P78" i="42"/>
  <c r="Q78" i="42"/>
  <c r="R78" i="42"/>
  <c r="S78" i="42"/>
  <c r="T78" i="42"/>
  <c r="G79" i="42"/>
  <c r="H79" i="42"/>
  <c r="I79" i="42"/>
  <c r="J79" i="42"/>
  <c r="K79" i="42"/>
  <c r="L79" i="42"/>
  <c r="M79" i="42"/>
  <c r="N79" i="42"/>
  <c r="O79" i="42"/>
  <c r="P79" i="42"/>
  <c r="Q79" i="42"/>
  <c r="R79" i="42"/>
  <c r="S79" i="42"/>
  <c r="T79" i="42"/>
  <c r="G80" i="42"/>
  <c r="H80" i="42"/>
  <c r="I80" i="42"/>
  <c r="J80" i="42"/>
  <c r="K80" i="42"/>
  <c r="L80" i="42"/>
  <c r="M80" i="42"/>
  <c r="N80" i="42"/>
  <c r="O80" i="42"/>
  <c r="P80" i="42"/>
  <c r="Q80" i="42"/>
  <c r="R80" i="42"/>
  <c r="S80" i="42"/>
  <c r="T80" i="42"/>
  <c r="G81" i="42"/>
  <c r="H81" i="42"/>
  <c r="I81" i="42"/>
  <c r="J81" i="42"/>
  <c r="K81" i="42"/>
  <c r="L81" i="42"/>
  <c r="M81" i="42"/>
  <c r="N81" i="42"/>
  <c r="O81" i="42"/>
  <c r="P81" i="42"/>
  <c r="Q81" i="42"/>
  <c r="R81" i="42"/>
  <c r="S81" i="42"/>
  <c r="T81" i="42"/>
  <c r="G82" i="42"/>
  <c r="H82" i="42"/>
  <c r="I82" i="42"/>
  <c r="J82" i="42"/>
  <c r="K82" i="42"/>
  <c r="L82" i="42"/>
  <c r="M82" i="42"/>
  <c r="N82" i="42"/>
  <c r="O82" i="42"/>
  <c r="P82" i="42"/>
  <c r="Q82" i="42"/>
  <c r="R82" i="42"/>
  <c r="S82" i="42"/>
  <c r="T82" i="42"/>
  <c r="G83" i="42"/>
  <c r="H83" i="42"/>
  <c r="I83" i="42"/>
  <c r="J83" i="42"/>
  <c r="K83" i="42"/>
  <c r="L83" i="42"/>
  <c r="M83" i="42"/>
  <c r="N83" i="42"/>
  <c r="O83" i="42"/>
  <c r="P83" i="42"/>
  <c r="Q83" i="42"/>
  <c r="R83" i="42"/>
  <c r="S83" i="42"/>
  <c r="T83" i="42"/>
  <c r="G84" i="42"/>
  <c r="H84" i="42"/>
  <c r="I84" i="42"/>
  <c r="J84" i="42"/>
  <c r="K84" i="42"/>
  <c r="L84" i="42"/>
  <c r="M84" i="42"/>
  <c r="N84" i="42"/>
  <c r="O84" i="42"/>
  <c r="P84" i="42"/>
  <c r="Q84" i="42"/>
  <c r="R84" i="42"/>
  <c r="S84" i="42"/>
  <c r="T84" i="42"/>
  <c r="G85" i="42"/>
  <c r="H85" i="42"/>
  <c r="I85" i="42"/>
  <c r="J85" i="42"/>
  <c r="K85" i="42"/>
  <c r="L85" i="42"/>
  <c r="M85" i="42"/>
  <c r="N85" i="42"/>
  <c r="O85" i="42"/>
  <c r="P85" i="42"/>
  <c r="Q85" i="42"/>
  <c r="R85" i="42"/>
  <c r="S85" i="42"/>
  <c r="T85" i="42"/>
  <c r="G86" i="42"/>
  <c r="H86" i="42"/>
  <c r="I86" i="42"/>
  <c r="J86" i="42"/>
  <c r="K86" i="42"/>
  <c r="L86" i="42"/>
  <c r="M86" i="42"/>
  <c r="N86" i="42"/>
  <c r="O86" i="42"/>
  <c r="P86" i="42"/>
  <c r="Q86" i="42"/>
  <c r="R86" i="42"/>
  <c r="S86" i="42"/>
  <c r="T86" i="42"/>
  <c r="G87" i="42"/>
  <c r="H87" i="42"/>
  <c r="I87" i="42"/>
  <c r="J87" i="42"/>
  <c r="K87" i="42"/>
  <c r="L87" i="42"/>
  <c r="M87" i="42"/>
  <c r="N87" i="42"/>
  <c r="O87" i="42"/>
  <c r="P87" i="42"/>
  <c r="Q87" i="42"/>
  <c r="R87" i="42"/>
  <c r="S87" i="42"/>
  <c r="T87" i="42"/>
  <c r="G88" i="42"/>
  <c r="H88" i="42"/>
  <c r="I88" i="42"/>
  <c r="J88" i="42"/>
  <c r="K88" i="42"/>
  <c r="L88" i="42"/>
  <c r="M88" i="42"/>
  <c r="N88" i="42"/>
  <c r="O88" i="42"/>
  <c r="P88" i="42"/>
  <c r="Q88" i="42"/>
  <c r="R88" i="42"/>
  <c r="S88" i="42"/>
  <c r="T88" i="42"/>
  <c r="G89" i="42"/>
  <c r="H89" i="42"/>
  <c r="I89" i="42"/>
  <c r="J89" i="42"/>
  <c r="K89" i="42"/>
  <c r="L89" i="42"/>
  <c r="M89" i="42"/>
  <c r="N89" i="42"/>
  <c r="O89" i="42"/>
  <c r="P89" i="42"/>
  <c r="Q89" i="42"/>
  <c r="R89" i="42"/>
  <c r="S89" i="42"/>
  <c r="T89" i="42"/>
  <c r="G90" i="42"/>
  <c r="H90" i="42"/>
  <c r="I90" i="42"/>
  <c r="J90" i="42"/>
  <c r="K90" i="42"/>
  <c r="L90" i="42"/>
  <c r="M90" i="42"/>
  <c r="N90" i="42"/>
  <c r="O90" i="42"/>
  <c r="P90" i="42"/>
  <c r="Q90" i="42"/>
  <c r="R90" i="42"/>
  <c r="S90" i="42"/>
  <c r="T90" i="42"/>
  <c r="G91" i="42"/>
  <c r="H91" i="42"/>
  <c r="I91" i="42"/>
  <c r="J91" i="42"/>
  <c r="K91" i="42"/>
  <c r="L91" i="42"/>
  <c r="M91" i="42"/>
  <c r="N91" i="42"/>
  <c r="O91" i="42"/>
  <c r="P91" i="42"/>
  <c r="Q91" i="42"/>
  <c r="R91" i="42"/>
  <c r="S91" i="42"/>
  <c r="T91" i="42"/>
  <c r="G92" i="42"/>
  <c r="H92" i="42"/>
  <c r="I92" i="42"/>
  <c r="J92" i="42"/>
  <c r="K92" i="42"/>
  <c r="L92" i="42"/>
  <c r="M92" i="42"/>
  <c r="N92" i="42"/>
  <c r="O92" i="42"/>
  <c r="P92" i="42"/>
  <c r="Q92" i="42"/>
  <c r="R92" i="42"/>
  <c r="S92" i="42"/>
  <c r="T92" i="42"/>
  <c r="G93" i="42"/>
  <c r="H93" i="42"/>
  <c r="I93" i="42"/>
  <c r="J93" i="42"/>
  <c r="K93" i="42"/>
  <c r="L93" i="42"/>
  <c r="M93" i="42"/>
  <c r="N93" i="42"/>
  <c r="O93" i="42"/>
  <c r="P93" i="42"/>
  <c r="Q93" i="42"/>
  <c r="R93" i="42"/>
  <c r="S93" i="42"/>
  <c r="T93" i="42"/>
  <c r="G94" i="42"/>
  <c r="H94" i="42"/>
  <c r="I94" i="42"/>
  <c r="J94" i="42"/>
  <c r="K94" i="42"/>
  <c r="L94" i="42"/>
  <c r="M94" i="42"/>
  <c r="N94" i="42"/>
  <c r="O94" i="42"/>
  <c r="P94" i="42"/>
  <c r="Q94" i="42"/>
  <c r="R94" i="42"/>
  <c r="S94" i="42"/>
  <c r="T94" i="42"/>
  <c r="G95" i="42"/>
  <c r="H95" i="42"/>
  <c r="I95" i="42"/>
  <c r="J95" i="42"/>
  <c r="K95" i="42"/>
  <c r="L95" i="42"/>
  <c r="M95" i="42"/>
  <c r="N95" i="42"/>
  <c r="O95" i="42"/>
  <c r="P95" i="42"/>
  <c r="Q95" i="42"/>
  <c r="R95" i="42"/>
  <c r="S95" i="42"/>
  <c r="T95" i="42"/>
  <c r="G96" i="42"/>
  <c r="H96" i="42"/>
  <c r="I96" i="42"/>
  <c r="J96" i="42"/>
  <c r="K96" i="42"/>
  <c r="L96" i="42"/>
  <c r="M96" i="42"/>
  <c r="N96" i="42"/>
  <c r="O96" i="42"/>
  <c r="P96" i="42"/>
  <c r="Q96" i="42"/>
  <c r="R96" i="42"/>
  <c r="S96" i="42"/>
  <c r="T96" i="42"/>
  <c r="G97" i="42"/>
  <c r="H97" i="42"/>
  <c r="I97" i="42"/>
  <c r="J97" i="42"/>
  <c r="K97" i="42"/>
  <c r="L97" i="42"/>
  <c r="M97" i="42"/>
  <c r="N97" i="42"/>
  <c r="O97" i="42"/>
  <c r="P97" i="42"/>
  <c r="Q97" i="42"/>
  <c r="R97" i="42"/>
  <c r="S97" i="42"/>
  <c r="T97" i="42"/>
  <c r="G98" i="42"/>
  <c r="H98" i="42"/>
  <c r="I98" i="42"/>
  <c r="J98" i="42"/>
  <c r="K98" i="42"/>
  <c r="L98" i="42"/>
  <c r="M98" i="42"/>
  <c r="N98" i="42"/>
  <c r="O98" i="42"/>
  <c r="P98" i="42"/>
  <c r="Q98" i="42"/>
  <c r="R98" i="42"/>
  <c r="S98" i="42"/>
  <c r="T98" i="42"/>
  <c r="G99" i="42"/>
  <c r="H99" i="42"/>
  <c r="I99" i="42"/>
  <c r="J99" i="42"/>
  <c r="K99" i="42"/>
  <c r="L99" i="42"/>
  <c r="M99" i="42"/>
  <c r="N99" i="42"/>
  <c r="O99" i="42"/>
  <c r="P99" i="42"/>
  <c r="Q99" i="42"/>
  <c r="R99" i="42"/>
  <c r="S99" i="42"/>
  <c r="T99" i="42"/>
  <c r="G100" i="42"/>
  <c r="H100" i="42"/>
  <c r="I100" i="42"/>
  <c r="J100" i="42"/>
  <c r="K100" i="42"/>
  <c r="L100" i="42"/>
  <c r="M100" i="42"/>
  <c r="N100" i="42"/>
  <c r="O100" i="42"/>
  <c r="P100" i="42"/>
  <c r="Q100" i="42"/>
  <c r="R100" i="42"/>
  <c r="S100" i="42"/>
  <c r="T100" i="42"/>
  <c r="G101" i="42"/>
  <c r="H101" i="42"/>
  <c r="I101" i="42"/>
  <c r="J101" i="42"/>
  <c r="K101" i="42"/>
  <c r="L101" i="42"/>
  <c r="M101" i="42"/>
  <c r="N101" i="42"/>
  <c r="O101" i="42"/>
  <c r="P101" i="42"/>
  <c r="Q101" i="42"/>
  <c r="R101" i="42"/>
  <c r="S101" i="42"/>
  <c r="T101" i="42"/>
  <c r="G102" i="42"/>
  <c r="H102" i="42"/>
  <c r="I102" i="42"/>
  <c r="J102" i="42"/>
  <c r="K102" i="42"/>
  <c r="L102" i="42"/>
  <c r="M102" i="42"/>
  <c r="N102" i="42"/>
  <c r="O102" i="42"/>
  <c r="P102" i="42"/>
  <c r="Q102" i="42"/>
  <c r="R102" i="42"/>
  <c r="S102" i="42"/>
  <c r="T102" i="42"/>
  <c r="G103" i="42"/>
  <c r="H103" i="42"/>
  <c r="I103" i="42"/>
  <c r="J103" i="42"/>
  <c r="K103" i="42"/>
  <c r="L103" i="42"/>
  <c r="M103" i="42"/>
  <c r="N103" i="42"/>
  <c r="O103" i="42"/>
  <c r="P103" i="42"/>
  <c r="Q103" i="42"/>
  <c r="R103" i="42"/>
  <c r="S103" i="42"/>
  <c r="T103" i="42"/>
  <c r="G104" i="42"/>
  <c r="H104" i="42"/>
  <c r="I104" i="42"/>
  <c r="J104" i="42"/>
  <c r="K104" i="42"/>
  <c r="L104" i="42"/>
  <c r="M104" i="42"/>
  <c r="N104" i="42"/>
  <c r="O104" i="42"/>
  <c r="P104" i="42"/>
  <c r="Q104" i="42"/>
  <c r="R104" i="42"/>
  <c r="S104" i="42"/>
  <c r="T104" i="42"/>
  <c r="G105" i="42"/>
  <c r="H105" i="42"/>
  <c r="I105" i="42"/>
  <c r="J105" i="42"/>
  <c r="K105" i="42"/>
  <c r="L105" i="42"/>
  <c r="M105" i="42"/>
  <c r="N105" i="42"/>
  <c r="O105" i="42"/>
  <c r="P105" i="42"/>
  <c r="Q105" i="42"/>
  <c r="R105" i="42"/>
  <c r="S105" i="42"/>
  <c r="T105" i="42"/>
  <c r="G106" i="42"/>
  <c r="H106" i="42"/>
  <c r="I106" i="42"/>
  <c r="J106" i="42"/>
  <c r="K106" i="42"/>
  <c r="L106" i="42"/>
  <c r="M106" i="42"/>
  <c r="N106" i="42"/>
  <c r="O106" i="42"/>
  <c r="P106" i="42"/>
  <c r="Q106" i="42"/>
  <c r="R106" i="42"/>
  <c r="S106" i="42"/>
  <c r="T106" i="42"/>
  <c r="G107" i="42"/>
  <c r="H107" i="42"/>
  <c r="I107" i="42"/>
  <c r="J107" i="42"/>
  <c r="K107" i="42"/>
  <c r="L107" i="42"/>
  <c r="M107" i="42"/>
  <c r="N107" i="42"/>
  <c r="O107" i="42"/>
  <c r="P107" i="42"/>
  <c r="Q107" i="42"/>
  <c r="R107" i="42"/>
  <c r="S107" i="42"/>
  <c r="T107" i="42"/>
  <c r="G108" i="42"/>
  <c r="H108" i="42"/>
  <c r="I108" i="42"/>
  <c r="J108" i="42"/>
  <c r="K108" i="42"/>
  <c r="L108" i="42"/>
  <c r="M108" i="42"/>
  <c r="N108" i="42"/>
  <c r="O108" i="42"/>
  <c r="P108" i="42"/>
  <c r="Q108" i="42"/>
  <c r="R108" i="42"/>
  <c r="S108" i="42"/>
  <c r="T108" i="42"/>
  <c r="G109" i="42"/>
  <c r="H109" i="42"/>
  <c r="I109" i="42"/>
  <c r="J109" i="42"/>
  <c r="K109" i="42"/>
  <c r="L109" i="42"/>
  <c r="M109" i="42"/>
  <c r="N109" i="42"/>
  <c r="O109" i="42"/>
  <c r="P109" i="42"/>
  <c r="Q109" i="42"/>
  <c r="R109" i="42"/>
  <c r="S109" i="42"/>
  <c r="T109" i="42"/>
  <c r="G110" i="42"/>
  <c r="H110" i="42"/>
  <c r="I110" i="42"/>
  <c r="J110" i="42"/>
  <c r="K110" i="42"/>
  <c r="L110" i="42"/>
  <c r="M110" i="42"/>
  <c r="N110" i="42"/>
  <c r="O110" i="42"/>
  <c r="P110" i="42"/>
  <c r="Q110" i="42"/>
  <c r="R110" i="42"/>
  <c r="S110" i="42"/>
  <c r="T110" i="42"/>
  <c r="G111" i="42"/>
  <c r="H111" i="42"/>
  <c r="I111" i="42"/>
  <c r="J111" i="42"/>
  <c r="K111" i="42"/>
  <c r="L111" i="42"/>
  <c r="M111" i="42"/>
  <c r="N111" i="42"/>
  <c r="O111" i="42"/>
  <c r="P111" i="42"/>
  <c r="Q111" i="42"/>
  <c r="R111" i="42"/>
  <c r="S111" i="42"/>
  <c r="T111" i="42"/>
  <c r="G112" i="42"/>
  <c r="H112" i="42"/>
  <c r="I112" i="42"/>
  <c r="J112" i="42"/>
  <c r="K112" i="42"/>
  <c r="L112" i="42"/>
  <c r="M112" i="42"/>
  <c r="N112" i="42"/>
  <c r="O112" i="42"/>
  <c r="P112" i="42"/>
  <c r="Q112" i="42"/>
  <c r="R112" i="42"/>
  <c r="S112" i="42"/>
  <c r="T112" i="42"/>
  <c r="G113" i="42"/>
  <c r="H113" i="42"/>
  <c r="I113" i="42"/>
  <c r="J113" i="42"/>
  <c r="K113" i="42"/>
  <c r="L113" i="42"/>
  <c r="M113" i="42"/>
  <c r="N113" i="42"/>
  <c r="O113" i="42"/>
  <c r="P113" i="42"/>
  <c r="Q113" i="42"/>
  <c r="R113" i="42"/>
  <c r="S113" i="42"/>
  <c r="T113" i="42"/>
  <c r="G114" i="42"/>
  <c r="H114" i="42"/>
  <c r="I114" i="42"/>
  <c r="J114" i="42"/>
  <c r="K114" i="42"/>
  <c r="L114" i="42"/>
  <c r="M114" i="42"/>
  <c r="N114" i="42"/>
  <c r="O114" i="42"/>
  <c r="P114" i="42"/>
  <c r="Q114" i="42"/>
  <c r="R114" i="42"/>
  <c r="S114" i="42"/>
  <c r="T114" i="42"/>
  <c r="G115" i="42"/>
  <c r="H115" i="42"/>
  <c r="I115" i="42"/>
  <c r="J115" i="42"/>
  <c r="K115" i="42"/>
  <c r="L115" i="42"/>
  <c r="M115" i="42"/>
  <c r="N115" i="42"/>
  <c r="O115" i="42"/>
  <c r="P115" i="42"/>
  <c r="Q115" i="42"/>
  <c r="R115" i="42"/>
  <c r="S115" i="42"/>
  <c r="T115" i="42"/>
  <c r="G116" i="42"/>
  <c r="H116" i="42"/>
  <c r="I116" i="42"/>
  <c r="J116" i="42"/>
  <c r="K116" i="42"/>
  <c r="L116" i="42"/>
  <c r="M116" i="42"/>
  <c r="N116" i="42"/>
  <c r="O116" i="42"/>
  <c r="P116" i="42"/>
  <c r="Q116" i="42"/>
  <c r="R116" i="42"/>
  <c r="S116" i="42"/>
  <c r="T116" i="42"/>
  <c r="G117" i="42"/>
  <c r="H117" i="42"/>
  <c r="I117" i="42"/>
  <c r="J117" i="42"/>
  <c r="K117" i="42"/>
  <c r="L117" i="42"/>
  <c r="M117" i="42"/>
  <c r="N117" i="42"/>
  <c r="O117" i="42"/>
  <c r="P117" i="42"/>
  <c r="Q117" i="42"/>
  <c r="R117" i="42"/>
  <c r="S117" i="42"/>
  <c r="T117" i="42"/>
  <c r="G118" i="42"/>
  <c r="H118" i="42"/>
  <c r="I118" i="42"/>
  <c r="J118" i="42"/>
  <c r="K118" i="42"/>
  <c r="L118" i="42"/>
  <c r="M118" i="42"/>
  <c r="N118" i="42"/>
  <c r="O118" i="42"/>
  <c r="P118" i="42"/>
  <c r="Q118" i="42"/>
  <c r="R118" i="42"/>
  <c r="S118" i="42"/>
  <c r="T118" i="42"/>
  <c r="G119" i="42"/>
  <c r="H119" i="42"/>
  <c r="I119" i="42"/>
  <c r="J119" i="42"/>
  <c r="K119" i="42"/>
  <c r="L119" i="42"/>
  <c r="M119" i="42"/>
  <c r="N119" i="42"/>
  <c r="O119" i="42"/>
  <c r="P119" i="42"/>
  <c r="Q119" i="42"/>
  <c r="R119" i="42"/>
  <c r="S119" i="42"/>
  <c r="T119" i="42"/>
  <c r="G120" i="42"/>
  <c r="H120" i="42"/>
  <c r="I120" i="42"/>
  <c r="J120" i="42"/>
  <c r="K120" i="42"/>
  <c r="L120" i="42"/>
  <c r="M120" i="42"/>
  <c r="N120" i="42"/>
  <c r="O120" i="42"/>
  <c r="P120" i="42"/>
  <c r="Q120" i="42"/>
  <c r="R120" i="42"/>
  <c r="S120" i="42"/>
  <c r="T120" i="42"/>
  <c r="G121" i="42"/>
  <c r="H121" i="42"/>
  <c r="I121" i="42"/>
  <c r="J121" i="42"/>
  <c r="K121" i="42"/>
  <c r="L121" i="42"/>
  <c r="M121" i="42"/>
  <c r="N121" i="42"/>
  <c r="O121" i="42"/>
  <c r="P121" i="42"/>
  <c r="Q121" i="42"/>
  <c r="R121" i="42"/>
  <c r="S121" i="42"/>
  <c r="T121" i="42"/>
  <c r="G122" i="42"/>
  <c r="H122" i="42"/>
  <c r="I122" i="42"/>
  <c r="J122" i="42"/>
  <c r="K122" i="42"/>
  <c r="L122" i="42"/>
  <c r="M122" i="42"/>
  <c r="N122" i="42"/>
  <c r="O122" i="42"/>
  <c r="P122" i="42"/>
  <c r="Q122" i="42"/>
  <c r="R122" i="42"/>
  <c r="S122" i="42"/>
  <c r="T122" i="42"/>
  <c r="G123" i="42"/>
  <c r="H123" i="42"/>
  <c r="I123" i="42"/>
  <c r="J123" i="42"/>
  <c r="K123" i="42"/>
  <c r="L123" i="42"/>
  <c r="M123" i="42"/>
  <c r="N123" i="42"/>
  <c r="O123" i="42"/>
  <c r="P123" i="42"/>
  <c r="Q123" i="42"/>
  <c r="R123" i="42"/>
  <c r="S123" i="42"/>
  <c r="T123" i="42"/>
  <c r="G124" i="42"/>
  <c r="H124" i="42"/>
  <c r="I124" i="42"/>
  <c r="J124" i="42"/>
  <c r="K124" i="42"/>
  <c r="L124" i="42"/>
  <c r="M124" i="42"/>
  <c r="N124" i="42"/>
  <c r="O124" i="42"/>
  <c r="P124" i="42"/>
  <c r="Q124" i="42"/>
  <c r="R124" i="42"/>
  <c r="S124" i="42"/>
  <c r="T124" i="42"/>
  <c r="G125" i="42"/>
  <c r="H125" i="42"/>
  <c r="I125" i="42"/>
  <c r="J125" i="42"/>
  <c r="K125" i="42"/>
  <c r="L125" i="42"/>
  <c r="M125" i="42"/>
  <c r="N125" i="42"/>
  <c r="O125" i="42"/>
  <c r="P125" i="42"/>
  <c r="Q125" i="42"/>
  <c r="R125" i="42"/>
  <c r="S125" i="42"/>
  <c r="T125" i="42"/>
  <c r="G126" i="42"/>
  <c r="H126" i="42"/>
  <c r="I126" i="42"/>
  <c r="J126" i="42"/>
  <c r="K126" i="42"/>
  <c r="L126" i="42"/>
  <c r="M126" i="42"/>
  <c r="N126" i="42"/>
  <c r="O126" i="42"/>
  <c r="P126" i="42"/>
  <c r="Q126" i="42"/>
  <c r="R126" i="42"/>
  <c r="S126" i="42"/>
  <c r="T126" i="42"/>
  <c r="G127" i="42"/>
  <c r="H127" i="42"/>
  <c r="I127" i="42"/>
  <c r="J127" i="42"/>
  <c r="K127" i="42"/>
  <c r="L127" i="42"/>
  <c r="M127" i="42"/>
  <c r="N127" i="42"/>
  <c r="O127" i="42"/>
  <c r="P127" i="42"/>
  <c r="Q127" i="42"/>
  <c r="R127" i="42"/>
  <c r="S127" i="42"/>
  <c r="T127" i="42"/>
  <c r="G128" i="42"/>
  <c r="H128" i="42"/>
  <c r="I128" i="42"/>
  <c r="J128" i="42"/>
  <c r="K128" i="42"/>
  <c r="L128" i="42"/>
  <c r="M128" i="42"/>
  <c r="N128" i="42"/>
  <c r="O128" i="42"/>
  <c r="P128" i="42"/>
  <c r="Q128" i="42"/>
  <c r="R128" i="42"/>
  <c r="S128" i="42"/>
  <c r="T128" i="42"/>
  <c r="G129" i="42"/>
  <c r="H129" i="42"/>
  <c r="I129" i="42"/>
  <c r="J129" i="42"/>
  <c r="K129" i="42"/>
  <c r="L129" i="42"/>
  <c r="M129" i="42"/>
  <c r="N129" i="42"/>
  <c r="O129" i="42"/>
  <c r="P129" i="42"/>
  <c r="Q129" i="42"/>
  <c r="R129" i="42"/>
  <c r="S129" i="42"/>
  <c r="T129" i="42"/>
  <c r="G130" i="42"/>
  <c r="H130" i="42"/>
  <c r="I130" i="42"/>
  <c r="J130" i="42"/>
  <c r="K130" i="42"/>
  <c r="L130" i="42"/>
  <c r="M130" i="42"/>
  <c r="N130" i="42"/>
  <c r="O130" i="42"/>
  <c r="P130" i="42"/>
  <c r="Q130" i="42"/>
  <c r="R130" i="42"/>
  <c r="S130" i="42"/>
  <c r="T130" i="42"/>
  <c r="G131" i="42"/>
  <c r="H131" i="42"/>
  <c r="I131" i="42"/>
  <c r="J131" i="42"/>
  <c r="K131" i="42"/>
  <c r="L131" i="42"/>
  <c r="M131" i="42"/>
  <c r="N131" i="42"/>
  <c r="O131" i="42"/>
  <c r="P131" i="42"/>
  <c r="Q131" i="42"/>
  <c r="R131" i="42"/>
  <c r="S131" i="42"/>
  <c r="T131" i="42"/>
  <c r="G132" i="42"/>
  <c r="H132" i="42"/>
  <c r="I132" i="42"/>
  <c r="J132" i="42"/>
  <c r="K132" i="42"/>
  <c r="L132" i="42"/>
  <c r="M132" i="42"/>
  <c r="N132" i="42"/>
  <c r="O132" i="42"/>
  <c r="P132" i="42"/>
  <c r="Q132" i="42"/>
  <c r="R132" i="42"/>
  <c r="S132" i="42"/>
  <c r="T132" i="42"/>
  <c r="G133" i="42"/>
  <c r="H133" i="42"/>
  <c r="I133" i="42"/>
  <c r="J133" i="42"/>
  <c r="K133" i="42"/>
  <c r="L133" i="42"/>
  <c r="M133" i="42"/>
  <c r="N133" i="42"/>
  <c r="O133" i="42"/>
  <c r="P133" i="42"/>
  <c r="Q133" i="42"/>
  <c r="R133" i="42"/>
  <c r="S133" i="42"/>
  <c r="T133" i="42"/>
  <c r="G134" i="42"/>
  <c r="H134" i="42"/>
  <c r="I134" i="42"/>
  <c r="J134" i="42"/>
  <c r="K134" i="42"/>
  <c r="L134" i="42"/>
  <c r="M134" i="42"/>
  <c r="N134" i="42"/>
  <c r="O134" i="42"/>
  <c r="P134" i="42"/>
  <c r="Q134" i="42"/>
  <c r="R134" i="42"/>
  <c r="S134" i="42"/>
  <c r="T134" i="42"/>
  <c r="G135" i="42"/>
  <c r="H135" i="42"/>
  <c r="I135" i="42"/>
  <c r="J135" i="42"/>
  <c r="K135" i="42"/>
  <c r="L135" i="42"/>
  <c r="M135" i="42"/>
  <c r="N135" i="42"/>
  <c r="O135" i="42"/>
  <c r="P135" i="42"/>
  <c r="Q135" i="42"/>
  <c r="R135" i="42"/>
  <c r="S135" i="42"/>
  <c r="T135" i="42"/>
  <c r="G136" i="42"/>
  <c r="H136" i="42"/>
  <c r="I136" i="42"/>
  <c r="J136" i="42"/>
  <c r="K136" i="42"/>
  <c r="L136" i="42"/>
  <c r="M136" i="42"/>
  <c r="N136" i="42"/>
  <c r="O136" i="42"/>
  <c r="P136" i="42"/>
  <c r="Q136" i="42"/>
  <c r="R136" i="42"/>
  <c r="S136" i="42"/>
  <c r="T136" i="42"/>
  <c r="G137" i="42"/>
  <c r="H137" i="42"/>
  <c r="I137" i="42"/>
  <c r="J137" i="42"/>
  <c r="K137" i="42"/>
  <c r="L137" i="42"/>
  <c r="M137" i="42"/>
  <c r="N137" i="42"/>
  <c r="O137" i="42"/>
  <c r="P137" i="42"/>
  <c r="Q137" i="42"/>
  <c r="R137" i="42"/>
  <c r="S137" i="42"/>
  <c r="T137" i="42"/>
  <c r="G138" i="42"/>
  <c r="H138" i="42"/>
  <c r="I138" i="42"/>
  <c r="J138" i="42"/>
  <c r="K138" i="42"/>
  <c r="L138" i="42"/>
  <c r="M138" i="42"/>
  <c r="N138" i="42"/>
  <c r="O138" i="42"/>
  <c r="P138" i="42"/>
  <c r="Q138" i="42"/>
  <c r="R138" i="42"/>
  <c r="S138" i="42"/>
  <c r="T138" i="42"/>
  <c r="G139" i="42"/>
  <c r="H139" i="42"/>
  <c r="I139" i="42"/>
  <c r="J139" i="42"/>
  <c r="K139" i="42"/>
  <c r="L139" i="42"/>
  <c r="M139" i="42"/>
  <c r="N139" i="42"/>
  <c r="O139" i="42"/>
  <c r="P139" i="42"/>
  <c r="Q139" i="42"/>
  <c r="R139" i="42"/>
  <c r="S139" i="42"/>
  <c r="T139" i="42"/>
  <c r="G140" i="42"/>
  <c r="H140" i="42"/>
  <c r="I140" i="42"/>
  <c r="J140" i="42"/>
  <c r="K140" i="42"/>
  <c r="L140" i="42"/>
  <c r="M140" i="42"/>
  <c r="N140" i="42"/>
  <c r="O140" i="42"/>
  <c r="P140" i="42"/>
  <c r="Q140" i="42"/>
  <c r="R140" i="42"/>
  <c r="S140" i="42"/>
  <c r="T140" i="42"/>
  <c r="G141" i="42"/>
  <c r="H141" i="42"/>
  <c r="I141" i="42"/>
  <c r="J141" i="42"/>
  <c r="K141" i="42"/>
  <c r="L141" i="42"/>
  <c r="M141" i="42"/>
  <c r="N141" i="42"/>
  <c r="O141" i="42"/>
  <c r="P141" i="42"/>
  <c r="Q141" i="42"/>
  <c r="R141" i="42"/>
  <c r="S141" i="42"/>
  <c r="T141" i="42"/>
  <c r="G142" i="42"/>
  <c r="H142" i="42"/>
  <c r="I142" i="42"/>
  <c r="J142" i="42"/>
  <c r="K142" i="42"/>
  <c r="L142" i="42"/>
  <c r="M142" i="42"/>
  <c r="N142" i="42"/>
  <c r="O142" i="42"/>
  <c r="P142" i="42"/>
  <c r="Q142" i="42"/>
  <c r="R142" i="42"/>
  <c r="S142" i="42"/>
  <c r="T142" i="42"/>
  <c r="G143" i="42"/>
  <c r="H143" i="42"/>
  <c r="I143" i="42"/>
  <c r="J143" i="42"/>
  <c r="K143" i="42"/>
  <c r="L143" i="42"/>
  <c r="M143" i="42"/>
  <c r="N143" i="42"/>
  <c r="O143" i="42"/>
  <c r="P143" i="42"/>
  <c r="Q143" i="42"/>
  <c r="R143" i="42"/>
  <c r="S143" i="42"/>
  <c r="T143" i="42"/>
  <c r="G144" i="42"/>
  <c r="H144" i="42"/>
  <c r="I144" i="42"/>
  <c r="J144" i="42"/>
  <c r="K144" i="42"/>
  <c r="L144" i="42"/>
  <c r="M144" i="42"/>
  <c r="N144" i="42"/>
  <c r="O144" i="42"/>
  <c r="P144" i="42"/>
  <c r="Q144" i="42"/>
  <c r="R144" i="42"/>
  <c r="S144" i="42"/>
  <c r="T144" i="42"/>
  <c r="G145" i="42"/>
  <c r="H145" i="42"/>
  <c r="I145" i="42"/>
  <c r="J145" i="42"/>
  <c r="K145" i="42"/>
  <c r="L145" i="42"/>
  <c r="M145" i="42"/>
  <c r="N145" i="42"/>
  <c r="O145" i="42"/>
  <c r="P145" i="42"/>
  <c r="Q145" i="42"/>
  <c r="R145" i="42"/>
  <c r="S145" i="42"/>
  <c r="T145" i="42"/>
  <c r="G146" i="42"/>
  <c r="H146" i="42"/>
  <c r="I146" i="42"/>
  <c r="J146" i="42"/>
  <c r="K146" i="42"/>
  <c r="L146" i="42"/>
  <c r="M146" i="42"/>
  <c r="N146" i="42"/>
  <c r="O146" i="42"/>
  <c r="P146" i="42"/>
  <c r="Q146" i="42"/>
  <c r="R146" i="42"/>
  <c r="S146" i="42"/>
  <c r="T146" i="42"/>
  <c r="G147" i="42"/>
  <c r="H147" i="42"/>
  <c r="I147" i="42"/>
  <c r="J147" i="42"/>
  <c r="K147" i="42"/>
  <c r="L147" i="42"/>
  <c r="M147" i="42"/>
  <c r="N147" i="42"/>
  <c r="O147" i="42"/>
  <c r="P147" i="42"/>
  <c r="Q147" i="42"/>
  <c r="R147" i="42"/>
  <c r="S147" i="42"/>
  <c r="T147" i="42"/>
  <c r="G148" i="42"/>
  <c r="H148" i="42"/>
  <c r="I148" i="42"/>
  <c r="J148" i="42"/>
  <c r="K148" i="42"/>
  <c r="L148" i="42"/>
  <c r="M148" i="42"/>
  <c r="N148" i="42"/>
  <c r="O148" i="42"/>
  <c r="P148" i="42"/>
  <c r="Q148" i="42"/>
  <c r="R148" i="42"/>
  <c r="S148" i="42"/>
  <c r="T148" i="42"/>
  <c r="G149" i="42"/>
  <c r="H149" i="42"/>
  <c r="I149" i="42"/>
  <c r="J149" i="42"/>
  <c r="K149" i="42"/>
  <c r="L149" i="42"/>
  <c r="M149" i="42"/>
  <c r="N149" i="42"/>
  <c r="O149" i="42"/>
  <c r="P149" i="42"/>
  <c r="Q149" i="42"/>
  <c r="R149" i="42"/>
  <c r="S149" i="42"/>
  <c r="T149" i="42"/>
  <c r="G150" i="42"/>
  <c r="H150" i="42"/>
  <c r="I150" i="42"/>
  <c r="J150" i="42"/>
  <c r="K150" i="42"/>
  <c r="L150" i="42"/>
  <c r="M150" i="42"/>
  <c r="N150" i="42"/>
  <c r="O150" i="42"/>
  <c r="P150" i="42"/>
  <c r="Q150" i="42"/>
  <c r="R150" i="42"/>
  <c r="S150" i="42"/>
  <c r="T150" i="42"/>
  <c r="G151" i="42"/>
  <c r="H151" i="42"/>
  <c r="I151" i="42"/>
  <c r="J151" i="42"/>
  <c r="K151" i="42"/>
  <c r="L151" i="42"/>
  <c r="M151" i="42"/>
  <c r="N151" i="42"/>
  <c r="O151" i="42"/>
  <c r="P151" i="42"/>
  <c r="Q151" i="42"/>
  <c r="R151" i="42"/>
  <c r="S151" i="42"/>
  <c r="T151" i="42"/>
  <c r="G152" i="42"/>
  <c r="H152" i="42"/>
  <c r="I152" i="42"/>
  <c r="J152" i="42"/>
  <c r="K152" i="42"/>
  <c r="L152" i="42"/>
  <c r="M152" i="42"/>
  <c r="N152" i="42"/>
  <c r="O152" i="42"/>
  <c r="P152" i="42"/>
  <c r="Q152" i="42"/>
  <c r="R152" i="42"/>
  <c r="S152" i="42"/>
  <c r="T152" i="42"/>
  <c r="G153" i="42"/>
  <c r="H153" i="42"/>
  <c r="I153" i="42"/>
  <c r="J153" i="42"/>
  <c r="K153" i="42"/>
  <c r="L153" i="42"/>
  <c r="M153" i="42"/>
  <c r="N153" i="42"/>
  <c r="O153" i="42"/>
  <c r="P153" i="42"/>
  <c r="Q153" i="42"/>
  <c r="R153" i="42"/>
  <c r="S153" i="42"/>
  <c r="T153" i="42"/>
  <c r="G154" i="42"/>
  <c r="H154" i="42"/>
  <c r="I154" i="42"/>
  <c r="J154" i="42"/>
  <c r="K154" i="42"/>
  <c r="L154" i="42"/>
  <c r="M154" i="42"/>
  <c r="N154" i="42"/>
  <c r="O154" i="42"/>
  <c r="P154" i="42"/>
  <c r="Q154" i="42"/>
  <c r="R154" i="42"/>
  <c r="S154" i="42"/>
  <c r="T154" i="42"/>
  <c r="G155" i="42"/>
  <c r="H155" i="42"/>
  <c r="I155" i="42"/>
  <c r="J155" i="42"/>
  <c r="K155" i="42"/>
  <c r="L155" i="42"/>
  <c r="M155" i="42"/>
  <c r="N155" i="42"/>
  <c r="O155" i="42"/>
  <c r="P155" i="42"/>
  <c r="Q155" i="42"/>
  <c r="R155" i="42"/>
  <c r="S155" i="42"/>
  <c r="T155" i="42"/>
  <c r="G156" i="42"/>
  <c r="H156" i="42"/>
  <c r="I156" i="42"/>
  <c r="J156" i="42"/>
  <c r="K156" i="42"/>
  <c r="L156" i="42"/>
  <c r="M156" i="42"/>
  <c r="N156" i="42"/>
  <c r="O156" i="42"/>
  <c r="P156" i="42"/>
  <c r="Q156" i="42"/>
  <c r="R156" i="42"/>
  <c r="S156" i="42"/>
  <c r="T156" i="42"/>
  <c r="G157" i="42"/>
  <c r="H157" i="42"/>
  <c r="I157" i="42"/>
  <c r="J157" i="42"/>
  <c r="K157" i="42"/>
  <c r="L157" i="42"/>
  <c r="M157" i="42"/>
  <c r="N157" i="42"/>
  <c r="O157" i="42"/>
  <c r="P157" i="42"/>
  <c r="Q157" i="42"/>
  <c r="R157" i="42"/>
  <c r="S157" i="42"/>
  <c r="T157" i="42"/>
  <c r="G158" i="42"/>
  <c r="H158" i="42"/>
  <c r="I158" i="42"/>
  <c r="J158" i="42"/>
  <c r="K158" i="42"/>
  <c r="L158" i="42"/>
  <c r="M158" i="42"/>
  <c r="N158" i="42"/>
  <c r="O158" i="42"/>
  <c r="P158" i="42"/>
  <c r="Q158" i="42"/>
  <c r="R158" i="42"/>
  <c r="S158" i="42"/>
  <c r="T158" i="42"/>
  <c r="G159" i="42"/>
  <c r="H159" i="42"/>
  <c r="I159" i="42"/>
  <c r="J159" i="42"/>
  <c r="K159" i="42"/>
  <c r="L159" i="42"/>
  <c r="M159" i="42"/>
  <c r="N159" i="42"/>
  <c r="O159" i="42"/>
  <c r="P159" i="42"/>
  <c r="Q159" i="42"/>
  <c r="R159" i="42"/>
  <c r="S159" i="42"/>
  <c r="T159" i="42"/>
  <c r="G160" i="42"/>
  <c r="H160" i="42"/>
  <c r="I160" i="42"/>
  <c r="J160" i="42"/>
  <c r="K160" i="42"/>
  <c r="L160" i="42"/>
  <c r="M160" i="42"/>
  <c r="N160" i="42"/>
  <c r="O160" i="42"/>
  <c r="P160" i="42"/>
  <c r="Q160" i="42"/>
  <c r="R160" i="42"/>
  <c r="S160" i="42"/>
  <c r="T160" i="42"/>
  <c r="G161" i="42"/>
  <c r="H161" i="42"/>
  <c r="I161" i="42"/>
  <c r="J161" i="42"/>
  <c r="K161" i="42"/>
  <c r="L161" i="42"/>
  <c r="M161" i="42"/>
  <c r="N161" i="42"/>
  <c r="O161" i="42"/>
  <c r="P161" i="42"/>
  <c r="Q161" i="42"/>
  <c r="R161" i="42"/>
  <c r="S161" i="42"/>
  <c r="T161" i="42"/>
  <c r="G162" i="42"/>
  <c r="H162" i="42"/>
  <c r="I162" i="42"/>
  <c r="J162" i="42"/>
  <c r="K162" i="42"/>
  <c r="L162" i="42"/>
  <c r="M162" i="42"/>
  <c r="N162" i="42"/>
  <c r="O162" i="42"/>
  <c r="P162" i="42"/>
  <c r="Q162" i="42"/>
  <c r="R162" i="42"/>
  <c r="S162" i="42"/>
  <c r="T162" i="42"/>
  <c r="G163" i="42"/>
  <c r="H163" i="42"/>
  <c r="I163" i="42"/>
  <c r="J163" i="42"/>
  <c r="K163" i="42"/>
  <c r="L163" i="42"/>
  <c r="M163" i="42"/>
  <c r="N163" i="42"/>
  <c r="O163" i="42"/>
  <c r="P163" i="42"/>
  <c r="Q163" i="42"/>
  <c r="R163" i="42"/>
  <c r="S163" i="42"/>
  <c r="T163" i="42"/>
  <c r="G164" i="42"/>
  <c r="H164" i="42"/>
  <c r="I164" i="42"/>
  <c r="J164" i="42"/>
  <c r="K164" i="42"/>
  <c r="L164" i="42"/>
  <c r="M164" i="42"/>
  <c r="N164" i="42"/>
  <c r="O164" i="42"/>
  <c r="P164" i="42"/>
  <c r="Q164" i="42"/>
  <c r="R164" i="42"/>
  <c r="S164" i="42"/>
  <c r="T164" i="42"/>
  <c r="G165" i="42"/>
  <c r="H165" i="42"/>
  <c r="I165" i="42"/>
  <c r="J165" i="42"/>
  <c r="K165" i="42"/>
  <c r="L165" i="42"/>
  <c r="M165" i="42"/>
  <c r="N165" i="42"/>
  <c r="O165" i="42"/>
  <c r="P165" i="42"/>
  <c r="Q165" i="42"/>
  <c r="R165" i="42"/>
  <c r="S165" i="42"/>
  <c r="T165" i="42"/>
  <c r="G166" i="42"/>
  <c r="H166" i="42"/>
  <c r="I166" i="42"/>
  <c r="J166" i="42"/>
  <c r="K166" i="42"/>
  <c r="L166" i="42"/>
  <c r="M166" i="42"/>
  <c r="N166" i="42"/>
  <c r="O166" i="42"/>
  <c r="P166" i="42"/>
  <c r="Q166" i="42"/>
  <c r="R166" i="42"/>
  <c r="S166" i="42"/>
  <c r="T166" i="42"/>
  <c r="G167" i="42"/>
  <c r="H167" i="42"/>
  <c r="I167" i="42"/>
  <c r="J167" i="42"/>
  <c r="K167" i="42"/>
  <c r="L167" i="42"/>
  <c r="M167" i="42"/>
  <c r="N167" i="42"/>
  <c r="O167" i="42"/>
  <c r="P167" i="42"/>
  <c r="Q167" i="42"/>
  <c r="R167" i="42"/>
  <c r="S167" i="42"/>
  <c r="T167" i="42"/>
  <c r="G168" i="42"/>
  <c r="H168" i="42"/>
  <c r="I168" i="42"/>
  <c r="J168" i="42"/>
  <c r="K168" i="42"/>
  <c r="L168" i="42"/>
  <c r="M168" i="42"/>
  <c r="N168" i="42"/>
  <c r="O168" i="42"/>
  <c r="P168" i="42"/>
  <c r="Q168" i="42"/>
  <c r="R168" i="42"/>
  <c r="S168" i="42"/>
  <c r="T168" i="42"/>
  <c r="G169" i="42"/>
  <c r="H169" i="42"/>
  <c r="I169" i="42"/>
  <c r="J169" i="42"/>
  <c r="K169" i="42"/>
  <c r="L169" i="42"/>
  <c r="M169" i="42"/>
  <c r="N169" i="42"/>
  <c r="O169" i="42"/>
  <c r="P169" i="42"/>
  <c r="Q169" i="42"/>
  <c r="R169" i="42"/>
  <c r="S169" i="42"/>
  <c r="T169" i="42"/>
  <c r="G170" i="42"/>
  <c r="H170" i="42"/>
  <c r="I170" i="42"/>
  <c r="J170" i="42"/>
  <c r="K170" i="42"/>
  <c r="L170" i="42"/>
  <c r="M170" i="42"/>
  <c r="N170" i="42"/>
  <c r="O170" i="42"/>
  <c r="P170" i="42"/>
  <c r="Q170" i="42"/>
  <c r="R170" i="42"/>
  <c r="S170" i="42"/>
  <c r="T170" i="42"/>
  <c r="G171" i="42"/>
  <c r="H171" i="42"/>
  <c r="I171" i="42"/>
  <c r="J171" i="42"/>
  <c r="K171" i="42"/>
  <c r="L171" i="42"/>
  <c r="M171" i="42"/>
  <c r="N171" i="42"/>
  <c r="O171" i="42"/>
  <c r="P171" i="42"/>
  <c r="Q171" i="42"/>
  <c r="R171" i="42"/>
  <c r="S171" i="42"/>
  <c r="T171" i="42"/>
  <c r="G172" i="42"/>
  <c r="H172" i="42"/>
  <c r="I172" i="42"/>
  <c r="J172" i="42"/>
  <c r="K172" i="42"/>
  <c r="L172" i="42"/>
  <c r="M172" i="42"/>
  <c r="N172" i="42"/>
  <c r="O172" i="42"/>
  <c r="P172" i="42"/>
  <c r="Q172" i="42"/>
  <c r="R172" i="42"/>
  <c r="S172" i="42"/>
  <c r="T172" i="42"/>
  <c r="G173" i="42"/>
  <c r="H173" i="42"/>
  <c r="I173" i="42"/>
  <c r="J173" i="42"/>
  <c r="K173" i="42"/>
  <c r="L173" i="42"/>
  <c r="M173" i="42"/>
  <c r="N173" i="42"/>
  <c r="O173" i="42"/>
  <c r="P173" i="42"/>
  <c r="Q173" i="42"/>
  <c r="R173" i="42"/>
  <c r="S173" i="42"/>
  <c r="T173" i="42"/>
  <c r="G174" i="42"/>
  <c r="H174" i="42"/>
  <c r="I174" i="42"/>
  <c r="J174" i="42"/>
  <c r="K174" i="42"/>
  <c r="L174" i="42"/>
  <c r="M174" i="42"/>
  <c r="N174" i="42"/>
  <c r="O174" i="42"/>
  <c r="P174" i="42"/>
  <c r="Q174" i="42"/>
  <c r="R174" i="42"/>
  <c r="S174" i="42"/>
  <c r="T174" i="42"/>
  <c r="G175" i="42"/>
  <c r="H175" i="42"/>
  <c r="I175" i="42"/>
  <c r="J175" i="42"/>
  <c r="K175" i="42"/>
  <c r="L175" i="42"/>
  <c r="M175" i="42"/>
  <c r="N175" i="42"/>
  <c r="O175" i="42"/>
  <c r="P175" i="42"/>
  <c r="Q175" i="42"/>
  <c r="R175" i="42"/>
  <c r="S175" i="42"/>
  <c r="T175" i="42"/>
  <c r="G176" i="42"/>
  <c r="H176" i="42"/>
  <c r="I176" i="42"/>
  <c r="J176" i="42"/>
  <c r="K176" i="42"/>
  <c r="L176" i="42"/>
  <c r="M176" i="42"/>
  <c r="N176" i="42"/>
  <c r="O176" i="42"/>
  <c r="P176" i="42"/>
  <c r="Q176" i="42"/>
  <c r="R176" i="42"/>
  <c r="S176" i="42"/>
  <c r="T176" i="42"/>
  <c r="G177" i="42"/>
  <c r="H177" i="42"/>
  <c r="I177" i="42"/>
  <c r="J177" i="42"/>
  <c r="K177" i="42"/>
  <c r="L177" i="42"/>
  <c r="M177" i="42"/>
  <c r="N177" i="42"/>
  <c r="O177" i="42"/>
  <c r="P177" i="42"/>
  <c r="Q177" i="42"/>
  <c r="R177" i="42"/>
  <c r="S177" i="42"/>
  <c r="T177" i="42"/>
  <c r="G178" i="42"/>
  <c r="H178" i="42"/>
  <c r="I178" i="42"/>
  <c r="J178" i="42"/>
  <c r="K178" i="42"/>
  <c r="L178" i="42"/>
  <c r="M178" i="42"/>
  <c r="N178" i="42"/>
  <c r="O178" i="42"/>
  <c r="P178" i="42"/>
  <c r="Q178" i="42"/>
  <c r="R178" i="42"/>
  <c r="S178" i="42"/>
  <c r="T178" i="42"/>
  <c r="G179" i="42"/>
  <c r="H179" i="42"/>
  <c r="I179" i="42"/>
  <c r="J179" i="42"/>
  <c r="K179" i="42"/>
  <c r="L179" i="42"/>
  <c r="M179" i="42"/>
  <c r="N179" i="42"/>
  <c r="O179" i="42"/>
  <c r="P179" i="42"/>
  <c r="Q179" i="42"/>
  <c r="R179" i="42"/>
  <c r="S179" i="42"/>
  <c r="T179" i="42"/>
  <c r="G180" i="42"/>
  <c r="H180" i="42"/>
  <c r="I180" i="42"/>
  <c r="J180" i="42"/>
  <c r="K180" i="42"/>
  <c r="L180" i="42"/>
  <c r="M180" i="42"/>
  <c r="N180" i="42"/>
  <c r="O180" i="42"/>
  <c r="P180" i="42"/>
  <c r="Q180" i="42"/>
  <c r="R180" i="42"/>
  <c r="S180" i="42"/>
  <c r="T180" i="42"/>
  <c r="G181" i="42"/>
  <c r="H181" i="42"/>
  <c r="I181" i="42"/>
  <c r="J181" i="42"/>
  <c r="K181" i="42"/>
  <c r="L181" i="42"/>
  <c r="M181" i="42"/>
  <c r="N181" i="42"/>
  <c r="O181" i="42"/>
  <c r="P181" i="42"/>
  <c r="Q181" i="42"/>
  <c r="R181" i="42"/>
  <c r="S181" i="42"/>
  <c r="T181" i="42"/>
  <c r="G182" i="42"/>
  <c r="H182" i="42"/>
  <c r="I182" i="42"/>
  <c r="J182" i="42"/>
  <c r="K182" i="42"/>
  <c r="L182" i="42"/>
  <c r="M182" i="42"/>
  <c r="N182" i="42"/>
  <c r="O182" i="42"/>
  <c r="P182" i="42"/>
  <c r="Q182" i="42"/>
  <c r="R182" i="42"/>
  <c r="S182" i="42"/>
  <c r="T182" i="42"/>
  <c r="G183" i="42"/>
  <c r="H183" i="42"/>
  <c r="I183" i="42"/>
  <c r="J183" i="42"/>
  <c r="K183" i="42"/>
  <c r="L183" i="42"/>
  <c r="M183" i="42"/>
  <c r="N183" i="42"/>
  <c r="O183" i="42"/>
  <c r="P183" i="42"/>
  <c r="Q183" i="42"/>
  <c r="R183" i="42"/>
  <c r="S183" i="42"/>
  <c r="T183" i="42"/>
  <c r="G184" i="42"/>
  <c r="H184" i="42"/>
  <c r="I184" i="42"/>
  <c r="J184" i="42"/>
  <c r="K184" i="42"/>
  <c r="L184" i="42"/>
  <c r="M184" i="42"/>
  <c r="N184" i="42"/>
  <c r="O184" i="42"/>
  <c r="P184" i="42"/>
  <c r="Q184" i="42"/>
  <c r="R184" i="42"/>
  <c r="S184" i="42"/>
  <c r="T184" i="42"/>
  <c r="G185" i="42"/>
  <c r="H185" i="42"/>
  <c r="I185" i="42"/>
  <c r="J185" i="42"/>
  <c r="K185" i="42"/>
  <c r="L185" i="42"/>
  <c r="M185" i="42"/>
  <c r="N185" i="42"/>
  <c r="O185" i="42"/>
  <c r="P185" i="42"/>
  <c r="Q185" i="42"/>
  <c r="R185" i="42"/>
  <c r="S185" i="42"/>
  <c r="T185" i="42"/>
  <c r="G186" i="42"/>
  <c r="H186" i="42"/>
  <c r="I186" i="42"/>
  <c r="J186" i="42"/>
  <c r="K186" i="42"/>
  <c r="L186" i="42"/>
  <c r="M186" i="42"/>
  <c r="N186" i="42"/>
  <c r="O186" i="42"/>
  <c r="P186" i="42"/>
  <c r="Q186" i="42"/>
  <c r="R186" i="42"/>
  <c r="S186" i="42"/>
  <c r="T186" i="42"/>
  <c r="G187" i="42"/>
  <c r="H187" i="42"/>
  <c r="I187" i="42"/>
  <c r="J187" i="42"/>
  <c r="K187" i="42"/>
  <c r="L187" i="42"/>
  <c r="M187" i="42"/>
  <c r="N187" i="42"/>
  <c r="O187" i="42"/>
  <c r="P187" i="42"/>
  <c r="Q187" i="42"/>
  <c r="R187" i="42"/>
  <c r="S187" i="42"/>
  <c r="T187" i="42"/>
  <c r="G188" i="42"/>
  <c r="H188" i="42"/>
  <c r="I188" i="42"/>
  <c r="J188" i="42"/>
  <c r="K188" i="42"/>
  <c r="L188" i="42"/>
  <c r="M188" i="42"/>
  <c r="N188" i="42"/>
  <c r="O188" i="42"/>
  <c r="P188" i="42"/>
  <c r="Q188" i="42"/>
  <c r="R188" i="42"/>
  <c r="S188" i="42"/>
  <c r="T188" i="42"/>
  <c r="G189" i="42"/>
  <c r="H189" i="42"/>
  <c r="I189" i="42"/>
  <c r="J189" i="42"/>
  <c r="K189" i="42"/>
  <c r="L189" i="42"/>
  <c r="M189" i="42"/>
  <c r="N189" i="42"/>
  <c r="O189" i="42"/>
  <c r="P189" i="42"/>
  <c r="Q189" i="42"/>
  <c r="R189" i="42"/>
  <c r="S189" i="42"/>
  <c r="T189" i="42"/>
  <c r="G190" i="42"/>
  <c r="H190" i="42"/>
  <c r="I190" i="42"/>
  <c r="J190" i="42"/>
  <c r="K190" i="42"/>
  <c r="L190" i="42"/>
  <c r="M190" i="42"/>
  <c r="N190" i="42"/>
  <c r="O190" i="42"/>
  <c r="P190" i="42"/>
  <c r="Q190" i="42"/>
  <c r="R190" i="42"/>
  <c r="S190" i="42"/>
  <c r="T190" i="42"/>
  <c r="G191" i="42"/>
  <c r="H191" i="42"/>
  <c r="I191" i="42"/>
  <c r="J191" i="42"/>
  <c r="K191" i="42"/>
  <c r="L191" i="42"/>
  <c r="M191" i="42"/>
  <c r="N191" i="42"/>
  <c r="O191" i="42"/>
  <c r="P191" i="42"/>
  <c r="Q191" i="42"/>
  <c r="R191" i="42"/>
  <c r="S191" i="42"/>
  <c r="T191" i="42"/>
  <c r="G192" i="42"/>
  <c r="H192" i="42"/>
  <c r="I192" i="42"/>
  <c r="J192" i="42"/>
  <c r="K192" i="42"/>
  <c r="L192" i="42"/>
  <c r="M192" i="42"/>
  <c r="N192" i="42"/>
  <c r="O192" i="42"/>
  <c r="P192" i="42"/>
  <c r="Q192" i="42"/>
  <c r="R192" i="42"/>
  <c r="S192" i="42"/>
  <c r="T192" i="42"/>
  <c r="G193" i="42"/>
  <c r="H193" i="42"/>
  <c r="I193" i="42"/>
  <c r="J193" i="42"/>
  <c r="K193" i="42"/>
  <c r="L193" i="42"/>
  <c r="M193" i="42"/>
  <c r="N193" i="42"/>
  <c r="O193" i="42"/>
  <c r="P193" i="42"/>
  <c r="Q193" i="42"/>
  <c r="R193" i="42"/>
  <c r="S193" i="42"/>
  <c r="T193" i="42"/>
  <c r="G194" i="42"/>
  <c r="H194" i="42"/>
  <c r="I194" i="42"/>
  <c r="J194" i="42"/>
  <c r="K194" i="42"/>
  <c r="L194" i="42"/>
  <c r="M194" i="42"/>
  <c r="N194" i="42"/>
  <c r="O194" i="42"/>
  <c r="P194" i="42"/>
  <c r="Q194" i="42"/>
  <c r="R194" i="42"/>
  <c r="S194" i="42"/>
  <c r="T194" i="42"/>
  <c r="G195" i="42"/>
  <c r="H195" i="42"/>
  <c r="I195" i="42"/>
  <c r="J195" i="42"/>
  <c r="K195" i="42"/>
  <c r="L195" i="42"/>
  <c r="M195" i="42"/>
  <c r="N195" i="42"/>
  <c r="O195" i="42"/>
  <c r="P195" i="42"/>
  <c r="Q195" i="42"/>
  <c r="R195" i="42"/>
  <c r="S195" i="42"/>
  <c r="T195" i="42"/>
  <c r="G196" i="42"/>
  <c r="H196" i="42"/>
  <c r="I196" i="42"/>
  <c r="J196" i="42"/>
  <c r="K196" i="42"/>
  <c r="L196" i="42"/>
  <c r="M196" i="42"/>
  <c r="N196" i="42"/>
  <c r="O196" i="42"/>
  <c r="P196" i="42"/>
  <c r="Q196" i="42"/>
  <c r="R196" i="42"/>
  <c r="S196" i="42"/>
  <c r="T196" i="42"/>
  <c r="G197" i="42"/>
  <c r="H197" i="42"/>
  <c r="I197" i="42"/>
  <c r="J197" i="42"/>
  <c r="K197" i="42"/>
  <c r="L197" i="42"/>
  <c r="M197" i="42"/>
  <c r="N197" i="42"/>
  <c r="O197" i="42"/>
  <c r="P197" i="42"/>
  <c r="Q197" i="42"/>
  <c r="R197" i="42"/>
  <c r="S197" i="42"/>
  <c r="T197" i="42"/>
  <c r="G198" i="42"/>
  <c r="H198" i="42"/>
  <c r="I198" i="42"/>
  <c r="J198" i="42"/>
  <c r="K198" i="42"/>
  <c r="L198" i="42"/>
  <c r="M198" i="42"/>
  <c r="N198" i="42"/>
  <c r="O198" i="42"/>
  <c r="P198" i="42"/>
  <c r="Q198" i="42"/>
  <c r="R198" i="42"/>
  <c r="S198" i="42"/>
  <c r="T198" i="42"/>
  <c r="G199" i="42"/>
  <c r="H199" i="42"/>
  <c r="I199" i="42"/>
  <c r="J199" i="42"/>
  <c r="K199" i="42"/>
  <c r="L199" i="42"/>
  <c r="M199" i="42"/>
  <c r="N199" i="42"/>
  <c r="O199" i="42"/>
  <c r="P199" i="42"/>
  <c r="Q199" i="42"/>
  <c r="R199" i="42"/>
  <c r="S199" i="42"/>
  <c r="T199" i="42"/>
  <c r="G200" i="42"/>
  <c r="H200" i="42"/>
  <c r="I200" i="42"/>
  <c r="J200" i="42"/>
  <c r="K200" i="42"/>
  <c r="L200" i="42"/>
  <c r="M200" i="42"/>
  <c r="N200" i="42"/>
  <c r="O200" i="42"/>
  <c r="P200" i="42"/>
  <c r="Q200" i="42"/>
  <c r="R200" i="42"/>
  <c r="S200" i="42"/>
  <c r="T200" i="42"/>
  <c r="G201" i="42"/>
  <c r="H201" i="42"/>
  <c r="I201" i="42"/>
  <c r="J201" i="42"/>
  <c r="K201" i="42"/>
  <c r="L201" i="42"/>
  <c r="M201" i="42"/>
  <c r="N201" i="42"/>
  <c r="O201" i="42"/>
  <c r="P201" i="42"/>
  <c r="Q201" i="42"/>
  <c r="R201" i="42"/>
  <c r="S201" i="42"/>
  <c r="T201" i="42"/>
  <c r="G202" i="42"/>
  <c r="H202" i="42"/>
  <c r="I202" i="42"/>
  <c r="J202" i="42"/>
  <c r="K202" i="42"/>
  <c r="L202" i="42"/>
  <c r="M202" i="42"/>
  <c r="N202" i="42"/>
  <c r="O202" i="42"/>
  <c r="P202" i="42"/>
  <c r="Q202" i="42"/>
  <c r="R202" i="42"/>
  <c r="S202" i="42"/>
  <c r="T202" i="42"/>
  <c r="G203" i="42"/>
  <c r="H203" i="42"/>
  <c r="I203" i="42"/>
  <c r="J203" i="42"/>
  <c r="K203" i="42"/>
  <c r="L203" i="42"/>
  <c r="M203" i="42"/>
  <c r="N203" i="42"/>
  <c r="O203" i="42"/>
  <c r="P203" i="42"/>
  <c r="Q203" i="42"/>
  <c r="R203" i="42"/>
  <c r="S203" i="42"/>
  <c r="T203" i="42"/>
  <c r="G204" i="42"/>
  <c r="H204" i="42"/>
  <c r="I204" i="42"/>
  <c r="J204" i="42"/>
  <c r="K204" i="42"/>
  <c r="L204" i="42"/>
  <c r="M204" i="42"/>
  <c r="N204" i="42"/>
  <c r="O204" i="42"/>
  <c r="P204" i="42"/>
  <c r="Q204" i="42"/>
  <c r="R204" i="42"/>
  <c r="S204" i="42"/>
  <c r="T204" i="42"/>
  <c r="G205" i="42"/>
  <c r="H205" i="42"/>
  <c r="I205" i="42"/>
  <c r="J205" i="42"/>
  <c r="K205" i="42"/>
  <c r="L205" i="42"/>
  <c r="M205" i="42"/>
  <c r="N205" i="42"/>
  <c r="O205" i="42"/>
  <c r="P205" i="42"/>
  <c r="Q205" i="42"/>
  <c r="R205" i="42"/>
  <c r="S205" i="42"/>
  <c r="T205" i="42"/>
  <c r="G206" i="42"/>
  <c r="H206" i="42"/>
  <c r="I206" i="42"/>
  <c r="J206" i="42"/>
  <c r="K206" i="42"/>
  <c r="L206" i="42"/>
  <c r="M206" i="42"/>
  <c r="N206" i="42"/>
  <c r="O206" i="42"/>
  <c r="P206" i="42"/>
  <c r="Q206" i="42"/>
  <c r="R206" i="42"/>
  <c r="S206" i="42"/>
  <c r="T206" i="42"/>
  <c r="G207" i="42"/>
  <c r="H207" i="42"/>
  <c r="I207" i="42"/>
  <c r="J207" i="42"/>
  <c r="K207" i="42"/>
  <c r="L207" i="42"/>
  <c r="M207" i="42"/>
  <c r="N207" i="42"/>
  <c r="O207" i="42"/>
  <c r="P207" i="42"/>
  <c r="Q207" i="42"/>
  <c r="R207" i="42"/>
  <c r="S207" i="42"/>
  <c r="T207" i="42"/>
  <c r="G208" i="42"/>
  <c r="H208" i="42"/>
  <c r="I208" i="42"/>
  <c r="J208" i="42"/>
  <c r="K208" i="42"/>
  <c r="L208" i="42"/>
  <c r="M208" i="42"/>
  <c r="N208" i="42"/>
  <c r="O208" i="42"/>
  <c r="P208" i="42"/>
  <c r="Q208" i="42"/>
  <c r="R208" i="42"/>
  <c r="S208" i="42"/>
  <c r="T208" i="42"/>
  <c r="G209" i="42"/>
  <c r="H209" i="42"/>
  <c r="I209" i="42"/>
  <c r="J209" i="42"/>
  <c r="K209" i="42"/>
  <c r="L209" i="42"/>
  <c r="M209" i="42"/>
  <c r="N209" i="42"/>
  <c r="O209" i="42"/>
  <c r="P209" i="42"/>
  <c r="Q209" i="42"/>
  <c r="R209" i="42"/>
  <c r="S209" i="42"/>
  <c r="T209" i="42"/>
  <c r="G210" i="42"/>
  <c r="H210" i="42"/>
  <c r="I210" i="42"/>
  <c r="J210" i="42"/>
  <c r="K210" i="42"/>
  <c r="L210" i="42"/>
  <c r="M210" i="42"/>
  <c r="N210" i="42"/>
  <c r="O210" i="42"/>
  <c r="P210" i="42"/>
  <c r="Q210" i="42"/>
  <c r="R210" i="42"/>
  <c r="S210" i="42"/>
  <c r="T210" i="42"/>
  <c r="G211" i="42"/>
  <c r="H211" i="42"/>
  <c r="I211" i="42"/>
  <c r="J211" i="42"/>
  <c r="K211" i="42"/>
  <c r="L211" i="42"/>
  <c r="M211" i="42"/>
  <c r="N211" i="42"/>
  <c r="O211" i="42"/>
  <c r="P211" i="42"/>
  <c r="Q211" i="42"/>
  <c r="R211" i="42"/>
  <c r="S211" i="42"/>
  <c r="T211" i="42"/>
  <c r="G212" i="42"/>
  <c r="H212" i="42"/>
  <c r="I212" i="42"/>
  <c r="J212" i="42"/>
  <c r="K212" i="42"/>
  <c r="L212" i="42"/>
  <c r="M212" i="42"/>
  <c r="N212" i="42"/>
  <c r="O212" i="42"/>
  <c r="P212" i="42"/>
  <c r="Q212" i="42"/>
  <c r="R212" i="42"/>
  <c r="S212" i="42"/>
  <c r="T212" i="42"/>
  <c r="G213" i="42"/>
  <c r="H213" i="42"/>
  <c r="I213" i="42"/>
  <c r="J213" i="42"/>
  <c r="K213" i="42"/>
  <c r="L213" i="42"/>
  <c r="M213" i="42"/>
  <c r="N213" i="42"/>
  <c r="O213" i="42"/>
  <c r="P213" i="42"/>
  <c r="Q213" i="42"/>
  <c r="R213" i="42"/>
  <c r="S213" i="42"/>
  <c r="T213" i="42"/>
  <c r="G214" i="42"/>
  <c r="H214" i="42"/>
  <c r="I214" i="42"/>
  <c r="J214" i="42"/>
  <c r="K214" i="42"/>
  <c r="L214" i="42"/>
  <c r="M214" i="42"/>
  <c r="N214" i="42"/>
  <c r="O214" i="42"/>
  <c r="P214" i="42"/>
  <c r="Q214" i="42"/>
  <c r="R214" i="42"/>
  <c r="S214" i="42"/>
  <c r="T214" i="42"/>
  <c r="G215" i="42"/>
  <c r="H215" i="42"/>
  <c r="I215" i="42"/>
  <c r="J215" i="42"/>
  <c r="K215" i="42"/>
  <c r="L215" i="42"/>
  <c r="M215" i="42"/>
  <c r="N215" i="42"/>
  <c r="O215" i="42"/>
  <c r="P215" i="42"/>
  <c r="Q215" i="42"/>
  <c r="R215" i="42"/>
  <c r="S215" i="42"/>
  <c r="T215" i="42"/>
  <c r="G216" i="42"/>
  <c r="H216" i="42"/>
  <c r="I216" i="42"/>
  <c r="J216" i="42"/>
  <c r="K216" i="42"/>
  <c r="L216" i="42"/>
  <c r="M216" i="42"/>
  <c r="N216" i="42"/>
  <c r="O216" i="42"/>
  <c r="P216" i="42"/>
  <c r="Q216" i="42"/>
  <c r="R216" i="42"/>
  <c r="S216" i="42"/>
  <c r="T216" i="42"/>
  <c r="G217" i="42"/>
  <c r="H217" i="42"/>
  <c r="I217" i="42"/>
  <c r="J217" i="42"/>
  <c r="K217" i="42"/>
  <c r="L217" i="42"/>
  <c r="M217" i="42"/>
  <c r="N217" i="42"/>
  <c r="O217" i="42"/>
  <c r="P217" i="42"/>
  <c r="Q217" i="42"/>
  <c r="R217" i="42"/>
  <c r="S217" i="42"/>
  <c r="T217" i="42"/>
  <c r="G218" i="42"/>
  <c r="H218" i="42"/>
  <c r="I218" i="42"/>
  <c r="J218" i="42"/>
  <c r="K218" i="42"/>
  <c r="L218" i="42"/>
  <c r="M218" i="42"/>
  <c r="N218" i="42"/>
  <c r="O218" i="42"/>
  <c r="P218" i="42"/>
  <c r="Q218" i="42"/>
  <c r="R218" i="42"/>
  <c r="S218" i="42"/>
  <c r="T218" i="42"/>
  <c r="G219" i="42"/>
  <c r="H219" i="42"/>
  <c r="I219" i="42"/>
  <c r="J219" i="42"/>
  <c r="K219" i="42"/>
  <c r="L219" i="42"/>
  <c r="M219" i="42"/>
  <c r="N219" i="42"/>
  <c r="O219" i="42"/>
  <c r="P219" i="42"/>
  <c r="Q219" i="42"/>
  <c r="R219" i="42"/>
  <c r="S219" i="42"/>
  <c r="T219" i="42"/>
  <c r="G220" i="42"/>
  <c r="H220" i="42"/>
  <c r="I220" i="42"/>
  <c r="J220" i="42"/>
  <c r="K220" i="42"/>
  <c r="L220" i="42"/>
  <c r="M220" i="42"/>
  <c r="N220" i="42"/>
  <c r="O220" i="42"/>
  <c r="P220" i="42"/>
  <c r="Q220" i="42"/>
  <c r="R220" i="42"/>
  <c r="S220" i="42"/>
  <c r="T220" i="42"/>
  <c r="G221" i="42"/>
  <c r="H221" i="42"/>
  <c r="I221" i="42"/>
  <c r="J221" i="42"/>
  <c r="K221" i="42"/>
  <c r="L221" i="42"/>
  <c r="M221" i="42"/>
  <c r="N221" i="42"/>
  <c r="O221" i="42"/>
  <c r="P221" i="42"/>
  <c r="Q221" i="42"/>
  <c r="R221" i="42"/>
  <c r="S221" i="42"/>
  <c r="T221" i="42"/>
  <c r="G222" i="42"/>
  <c r="H222" i="42"/>
  <c r="I222" i="42"/>
  <c r="J222" i="42"/>
  <c r="K222" i="42"/>
  <c r="L222" i="42"/>
  <c r="M222" i="42"/>
  <c r="N222" i="42"/>
  <c r="O222" i="42"/>
  <c r="P222" i="42"/>
  <c r="Q222" i="42"/>
  <c r="R222" i="42"/>
  <c r="S222" i="42"/>
  <c r="T222" i="42"/>
  <c r="G223" i="42"/>
  <c r="H223" i="42"/>
  <c r="I223" i="42"/>
  <c r="J223" i="42"/>
  <c r="K223" i="42"/>
  <c r="L223" i="42"/>
  <c r="M223" i="42"/>
  <c r="N223" i="42"/>
  <c r="O223" i="42"/>
  <c r="P223" i="42"/>
  <c r="Q223" i="42"/>
  <c r="R223" i="42"/>
  <c r="S223" i="42"/>
  <c r="T223" i="42"/>
  <c r="G224" i="42"/>
  <c r="H224" i="42"/>
  <c r="I224" i="42"/>
  <c r="J224" i="42"/>
  <c r="K224" i="42"/>
  <c r="L224" i="42"/>
  <c r="M224" i="42"/>
  <c r="N224" i="42"/>
  <c r="O224" i="42"/>
  <c r="P224" i="42"/>
  <c r="Q224" i="42"/>
  <c r="R224" i="42"/>
  <c r="S224" i="42"/>
  <c r="T224" i="42"/>
  <c r="G225" i="42"/>
  <c r="H225" i="42"/>
  <c r="I225" i="42"/>
  <c r="J225" i="42"/>
  <c r="K225" i="42"/>
  <c r="L225" i="42"/>
  <c r="M225" i="42"/>
  <c r="N225" i="42"/>
  <c r="O225" i="42"/>
  <c r="P225" i="42"/>
  <c r="Q225" i="42"/>
  <c r="R225" i="42"/>
  <c r="S225" i="42"/>
  <c r="T225" i="42"/>
  <c r="G226" i="42"/>
  <c r="H226" i="42"/>
  <c r="I226" i="42"/>
  <c r="J226" i="42"/>
  <c r="K226" i="42"/>
  <c r="L226" i="42"/>
  <c r="M226" i="42"/>
  <c r="N226" i="42"/>
  <c r="O226" i="42"/>
  <c r="P226" i="42"/>
  <c r="Q226" i="42"/>
  <c r="R226" i="42"/>
  <c r="S226" i="42"/>
  <c r="T226" i="42"/>
  <c r="G227" i="42"/>
  <c r="H227" i="42"/>
  <c r="I227" i="42"/>
  <c r="J227" i="42"/>
  <c r="K227" i="42"/>
  <c r="L227" i="42"/>
  <c r="M227" i="42"/>
  <c r="N227" i="42"/>
  <c r="O227" i="42"/>
  <c r="P227" i="42"/>
  <c r="Q227" i="42"/>
  <c r="R227" i="42"/>
  <c r="S227" i="42"/>
  <c r="T227" i="42"/>
  <c r="G228" i="42"/>
  <c r="H228" i="42"/>
  <c r="I228" i="42"/>
  <c r="J228" i="42"/>
  <c r="K228" i="42"/>
  <c r="L228" i="42"/>
  <c r="M228" i="42"/>
  <c r="N228" i="42"/>
  <c r="O228" i="42"/>
  <c r="P228" i="42"/>
  <c r="Q228" i="42"/>
  <c r="R228" i="42"/>
  <c r="S228" i="42"/>
  <c r="T228" i="42"/>
  <c r="G229" i="42"/>
  <c r="H229" i="42"/>
  <c r="I229" i="42"/>
  <c r="J229" i="42"/>
  <c r="K229" i="42"/>
  <c r="L229" i="42"/>
  <c r="M229" i="42"/>
  <c r="N229" i="42"/>
  <c r="O229" i="42"/>
  <c r="P229" i="42"/>
  <c r="Q229" i="42"/>
  <c r="R229" i="42"/>
  <c r="S229" i="42"/>
  <c r="T229" i="42"/>
  <c r="G230" i="42"/>
  <c r="H230" i="42"/>
  <c r="I230" i="42"/>
  <c r="J230" i="42"/>
  <c r="K230" i="42"/>
  <c r="L230" i="42"/>
  <c r="M230" i="42"/>
  <c r="N230" i="42"/>
  <c r="O230" i="42"/>
  <c r="P230" i="42"/>
  <c r="Q230" i="42"/>
  <c r="R230" i="42"/>
  <c r="S230" i="42"/>
  <c r="T230" i="42"/>
  <c r="G231" i="42"/>
  <c r="H231" i="42"/>
  <c r="I231" i="42"/>
  <c r="J231" i="42"/>
  <c r="K231" i="42"/>
  <c r="L231" i="42"/>
  <c r="M231" i="42"/>
  <c r="N231" i="42"/>
  <c r="O231" i="42"/>
  <c r="P231" i="42"/>
  <c r="Q231" i="42"/>
  <c r="R231" i="42"/>
  <c r="S231" i="42"/>
  <c r="T231" i="42"/>
  <c r="G232" i="42"/>
  <c r="H232" i="42"/>
  <c r="I232" i="42"/>
  <c r="J232" i="42"/>
  <c r="K232" i="42"/>
  <c r="L232" i="42"/>
  <c r="M232" i="42"/>
  <c r="N232" i="42"/>
  <c r="O232" i="42"/>
  <c r="P232" i="42"/>
  <c r="Q232" i="42"/>
  <c r="R232" i="42"/>
  <c r="S232" i="42"/>
  <c r="T232" i="42"/>
  <c r="G233" i="42"/>
  <c r="H233" i="42"/>
  <c r="I233" i="42"/>
  <c r="J233" i="42"/>
  <c r="K233" i="42"/>
  <c r="L233" i="42"/>
  <c r="M233" i="42"/>
  <c r="N233" i="42"/>
  <c r="O233" i="42"/>
  <c r="P233" i="42"/>
  <c r="Q233" i="42"/>
  <c r="R233" i="42"/>
  <c r="S233" i="42"/>
  <c r="T233" i="42"/>
  <c r="G234" i="42"/>
  <c r="H234" i="42"/>
  <c r="I234" i="42"/>
  <c r="J234" i="42"/>
  <c r="K234" i="42"/>
  <c r="L234" i="42"/>
  <c r="M234" i="42"/>
  <c r="N234" i="42"/>
  <c r="O234" i="42"/>
  <c r="P234" i="42"/>
  <c r="Q234" i="42"/>
  <c r="R234" i="42"/>
  <c r="S234" i="42"/>
  <c r="T234" i="42"/>
  <c r="G235" i="42"/>
  <c r="H235" i="42"/>
  <c r="I235" i="42"/>
  <c r="J235" i="42"/>
  <c r="K235" i="42"/>
  <c r="L235" i="42"/>
  <c r="M235" i="42"/>
  <c r="N235" i="42"/>
  <c r="O235" i="42"/>
  <c r="P235" i="42"/>
  <c r="Q235" i="42"/>
  <c r="R235" i="42"/>
  <c r="S235" i="42"/>
  <c r="T235" i="42"/>
  <c r="G236" i="42"/>
  <c r="H236" i="42"/>
  <c r="I236" i="42"/>
  <c r="J236" i="42"/>
  <c r="K236" i="42"/>
  <c r="L236" i="42"/>
  <c r="M236" i="42"/>
  <c r="N236" i="42"/>
  <c r="O236" i="42"/>
  <c r="P236" i="42"/>
  <c r="Q236" i="42"/>
  <c r="R236" i="42"/>
  <c r="S236" i="42"/>
  <c r="T236" i="42"/>
  <c r="G237" i="42"/>
  <c r="H237" i="42"/>
  <c r="I237" i="42"/>
  <c r="J237" i="42"/>
  <c r="K237" i="42"/>
  <c r="L237" i="42"/>
  <c r="M237" i="42"/>
  <c r="N237" i="42"/>
  <c r="O237" i="42"/>
  <c r="P237" i="42"/>
  <c r="Q237" i="42"/>
  <c r="R237" i="42"/>
  <c r="S237" i="42"/>
  <c r="T237" i="42"/>
  <c r="G238" i="42"/>
  <c r="H238" i="42"/>
  <c r="I238" i="42"/>
  <c r="J238" i="42"/>
  <c r="K238" i="42"/>
  <c r="L238" i="42"/>
  <c r="M238" i="42"/>
  <c r="N238" i="42"/>
  <c r="O238" i="42"/>
  <c r="P238" i="42"/>
  <c r="Q238" i="42"/>
  <c r="R238" i="42"/>
  <c r="S238" i="42"/>
  <c r="T238" i="42"/>
  <c r="G239" i="42"/>
  <c r="H239" i="42"/>
  <c r="I239" i="42"/>
  <c r="J239" i="42"/>
  <c r="K239" i="42"/>
  <c r="L239" i="42"/>
  <c r="M239" i="42"/>
  <c r="N239" i="42"/>
  <c r="O239" i="42"/>
  <c r="P239" i="42"/>
  <c r="Q239" i="42"/>
  <c r="R239" i="42"/>
  <c r="S239" i="42"/>
  <c r="T239" i="42"/>
  <c r="G240" i="42"/>
  <c r="H240" i="42"/>
  <c r="I240" i="42"/>
  <c r="J240" i="42"/>
  <c r="K240" i="42"/>
  <c r="L240" i="42"/>
  <c r="M240" i="42"/>
  <c r="N240" i="42"/>
  <c r="O240" i="42"/>
  <c r="P240" i="42"/>
  <c r="Q240" i="42"/>
  <c r="R240" i="42"/>
  <c r="S240" i="42"/>
  <c r="T240" i="42"/>
  <c r="G241" i="42"/>
  <c r="H241" i="42"/>
  <c r="I241" i="42"/>
  <c r="J241" i="42"/>
  <c r="K241" i="42"/>
  <c r="L241" i="42"/>
  <c r="M241" i="42"/>
  <c r="N241" i="42"/>
  <c r="O241" i="42"/>
  <c r="P241" i="42"/>
  <c r="Q241" i="42"/>
  <c r="R241" i="42"/>
  <c r="S241" i="42"/>
  <c r="T241" i="42"/>
  <c r="G242" i="42"/>
  <c r="H242" i="42"/>
  <c r="I242" i="42"/>
  <c r="J242" i="42"/>
  <c r="K242" i="42"/>
  <c r="L242" i="42"/>
  <c r="M242" i="42"/>
  <c r="N242" i="42"/>
  <c r="O242" i="42"/>
  <c r="P242" i="42"/>
  <c r="Q242" i="42"/>
  <c r="R242" i="42"/>
  <c r="S242" i="42"/>
  <c r="T242" i="42"/>
  <c r="G243" i="42"/>
  <c r="H243" i="42"/>
  <c r="I243" i="42"/>
  <c r="J243" i="42"/>
  <c r="K243" i="42"/>
  <c r="L243" i="42"/>
  <c r="M243" i="42"/>
  <c r="N243" i="42"/>
  <c r="O243" i="42"/>
  <c r="P243" i="42"/>
  <c r="Q243" i="42"/>
  <c r="R243" i="42"/>
  <c r="S243" i="42"/>
  <c r="T243" i="42"/>
  <c r="G244" i="42"/>
  <c r="H244" i="42"/>
  <c r="I244" i="42"/>
  <c r="J244" i="42"/>
  <c r="K244" i="42"/>
  <c r="L244" i="42"/>
  <c r="M244" i="42"/>
  <c r="N244" i="42"/>
  <c r="O244" i="42"/>
  <c r="P244" i="42"/>
  <c r="Q244" i="42"/>
  <c r="R244" i="42"/>
  <c r="S244" i="42"/>
  <c r="T244" i="42"/>
  <c r="G245" i="42"/>
  <c r="H245" i="42"/>
  <c r="I245" i="42"/>
  <c r="J245" i="42"/>
  <c r="K245" i="42"/>
  <c r="L245" i="42"/>
  <c r="M245" i="42"/>
  <c r="N245" i="42"/>
  <c r="O245" i="42"/>
  <c r="P245" i="42"/>
  <c r="Q245" i="42"/>
  <c r="R245" i="42"/>
  <c r="S245" i="42"/>
  <c r="T245" i="42"/>
  <c r="G246" i="42"/>
  <c r="H246" i="42"/>
  <c r="I246" i="42"/>
  <c r="J246" i="42"/>
  <c r="K246" i="42"/>
  <c r="L246" i="42"/>
  <c r="M246" i="42"/>
  <c r="N246" i="42"/>
  <c r="O246" i="42"/>
  <c r="P246" i="42"/>
  <c r="Q246" i="42"/>
  <c r="R246" i="42"/>
  <c r="S246" i="42"/>
  <c r="T246" i="42"/>
  <c r="G247" i="42"/>
  <c r="H247" i="42"/>
  <c r="I247" i="42"/>
  <c r="J247" i="42"/>
  <c r="K247" i="42"/>
  <c r="L247" i="42"/>
  <c r="M247" i="42"/>
  <c r="N247" i="42"/>
  <c r="O247" i="42"/>
  <c r="P247" i="42"/>
  <c r="Q247" i="42"/>
  <c r="R247" i="42"/>
  <c r="S247" i="42"/>
  <c r="T247" i="42"/>
  <c r="G248" i="42"/>
  <c r="H248" i="42"/>
  <c r="I248" i="42"/>
  <c r="J248" i="42"/>
  <c r="K248" i="42"/>
  <c r="L248" i="42"/>
  <c r="M248" i="42"/>
  <c r="N248" i="42"/>
  <c r="O248" i="42"/>
  <c r="P248" i="42"/>
  <c r="Q248" i="42"/>
  <c r="R248" i="42"/>
  <c r="S248" i="42"/>
  <c r="T248" i="42"/>
  <c r="G249" i="42"/>
  <c r="H249" i="42"/>
  <c r="I249" i="42"/>
  <c r="J249" i="42"/>
  <c r="K249" i="42"/>
  <c r="L249" i="42"/>
  <c r="M249" i="42"/>
  <c r="N249" i="42"/>
  <c r="O249" i="42"/>
  <c r="P249" i="42"/>
  <c r="Q249" i="42"/>
  <c r="R249" i="42"/>
  <c r="S249" i="42"/>
  <c r="T249" i="42"/>
  <c r="G250" i="42"/>
  <c r="H250" i="42"/>
  <c r="I250" i="42"/>
  <c r="J250" i="42"/>
  <c r="K250" i="42"/>
  <c r="L250" i="42"/>
  <c r="M250" i="42"/>
  <c r="N250" i="42"/>
  <c r="O250" i="42"/>
  <c r="P250" i="42"/>
  <c r="Q250" i="42"/>
  <c r="R250" i="42"/>
  <c r="S250" i="42"/>
  <c r="T250" i="42"/>
  <c r="G251" i="42"/>
  <c r="H251" i="42"/>
  <c r="I251" i="42"/>
  <c r="J251" i="42"/>
  <c r="K251" i="42"/>
  <c r="L251" i="42"/>
  <c r="M251" i="42"/>
  <c r="N251" i="42"/>
  <c r="O251" i="42"/>
  <c r="P251" i="42"/>
  <c r="Q251" i="42"/>
  <c r="R251" i="42"/>
  <c r="S251" i="42"/>
  <c r="T251" i="42"/>
  <c r="G252" i="42"/>
  <c r="H252" i="42"/>
  <c r="I252" i="42"/>
  <c r="J252" i="42"/>
  <c r="K252" i="42"/>
  <c r="L252" i="42"/>
  <c r="M252" i="42"/>
  <c r="N252" i="42"/>
  <c r="O252" i="42"/>
  <c r="P252" i="42"/>
  <c r="Q252" i="42"/>
  <c r="R252" i="42"/>
  <c r="S252" i="42"/>
  <c r="T252" i="42"/>
  <c r="G253" i="42"/>
  <c r="H253" i="42"/>
  <c r="I253" i="42"/>
  <c r="J253" i="42"/>
  <c r="K253" i="42"/>
  <c r="L253" i="42"/>
  <c r="M253" i="42"/>
  <c r="N253" i="42"/>
  <c r="O253" i="42"/>
  <c r="P253" i="42"/>
  <c r="Q253" i="42"/>
  <c r="R253" i="42"/>
  <c r="S253" i="42"/>
  <c r="T253" i="42"/>
  <c r="G254" i="42"/>
  <c r="H254" i="42"/>
  <c r="I254" i="42"/>
  <c r="J254" i="42"/>
  <c r="K254" i="42"/>
  <c r="L254" i="42"/>
  <c r="M254" i="42"/>
  <c r="N254" i="42"/>
  <c r="O254" i="42"/>
  <c r="P254" i="42"/>
  <c r="Q254" i="42"/>
  <c r="R254" i="42"/>
  <c r="S254" i="42"/>
  <c r="T254" i="42"/>
  <c r="G255" i="42"/>
  <c r="H255" i="42"/>
  <c r="I255" i="42"/>
  <c r="J255" i="42"/>
  <c r="K255" i="42"/>
  <c r="L255" i="42"/>
  <c r="M255" i="42"/>
  <c r="N255" i="42"/>
  <c r="O255" i="42"/>
  <c r="P255" i="42"/>
  <c r="Q255" i="42"/>
  <c r="R255" i="42"/>
  <c r="S255" i="42"/>
  <c r="T255" i="42"/>
  <c r="G256" i="42"/>
  <c r="H256" i="42"/>
  <c r="I256" i="42"/>
  <c r="J256" i="42"/>
  <c r="K256" i="42"/>
  <c r="L256" i="42"/>
  <c r="M256" i="42"/>
  <c r="N256" i="42"/>
  <c r="O256" i="42"/>
  <c r="P256" i="42"/>
  <c r="Q256" i="42"/>
  <c r="R256" i="42"/>
  <c r="S256" i="42"/>
  <c r="T256" i="42"/>
  <c r="G257" i="42"/>
  <c r="H257" i="42"/>
  <c r="I257" i="42"/>
  <c r="J257" i="42"/>
  <c r="K257" i="42"/>
  <c r="L257" i="42"/>
  <c r="M257" i="42"/>
  <c r="N257" i="42"/>
  <c r="O257" i="42"/>
  <c r="P257" i="42"/>
  <c r="Q257" i="42"/>
  <c r="R257" i="42"/>
  <c r="S257" i="42"/>
  <c r="T257" i="42"/>
  <c r="G258" i="42"/>
  <c r="H258" i="42"/>
  <c r="I258" i="42"/>
  <c r="J258" i="42"/>
  <c r="K258" i="42"/>
  <c r="L258" i="42"/>
  <c r="M258" i="42"/>
  <c r="N258" i="42"/>
  <c r="O258" i="42"/>
  <c r="P258" i="42"/>
  <c r="Q258" i="42"/>
  <c r="R258" i="42"/>
  <c r="S258" i="42"/>
  <c r="T258" i="42"/>
  <c r="G259" i="42"/>
  <c r="H259" i="42"/>
  <c r="I259" i="42"/>
  <c r="J259" i="42"/>
  <c r="K259" i="42"/>
  <c r="L259" i="42"/>
  <c r="M259" i="42"/>
  <c r="N259" i="42"/>
  <c r="O259" i="42"/>
  <c r="P259" i="42"/>
  <c r="Q259" i="42"/>
  <c r="R259" i="42"/>
  <c r="S259" i="42"/>
  <c r="T259" i="42"/>
  <c r="G260" i="42"/>
  <c r="H260" i="42"/>
  <c r="I260" i="42"/>
  <c r="J260" i="42"/>
  <c r="K260" i="42"/>
  <c r="L260" i="42"/>
  <c r="M260" i="42"/>
  <c r="N260" i="42"/>
  <c r="O260" i="42"/>
  <c r="P260" i="42"/>
  <c r="Q260" i="42"/>
  <c r="R260" i="42"/>
  <c r="S260" i="42"/>
  <c r="T260" i="42"/>
  <c r="G261" i="42"/>
  <c r="H261" i="42"/>
  <c r="I261" i="42"/>
  <c r="J261" i="42"/>
  <c r="K261" i="42"/>
  <c r="L261" i="42"/>
  <c r="M261" i="42"/>
  <c r="N261" i="42"/>
  <c r="O261" i="42"/>
  <c r="P261" i="42"/>
  <c r="Q261" i="42"/>
  <c r="R261" i="42"/>
  <c r="S261" i="42"/>
  <c r="T261" i="42"/>
  <c r="G262" i="42"/>
  <c r="H262" i="42"/>
  <c r="I262" i="42"/>
  <c r="J262" i="42"/>
  <c r="K262" i="42"/>
  <c r="L262" i="42"/>
  <c r="M262" i="42"/>
  <c r="N262" i="42"/>
  <c r="O262" i="42"/>
  <c r="P262" i="42"/>
  <c r="Q262" i="42"/>
  <c r="R262" i="42"/>
  <c r="S262" i="42"/>
  <c r="T262" i="42"/>
  <c r="G263" i="42"/>
  <c r="H263" i="42"/>
  <c r="I263" i="42"/>
  <c r="J263" i="42"/>
  <c r="K263" i="42"/>
  <c r="L263" i="42"/>
  <c r="M263" i="42"/>
  <c r="N263" i="42"/>
  <c r="O263" i="42"/>
  <c r="P263" i="42"/>
  <c r="Q263" i="42"/>
  <c r="R263" i="42"/>
  <c r="S263" i="42"/>
  <c r="T263" i="42"/>
  <c r="G264" i="42"/>
  <c r="H264" i="42"/>
  <c r="I264" i="42"/>
  <c r="J264" i="42"/>
  <c r="K264" i="42"/>
  <c r="L264" i="42"/>
  <c r="M264" i="42"/>
  <c r="N264" i="42"/>
  <c r="O264" i="42"/>
  <c r="P264" i="42"/>
  <c r="Q264" i="42"/>
  <c r="R264" i="42"/>
  <c r="S264" i="42"/>
  <c r="T264" i="42"/>
  <c r="G265" i="42"/>
  <c r="H265" i="42"/>
  <c r="I265" i="42"/>
  <c r="J265" i="42"/>
  <c r="K265" i="42"/>
  <c r="L265" i="42"/>
  <c r="M265" i="42"/>
  <c r="N265" i="42"/>
  <c r="O265" i="42"/>
  <c r="P265" i="42"/>
  <c r="Q265" i="42"/>
  <c r="R265" i="42"/>
  <c r="S265" i="42"/>
  <c r="T265" i="42"/>
  <c r="G266" i="42"/>
  <c r="H266" i="42"/>
  <c r="I266" i="42"/>
  <c r="J266" i="42"/>
  <c r="K266" i="42"/>
  <c r="L266" i="42"/>
  <c r="M266" i="42"/>
  <c r="N266" i="42"/>
  <c r="O266" i="42"/>
  <c r="P266" i="42"/>
  <c r="Q266" i="42"/>
  <c r="R266" i="42"/>
  <c r="S266" i="42"/>
  <c r="T266" i="42"/>
  <c r="G267" i="42"/>
  <c r="H267" i="42"/>
  <c r="I267" i="42"/>
  <c r="J267" i="42"/>
  <c r="K267" i="42"/>
  <c r="L267" i="42"/>
  <c r="M267" i="42"/>
  <c r="N267" i="42"/>
  <c r="O267" i="42"/>
  <c r="P267" i="42"/>
  <c r="Q267" i="42"/>
  <c r="R267" i="42"/>
  <c r="S267" i="42"/>
  <c r="T267" i="42"/>
  <c r="G268" i="42"/>
  <c r="H268" i="42"/>
  <c r="I268" i="42"/>
  <c r="J268" i="42"/>
  <c r="K268" i="42"/>
  <c r="L268" i="42"/>
  <c r="M268" i="42"/>
  <c r="N268" i="42"/>
  <c r="O268" i="42"/>
  <c r="P268" i="42"/>
  <c r="Q268" i="42"/>
  <c r="R268" i="42"/>
  <c r="S268" i="42"/>
  <c r="T268" i="42"/>
  <c r="G269" i="42"/>
  <c r="H269" i="42"/>
  <c r="I269" i="42"/>
  <c r="J269" i="42"/>
  <c r="K269" i="42"/>
  <c r="L269" i="42"/>
  <c r="M269" i="42"/>
  <c r="N269" i="42"/>
  <c r="O269" i="42"/>
  <c r="P269" i="42"/>
  <c r="Q269" i="42"/>
  <c r="R269" i="42"/>
  <c r="S269" i="42"/>
  <c r="T269" i="42"/>
  <c r="G270" i="42"/>
  <c r="H270" i="42"/>
  <c r="I270" i="42"/>
  <c r="J270" i="42"/>
  <c r="K270" i="42"/>
  <c r="L270" i="42"/>
  <c r="M270" i="42"/>
  <c r="N270" i="42"/>
  <c r="O270" i="42"/>
  <c r="P270" i="42"/>
  <c r="Q270" i="42"/>
  <c r="R270" i="42"/>
  <c r="S270" i="42"/>
  <c r="T270" i="42"/>
  <c r="G271" i="42"/>
  <c r="H271" i="42"/>
  <c r="I271" i="42"/>
  <c r="J271" i="42"/>
  <c r="K271" i="42"/>
  <c r="L271" i="42"/>
  <c r="M271" i="42"/>
  <c r="N271" i="42"/>
  <c r="O271" i="42"/>
  <c r="P271" i="42"/>
  <c r="Q271" i="42"/>
  <c r="R271" i="42"/>
  <c r="S271" i="42"/>
  <c r="T271" i="42"/>
  <c r="G272" i="42"/>
  <c r="H272" i="42"/>
  <c r="I272" i="42"/>
  <c r="J272" i="42"/>
  <c r="K272" i="42"/>
  <c r="L272" i="42"/>
  <c r="M272" i="42"/>
  <c r="N272" i="42"/>
  <c r="O272" i="42"/>
  <c r="P272" i="42"/>
  <c r="Q272" i="42"/>
  <c r="R272" i="42"/>
  <c r="S272" i="42"/>
  <c r="T272" i="42"/>
  <c r="G273" i="42"/>
  <c r="H273" i="42"/>
  <c r="I273" i="42"/>
  <c r="J273" i="42"/>
  <c r="K273" i="42"/>
  <c r="L273" i="42"/>
  <c r="M273" i="42"/>
  <c r="N273" i="42"/>
  <c r="O273" i="42"/>
  <c r="P273" i="42"/>
  <c r="Q273" i="42"/>
  <c r="R273" i="42"/>
  <c r="S273" i="42"/>
  <c r="T273" i="42"/>
  <c r="G274" i="42"/>
  <c r="H274" i="42"/>
  <c r="I274" i="42"/>
  <c r="J274" i="42"/>
  <c r="K274" i="42"/>
  <c r="L274" i="42"/>
  <c r="M274" i="42"/>
  <c r="N274" i="42"/>
  <c r="O274" i="42"/>
  <c r="P274" i="42"/>
  <c r="Q274" i="42"/>
  <c r="R274" i="42"/>
  <c r="S274" i="42"/>
  <c r="T274" i="42"/>
  <c r="G275" i="42"/>
  <c r="H275" i="42"/>
  <c r="I275" i="42"/>
  <c r="J275" i="42"/>
  <c r="K275" i="42"/>
  <c r="L275" i="42"/>
  <c r="M275" i="42"/>
  <c r="N275" i="42"/>
  <c r="O275" i="42"/>
  <c r="P275" i="42"/>
  <c r="Q275" i="42"/>
  <c r="R275" i="42"/>
  <c r="S275" i="42"/>
  <c r="T275" i="42"/>
  <c r="G276" i="42"/>
  <c r="H276" i="42"/>
  <c r="I276" i="42"/>
  <c r="J276" i="42"/>
  <c r="K276" i="42"/>
  <c r="L276" i="42"/>
  <c r="M276" i="42"/>
  <c r="N276" i="42"/>
  <c r="O276" i="42"/>
  <c r="P276" i="42"/>
  <c r="Q276" i="42"/>
  <c r="R276" i="42"/>
  <c r="S276" i="42"/>
  <c r="T276" i="42"/>
  <c r="G277" i="42"/>
  <c r="H277" i="42"/>
  <c r="I277" i="42"/>
  <c r="J277" i="42"/>
  <c r="K277" i="42"/>
  <c r="L277" i="42"/>
  <c r="M277" i="42"/>
  <c r="N277" i="42"/>
  <c r="O277" i="42"/>
  <c r="P277" i="42"/>
  <c r="Q277" i="42"/>
  <c r="R277" i="42"/>
  <c r="S277" i="42"/>
  <c r="T277" i="42"/>
  <c r="G278" i="42"/>
  <c r="H278" i="42"/>
  <c r="I278" i="42"/>
  <c r="J278" i="42"/>
  <c r="K278" i="42"/>
  <c r="L278" i="42"/>
  <c r="M278" i="42"/>
  <c r="N278" i="42"/>
  <c r="O278" i="42"/>
  <c r="P278" i="42"/>
  <c r="Q278" i="42"/>
  <c r="R278" i="42"/>
  <c r="S278" i="42"/>
  <c r="T278" i="42"/>
  <c r="G279" i="42"/>
  <c r="H279" i="42"/>
  <c r="I279" i="42"/>
  <c r="J279" i="42"/>
  <c r="K279" i="42"/>
  <c r="L279" i="42"/>
  <c r="M279" i="42"/>
  <c r="N279" i="42"/>
  <c r="O279" i="42"/>
  <c r="P279" i="42"/>
  <c r="Q279" i="42"/>
  <c r="R279" i="42"/>
  <c r="S279" i="42"/>
  <c r="T279" i="42"/>
  <c r="G280" i="42"/>
  <c r="H280" i="42"/>
  <c r="I280" i="42"/>
  <c r="J280" i="42"/>
  <c r="K280" i="42"/>
  <c r="L280" i="42"/>
  <c r="M280" i="42"/>
  <c r="N280" i="42"/>
  <c r="O280" i="42"/>
  <c r="P280" i="42"/>
  <c r="Q280" i="42"/>
  <c r="R280" i="42"/>
  <c r="S280" i="42"/>
  <c r="T280" i="42"/>
  <c r="G281" i="42"/>
  <c r="H281" i="42"/>
  <c r="I281" i="42"/>
  <c r="J281" i="42"/>
  <c r="K281" i="42"/>
  <c r="L281" i="42"/>
  <c r="M281" i="42"/>
  <c r="N281" i="42"/>
  <c r="O281" i="42"/>
  <c r="P281" i="42"/>
  <c r="Q281" i="42"/>
  <c r="R281" i="42"/>
  <c r="S281" i="42"/>
  <c r="T281" i="42"/>
  <c r="G282" i="42"/>
  <c r="H282" i="42"/>
  <c r="I282" i="42"/>
  <c r="J282" i="42"/>
  <c r="K282" i="42"/>
  <c r="L282" i="42"/>
  <c r="M282" i="42"/>
  <c r="N282" i="42"/>
  <c r="O282" i="42"/>
  <c r="P282" i="42"/>
  <c r="Q282" i="42"/>
  <c r="R282" i="42"/>
  <c r="S282" i="42"/>
  <c r="T282" i="42"/>
  <c r="G283" i="42"/>
  <c r="H283" i="42"/>
  <c r="I283" i="42"/>
  <c r="J283" i="42"/>
  <c r="K283" i="42"/>
  <c r="L283" i="42"/>
  <c r="M283" i="42"/>
  <c r="N283" i="42"/>
  <c r="O283" i="42"/>
  <c r="P283" i="42"/>
  <c r="Q283" i="42"/>
  <c r="R283" i="42"/>
  <c r="S283" i="42"/>
  <c r="T283" i="42"/>
  <c r="G284" i="42"/>
  <c r="H284" i="42"/>
  <c r="I284" i="42"/>
  <c r="J284" i="42"/>
  <c r="K284" i="42"/>
  <c r="L284" i="42"/>
  <c r="M284" i="42"/>
  <c r="N284" i="42"/>
  <c r="O284" i="42"/>
  <c r="P284" i="42"/>
  <c r="Q284" i="42"/>
  <c r="R284" i="42"/>
  <c r="S284" i="42"/>
  <c r="T284" i="42"/>
  <c r="G285" i="42"/>
  <c r="H285" i="42"/>
  <c r="I285" i="42"/>
  <c r="J285" i="42"/>
  <c r="K285" i="42"/>
  <c r="L285" i="42"/>
  <c r="M285" i="42"/>
  <c r="N285" i="42"/>
  <c r="O285" i="42"/>
  <c r="P285" i="42"/>
  <c r="Q285" i="42"/>
  <c r="R285" i="42"/>
  <c r="S285" i="42"/>
  <c r="T285" i="42"/>
  <c r="G286" i="42"/>
  <c r="H286" i="42"/>
  <c r="I286" i="42"/>
  <c r="J286" i="42"/>
  <c r="K286" i="42"/>
  <c r="L286" i="42"/>
  <c r="M286" i="42"/>
  <c r="N286" i="42"/>
  <c r="O286" i="42"/>
  <c r="P286" i="42"/>
  <c r="Q286" i="42"/>
  <c r="R286" i="42"/>
  <c r="S286" i="42"/>
  <c r="T286" i="42"/>
  <c r="G287" i="42"/>
  <c r="H287" i="42"/>
  <c r="I287" i="42"/>
  <c r="J287" i="42"/>
  <c r="K287" i="42"/>
  <c r="L287" i="42"/>
  <c r="M287" i="42"/>
  <c r="N287" i="42"/>
  <c r="O287" i="42"/>
  <c r="P287" i="42"/>
  <c r="Q287" i="42"/>
  <c r="R287" i="42"/>
  <c r="S287" i="42"/>
  <c r="T287" i="42"/>
  <c r="G288" i="42"/>
  <c r="H288" i="42"/>
  <c r="I288" i="42"/>
  <c r="J288" i="42"/>
  <c r="K288" i="42"/>
  <c r="L288" i="42"/>
  <c r="M288" i="42"/>
  <c r="N288" i="42"/>
  <c r="O288" i="42"/>
  <c r="P288" i="42"/>
  <c r="Q288" i="42"/>
  <c r="R288" i="42"/>
  <c r="S288" i="42"/>
  <c r="T288" i="42"/>
  <c r="G289" i="42"/>
  <c r="H289" i="42"/>
  <c r="I289" i="42"/>
  <c r="J289" i="42"/>
  <c r="K289" i="42"/>
  <c r="L289" i="42"/>
  <c r="M289" i="42"/>
  <c r="N289" i="42"/>
  <c r="O289" i="42"/>
  <c r="P289" i="42"/>
  <c r="Q289" i="42"/>
  <c r="R289" i="42"/>
  <c r="S289" i="42"/>
  <c r="T289" i="42"/>
  <c r="G290" i="42"/>
  <c r="H290" i="42"/>
  <c r="I290" i="42"/>
  <c r="J290" i="42"/>
  <c r="K290" i="42"/>
  <c r="L290" i="42"/>
  <c r="M290" i="42"/>
  <c r="N290" i="42"/>
  <c r="O290" i="42"/>
  <c r="P290" i="42"/>
  <c r="Q290" i="42"/>
  <c r="R290" i="42"/>
  <c r="S290" i="42"/>
  <c r="T290" i="42"/>
  <c r="G291" i="42"/>
  <c r="H291" i="42"/>
  <c r="I291" i="42"/>
  <c r="J291" i="42"/>
  <c r="K291" i="42"/>
  <c r="L291" i="42"/>
  <c r="M291" i="42"/>
  <c r="N291" i="42"/>
  <c r="O291" i="42"/>
  <c r="P291" i="42"/>
  <c r="Q291" i="42"/>
  <c r="R291" i="42"/>
  <c r="S291" i="42"/>
  <c r="T291" i="42"/>
  <c r="G292" i="42"/>
  <c r="H292" i="42"/>
  <c r="I292" i="42"/>
  <c r="J292" i="42"/>
  <c r="K292" i="42"/>
  <c r="L292" i="42"/>
  <c r="M292" i="42"/>
  <c r="N292" i="42"/>
  <c r="O292" i="42"/>
  <c r="P292" i="42"/>
  <c r="Q292" i="42"/>
  <c r="R292" i="42"/>
  <c r="S292" i="42"/>
  <c r="T292" i="42"/>
  <c r="G293" i="42"/>
  <c r="H293" i="42"/>
  <c r="I293" i="42"/>
  <c r="J293" i="42"/>
  <c r="K293" i="42"/>
  <c r="L293" i="42"/>
  <c r="M293" i="42"/>
  <c r="N293" i="42"/>
  <c r="O293" i="42"/>
  <c r="P293" i="42"/>
  <c r="Q293" i="42"/>
  <c r="R293" i="42"/>
  <c r="S293" i="42"/>
  <c r="T293" i="42"/>
  <c r="G294" i="42"/>
  <c r="H294" i="42"/>
  <c r="I294" i="42"/>
  <c r="J294" i="42"/>
  <c r="K294" i="42"/>
  <c r="L294" i="42"/>
  <c r="M294" i="42"/>
  <c r="N294" i="42"/>
  <c r="O294" i="42"/>
  <c r="P294" i="42"/>
  <c r="Q294" i="42"/>
  <c r="R294" i="42"/>
  <c r="S294" i="42"/>
  <c r="T294" i="42"/>
  <c r="G295" i="42"/>
  <c r="H295" i="42"/>
  <c r="I295" i="42"/>
  <c r="J295" i="42"/>
  <c r="K295" i="42"/>
  <c r="L295" i="42"/>
  <c r="M295" i="42"/>
  <c r="N295" i="42"/>
  <c r="O295" i="42"/>
  <c r="P295" i="42"/>
  <c r="Q295" i="42"/>
  <c r="R295" i="42"/>
  <c r="S295" i="42"/>
  <c r="T295" i="42"/>
  <c r="G296" i="42"/>
  <c r="H296" i="42"/>
  <c r="I296" i="42"/>
  <c r="J296" i="42"/>
  <c r="K296" i="42"/>
  <c r="L296" i="42"/>
  <c r="M296" i="42"/>
  <c r="N296" i="42"/>
  <c r="O296" i="42"/>
  <c r="P296" i="42"/>
  <c r="Q296" i="42"/>
  <c r="R296" i="42"/>
  <c r="S296" i="42"/>
  <c r="T296" i="42"/>
  <c r="G297" i="42"/>
  <c r="H297" i="42"/>
  <c r="I297" i="42"/>
  <c r="J297" i="42"/>
  <c r="K297" i="42"/>
  <c r="L297" i="42"/>
  <c r="M297" i="42"/>
  <c r="N297" i="42"/>
  <c r="O297" i="42"/>
  <c r="P297" i="42"/>
  <c r="Q297" i="42"/>
  <c r="R297" i="42"/>
  <c r="S297" i="42"/>
  <c r="T297" i="42"/>
  <c r="G298" i="42"/>
  <c r="H298" i="42"/>
  <c r="I298" i="42"/>
  <c r="J298" i="42"/>
  <c r="K298" i="42"/>
  <c r="L298" i="42"/>
  <c r="M298" i="42"/>
  <c r="N298" i="42"/>
  <c r="O298" i="42"/>
  <c r="P298" i="42"/>
  <c r="Q298" i="42"/>
  <c r="R298" i="42"/>
  <c r="S298" i="42"/>
  <c r="T298" i="42"/>
  <c r="G299" i="42"/>
  <c r="H299" i="42"/>
  <c r="I299" i="42"/>
  <c r="J299" i="42"/>
  <c r="K299" i="42"/>
  <c r="L299" i="42"/>
  <c r="M299" i="42"/>
  <c r="N299" i="42"/>
  <c r="O299" i="42"/>
  <c r="P299" i="42"/>
  <c r="Q299" i="42"/>
  <c r="R299" i="42"/>
  <c r="S299" i="42"/>
  <c r="T299" i="42"/>
  <c r="G300" i="42"/>
  <c r="H300" i="42"/>
  <c r="I300" i="42"/>
  <c r="J300" i="42"/>
  <c r="K300" i="42"/>
  <c r="L300" i="42"/>
  <c r="M300" i="42"/>
  <c r="N300" i="42"/>
  <c r="O300" i="42"/>
  <c r="P300" i="42"/>
  <c r="Q300" i="42"/>
  <c r="R300" i="42"/>
  <c r="S300" i="42"/>
  <c r="T300" i="42"/>
  <c r="G301" i="42"/>
  <c r="H301" i="42"/>
  <c r="I301" i="42"/>
  <c r="J301" i="42"/>
  <c r="K301" i="42"/>
  <c r="L301" i="42"/>
  <c r="M301" i="42"/>
  <c r="N301" i="42"/>
  <c r="O301" i="42"/>
  <c r="P301" i="42"/>
  <c r="Q301" i="42"/>
  <c r="R301" i="42"/>
  <c r="S301" i="42"/>
  <c r="T301" i="42"/>
  <c r="G302" i="42"/>
  <c r="H302" i="42"/>
  <c r="I302" i="42"/>
  <c r="J302" i="42"/>
  <c r="K302" i="42"/>
  <c r="L302" i="42"/>
  <c r="M302" i="42"/>
  <c r="N302" i="42"/>
  <c r="O302" i="42"/>
  <c r="P302" i="42"/>
  <c r="Q302" i="42"/>
  <c r="R302" i="42"/>
  <c r="S302" i="42"/>
  <c r="T302" i="42"/>
  <c r="G303" i="42"/>
  <c r="H303" i="42"/>
  <c r="I303" i="42"/>
  <c r="J303" i="42"/>
  <c r="K303" i="42"/>
  <c r="L303" i="42"/>
  <c r="M303" i="42"/>
  <c r="N303" i="42"/>
  <c r="O303" i="42"/>
  <c r="P303" i="42"/>
  <c r="Q303" i="42"/>
  <c r="R303" i="42"/>
  <c r="S303" i="42"/>
  <c r="T303" i="42"/>
  <c r="G304" i="42"/>
  <c r="H304" i="42"/>
  <c r="I304" i="42"/>
  <c r="J304" i="42"/>
  <c r="K304" i="42"/>
  <c r="L304" i="42"/>
  <c r="M304" i="42"/>
  <c r="N304" i="42"/>
  <c r="O304" i="42"/>
  <c r="P304" i="42"/>
  <c r="Q304" i="42"/>
  <c r="R304" i="42"/>
  <c r="S304" i="42"/>
  <c r="T304" i="42"/>
  <c r="G305" i="42"/>
  <c r="H305" i="42"/>
  <c r="I305" i="42"/>
  <c r="J305" i="42"/>
  <c r="K305" i="42"/>
  <c r="L305" i="42"/>
  <c r="M305" i="42"/>
  <c r="N305" i="42"/>
  <c r="O305" i="42"/>
  <c r="P305" i="42"/>
  <c r="Q305" i="42"/>
  <c r="R305" i="42"/>
  <c r="S305" i="42"/>
  <c r="T305" i="42"/>
  <c r="G306" i="42"/>
  <c r="H306" i="42"/>
  <c r="I306" i="42"/>
  <c r="J306" i="42"/>
  <c r="K306" i="42"/>
  <c r="L306" i="42"/>
  <c r="M306" i="42"/>
  <c r="N306" i="42"/>
  <c r="O306" i="42"/>
  <c r="P306" i="42"/>
  <c r="Q306" i="42"/>
  <c r="R306" i="42"/>
  <c r="S306" i="42"/>
  <c r="T306" i="42"/>
  <c r="G307" i="42"/>
  <c r="H307" i="42"/>
  <c r="I307" i="42"/>
  <c r="J307" i="42"/>
  <c r="K307" i="42"/>
  <c r="L307" i="42"/>
  <c r="M307" i="42"/>
  <c r="N307" i="42"/>
  <c r="O307" i="42"/>
  <c r="P307" i="42"/>
  <c r="Q307" i="42"/>
  <c r="R307" i="42"/>
  <c r="S307" i="42"/>
  <c r="T307" i="42"/>
  <c r="G308" i="42"/>
  <c r="H308" i="42"/>
  <c r="I308" i="42"/>
  <c r="J308" i="42"/>
  <c r="K308" i="42"/>
  <c r="L308" i="42"/>
  <c r="M308" i="42"/>
  <c r="N308" i="42"/>
  <c r="O308" i="42"/>
  <c r="P308" i="42"/>
  <c r="Q308" i="42"/>
  <c r="R308" i="42"/>
  <c r="S308" i="42"/>
  <c r="T308" i="42"/>
  <c r="G309" i="42"/>
  <c r="H309" i="42"/>
  <c r="I309" i="42"/>
  <c r="J309" i="42"/>
  <c r="K309" i="42"/>
  <c r="L309" i="42"/>
  <c r="M309" i="42"/>
  <c r="N309" i="42"/>
  <c r="O309" i="42"/>
  <c r="P309" i="42"/>
  <c r="Q309" i="42"/>
  <c r="R309" i="42"/>
  <c r="S309" i="42"/>
  <c r="T309" i="42"/>
  <c r="G310" i="42"/>
  <c r="H310" i="42"/>
  <c r="I310" i="42"/>
  <c r="J310" i="42"/>
  <c r="K310" i="42"/>
  <c r="L310" i="42"/>
  <c r="M310" i="42"/>
  <c r="N310" i="42"/>
  <c r="O310" i="42"/>
  <c r="P310" i="42"/>
  <c r="Q310" i="42"/>
  <c r="R310" i="42"/>
  <c r="S310" i="42"/>
  <c r="T310" i="42"/>
  <c r="G311" i="42"/>
  <c r="H311" i="42"/>
  <c r="I311" i="42"/>
  <c r="J311" i="42"/>
  <c r="K311" i="42"/>
  <c r="L311" i="42"/>
  <c r="M311" i="42"/>
  <c r="N311" i="42"/>
  <c r="O311" i="42"/>
  <c r="P311" i="42"/>
  <c r="Q311" i="42"/>
  <c r="R311" i="42"/>
  <c r="S311" i="42"/>
  <c r="T311" i="42"/>
  <c r="G312" i="42"/>
  <c r="H312" i="42"/>
  <c r="I312" i="42"/>
  <c r="J312" i="42"/>
  <c r="K312" i="42"/>
  <c r="L312" i="42"/>
  <c r="M312" i="42"/>
  <c r="N312" i="42"/>
  <c r="O312" i="42"/>
  <c r="P312" i="42"/>
  <c r="Q312" i="42"/>
  <c r="R312" i="42"/>
  <c r="S312" i="42"/>
  <c r="T312" i="42"/>
  <c r="G313" i="42"/>
  <c r="H313" i="42"/>
  <c r="I313" i="42"/>
  <c r="J313" i="42"/>
  <c r="K313" i="42"/>
  <c r="L313" i="42"/>
  <c r="M313" i="42"/>
  <c r="N313" i="42"/>
  <c r="O313" i="42"/>
  <c r="P313" i="42"/>
  <c r="Q313" i="42"/>
  <c r="R313" i="42"/>
  <c r="S313" i="42"/>
  <c r="T313" i="42"/>
  <c r="G314" i="42"/>
  <c r="H314" i="42"/>
  <c r="I314" i="42"/>
  <c r="J314" i="42"/>
  <c r="K314" i="42"/>
  <c r="L314" i="42"/>
  <c r="M314" i="42"/>
  <c r="N314" i="42"/>
  <c r="O314" i="42"/>
  <c r="P314" i="42"/>
  <c r="Q314" i="42"/>
  <c r="R314" i="42"/>
  <c r="S314" i="42"/>
  <c r="T314" i="42"/>
  <c r="S4" i="42"/>
  <c r="T4" i="42"/>
  <c r="R4" i="42"/>
  <c r="H4" i="42"/>
  <c r="I4" i="42"/>
  <c r="J4" i="42"/>
  <c r="K4" i="42"/>
  <c r="L4" i="42"/>
  <c r="M4" i="42"/>
  <c r="N4" i="42"/>
  <c r="O4" i="42"/>
  <c r="P4" i="42"/>
  <c r="Q4" i="42"/>
  <c r="G4" i="42"/>
  <c r="U245" i="42"/>
  <c r="E245" i="44" s="1"/>
  <c r="G245" i="44" s="1"/>
  <c r="R245" i="44" s="1"/>
  <c r="U217" i="42"/>
  <c r="E217" i="44" s="1"/>
  <c r="G217" i="44" s="1"/>
  <c r="R217" i="44" s="1"/>
  <c r="U213" i="42"/>
  <c r="E213" i="44" s="1"/>
  <c r="G213" i="44" s="1"/>
  <c r="R213" i="44" s="1"/>
  <c r="U209" i="42"/>
  <c r="E209" i="44" s="1"/>
  <c r="G209" i="44" s="1"/>
  <c r="R209" i="44" s="1"/>
  <c r="U201" i="42"/>
  <c r="E201" i="44" s="1"/>
  <c r="G201" i="44" s="1"/>
  <c r="R201" i="44" s="1"/>
  <c r="U197" i="42"/>
  <c r="E197" i="44" s="1"/>
  <c r="G197" i="44" s="1"/>
  <c r="R197" i="44" s="1"/>
  <c r="U193" i="42"/>
  <c r="E193" i="44" s="1"/>
  <c r="G193" i="44" s="1"/>
  <c r="R193" i="44" s="1"/>
  <c r="U189" i="42"/>
  <c r="E189" i="44" s="1"/>
  <c r="G189" i="44" s="1"/>
  <c r="R189" i="44" s="1"/>
  <c r="U185" i="42"/>
  <c r="E185" i="44" s="1"/>
  <c r="G185" i="44" s="1"/>
  <c r="R185" i="44" s="1"/>
  <c r="U181" i="42"/>
  <c r="E181" i="44" s="1"/>
  <c r="G181" i="44" s="1"/>
  <c r="R181" i="44" s="1"/>
  <c r="U177" i="42"/>
  <c r="E177" i="44" s="1"/>
  <c r="G177" i="44" s="1"/>
  <c r="R177" i="44" s="1"/>
  <c r="U173" i="42"/>
  <c r="E173" i="44" s="1"/>
  <c r="G173" i="44" s="1"/>
  <c r="R173" i="44" s="1"/>
  <c r="U169" i="42"/>
  <c r="E169" i="44" s="1"/>
  <c r="G169" i="44" s="1"/>
  <c r="R169" i="44" s="1"/>
  <c r="U165" i="42"/>
  <c r="E165" i="44" s="1"/>
  <c r="G165" i="44" s="1"/>
  <c r="R165" i="44" s="1"/>
  <c r="U164" i="42"/>
  <c r="E164" i="44" s="1"/>
  <c r="G164" i="44" s="1"/>
  <c r="R164" i="44" s="1"/>
  <c r="U163" i="42"/>
  <c r="E163" i="44" s="1"/>
  <c r="G163" i="44" s="1"/>
  <c r="R163" i="44" s="1"/>
  <c r="U162" i="42"/>
  <c r="E162" i="44" s="1"/>
  <c r="G162" i="44" s="1"/>
  <c r="R162" i="44" s="1"/>
  <c r="U161" i="42"/>
  <c r="E161" i="44" s="1"/>
  <c r="G161" i="44" s="1"/>
  <c r="R161" i="44" s="1"/>
  <c r="U160" i="42"/>
  <c r="E160" i="44" s="1"/>
  <c r="G160" i="44" s="1"/>
  <c r="R160" i="44" s="1"/>
  <c r="U159" i="42"/>
  <c r="E159" i="44" s="1"/>
  <c r="G159" i="44" s="1"/>
  <c r="R159" i="44" s="1"/>
  <c r="U158" i="42"/>
  <c r="E158" i="44" s="1"/>
  <c r="G158" i="44" s="1"/>
  <c r="R158" i="44" s="1"/>
  <c r="U157" i="42"/>
  <c r="E157" i="44" s="1"/>
  <c r="G157" i="44" s="1"/>
  <c r="R157" i="44" s="1"/>
  <c r="U156" i="42"/>
  <c r="E156" i="44" s="1"/>
  <c r="G156" i="44" s="1"/>
  <c r="R156" i="44" s="1"/>
  <c r="U155" i="42"/>
  <c r="E155" i="44" s="1"/>
  <c r="G155" i="44" s="1"/>
  <c r="R155" i="44" s="1"/>
  <c r="U154" i="42"/>
  <c r="E154" i="44" s="1"/>
  <c r="G154" i="44" s="1"/>
  <c r="R154" i="44" s="1"/>
  <c r="U153" i="42"/>
  <c r="E153" i="44" s="1"/>
  <c r="G153" i="44" s="1"/>
  <c r="R153" i="44" s="1"/>
  <c r="U152" i="42"/>
  <c r="E152" i="44" s="1"/>
  <c r="G152" i="44" s="1"/>
  <c r="R152" i="44" s="1"/>
  <c r="U151" i="42"/>
  <c r="E151" i="44" s="1"/>
  <c r="G151" i="44" s="1"/>
  <c r="R151" i="44" s="1"/>
  <c r="U150" i="42"/>
  <c r="E150" i="44" s="1"/>
  <c r="G150" i="44" s="1"/>
  <c r="R150" i="44" s="1"/>
  <c r="U149" i="42"/>
  <c r="E149" i="44" s="1"/>
  <c r="G149" i="44" s="1"/>
  <c r="R149" i="44" s="1"/>
  <c r="U148" i="42"/>
  <c r="E148" i="44" s="1"/>
  <c r="G148" i="44" s="1"/>
  <c r="R148" i="44" s="1"/>
  <c r="U147" i="42"/>
  <c r="E147" i="44" s="1"/>
  <c r="G147" i="44" s="1"/>
  <c r="R147" i="44" s="1"/>
  <c r="U146" i="42"/>
  <c r="E146" i="44" s="1"/>
  <c r="G146" i="44" s="1"/>
  <c r="R146" i="44" s="1"/>
  <c r="U145" i="42"/>
  <c r="E145" i="44" s="1"/>
  <c r="G145" i="44" s="1"/>
  <c r="R145" i="44" s="1"/>
  <c r="U144" i="42"/>
  <c r="E144" i="44" s="1"/>
  <c r="G144" i="44" s="1"/>
  <c r="R144" i="44" s="1"/>
  <c r="U143" i="42"/>
  <c r="E143" i="44" s="1"/>
  <c r="G143" i="44" s="1"/>
  <c r="R143" i="44" s="1"/>
  <c r="U142" i="42"/>
  <c r="E142" i="44" s="1"/>
  <c r="G142" i="44" s="1"/>
  <c r="R142" i="44" s="1"/>
  <c r="U141" i="42"/>
  <c r="E141" i="44" s="1"/>
  <c r="G141" i="44" s="1"/>
  <c r="R141" i="44" s="1"/>
  <c r="U140" i="42"/>
  <c r="E140" i="44" s="1"/>
  <c r="G140" i="44" s="1"/>
  <c r="R140" i="44" s="1"/>
  <c r="U139" i="42"/>
  <c r="E139" i="44" s="1"/>
  <c r="G139" i="44" s="1"/>
  <c r="R139" i="44" s="1"/>
  <c r="U138" i="42"/>
  <c r="E138" i="44" s="1"/>
  <c r="G138" i="44" s="1"/>
  <c r="R138" i="44" s="1"/>
  <c r="U137" i="42"/>
  <c r="E137" i="44" s="1"/>
  <c r="G137" i="44" s="1"/>
  <c r="R137" i="44" s="1"/>
  <c r="U136" i="42"/>
  <c r="E136" i="44" s="1"/>
  <c r="G136" i="44" s="1"/>
  <c r="R136" i="44" s="1"/>
  <c r="U133" i="42"/>
  <c r="E133" i="44" s="1"/>
  <c r="G133" i="44" s="1"/>
  <c r="R133" i="44" s="1"/>
  <c r="U132" i="42"/>
  <c r="E132" i="44" s="1"/>
  <c r="G132" i="44" s="1"/>
  <c r="R132" i="44" s="1"/>
  <c r="U129" i="42"/>
  <c r="E129" i="44" s="1"/>
  <c r="G129" i="44" s="1"/>
  <c r="R129" i="44" s="1"/>
  <c r="U128" i="42"/>
  <c r="E128" i="44" s="1"/>
  <c r="G128" i="44" s="1"/>
  <c r="R128" i="44" s="1"/>
  <c r="U125" i="42"/>
  <c r="E125" i="44" s="1"/>
  <c r="G125" i="44" s="1"/>
  <c r="R125" i="44" s="1"/>
  <c r="U124" i="42"/>
  <c r="E124" i="44" s="1"/>
  <c r="G124" i="44" s="1"/>
  <c r="R124" i="44" s="1"/>
  <c r="U121" i="42"/>
  <c r="E121" i="44" s="1"/>
  <c r="G121" i="44" s="1"/>
  <c r="R121" i="44" s="1"/>
  <c r="U120" i="42"/>
  <c r="E120" i="44" s="1"/>
  <c r="G120" i="44" s="1"/>
  <c r="R120" i="44" s="1"/>
  <c r="U117" i="42"/>
  <c r="E117" i="44" s="1"/>
  <c r="G117" i="44" s="1"/>
  <c r="R117" i="44" s="1"/>
  <c r="U116" i="42"/>
  <c r="E116" i="44" s="1"/>
  <c r="G116" i="44" s="1"/>
  <c r="R116" i="44" s="1"/>
  <c r="U113" i="42"/>
  <c r="E113" i="44" s="1"/>
  <c r="G113" i="44" s="1"/>
  <c r="R113" i="44" s="1"/>
  <c r="U112" i="42"/>
  <c r="E112" i="44" s="1"/>
  <c r="G112" i="44" s="1"/>
  <c r="R112" i="44" s="1"/>
  <c r="U109" i="42"/>
  <c r="E109" i="44" s="1"/>
  <c r="G109" i="44" s="1"/>
  <c r="R109" i="44" s="1"/>
  <c r="U108" i="42"/>
  <c r="E108" i="44" s="1"/>
  <c r="G108" i="44" s="1"/>
  <c r="R108" i="44" s="1"/>
  <c r="U105" i="42"/>
  <c r="E105" i="44" s="1"/>
  <c r="G105" i="44" s="1"/>
  <c r="R105" i="44" s="1"/>
  <c r="U104" i="42"/>
  <c r="E104" i="44" s="1"/>
  <c r="G104" i="44" s="1"/>
  <c r="R104" i="44" s="1"/>
  <c r="U103" i="42"/>
  <c r="E103" i="44" s="1"/>
  <c r="G103" i="44" s="1"/>
  <c r="R103" i="44" s="1"/>
  <c r="U102" i="42"/>
  <c r="E102" i="44" s="1"/>
  <c r="G102" i="44" s="1"/>
  <c r="R102" i="44" s="1"/>
  <c r="U101" i="42"/>
  <c r="E101" i="44" s="1"/>
  <c r="G101" i="44" s="1"/>
  <c r="R101" i="44" s="1"/>
  <c r="U100" i="42"/>
  <c r="E100" i="44" s="1"/>
  <c r="G100" i="44" s="1"/>
  <c r="R100" i="44" s="1"/>
  <c r="U99" i="42"/>
  <c r="E99" i="44" s="1"/>
  <c r="G99" i="44" s="1"/>
  <c r="R99" i="44" s="1"/>
  <c r="U98" i="42"/>
  <c r="E98" i="44" s="1"/>
  <c r="G98" i="44" s="1"/>
  <c r="R98" i="44" s="1"/>
  <c r="U97" i="42"/>
  <c r="E97" i="44" s="1"/>
  <c r="G97" i="44" s="1"/>
  <c r="R97" i="44" s="1"/>
  <c r="U96" i="42"/>
  <c r="E96" i="44" s="1"/>
  <c r="G96" i="44" s="1"/>
  <c r="R96" i="44" s="1"/>
  <c r="U95" i="42"/>
  <c r="E95" i="44" s="1"/>
  <c r="G95" i="44" s="1"/>
  <c r="R95" i="44" s="1"/>
  <c r="U94" i="42"/>
  <c r="E94" i="44" s="1"/>
  <c r="G94" i="44" s="1"/>
  <c r="R94" i="44" s="1"/>
  <c r="U93" i="42"/>
  <c r="E93" i="44" s="1"/>
  <c r="G93" i="44" s="1"/>
  <c r="R93" i="44" s="1"/>
  <c r="U92" i="42"/>
  <c r="E92" i="44" s="1"/>
  <c r="G92" i="44" s="1"/>
  <c r="R92" i="44" s="1"/>
  <c r="U91" i="42"/>
  <c r="E91" i="44" s="1"/>
  <c r="G91" i="44" s="1"/>
  <c r="R91" i="44" s="1"/>
  <c r="U90" i="42"/>
  <c r="E90" i="44" s="1"/>
  <c r="G90" i="44" s="1"/>
  <c r="R90" i="44" s="1"/>
  <c r="U89" i="42"/>
  <c r="E89" i="44" s="1"/>
  <c r="G89" i="44" s="1"/>
  <c r="R89" i="44" s="1"/>
  <c r="U88" i="42"/>
  <c r="E88" i="44" s="1"/>
  <c r="G88" i="44" s="1"/>
  <c r="R88" i="44" s="1"/>
  <c r="U87" i="42"/>
  <c r="E87" i="44" s="1"/>
  <c r="G87" i="44" s="1"/>
  <c r="R87" i="44" s="1"/>
  <c r="U86" i="42"/>
  <c r="E86" i="44" s="1"/>
  <c r="G86" i="44" s="1"/>
  <c r="R86" i="44" s="1"/>
  <c r="U85" i="42"/>
  <c r="E85" i="44" s="1"/>
  <c r="G85" i="44" s="1"/>
  <c r="R85" i="44" s="1"/>
  <c r="U84" i="42"/>
  <c r="E84" i="44" s="1"/>
  <c r="G84" i="44" s="1"/>
  <c r="R84" i="44" s="1"/>
  <c r="U83" i="42"/>
  <c r="E83" i="44" s="1"/>
  <c r="G83" i="44" s="1"/>
  <c r="R83" i="44" s="1"/>
  <c r="U82" i="42"/>
  <c r="E82" i="44" s="1"/>
  <c r="G82" i="44" s="1"/>
  <c r="R82" i="44" s="1"/>
  <c r="U81" i="42"/>
  <c r="E81" i="44" s="1"/>
  <c r="G81" i="44" s="1"/>
  <c r="R81" i="44" s="1"/>
  <c r="U80" i="42"/>
  <c r="E80" i="44" s="1"/>
  <c r="G80" i="44" s="1"/>
  <c r="R80" i="44" s="1"/>
  <c r="U79" i="42"/>
  <c r="E79" i="44" s="1"/>
  <c r="G79" i="44" s="1"/>
  <c r="R79" i="44" s="1"/>
  <c r="U78" i="42"/>
  <c r="E78" i="44" s="1"/>
  <c r="G78" i="44" s="1"/>
  <c r="R78" i="44" s="1"/>
  <c r="U77" i="42"/>
  <c r="E77" i="44" s="1"/>
  <c r="G77" i="44" s="1"/>
  <c r="R77" i="44" s="1"/>
  <c r="U76" i="42"/>
  <c r="E76" i="44" s="1"/>
  <c r="G76" i="44" s="1"/>
  <c r="R76" i="44" s="1"/>
  <c r="U75" i="42"/>
  <c r="E75" i="44" s="1"/>
  <c r="G75" i="44" s="1"/>
  <c r="R75" i="44" s="1"/>
  <c r="U74" i="42"/>
  <c r="E74" i="44" s="1"/>
  <c r="G74" i="44" s="1"/>
  <c r="R74" i="44" s="1"/>
  <c r="U73" i="42"/>
  <c r="E73" i="44" s="1"/>
  <c r="G73" i="44" s="1"/>
  <c r="R73" i="44" s="1"/>
  <c r="U72" i="42"/>
  <c r="E72" i="44" s="1"/>
  <c r="G72" i="44" s="1"/>
  <c r="R72" i="44" s="1"/>
  <c r="U71" i="42"/>
  <c r="E71" i="44" s="1"/>
  <c r="G71" i="44" s="1"/>
  <c r="R71" i="44" s="1"/>
  <c r="U70" i="42"/>
  <c r="E70" i="44" s="1"/>
  <c r="G70" i="44" s="1"/>
  <c r="R70" i="44" s="1"/>
  <c r="U69" i="42"/>
  <c r="E69" i="44" s="1"/>
  <c r="G69" i="44" s="1"/>
  <c r="R69" i="44" s="1"/>
  <c r="U68" i="42"/>
  <c r="E68" i="44" s="1"/>
  <c r="G68" i="44" s="1"/>
  <c r="R68" i="44" s="1"/>
  <c r="U67" i="42"/>
  <c r="E67" i="44" s="1"/>
  <c r="G67" i="44" s="1"/>
  <c r="R67" i="44" s="1"/>
  <c r="U66" i="42"/>
  <c r="E66" i="44" s="1"/>
  <c r="G66" i="44" s="1"/>
  <c r="R66" i="44" s="1"/>
  <c r="U65" i="42"/>
  <c r="E65" i="44" s="1"/>
  <c r="G65" i="44" s="1"/>
  <c r="R65" i="44" s="1"/>
  <c r="U64" i="42"/>
  <c r="E64" i="44" s="1"/>
  <c r="G64" i="44" s="1"/>
  <c r="R64" i="44" s="1"/>
  <c r="U63" i="42"/>
  <c r="E63" i="44" s="1"/>
  <c r="G63" i="44" s="1"/>
  <c r="R63" i="44" s="1"/>
  <c r="U62" i="42"/>
  <c r="E62" i="44" s="1"/>
  <c r="G62" i="44" s="1"/>
  <c r="R62" i="44" s="1"/>
  <c r="U61" i="42"/>
  <c r="E61" i="44" s="1"/>
  <c r="G61" i="44" s="1"/>
  <c r="R61" i="44" s="1"/>
  <c r="U60" i="42"/>
  <c r="E60" i="44" s="1"/>
  <c r="G60" i="44" s="1"/>
  <c r="R60" i="44" s="1"/>
  <c r="U59" i="42"/>
  <c r="E59" i="44" s="1"/>
  <c r="G59" i="44" s="1"/>
  <c r="R59" i="44" s="1"/>
  <c r="U58" i="42"/>
  <c r="E58" i="44" s="1"/>
  <c r="G58" i="44" s="1"/>
  <c r="R58" i="44" s="1"/>
  <c r="U57" i="42"/>
  <c r="E57" i="44" s="1"/>
  <c r="G57" i="44" s="1"/>
  <c r="R57" i="44" s="1"/>
  <c r="U56" i="42"/>
  <c r="E56" i="44" s="1"/>
  <c r="G56" i="44" s="1"/>
  <c r="R56" i="44" s="1"/>
  <c r="U55" i="42"/>
  <c r="E55" i="44" s="1"/>
  <c r="G55" i="44" s="1"/>
  <c r="R55" i="44" s="1"/>
  <c r="U54" i="42"/>
  <c r="E54" i="44" s="1"/>
  <c r="G54" i="44" s="1"/>
  <c r="R54" i="44" s="1"/>
  <c r="U53" i="42"/>
  <c r="E53" i="44" s="1"/>
  <c r="G53" i="44" s="1"/>
  <c r="R53" i="44" s="1"/>
  <c r="U52" i="42"/>
  <c r="E52" i="44" s="1"/>
  <c r="G52" i="44" s="1"/>
  <c r="R52" i="44" s="1"/>
  <c r="U51" i="42"/>
  <c r="E51" i="44" s="1"/>
  <c r="G51" i="44" s="1"/>
  <c r="R51" i="44" s="1"/>
  <c r="U50" i="42"/>
  <c r="E50" i="44" s="1"/>
  <c r="G50" i="44" s="1"/>
  <c r="R50" i="44" s="1"/>
  <c r="U49" i="42"/>
  <c r="E49" i="44" s="1"/>
  <c r="G49" i="44" s="1"/>
  <c r="R49" i="44" s="1"/>
  <c r="U48" i="42"/>
  <c r="E48" i="44" s="1"/>
  <c r="G48" i="44" s="1"/>
  <c r="R48" i="44" s="1"/>
  <c r="U47" i="42"/>
  <c r="E47" i="44" s="1"/>
  <c r="G47" i="44" s="1"/>
  <c r="R47" i="44" s="1"/>
  <c r="U46" i="42"/>
  <c r="E46" i="44" s="1"/>
  <c r="G46" i="44" s="1"/>
  <c r="R46" i="44" s="1"/>
  <c r="U45" i="42"/>
  <c r="E45" i="44" s="1"/>
  <c r="G45" i="44" s="1"/>
  <c r="R45" i="44" s="1"/>
  <c r="U44" i="42"/>
  <c r="E44" i="44" s="1"/>
  <c r="G44" i="44" s="1"/>
  <c r="R44" i="44" s="1"/>
  <c r="U43" i="42"/>
  <c r="E43" i="44" s="1"/>
  <c r="G43" i="44" s="1"/>
  <c r="R43" i="44" s="1"/>
  <c r="U42" i="42"/>
  <c r="E42" i="44" s="1"/>
  <c r="G42" i="44" s="1"/>
  <c r="R42" i="44" s="1"/>
  <c r="U41" i="42"/>
  <c r="E41" i="44" s="1"/>
  <c r="G41" i="44" s="1"/>
  <c r="R41" i="44" s="1"/>
  <c r="U40" i="42"/>
  <c r="E40" i="44" s="1"/>
  <c r="G40" i="44" s="1"/>
  <c r="R40" i="44" s="1"/>
  <c r="U39" i="42"/>
  <c r="E39" i="44" s="1"/>
  <c r="G39" i="44" s="1"/>
  <c r="R39" i="44" s="1"/>
  <c r="U38" i="42"/>
  <c r="E38" i="44" s="1"/>
  <c r="G38" i="44" s="1"/>
  <c r="R38" i="44" s="1"/>
  <c r="U37" i="42"/>
  <c r="E37" i="44" s="1"/>
  <c r="G37" i="44" s="1"/>
  <c r="R37" i="44" s="1"/>
  <c r="U36" i="42"/>
  <c r="E36" i="44" s="1"/>
  <c r="G36" i="44" s="1"/>
  <c r="R36" i="44" s="1"/>
  <c r="U35" i="42"/>
  <c r="E35" i="44" s="1"/>
  <c r="G35" i="44" s="1"/>
  <c r="R35" i="44" s="1"/>
  <c r="U34" i="42"/>
  <c r="E34" i="44" s="1"/>
  <c r="G34" i="44" s="1"/>
  <c r="R34" i="44" s="1"/>
  <c r="U33" i="42"/>
  <c r="E33" i="44" s="1"/>
  <c r="G33" i="44" s="1"/>
  <c r="R33" i="44" s="1"/>
  <c r="U32" i="42"/>
  <c r="E32" i="44" s="1"/>
  <c r="G32" i="44" s="1"/>
  <c r="R32" i="44" s="1"/>
  <c r="U31" i="42"/>
  <c r="E31" i="44" s="1"/>
  <c r="G31" i="44" s="1"/>
  <c r="R31" i="44" s="1"/>
  <c r="U30" i="42"/>
  <c r="E30" i="44" s="1"/>
  <c r="G30" i="44" s="1"/>
  <c r="R30" i="44" s="1"/>
  <c r="U29" i="42"/>
  <c r="E29" i="44" s="1"/>
  <c r="G29" i="44" s="1"/>
  <c r="R29" i="44" s="1"/>
  <c r="U28" i="42"/>
  <c r="E28" i="44" s="1"/>
  <c r="G28" i="44" s="1"/>
  <c r="R28" i="44" s="1"/>
  <c r="U27" i="42"/>
  <c r="E27" i="44" s="1"/>
  <c r="G27" i="44" s="1"/>
  <c r="R27" i="44" s="1"/>
  <c r="U26" i="42"/>
  <c r="E26" i="44" s="1"/>
  <c r="G26" i="44" s="1"/>
  <c r="R26" i="44" s="1"/>
  <c r="U25" i="42"/>
  <c r="E25" i="44" s="1"/>
  <c r="G25" i="44" s="1"/>
  <c r="R25" i="44" s="1"/>
  <c r="U24" i="42"/>
  <c r="E24" i="44" s="1"/>
  <c r="G24" i="44" s="1"/>
  <c r="R24" i="44" s="1"/>
  <c r="U23" i="42"/>
  <c r="E23" i="44" s="1"/>
  <c r="G23" i="44" s="1"/>
  <c r="R23" i="44" s="1"/>
  <c r="U22" i="42"/>
  <c r="E22" i="44" s="1"/>
  <c r="G22" i="44" s="1"/>
  <c r="R22" i="44" s="1"/>
  <c r="U21" i="42"/>
  <c r="E21" i="44" s="1"/>
  <c r="G21" i="44" s="1"/>
  <c r="R21" i="44" s="1"/>
  <c r="U20" i="42"/>
  <c r="E20" i="44" s="1"/>
  <c r="G20" i="44" s="1"/>
  <c r="R20" i="44" s="1"/>
  <c r="U19" i="42"/>
  <c r="E19" i="44" s="1"/>
  <c r="G19" i="44" s="1"/>
  <c r="R19" i="44" s="1"/>
  <c r="U18" i="42"/>
  <c r="E18" i="44" s="1"/>
  <c r="G18" i="44" s="1"/>
  <c r="R18" i="44" s="1"/>
  <c r="U17" i="42"/>
  <c r="E17" i="44" s="1"/>
  <c r="G17" i="44" s="1"/>
  <c r="R17" i="44" s="1"/>
  <c r="U16" i="42"/>
  <c r="E16" i="44" s="1"/>
  <c r="G16" i="44" s="1"/>
  <c r="R16" i="44" s="1"/>
  <c r="U15" i="42"/>
  <c r="E15" i="44" s="1"/>
  <c r="G15" i="44" s="1"/>
  <c r="R15" i="44" s="1"/>
  <c r="U14" i="42"/>
  <c r="E14" i="44" s="1"/>
  <c r="G14" i="44" s="1"/>
  <c r="R14" i="44" s="1"/>
  <c r="U13" i="42"/>
  <c r="E13" i="44" s="1"/>
  <c r="G13" i="44" s="1"/>
  <c r="R13" i="44" s="1"/>
  <c r="U12" i="42"/>
  <c r="E12" i="44" s="1"/>
  <c r="G12" i="44" s="1"/>
  <c r="R12" i="44" s="1"/>
  <c r="U11" i="42"/>
  <c r="E11" i="44" s="1"/>
  <c r="G11" i="44" s="1"/>
  <c r="R11" i="44" s="1"/>
  <c r="U10" i="42"/>
  <c r="E10" i="44" s="1"/>
  <c r="G10" i="44" s="1"/>
  <c r="R10" i="44" s="1"/>
  <c r="U9" i="42"/>
  <c r="E9" i="44" s="1"/>
  <c r="G9" i="44" s="1"/>
  <c r="R9" i="44" s="1"/>
  <c r="U8" i="42"/>
  <c r="E8" i="44" s="1"/>
  <c r="G8" i="44" s="1"/>
  <c r="R8" i="44" s="1"/>
  <c r="U7" i="42"/>
  <c r="E7" i="44" s="1"/>
  <c r="G7" i="44" s="1"/>
  <c r="R7" i="44" s="1"/>
  <c r="U6" i="42"/>
  <c r="E6" i="44" s="1"/>
  <c r="G6" i="44" s="1"/>
  <c r="R6" i="44" s="1"/>
  <c r="U5" i="42"/>
  <c r="E5" i="44" s="1"/>
  <c r="G5" i="44" s="1"/>
  <c r="R5" i="44" s="1"/>
  <c r="R5" i="41"/>
  <c r="S5" i="41"/>
  <c r="T5" i="41"/>
  <c r="R6" i="41"/>
  <c r="S6" i="41"/>
  <c r="T6" i="41"/>
  <c r="R7" i="41"/>
  <c r="S7" i="41"/>
  <c r="T7" i="41"/>
  <c r="R8" i="41"/>
  <c r="S8" i="41"/>
  <c r="T8" i="41"/>
  <c r="R9" i="41"/>
  <c r="S9" i="41"/>
  <c r="T9" i="41"/>
  <c r="R10" i="41"/>
  <c r="S10" i="41"/>
  <c r="T10" i="41"/>
  <c r="R11" i="41"/>
  <c r="S11" i="41"/>
  <c r="T11" i="41"/>
  <c r="R12" i="41"/>
  <c r="S12" i="41"/>
  <c r="T12" i="41"/>
  <c r="R13" i="41"/>
  <c r="S13" i="41"/>
  <c r="T13" i="41"/>
  <c r="R14" i="41"/>
  <c r="S14" i="41"/>
  <c r="T14" i="41"/>
  <c r="R15" i="41"/>
  <c r="S15" i="41"/>
  <c r="T15" i="41"/>
  <c r="R16" i="41"/>
  <c r="S16" i="41"/>
  <c r="T16" i="41"/>
  <c r="R17" i="41"/>
  <c r="S17" i="41"/>
  <c r="T17" i="41"/>
  <c r="R18" i="41"/>
  <c r="S18" i="41"/>
  <c r="T18" i="41"/>
  <c r="R19" i="41"/>
  <c r="S19" i="41"/>
  <c r="T19" i="41"/>
  <c r="R20" i="41"/>
  <c r="S20" i="41"/>
  <c r="T20" i="41"/>
  <c r="R21" i="41"/>
  <c r="S21" i="41"/>
  <c r="T21" i="41"/>
  <c r="R22" i="41"/>
  <c r="S22" i="41"/>
  <c r="T22" i="41"/>
  <c r="R23" i="41"/>
  <c r="S23" i="41"/>
  <c r="T23" i="41"/>
  <c r="R24" i="41"/>
  <c r="S24" i="41"/>
  <c r="T24" i="41"/>
  <c r="R25" i="41"/>
  <c r="S25" i="41"/>
  <c r="T25" i="41"/>
  <c r="R26" i="41"/>
  <c r="S26" i="41"/>
  <c r="T26" i="41"/>
  <c r="R27" i="41"/>
  <c r="S27" i="41"/>
  <c r="T27" i="41"/>
  <c r="R28" i="41"/>
  <c r="S28" i="41"/>
  <c r="T28" i="41"/>
  <c r="R29" i="41"/>
  <c r="S29" i="41"/>
  <c r="T29" i="41"/>
  <c r="R30" i="41"/>
  <c r="S30" i="41"/>
  <c r="T30" i="41"/>
  <c r="R31" i="41"/>
  <c r="S31" i="41"/>
  <c r="T31" i="41"/>
  <c r="R32" i="41"/>
  <c r="S32" i="41"/>
  <c r="T32" i="41"/>
  <c r="R33" i="41"/>
  <c r="S33" i="41"/>
  <c r="T33" i="41"/>
  <c r="R34" i="41"/>
  <c r="S34" i="41"/>
  <c r="T34" i="41"/>
  <c r="R35" i="41"/>
  <c r="S35" i="41"/>
  <c r="T35" i="41"/>
  <c r="R36" i="41"/>
  <c r="S36" i="41"/>
  <c r="T36" i="41"/>
  <c r="R37" i="41"/>
  <c r="S37" i="41"/>
  <c r="T37" i="41"/>
  <c r="R38" i="41"/>
  <c r="S38" i="41"/>
  <c r="T38" i="41"/>
  <c r="R39" i="41"/>
  <c r="S39" i="41"/>
  <c r="T39" i="41"/>
  <c r="R40" i="41"/>
  <c r="S40" i="41"/>
  <c r="T40" i="41"/>
  <c r="R41" i="41"/>
  <c r="S41" i="41"/>
  <c r="T41" i="41"/>
  <c r="R42" i="41"/>
  <c r="S42" i="41"/>
  <c r="T42" i="41"/>
  <c r="R43" i="41"/>
  <c r="S43" i="41"/>
  <c r="T43" i="41"/>
  <c r="R44" i="41"/>
  <c r="S44" i="41"/>
  <c r="T44" i="41"/>
  <c r="R45" i="41"/>
  <c r="S45" i="41"/>
  <c r="T45" i="41"/>
  <c r="R46" i="41"/>
  <c r="S46" i="41"/>
  <c r="T46" i="41"/>
  <c r="R47" i="41"/>
  <c r="S47" i="41"/>
  <c r="T47" i="41"/>
  <c r="R48" i="41"/>
  <c r="S48" i="41"/>
  <c r="T48" i="41"/>
  <c r="R49" i="41"/>
  <c r="S49" i="41"/>
  <c r="T49" i="41"/>
  <c r="R50" i="41"/>
  <c r="S50" i="41"/>
  <c r="T50" i="41"/>
  <c r="R51" i="41"/>
  <c r="S51" i="41"/>
  <c r="T51" i="41"/>
  <c r="R52" i="41"/>
  <c r="S52" i="41"/>
  <c r="T52" i="41"/>
  <c r="R53" i="41"/>
  <c r="S53" i="41"/>
  <c r="T53" i="41"/>
  <c r="R54" i="41"/>
  <c r="S54" i="41"/>
  <c r="T54" i="41"/>
  <c r="R55" i="41"/>
  <c r="S55" i="41"/>
  <c r="T55" i="41"/>
  <c r="R56" i="41"/>
  <c r="S56" i="41"/>
  <c r="T56" i="41"/>
  <c r="R57" i="41"/>
  <c r="S57" i="41"/>
  <c r="T57" i="41"/>
  <c r="R58" i="41"/>
  <c r="S58" i="41"/>
  <c r="T58" i="41"/>
  <c r="R59" i="41"/>
  <c r="S59" i="41"/>
  <c r="T59" i="41"/>
  <c r="R60" i="41"/>
  <c r="S60" i="41"/>
  <c r="T60" i="41"/>
  <c r="R61" i="41"/>
  <c r="S61" i="41"/>
  <c r="T61" i="41"/>
  <c r="R62" i="41"/>
  <c r="S62" i="41"/>
  <c r="T62" i="41"/>
  <c r="R63" i="41"/>
  <c r="S63" i="41"/>
  <c r="T63" i="41"/>
  <c r="R64" i="41"/>
  <c r="S64" i="41"/>
  <c r="T64" i="41"/>
  <c r="R65" i="41"/>
  <c r="S65" i="41"/>
  <c r="T65" i="41"/>
  <c r="R66" i="41"/>
  <c r="S66" i="41"/>
  <c r="T66" i="41"/>
  <c r="R67" i="41"/>
  <c r="S67" i="41"/>
  <c r="T67" i="41"/>
  <c r="R68" i="41"/>
  <c r="S68" i="41"/>
  <c r="T68" i="41"/>
  <c r="R69" i="41"/>
  <c r="S69" i="41"/>
  <c r="T69" i="41"/>
  <c r="R70" i="41"/>
  <c r="S70" i="41"/>
  <c r="T70" i="41"/>
  <c r="R71" i="41"/>
  <c r="S71" i="41"/>
  <c r="T71" i="41"/>
  <c r="R72" i="41"/>
  <c r="S72" i="41"/>
  <c r="T72" i="41"/>
  <c r="R73" i="41"/>
  <c r="S73" i="41"/>
  <c r="T73" i="41"/>
  <c r="R74" i="41"/>
  <c r="S74" i="41"/>
  <c r="T74" i="41"/>
  <c r="R75" i="41"/>
  <c r="S75" i="41"/>
  <c r="T75" i="41"/>
  <c r="R76" i="41"/>
  <c r="S76" i="41"/>
  <c r="T76" i="41"/>
  <c r="R77" i="41"/>
  <c r="S77" i="41"/>
  <c r="T77" i="41"/>
  <c r="R78" i="41"/>
  <c r="S78" i="41"/>
  <c r="T78" i="41"/>
  <c r="R79" i="41"/>
  <c r="S79" i="41"/>
  <c r="T79" i="41"/>
  <c r="R80" i="41"/>
  <c r="S80" i="41"/>
  <c r="T80" i="41"/>
  <c r="R81" i="41"/>
  <c r="S81" i="41"/>
  <c r="T81" i="41"/>
  <c r="R82" i="41"/>
  <c r="S82" i="41"/>
  <c r="T82" i="41"/>
  <c r="R83" i="41"/>
  <c r="S83" i="41"/>
  <c r="T83" i="41"/>
  <c r="R84" i="41"/>
  <c r="S84" i="41"/>
  <c r="T84" i="41"/>
  <c r="R85" i="41"/>
  <c r="S85" i="41"/>
  <c r="T85" i="41"/>
  <c r="R86" i="41"/>
  <c r="S86" i="41"/>
  <c r="T86" i="41"/>
  <c r="R87" i="41"/>
  <c r="S87" i="41"/>
  <c r="T87" i="41"/>
  <c r="R88" i="41"/>
  <c r="S88" i="41"/>
  <c r="T88" i="41"/>
  <c r="R89" i="41"/>
  <c r="S89" i="41"/>
  <c r="T89" i="41"/>
  <c r="R90" i="41"/>
  <c r="S90" i="41"/>
  <c r="T90" i="41"/>
  <c r="R91" i="41"/>
  <c r="S91" i="41"/>
  <c r="T91" i="41"/>
  <c r="R92" i="41"/>
  <c r="S92" i="41"/>
  <c r="T92" i="41"/>
  <c r="R93" i="41"/>
  <c r="S93" i="41"/>
  <c r="T93" i="41"/>
  <c r="R94" i="41"/>
  <c r="S94" i="41"/>
  <c r="T94" i="41"/>
  <c r="R95" i="41"/>
  <c r="S95" i="41"/>
  <c r="T95" i="41"/>
  <c r="R96" i="41"/>
  <c r="S96" i="41"/>
  <c r="T96" i="41"/>
  <c r="R97" i="41"/>
  <c r="S97" i="41"/>
  <c r="T97" i="41"/>
  <c r="R98" i="41"/>
  <c r="S98" i="41"/>
  <c r="T98" i="41"/>
  <c r="R99" i="41"/>
  <c r="S99" i="41"/>
  <c r="T99" i="41"/>
  <c r="R100" i="41"/>
  <c r="S100" i="41"/>
  <c r="T100" i="41"/>
  <c r="R101" i="41"/>
  <c r="S101" i="41"/>
  <c r="T101" i="41"/>
  <c r="R102" i="41"/>
  <c r="S102" i="41"/>
  <c r="T102" i="41"/>
  <c r="R103" i="41"/>
  <c r="S103" i="41"/>
  <c r="T103" i="41"/>
  <c r="R104" i="41"/>
  <c r="S104" i="41"/>
  <c r="T104" i="41"/>
  <c r="R105" i="41"/>
  <c r="S105" i="41"/>
  <c r="T105" i="41"/>
  <c r="R106" i="41"/>
  <c r="S106" i="41"/>
  <c r="T106" i="41"/>
  <c r="R107" i="41"/>
  <c r="S107" i="41"/>
  <c r="T107" i="41"/>
  <c r="R108" i="41"/>
  <c r="S108" i="41"/>
  <c r="T108" i="41"/>
  <c r="R109" i="41"/>
  <c r="S109" i="41"/>
  <c r="T109" i="41"/>
  <c r="R110" i="41"/>
  <c r="S110" i="41"/>
  <c r="T110" i="41"/>
  <c r="R111" i="41"/>
  <c r="S111" i="41"/>
  <c r="T111" i="41"/>
  <c r="R112" i="41"/>
  <c r="S112" i="41"/>
  <c r="T112" i="41"/>
  <c r="R113" i="41"/>
  <c r="S113" i="41"/>
  <c r="T113" i="41"/>
  <c r="R114" i="41"/>
  <c r="S114" i="41"/>
  <c r="T114" i="41"/>
  <c r="R115" i="41"/>
  <c r="S115" i="41"/>
  <c r="T115" i="41"/>
  <c r="R116" i="41"/>
  <c r="S116" i="41"/>
  <c r="T116" i="41"/>
  <c r="R117" i="41"/>
  <c r="S117" i="41"/>
  <c r="T117" i="41"/>
  <c r="R118" i="41"/>
  <c r="S118" i="41"/>
  <c r="T118" i="41"/>
  <c r="R119" i="41"/>
  <c r="S119" i="41"/>
  <c r="T119" i="41"/>
  <c r="R120" i="41"/>
  <c r="S120" i="41"/>
  <c r="T120" i="41"/>
  <c r="R121" i="41"/>
  <c r="S121" i="41"/>
  <c r="T121" i="41"/>
  <c r="R122" i="41"/>
  <c r="S122" i="41"/>
  <c r="T122" i="41"/>
  <c r="R123" i="41"/>
  <c r="S123" i="41"/>
  <c r="T123" i="41"/>
  <c r="R124" i="41"/>
  <c r="S124" i="41"/>
  <c r="T124" i="41"/>
  <c r="R125" i="41"/>
  <c r="S125" i="41"/>
  <c r="T125" i="41"/>
  <c r="R126" i="41"/>
  <c r="S126" i="41"/>
  <c r="T126" i="41"/>
  <c r="R127" i="41"/>
  <c r="S127" i="41"/>
  <c r="T127" i="41"/>
  <c r="R128" i="41"/>
  <c r="S128" i="41"/>
  <c r="T128" i="41"/>
  <c r="R129" i="41"/>
  <c r="S129" i="41"/>
  <c r="T129" i="41"/>
  <c r="R130" i="41"/>
  <c r="S130" i="41"/>
  <c r="T130" i="41"/>
  <c r="R131" i="41"/>
  <c r="S131" i="41"/>
  <c r="T131" i="41"/>
  <c r="R132" i="41"/>
  <c r="S132" i="41"/>
  <c r="T132" i="41"/>
  <c r="R133" i="41"/>
  <c r="S133" i="41"/>
  <c r="T133" i="41"/>
  <c r="R134" i="41"/>
  <c r="S134" i="41"/>
  <c r="T134" i="41"/>
  <c r="R135" i="41"/>
  <c r="S135" i="41"/>
  <c r="T135" i="41"/>
  <c r="R136" i="41"/>
  <c r="S136" i="41"/>
  <c r="T136" i="41"/>
  <c r="R137" i="41"/>
  <c r="S137" i="41"/>
  <c r="T137" i="41"/>
  <c r="R138" i="41"/>
  <c r="S138" i="41"/>
  <c r="T138" i="41"/>
  <c r="R139" i="41"/>
  <c r="S139" i="41"/>
  <c r="T139" i="41"/>
  <c r="R140" i="41"/>
  <c r="S140" i="41"/>
  <c r="T140" i="41"/>
  <c r="R141" i="41"/>
  <c r="S141" i="41"/>
  <c r="T141" i="41"/>
  <c r="R142" i="41"/>
  <c r="S142" i="41"/>
  <c r="T142" i="41"/>
  <c r="R143" i="41"/>
  <c r="S143" i="41"/>
  <c r="T143" i="41"/>
  <c r="R144" i="41"/>
  <c r="S144" i="41"/>
  <c r="T144" i="41"/>
  <c r="R145" i="41"/>
  <c r="S145" i="41"/>
  <c r="T145" i="41"/>
  <c r="R146" i="41"/>
  <c r="S146" i="41"/>
  <c r="T146" i="41"/>
  <c r="R147" i="41"/>
  <c r="S147" i="41"/>
  <c r="T147" i="41"/>
  <c r="R148" i="41"/>
  <c r="S148" i="41"/>
  <c r="T148" i="41"/>
  <c r="R149" i="41"/>
  <c r="S149" i="41"/>
  <c r="T149" i="41"/>
  <c r="R150" i="41"/>
  <c r="S150" i="41"/>
  <c r="T150" i="41"/>
  <c r="R151" i="41"/>
  <c r="S151" i="41"/>
  <c r="T151" i="41"/>
  <c r="R152" i="41"/>
  <c r="S152" i="41"/>
  <c r="T152" i="41"/>
  <c r="R153" i="41"/>
  <c r="S153" i="41"/>
  <c r="T153" i="41"/>
  <c r="R154" i="41"/>
  <c r="S154" i="41"/>
  <c r="T154" i="41"/>
  <c r="R155" i="41"/>
  <c r="S155" i="41"/>
  <c r="T155" i="41"/>
  <c r="R156" i="41"/>
  <c r="S156" i="41"/>
  <c r="T156" i="41"/>
  <c r="R157" i="41"/>
  <c r="S157" i="41"/>
  <c r="T157" i="41"/>
  <c r="R158" i="41"/>
  <c r="S158" i="41"/>
  <c r="T158" i="41"/>
  <c r="R159" i="41"/>
  <c r="S159" i="41"/>
  <c r="T159" i="41"/>
  <c r="R160" i="41"/>
  <c r="S160" i="41"/>
  <c r="T160" i="41"/>
  <c r="R161" i="41"/>
  <c r="S161" i="41"/>
  <c r="T161" i="41"/>
  <c r="R162" i="41"/>
  <c r="S162" i="41"/>
  <c r="T162" i="41"/>
  <c r="R163" i="41"/>
  <c r="S163" i="41"/>
  <c r="T163" i="41"/>
  <c r="R164" i="41"/>
  <c r="S164" i="41"/>
  <c r="T164" i="41"/>
  <c r="R165" i="41"/>
  <c r="S165" i="41"/>
  <c r="T165" i="41"/>
  <c r="R166" i="41"/>
  <c r="S166" i="41"/>
  <c r="T166" i="41"/>
  <c r="R167" i="41"/>
  <c r="S167" i="41"/>
  <c r="T167" i="41"/>
  <c r="R168" i="41"/>
  <c r="S168" i="41"/>
  <c r="T168" i="41"/>
  <c r="R169" i="41"/>
  <c r="S169" i="41"/>
  <c r="T169" i="41"/>
  <c r="R170" i="41"/>
  <c r="S170" i="41"/>
  <c r="T170" i="41"/>
  <c r="R171" i="41"/>
  <c r="S171" i="41"/>
  <c r="T171" i="41"/>
  <c r="R172" i="41"/>
  <c r="S172" i="41"/>
  <c r="T172" i="41"/>
  <c r="R173" i="41"/>
  <c r="S173" i="41"/>
  <c r="T173" i="41"/>
  <c r="R174" i="41"/>
  <c r="S174" i="41"/>
  <c r="T174" i="41"/>
  <c r="R175" i="41"/>
  <c r="S175" i="41"/>
  <c r="T175" i="41"/>
  <c r="R176" i="41"/>
  <c r="S176" i="41"/>
  <c r="T176" i="41"/>
  <c r="R177" i="41"/>
  <c r="S177" i="41"/>
  <c r="T177" i="41"/>
  <c r="R178" i="41"/>
  <c r="S178" i="41"/>
  <c r="T178" i="41"/>
  <c r="R179" i="41"/>
  <c r="S179" i="41"/>
  <c r="T179" i="41"/>
  <c r="R180" i="41"/>
  <c r="S180" i="41"/>
  <c r="T180" i="41"/>
  <c r="R181" i="41"/>
  <c r="S181" i="41"/>
  <c r="T181" i="41"/>
  <c r="R182" i="41"/>
  <c r="S182" i="41"/>
  <c r="T182" i="41"/>
  <c r="R183" i="41"/>
  <c r="S183" i="41"/>
  <c r="T183" i="41"/>
  <c r="R184" i="41"/>
  <c r="S184" i="41"/>
  <c r="T184" i="41"/>
  <c r="R185" i="41"/>
  <c r="S185" i="41"/>
  <c r="T185" i="41"/>
  <c r="R186" i="41"/>
  <c r="S186" i="41"/>
  <c r="T186" i="41"/>
  <c r="R187" i="41"/>
  <c r="S187" i="41"/>
  <c r="T187" i="41"/>
  <c r="R188" i="41"/>
  <c r="S188" i="41"/>
  <c r="T188" i="41"/>
  <c r="R189" i="41"/>
  <c r="S189" i="41"/>
  <c r="T189" i="41"/>
  <c r="R190" i="41"/>
  <c r="S190" i="41"/>
  <c r="T190" i="41"/>
  <c r="R191" i="41"/>
  <c r="S191" i="41"/>
  <c r="T191" i="41"/>
  <c r="R192" i="41"/>
  <c r="S192" i="41"/>
  <c r="T192" i="41"/>
  <c r="R193" i="41"/>
  <c r="S193" i="41"/>
  <c r="T193" i="41"/>
  <c r="R194" i="41"/>
  <c r="S194" i="41"/>
  <c r="T194" i="41"/>
  <c r="R195" i="41"/>
  <c r="S195" i="41"/>
  <c r="T195" i="41"/>
  <c r="R196" i="41"/>
  <c r="S196" i="41"/>
  <c r="T196" i="41"/>
  <c r="R197" i="41"/>
  <c r="S197" i="41"/>
  <c r="T197" i="41"/>
  <c r="R198" i="41"/>
  <c r="S198" i="41"/>
  <c r="T198" i="41"/>
  <c r="R199" i="41"/>
  <c r="S199" i="41"/>
  <c r="T199" i="41"/>
  <c r="R200" i="41"/>
  <c r="S200" i="41"/>
  <c r="T200" i="41"/>
  <c r="R201" i="41"/>
  <c r="S201" i="41"/>
  <c r="T201" i="41"/>
  <c r="R202" i="41"/>
  <c r="S202" i="41"/>
  <c r="T202" i="41"/>
  <c r="R203" i="41"/>
  <c r="S203" i="41"/>
  <c r="T203" i="41"/>
  <c r="R204" i="41"/>
  <c r="S204" i="41"/>
  <c r="T204" i="41"/>
  <c r="R205" i="41"/>
  <c r="S205" i="41"/>
  <c r="T205" i="41"/>
  <c r="R206" i="41"/>
  <c r="S206" i="41"/>
  <c r="T206" i="41"/>
  <c r="R207" i="41"/>
  <c r="S207" i="41"/>
  <c r="T207" i="41"/>
  <c r="R208" i="41"/>
  <c r="S208" i="41"/>
  <c r="T208" i="41"/>
  <c r="R209" i="41"/>
  <c r="S209" i="41"/>
  <c r="T209" i="41"/>
  <c r="R210" i="41"/>
  <c r="S210" i="41"/>
  <c r="T210" i="41"/>
  <c r="R211" i="41"/>
  <c r="S211" i="41"/>
  <c r="T211" i="41"/>
  <c r="R212" i="41"/>
  <c r="S212" i="41"/>
  <c r="T212" i="41"/>
  <c r="R213" i="41"/>
  <c r="S213" i="41"/>
  <c r="T213" i="41"/>
  <c r="R214" i="41"/>
  <c r="S214" i="41"/>
  <c r="T214" i="41"/>
  <c r="R215" i="41"/>
  <c r="S215" i="41"/>
  <c r="T215" i="41"/>
  <c r="R216" i="41"/>
  <c r="S216" i="41"/>
  <c r="T216" i="41"/>
  <c r="R217" i="41"/>
  <c r="S217" i="41"/>
  <c r="T217" i="41"/>
  <c r="R218" i="41"/>
  <c r="S218" i="41"/>
  <c r="T218" i="41"/>
  <c r="R219" i="41"/>
  <c r="S219" i="41"/>
  <c r="T219" i="41"/>
  <c r="R220" i="41"/>
  <c r="S220" i="41"/>
  <c r="T220" i="41"/>
  <c r="R221" i="41"/>
  <c r="S221" i="41"/>
  <c r="T221" i="41"/>
  <c r="R222" i="41"/>
  <c r="S222" i="41"/>
  <c r="T222" i="41"/>
  <c r="R223" i="41"/>
  <c r="S223" i="41"/>
  <c r="T223" i="41"/>
  <c r="R224" i="41"/>
  <c r="S224" i="41"/>
  <c r="T224" i="41"/>
  <c r="R225" i="41"/>
  <c r="S225" i="41"/>
  <c r="T225" i="41"/>
  <c r="R226" i="41"/>
  <c r="S226" i="41"/>
  <c r="T226" i="41"/>
  <c r="R227" i="41"/>
  <c r="S227" i="41"/>
  <c r="T227" i="41"/>
  <c r="R228" i="41"/>
  <c r="S228" i="41"/>
  <c r="T228" i="41"/>
  <c r="R229" i="41"/>
  <c r="S229" i="41"/>
  <c r="T229" i="41"/>
  <c r="R230" i="41"/>
  <c r="S230" i="41"/>
  <c r="T230" i="41"/>
  <c r="R231" i="41"/>
  <c r="S231" i="41"/>
  <c r="T231" i="41"/>
  <c r="R232" i="41"/>
  <c r="S232" i="41"/>
  <c r="T232" i="41"/>
  <c r="R233" i="41"/>
  <c r="S233" i="41"/>
  <c r="T233" i="41"/>
  <c r="R234" i="41"/>
  <c r="S234" i="41"/>
  <c r="T234" i="41"/>
  <c r="R235" i="41"/>
  <c r="S235" i="41"/>
  <c r="T235" i="41"/>
  <c r="R236" i="41"/>
  <c r="S236" i="41"/>
  <c r="T236" i="41"/>
  <c r="R237" i="41"/>
  <c r="S237" i="41"/>
  <c r="T237" i="41"/>
  <c r="R238" i="41"/>
  <c r="S238" i="41"/>
  <c r="T238" i="41"/>
  <c r="R239" i="41"/>
  <c r="S239" i="41"/>
  <c r="T239" i="41"/>
  <c r="R240" i="41"/>
  <c r="S240" i="41"/>
  <c r="T240" i="41"/>
  <c r="R241" i="41"/>
  <c r="S241" i="41"/>
  <c r="T241" i="41"/>
  <c r="R242" i="41"/>
  <c r="S242" i="41"/>
  <c r="T242" i="41"/>
  <c r="R243" i="41"/>
  <c r="S243" i="41"/>
  <c r="T243" i="41"/>
  <c r="R244" i="41"/>
  <c r="S244" i="41"/>
  <c r="T244" i="41"/>
  <c r="R245" i="41"/>
  <c r="S245" i="41"/>
  <c r="T245" i="41"/>
  <c r="R246" i="41"/>
  <c r="S246" i="41"/>
  <c r="T246" i="41"/>
  <c r="R247" i="41"/>
  <c r="S247" i="41"/>
  <c r="T247" i="41"/>
  <c r="R248" i="41"/>
  <c r="S248" i="41"/>
  <c r="T248" i="41"/>
  <c r="R249" i="41"/>
  <c r="S249" i="41"/>
  <c r="T249" i="41"/>
  <c r="R250" i="41"/>
  <c r="S250" i="41"/>
  <c r="T250" i="41"/>
  <c r="R251" i="41"/>
  <c r="S251" i="41"/>
  <c r="T251" i="41"/>
  <c r="R252" i="41"/>
  <c r="S252" i="41"/>
  <c r="T252" i="41"/>
  <c r="R253" i="41"/>
  <c r="S253" i="41"/>
  <c r="T253" i="41"/>
  <c r="R254" i="41"/>
  <c r="S254" i="41"/>
  <c r="T254" i="41"/>
  <c r="R255" i="41"/>
  <c r="S255" i="41"/>
  <c r="T255" i="41"/>
  <c r="R256" i="41"/>
  <c r="S256" i="41"/>
  <c r="T256" i="41"/>
  <c r="R257" i="41"/>
  <c r="S257" i="41"/>
  <c r="T257" i="41"/>
  <c r="R258" i="41"/>
  <c r="S258" i="41"/>
  <c r="T258" i="41"/>
  <c r="R259" i="41"/>
  <c r="S259" i="41"/>
  <c r="T259" i="41"/>
  <c r="R260" i="41"/>
  <c r="S260" i="41"/>
  <c r="T260" i="41"/>
  <c r="R261" i="41"/>
  <c r="S261" i="41"/>
  <c r="T261" i="41"/>
  <c r="R262" i="41"/>
  <c r="S262" i="41"/>
  <c r="T262" i="41"/>
  <c r="R263" i="41"/>
  <c r="S263" i="41"/>
  <c r="T263" i="41"/>
  <c r="R264" i="41"/>
  <c r="S264" i="41"/>
  <c r="T264" i="41"/>
  <c r="R265" i="41"/>
  <c r="S265" i="41"/>
  <c r="T265" i="41"/>
  <c r="R266" i="41"/>
  <c r="S266" i="41"/>
  <c r="T266" i="41"/>
  <c r="R267" i="41"/>
  <c r="S267" i="41"/>
  <c r="T267" i="41"/>
  <c r="R268" i="41"/>
  <c r="S268" i="41"/>
  <c r="T268" i="41"/>
  <c r="R269" i="41"/>
  <c r="S269" i="41"/>
  <c r="T269" i="41"/>
  <c r="R270" i="41"/>
  <c r="S270" i="41"/>
  <c r="T270" i="41"/>
  <c r="R271" i="41"/>
  <c r="S271" i="41"/>
  <c r="T271" i="41"/>
  <c r="R272" i="41"/>
  <c r="S272" i="41"/>
  <c r="T272" i="41"/>
  <c r="R273" i="41"/>
  <c r="S273" i="41"/>
  <c r="T273" i="41"/>
  <c r="R274" i="41"/>
  <c r="S274" i="41"/>
  <c r="T274" i="41"/>
  <c r="R275" i="41"/>
  <c r="S275" i="41"/>
  <c r="T275" i="41"/>
  <c r="R276" i="41"/>
  <c r="S276" i="41"/>
  <c r="T276" i="41"/>
  <c r="R277" i="41"/>
  <c r="S277" i="41"/>
  <c r="T277" i="41"/>
  <c r="R278" i="41"/>
  <c r="S278" i="41"/>
  <c r="T278" i="41"/>
  <c r="R279" i="41"/>
  <c r="S279" i="41"/>
  <c r="T279" i="41"/>
  <c r="R280" i="41"/>
  <c r="S280" i="41"/>
  <c r="T280" i="41"/>
  <c r="R281" i="41"/>
  <c r="S281" i="41"/>
  <c r="T281" i="41"/>
  <c r="R282" i="41"/>
  <c r="S282" i="41"/>
  <c r="T282" i="41"/>
  <c r="R283" i="41"/>
  <c r="S283" i="41"/>
  <c r="T283" i="41"/>
  <c r="R284" i="41"/>
  <c r="S284" i="41"/>
  <c r="T284" i="41"/>
  <c r="R285" i="41"/>
  <c r="S285" i="41"/>
  <c r="T285" i="41"/>
  <c r="R286" i="41"/>
  <c r="S286" i="41"/>
  <c r="T286" i="41"/>
  <c r="R287" i="41"/>
  <c r="S287" i="41"/>
  <c r="T287" i="41"/>
  <c r="R288" i="41"/>
  <c r="S288" i="41"/>
  <c r="T288" i="41"/>
  <c r="R289" i="41"/>
  <c r="S289" i="41"/>
  <c r="T289" i="41"/>
  <c r="R290" i="41"/>
  <c r="S290" i="41"/>
  <c r="T290" i="41"/>
  <c r="R291" i="41"/>
  <c r="S291" i="41"/>
  <c r="T291" i="41"/>
  <c r="R292" i="41"/>
  <c r="S292" i="41"/>
  <c r="T292" i="41"/>
  <c r="R293" i="41"/>
  <c r="S293" i="41"/>
  <c r="T293" i="41"/>
  <c r="R294" i="41"/>
  <c r="S294" i="41"/>
  <c r="T294" i="41"/>
  <c r="R295" i="41"/>
  <c r="S295" i="41"/>
  <c r="T295" i="41"/>
  <c r="R296" i="41"/>
  <c r="S296" i="41"/>
  <c r="T296" i="41"/>
  <c r="R297" i="41"/>
  <c r="S297" i="41"/>
  <c r="T297" i="41"/>
  <c r="R298" i="41"/>
  <c r="S298" i="41"/>
  <c r="T298" i="41"/>
  <c r="R299" i="41"/>
  <c r="S299" i="41"/>
  <c r="T299" i="41"/>
  <c r="R300" i="41"/>
  <c r="S300" i="41"/>
  <c r="T300" i="41"/>
  <c r="R301" i="41"/>
  <c r="S301" i="41"/>
  <c r="T301" i="41"/>
  <c r="R302" i="41"/>
  <c r="S302" i="41"/>
  <c r="T302" i="41"/>
  <c r="R303" i="41"/>
  <c r="S303" i="41"/>
  <c r="T303" i="41"/>
  <c r="R304" i="41"/>
  <c r="S304" i="41"/>
  <c r="T304" i="41"/>
  <c r="R305" i="41"/>
  <c r="S305" i="41"/>
  <c r="T305" i="41"/>
  <c r="R306" i="41"/>
  <c r="S306" i="41"/>
  <c r="T306" i="41"/>
  <c r="R307" i="41"/>
  <c r="S307" i="41"/>
  <c r="T307" i="41"/>
  <c r="R308" i="41"/>
  <c r="S308" i="41"/>
  <c r="T308" i="41"/>
  <c r="R309" i="41"/>
  <c r="S309" i="41"/>
  <c r="T309" i="41"/>
  <c r="R310" i="41"/>
  <c r="S310" i="41"/>
  <c r="T310" i="41"/>
  <c r="R311" i="41"/>
  <c r="S311" i="41"/>
  <c r="T311" i="41"/>
  <c r="R312" i="41"/>
  <c r="S312" i="41"/>
  <c r="T312" i="41"/>
  <c r="R313" i="41"/>
  <c r="S313" i="41"/>
  <c r="T313" i="41"/>
  <c r="R314" i="41"/>
  <c r="S314" i="41"/>
  <c r="T314" i="41"/>
  <c r="R4" i="41"/>
  <c r="S4" i="41"/>
  <c r="T4" i="41"/>
  <c r="D8" i="15"/>
  <c r="U229" i="42" l="1"/>
  <c r="E229" i="44" s="1"/>
  <c r="G229" i="44" s="1"/>
  <c r="R229" i="44" s="1"/>
  <c r="U225" i="42"/>
  <c r="E225" i="44" s="1"/>
  <c r="G225" i="44" s="1"/>
  <c r="R225" i="44" s="1"/>
  <c r="U205" i="42"/>
  <c r="E205" i="44" s="1"/>
  <c r="G205" i="44" s="1"/>
  <c r="R205" i="44" s="1"/>
  <c r="U97" i="41"/>
  <c r="D97" i="44" s="1"/>
  <c r="F97" i="44" s="1"/>
  <c r="Q97" i="44" s="1"/>
  <c r="Z97" i="44" s="1"/>
  <c r="J97" i="43" s="1"/>
  <c r="U312" i="41"/>
  <c r="D312" i="44" s="1"/>
  <c r="F312" i="44" s="1"/>
  <c r="Q312" i="44" s="1"/>
  <c r="U61" i="41"/>
  <c r="D61" i="44" s="1"/>
  <c r="F61" i="44" s="1"/>
  <c r="Q61" i="44" s="1"/>
  <c r="Z61" i="44" s="1"/>
  <c r="J61" i="43" s="1"/>
  <c r="U57" i="41"/>
  <c r="D57" i="44" s="1"/>
  <c r="F57" i="44" s="1"/>
  <c r="Q57" i="44" s="1"/>
  <c r="Z57" i="44" s="1"/>
  <c r="J57" i="43" s="1"/>
  <c r="U53" i="41"/>
  <c r="D53" i="44" s="1"/>
  <c r="F53" i="44" s="1"/>
  <c r="Q53" i="44" s="1"/>
  <c r="Z53" i="44" s="1"/>
  <c r="J53" i="43" s="1"/>
  <c r="U45" i="41"/>
  <c r="D45" i="44" s="1"/>
  <c r="F45" i="44" s="1"/>
  <c r="Q45" i="44" s="1"/>
  <c r="Z45" i="44" s="1"/>
  <c r="J45" i="43" s="1"/>
  <c r="U35" i="41"/>
  <c r="D35" i="44" s="1"/>
  <c r="F35" i="44" s="1"/>
  <c r="Q35" i="44" s="1"/>
  <c r="Z35" i="44" s="1"/>
  <c r="J35" i="43" s="1"/>
  <c r="U17" i="41"/>
  <c r="D17" i="44" s="1"/>
  <c r="F17" i="44" s="1"/>
  <c r="Q17" i="44" s="1"/>
  <c r="Z17" i="44" s="1"/>
  <c r="J17" i="43" s="1"/>
  <c r="U5" i="41"/>
  <c r="D5" i="44" s="1"/>
  <c r="F5" i="44" s="1"/>
  <c r="Q5" i="44" s="1"/>
  <c r="Z5" i="44" s="1"/>
  <c r="J5" i="43" s="1"/>
  <c r="U298" i="41"/>
  <c r="D298" i="44" s="1"/>
  <c r="F298" i="44" s="1"/>
  <c r="Q298" i="44" s="1"/>
  <c r="U294" i="41"/>
  <c r="D294" i="44" s="1"/>
  <c r="F294" i="44" s="1"/>
  <c r="Q294" i="44" s="1"/>
  <c r="U290" i="41"/>
  <c r="D290" i="44" s="1"/>
  <c r="F290" i="44" s="1"/>
  <c r="Q290" i="44" s="1"/>
  <c r="U286" i="41"/>
  <c r="D286" i="44" s="1"/>
  <c r="F286" i="44" s="1"/>
  <c r="Q286" i="44" s="1"/>
  <c r="U254" i="41"/>
  <c r="D254" i="44" s="1"/>
  <c r="F254" i="44" s="1"/>
  <c r="Q254" i="44" s="1"/>
  <c r="U250" i="41"/>
  <c r="D250" i="44" s="1"/>
  <c r="F250" i="44" s="1"/>
  <c r="Q250" i="44" s="1"/>
  <c r="U238" i="41"/>
  <c r="D238" i="44" s="1"/>
  <c r="F238" i="44" s="1"/>
  <c r="Q238" i="44" s="1"/>
  <c r="U234" i="41"/>
  <c r="D234" i="44" s="1"/>
  <c r="F234" i="44" s="1"/>
  <c r="Q234" i="44" s="1"/>
  <c r="U226" i="41"/>
  <c r="D226" i="44" s="1"/>
  <c r="F226" i="44" s="1"/>
  <c r="Q226" i="44" s="1"/>
  <c r="U222" i="41"/>
  <c r="D222" i="44" s="1"/>
  <c r="F222" i="44" s="1"/>
  <c r="Q222" i="44" s="1"/>
  <c r="U282" i="41"/>
  <c r="D282" i="44" s="1"/>
  <c r="F282" i="44" s="1"/>
  <c r="Q282" i="44" s="1"/>
  <c r="U262" i="41"/>
  <c r="D262" i="44" s="1"/>
  <c r="F262" i="44" s="1"/>
  <c r="Q262" i="44" s="1"/>
  <c r="U230" i="41"/>
  <c r="D230" i="44" s="1"/>
  <c r="F230" i="44" s="1"/>
  <c r="Q230" i="44" s="1"/>
  <c r="U103" i="41"/>
  <c r="D103" i="44" s="1"/>
  <c r="F103" i="44" s="1"/>
  <c r="Q103" i="44" s="1"/>
  <c r="Z103" i="44" s="1"/>
  <c r="J103" i="43" s="1"/>
  <c r="U101" i="41"/>
  <c r="D101" i="44" s="1"/>
  <c r="F101" i="44" s="1"/>
  <c r="Q101" i="44" s="1"/>
  <c r="Z101" i="44" s="1"/>
  <c r="J101" i="43" s="1"/>
  <c r="U99" i="41"/>
  <c r="D99" i="44" s="1"/>
  <c r="F99" i="44" s="1"/>
  <c r="Q99" i="44" s="1"/>
  <c r="Z99" i="44" s="1"/>
  <c r="J99" i="43" s="1"/>
  <c r="U94" i="41"/>
  <c r="D94" i="44" s="1"/>
  <c r="F94" i="44" s="1"/>
  <c r="Q94" i="44" s="1"/>
  <c r="Z94" i="44" s="1"/>
  <c r="J94" i="43" s="1"/>
  <c r="U86" i="41"/>
  <c r="D86" i="44" s="1"/>
  <c r="F86" i="44" s="1"/>
  <c r="Q86" i="44" s="1"/>
  <c r="Z86" i="44" s="1"/>
  <c r="J86" i="43" s="1"/>
  <c r="U82" i="41"/>
  <c r="D82" i="44" s="1"/>
  <c r="F82" i="44" s="1"/>
  <c r="Q82" i="44" s="1"/>
  <c r="Z82" i="44" s="1"/>
  <c r="J82" i="43" s="1"/>
  <c r="U78" i="41"/>
  <c r="D78" i="44" s="1"/>
  <c r="F78" i="44" s="1"/>
  <c r="Q78" i="44" s="1"/>
  <c r="Z78" i="44" s="1"/>
  <c r="J78" i="43" s="1"/>
  <c r="U74" i="41"/>
  <c r="D74" i="44" s="1"/>
  <c r="F74" i="44" s="1"/>
  <c r="Q74" i="44" s="1"/>
  <c r="Z74" i="44" s="1"/>
  <c r="J74" i="43" s="1"/>
  <c r="U6" i="41"/>
  <c r="D6" i="44" s="1"/>
  <c r="F6" i="44" s="1"/>
  <c r="Q6" i="44" s="1"/>
  <c r="Z6" i="44" s="1"/>
  <c r="J6" i="43" s="1"/>
  <c r="U302" i="41"/>
  <c r="D302" i="44" s="1"/>
  <c r="F302" i="44" s="1"/>
  <c r="Q302" i="44" s="1"/>
  <c r="U278" i="41"/>
  <c r="D278" i="44" s="1"/>
  <c r="F278" i="44" s="1"/>
  <c r="Q278" i="44" s="1"/>
  <c r="U274" i="41"/>
  <c r="D274" i="44" s="1"/>
  <c r="F274" i="44" s="1"/>
  <c r="Q274" i="44" s="1"/>
  <c r="U270" i="41"/>
  <c r="D270" i="44" s="1"/>
  <c r="F270" i="44" s="1"/>
  <c r="Q270" i="44" s="1"/>
  <c r="U266" i="41"/>
  <c r="D266" i="44" s="1"/>
  <c r="F266" i="44" s="1"/>
  <c r="Q266" i="44" s="1"/>
  <c r="U258" i="41"/>
  <c r="D258" i="44" s="1"/>
  <c r="F258" i="44" s="1"/>
  <c r="Q258" i="44" s="1"/>
  <c r="U246" i="41"/>
  <c r="D246" i="44" s="1"/>
  <c r="F246" i="44" s="1"/>
  <c r="Q246" i="44" s="1"/>
  <c r="U242" i="41"/>
  <c r="D242" i="44" s="1"/>
  <c r="F242" i="44" s="1"/>
  <c r="Q242" i="44" s="1"/>
  <c r="U81" i="41"/>
  <c r="D81" i="44" s="1"/>
  <c r="F81" i="44" s="1"/>
  <c r="Q81" i="44" s="1"/>
  <c r="Z81" i="44" s="1"/>
  <c r="J81" i="43" s="1"/>
  <c r="U77" i="41"/>
  <c r="D77" i="44" s="1"/>
  <c r="F77" i="44" s="1"/>
  <c r="Q77" i="44" s="1"/>
  <c r="Z77" i="44" s="1"/>
  <c r="J77" i="43" s="1"/>
  <c r="U32" i="41"/>
  <c r="D32" i="44" s="1"/>
  <c r="F32" i="44" s="1"/>
  <c r="Q32" i="44" s="1"/>
  <c r="Z32" i="44" s="1"/>
  <c r="J32" i="43" s="1"/>
  <c r="U28" i="41"/>
  <c r="D28" i="44" s="1"/>
  <c r="F28" i="44" s="1"/>
  <c r="Q28" i="44" s="1"/>
  <c r="Z28" i="44" s="1"/>
  <c r="J28" i="43" s="1"/>
  <c r="U24" i="41"/>
  <c r="D24" i="44" s="1"/>
  <c r="F24" i="44" s="1"/>
  <c r="Q24" i="44" s="1"/>
  <c r="Z24" i="44" s="1"/>
  <c r="J24" i="43" s="1"/>
  <c r="U21" i="41"/>
  <c r="D21" i="44" s="1"/>
  <c r="F21" i="44" s="1"/>
  <c r="Q21" i="44" s="1"/>
  <c r="Z21" i="44" s="1"/>
  <c r="J21" i="43" s="1"/>
  <c r="U4" i="41"/>
  <c r="D4" i="44" s="1"/>
  <c r="F4" i="44" s="1"/>
  <c r="Q4" i="44" s="1"/>
  <c r="U125" i="41"/>
  <c r="D125" i="44" s="1"/>
  <c r="F125" i="44" s="1"/>
  <c r="Q125" i="44" s="1"/>
  <c r="Z125" i="44" s="1"/>
  <c r="J125" i="43" s="1"/>
  <c r="U124" i="41"/>
  <c r="D124" i="44" s="1"/>
  <c r="F124" i="44" s="1"/>
  <c r="Q124" i="44" s="1"/>
  <c r="Z124" i="44" s="1"/>
  <c r="J124" i="43" s="1"/>
  <c r="U121" i="41"/>
  <c r="D121" i="44" s="1"/>
  <c r="F121" i="44" s="1"/>
  <c r="Q121" i="44" s="1"/>
  <c r="Z121" i="44" s="1"/>
  <c r="J121" i="43" s="1"/>
  <c r="U120" i="41"/>
  <c r="D120" i="44" s="1"/>
  <c r="F120" i="44" s="1"/>
  <c r="Q120" i="44" s="1"/>
  <c r="Z120" i="44" s="1"/>
  <c r="J120" i="43" s="1"/>
  <c r="U63" i="41"/>
  <c r="D63" i="44" s="1"/>
  <c r="F63" i="44" s="1"/>
  <c r="Q63" i="44" s="1"/>
  <c r="Z63" i="44" s="1"/>
  <c r="J63" i="43" s="1"/>
  <c r="U58" i="41"/>
  <c r="D58" i="44" s="1"/>
  <c r="F58" i="44" s="1"/>
  <c r="Q58" i="44" s="1"/>
  <c r="Z58" i="44" s="1"/>
  <c r="J58" i="43" s="1"/>
  <c r="U41" i="41"/>
  <c r="D41" i="44" s="1"/>
  <c r="F41" i="44" s="1"/>
  <c r="Q41" i="44" s="1"/>
  <c r="Z41" i="44" s="1"/>
  <c r="J41" i="43" s="1"/>
  <c r="U8" i="41"/>
  <c r="D8" i="44" s="1"/>
  <c r="F8" i="44" s="1"/>
  <c r="Q8" i="44" s="1"/>
  <c r="Z8" i="44" s="1"/>
  <c r="J8" i="43" s="1"/>
  <c r="U313" i="41"/>
  <c r="D313" i="44" s="1"/>
  <c r="F313" i="44" s="1"/>
  <c r="Q313" i="44" s="1"/>
  <c r="U309" i="41"/>
  <c r="D309" i="44" s="1"/>
  <c r="F309" i="44" s="1"/>
  <c r="Q309" i="44" s="1"/>
  <c r="U305" i="41"/>
  <c r="D305" i="44" s="1"/>
  <c r="F305" i="44" s="1"/>
  <c r="Q305" i="44" s="1"/>
  <c r="U297" i="41"/>
  <c r="D297" i="44" s="1"/>
  <c r="F297" i="44" s="1"/>
  <c r="Q297" i="44" s="1"/>
  <c r="U293" i="41"/>
  <c r="D293" i="44" s="1"/>
  <c r="F293" i="44" s="1"/>
  <c r="Q293" i="44" s="1"/>
  <c r="U289" i="41"/>
  <c r="D289" i="44" s="1"/>
  <c r="F289" i="44" s="1"/>
  <c r="Q289" i="44" s="1"/>
  <c r="U285" i="41"/>
  <c r="D285" i="44" s="1"/>
  <c r="F285" i="44" s="1"/>
  <c r="Q285" i="44" s="1"/>
  <c r="U281" i="41"/>
  <c r="D281" i="44" s="1"/>
  <c r="F281" i="44" s="1"/>
  <c r="Q281" i="44" s="1"/>
  <c r="U277" i="41"/>
  <c r="D277" i="44" s="1"/>
  <c r="F277" i="44" s="1"/>
  <c r="Q277" i="44" s="1"/>
  <c r="U273" i="41"/>
  <c r="D273" i="44" s="1"/>
  <c r="F273" i="44" s="1"/>
  <c r="Q273" i="44" s="1"/>
  <c r="U269" i="41"/>
  <c r="D269" i="44" s="1"/>
  <c r="F269" i="44" s="1"/>
  <c r="Q269" i="44" s="1"/>
  <c r="U265" i="41"/>
  <c r="D265" i="44" s="1"/>
  <c r="F265" i="44" s="1"/>
  <c r="Q265" i="44" s="1"/>
  <c r="U261" i="41"/>
  <c r="D261" i="44" s="1"/>
  <c r="F261" i="44" s="1"/>
  <c r="Q261" i="44" s="1"/>
  <c r="U257" i="41"/>
  <c r="D257" i="44" s="1"/>
  <c r="F257" i="44" s="1"/>
  <c r="Q257" i="44" s="1"/>
  <c r="U253" i="41"/>
  <c r="D253" i="44" s="1"/>
  <c r="F253" i="44" s="1"/>
  <c r="Q253" i="44" s="1"/>
  <c r="U249" i="41"/>
  <c r="D249" i="44" s="1"/>
  <c r="F249" i="44" s="1"/>
  <c r="Q249" i="44" s="1"/>
  <c r="U68" i="41"/>
  <c r="D68" i="44" s="1"/>
  <c r="F68" i="44" s="1"/>
  <c r="Q68" i="44" s="1"/>
  <c r="Z68" i="44" s="1"/>
  <c r="J68" i="43" s="1"/>
  <c r="U47" i="41"/>
  <c r="D47" i="44" s="1"/>
  <c r="F47" i="44" s="1"/>
  <c r="Q47" i="44" s="1"/>
  <c r="Z47" i="44" s="1"/>
  <c r="J47" i="43" s="1"/>
  <c r="U13" i="41"/>
  <c r="D13" i="44" s="1"/>
  <c r="F13" i="44" s="1"/>
  <c r="Q13" i="44" s="1"/>
  <c r="Z13" i="44" s="1"/>
  <c r="J13" i="43" s="1"/>
  <c r="U73" i="41"/>
  <c r="D73" i="44" s="1"/>
  <c r="F73" i="44" s="1"/>
  <c r="Q73" i="44" s="1"/>
  <c r="Z73" i="44" s="1"/>
  <c r="J73" i="43" s="1"/>
  <c r="U69" i="41"/>
  <c r="D69" i="44" s="1"/>
  <c r="F69" i="44" s="1"/>
  <c r="Q69" i="44" s="1"/>
  <c r="Z69" i="44" s="1"/>
  <c r="J69" i="43" s="1"/>
  <c r="U52" i="41"/>
  <c r="D52" i="44" s="1"/>
  <c r="F52" i="44" s="1"/>
  <c r="Q52" i="44" s="1"/>
  <c r="Z52" i="44" s="1"/>
  <c r="J52" i="43" s="1"/>
  <c r="U49" i="41"/>
  <c r="D49" i="44" s="1"/>
  <c r="F49" i="44" s="1"/>
  <c r="Q49" i="44" s="1"/>
  <c r="Z49" i="44" s="1"/>
  <c r="J49" i="43" s="1"/>
  <c r="U20" i="41"/>
  <c r="D20" i="44" s="1"/>
  <c r="F20" i="44" s="1"/>
  <c r="Q20" i="44" s="1"/>
  <c r="Z20" i="44" s="1"/>
  <c r="J20" i="43" s="1"/>
  <c r="U15" i="41"/>
  <c r="D15" i="44" s="1"/>
  <c r="F15" i="44" s="1"/>
  <c r="Q15" i="44" s="1"/>
  <c r="Z15" i="44" s="1"/>
  <c r="J15" i="43" s="1"/>
  <c r="U293" i="42"/>
  <c r="E293" i="44" s="1"/>
  <c r="G293" i="44" s="1"/>
  <c r="R293" i="44" s="1"/>
  <c r="U277" i="42"/>
  <c r="E277" i="44" s="1"/>
  <c r="G277" i="44" s="1"/>
  <c r="R277" i="44" s="1"/>
  <c r="U261" i="42"/>
  <c r="E261" i="44" s="1"/>
  <c r="G261" i="44" s="1"/>
  <c r="R261" i="44" s="1"/>
  <c r="U221" i="42"/>
  <c r="E221" i="44" s="1"/>
  <c r="G221" i="44" s="1"/>
  <c r="R221" i="44" s="1"/>
  <c r="U304" i="41"/>
  <c r="D304" i="44" s="1"/>
  <c r="F304" i="44" s="1"/>
  <c r="Q304" i="44" s="1"/>
  <c r="U300" i="41"/>
  <c r="D300" i="44" s="1"/>
  <c r="F300" i="44" s="1"/>
  <c r="Q300" i="44" s="1"/>
  <c r="U296" i="41"/>
  <c r="D296" i="44" s="1"/>
  <c r="F296" i="44" s="1"/>
  <c r="Q296" i="44" s="1"/>
  <c r="U292" i="41"/>
  <c r="D292" i="44" s="1"/>
  <c r="F292" i="44" s="1"/>
  <c r="Q292" i="44" s="1"/>
  <c r="U288" i="41"/>
  <c r="D288" i="44" s="1"/>
  <c r="F288" i="44" s="1"/>
  <c r="Q288" i="44" s="1"/>
  <c r="U284" i="41"/>
  <c r="D284" i="44" s="1"/>
  <c r="F284" i="44" s="1"/>
  <c r="Q284" i="44" s="1"/>
  <c r="U280" i="41"/>
  <c r="D280" i="44" s="1"/>
  <c r="F280" i="44" s="1"/>
  <c r="Q280" i="44" s="1"/>
  <c r="U276" i="41"/>
  <c r="D276" i="44" s="1"/>
  <c r="F276" i="44" s="1"/>
  <c r="Q276" i="44" s="1"/>
  <c r="U272" i="41"/>
  <c r="D272" i="44" s="1"/>
  <c r="F272" i="44" s="1"/>
  <c r="Q272" i="44" s="1"/>
  <c r="U268" i="41"/>
  <c r="D268" i="44" s="1"/>
  <c r="F268" i="44" s="1"/>
  <c r="Q268" i="44" s="1"/>
  <c r="U264" i="41"/>
  <c r="D264" i="44" s="1"/>
  <c r="F264" i="44" s="1"/>
  <c r="Q264" i="44" s="1"/>
  <c r="U260" i="41"/>
  <c r="D260" i="44" s="1"/>
  <c r="F260" i="44" s="1"/>
  <c r="Q260" i="44" s="1"/>
  <c r="U256" i="41"/>
  <c r="D256" i="44" s="1"/>
  <c r="F256" i="44" s="1"/>
  <c r="Q256" i="44" s="1"/>
  <c r="U252" i="41"/>
  <c r="D252" i="44" s="1"/>
  <c r="F252" i="44" s="1"/>
  <c r="Q252" i="44" s="1"/>
  <c r="U248" i="41"/>
  <c r="D248" i="44" s="1"/>
  <c r="F248" i="44" s="1"/>
  <c r="Q248" i="44" s="1"/>
  <c r="U245" i="41"/>
  <c r="D245" i="44" s="1"/>
  <c r="F245" i="44" s="1"/>
  <c r="Q245" i="44" s="1"/>
  <c r="Z245" i="44" s="1"/>
  <c r="J245" i="43" s="1"/>
  <c r="U244" i="41"/>
  <c r="D244" i="44" s="1"/>
  <c r="F244" i="44" s="1"/>
  <c r="Q244" i="44" s="1"/>
  <c r="U241" i="41"/>
  <c r="D241" i="44" s="1"/>
  <c r="F241" i="44" s="1"/>
  <c r="Q241" i="44" s="1"/>
  <c r="U240" i="41"/>
  <c r="D240" i="44" s="1"/>
  <c r="F240" i="44" s="1"/>
  <c r="Q240" i="44" s="1"/>
  <c r="U237" i="41"/>
  <c r="D237" i="44" s="1"/>
  <c r="F237" i="44" s="1"/>
  <c r="Q237" i="44" s="1"/>
  <c r="U236" i="41"/>
  <c r="D236" i="44" s="1"/>
  <c r="F236" i="44" s="1"/>
  <c r="Q236" i="44" s="1"/>
  <c r="U233" i="41"/>
  <c r="D233" i="44" s="1"/>
  <c r="F233" i="44" s="1"/>
  <c r="Q233" i="44" s="1"/>
  <c r="U232" i="41"/>
  <c r="D232" i="44" s="1"/>
  <c r="F232" i="44" s="1"/>
  <c r="Q232" i="44" s="1"/>
  <c r="U229" i="41"/>
  <c r="D229" i="44" s="1"/>
  <c r="F229" i="44" s="1"/>
  <c r="Q229" i="44" s="1"/>
  <c r="Z229" i="44" s="1"/>
  <c r="J229" i="43" s="1"/>
  <c r="U228" i="41"/>
  <c r="D228" i="44" s="1"/>
  <c r="F228" i="44" s="1"/>
  <c r="Q228" i="44" s="1"/>
  <c r="U225" i="41"/>
  <c r="D225" i="44" s="1"/>
  <c r="F225" i="44" s="1"/>
  <c r="Q225" i="44" s="1"/>
  <c r="U224" i="41"/>
  <c r="D224" i="44" s="1"/>
  <c r="F224" i="44" s="1"/>
  <c r="Q224" i="44" s="1"/>
  <c r="U221" i="41"/>
  <c r="D221" i="44" s="1"/>
  <c r="F221" i="44" s="1"/>
  <c r="U220" i="41"/>
  <c r="D220" i="44" s="1"/>
  <c r="F220" i="44" s="1"/>
  <c r="Q220" i="44" s="1"/>
  <c r="U113" i="41"/>
  <c r="D113" i="44" s="1"/>
  <c r="F113" i="44" s="1"/>
  <c r="Q113" i="44" s="1"/>
  <c r="Z113" i="44" s="1"/>
  <c r="J113" i="43" s="1"/>
  <c r="U109" i="41"/>
  <c r="D109" i="44" s="1"/>
  <c r="F109" i="44" s="1"/>
  <c r="Q109" i="44" s="1"/>
  <c r="Z109" i="44" s="1"/>
  <c r="J109" i="43" s="1"/>
  <c r="U108" i="41"/>
  <c r="D108" i="44" s="1"/>
  <c r="F108" i="44" s="1"/>
  <c r="Q108" i="44" s="1"/>
  <c r="Z108" i="44" s="1"/>
  <c r="J108" i="43" s="1"/>
  <c r="U105" i="41"/>
  <c r="D105" i="44" s="1"/>
  <c r="F105" i="44" s="1"/>
  <c r="Q105" i="44" s="1"/>
  <c r="Z105" i="44" s="1"/>
  <c r="J105" i="43" s="1"/>
  <c r="U104" i="41"/>
  <c r="D104" i="44" s="1"/>
  <c r="F104" i="44" s="1"/>
  <c r="Q104" i="44" s="1"/>
  <c r="Z104" i="44" s="1"/>
  <c r="J104" i="43" s="1"/>
  <c r="U87" i="41"/>
  <c r="D87" i="44" s="1"/>
  <c r="F87" i="44" s="1"/>
  <c r="Q87" i="44" s="1"/>
  <c r="Z87" i="44" s="1"/>
  <c r="J87" i="43" s="1"/>
  <c r="U83" i="41"/>
  <c r="D83" i="44" s="1"/>
  <c r="F83" i="44" s="1"/>
  <c r="Q83" i="44" s="1"/>
  <c r="Z83" i="44" s="1"/>
  <c r="J83" i="43" s="1"/>
  <c r="U79" i="41"/>
  <c r="D79" i="44" s="1"/>
  <c r="F79" i="44" s="1"/>
  <c r="Q79" i="44" s="1"/>
  <c r="Z79" i="44" s="1"/>
  <c r="J79" i="43" s="1"/>
  <c r="U75" i="41"/>
  <c r="D75" i="44" s="1"/>
  <c r="F75" i="44" s="1"/>
  <c r="Q75" i="44" s="1"/>
  <c r="Z75" i="44" s="1"/>
  <c r="J75" i="43" s="1"/>
  <c r="U37" i="41"/>
  <c r="D37" i="44" s="1"/>
  <c r="F37" i="44" s="1"/>
  <c r="Q37" i="44" s="1"/>
  <c r="Z37" i="44" s="1"/>
  <c r="J37" i="43" s="1"/>
  <c r="U310" i="42"/>
  <c r="E310" i="44" s="1"/>
  <c r="G310" i="44" s="1"/>
  <c r="R310" i="44" s="1"/>
  <c r="U129" i="41"/>
  <c r="D129" i="44" s="1"/>
  <c r="F129" i="44" s="1"/>
  <c r="Q129" i="44" s="1"/>
  <c r="Z129" i="44" s="1"/>
  <c r="J129" i="43" s="1"/>
  <c r="U65" i="41"/>
  <c r="D65" i="44" s="1"/>
  <c r="F65" i="44" s="1"/>
  <c r="Q65" i="44" s="1"/>
  <c r="Z65" i="44" s="1"/>
  <c r="J65" i="43" s="1"/>
  <c r="U9" i="41"/>
  <c r="D9" i="44" s="1"/>
  <c r="F9" i="44" s="1"/>
  <c r="Q9" i="44" s="1"/>
  <c r="Z9" i="44" s="1"/>
  <c r="J9" i="43" s="1"/>
  <c r="U218" i="41"/>
  <c r="D218" i="44" s="1"/>
  <c r="F218" i="44" s="1"/>
  <c r="Q218" i="44" s="1"/>
  <c r="U214" i="41"/>
  <c r="D214" i="44" s="1"/>
  <c r="F214" i="44" s="1"/>
  <c r="Q214" i="44" s="1"/>
  <c r="U210" i="41"/>
  <c r="D210" i="44" s="1"/>
  <c r="F210" i="44" s="1"/>
  <c r="Q210" i="44" s="1"/>
  <c r="U206" i="41"/>
  <c r="D206" i="44" s="1"/>
  <c r="F206" i="44" s="1"/>
  <c r="Q206" i="44" s="1"/>
  <c r="U202" i="41"/>
  <c r="D202" i="44" s="1"/>
  <c r="F202" i="44" s="1"/>
  <c r="Q202" i="44" s="1"/>
  <c r="U198" i="41"/>
  <c r="D198" i="44" s="1"/>
  <c r="F198" i="44" s="1"/>
  <c r="Q198" i="44" s="1"/>
  <c r="U194" i="41"/>
  <c r="D194" i="44" s="1"/>
  <c r="F194" i="44" s="1"/>
  <c r="Q194" i="44" s="1"/>
  <c r="U190" i="41"/>
  <c r="D190" i="44" s="1"/>
  <c r="F190" i="44" s="1"/>
  <c r="Q190" i="44" s="1"/>
  <c r="U186" i="41"/>
  <c r="D186" i="44" s="1"/>
  <c r="F186" i="44" s="1"/>
  <c r="Q186" i="44" s="1"/>
  <c r="U182" i="41"/>
  <c r="D182" i="44" s="1"/>
  <c r="F182" i="44" s="1"/>
  <c r="Q182" i="44" s="1"/>
  <c r="U178" i="41"/>
  <c r="D178" i="44" s="1"/>
  <c r="F178" i="44" s="1"/>
  <c r="Q178" i="44" s="1"/>
  <c r="U174" i="41"/>
  <c r="D174" i="44" s="1"/>
  <c r="F174" i="44" s="1"/>
  <c r="Q174" i="44" s="1"/>
  <c r="U170" i="41"/>
  <c r="D170" i="44" s="1"/>
  <c r="F170" i="44" s="1"/>
  <c r="Q170" i="44" s="1"/>
  <c r="U166" i="41"/>
  <c r="D166" i="44" s="1"/>
  <c r="F166" i="44" s="1"/>
  <c r="Q166" i="44" s="1"/>
  <c r="U162" i="41"/>
  <c r="D162" i="44" s="1"/>
  <c r="F162" i="44" s="1"/>
  <c r="Q162" i="44" s="1"/>
  <c r="Z162" i="44" s="1"/>
  <c r="J162" i="43" s="1"/>
  <c r="U158" i="41"/>
  <c r="D158" i="44" s="1"/>
  <c r="F158" i="44" s="1"/>
  <c r="Q158" i="44" s="1"/>
  <c r="Z158" i="44" s="1"/>
  <c r="J158" i="43" s="1"/>
  <c r="U154" i="41"/>
  <c r="D154" i="44" s="1"/>
  <c r="F154" i="44" s="1"/>
  <c r="Q154" i="44" s="1"/>
  <c r="Z154" i="44" s="1"/>
  <c r="J154" i="43" s="1"/>
  <c r="U150" i="41"/>
  <c r="D150" i="44" s="1"/>
  <c r="F150" i="44" s="1"/>
  <c r="Q150" i="44" s="1"/>
  <c r="Z150" i="44" s="1"/>
  <c r="J150" i="43" s="1"/>
  <c r="U146" i="41"/>
  <c r="D146" i="44" s="1"/>
  <c r="F146" i="44" s="1"/>
  <c r="Q146" i="44" s="1"/>
  <c r="Z146" i="44" s="1"/>
  <c r="J146" i="43" s="1"/>
  <c r="U142" i="41"/>
  <c r="D142" i="44" s="1"/>
  <c r="F142" i="44" s="1"/>
  <c r="Q142" i="44" s="1"/>
  <c r="Z142" i="44" s="1"/>
  <c r="J142" i="43" s="1"/>
  <c r="U130" i="41"/>
  <c r="D130" i="44" s="1"/>
  <c r="F130" i="44" s="1"/>
  <c r="Q130" i="44" s="1"/>
  <c r="U302" i="42"/>
  <c r="E302" i="44" s="1"/>
  <c r="G302" i="44" s="1"/>
  <c r="R302" i="44" s="1"/>
  <c r="U59" i="41"/>
  <c r="D59" i="44" s="1"/>
  <c r="F59" i="44" s="1"/>
  <c r="Q59" i="44" s="1"/>
  <c r="Z59" i="44" s="1"/>
  <c r="J59" i="43" s="1"/>
  <c r="U54" i="41"/>
  <c r="D54" i="44" s="1"/>
  <c r="F54" i="44" s="1"/>
  <c r="Q54" i="44" s="1"/>
  <c r="Z54" i="44" s="1"/>
  <c r="J54" i="43" s="1"/>
  <c r="U48" i="41"/>
  <c r="D48" i="44" s="1"/>
  <c r="F48" i="44" s="1"/>
  <c r="Q48" i="44" s="1"/>
  <c r="Z48" i="44" s="1"/>
  <c r="J48" i="43" s="1"/>
  <c r="U43" i="41"/>
  <c r="D43" i="44" s="1"/>
  <c r="F43" i="44" s="1"/>
  <c r="Q43" i="44" s="1"/>
  <c r="Z43" i="44" s="1"/>
  <c r="J43" i="43" s="1"/>
  <c r="U22" i="41"/>
  <c r="D22" i="44" s="1"/>
  <c r="F22" i="44" s="1"/>
  <c r="Q22" i="44" s="1"/>
  <c r="Z22" i="44" s="1"/>
  <c r="J22" i="43" s="1"/>
  <c r="U16" i="41"/>
  <c r="D16" i="44" s="1"/>
  <c r="F16" i="44" s="1"/>
  <c r="Q16" i="44" s="1"/>
  <c r="Z16" i="44" s="1"/>
  <c r="J16" i="43" s="1"/>
  <c r="U11" i="41"/>
  <c r="D11" i="44" s="1"/>
  <c r="F11" i="44" s="1"/>
  <c r="Q11" i="44" s="1"/>
  <c r="Z11" i="44" s="1"/>
  <c r="J11" i="43" s="1"/>
  <c r="U306" i="42"/>
  <c r="E306" i="44" s="1"/>
  <c r="G306" i="44" s="1"/>
  <c r="R306" i="44" s="1"/>
  <c r="U301" i="42"/>
  <c r="E301" i="44" s="1"/>
  <c r="G301" i="44" s="1"/>
  <c r="R301" i="44" s="1"/>
  <c r="U297" i="42"/>
  <c r="E297" i="44" s="1"/>
  <c r="G297" i="44" s="1"/>
  <c r="R297" i="44" s="1"/>
  <c r="U294" i="42"/>
  <c r="E294" i="44" s="1"/>
  <c r="G294" i="44" s="1"/>
  <c r="R294" i="44" s="1"/>
  <c r="U289" i="42"/>
  <c r="E289" i="44" s="1"/>
  <c r="G289" i="44" s="1"/>
  <c r="R289" i="44" s="1"/>
  <c r="U285" i="42"/>
  <c r="E285" i="44" s="1"/>
  <c r="G285" i="44" s="1"/>
  <c r="R285" i="44" s="1"/>
  <c r="U281" i="42"/>
  <c r="E281" i="44" s="1"/>
  <c r="G281" i="44" s="1"/>
  <c r="R281" i="44" s="1"/>
  <c r="U273" i="42"/>
  <c r="E273" i="44" s="1"/>
  <c r="G273" i="44" s="1"/>
  <c r="R273" i="44" s="1"/>
  <c r="U269" i="42"/>
  <c r="E269" i="44" s="1"/>
  <c r="G269" i="44" s="1"/>
  <c r="R269" i="44" s="1"/>
  <c r="U265" i="42"/>
  <c r="E265" i="44" s="1"/>
  <c r="G265" i="44" s="1"/>
  <c r="R265" i="44" s="1"/>
  <c r="U257" i="42"/>
  <c r="E257" i="44" s="1"/>
  <c r="G257" i="44" s="1"/>
  <c r="R257" i="44" s="1"/>
  <c r="U253" i="42"/>
  <c r="E253" i="44" s="1"/>
  <c r="G253" i="44" s="1"/>
  <c r="R253" i="44" s="1"/>
  <c r="U249" i="42"/>
  <c r="E249" i="44" s="1"/>
  <c r="G249" i="44" s="1"/>
  <c r="R249" i="44" s="1"/>
  <c r="U241" i="42"/>
  <c r="E241" i="44" s="1"/>
  <c r="G241" i="44" s="1"/>
  <c r="R241" i="44" s="1"/>
  <c r="U237" i="42"/>
  <c r="E237" i="44" s="1"/>
  <c r="G237" i="44" s="1"/>
  <c r="R237" i="44" s="1"/>
  <c r="U233" i="42"/>
  <c r="E233" i="44" s="1"/>
  <c r="G233" i="44" s="1"/>
  <c r="R233" i="44" s="1"/>
  <c r="U70" i="41"/>
  <c r="D70" i="44" s="1"/>
  <c r="F70" i="44" s="1"/>
  <c r="Q70" i="44" s="1"/>
  <c r="Z70" i="44" s="1"/>
  <c r="J70" i="43" s="1"/>
  <c r="U64" i="41"/>
  <c r="D64" i="44" s="1"/>
  <c r="F64" i="44" s="1"/>
  <c r="Q64" i="44" s="1"/>
  <c r="Z64" i="44" s="1"/>
  <c r="J64" i="43" s="1"/>
  <c r="U39" i="41"/>
  <c r="D39" i="44" s="1"/>
  <c r="F39" i="44" s="1"/>
  <c r="Q39" i="44" s="1"/>
  <c r="Z39" i="44" s="1"/>
  <c r="J39" i="43" s="1"/>
  <c r="U303" i="41"/>
  <c r="D303" i="44" s="1"/>
  <c r="F303" i="44" s="1"/>
  <c r="Q303" i="44" s="1"/>
  <c r="U301" i="41"/>
  <c r="D301" i="44" s="1"/>
  <c r="F301" i="44" s="1"/>
  <c r="Q301" i="44" s="1"/>
  <c r="U299" i="41"/>
  <c r="D299" i="44" s="1"/>
  <c r="F299" i="44" s="1"/>
  <c r="Q299" i="44" s="1"/>
  <c r="U295" i="41"/>
  <c r="D295" i="44" s="1"/>
  <c r="F295" i="44" s="1"/>
  <c r="Q295" i="44" s="1"/>
  <c r="U291" i="41"/>
  <c r="D291" i="44" s="1"/>
  <c r="F291" i="44" s="1"/>
  <c r="Q291" i="44" s="1"/>
  <c r="U287" i="41"/>
  <c r="D287" i="44" s="1"/>
  <c r="F287" i="44" s="1"/>
  <c r="Q287" i="44" s="1"/>
  <c r="U283" i="41"/>
  <c r="D283" i="44" s="1"/>
  <c r="F283" i="44" s="1"/>
  <c r="Q283" i="44" s="1"/>
  <c r="U279" i="41"/>
  <c r="D279" i="44" s="1"/>
  <c r="F279" i="44" s="1"/>
  <c r="Q279" i="44" s="1"/>
  <c r="U275" i="41"/>
  <c r="D275" i="44" s="1"/>
  <c r="F275" i="44" s="1"/>
  <c r="Q275" i="44" s="1"/>
  <c r="U271" i="41"/>
  <c r="D271" i="44" s="1"/>
  <c r="F271" i="44" s="1"/>
  <c r="Q271" i="44" s="1"/>
  <c r="U267" i="41"/>
  <c r="D267" i="44" s="1"/>
  <c r="F267" i="44" s="1"/>
  <c r="Q267" i="44" s="1"/>
  <c r="U263" i="41"/>
  <c r="D263" i="44" s="1"/>
  <c r="F263" i="44" s="1"/>
  <c r="Q263" i="44" s="1"/>
  <c r="U259" i="41"/>
  <c r="D259" i="44" s="1"/>
  <c r="F259" i="44" s="1"/>
  <c r="Q259" i="44" s="1"/>
  <c r="U255" i="41"/>
  <c r="D255" i="44" s="1"/>
  <c r="F255" i="44" s="1"/>
  <c r="Q255" i="44" s="1"/>
  <c r="U251" i="41"/>
  <c r="D251" i="44" s="1"/>
  <c r="F251" i="44" s="1"/>
  <c r="Q251" i="44" s="1"/>
  <c r="U247" i="41"/>
  <c r="D247" i="44" s="1"/>
  <c r="F247" i="44" s="1"/>
  <c r="Q247" i="44" s="1"/>
  <c r="U243" i="41"/>
  <c r="D243" i="44" s="1"/>
  <c r="F243" i="44" s="1"/>
  <c r="Q243" i="44" s="1"/>
  <c r="U239" i="41"/>
  <c r="D239" i="44" s="1"/>
  <c r="F239" i="44" s="1"/>
  <c r="Q239" i="44" s="1"/>
  <c r="U235" i="41"/>
  <c r="D235" i="44" s="1"/>
  <c r="F235" i="44" s="1"/>
  <c r="Q235" i="44" s="1"/>
  <c r="U231" i="41"/>
  <c r="D231" i="44" s="1"/>
  <c r="F231" i="44" s="1"/>
  <c r="Q231" i="44" s="1"/>
  <c r="U227" i="41"/>
  <c r="D227" i="44" s="1"/>
  <c r="F227" i="44" s="1"/>
  <c r="Q227" i="44" s="1"/>
  <c r="U223" i="41"/>
  <c r="D223" i="44" s="1"/>
  <c r="F223" i="44" s="1"/>
  <c r="Q223" i="44" s="1"/>
  <c r="U219" i="41"/>
  <c r="D219" i="44" s="1"/>
  <c r="F219" i="44" s="1"/>
  <c r="Q219" i="44" s="1"/>
  <c r="U215" i="41"/>
  <c r="D215" i="44" s="1"/>
  <c r="F215" i="44" s="1"/>
  <c r="Q215" i="44" s="1"/>
  <c r="U211" i="41"/>
  <c r="D211" i="44" s="1"/>
  <c r="F211" i="44" s="1"/>
  <c r="Q211" i="44" s="1"/>
  <c r="U207" i="41"/>
  <c r="D207" i="44" s="1"/>
  <c r="F207" i="44" s="1"/>
  <c r="Q207" i="44" s="1"/>
  <c r="U203" i="41"/>
  <c r="D203" i="44" s="1"/>
  <c r="F203" i="44" s="1"/>
  <c r="Q203" i="44" s="1"/>
  <c r="U199" i="41"/>
  <c r="D199" i="44" s="1"/>
  <c r="F199" i="44" s="1"/>
  <c r="Q199" i="44" s="1"/>
  <c r="U195" i="41"/>
  <c r="D195" i="44" s="1"/>
  <c r="F195" i="44" s="1"/>
  <c r="Q195" i="44" s="1"/>
  <c r="U191" i="41"/>
  <c r="D191" i="44" s="1"/>
  <c r="F191" i="44" s="1"/>
  <c r="Q191" i="44" s="1"/>
  <c r="U187" i="41"/>
  <c r="D187" i="44" s="1"/>
  <c r="F187" i="44" s="1"/>
  <c r="Q187" i="44" s="1"/>
  <c r="U183" i="41"/>
  <c r="D183" i="44" s="1"/>
  <c r="F183" i="44" s="1"/>
  <c r="Q183" i="44" s="1"/>
  <c r="U179" i="41"/>
  <c r="D179" i="44" s="1"/>
  <c r="F179" i="44" s="1"/>
  <c r="Q179" i="44" s="1"/>
  <c r="U175" i="41"/>
  <c r="D175" i="44" s="1"/>
  <c r="F175" i="44" s="1"/>
  <c r="Q175" i="44" s="1"/>
  <c r="U171" i="41"/>
  <c r="D171" i="44" s="1"/>
  <c r="F171" i="44" s="1"/>
  <c r="Q171" i="44" s="1"/>
  <c r="U167" i="41"/>
  <c r="D167" i="44" s="1"/>
  <c r="F167" i="44" s="1"/>
  <c r="Q167" i="44" s="1"/>
  <c r="U163" i="41"/>
  <c r="D163" i="44" s="1"/>
  <c r="F163" i="44" s="1"/>
  <c r="Q163" i="44" s="1"/>
  <c r="Z163" i="44" s="1"/>
  <c r="J163" i="43" s="1"/>
  <c r="U161" i="41"/>
  <c r="D161" i="44" s="1"/>
  <c r="F161" i="44" s="1"/>
  <c r="Q161" i="44" s="1"/>
  <c r="Z161" i="44" s="1"/>
  <c r="J161" i="43" s="1"/>
  <c r="U159" i="41"/>
  <c r="D159" i="44" s="1"/>
  <c r="F159" i="44" s="1"/>
  <c r="Q159" i="44" s="1"/>
  <c r="Z159" i="44" s="1"/>
  <c r="J159" i="43" s="1"/>
  <c r="U157" i="41"/>
  <c r="D157" i="44" s="1"/>
  <c r="F157" i="44" s="1"/>
  <c r="Q157" i="44" s="1"/>
  <c r="Z157" i="44" s="1"/>
  <c r="J157" i="43" s="1"/>
  <c r="U155" i="41"/>
  <c r="D155" i="44" s="1"/>
  <c r="F155" i="44" s="1"/>
  <c r="Q155" i="44" s="1"/>
  <c r="Z155" i="44" s="1"/>
  <c r="J155" i="43" s="1"/>
  <c r="U153" i="41"/>
  <c r="D153" i="44" s="1"/>
  <c r="F153" i="44" s="1"/>
  <c r="Q153" i="44" s="1"/>
  <c r="Z153" i="44" s="1"/>
  <c r="J153" i="43" s="1"/>
  <c r="U151" i="41"/>
  <c r="D151" i="44" s="1"/>
  <c r="F151" i="44" s="1"/>
  <c r="Q151" i="44" s="1"/>
  <c r="Z151" i="44" s="1"/>
  <c r="J151" i="43" s="1"/>
  <c r="U149" i="41"/>
  <c r="D149" i="44" s="1"/>
  <c r="F149" i="44" s="1"/>
  <c r="Q149" i="44" s="1"/>
  <c r="Z149" i="44" s="1"/>
  <c r="J149" i="43" s="1"/>
  <c r="U147" i="41"/>
  <c r="D147" i="44" s="1"/>
  <c r="F147" i="44" s="1"/>
  <c r="Q147" i="44" s="1"/>
  <c r="Z147" i="44" s="1"/>
  <c r="J147" i="43" s="1"/>
  <c r="U145" i="41"/>
  <c r="D145" i="44" s="1"/>
  <c r="F145" i="44" s="1"/>
  <c r="Q145" i="44" s="1"/>
  <c r="Z145" i="44" s="1"/>
  <c r="J145" i="43" s="1"/>
  <c r="U135" i="41"/>
  <c r="D135" i="44" s="1"/>
  <c r="F135" i="44" s="1"/>
  <c r="Q135" i="44" s="1"/>
  <c r="U133" i="41"/>
  <c r="D133" i="44" s="1"/>
  <c r="F133" i="44" s="1"/>
  <c r="Q133" i="44" s="1"/>
  <c r="Z133" i="44" s="1"/>
  <c r="J133" i="43" s="1"/>
  <c r="U131" i="41"/>
  <c r="D131" i="44" s="1"/>
  <c r="F131" i="44" s="1"/>
  <c r="Q131" i="44" s="1"/>
  <c r="U126" i="41"/>
  <c r="D126" i="44" s="1"/>
  <c r="F126" i="44" s="1"/>
  <c r="Q126" i="44" s="1"/>
  <c r="U114" i="41"/>
  <c r="D114" i="44" s="1"/>
  <c r="F114" i="44" s="1"/>
  <c r="Q114" i="44" s="1"/>
  <c r="U93" i="41"/>
  <c r="D93" i="44" s="1"/>
  <c r="F93" i="44" s="1"/>
  <c r="Q93" i="44" s="1"/>
  <c r="Z93" i="44" s="1"/>
  <c r="J93" i="43" s="1"/>
  <c r="U92" i="41"/>
  <c r="D92" i="44" s="1"/>
  <c r="F92" i="44" s="1"/>
  <c r="Q92" i="44" s="1"/>
  <c r="Z92" i="44" s="1"/>
  <c r="J92" i="43" s="1"/>
  <c r="U89" i="41"/>
  <c r="D89" i="44" s="1"/>
  <c r="F89" i="44" s="1"/>
  <c r="Q89" i="44" s="1"/>
  <c r="Z89" i="44" s="1"/>
  <c r="J89" i="43" s="1"/>
  <c r="U88" i="41"/>
  <c r="D88" i="44" s="1"/>
  <c r="F88" i="44" s="1"/>
  <c r="Q88" i="44" s="1"/>
  <c r="Z88" i="44" s="1"/>
  <c r="J88" i="43" s="1"/>
  <c r="U85" i="41"/>
  <c r="D85" i="44" s="1"/>
  <c r="F85" i="44" s="1"/>
  <c r="Q85" i="44" s="1"/>
  <c r="Z85" i="44" s="1"/>
  <c r="J85" i="43" s="1"/>
  <c r="U84" i="41"/>
  <c r="D84" i="44" s="1"/>
  <c r="F84" i="44" s="1"/>
  <c r="Q84" i="44" s="1"/>
  <c r="Z84" i="44" s="1"/>
  <c r="J84" i="43" s="1"/>
  <c r="U80" i="41"/>
  <c r="D80" i="44" s="1"/>
  <c r="F80" i="44" s="1"/>
  <c r="Q80" i="44" s="1"/>
  <c r="Z80" i="44" s="1"/>
  <c r="J80" i="43" s="1"/>
  <c r="U76" i="41"/>
  <c r="D76" i="44" s="1"/>
  <c r="F76" i="44" s="1"/>
  <c r="Q76" i="44" s="1"/>
  <c r="Z76" i="44" s="1"/>
  <c r="J76" i="43" s="1"/>
  <c r="U71" i="41"/>
  <c r="D71" i="44" s="1"/>
  <c r="F71" i="44" s="1"/>
  <c r="Q71" i="44" s="1"/>
  <c r="Z71" i="44" s="1"/>
  <c r="J71" i="43" s="1"/>
  <c r="U66" i="41"/>
  <c r="D66" i="44" s="1"/>
  <c r="F66" i="44" s="1"/>
  <c r="Q66" i="44" s="1"/>
  <c r="Z66" i="44" s="1"/>
  <c r="J66" i="43" s="1"/>
  <c r="U60" i="41"/>
  <c r="D60" i="44" s="1"/>
  <c r="F60" i="44" s="1"/>
  <c r="Q60" i="44" s="1"/>
  <c r="Z60" i="44" s="1"/>
  <c r="J60" i="43" s="1"/>
  <c r="U55" i="41"/>
  <c r="D55" i="44" s="1"/>
  <c r="F55" i="44" s="1"/>
  <c r="Q55" i="44" s="1"/>
  <c r="Z55" i="44" s="1"/>
  <c r="J55" i="43" s="1"/>
  <c r="U50" i="41"/>
  <c r="D50" i="44" s="1"/>
  <c r="F50" i="44" s="1"/>
  <c r="Q50" i="44" s="1"/>
  <c r="Z50" i="44" s="1"/>
  <c r="J50" i="43" s="1"/>
  <c r="U44" i="41"/>
  <c r="D44" i="44" s="1"/>
  <c r="F44" i="44" s="1"/>
  <c r="Q44" i="44" s="1"/>
  <c r="Z44" i="44" s="1"/>
  <c r="J44" i="43" s="1"/>
  <c r="U40" i="41"/>
  <c r="D40" i="44" s="1"/>
  <c r="F40" i="44" s="1"/>
  <c r="Q40" i="44" s="1"/>
  <c r="Z40" i="44" s="1"/>
  <c r="J40" i="43" s="1"/>
  <c r="U36" i="41"/>
  <c r="D36" i="44" s="1"/>
  <c r="F36" i="44" s="1"/>
  <c r="Q36" i="44" s="1"/>
  <c r="Z36" i="44" s="1"/>
  <c r="J36" i="43" s="1"/>
  <c r="U30" i="41"/>
  <c r="D30" i="44" s="1"/>
  <c r="F30" i="44" s="1"/>
  <c r="Q30" i="44" s="1"/>
  <c r="Z30" i="44" s="1"/>
  <c r="J30" i="43" s="1"/>
  <c r="U26" i="41"/>
  <c r="D26" i="44" s="1"/>
  <c r="F26" i="44" s="1"/>
  <c r="Q26" i="44" s="1"/>
  <c r="Z26" i="44" s="1"/>
  <c r="J26" i="43" s="1"/>
  <c r="U23" i="41"/>
  <c r="D23" i="44" s="1"/>
  <c r="F23" i="44" s="1"/>
  <c r="Q23" i="44" s="1"/>
  <c r="Z23" i="44" s="1"/>
  <c r="J23" i="43" s="1"/>
  <c r="U18" i="41"/>
  <c r="D18" i="44" s="1"/>
  <c r="F18" i="44" s="1"/>
  <c r="Q18" i="44" s="1"/>
  <c r="Z18" i="44" s="1"/>
  <c r="J18" i="43" s="1"/>
  <c r="U12" i="41"/>
  <c r="D12" i="44" s="1"/>
  <c r="F12" i="44" s="1"/>
  <c r="Q12" i="44" s="1"/>
  <c r="Z12" i="44" s="1"/>
  <c r="J12" i="43" s="1"/>
  <c r="U217" i="41"/>
  <c r="D217" i="44" s="1"/>
  <c r="F217" i="44" s="1"/>
  <c r="Q217" i="44" s="1"/>
  <c r="Z217" i="44" s="1"/>
  <c r="J217" i="43" s="1"/>
  <c r="U216" i="41"/>
  <c r="D216" i="44" s="1"/>
  <c r="F216" i="44" s="1"/>
  <c r="Q216" i="44" s="1"/>
  <c r="U213" i="41"/>
  <c r="D213" i="44" s="1"/>
  <c r="F213" i="44" s="1"/>
  <c r="Q213" i="44" s="1"/>
  <c r="Z213" i="44" s="1"/>
  <c r="J213" i="43" s="1"/>
  <c r="U212" i="41"/>
  <c r="D212" i="44" s="1"/>
  <c r="F212" i="44" s="1"/>
  <c r="Q212" i="44" s="1"/>
  <c r="U209" i="41"/>
  <c r="D209" i="44" s="1"/>
  <c r="F209" i="44" s="1"/>
  <c r="Q209" i="44" s="1"/>
  <c r="Z209" i="44" s="1"/>
  <c r="J209" i="43" s="1"/>
  <c r="U208" i="41"/>
  <c r="D208" i="44" s="1"/>
  <c r="F208" i="44" s="1"/>
  <c r="Q208" i="44" s="1"/>
  <c r="U205" i="41"/>
  <c r="D205" i="44" s="1"/>
  <c r="F205" i="44" s="1"/>
  <c r="Q205" i="44" s="1"/>
  <c r="Z205" i="44" s="1"/>
  <c r="J205" i="43" s="1"/>
  <c r="U204" i="41"/>
  <c r="D204" i="44" s="1"/>
  <c r="F204" i="44" s="1"/>
  <c r="Q204" i="44" s="1"/>
  <c r="U201" i="41"/>
  <c r="D201" i="44" s="1"/>
  <c r="F201" i="44" s="1"/>
  <c r="Q201" i="44" s="1"/>
  <c r="Z201" i="44" s="1"/>
  <c r="J201" i="43" s="1"/>
  <c r="U200" i="41"/>
  <c r="D200" i="44" s="1"/>
  <c r="F200" i="44" s="1"/>
  <c r="Q200" i="44" s="1"/>
  <c r="U197" i="41"/>
  <c r="D197" i="44" s="1"/>
  <c r="F197" i="44" s="1"/>
  <c r="Q197" i="44" s="1"/>
  <c r="Z197" i="44" s="1"/>
  <c r="J197" i="43" s="1"/>
  <c r="U196" i="41"/>
  <c r="D196" i="44" s="1"/>
  <c r="F196" i="44" s="1"/>
  <c r="Q196" i="44" s="1"/>
  <c r="U193" i="41"/>
  <c r="D193" i="44" s="1"/>
  <c r="F193" i="44" s="1"/>
  <c r="Q193" i="44" s="1"/>
  <c r="Z193" i="44" s="1"/>
  <c r="J193" i="43" s="1"/>
  <c r="U192" i="41"/>
  <c r="D192" i="44" s="1"/>
  <c r="F192" i="44" s="1"/>
  <c r="Q192" i="44" s="1"/>
  <c r="U189" i="41"/>
  <c r="D189" i="44" s="1"/>
  <c r="F189" i="44" s="1"/>
  <c r="Q189" i="44" s="1"/>
  <c r="Z189" i="44" s="1"/>
  <c r="J189" i="43" s="1"/>
  <c r="U188" i="41"/>
  <c r="D188" i="44" s="1"/>
  <c r="F188" i="44" s="1"/>
  <c r="Q188" i="44" s="1"/>
  <c r="U185" i="41"/>
  <c r="D185" i="44" s="1"/>
  <c r="F185" i="44" s="1"/>
  <c r="Q185" i="44" s="1"/>
  <c r="Z185" i="44" s="1"/>
  <c r="J185" i="43" s="1"/>
  <c r="U184" i="41"/>
  <c r="D184" i="44" s="1"/>
  <c r="F184" i="44" s="1"/>
  <c r="Q184" i="44" s="1"/>
  <c r="U181" i="41"/>
  <c r="D181" i="44" s="1"/>
  <c r="F181" i="44" s="1"/>
  <c r="Q181" i="44" s="1"/>
  <c r="Z181" i="44" s="1"/>
  <c r="J181" i="43" s="1"/>
  <c r="U180" i="41"/>
  <c r="D180" i="44" s="1"/>
  <c r="F180" i="44" s="1"/>
  <c r="Q180" i="44" s="1"/>
  <c r="U177" i="41"/>
  <c r="D177" i="44" s="1"/>
  <c r="F177" i="44" s="1"/>
  <c r="Q177" i="44" s="1"/>
  <c r="Z177" i="44" s="1"/>
  <c r="J177" i="43" s="1"/>
  <c r="U176" i="41"/>
  <c r="D176" i="44" s="1"/>
  <c r="F176" i="44" s="1"/>
  <c r="Q176" i="44" s="1"/>
  <c r="U173" i="41"/>
  <c r="D173" i="44" s="1"/>
  <c r="F173" i="44" s="1"/>
  <c r="Q173" i="44" s="1"/>
  <c r="Z173" i="44" s="1"/>
  <c r="J173" i="43" s="1"/>
  <c r="U172" i="41"/>
  <c r="D172" i="44" s="1"/>
  <c r="F172" i="44" s="1"/>
  <c r="Q172" i="44" s="1"/>
  <c r="U169" i="41"/>
  <c r="D169" i="44" s="1"/>
  <c r="F169" i="44" s="1"/>
  <c r="Q169" i="44" s="1"/>
  <c r="Z169" i="44" s="1"/>
  <c r="J169" i="43" s="1"/>
  <c r="U168" i="41"/>
  <c r="D168" i="44" s="1"/>
  <c r="F168" i="44" s="1"/>
  <c r="Q168" i="44" s="1"/>
  <c r="U165" i="41"/>
  <c r="D165" i="44" s="1"/>
  <c r="F165" i="44" s="1"/>
  <c r="Q165" i="44" s="1"/>
  <c r="Z165" i="44" s="1"/>
  <c r="J165" i="43" s="1"/>
  <c r="U164" i="41"/>
  <c r="D164" i="44" s="1"/>
  <c r="F164" i="44" s="1"/>
  <c r="Q164" i="44" s="1"/>
  <c r="Z164" i="44" s="1"/>
  <c r="J164" i="43" s="1"/>
  <c r="U160" i="41"/>
  <c r="D160" i="44" s="1"/>
  <c r="F160" i="44" s="1"/>
  <c r="Q160" i="44" s="1"/>
  <c r="Z160" i="44" s="1"/>
  <c r="J160" i="43" s="1"/>
  <c r="U156" i="41"/>
  <c r="D156" i="44" s="1"/>
  <c r="F156" i="44" s="1"/>
  <c r="Q156" i="44" s="1"/>
  <c r="Z156" i="44" s="1"/>
  <c r="J156" i="43" s="1"/>
  <c r="U152" i="41"/>
  <c r="D152" i="44" s="1"/>
  <c r="F152" i="44" s="1"/>
  <c r="Q152" i="44" s="1"/>
  <c r="Z152" i="44" s="1"/>
  <c r="J152" i="43" s="1"/>
  <c r="U148" i="41"/>
  <c r="D148" i="44" s="1"/>
  <c r="F148" i="44" s="1"/>
  <c r="Q148" i="44" s="1"/>
  <c r="Z148" i="44" s="1"/>
  <c r="J148" i="43" s="1"/>
  <c r="U144" i="41"/>
  <c r="D144" i="44" s="1"/>
  <c r="F144" i="44" s="1"/>
  <c r="Q144" i="44" s="1"/>
  <c r="Z144" i="44" s="1"/>
  <c r="J144" i="43" s="1"/>
  <c r="U141" i="41"/>
  <c r="D141" i="44" s="1"/>
  <c r="F141" i="44" s="1"/>
  <c r="Q141" i="44" s="1"/>
  <c r="Z141" i="44" s="1"/>
  <c r="J141" i="43" s="1"/>
  <c r="U140" i="41"/>
  <c r="D140" i="44" s="1"/>
  <c r="F140" i="44" s="1"/>
  <c r="Q140" i="44" s="1"/>
  <c r="Z140" i="44" s="1"/>
  <c r="J140" i="43" s="1"/>
  <c r="U137" i="41"/>
  <c r="D137" i="44" s="1"/>
  <c r="F137" i="44" s="1"/>
  <c r="Q137" i="44" s="1"/>
  <c r="Z137" i="44" s="1"/>
  <c r="J137" i="43" s="1"/>
  <c r="U136" i="41"/>
  <c r="D136" i="44" s="1"/>
  <c r="F136" i="44" s="1"/>
  <c r="Q136" i="44" s="1"/>
  <c r="Z136" i="44" s="1"/>
  <c r="J136" i="43" s="1"/>
  <c r="U117" i="41"/>
  <c r="D117" i="44" s="1"/>
  <c r="F117" i="44" s="1"/>
  <c r="Q117" i="44" s="1"/>
  <c r="Z117" i="44" s="1"/>
  <c r="J117" i="43" s="1"/>
  <c r="U115" i="41"/>
  <c r="D115" i="44" s="1"/>
  <c r="F115" i="44" s="1"/>
  <c r="Q115" i="44" s="1"/>
  <c r="U110" i="41"/>
  <c r="D110" i="44" s="1"/>
  <c r="F110" i="44" s="1"/>
  <c r="Q110" i="44" s="1"/>
  <c r="U98" i="41"/>
  <c r="D98" i="44" s="1"/>
  <c r="F98" i="44" s="1"/>
  <c r="Q98" i="44" s="1"/>
  <c r="Z98" i="44" s="1"/>
  <c r="J98" i="43" s="1"/>
  <c r="U72" i="41"/>
  <c r="D72" i="44" s="1"/>
  <c r="F72" i="44" s="1"/>
  <c r="Q72" i="44" s="1"/>
  <c r="Z72" i="44" s="1"/>
  <c r="J72" i="43" s="1"/>
  <c r="U67" i="41"/>
  <c r="D67" i="44" s="1"/>
  <c r="F67" i="44" s="1"/>
  <c r="Q67" i="44" s="1"/>
  <c r="Z67" i="44" s="1"/>
  <c r="J67" i="43" s="1"/>
  <c r="U62" i="41"/>
  <c r="D62" i="44" s="1"/>
  <c r="F62" i="44" s="1"/>
  <c r="Q62" i="44" s="1"/>
  <c r="Z62" i="44" s="1"/>
  <c r="J62" i="43" s="1"/>
  <c r="U56" i="41"/>
  <c r="D56" i="44" s="1"/>
  <c r="F56" i="44" s="1"/>
  <c r="Q56" i="44" s="1"/>
  <c r="Z56" i="44" s="1"/>
  <c r="J56" i="43" s="1"/>
  <c r="U51" i="41"/>
  <c r="D51" i="44" s="1"/>
  <c r="F51" i="44" s="1"/>
  <c r="Q51" i="44" s="1"/>
  <c r="Z51" i="44" s="1"/>
  <c r="J51" i="43" s="1"/>
  <c r="U46" i="41"/>
  <c r="D46" i="44" s="1"/>
  <c r="F46" i="44" s="1"/>
  <c r="Q46" i="44" s="1"/>
  <c r="Z46" i="44" s="1"/>
  <c r="J46" i="43" s="1"/>
  <c r="U42" i="41"/>
  <c r="D42" i="44" s="1"/>
  <c r="F42" i="44" s="1"/>
  <c r="Q42" i="44" s="1"/>
  <c r="Z42" i="44" s="1"/>
  <c r="J42" i="43" s="1"/>
  <c r="U38" i="41"/>
  <c r="D38" i="44" s="1"/>
  <c r="F38" i="44" s="1"/>
  <c r="Q38" i="44" s="1"/>
  <c r="Z38" i="44" s="1"/>
  <c r="J38" i="43" s="1"/>
  <c r="U33" i="41"/>
  <c r="D33" i="44" s="1"/>
  <c r="F33" i="44" s="1"/>
  <c r="Q33" i="44" s="1"/>
  <c r="Z33" i="44" s="1"/>
  <c r="J33" i="43" s="1"/>
  <c r="U31" i="41"/>
  <c r="D31" i="44" s="1"/>
  <c r="F31" i="44" s="1"/>
  <c r="Q31" i="44" s="1"/>
  <c r="Z31" i="44" s="1"/>
  <c r="J31" i="43" s="1"/>
  <c r="U29" i="41"/>
  <c r="D29" i="44" s="1"/>
  <c r="F29" i="44" s="1"/>
  <c r="U27" i="41"/>
  <c r="D27" i="44" s="1"/>
  <c r="F27" i="44" s="1"/>
  <c r="Q27" i="44" s="1"/>
  <c r="Z27" i="44" s="1"/>
  <c r="J27" i="43" s="1"/>
  <c r="U25" i="41"/>
  <c r="D25" i="44" s="1"/>
  <c r="F25" i="44" s="1"/>
  <c r="Q25" i="44" s="1"/>
  <c r="Z25" i="44" s="1"/>
  <c r="J25" i="43" s="1"/>
  <c r="U19" i="41"/>
  <c r="D19" i="44" s="1"/>
  <c r="F19" i="44" s="1"/>
  <c r="Q19" i="44" s="1"/>
  <c r="Z19" i="44" s="1"/>
  <c r="J19" i="43" s="1"/>
  <c r="U14" i="41"/>
  <c r="D14" i="44" s="1"/>
  <c r="F14" i="44" s="1"/>
  <c r="Q14" i="44" s="1"/>
  <c r="Z14" i="44" s="1"/>
  <c r="J14" i="43" s="1"/>
  <c r="U7" i="41"/>
  <c r="D7" i="44" s="1"/>
  <c r="F7" i="44" s="1"/>
  <c r="Q7" i="44" s="1"/>
  <c r="Z7" i="44" s="1"/>
  <c r="J7" i="43" s="1"/>
  <c r="U311" i="42"/>
  <c r="E311" i="44" s="1"/>
  <c r="G311" i="44" s="1"/>
  <c r="R311" i="44" s="1"/>
  <c r="U309" i="42"/>
  <c r="E309" i="44" s="1"/>
  <c r="G309" i="44" s="1"/>
  <c r="R309" i="44" s="1"/>
  <c r="U305" i="42"/>
  <c r="E305" i="44" s="1"/>
  <c r="G305" i="44" s="1"/>
  <c r="R305" i="44" s="1"/>
  <c r="U312" i="42"/>
  <c r="E312" i="44" s="1"/>
  <c r="G312" i="44" s="1"/>
  <c r="R312" i="44" s="1"/>
  <c r="U314" i="42"/>
  <c r="E314" i="44" s="1"/>
  <c r="G314" i="44" s="1"/>
  <c r="R314" i="44" s="1"/>
  <c r="U313" i="42"/>
  <c r="E313" i="44" s="1"/>
  <c r="G313" i="44" s="1"/>
  <c r="R313" i="44" s="1"/>
  <c r="U139" i="41"/>
  <c r="D139" i="44" s="1"/>
  <c r="F139" i="44" s="1"/>
  <c r="Q139" i="44" s="1"/>
  <c r="Z139" i="44" s="1"/>
  <c r="J139" i="43" s="1"/>
  <c r="U134" i="41"/>
  <c r="D134" i="44" s="1"/>
  <c r="F134" i="44" s="1"/>
  <c r="Q134" i="44" s="1"/>
  <c r="U128" i="41"/>
  <c r="D128" i="44" s="1"/>
  <c r="F128" i="44" s="1"/>
  <c r="Q128" i="44" s="1"/>
  <c r="Z128" i="44" s="1"/>
  <c r="J128" i="43" s="1"/>
  <c r="U123" i="41"/>
  <c r="D123" i="44" s="1"/>
  <c r="F123" i="44" s="1"/>
  <c r="Q123" i="44" s="1"/>
  <c r="U118" i="41"/>
  <c r="D118" i="44" s="1"/>
  <c r="F118" i="44" s="1"/>
  <c r="Q118" i="44" s="1"/>
  <c r="U112" i="41"/>
  <c r="D112" i="44" s="1"/>
  <c r="F112" i="44" s="1"/>
  <c r="Q112" i="44" s="1"/>
  <c r="Z112" i="44" s="1"/>
  <c r="J112" i="43" s="1"/>
  <c r="U107" i="41"/>
  <c r="D107" i="44" s="1"/>
  <c r="F107" i="44" s="1"/>
  <c r="Q107" i="44" s="1"/>
  <c r="U102" i="41"/>
  <c r="D102" i="44" s="1"/>
  <c r="F102" i="44" s="1"/>
  <c r="Q102" i="44" s="1"/>
  <c r="Z102" i="44" s="1"/>
  <c r="J102" i="43" s="1"/>
  <c r="U96" i="41"/>
  <c r="D96" i="44" s="1"/>
  <c r="F96" i="44" s="1"/>
  <c r="Q96" i="44" s="1"/>
  <c r="Z96" i="44" s="1"/>
  <c r="J96" i="43" s="1"/>
  <c r="U91" i="41"/>
  <c r="D91" i="44" s="1"/>
  <c r="F91" i="44" s="1"/>
  <c r="Q91" i="44" s="1"/>
  <c r="Z91" i="44" s="1"/>
  <c r="J91" i="43" s="1"/>
  <c r="U119" i="41"/>
  <c r="D119" i="44" s="1"/>
  <c r="F119" i="44" s="1"/>
  <c r="Q119" i="44" s="1"/>
  <c r="U143" i="41"/>
  <c r="D143" i="44" s="1"/>
  <c r="F143" i="44" s="1"/>
  <c r="Q143" i="44" s="1"/>
  <c r="Z143" i="44" s="1"/>
  <c r="J143" i="43" s="1"/>
  <c r="U138" i="41"/>
  <c r="D138" i="44" s="1"/>
  <c r="F138" i="44" s="1"/>
  <c r="Q138" i="44" s="1"/>
  <c r="Z138" i="44" s="1"/>
  <c r="J138" i="43" s="1"/>
  <c r="U132" i="41"/>
  <c r="D132" i="44" s="1"/>
  <c r="F132" i="44" s="1"/>
  <c r="Q132" i="44" s="1"/>
  <c r="Z132" i="44" s="1"/>
  <c r="J132" i="43" s="1"/>
  <c r="U127" i="41"/>
  <c r="D127" i="44" s="1"/>
  <c r="F127" i="44" s="1"/>
  <c r="Q127" i="44" s="1"/>
  <c r="U122" i="41"/>
  <c r="D122" i="44" s="1"/>
  <c r="F122" i="44" s="1"/>
  <c r="Q122" i="44" s="1"/>
  <c r="U116" i="41"/>
  <c r="D116" i="44" s="1"/>
  <c r="F116" i="44" s="1"/>
  <c r="Q116" i="44" s="1"/>
  <c r="Z116" i="44" s="1"/>
  <c r="J116" i="43" s="1"/>
  <c r="U111" i="41"/>
  <c r="D111" i="44" s="1"/>
  <c r="F111" i="44" s="1"/>
  <c r="Q111" i="44" s="1"/>
  <c r="U106" i="41"/>
  <c r="D106" i="44" s="1"/>
  <c r="F106" i="44" s="1"/>
  <c r="Q106" i="44" s="1"/>
  <c r="U100" i="41"/>
  <c r="D100" i="44" s="1"/>
  <c r="F100" i="44" s="1"/>
  <c r="Q100" i="44" s="1"/>
  <c r="Z100" i="44" s="1"/>
  <c r="J100" i="43" s="1"/>
  <c r="U95" i="41"/>
  <c r="D95" i="44" s="1"/>
  <c r="F95" i="44" s="1"/>
  <c r="Q95" i="44" s="1"/>
  <c r="Z95" i="44" s="1"/>
  <c r="J95" i="43" s="1"/>
  <c r="U90" i="41"/>
  <c r="D90" i="44" s="1"/>
  <c r="F90" i="44" s="1"/>
  <c r="Q90" i="44" s="1"/>
  <c r="Z90" i="44" s="1"/>
  <c r="J90" i="43" s="1"/>
  <c r="U10" i="41"/>
  <c r="D10" i="44" s="1"/>
  <c r="F10" i="44" s="1"/>
  <c r="Q10" i="44" s="1"/>
  <c r="Z10" i="44" s="1"/>
  <c r="J10" i="43" s="1"/>
  <c r="U34" i="41"/>
  <c r="D34" i="44" s="1"/>
  <c r="F34" i="44" s="1"/>
  <c r="Q34" i="44" s="1"/>
  <c r="Z34" i="44" s="1"/>
  <c r="J34" i="43" s="1"/>
  <c r="U4" i="42"/>
  <c r="E4" i="44" s="1"/>
  <c r="G4" i="44" s="1"/>
  <c r="R4" i="44" s="1"/>
  <c r="U107" i="42"/>
  <c r="E107" i="44" s="1"/>
  <c r="G107" i="44" s="1"/>
  <c r="R107" i="44" s="1"/>
  <c r="U111" i="42"/>
  <c r="E111" i="44" s="1"/>
  <c r="G111" i="44" s="1"/>
  <c r="R111" i="44" s="1"/>
  <c r="U115" i="42"/>
  <c r="E115" i="44" s="1"/>
  <c r="G115" i="44" s="1"/>
  <c r="R115" i="44" s="1"/>
  <c r="U119" i="42"/>
  <c r="E119" i="44" s="1"/>
  <c r="G119" i="44" s="1"/>
  <c r="R119" i="44" s="1"/>
  <c r="U123" i="42"/>
  <c r="E123" i="44" s="1"/>
  <c r="G123" i="44" s="1"/>
  <c r="R123" i="44" s="1"/>
  <c r="U127" i="42"/>
  <c r="E127" i="44" s="1"/>
  <c r="G127" i="44" s="1"/>
  <c r="R127" i="44" s="1"/>
  <c r="U131" i="42"/>
  <c r="E131" i="44" s="1"/>
  <c r="G131" i="44" s="1"/>
  <c r="R131" i="44" s="1"/>
  <c r="U135" i="42"/>
  <c r="E135" i="44" s="1"/>
  <c r="G135" i="44" s="1"/>
  <c r="R135" i="44" s="1"/>
  <c r="U106" i="42"/>
  <c r="E106" i="44" s="1"/>
  <c r="G106" i="44" s="1"/>
  <c r="R106" i="44" s="1"/>
  <c r="U110" i="42"/>
  <c r="E110" i="44" s="1"/>
  <c r="G110" i="44" s="1"/>
  <c r="R110" i="44" s="1"/>
  <c r="U114" i="42"/>
  <c r="E114" i="44" s="1"/>
  <c r="G114" i="44" s="1"/>
  <c r="R114" i="44" s="1"/>
  <c r="U118" i="42"/>
  <c r="E118" i="44" s="1"/>
  <c r="G118" i="44" s="1"/>
  <c r="R118" i="44" s="1"/>
  <c r="U122" i="42"/>
  <c r="E122" i="44" s="1"/>
  <c r="G122" i="44" s="1"/>
  <c r="R122" i="44" s="1"/>
  <c r="U126" i="42"/>
  <c r="E126" i="44" s="1"/>
  <c r="G126" i="44" s="1"/>
  <c r="R126" i="44" s="1"/>
  <c r="U130" i="42"/>
  <c r="E130" i="44" s="1"/>
  <c r="G130" i="44" s="1"/>
  <c r="R130" i="44" s="1"/>
  <c r="U134" i="42"/>
  <c r="E134" i="44" s="1"/>
  <c r="G134" i="44" s="1"/>
  <c r="R134" i="44" s="1"/>
  <c r="U167" i="42"/>
  <c r="E167" i="44" s="1"/>
  <c r="G167" i="44" s="1"/>
  <c r="R167" i="44" s="1"/>
  <c r="U171" i="42"/>
  <c r="E171" i="44" s="1"/>
  <c r="G171" i="44" s="1"/>
  <c r="R171" i="44" s="1"/>
  <c r="U175" i="42"/>
  <c r="E175" i="44" s="1"/>
  <c r="G175" i="44" s="1"/>
  <c r="R175" i="44" s="1"/>
  <c r="U179" i="42"/>
  <c r="E179" i="44" s="1"/>
  <c r="G179" i="44" s="1"/>
  <c r="R179" i="44" s="1"/>
  <c r="U183" i="42"/>
  <c r="E183" i="44" s="1"/>
  <c r="G183" i="44" s="1"/>
  <c r="R183" i="44" s="1"/>
  <c r="U187" i="42"/>
  <c r="E187" i="44" s="1"/>
  <c r="G187" i="44" s="1"/>
  <c r="R187" i="44" s="1"/>
  <c r="U191" i="42"/>
  <c r="E191" i="44" s="1"/>
  <c r="G191" i="44" s="1"/>
  <c r="R191" i="44" s="1"/>
  <c r="U195" i="42"/>
  <c r="E195" i="44" s="1"/>
  <c r="G195" i="44" s="1"/>
  <c r="R195" i="44" s="1"/>
  <c r="U199" i="42"/>
  <c r="E199" i="44" s="1"/>
  <c r="G199" i="44" s="1"/>
  <c r="R199" i="44" s="1"/>
  <c r="U203" i="42"/>
  <c r="E203" i="44" s="1"/>
  <c r="G203" i="44" s="1"/>
  <c r="R203" i="44" s="1"/>
  <c r="U207" i="42"/>
  <c r="E207" i="44" s="1"/>
  <c r="G207" i="44" s="1"/>
  <c r="R207" i="44" s="1"/>
  <c r="U211" i="42"/>
  <c r="E211" i="44" s="1"/>
  <c r="G211" i="44" s="1"/>
  <c r="R211" i="44" s="1"/>
  <c r="U215" i="42"/>
  <c r="E215" i="44" s="1"/>
  <c r="G215" i="44" s="1"/>
  <c r="R215" i="44" s="1"/>
  <c r="U219" i="42"/>
  <c r="E219" i="44" s="1"/>
  <c r="G219" i="44" s="1"/>
  <c r="R219" i="44" s="1"/>
  <c r="U223" i="42"/>
  <c r="E223" i="44" s="1"/>
  <c r="G223" i="44" s="1"/>
  <c r="R223" i="44" s="1"/>
  <c r="U227" i="42"/>
  <c r="E227" i="44" s="1"/>
  <c r="G227" i="44" s="1"/>
  <c r="R227" i="44" s="1"/>
  <c r="U166" i="42"/>
  <c r="E166" i="44" s="1"/>
  <c r="G166" i="44" s="1"/>
  <c r="R166" i="44" s="1"/>
  <c r="U170" i="42"/>
  <c r="E170" i="44" s="1"/>
  <c r="G170" i="44" s="1"/>
  <c r="R170" i="44" s="1"/>
  <c r="U174" i="42"/>
  <c r="E174" i="44" s="1"/>
  <c r="G174" i="44" s="1"/>
  <c r="R174" i="44" s="1"/>
  <c r="U178" i="42"/>
  <c r="E178" i="44" s="1"/>
  <c r="G178" i="44" s="1"/>
  <c r="R178" i="44" s="1"/>
  <c r="U182" i="42"/>
  <c r="E182" i="44" s="1"/>
  <c r="G182" i="44" s="1"/>
  <c r="R182" i="44" s="1"/>
  <c r="U186" i="42"/>
  <c r="E186" i="44" s="1"/>
  <c r="G186" i="44" s="1"/>
  <c r="R186" i="44" s="1"/>
  <c r="U190" i="42"/>
  <c r="E190" i="44" s="1"/>
  <c r="G190" i="44" s="1"/>
  <c r="R190" i="44" s="1"/>
  <c r="U194" i="42"/>
  <c r="E194" i="44" s="1"/>
  <c r="G194" i="44" s="1"/>
  <c r="R194" i="44" s="1"/>
  <c r="U198" i="42"/>
  <c r="E198" i="44" s="1"/>
  <c r="G198" i="44" s="1"/>
  <c r="R198" i="44" s="1"/>
  <c r="U202" i="42"/>
  <c r="E202" i="44" s="1"/>
  <c r="G202" i="44" s="1"/>
  <c r="R202" i="44" s="1"/>
  <c r="U206" i="42"/>
  <c r="E206" i="44" s="1"/>
  <c r="G206" i="44" s="1"/>
  <c r="R206" i="44" s="1"/>
  <c r="U210" i="42"/>
  <c r="E210" i="44" s="1"/>
  <c r="G210" i="44" s="1"/>
  <c r="R210" i="44" s="1"/>
  <c r="U214" i="42"/>
  <c r="E214" i="44" s="1"/>
  <c r="G214" i="44" s="1"/>
  <c r="R214" i="44" s="1"/>
  <c r="U218" i="42"/>
  <c r="E218" i="44" s="1"/>
  <c r="G218" i="44" s="1"/>
  <c r="R218" i="44" s="1"/>
  <c r="U222" i="42"/>
  <c r="E222" i="44" s="1"/>
  <c r="G222" i="44" s="1"/>
  <c r="R222" i="44" s="1"/>
  <c r="U226" i="42"/>
  <c r="E226" i="44" s="1"/>
  <c r="G226" i="44" s="1"/>
  <c r="R226" i="44" s="1"/>
  <c r="U230" i="42"/>
  <c r="E230" i="44" s="1"/>
  <c r="G230" i="44" s="1"/>
  <c r="R230" i="44" s="1"/>
  <c r="U234" i="42"/>
  <c r="E234" i="44" s="1"/>
  <c r="G234" i="44" s="1"/>
  <c r="R234" i="44" s="1"/>
  <c r="U238" i="42"/>
  <c r="E238" i="44" s="1"/>
  <c r="G238" i="44" s="1"/>
  <c r="R238" i="44" s="1"/>
  <c r="U242" i="42"/>
  <c r="E242" i="44" s="1"/>
  <c r="G242" i="44" s="1"/>
  <c r="R242" i="44" s="1"/>
  <c r="U246" i="42"/>
  <c r="E246" i="44" s="1"/>
  <c r="G246" i="44" s="1"/>
  <c r="R246" i="44" s="1"/>
  <c r="U250" i="42"/>
  <c r="E250" i="44" s="1"/>
  <c r="G250" i="44" s="1"/>
  <c r="R250" i="44" s="1"/>
  <c r="U254" i="42"/>
  <c r="E254" i="44" s="1"/>
  <c r="G254" i="44" s="1"/>
  <c r="R254" i="44" s="1"/>
  <c r="U258" i="42"/>
  <c r="E258" i="44" s="1"/>
  <c r="G258" i="44" s="1"/>
  <c r="R258" i="44" s="1"/>
  <c r="U168" i="42"/>
  <c r="E168" i="44" s="1"/>
  <c r="G168" i="44" s="1"/>
  <c r="R168" i="44" s="1"/>
  <c r="U172" i="42"/>
  <c r="E172" i="44" s="1"/>
  <c r="G172" i="44" s="1"/>
  <c r="R172" i="44" s="1"/>
  <c r="U176" i="42"/>
  <c r="E176" i="44" s="1"/>
  <c r="G176" i="44" s="1"/>
  <c r="R176" i="44" s="1"/>
  <c r="U180" i="42"/>
  <c r="E180" i="44" s="1"/>
  <c r="G180" i="44" s="1"/>
  <c r="R180" i="44" s="1"/>
  <c r="U184" i="42"/>
  <c r="E184" i="44" s="1"/>
  <c r="G184" i="44" s="1"/>
  <c r="R184" i="44" s="1"/>
  <c r="U188" i="42"/>
  <c r="E188" i="44" s="1"/>
  <c r="G188" i="44" s="1"/>
  <c r="R188" i="44" s="1"/>
  <c r="U192" i="42"/>
  <c r="E192" i="44" s="1"/>
  <c r="G192" i="44" s="1"/>
  <c r="R192" i="44" s="1"/>
  <c r="U196" i="42"/>
  <c r="E196" i="44" s="1"/>
  <c r="G196" i="44" s="1"/>
  <c r="R196" i="44" s="1"/>
  <c r="U200" i="42"/>
  <c r="E200" i="44" s="1"/>
  <c r="G200" i="44" s="1"/>
  <c r="R200" i="44" s="1"/>
  <c r="U204" i="42"/>
  <c r="E204" i="44" s="1"/>
  <c r="G204" i="44" s="1"/>
  <c r="R204" i="44" s="1"/>
  <c r="U208" i="42"/>
  <c r="E208" i="44" s="1"/>
  <c r="G208" i="44" s="1"/>
  <c r="R208" i="44" s="1"/>
  <c r="U212" i="42"/>
  <c r="E212" i="44" s="1"/>
  <c r="G212" i="44" s="1"/>
  <c r="R212" i="44" s="1"/>
  <c r="U216" i="42"/>
  <c r="E216" i="44" s="1"/>
  <c r="G216" i="44" s="1"/>
  <c r="R216" i="44" s="1"/>
  <c r="U220" i="42"/>
  <c r="E220" i="44" s="1"/>
  <c r="G220" i="44" s="1"/>
  <c r="R220" i="44" s="1"/>
  <c r="U224" i="42"/>
  <c r="E224" i="44" s="1"/>
  <c r="G224" i="44" s="1"/>
  <c r="R224" i="44" s="1"/>
  <c r="U228" i="42"/>
  <c r="E228" i="44" s="1"/>
  <c r="G228" i="44" s="1"/>
  <c r="R228" i="44" s="1"/>
  <c r="U232" i="42"/>
  <c r="E232" i="44" s="1"/>
  <c r="G232" i="44" s="1"/>
  <c r="R232" i="44" s="1"/>
  <c r="U236" i="42"/>
  <c r="E236" i="44" s="1"/>
  <c r="G236" i="44" s="1"/>
  <c r="R236" i="44" s="1"/>
  <c r="U240" i="42"/>
  <c r="E240" i="44" s="1"/>
  <c r="G240" i="44" s="1"/>
  <c r="R240" i="44" s="1"/>
  <c r="U231" i="42"/>
  <c r="E231" i="44" s="1"/>
  <c r="G231" i="44" s="1"/>
  <c r="R231" i="44" s="1"/>
  <c r="U235" i="42"/>
  <c r="E235" i="44" s="1"/>
  <c r="G235" i="44" s="1"/>
  <c r="R235" i="44" s="1"/>
  <c r="U239" i="42"/>
  <c r="E239" i="44" s="1"/>
  <c r="G239" i="44" s="1"/>
  <c r="R239" i="44" s="1"/>
  <c r="U243" i="42"/>
  <c r="E243" i="44" s="1"/>
  <c r="G243" i="44" s="1"/>
  <c r="R243" i="44" s="1"/>
  <c r="U247" i="42"/>
  <c r="E247" i="44" s="1"/>
  <c r="G247" i="44" s="1"/>
  <c r="R247" i="44" s="1"/>
  <c r="U251" i="42"/>
  <c r="E251" i="44" s="1"/>
  <c r="G251" i="44" s="1"/>
  <c r="R251" i="44" s="1"/>
  <c r="U255" i="42"/>
  <c r="E255" i="44" s="1"/>
  <c r="G255" i="44" s="1"/>
  <c r="R255" i="44" s="1"/>
  <c r="U259" i="42"/>
  <c r="E259" i="44" s="1"/>
  <c r="G259" i="44" s="1"/>
  <c r="R259" i="44" s="1"/>
  <c r="U263" i="42"/>
  <c r="E263" i="44" s="1"/>
  <c r="G263" i="44" s="1"/>
  <c r="R263" i="44" s="1"/>
  <c r="U267" i="42"/>
  <c r="E267" i="44" s="1"/>
  <c r="G267" i="44" s="1"/>
  <c r="R267" i="44" s="1"/>
  <c r="U271" i="42"/>
  <c r="E271" i="44" s="1"/>
  <c r="G271" i="44" s="1"/>
  <c r="R271" i="44" s="1"/>
  <c r="U275" i="42"/>
  <c r="E275" i="44" s="1"/>
  <c r="G275" i="44" s="1"/>
  <c r="R275" i="44" s="1"/>
  <c r="U279" i="42"/>
  <c r="E279" i="44" s="1"/>
  <c r="G279" i="44" s="1"/>
  <c r="R279" i="44" s="1"/>
  <c r="U283" i="42"/>
  <c r="E283" i="44" s="1"/>
  <c r="G283" i="44" s="1"/>
  <c r="R283" i="44" s="1"/>
  <c r="U287" i="42"/>
  <c r="E287" i="44" s="1"/>
  <c r="G287" i="44" s="1"/>
  <c r="R287" i="44" s="1"/>
  <c r="U291" i="42"/>
  <c r="E291" i="44" s="1"/>
  <c r="G291" i="44" s="1"/>
  <c r="R291" i="44" s="1"/>
  <c r="U295" i="42"/>
  <c r="E295" i="44" s="1"/>
  <c r="G295" i="44" s="1"/>
  <c r="R295" i="44" s="1"/>
  <c r="U299" i="42"/>
  <c r="E299" i="44" s="1"/>
  <c r="G299" i="44" s="1"/>
  <c r="R299" i="44" s="1"/>
  <c r="U303" i="42"/>
  <c r="E303" i="44" s="1"/>
  <c r="G303" i="44" s="1"/>
  <c r="R303" i="44" s="1"/>
  <c r="U307" i="42"/>
  <c r="E307" i="44" s="1"/>
  <c r="G307" i="44" s="1"/>
  <c r="R307" i="44" s="1"/>
  <c r="U262" i="42"/>
  <c r="E262" i="44" s="1"/>
  <c r="G262" i="44" s="1"/>
  <c r="R262" i="44" s="1"/>
  <c r="U266" i="42"/>
  <c r="E266" i="44" s="1"/>
  <c r="G266" i="44" s="1"/>
  <c r="R266" i="44" s="1"/>
  <c r="U270" i="42"/>
  <c r="E270" i="44" s="1"/>
  <c r="G270" i="44" s="1"/>
  <c r="R270" i="44" s="1"/>
  <c r="U274" i="42"/>
  <c r="E274" i="44" s="1"/>
  <c r="G274" i="44" s="1"/>
  <c r="R274" i="44" s="1"/>
  <c r="U278" i="42"/>
  <c r="E278" i="44" s="1"/>
  <c r="G278" i="44" s="1"/>
  <c r="R278" i="44" s="1"/>
  <c r="U282" i="42"/>
  <c r="E282" i="44" s="1"/>
  <c r="G282" i="44" s="1"/>
  <c r="R282" i="44" s="1"/>
  <c r="U286" i="42"/>
  <c r="E286" i="44" s="1"/>
  <c r="G286" i="44" s="1"/>
  <c r="R286" i="44" s="1"/>
  <c r="U290" i="42"/>
  <c r="E290" i="44" s="1"/>
  <c r="G290" i="44" s="1"/>
  <c r="R290" i="44" s="1"/>
  <c r="U298" i="42"/>
  <c r="E298" i="44" s="1"/>
  <c r="G298" i="44" s="1"/>
  <c r="R298" i="44" s="1"/>
  <c r="U244" i="42"/>
  <c r="E244" i="44" s="1"/>
  <c r="G244" i="44" s="1"/>
  <c r="R244" i="44" s="1"/>
  <c r="U248" i="42"/>
  <c r="E248" i="44" s="1"/>
  <c r="G248" i="44" s="1"/>
  <c r="R248" i="44" s="1"/>
  <c r="U252" i="42"/>
  <c r="E252" i="44" s="1"/>
  <c r="G252" i="44" s="1"/>
  <c r="R252" i="44" s="1"/>
  <c r="U256" i="42"/>
  <c r="E256" i="44" s="1"/>
  <c r="G256" i="44" s="1"/>
  <c r="R256" i="44" s="1"/>
  <c r="U260" i="42"/>
  <c r="E260" i="44" s="1"/>
  <c r="G260" i="44" s="1"/>
  <c r="R260" i="44" s="1"/>
  <c r="U264" i="42"/>
  <c r="E264" i="44" s="1"/>
  <c r="G264" i="44" s="1"/>
  <c r="R264" i="44" s="1"/>
  <c r="U268" i="42"/>
  <c r="E268" i="44" s="1"/>
  <c r="G268" i="44" s="1"/>
  <c r="R268" i="44" s="1"/>
  <c r="U272" i="42"/>
  <c r="E272" i="44" s="1"/>
  <c r="G272" i="44" s="1"/>
  <c r="R272" i="44" s="1"/>
  <c r="U276" i="42"/>
  <c r="E276" i="44" s="1"/>
  <c r="G276" i="44" s="1"/>
  <c r="R276" i="44" s="1"/>
  <c r="U280" i="42"/>
  <c r="E280" i="44" s="1"/>
  <c r="G280" i="44" s="1"/>
  <c r="R280" i="44" s="1"/>
  <c r="U284" i="42"/>
  <c r="E284" i="44" s="1"/>
  <c r="G284" i="44" s="1"/>
  <c r="R284" i="44" s="1"/>
  <c r="U288" i="42"/>
  <c r="E288" i="44" s="1"/>
  <c r="G288" i="44" s="1"/>
  <c r="R288" i="44" s="1"/>
  <c r="U292" i="42"/>
  <c r="E292" i="44" s="1"/>
  <c r="G292" i="44" s="1"/>
  <c r="R292" i="44" s="1"/>
  <c r="U296" i="42"/>
  <c r="E296" i="44" s="1"/>
  <c r="G296" i="44" s="1"/>
  <c r="R296" i="44" s="1"/>
  <c r="U300" i="42"/>
  <c r="E300" i="44" s="1"/>
  <c r="G300" i="44" s="1"/>
  <c r="R300" i="44" s="1"/>
  <c r="U304" i="42"/>
  <c r="E304" i="44" s="1"/>
  <c r="G304" i="44" s="1"/>
  <c r="R304" i="44" s="1"/>
  <c r="U308" i="42"/>
  <c r="E308" i="44" s="1"/>
  <c r="G308" i="44" s="1"/>
  <c r="R308" i="44" s="1"/>
  <c r="U307" i="41"/>
  <c r="D307" i="44" s="1"/>
  <c r="F307" i="44" s="1"/>
  <c r="Q307" i="44" s="1"/>
  <c r="U314" i="41"/>
  <c r="D314" i="44" s="1"/>
  <c r="F314" i="44" s="1"/>
  <c r="Q314" i="44" s="1"/>
  <c r="U310" i="41"/>
  <c r="D310" i="44" s="1"/>
  <c r="F310" i="44" s="1"/>
  <c r="Q310" i="44" s="1"/>
  <c r="Z310" i="44" s="1"/>
  <c r="J310" i="43" s="1"/>
  <c r="U308" i="41"/>
  <c r="D308" i="44" s="1"/>
  <c r="F308" i="44" s="1"/>
  <c r="Q308" i="44" s="1"/>
  <c r="Z308" i="44" s="1"/>
  <c r="J308" i="43" s="1"/>
  <c r="U311" i="41"/>
  <c r="D311" i="44" s="1"/>
  <c r="F311" i="44" s="1"/>
  <c r="Q311" i="44" s="1"/>
  <c r="Z311" i="44" s="1"/>
  <c r="J311" i="43" s="1"/>
  <c r="U306" i="41"/>
  <c r="D306" i="44" s="1"/>
  <c r="F306" i="44" s="1"/>
  <c r="Q306" i="44" s="1"/>
  <c r="Z306" i="44" s="1"/>
  <c r="J306" i="43" s="1"/>
  <c r="D62" i="15"/>
  <c r="D56" i="15"/>
  <c r="D55" i="15"/>
  <c r="D25" i="15"/>
  <c r="F43" i="15"/>
  <c r="D18" i="15"/>
  <c r="D15" i="15"/>
  <c r="D14" i="15"/>
  <c r="D36" i="15"/>
  <c r="E18" i="15"/>
  <c r="Z301" i="44" l="1"/>
  <c r="J301" i="43" s="1"/>
  <c r="Z134" i="44"/>
  <c r="J134" i="43" s="1"/>
  <c r="Z225" i="44"/>
  <c r="J225" i="43" s="1"/>
  <c r="Z314" i="44"/>
  <c r="J314" i="43" s="1"/>
  <c r="Z111" i="44"/>
  <c r="J111" i="43" s="1"/>
  <c r="Z307" i="44"/>
  <c r="J307" i="43" s="1"/>
  <c r="Z119" i="44"/>
  <c r="J119" i="43" s="1"/>
  <c r="Z106" i="44"/>
  <c r="J106" i="43" s="1"/>
  <c r="Z127" i="44"/>
  <c r="J127" i="43" s="1"/>
  <c r="Z107" i="44"/>
  <c r="J107" i="43" s="1"/>
  <c r="Z168" i="44"/>
  <c r="J168" i="43" s="1"/>
  <c r="Z176" i="44"/>
  <c r="J176" i="43" s="1"/>
  <c r="Z184" i="44"/>
  <c r="J184" i="43" s="1"/>
  <c r="Z192" i="44"/>
  <c r="J192" i="43" s="1"/>
  <c r="Z200" i="44"/>
  <c r="J200" i="43" s="1"/>
  <c r="Z208" i="44"/>
  <c r="J208" i="43" s="1"/>
  <c r="Z216" i="44"/>
  <c r="J216" i="43" s="1"/>
  <c r="Z126" i="44"/>
  <c r="J126" i="43" s="1"/>
  <c r="Z175" i="44"/>
  <c r="J175" i="43" s="1"/>
  <c r="Z191" i="44"/>
  <c r="J191" i="43" s="1"/>
  <c r="Z207" i="44"/>
  <c r="J207" i="43" s="1"/>
  <c r="Z223" i="44"/>
  <c r="J223" i="43" s="1"/>
  <c r="Z239" i="44"/>
  <c r="J239" i="43" s="1"/>
  <c r="Z255" i="44"/>
  <c r="J255" i="43" s="1"/>
  <c r="Z271" i="44"/>
  <c r="J271" i="43" s="1"/>
  <c r="Z287" i="44"/>
  <c r="J287" i="43" s="1"/>
  <c r="Z166" i="44"/>
  <c r="J166" i="43" s="1"/>
  <c r="Z182" i="44"/>
  <c r="J182" i="43" s="1"/>
  <c r="Z198" i="44"/>
  <c r="J198" i="43" s="1"/>
  <c r="Z214" i="44"/>
  <c r="J214" i="43" s="1"/>
  <c r="Z220" i="44"/>
  <c r="J220" i="43" s="1"/>
  <c r="Z228" i="44"/>
  <c r="J228" i="43" s="1"/>
  <c r="Z236" i="44"/>
  <c r="J236" i="43" s="1"/>
  <c r="Z244" i="44"/>
  <c r="J244" i="43" s="1"/>
  <c r="Z256" i="44"/>
  <c r="J256" i="43" s="1"/>
  <c r="Z272" i="44"/>
  <c r="J272" i="43" s="1"/>
  <c r="Z288" i="44"/>
  <c r="J288" i="43" s="1"/>
  <c r="Z304" i="44"/>
  <c r="J304" i="43" s="1"/>
  <c r="Z257" i="44"/>
  <c r="J257" i="43" s="1"/>
  <c r="Z273" i="44"/>
  <c r="J273" i="43" s="1"/>
  <c r="Z289" i="44"/>
  <c r="J289" i="43" s="1"/>
  <c r="Z309" i="44"/>
  <c r="J309" i="43" s="1"/>
  <c r="Z266" i="44"/>
  <c r="J266" i="43" s="1"/>
  <c r="Z302" i="44"/>
  <c r="J302" i="43" s="1"/>
  <c r="Z282" i="44"/>
  <c r="J282" i="43" s="1"/>
  <c r="Z238" i="44"/>
  <c r="J238" i="43" s="1"/>
  <c r="Z290" i="44"/>
  <c r="J290" i="43" s="1"/>
  <c r="O255" i="44"/>
  <c r="P255" i="44" s="1"/>
  <c r="O284" i="44"/>
  <c r="P284" i="44" s="1"/>
  <c r="O226" i="44"/>
  <c r="P226" i="44" s="1"/>
  <c r="O299" i="44"/>
  <c r="P299" i="44" s="1"/>
  <c r="O276" i="44"/>
  <c r="P276" i="44" s="1"/>
  <c r="O200" i="44"/>
  <c r="P200" i="44" s="1"/>
  <c r="O244" i="44"/>
  <c r="P244" i="44" s="1"/>
  <c r="O272" i="44"/>
  <c r="P272" i="44" s="1"/>
  <c r="O7" i="44"/>
  <c r="P7" i="44" s="1"/>
  <c r="O225" i="44"/>
  <c r="P225" i="44" s="1"/>
  <c r="O163" i="44"/>
  <c r="P163" i="44" s="1"/>
  <c r="O153" i="44"/>
  <c r="P153" i="44" s="1"/>
  <c r="Z131" i="44"/>
  <c r="J131" i="43" s="1"/>
  <c r="Z179" i="44"/>
  <c r="J179" i="43" s="1"/>
  <c r="Z195" i="44"/>
  <c r="J195" i="43" s="1"/>
  <c r="Z211" i="44"/>
  <c r="J211" i="43" s="1"/>
  <c r="Z227" i="44"/>
  <c r="J227" i="43" s="1"/>
  <c r="Z243" i="44"/>
  <c r="J243" i="43" s="1"/>
  <c r="Z259" i="44"/>
  <c r="J259" i="43" s="1"/>
  <c r="Z275" i="44"/>
  <c r="J275" i="43" s="1"/>
  <c r="Z291" i="44"/>
  <c r="J291" i="43" s="1"/>
  <c r="Z303" i="44"/>
  <c r="J303" i="43" s="1"/>
  <c r="Z130" i="44"/>
  <c r="J130" i="43" s="1"/>
  <c r="Z170" i="44"/>
  <c r="J170" i="43" s="1"/>
  <c r="Z186" i="44"/>
  <c r="J186" i="43" s="1"/>
  <c r="Z202" i="44"/>
  <c r="J202" i="43" s="1"/>
  <c r="Z218" i="44"/>
  <c r="J218" i="43" s="1"/>
  <c r="Q221" i="44"/>
  <c r="Z221" i="44" s="1"/>
  <c r="O221" i="44"/>
  <c r="P221" i="44" s="1"/>
  <c r="C221" i="43" s="1"/>
  <c r="Z237" i="44"/>
  <c r="J237" i="43" s="1"/>
  <c r="Z260" i="44"/>
  <c r="J260" i="43" s="1"/>
  <c r="Z276" i="44"/>
  <c r="J276" i="43" s="1"/>
  <c r="Z292" i="44"/>
  <c r="J292" i="43" s="1"/>
  <c r="Z261" i="44"/>
  <c r="J261" i="43" s="1"/>
  <c r="Z277" i="44"/>
  <c r="J277" i="43" s="1"/>
  <c r="Z293" i="44"/>
  <c r="J293" i="43" s="1"/>
  <c r="Z313" i="44"/>
  <c r="J313" i="43" s="1"/>
  <c r="Z242" i="44"/>
  <c r="J242" i="43" s="1"/>
  <c r="Z270" i="44"/>
  <c r="J270" i="43" s="1"/>
  <c r="Z222" i="44"/>
  <c r="J222" i="43" s="1"/>
  <c r="Z250" i="44"/>
  <c r="J250" i="43" s="1"/>
  <c r="Z294" i="44"/>
  <c r="J294" i="43" s="1"/>
  <c r="O238" i="44"/>
  <c r="P238" i="44" s="1"/>
  <c r="O273" i="44"/>
  <c r="P273" i="44" s="1"/>
  <c r="O242" i="44"/>
  <c r="P242" i="44" s="1"/>
  <c r="O185" i="44"/>
  <c r="P185" i="44" s="1"/>
  <c r="O254" i="44"/>
  <c r="P254" i="44" s="1"/>
  <c r="O304" i="44"/>
  <c r="P304" i="44" s="1"/>
  <c r="O112" i="44"/>
  <c r="P112" i="44" s="1"/>
  <c r="O152" i="44"/>
  <c r="P152" i="44" s="1"/>
  <c r="O86" i="44"/>
  <c r="P86" i="44" s="1"/>
  <c r="O281" i="44"/>
  <c r="P281" i="44" s="1"/>
  <c r="Z312" i="44"/>
  <c r="J312" i="43" s="1"/>
  <c r="O248" i="44"/>
  <c r="P248" i="44" s="1"/>
  <c r="Z118" i="44"/>
  <c r="J118" i="43" s="1"/>
  <c r="Q29" i="44"/>
  <c r="Z29" i="44" s="1"/>
  <c r="J29" i="43" s="1"/>
  <c r="O29" i="44"/>
  <c r="P29" i="44" s="1"/>
  <c r="Z110" i="44"/>
  <c r="J110" i="43" s="1"/>
  <c r="Z172" i="44"/>
  <c r="J172" i="43" s="1"/>
  <c r="Z180" i="44"/>
  <c r="J180" i="43" s="1"/>
  <c r="Z188" i="44"/>
  <c r="J188" i="43" s="1"/>
  <c r="Z196" i="44"/>
  <c r="J196" i="43" s="1"/>
  <c r="Z204" i="44"/>
  <c r="J204" i="43" s="1"/>
  <c r="Z212" i="44"/>
  <c r="J212" i="43" s="1"/>
  <c r="Z167" i="44"/>
  <c r="J167" i="43" s="1"/>
  <c r="Z183" i="44"/>
  <c r="J183" i="43" s="1"/>
  <c r="Z199" i="44"/>
  <c r="J199" i="43" s="1"/>
  <c r="Z215" i="44"/>
  <c r="J215" i="43" s="1"/>
  <c r="Z231" i="44"/>
  <c r="J231" i="43" s="1"/>
  <c r="Z247" i="44"/>
  <c r="J247" i="43" s="1"/>
  <c r="Z263" i="44"/>
  <c r="J263" i="43" s="1"/>
  <c r="Z279" i="44"/>
  <c r="J279" i="43" s="1"/>
  <c r="Z295" i="44"/>
  <c r="J295" i="43" s="1"/>
  <c r="Z174" i="44"/>
  <c r="J174" i="43" s="1"/>
  <c r="Z190" i="44"/>
  <c r="J190" i="43" s="1"/>
  <c r="Z206" i="44"/>
  <c r="J206" i="43" s="1"/>
  <c r="Z224" i="44"/>
  <c r="J224" i="43" s="1"/>
  <c r="Z232" i="44"/>
  <c r="J232" i="43" s="1"/>
  <c r="Z240" i="44"/>
  <c r="J240" i="43" s="1"/>
  <c r="Z248" i="44"/>
  <c r="J248" i="43" s="1"/>
  <c r="Z264" i="44"/>
  <c r="J264" i="43" s="1"/>
  <c r="Z280" i="44"/>
  <c r="J280" i="43" s="1"/>
  <c r="Z296" i="44"/>
  <c r="J296" i="43" s="1"/>
  <c r="Z249" i="44"/>
  <c r="J249" i="43" s="1"/>
  <c r="Z265" i="44"/>
  <c r="J265" i="43" s="1"/>
  <c r="Z281" i="44"/>
  <c r="J281" i="43" s="1"/>
  <c r="Z297" i="44"/>
  <c r="J297" i="43" s="1"/>
  <c r="Z4" i="44"/>
  <c r="J4" i="43" s="1"/>
  <c r="Z246" i="44"/>
  <c r="J246" i="43" s="1"/>
  <c r="Z274" i="44"/>
  <c r="J274" i="43" s="1"/>
  <c r="Z230" i="44"/>
  <c r="J230" i="43" s="1"/>
  <c r="Z226" i="44"/>
  <c r="J226" i="43" s="1"/>
  <c r="Z254" i="44"/>
  <c r="J254" i="43" s="1"/>
  <c r="Z298" i="44"/>
  <c r="J298" i="43" s="1"/>
  <c r="O85" i="44"/>
  <c r="P85" i="44" s="1"/>
  <c r="O270" i="44"/>
  <c r="P270" i="44" s="1"/>
  <c r="O216" i="44"/>
  <c r="P216" i="44" s="1"/>
  <c r="O4" i="44"/>
  <c r="P4" i="44" s="1"/>
  <c r="O119" i="44"/>
  <c r="P119" i="44" s="1"/>
  <c r="O286" i="44"/>
  <c r="P286" i="44" s="1"/>
  <c r="O174" i="44"/>
  <c r="P174" i="44" s="1"/>
  <c r="O279" i="44"/>
  <c r="P279" i="44" s="1"/>
  <c r="O234" i="44"/>
  <c r="P234" i="44" s="1"/>
  <c r="C234" i="43" s="1"/>
  <c r="O120" i="44"/>
  <c r="P120" i="44" s="1"/>
  <c r="O247" i="44"/>
  <c r="P247" i="44" s="1"/>
  <c r="O114" i="44"/>
  <c r="P114" i="44" s="1"/>
  <c r="O70" i="44"/>
  <c r="P70" i="44" s="1"/>
  <c r="Z122" i="44"/>
  <c r="J122" i="43" s="1"/>
  <c r="Z123" i="44"/>
  <c r="J123" i="43" s="1"/>
  <c r="Z115" i="44"/>
  <c r="J115" i="43" s="1"/>
  <c r="Z114" i="44"/>
  <c r="J114" i="43" s="1"/>
  <c r="Z135" i="44"/>
  <c r="J135" i="43" s="1"/>
  <c r="Z171" i="44"/>
  <c r="J171" i="43" s="1"/>
  <c r="Z187" i="44"/>
  <c r="J187" i="43" s="1"/>
  <c r="Z203" i="44"/>
  <c r="J203" i="43" s="1"/>
  <c r="Z219" i="44"/>
  <c r="J219" i="43" s="1"/>
  <c r="Z235" i="44"/>
  <c r="J235" i="43" s="1"/>
  <c r="Z251" i="44"/>
  <c r="J251" i="43" s="1"/>
  <c r="Z267" i="44"/>
  <c r="J267" i="43" s="1"/>
  <c r="Z283" i="44"/>
  <c r="J283" i="43" s="1"/>
  <c r="Z299" i="44"/>
  <c r="J299" i="43" s="1"/>
  <c r="Z178" i="44"/>
  <c r="J178" i="43" s="1"/>
  <c r="Z194" i="44"/>
  <c r="J194" i="43" s="1"/>
  <c r="Z210" i="44"/>
  <c r="J210" i="43" s="1"/>
  <c r="Z233" i="44"/>
  <c r="J233" i="43" s="1"/>
  <c r="Z241" i="44"/>
  <c r="J241" i="43" s="1"/>
  <c r="Z252" i="44"/>
  <c r="J252" i="43" s="1"/>
  <c r="Z268" i="44"/>
  <c r="J268" i="43" s="1"/>
  <c r="Z284" i="44"/>
  <c r="J284" i="43" s="1"/>
  <c r="Z300" i="44"/>
  <c r="J300" i="43" s="1"/>
  <c r="Z253" i="44"/>
  <c r="J253" i="43" s="1"/>
  <c r="Z269" i="44"/>
  <c r="J269" i="43" s="1"/>
  <c r="Z285" i="44"/>
  <c r="J285" i="43" s="1"/>
  <c r="Z305" i="44"/>
  <c r="J305" i="43" s="1"/>
  <c r="Z258" i="44"/>
  <c r="J258" i="43" s="1"/>
  <c r="Z278" i="44"/>
  <c r="J278" i="43" s="1"/>
  <c r="Z262" i="44"/>
  <c r="J262" i="43" s="1"/>
  <c r="Z234" i="44"/>
  <c r="Z286" i="44"/>
  <c r="J286" i="43" s="1"/>
  <c r="O103" i="44"/>
  <c r="P103" i="44" s="1"/>
  <c r="O310" i="44"/>
  <c r="P310" i="44" s="1"/>
  <c r="O115" i="44"/>
  <c r="P115" i="44" s="1"/>
  <c r="O132" i="44"/>
  <c r="P132" i="44" s="1"/>
  <c r="O40" i="44"/>
  <c r="P40" i="44" s="1"/>
  <c r="O73" i="44"/>
  <c r="P73" i="44" s="1"/>
  <c r="O134" i="44"/>
  <c r="P134" i="44" s="1"/>
  <c r="O196" i="44"/>
  <c r="P196" i="44" s="1"/>
  <c r="O266" i="44"/>
  <c r="P266" i="44" s="1"/>
  <c r="O154" i="44"/>
  <c r="P154" i="44" s="1"/>
  <c r="O20" i="44"/>
  <c r="P20" i="44" s="1"/>
  <c r="O202" i="44"/>
  <c r="P202" i="44" s="1"/>
  <c r="G43" i="15"/>
  <c r="D43" i="15"/>
  <c r="E43" i="15"/>
  <c r="D26" i="15"/>
  <c r="H44" i="15" s="1"/>
  <c r="D27" i="15"/>
  <c r="D63" i="15"/>
  <c r="D28" i="15"/>
  <c r="D54" i="15"/>
  <c r="C26" i="16" s="1"/>
  <c r="E56" i="15"/>
  <c r="E55" i="15"/>
  <c r="E54" i="15"/>
  <c r="AA70" i="44" l="1"/>
  <c r="C70" i="43"/>
  <c r="Q70" i="43" s="1"/>
  <c r="X70" i="43" s="1"/>
  <c r="AA70" i="43" s="1"/>
  <c r="AA119" i="44"/>
  <c r="C119" i="43"/>
  <c r="Q119" i="43" s="1"/>
  <c r="X119" i="43" s="1"/>
  <c r="AA119" i="43" s="1"/>
  <c r="AA85" i="44"/>
  <c r="C85" i="43"/>
  <c r="Q85" i="43" s="1"/>
  <c r="X85" i="43" s="1"/>
  <c r="AA85" i="43" s="1"/>
  <c r="AA248" i="44"/>
  <c r="C248" i="43"/>
  <c r="Q248" i="43" s="1"/>
  <c r="X248" i="43" s="1"/>
  <c r="AA248" i="43" s="1"/>
  <c r="AA152" i="44"/>
  <c r="C152" i="43"/>
  <c r="Q152" i="43" s="1"/>
  <c r="X152" i="43" s="1"/>
  <c r="AA152" i="43" s="1"/>
  <c r="AA185" i="44"/>
  <c r="C185" i="43"/>
  <c r="Q185" i="43" s="1"/>
  <c r="X185" i="43" s="1"/>
  <c r="AA185" i="43" s="1"/>
  <c r="AA225" i="44"/>
  <c r="C225" i="43"/>
  <c r="Q225" i="43" s="1"/>
  <c r="X225" i="43" s="1"/>
  <c r="AA225" i="43" s="1"/>
  <c r="AA200" i="44"/>
  <c r="C200" i="43"/>
  <c r="Q200" i="43" s="1"/>
  <c r="X200" i="43" s="1"/>
  <c r="AA200" i="43" s="1"/>
  <c r="AA284" i="44"/>
  <c r="C284" i="43"/>
  <c r="Q284" i="43" s="1"/>
  <c r="X284" i="43" s="1"/>
  <c r="AA284" i="43" s="1"/>
  <c r="AA202" i="44"/>
  <c r="C202" i="43"/>
  <c r="Q202" i="43" s="1"/>
  <c r="X202" i="43" s="1"/>
  <c r="AA202" i="43" s="1"/>
  <c r="AA132" i="44"/>
  <c r="C132" i="43"/>
  <c r="Q132" i="43" s="1"/>
  <c r="X132" i="43" s="1"/>
  <c r="AA132" i="43" s="1"/>
  <c r="AA20" i="44"/>
  <c r="C20" i="43"/>
  <c r="Q20" i="43" s="1"/>
  <c r="X20" i="43" s="1"/>
  <c r="AA20" i="43" s="1"/>
  <c r="AA134" i="44"/>
  <c r="C134" i="43"/>
  <c r="Q134" i="43" s="1"/>
  <c r="X134" i="43" s="1"/>
  <c r="AA134" i="43" s="1"/>
  <c r="AA115" i="44"/>
  <c r="C115" i="43"/>
  <c r="Q115" i="43" s="1"/>
  <c r="X115" i="43" s="1"/>
  <c r="AA115" i="43" s="1"/>
  <c r="AA279" i="44"/>
  <c r="C279" i="43"/>
  <c r="Q279" i="43" s="1"/>
  <c r="X279" i="43" s="1"/>
  <c r="AA279" i="43" s="1"/>
  <c r="AA4" i="44"/>
  <c r="C4" i="43"/>
  <c r="Q4" i="43" s="1"/>
  <c r="X4" i="43" s="1"/>
  <c r="AA4" i="43" s="1"/>
  <c r="AA29" i="44"/>
  <c r="C29" i="43"/>
  <c r="Q29" i="43" s="1"/>
  <c r="AA112" i="44"/>
  <c r="C112" i="43"/>
  <c r="Q112" i="43" s="1"/>
  <c r="X112" i="43" s="1"/>
  <c r="AA112" i="43" s="1"/>
  <c r="AA242" i="44"/>
  <c r="C242" i="43"/>
  <c r="Q242" i="43" s="1"/>
  <c r="X242" i="43" s="1"/>
  <c r="AA242" i="43" s="1"/>
  <c r="AA7" i="44"/>
  <c r="C7" i="43"/>
  <c r="Q7" i="43" s="1"/>
  <c r="X7" i="43" s="1"/>
  <c r="AA7" i="43" s="1"/>
  <c r="AA276" i="44"/>
  <c r="C276" i="43"/>
  <c r="Q276" i="43" s="1"/>
  <c r="X276" i="43" s="1"/>
  <c r="AA276" i="43" s="1"/>
  <c r="AA255" i="44"/>
  <c r="C255" i="43"/>
  <c r="Q255" i="43" s="1"/>
  <c r="X255" i="43" s="1"/>
  <c r="AA255" i="43" s="1"/>
  <c r="AA266" i="44"/>
  <c r="C266" i="43"/>
  <c r="Q266" i="43" s="1"/>
  <c r="X266" i="43" s="1"/>
  <c r="AA266" i="43" s="1"/>
  <c r="AA103" i="44"/>
  <c r="C103" i="43"/>
  <c r="Q103" i="43" s="1"/>
  <c r="X103" i="43" s="1"/>
  <c r="AA103" i="43" s="1"/>
  <c r="J234" i="43"/>
  <c r="Q234" i="43" s="1"/>
  <c r="X234" i="43" s="1"/>
  <c r="AA234" i="43" s="1"/>
  <c r="AA234" i="44"/>
  <c r="AA196" i="44"/>
  <c r="C196" i="43"/>
  <c r="Q196" i="43" s="1"/>
  <c r="X196" i="43" s="1"/>
  <c r="AA196" i="43" s="1"/>
  <c r="AA114" i="44"/>
  <c r="C114" i="43"/>
  <c r="Q114" i="43" s="1"/>
  <c r="X114" i="43" s="1"/>
  <c r="AA114" i="43" s="1"/>
  <c r="AA154" i="44"/>
  <c r="C154" i="43"/>
  <c r="Q154" i="43" s="1"/>
  <c r="X154" i="43" s="1"/>
  <c r="AA154" i="43" s="1"/>
  <c r="AA73" i="44"/>
  <c r="C73" i="43"/>
  <c r="Q73" i="43" s="1"/>
  <c r="X73" i="43" s="1"/>
  <c r="AA73" i="43" s="1"/>
  <c r="AA310" i="44"/>
  <c r="C310" i="43"/>
  <c r="Q310" i="43" s="1"/>
  <c r="X310" i="43" s="1"/>
  <c r="AA310" i="43" s="1"/>
  <c r="AA247" i="44"/>
  <c r="C247" i="43"/>
  <c r="Q247" i="43" s="1"/>
  <c r="X247" i="43" s="1"/>
  <c r="AA247" i="43" s="1"/>
  <c r="AA174" i="44"/>
  <c r="C174" i="43"/>
  <c r="Q174" i="43" s="1"/>
  <c r="X174" i="43" s="1"/>
  <c r="AA174" i="43" s="1"/>
  <c r="AA216" i="44"/>
  <c r="C216" i="43"/>
  <c r="Q216" i="43" s="1"/>
  <c r="X216" i="43" s="1"/>
  <c r="AA216" i="43" s="1"/>
  <c r="AA281" i="44"/>
  <c r="C281" i="43"/>
  <c r="Q281" i="43" s="1"/>
  <c r="X281" i="43" s="1"/>
  <c r="AA281" i="43" s="1"/>
  <c r="AA304" i="44"/>
  <c r="C304" i="43"/>
  <c r="Q304" i="43" s="1"/>
  <c r="X304" i="43" s="1"/>
  <c r="AA304" i="43" s="1"/>
  <c r="AA273" i="44"/>
  <c r="C273" i="43"/>
  <c r="Q273" i="43" s="1"/>
  <c r="X273" i="43" s="1"/>
  <c r="AA273" i="43" s="1"/>
  <c r="AA153" i="44"/>
  <c r="C153" i="43"/>
  <c r="Q153" i="43" s="1"/>
  <c r="X153" i="43" s="1"/>
  <c r="AA153" i="43" s="1"/>
  <c r="AA272" i="44"/>
  <c r="C272" i="43"/>
  <c r="Q272" i="43" s="1"/>
  <c r="X272" i="43" s="1"/>
  <c r="AA272" i="43" s="1"/>
  <c r="AA299" i="44"/>
  <c r="C299" i="43"/>
  <c r="Q299" i="43" s="1"/>
  <c r="X299" i="43" s="1"/>
  <c r="AA299" i="43" s="1"/>
  <c r="AA40" i="44"/>
  <c r="C40" i="43"/>
  <c r="Q40" i="43" s="1"/>
  <c r="X40" i="43" s="1"/>
  <c r="AA40" i="43" s="1"/>
  <c r="AA120" i="44"/>
  <c r="C120" i="43"/>
  <c r="Q120" i="43" s="1"/>
  <c r="X120" i="43" s="1"/>
  <c r="AA120" i="43" s="1"/>
  <c r="AA286" i="44"/>
  <c r="C286" i="43"/>
  <c r="Q286" i="43" s="1"/>
  <c r="X286" i="43" s="1"/>
  <c r="AA286" i="43" s="1"/>
  <c r="AA270" i="44"/>
  <c r="C270" i="43"/>
  <c r="Q270" i="43" s="1"/>
  <c r="X270" i="43" s="1"/>
  <c r="AA270" i="43" s="1"/>
  <c r="AA86" i="44"/>
  <c r="C86" i="43"/>
  <c r="Q86" i="43" s="1"/>
  <c r="X86" i="43" s="1"/>
  <c r="AA86" i="43" s="1"/>
  <c r="AA254" i="44"/>
  <c r="C254" i="43"/>
  <c r="Q254" i="43" s="1"/>
  <c r="X254" i="43" s="1"/>
  <c r="AA254" i="43" s="1"/>
  <c r="AA238" i="44"/>
  <c r="C238" i="43"/>
  <c r="Q238" i="43" s="1"/>
  <c r="X238" i="43" s="1"/>
  <c r="AA238" i="43" s="1"/>
  <c r="J221" i="43"/>
  <c r="Q221" i="43" s="1"/>
  <c r="X221" i="43" s="1"/>
  <c r="AA221" i="43" s="1"/>
  <c r="AA221" i="44"/>
  <c r="AA163" i="44"/>
  <c r="C163" i="43"/>
  <c r="Q163" i="43" s="1"/>
  <c r="X163" i="43" s="1"/>
  <c r="AA163" i="43" s="1"/>
  <c r="AA244" i="44"/>
  <c r="C244" i="43"/>
  <c r="Q244" i="43" s="1"/>
  <c r="X244" i="43" s="1"/>
  <c r="AA244" i="43" s="1"/>
  <c r="AA226" i="44"/>
  <c r="C226" i="43"/>
  <c r="Q226" i="43" s="1"/>
  <c r="X226" i="43" s="1"/>
  <c r="AA226" i="43" s="1"/>
  <c r="D44" i="15"/>
  <c r="G44" i="15"/>
  <c r="D48" i="15"/>
  <c r="F44" i="15"/>
  <c r="E44" i="15"/>
  <c r="E94" i="15"/>
  <c r="E93" i="15"/>
  <c r="E92" i="15"/>
  <c r="E91" i="15"/>
  <c r="D94" i="15"/>
  <c r="D93" i="15"/>
  <c r="D92" i="15"/>
  <c r="D91" i="15"/>
  <c r="C134" i="8" s="1"/>
  <c r="I134" i="8" s="1"/>
  <c r="E138" i="8" l="1"/>
  <c r="E139" i="8" s="1"/>
  <c r="C138" i="8"/>
  <c r="C139" i="8" s="1"/>
  <c r="C65" i="37"/>
  <c r="R64" i="37"/>
  <c r="R65" i="37" s="1"/>
  <c r="C64" i="37"/>
  <c r="C49" i="37"/>
  <c r="Q48" i="37"/>
  <c r="Q49" i="37" s="1"/>
  <c r="D48" i="37"/>
  <c r="D49" i="37" s="1"/>
  <c r="E48" i="37"/>
  <c r="E49" i="37" s="1"/>
  <c r="F48" i="37"/>
  <c r="F49" i="37" s="1"/>
  <c r="G48" i="37"/>
  <c r="G49" i="37" s="1"/>
  <c r="H48" i="37"/>
  <c r="H49" i="37" s="1"/>
  <c r="I48" i="37"/>
  <c r="I49" i="37" s="1"/>
  <c r="J48" i="37"/>
  <c r="J49" i="37" s="1"/>
  <c r="K48" i="37"/>
  <c r="K49" i="37" s="1"/>
  <c r="L48" i="37"/>
  <c r="L49" i="37" s="1"/>
  <c r="M48" i="37"/>
  <c r="M49" i="37" s="1"/>
  <c r="N48" i="37"/>
  <c r="N49" i="37" s="1"/>
  <c r="O48" i="37"/>
  <c r="O49" i="37" s="1"/>
  <c r="P48" i="37"/>
  <c r="P49" i="37" s="1"/>
  <c r="C48" i="37"/>
  <c r="C25" i="37"/>
  <c r="C26" i="37" s="1"/>
  <c r="C52" i="37" l="1"/>
  <c r="D64" i="37"/>
  <c r="E64" i="37" l="1"/>
  <c r="D65" i="37"/>
  <c r="D27" i="7"/>
  <c r="D26" i="7"/>
  <c r="C27" i="7"/>
  <c r="C26" i="7"/>
  <c r="E95" i="15"/>
  <c r="C29" i="10"/>
  <c r="C28" i="10"/>
  <c r="C26" i="10"/>
  <c r="C47" i="10" s="1"/>
  <c r="C27" i="10"/>
  <c r="V14" i="35"/>
  <c r="V13" i="35"/>
  <c r="V12" i="35"/>
  <c r="D73" i="15"/>
  <c r="C34" i="8"/>
  <c r="C42" i="8"/>
  <c r="C40" i="8"/>
  <c r="F64" i="37" l="1"/>
  <c r="E65" i="37"/>
  <c r="D21" i="35"/>
  <c r="E21" i="35"/>
  <c r="C21" i="35"/>
  <c r="G64" i="37" l="1"/>
  <c r="F65" i="37"/>
  <c r="H32" i="33"/>
  <c r="H61" i="33" s="1"/>
  <c r="H31" i="33"/>
  <c r="H64" i="37" l="1"/>
  <c r="G65" i="37"/>
  <c r="E48" i="15"/>
  <c r="E36" i="15"/>
  <c r="I64" i="37" l="1"/>
  <c r="H65" i="37"/>
  <c r="E74" i="33"/>
  <c r="E75" i="33"/>
  <c r="E76" i="33"/>
  <c r="E77" i="33"/>
  <c r="E78" i="33"/>
  <c r="E79" i="33"/>
  <c r="E80" i="33"/>
  <c r="E81" i="33"/>
  <c r="E82" i="33"/>
  <c r="E84" i="33"/>
  <c r="J64" i="37" l="1"/>
  <c r="I65" i="37"/>
  <c r="K64" i="37" l="1"/>
  <c r="J65" i="37"/>
  <c r="C117" i="10"/>
  <c r="C116" i="10"/>
  <c r="C115" i="10"/>
  <c r="C114" i="10"/>
  <c r="L64" i="37" l="1"/>
  <c r="K65" i="37"/>
  <c r="F60" i="33"/>
  <c r="G60" i="33"/>
  <c r="H60" i="33"/>
  <c r="F61" i="33"/>
  <c r="G61" i="33"/>
  <c r="F62" i="33"/>
  <c r="G62" i="33"/>
  <c r="H62" i="33"/>
  <c r="F63" i="33"/>
  <c r="F79" i="33" s="1"/>
  <c r="G63" i="33"/>
  <c r="H63" i="33"/>
  <c r="F64" i="33"/>
  <c r="G64" i="33"/>
  <c r="G78" i="33" s="1"/>
  <c r="H64" i="33"/>
  <c r="F65" i="33"/>
  <c r="G65" i="33"/>
  <c r="H65" i="33"/>
  <c r="F66" i="33"/>
  <c r="G66" i="33"/>
  <c r="H66" i="33"/>
  <c r="F67" i="33"/>
  <c r="G67" i="33"/>
  <c r="H67" i="33"/>
  <c r="F68" i="33"/>
  <c r="G68" i="33"/>
  <c r="H68" i="33"/>
  <c r="E67" i="33"/>
  <c r="E66" i="33"/>
  <c r="E65" i="33"/>
  <c r="E64" i="33"/>
  <c r="E63" i="33"/>
  <c r="E61" i="33"/>
  <c r="H75" i="33" s="1"/>
  <c r="I151" i="44" l="1"/>
  <c r="I77" i="44"/>
  <c r="I271" i="44"/>
  <c r="I308" i="44"/>
  <c r="I232" i="44"/>
  <c r="I46" i="44"/>
  <c r="F80" i="33"/>
  <c r="G80" i="33"/>
  <c r="H77" i="33"/>
  <c r="F76" i="33"/>
  <c r="H81" i="33"/>
  <c r="G81" i="33"/>
  <c r="F81" i="33"/>
  <c r="M64" i="37"/>
  <c r="L65" i="37"/>
  <c r="H79" i="33"/>
  <c r="G79" i="33"/>
  <c r="G75" i="33"/>
  <c r="H78" i="33"/>
  <c r="G77" i="33"/>
  <c r="H80" i="33"/>
  <c r="E41" i="33"/>
  <c r="E68" i="33" s="1"/>
  <c r="F82" i="33" s="1"/>
  <c r="G82" i="33" s="1"/>
  <c r="H82" i="33" s="1"/>
  <c r="E34" i="33"/>
  <c r="E31" i="33"/>
  <c r="E71" i="15"/>
  <c r="S308" i="44" l="1"/>
  <c r="V308" i="44" s="1"/>
  <c r="L308" i="44"/>
  <c r="O308" i="44" s="1"/>
  <c r="P308" i="44" s="1"/>
  <c r="S271" i="44"/>
  <c r="V271" i="44" s="1"/>
  <c r="L271" i="44"/>
  <c r="O271" i="44" s="1"/>
  <c r="P271" i="44" s="1"/>
  <c r="S77" i="44"/>
  <c r="V77" i="44" s="1"/>
  <c r="L77" i="44"/>
  <c r="O77" i="44" s="1"/>
  <c r="P77" i="44" s="1"/>
  <c r="S46" i="44"/>
  <c r="V46" i="44" s="1"/>
  <c r="L46" i="44"/>
  <c r="O46" i="44" s="1"/>
  <c r="P46" i="44" s="1"/>
  <c r="S232" i="44"/>
  <c r="V232" i="44" s="1"/>
  <c r="L232" i="44"/>
  <c r="O232" i="44" s="1"/>
  <c r="P232" i="44" s="1"/>
  <c r="S151" i="44"/>
  <c r="V151" i="44" s="1"/>
  <c r="L151" i="44"/>
  <c r="O151" i="44" s="1"/>
  <c r="P151" i="44" s="1"/>
  <c r="I87" i="44"/>
  <c r="I5" i="44"/>
  <c r="I21" i="44"/>
  <c r="I37" i="44"/>
  <c r="I101" i="44"/>
  <c r="I15" i="44"/>
  <c r="I143" i="44"/>
  <c r="I13" i="44"/>
  <c r="I93" i="44"/>
  <c r="I141" i="44"/>
  <c r="I263" i="44"/>
  <c r="I259" i="44"/>
  <c r="I82" i="44"/>
  <c r="I65" i="44"/>
  <c r="I192" i="44"/>
  <c r="I50" i="44"/>
  <c r="I142" i="44"/>
  <c r="I278" i="44"/>
  <c r="I230" i="44"/>
  <c r="I130" i="44"/>
  <c r="I56" i="44"/>
  <c r="I213" i="44"/>
  <c r="I219" i="44"/>
  <c r="I144" i="44"/>
  <c r="I116" i="44"/>
  <c r="I275" i="44"/>
  <c r="I64" i="44"/>
  <c r="I243" i="44"/>
  <c r="I131" i="44"/>
  <c r="I41" i="44"/>
  <c r="I193" i="44"/>
  <c r="I184" i="44"/>
  <c r="I180" i="44"/>
  <c r="I214" i="44"/>
  <c r="I62" i="44"/>
  <c r="I257" i="44"/>
  <c r="I307" i="44"/>
  <c r="I297" i="44"/>
  <c r="I111" i="44"/>
  <c r="I127" i="44"/>
  <c r="I249" i="44"/>
  <c r="I45" i="44"/>
  <c r="I109" i="44"/>
  <c r="I277" i="44"/>
  <c r="I211" i="44"/>
  <c r="I100" i="44"/>
  <c r="I58" i="44"/>
  <c r="I36" i="44"/>
  <c r="I240" i="44"/>
  <c r="I99" i="44"/>
  <c r="I162" i="44"/>
  <c r="I110" i="44"/>
  <c r="I89" i="44"/>
  <c r="I98" i="44"/>
  <c r="I295" i="44"/>
  <c r="I260" i="44"/>
  <c r="I118" i="44"/>
  <c r="I17" i="44"/>
  <c r="I203" i="44"/>
  <c r="I26" i="44"/>
  <c r="I210" i="44"/>
  <c r="I137" i="44"/>
  <c r="I311" i="44"/>
  <c r="I199" i="44"/>
  <c r="I183" i="44"/>
  <c r="I138" i="44"/>
  <c r="I84" i="44"/>
  <c r="I42" i="44"/>
  <c r="I67" i="44"/>
  <c r="I140" i="44"/>
  <c r="I108" i="44"/>
  <c r="I44" i="44"/>
  <c r="I235" i="44"/>
  <c r="I208" i="44"/>
  <c r="I139" i="44"/>
  <c r="I49" i="44"/>
  <c r="I91" i="44"/>
  <c r="I8" i="44"/>
  <c r="I175" i="44"/>
  <c r="I265" i="44"/>
  <c r="I285" i="44"/>
  <c r="I10" i="44"/>
  <c r="I198" i="44"/>
  <c r="I121" i="44"/>
  <c r="I38" i="44"/>
  <c r="I204" i="44"/>
  <c r="I9" i="44"/>
  <c r="I43" i="44"/>
  <c r="I124" i="44"/>
  <c r="I33" i="44"/>
  <c r="I32" i="44"/>
  <c r="I194" i="44"/>
  <c r="I35" i="44"/>
  <c r="I78" i="44"/>
  <c r="I6" i="44"/>
  <c r="I282" i="44"/>
  <c r="I231" i="44"/>
  <c r="I215" i="44"/>
  <c r="I262" i="44"/>
  <c r="I166" i="44"/>
  <c r="I283" i="44"/>
  <c r="I158" i="44"/>
  <c r="I113" i="44"/>
  <c r="I12" i="44"/>
  <c r="I129" i="44"/>
  <c r="I236" i="44"/>
  <c r="I156" i="44"/>
  <c r="I220" i="44"/>
  <c r="I39" i="44"/>
  <c r="I229" i="44"/>
  <c r="I293" i="44"/>
  <c r="I165" i="44"/>
  <c r="I31" i="44"/>
  <c r="I47" i="44"/>
  <c r="I63" i="44"/>
  <c r="I303" i="44"/>
  <c r="I173" i="44"/>
  <c r="I298" i="44"/>
  <c r="I136" i="44"/>
  <c r="I34" i="44"/>
  <c r="I287" i="44"/>
  <c r="I155" i="44"/>
  <c r="I178" i="44"/>
  <c r="I28" i="44"/>
  <c r="I107" i="44"/>
  <c r="I251" i="44"/>
  <c r="I122" i="44"/>
  <c r="I74" i="44"/>
  <c r="I258" i="44"/>
  <c r="I187" i="44"/>
  <c r="I227" i="44"/>
  <c r="I190" i="44"/>
  <c r="I105" i="44"/>
  <c r="I51" i="44"/>
  <c r="I24" i="44"/>
  <c r="I164" i="44"/>
  <c r="I106" i="44"/>
  <c r="I168" i="44"/>
  <c r="I66" i="44"/>
  <c r="I11" i="44"/>
  <c r="I146" i="44"/>
  <c r="G84" i="33"/>
  <c r="H84" i="33" s="1"/>
  <c r="I159" i="44"/>
  <c r="I253" i="44"/>
  <c r="I301" i="44"/>
  <c r="I261" i="44"/>
  <c r="I128" i="44"/>
  <c r="I182" i="44"/>
  <c r="I57" i="44"/>
  <c r="I181" i="44"/>
  <c r="I239" i="44"/>
  <c r="I313" i="44"/>
  <c r="I268" i="44"/>
  <c r="I280" i="44"/>
  <c r="I292" i="44"/>
  <c r="I170" i="44"/>
  <c r="I90" i="44"/>
  <c r="I123" i="44"/>
  <c r="I291" i="44"/>
  <c r="I224" i="44"/>
  <c r="I206" i="44"/>
  <c r="I186" i="44"/>
  <c r="I267" i="44"/>
  <c r="I54" i="44"/>
  <c r="I188" i="44"/>
  <c r="I195" i="44"/>
  <c r="I246" i="44"/>
  <c r="I22" i="44"/>
  <c r="I18" i="44"/>
  <c r="I104" i="44"/>
  <c r="N64" i="37"/>
  <c r="M65" i="37"/>
  <c r="E72" i="15"/>
  <c r="E73" i="15"/>
  <c r="C31" i="33"/>
  <c r="E60" i="33"/>
  <c r="C34" i="33"/>
  <c r="E62" i="33"/>
  <c r="C39" i="33"/>
  <c r="GR7" i="28"/>
  <c r="GR8" i="28"/>
  <c r="GR9" i="28"/>
  <c r="GR10" i="28"/>
  <c r="GR11" i="28"/>
  <c r="GR12" i="28"/>
  <c r="GR13" i="28"/>
  <c r="GR14" i="28"/>
  <c r="GR15" i="28"/>
  <c r="GR16" i="28"/>
  <c r="GR17" i="28"/>
  <c r="GR18" i="28"/>
  <c r="GR19" i="28"/>
  <c r="GR20" i="28"/>
  <c r="GR21" i="28"/>
  <c r="GR22" i="28"/>
  <c r="GR23" i="28"/>
  <c r="GR24" i="28"/>
  <c r="GR25" i="28"/>
  <c r="GR26" i="28"/>
  <c r="GR27" i="28"/>
  <c r="GR28" i="28"/>
  <c r="GR29" i="28"/>
  <c r="GR30" i="28"/>
  <c r="GR31" i="28"/>
  <c r="GR32" i="28"/>
  <c r="GR33" i="28"/>
  <c r="GR34" i="28"/>
  <c r="GR35" i="28"/>
  <c r="GR36" i="28"/>
  <c r="GR37" i="28"/>
  <c r="GR38" i="28"/>
  <c r="GR39" i="28"/>
  <c r="GR40" i="28"/>
  <c r="GR41" i="28"/>
  <c r="GR42" i="28"/>
  <c r="GR43" i="28"/>
  <c r="GR44" i="28"/>
  <c r="GR45" i="28"/>
  <c r="GR46" i="28"/>
  <c r="GR47" i="28"/>
  <c r="GR48" i="28"/>
  <c r="GR49" i="28"/>
  <c r="GR50" i="28"/>
  <c r="GR51" i="28"/>
  <c r="GR52" i="28"/>
  <c r="GR53" i="28"/>
  <c r="GR54" i="28"/>
  <c r="GR55" i="28"/>
  <c r="GR56" i="28"/>
  <c r="GR57" i="28"/>
  <c r="GR58" i="28"/>
  <c r="GR59" i="28"/>
  <c r="GR60" i="28"/>
  <c r="GR61" i="28"/>
  <c r="GR62" i="28"/>
  <c r="GR63" i="28"/>
  <c r="GR64" i="28"/>
  <c r="GR65" i="28"/>
  <c r="GR66" i="28"/>
  <c r="GR67" i="28"/>
  <c r="GR68" i="28"/>
  <c r="GR69" i="28"/>
  <c r="GR70" i="28"/>
  <c r="GR71" i="28"/>
  <c r="GR72" i="28"/>
  <c r="GR73" i="28"/>
  <c r="GR74" i="28"/>
  <c r="GR75" i="28"/>
  <c r="GR76" i="28"/>
  <c r="GR77" i="28"/>
  <c r="GR78" i="28"/>
  <c r="GR79" i="28"/>
  <c r="GR80" i="28"/>
  <c r="GR81" i="28"/>
  <c r="GR82" i="28"/>
  <c r="GR83" i="28"/>
  <c r="GR84" i="28"/>
  <c r="GR85" i="28"/>
  <c r="GR86" i="28"/>
  <c r="GR87" i="28"/>
  <c r="GR88" i="28"/>
  <c r="GR89" i="28"/>
  <c r="GR90" i="28"/>
  <c r="GR91" i="28"/>
  <c r="GR92" i="28"/>
  <c r="GR93" i="28"/>
  <c r="GR94" i="28"/>
  <c r="GR95" i="28"/>
  <c r="GR96" i="28"/>
  <c r="GR97" i="28"/>
  <c r="GR98" i="28"/>
  <c r="GR99" i="28"/>
  <c r="GR100" i="28"/>
  <c r="GR101" i="28"/>
  <c r="GR102" i="28"/>
  <c r="GR103" i="28"/>
  <c r="GR104" i="28"/>
  <c r="GR105" i="28"/>
  <c r="GR106" i="28"/>
  <c r="GR107" i="28"/>
  <c r="GR108" i="28"/>
  <c r="GR109" i="28"/>
  <c r="GR110" i="28"/>
  <c r="GR111" i="28"/>
  <c r="GR112" i="28"/>
  <c r="GR113" i="28"/>
  <c r="GR114" i="28"/>
  <c r="GR115" i="28"/>
  <c r="GR116" i="28"/>
  <c r="GR117" i="28"/>
  <c r="GR118" i="28"/>
  <c r="GR119" i="28"/>
  <c r="GR120" i="28"/>
  <c r="GR121" i="28"/>
  <c r="GR122" i="28"/>
  <c r="GR123" i="28"/>
  <c r="GR124" i="28"/>
  <c r="GR125" i="28"/>
  <c r="GR126" i="28"/>
  <c r="GR127" i="28"/>
  <c r="GR128" i="28"/>
  <c r="GR129" i="28"/>
  <c r="GR130" i="28"/>
  <c r="GR131" i="28"/>
  <c r="GR132" i="28"/>
  <c r="GR133" i="28"/>
  <c r="GR134" i="28"/>
  <c r="GR135" i="28"/>
  <c r="GR136" i="28"/>
  <c r="GR137" i="28"/>
  <c r="GR138" i="28"/>
  <c r="GR139" i="28"/>
  <c r="GR140" i="28"/>
  <c r="GR141" i="28"/>
  <c r="GR142" i="28"/>
  <c r="GR143" i="28"/>
  <c r="GR144" i="28"/>
  <c r="GR145" i="28"/>
  <c r="GR146" i="28"/>
  <c r="GR147" i="28"/>
  <c r="GR148" i="28"/>
  <c r="GR149" i="28"/>
  <c r="GR150" i="28"/>
  <c r="GR151" i="28"/>
  <c r="GR152" i="28"/>
  <c r="GR153" i="28"/>
  <c r="GR154" i="28"/>
  <c r="GR155" i="28"/>
  <c r="GR156" i="28"/>
  <c r="GR157" i="28"/>
  <c r="GR158" i="28"/>
  <c r="GR159" i="28"/>
  <c r="GR160" i="28"/>
  <c r="GR161" i="28"/>
  <c r="GR162" i="28"/>
  <c r="GR163" i="28"/>
  <c r="GR164" i="28"/>
  <c r="GR165" i="28"/>
  <c r="GR166" i="28"/>
  <c r="GR167" i="28"/>
  <c r="GR168" i="28"/>
  <c r="GR169" i="28"/>
  <c r="GR170" i="28"/>
  <c r="GR171" i="28"/>
  <c r="GR172" i="28"/>
  <c r="GR173" i="28"/>
  <c r="GR174" i="28"/>
  <c r="GR175" i="28"/>
  <c r="GR176" i="28"/>
  <c r="GR177" i="28"/>
  <c r="GR178" i="28"/>
  <c r="GR179" i="28"/>
  <c r="GR180" i="28"/>
  <c r="GR181" i="28"/>
  <c r="GR182" i="28"/>
  <c r="GR183" i="28"/>
  <c r="GR184" i="28"/>
  <c r="GR185" i="28"/>
  <c r="GR186" i="28"/>
  <c r="GR187" i="28"/>
  <c r="GR188" i="28"/>
  <c r="GR189" i="28"/>
  <c r="GR190" i="28"/>
  <c r="GR191" i="28"/>
  <c r="GR192" i="28"/>
  <c r="GR193" i="28"/>
  <c r="GR194" i="28"/>
  <c r="GR195" i="28"/>
  <c r="GR196" i="28"/>
  <c r="GR197" i="28"/>
  <c r="GR198" i="28"/>
  <c r="GR199" i="28"/>
  <c r="GR200" i="28"/>
  <c r="GR201" i="28"/>
  <c r="GR202" i="28"/>
  <c r="GR203" i="28"/>
  <c r="GR204" i="28"/>
  <c r="GR205" i="28"/>
  <c r="GR206" i="28"/>
  <c r="GR207" i="28"/>
  <c r="GR208" i="28"/>
  <c r="GR209" i="28"/>
  <c r="GR210" i="28"/>
  <c r="GR211" i="28"/>
  <c r="GR212" i="28"/>
  <c r="GR213" i="28"/>
  <c r="GR214" i="28"/>
  <c r="GR215" i="28"/>
  <c r="GR216" i="28"/>
  <c r="GR217" i="28"/>
  <c r="GR218" i="28"/>
  <c r="GR219" i="28"/>
  <c r="GR220" i="28"/>
  <c r="GR221" i="28"/>
  <c r="GR222" i="28"/>
  <c r="GR223" i="28"/>
  <c r="GR224" i="28"/>
  <c r="GR225" i="28"/>
  <c r="GR226" i="28"/>
  <c r="GR227" i="28"/>
  <c r="GR228" i="28"/>
  <c r="GR229" i="28"/>
  <c r="GR230" i="28"/>
  <c r="GR231" i="28"/>
  <c r="GR232" i="28"/>
  <c r="GR233" i="28"/>
  <c r="GR234" i="28"/>
  <c r="GR235" i="28"/>
  <c r="GR236" i="28"/>
  <c r="GR237" i="28"/>
  <c r="GR238" i="28"/>
  <c r="GR239" i="28"/>
  <c r="GR240" i="28"/>
  <c r="GR241" i="28"/>
  <c r="GR242" i="28"/>
  <c r="GR243" i="28"/>
  <c r="GR244" i="28"/>
  <c r="GR245" i="28"/>
  <c r="GR246" i="28"/>
  <c r="GR247" i="28"/>
  <c r="GR248" i="28"/>
  <c r="GR249" i="28"/>
  <c r="GR250" i="28"/>
  <c r="GR251" i="28"/>
  <c r="GR252" i="28"/>
  <c r="GR253" i="28"/>
  <c r="GR254" i="28"/>
  <c r="GR255" i="28"/>
  <c r="GR256" i="28"/>
  <c r="GR257" i="28"/>
  <c r="GR258" i="28"/>
  <c r="GR259" i="28"/>
  <c r="GR260" i="28"/>
  <c r="GR261" i="28"/>
  <c r="GR262" i="28"/>
  <c r="GR263" i="28"/>
  <c r="GR264" i="28"/>
  <c r="GR265" i="28"/>
  <c r="GR266" i="28"/>
  <c r="GR267" i="28"/>
  <c r="GR268" i="28"/>
  <c r="GR269" i="28"/>
  <c r="GR270" i="28"/>
  <c r="GR271" i="28"/>
  <c r="GR272" i="28"/>
  <c r="GR273" i="28"/>
  <c r="GR274" i="28"/>
  <c r="GR275" i="28"/>
  <c r="GR276" i="28"/>
  <c r="GR277" i="28"/>
  <c r="GR278" i="28"/>
  <c r="GR279" i="28"/>
  <c r="GR280" i="28"/>
  <c r="GR281" i="28"/>
  <c r="GR282" i="28"/>
  <c r="GR283" i="28"/>
  <c r="GR284" i="28"/>
  <c r="GR285" i="28"/>
  <c r="GR286" i="28"/>
  <c r="GR287" i="28"/>
  <c r="GR288" i="28"/>
  <c r="GR289" i="28"/>
  <c r="GR290" i="28"/>
  <c r="GR291" i="28"/>
  <c r="GR292" i="28"/>
  <c r="GR293" i="28"/>
  <c r="GR294" i="28"/>
  <c r="GR295" i="28"/>
  <c r="GR296" i="28"/>
  <c r="GR297" i="28"/>
  <c r="GR298" i="28"/>
  <c r="GR299" i="28"/>
  <c r="GR300" i="28"/>
  <c r="GR301" i="28"/>
  <c r="GR302" i="28"/>
  <c r="GR303" i="28"/>
  <c r="GR304" i="28"/>
  <c r="GR305" i="28"/>
  <c r="GR306" i="28"/>
  <c r="GR307" i="28"/>
  <c r="GR308" i="28"/>
  <c r="GR309" i="28"/>
  <c r="GR310" i="28"/>
  <c r="GR311" i="28"/>
  <c r="GR312" i="28"/>
  <c r="GR313" i="28"/>
  <c r="GR314" i="28"/>
  <c r="GR315" i="28"/>
  <c r="GR316" i="28"/>
  <c r="GR317" i="28"/>
  <c r="GR318" i="28"/>
  <c r="GR319" i="28"/>
  <c r="GR320" i="28"/>
  <c r="GR321" i="28"/>
  <c r="GR6" i="28"/>
  <c r="AA151" i="44" l="1"/>
  <c r="C151" i="43"/>
  <c r="Q151" i="43" s="1"/>
  <c r="X151" i="43" s="1"/>
  <c r="AA151" i="43" s="1"/>
  <c r="AA46" i="44"/>
  <c r="C46" i="43"/>
  <c r="Q46" i="43" s="1"/>
  <c r="X46" i="43" s="1"/>
  <c r="AA46" i="43" s="1"/>
  <c r="AA271" i="44"/>
  <c r="C271" i="43"/>
  <c r="Q271" i="43" s="1"/>
  <c r="X271" i="43" s="1"/>
  <c r="AA271" i="43" s="1"/>
  <c r="AA232" i="44"/>
  <c r="C232" i="43"/>
  <c r="Q232" i="43" s="1"/>
  <c r="X232" i="43" s="1"/>
  <c r="AA232" i="43" s="1"/>
  <c r="AA77" i="44"/>
  <c r="C77" i="43"/>
  <c r="Q77" i="43" s="1"/>
  <c r="X77" i="43" s="1"/>
  <c r="AA77" i="43" s="1"/>
  <c r="AA308" i="44"/>
  <c r="C308" i="43"/>
  <c r="Q308" i="43" s="1"/>
  <c r="X308" i="43" s="1"/>
  <c r="AA308" i="43" s="1"/>
  <c r="S22" i="44"/>
  <c r="V22" i="44" s="1"/>
  <c r="L22" i="44"/>
  <c r="O22" i="44" s="1"/>
  <c r="P22" i="44" s="1"/>
  <c r="S54" i="44"/>
  <c r="V54" i="44" s="1"/>
  <c r="L54" i="44"/>
  <c r="O54" i="44" s="1"/>
  <c r="P54" i="44" s="1"/>
  <c r="L224" i="44"/>
  <c r="O224" i="44" s="1"/>
  <c r="P224" i="44" s="1"/>
  <c r="S224" i="44"/>
  <c r="V224" i="44" s="1"/>
  <c r="S170" i="44"/>
  <c r="V170" i="44" s="1"/>
  <c r="L170" i="44"/>
  <c r="O170" i="44" s="1"/>
  <c r="P170" i="44" s="1"/>
  <c r="S313" i="44"/>
  <c r="V313" i="44" s="1"/>
  <c r="L313" i="44"/>
  <c r="O313" i="44" s="1"/>
  <c r="P313" i="44" s="1"/>
  <c r="L182" i="44"/>
  <c r="O182" i="44" s="1"/>
  <c r="P182" i="44" s="1"/>
  <c r="S182" i="44"/>
  <c r="V182" i="44" s="1"/>
  <c r="S253" i="44"/>
  <c r="V253" i="44" s="1"/>
  <c r="L253" i="44"/>
  <c r="O253" i="44" s="1"/>
  <c r="P253" i="44" s="1"/>
  <c r="S11" i="44"/>
  <c r="V11" i="44" s="1"/>
  <c r="L11" i="44"/>
  <c r="O11" i="44" s="1"/>
  <c r="P11" i="44" s="1"/>
  <c r="S164" i="44"/>
  <c r="V164" i="44" s="1"/>
  <c r="L164" i="44"/>
  <c r="O164" i="44" s="1"/>
  <c r="P164" i="44" s="1"/>
  <c r="L190" i="44"/>
  <c r="O190" i="44" s="1"/>
  <c r="P190" i="44" s="1"/>
  <c r="S190" i="44"/>
  <c r="V190" i="44" s="1"/>
  <c r="S74" i="44"/>
  <c r="V74" i="44" s="1"/>
  <c r="L74" i="44"/>
  <c r="O74" i="44" s="1"/>
  <c r="P74" i="44" s="1"/>
  <c r="S28" i="44"/>
  <c r="V28" i="44" s="1"/>
  <c r="L28" i="44"/>
  <c r="O28" i="44" s="1"/>
  <c r="P28" i="44" s="1"/>
  <c r="S34" i="44"/>
  <c r="V34" i="44" s="1"/>
  <c r="L34" i="44"/>
  <c r="O34" i="44" s="1"/>
  <c r="P34" i="44" s="1"/>
  <c r="S303" i="44"/>
  <c r="V303" i="44" s="1"/>
  <c r="L303" i="44"/>
  <c r="O303" i="44" s="1"/>
  <c r="P303" i="44" s="1"/>
  <c r="S165" i="44"/>
  <c r="V165" i="44" s="1"/>
  <c r="L165" i="44"/>
  <c r="O165" i="44" s="1"/>
  <c r="P165" i="44" s="1"/>
  <c r="S220" i="44"/>
  <c r="V220" i="44" s="1"/>
  <c r="L220" i="44"/>
  <c r="O220" i="44" s="1"/>
  <c r="P220" i="44" s="1"/>
  <c r="S12" i="44"/>
  <c r="V12" i="44" s="1"/>
  <c r="L12" i="44"/>
  <c r="O12" i="44" s="1"/>
  <c r="P12" i="44" s="1"/>
  <c r="L166" i="44"/>
  <c r="O166" i="44" s="1"/>
  <c r="P166" i="44" s="1"/>
  <c r="S166" i="44"/>
  <c r="V166" i="44" s="1"/>
  <c r="L282" i="44"/>
  <c r="O282" i="44" s="1"/>
  <c r="P282" i="44" s="1"/>
  <c r="S282" i="44"/>
  <c r="V282" i="44" s="1"/>
  <c r="S194" i="44"/>
  <c r="V194" i="44" s="1"/>
  <c r="L194" i="44"/>
  <c r="O194" i="44" s="1"/>
  <c r="P194" i="44" s="1"/>
  <c r="S43" i="44"/>
  <c r="V43" i="44" s="1"/>
  <c r="L43" i="44"/>
  <c r="O43" i="44" s="1"/>
  <c r="P43" i="44" s="1"/>
  <c r="S121" i="44"/>
  <c r="V121" i="44" s="1"/>
  <c r="L121" i="44"/>
  <c r="O121" i="44" s="1"/>
  <c r="P121" i="44" s="1"/>
  <c r="S265" i="44"/>
  <c r="V265" i="44" s="1"/>
  <c r="L265" i="44"/>
  <c r="O265" i="44" s="1"/>
  <c r="P265" i="44" s="1"/>
  <c r="S49" i="44"/>
  <c r="V49" i="44" s="1"/>
  <c r="L49" i="44"/>
  <c r="O49" i="44" s="1"/>
  <c r="P49" i="44" s="1"/>
  <c r="S44" i="44"/>
  <c r="V44" i="44" s="1"/>
  <c r="L44" i="44"/>
  <c r="O44" i="44" s="1"/>
  <c r="P44" i="44" s="1"/>
  <c r="S42" i="44"/>
  <c r="V42" i="44" s="1"/>
  <c r="L42" i="44"/>
  <c r="O42" i="44" s="1"/>
  <c r="P42" i="44" s="1"/>
  <c r="S199" i="44"/>
  <c r="V199" i="44" s="1"/>
  <c r="L199" i="44"/>
  <c r="O199" i="44" s="1"/>
  <c r="P199" i="44" s="1"/>
  <c r="S26" i="44"/>
  <c r="V26" i="44" s="1"/>
  <c r="L26" i="44"/>
  <c r="O26" i="44" s="1"/>
  <c r="P26" i="44" s="1"/>
  <c r="S260" i="44"/>
  <c r="V260" i="44" s="1"/>
  <c r="L260" i="44"/>
  <c r="O260" i="44" s="1"/>
  <c r="P260" i="44" s="1"/>
  <c r="L110" i="44"/>
  <c r="O110" i="44" s="1"/>
  <c r="P110" i="44" s="1"/>
  <c r="S110" i="44"/>
  <c r="V110" i="44" s="1"/>
  <c r="S36" i="44"/>
  <c r="V36" i="44" s="1"/>
  <c r="L36" i="44"/>
  <c r="O36" i="44" s="1"/>
  <c r="P36" i="44" s="1"/>
  <c r="S277" i="44"/>
  <c r="V277" i="44" s="1"/>
  <c r="L277" i="44"/>
  <c r="O277" i="44" s="1"/>
  <c r="P277" i="44" s="1"/>
  <c r="S127" i="44"/>
  <c r="V127" i="44" s="1"/>
  <c r="L127" i="44"/>
  <c r="O127" i="44" s="1"/>
  <c r="P127" i="44" s="1"/>
  <c r="S257" i="44"/>
  <c r="V257" i="44" s="1"/>
  <c r="L257" i="44"/>
  <c r="O257" i="44" s="1"/>
  <c r="P257" i="44" s="1"/>
  <c r="S184" i="44"/>
  <c r="V184" i="44" s="1"/>
  <c r="L184" i="44"/>
  <c r="O184" i="44" s="1"/>
  <c r="P184" i="44" s="1"/>
  <c r="S243" i="44"/>
  <c r="V243" i="44" s="1"/>
  <c r="L243" i="44"/>
  <c r="O243" i="44" s="1"/>
  <c r="P243" i="44" s="1"/>
  <c r="L144" i="44"/>
  <c r="O144" i="44" s="1"/>
  <c r="P144" i="44" s="1"/>
  <c r="S144" i="44"/>
  <c r="V144" i="44" s="1"/>
  <c r="L130" i="44"/>
  <c r="O130" i="44" s="1"/>
  <c r="P130" i="44" s="1"/>
  <c r="S130" i="44"/>
  <c r="V130" i="44" s="1"/>
  <c r="S50" i="44"/>
  <c r="V50" i="44" s="1"/>
  <c r="L50" i="44"/>
  <c r="O50" i="44" s="1"/>
  <c r="P50" i="44" s="1"/>
  <c r="S259" i="44"/>
  <c r="V259" i="44" s="1"/>
  <c r="L259" i="44"/>
  <c r="O259" i="44" s="1"/>
  <c r="P259" i="44" s="1"/>
  <c r="S13" i="44"/>
  <c r="V13" i="44" s="1"/>
  <c r="L13" i="44"/>
  <c r="O13" i="44" s="1"/>
  <c r="P13" i="44" s="1"/>
  <c r="C13" i="43" s="1"/>
  <c r="Q13" i="43" s="1"/>
  <c r="X13" i="43" s="1"/>
  <c r="AA13" i="43" s="1"/>
  <c r="S37" i="44"/>
  <c r="V37" i="44" s="1"/>
  <c r="L37" i="44"/>
  <c r="O37" i="44" s="1"/>
  <c r="P37" i="44" s="1"/>
  <c r="L246" i="44"/>
  <c r="O246" i="44" s="1"/>
  <c r="P246" i="44" s="1"/>
  <c r="S246" i="44"/>
  <c r="V246" i="44" s="1"/>
  <c r="S267" i="44"/>
  <c r="V267" i="44" s="1"/>
  <c r="L267" i="44"/>
  <c r="O267" i="44" s="1"/>
  <c r="P267" i="44" s="1"/>
  <c r="S291" i="44"/>
  <c r="V291" i="44" s="1"/>
  <c r="L291" i="44"/>
  <c r="O291" i="44" s="1"/>
  <c r="P291" i="44" s="1"/>
  <c r="S292" i="44"/>
  <c r="V292" i="44" s="1"/>
  <c r="L292" i="44"/>
  <c r="O292" i="44" s="1"/>
  <c r="P292" i="44" s="1"/>
  <c r="S239" i="44"/>
  <c r="V239" i="44" s="1"/>
  <c r="L239" i="44"/>
  <c r="O239" i="44" s="1"/>
  <c r="P239" i="44" s="1"/>
  <c r="S128" i="44"/>
  <c r="V128" i="44" s="1"/>
  <c r="L128" i="44"/>
  <c r="O128" i="44" s="1"/>
  <c r="P128" i="44" s="1"/>
  <c r="S159" i="44"/>
  <c r="V159" i="44" s="1"/>
  <c r="L159" i="44"/>
  <c r="O159" i="44" s="1"/>
  <c r="P159" i="44" s="1"/>
  <c r="S66" i="44"/>
  <c r="V66" i="44" s="1"/>
  <c r="L66" i="44"/>
  <c r="O66" i="44" s="1"/>
  <c r="P66" i="44" s="1"/>
  <c r="S24" i="44"/>
  <c r="V24" i="44" s="1"/>
  <c r="L24" i="44"/>
  <c r="O24" i="44" s="1"/>
  <c r="P24" i="44" s="1"/>
  <c r="S227" i="44"/>
  <c r="V227" i="44" s="1"/>
  <c r="L227" i="44"/>
  <c r="O227" i="44" s="1"/>
  <c r="P227" i="44" s="1"/>
  <c r="S122" i="44"/>
  <c r="V122" i="44" s="1"/>
  <c r="L122" i="44"/>
  <c r="O122" i="44" s="1"/>
  <c r="P122" i="44" s="1"/>
  <c r="S178" i="44"/>
  <c r="V178" i="44" s="1"/>
  <c r="L178" i="44"/>
  <c r="O178" i="44" s="1"/>
  <c r="P178" i="44" s="1"/>
  <c r="S136" i="44"/>
  <c r="V136" i="44" s="1"/>
  <c r="L136" i="44"/>
  <c r="O136" i="44" s="1"/>
  <c r="P136" i="44" s="1"/>
  <c r="S63" i="44"/>
  <c r="V63" i="44" s="1"/>
  <c r="L63" i="44"/>
  <c r="O63" i="44" s="1"/>
  <c r="P63" i="44" s="1"/>
  <c r="S293" i="44"/>
  <c r="V293" i="44" s="1"/>
  <c r="L293" i="44"/>
  <c r="O293" i="44" s="1"/>
  <c r="P293" i="44" s="1"/>
  <c r="S156" i="44"/>
  <c r="V156" i="44" s="1"/>
  <c r="L156" i="44"/>
  <c r="O156" i="44" s="1"/>
  <c r="P156" i="44" s="1"/>
  <c r="S113" i="44"/>
  <c r="V113" i="44" s="1"/>
  <c r="L113" i="44"/>
  <c r="O113" i="44" s="1"/>
  <c r="P113" i="44" s="1"/>
  <c r="L262" i="44"/>
  <c r="O262" i="44" s="1"/>
  <c r="P262" i="44" s="1"/>
  <c r="S262" i="44"/>
  <c r="V262" i="44" s="1"/>
  <c r="S6" i="44"/>
  <c r="V6" i="44" s="1"/>
  <c r="L6" i="44"/>
  <c r="O6" i="44" s="1"/>
  <c r="P6" i="44" s="1"/>
  <c r="S32" i="44"/>
  <c r="V32" i="44" s="1"/>
  <c r="L32" i="44"/>
  <c r="O32" i="44" s="1"/>
  <c r="P32" i="44" s="1"/>
  <c r="S9" i="44"/>
  <c r="V9" i="44" s="1"/>
  <c r="L9" i="44"/>
  <c r="O9" i="44" s="1"/>
  <c r="P9" i="44" s="1"/>
  <c r="L198" i="44"/>
  <c r="O198" i="44" s="1"/>
  <c r="P198" i="44" s="1"/>
  <c r="S198" i="44"/>
  <c r="V198" i="44" s="1"/>
  <c r="S175" i="44"/>
  <c r="V175" i="44" s="1"/>
  <c r="L175" i="44"/>
  <c r="O175" i="44" s="1"/>
  <c r="P175" i="44" s="1"/>
  <c r="S139" i="44"/>
  <c r="V139" i="44" s="1"/>
  <c r="L139" i="44"/>
  <c r="O139" i="44" s="1"/>
  <c r="P139" i="44" s="1"/>
  <c r="S108" i="44"/>
  <c r="V108" i="44" s="1"/>
  <c r="L108" i="44"/>
  <c r="O108" i="44" s="1"/>
  <c r="P108" i="44" s="1"/>
  <c r="S84" i="44"/>
  <c r="V84" i="44" s="1"/>
  <c r="L84" i="44"/>
  <c r="O84" i="44" s="1"/>
  <c r="P84" i="44" s="1"/>
  <c r="S311" i="44"/>
  <c r="V311" i="44" s="1"/>
  <c r="L311" i="44"/>
  <c r="O311" i="44" s="1"/>
  <c r="P311" i="44" s="1"/>
  <c r="S203" i="44"/>
  <c r="V203" i="44" s="1"/>
  <c r="L203" i="44"/>
  <c r="O203" i="44" s="1"/>
  <c r="P203" i="44" s="1"/>
  <c r="S295" i="44"/>
  <c r="V295" i="44" s="1"/>
  <c r="L295" i="44"/>
  <c r="O295" i="44" s="1"/>
  <c r="P295" i="44" s="1"/>
  <c r="S162" i="44"/>
  <c r="V162" i="44" s="1"/>
  <c r="L162" i="44"/>
  <c r="O162" i="44" s="1"/>
  <c r="P162" i="44" s="1"/>
  <c r="S58" i="44"/>
  <c r="V58" i="44" s="1"/>
  <c r="L58" i="44"/>
  <c r="O58" i="44" s="1"/>
  <c r="P58" i="44" s="1"/>
  <c r="S109" i="44"/>
  <c r="V109" i="44" s="1"/>
  <c r="L109" i="44"/>
  <c r="O109" i="44" s="1"/>
  <c r="P109" i="44" s="1"/>
  <c r="S111" i="44"/>
  <c r="V111" i="44" s="1"/>
  <c r="L111" i="44"/>
  <c r="O111" i="44" s="1"/>
  <c r="P111" i="44" s="1"/>
  <c r="S62" i="44"/>
  <c r="V62" i="44" s="1"/>
  <c r="L62" i="44"/>
  <c r="O62" i="44" s="1"/>
  <c r="P62" i="44" s="1"/>
  <c r="S193" i="44"/>
  <c r="V193" i="44" s="1"/>
  <c r="L193" i="44"/>
  <c r="O193" i="44" s="1"/>
  <c r="P193" i="44" s="1"/>
  <c r="S64" i="44"/>
  <c r="V64" i="44" s="1"/>
  <c r="L64" i="44"/>
  <c r="O64" i="44" s="1"/>
  <c r="P64" i="44" s="1"/>
  <c r="S219" i="44"/>
  <c r="V219" i="44" s="1"/>
  <c r="L219" i="44"/>
  <c r="O219" i="44" s="1"/>
  <c r="P219" i="44" s="1"/>
  <c r="L230" i="44"/>
  <c r="O230" i="44" s="1"/>
  <c r="P230" i="44" s="1"/>
  <c r="S230" i="44"/>
  <c r="V230" i="44" s="1"/>
  <c r="L192" i="44"/>
  <c r="O192" i="44" s="1"/>
  <c r="P192" i="44" s="1"/>
  <c r="S192" i="44"/>
  <c r="V192" i="44" s="1"/>
  <c r="S263" i="44"/>
  <c r="V263" i="44" s="1"/>
  <c r="L263" i="44"/>
  <c r="O263" i="44" s="1"/>
  <c r="P263" i="44" s="1"/>
  <c r="S143" i="44"/>
  <c r="V143" i="44" s="1"/>
  <c r="L143" i="44"/>
  <c r="O143" i="44" s="1"/>
  <c r="P143" i="44" s="1"/>
  <c r="S21" i="44"/>
  <c r="V21" i="44" s="1"/>
  <c r="L21" i="44"/>
  <c r="O21" i="44" s="1"/>
  <c r="P21" i="44" s="1"/>
  <c r="L104" i="44"/>
  <c r="O104" i="44" s="1"/>
  <c r="P104" i="44" s="1"/>
  <c r="S104" i="44"/>
  <c r="V104" i="44" s="1"/>
  <c r="S195" i="44"/>
  <c r="V195" i="44" s="1"/>
  <c r="L195" i="44"/>
  <c r="O195" i="44" s="1"/>
  <c r="P195" i="44" s="1"/>
  <c r="L186" i="44"/>
  <c r="O186" i="44" s="1"/>
  <c r="P186" i="44" s="1"/>
  <c r="S186" i="44"/>
  <c r="V186" i="44" s="1"/>
  <c r="S123" i="44"/>
  <c r="V123" i="44" s="1"/>
  <c r="L123" i="44"/>
  <c r="O123" i="44" s="1"/>
  <c r="P123" i="44" s="1"/>
  <c r="S280" i="44"/>
  <c r="V280" i="44" s="1"/>
  <c r="L280" i="44"/>
  <c r="O280" i="44" s="1"/>
  <c r="P280" i="44" s="1"/>
  <c r="S181" i="44"/>
  <c r="V181" i="44" s="1"/>
  <c r="L181" i="44"/>
  <c r="O181" i="44" s="1"/>
  <c r="P181" i="44" s="1"/>
  <c r="S261" i="44"/>
  <c r="V261" i="44" s="1"/>
  <c r="L261" i="44"/>
  <c r="O261" i="44" s="1"/>
  <c r="P261" i="44" s="1"/>
  <c r="L168" i="44"/>
  <c r="O168" i="44" s="1"/>
  <c r="P168" i="44" s="1"/>
  <c r="S168" i="44"/>
  <c r="V168" i="44" s="1"/>
  <c r="S51" i="44"/>
  <c r="V51" i="44" s="1"/>
  <c r="L51" i="44"/>
  <c r="O51" i="44" s="1"/>
  <c r="P51" i="44" s="1"/>
  <c r="S187" i="44"/>
  <c r="V187" i="44" s="1"/>
  <c r="L187" i="44"/>
  <c r="O187" i="44" s="1"/>
  <c r="P187" i="44" s="1"/>
  <c r="S251" i="44"/>
  <c r="V251" i="44" s="1"/>
  <c r="L251" i="44"/>
  <c r="O251" i="44" s="1"/>
  <c r="P251" i="44" s="1"/>
  <c r="S155" i="44"/>
  <c r="V155" i="44" s="1"/>
  <c r="L155" i="44"/>
  <c r="O155" i="44" s="1"/>
  <c r="P155" i="44" s="1"/>
  <c r="L298" i="44"/>
  <c r="O298" i="44" s="1"/>
  <c r="P298" i="44" s="1"/>
  <c r="S298" i="44"/>
  <c r="V298" i="44" s="1"/>
  <c r="S47" i="44"/>
  <c r="V47" i="44" s="1"/>
  <c r="L47" i="44"/>
  <c r="O47" i="44" s="1"/>
  <c r="P47" i="44" s="1"/>
  <c r="S229" i="44"/>
  <c r="V229" i="44" s="1"/>
  <c r="L229" i="44"/>
  <c r="O229" i="44" s="1"/>
  <c r="P229" i="44" s="1"/>
  <c r="S236" i="44"/>
  <c r="V236" i="44" s="1"/>
  <c r="L236" i="44"/>
  <c r="O236" i="44" s="1"/>
  <c r="P236" i="44" s="1"/>
  <c r="L158" i="44"/>
  <c r="O158" i="44" s="1"/>
  <c r="P158" i="44" s="1"/>
  <c r="S158" i="44"/>
  <c r="V158" i="44" s="1"/>
  <c r="S215" i="44"/>
  <c r="V215" i="44" s="1"/>
  <c r="L215" i="44"/>
  <c r="O215" i="44" s="1"/>
  <c r="P215" i="44" s="1"/>
  <c r="S78" i="44"/>
  <c r="V78" i="44" s="1"/>
  <c r="L78" i="44"/>
  <c r="O78" i="44" s="1"/>
  <c r="P78" i="44" s="1"/>
  <c r="S33" i="44"/>
  <c r="V33" i="44" s="1"/>
  <c r="L33" i="44"/>
  <c r="O33" i="44" s="1"/>
  <c r="P33" i="44" s="1"/>
  <c r="S204" i="44"/>
  <c r="V204" i="44" s="1"/>
  <c r="L204" i="44"/>
  <c r="O204" i="44" s="1"/>
  <c r="P204" i="44" s="1"/>
  <c r="S10" i="44"/>
  <c r="V10" i="44" s="1"/>
  <c r="L10" i="44"/>
  <c r="O10" i="44" s="1"/>
  <c r="P10" i="44" s="1"/>
  <c r="S8" i="44"/>
  <c r="V8" i="44" s="1"/>
  <c r="L8" i="44"/>
  <c r="O8" i="44" s="1"/>
  <c r="P8" i="44" s="1"/>
  <c r="L208" i="44"/>
  <c r="O208" i="44" s="1"/>
  <c r="P208" i="44" s="1"/>
  <c r="S208" i="44"/>
  <c r="V208" i="44" s="1"/>
  <c r="S140" i="44"/>
  <c r="V140" i="44" s="1"/>
  <c r="L140" i="44"/>
  <c r="O140" i="44" s="1"/>
  <c r="P140" i="44" s="1"/>
  <c r="S138" i="44"/>
  <c r="V138" i="44" s="1"/>
  <c r="L138" i="44"/>
  <c r="O138" i="44" s="1"/>
  <c r="P138" i="44" s="1"/>
  <c r="S137" i="44"/>
  <c r="V137" i="44" s="1"/>
  <c r="L137" i="44"/>
  <c r="O137" i="44" s="1"/>
  <c r="P137" i="44" s="1"/>
  <c r="S17" i="44"/>
  <c r="V17" i="44" s="1"/>
  <c r="L17" i="44"/>
  <c r="O17" i="44" s="1"/>
  <c r="P17" i="44" s="1"/>
  <c r="S98" i="44"/>
  <c r="V98" i="44" s="1"/>
  <c r="L98" i="44"/>
  <c r="O98" i="44" s="1"/>
  <c r="P98" i="44" s="1"/>
  <c r="S99" i="44"/>
  <c r="V99" i="44" s="1"/>
  <c r="L99" i="44"/>
  <c r="O99" i="44" s="1"/>
  <c r="P99" i="44" s="1"/>
  <c r="S100" i="44"/>
  <c r="V100" i="44" s="1"/>
  <c r="L100" i="44"/>
  <c r="O100" i="44" s="1"/>
  <c r="P100" i="44" s="1"/>
  <c r="S45" i="44"/>
  <c r="V45" i="44" s="1"/>
  <c r="L45" i="44"/>
  <c r="O45" i="44" s="1"/>
  <c r="P45" i="44" s="1"/>
  <c r="S297" i="44"/>
  <c r="V297" i="44" s="1"/>
  <c r="L297" i="44"/>
  <c r="O297" i="44" s="1"/>
  <c r="P297" i="44" s="1"/>
  <c r="L214" i="44"/>
  <c r="O214" i="44" s="1"/>
  <c r="P214" i="44" s="1"/>
  <c r="S214" i="44"/>
  <c r="V214" i="44" s="1"/>
  <c r="S41" i="44"/>
  <c r="V41" i="44" s="1"/>
  <c r="L41" i="44"/>
  <c r="O41" i="44" s="1"/>
  <c r="P41" i="44" s="1"/>
  <c r="S275" i="44"/>
  <c r="V275" i="44" s="1"/>
  <c r="L275" i="44"/>
  <c r="O275" i="44" s="1"/>
  <c r="P275" i="44" s="1"/>
  <c r="S213" i="44"/>
  <c r="V213" i="44" s="1"/>
  <c r="L213" i="44"/>
  <c r="O213" i="44" s="1"/>
  <c r="P213" i="44" s="1"/>
  <c r="L278" i="44"/>
  <c r="O278" i="44" s="1"/>
  <c r="P278" i="44" s="1"/>
  <c r="S278" i="44"/>
  <c r="V278" i="44" s="1"/>
  <c r="S65" i="44"/>
  <c r="V65" i="44" s="1"/>
  <c r="L65" i="44"/>
  <c r="O65" i="44" s="1"/>
  <c r="P65" i="44" s="1"/>
  <c r="S141" i="44"/>
  <c r="V141" i="44" s="1"/>
  <c r="L141" i="44"/>
  <c r="O141" i="44" s="1"/>
  <c r="P141" i="44" s="1"/>
  <c r="S15" i="44"/>
  <c r="V15" i="44" s="1"/>
  <c r="L15" i="44"/>
  <c r="O15" i="44" s="1"/>
  <c r="P15" i="44" s="1"/>
  <c r="S5" i="44"/>
  <c r="V5" i="44" s="1"/>
  <c r="L5" i="44"/>
  <c r="O5" i="44" s="1"/>
  <c r="P5" i="44" s="1"/>
  <c r="S18" i="44"/>
  <c r="V18" i="44" s="1"/>
  <c r="L18" i="44"/>
  <c r="O18" i="44" s="1"/>
  <c r="P18" i="44" s="1"/>
  <c r="S188" i="44"/>
  <c r="V188" i="44" s="1"/>
  <c r="L188" i="44"/>
  <c r="O188" i="44" s="1"/>
  <c r="P188" i="44" s="1"/>
  <c r="L206" i="44"/>
  <c r="O206" i="44" s="1"/>
  <c r="P206" i="44" s="1"/>
  <c r="S206" i="44"/>
  <c r="V206" i="44" s="1"/>
  <c r="S90" i="44"/>
  <c r="V90" i="44" s="1"/>
  <c r="L90" i="44"/>
  <c r="O90" i="44" s="1"/>
  <c r="P90" i="44" s="1"/>
  <c r="S268" i="44"/>
  <c r="V268" i="44" s="1"/>
  <c r="L268" i="44"/>
  <c r="O268" i="44" s="1"/>
  <c r="P268" i="44" s="1"/>
  <c r="S57" i="44"/>
  <c r="V57" i="44" s="1"/>
  <c r="L57" i="44"/>
  <c r="O57" i="44" s="1"/>
  <c r="P57" i="44" s="1"/>
  <c r="S301" i="44"/>
  <c r="V301" i="44" s="1"/>
  <c r="L301" i="44"/>
  <c r="O301" i="44" s="1"/>
  <c r="P301" i="44" s="1"/>
  <c r="S146" i="44"/>
  <c r="V146" i="44" s="1"/>
  <c r="L146" i="44"/>
  <c r="O146" i="44" s="1"/>
  <c r="P146" i="44" s="1"/>
  <c r="S106" i="44"/>
  <c r="V106" i="44" s="1"/>
  <c r="L106" i="44"/>
  <c r="O106" i="44" s="1"/>
  <c r="P106" i="44" s="1"/>
  <c r="S105" i="44"/>
  <c r="V105" i="44" s="1"/>
  <c r="L105" i="44"/>
  <c r="O105" i="44" s="1"/>
  <c r="P105" i="44" s="1"/>
  <c r="S258" i="44"/>
  <c r="V258" i="44" s="1"/>
  <c r="L258" i="44"/>
  <c r="O258" i="44" s="1"/>
  <c r="P258" i="44" s="1"/>
  <c r="S107" i="44"/>
  <c r="V107" i="44" s="1"/>
  <c r="L107" i="44"/>
  <c r="O107" i="44" s="1"/>
  <c r="P107" i="44" s="1"/>
  <c r="S287" i="44"/>
  <c r="V287" i="44" s="1"/>
  <c r="L287" i="44"/>
  <c r="O287" i="44" s="1"/>
  <c r="P287" i="44" s="1"/>
  <c r="S173" i="44"/>
  <c r="V173" i="44" s="1"/>
  <c r="L173" i="44"/>
  <c r="O173" i="44" s="1"/>
  <c r="P173" i="44" s="1"/>
  <c r="S31" i="44"/>
  <c r="V31" i="44" s="1"/>
  <c r="L31" i="44"/>
  <c r="O31" i="44" s="1"/>
  <c r="P31" i="44" s="1"/>
  <c r="S39" i="44"/>
  <c r="V39" i="44" s="1"/>
  <c r="L39" i="44"/>
  <c r="O39" i="44" s="1"/>
  <c r="P39" i="44" s="1"/>
  <c r="S129" i="44"/>
  <c r="V129" i="44" s="1"/>
  <c r="L129" i="44"/>
  <c r="O129" i="44" s="1"/>
  <c r="P129" i="44" s="1"/>
  <c r="S283" i="44"/>
  <c r="V283" i="44" s="1"/>
  <c r="L283" i="44"/>
  <c r="O283" i="44" s="1"/>
  <c r="P283" i="44" s="1"/>
  <c r="S231" i="44"/>
  <c r="V231" i="44" s="1"/>
  <c r="L231" i="44"/>
  <c r="O231" i="44" s="1"/>
  <c r="P231" i="44" s="1"/>
  <c r="S35" i="44"/>
  <c r="V35" i="44" s="1"/>
  <c r="L35" i="44"/>
  <c r="O35" i="44" s="1"/>
  <c r="P35" i="44" s="1"/>
  <c r="S124" i="44"/>
  <c r="V124" i="44" s="1"/>
  <c r="L124" i="44"/>
  <c r="O124" i="44" s="1"/>
  <c r="P124" i="44" s="1"/>
  <c r="S38" i="44"/>
  <c r="V38" i="44" s="1"/>
  <c r="L38" i="44"/>
  <c r="O38" i="44" s="1"/>
  <c r="P38" i="44" s="1"/>
  <c r="S285" i="44"/>
  <c r="V285" i="44" s="1"/>
  <c r="L285" i="44"/>
  <c r="O285" i="44" s="1"/>
  <c r="P285" i="44" s="1"/>
  <c r="S91" i="44"/>
  <c r="V91" i="44" s="1"/>
  <c r="L91" i="44"/>
  <c r="O91" i="44" s="1"/>
  <c r="P91" i="44" s="1"/>
  <c r="S235" i="44"/>
  <c r="V235" i="44" s="1"/>
  <c r="L235" i="44"/>
  <c r="O235" i="44" s="1"/>
  <c r="P235" i="44" s="1"/>
  <c r="S67" i="44"/>
  <c r="V67" i="44" s="1"/>
  <c r="L67" i="44"/>
  <c r="O67" i="44" s="1"/>
  <c r="P67" i="44" s="1"/>
  <c r="S183" i="44"/>
  <c r="V183" i="44" s="1"/>
  <c r="L183" i="44"/>
  <c r="O183" i="44" s="1"/>
  <c r="P183" i="44" s="1"/>
  <c r="S210" i="44"/>
  <c r="V210" i="44" s="1"/>
  <c r="L210" i="44"/>
  <c r="O210" i="44" s="1"/>
  <c r="P210" i="44" s="1"/>
  <c r="L118" i="44"/>
  <c r="O118" i="44" s="1"/>
  <c r="P118" i="44" s="1"/>
  <c r="S118" i="44"/>
  <c r="V118" i="44" s="1"/>
  <c r="S89" i="44"/>
  <c r="V89" i="44" s="1"/>
  <c r="L89" i="44"/>
  <c r="O89" i="44" s="1"/>
  <c r="P89" i="44" s="1"/>
  <c r="L240" i="44"/>
  <c r="O240" i="44" s="1"/>
  <c r="P240" i="44" s="1"/>
  <c r="S240" i="44"/>
  <c r="V240" i="44" s="1"/>
  <c r="S211" i="44"/>
  <c r="V211" i="44" s="1"/>
  <c r="L211" i="44"/>
  <c r="O211" i="44" s="1"/>
  <c r="P211" i="44" s="1"/>
  <c r="S249" i="44"/>
  <c r="V249" i="44" s="1"/>
  <c r="L249" i="44"/>
  <c r="O249" i="44" s="1"/>
  <c r="P249" i="44" s="1"/>
  <c r="S307" i="44"/>
  <c r="V307" i="44" s="1"/>
  <c r="L307" i="44"/>
  <c r="O307" i="44" s="1"/>
  <c r="P307" i="44" s="1"/>
  <c r="S180" i="44"/>
  <c r="V180" i="44" s="1"/>
  <c r="L180" i="44"/>
  <c r="O180" i="44" s="1"/>
  <c r="P180" i="44" s="1"/>
  <c r="S131" i="44"/>
  <c r="V131" i="44" s="1"/>
  <c r="L131" i="44"/>
  <c r="O131" i="44" s="1"/>
  <c r="P131" i="44" s="1"/>
  <c r="S116" i="44"/>
  <c r="V116" i="44" s="1"/>
  <c r="L116" i="44"/>
  <c r="O116" i="44" s="1"/>
  <c r="P116" i="44" s="1"/>
  <c r="S56" i="44"/>
  <c r="V56" i="44" s="1"/>
  <c r="L56" i="44"/>
  <c r="O56" i="44" s="1"/>
  <c r="P56" i="44" s="1"/>
  <c r="L142" i="44"/>
  <c r="O142" i="44" s="1"/>
  <c r="P142" i="44" s="1"/>
  <c r="S142" i="44"/>
  <c r="V142" i="44" s="1"/>
  <c r="S82" i="44"/>
  <c r="V82" i="44" s="1"/>
  <c r="L82" i="44"/>
  <c r="O82" i="44" s="1"/>
  <c r="P82" i="44" s="1"/>
  <c r="S93" i="44"/>
  <c r="V93" i="44" s="1"/>
  <c r="L93" i="44"/>
  <c r="O93" i="44" s="1"/>
  <c r="P93" i="44" s="1"/>
  <c r="S101" i="44"/>
  <c r="V101" i="44" s="1"/>
  <c r="L101" i="44"/>
  <c r="O101" i="44" s="1"/>
  <c r="P101" i="44" s="1"/>
  <c r="S87" i="44"/>
  <c r="V87" i="44" s="1"/>
  <c r="L87" i="44"/>
  <c r="O87" i="44" s="1"/>
  <c r="P87" i="44" s="1"/>
  <c r="I55" i="44"/>
  <c r="I135" i="44"/>
  <c r="I53" i="44"/>
  <c r="I133" i="44"/>
  <c r="I177" i="44"/>
  <c r="I95" i="44"/>
  <c r="I269" i="44"/>
  <c r="I294" i="44"/>
  <c r="I179" i="44"/>
  <c r="I19" i="44"/>
  <c r="I189" i="44"/>
  <c r="I27" i="44"/>
  <c r="I312" i="44"/>
  <c r="I191" i="44"/>
  <c r="I96" i="44"/>
  <c r="I52" i="44"/>
  <c r="I256" i="44"/>
  <c r="I145" i="44"/>
  <c r="I81" i="44"/>
  <c r="I48" i="44"/>
  <c r="I169" i="44"/>
  <c r="I83" i="44"/>
  <c r="I25" i="44"/>
  <c r="I217" i="44"/>
  <c r="I14" i="44"/>
  <c r="I102" i="44"/>
  <c r="I300" i="44"/>
  <c r="I60" i="44"/>
  <c r="I147" i="44"/>
  <c r="I309" i="44"/>
  <c r="F74" i="33"/>
  <c r="F75" i="33"/>
  <c r="H74" i="33"/>
  <c r="F78" i="33"/>
  <c r="F77" i="33"/>
  <c r="O64" i="37"/>
  <c r="N65" i="37"/>
  <c r="G74" i="33"/>
  <c r="G76" i="33"/>
  <c r="H76" i="33"/>
  <c r="E62" i="15"/>
  <c r="E63" i="15" s="1"/>
  <c r="AA82" i="44" l="1"/>
  <c r="C82" i="43"/>
  <c r="Q82" i="43" s="1"/>
  <c r="X82" i="43" s="1"/>
  <c r="AA82" i="43" s="1"/>
  <c r="AA131" i="44"/>
  <c r="C131" i="43"/>
  <c r="Q131" i="43" s="1"/>
  <c r="X131" i="43" s="1"/>
  <c r="AA131" i="43" s="1"/>
  <c r="AA211" i="44"/>
  <c r="C211" i="43"/>
  <c r="Q211" i="43" s="1"/>
  <c r="X211" i="43" s="1"/>
  <c r="AA211" i="43" s="1"/>
  <c r="AA210" i="44"/>
  <c r="C210" i="43"/>
  <c r="Q210" i="43" s="1"/>
  <c r="X210" i="43" s="1"/>
  <c r="AA210" i="43" s="1"/>
  <c r="AA91" i="44"/>
  <c r="C91" i="43"/>
  <c r="Q91" i="43" s="1"/>
  <c r="X91" i="43" s="1"/>
  <c r="AA91" i="43" s="1"/>
  <c r="AA35" i="44"/>
  <c r="C35" i="43"/>
  <c r="Q35" i="43" s="1"/>
  <c r="X35" i="43" s="1"/>
  <c r="AA35" i="43" s="1"/>
  <c r="AA173" i="44"/>
  <c r="C173" i="43"/>
  <c r="Q173" i="43" s="1"/>
  <c r="X173" i="43" s="1"/>
  <c r="AA173" i="43" s="1"/>
  <c r="AA105" i="44"/>
  <c r="C105" i="43"/>
  <c r="Q105" i="43" s="1"/>
  <c r="X105" i="43" s="1"/>
  <c r="AA105" i="43" s="1"/>
  <c r="AA57" i="44"/>
  <c r="C57" i="43"/>
  <c r="Q57" i="43" s="1"/>
  <c r="AA5" i="44"/>
  <c r="C5" i="43"/>
  <c r="Q5" i="43" s="1"/>
  <c r="X5" i="43" s="1"/>
  <c r="AA5" i="43" s="1"/>
  <c r="AA275" i="44"/>
  <c r="C275" i="43"/>
  <c r="Q275" i="43" s="1"/>
  <c r="X275" i="43" s="1"/>
  <c r="AA275" i="43" s="1"/>
  <c r="AA17" i="44"/>
  <c r="C17" i="43"/>
  <c r="Q17" i="43" s="1"/>
  <c r="X17" i="43" s="1"/>
  <c r="AA17" i="43" s="1"/>
  <c r="AA10" i="44"/>
  <c r="C10" i="43"/>
  <c r="Q10" i="43" s="1"/>
  <c r="X10" i="43" s="1"/>
  <c r="AA10" i="43" s="1"/>
  <c r="AA236" i="44"/>
  <c r="C236" i="43"/>
  <c r="Q236" i="43" s="1"/>
  <c r="X236" i="43" s="1"/>
  <c r="AA236" i="43" s="1"/>
  <c r="AA155" i="44"/>
  <c r="C155" i="43"/>
  <c r="Q155" i="43" s="1"/>
  <c r="X155" i="43" s="1"/>
  <c r="AA155" i="43" s="1"/>
  <c r="AA181" i="44"/>
  <c r="C181" i="43"/>
  <c r="Q181" i="43" s="1"/>
  <c r="X181" i="43" s="1"/>
  <c r="AA181" i="43" s="1"/>
  <c r="AA195" i="44"/>
  <c r="C195" i="43"/>
  <c r="Q195" i="43" s="1"/>
  <c r="X195" i="43" s="1"/>
  <c r="AA195" i="43" s="1"/>
  <c r="AA263" i="44"/>
  <c r="C263" i="43"/>
  <c r="Q263" i="43" s="1"/>
  <c r="X263" i="43" s="1"/>
  <c r="AA263" i="43" s="1"/>
  <c r="AA109" i="44"/>
  <c r="C109" i="43"/>
  <c r="Q109" i="43" s="1"/>
  <c r="X109" i="43" s="1"/>
  <c r="AA109" i="43" s="1"/>
  <c r="AA203" i="44"/>
  <c r="C203" i="43"/>
  <c r="Q203" i="43" s="1"/>
  <c r="X203" i="43" s="1"/>
  <c r="AA203" i="43" s="1"/>
  <c r="AA32" i="44"/>
  <c r="C32" i="43"/>
  <c r="Q32" i="43" s="1"/>
  <c r="X32" i="43" s="1"/>
  <c r="AA32" i="43" s="1"/>
  <c r="AA63" i="44"/>
  <c r="C63" i="43"/>
  <c r="Q63" i="43" s="1"/>
  <c r="X63" i="43" s="1"/>
  <c r="AA63" i="43" s="1"/>
  <c r="AA227" i="44"/>
  <c r="C227" i="43"/>
  <c r="Q227" i="43" s="1"/>
  <c r="X227" i="43" s="1"/>
  <c r="AA227" i="43" s="1"/>
  <c r="AA292" i="44"/>
  <c r="C292" i="43"/>
  <c r="Q292" i="43" s="1"/>
  <c r="X292" i="43" s="1"/>
  <c r="AA292" i="43" s="1"/>
  <c r="AA37" i="44"/>
  <c r="C37" i="43"/>
  <c r="Q37" i="43" s="1"/>
  <c r="X37" i="43" s="1"/>
  <c r="AA37" i="43" s="1"/>
  <c r="AA257" i="44"/>
  <c r="C257" i="43"/>
  <c r="Q257" i="43" s="1"/>
  <c r="X257" i="43" s="1"/>
  <c r="AA257" i="43" s="1"/>
  <c r="AA277" i="44"/>
  <c r="C277" i="43"/>
  <c r="Q277" i="43" s="1"/>
  <c r="X277" i="43" s="1"/>
  <c r="AA277" i="43" s="1"/>
  <c r="AA26" i="44"/>
  <c r="C26" i="43"/>
  <c r="Q26" i="43" s="1"/>
  <c r="X26" i="43" s="1"/>
  <c r="AA26" i="43" s="1"/>
  <c r="AA42" i="44"/>
  <c r="C42" i="43"/>
  <c r="Q42" i="43" s="1"/>
  <c r="X42" i="43" s="1"/>
  <c r="AA42" i="43" s="1"/>
  <c r="AA121" i="44"/>
  <c r="C121" i="43"/>
  <c r="Q121" i="43" s="1"/>
  <c r="X121" i="43" s="1"/>
  <c r="AA121" i="43" s="1"/>
  <c r="AA194" i="44"/>
  <c r="C194" i="43"/>
  <c r="Q194" i="43" s="1"/>
  <c r="X194" i="43" s="1"/>
  <c r="AA194" i="43" s="1"/>
  <c r="AA220" i="44"/>
  <c r="C220" i="43"/>
  <c r="Q220" i="43" s="1"/>
  <c r="X220" i="43" s="1"/>
  <c r="AA220" i="43" s="1"/>
  <c r="AA303" i="44"/>
  <c r="C303" i="43"/>
  <c r="Q303" i="43" s="1"/>
  <c r="X303" i="43" s="1"/>
  <c r="AA303" i="43" s="1"/>
  <c r="AA28" i="44"/>
  <c r="C28" i="43"/>
  <c r="Q28" i="43" s="1"/>
  <c r="AA11" i="44"/>
  <c r="C11" i="43"/>
  <c r="Q11" i="43" s="1"/>
  <c r="X11" i="43" s="1"/>
  <c r="AA11" i="43" s="1"/>
  <c r="AA170" i="44"/>
  <c r="C170" i="43"/>
  <c r="Q170" i="43" s="1"/>
  <c r="X170" i="43" s="1"/>
  <c r="AA170" i="43" s="1"/>
  <c r="AA54" i="44"/>
  <c r="C54" i="43"/>
  <c r="Q54" i="43" s="1"/>
  <c r="AA87" i="44"/>
  <c r="C87" i="43"/>
  <c r="Q87" i="43" s="1"/>
  <c r="X87" i="43" s="1"/>
  <c r="AA87" i="43" s="1"/>
  <c r="AA101" i="44"/>
  <c r="C101" i="43"/>
  <c r="Q101" i="43" s="1"/>
  <c r="X101" i="43" s="1"/>
  <c r="AA101" i="43" s="1"/>
  <c r="AA56" i="44"/>
  <c r="C56" i="43"/>
  <c r="Q56" i="43" s="1"/>
  <c r="AA307" i="44"/>
  <c r="C307" i="43"/>
  <c r="Q307" i="43" s="1"/>
  <c r="X307" i="43" s="1"/>
  <c r="AA307" i="43" s="1"/>
  <c r="AA89" i="44"/>
  <c r="C89" i="43"/>
  <c r="Q89" i="43" s="1"/>
  <c r="X89" i="43" s="1"/>
  <c r="AA89" i="43" s="1"/>
  <c r="AA67" i="44"/>
  <c r="C67" i="43"/>
  <c r="Q67" i="43" s="1"/>
  <c r="X67" i="43" s="1"/>
  <c r="AA67" i="43" s="1"/>
  <c r="AA38" i="44"/>
  <c r="C38" i="43"/>
  <c r="Q38" i="43" s="1"/>
  <c r="X38" i="43" s="1"/>
  <c r="AA38" i="43" s="1"/>
  <c r="AA283" i="44"/>
  <c r="C283" i="43"/>
  <c r="Q283" i="43" s="1"/>
  <c r="X283" i="43" s="1"/>
  <c r="AA283" i="43" s="1"/>
  <c r="AA39" i="44"/>
  <c r="C39" i="43"/>
  <c r="Q39" i="43" s="1"/>
  <c r="X39" i="43" s="1"/>
  <c r="AA39" i="43" s="1"/>
  <c r="AA107" i="44"/>
  <c r="C107" i="43"/>
  <c r="Q107" i="43" s="1"/>
  <c r="X107" i="43" s="1"/>
  <c r="AA107" i="43" s="1"/>
  <c r="AA146" i="44"/>
  <c r="C146" i="43"/>
  <c r="Q146" i="43" s="1"/>
  <c r="X146" i="43" s="1"/>
  <c r="AA146" i="43" s="1"/>
  <c r="AA90" i="44"/>
  <c r="C90" i="43"/>
  <c r="Q90" i="43" s="1"/>
  <c r="X90" i="43" s="1"/>
  <c r="AA90" i="43" s="1"/>
  <c r="AA188" i="44"/>
  <c r="C188" i="43"/>
  <c r="Q188" i="43" s="1"/>
  <c r="X188" i="43" s="1"/>
  <c r="AA188" i="43" s="1"/>
  <c r="AA141" i="44"/>
  <c r="C141" i="43"/>
  <c r="Q141" i="43" s="1"/>
  <c r="X141" i="43" s="1"/>
  <c r="AA141" i="43" s="1"/>
  <c r="AA45" i="44"/>
  <c r="C45" i="43"/>
  <c r="Q45" i="43" s="1"/>
  <c r="X45" i="43" s="1"/>
  <c r="AA45" i="43" s="1"/>
  <c r="AA99" i="44"/>
  <c r="C99" i="43"/>
  <c r="Q99" i="43" s="1"/>
  <c r="X99" i="43" s="1"/>
  <c r="AA99" i="43" s="1"/>
  <c r="AA138" i="44"/>
  <c r="C138" i="43"/>
  <c r="Q138" i="43" s="1"/>
  <c r="X138" i="43" s="1"/>
  <c r="AA138" i="43" s="1"/>
  <c r="AA33" i="44"/>
  <c r="C33" i="43"/>
  <c r="Q33" i="43" s="1"/>
  <c r="X33" i="43" s="1"/>
  <c r="AA33" i="43" s="1"/>
  <c r="AA215" i="44"/>
  <c r="C215" i="43"/>
  <c r="Q215" i="43" s="1"/>
  <c r="X215" i="43" s="1"/>
  <c r="AA215" i="43" s="1"/>
  <c r="AA47" i="44"/>
  <c r="C47" i="43"/>
  <c r="Q47" i="43" s="1"/>
  <c r="X47" i="43" s="1"/>
  <c r="AA47" i="43" s="1"/>
  <c r="AA187" i="44"/>
  <c r="C187" i="43"/>
  <c r="Q187" i="43" s="1"/>
  <c r="X187" i="43" s="1"/>
  <c r="AA187" i="43" s="1"/>
  <c r="AA123" i="44"/>
  <c r="C123" i="43"/>
  <c r="Q123" i="43" s="1"/>
  <c r="X123" i="43" s="1"/>
  <c r="AA123" i="43" s="1"/>
  <c r="AA21" i="44"/>
  <c r="C21" i="43"/>
  <c r="Q21" i="43" s="1"/>
  <c r="X21" i="43" s="1"/>
  <c r="AA21" i="43" s="1"/>
  <c r="AA64" i="44"/>
  <c r="C64" i="43"/>
  <c r="Q64" i="43" s="1"/>
  <c r="X64" i="43" s="1"/>
  <c r="AA64" i="43" s="1"/>
  <c r="AA62" i="44"/>
  <c r="C62" i="43"/>
  <c r="Q62" i="43" s="1"/>
  <c r="X62" i="43" s="1"/>
  <c r="AA62" i="43" s="1"/>
  <c r="AA162" i="44"/>
  <c r="C162" i="43"/>
  <c r="Q162" i="43" s="1"/>
  <c r="X162" i="43" s="1"/>
  <c r="AA162" i="43" s="1"/>
  <c r="AA84" i="44"/>
  <c r="C84" i="43"/>
  <c r="Q84" i="43" s="1"/>
  <c r="X84" i="43" s="1"/>
  <c r="AA84" i="43" s="1"/>
  <c r="AA139" i="44"/>
  <c r="C139" i="43"/>
  <c r="Q139" i="43" s="1"/>
  <c r="X139" i="43" s="1"/>
  <c r="AA139" i="43" s="1"/>
  <c r="AA156" i="44"/>
  <c r="C156" i="43"/>
  <c r="Q156" i="43" s="1"/>
  <c r="X156" i="43" s="1"/>
  <c r="AA156" i="43" s="1"/>
  <c r="AA178" i="44"/>
  <c r="C178" i="43"/>
  <c r="Q178" i="43" s="1"/>
  <c r="X178" i="43" s="1"/>
  <c r="AA178" i="43" s="1"/>
  <c r="AA66" i="44"/>
  <c r="C66" i="43"/>
  <c r="Q66" i="43" s="1"/>
  <c r="X66" i="43" s="1"/>
  <c r="AA66" i="43" s="1"/>
  <c r="AA128" i="44"/>
  <c r="C128" i="43"/>
  <c r="Q128" i="43" s="1"/>
  <c r="X128" i="43" s="1"/>
  <c r="AA128" i="43" s="1"/>
  <c r="AA267" i="44"/>
  <c r="C267" i="43"/>
  <c r="Q267" i="43" s="1"/>
  <c r="X267" i="43" s="1"/>
  <c r="AA267" i="43" s="1"/>
  <c r="AA259" i="44"/>
  <c r="C259" i="43"/>
  <c r="Q259" i="43" s="1"/>
  <c r="X259" i="43" s="1"/>
  <c r="AA259" i="43" s="1"/>
  <c r="AA243" i="44"/>
  <c r="C243" i="43"/>
  <c r="Q243" i="43" s="1"/>
  <c r="X243" i="43" s="1"/>
  <c r="AA243" i="43" s="1"/>
  <c r="AA49" i="44"/>
  <c r="C49" i="43"/>
  <c r="Q49" i="43" s="1"/>
  <c r="X49" i="43" s="1"/>
  <c r="AA49" i="43" s="1"/>
  <c r="AA278" i="44"/>
  <c r="C278" i="43"/>
  <c r="Q278" i="43" s="1"/>
  <c r="X278" i="43" s="1"/>
  <c r="AA278" i="43" s="1"/>
  <c r="AA214" i="44"/>
  <c r="C214" i="43"/>
  <c r="Q214" i="43" s="1"/>
  <c r="X214" i="43" s="1"/>
  <c r="AA214" i="43" s="1"/>
  <c r="AA208" i="44"/>
  <c r="C208" i="43"/>
  <c r="Q208" i="43" s="1"/>
  <c r="X208" i="43" s="1"/>
  <c r="AA208" i="43" s="1"/>
  <c r="AA168" i="44"/>
  <c r="C168" i="43"/>
  <c r="Q168" i="43" s="1"/>
  <c r="X168" i="43" s="1"/>
  <c r="AA168" i="43" s="1"/>
  <c r="AA230" i="44"/>
  <c r="C230" i="43"/>
  <c r="Q230" i="43" s="1"/>
  <c r="X230" i="43" s="1"/>
  <c r="AA230" i="43" s="1"/>
  <c r="AA198" i="44"/>
  <c r="C198" i="43"/>
  <c r="Q198" i="43" s="1"/>
  <c r="X198" i="43" s="1"/>
  <c r="AA198" i="43" s="1"/>
  <c r="AA262" i="44"/>
  <c r="C262" i="43"/>
  <c r="Q262" i="43" s="1"/>
  <c r="X262" i="43" s="1"/>
  <c r="AA262" i="43" s="1"/>
  <c r="AA130" i="44"/>
  <c r="C130" i="43"/>
  <c r="Q130" i="43" s="1"/>
  <c r="X130" i="43" s="1"/>
  <c r="AA130" i="43" s="1"/>
  <c r="AA110" i="44"/>
  <c r="C110" i="43"/>
  <c r="Q110" i="43" s="1"/>
  <c r="X110" i="43" s="1"/>
  <c r="AA110" i="43" s="1"/>
  <c r="AA166" i="44"/>
  <c r="C166" i="43"/>
  <c r="Q166" i="43" s="1"/>
  <c r="X166" i="43" s="1"/>
  <c r="AA166" i="43" s="1"/>
  <c r="AA190" i="44"/>
  <c r="C190" i="43"/>
  <c r="Q190" i="43" s="1"/>
  <c r="X190" i="43" s="1"/>
  <c r="AA190" i="43" s="1"/>
  <c r="AA182" i="44"/>
  <c r="C182" i="43"/>
  <c r="Q182" i="43" s="1"/>
  <c r="X182" i="43" s="1"/>
  <c r="AA182" i="43" s="1"/>
  <c r="AA116" i="44"/>
  <c r="C116" i="43"/>
  <c r="Q116" i="43" s="1"/>
  <c r="X116" i="43" s="1"/>
  <c r="AA116" i="43" s="1"/>
  <c r="AA249" i="44"/>
  <c r="C249" i="43"/>
  <c r="Q249" i="43" s="1"/>
  <c r="X249" i="43" s="1"/>
  <c r="AA249" i="43" s="1"/>
  <c r="AA235" i="44"/>
  <c r="C235" i="43"/>
  <c r="Q235" i="43" s="1"/>
  <c r="X235" i="43" s="1"/>
  <c r="AA235" i="43" s="1"/>
  <c r="AA231" i="44"/>
  <c r="C231" i="43"/>
  <c r="Q231" i="43" s="1"/>
  <c r="X231" i="43" s="1"/>
  <c r="AA231" i="43" s="1"/>
  <c r="AA31" i="44"/>
  <c r="C31" i="43"/>
  <c r="Q31" i="43" s="1"/>
  <c r="X31" i="43" s="1"/>
  <c r="AA31" i="43" s="1"/>
  <c r="AA258" i="44"/>
  <c r="C258" i="43"/>
  <c r="Q258" i="43" s="1"/>
  <c r="X258" i="43" s="1"/>
  <c r="AA258" i="43" s="1"/>
  <c r="AA301" i="44"/>
  <c r="C301" i="43"/>
  <c r="Q301" i="43" s="1"/>
  <c r="X301" i="43" s="1"/>
  <c r="AA301" i="43" s="1"/>
  <c r="AA18" i="44"/>
  <c r="C18" i="43"/>
  <c r="Q18" i="43" s="1"/>
  <c r="X18" i="43" s="1"/>
  <c r="AA18" i="43" s="1"/>
  <c r="AA65" i="44"/>
  <c r="C65" i="43"/>
  <c r="Q65" i="43" s="1"/>
  <c r="X65" i="43" s="1"/>
  <c r="AA65" i="43" s="1"/>
  <c r="AA297" i="44"/>
  <c r="C297" i="43"/>
  <c r="Q297" i="43" s="1"/>
  <c r="X297" i="43" s="1"/>
  <c r="AA297" i="43" s="1"/>
  <c r="AA98" i="44"/>
  <c r="C98" i="43"/>
  <c r="Q98" i="43" s="1"/>
  <c r="X98" i="43" s="1"/>
  <c r="AA98" i="43" s="1"/>
  <c r="AA140" i="44"/>
  <c r="C140" i="43"/>
  <c r="Q140" i="43" s="1"/>
  <c r="X140" i="43" s="1"/>
  <c r="AA140" i="43" s="1"/>
  <c r="AA204" i="44"/>
  <c r="C204" i="43"/>
  <c r="Q204" i="43" s="1"/>
  <c r="X204" i="43" s="1"/>
  <c r="AA204" i="43" s="1"/>
  <c r="AA251" i="44"/>
  <c r="C251" i="43"/>
  <c r="Q251" i="43" s="1"/>
  <c r="X251" i="43" s="1"/>
  <c r="AA251" i="43" s="1"/>
  <c r="AA261" i="44"/>
  <c r="C261" i="43"/>
  <c r="Q261" i="43" s="1"/>
  <c r="X261" i="43" s="1"/>
  <c r="AA261" i="43" s="1"/>
  <c r="AA219" i="44"/>
  <c r="C219" i="43"/>
  <c r="Q219" i="43" s="1"/>
  <c r="X219" i="43" s="1"/>
  <c r="AA219" i="43" s="1"/>
  <c r="AA111" i="44"/>
  <c r="C111" i="43"/>
  <c r="Q111" i="43" s="1"/>
  <c r="X111" i="43" s="1"/>
  <c r="AA111" i="43" s="1"/>
  <c r="AA311" i="44"/>
  <c r="C311" i="43"/>
  <c r="Q311" i="43" s="1"/>
  <c r="X311" i="43" s="1"/>
  <c r="AA311" i="43" s="1"/>
  <c r="AA175" i="44"/>
  <c r="C175" i="43"/>
  <c r="Q175" i="43" s="1"/>
  <c r="X175" i="43" s="1"/>
  <c r="AA175" i="43" s="1"/>
  <c r="AA6" i="44"/>
  <c r="C6" i="43"/>
  <c r="Q6" i="43" s="1"/>
  <c r="X6" i="43" s="1"/>
  <c r="AA6" i="43" s="1"/>
  <c r="AA136" i="44"/>
  <c r="C136" i="43"/>
  <c r="Q136" i="43" s="1"/>
  <c r="X136" i="43" s="1"/>
  <c r="AA136" i="43" s="1"/>
  <c r="AA24" i="44"/>
  <c r="C24" i="43"/>
  <c r="Q24" i="43" s="1"/>
  <c r="X24" i="43" s="1"/>
  <c r="AA24" i="43" s="1"/>
  <c r="AA127" i="44"/>
  <c r="C127" i="43"/>
  <c r="Q127" i="43" s="1"/>
  <c r="X127" i="43" s="1"/>
  <c r="AA127" i="43" s="1"/>
  <c r="AA36" i="44"/>
  <c r="C36" i="43"/>
  <c r="Q36" i="43" s="1"/>
  <c r="X36" i="43" s="1"/>
  <c r="AA36" i="43" s="1"/>
  <c r="AA260" i="44"/>
  <c r="C260" i="43"/>
  <c r="Q260" i="43" s="1"/>
  <c r="X260" i="43" s="1"/>
  <c r="AA260" i="43" s="1"/>
  <c r="AA199" i="44"/>
  <c r="C199" i="43"/>
  <c r="Q199" i="43" s="1"/>
  <c r="X199" i="43" s="1"/>
  <c r="AA199" i="43" s="1"/>
  <c r="AA265" i="44"/>
  <c r="C265" i="43"/>
  <c r="Q265" i="43" s="1"/>
  <c r="X265" i="43" s="1"/>
  <c r="AA265" i="43" s="1"/>
  <c r="AA43" i="44"/>
  <c r="C43" i="43"/>
  <c r="Q43" i="43" s="1"/>
  <c r="X43" i="43" s="1"/>
  <c r="AA43" i="43" s="1"/>
  <c r="AA12" i="44"/>
  <c r="C12" i="43"/>
  <c r="Q12" i="43" s="1"/>
  <c r="X12" i="43" s="1"/>
  <c r="AA12" i="43" s="1"/>
  <c r="AA165" i="44"/>
  <c r="C165" i="43"/>
  <c r="Q165" i="43" s="1"/>
  <c r="X165" i="43" s="1"/>
  <c r="AA165" i="43" s="1"/>
  <c r="AA34" i="44"/>
  <c r="C34" i="43"/>
  <c r="Q34" i="43" s="1"/>
  <c r="X34" i="43" s="1"/>
  <c r="AA34" i="43" s="1"/>
  <c r="AA74" i="44"/>
  <c r="C74" i="43"/>
  <c r="Q74" i="43" s="1"/>
  <c r="X74" i="43" s="1"/>
  <c r="AA74" i="43" s="1"/>
  <c r="AA164" i="44"/>
  <c r="C164" i="43"/>
  <c r="Q164" i="43" s="1"/>
  <c r="X164" i="43" s="1"/>
  <c r="AA164" i="43" s="1"/>
  <c r="AA253" i="44"/>
  <c r="C253" i="43"/>
  <c r="Q253" i="43" s="1"/>
  <c r="X253" i="43" s="1"/>
  <c r="AA253" i="43" s="1"/>
  <c r="AA313" i="44"/>
  <c r="C313" i="43"/>
  <c r="Q313" i="43" s="1"/>
  <c r="X313" i="43" s="1"/>
  <c r="AA313" i="43" s="1"/>
  <c r="AA22" i="44"/>
  <c r="C22" i="43"/>
  <c r="Q22" i="43" s="1"/>
  <c r="X22" i="43" s="1"/>
  <c r="AA22" i="43" s="1"/>
  <c r="AA93" i="44"/>
  <c r="C93" i="43"/>
  <c r="Q93" i="43" s="1"/>
  <c r="X93" i="43" s="1"/>
  <c r="AA93" i="43" s="1"/>
  <c r="AA180" i="44"/>
  <c r="C180" i="43"/>
  <c r="Q180" i="43" s="1"/>
  <c r="X180" i="43" s="1"/>
  <c r="AA180" i="43" s="1"/>
  <c r="AA183" i="44"/>
  <c r="C183" i="43"/>
  <c r="Q183" i="43" s="1"/>
  <c r="X183" i="43" s="1"/>
  <c r="AA183" i="43" s="1"/>
  <c r="AA285" i="44"/>
  <c r="C285" i="43"/>
  <c r="Q285" i="43" s="1"/>
  <c r="X285" i="43" s="1"/>
  <c r="AA285" i="43" s="1"/>
  <c r="AA124" i="44"/>
  <c r="C124" i="43"/>
  <c r="Q124" i="43" s="1"/>
  <c r="X124" i="43" s="1"/>
  <c r="AA124" i="43" s="1"/>
  <c r="AA129" i="44"/>
  <c r="C129" i="43"/>
  <c r="Q129" i="43" s="1"/>
  <c r="X129" i="43" s="1"/>
  <c r="AA129" i="43" s="1"/>
  <c r="AA287" i="44"/>
  <c r="C287" i="43"/>
  <c r="Q287" i="43" s="1"/>
  <c r="X287" i="43" s="1"/>
  <c r="AA287" i="43" s="1"/>
  <c r="AA106" i="44"/>
  <c r="C106" i="43"/>
  <c r="Q106" i="43" s="1"/>
  <c r="X106" i="43" s="1"/>
  <c r="AA106" i="43" s="1"/>
  <c r="AA268" i="44"/>
  <c r="C268" i="43"/>
  <c r="Q268" i="43" s="1"/>
  <c r="X268" i="43" s="1"/>
  <c r="AA268" i="43" s="1"/>
  <c r="AA15" i="44"/>
  <c r="C15" i="43"/>
  <c r="Q15" i="43" s="1"/>
  <c r="X15" i="43" s="1"/>
  <c r="AA15" i="43" s="1"/>
  <c r="AA213" i="44"/>
  <c r="C213" i="43"/>
  <c r="Q213" i="43" s="1"/>
  <c r="X213" i="43" s="1"/>
  <c r="AA213" i="43" s="1"/>
  <c r="AA41" i="44"/>
  <c r="C41" i="43"/>
  <c r="Q41" i="43" s="1"/>
  <c r="X41" i="43" s="1"/>
  <c r="AA41" i="43" s="1"/>
  <c r="AA100" i="44"/>
  <c r="C100" i="43"/>
  <c r="Q100" i="43" s="1"/>
  <c r="X100" i="43" s="1"/>
  <c r="AA100" i="43" s="1"/>
  <c r="AA137" i="44"/>
  <c r="C137" i="43"/>
  <c r="Q137" i="43" s="1"/>
  <c r="X137" i="43" s="1"/>
  <c r="AA137" i="43" s="1"/>
  <c r="AA8" i="44"/>
  <c r="C8" i="43"/>
  <c r="Q8" i="43" s="1"/>
  <c r="X8" i="43" s="1"/>
  <c r="AA8" i="43" s="1"/>
  <c r="AA78" i="44"/>
  <c r="C78" i="43"/>
  <c r="Q78" i="43" s="1"/>
  <c r="X78" i="43" s="1"/>
  <c r="AA78" i="43" s="1"/>
  <c r="AA229" i="44"/>
  <c r="C229" i="43"/>
  <c r="Q229" i="43" s="1"/>
  <c r="X229" i="43" s="1"/>
  <c r="AA229" i="43" s="1"/>
  <c r="AA51" i="44"/>
  <c r="C51" i="43"/>
  <c r="Q51" i="43" s="1"/>
  <c r="X51" i="43" s="1"/>
  <c r="AA51" i="43" s="1"/>
  <c r="AA280" i="44"/>
  <c r="C280" i="43"/>
  <c r="Q280" i="43" s="1"/>
  <c r="X280" i="43" s="1"/>
  <c r="AA280" i="43" s="1"/>
  <c r="AA143" i="44"/>
  <c r="C143" i="43"/>
  <c r="Q143" i="43" s="1"/>
  <c r="X143" i="43" s="1"/>
  <c r="AA143" i="43" s="1"/>
  <c r="AA193" i="44"/>
  <c r="C193" i="43"/>
  <c r="Q193" i="43" s="1"/>
  <c r="X193" i="43" s="1"/>
  <c r="AA193" i="43" s="1"/>
  <c r="AA58" i="44"/>
  <c r="C58" i="43"/>
  <c r="Q58" i="43" s="1"/>
  <c r="X58" i="43" s="1"/>
  <c r="AA58" i="43" s="1"/>
  <c r="AA295" i="44"/>
  <c r="C295" i="43"/>
  <c r="Q295" i="43" s="1"/>
  <c r="X295" i="43" s="1"/>
  <c r="AA295" i="43" s="1"/>
  <c r="AA108" i="44"/>
  <c r="C108" i="43"/>
  <c r="Q108" i="43" s="1"/>
  <c r="X108" i="43" s="1"/>
  <c r="AA108" i="43" s="1"/>
  <c r="AA9" i="44"/>
  <c r="C9" i="43"/>
  <c r="Q9" i="43" s="1"/>
  <c r="X9" i="43" s="1"/>
  <c r="AA9" i="43" s="1"/>
  <c r="AA113" i="44"/>
  <c r="C113" i="43"/>
  <c r="Q113" i="43" s="1"/>
  <c r="X113" i="43" s="1"/>
  <c r="AA113" i="43" s="1"/>
  <c r="AA293" i="44"/>
  <c r="C293" i="43"/>
  <c r="Q293" i="43" s="1"/>
  <c r="X293" i="43" s="1"/>
  <c r="AA293" i="43" s="1"/>
  <c r="AA122" i="44"/>
  <c r="C122" i="43"/>
  <c r="Q122" i="43" s="1"/>
  <c r="X122" i="43" s="1"/>
  <c r="AA122" i="43" s="1"/>
  <c r="AA159" i="44"/>
  <c r="C159" i="43"/>
  <c r="Q159" i="43" s="1"/>
  <c r="X159" i="43" s="1"/>
  <c r="AA159" i="43" s="1"/>
  <c r="AA239" i="44"/>
  <c r="C239" i="43"/>
  <c r="Q239" i="43" s="1"/>
  <c r="X239" i="43" s="1"/>
  <c r="AA239" i="43" s="1"/>
  <c r="AA291" i="44"/>
  <c r="C291" i="43"/>
  <c r="Q291" i="43" s="1"/>
  <c r="X291" i="43" s="1"/>
  <c r="AA291" i="43" s="1"/>
  <c r="AA50" i="44"/>
  <c r="C50" i="43"/>
  <c r="Q50" i="43" s="1"/>
  <c r="X50" i="43" s="1"/>
  <c r="AA50" i="43" s="1"/>
  <c r="AA184" i="44"/>
  <c r="C184" i="43"/>
  <c r="Q184" i="43" s="1"/>
  <c r="X184" i="43" s="1"/>
  <c r="AA184" i="43" s="1"/>
  <c r="AA44" i="44"/>
  <c r="C44" i="43"/>
  <c r="Q44" i="43" s="1"/>
  <c r="X44" i="43" s="1"/>
  <c r="AA44" i="43" s="1"/>
  <c r="AA142" i="44"/>
  <c r="C142" i="43"/>
  <c r="Q142" i="43" s="1"/>
  <c r="X142" i="43" s="1"/>
  <c r="AA142" i="43" s="1"/>
  <c r="AA240" i="44"/>
  <c r="C240" i="43"/>
  <c r="Q240" i="43" s="1"/>
  <c r="X240" i="43" s="1"/>
  <c r="AA240" i="43" s="1"/>
  <c r="AA118" i="44"/>
  <c r="C118" i="43"/>
  <c r="Q118" i="43" s="1"/>
  <c r="X118" i="43" s="1"/>
  <c r="AA118" i="43" s="1"/>
  <c r="AA206" i="44"/>
  <c r="C206" i="43"/>
  <c r="Q206" i="43" s="1"/>
  <c r="X206" i="43" s="1"/>
  <c r="AA206" i="43" s="1"/>
  <c r="AA158" i="44"/>
  <c r="C158" i="43"/>
  <c r="Q158" i="43" s="1"/>
  <c r="X158" i="43" s="1"/>
  <c r="AA158" i="43" s="1"/>
  <c r="AA298" i="44"/>
  <c r="C298" i="43"/>
  <c r="Q298" i="43" s="1"/>
  <c r="X298" i="43" s="1"/>
  <c r="AA298" i="43" s="1"/>
  <c r="AA186" i="44"/>
  <c r="C186" i="43"/>
  <c r="Q186" i="43" s="1"/>
  <c r="X186" i="43" s="1"/>
  <c r="AA186" i="43" s="1"/>
  <c r="AA104" i="44"/>
  <c r="C104" i="43"/>
  <c r="Q104" i="43" s="1"/>
  <c r="X104" i="43" s="1"/>
  <c r="AA104" i="43" s="1"/>
  <c r="AA192" i="44"/>
  <c r="C192" i="43"/>
  <c r="Q192" i="43" s="1"/>
  <c r="X192" i="43" s="1"/>
  <c r="AA192" i="43" s="1"/>
  <c r="AA246" i="44"/>
  <c r="C246" i="43"/>
  <c r="Q246" i="43" s="1"/>
  <c r="X246" i="43" s="1"/>
  <c r="AA246" i="43" s="1"/>
  <c r="AA144" i="44"/>
  <c r="C144" i="43"/>
  <c r="Q144" i="43" s="1"/>
  <c r="X144" i="43" s="1"/>
  <c r="AA144" i="43" s="1"/>
  <c r="AA282" i="44"/>
  <c r="C282" i="43"/>
  <c r="Q282" i="43" s="1"/>
  <c r="X282" i="43" s="1"/>
  <c r="AA282" i="43" s="1"/>
  <c r="AA224" i="44"/>
  <c r="C224" i="43"/>
  <c r="Q224" i="43" s="1"/>
  <c r="X224" i="43" s="1"/>
  <c r="AA224" i="43" s="1"/>
  <c r="S145" i="44"/>
  <c r="V145" i="44" s="1"/>
  <c r="L145" i="44"/>
  <c r="O145" i="44" s="1"/>
  <c r="P145" i="44" s="1"/>
  <c r="S95" i="44"/>
  <c r="V95" i="44" s="1"/>
  <c r="L95" i="44"/>
  <c r="O95" i="44" s="1"/>
  <c r="P95" i="44" s="1"/>
  <c r="S83" i="44"/>
  <c r="V83" i="44" s="1"/>
  <c r="L83" i="44"/>
  <c r="O83" i="44" s="1"/>
  <c r="P83" i="44" s="1"/>
  <c r="S191" i="44"/>
  <c r="V191" i="44" s="1"/>
  <c r="L191" i="44"/>
  <c r="O191" i="44" s="1"/>
  <c r="P191" i="44" s="1"/>
  <c r="S19" i="44"/>
  <c r="V19" i="44" s="1"/>
  <c r="L19" i="44"/>
  <c r="O19" i="44" s="1"/>
  <c r="P19" i="44" s="1"/>
  <c r="S135" i="44"/>
  <c r="V135" i="44" s="1"/>
  <c r="L135" i="44"/>
  <c r="O135" i="44" s="1"/>
  <c r="P135" i="44" s="1"/>
  <c r="S147" i="44"/>
  <c r="V147" i="44" s="1"/>
  <c r="L147" i="44"/>
  <c r="O147" i="44" s="1"/>
  <c r="P147" i="44" s="1"/>
  <c r="S14" i="44"/>
  <c r="V14" i="44" s="1"/>
  <c r="L14" i="44"/>
  <c r="O14" i="44" s="1"/>
  <c r="P14" i="44" s="1"/>
  <c r="S169" i="44"/>
  <c r="V169" i="44" s="1"/>
  <c r="L169" i="44"/>
  <c r="O169" i="44" s="1"/>
  <c r="P169" i="44" s="1"/>
  <c r="L256" i="44"/>
  <c r="O256" i="44" s="1"/>
  <c r="P256" i="44" s="1"/>
  <c r="S256" i="44"/>
  <c r="V256" i="44" s="1"/>
  <c r="S312" i="44"/>
  <c r="V312" i="44" s="1"/>
  <c r="L312" i="44"/>
  <c r="O312" i="44" s="1"/>
  <c r="P312" i="44" s="1"/>
  <c r="S179" i="44"/>
  <c r="V179" i="44" s="1"/>
  <c r="L179" i="44"/>
  <c r="O179" i="44" s="1"/>
  <c r="P179" i="44" s="1"/>
  <c r="S177" i="44"/>
  <c r="V177" i="44" s="1"/>
  <c r="L177" i="44"/>
  <c r="O177" i="44" s="1"/>
  <c r="P177" i="44" s="1"/>
  <c r="S55" i="44"/>
  <c r="V55" i="44" s="1"/>
  <c r="L55" i="44"/>
  <c r="O55" i="44" s="1"/>
  <c r="P55" i="44" s="1"/>
  <c r="S309" i="44"/>
  <c r="V309" i="44" s="1"/>
  <c r="L309" i="44"/>
  <c r="O309" i="44" s="1"/>
  <c r="P309" i="44" s="1"/>
  <c r="S60" i="44"/>
  <c r="V60" i="44" s="1"/>
  <c r="L60" i="44"/>
  <c r="O60" i="44" s="1"/>
  <c r="P60" i="44" s="1"/>
  <c r="S52" i="44"/>
  <c r="V52" i="44" s="1"/>
  <c r="L52" i="44"/>
  <c r="O52" i="44" s="1"/>
  <c r="P52" i="44" s="1"/>
  <c r="S133" i="44"/>
  <c r="V133" i="44" s="1"/>
  <c r="L133" i="44"/>
  <c r="O133" i="44" s="1"/>
  <c r="P133" i="44" s="1"/>
  <c r="AA13" i="44"/>
  <c r="S102" i="44"/>
  <c r="V102" i="44" s="1"/>
  <c r="L102" i="44"/>
  <c r="O102" i="44" s="1"/>
  <c r="P102" i="44" s="1"/>
  <c r="S217" i="44"/>
  <c r="V217" i="44" s="1"/>
  <c r="L217" i="44"/>
  <c r="O217" i="44" s="1"/>
  <c r="P217" i="44" s="1"/>
  <c r="S48" i="44"/>
  <c r="V48" i="44" s="1"/>
  <c r="L48" i="44"/>
  <c r="O48" i="44" s="1"/>
  <c r="P48" i="44" s="1"/>
  <c r="S27" i="44"/>
  <c r="V27" i="44" s="1"/>
  <c r="L27" i="44"/>
  <c r="O27" i="44" s="1"/>
  <c r="P27" i="44" s="1"/>
  <c r="L294" i="44"/>
  <c r="O294" i="44" s="1"/>
  <c r="P294" i="44" s="1"/>
  <c r="S294" i="44"/>
  <c r="V294" i="44" s="1"/>
  <c r="S300" i="44"/>
  <c r="V300" i="44" s="1"/>
  <c r="L300" i="44"/>
  <c r="O300" i="44" s="1"/>
  <c r="P300" i="44" s="1"/>
  <c r="S25" i="44"/>
  <c r="V25" i="44" s="1"/>
  <c r="L25" i="44"/>
  <c r="O25" i="44" s="1"/>
  <c r="P25" i="44" s="1"/>
  <c r="S81" i="44"/>
  <c r="V81" i="44" s="1"/>
  <c r="L81" i="44"/>
  <c r="O81" i="44" s="1"/>
  <c r="P81" i="44" s="1"/>
  <c r="S96" i="44"/>
  <c r="V96" i="44" s="1"/>
  <c r="L96" i="44"/>
  <c r="O96" i="44" s="1"/>
  <c r="P96" i="44" s="1"/>
  <c r="S189" i="44"/>
  <c r="V189" i="44" s="1"/>
  <c r="L189" i="44"/>
  <c r="O189" i="44" s="1"/>
  <c r="P189" i="44" s="1"/>
  <c r="S269" i="44"/>
  <c r="V269" i="44" s="1"/>
  <c r="L269" i="44"/>
  <c r="O269" i="44" s="1"/>
  <c r="P269" i="44" s="1"/>
  <c r="S53" i="44"/>
  <c r="V53" i="44" s="1"/>
  <c r="L53" i="44"/>
  <c r="O53" i="44" s="1"/>
  <c r="P53" i="44" s="1"/>
  <c r="I23" i="44"/>
  <c r="I71" i="44"/>
  <c r="I69" i="44"/>
  <c r="I117" i="44"/>
  <c r="I245" i="44"/>
  <c r="I79" i="44"/>
  <c r="I302" i="44"/>
  <c r="I160" i="44"/>
  <c r="I80" i="44"/>
  <c r="I218" i="44"/>
  <c r="I150" i="44"/>
  <c r="I205" i="44"/>
  <c r="I264" i="44"/>
  <c r="I296" i="44"/>
  <c r="I222" i="44"/>
  <c r="I201" i="44"/>
  <c r="I72" i="44"/>
  <c r="I161" i="44"/>
  <c r="I290" i="44"/>
  <c r="I197" i="44"/>
  <c r="I172" i="44"/>
  <c r="I92" i="44"/>
  <c r="I212" i="44"/>
  <c r="I314" i="44"/>
  <c r="I209" i="44"/>
  <c r="I75" i="44"/>
  <c r="I76" i="44"/>
  <c r="I126" i="44"/>
  <c r="I59" i="44"/>
  <c r="I167" i="44"/>
  <c r="I241" i="44"/>
  <c r="I289" i="44"/>
  <c r="I149" i="44"/>
  <c r="I223" i="44"/>
  <c r="I233" i="44"/>
  <c r="I61" i="44"/>
  <c r="I125" i="44"/>
  <c r="I157" i="44"/>
  <c r="I237" i="44"/>
  <c r="I305" i="44"/>
  <c r="I252" i="44"/>
  <c r="I228" i="44"/>
  <c r="I288" i="44"/>
  <c r="I207" i="44"/>
  <c r="I176" i="44"/>
  <c r="I148" i="44"/>
  <c r="I250" i="44"/>
  <c r="I68" i="44"/>
  <c r="I306" i="44"/>
  <c r="I274" i="44"/>
  <c r="I16" i="44"/>
  <c r="I88" i="44"/>
  <c r="I94" i="44"/>
  <c r="I30" i="44"/>
  <c r="I171" i="44"/>
  <c r="I97" i="44"/>
  <c r="P64" i="37"/>
  <c r="O65" i="37"/>
  <c r="AA55" i="44" l="1"/>
  <c r="C55" i="43"/>
  <c r="Q55" i="43" s="1"/>
  <c r="AA95" i="44"/>
  <c r="C95" i="43"/>
  <c r="Q95" i="43" s="1"/>
  <c r="X95" i="43" s="1"/>
  <c r="AA95" i="43" s="1"/>
  <c r="AA269" i="44"/>
  <c r="C269" i="43"/>
  <c r="Q269" i="43" s="1"/>
  <c r="X269" i="43" s="1"/>
  <c r="AA269" i="43" s="1"/>
  <c r="AA96" i="44"/>
  <c r="C96" i="43"/>
  <c r="Q96" i="43" s="1"/>
  <c r="X96" i="43" s="1"/>
  <c r="AA96" i="43" s="1"/>
  <c r="AA25" i="44"/>
  <c r="C25" i="43"/>
  <c r="Q25" i="43" s="1"/>
  <c r="X25" i="43" s="1"/>
  <c r="AA25" i="43" s="1"/>
  <c r="AA48" i="44"/>
  <c r="C48" i="43"/>
  <c r="Q48" i="43" s="1"/>
  <c r="X48" i="43" s="1"/>
  <c r="AA48" i="43" s="1"/>
  <c r="AA102" i="44"/>
  <c r="C102" i="43"/>
  <c r="Q102" i="43" s="1"/>
  <c r="X102" i="43" s="1"/>
  <c r="AA102" i="43" s="1"/>
  <c r="AA256" i="44"/>
  <c r="C256" i="43"/>
  <c r="Q256" i="43" s="1"/>
  <c r="X256" i="43" s="1"/>
  <c r="AA256" i="43" s="1"/>
  <c r="AA60" i="44"/>
  <c r="C60" i="43"/>
  <c r="Q60" i="43" s="1"/>
  <c r="X60" i="43" s="1"/>
  <c r="AA60" i="43" s="1"/>
  <c r="AA14" i="44"/>
  <c r="C14" i="43"/>
  <c r="Q14" i="43" s="1"/>
  <c r="X14" i="43" s="1"/>
  <c r="AA14" i="43" s="1"/>
  <c r="AA191" i="44"/>
  <c r="C191" i="43"/>
  <c r="Q191" i="43" s="1"/>
  <c r="X191" i="43" s="1"/>
  <c r="AA191" i="43" s="1"/>
  <c r="AA294" i="44"/>
  <c r="C294" i="43"/>
  <c r="Q294" i="43" s="1"/>
  <c r="X294" i="43" s="1"/>
  <c r="AA294" i="43" s="1"/>
  <c r="AA52" i="44"/>
  <c r="C52" i="43"/>
  <c r="Q52" i="43" s="1"/>
  <c r="AA177" i="44"/>
  <c r="C177" i="43"/>
  <c r="Q177" i="43" s="1"/>
  <c r="X177" i="43" s="1"/>
  <c r="AA177" i="43" s="1"/>
  <c r="AA169" i="44"/>
  <c r="C169" i="43"/>
  <c r="Q169" i="43" s="1"/>
  <c r="X169" i="43" s="1"/>
  <c r="AA169" i="43" s="1"/>
  <c r="AA19" i="44"/>
  <c r="C19" i="43"/>
  <c r="Q19" i="43" s="1"/>
  <c r="X19" i="43" s="1"/>
  <c r="AA19" i="43" s="1"/>
  <c r="AA83" i="44"/>
  <c r="C83" i="43"/>
  <c r="Q83" i="43" s="1"/>
  <c r="X83" i="43" s="1"/>
  <c r="AA83" i="43" s="1"/>
  <c r="AA145" i="44"/>
  <c r="C145" i="43"/>
  <c r="Q145" i="43" s="1"/>
  <c r="X145" i="43" s="1"/>
  <c r="AA145" i="43" s="1"/>
  <c r="AA133" i="44"/>
  <c r="C133" i="43"/>
  <c r="Q133" i="43" s="1"/>
  <c r="X133" i="43" s="1"/>
  <c r="AA133" i="43" s="1"/>
  <c r="AA179" i="44"/>
  <c r="C179" i="43"/>
  <c r="Q179" i="43" s="1"/>
  <c r="X179" i="43" s="1"/>
  <c r="AA179" i="43" s="1"/>
  <c r="AA135" i="44"/>
  <c r="C135" i="43"/>
  <c r="Q135" i="43" s="1"/>
  <c r="X135" i="43" s="1"/>
  <c r="AA135" i="43" s="1"/>
  <c r="AA309" i="44"/>
  <c r="C309" i="43"/>
  <c r="Q309" i="43" s="1"/>
  <c r="X309" i="43" s="1"/>
  <c r="AA309" i="43" s="1"/>
  <c r="AA312" i="44"/>
  <c r="C312" i="43"/>
  <c r="Q312" i="43" s="1"/>
  <c r="X312" i="43" s="1"/>
  <c r="AA312" i="43" s="1"/>
  <c r="AA147" i="44"/>
  <c r="C147" i="43"/>
  <c r="Q147" i="43" s="1"/>
  <c r="X147" i="43" s="1"/>
  <c r="AA147" i="43" s="1"/>
  <c r="AA53" i="44"/>
  <c r="C53" i="43"/>
  <c r="Q53" i="43" s="1"/>
  <c r="AA189" i="44"/>
  <c r="C189" i="43"/>
  <c r="Q189" i="43" s="1"/>
  <c r="X189" i="43" s="1"/>
  <c r="AA189" i="43" s="1"/>
  <c r="AA81" i="44"/>
  <c r="C81" i="43"/>
  <c r="Q81" i="43" s="1"/>
  <c r="X81" i="43" s="1"/>
  <c r="AA81" i="43" s="1"/>
  <c r="AA300" i="44"/>
  <c r="C300" i="43"/>
  <c r="Q300" i="43" s="1"/>
  <c r="X300" i="43" s="1"/>
  <c r="AA300" i="43" s="1"/>
  <c r="AA27" i="44"/>
  <c r="C27" i="43"/>
  <c r="Q27" i="43" s="1"/>
  <c r="X27" i="43" s="1"/>
  <c r="AA27" i="43" s="1"/>
  <c r="AA217" i="44"/>
  <c r="C217" i="43"/>
  <c r="Q217" i="43" s="1"/>
  <c r="X217" i="43" s="1"/>
  <c r="AA217" i="43" s="1"/>
  <c r="S30" i="44"/>
  <c r="V30" i="44" s="1"/>
  <c r="L30" i="44"/>
  <c r="O30" i="44" s="1"/>
  <c r="P30" i="44" s="1"/>
  <c r="S157" i="44"/>
  <c r="V157" i="44" s="1"/>
  <c r="L157" i="44"/>
  <c r="O157" i="44" s="1"/>
  <c r="P157" i="44" s="1"/>
  <c r="S167" i="44"/>
  <c r="V167" i="44" s="1"/>
  <c r="L167" i="44"/>
  <c r="O167" i="44" s="1"/>
  <c r="P167" i="44" s="1"/>
  <c r="S92" i="44"/>
  <c r="V92" i="44" s="1"/>
  <c r="L92" i="44"/>
  <c r="O92" i="44" s="1"/>
  <c r="P92" i="44" s="1"/>
  <c r="S161" i="44"/>
  <c r="V161" i="44" s="1"/>
  <c r="L161" i="44"/>
  <c r="O161" i="44" s="1"/>
  <c r="P161" i="44" s="1"/>
  <c r="S296" i="44"/>
  <c r="V296" i="44" s="1"/>
  <c r="L296" i="44"/>
  <c r="O296" i="44" s="1"/>
  <c r="P296" i="44" s="1"/>
  <c r="L218" i="44"/>
  <c r="O218" i="44" s="1"/>
  <c r="P218" i="44" s="1"/>
  <c r="S218" i="44"/>
  <c r="V218" i="44" s="1"/>
  <c r="S79" i="44"/>
  <c r="V79" i="44" s="1"/>
  <c r="L79" i="44"/>
  <c r="O79" i="44" s="1"/>
  <c r="P79" i="44" s="1"/>
  <c r="S71" i="44"/>
  <c r="V71" i="44" s="1"/>
  <c r="L71" i="44"/>
  <c r="O71" i="44" s="1"/>
  <c r="P71" i="44" s="1"/>
  <c r="S228" i="44"/>
  <c r="V228" i="44" s="1"/>
  <c r="L228" i="44"/>
  <c r="O228" i="44" s="1"/>
  <c r="P228" i="44" s="1"/>
  <c r="S75" i="44"/>
  <c r="V75" i="44" s="1"/>
  <c r="L75" i="44"/>
  <c r="O75" i="44" s="1"/>
  <c r="P75" i="44" s="1"/>
  <c r="S94" i="44"/>
  <c r="V94" i="44" s="1"/>
  <c r="L94" i="44"/>
  <c r="O94" i="44" s="1"/>
  <c r="P94" i="44" s="1"/>
  <c r="S306" i="44"/>
  <c r="V306" i="44" s="1"/>
  <c r="L306" i="44"/>
  <c r="O306" i="44" s="1"/>
  <c r="P306" i="44" s="1"/>
  <c r="L176" i="44"/>
  <c r="O176" i="44" s="1"/>
  <c r="P176" i="44" s="1"/>
  <c r="S176" i="44"/>
  <c r="V176" i="44" s="1"/>
  <c r="S252" i="44"/>
  <c r="V252" i="44" s="1"/>
  <c r="L252" i="44"/>
  <c r="O252" i="44" s="1"/>
  <c r="P252" i="44" s="1"/>
  <c r="S125" i="44"/>
  <c r="V125" i="44" s="1"/>
  <c r="L125" i="44"/>
  <c r="O125" i="44" s="1"/>
  <c r="P125" i="44" s="1"/>
  <c r="S149" i="44"/>
  <c r="V149" i="44" s="1"/>
  <c r="L149" i="44"/>
  <c r="O149" i="44" s="1"/>
  <c r="P149" i="44" s="1"/>
  <c r="S59" i="44"/>
  <c r="V59" i="44" s="1"/>
  <c r="L59" i="44"/>
  <c r="O59" i="44" s="1"/>
  <c r="P59" i="44" s="1"/>
  <c r="S209" i="44"/>
  <c r="V209" i="44" s="1"/>
  <c r="L209" i="44"/>
  <c r="O209" i="44" s="1"/>
  <c r="P209" i="44" s="1"/>
  <c r="S172" i="44"/>
  <c r="V172" i="44" s="1"/>
  <c r="L172" i="44"/>
  <c r="O172" i="44" s="1"/>
  <c r="P172" i="44" s="1"/>
  <c r="S72" i="44"/>
  <c r="V72" i="44" s="1"/>
  <c r="L72" i="44"/>
  <c r="O72" i="44" s="1"/>
  <c r="P72" i="44" s="1"/>
  <c r="S264" i="44"/>
  <c r="V264" i="44" s="1"/>
  <c r="L264" i="44"/>
  <c r="O264" i="44" s="1"/>
  <c r="P264" i="44" s="1"/>
  <c r="S80" i="44"/>
  <c r="V80" i="44" s="1"/>
  <c r="L80" i="44"/>
  <c r="O80" i="44" s="1"/>
  <c r="P80" i="44" s="1"/>
  <c r="S245" i="44"/>
  <c r="V245" i="44" s="1"/>
  <c r="L245" i="44"/>
  <c r="O245" i="44" s="1"/>
  <c r="P245" i="44" s="1"/>
  <c r="S23" i="44"/>
  <c r="V23" i="44" s="1"/>
  <c r="L23" i="44"/>
  <c r="O23" i="44" s="1"/>
  <c r="P23" i="44" s="1"/>
  <c r="S148" i="44"/>
  <c r="V148" i="44" s="1"/>
  <c r="L148" i="44"/>
  <c r="O148" i="44" s="1"/>
  <c r="P148" i="44" s="1"/>
  <c r="S97" i="44"/>
  <c r="V97" i="44" s="1"/>
  <c r="L97" i="44"/>
  <c r="O97" i="44" s="1"/>
  <c r="P97" i="44" s="1"/>
  <c r="S68" i="44"/>
  <c r="V68" i="44" s="1"/>
  <c r="L68" i="44"/>
  <c r="O68" i="44" s="1"/>
  <c r="P68" i="44" s="1"/>
  <c r="S305" i="44"/>
  <c r="V305" i="44" s="1"/>
  <c r="L305" i="44"/>
  <c r="O305" i="44" s="1"/>
  <c r="P305" i="44" s="1"/>
  <c r="S289" i="44"/>
  <c r="V289" i="44" s="1"/>
  <c r="L289" i="44"/>
  <c r="O289" i="44" s="1"/>
  <c r="P289" i="44" s="1"/>
  <c r="L126" i="44"/>
  <c r="O126" i="44" s="1"/>
  <c r="P126" i="44" s="1"/>
  <c r="S126" i="44"/>
  <c r="V126" i="44" s="1"/>
  <c r="L314" i="44"/>
  <c r="O314" i="44" s="1"/>
  <c r="P314" i="44" s="1"/>
  <c r="S314" i="44"/>
  <c r="V314" i="44" s="1"/>
  <c r="S197" i="44"/>
  <c r="V197" i="44" s="1"/>
  <c r="L197" i="44"/>
  <c r="O197" i="44" s="1"/>
  <c r="P197" i="44" s="1"/>
  <c r="S201" i="44"/>
  <c r="V201" i="44" s="1"/>
  <c r="L201" i="44"/>
  <c r="O201" i="44" s="1"/>
  <c r="P201" i="44" s="1"/>
  <c r="S205" i="44"/>
  <c r="V205" i="44" s="1"/>
  <c r="L205" i="44"/>
  <c r="O205" i="44" s="1"/>
  <c r="P205" i="44" s="1"/>
  <c r="L160" i="44"/>
  <c r="O160" i="44" s="1"/>
  <c r="P160" i="44" s="1"/>
  <c r="S160" i="44"/>
  <c r="V160" i="44" s="1"/>
  <c r="S117" i="44"/>
  <c r="V117" i="44" s="1"/>
  <c r="L117" i="44"/>
  <c r="O117" i="44" s="1"/>
  <c r="P117" i="44" s="1"/>
  <c r="S274" i="44"/>
  <c r="V274" i="44" s="1"/>
  <c r="L274" i="44"/>
  <c r="O274" i="44" s="1"/>
  <c r="P274" i="44" s="1"/>
  <c r="S223" i="44"/>
  <c r="V223" i="44" s="1"/>
  <c r="L223" i="44"/>
  <c r="O223" i="44" s="1"/>
  <c r="P223" i="44" s="1"/>
  <c r="S88" i="44"/>
  <c r="V88" i="44" s="1"/>
  <c r="L88" i="44"/>
  <c r="O88" i="44" s="1"/>
  <c r="P88" i="44" s="1"/>
  <c r="S207" i="44"/>
  <c r="V207" i="44" s="1"/>
  <c r="L207" i="44"/>
  <c r="O207" i="44" s="1"/>
  <c r="P207" i="44" s="1"/>
  <c r="S61" i="44"/>
  <c r="V61" i="44" s="1"/>
  <c r="L61" i="44"/>
  <c r="O61" i="44" s="1"/>
  <c r="P61" i="44" s="1"/>
  <c r="S171" i="44"/>
  <c r="V171" i="44" s="1"/>
  <c r="L171" i="44"/>
  <c r="O171" i="44" s="1"/>
  <c r="P171" i="44" s="1"/>
  <c r="S16" i="44"/>
  <c r="V16" i="44" s="1"/>
  <c r="L16" i="44"/>
  <c r="O16" i="44" s="1"/>
  <c r="P16" i="44" s="1"/>
  <c r="L250" i="44"/>
  <c r="O250" i="44" s="1"/>
  <c r="P250" i="44" s="1"/>
  <c r="S250" i="44"/>
  <c r="V250" i="44" s="1"/>
  <c r="L288" i="44"/>
  <c r="O288" i="44" s="1"/>
  <c r="P288" i="44" s="1"/>
  <c r="S288" i="44"/>
  <c r="V288" i="44" s="1"/>
  <c r="S237" i="44"/>
  <c r="V237" i="44" s="1"/>
  <c r="L237" i="44"/>
  <c r="O237" i="44" s="1"/>
  <c r="P237" i="44" s="1"/>
  <c r="S233" i="44"/>
  <c r="V233" i="44" s="1"/>
  <c r="L233" i="44"/>
  <c r="O233" i="44" s="1"/>
  <c r="P233" i="44" s="1"/>
  <c r="S241" i="44"/>
  <c r="V241" i="44" s="1"/>
  <c r="L241" i="44"/>
  <c r="O241" i="44" s="1"/>
  <c r="P241" i="44" s="1"/>
  <c r="S76" i="44"/>
  <c r="V76" i="44" s="1"/>
  <c r="L76" i="44"/>
  <c r="O76" i="44" s="1"/>
  <c r="P76" i="44" s="1"/>
  <c r="S212" i="44"/>
  <c r="V212" i="44" s="1"/>
  <c r="L212" i="44"/>
  <c r="O212" i="44" s="1"/>
  <c r="P212" i="44" s="1"/>
  <c r="S290" i="44"/>
  <c r="V290" i="44" s="1"/>
  <c r="L290" i="44"/>
  <c r="O290" i="44" s="1"/>
  <c r="P290" i="44" s="1"/>
  <c r="L222" i="44"/>
  <c r="O222" i="44" s="1"/>
  <c r="P222" i="44" s="1"/>
  <c r="S222" i="44"/>
  <c r="V222" i="44" s="1"/>
  <c r="L150" i="44"/>
  <c r="O150" i="44" s="1"/>
  <c r="P150" i="44" s="1"/>
  <c r="S150" i="44"/>
  <c r="V150" i="44" s="1"/>
  <c r="L302" i="44"/>
  <c r="O302" i="44" s="1"/>
  <c r="P302" i="44" s="1"/>
  <c r="S302" i="44"/>
  <c r="V302" i="44" s="1"/>
  <c r="S69" i="44"/>
  <c r="V69" i="44" s="1"/>
  <c r="L69" i="44"/>
  <c r="O69" i="44" s="1"/>
  <c r="P69" i="44" s="1"/>
  <c r="Q64" i="37"/>
  <c r="Q65" i="37" s="1"/>
  <c r="C68" i="37" s="1"/>
  <c r="C72" i="37" s="1"/>
  <c r="P65" i="37"/>
  <c r="E26" i="15"/>
  <c r="E27" i="15" s="1"/>
  <c r="E28" i="15" s="1"/>
  <c r="AA241" i="44" l="1"/>
  <c r="C241" i="43"/>
  <c r="Q241" i="43" s="1"/>
  <c r="X241" i="43" s="1"/>
  <c r="AA241" i="43" s="1"/>
  <c r="AA171" i="44"/>
  <c r="C171" i="43"/>
  <c r="Q171" i="43" s="1"/>
  <c r="X171" i="43" s="1"/>
  <c r="AA171" i="43" s="1"/>
  <c r="AA117" i="44"/>
  <c r="C117" i="43"/>
  <c r="Q117" i="43" s="1"/>
  <c r="X117" i="43" s="1"/>
  <c r="AA117" i="43" s="1"/>
  <c r="AA305" i="44"/>
  <c r="C305" i="43"/>
  <c r="Q305" i="43" s="1"/>
  <c r="X305" i="43" s="1"/>
  <c r="AA305" i="43" s="1"/>
  <c r="AA80" i="44"/>
  <c r="C80" i="43"/>
  <c r="Q80" i="43" s="1"/>
  <c r="X80" i="43" s="1"/>
  <c r="AA80" i="43" s="1"/>
  <c r="AA149" i="44"/>
  <c r="C149" i="43"/>
  <c r="Q149" i="43" s="1"/>
  <c r="X149" i="43" s="1"/>
  <c r="AA149" i="43" s="1"/>
  <c r="AA75" i="44"/>
  <c r="C75" i="43"/>
  <c r="Q75" i="43" s="1"/>
  <c r="X75" i="43" s="1"/>
  <c r="AA75" i="43" s="1"/>
  <c r="AA161" i="44"/>
  <c r="C161" i="43"/>
  <c r="Q161" i="43" s="1"/>
  <c r="X161" i="43" s="1"/>
  <c r="AA161" i="43" s="1"/>
  <c r="AA30" i="44"/>
  <c r="C30" i="43"/>
  <c r="Q30" i="43" s="1"/>
  <c r="X30" i="43" s="1"/>
  <c r="AA30" i="43" s="1"/>
  <c r="AA69" i="44"/>
  <c r="C69" i="43"/>
  <c r="Q69" i="43" s="1"/>
  <c r="X69" i="43" s="1"/>
  <c r="AA69" i="43" s="1"/>
  <c r="AA76" i="44"/>
  <c r="C76" i="43"/>
  <c r="Q76" i="43" s="1"/>
  <c r="X76" i="43" s="1"/>
  <c r="AA76" i="43" s="1"/>
  <c r="AA16" i="44"/>
  <c r="C16" i="43"/>
  <c r="Q16" i="43" s="1"/>
  <c r="X16" i="43" s="1"/>
  <c r="AA16" i="43" s="1"/>
  <c r="AA88" i="44"/>
  <c r="C88" i="43"/>
  <c r="Q88" i="43" s="1"/>
  <c r="X88" i="43" s="1"/>
  <c r="AA88" i="43" s="1"/>
  <c r="AA289" i="44"/>
  <c r="C289" i="43"/>
  <c r="Q289" i="43" s="1"/>
  <c r="X289" i="43" s="1"/>
  <c r="AA289" i="43" s="1"/>
  <c r="AA148" i="44"/>
  <c r="C148" i="43"/>
  <c r="Q148" i="43" s="1"/>
  <c r="X148" i="43" s="1"/>
  <c r="AA148" i="43" s="1"/>
  <c r="AA264" i="44"/>
  <c r="C264" i="43"/>
  <c r="Q264" i="43" s="1"/>
  <c r="X264" i="43" s="1"/>
  <c r="AA264" i="43" s="1"/>
  <c r="AA59" i="44"/>
  <c r="C59" i="43"/>
  <c r="Q59" i="43" s="1"/>
  <c r="X59" i="43" s="1"/>
  <c r="AA59" i="43" s="1"/>
  <c r="AA79" i="44"/>
  <c r="C79" i="43"/>
  <c r="Q79" i="43" s="1"/>
  <c r="X79" i="43" s="1"/>
  <c r="AA79" i="43" s="1"/>
  <c r="AA212" i="44"/>
  <c r="C212" i="43"/>
  <c r="Q212" i="43" s="1"/>
  <c r="X212" i="43" s="1"/>
  <c r="AA212" i="43" s="1"/>
  <c r="AA207" i="44"/>
  <c r="C207" i="43"/>
  <c r="Q207" i="43" s="1"/>
  <c r="X207" i="43" s="1"/>
  <c r="AA207" i="43" s="1"/>
  <c r="AA205" i="44"/>
  <c r="C205" i="43"/>
  <c r="Q205" i="43" s="1"/>
  <c r="X205" i="43" s="1"/>
  <c r="AA205" i="43" s="1"/>
  <c r="AA97" i="44"/>
  <c r="C97" i="43"/>
  <c r="Q97" i="43" s="1"/>
  <c r="X97" i="43" s="1"/>
  <c r="AA97" i="43" s="1"/>
  <c r="AA72" i="44"/>
  <c r="C72" i="43"/>
  <c r="Q72" i="43" s="1"/>
  <c r="X72" i="43" s="1"/>
  <c r="AA72" i="43" s="1"/>
  <c r="AA252" i="44"/>
  <c r="C252" i="43"/>
  <c r="Q252" i="43" s="1"/>
  <c r="X252" i="43" s="1"/>
  <c r="AA252" i="43" s="1"/>
  <c r="AA71" i="44"/>
  <c r="C71" i="43"/>
  <c r="Q71" i="43" s="1"/>
  <c r="X71" i="43" s="1"/>
  <c r="AA71" i="43" s="1"/>
  <c r="AA167" i="44"/>
  <c r="C167" i="43"/>
  <c r="Q167" i="43" s="1"/>
  <c r="X167" i="43" s="1"/>
  <c r="AA167" i="43" s="1"/>
  <c r="AA290" i="44"/>
  <c r="C290" i="43"/>
  <c r="Q290" i="43" s="1"/>
  <c r="X290" i="43" s="1"/>
  <c r="AA290" i="43" s="1"/>
  <c r="AA233" i="44"/>
  <c r="C233" i="43"/>
  <c r="Q233" i="43" s="1"/>
  <c r="X233" i="43" s="1"/>
  <c r="AA233" i="43" s="1"/>
  <c r="AA61" i="44"/>
  <c r="C61" i="43"/>
  <c r="Q61" i="43" s="1"/>
  <c r="X61" i="43" s="1"/>
  <c r="AA61" i="43" s="1"/>
  <c r="AA274" i="44"/>
  <c r="C274" i="43"/>
  <c r="Q274" i="43" s="1"/>
  <c r="X274" i="43" s="1"/>
  <c r="AA274" i="43" s="1"/>
  <c r="AA201" i="44"/>
  <c r="C201" i="43"/>
  <c r="Q201" i="43" s="1"/>
  <c r="X201" i="43" s="1"/>
  <c r="AA201" i="43" s="1"/>
  <c r="AA68" i="44"/>
  <c r="C68" i="43"/>
  <c r="Q68" i="43" s="1"/>
  <c r="X68" i="43" s="1"/>
  <c r="AA68" i="43" s="1"/>
  <c r="AA245" i="44"/>
  <c r="C245" i="43"/>
  <c r="Q245" i="43" s="1"/>
  <c r="X245" i="43" s="1"/>
  <c r="AA245" i="43" s="1"/>
  <c r="AA172" i="44"/>
  <c r="C172" i="43"/>
  <c r="Q172" i="43" s="1"/>
  <c r="X172" i="43" s="1"/>
  <c r="AA172" i="43" s="1"/>
  <c r="AA125" i="44"/>
  <c r="C125" i="43"/>
  <c r="Q125" i="43" s="1"/>
  <c r="X125" i="43" s="1"/>
  <c r="AA125" i="43" s="1"/>
  <c r="AA94" i="44"/>
  <c r="C94" i="43"/>
  <c r="Q94" i="43" s="1"/>
  <c r="X94" i="43" s="1"/>
  <c r="AA94" i="43" s="1"/>
  <c r="AA228" i="44"/>
  <c r="C228" i="43"/>
  <c r="Q228" i="43" s="1"/>
  <c r="X228" i="43" s="1"/>
  <c r="AA228" i="43" s="1"/>
  <c r="AA296" i="44"/>
  <c r="C296" i="43"/>
  <c r="Q296" i="43" s="1"/>
  <c r="X296" i="43" s="1"/>
  <c r="AA296" i="43" s="1"/>
  <c r="AA92" i="44"/>
  <c r="C92" i="43"/>
  <c r="Q92" i="43" s="1"/>
  <c r="X92" i="43" s="1"/>
  <c r="AA92" i="43" s="1"/>
  <c r="AA157" i="44"/>
  <c r="C157" i="43"/>
  <c r="Q157" i="43" s="1"/>
  <c r="X157" i="43" s="1"/>
  <c r="AA157" i="43" s="1"/>
  <c r="AA150" i="44"/>
  <c r="C150" i="43"/>
  <c r="Q150" i="43" s="1"/>
  <c r="X150" i="43" s="1"/>
  <c r="AA150" i="43" s="1"/>
  <c r="AA288" i="44"/>
  <c r="C288" i="43"/>
  <c r="Q288" i="43" s="1"/>
  <c r="X288" i="43" s="1"/>
  <c r="AA288" i="43" s="1"/>
  <c r="AA160" i="44"/>
  <c r="C160" i="43"/>
  <c r="Q160" i="43" s="1"/>
  <c r="X160" i="43" s="1"/>
  <c r="AA160" i="43" s="1"/>
  <c r="AA314" i="44"/>
  <c r="C314" i="43"/>
  <c r="Q314" i="43" s="1"/>
  <c r="X314" i="43" s="1"/>
  <c r="AA314" i="43" s="1"/>
  <c r="AA176" i="44"/>
  <c r="C176" i="43"/>
  <c r="Q176" i="43" s="1"/>
  <c r="X176" i="43" s="1"/>
  <c r="AA176" i="43" s="1"/>
  <c r="AA237" i="44"/>
  <c r="C237" i="43"/>
  <c r="Q237" i="43" s="1"/>
  <c r="X237" i="43" s="1"/>
  <c r="AA237" i="43" s="1"/>
  <c r="AA223" i="44"/>
  <c r="C223" i="43"/>
  <c r="Q223" i="43" s="1"/>
  <c r="X223" i="43" s="1"/>
  <c r="AA223" i="43" s="1"/>
  <c r="AA197" i="44"/>
  <c r="C197" i="43"/>
  <c r="Q197" i="43" s="1"/>
  <c r="X197" i="43" s="1"/>
  <c r="AA197" i="43" s="1"/>
  <c r="AA23" i="44"/>
  <c r="C23" i="43"/>
  <c r="Q23" i="43" s="1"/>
  <c r="X23" i="43" s="1"/>
  <c r="AA23" i="43" s="1"/>
  <c r="AA209" i="44"/>
  <c r="C209" i="43"/>
  <c r="Q209" i="43" s="1"/>
  <c r="X209" i="43" s="1"/>
  <c r="AA209" i="43" s="1"/>
  <c r="AA306" i="44"/>
  <c r="C306" i="43"/>
  <c r="Q306" i="43" s="1"/>
  <c r="X306" i="43" s="1"/>
  <c r="AA306" i="43" s="1"/>
  <c r="AA302" i="44"/>
  <c r="C302" i="43"/>
  <c r="Q302" i="43" s="1"/>
  <c r="X302" i="43" s="1"/>
  <c r="AA302" i="43" s="1"/>
  <c r="AA222" i="44"/>
  <c r="C222" i="43"/>
  <c r="Q222" i="43" s="1"/>
  <c r="X222" i="43" s="1"/>
  <c r="AA222" i="43" s="1"/>
  <c r="AA250" i="44"/>
  <c r="C250" i="43"/>
  <c r="Q250" i="43" s="1"/>
  <c r="X250" i="43" s="1"/>
  <c r="AA250" i="43" s="1"/>
  <c r="AA126" i="44"/>
  <c r="C126" i="43"/>
  <c r="Q126" i="43" s="1"/>
  <c r="X126" i="43" s="1"/>
  <c r="AA126" i="43" s="1"/>
  <c r="AA218" i="44"/>
  <c r="C218" i="43"/>
  <c r="Q218" i="43" s="1"/>
  <c r="X218" i="43" s="1"/>
  <c r="AA218" i="43" s="1"/>
  <c r="C23" i="34"/>
  <c r="C37" i="34" l="1" a="1"/>
  <c r="D37" i="34" s="1"/>
  <c r="C38" i="34" a="1"/>
  <c r="C38" i="34" s="1"/>
  <c r="N38" i="34" l="1"/>
  <c r="J38" i="34"/>
  <c r="F38" i="34"/>
  <c r="M38" i="34"/>
  <c r="I38" i="34"/>
  <c r="E38" i="34"/>
  <c r="L38" i="34"/>
  <c r="H38" i="34"/>
  <c r="D38" i="34"/>
  <c r="K38" i="34"/>
  <c r="G38" i="34"/>
  <c r="M37" i="34"/>
  <c r="I37" i="34"/>
  <c r="E37" i="34"/>
  <c r="K37" i="34"/>
  <c r="G37" i="34"/>
  <c r="C37" i="34"/>
  <c r="N37" i="34"/>
  <c r="J37" i="34"/>
  <c r="F37" i="34"/>
  <c r="L37" i="34"/>
  <c r="H37" i="34"/>
  <c r="C39" i="34" l="1"/>
  <c r="D39" i="34"/>
  <c r="N102" i="10"/>
  <c r="M102" i="10"/>
  <c r="K102" i="10"/>
  <c r="L102" i="10" s="1"/>
  <c r="F102" i="10"/>
  <c r="G102" i="10" s="1"/>
  <c r="I102" i="10" s="1"/>
  <c r="J102" i="10" s="1"/>
  <c r="E102" i="10"/>
  <c r="D95" i="10"/>
  <c r="D94" i="10"/>
  <c r="E87" i="10"/>
  <c r="N89" i="10"/>
  <c r="M89" i="10"/>
  <c r="K89" i="10"/>
  <c r="L89" i="10" s="1"/>
  <c r="F89" i="10"/>
  <c r="G89" i="10" s="1"/>
  <c r="I89" i="10" s="1"/>
  <c r="J89" i="10" s="1"/>
  <c r="E89" i="10"/>
  <c r="N88" i="10"/>
  <c r="M88" i="10"/>
  <c r="K88" i="10"/>
  <c r="L88" i="10" s="1"/>
  <c r="F88" i="10"/>
  <c r="G88" i="10" s="1"/>
  <c r="I88" i="10" s="1"/>
  <c r="J88" i="10" s="1"/>
  <c r="E88" i="10"/>
  <c r="N87" i="10"/>
  <c r="M87" i="10"/>
  <c r="K87" i="10"/>
  <c r="L87" i="10" s="1"/>
  <c r="F87" i="10"/>
  <c r="G87" i="10" s="1"/>
  <c r="I87" i="10" s="1"/>
  <c r="J87" i="10" s="1"/>
  <c r="N86" i="10"/>
  <c r="M86" i="10"/>
  <c r="K86" i="10"/>
  <c r="L86" i="10" s="1"/>
  <c r="F86" i="10"/>
  <c r="G86" i="10" s="1"/>
  <c r="I86" i="10" s="1"/>
  <c r="J86" i="10" s="1"/>
  <c r="E86" i="10"/>
  <c r="D24" i="30" l="1"/>
  <c r="E24" i="30"/>
  <c r="R68" i="34"/>
  <c r="Q68" i="34"/>
  <c r="P68" i="34"/>
  <c r="O68" i="34"/>
  <c r="N68" i="34"/>
  <c r="M68" i="34"/>
  <c r="L68" i="34"/>
  <c r="K68" i="34"/>
  <c r="J68" i="34"/>
  <c r="I68" i="34"/>
  <c r="H68" i="34"/>
  <c r="G68" i="34"/>
  <c r="F68" i="34"/>
  <c r="E68" i="34"/>
  <c r="D68" i="34"/>
  <c r="D62" i="34"/>
  <c r="N39" i="34"/>
  <c r="M39" i="34"/>
  <c r="L39" i="34"/>
  <c r="J39" i="34"/>
  <c r="I39" i="34"/>
  <c r="H39" i="34"/>
  <c r="G39" i="34"/>
  <c r="F39" i="34"/>
  <c r="E39" i="34"/>
  <c r="E24" i="34"/>
  <c r="D24" i="34"/>
  <c r="C12" i="34"/>
  <c r="C68" i="34" s="1"/>
  <c r="C11" i="34"/>
  <c r="C7" i="34"/>
  <c r="R69" i="34" l="1"/>
  <c r="D69" i="34" s="1"/>
  <c r="E69" i="34" s="1"/>
  <c r="F69" i="34" s="1"/>
  <c r="G69" i="34" s="1"/>
  <c r="H69" i="34" s="1"/>
  <c r="I69" i="34" s="1"/>
  <c r="J69" i="34" s="1"/>
  <c r="K69" i="34" s="1"/>
  <c r="L69" i="34" s="1"/>
  <c r="M69" i="34" s="1"/>
  <c r="N69" i="34" s="1"/>
  <c r="O69" i="34" s="1"/>
  <c r="P69" i="34" s="1"/>
  <c r="Q69" i="34" s="1"/>
  <c r="E14" i="15"/>
  <c r="I44" i="15" l="1"/>
  <c r="I43" i="15" s="1"/>
  <c r="E15" i="15"/>
  <c r="E16" i="15" s="1"/>
  <c r="C61" i="8" l="1"/>
  <c r="D112" i="10"/>
  <c r="C31" i="24" l="1"/>
  <c r="C118" i="10" l="1"/>
  <c r="C30" i="10"/>
  <c r="D12" i="15"/>
  <c r="C13" i="34" s="1"/>
  <c r="R75" i="23"/>
  <c r="R89" i="22"/>
  <c r="D57" i="22"/>
  <c r="C14" i="23" l="1"/>
  <c r="C13" i="23"/>
  <c r="C12" i="23"/>
  <c r="C8" i="23"/>
  <c r="D55" i="23"/>
  <c r="D74" i="23" l="1"/>
  <c r="E74" i="23"/>
  <c r="I74" i="23"/>
  <c r="M74" i="23"/>
  <c r="Q74" i="23"/>
  <c r="J74" i="23"/>
  <c r="N74" i="23"/>
  <c r="R74" i="23"/>
  <c r="F74" i="23"/>
  <c r="G74" i="23"/>
  <c r="K74" i="23"/>
  <c r="O74" i="23"/>
  <c r="C74" i="23"/>
  <c r="H74" i="23"/>
  <c r="L74" i="23"/>
  <c r="P74" i="23"/>
  <c r="D75" i="23"/>
  <c r="E75" i="23" s="1"/>
  <c r="F75" i="23" s="1"/>
  <c r="G75" i="23" s="1"/>
  <c r="H75" i="23" s="1"/>
  <c r="I75" i="23" s="1"/>
  <c r="J75" i="23" s="1"/>
  <c r="K75" i="23" s="1"/>
  <c r="L75" i="23" s="1"/>
  <c r="M75" i="23" s="1"/>
  <c r="N75" i="23" s="1"/>
  <c r="O75" i="23" s="1"/>
  <c r="P75" i="23" s="1"/>
  <c r="Q75" i="23" s="1"/>
  <c r="F42" i="31"/>
  <c r="F43" i="31"/>
  <c r="F44" i="31"/>
  <c r="F45" i="31"/>
  <c r="F46" i="31"/>
  <c r="F47" i="31"/>
  <c r="F48" i="31"/>
  <c r="F49" i="31"/>
  <c r="F50" i="31"/>
  <c r="F51" i="31"/>
  <c r="F52" i="31"/>
  <c r="F53" i="31"/>
  <c r="F54" i="31"/>
  <c r="F64" i="31"/>
  <c r="F65" i="31"/>
  <c r="F66" i="31"/>
  <c r="F67" i="31"/>
  <c r="F68" i="31"/>
  <c r="F69" i="31"/>
  <c r="F70" i="31"/>
  <c r="J70" i="31"/>
  <c r="F71" i="31"/>
  <c r="F72" i="31"/>
  <c r="F73" i="31"/>
  <c r="C88" i="31"/>
  <c r="C92" i="31" s="1"/>
  <c r="R124" i="31" l="1"/>
  <c r="C124" i="31"/>
  <c r="C14" i="31"/>
  <c r="C13" i="31"/>
  <c r="C12" i="31"/>
  <c r="C8" i="31"/>
  <c r="C26" i="31" s="1"/>
  <c r="D123" i="31" l="1"/>
  <c r="H123" i="31"/>
  <c r="L123" i="31"/>
  <c r="P123" i="31"/>
  <c r="E123" i="31"/>
  <c r="I123" i="31"/>
  <c r="M123" i="31"/>
  <c r="Q123" i="31"/>
  <c r="F123" i="31"/>
  <c r="J123" i="31"/>
  <c r="N123" i="31"/>
  <c r="R123" i="31"/>
  <c r="G123" i="31"/>
  <c r="K123" i="31"/>
  <c r="O123" i="31"/>
  <c r="C123" i="31"/>
  <c r="C24" i="31"/>
  <c r="C25" i="31"/>
  <c r="D95" i="15"/>
  <c r="C119" i="10"/>
  <c r="C50" i="10" l="1"/>
  <c r="C121" i="10"/>
  <c r="C49" i="10"/>
  <c r="C120" i="10"/>
  <c r="C48" i="10"/>
  <c r="C26" i="6"/>
  <c r="C51" i="10" l="1"/>
  <c r="C122" i="10" s="1"/>
  <c r="C58" i="16"/>
  <c r="C59" i="16"/>
  <c r="C60" i="16" l="1"/>
  <c r="H31" i="29" l="1"/>
  <c r="G31" i="29"/>
  <c r="G30" i="29"/>
  <c r="C30" i="29"/>
  <c r="H30" i="29" s="1"/>
  <c r="AC17" i="29" l="1"/>
  <c r="AC16" i="29"/>
  <c r="AC15" i="29"/>
  <c r="AC14" i="29"/>
  <c r="AC13" i="29"/>
  <c r="AC12" i="29"/>
  <c r="AC11" i="29"/>
  <c r="AC10" i="29"/>
  <c r="AC9" i="29"/>
  <c r="AC8" i="29"/>
  <c r="AC7" i="29"/>
  <c r="AC6" i="29"/>
  <c r="Q78" i="30" l="1"/>
  <c r="R78" i="30"/>
  <c r="C48" i="30" l="1"/>
  <c r="P78" i="30" l="1"/>
  <c r="O78" i="30"/>
  <c r="N77" i="30"/>
  <c r="M77" i="30"/>
  <c r="L77" i="30"/>
  <c r="K77" i="30"/>
  <c r="J77" i="30"/>
  <c r="I77" i="30"/>
  <c r="H77" i="30"/>
  <c r="G77" i="30"/>
  <c r="F77" i="30"/>
  <c r="E77" i="30"/>
  <c r="D77" i="30"/>
  <c r="D71" i="30"/>
  <c r="R79" i="30" s="1"/>
  <c r="D78" i="30" s="1"/>
  <c r="E78" i="30" s="1"/>
  <c r="F78" i="30" s="1"/>
  <c r="G78" i="30" s="1"/>
  <c r="H78" i="30" s="1"/>
  <c r="I78" i="30" s="1"/>
  <c r="J78" i="30" s="1"/>
  <c r="K78" i="30" s="1"/>
  <c r="L78" i="30" s="1"/>
  <c r="M78" i="30" s="1"/>
  <c r="N78" i="30" s="1"/>
  <c r="O79" i="30" s="1"/>
  <c r="P79" i="30" s="1"/>
  <c r="Q79" i="30" s="1"/>
  <c r="C12" i="30"/>
  <c r="C77" i="30" s="1"/>
  <c r="C11" i="30"/>
  <c r="C7" i="30"/>
  <c r="AB18" i="29"/>
  <c r="C4" i="17"/>
  <c r="C57" i="21"/>
  <c r="F12" i="17" l="1"/>
  <c r="G12" i="17"/>
  <c r="G13" i="17"/>
  <c r="G10" i="17"/>
  <c r="G11" i="17"/>
  <c r="F10" i="17"/>
  <c r="F11" i="17"/>
  <c r="F13" i="17"/>
  <c r="G9" i="17"/>
  <c r="F9" i="17"/>
  <c r="G8" i="17"/>
  <c r="F8" i="17"/>
  <c r="G7" i="17"/>
  <c r="F7" i="17"/>
  <c r="E53" i="30"/>
  <c r="E54" i="30" s="1"/>
  <c r="E55" i="30" s="1"/>
  <c r="D53" i="30"/>
  <c r="D54" i="30" s="1"/>
  <c r="D55" i="30" s="1"/>
  <c r="C53" i="30"/>
  <c r="G81" i="20"/>
  <c r="C74" i="20"/>
  <c r="H11" i="17" l="1"/>
  <c r="H10" i="17"/>
  <c r="C86" i="20"/>
  <c r="C54" i="30"/>
  <c r="F53" i="30"/>
  <c r="G53" i="30" s="1"/>
  <c r="F54" i="30" l="1"/>
  <c r="G54" i="30" s="1"/>
  <c r="C55" i="30"/>
  <c r="F55" i="30" s="1"/>
  <c r="G55" i="30" s="1"/>
  <c r="C58" i="30" s="1"/>
  <c r="C62" i="30" s="1"/>
  <c r="C65" i="30" s="1"/>
  <c r="AA18" i="29"/>
  <c r="Z18" i="29"/>
  <c r="Y18" i="29"/>
  <c r="X18" i="29"/>
  <c r="W18" i="29"/>
  <c r="V18" i="29"/>
  <c r="T18" i="29"/>
  <c r="S18" i="29"/>
  <c r="R18" i="29"/>
  <c r="Q18" i="29"/>
  <c r="P18" i="29"/>
  <c r="O18" i="29"/>
  <c r="N18" i="29"/>
  <c r="M18" i="29"/>
  <c r="L18" i="29"/>
  <c r="K18" i="29"/>
  <c r="J18" i="29"/>
  <c r="I18" i="29"/>
  <c r="H18" i="29"/>
  <c r="G18" i="29"/>
  <c r="F18" i="29"/>
  <c r="E18" i="29"/>
  <c r="D18" i="29"/>
  <c r="C18" i="29"/>
  <c r="B18" i="29"/>
  <c r="U17" i="29"/>
  <c r="U16" i="29"/>
  <c r="U15" i="29"/>
  <c r="U14" i="29"/>
  <c r="U13" i="29"/>
  <c r="U12" i="29"/>
  <c r="U11" i="29"/>
  <c r="U10" i="29"/>
  <c r="U9" i="29"/>
  <c r="U8" i="29"/>
  <c r="U7" i="29"/>
  <c r="U6" i="29"/>
  <c r="U18" i="29" l="1"/>
  <c r="C79" i="30" l="1"/>
  <c r="C54" i="7"/>
  <c r="C28" i="16" l="1"/>
  <c r="C69" i="16"/>
  <c r="C68" i="16"/>
  <c r="C67" i="16" s="1"/>
  <c r="C27" i="16" l="1"/>
  <c r="C40" i="16" s="1"/>
  <c r="C12" i="20"/>
  <c r="C8" i="20"/>
  <c r="C61" i="20" s="1"/>
  <c r="C14" i="22"/>
  <c r="C13" i="22"/>
  <c r="C9" i="22"/>
  <c r="C12" i="21"/>
  <c r="C11" i="21"/>
  <c r="C61" i="21" s="1"/>
  <c r="C7" i="21"/>
  <c r="C13" i="20"/>
  <c r="C13" i="10"/>
  <c r="C112" i="10" s="1"/>
  <c r="C12" i="10"/>
  <c r="C8" i="10"/>
  <c r="C14" i="16"/>
  <c r="C13" i="16"/>
  <c r="C9" i="16"/>
  <c r="C13" i="6"/>
  <c r="C12" i="6"/>
  <c r="C8" i="6"/>
  <c r="C13" i="8"/>
  <c r="C12" i="8"/>
  <c r="C8" i="8"/>
  <c r="C13" i="7"/>
  <c r="C12" i="7"/>
  <c r="C8" i="7"/>
  <c r="C7" i="18"/>
  <c r="C11" i="18"/>
  <c r="C12" i="18"/>
  <c r="C24" i="20" l="1"/>
  <c r="C25" i="20"/>
  <c r="C141" i="20" s="1"/>
  <c r="D127" i="8"/>
  <c r="D83" i="8"/>
  <c r="C11" i="8"/>
  <c r="C10" i="8"/>
  <c r="C32" i="6"/>
  <c r="C31" i="6"/>
  <c r="C30" i="6"/>
  <c r="C29" i="6"/>
  <c r="C73" i="6"/>
  <c r="N73" i="6"/>
  <c r="J73" i="6"/>
  <c r="F73" i="6"/>
  <c r="M73" i="6"/>
  <c r="E73" i="6"/>
  <c r="Q73" i="6"/>
  <c r="I73" i="6"/>
  <c r="P73" i="6"/>
  <c r="L73" i="6"/>
  <c r="H73" i="6"/>
  <c r="D73" i="6"/>
  <c r="O73" i="6"/>
  <c r="K73" i="6"/>
  <c r="G73" i="6"/>
  <c r="D139" i="20"/>
  <c r="H139" i="20"/>
  <c r="L139" i="20"/>
  <c r="E139" i="20"/>
  <c r="I139" i="20"/>
  <c r="M139" i="20"/>
  <c r="Q139" i="20"/>
  <c r="F139" i="20"/>
  <c r="J139" i="20"/>
  <c r="N139" i="20"/>
  <c r="R139" i="20"/>
  <c r="G139" i="20"/>
  <c r="K139" i="20"/>
  <c r="O139" i="20"/>
  <c r="C139" i="20"/>
  <c r="P139" i="20"/>
  <c r="D88" i="22"/>
  <c r="E88" i="22"/>
  <c r="I88" i="22"/>
  <c r="M88" i="22"/>
  <c r="Q88" i="22"/>
  <c r="J88" i="22"/>
  <c r="N88" i="22"/>
  <c r="R88" i="22"/>
  <c r="F88" i="22"/>
  <c r="G88" i="22"/>
  <c r="K88" i="22"/>
  <c r="O88" i="22"/>
  <c r="C88" i="22"/>
  <c r="H88" i="22"/>
  <c r="L88" i="22"/>
  <c r="P88" i="22"/>
  <c r="D115" i="16"/>
  <c r="L89" i="16"/>
  <c r="E115" i="16"/>
  <c r="I115" i="16"/>
  <c r="M115" i="16"/>
  <c r="Q115" i="16"/>
  <c r="E89" i="16"/>
  <c r="I89" i="16"/>
  <c r="M89" i="16"/>
  <c r="Q89" i="16"/>
  <c r="J115" i="16"/>
  <c r="N115" i="16"/>
  <c r="R115" i="16"/>
  <c r="F89" i="16"/>
  <c r="N89" i="16"/>
  <c r="C89" i="16"/>
  <c r="F115" i="16"/>
  <c r="J89" i="16"/>
  <c r="G115" i="16"/>
  <c r="K115" i="16"/>
  <c r="O115" i="16"/>
  <c r="C115" i="16"/>
  <c r="G89" i="16"/>
  <c r="K89" i="16"/>
  <c r="O89" i="16"/>
  <c r="H115" i="16"/>
  <c r="L115" i="16"/>
  <c r="P115" i="16"/>
  <c r="D89" i="16"/>
  <c r="H89" i="16"/>
  <c r="P89" i="16"/>
  <c r="D76" i="21"/>
  <c r="L76" i="21"/>
  <c r="E76" i="21"/>
  <c r="I76" i="21"/>
  <c r="M76" i="21"/>
  <c r="Q76" i="21"/>
  <c r="F76" i="21"/>
  <c r="R76" i="21"/>
  <c r="J76" i="21"/>
  <c r="N76" i="21"/>
  <c r="G76" i="21"/>
  <c r="K76" i="21"/>
  <c r="O76" i="21"/>
  <c r="C76" i="21"/>
  <c r="H76" i="21"/>
  <c r="P76" i="21"/>
  <c r="D89" i="22"/>
  <c r="C14" i="34"/>
  <c r="C23" i="20"/>
  <c r="D141" i="20" l="1"/>
  <c r="R141" i="20"/>
  <c r="C63" i="20"/>
  <c r="C142" i="20" s="1"/>
  <c r="C62" i="20"/>
  <c r="D130" i="8"/>
  <c r="C33" i="6"/>
  <c r="C10" i="34"/>
  <c r="C49" i="34" s="1"/>
  <c r="C8" i="34"/>
  <c r="D14" i="37"/>
  <c r="D26" i="37" s="1"/>
  <c r="C9" i="34"/>
  <c r="C15" i="34"/>
  <c r="C27" i="6"/>
  <c r="C16" i="34"/>
  <c r="C16" i="23"/>
  <c r="C10" i="30"/>
  <c r="C11" i="23"/>
  <c r="C11" i="31"/>
  <c r="C14" i="30"/>
  <c r="C15" i="23"/>
  <c r="C15" i="31"/>
  <c r="C10" i="23"/>
  <c r="C10" i="31"/>
  <c r="C8" i="30"/>
  <c r="C9" i="23"/>
  <c r="C9" i="31"/>
  <c r="C17" i="23"/>
  <c r="C17" i="31"/>
  <c r="E89" i="22"/>
  <c r="F89" i="22" s="1"/>
  <c r="G89" i="22" s="1"/>
  <c r="H89" i="22" s="1"/>
  <c r="I89" i="22" s="1"/>
  <c r="J89" i="22" s="1"/>
  <c r="K89" i="22" s="1"/>
  <c r="L89" i="22" s="1"/>
  <c r="M89" i="22" s="1"/>
  <c r="N89" i="22" s="1"/>
  <c r="O89" i="22" s="1"/>
  <c r="P89" i="22" s="1"/>
  <c r="Q89" i="22" s="1"/>
  <c r="C16" i="31"/>
  <c r="C19" i="6"/>
  <c r="C28" i="6" s="1"/>
  <c r="C18" i="22"/>
  <c r="C17" i="20"/>
  <c r="C16" i="18"/>
  <c r="C18" i="16"/>
  <c r="C17" i="7"/>
  <c r="C17" i="8"/>
  <c r="C15" i="30"/>
  <c r="C9" i="30"/>
  <c r="C16" i="21"/>
  <c r="C16" i="30"/>
  <c r="C11" i="37"/>
  <c r="C10" i="37"/>
  <c r="C12" i="37"/>
  <c r="C17" i="10"/>
  <c r="C17" i="6"/>
  <c r="C15" i="20"/>
  <c r="C10" i="6"/>
  <c r="C37" i="6" s="1"/>
  <c r="C43" i="6" s="1"/>
  <c r="C75" i="6" s="1"/>
  <c r="C10" i="7"/>
  <c r="C9" i="18"/>
  <c r="C9" i="21"/>
  <c r="C11" i="16"/>
  <c r="C11" i="22"/>
  <c r="C10" i="20"/>
  <c r="C10" i="10"/>
  <c r="C10" i="22"/>
  <c r="C9" i="20"/>
  <c r="C9" i="10"/>
  <c r="C9" i="8"/>
  <c r="C8" i="21"/>
  <c r="C10" i="16"/>
  <c r="C9" i="6"/>
  <c r="C8" i="18"/>
  <c r="C9" i="7"/>
  <c r="C16" i="7"/>
  <c r="C17" i="22"/>
  <c r="C16" i="20"/>
  <c r="C15" i="21"/>
  <c r="C17" i="16"/>
  <c r="C16" i="6"/>
  <c r="C16" i="10"/>
  <c r="C16" i="8"/>
  <c r="C15" i="18"/>
  <c r="C10" i="21"/>
  <c r="C12" i="16"/>
  <c r="C11" i="6"/>
  <c r="C12" i="22"/>
  <c r="C11" i="20"/>
  <c r="C11" i="10"/>
  <c r="R113" i="10" s="1"/>
  <c r="C10" i="18"/>
  <c r="C11" i="7"/>
  <c r="C14" i="21"/>
  <c r="C16" i="16"/>
  <c r="C15" i="6"/>
  <c r="C16" i="22"/>
  <c r="C15" i="10"/>
  <c r="C15" i="8"/>
  <c r="C14" i="18"/>
  <c r="C15" i="7"/>
  <c r="K10" i="8" l="1"/>
  <c r="O10" i="8"/>
  <c r="S10" i="8"/>
  <c r="H9" i="8"/>
  <c r="L9" i="8"/>
  <c r="P9" i="8"/>
  <c r="T9" i="8"/>
  <c r="H10" i="8"/>
  <c r="L10" i="8"/>
  <c r="P10" i="8"/>
  <c r="T10" i="8"/>
  <c r="I9" i="8"/>
  <c r="M9" i="8"/>
  <c r="Q9" i="8"/>
  <c r="G9" i="8"/>
  <c r="I10" i="8"/>
  <c r="M10" i="8"/>
  <c r="Q10" i="8"/>
  <c r="G10" i="8"/>
  <c r="J9" i="8"/>
  <c r="N9" i="8"/>
  <c r="R9" i="8"/>
  <c r="J10" i="8"/>
  <c r="N10" i="8"/>
  <c r="R10" i="8"/>
  <c r="C18" i="8"/>
  <c r="C92" i="8" s="1"/>
  <c r="K9" i="8"/>
  <c r="O9" i="8"/>
  <c r="S9" i="8"/>
  <c r="C18" i="6"/>
  <c r="D16" i="15"/>
  <c r="D11" i="37"/>
  <c r="D20" i="37"/>
  <c r="D34" i="37" s="1"/>
  <c r="D24" i="37"/>
  <c r="D38" i="37" s="1"/>
  <c r="D19" i="37"/>
  <c r="D33" i="37" s="1"/>
  <c r="D21" i="37"/>
  <c r="D35" i="37" s="1"/>
  <c r="D25" i="37"/>
  <c r="D39" i="37" s="1"/>
  <c r="D23" i="37"/>
  <c r="D37" i="37" s="1"/>
  <c r="D22" i="37"/>
  <c r="D36" i="37" s="1"/>
  <c r="D18" i="37"/>
  <c r="D32" i="37" s="1"/>
  <c r="D10" i="37"/>
  <c r="C13" i="37"/>
  <c r="D12" i="37"/>
  <c r="D43" i="6"/>
  <c r="D72" i="15"/>
  <c r="C26" i="8" s="1"/>
  <c r="D26" i="8" s="1"/>
  <c r="E26" i="8" s="1"/>
  <c r="D71" i="15"/>
  <c r="C25" i="8" s="1"/>
  <c r="D25" i="8" s="1"/>
  <c r="C50" i="8" s="1"/>
  <c r="C27" i="8"/>
  <c r="C22" i="34"/>
  <c r="C50" i="34" s="1"/>
  <c r="C24" i="34"/>
  <c r="R117" i="10"/>
  <c r="R121" i="10" s="1"/>
  <c r="R116" i="10"/>
  <c r="R120" i="10" s="1"/>
  <c r="R115" i="10"/>
  <c r="R119" i="10" s="1"/>
  <c r="R114" i="10"/>
  <c r="R118" i="10" s="1"/>
  <c r="C38" i="6"/>
  <c r="C22" i="30"/>
  <c r="C59" i="30" s="1"/>
  <c r="C32" i="31"/>
  <c r="G32" i="31"/>
  <c r="K32" i="31"/>
  <c r="D32" i="31"/>
  <c r="H32" i="31"/>
  <c r="L32" i="31"/>
  <c r="E32" i="31"/>
  <c r="I32" i="31"/>
  <c r="B32" i="31"/>
  <c r="F32" i="31"/>
  <c r="J32" i="31"/>
  <c r="E79" i="30"/>
  <c r="P80" i="30"/>
  <c r="R80" i="30"/>
  <c r="O80" i="30"/>
  <c r="J79" i="30"/>
  <c r="Q80" i="30"/>
  <c r="N79" i="30"/>
  <c r="K79" i="30"/>
  <c r="I79" i="30"/>
  <c r="F79" i="30"/>
  <c r="L79" i="30"/>
  <c r="D79" i="30"/>
  <c r="M79" i="30"/>
  <c r="G79" i="30"/>
  <c r="H79" i="30"/>
  <c r="H43" i="15"/>
  <c r="C53" i="34" l="1"/>
  <c r="C56" i="34" s="1"/>
  <c r="C14" i="37"/>
  <c r="D13" i="37"/>
  <c r="C44" i="6"/>
  <c r="C45" i="6" s="1"/>
  <c r="D44" i="6"/>
  <c r="D45" i="6" s="1"/>
  <c r="E25" i="8"/>
  <c r="C67" i="8"/>
  <c r="D27" i="8"/>
  <c r="E27" i="8" s="1"/>
  <c r="C51" i="8"/>
  <c r="C68" i="8" s="1"/>
  <c r="R122" i="10"/>
  <c r="C39" i="6"/>
  <c r="B27" i="22"/>
  <c r="B26" i="23"/>
  <c r="C58" i="23" s="1"/>
  <c r="C83" i="30"/>
  <c r="C114" i="8" l="1"/>
  <c r="C70" i="34"/>
  <c r="E70" i="34" s="1"/>
  <c r="L74" i="6"/>
  <c r="C74" i="6"/>
  <c r="C76" i="6" s="1"/>
  <c r="O74" i="6"/>
  <c r="G74" i="6"/>
  <c r="I74" i="6"/>
  <c r="N74" i="6"/>
  <c r="P74" i="6"/>
  <c r="Q74" i="6"/>
  <c r="K74" i="6"/>
  <c r="E74" i="6"/>
  <c r="J74" i="6"/>
  <c r="D74" i="6"/>
  <c r="M74" i="6"/>
  <c r="H74" i="6"/>
  <c r="F74" i="6"/>
  <c r="C52" i="8"/>
  <c r="C69" i="8" s="1"/>
  <c r="D75" i="6"/>
  <c r="H75" i="6"/>
  <c r="L75" i="6"/>
  <c r="P75" i="6"/>
  <c r="F75" i="6"/>
  <c r="G75" i="6"/>
  <c r="O75" i="6"/>
  <c r="E75" i="6"/>
  <c r="I75" i="6"/>
  <c r="M75" i="6"/>
  <c r="Q75" i="6"/>
  <c r="J75" i="6"/>
  <c r="N75" i="6"/>
  <c r="K75" i="6"/>
  <c r="E32" i="22"/>
  <c r="C61" i="22"/>
  <c r="E32" i="23"/>
  <c r="E36" i="23"/>
  <c r="E40" i="23"/>
  <c r="E52" i="23"/>
  <c r="E33" i="23"/>
  <c r="E37" i="23"/>
  <c r="E41" i="23"/>
  <c r="E45" i="23"/>
  <c r="E49" i="23"/>
  <c r="E53" i="23"/>
  <c r="E48" i="23"/>
  <c r="E34" i="23"/>
  <c r="E38" i="23"/>
  <c r="E42" i="23"/>
  <c r="E46" i="23"/>
  <c r="E50" i="23"/>
  <c r="E54" i="23"/>
  <c r="E31" i="23"/>
  <c r="E35" i="23"/>
  <c r="E39" i="23"/>
  <c r="E43" i="23"/>
  <c r="E47" i="23"/>
  <c r="E51" i="23"/>
  <c r="E30" i="23"/>
  <c r="E44" i="23"/>
  <c r="C56" i="10"/>
  <c r="C60" i="10" s="1"/>
  <c r="E34" i="22"/>
  <c r="E38" i="22"/>
  <c r="E42" i="22"/>
  <c r="E46" i="22"/>
  <c r="E50" i="22"/>
  <c r="E54" i="22"/>
  <c r="E35" i="22"/>
  <c r="E39" i="22"/>
  <c r="E43" i="22"/>
  <c r="E47" i="22"/>
  <c r="E51" i="22"/>
  <c r="E55" i="22"/>
  <c r="E36" i="22"/>
  <c r="E40" i="22"/>
  <c r="E44" i="22"/>
  <c r="E48" i="22"/>
  <c r="E52" i="22"/>
  <c r="E56" i="22"/>
  <c r="E33" i="22"/>
  <c r="E37" i="22"/>
  <c r="E41" i="22"/>
  <c r="E45" i="22"/>
  <c r="E49" i="22"/>
  <c r="E53" i="22"/>
  <c r="C86" i="30"/>
  <c r="C90" i="22" l="1"/>
  <c r="D90" i="22" s="1"/>
  <c r="C63" i="22"/>
  <c r="G70" i="34"/>
  <c r="D70" i="34"/>
  <c r="M70" i="34"/>
  <c r="O70" i="34"/>
  <c r="F70" i="34"/>
  <c r="J70" i="34"/>
  <c r="H70" i="34"/>
  <c r="P70" i="34"/>
  <c r="R70" i="34"/>
  <c r="Q70" i="34"/>
  <c r="N70" i="34"/>
  <c r="K70" i="34"/>
  <c r="I70" i="34"/>
  <c r="L70" i="34"/>
  <c r="L76" i="6"/>
  <c r="E76" i="6"/>
  <c r="N76" i="6"/>
  <c r="G76" i="6"/>
  <c r="O76" i="6"/>
  <c r="I76" i="6"/>
  <c r="D76" i="6"/>
  <c r="P76" i="6"/>
  <c r="J76" i="6"/>
  <c r="K76" i="6"/>
  <c r="M76" i="6"/>
  <c r="H76" i="6"/>
  <c r="Q76" i="6"/>
  <c r="F76" i="6"/>
  <c r="E55" i="23"/>
  <c r="E57" i="22"/>
  <c r="C76" i="23"/>
  <c r="C60" i="23"/>
  <c r="L90" i="22" l="1"/>
  <c r="H90" i="22"/>
  <c r="R90" i="22"/>
  <c r="I90" i="22"/>
  <c r="E90" i="22"/>
  <c r="M90" i="22"/>
  <c r="N90" i="22"/>
  <c r="G90" i="22"/>
  <c r="F90" i="22"/>
  <c r="P90" i="22"/>
  <c r="J90" i="22"/>
  <c r="K90" i="22"/>
  <c r="Q90" i="22"/>
  <c r="O90" i="22"/>
  <c r="C74" i="34"/>
  <c r="C77" i="34" s="1"/>
  <c r="H76" i="23"/>
  <c r="L76" i="23"/>
  <c r="P76" i="23"/>
  <c r="E76" i="23"/>
  <c r="I76" i="23"/>
  <c r="M76" i="23"/>
  <c r="Q76" i="23"/>
  <c r="F76" i="23"/>
  <c r="J76" i="23"/>
  <c r="N76" i="23"/>
  <c r="R76" i="23"/>
  <c r="G76" i="23"/>
  <c r="K76" i="23"/>
  <c r="O76" i="23"/>
  <c r="D76" i="23"/>
  <c r="C93" i="22" l="1"/>
  <c r="C79" i="23"/>
  <c r="C96" i="22" l="1"/>
  <c r="C82" i="23"/>
  <c r="L57" i="20"/>
  <c r="G33" i="20"/>
  <c r="G34" i="20"/>
  <c r="G35" i="20"/>
  <c r="G36" i="20"/>
  <c r="G37" i="20"/>
  <c r="G38" i="20"/>
  <c r="G39" i="20"/>
  <c r="G40" i="20"/>
  <c r="G32" i="20"/>
  <c r="C143" i="20" l="1"/>
  <c r="C133" i="20"/>
  <c r="J134" i="20"/>
  <c r="E134" i="20"/>
  <c r="K134" i="20"/>
  <c r="D134" i="20"/>
  <c r="I109" i="20"/>
  <c r="D101" i="20"/>
  <c r="H109" i="20" s="1"/>
  <c r="C110" i="20"/>
  <c r="C64" i="20" l="1"/>
  <c r="D111" i="20"/>
  <c r="E111" i="20"/>
  <c r="R140" i="20"/>
  <c r="C90" i="20" l="1"/>
  <c r="C94" i="20" s="1"/>
  <c r="R142" i="20"/>
  <c r="R143" i="20" s="1"/>
  <c r="E140" i="20" l="1"/>
  <c r="D142" i="20"/>
  <c r="D143" i="20" s="1"/>
  <c r="Q78" i="21"/>
  <c r="Q79" i="21" s="1"/>
  <c r="P78" i="21"/>
  <c r="P79" i="21" s="1"/>
  <c r="O78" i="21"/>
  <c r="O79" i="21" s="1"/>
  <c r="N78" i="21"/>
  <c r="N79" i="21" s="1"/>
  <c r="M78" i="21"/>
  <c r="M79" i="21" s="1"/>
  <c r="L78" i="21"/>
  <c r="L79" i="21" s="1"/>
  <c r="K78" i="21"/>
  <c r="K79" i="21" s="1"/>
  <c r="J78" i="21"/>
  <c r="J79" i="21" s="1"/>
  <c r="I78" i="21"/>
  <c r="I79" i="21" s="1"/>
  <c r="H78" i="21"/>
  <c r="H79" i="21" s="1"/>
  <c r="G78" i="21"/>
  <c r="G79" i="21" s="1"/>
  <c r="F78" i="21"/>
  <c r="F79" i="21" s="1"/>
  <c r="E78" i="21"/>
  <c r="E79" i="21" s="1"/>
  <c r="D78" i="21"/>
  <c r="D79" i="21" s="1"/>
  <c r="R77" i="21"/>
  <c r="R78" i="21" s="1"/>
  <c r="R79" i="21" s="1"/>
  <c r="C77" i="21"/>
  <c r="C78" i="21" s="1"/>
  <c r="C79" i="21" s="1"/>
  <c r="C83" i="21" l="1"/>
  <c r="F140" i="20"/>
  <c r="E141" i="20"/>
  <c r="K133" i="20"/>
  <c r="J133" i="20"/>
  <c r="I133" i="20"/>
  <c r="E133" i="20"/>
  <c r="D133" i="20"/>
  <c r="E110" i="20"/>
  <c r="D110" i="20"/>
  <c r="C86" i="21" l="1"/>
  <c r="G140" i="20"/>
  <c r="F141" i="20"/>
  <c r="G41" i="20"/>
  <c r="H140" i="20" l="1"/>
  <c r="G141" i="20"/>
  <c r="G142" i="20" s="1"/>
  <c r="G143" i="20" s="1"/>
  <c r="F142" i="20"/>
  <c r="F143" i="20" s="1"/>
  <c r="E142" i="20"/>
  <c r="E143" i="20" s="1"/>
  <c r="I140" i="20" l="1"/>
  <c r="H141" i="20"/>
  <c r="H142" i="20" s="1"/>
  <c r="H143" i="20" s="1"/>
  <c r="C198" i="18"/>
  <c r="C197" i="18"/>
  <c r="C188" i="18"/>
  <c r="C187" i="18"/>
  <c r="H178" i="18"/>
  <c r="H177" i="18"/>
  <c r="H176" i="18"/>
  <c r="H175" i="18"/>
  <c r="H174" i="18"/>
  <c r="H173" i="18"/>
  <c r="C165" i="18"/>
  <c r="G173" i="18" s="1"/>
  <c r="I173" i="18" s="1"/>
  <c r="C133" i="18"/>
  <c r="D122" i="18"/>
  <c r="D32" i="18"/>
  <c r="E32" i="18" s="1"/>
  <c r="D31" i="18"/>
  <c r="E31" i="18" s="1"/>
  <c r="C199" i="18" l="1"/>
  <c r="J173" i="18"/>
  <c r="C189" i="18"/>
  <c r="J140" i="20"/>
  <c r="I141" i="20"/>
  <c r="I142" i="20" s="1"/>
  <c r="I143" i="20" s="1"/>
  <c r="G175" i="18"/>
  <c r="I175" i="18" s="1"/>
  <c r="J175" i="18" s="1"/>
  <c r="G177" i="18"/>
  <c r="I177" i="18" s="1"/>
  <c r="J177" i="18" s="1"/>
  <c r="G174" i="18"/>
  <c r="I174" i="18" s="1"/>
  <c r="J174" i="18" s="1"/>
  <c r="G176" i="18"/>
  <c r="I176" i="18" s="1"/>
  <c r="J176" i="18" s="1"/>
  <c r="G178" i="18"/>
  <c r="I178" i="18" s="1"/>
  <c r="J178" i="18" s="1"/>
  <c r="C95" i="18"/>
  <c r="R112" i="10"/>
  <c r="Q112" i="10"/>
  <c r="P112" i="10"/>
  <c r="O112" i="10"/>
  <c r="N112" i="10"/>
  <c r="M112" i="10"/>
  <c r="L112" i="10"/>
  <c r="K112" i="10"/>
  <c r="J112" i="10"/>
  <c r="I112" i="10"/>
  <c r="H112" i="10"/>
  <c r="G112" i="10"/>
  <c r="F112" i="10"/>
  <c r="E112" i="10"/>
  <c r="K140" i="20" l="1"/>
  <c r="J141" i="20"/>
  <c r="J142" i="20" s="1"/>
  <c r="J143" i="20" s="1"/>
  <c r="L140" i="20" l="1"/>
  <c r="K141" i="20"/>
  <c r="K142" i="20" s="1"/>
  <c r="K143" i="20" s="1"/>
  <c r="M140" i="20" l="1"/>
  <c r="L141" i="20"/>
  <c r="L142" i="20" s="1"/>
  <c r="L143" i="20" s="1"/>
  <c r="N140" i="20" l="1"/>
  <c r="M141" i="20"/>
  <c r="M142" i="20" s="1"/>
  <c r="M143" i="20" s="1"/>
  <c r="D113" i="10" l="1"/>
  <c r="O140" i="20"/>
  <c r="N141" i="20"/>
  <c r="N142" i="20" s="1"/>
  <c r="N143" i="20" s="1"/>
  <c r="E48" i="16"/>
  <c r="E47" i="16"/>
  <c r="G47" i="16" s="1"/>
  <c r="C47" i="16"/>
  <c r="G46" i="16"/>
  <c r="D117" i="10" l="1"/>
  <c r="D121" i="10" s="1"/>
  <c r="D116" i="10"/>
  <c r="D120" i="10" s="1"/>
  <c r="D115" i="10"/>
  <c r="D119" i="10" s="1"/>
  <c r="D114" i="10"/>
  <c r="D118" i="10" s="1"/>
  <c r="E113" i="10"/>
  <c r="P140" i="20"/>
  <c r="O141" i="20"/>
  <c r="O142" i="20" s="1"/>
  <c r="O143" i="20" s="1"/>
  <c r="G48" i="16"/>
  <c r="C49" i="16"/>
  <c r="E49" i="16"/>
  <c r="F46" i="16" s="1"/>
  <c r="D75" i="16" s="1"/>
  <c r="D122" i="10" l="1"/>
  <c r="E117" i="10"/>
  <c r="E121" i="10" s="1"/>
  <c r="E116" i="10"/>
  <c r="E120" i="10" s="1"/>
  <c r="E115" i="10"/>
  <c r="E119" i="10" s="1"/>
  <c r="E114" i="10"/>
  <c r="E118" i="10" s="1"/>
  <c r="F113" i="10"/>
  <c r="Q140" i="20"/>
  <c r="Q141" i="20" s="1"/>
  <c r="Q142" i="20" s="1"/>
  <c r="Q143" i="20" s="1"/>
  <c r="P141" i="20"/>
  <c r="P142" i="20" s="1"/>
  <c r="P143" i="20" s="1"/>
  <c r="D48" i="16"/>
  <c r="D39" i="16" s="1"/>
  <c r="C39" i="16" s="1"/>
  <c r="D46" i="16"/>
  <c r="D37" i="16" s="1"/>
  <c r="C37" i="16" s="1"/>
  <c r="C75" i="16" s="1"/>
  <c r="D47" i="16"/>
  <c r="D38" i="16" s="1"/>
  <c r="C38" i="16" s="1"/>
  <c r="F48" i="16"/>
  <c r="D77" i="16" s="1"/>
  <c r="F47" i="16"/>
  <c r="D76" i="16" s="1"/>
  <c r="C146" i="20" l="1"/>
  <c r="C149" i="20" s="1"/>
  <c r="E122" i="10"/>
  <c r="F117" i="10"/>
  <c r="F121" i="10" s="1"/>
  <c r="F116" i="10"/>
  <c r="F120" i="10" s="1"/>
  <c r="F115" i="10"/>
  <c r="F119" i="10" s="1"/>
  <c r="F114" i="10"/>
  <c r="F118" i="10" s="1"/>
  <c r="G113" i="10"/>
  <c r="C77" i="16"/>
  <c r="C108" i="16"/>
  <c r="C76" i="16"/>
  <c r="C107" i="16"/>
  <c r="D49" i="16"/>
  <c r="D40" i="16" s="1"/>
  <c r="F49" i="16"/>
  <c r="F122" i="10" l="1"/>
  <c r="G116" i="10"/>
  <c r="G120" i="10" s="1"/>
  <c r="G117" i="10"/>
  <c r="G121" i="10" s="1"/>
  <c r="G115" i="10"/>
  <c r="G119" i="10" s="1"/>
  <c r="G114" i="10"/>
  <c r="G118" i="10" s="1"/>
  <c r="H13" i="17"/>
  <c r="H113" i="10"/>
  <c r="C106" i="16"/>
  <c r="C78" i="16"/>
  <c r="C118" i="16"/>
  <c r="C119" i="16" s="1"/>
  <c r="E107" i="16"/>
  <c r="G107" i="16" s="1"/>
  <c r="H107" i="16" s="1"/>
  <c r="R118" i="16" s="1"/>
  <c r="C120" i="16"/>
  <c r="C121" i="16" s="1"/>
  <c r="D78" i="16"/>
  <c r="G96" i="8"/>
  <c r="R109" i="8"/>
  <c r="S109" i="8"/>
  <c r="T109" i="8"/>
  <c r="U109" i="8"/>
  <c r="V109" i="8"/>
  <c r="W109" i="8"/>
  <c r="X109" i="8"/>
  <c r="Y109" i="8"/>
  <c r="Z109" i="8"/>
  <c r="AA109" i="8"/>
  <c r="G122" i="10" l="1"/>
  <c r="H117" i="10"/>
  <c r="H121" i="10" s="1"/>
  <c r="H116" i="10"/>
  <c r="H120" i="10" s="1"/>
  <c r="H115" i="10"/>
  <c r="H119" i="10" s="1"/>
  <c r="H114" i="10"/>
  <c r="H118" i="10" s="1"/>
  <c r="I113" i="10"/>
  <c r="R119" i="16"/>
  <c r="N118" i="16"/>
  <c r="N119" i="16" s="1"/>
  <c r="E118" i="16"/>
  <c r="E119" i="16" s="1"/>
  <c r="Q118" i="16"/>
  <c r="Q119" i="16" s="1"/>
  <c r="P118" i="16"/>
  <c r="P119" i="16" s="1"/>
  <c r="G118" i="16"/>
  <c r="G119" i="16" s="1"/>
  <c r="O118" i="16"/>
  <c r="O119" i="16" s="1"/>
  <c r="I118" i="16"/>
  <c r="I119" i="16" s="1"/>
  <c r="L118" i="16"/>
  <c r="L119" i="16" s="1"/>
  <c r="K118" i="16"/>
  <c r="K119" i="16" s="1"/>
  <c r="H118" i="16"/>
  <c r="H119" i="16" s="1"/>
  <c r="J118" i="16"/>
  <c r="J119" i="16" s="1"/>
  <c r="F118" i="16"/>
  <c r="F119" i="16" s="1"/>
  <c r="D118" i="16"/>
  <c r="D119" i="16" s="1"/>
  <c r="M118" i="16"/>
  <c r="G92" i="16"/>
  <c r="O92" i="16"/>
  <c r="P92" i="16"/>
  <c r="M92" i="16"/>
  <c r="H92" i="16"/>
  <c r="J92" i="16"/>
  <c r="N92" i="16"/>
  <c r="E92" i="16"/>
  <c r="F92" i="16"/>
  <c r="C92" i="16"/>
  <c r="L92" i="16"/>
  <c r="Q92" i="16"/>
  <c r="K92" i="16"/>
  <c r="I92" i="16"/>
  <c r="D92" i="16"/>
  <c r="C116" i="16"/>
  <c r="E106" i="16"/>
  <c r="G106" i="16" s="1"/>
  <c r="H106" i="16" s="1"/>
  <c r="C109" i="16"/>
  <c r="H93" i="16"/>
  <c r="F93" i="16"/>
  <c r="N93" i="16"/>
  <c r="J93" i="16"/>
  <c r="G93" i="16"/>
  <c r="M93" i="16"/>
  <c r="E93" i="16"/>
  <c r="I93" i="16"/>
  <c r="C93" i="16"/>
  <c r="Q93" i="16"/>
  <c r="K93" i="16"/>
  <c r="P93" i="16"/>
  <c r="O93" i="16"/>
  <c r="D93" i="16"/>
  <c r="L93" i="16"/>
  <c r="M119" i="16" l="1"/>
  <c r="C125" i="16" s="1"/>
  <c r="H122" i="10"/>
  <c r="I117" i="10"/>
  <c r="I121" i="10" s="1"/>
  <c r="I116" i="10"/>
  <c r="I120" i="10" s="1"/>
  <c r="I115" i="10"/>
  <c r="I119" i="10" s="1"/>
  <c r="I114" i="10"/>
  <c r="I118" i="10" s="1"/>
  <c r="J113" i="10"/>
  <c r="R116" i="16"/>
  <c r="R117" i="16" s="1"/>
  <c r="C117" i="16"/>
  <c r="G109" i="16"/>
  <c r="E109" i="16"/>
  <c r="E108" i="16" s="1"/>
  <c r="S92" i="16"/>
  <c r="S93" i="16"/>
  <c r="E109" i="8"/>
  <c r="D106" i="8"/>
  <c r="E106" i="8"/>
  <c r="F106" i="8"/>
  <c r="G106" i="8"/>
  <c r="H106" i="8"/>
  <c r="I106" i="8"/>
  <c r="J106" i="8"/>
  <c r="K106" i="8"/>
  <c r="L106" i="8"/>
  <c r="M106" i="8"/>
  <c r="N106" i="8"/>
  <c r="O106" i="8"/>
  <c r="P106" i="8"/>
  <c r="Q106" i="8"/>
  <c r="C106" i="8"/>
  <c r="C97" i="8"/>
  <c r="C98" i="8"/>
  <c r="D61" i="8"/>
  <c r="E61" i="8"/>
  <c r="F61" i="8"/>
  <c r="G61" i="8"/>
  <c r="H61" i="8"/>
  <c r="I61" i="8"/>
  <c r="J61" i="8"/>
  <c r="K61" i="8"/>
  <c r="L61" i="8"/>
  <c r="M61" i="8"/>
  <c r="N61" i="8"/>
  <c r="O61" i="8"/>
  <c r="P61" i="8"/>
  <c r="Q61" i="8"/>
  <c r="C13" i="30"/>
  <c r="K29" i="46" l="1"/>
  <c r="S29" i="43"/>
  <c r="X29" i="43" s="1"/>
  <c r="AA29" i="43" s="1"/>
  <c r="K28" i="46"/>
  <c r="I122" i="10"/>
  <c r="J117" i="10"/>
  <c r="J121" i="10" s="1"/>
  <c r="J116" i="10"/>
  <c r="J120" i="10" s="1"/>
  <c r="J115" i="10"/>
  <c r="J119" i="10" s="1"/>
  <c r="J114" i="10"/>
  <c r="J118" i="10" s="1"/>
  <c r="K113" i="10"/>
  <c r="P116" i="16"/>
  <c r="P117" i="16" s="1"/>
  <c r="O116" i="16"/>
  <c r="O117" i="16" s="1"/>
  <c r="N116" i="16"/>
  <c r="N117" i="16" s="1"/>
  <c r="I116" i="16"/>
  <c r="I117" i="16" s="1"/>
  <c r="K116" i="16"/>
  <c r="K117" i="16" s="1"/>
  <c r="L116" i="16"/>
  <c r="L117" i="16" s="1"/>
  <c r="D116" i="16"/>
  <c r="D117" i="16" s="1"/>
  <c r="C15" i="22"/>
  <c r="C13" i="21"/>
  <c r="C14" i="20"/>
  <c r="C14" i="10"/>
  <c r="C15" i="16"/>
  <c r="C14" i="6"/>
  <c r="C14" i="8"/>
  <c r="C13" i="18"/>
  <c r="C14" i="7"/>
  <c r="S94" i="16"/>
  <c r="G97" i="8"/>
  <c r="Q116" i="16"/>
  <c r="Q117" i="16" s="1"/>
  <c r="M116" i="16"/>
  <c r="H116" i="16"/>
  <c r="H117" i="16" s="1"/>
  <c r="E116" i="16"/>
  <c r="E117" i="16" s="1"/>
  <c r="D108" i="16"/>
  <c r="G108" i="16"/>
  <c r="G116" i="16"/>
  <c r="G117" i="16" s="1"/>
  <c r="J116" i="16"/>
  <c r="J117" i="16" s="1"/>
  <c r="F116" i="16"/>
  <c r="F117" i="16" s="1"/>
  <c r="N107" i="8"/>
  <c r="Q107" i="8"/>
  <c r="M107" i="8"/>
  <c r="I107" i="8"/>
  <c r="E107" i="8"/>
  <c r="J107" i="8"/>
  <c r="H107" i="8"/>
  <c r="D107" i="8"/>
  <c r="C107" i="8"/>
  <c r="F107" i="8"/>
  <c r="P107" i="8"/>
  <c r="L107" i="8"/>
  <c r="O107" i="8"/>
  <c r="K107" i="8"/>
  <c r="G107" i="8"/>
  <c r="G53" i="7"/>
  <c r="S54" i="43" l="1"/>
  <c r="X54" i="43" s="1"/>
  <c r="AA54" i="43" s="1"/>
  <c r="S55" i="43"/>
  <c r="X55" i="43" s="1"/>
  <c r="AA55" i="43" s="1"/>
  <c r="S28" i="43"/>
  <c r="X28" i="43" s="1"/>
  <c r="AA28" i="43" s="1"/>
  <c r="K55" i="46"/>
  <c r="M117" i="16"/>
  <c r="C124" i="16" s="1"/>
  <c r="K54" i="46"/>
  <c r="C96" i="16"/>
  <c r="J122" i="10"/>
  <c r="K117" i="10"/>
  <c r="K121" i="10" s="1"/>
  <c r="K115" i="10"/>
  <c r="K119" i="10" s="1"/>
  <c r="K114" i="10"/>
  <c r="K118" i="10" s="1"/>
  <c r="K116" i="10"/>
  <c r="K120" i="10" s="1"/>
  <c r="L113" i="10"/>
  <c r="F108" i="16"/>
  <c r="H108" i="16"/>
  <c r="S52" i="43" l="1"/>
  <c r="X52" i="43" s="1"/>
  <c r="AA52" i="43" s="1"/>
  <c r="K122" i="10"/>
  <c r="L117" i="10"/>
  <c r="L121" i="10" s="1"/>
  <c r="L116" i="10"/>
  <c r="L120" i="10" s="1"/>
  <c r="L115" i="10"/>
  <c r="L119" i="10" s="1"/>
  <c r="L114" i="10"/>
  <c r="L118" i="10" s="1"/>
  <c r="M113" i="10"/>
  <c r="R120" i="16"/>
  <c r="H109" i="16"/>
  <c r="S53" i="43" l="1"/>
  <c r="X53" i="43" s="1"/>
  <c r="AA53" i="43" s="1"/>
  <c r="K53" i="46"/>
  <c r="K52" i="46"/>
  <c r="L122" i="10"/>
  <c r="M117" i="10"/>
  <c r="M121" i="10" s="1"/>
  <c r="M116" i="10"/>
  <c r="M120" i="10" s="1"/>
  <c r="M115" i="10"/>
  <c r="M119" i="10" s="1"/>
  <c r="M114" i="10"/>
  <c r="M118" i="10" s="1"/>
  <c r="N113" i="10"/>
  <c r="D120" i="16"/>
  <c r="D121" i="16" s="1"/>
  <c r="K120" i="16"/>
  <c r="K121" i="16" s="1"/>
  <c r="H120" i="16"/>
  <c r="H121" i="16" s="1"/>
  <c r="R121" i="16"/>
  <c r="Q120" i="16"/>
  <c r="Q121" i="16" s="1"/>
  <c r="M120" i="16"/>
  <c r="O120" i="16"/>
  <c r="O121" i="16" s="1"/>
  <c r="F120" i="16"/>
  <c r="F121" i="16" s="1"/>
  <c r="I120" i="16"/>
  <c r="I121" i="16" s="1"/>
  <c r="L120" i="16"/>
  <c r="L121" i="16" s="1"/>
  <c r="J120" i="16"/>
  <c r="J121" i="16" s="1"/>
  <c r="P120" i="16"/>
  <c r="P121" i="16" s="1"/>
  <c r="N120" i="16"/>
  <c r="N121" i="16" s="1"/>
  <c r="G120" i="16"/>
  <c r="G121" i="16" s="1"/>
  <c r="E120" i="16"/>
  <c r="E121" i="16" s="1"/>
  <c r="M121" i="16" l="1"/>
  <c r="C126" i="16" s="1"/>
  <c r="C127" i="16" s="1"/>
  <c r="C129" i="16" s="1"/>
  <c r="H9" i="17" s="1"/>
  <c r="M122" i="10"/>
  <c r="N117" i="10"/>
  <c r="N121" i="10" s="1"/>
  <c r="N116" i="10"/>
  <c r="N120" i="10" s="1"/>
  <c r="N115" i="10"/>
  <c r="N119" i="10" s="1"/>
  <c r="N114" i="10"/>
  <c r="N118" i="10" s="1"/>
  <c r="O113" i="10"/>
  <c r="N122" i="10" l="1"/>
  <c r="O116" i="10"/>
  <c r="O120" i="10" s="1"/>
  <c r="O115" i="10"/>
  <c r="O119" i="10" s="1"/>
  <c r="O114" i="10"/>
  <c r="O118" i="10" s="1"/>
  <c r="O117" i="10"/>
  <c r="O121" i="10" s="1"/>
  <c r="P113" i="10"/>
  <c r="C132" i="16"/>
  <c r="S56" i="43" l="1"/>
  <c r="X56" i="43" s="1"/>
  <c r="AA56" i="43" s="1"/>
  <c r="S57" i="43"/>
  <c r="X57" i="43" s="1"/>
  <c r="AA57" i="43" s="1"/>
  <c r="K57" i="46"/>
  <c r="K56" i="46"/>
  <c r="O122" i="10"/>
  <c r="P117" i="10"/>
  <c r="P121" i="10" s="1"/>
  <c r="P116" i="10"/>
  <c r="P120" i="10" s="1"/>
  <c r="P115" i="10"/>
  <c r="P119" i="10" s="1"/>
  <c r="P114" i="10"/>
  <c r="P118" i="10" s="1"/>
  <c r="Q113" i="10"/>
  <c r="D55" i="7"/>
  <c r="D54" i="7"/>
  <c r="P122" i="10" l="1"/>
  <c r="Q117" i="10"/>
  <c r="Q121" i="10" s="1"/>
  <c r="Q116" i="10"/>
  <c r="Q120" i="10" s="1"/>
  <c r="Q115" i="10"/>
  <c r="Q119" i="10" s="1"/>
  <c r="Q114" i="10"/>
  <c r="Q118" i="10" s="1"/>
  <c r="E54" i="7"/>
  <c r="F54" i="7" s="1"/>
  <c r="D56" i="7"/>
  <c r="D57" i="7"/>
  <c r="C55" i="7"/>
  <c r="E55" i="7" s="1"/>
  <c r="F55" i="7" s="1"/>
  <c r="C56" i="7"/>
  <c r="C57" i="7"/>
  <c r="Q122" i="10" l="1"/>
  <c r="C127" i="10" s="1"/>
  <c r="C130" i="10" s="1"/>
  <c r="G54" i="7"/>
  <c r="C73" i="7" s="1"/>
  <c r="G55" i="7"/>
  <c r="C74" i="7" s="1"/>
  <c r="E57" i="7"/>
  <c r="E56" i="7"/>
  <c r="F57" i="7" l="1"/>
  <c r="G57" i="7" s="1"/>
  <c r="C76" i="7" s="1"/>
  <c r="F56" i="7"/>
  <c r="G56" i="7" s="1"/>
  <c r="C75" i="7" s="1"/>
  <c r="G58" i="7" l="1"/>
  <c r="C56" i="6" l="1"/>
  <c r="C61" i="6" s="1"/>
  <c r="L77" i="6"/>
  <c r="C77" i="6"/>
  <c r="H77" i="6"/>
  <c r="D77" i="6"/>
  <c r="I77" i="6"/>
  <c r="O77" i="6"/>
  <c r="G77" i="6"/>
  <c r="Q77" i="6"/>
  <c r="M77" i="6"/>
  <c r="K77" i="6"/>
  <c r="J77" i="6"/>
  <c r="P77" i="6"/>
  <c r="N77" i="6"/>
  <c r="E77" i="6"/>
  <c r="F77" i="6"/>
  <c r="D96" i="8"/>
  <c r="C79" i="6" l="1"/>
  <c r="H8" i="17" s="1"/>
  <c r="C109" i="8"/>
  <c r="C116" i="8" l="1"/>
  <c r="C115" i="8"/>
  <c r="D98" i="8"/>
  <c r="F109" i="8"/>
  <c r="F137" i="8" s="1"/>
  <c r="F138" i="8" s="1"/>
  <c r="F139" i="8" s="1"/>
  <c r="D109" i="8"/>
  <c r="D137" i="8" s="1"/>
  <c r="D138" i="8" s="1"/>
  <c r="D139" i="8" s="1"/>
  <c r="G98" i="8" l="1"/>
  <c r="E97" i="8"/>
  <c r="E67" i="8"/>
  <c r="I67" i="8"/>
  <c r="M67" i="8"/>
  <c r="Q67" i="8"/>
  <c r="H67" i="8"/>
  <c r="F67" i="8"/>
  <c r="J67" i="8"/>
  <c r="N67" i="8"/>
  <c r="P67" i="8"/>
  <c r="G67" i="8"/>
  <c r="K67" i="8"/>
  <c r="O67" i="8"/>
  <c r="D67" i="8"/>
  <c r="L67" i="8"/>
  <c r="D115" i="8"/>
  <c r="D114" i="8"/>
  <c r="G68" i="8"/>
  <c r="K68" i="8"/>
  <c r="O68" i="8"/>
  <c r="F68" i="8"/>
  <c r="D68" i="8"/>
  <c r="H68" i="8"/>
  <c r="L68" i="8"/>
  <c r="P68" i="8"/>
  <c r="N68" i="8"/>
  <c r="E68" i="8"/>
  <c r="I68" i="8"/>
  <c r="M68" i="8"/>
  <c r="Q68" i="8"/>
  <c r="J68" i="8"/>
  <c r="E115" i="8"/>
  <c r="E114" i="8"/>
  <c r="F114" i="8"/>
  <c r="F115" i="8"/>
  <c r="C77" i="7"/>
  <c r="H12" i="17" s="1"/>
  <c r="C78" i="8" l="1"/>
  <c r="C82" i="7"/>
  <c r="H108" i="8"/>
  <c r="J108" i="8"/>
  <c r="I108" i="8"/>
  <c r="G108" i="8"/>
  <c r="D116" i="8"/>
  <c r="E69" i="8"/>
  <c r="D69" i="8"/>
  <c r="N69" i="8"/>
  <c r="K69" i="8"/>
  <c r="F116" i="8"/>
  <c r="P69" i="8"/>
  <c r="O69" i="8"/>
  <c r="Q69" i="8"/>
  <c r="E116" i="8"/>
  <c r="I69" i="8"/>
  <c r="G69" i="8"/>
  <c r="M69" i="8"/>
  <c r="F69" i="8"/>
  <c r="L69" i="8"/>
  <c r="H69" i="8"/>
  <c r="J69" i="8"/>
  <c r="C79" i="8"/>
  <c r="D79" i="8" s="1"/>
  <c r="K108" i="8" l="1"/>
  <c r="G109" i="8"/>
  <c r="G137" i="8" s="1"/>
  <c r="G138" i="8" s="1"/>
  <c r="G139" i="8" s="1"/>
  <c r="M108" i="8"/>
  <c r="I109" i="8"/>
  <c r="I137" i="8" s="1"/>
  <c r="I138" i="8" s="1"/>
  <c r="I139" i="8" s="1"/>
  <c r="N108" i="8"/>
  <c r="N109" i="8" s="1"/>
  <c r="N137" i="8" s="1"/>
  <c r="N138" i="8" s="1"/>
  <c r="N139" i="8" s="1"/>
  <c r="J109" i="8"/>
  <c r="J137" i="8" s="1"/>
  <c r="J138" i="8" s="1"/>
  <c r="J139" i="8" s="1"/>
  <c r="L108" i="8"/>
  <c r="H109" i="8"/>
  <c r="H137" i="8" s="1"/>
  <c r="H138" i="8" s="1"/>
  <c r="H139" i="8" s="1"/>
  <c r="C80" i="8"/>
  <c r="D80" i="8" s="1"/>
  <c r="I115" i="8" l="1"/>
  <c r="I114" i="8"/>
  <c r="I116" i="8"/>
  <c r="P108" i="8"/>
  <c r="P109" i="8" s="1"/>
  <c r="P137" i="8" s="1"/>
  <c r="P138" i="8" s="1"/>
  <c r="P139" i="8" s="1"/>
  <c r="L109" i="8"/>
  <c r="L137" i="8" s="1"/>
  <c r="L138" i="8" s="1"/>
  <c r="L139" i="8" s="1"/>
  <c r="Q108" i="8"/>
  <c r="Q109" i="8" s="1"/>
  <c r="Q137" i="8" s="1"/>
  <c r="Q138" i="8" s="1"/>
  <c r="Q139" i="8" s="1"/>
  <c r="M109" i="8"/>
  <c r="M137" i="8" s="1"/>
  <c r="M138" i="8" s="1"/>
  <c r="M139" i="8" s="1"/>
  <c r="J114" i="8"/>
  <c r="J115" i="8"/>
  <c r="J116" i="8"/>
  <c r="G115" i="8"/>
  <c r="G114" i="8"/>
  <c r="G116" i="8"/>
  <c r="H114" i="8"/>
  <c r="H115" i="8"/>
  <c r="H116" i="8"/>
  <c r="N115" i="8"/>
  <c r="N114" i="8"/>
  <c r="N116" i="8"/>
  <c r="O108" i="8"/>
  <c r="O109" i="8" s="1"/>
  <c r="O137" i="8" s="1"/>
  <c r="O138" i="8" s="1"/>
  <c r="O139" i="8" s="1"/>
  <c r="K109" i="8"/>
  <c r="K137" i="8" s="1"/>
  <c r="K138" i="8" s="1"/>
  <c r="K139" i="8" s="1"/>
  <c r="C144" i="8" l="1"/>
  <c r="P115" i="8"/>
  <c r="P114" i="8"/>
  <c r="P116" i="8"/>
  <c r="M114" i="8"/>
  <c r="M115" i="8"/>
  <c r="M116" i="8"/>
  <c r="O115" i="8"/>
  <c r="O114" i="8"/>
  <c r="O116" i="8"/>
  <c r="Q114" i="8"/>
  <c r="Q115" i="8"/>
  <c r="Q116" i="8"/>
  <c r="K114" i="8"/>
  <c r="K115" i="8"/>
  <c r="K116" i="8"/>
  <c r="L115" i="8"/>
  <c r="L114" i="8"/>
  <c r="L116" i="8"/>
  <c r="C124" i="8" l="1"/>
  <c r="D124" i="8" s="1"/>
  <c r="C123" i="8"/>
  <c r="D123" i="8" s="1"/>
  <c r="C122" i="8"/>
  <c r="C125" i="8" l="1"/>
  <c r="D122" i="8"/>
  <c r="D125" i="8" s="1"/>
  <c r="C127" i="8" s="1"/>
  <c r="C146" i="8" s="1"/>
  <c r="C82" i="6" l="1"/>
  <c r="D78" i="8"/>
  <c r="D81" i="8" s="1"/>
  <c r="C83" i="8" s="1"/>
  <c r="C130" i="8" l="1"/>
  <c r="H7" i="17"/>
  <c r="F4" i="17" s="1"/>
  <c r="C81" i="8"/>
  <c r="J4" i="17" l="1"/>
  <c r="G4" i="17"/>
  <c r="D35" i="15"/>
  <c r="C86" i="18" s="1"/>
  <c r="D95" i="18" s="1"/>
  <c r="D92" i="18" l="1"/>
  <c r="D94" i="18"/>
  <c r="C136" i="18"/>
  <c r="C138" i="18"/>
  <c r="D90" i="18"/>
  <c r="D91" i="18"/>
  <c r="D93" i="18"/>
</calcChain>
</file>

<file path=xl/comments1.xml><?xml version="1.0" encoding="utf-8"?>
<comments xmlns="http://schemas.openxmlformats.org/spreadsheetml/2006/main">
  <authors>
    <author>w8</author>
  </authors>
  <commentList>
    <comment ref="D23" authorId="0">
      <text>
        <r>
          <rPr>
            <b/>
            <sz val="9"/>
            <color indexed="81"/>
            <rFont val="Tahoma"/>
            <family val="2"/>
          </rPr>
          <t xml:space="preserve">no borrar
</t>
        </r>
      </text>
    </comment>
  </commentList>
</comments>
</file>

<file path=xl/comments2.xml><?xml version="1.0" encoding="utf-8"?>
<comments xmlns="http://schemas.openxmlformats.org/spreadsheetml/2006/main">
  <authors>
    <author>w8</author>
    <author>melcionfc</author>
  </authors>
  <commentList>
    <comment ref="H5" authorId="0">
      <text>
        <r>
          <rPr>
            <b/>
            <sz val="18"/>
            <color indexed="81"/>
            <rFont val="Tahoma"/>
            <family val="2"/>
          </rPr>
          <t>IOF =  Instruments d'Ordenació Forestal</t>
        </r>
        <r>
          <rPr>
            <b/>
            <sz val="9"/>
            <color indexed="81"/>
            <rFont val="Tahoma"/>
            <family val="2"/>
          </rPr>
          <t xml:space="preserve"> </t>
        </r>
        <r>
          <rPr>
            <sz val="9"/>
            <color indexed="81"/>
            <rFont val="Tahoma"/>
            <family val="2"/>
          </rPr>
          <t xml:space="preserve">
</t>
        </r>
      </text>
    </comment>
    <comment ref="N5" authorId="0">
      <text>
        <r>
          <rPr>
            <b/>
            <sz val="14"/>
            <color indexed="81"/>
            <rFont val="Tahoma"/>
            <family val="2"/>
          </rPr>
          <t>Conreus de les explotacions que utilitzen per a la terra mètodes d'agricultura ecològica (Ha.)</t>
        </r>
        <r>
          <rPr>
            <sz val="9"/>
            <color indexed="81"/>
            <rFont val="Tahoma"/>
            <family val="2"/>
          </rPr>
          <t xml:space="preserve">
</t>
        </r>
      </text>
    </comment>
    <comment ref="Z5" authorId="0">
      <text>
        <r>
          <rPr>
            <sz val="9"/>
            <color indexed="81"/>
            <rFont val="Tahoma"/>
            <family val="2"/>
          </rPr>
          <t xml:space="preserve">RFBD = Renda Familiar Disponible Bruta
</t>
        </r>
      </text>
    </comment>
    <comment ref="AI5" authorId="0">
      <text>
        <r>
          <rPr>
            <sz val="9"/>
            <color indexed="81"/>
            <rFont val="Tahoma"/>
            <family val="2"/>
          </rPr>
          <t xml:space="preserve">SUC = Sòl urbà consolidat
</t>
        </r>
      </text>
    </comment>
    <comment ref="AQ5" authorId="0">
      <text>
        <r>
          <rPr>
            <b/>
            <sz val="9"/>
            <color indexed="81"/>
            <rFont val="Tahoma"/>
            <family val="2"/>
          </rPr>
          <t>Difícil d'ubicar en un mpi:
- Alt maresme nord</t>
        </r>
        <r>
          <rPr>
            <sz val="9"/>
            <color indexed="81"/>
            <rFont val="Tahoma"/>
            <family val="2"/>
          </rPr>
          <t xml:space="preserve">
</t>
        </r>
      </text>
    </comment>
    <comment ref="AV5" authorId="0">
      <text>
        <r>
          <rPr>
            <b/>
            <sz val="9"/>
            <color indexed="81"/>
            <rFont val="Tahoma"/>
            <family val="2"/>
          </rPr>
          <t xml:space="preserve">Pla prevenció d'incendis
</t>
        </r>
        <r>
          <rPr>
            <sz val="9"/>
            <color indexed="81"/>
            <rFont val="Tahoma"/>
            <family val="2"/>
          </rPr>
          <t xml:space="preserve">
</t>
        </r>
      </text>
    </comment>
    <comment ref="AW5" authorId="0">
      <text>
        <r>
          <rPr>
            <b/>
            <sz val="16"/>
            <color indexed="81"/>
            <rFont val="Tahoma"/>
            <family val="2"/>
          </rPr>
          <t>PDF: Pla de Desenvolupament Forestal</t>
        </r>
        <r>
          <rPr>
            <sz val="9"/>
            <color indexed="81"/>
            <rFont val="Tahoma"/>
            <family val="2"/>
          </rPr>
          <t xml:space="preserve">
</t>
        </r>
      </text>
    </comment>
    <comment ref="AX5" authorId="0">
      <text>
        <r>
          <rPr>
            <sz val="9"/>
            <color indexed="81"/>
            <rFont val="Tahoma"/>
            <family val="2"/>
          </rPr>
          <t xml:space="preserve">Pla d'Informació i Vigilància
</t>
        </r>
      </text>
    </comment>
    <comment ref="BH5" authorId="0">
      <text>
        <r>
          <rPr>
            <sz val="9"/>
            <color indexed="81"/>
            <rFont val="Tahoma"/>
            <family val="2"/>
          </rPr>
          <t>La SUPERFÍCIE dels equipaments sí que la podem tenir (font: MUC)</t>
        </r>
      </text>
    </comment>
    <comment ref="BM5" authorId="1">
      <text>
        <r>
          <rPr>
            <b/>
            <sz val="8"/>
            <color indexed="81"/>
            <rFont val="Tahoma"/>
            <family val="2"/>
          </rPr>
          <t>melcionfc:</t>
        </r>
        <r>
          <rPr>
            <sz val="8"/>
            <color indexed="81"/>
            <rFont val="Tahoma"/>
            <family val="2"/>
          </rPr>
          <t xml:space="preserve">
</t>
        </r>
        <r>
          <rPr>
            <sz val="12"/>
            <color indexed="81"/>
            <rFont val="Tahoma"/>
            <family val="2"/>
          </rPr>
          <t>Pes relatiu de cada tram: 3 pr &lt;1979, 2 per 1980-1989, 1 per 1990-2009 i 0 per 2010 i posteriors</t>
        </r>
      </text>
    </comment>
    <comment ref="BS5" authorId="0">
      <text>
        <r>
          <rPr>
            <sz val="11"/>
            <color indexed="81"/>
            <rFont val="SimHei"/>
            <family val="3"/>
          </rPr>
          <t>Hospital sociosanitari o Hospital mixt</t>
        </r>
        <r>
          <rPr>
            <sz val="9"/>
            <color indexed="81"/>
            <rFont val="Tahoma"/>
            <family val="2"/>
          </rPr>
          <t xml:space="preserve">
</t>
        </r>
      </text>
    </comment>
    <comment ref="BU5" authorId="0">
      <text>
        <r>
          <rPr>
            <sz val="9"/>
            <color indexed="81"/>
            <rFont val="Tahoma"/>
            <family val="2"/>
          </rPr>
          <t xml:space="preserve">Població de 16 anys i més per nivell d'instrucció. Any 2011
</t>
        </r>
      </text>
    </comment>
    <comment ref="BV5" authorId="0">
      <text>
        <r>
          <rPr>
            <sz val="9"/>
            <color indexed="81"/>
            <rFont val="Tahoma"/>
            <family val="2"/>
          </rPr>
          <t xml:space="preserve">Població de 16 anys i més per nivell d'instrucció. Any 2011
</t>
        </r>
      </text>
    </comment>
    <comment ref="BW5" authorId="0">
      <text>
        <r>
          <rPr>
            <sz val="9"/>
            <color indexed="81"/>
            <rFont val="Tahoma"/>
            <family val="2"/>
          </rPr>
          <t xml:space="preserve">Població de 16 anys i més per nivell d'instrucció. Any 2011
</t>
        </r>
      </text>
    </comment>
    <comment ref="BX5" authorId="0">
      <text>
        <r>
          <rPr>
            <sz val="9"/>
            <color indexed="81"/>
            <rFont val="Tahoma"/>
            <family val="2"/>
          </rPr>
          <t xml:space="preserve">Població de 16 anys i més per nivell d'instrucció. Any 2011
</t>
        </r>
      </text>
    </comment>
    <comment ref="CC5" authorId="0">
      <text>
        <r>
          <rPr>
            <b/>
            <sz val="9"/>
            <color indexed="81"/>
            <rFont val="Tahoma"/>
            <family val="2"/>
          </rPr>
          <t xml:space="preserve">Sensibilitat grau instrucció ponderada: </t>
        </r>
        <r>
          <rPr>
            <sz val="9"/>
            <color indexed="81"/>
            <rFont val="Tahoma"/>
            <family val="2"/>
          </rPr>
          <t xml:space="preserve">
3 per població sense titulació
2 per primer grau
1 segon grau i
0 per tercer grau (universitaris)
</t>
        </r>
      </text>
    </comment>
    <comment ref="CD5" authorId="0">
      <text>
        <r>
          <rPr>
            <sz val="9"/>
            <color indexed="81"/>
            <rFont val="Tahoma"/>
            <family val="2"/>
          </rPr>
          <t xml:space="preserve">Població estacional ETCA, equivalent a temps complet anual
</t>
        </r>
      </text>
    </comment>
    <comment ref="CI5" authorId="0">
      <text>
        <r>
          <rPr>
            <b/>
            <sz val="9"/>
            <color indexed="81"/>
            <rFont val="Tahoma"/>
            <family val="2"/>
          </rPr>
          <t>Figura de planejament vigent</t>
        </r>
        <r>
          <rPr>
            <sz val="9"/>
            <color indexed="81"/>
            <rFont val="Tahoma"/>
            <family val="2"/>
          </rPr>
          <t xml:space="preserve">
POUM (Pla d’ordenació urbanística municipal)
PG (Pla general)
PGr (Pla general revisat)
NSa/b (Normes subsidiàries)
DSU (Delimitació de sòl urbà)
NPU (Normes de Planejament Urbanístic)</t>
        </r>
      </text>
    </comment>
    <comment ref="DC5" authorId="0">
      <text>
        <r>
          <rPr>
            <sz val="11"/>
            <color indexed="81"/>
            <rFont val="Tahoma"/>
            <family val="2"/>
          </rPr>
          <t>S'indica l'entitat subministradora del nucli principal. Si hi ha més d'una, la que tingui més abonats</t>
        </r>
        <r>
          <rPr>
            <sz val="9"/>
            <color indexed="81"/>
            <rFont val="Tahoma"/>
            <family val="2"/>
          </rPr>
          <t xml:space="preserve">
</t>
        </r>
      </text>
    </comment>
    <comment ref="DH5" authorId="0">
      <text>
        <r>
          <rPr>
            <sz val="12"/>
            <color indexed="81"/>
            <rFont val="Tahoma"/>
            <family val="2"/>
          </rPr>
          <t xml:space="preserve">Són els municipis on s'ha INICIAT l'incendi!! 
NOTA: la informació de dos arxius no quadra entre ells, les dades sobre el nombre d'incendis per mpi són diferents i no sé </t>
        </r>
        <r>
          <rPr>
            <sz val="9"/>
            <color indexed="81"/>
            <rFont val="Tahoma"/>
            <family val="2"/>
          </rPr>
          <t xml:space="preserve">
</t>
        </r>
      </text>
    </comment>
    <comment ref="DL5" authorId="0">
      <text>
        <r>
          <rPr>
            <sz val="12"/>
            <color indexed="81"/>
            <rFont val="Tahoma"/>
            <family val="2"/>
          </rPr>
          <t xml:space="preserve">zona vulnerable als nitrats
</t>
        </r>
      </text>
    </comment>
    <comment ref="DP5" authorId="0">
      <text>
        <r>
          <rPr>
            <b/>
            <sz val="9"/>
            <color indexed="81"/>
            <rFont val="Tahoma"/>
            <family val="2"/>
          </rPr>
          <t>XCT: xarxa de custòdia del territori</t>
        </r>
      </text>
    </comment>
    <comment ref="DU5" authorId="0">
      <text>
        <r>
          <rPr>
            <sz val="12"/>
            <color indexed="81"/>
            <rFont val="Tahoma"/>
            <family val="2"/>
          </rPr>
          <t>El nombre de zones humides es computen en funció dels municipis que comparteixen la mateixa zona.</t>
        </r>
        <r>
          <rPr>
            <sz val="9"/>
            <color indexed="81"/>
            <rFont val="Tahoma"/>
            <family val="2"/>
          </rPr>
          <t xml:space="preserve">
</t>
        </r>
      </text>
    </comment>
    <comment ref="DV5" authorId="0">
      <text>
        <r>
          <rPr>
            <sz val="11"/>
            <color indexed="81"/>
            <rFont val="Tahoma"/>
            <family val="2"/>
          </rPr>
          <t>Zones humides de les conques internes de Catalunya</t>
        </r>
      </text>
    </comment>
    <comment ref="DW5" authorId="0">
      <text>
        <r>
          <rPr>
            <sz val="12"/>
            <color indexed="81"/>
            <rFont val="Tahoma"/>
            <family val="2"/>
          </rPr>
          <t>si hi ha més d'una zona humida, no es considera la tipologia</t>
        </r>
        <r>
          <rPr>
            <sz val="9"/>
            <color indexed="81"/>
            <rFont val="Tahoma"/>
            <family val="2"/>
          </rPr>
          <t xml:space="preserve">
</t>
        </r>
      </text>
    </comment>
    <comment ref="DX5" authorId="0">
      <text>
        <r>
          <rPr>
            <sz val="12"/>
            <color indexed="81"/>
            <rFont val="Tahoma"/>
            <family val="2"/>
          </rPr>
          <t>Es computa en funció dels muncipis que comparteixen una mateixa zona humida</t>
        </r>
        <r>
          <rPr>
            <sz val="9"/>
            <color indexed="81"/>
            <rFont val="Tahoma"/>
            <family val="2"/>
          </rPr>
          <t xml:space="preserve">
</t>
        </r>
      </text>
    </comment>
    <comment ref="DZ5" authorId="0">
      <text>
        <r>
          <rPr>
            <u/>
            <sz val="12"/>
            <color indexed="81"/>
            <rFont val="Tahoma"/>
            <family val="2"/>
          </rPr>
          <t>Graus de proteció</t>
        </r>
        <r>
          <rPr>
            <sz val="12"/>
            <color indexed="81"/>
            <rFont val="Tahoma"/>
            <family val="2"/>
          </rPr>
          <t xml:space="preserve">
ENP: espai natural protegit
PNC: parc nacional
PNT: parc natural
PNIN: paratge natural d'interès nacional
RNI: reserva natural integral
RNP: reserva natural parcial
RNFS: reserva natural de fauna salvatge
RAMSAR: zona humida d'importància internacional inscrita en la llista del Conveni de Ramsar
ZEC: zona d'especial conservació, de la xarxa Natura 2000
ZEPA: Zona d'especial protecció per a les aus, de la xarxa Natura 2000</t>
        </r>
        <r>
          <rPr>
            <sz val="9"/>
            <color indexed="81"/>
            <rFont val="Tahoma"/>
            <family val="2"/>
          </rPr>
          <t xml:space="preserve">
</t>
        </r>
      </text>
    </comment>
    <comment ref="EA5" authorId="0">
      <text>
        <r>
          <rPr>
            <sz val="11"/>
            <color indexed="81"/>
            <rFont val="Tahoma"/>
            <family val="2"/>
          </rPr>
          <t>Els termes municipals poden estar inclosos totalment o parcialment en les seves delimitacions.</t>
        </r>
      </text>
    </comment>
    <comment ref="EC5" authorId="0">
      <text>
        <r>
          <rPr>
            <sz val="11"/>
            <color indexed="81"/>
            <rFont val="Tahoma"/>
            <family val="2"/>
          </rPr>
          <t xml:space="preserve">De moment només tenim info de l'AMB
</t>
        </r>
      </text>
    </comment>
    <comment ref="EK5" authorId="0">
      <text>
        <r>
          <rPr>
            <b/>
            <sz val="9"/>
            <color indexed="81"/>
            <rFont val="Tahoma"/>
            <family val="2"/>
          </rPr>
          <t>INFORMCIÓ REPETIDA! Però no borrar la cel·la per si de cas modifica alguna cosa!...</t>
        </r>
      </text>
    </comment>
    <comment ref="EL5" authorId="0">
      <text>
        <r>
          <rPr>
            <sz val="9"/>
            <color indexed="81"/>
            <rFont val="Tahoma"/>
            <family val="2"/>
          </rPr>
          <t xml:space="preserve">És molt difícil esbrinar l'any de redacció d'un POUM. Es considera la data de publicació al DOGC, ja que a partir del dia següent és executable (des del moment de la redacció, fins que passa per l'estat "aprovant/suspenent" poden passar anys!)
</t>
        </r>
        <r>
          <rPr>
            <sz val="9"/>
            <color indexed="81"/>
            <rFont val="Tahoma"/>
            <family val="2"/>
          </rPr>
          <t xml:space="preserve">
</t>
        </r>
      </text>
    </comment>
    <comment ref="DO6" authorId="0">
      <text>
        <r>
          <rPr>
            <b/>
            <sz val="9"/>
            <color indexed="81"/>
            <rFont val="Tahoma"/>
            <family val="2"/>
          </rPr>
          <t>ETAP Abrera
ETAP Abrera - Terrassa</t>
        </r>
        <r>
          <rPr>
            <sz val="9"/>
            <color indexed="81"/>
            <rFont val="Tahoma"/>
            <family val="2"/>
          </rPr>
          <t xml:space="preserve">
Planta EDR</t>
        </r>
      </text>
    </comment>
    <comment ref="AQ15" authorId="0">
      <text>
        <r>
          <rPr>
            <b/>
            <sz val="9"/>
            <color indexed="81"/>
            <rFont val="Tahoma"/>
            <family val="2"/>
          </rPr>
          <t>compartit amb Sallent</t>
        </r>
        <r>
          <rPr>
            <sz val="9"/>
            <color indexed="81"/>
            <rFont val="Tahoma"/>
            <family val="2"/>
          </rPr>
          <t xml:space="preserve">
</t>
        </r>
      </text>
    </comment>
    <comment ref="DU15" authorId="0">
      <text>
        <r>
          <rPr>
            <sz val="9"/>
            <color indexed="81"/>
            <rFont val="Tahoma"/>
            <family val="2"/>
          </rPr>
          <t xml:space="preserve">Comparteixen 4 municipis
- Artés;
- Calders;
- Navarcles, i
- Sallent
</t>
        </r>
      </text>
    </comment>
    <comment ref="AQ21" authorId="0">
      <text>
        <r>
          <rPr>
            <b/>
            <sz val="9"/>
            <color indexed="81"/>
            <rFont val="Tahoma"/>
            <family val="2"/>
          </rPr>
          <t>Compartida amb Guardiola de Berguedà</t>
        </r>
        <r>
          <rPr>
            <sz val="9"/>
            <color indexed="81"/>
            <rFont val="Tahoma"/>
            <family val="2"/>
          </rPr>
          <t xml:space="preserve">
</t>
        </r>
      </text>
    </comment>
    <comment ref="AQ24" authorId="0">
      <text>
        <r>
          <rPr>
            <b/>
            <sz val="9"/>
            <color indexed="81"/>
            <rFont val="Tahoma"/>
            <family val="2"/>
          </rPr>
          <t>Besòs
Vallvidrera</t>
        </r>
        <r>
          <rPr>
            <sz val="9"/>
            <color indexed="81"/>
            <rFont val="Tahoma"/>
            <family val="2"/>
          </rPr>
          <t xml:space="preserve">
</t>
        </r>
      </text>
    </comment>
    <comment ref="DU39" authorId="0">
      <text>
        <r>
          <rPr>
            <sz val="9"/>
            <color indexed="81"/>
            <rFont val="Tahoma"/>
            <family val="2"/>
          </rPr>
          <t xml:space="preserve">Comparteixen 4 municipis
- Artés;
- Calders;
- Navarcles, i
- Sallent
</t>
        </r>
      </text>
    </comment>
    <comment ref="CZ48" authorId="0">
      <text>
        <r>
          <rPr>
            <sz val="9"/>
            <color indexed="81"/>
            <rFont val="Tahoma"/>
            <family val="2"/>
          </rPr>
          <t xml:space="preserve">Canyelles / Olèrdola
</t>
        </r>
      </text>
    </comment>
    <comment ref="DO51" authorId="0">
      <text>
        <r>
          <rPr>
            <sz val="11"/>
            <color indexed="81"/>
            <rFont val="Tahoma"/>
            <family val="2"/>
          </rPr>
          <t>compartida amb la Roca del Vallès i Llinars del Vallès</t>
        </r>
        <r>
          <rPr>
            <sz val="9"/>
            <color indexed="81"/>
            <rFont val="Tahoma"/>
            <family val="2"/>
          </rPr>
          <t xml:space="preserve">
</t>
        </r>
      </text>
    </comment>
    <comment ref="BS52" authorId="0">
      <text>
        <r>
          <rPr>
            <b/>
            <sz val="9"/>
            <color indexed="81"/>
            <rFont val="Tahoma"/>
            <family val="2"/>
          </rPr>
          <t>Mirar si van a Manresa o a Solsona</t>
        </r>
        <r>
          <rPr>
            <sz val="9"/>
            <color indexed="81"/>
            <rFont val="Tahoma"/>
            <family val="2"/>
          </rPr>
          <t xml:space="preserve">
</t>
        </r>
      </text>
    </comment>
    <comment ref="AQ54" authorId="0">
      <text>
        <r>
          <rPr>
            <b/>
            <sz val="9"/>
            <color indexed="81"/>
            <rFont val="Tahoma"/>
            <family val="2"/>
          </rPr>
          <t>Casserres
El guixaró</t>
        </r>
        <r>
          <rPr>
            <sz val="9"/>
            <color indexed="81"/>
            <rFont val="Tahoma"/>
            <family val="2"/>
          </rPr>
          <t xml:space="preserve">
</t>
        </r>
      </text>
    </comment>
    <comment ref="AQ63" authorId="0">
      <text>
        <r>
          <rPr>
            <b/>
            <sz val="9"/>
            <color indexed="81"/>
            <rFont val="Tahoma"/>
            <family val="2"/>
          </rPr>
          <t xml:space="preserve">Castellet
Clariana
Les Casetes
Rocallisa
Sant Marçal
Torrelletes
</t>
        </r>
        <r>
          <rPr>
            <sz val="9"/>
            <color indexed="81"/>
            <rFont val="Tahoma"/>
            <family val="2"/>
          </rPr>
          <t xml:space="preserve">
</t>
        </r>
      </text>
    </comment>
    <comment ref="AQ67" authorId="0">
      <text>
        <r>
          <rPr>
            <b/>
            <sz val="9"/>
            <color indexed="81"/>
            <rFont val="Tahoma"/>
            <family val="2"/>
          </rPr>
          <t>Castellonou del Bages;
Castellnou del Bages - La Figuerola</t>
        </r>
        <r>
          <rPr>
            <sz val="9"/>
            <color indexed="81"/>
            <rFont val="Tahoma"/>
            <family val="2"/>
          </rPr>
          <t xml:space="preserve">
</t>
        </r>
      </text>
    </comment>
    <comment ref="AQ70" authorId="0">
      <text>
        <r>
          <rPr>
            <b/>
            <sz val="9"/>
            <color indexed="81"/>
            <rFont val="Tahoma"/>
            <family val="2"/>
          </rPr>
          <t>El Maset del Cosí</t>
        </r>
        <r>
          <rPr>
            <sz val="9"/>
            <color indexed="81"/>
            <rFont val="Tahoma"/>
            <family val="2"/>
          </rPr>
          <t xml:space="preserve">
</t>
        </r>
      </text>
    </comment>
    <comment ref="DU76" authorId="0">
      <text>
        <r>
          <rPr>
            <b/>
            <sz val="9"/>
            <color indexed="81"/>
            <rFont val="Tahoma"/>
            <family val="2"/>
          </rPr>
          <t>comparteix amb Jorba</t>
        </r>
      </text>
    </comment>
    <comment ref="AQ79" authorId="0">
      <text>
        <r>
          <rPr>
            <b/>
            <sz val="9"/>
            <color indexed="81"/>
            <rFont val="Tahoma"/>
            <family val="2"/>
          </rPr>
          <t>compartida amb Cunit</t>
        </r>
      </text>
    </comment>
    <comment ref="DU79" authorId="0">
      <text>
        <r>
          <rPr>
            <b/>
            <sz val="9"/>
            <color indexed="81"/>
            <rFont val="Tahoma"/>
            <family val="2"/>
          </rPr>
          <t>Comparteix "Platja Llarga":
- Cubelles, i
- Vilanova i la Geltrú.</t>
        </r>
        <r>
          <rPr>
            <sz val="9"/>
            <color indexed="81"/>
            <rFont val="Tahoma"/>
            <family val="2"/>
          </rPr>
          <t xml:space="preserve">
</t>
        </r>
      </text>
    </comment>
    <comment ref="AQ80" authorId="0">
      <text>
        <r>
          <rPr>
            <sz val="9"/>
            <color indexed="81"/>
            <rFont val="Tahoma"/>
            <family val="2"/>
          </rPr>
          <t xml:space="preserve">Can Massuet-El Far
</t>
        </r>
      </text>
    </comment>
    <comment ref="AQ90" authorId="0">
      <text>
        <r>
          <rPr>
            <b/>
            <sz val="9"/>
            <color indexed="81"/>
            <rFont val="Tahoma"/>
            <family val="2"/>
          </rPr>
          <t>L'Alzinar
L'Avellà</t>
        </r>
        <r>
          <rPr>
            <sz val="9"/>
            <color indexed="81"/>
            <rFont val="Tahoma"/>
            <family val="2"/>
          </rPr>
          <t xml:space="preserve">
</t>
        </r>
        <r>
          <rPr>
            <b/>
            <sz val="9"/>
            <color indexed="81"/>
            <rFont val="Tahoma"/>
            <family val="2"/>
          </rPr>
          <t>Cal Cintet
Cal Ton Conill
Casetes d'en Raspall
La Fanga
La Rubiola
Sabanell</t>
        </r>
      </text>
    </comment>
    <comment ref="AQ91" authorId="0">
      <text>
        <r>
          <rPr>
            <b/>
            <sz val="9"/>
            <color indexed="81"/>
            <rFont val="Tahoma"/>
            <family val="2"/>
          </rPr>
          <t>Corró d'Amunt</t>
        </r>
      </text>
    </comment>
    <comment ref="AQ94" authorId="0">
      <text>
        <r>
          <rPr>
            <b/>
            <sz val="9"/>
            <color indexed="81"/>
            <rFont val="Tahoma"/>
            <family val="2"/>
          </rPr>
          <t>Compartida amb Viladecans</t>
        </r>
        <r>
          <rPr>
            <sz val="9"/>
            <color indexed="81"/>
            <rFont val="Tahoma"/>
            <family val="2"/>
          </rPr>
          <t xml:space="preserve">
</t>
        </r>
      </text>
    </comment>
    <comment ref="DU94" authorId="0">
      <text>
        <r>
          <rPr>
            <b/>
            <sz val="9"/>
            <color indexed="81"/>
            <rFont val="Tahoma"/>
            <family val="2"/>
          </rPr>
          <t>Comparteixen Gavà i Viladecans.</t>
        </r>
        <r>
          <rPr>
            <sz val="9"/>
            <color indexed="81"/>
            <rFont val="Tahoma"/>
            <family val="2"/>
          </rPr>
          <t xml:space="preserve">
</t>
        </r>
      </text>
    </comment>
    <comment ref="AQ104" authorId="0">
      <text>
        <r>
          <rPr>
            <b/>
            <sz val="9"/>
            <color indexed="81"/>
            <rFont val="Tahoma"/>
            <family val="2"/>
          </rPr>
          <t>Compartida amb Bagà</t>
        </r>
        <r>
          <rPr>
            <sz val="9"/>
            <color indexed="81"/>
            <rFont val="Tahoma"/>
            <family val="2"/>
          </rPr>
          <t xml:space="preserve">
</t>
        </r>
      </text>
    </comment>
    <comment ref="AQ105" authorId="0">
      <text>
        <r>
          <rPr>
            <b/>
            <sz val="9"/>
            <color indexed="81"/>
            <rFont val="Tahoma"/>
            <family val="2"/>
          </rPr>
          <t>Serrabonica</t>
        </r>
        <r>
          <rPr>
            <sz val="9"/>
            <color indexed="81"/>
            <rFont val="Tahoma"/>
            <family val="2"/>
          </rPr>
          <t xml:space="preserve">
</t>
        </r>
      </text>
    </comment>
    <comment ref="DU108" authorId="0">
      <text>
        <r>
          <rPr>
            <b/>
            <sz val="9"/>
            <color indexed="81"/>
            <rFont val="Tahoma"/>
            <family val="2"/>
          </rPr>
          <t>Comparteix amb Copons</t>
        </r>
      </text>
    </comment>
    <comment ref="DO111" authorId="0">
      <text>
        <r>
          <rPr>
            <sz val="10"/>
            <color indexed="81"/>
            <rFont val="Tahoma"/>
            <family val="2"/>
          </rPr>
          <t>compartida amb la Roca del Vallès i Cardedeu</t>
        </r>
        <r>
          <rPr>
            <sz val="9"/>
            <color indexed="81"/>
            <rFont val="Tahoma"/>
            <family val="2"/>
          </rPr>
          <t xml:space="preserve">
</t>
        </r>
      </text>
    </comment>
    <comment ref="DU115" authorId="0">
      <text>
        <r>
          <rPr>
            <sz val="9"/>
            <color indexed="81"/>
            <rFont val="Tahoma"/>
            <family val="2"/>
          </rPr>
          <t xml:space="preserve">comparteix:
- Malgrat de Mar, i
- Blanes.
</t>
        </r>
      </text>
    </comment>
    <comment ref="AQ121" authorId="0">
      <text>
        <r>
          <rPr>
            <b/>
            <sz val="9"/>
            <color indexed="81"/>
            <rFont val="Tahoma"/>
            <family val="2"/>
          </rPr>
          <t>Cases Noves 2</t>
        </r>
        <r>
          <rPr>
            <sz val="9"/>
            <color indexed="81"/>
            <rFont val="Tahoma"/>
            <family val="2"/>
          </rPr>
          <t xml:space="preserve">
</t>
        </r>
      </text>
    </comment>
    <comment ref="AQ127" authorId="0">
      <text>
        <r>
          <rPr>
            <b/>
            <sz val="9"/>
            <color indexed="81"/>
            <rFont val="Tahoma"/>
            <family val="2"/>
          </rPr>
          <t>Mediona
Sant Pere Sacarrera</t>
        </r>
        <r>
          <rPr>
            <sz val="9"/>
            <color indexed="81"/>
            <rFont val="Tahoma"/>
            <family val="2"/>
          </rPr>
          <t xml:space="preserve">
</t>
        </r>
      </text>
    </comment>
    <comment ref="DB134" authorId="0">
      <text>
        <r>
          <rPr>
            <b/>
            <sz val="9"/>
            <color indexed="81"/>
            <rFont val="Tahoma"/>
            <family val="2"/>
          </rPr>
          <t>concessió</t>
        </r>
        <r>
          <rPr>
            <sz val="9"/>
            <color indexed="81"/>
            <rFont val="Tahoma"/>
            <family val="2"/>
          </rPr>
          <t xml:space="preserve">
</t>
        </r>
      </text>
    </comment>
    <comment ref="DU135" authorId="0">
      <text>
        <r>
          <rPr>
            <b/>
            <sz val="9"/>
            <color indexed="81"/>
            <rFont val="Tahoma"/>
            <family val="2"/>
          </rPr>
          <t>Riera de Navel comparteixen:
- Montclar, i
- Viver i Serrateix.</t>
        </r>
        <r>
          <rPr>
            <sz val="9"/>
            <color indexed="81"/>
            <rFont val="Tahoma"/>
            <family val="2"/>
          </rPr>
          <t xml:space="preserve">
</t>
        </r>
      </text>
    </comment>
    <comment ref="DU137" authorId="0">
      <text>
        <r>
          <rPr>
            <b/>
            <sz val="9"/>
            <color indexed="81"/>
            <rFont val="Tahoma"/>
            <family val="2"/>
          </rPr>
          <t>Pantà de Serrateix comparteixen:
- Montmajor, i
- Viver i Serrateix</t>
        </r>
        <r>
          <rPr>
            <sz val="9"/>
            <color indexed="81"/>
            <rFont val="Tahoma"/>
            <family val="2"/>
          </rPr>
          <t xml:space="preserve">
</t>
        </r>
      </text>
    </comment>
    <comment ref="AQ143" authorId="0">
      <text>
        <r>
          <rPr>
            <b/>
            <sz val="9"/>
            <color indexed="81"/>
            <rFont val="Tahoma"/>
            <family val="2"/>
          </rPr>
          <t>Moià
Montví de Baix</t>
        </r>
        <r>
          <rPr>
            <sz val="9"/>
            <color indexed="81"/>
            <rFont val="Tahoma"/>
            <family val="2"/>
          </rPr>
          <t xml:space="preserve">
</t>
        </r>
      </text>
    </comment>
    <comment ref="AQ145" authorId="0">
      <text>
        <r>
          <rPr>
            <b/>
            <sz val="9"/>
            <color indexed="81"/>
            <rFont val="Tahoma"/>
            <family val="2"/>
          </rPr>
          <t>Navarcles/Sant Fruitós / Santpedor</t>
        </r>
        <r>
          <rPr>
            <sz val="9"/>
            <color indexed="81"/>
            <rFont val="Tahoma"/>
            <family val="2"/>
          </rPr>
          <t xml:space="preserve">
</t>
        </r>
      </text>
    </comment>
    <comment ref="DU145" authorId="0">
      <text>
        <r>
          <rPr>
            <sz val="9"/>
            <color indexed="81"/>
            <rFont val="Tahoma"/>
            <family val="2"/>
          </rPr>
          <t xml:space="preserve">Comparteixen 4 municipis
- Artés;
- Calders;
- Navarcles, i
- Sallent
</t>
        </r>
      </text>
    </comment>
    <comment ref="AQ146" authorId="0">
      <text>
        <r>
          <rPr>
            <b/>
            <sz val="9"/>
            <color indexed="81"/>
            <rFont val="Tahoma"/>
            <family val="2"/>
          </rPr>
          <t>Mujal</t>
        </r>
        <r>
          <rPr>
            <sz val="9"/>
            <color indexed="81"/>
            <rFont val="Tahoma"/>
            <family val="2"/>
          </rPr>
          <t xml:space="preserve">
</t>
        </r>
      </text>
    </comment>
    <comment ref="AQ150" authorId="0">
      <text>
        <r>
          <rPr>
            <b/>
            <sz val="9"/>
            <color indexed="81"/>
            <rFont val="Tahoma"/>
            <family val="2"/>
          </rPr>
          <t>Can Torres
Sant Miquel d'Olèrdola</t>
        </r>
        <r>
          <rPr>
            <sz val="9"/>
            <color indexed="81"/>
            <rFont val="Tahoma"/>
            <family val="2"/>
          </rPr>
          <t xml:space="preserve">
</t>
        </r>
      </text>
    </comment>
    <comment ref="CZ150" authorId="0">
      <text>
        <r>
          <rPr>
            <sz val="9"/>
            <color indexed="81"/>
            <rFont val="Tahoma"/>
            <family val="2"/>
          </rPr>
          <t xml:space="preserve">Canyelles / Olèrdola
</t>
        </r>
      </text>
    </comment>
    <comment ref="AQ152" authorId="0">
      <text>
        <r>
          <rPr>
            <b/>
            <sz val="9"/>
            <color indexed="81"/>
            <rFont val="Tahoma"/>
            <family val="2"/>
          </rPr>
          <t>Urb. Oasis-Ametller
urb. Oasis- Can Miquel Amat
Urb. Oasis-Roure</t>
        </r>
        <r>
          <rPr>
            <sz val="9"/>
            <color indexed="81"/>
            <rFont val="Tahoma"/>
            <family val="2"/>
          </rPr>
          <t xml:space="preserve">
</t>
        </r>
      </text>
    </comment>
    <comment ref="AQ155" authorId="0">
      <text>
        <r>
          <rPr>
            <b/>
            <sz val="9"/>
            <color indexed="81"/>
            <rFont val="Tahoma"/>
            <family val="2"/>
          </rPr>
          <t>Can Branques</t>
        </r>
        <r>
          <rPr>
            <sz val="9"/>
            <color indexed="81"/>
            <rFont val="Tahoma"/>
            <family val="2"/>
          </rPr>
          <t xml:space="preserve">
</t>
        </r>
      </text>
    </comment>
    <comment ref="AQ160" authorId="0">
      <text>
        <r>
          <rPr>
            <b/>
            <sz val="9"/>
            <color indexed="81"/>
            <rFont val="Tahoma"/>
            <family val="2"/>
          </rPr>
          <t>Sant Genís de Palafolls</t>
        </r>
      </text>
    </comment>
    <comment ref="DL168" authorId="0">
      <text>
        <r>
          <rPr>
            <b/>
            <sz val="9"/>
            <color indexed="81"/>
            <rFont val="Tahoma"/>
            <family val="2"/>
          </rPr>
          <t>Premià de Dalt ídem!</t>
        </r>
        <r>
          <rPr>
            <sz val="9"/>
            <color indexed="81"/>
            <rFont val="Tahoma"/>
            <family val="2"/>
          </rPr>
          <t xml:space="preserve">
</t>
        </r>
      </text>
    </comment>
    <comment ref="CR171" authorId="0">
      <text>
        <r>
          <rPr>
            <b/>
            <sz val="9"/>
            <color indexed="81"/>
            <rFont val="Tahoma"/>
            <family val="2"/>
          </rPr>
          <t>Fitxa tècnica per la superfície de la Generalitat de Catalunya. Projecte d'ordenació per a la superfície del municipi.</t>
        </r>
        <r>
          <rPr>
            <sz val="9"/>
            <color indexed="81"/>
            <rFont val="Tahoma"/>
            <family val="2"/>
          </rPr>
          <t xml:space="preserve">
</t>
        </r>
      </text>
    </comment>
    <comment ref="DU174" authorId="0">
      <text>
        <r>
          <rPr>
            <b/>
            <sz val="9"/>
            <color indexed="81"/>
            <rFont val="Tahoma"/>
            <family val="2"/>
          </rPr>
          <t>Remolar-Filipines comparteixen:
- El Prat de Llobregat;
- Sant Boi de Llobregat, i
- Viladecans</t>
        </r>
        <r>
          <rPr>
            <sz val="9"/>
            <color indexed="81"/>
            <rFont val="Tahoma"/>
            <family val="2"/>
          </rPr>
          <t xml:space="preserve">
Llacunes del Dimoni comparteix:
- Sant Boi de Llobregat, i
- el Prat de Llobregat.</t>
        </r>
      </text>
    </comment>
    <comment ref="DO185" authorId="0">
      <text>
        <r>
          <rPr>
            <sz val="11"/>
            <color indexed="81"/>
            <rFont val="Tahoma"/>
            <family val="2"/>
          </rPr>
          <t>compartida amb Cardedeu i Llinars del Vallès</t>
        </r>
        <r>
          <rPr>
            <sz val="9"/>
            <color indexed="81"/>
            <rFont val="Tahoma"/>
            <family val="2"/>
          </rPr>
          <t xml:space="preserve">
</t>
        </r>
      </text>
    </comment>
    <comment ref="DU188" authorId="0">
      <text>
        <r>
          <rPr>
            <b/>
            <sz val="9"/>
            <color indexed="81"/>
            <rFont val="Tahoma"/>
            <family val="2"/>
          </rPr>
          <t>Estany dels Alous comparteixen:
- Rubí, i
- Sant Cugat del Vallès</t>
        </r>
      </text>
    </comment>
    <comment ref="AQ190" authorId="0">
      <text>
        <r>
          <rPr>
            <b/>
            <sz val="9"/>
            <color indexed="81"/>
            <rFont val="Tahoma"/>
            <family val="2"/>
          </rPr>
          <t>Sabadell / Riu Ripoll
Sabadell / Riu Sec</t>
        </r>
        <r>
          <rPr>
            <sz val="9"/>
            <color indexed="81"/>
            <rFont val="Tahoma"/>
            <family val="2"/>
          </rPr>
          <t xml:space="preserve">
</t>
        </r>
      </text>
    </comment>
    <comment ref="AQ194" authorId="0">
      <text>
        <r>
          <rPr>
            <b/>
            <sz val="9"/>
            <color indexed="81"/>
            <rFont val="Tahoma"/>
            <family val="2"/>
          </rPr>
          <t>compartit amb Artès</t>
        </r>
      </text>
    </comment>
    <comment ref="DU194" authorId="0">
      <text>
        <r>
          <rPr>
            <sz val="9"/>
            <color indexed="81"/>
            <rFont val="Tahoma"/>
            <family val="2"/>
          </rPr>
          <t xml:space="preserve">Comparteixen 4 municipis
- Artés;
- Calders;
- Navarcles, i
- Sallent
</t>
        </r>
      </text>
    </comment>
    <comment ref="AQ195" authorId="0">
      <text>
        <r>
          <rPr>
            <b/>
            <sz val="9"/>
            <color indexed="81"/>
            <rFont val="Tahoma"/>
            <family val="2"/>
          </rPr>
          <t>Compartida Navarcles / Sant Fruitós / Santpedor</t>
        </r>
        <r>
          <rPr>
            <sz val="9"/>
            <color indexed="81"/>
            <rFont val="Tahoma"/>
            <family val="2"/>
          </rPr>
          <t xml:space="preserve">
</t>
        </r>
      </text>
    </comment>
    <comment ref="AQ202" authorId="0">
      <text>
        <r>
          <rPr>
            <b/>
            <sz val="9"/>
            <color indexed="81"/>
            <rFont val="Tahoma"/>
            <family val="2"/>
          </rPr>
          <t xml:space="preserve">Bingrau
</t>
        </r>
        <r>
          <rPr>
            <sz val="9"/>
            <color indexed="81"/>
            <rFont val="Tahoma"/>
            <family val="2"/>
          </rPr>
          <t xml:space="preserve">
</t>
        </r>
      </text>
    </comment>
    <comment ref="DU203" authorId="0">
      <text>
        <r>
          <rPr>
            <b/>
            <sz val="9"/>
            <color indexed="81"/>
            <rFont val="Tahoma"/>
            <family val="2"/>
          </rPr>
          <t>Remolar-Filipines comparteixen:
- El Prat de Llobregat;
- Sant Boi de Llobregat, i
- Viladecans
Les Llacunes del Dimoni comparteixen:
- Sant Boi del Llobregat, i
- Viladecans.</t>
        </r>
        <r>
          <rPr>
            <sz val="9"/>
            <color indexed="81"/>
            <rFont val="Tahoma"/>
            <family val="2"/>
          </rPr>
          <t xml:space="preserve">
</t>
        </r>
      </text>
    </comment>
    <comment ref="DU208" authorId="0">
      <text>
        <r>
          <rPr>
            <b/>
            <sz val="9"/>
            <color indexed="81"/>
            <rFont val="Tahoma"/>
            <family val="2"/>
          </rPr>
          <t>Estany dels Alous comparteixen:
- Rubí, i
- Sant Cugat del Vallès</t>
        </r>
        <r>
          <rPr>
            <sz val="9"/>
            <color indexed="81"/>
            <rFont val="Tahoma"/>
            <family val="2"/>
          </rPr>
          <t xml:space="preserve">
</t>
        </r>
      </text>
    </comment>
    <comment ref="DO210" authorId="0">
      <text>
        <r>
          <rPr>
            <b/>
            <sz val="9"/>
            <color indexed="81"/>
            <rFont val="Tahoma"/>
            <family val="2"/>
          </rPr>
          <t>1. ETAP Sant Esteve de Palautordera
2. ETAP Can Tassó
3. ETAP Olivar</t>
        </r>
        <r>
          <rPr>
            <sz val="9"/>
            <color indexed="81"/>
            <rFont val="Tahoma"/>
            <family val="2"/>
          </rPr>
          <t xml:space="preserve">
</t>
        </r>
      </text>
    </comment>
    <comment ref="AQ216" authorId="0">
      <text>
        <r>
          <rPr>
            <b/>
            <sz val="9"/>
            <color indexed="81"/>
            <rFont val="Tahoma"/>
            <family val="2"/>
          </rPr>
          <t>compartida Navarcles / Sant Fruitós / Santpedor</t>
        </r>
        <r>
          <rPr>
            <sz val="9"/>
            <color indexed="81"/>
            <rFont val="Tahoma"/>
            <family val="2"/>
          </rPr>
          <t xml:space="preserve">
</t>
        </r>
      </text>
    </comment>
    <comment ref="DO216" authorId="0">
      <text>
        <r>
          <rPr>
            <b/>
            <sz val="9"/>
            <color indexed="81"/>
            <rFont val="Tahoma"/>
            <family val="2"/>
          </rPr>
          <t>ETAP Sant Fruitós
ETAP Pineda</t>
        </r>
      </text>
    </comment>
    <comment ref="DO220" authorId="0">
      <text>
        <r>
          <rPr>
            <b/>
            <sz val="9"/>
            <color indexed="81"/>
            <rFont val="Tahoma"/>
            <family val="2"/>
          </rPr>
          <t>nou tractament d'osmosi inversa</t>
        </r>
        <r>
          <rPr>
            <sz val="9"/>
            <color indexed="81"/>
            <rFont val="Tahoma"/>
            <family val="2"/>
          </rPr>
          <t xml:space="preserve">
</t>
        </r>
      </text>
    </comment>
    <comment ref="AQ234" authorId="0">
      <text>
        <r>
          <rPr>
            <b/>
            <sz val="9"/>
            <color indexed="81"/>
            <rFont val="Tahoma"/>
            <family val="2"/>
          </rPr>
          <t>Can Pere -  La Plana
una altra compartida amb Sitges</t>
        </r>
      </text>
    </comment>
    <comment ref="AQ237" authorId="0">
      <text>
        <r>
          <rPr>
            <b/>
            <sz val="9"/>
            <color indexed="81"/>
            <rFont val="Tahoma"/>
            <family val="2"/>
          </rPr>
          <t>Can Ram</t>
        </r>
        <r>
          <rPr>
            <sz val="9"/>
            <color indexed="81"/>
            <rFont val="Tahoma"/>
            <family val="2"/>
          </rPr>
          <t xml:space="preserve">
</t>
        </r>
      </text>
    </comment>
    <comment ref="A257" authorId="0">
      <text>
        <r>
          <rPr>
            <b/>
            <sz val="9"/>
            <color indexed="81"/>
            <rFont val="Tahoma"/>
            <family val="2"/>
          </rPr>
          <t>Moltes vegades apareix com Santa Maria de Corcó</t>
        </r>
        <r>
          <rPr>
            <sz val="9"/>
            <color indexed="81"/>
            <rFont val="Tahoma"/>
            <family val="2"/>
          </rPr>
          <t xml:space="preserve">
</t>
        </r>
      </text>
    </comment>
    <comment ref="BB257" authorId="0">
      <text>
        <r>
          <rPr>
            <sz val="9"/>
            <color indexed="81"/>
            <rFont val="Tahoma"/>
            <family val="2"/>
          </rPr>
          <t xml:space="preserve">Miriam: al llistat de l'ADF apareix "Santa Maria de Corcó"; però no hi ha l'Esquirol.
</t>
        </r>
      </text>
    </comment>
    <comment ref="BC257" authorId="0">
      <text>
        <r>
          <rPr>
            <sz val="9"/>
            <color indexed="81"/>
            <rFont val="Tahoma"/>
            <family val="2"/>
          </rPr>
          <t xml:space="preserve">Miriam: al llistat de l'ADF apareix "Santa Maria de Corcó"; però no hi ha l'Esquirol.
</t>
        </r>
      </text>
    </comment>
    <comment ref="GP257" authorId="0">
      <text>
        <r>
          <rPr>
            <b/>
            <sz val="9"/>
            <color indexed="81"/>
            <rFont val="Tahoma"/>
            <family val="2"/>
          </rPr>
          <t>Moltes vegades apareix com Santa Maria de Corcó</t>
        </r>
        <r>
          <rPr>
            <sz val="9"/>
            <color indexed="81"/>
            <rFont val="Tahoma"/>
            <family val="2"/>
          </rPr>
          <t xml:space="preserve">
</t>
        </r>
      </text>
    </comment>
    <comment ref="AQ270" authorId="0">
      <text>
        <r>
          <rPr>
            <b/>
            <sz val="9"/>
            <color indexed="81"/>
            <rFont val="Tahoma"/>
            <family val="2"/>
          </rPr>
          <t xml:space="preserve">Can Canyemeres
</t>
        </r>
        <r>
          <rPr>
            <sz val="9"/>
            <color indexed="81"/>
            <rFont val="Tahoma"/>
            <family val="2"/>
          </rPr>
          <t xml:space="preserve">
</t>
        </r>
      </text>
    </comment>
    <comment ref="AQ271" authorId="0">
      <text>
        <r>
          <rPr>
            <b/>
            <sz val="9"/>
            <color indexed="81"/>
            <rFont val="Tahoma"/>
            <family val="2"/>
          </rPr>
          <t>Cercs
Sant Corneli de Cercs</t>
        </r>
        <r>
          <rPr>
            <sz val="9"/>
            <color indexed="81"/>
            <rFont val="Tahoma"/>
            <family val="2"/>
          </rPr>
          <t xml:space="preserve">
</t>
        </r>
      </text>
    </comment>
    <comment ref="AQ272" authorId="0">
      <text>
        <r>
          <rPr>
            <b/>
            <sz val="9"/>
            <color indexed="81"/>
            <rFont val="Tahoma"/>
            <family val="2"/>
          </rPr>
          <t>Masia Perafita</t>
        </r>
        <r>
          <rPr>
            <sz val="9"/>
            <color indexed="81"/>
            <rFont val="Tahoma"/>
            <family val="2"/>
          </rPr>
          <t xml:space="preserve">
</t>
        </r>
        <r>
          <rPr>
            <b/>
            <sz val="9"/>
            <color indexed="81"/>
            <rFont val="Tahoma"/>
            <family val="2"/>
          </rPr>
          <t>Muntanyà
Seva</t>
        </r>
      </text>
    </comment>
    <comment ref="AQ273" authorId="0">
      <text>
        <r>
          <rPr>
            <b/>
            <sz val="9"/>
            <color indexed="81"/>
            <rFont val="Tahoma"/>
            <family val="2"/>
          </rPr>
          <t>compartida amb Garraf</t>
        </r>
        <r>
          <rPr>
            <sz val="9"/>
            <color indexed="81"/>
            <rFont val="Tahoma"/>
            <family val="2"/>
          </rPr>
          <t xml:space="preserve">
</t>
        </r>
      </text>
    </comment>
    <comment ref="AQ276" authorId="0">
      <text>
        <r>
          <rPr>
            <b/>
            <sz val="9"/>
            <color indexed="81"/>
            <rFont val="Tahoma"/>
            <family val="2"/>
          </rPr>
          <t>Els casots</t>
        </r>
        <r>
          <rPr>
            <sz val="9"/>
            <color indexed="81"/>
            <rFont val="Tahoma"/>
            <family val="2"/>
          </rPr>
          <t xml:space="preserve">
</t>
        </r>
        <r>
          <rPr>
            <b/>
            <sz val="9"/>
            <color indexed="81"/>
            <rFont val="Tahoma"/>
            <family val="2"/>
          </rPr>
          <t>Lavern
Ordal
Sant Pau d'Ordal</t>
        </r>
      </text>
    </comment>
    <comment ref="BS280" authorId="0">
      <text>
        <r>
          <rPr>
            <b/>
            <sz val="9"/>
            <color indexed="81"/>
            <rFont val="Tahoma"/>
            <family val="2"/>
          </rPr>
          <t>Però en cotxe és 1 HORA</t>
        </r>
        <r>
          <rPr>
            <sz val="9"/>
            <color indexed="81"/>
            <rFont val="Tahoma"/>
            <family val="2"/>
          </rPr>
          <t xml:space="preserve">
</t>
        </r>
      </text>
    </comment>
    <comment ref="AQ282" authorId="0">
      <text>
        <r>
          <rPr>
            <b/>
            <sz val="9"/>
            <color indexed="81"/>
            <rFont val="Tahoma"/>
            <family val="2"/>
          </rPr>
          <t>Boix, Cardenera, Camamilla, Can Guitard
La Creu de Conill</t>
        </r>
        <r>
          <rPr>
            <sz val="9"/>
            <color indexed="81"/>
            <rFont val="Tahoma"/>
            <family val="2"/>
          </rPr>
          <t xml:space="preserve">
</t>
        </r>
        <r>
          <rPr>
            <b/>
            <sz val="9"/>
            <color indexed="81"/>
            <rFont val="Tahoma"/>
            <family val="2"/>
          </rPr>
          <t>Farigola (Can goteres)
Font del Ferro
Font de l'espardenya
Les Martines
Oreneta
Torrent de salt</t>
        </r>
      </text>
    </comment>
    <comment ref="CZ282" authorId="0">
      <text>
        <r>
          <rPr>
            <sz val="9"/>
            <color indexed="81"/>
            <rFont val="Tahoma"/>
            <family val="2"/>
          </rPr>
          <t xml:space="preserve">Vacarisses / Terrassa
</t>
        </r>
      </text>
    </comment>
    <comment ref="AQ284" authorId="0">
      <text>
        <r>
          <rPr>
            <b/>
            <sz val="9"/>
            <color indexed="81"/>
            <rFont val="Tahoma"/>
            <family val="2"/>
          </rPr>
          <t>Teià - Maresme Sud</t>
        </r>
        <r>
          <rPr>
            <sz val="9"/>
            <color indexed="81"/>
            <rFont val="Tahoma"/>
            <family val="2"/>
          </rPr>
          <t xml:space="preserve">
</t>
        </r>
      </text>
    </comment>
    <comment ref="CZ294" authorId="0">
      <text>
        <r>
          <rPr>
            <sz val="9"/>
            <color indexed="81"/>
            <rFont val="Tahoma"/>
            <family val="2"/>
          </rPr>
          <t xml:space="preserve">Vacarisses / Terrassa
</t>
        </r>
      </text>
    </comment>
    <comment ref="AQ298" authorId="0">
      <text>
        <r>
          <rPr>
            <b/>
            <sz val="9"/>
            <color indexed="81"/>
            <rFont val="Tahoma"/>
            <family val="2"/>
          </rPr>
          <t>Urbanització El Lledoner</t>
        </r>
        <r>
          <rPr>
            <sz val="9"/>
            <color indexed="81"/>
            <rFont val="Tahoma"/>
            <family val="2"/>
          </rPr>
          <t xml:space="preserve">
</t>
        </r>
      </text>
    </comment>
    <comment ref="AQ301" authorId="0">
      <text>
        <r>
          <rPr>
            <b/>
            <sz val="9"/>
            <color indexed="81"/>
            <rFont val="Tahoma"/>
            <family val="2"/>
          </rPr>
          <t>Sentfores - La Guixa</t>
        </r>
        <r>
          <rPr>
            <sz val="9"/>
            <color indexed="81"/>
            <rFont val="Tahoma"/>
            <family val="2"/>
          </rPr>
          <t xml:space="preserve">
</t>
        </r>
        <r>
          <rPr>
            <b/>
            <sz val="9"/>
            <color indexed="81"/>
            <rFont val="Tahoma"/>
            <family val="2"/>
          </rPr>
          <t>Vic</t>
        </r>
      </text>
    </comment>
    <comment ref="DB301" authorId="0">
      <text>
        <r>
          <rPr>
            <b/>
            <sz val="9"/>
            <color indexed="81"/>
            <rFont val="Tahoma"/>
            <family val="2"/>
          </rPr>
          <t>concessió</t>
        </r>
        <r>
          <rPr>
            <sz val="9"/>
            <color indexed="81"/>
            <rFont val="Tahoma"/>
            <family val="2"/>
          </rPr>
          <t xml:space="preserve">
</t>
        </r>
      </text>
    </comment>
    <comment ref="AQ304" authorId="0">
      <text>
        <r>
          <rPr>
            <b/>
            <sz val="9"/>
            <color indexed="81"/>
            <rFont val="Tahoma"/>
            <family val="2"/>
          </rPr>
          <t>compartida amb Gavà</t>
        </r>
      </text>
    </comment>
    <comment ref="DU304" authorId="0">
      <text>
        <r>
          <rPr>
            <b/>
            <sz val="9"/>
            <color indexed="81"/>
            <rFont val="Tahoma"/>
            <family val="2"/>
          </rPr>
          <t xml:space="preserve">Estany de la Murtra: 
comparteixen Gavà i Viladecans;
Remolar-Filipines comparteixen:
- El Prat de Llobregat;
- Sant Boi de Llobregat, i
- Viladecans
</t>
        </r>
        <r>
          <rPr>
            <sz val="9"/>
            <color indexed="81"/>
            <rFont val="Tahoma"/>
            <family val="2"/>
          </rPr>
          <t xml:space="preserve">
Les Llacunes del Dimoni comparteixen:
- Sant Boi del Llobregat, i
- Viladecans.</t>
        </r>
      </text>
    </comment>
    <comment ref="DU310" authorId="0">
      <text>
        <r>
          <rPr>
            <b/>
            <sz val="9"/>
            <color indexed="81"/>
            <rFont val="Tahoma"/>
            <family val="2"/>
          </rPr>
          <t>Comparteixen la Platja Llarga:
- Cubelles, i
- Vilanova i la Geltrú</t>
        </r>
        <r>
          <rPr>
            <sz val="9"/>
            <color indexed="81"/>
            <rFont val="Tahoma"/>
            <family val="2"/>
          </rPr>
          <t xml:space="preserve">
</t>
        </r>
      </text>
    </comment>
    <comment ref="DU311" authorId="0">
      <text>
        <r>
          <rPr>
            <b/>
            <sz val="9"/>
            <color indexed="81"/>
            <rFont val="Tahoma"/>
            <family val="2"/>
          </rPr>
          <t>Pantà de Serrateix comparteixen:
- Montmajor, i
- Viver i Serrateix
Riera de Navel comparteixen:
- Montclar, i
- Viver i Serrateix</t>
        </r>
        <r>
          <rPr>
            <sz val="9"/>
            <color indexed="81"/>
            <rFont val="Tahoma"/>
            <family val="2"/>
          </rPr>
          <t xml:space="preserve">
</t>
        </r>
      </text>
    </comment>
  </commentList>
</comments>
</file>

<file path=xl/comments3.xml><?xml version="1.0" encoding="utf-8"?>
<comments xmlns="http://schemas.openxmlformats.org/spreadsheetml/2006/main">
  <authors>
    <author>w8</author>
  </authors>
  <commentList>
    <comment ref="D59" authorId="0">
      <text>
        <r>
          <rPr>
            <b/>
            <sz val="18"/>
            <color indexed="81"/>
            <rFont val="Tahoma"/>
            <family val="2"/>
          </rPr>
          <t>IOF =  Instruments d'Ordenació Forestal</t>
        </r>
        <r>
          <rPr>
            <b/>
            <sz val="9"/>
            <color indexed="81"/>
            <rFont val="Tahoma"/>
            <family val="2"/>
          </rPr>
          <t xml:space="preserve"> </t>
        </r>
        <r>
          <rPr>
            <sz val="9"/>
            <color indexed="81"/>
            <rFont val="Tahoma"/>
            <family val="2"/>
          </rPr>
          <t xml:space="preserve">
</t>
        </r>
      </text>
    </comment>
  </commentList>
</comments>
</file>

<file path=xl/comments4.xml><?xml version="1.0" encoding="utf-8"?>
<comments xmlns="http://schemas.openxmlformats.org/spreadsheetml/2006/main">
  <authors>
    <author>Usuari</author>
  </authors>
  <commentList>
    <comment ref="A2" authorId="0">
      <text>
        <r>
          <rPr>
            <b/>
            <sz val="8"/>
            <color indexed="81"/>
            <rFont val="Tahoma"/>
            <family val="2"/>
          </rPr>
          <t>2005-2010:font dades ICAEN. 2011-2012:font dades Gas Natural</t>
        </r>
        <r>
          <rPr>
            <sz val="8"/>
            <color indexed="81"/>
            <rFont val="Tahoma"/>
            <family val="2"/>
          </rPr>
          <t xml:space="preserve">
</t>
        </r>
      </text>
    </comment>
    <comment ref="B41" authorId="0">
      <text>
        <r>
          <rPr>
            <b/>
            <sz val="8"/>
            <color indexed="81"/>
            <rFont val="Tahoma"/>
            <family val="2"/>
          </rPr>
          <t xml:space="preserve">GN a partir 2007
</t>
        </r>
        <r>
          <rPr>
            <sz val="8"/>
            <color indexed="81"/>
            <rFont val="Tahoma"/>
            <family val="2"/>
          </rPr>
          <t xml:space="preserve">
</t>
        </r>
      </text>
    </comment>
    <comment ref="B64" authorId="0">
      <text>
        <r>
          <rPr>
            <b/>
            <sz val="8"/>
            <color indexed="81"/>
            <rFont val="Tahoma"/>
            <family val="2"/>
          </rPr>
          <t>GN a partir 2008</t>
        </r>
        <r>
          <rPr>
            <sz val="8"/>
            <color indexed="81"/>
            <rFont val="Tahoma"/>
            <family val="2"/>
          </rPr>
          <t xml:space="preserve">
</t>
        </r>
      </text>
    </comment>
    <comment ref="B67" authorId="0">
      <text>
        <r>
          <rPr>
            <b/>
            <sz val="8"/>
            <color indexed="81"/>
            <rFont val="Tahoma"/>
            <family val="2"/>
          </rPr>
          <t>GN a partir 2008</t>
        </r>
        <r>
          <rPr>
            <sz val="8"/>
            <color indexed="81"/>
            <rFont val="Tahoma"/>
            <family val="2"/>
          </rPr>
          <t xml:space="preserve">
</t>
        </r>
      </text>
    </comment>
    <comment ref="B94" authorId="0">
      <text>
        <r>
          <rPr>
            <b/>
            <sz val="8"/>
            <color indexed="81"/>
            <rFont val="Tahoma"/>
            <family val="2"/>
          </rPr>
          <t xml:space="preserve">GN a partir 2008
</t>
        </r>
        <r>
          <rPr>
            <sz val="8"/>
            <color indexed="81"/>
            <rFont val="Tahoma"/>
            <family val="2"/>
          </rPr>
          <t xml:space="preserve">
</t>
        </r>
      </text>
    </comment>
    <comment ref="B119" authorId="0">
      <text>
        <r>
          <rPr>
            <b/>
            <sz val="8"/>
            <color indexed="81"/>
            <rFont val="Tahoma"/>
            <family val="2"/>
          </rPr>
          <t>GN a partir 2009</t>
        </r>
        <r>
          <rPr>
            <sz val="8"/>
            <color indexed="81"/>
            <rFont val="Tahoma"/>
            <family val="2"/>
          </rPr>
          <t xml:space="preserve">
</t>
        </r>
      </text>
    </comment>
    <comment ref="B141" authorId="0">
      <text>
        <r>
          <rPr>
            <b/>
            <sz val="8"/>
            <color indexed="81"/>
            <rFont val="Tahoma"/>
            <family val="2"/>
          </rPr>
          <t>GN a partir 2008</t>
        </r>
        <r>
          <rPr>
            <sz val="8"/>
            <color indexed="81"/>
            <rFont val="Tahoma"/>
            <family val="2"/>
          </rPr>
          <t xml:space="preserve">
</t>
        </r>
      </text>
    </comment>
    <comment ref="B211" authorId="0">
      <text>
        <r>
          <rPr>
            <b/>
            <sz val="8"/>
            <color indexed="81"/>
            <rFont val="Tahoma"/>
            <family val="2"/>
          </rPr>
          <t>GN a partir 2007</t>
        </r>
        <r>
          <rPr>
            <sz val="8"/>
            <color indexed="81"/>
            <rFont val="Tahoma"/>
            <family val="2"/>
          </rPr>
          <t xml:space="preserve">
</t>
        </r>
      </text>
    </comment>
    <comment ref="B229" authorId="0">
      <text>
        <r>
          <rPr>
            <b/>
            <sz val="8"/>
            <color indexed="81"/>
            <rFont val="Tahoma"/>
            <family val="2"/>
          </rPr>
          <t>GN a partir 2008</t>
        </r>
        <r>
          <rPr>
            <sz val="8"/>
            <color indexed="81"/>
            <rFont val="Tahoma"/>
            <family val="2"/>
          </rPr>
          <t xml:space="preserve">
</t>
        </r>
      </text>
    </comment>
    <comment ref="B237" authorId="0">
      <text>
        <r>
          <rPr>
            <b/>
            <sz val="8"/>
            <color indexed="81"/>
            <rFont val="Tahoma"/>
            <family val="2"/>
          </rPr>
          <t>Dades 2010 surt com S.E.</t>
        </r>
        <r>
          <rPr>
            <sz val="8"/>
            <color indexed="81"/>
            <rFont val="Tahoma"/>
            <family val="2"/>
          </rPr>
          <t xml:space="preserve">
</t>
        </r>
      </text>
    </comment>
    <comment ref="B247" authorId="0">
      <text>
        <r>
          <rPr>
            <b/>
            <sz val="8"/>
            <color indexed="81"/>
            <rFont val="Tahoma"/>
            <family val="2"/>
          </rPr>
          <t>Dades 2010 surt com S.E.</t>
        </r>
      </text>
    </comment>
  </commentList>
</comments>
</file>

<file path=xl/comments5.xml><?xml version="1.0" encoding="utf-8"?>
<comments xmlns="http://schemas.openxmlformats.org/spreadsheetml/2006/main">
  <authors>
    <author>w8</author>
  </authors>
  <commentList>
    <comment ref="A125" authorId="0">
      <text>
        <r>
          <rPr>
            <b/>
            <sz val="9"/>
            <color indexed="81"/>
            <rFont val="Tahoma"/>
            <family val="2"/>
          </rPr>
          <t>Moltes vegades apareix com Santa Maria de Corcó</t>
        </r>
        <r>
          <rPr>
            <sz val="9"/>
            <color indexed="81"/>
            <rFont val="Tahoma"/>
            <family val="2"/>
          </rPr>
          <t xml:space="preserve">
</t>
        </r>
      </text>
    </comment>
  </commentList>
</comments>
</file>

<file path=xl/sharedStrings.xml><?xml version="1.0" encoding="utf-8"?>
<sst xmlns="http://schemas.openxmlformats.org/spreadsheetml/2006/main" count="52622" uniqueCount="4645">
  <si>
    <t>T50</t>
  </si>
  <si>
    <t>T100</t>
  </si>
  <si>
    <t>Sòl industrial</t>
  </si>
  <si>
    <t>Sòl residencial</t>
  </si>
  <si>
    <t>€/m2 sòl</t>
  </si>
  <si>
    <t>m2 sòl</t>
  </si>
  <si>
    <t>&gt;2</t>
  </si>
  <si>
    <t>0,7-2</t>
  </si>
  <si>
    <t>0,3-0,7</t>
  </si>
  <si>
    <t>0-0,3</t>
  </si>
  <si>
    <t>anys</t>
  </si>
  <si>
    <t>Mitjana</t>
  </si>
  <si>
    <t>Urgències</t>
  </si>
  <si>
    <t>Fatalitats o morts</t>
  </si>
  <si>
    <t>Durada mitjana onada calor</t>
  </si>
  <si>
    <t>Costos ingrés planta</t>
  </si>
  <si>
    <t>Costos fatalitat o mort</t>
  </si>
  <si>
    <t>Costos servei urgències</t>
  </si>
  <si>
    <t>Hospitalitzacions en planta</t>
  </si>
  <si>
    <t>€</t>
  </si>
  <si>
    <t>Durada (dies/any)</t>
  </si>
  <si>
    <t>Cost del risc agregat en 15 anys</t>
  </si>
  <si>
    <t>I hipotesis mitjana afectacions sobre paràmetre mortalitat</t>
  </si>
  <si>
    <t>€/ha cremada</t>
  </si>
  <si>
    <t>Vallès Oriental</t>
  </si>
  <si>
    <t>Càlculs</t>
  </si>
  <si>
    <t>Sector</t>
  </si>
  <si>
    <t>Agricultura</t>
  </si>
  <si>
    <t>Indústria</t>
  </si>
  <si>
    <t>Construcció</t>
  </si>
  <si>
    <t>Comerç</t>
  </si>
  <si>
    <t>Hosteleria</t>
  </si>
  <si>
    <t>Transport</t>
  </si>
  <si>
    <t>Activ financeres</t>
  </si>
  <si>
    <t>Administració pública</t>
  </si>
  <si>
    <t>PIB (M€)</t>
  </si>
  <si>
    <t>Impacte de la sequera en % del PIB</t>
  </si>
  <si>
    <t>€/dia</t>
  </si>
  <si>
    <t>Total</t>
  </si>
  <si>
    <t>A</t>
  </si>
  <si>
    <t>B</t>
  </si>
  <si>
    <t>X0</t>
  </si>
  <si>
    <t>C0</t>
  </si>
  <si>
    <t>DI0</t>
  </si>
  <si>
    <t>PCC</t>
  </si>
  <si>
    <t>Mitjana geomètrica</t>
  </si>
  <si>
    <t>Se sol utilitzar en la manipulació estadística de variables amb distribució no normal.</t>
  </si>
  <si>
    <t>CSCC</t>
  </si>
  <si>
    <t>RSCC</t>
  </si>
  <si>
    <t>CACC</t>
  </si>
  <si>
    <t>RACC</t>
  </si>
  <si>
    <t>Tipus sòl</t>
  </si>
  <si>
    <t>Magnitud física 0</t>
  </si>
  <si>
    <t>€/servei a Espanya</t>
  </si>
  <si>
    <t>€/pers·dia a Espanya</t>
  </si>
  <si>
    <t>€/mort a Catalunya</t>
  </si>
  <si>
    <t>Cost inicial unitari</t>
  </si>
  <si>
    <t>Cost diari</t>
  </si>
  <si>
    <t>N. Dies Amb CC</t>
  </si>
  <si>
    <t>Any</t>
  </si>
  <si>
    <t>Progressió</t>
  </si>
  <si>
    <t>N. Dies Onada calor</t>
  </si>
  <si>
    <t>M€</t>
  </si>
  <si>
    <t>Cost acumulat a 15 anys amb CC</t>
  </si>
  <si>
    <t>Extenció mitjana (ha/incendi)</t>
  </si>
  <si>
    <t>Nombre mitjà d'incendis l'any</t>
  </si>
  <si>
    <t>Municipi</t>
  </si>
  <si>
    <t>Cost mitjà incendi forestal (Sense incloure extinció incendi)</t>
  </si>
  <si>
    <t>La mitjana geomètrica s'utilitza amb més freqüència per calcular la taxa de creixement</t>
  </si>
  <si>
    <t>percentual mitjà d'algunes sèries de dades, al llarg del temps.</t>
  </si>
  <si>
    <t>RNACC</t>
  </si>
  <si>
    <t xml:space="preserve">Càlcul cost acumulat de no actuar contra les inundacions </t>
  </si>
  <si>
    <t>Càlcul cost acumulat de no actuar contra els cops de calor</t>
  </si>
  <si>
    <t>Càlcul cost acumulat de no actuar contra els incendis forestals</t>
  </si>
  <si>
    <t>PIB municipal per sectors</t>
  </si>
  <si>
    <t>Reducció del PIB a causa de la sequera</t>
  </si>
  <si>
    <t>T1</t>
  </si>
  <si>
    <t>T2</t>
  </si>
  <si>
    <t>Alçada (m)</t>
  </si>
  <si>
    <t>Càlcul per 1 dia</t>
  </si>
  <si>
    <t>Alt penedès</t>
  </si>
  <si>
    <t>Anoia</t>
  </si>
  <si>
    <t>Bages</t>
  </si>
  <si>
    <t>Barcelonès</t>
  </si>
  <si>
    <t>Berguedà</t>
  </si>
  <si>
    <t>Garraf</t>
  </si>
  <si>
    <t>Maresme</t>
  </si>
  <si>
    <t>Moianès</t>
  </si>
  <si>
    <t>Osona</t>
  </si>
  <si>
    <t>Vallès Occidental</t>
  </si>
  <si>
    <t>Baix Llobregat</t>
  </si>
  <si>
    <t>Any sec</t>
  </si>
  <si>
    <t>Any mitjà</t>
  </si>
  <si>
    <t>Població</t>
  </si>
  <si>
    <t>Superfície</t>
  </si>
  <si>
    <t>Prov. BCN</t>
  </si>
  <si>
    <t>Dessalinització</t>
  </si>
  <si>
    <t>Ter+Llobregat</t>
  </si>
  <si>
    <t>Aquifers</t>
  </si>
  <si>
    <t>%</t>
  </si>
  <si>
    <t>% sense Dess.</t>
  </si>
  <si>
    <t>Dades internes de l'eina</t>
  </si>
  <si>
    <t>Resultats parcials</t>
  </si>
  <si>
    <t>Resultat final</t>
  </si>
  <si>
    <t>DIBA: Falta dada. Cal que l'aporti el municipi d'inundacions històriques o calcular-la en SIG per a cada municipi a partir de mapes periode retorn riu al municipi (INUNCAT, ACA...)</t>
  </si>
  <si>
    <t>Notes a exposar a la DIBA per arribar a solució</t>
  </si>
  <si>
    <t>Coef.</t>
  </si>
  <si>
    <t>Cost agregat d'aquests esdeveniments en la seva part proporcional a x anys (horitzó del Pla)</t>
  </si>
  <si>
    <t>Superfície de sòl afectada per inundacions</t>
  </si>
  <si>
    <t>Coeficients minorització segons alçada aigua o calat</t>
  </si>
  <si>
    <t>Càlcul del cost de T50 i T100 per diferents calats i interpolar a Tx per a l'escenari sense CC</t>
  </si>
  <si>
    <r>
      <t xml:space="preserve">La </t>
    </r>
    <r>
      <rPr>
        <b/>
        <i/>
        <sz val="10"/>
        <color theme="3" tint="-0.249977111117893"/>
        <rFont val="Arial"/>
        <family val="2"/>
      </rPr>
      <t>mitjana geomètrica</t>
    </r>
    <r>
      <rPr>
        <i/>
        <sz val="10"/>
        <color theme="3" tint="-0.249977111117893"/>
        <rFont val="Arial"/>
        <family val="2"/>
      </rPr>
      <t xml:space="preserve"> o </t>
    </r>
    <r>
      <rPr>
        <b/>
        <i/>
        <sz val="10"/>
        <color theme="3" tint="-0.249977111117893"/>
        <rFont val="Arial"/>
        <family val="2"/>
      </rPr>
      <t>proporcional</t>
    </r>
    <r>
      <rPr>
        <i/>
        <sz val="10"/>
        <color theme="3" tint="-0.249977111117893"/>
        <rFont val="Arial"/>
        <family val="2"/>
      </rPr>
      <t xml:space="preserve"> d'una quantitat finita de n nombres reals és l'arrel n-èsima del producte de tots els nombres</t>
    </r>
  </si>
  <si>
    <t>Font: ACA 2009</t>
  </si>
  <si>
    <t>Amb el CC es duplicarà la freqüència d'aiguats amb cabal fins 20% superior =&gt; T50 passarà a T25, T100 passarà a T50</t>
  </si>
  <si>
    <t>Milions d'euros</t>
  </si>
  <si>
    <t>y = A·x + B</t>
  </si>
  <si>
    <t>Càlcul del cost acumulat amb CC =&gt; Duplicar valors T15 per a cada calat</t>
  </si>
  <si>
    <t>Càlcul de la diferència entre els costos acumulats amb CC i sense</t>
  </si>
  <si>
    <t>Tx amb CC</t>
  </si>
  <si>
    <t>Tx sense CC</t>
  </si>
  <si>
    <t>Costos unitaris dels serveis mèdics</t>
  </si>
  <si>
    <t>Cost unitari inundació (danys màxims amb cota &gt;2m alt)</t>
  </si>
  <si>
    <t>Increment d'hospitalitzacions per onada de calor respecte un mes normal</t>
  </si>
  <si>
    <t>Càlcul del cost de salut de les onades de calor sense increment per al CC</t>
  </si>
  <si>
    <t>Any inici</t>
  </si>
  <si>
    <t>Any final</t>
  </si>
  <si>
    <t>Cost anual sense CC (€/any)</t>
  </si>
  <si>
    <t>Font: Hipòtesis PAESC Granollers, 2015</t>
  </si>
  <si>
    <t>Cost acumulat a X anys sense CC</t>
  </si>
  <si>
    <t>Sumatori dels costos anuals del període</t>
  </si>
  <si>
    <t>Cost acumulat (€)</t>
  </si>
  <si>
    <t>Cost acumulat corregit (€)</t>
  </si>
  <si>
    <t>L'increment a 2040 serà de 6 a 19 dies d'onada de calor/any</t>
  </si>
  <si>
    <t>dies/any</t>
  </si>
  <si>
    <t xml:space="preserve">Mitjana dies onades calor </t>
  </si>
  <si>
    <t>Horitzó PAESC (anys)</t>
  </si>
  <si>
    <t>Interpolar valor a X anys</t>
  </si>
  <si>
    <t>Periode</t>
  </si>
  <si>
    <t>Cost del risc agregat amb CC a X anys</t>
  </si>
  <si>
    <t>Periodicitat onades de calor amb  CC</t>
  </si>
  <si>
    <t>Cost anual onades calor amb CC (€/any)</t>
  </si>
  <si>
    <t>Cost unitari per incendi</t>
  </si>
  <si>
    <t>Cost mitjà extinció incendi</t>
  </si>
  <si>
    <t>Cost total incendis anuals</t>
  </si>
  <si>
    <t>Cost acumulat dels incendis sense CC</t>
  </si>
  <si>
    <t>Incendis/any (mitjana 10 anys: 2006-2016)</t>
  </si>
  <si>
    <t>Superficie forestal cremada (mitjana ha/any)</t>
  </si>
  <si>
    <t>Cost anual total (usant cost unitari corregit)</t>
  </si>
  <si>
    <t>Ha/incendi</t>
  </si>
  <si>
    <t>N. incendis/any</t>
  </si>
  <si>
    <t>Impacte (ha/any)</t>
  </si>
  <si>
    <t>Hipotesis: S'usa la mitjana geomètrica perquè les proporcions dels calats no són iguals (evolució estadística), com passaria si es fes la mitjana aritmètica</t>
  </si>
  <si>
    <t>Serveis</t>
  </si>
  <si>
    <t>Comarca</t>
  </si>
  <si>
    <t>Hipotesis: Cicles: Recurrència promig onades de calor d'uns 5 anys, però entremig poden donar-se esdeveniments de menor intensitat i inclús anys secs</t>
  </si>
  <si>
    <t>Hipotesis: increment lineal en funció frase AEMET (0,5 dies/any en cada cicle anterior de 4 anys)</t>
  </si>
  <si>
    <t>Hipotesis: Cost cada any és el mateix sense CC, enlloc d'utilitzar el nombre real d'incendis anual s'utilitza la mitjana</t>
  </si>
  <si>
    <t>m3/any</t>
  </si>
  <si>
    <t>€/m3</t>
  </si>
  <si>
    <t>Cost subministrament aigua</t>
  </si>
  <si>
    <t>Cost clavagueram i depuració</t>
  </si>
  <si>
    <t>Cost total del cicle de l'aigua</t>
  </si>
  <si>
    <t>Volum d'aigua consumida total</t>
  </si>
  <si>
    <t>Volum d'aigua consumida activitats econòmiques (xarxa+fonts pròpies)</t>
  </si>
  <si>
    <t>Volum d'aigua consumida domèstic (xarxa)</t>
  </si>
  <si>
    <t>Aplicar un increment del núm. incendis i magnitud (ha/incendi) * 3 l'any del final del periode</t>
  </si>
  <si>
    <t>L'increment de l'impacte dels incendis a 2030 es triplicarà (nº incendis i magnitud cremada)</t>
  </si>
  <si>
    <t>"L'increment de temperatures més l'increment dels dies d'onada calor podrien arribar a triplicar l'impacte dels incendis a 2030 (per increment nº incendis i major magnitud)"</t>
  </si>
  <si>
    <t>Cost anual amb CC</t>
  </si>
  <si>
    <t>Subterrània</t>
  </si>
  <si>
    <t>Superficial</t>
  </si>
  <si>
    <t>Desalinitzada</t>
  </si>
  <si>
    <t>Hm3/any</t>
  </si>
  <si>
    <t>DIBA: Dada abastament municipal per fonts o total i aplicar % any mitjà RMB</t>
  </si>
  <si>
    <t>Relacions AMB-RMB-Província de BCN</t>
  </si>
  <si>
    <t>RMB</t>
  </si>
  <si>
    <t>AMB</t>
  </si>
  <si>
    <t>Proporció respecte la província de BCN</t>
  </si>
  <si>
    <t>Fonts de l'abastament</t>
  </si>
  <si>
    <t>Fonts de l'abastament d'aigua de la Regió Metropolitana de BCN (Hm3/any)</t>
  </si>
  <si>
    <t>Habitants</t>
  </si>
  <si>
    <t>Cost unitari intern de l'aigua segons la font de procedència</t>
  </si>
  <si>
    <t>Cost anual intern de l'aigua segons procedència</t>
  </si>
  <si>
    <t>Recurrència actual d'anys secs</t>
  </si>
  <si>
    <t>Anys secs</t>
  </si>
  <si>
    <t>Anys mitjans</t>
  </si>
  <si>
    <t>Cost anys mitjans</t>
  </si>
  <si>
    <t>Cost anys secs</t>
  </si>
  <si>
    <t>Total acumulat</t>
  </si>
  <si>
    <t>Cost total consum d'aigua amb CC</t>
  </si>
  <si>
    <t>Càlcul del cost del dèficit de recurs hídric, i necessitat d'abastament amb fonts més cares</t>
  </si>
  <si>
    <t>Freqüència de la precipitació entre 0,20 i 0,40 (la precipitació registrada és igual o superior al 20% dels més secs i inferior al 40% dels anys més secs)</t>
  </si>
  <si>
    <t>Definició d'anys secs:</t>
  </si>
  <si>
    <t>Es considera onada de calor quan les temperatures màximes superen els 33,1ºC durant tres dies consecutius o més</t>
  </si>
  <si>
    <t>Definició: Onada de calor</t>
  </si>
  <si>
    <t>A Barcelona un de cada quatre anys els recursos són inferiors o molt propers a la demanda</t>
  </si>
  <si>
    <t>Font: Pla Clima BCN 2016</t>
  </si>
  <si>
    <t>D0</t>
  </si>
  <si>
    <t>Consum aigua subterrània</t>
  </si>
  <si>
    <t>Cost aigua subterrània</t>
  </si>
  <si>
    <t>Consum aigua superficial</t>
  </si>
  <si>
    <t>Cost aigua superficial</t>
  </si>
  <si>
    <t>Consum aigua dessalinitzada</t>
  </si>
  <si>
    <t>Cost aigua desalinitzada</t>
  </si>
  <si>
    <t>Cost total acumulat</t>
  </si>
  <si>
    <t xml:space="preserve">Consum d'aigua municipal </t>
  </si>
  <si>
    <t>Electricitat</t>
  </si>
  <si>
    <t>Gas natural</t>
  </si>
  <si>
    <t>Residencial</t>
  </si>
  <si>
    <t>€/kWh</t>
  </si>
  <si>
    <t>Preu unitari de l'energia del sector domèstic</t>
  </si>
  <si>
    <t>Recursos per procedència</t>
  </si>
  <si>
    <t>Recurs total</t>
  </si>
  <si>
    <t>Opció escollida</t>
  </si>
  <si>
    <t>Hipotesis: Recurs total = Demanda total</t>
  </si>
  <si>
    <t>A) Amb igual demanda</t>
  </si>
  <si>
    <t>B) Amb increment demanda</t>
  </si>
  <si>
    <t>"A BCN es preveu pel 2050, una reducció del 12% dels recursos superficials i una reducció del 9% dels recursos subterranis i un increment de la demanda total del 4%"</t>
  </si>
  <si>
    <t xml:space="preserve">A Barcelona el consum energètic per calefacció podria esdevenir pràcticament nul a finals de segle, mentre que el de refrigeració es podria arribar a augmentar en més d’un 300%. </t>
  </si>
  <si>
    <t>Reducció calefacció</t>
  </si>
  <si>
    <t xml:space="preserve">No uso: Barcelona disminuiria el consum total energètic un -6,7% (escenari compromès, suma de tots els sectors) </t>
  </si>
  <si>
    <t>No uso: El consum energètic per a usos tèrmics al sector residencial disminuiria entre el -44%, que representaria un 25% d'estalvi en el conjunt de consums domèstics (escenari compromès)</t>
  </si>
  <si>
    <t>No uso: Un increment d’1ºC de temperatura pot generar un increment del 5% del consum de refrigeració</t>
  </si>
  <si>
    <t>Cost del sector domèstic sense CC al municipi</t>
  </si>
  <si>
    <t>Càlcul del cost de no actar respecte el verd urbà</t>
  </si>
  <si>
    <t>Nombre d'especies de l'arbrat viari municipal</t>
  </si>
  <si>
    <t>DIBA: Dada municipal o a partir del rati amb el nombre d'habitants</t>
  </si>
  <si>
    <t>Nombre d'especies</t>
  </si>
  <si>
    <t>Nombre d'exeplars</t>
  </si>
  <si>
    <t>Arbrat viari</t>
  </si>
  <si>
    <t>Arbrat dels espais verds</t>
  </si>
  <si>
    <t>Font: Análisis de servicios municipales mediante indicadores de gestión. Recopilación de conclusiones de los servicios analizados en los círculos de comparación intermunicipal. Resultados año 2015.</t>
  </si>
  <si>
    <t>Cost municipal manteniment verd urbà</t>
  </si>
  <si>
    <t>€/any</t>
  </si>
  <si>
    <t>Cost poda</t>
  </si>
  <si>
    <t>Cost fitosanitari</t>
  </si>
  <si>
    <t>Cost reposició i plantació</t>
  </si>
  <si>
    <t>Cost reg</t>
  </si>
  <si>
    <t>Cost manteniment i revisió</t>
  </si>
  <si>
    <t>Distribució de costos d'arbrat urbà</t>
  </si>
  <si>
    <t>Poda de Palmeres</t>
  </si>
  <si>
    <t>Poda de Formació</t>
  </si>
  <si>
    <t>Poda d'estiu</t>
  </si>
  <si>
    <t>Poda d'hivern</t>
  </si>
  <si>
    <t>Poda</t>
  </si>
  <si>
    <t>Fitosanitari àrbre</t>
  </si>
  <si>
    <t>Fitosanitari específic palmera</t>
  </si>
  <si>
    <t>Altres sanitari</t>
  </si>
  <si>
    <t>Sanitat vegetal</t>
  </si>
  <si>
    <t>Talas</t>
  </si>
  <si>
    <t>Plantacions</t>
  </si>
  <si>
    <t xml:space="preserve">Altres   </t>
  </si>
  <si>
    <t>Reposicions</t>
  </si>
  <si>
    <t>Unitat revisió arbre jove</t>
  </si>
  <si>
    <t>Unitat revisió arbre consolidat</t>
  </si>
  <si>
    <t>Reg</t>
  </si>
  <si>
    <t>Manteniment</t>
  </si>
  <si>
    <t>TOTAL</t>
  </si>
  <si>
    <t>Cost unitari arbrat viari nou (€/arbre)</t>
  </si>
  <si>
    <t>Especie</t>
  </si>
  <si>
    <t>€/arbre</t>
  </si>
  <si>
    <t>Brachychiton populneus</t>
  </si>
  <si>
    <t>Melia azedarach</t>
  </si>
  <si>
    <t>Celtis australis</t>
  </si>
  <si>
    <t>Sophora japonica</t>
  </si>
  <si>
    <r>
      <t xml:space="preserve">Prunus cerasifera </t>
    </r>
    <r>
      <rPr>
        <sz val="10"/>
        <color theme="1"/>
        <rFont val="Arial"/>
        <family val="2"/>
      </rPr>
      <t>'Pisardi'</t>
    </r>
  </si>
  <si>
    <t>Mitajana</t>
  </si>
  <si>
    <t>Font: Tarifes Vivers Gassó</t>
  </si>
  <si>
    <t>Estimació de l'increment de necessitat de reg de les principals especies de verd urbà</t>
  </si>
  <si>
    <t>Increment temperatura % (2030)</t>
  </si>
  <si>
    <t>Font: Escenari moderat (Paris). Pla d'adaptació al Canvi Climàtic a l'Àrea Metropolitana de Barcelona 2015</t>
  </si>
  <si>
    <t>Especies de verd urbà</t>
  </si>
  <si>
    <t>Ke</t>
  </si>
  <si>
    <t>Kd</t>
  </si>
  <si>
    <t>Km</t>
  </si>
  <si>
    <t>Km futur en cas extrem</t>
  </si>
  <si>
    <t>Km futur (1,83% increment Tª)</t>
  </si>
  <si>
    <t>Kj</t>
  </si>
  <si>
    <t>Kj futur (increment tª)</t>
  </si>
  <si>
    <t>% increment requeriment hídric (per increment tª)</t>
  </si>
  <si>
    <t>Platanus hispanica</t>
  </si>
  <si>
    <t>Font: Manual de riego de jardines. Junta de Andalucía</t>
  </si>
  <si>
    <t>Km (depen de les condicions microclimàtiques)</t>
  </si>
  <si>
    <t>Increment mortalitat de les principals especies d'arbrat</t>
  </si>
  <si>
    <t>Increment de taxa de mortalitat deguda al CC</t>
  </si>
  <si>
    <t>Pinus halepensis</t>
  </si>
  <si>
    <t>Quercus ilex</t>
  </si>
  <si>
    <t>Font: Widespread crown condition decline, food web disruption and amplified tree mortality with increased climate-change-type drought. Carnicer et al.</t>
  </si>
  <si>
    <t>Font: Los árboles más comunes en el término municipal de Barcelona (incluida la sierra de Collserola) son la encina (Quercus ilex) con 313.372 ejemplares (22,1 % de la población total), el pino carrasco (Pinus halepensis) con 290.525 ejemplares (20,5 % de la población total) (Plan director del arbolado de Barcelona 2017-2037)</t>
  </si>
  <si>
    <t>Increment anual evapotranspiració deguda al CC (2005-2035)</t>
  </si>
  <si>
    <t>Font: Impactos y Vulnerabilidad de los Bosques y la Biodiversidad. Departamento de Ecología, Facultad de Biología, Universitat de Barcelona</t>
  </si>
  <si>
    <t>Increment necessitat de poda</t>
  </si>
  <si>
    <t>hab/espècie</t>
  </si>
  <si>
    <t>espècies/hab</t>
  </si>
  <si>
    <t>Font: Doctorarbol, empresa de consultoria en arboricultura http://www.doctorarbol.com/es/</t>
  </si>
  <si>
    <r>
      <t xml:space="preserve">Els anys secs les </t>
    </r>
    <r>
      <rPr>
        <b/>
        <sz val="10"/>
        <color rgb="FF000000"/>
        <rFont val="Arial"/>
        <family val="2"/>
      </rPr>
      <t xml:space="preserve">restriccions </t>
    </r>
    <r>
      <rPr>
        <sz val="10"/>
        <color rgb="FF000000"/>
        <rFont val="Arial"/>
        <family val="2"/>
      </rPr>
      <t xml:space="preserve">respecte anys ordinaris </t>
    </r>
    <r>
      <rPr>
        <b/>
        <sz val="10"/>
        <color rgb="FF000000"/>
        <rFont val="Arial"/>
        <family val="2"/>
      </rPr>
      <t xml:space="preserve">podrien ser del 20% en usos </t>
    </r>
    <r>
      <rPr>
        <sz val="10"/>
        <color rgb="FF000000"/>
        <rFont val="Arial"/>
        <family val="2"/>
      </rPr>
      <t xml:space="preserve">com el </t>
    </r>
    <r>
      <rPr>
        <b/>
        <sz val="10"/>
        <color rgb="FF000000"/>
        <rFont val="Arial"/>
        <family val="2"/>
      </rPr>
      <t>reg de jardins públics i la neteja de carrers</t>
    </r>
    <r>
      <rPr>
        <b/>
        <sz val="10"/>
        <color rgb="FF000000"/>
        <rFont val="Arial"/>
        <family val="2"/>
      </rPr>
      <t>.</t>
    </r>
  </si>
  <si>
    <t>Especies de verd urbà predominants a la província de BCN</t>
  </si>
  <si>
    <t>Opcio A</t>
  </si>
  <si>
    <t>Opció B</t>
  </si>
  <si>
    <t>Opció C</t>
  </si>
  <si>
    <t>Opció D</t>
  </si>
  <si>
    <t>Pes del verd urbà en el pressupost municipal</t>
  </si>
  <si>
    <t>Font: DIBA, Indicadors de gestió de serveis municipals (Dades 2015 mitjanes de 23 municipis)</t>
  </si>
  <si>
    <t>DIBA: Cost municipal de manteniment del verd urbà desglossat o total amb % de l'estudi de sota o pressup municipal i cost manteniment verd com %</t>
  </si>
  <si>
    <t>Consum d'aigua del verd urbà</t>
  </si>
  <si>
    <t>Superfícies verdes</t>
  </si>
  <si>
    <t>Superfície de zones verdes - (Ha)</t>
  </si>
  <si>
    <t>Proporció de zones verdes respecte superfície municipi</t>
  </si>
  <si>
    <t>Espais verds</t>
  </si>
  <si>
    <t>Aigua potable</t>
  </si>
  <si>
    <t>Aigua freàtica</t>
  </si>
  <si>
    <t>DIBA: Dada municipal consum d'aigua o dada ASVICC, si cal més desgranat ús % consum per usos BCN.</t>
  </si>
  <si>
    <t>Càlcul del cost de no actar respecte el turisme</t>
  </si>
  <si>
    <t>Població estacional (ETCA) 2014</t>
  </si>
  <si>
    <t>Oferta turística - nombre de places a hotels 2014</t>
  </si>
  <si>
    <t>Oferta turística - nombre de places de càmping 2014</t>
  </si>
  <si>
    <t>Oferta turística - nombre de places de turisme rural 2014</t>
  </si>
  <si>
    <t>Proporció (%)</t>
  </si>
  <si>
    <t>PIB (Milions d'euros/any)</t>
  </si>
  <si>
    <t>Transport, informació i comunicacions</t>
  </si>
  <si>
    <t>Administració pública i altres serveis</t>
  </si>
  <si>
    <t>El 2080 els ingressos aportats pel turisme als països del sud d'europa es reduiran un 11%</t>
  </si>
  <si>
    <t>Font: PESETA (Proj UE)</t>
  </si>
  <si>
    <t>Reducció VAB turístic amb CC</t>
  </si>
  <si>
    <t>Reducció anual</t>
  </si>
  <si>
    <t>VAB turístic anual</t>
  </si>
  <si>
    <t>Càlcul del cost de no actar respecte l'erosió de costes</t>
  </si>
  <si>
    <t>Característiques de les platges</t>
  </si>
  <si>
    <t>Longitud platges (m)</t>
  </si>
  <si>
    <t>Font: ASVICC</t>
  </si>
  <si>
    <t>Taxa d'evolució (m/any)</t>
  </si>
  <si>
    <t>Barcelona</t>
  </si>
  <si>
    <t>Tram</t>
  </si>
  <si>
    <t>Codi del Tram</t>
  </si>
  <si>
    <t>Arenys de Mar</t>
  </si>
  <si>
    <t>Badalona</t>
  </si>
  <si>
    <t>Cabrera de Mar</t>
  </si>
  <si>
    <t>Caldes d'Estrac</t>
  </si>
  <si>
    <t>Calella</t>
  </si>
  <si>
    <t>Canet de Mar</t>
  </si>
  <si>
    <t>Castelldefels</t>
  </si>
  <si>
    <t>Cubelles</t>
  </si>
  <si>
    <t>Gavà</t>
  </si>
  <si>
    <t>Malgrat de Mar</t>
  </si>
  <si>
    <t>el Masnou</t>
  </si>
  <si>
    <t>Mataró</t>
  </si>
  <si>
    <t>Montgat</t>
  </si>
  <si>
    <t>Pineda de Mar</t>
  </si>
  <si>
    <t>el Prat de Llobregat</t>
  </si>
  <si>
    <t>Premià de Mar</t>
  </si>
  <si>
    <t>Sant Adrià de Besòs</t>
  </si>
  <si>
    <t>Sant Andreu de Llavaneres</t>
  </si>
  <si>
    <t>Vilassar de Mar</t>
  </si>
  <si>
    <t>Sant Pol de Mar</t>
  </si>
  <si>
    <t>Santa Susanna</t>
  </si>
  <si>
    <t>Sant Vicenç de Montalt</t>
  </si>
  <si>
    <t>Sitges</t>
  </si>
  <si>
    <t>Viladecans</t>
  </si>
  <si>
    <t>Vilanova i la Geltrú</t>
  </si>
  <si>
    <t>Port de Blanes - port d'Arenys</t>
  </si>
  <si>
    <t>Port d'Arenys - port del Balís</t>
  </si>
  <si>
    <t>Port del Balís - port de Mataró</t>
  </si>
  <si>
    <t>Port de Mataró - port de Premià</t>
  </si>
  <si>
    <t>Port de Premià - port del Masnou</t>
  </si>
  <si>
    <t>Port del Masnou - port de Badalona</t>
  </si>
  <si>
    <t>Ciutat de Barcelona</t>
  </si>
  <si>
    <t>Port de Barcelona - port Ginesta</t>
  </si>
  <si>
    <t>Garraf - Cubelles</t>
  </si>
  <si>
    <r>
      <t>∆</t>
    </r>
    <r>
      <rPr>
        <b/>
        <i/>
        <sz val="10"/>
        <color theme="1"/>
        <rFont val="Arial"/>
        <family val="2"/>
      </rPr>
      <t>V</t>
    </r>
    <r>
      <rPr>
        <b/>
        <sz val="10"/>
        <color theme="1"/>
        <rFont val="Arial"/>
        <family val="2"/>
      </rPr>
      <t xml:space="preserve"> net 10</t>
    </r>
    <r>
      <rPr>
        <b/>
        <vertAlign val="superscript"/>
        <sz val="10"/>
        <color theme="1"/>
        <rFont val="Arial"/>
        <family val="2"/>
      </rPr>
      <t>3</t>
    </r>
  </si>
  <si>
    <t>(km)</t>
  </si>
  <si>
    <t>mitj. (m/a)</t>
  </si>
  <si>
    <r>
      <t>(m</t>
    </r>
    <r>
      <rPr>
        <b/>
        <vertAlign val="superscript"/>
        <sz val="10"/>
        <color theme="1"/>
        <rFont val="Arial"/>
        <family val="2"/>
      </rPr>
      <t>3</t>
    </r>
    <r>
      <rPr>
        <b/>
        <sz val="10"/>
        <color theme="1"/>
        <rFont val="Arial"/>
        <family val="2"/>
      </rPr>
      <t>/a)</t>
    </r>
  </si>
  <si>
    <t>P. Blanes-P. Arenys</t>
  </si>
  <si>
    <t>P. Arenys-P. Balís</t>
  </si>
  <si>
    <t>P. Balís-P. Mataró</t>
  </si>
  <si>
    <t>P. Mataró-P. Premià</t>
  </si>
  <si>
    <t>P. Premià-P. Masnou</t>
  </si>
  <si>
    <t>P. Masnou-P. Badalona</t>
  </si>
  <si>
    <t>P. Barcelona-P. Ginesta</t>
  </si>
  <si>
    <t>Garraf-Cubelles</t>
  </si>
  <si>
    <t>Volum net de sediment (m3/any) per municipi</t>
  </si>
  <si>
    <t xml:space="preserve">L'any 2100 es preveu un increment del nivell del mar de la costa catalana d'entre 0,53 m (escenari contingut), 0,73 m (escenari moderat) a 1,8 m (escenari més catastròfic) </t>
  </si>
  <si>
    <t>Font: UPC, estudi RISES de l'equip d'Agustí Sánchez Arcilla, novembre 2015</t>
  </si>
  <si>
    <t>Increment nivell mar (m)</t>
  </si>
  <si>
    <t>Esc A</t>
  </si>
  <si>
    <t>Esc B</t>
  </si>
  <si>
    <t>Esc C</t>
  </si>
  <si>
    <t>Increment nivell del mar (m)</t>
  </si>
  <si>
    <t xml:space="preserve"> + Mar (m)</t>
  </si>
  <si>
    <t>Taxa anual retrocès (m/a) mitjana</t>
  </si>
  <si>
    <t>Per a la platja de Gavà</t>
  </si>
  <si>
    <t xml:space="preserve">Per a la platja de Sant Sebastià i Barceloneta. BCN </t>
  </si>
  <si>
    <t xml:space="preserve">SLR any 2100 (m) </t>
  </si>
  <si>
    <t xml:space="preserve">D50 (m) </t>
  </si>
  <si>
    <t xml:space="preserve">Paràmetre A Dean </t>
  </si>
  <si>
    <t xml:space="preserve">Fondària activa (m) </t>
  </si>
  <si>
    <t xml:space="preserve">Berma Activa (m) </t>
  </si>
  <si>
    <t xml:space="preserve">Ample platja emergida mig (m) </t>
  </si>
  <si>
    <t xml:space="preserve">Ample efectiu (m) </t>
  </si>
  <si>
    <t xml:space="preserve">Longitud de la Platja </t>
  </si>
  <si>
    <t xml:space="preserve">Retrocès a l'any 2100 (m) </t>
  </si>
  <si>
    <t xml:space="preserve">Taxa anual retrocès (m/a) </t>
  </si>
  <si>
    <t xml:space="preserve">Vol erosió (m3/a) </t>
  </si>
  <si>
    <t>Font: Efectes del canvi climàtic al litoral de Barcelona METROBS 2015</t>
  </si>
  <si>
    <t>Taxa retrocés prevista (m/any)</t>
  </si>
  <si>
    <t>Volum de sediment necessari (m3/any)</t>
  </si>
  <si>
    <t>Cost sediment (M€)</t>
  </si>
  <si>
    <t>Cost total volum sediment acumulat (M€)</t>
  </si>
  <si>
    <t>Característiques de les tempestes</t>
  </si>
  <si>
    <t>Nombre de tempestes</t>
  </si>
  <si>
    <t>Periode (anys)</t>
  </si>
  <si>
    <t>Tempestes/any</t>
  </si>
  <si>
    <t>Tramitacions d'indemnització per Tempestes Ciclòniques Atípiques (TCA)</t>
  </si>
  <si>
    <t>Mitjana periode 1997-2013</t>
  </si>
  <si>
    <t>Nº tempestes TCA</t>
  </si>
  <si>
    <t>Nº tramitacions</t>
  </si>
  <si>
    <t>Quantitat indeminitzada (M€)</t>
  </si>
  <si>
    <t>C0a)</t>
  </si>
  <si>
    <t>Cost mitjà (€/tramitació)</t>
  </si>
  <si>
    <t>Font: Consorcio de Compensación de Seguros, Província BCN</t>
  </si>
  <si>
    <t>C0b)</t>
  </si>
  <si>
    <t>Cost manteniment contra tempestes</t>
  </si>
  <si>
    <t>Cost manteniment clavagueram</t>
  </si>
  <si>
    <t>Altres costos ??</t>
  </si>
  <si>
    <t>Cost total acumulat (M€)</t>
  </si>
  <si>
    <t>Càlcul del cost de no actar respecte l'agricultura</t>
  </si>
  <si>
    <t>SAU (ha) llaurades - any 2009</t>
  </si>
  <si>
    <t>SAU (ha) pastures - any 2009</t>
  </si>
  <si>
    <t>Sup. Regades (ha) - any 2009</t>
  </si>
  <si>
    <t>Agric Eco (ha) - any 2009</t>
  </si>
  <si>
    <t>Explotacions ramaderes  -  any 2009</t>
  </si>
  <si>
    <t>Explotacions ramadres ecològiques - any 2009</t>
  </si>
  <si>
    <t>% explotació ramadera eco/ total</t>
  </si>
  <si>
    <t>Unitats ramaderes (UR)</t>
  </si>
  <si>
    <t>RÀNQUING bolets(%)</t>
  </si>
  <si>
    <t>IDESCAT: Demanar excel dades Cens Agrari 2009 a nivell municipal (a la web s'accedeix un a un)</t>
  </si>
  <si>
    <t>Característiques agricultura municipal</t>
  </si>
  <si>
    <t>Conreus</t>
  </si>
  <si>
    <t>Subtipus de conreus</t>
  </si>
  <si>
    <t>Rati (t/ha)</t>
  </si>
  <si>
    <t>Font: Cens Agrari 2009</t>
  </si>
  <si>
    <t>Tipologia</t>
  </si>
  <si>
    <t>Blat de moro</t>
  </si>
  <si>
    <t>Increment reg</t>
  </si>
  <si>
    <t>Cultiu</t>
  </si>
  <si>
    <t xml:space="preserve">Increment reg </t>
  </si>
  <si>
    <t>m3/ha·any</t>
  </si>
  <si>
    <t>Avançament cicle (dies)</t>
  </si>
  <si>
    <t>Blat</t>
  </si>
  <si>
    <t>Ordi</t>
  </si>
  <si>
    <t>Olivera</t>
  </si>
  <si>
    <t>Vinya</t>
  </si>
  <si>
    <t>Zona</t>
  </si>
  <si>
    <t>Conca Fluvià</t>
  </si>
  <si>
    <t>Conca Tordera</t>
  </si>
  <si>
    <t>Conca Siurana</t>
  </si>
  <si>
    <t>Penedès</t>
  </si>
  <si>
    <t>m3/ha·campanya</t>
  </si>
  <si>
    <t>???</t>
  </si>
  <si>
    <t>5% per + 1ºC</t>
  </si>
  <si>
    <t>Horta</t>
  </si>
  <si>
    <t>efecte moderat pq gran diversitat conreus</t>
  </si>
  <si>
    <t xml:space="preserve"> -30% PIB en sequera extrema</t>
  </si>
  <si>
    <t>Catalunya</t>
  </si>
  <si>
    <t>Període</t>
  </si>
  <si>
    <t>2006-2030</t>
  </si>
  <si>
    <t>20015-2016. Any sec</t>
  </si>
  <si>
    <t>Any sequera</t>
  </si>
  <si>
    <t>2009-2030</t>
  </si>
  <si>
    <t>Noguer</t>
  </si>
  <si>
    <t>Pomera</t>
  </si>
  <si>
    <t>Projeccions CC: increment de reg i reducció producció per cultiu</t>
  </si>
  <si>
    <t>Increment reg anual</t>
  </si>
  <si>
    <t>20-30% en any sec</t>
  </si>
  <si>
    <t>Superfície forestal (ha)</t>
  </si>
  <si>
    <t>Superfície forestal arbrada (ha)</t>
  </si>
  <si>
    <t>Superfície amb IOF (ha)</t>
  </si>
  <si>
    <t>Sup forestal pública (Ha) total</t>
  </si>
  <si>
    <t>sup forestal pública propietari municipi (Ha)</t>
  </si>
  <si>
    <t>sup forestal pública propietària Generalitat (Ha)</t>
  </si>
  <si>
    <t>sup forestal pública propietaria Diputació (Ha)</t>
  </si>
  <si>
    <t>Espècies arbres majoritàries</t>
  </si>
  <si>
    <t>pi blanc/alzina...</t>
  </si>
  <si>
    <t>arbrada/forestal</t>
  </si>
  <si>
    <t>RIQUESA D'ESPÈCIES LLENYOSES (NÚM TOTAL D'ESPÈCIES LLENYOSES)</t>
  </si>
  <si>
    <t>RÀNQUING (%)</t>
  </si>
  <si>
    <t>COBERTA FORESTAL EN ZONES PENDENTS ((HA BOSC/HA &gt;30% PENDENT)*100)</t>
  </si>
  <si>
    <t>EMMAGATZEMATGE D'AIGUA A LES CAPÇADES I AL SÒL (L/M^2/ANY)</t>
  </si>
  <si>
    <t>COBERTA DE BOSC NATURAL ((HA BOSC/HA MUNICIPI)*100)</t>
  </si>
  <si>
    <t>Coberta de bosc natural (ha)</t>
  </si>
  <si>
    <t>EMBORNAL DE CARBONI (MG/HA MUNICIPI/ANY)</t>
  </si>
  <si>
    <t>ESTOC DE CARBONI ORGÀNIC AL SÒL (MG/HA MUNICIPI)</t>
  </si>
  <si>
    <t>COBERTA DE BOSC DE RIBERA ((HA BOSC RIBERA/HA BUFFER)*100)</t>
  </si>
  <si>
    <t>ASVICC</t>
  </si>
  <si>
    <t>Dada</t>
  </si>
  <si>
    <t>Estimació any X per regressió lineal</t>
  </si>
  <si>
    <t>DIBA: ASVICC té les dada municipals següents:</t>
  </si>
  <si>
    <t>DIBA: FALTA ESCOLLIR QUINA OPCIÓ ENS QUEDEM</t>
  </si>
  <si>
    <t>DIBA: Estimació increment reg no s'ha pogut relacionar amb increment afectacions (mortalitat, etc.)</t>
  </si>
  <si>
    <t>DIBA: No aplicable perquè només s'ha trobat informació de l'arbrat propi dels boscos (Collserola...)</t>
  </si>
  <si>
    <t>DIBA: No s'ha trobat dades de l'increment de poda</t>
  </si>
  <si>
    <t>Opció E</t>
  </si>
  <si>
    <t>OPCIONS DESCARTADES</t>
  </si>
  <si>
    <t xml:space="preserve">Aplicar la mateixa idea que el càlcul Aigua-Recurs (2) pel que fa a a la recurrència d'anys secs sense i amb CC i reducció demanda reg... </t>
  </si>
  <si>
    <t>Aplicar càlcul progessió lineal sobre recurrència incial cíclica</t>
  </si>
  <si>
    <t>Cost total amb CC</t>
  </si>
  <si>
    <t>Municipis de la costa prov. Bcn</t>
  </si>
  <si>
    <t xml:space="preserve">Volum erosió (m3/a·m lineal) </t>
  </si>
  <si>
    <t>Comprovació de la fórmula del càlcul del volum d'erosió per m lineal de longitud de platja</t>
  </si>
  <si>
    <t xml:space="preserve"> (m)</t>
  </si>
  <si>
    <t>Càlcul propi a 2030</t>
  </si>
  <si>
    <t>Increment rati Taxa/mar</t>
  </si>
  <si>
    <t>Taxa d'evolució</t>
  </si>
  <si>
    <t>Long. total</t>
  </si>
  <si>
    <t>Tram de platja al que pertany</t>
  </si>
  <si>
    <t>Dades platges costa província Barcelona (1995-2004) i càlcul alçada platja per tram</t>
  </si>
  <si>
    <t>Alçada (berma + fondària crítica utilitzada)</t>
  </si>
  <si>
    <t>Codi Tram</t>
  </si>
  <si>
    <t>Longitud platges municipals</t>
  </si>
  <si>
    <t>DIBA: Dades municipals o dades ASVICC o dades estimació UPC</t>
  </si>
  <si>
    <t xml:space="preserve">Font: UPC </t>
  </si>
  <si>
    <t>Alçada total (berma+profunditat)</t>
  </si>
  <si>
    <t>Volum net de sediment a reposar en el municipi (m3/any)</t>
  </si>
  <si>
    <t>Longitud de platja municipal (m)</t>
  </si>
  <si>
    <t>Resum estimació increment de la taxa evolució a llarg termini donat l’ascens del nivell del mar per platja mitjana</t>
  </si>
  <si>
    <t>Dades d'erosió a llarg termini donat l’ascens del nivell del mar i paràmetres utilitzats per cada platja estudiada</t>
  </si>
  <si>
    <t>Càlculs dels escenaris a 2100 de la mitjana de les dues platges</t>
  </si>
  <si>
    <t>Volum erosió (m3/any·m lineal de long.)</t>
  </si>
  <si>
    <t>Altres</t>
  </si>
  <si>
    <t>Sí</t>
  </si>
  <si>
    <t>FORESMAP</t>
  </si>
  <si>
    <t>Sup. PEIN (Ha)</t>
  </si>
  <si>
    <t>Espais fluvials</t>
  </si>
  <si>
    <t>Zona costanera</t>
  </si>
  <si>
    <t>Superfície municipal (ha)</t>
  </si>
  <si>
    <t>% superfície forestal respecte total</t>
  </si>
  <si>
    <t>%IOF/Spf forest</t>
  </si>
  <si>
    <t>% sup regades respecte sup total del mpi</t>
  </si>
  <si>
    <t>% sup agri eco/ SAU llaurada</t>
  </si>
  <si>
    <t>Població (16)</t>
  </si>
  <si>
    <t>% de gent gran 2014</t>
  </si>
  <si>
    <t>RFDB (milers €) 2015</t>
  </si>
  <si>
    <t>RFDB/hab (€/hab) 2015</t>
  </si>
  <si>
    <t>RFDB Índex (àmbit = 100) 2015</t>
  </si>
  <si>
    <t>SUC (Ha) - any 2014</t>
  </si>
  <si>
    <t>Qual. SV - zones verdes - (Ha)</t>
  </si>
  <si>
    <t>% sup zona verda respecte superfície municipi</t>
  </si>
  <si>
    <t>Urbanitzacions (Ha)</t>
  </si>
  <si>
    <t>% sup urbanitzacions respecte sup municipi</t>
  </si>
  <si>
    <t>Longitud línies mitja tensió (m)</t>
  </si>
  <si>
    <t>Longitud línies alta tensió (m)</t>
  </si>
  <si>
    <t>Nre. Punts de suport alta tensió</t>
  </si>
  <si>
    <t>EDAR (nombre)</t>
  </si>
  <si>
    <t>PPI</t>
  </si>
  <si>
    <t>PDF</t>
  </si>
  <si>
    <t>PVI</t>
  </si>
  <si>
    <t>INFOCAT</t>
  </si>
  <si>
    <t>INUNCAT</t>
  </si>
  <si>
    <t>PAES</t>
  </si>
  <si>
    <t>ADF (codi)</t>
  </si>
  <si>
    <t>ADF (nom)</t>
  </si>
  <si>
    <t>Parc local de bombers</t>
  </si>
  <si>
    <t>nits tropicals (04-14)</t>
  </si>
  <si>
    <t>calorades  &gt;35ºC (04-14)</t>
  </si>
  <si>
    <t>Zona climàtica</t>
  </si>
  <si>
    <t>Habitatges públics</t>
  </si>
  <si>
    <t>% edificis anteriors 1980</t>
  </si>
  <si>
    <t>% edificis 1980-1989</t>
  </si>
  <si>
    <t>% edificis 1990-2009</t>
  </si>
  <si>
    <t xml:space="preserve">% edificis posteriors a 2009 </t>
  </si>
  <si>
    <t>Sensibilitat edificis ponderada</t>
  </si>
  <si>
    <t>Consultori local</t>
  </si>
  <si>
    <t>Nbre de CAP</t>
  </si>
  <si>
    <t>Nbre Hospitals</t>
  </si>
  <si>
    <t>Hospitals amb urgències</t>
  </si>
  <si>
    <t>Nombre de centres mèdics al mpi</t>
  </si>
  <si>
    <t>Distància mpi a hospital (km)</t>
  </si>
  <si>
    <t>Municipi amb hospital sociosanitari o hospital mixt</t>
  </si>
  <si>
    <t>Sense titulació 2011</t>
  </si>
  <si>
    <t>Primer grau 2011</t>
  </si>
  <si>
    <t>Segon grau 2011</t>
  </si>
  <si>
    <t>Tercer grau (universitari) 2011</t>
  </si>
  <si>
    <t>% Sense titulació 2011</t>
  </si>
  <si>
    <t>% Primer grau 2011</t>
  </si>
  <si>
    <t>% Segon grau 2011</t>
  </si>
  <si>
    <t>% Tercer grau (universitari) 2011</t>
  </si>
  <si>
    <t>Sensibilitat ponderada grau d'instrucció</t>
  </si>
  <si>
    <t>pobl estacional respecte pobl resident  (índex 100)</t>
  </si>
  <si>
    <t>Nbre habitatges (2011)</t>
  </si>
  <si>
    <t>Persones a l'atur 2014</t>
  </si>
  <si>
    <t>% població aturada respecte pobl total</t>
  </si>
  <si>
    <t>Tipologia planejament urbanístic general 2014</t>
  </si>
  <si>
    <t>Municipis amb POUM i PG 2014</t>
  </si>
  <si>
    <t>Sòl urbà (Ha) 2014</t>
  </si>
  <si>
    <t>Sòl urbanitzable (Ha) 2014</t>
  </si>
  <si>
    <t>% sòl urbanitzable respecte el total sup mpi</t>
  </si>
  <si>
    <t>% sup PEIN respecte total sup mpi</t>
  </si>
  <si>
    <t>Instrument sup forestal pública</t>
  </si>
  <si>
    <t>Actuacions bombers per incendis vegetació 2014</t>
  </si>
  <si>
    <t>Cost subministrament aigua (€/m3) 2015</t>
  </si>
  <si>
    <t>Cost clavegueram i depuració aigua (€/m3) 2015</t>
  </si>
  <si>
    <t>Cost total cicle aigua (€/m3) 2015</t>
  </si>
  <si>
    <t>Punts  de guaita 2014</t>
  </si>
  <si>
    <t>Codi del punt de guaita 2014</t>
  </si>
  <si>
    <t>Règim de gestió de l'aigua</t>
  </si>
  <si>
    <t xml:space="preserve">Entitat gestió de l'aigua </t>
  </si>
  <si>
    <t>mitjana Variació temperatura (ºC) 2040</t>
  </si>
  <si>
    <t>mitjana Variació precipitació (%) 2040</t>
  </si>
  <si>
    <t>mitjana Variació humitat relativa (%) 2040</t>
  </si>
  <si>
    <t>mitjana Variació velocita del vent (%) 2040</t>
  </si>
  <si>
    <t>Recurrència incendis històric 1997-2013</t>
  </si>
  <si>
    <t xml:space="preserve"> Ha Arbrades cremades incendis 1997-2013</t>
  </si>
  <si>
    <t xml:space="preserve"> Ha No Arbrades cremades incendis 1997-2013</t>
  </si>
  <si>
    <t>Ha Forestals cremades incendis 1997-2013</t>
  </si>
  <si>
    <t>ZV nitrats</t>
  </si>
  <si>
    <t>ZV nitrats-àrea</t>
  </si>
  <si>
    <t>Decret correponent nitrats</t>
  </si>
  <si>
    <t>Nombre ETAP</t>
  </si>
  <si>
    <t>mpi XCT</t>
  </si>
  <si>
    <t>entitat que custodia</t>
  </si>
  <si>
    <t>noms de les finques</t>
  </si>
  <si>
    <t>sup XCT (ha)</t>
  </si>
  <si>
    <t>% sup XCT respecte la sup total</t>
  </si>
  <si>
    <t>Nombre zones humides</t>
  </si>
  <si>
    <t>Nom zones humides</t>
  </si>
  <si>
    <t>Tipologia zona humida</t>
  </si>
  <si>
    <t>Zona humida (ha) computada</t>
  </si>
  <si>
    <t>%sup zona humida respecte la total</t>
  </si>
  <si>
    <t>grau protecció zones humides</t>
  </si>
  <si>
    <t>Nombre d'aqüífers protegits</t>
  </si>
  <si>
    <t>Noms dels aqüífers</t>
  </si>
  <si>
    <t>Pous (legalitzats)</t>
  </si>
  <si>
    <t>Vulnerabilitat sequera x espècie d'arbre (FOR02 Gen)</t>
  </si>
  <si>
    <t>Vulnerabilitat incendis x espècie d'arbre</t>
  </si>
  <si>
    <t>Risc inundacions (INUNCAT)</t>
  </si>
  <si>
    <t>PAM (per inundacions)</t>
  </si>
  <si>
    <t>Vulner d'incendi forestal (INFOCAT)</t>
  </si>
  <si>
    <t>ADF (sí/no)</t>
  </si>
  <si>
    <t>Parc local de bombers (sí/no)</t>
  </si>
  <si>
    <t>Planejament vigent. Any publicació al DOGC</t>
  </si>
  <si>
    <t>Capacitat de regulació aigua agrupada 2003 (m3)</t>
  </si>
  <si>
    <t>Volums aigua consumida - domèstic xarxa  (m3)</t>
  </si>
  <si>
    <t>Volums aigua consumida - activitat econ -xarxa+fonts pròpies-  (m3)</t>
  </si>
  <si>
    <t>Cases de colònies</t>
  </si>
  <si>
    <t>Nbre de places cases de colònies</t>
  </si>
  <si>
    <t>Cobertura del telèfon mòbil</t>
  </si>
  <si>
    <t>pobalció/centre mèdic</t>
  </si>
  <si>
    <t>Volum aigua consumit/capacitat regulació</t>
  </si>
  <si>
    <t>Vulnerabilitat sequera x espècie d'arbre (FOR03 Gen)</t>
  </si>
  <si>
    <t>Empitjorament del confort climàtic (accentuació del fenomen d'illa de calor) URB 01 Gen</t>
  </si>
  <si>
    <t>Increment de les necessitats de reg AGR01 Gen</t>
  </si>
  <si>
    <t>Increment de necessitats de reg en urbanisme URB02 GEN</t>
  </si>
  <si>
    <t>% sòl urbà respecte total</t>
  </si>
  <si>
    <t>Densitat població (urbà)</t>
  </si>
  <si>
    <t>Actuacions bombers per incendis vegetació 2014/ha forestal</t>
  </si>
  <si>
    <t>MAJOR RISC D’INCENDI EN L’ÀMBIT DE LA GESTIÓ FORESTAL FOR01</t>
  </si>
  <si>
    <t>Major risc d'incendi en el sector agrari AGR02 (Gen)</t>
  </si>
  <si>
    <t>Canvis en els cultius AGR03 Gen</t>
  </si>
  <si>
    <t>Municipi muntanya (segons GenCat territori)</t>
  </si>
  <si>
    <t>Ha cremades/any respecte el total forestal</t>
  </si>
  <si>
    <t>% superf forestal pública</t>
  </si>
  <si>
    <t>Paisatges atenció especial/carta o catàleg</t>
  </si>
  <si>
    <t>RÀNQUING SE BIODIVERSITAT (%) ForEsMAP</t>
  </si>
  <si>
    <t>XARXA NATURA 2000 ( % HA XN2000)</t>
  </si>
  <si>
    <t>PRODUCCIÓ DE BOLETS (KG/HA MUNICIPI/ANY)</t>
  </si>
  <si>
    <t>Ràtio lg platja/supef)</t>
  </si>
  <si>
    <t>Port</t>
  </si>
  <si>
    <t>Valors naturals fonts)</t>
  </si>
  <si>
    <t>Valors naturals indrets</t>
  </si>
  <si>
    <t>Valors naturals (arbres sigulars)</t>
  </si>
  <si>
    <t>Estabilitat pressupostària (incompliments)</t>
  </si>
  <si>
    <t>Mediana</t>
  </si>
  <si>
    <t>Abrera</t>
  </si>
  <si>
    <t>Actualitzat i homologat</t>
  </si>
  <si>
    <t>228</t>
  </si>
  <si>
    <t>EL ROURE</t>
  </si>
  <si>
    <t>LITORAL</t>
  </si>
  <si>
    <t>Martorell</t>
  </si>
  <si>
    <t>SD</t>
  </si>
  <si>
    <t>PG - Pla General</t>
  </si>
  <si>
    <t>-</t>
  </si>
  <si>
    <t>Municipal</t>
  </si>
  <si>
    <t>No</t>
  </si>
  <si>
    <t>sí</t>
  </si>
  <si>
    <t xml:space="preserve">Ajuntament </t>
  </si>
  <si>
    <t>ZEPA-LIC MRB-riu Llobregat; Torrent Gran d'Abrera; Torrents i rieres; Tram Torrent Gran d'Abrera; Can Morral; Sant Hilari a Abrera</t>
  </si>
  <si>
    <t>Cubeta d'Abrera</t>
  </si>
  <si>
    <t>Pi blanc</t>
  </si>
  <si>
    <t>mitjana</t>
  </si>
  <si>
    <t>Molt alt</t>
  </si>
  <si>
    <t>Obligat</t>
  </si>
  <si>
    <t>Alt</t>
  </si>
  <si>
    <t>Mitja</t>
  </si>
  <si>
    <t>No aplica</t>
  </si>
  <si>
    <t>Aguilar de Segarra</t>
  </si>
  <si>
    <t>No li cal</t>
  </si>
  <si>
    <t>003</t>
  </si>
  <si>
    <t>AMICS DEL BOSC</t>
  </si>
  <si>
    <t>CENTRAL</t>
  </si>
  <si>
    <t>Manresa</t>
  </si>
  <si>
    <t>POUM - Pla d'Ordenació Urbanística Municipal</t>
  </si>
  <si>
    <t>Pi negre/ Pi blanc</t>
  </si>
  <si>
    <t>alta</t>
  </si>
  <si>
    <t>Baix</t>
  </si>
  <si>
    <t>No obligat</t>
  </si>
  <si>
    <t>Alta</t>
  </si>
  <si>
    <t>41.5</t>
  </si>
  <si>
    <t>Alella</t>
  </si>
  <si>
    <t>254</t>
  </si>
  <si>
    <t>LA CONRERIA</t>
  </si>
  <si>
    <t>Empresa privada d'altres tipus</t>
  </si>
  <si>
    <t xml:space="preserve">SOREA,SDAD REG ABASTECIMIENTO AGUAS, SAU          </t>
  </si>
  <si>
    <t>unitat dels al·luvials del Maresme. Unitat dels detrítics plioquaternaris del Maresme</t>
  </si>
  <si>
    <t>Decret 283/1998, 21 octubre</t>
  </si>
  <si>
    <t>Baix Maresme</t>
  </si>
  <si>
    <t>Mitjà</t>
  </si>
  <si>
    <t>Alpens</t>
  </si>
  <si>
    <t>No actualitzat i/o no homologat</t>
  </si>
  <si>
    <t>034</t>
  </si>
  <si>
    <t>LLUÇANÈS</t>
  </si>
  <si>
    <t>PREPIRINEU-PIRINEU</t>
  </si>
  <si>
    <t>Manlleu</t>
  </si>
  <si>
    <t>Nsa - normes subsidiàries</t>
  </si>
  <si>
    <t>Pi roig</t>
  </si>
  <si>
    <t>97.7</t>
  </si>
  <si>
    <t>l'Ametlla del Vallès</t>
  </si>
  <si>
    <t>Recomanat: No</t>
  </si>
  <si>
    <t>082</t>
  </si>
  <si>
    <t>MONTSENY CONGOST</t>
  </si>
  <si>
    <t>Granollers - Hospital General de Granollers</t>
  </si>
  <si>
    <t>Decret 476/2004, 28 desembre</t>
  </si>
  <si>
    <t>Finca de can Draper; finca de can Plantada</t>
  </si>
  <si>
    <t>Pi blanc/ Alzina</t>
  </si>
  <si>
    <t>Moderat</t>
  </si>
  <si>
    <t>Recomanat</t>
  </si>
  <si>
    <t>23.8</t>
  </si>
  <si>
    <t>271</t>
  </si>
  <si>
    <t>SERRALADA DE MONTALT</t>
  </si>
  <si>
    <t> unitat dels al·luvials del Maresme. Unitat dels detrítics plioquaternaris del Maresme.</t>
  </si>
  <si>
    <t xml:space="preserve">SUBMON/ Ajuntament </t>
  </si>
  <si>
    <t>Canyons del Maresme</t>
  </si>
  <si>
    <t>Alt Maresme</t>
  </si>
  <si>
    <t>Arenys de Munt</t>
  </si>
  <si>
    <t>172</t>
  </si>
  <si>
    <t>SERRA DE MARINA</t>
  </si>
  <si>
    <t>Arenys</t>
  </si>
  <si>
    <t>Societat privada municipal</t>
  </si>
  <si>
    <t>Gestió urbanística i serveis Areny de Muny, SA</t>
  </si>
  <si>
    <t>unitat dels al·luvials del Maresme.</t>
  </si>
  <si>
    <t>Pi pinyer/ Alzina</t>
  </si>
  <si>
    <t>55.4</t>
  </si>
  <si>
    <t>Argençola</t>
  </si>
  <si>
    <t/>
  </si>
  <si>
    <t>120</t>
  </si>
  <si>
    <t>ARGENÇOLA</t>
  </si>
  <si>
    <t>Igualada: Fundació Sanitària Sant Josep (centre hospitalari) i Fundació Sanitària d'Igualada (Hospital mixt)</t>
  </si>
  <si>
    <t>NPU - normes de planejament urbanístic</t>
  </si>
  <si>
    <t>Acord GOV/13/2015, 5 febrer</t>
  </si>
  <si>
    <t>MEG</t>
  </si>
  <si>
    <t>El Cai</t>
  </si>
  <si>
    <t>53.8</t>
  </si>
  <si>
    <t>Argentona</t>
  </si>
  <si>
    <t>PTGMF</t>
  </si>
  <si>
    <t>Aigües d'Argentona, SA</t>
  </si>
  <si>
    <t>unitat dels al·luvials del Maresme. Unitat dels detrítics plioquaternaris del Maresme.</t>
  </si>
  <si>
    <t>Riera d'Argentona</t>
  </si>
  <si>
    <t>38.2</t>
  </si>
  <si>
    <t>Artés</t>
  </si>
  <si>
    <t>008</t>
  </si>
  <si>
    <t>ARTÉS, CALDERS I MONISTROL DE</t>
  </si>
  <si>
    <t>Acord GOV/128/2009, 28 juliol</t>
  </si>
  <si>
    <t>La Corbatera</t>
  </si>
  <si>
    <t>Aiguabarreigs</t>
  </si>
  <si>
    <t>23.6</t>
  </si>
  <si>
    <t>Avià</t>
  </si>
  <si>
    <t>002</t>
  </si>
  <si>
    <t>MONTESMON</t>
  </si>
  <si>
    <t>Berga</t>
  </si>
  <si>
    <t>Estanys de Graugés</t>
  </si>
  <si>
    <t>Zona humida restaurada o de nova creació</t>
  </si>
  <si>
    <t>42.2</t>
  </si>
  <si>
    <t>Avinyó</t>
  </si>
  <si>
    <t>028</t>
  </si>
  <si>
    <t>QUERCUS</t>
  </si>
  <si>
    <t>AH</t>
  </si>
  <si>
    <t>Camí de la riera Gavarresa d'Avinyó; Camí Voramera (riu Brugent) a Amer</t>
  </si>
  <si>
    <t>43.2</t>
  </si>
  <si>
    <t>Avinyonet del Penedès</t>
  </si>
  <si>
    <t>101</t>
  </si>
  <si>
    <t>AVINYONET DEL PENEDÈS</t>
  </si>
  <si>
    <t>Vilafranca del Penedès: Hospital comarcal de l'Alt Penedès o Centre Sociosanitari de Vilafranca Ricard Fortuny</t>
  </si>
  <si>
    <t>Alt Penedès</t>
  </si>
  <si>
    <t>Cassa aigües i depuració SL</t>
  </si>
  <si>
    <t>Torrent de Santa Susanna</t>
  </si>
  <si>
    <t>Rius i zones inundables</t>
  </si>
  <si>
    <t>ENP Massís del Garraf ZEC, ZEPA Serres del Litoral central</t>
  </si>
  <si>
    <t>7.8</t>
  </si>
  <si>
    <t>Aiguafreda</t>
  </si>
  <si>
    <t>007</t>
  </si>
  <si>
    <t>MONTSENY PONENT</t>
  </si>
  <si>
    <t>El Brull</t>
  </si>
  <si>
    <t>Projecte d'adopció de la riera de Martinet</t>
  </si>
  <si>
    <t>56.6</t>
  </si>
  <si>
    <t>Bravo</t>
  </si>
  <si>
    <t>Empresa mixta</t>
  </si>
  <si>
    <t>AIGÜES DE BARCELONA, EMGCIA, SA</t>
  </si>
  <si>
    <t>no</t>
  </si>
  <si>
    <t>Bagà</t>
  </si>
  <si>
    <t>167</t>
  </si>
  <si>
    <t>ALT BERGUEDÀ</t>
  </si>
  <si>
    <t>Projecte d'Ordenació</t>
  </si>
  <si>
    <t>84.9</t>
  </si>
  <si>
    <t>Balenyà</t>
  </si>
  <si>
    <t>121</t>
  </si>
  <si>
    <t>CONGOST</t>
  </si>
  <si>
    <t>Vic</t>
  </si>
  <si>
    <t>44.6</t>
  </si>
  <si>
    <t>Balsareny</t>
  </si>
  <si>
    <t>033</t>
  </si>
  <si>
    <t>TRES BRANQUES</t>
  </si>
  <si>
    <t>Resclosa de la Séquia de Manresa</t>
  </si>
  <si>
    <t>16.3</t>
  </si>
  <si>
    <t>SUBMON/Ajuntament</t>
  </si>
  <si>
    <t>Vall Baixa i Delta de Llobregat</t>
  </si>
  <si>
    <t>7.1</t>
  </si>
  <si>
    <t>Begues</t>
  </si>
  <si>
    <t>102</t>
  </si>
  <si>
    <t>PUIG VICENÇ</t>
  </si>
  <si>
    <t>19.8</t>
  </si>
  <si>
    <t>Bellprat</t>
  </si>
  <si>
    <t>009</t>
  </si>
  <si>
    <t>BELLPRAT</t>
  </si>
  <si>
    <t>58.7</t>
  </si>
  <si>
    <t>047</t>
  </si>
  <si>
    <t>SOBREPUNY</t>
  </si>
  <si>
    <t>Finca Can Berga; projecte d'adopció del torrent Gran</t>
  </si>
  <si>
    <t>Pi roig/ Alzina</t>
  </si>
  <si>
    <t>69.4</t>
  </si>
  <si>
    <t>Bigues i Riells</t>
  </si>
  <si>
    <t>045</t>
  </si>
  <si>
    <t>EL PINYÓ</t>
  </si>
  <si>
    <t>Projecte d'adopció del riu Tenes; finca de l'antiga central hidroelèctrica del Fai;</t>
  </si>
  <si>
    <t>31.4</t>
  </si>
  <si>
    <t>Borredà</t>
  </si>
  <si>
    <t>Can Nil-la Ribera; El Pont de la Fusta -La Ribera; El camp Gran; La Font d'en Miquel; Les Espinedes; Les Vimeteres</t>
  </si>
  <si>
    <t>96.2</t>
  </si>
  <si>
    <t>el Bruc</t>
  </si>
  <si>
    <t>164</t>
  </si>
  <si>
    <t>EL BRUC</t>
  </si>
  <si>
    <t>42.4</t>
  </si>
  <si>
    <t>el Brull</t>
  </si>
  <si>
    <t>Alzina</t>
  </si>
  <si>
    <t>baixa</t>
  </si>
  <si>
    <t>84.7</t>
  </si>
  <si>
    <t>les Cabanyes</t>
  </si>
  <si>
    <t xml:space="preserve">EMP. MUN. D'AIGÜES DE VILAFRANCA, SAU      </t>
  </si>
  <si>
    <t>Cabrera d'Anoia</t>
  </si>
  <si>
    <t>168</t>
  </si>
  <si>
    <t>ANOIA</t>
  </si>
  <si>
    <t>Carme-Capellades</t>
  </si>
  <si>
    <t>38.7</t>
  </si>
  <si>
    <t>253</t>
  </si>
  <si>
    <t>BURRIAC</t>
  </si>
  <si>
    <t>Cirers</t>
  </si>
  <si>
    <t>Cabrils</t>
  </si>
  <si>
    <t>Calaf</t>
  </si>
  <si>
    <t xml:space="preserve">AIGÜES DE MANRESA, SA                             </t>
  </si>
  <si>
    <t>Caldes de Montbui</t>
  </si>
  <si>
    <t>200</t>
  </si>
  <si>
    <t>L'ALZINA</t>
  </si>
  <si>
    <t>Hi ha Hospital a Caldes???</t>
  </si>
  <si>
    <t xml:space="preserve">GESTIÓ MUNICIPAL DE SERVEIS, SA                   </t>
  </si>
  <si>
    <t>FJC</t>
  </si>
  <si>
    <t>Pasqualet</t>
  </si>
  <si>
    <t>46.2</t>
  </si>
  <si>
    <t>Calders</t>
  </si>
  <si>
    <t>41.1</t>
  </si>
  <si>
    <t>233</t>
  </si>
  <si>
    <t>ALT MARESME</t>
  </si>
  <si>
    <t xml:space="preserve">GESTIÓ AIGUA CALELLA, SL                          </t>
  </si>
  <si>
    <t>Alzina/ Surera</t>
  </si>
  <si>
    <t>Calonge de Segarra</t>
  </si>
  <si>
    <t>085</t>
  </si>
  <si>
    <t>CALONGE DE SEGARRA</t>
  </si>
  <si>
    <t>Pi negre/ Roures</t>
  </si>
  <si>
    <t>46.5</t>
  </si>
  <si>
    <t>Calldetenes</t>
  </si>
  <si>
    <t>114</t>
  </si>
  <si>
    <t>PORTAL DE LES GUILLERIES</t>
  </si>
  <si>
    <t>aqüífer dels gresos de Folgueroles. Aqüífer dels marges de Vic.</t>
  </si>
  <si>
    <t>Callús</t>
  </si>
  <si>
    <t>005</t>
  </si>
  <si>
    <t>DEFENSORS DEL BOSC</t>
  </si>
  <si>
    <t>5.6</t>
  </si>
  <si>
    <t>Campins</t>
  </si>
  <si>
    <t>146</t>
  </si>
  <si>
    <t>MONTSENY MIGJORN</t>
  </si>
  <si>
    <t>81.1</t>
  </si>
  <si>
    <t>150</t>
  </si>
  <si>
    <t>VALLALTA</t>
  </si>
  <si>
    <t>Canovelles</t>
  </si>
  <si>
    <t>Cànoves i Samalús</t>
  </si>
  <si>
    <t>Cànoves</t>
  </si>
  <si>
    <t xml:space="preserve">CIA. GENERAL AIGÜES DE CATALUNYA, SA              </t>
  </si>
  <si>
    <t>Alt/ molt alt</t>
  </si>
  <si>
    <t>82.5</t>
  </si>
  <si>
    <t>Canyelles</t>
  </si>
  <si>
    <t>312</t>
  </si>
  <si>
    <t>GARRAF</t>
  </si>
  <si>
    <t>Els Camils</t>
  </si>
  <si>
    <t>Puig de l'Àliga</t>
  </si>
  <si>
    <t>8.5</t>
  </si>
  <si>
    <t>Capellades</t>
  </si>
  <si>
    <t>261</t>
  </si>
  <si>
    <t>CAPELLADES</t>
  </si>
  <si>
    <t>_</t>
  </si>
  <si>
    <t>Capolat</t>
  </si>
  <si>
    <t>Pantà de l'Espunyola</t>
  </si>
  <si>
    <t>Embassaments de rius</t>
  </si>
  <si>
    <t>99.7</t>
  </si>
  <si>
    <t>Cardedeu</t>
  </si>
  <si>
    <t>166</t>
  </si>
  <si>
    <t>SANT PERE DE VILAMAJOR</t>
  </si>
  <si>
    <t xml:space="preserve">AGUAS POT. Y MEJORAS DE CARDEDEU, SA              </t>
  </si>
  <si>
    <t>Cardona</t>
  </si>
  <si>
    <t>001</t>
  </si>
  <si>
    <t>NATURA VIVA</t>
  </si>
  <si>
    <t xml:space="preserve">ASSOCIACIÓ DEL FONS D' AIMINES                    </t>
  </si>
  <si>
    <t>32.8</t>
  </si>
  <si>
    <t>Carme</t>
  </si>
  <si>
    <t>189</t>
  </si>
  <si>
    <t>CARME ORPÍ</t>
  </si>
  <si>
    <t>Pi pinyer/ Pi blanc</t>
  </si>
  <si>
    <t>66.3</t>
  </si>
  <si>
    <t>Casserres</t>
  </si>
  <si>
    <t>004</t>
  </si>
  <si>
    <t>BAIX BERGUEDÀ</t>
  </si>
  <si>
    <t xml:space="preserve">AÏLLAMENTS I INSTAL·LACIONS RIAL, SL              </t>
  </si>
  <si>
    <t>Pantà de Casserres</t>
  </si>
  <si>
    <t>ENP Els Tres Hereus</t>
  </si>
  <si>
    <t>Pi negre</t>
  </si>
  <si>
    <t>17.2</t>
  </si>
  <si>
    <t>Castellar del Riu</t>
  </si>
  <si>
    <t>Pi roig/ Pi negre</t>
  </si>
  <si>
    <t>Castellar del Vallès</t>
  </si>
  <si>
    <t>113</t>
  </si>
  <si>
    <t>CASTELLAR DEL VALLÈS</t>
  </si>
  <si>
    <t>Sabadell</t>
  </si>
  <si>
    <t>Ajuntament</t>
  </si>
  <si>
    <t>Ermita de Sant Pere d'Ullastre; riu Ripoll; Zona d'horta del Pati de Cal Botafoc; Zones d'horta del Boà; Plana del Castell</t>
  </si>
  <si>
    <t>48.6</t>
  </si>
  <si>
    <t>Castellar de n'Hug</t>
  </si>
  <si>
    <t>141</t>
  </si>
  <si>
    <t>LA POBLA CASTELLAR</t>
  </si>
  <si>
    <t>Fitxa Tècnica</t>
  </si>
  <si>
    <t xml:space="preserve">AIGÜES DE CASTELLAR DE N'HUG, SL                  </t>
  </si>
  <si>
    <t>Pi roig/ Roures</t>
  </si>
  <si>
    <t>88.4</t>
  </si>
  <si>
    <t>Castellbell i el Vilar</t>
  </si>
  <si>
    <t>078</t>
  </si>
  <si>
    <t>PROTECTORS DEL BOSC</t>
  </si>
  <si>
    <t>Meandre de Castellbell i el Vilar</t>
  </si>
  <si>
    <t>Meandres</t>
  </si>
  <si>
    <t>17.7</t>
  </si>
  <si>
    <t>Castellbisbal</t>
  </si>
  <si>
    <t>179</t>
  </si>
  <si>
    <t>CASTELLBISBAL</t>
  </si>
  <si>
    <t>Terrassa</t>
  </si>
  <si>
    <t xml:space="preserve">AIGÜES DE CASTELLBISBAL EMPRESA MIXTA,SL          </t>
  </si>
  <si>
    <t>Cubeta de Sant Andreu de la Barca; Cubeta d'Abrera</t>
  </si>
  <si>
    <t>Castellcir</t>
  </si>
  <si>
    <t>115</t>
  </si>
  <si>
    <t>ELS CINGLES</t>
  </si>
  <si>
    <t>Baixa</t>
  </si>
  <si>
    <t>88.2</t>
  </si>
  <si>
    <t>296</t>
  </si>
  <si>
    <t>CASTELLDEFELS</t>
  </si>
  <si>
    <t xml:space="preserve">AIGÜES DE BARCELONA, EMGCIA, SA                   </t>
  </si>
  <si>
    <t>Olla del Rei</t>
  </si>
  <si>
    <t>Vall Baixa i Delta del Llobregat</t>
  </si>
  <si>
    <t>Castell de l'Areny</t>
  </si>
  <si>
    <t>FPM</t>
  </si>
  <si>
    <t>Cessió finca I espais del Pla de l'Orri</t>
  </si>
  <si>
    <t>98.4</t>
  </si>
  <si>
    <t>Castellet i la Gornal</t>
  </si>
  <si>
    <t>234</t>
  </si>
  <si>
    <t>PUIG DE L'ÀLIGA</t>
  </si>
  <si>
    <t>Trencarroques</t>
  </si>
  <si>
    <t>Sorres de Santa Oliva</t>
  </si>
  <si>
    <t>Embassament del riu Foix</t>
  </si>
  <si>
    <t>ENP El Foix, ZEC, ZEPA Serres del Litoral Central</t>
  </si>
  <si>
    <t>Baix Penedès</t>
  </si>
  <si>
    <t>7.3</t>
  </si>
  <si>
    <t>Castellfollit del Boix</t>
  </si>
  <si>
    <t>013</t>
  </si>
  <si>
    <t>CASTELLFOLLIT DEL BOIX</t>
  </si>
  <si>
    <t>51.7</t>
  </si>
  <si>
    <t>Castellfollit de Riubregós</t>
  </si>
  <si>
    <t>129</t>
  </si>
  <si>
    <t>CASTELLFOLLIT DE RIUBREGÓS</t>
  </si>
  <si>
    <t xml:space="preserve">ANAIGUA, CIA.AIG. ALT PENEDÈS-ANOIA, SA           </t>
  </si>
  <si>
    <t>Pi blanc/ Roures</t>
  </si>
  <si>
    <t>Castellgalí</t>
  </si>
  <si>
    <t>20.5</t>
  </si>
  <si>
    <t>Castellnou de Bages</t>
  </si>
  <si>
    <t>Embassament d'Argençola</t>
  </si>
  <si>
    <t>Assuts, rescloses i d'altres</t>
  </si>
  <si>
    <t>33.2</t>
  </si>
  <si>
    <t>Castellolí</t>
  </si>
  <si>
    <t>099</t>
  </si>
  <si>
    <t>CASTELLOLÍ</t>
  </si>
  <si>
    <t>53.6</t>
  </si>
  <si>
    <t>Castellterçol</t>
  </si>
  <si>
    <t>73.8</t>
  </si>
  <si>
    <t>Castellví de la Marca</t>
  </si>
  <si>
    <t>195</t>
  </si>
  <si>
    <t>CASTELLVÍ DE LA MARCA</t>
  </si>
  <si>
    <t>Empresa privada</t>
  </si>
  <si>
    <t xml:space="preserve">CASSA AIGÜES I DEPURACIÓ, SL                      </t>
  </si>
  <si>
    <t>Sant Martí Sarroca-Marmellà</t>
  </si>
  <si>
    <t>8.9</t>
  </si>
  <si>
    <t>Castellví de Rosanes</t>
  </si>
  <si>
    <t>096</t>
  </si>
  <si>
    <t>MASSÍS DE L'ORDAL</t>
  </si>
  <si>
    <t>47.6</t>
  </si>
  <si>
    <t>Centelles</t>
  </si>
  <si>
    <t>41.3</t>
  </si>
  <si>
    <t>Cervelló</t>
  </si>
  <si>
    <t>Sant Feliu de Llobregat</t>
  </si>
  <si>
    <t>34.4</t>
  </si>
  <si>
    <t>Collbató</t>
  </si>
  <si>
    <t>130</t>
  </si>
  <si>
    <t>COLLBATÓ</t>
  </si>
  <si>
    <t>22.6</t>
  </si>
  <si>
    <t>Collsuspina</t>
  </si>
  <si>
    <t>Roures</t>
  </si>
  <si>
    <t>76.2</t>
  </si>
  <si>
    <t>Copons</t>
  </si>
  <si>
    <t>En curs</t>
  </si>
  <si>
    <t>134</t>
  </si>
  <si>
    <t>COPONS</t>
  </si>
  <si>
    <t xml:space="preserve">AIGUA DE RIGAT, SA                                </t>
  </si>
  <si>
    <t>El Gorg Salat</t>
  </si>
  <si>
    <t>Corbera de Llobregat</t>
  </si>
  <si>
    <t>Cubeta de Sant Andreu de la Barca</t>
  </si>
  <si>
    <t>6.6</t>
  </si>
  <si>
    <t>Cornellà de Llobregat</t>
  </si>
  <si>
    <t>Sant Antoni Abad</t>
  </si>
  <si>
    <t>Desembocadura del riu Foix; Platja Llarga</t>
  </si>
  <si>
    <t>ZEC, ZEPA Serres del litoral central</t>
  </si>
  <si>
    <t>Dosrius</t>
  </si>
  <si>
    <t>Projecte d'adopció de la riera de Dosrius-Canyamars</t>
  </si>
  <si>
    <t>67.9</t>
  </si>
  <si>
    <t>Esparreguera</t>
  </si>
  <si>
    <t>175</t>
  </si>
  <si>
    <t>OLESA MONTSERRAT ESPARRAGUERA</t>
  </si>
  <si>
    <t xml:space="preserve">AIGÜES D'ESPARREGUERA VIDAL, SA                   </t>
  </si>
  <si>
    <t>Boscos de Can Roca-Els Blaus</t>
  </si>
  <si>
    <t>Bassa de Can Cardús</t>
  </si>
  <si>
    <t>Graveres, argileres i similars</t>
  </si>
  <si>
    <t>4.9</t>
  </si>
  <si>
    <t>Esplugues de Llobregat</t>
  </si>
  <si>
    <t>l'Espunyola</t>
  </si>
  <si>
    <t>l'Estany</t>
  </si>
  <si>
    <t>Estany de l'Estany</t>
  </si>
  <si>
    <t>Llacs i estanys (no càrstics)</t>
  </si>
  <si>
    <t>91.3</t>
  </si>
  <si>
    <t>Fígols</t>
  </si>
  <si>
    <t>Fogars de Montclús</t>
  </si>
  <si>
    <t>Alzina/ Faig</t>
  </si>
  <si>
    <t>67.7</t>
  </si>
  <si>
    <t>Fogars de la Selva</t>
  </si>
  <si>
    <t>103</t>
  </si>
  <si>
    <t>FOGARS DE LA SELVA</t>
  </si>
  <si>
    <t>Blanes</t>
  </si>
  <si>
    <t>la Selva</t>
  </si>
  <si>
    <t>77.3</t>
  </si>
  <si>
    <t>Folgueroles</t>
  </si>
  <si>
    <t>Fonollosa</t>
  </si>
  <si>
    <t>29.2</t>
  </si>
  <si>
    <t>Font-rubí</t>
  </si>
  <si>
    <t>132</t>
  </si>
  <si>
    <t>FONT RUBÍ</t>
  </si>
  <si>
    <t>22.9</t>
  </si>
  <si>
    <t>les Franqueses del Vallès</t>
  </si>
  <si>
    <t>Can Puigoriol Xic</t>
  </si>
  <si>
    <t>24.1</t>
  </si>
  <si>
    <t>Gallifa</t>
  </si>
  <si>
    <t>??? Donde van???</t>
  </si>
  <si>
    <t xml:space="preserve">COMALRENA DE SOBREGRAU FERNANDEZ, PERE  </t>
  </si>
  <si>
    <t>70.7</t>
  </si>
  <si>
    <t>la Garriga</t>
  </si>
  <si>
    <t>194</t>
  </si>
  <si>
    <t>GAVÀ</t>
  </si>
  <si>
    <t>Sant Boi de Llobregat</t>
  </si>
  <si>
    <t>La Desfeta</t>
  </si>
  <si>
    <t xml:space="preserve">Estany de la Murtra; Jonqueres de la rerapineda de Gavà I; Jonqueres de la rerapineda de Gavà II; Jonqueres de la rerapineda de Gavà III;  Jonqueres de la rerapineda de Gavà VI; </t>
  </si>
  <si>
    <t>Llacunes litorals i aiguamolls</t>
  </si>
  <si>
    <t>ENP, ZEC, ZEPA Delta del Llobregat</t>
  </si>
  <si>
    <t>2.3</t>
  </si>
  <si>
    <t>Gaià</t>
  </si>
  <si>
    <t>45.7</t>
  </si>
  <si>
    <t>Gelida</t>
  </si>
  <si>
    <t>16.1</t>
  </si>
  <si>
    <t>Gironella</t>
  </si>
  <si>
    <t>Gisclareny</t>
  </si>
  <si>
    <t>Revisió Ordenació</t>
  </si>
  <si>
    <t>97.9</t>
  </si>
  <si>
    <t>la Granada</t>
  </si>
  <si>
    <t xml:space="preserve">EMP. MUN. D'AIGÜES DE VILAFRANCA, SA              </t>
  </si>
  <si>
    <t>Granera</t>
  </si>
  <si>
    <t xml:space="preserve">SOBREGRAU-ESTEVE, SCP                             </t>
  </si>
  <si>
    <t>68.1</t>
  </si>
  <si>
    <t>Granollers</t>
  </si>
  <si>
    <t>Ajuntament/ MEG</t>
  </si>
  <si>
    <t>Bosc de Can Gordi; Bosc de la Font del Radium/ Can Puigoriol (Corró d'Amunt)</t>
  </si>
  <si>
    <t>Gualba</t>
  </si>
  <si>
    <t>212</t>
  </si>
  <si>
    <t>GUALBA</t>
  </si>
  <si>
    <t>Al·luvial de Tordera Mitjà</t>
  </si>
  <si>
    <t>70.5</t>
  </si>
  <si>
    <t>Sant Salvador de Guardiola</t>
  </si>
  <si>
    <t>012</t>
  </si>
  <si>
    <t>SANT SALVADOR DE GUARDIOLA</t>
  </si>
  <si>
    <t>19.3</t>
  </si>
  <si>
    <t>Guardiola de Berguedà</t>
  </si>
  <si>
    <t>92.2</t>
  </si>
  <si>
    <t>Gurb</t>
  </si>
  <si>
    <t>052</t>
  </si>
  <si>
    <t>GURB</t>
  </si>
  <si>
    <t xml:space="preserve">ABAST. TRACT. I CONTROL D'AIGÜES, SL              </t>
  </si>
  <si>
    <t>aqüífer dels marges de Vic. Aqüífer dels lacustres oligocens d'Artés.</t>
  </si>
  <si>
    <t>GNO-ICHN</t>
  </si>
  <si>
    <t>Castell de Vilagelans</t>
  </si>
  <si>
    <t>51.9</t>
  </si>
  <si>
    <t>l'Hospitalet de Llobregat</t>
  </si>
  <si>
    <t>Igualada</t>
  </si>
  <si>
    <t>Jorba</t>
  </si>
  <si>
    <t>118</t>
  </si>
  <si>
    <t>JORBA</t>
  </si>
  <si>
    <t xml:space="preserve">AIGÜES ARTES, SL                                  </t>
  </si>
  <si>
    <t>20.3</t>
  </si>
  <si>
    <t>la Llacuna</t>
  </si>
  <si>
    <t>070</t>
  </si>
  <si>
    <t>LA LLACUNA</t>
  </si>
  <si>
    <t xml:space="preserve">CATALANA EXPLOTACIONS I MANTENIMENT, SA           </t>
  </si>
  <si>
    <t>59.2</t>
  </si>
  <si>
    <t>la Llagosta</t>
  </si>
  <si>
    <t>NA</t>
  </si>
  <si>
    <t>Llinars del Vallès</t>
  </si>
  <si>
    <t>238</t>
  </si>
  <si>
    <t>LLINARS DEL VALLÈS</t>
  </si>
  <si>
    <t>Sanata</t>
  </si>
  <si>
    <t>Pi negre/ Alzina</t>
  </si>
  <si>
    <t>62.2</t>
  </si>
  <si>
    <t>Lliçà d'Amunt</t>
  </si>
  <si>
    <t>Bassa de Can Dunyó</t>
  </si>
  <si>
    <t>12.8</t>
  </si>
  <si>
    <t>Lliçà de Vall</t>
  </si>
  <si>
    <t>11.5</t>
  </si>
  <si>
    <t>Lluçà</t>
  </si>
  <si>
    <t>CLL</t>
  </si>
  <si>
    <t>font de les coves</t>
  </si>
  <si>
    <t>Torrent i pantà de Garet</t>
  </si>
  <si>
    <t>83.5</t>
  </si>
  <si>
    <t xml:space="preserve">EMPRESA AGUAS POTABLES DE MALGRAT, SA             </t>
  </si>
  <si>
    <t>unitat dels al·luvials del Maresme. Unitat dels detrítics plioquaternaris del Maresme. Unitat fluviodeltaica de la Tordera.</t>
  </si>
  <si>
    <t>Desembocadura del riu Tordera</t>
  </si>
  <si>
    <t>Desembocadures històriques de rius i rieres</t>
  </si>
  <si>
    <t>ZEC Riu i Estanys de Tordera</t>
  </si>
  <si>
    <t>riera de Tordera; Alt Maresme</t>
  </si>
  <si>
    <t>Malla</t>
  </si>
  <si>
    <t>098</t>
  </si>
  <si>
    <t>FONT FREDA</t>
  </si>
  <si>
    <t>aqüífer dels marges de Vic.</t>
  </si>
  <si>
    <t>217</t>
  </si>
  <si>
    <t>EL CABRERÉS</t>
  </si>
  <si>
    <t>aqüífer dels detrítics paleògens de Bellmunt i Milany. Aqüífer dels marges de Vic. Unitat dels quaternaris i</t>
  </si>
  <si>
    <t>CERM</t>
  </si>
  <si>
    <t>Riberes del Ter; Platja del Dolcet; Meandre de Gelabert; Passeig del Ter</t>
  </si>
  <si>
    <t>020</t>
  </si>
  <si>
    <t>PLA DE BAGES</t>
  </si>
  <si>
    <t>3.6</t>
  </si>
  <si>
    <t>Martorelles</t>
  </si>
  <si>
    <t>les Masies de Roda</t>
  </si>
  <si>
    <t>aqüífer dels gresos de Folgueroles. Aqüífer de les marges de Vic. Unitat dels quaternaris i al·luvials de la Plana de Vic.</t>
  </si>
  <si>
    <t>59.5</t>
  </si>
  <si>
    <t>les Masies de Voltregà</t>
  </si>
  <si>
    <t>116</t>
  </si>
  <si>
    <t>VOL GES</t>
  </si>
  <si>
    <t>aqüífer dels marges de Vic. Unitat dels quaternaris i al·luvials de la Plana de Vic.</t>
  </si>
  <si>
    <t>El Sorral, inclou illa de Gallifa; meandres i illes de les Gambires i Gallifa</t>
  </si>
  <si>
    <t>41.8</t>
  </si>
  <si>
    <t>SUBMON/ Ajuntament</t>
  </si>
  <si>
    <t>Masquefa</t>
  </si>
  <si>
    <t>256</t>
  </si>
  <si>
    <t>MASQUEFA</t>
  </si>
  <si>
    <t>Matadepera</t>
  </si>
  <si>
    <t>133</t>
  </si>
  <si>
    <t>MATADEPERA</t>
  </si>
  <si>
    <t>La Mola</t>
  </si>
  <si>
    <t xml:space="preserve">AIGÜES DE MATADEPERA,SA                           </t>
  </si>
  <si>
    <t>76.7</t>
  </si>
  <si>
    <t xml:space="preserve">AIGÜES DE MATARÓ, SA                              </t>
  </si>
  <si>
    <t>Mediona</t>
  </si>
  <si>
    <t>051</t>
  </si>
  <si>
    <t>MEDIONA</t>
  </si>
  <si>
    <t>36.6</t>
  </si>
  <si>
    <t>Molins de Rei</t>
  </si>
  <si>
    <t>249</t>
  </si>
  <si>
    <t>PUIGMADRONA-OLORDA</t>
  </si>
  <si>
    <t xml:space="preserve">FCC AQUALIA, SA                                   </t>
  </si>
  <si>
    <t>Aiguamolls de Molins de Rei</t>
  </si>
  <si>
    <t>18.1</t>
  </si>
  <si>
    <t>Mollet del Vallès</t>
  </si>
  <si>
    <t>274</t>
  </si>
  <si>
    <t>GALLECS</t>
  </si>
  <si>
    <t>CERG</t>
  </si>
  <si>
    <t>Espai Rural de Gallecs</t>
  </si>
  <si>
    <t>Aiguamolls de Can Salvi</t>
  </si>
  <si>
    <t>Montcada i Reixac</t>
  </si>
  <si>
    <t>301</t>
  </si>
  <si>
    <t>LA SERRALADA</t>
  </si>
  <si>
    <t>Turó Montcada</t>
  </si>
  <si>
    <t>Llacunes de Mas Duran</t>
  </si>
  <si>
    <t>Delta del Besòs</t>
  </si>
  <si>
    <t>15.6</t>
  </si>
  <si>
    <t>Monistrol de Montserrat</t>
  </si>
  <si>
    <t>260</t>
  </si>
  <si>
    <t>MONISTROL DE MONTSERRAT</t>
  </si>
  <si>
    <t>Monistrol de Calders</t>
  </si>
  <si>
    <t>Trullars</t>
  </si>
  <si>
    <t>54.5</t>
  </si>
  <si>
    <t>Muntanyola</t>
  </si>
  <si>
    <t>Municipal concessió</t>
  </si>
  <si>
    <t xml:space="preserve">AIGÜES DE VIC, SA                                 </t>
  </si>
  <si>
    <t>(amb exclusió dels enclavaments situats fora del perímetre de l'àrea): aqüífer dels marges de Vic.</t>
  </si>
  <si>
    <t>Montclar</t>
  </si>
  <si>
    <t>Riera de Navel</t>
  </si>
  <si>
    <t>26.4</t>
  </si>
  <si>
    <t>Montesquiu</t>
  </si>
  <si>
    <t>170</t>
  </si>
  <si>
    <t>BISAURA</t>
  </si>
  <si>
    <t>Ripoll</t>
  </si>
  <si>
    <t>45.5</t>
  </si>
  <si>
    <t>Montmajor</t>
  </si>
  <si>
    <t>Pantà de Serrateix</t>
  </si>
  <si>
    <t>ENP Riera de Navel</t>
  </si>
  <si>
    <t>58.9</t>
  </si>
  <si>
    <t>Montmaneu</t>
  </si>
  <si>
    <t>119</t>
  </si>
  <si>
    <t>MONTMANEU</t>
  </si>
  <si>
    <t>24.5</t>
  </si>
  <si>
    <t>Figaró - Montmany</t>
  </si>
  <si>
    <t xml:space="preserve">GESTIÓ INTEGRAL AIGÜES DE CATALUNYA, SA           </t>
  </si>
  <si>
    <t>Montmeló</t>
  </si>
  <si>
    <t>Montornès del Vallès</t>
  </si>
  <si>
    <t>Sant Miquel</t>
  </si>
  <si>
    <t>Montseny</t>
  </si>
  <si>
    <t>80.4</t>
  </si>
  <si>
    <t>Moià</t>
  </si>
  <si>
    <t xml:space="preserve">SOCIETAT MUNICIPAL D'AIGÜES DE MOIÀ, SA           </t>
  </si>
  <si>
    <t>81.3</t>
  </si>
  <si>
    <t>Mura</t>
  </si>
  <si>
    <t>025</t>
  </si>
  <si>
    <t>BAGES ORIENTAL</t>
  </si>
  <si>
    <t>Montcau</t>
  </si>
  <si>
    <t>82.8</t>
  </si>
  <si>
    <t>Navarcles</t>
  </si>
  <si>
    <t>Navàs</t>
  </si>
  <si>
    <t xml:space="preserve">SERVEIS MUNICIPALS DE NAVAS, SL                   </t>
  </si>
  <si>
    <t>30.2</t>
  </si>
  <si>
    <t>la Nou de Berguedà</t>
  </si>
  <si>
    <t>99.5</t>
  </si>
  <si>
    <t>Òdena</t>
  </si>
  <si>
    <t>021</t>
  </si>
  <si>
    <t>ÒDENA</t>
  </si>
  <si>
    <t>14.9</t>
  </si>
  <si>
    <t>Olvan</t>
  </si>
  <si>
    <t>Les Vinyes</t>
  </si>
  <si>
    <t>36.8</t>
  </si>
  <si>
    <t>Olèrdola</t>
  </si>
  <si>
    <t>128</t>
  </si>
  <si>
    <t>ROSSEND MONTANÉ</t>
  </si>
  <si>
    <t xml:space="preserve">EMP. MUN. D'AIGÜES DE VILAFRANCA, SAU             </t>
  </si>
  <si>
    <t>5.7</t>
  </si>
  <si>
    <t>Olesa de Bonesvalls</t>
  </si>
  <si>
    <t>062</t>
  </si>
  <si>
    <t>OLESA DE BONESVALLS</t>
  </si>
  <si>
    <t>Puig de la Mola</t>
  </si>
  <si>
    <t>51.6</t>
  </si>
  <si>
    <t>Olesa de Montserrat</t>
  </si>
  <si>
    <t xml:space="preserve">COMUNITAT MINERA OLESANA, SCCL                    </t>
  </si>
  <si>
    <t>Puigventós</t>
  </si>
  <si>
    <t>Olivella</t>
  </si>
  <si>
    <t>126</t>
  </si>
  <si>
    <t>NATURA DEL GARRAF</t>
  </si>
  <si>
    <t>6.3</t>
  </si>
  <si>
    <t>Olost</t>
  </si>
  <si>
    <t>Pantà de Gavarresa</t>
  </si>
  <si>
    <t>62.7</t>
  </si>
  <si>
    <t>Orís</t>
  </si>
  <si>
    <t>aqüífer dels detrítics paleògens de Bellmunt i Milany. Aqüífer dels marges de Vic. Unitat dels quaternaris i al·luvials de la Plana de Vic.</t>
  </si>
  <si>
    <t>83.3</t>
  </si>
  <si>
    <t>Oristà</t>
  </si>
  <si>
    <t>49.3</t>
  </si>
  <si>
    <t>Orpí</t>
  </si>
  <si>
    <t>Santa Càndia</t>
  </si>
  <si>
    <t>65.6</t>
  </si>
  <si>
    <t>Òrrius</t>
  </si>
  <si>
    <t>Pacs del Penedès</t>
  </si>
  <si>
    <t>Palafolls</t>
  </si>
  <si>
    <t>unitat dels al·luvials del Maresme. Unitat fluviodeltaica de la Tordera.</t>
  </si>
  <si>
    <t>Antiga gravera de Palafolls</t>
  </si>
  <si>
    <t>Llacuna de depuració</t>
  </si>
  <si>
    <t>38.9</t>
  </si>
  <si>
    <t>Palau-solità i Plegamans</t>
  </si>
  <si>
    <t>032</t>
  </si>
  <si>
    <t>PALAU DE PLEGAMANS</t>
  </si>
  <si>
    <t>10.6</t>
  </si>
  <si>
    <t>Pallejà</t>
  </si>
  <si>
    <t>176</t>
  </si>
  <si>
    <t>PALLEJÀ</t>
  </si>
  <si>
    <t>Cubeta de Sant Andreu de la Barca; Vall Baixa i Delta del Llobregat</t>
  </si>
  <si>
    <t>el Papiol</t>
  </si>
  <si>
    <t>Parets del Vallès</t>
  </si>
  <si>
    <t>Perafita</t>
  </si>
  <si>
    <t>Aqüífer dels lacustres oligocens d'Artés.</t>
  </si>
  <si>
    <t>Pantà de la Fusta</t>
  </si>
  <si>
    <t>69.3</t>
  </si>
  <si>
    <t>Piera</t>
  </si>
  <si>
    <t>266</t>
  </si>
  <si>
    <t>PIERA</t>
  </si>
  <si>
    <t>18.2</t>
  </si>
  <si>
    <t>els Hostalets de Pierola</t>
  </si>
  <si>
    <t>278</t>
  </si>
  <si>
    <t>HOSTALETS DE PIEROLA</t>
  </si>
  <si>
    <t xml:space="preserve">HOSERPI, SL                                       </t>
  </si>
  <si>
    <t>Pineda</t>
  </si>
  <si>
    <t>el Pla del Penedès</t>
  </si>
  <si>
    <t>la Pobla de Claramunt</t>
  </si>
  <si>
    <t>125</t>
  </si>
  <si>
    <t>LA POBLA DE CLARAMUNT</t>
  </si>
  <si>
    <t>la Pobla de Lillet</t>
  </si>
  <si>
    <t>Fitxa tècnica i projecte d'ordenació</t>
  </si>
  <si>
    <t xml:space="preserve">UTE CASSA RIAL                                    </t>
  </si>
  <si>
    <t>FN</t>
  </si>
  <si>
    <t>Ardericó (Serra de Catllaràs)</t>
  </si>
  <si>
    <t>94.8</t>
  </si>
  <si>
    <t>Polinyà</t>
  </si>
  <si>
    <t>263</t>
  </si>
  <si>
    <t>POLINYÀ</t>
  </si>
  <si>
    <t>Pontons</t>
  </si>
  <si>
    <t>193</t>
  </si>
  <si>
    <t>PONTONS</t>
  </si>
  <si>
    <t>11.1</t>
  </si>
  <si>
    <t xml:space="preserve">AIGÜES DEL PRAT, SA                               </t>
  </si>
  <si>
    <t>El Remolar-Filipines; Ca l'Arana i Cal Tet; Bassa del Prat de Llobregat; Llacunes del Dimoni; Estany de la Ricarda-Estany de la Magarola; Maresme de Can Camins; Estany de la Roberta</t>
  </si>
  <si>
    <t>RNP Remolar-Filipines, ENP, ZEC, ZEPA Delta del Llobregat; RNP La Ricarda-Ca l'Arana</t>
  </si>
  <si>
    <t>els Prats de Rei</t>
  </si>
  <si>
    <t>230</t>
  </si>
  <si>
    <t>ELS PRATS DE REI</t>
  </si>
  <si>
    <t>ENP, ZEC, ZEPA Delta del Llobregat</t>
  </si>
  <si>
    <t>Prats de Lluçanès</t>
  </si>
  <si>
    <t>52.4</t>
  </si>
  <si>
    <t>Puigdàlber</t>
  </si>
  <si>
    <t>Puig-reig</t>
  </si>
  <si>
    <t>20.7</t>
  </si>
  <si>
    <t>Pujalt</t>
  </si>
  <si>
    <t>135</t>
  </si>
  <si>
    <t>PUJALT</t>
  </si>
  <si>
    <t>19.6</t>
  </si>
  <si>
    <t>la Quar</t>
  </si>
  <si>
    <t>14.26</t>
  </si>
  <si>
    <t>88.9</t>
  </si>
  <si>
    <t>Rajadell</t>
  </si>
  <si>
    <t>42.7</t>
  </si>
  <si>
    <t>Rellinars</t>
  </si>
  <si>
    <t>192</t>
  </si>
  <si>
    <t>VACARISSES-RELLINARS</t>
  </si>
  <si>
    <t xml:space="preserve">MINA PÚBLICA D'AIGÜES DE TERRASSA, SA             </t>
  </si>
  <si>
    <t>Alt/molt alt</t>
  </si>
  <si>
    <t>56.9</t>
  </si>
  <si>
    <t>Ripollet</t>
  </si>
  <si>
    <t>la Roca del Vallès</t>
  </si>
  <si>
    <t>Gravera d'en Segur; Sargar de la Roca</t>
  </si>
  <si>
    <t>29.5</t>
  </si>
  <si>
    <t>el Pont de Vilomara i Rocafort</t>
  </si>
  <si>
    <t>Vallhonesta</t>
  </si>
  <si>
    <t>10.4</t>
  </si>
  <si>
    <t>Roda de Ter</t>
  </si>
  <si>
    <t>aqüífer dels gresos de Folgueroles. Aqüífer dels marges de Vic. Unitat dels quaternaris i al·luvials de la</t>
  </si>
  <si>
    <t>FPER</t>
  </si>
  <si>
    <t>L'esquerda</t>
  </si>
  <si>
    <t>Rubí</t>
  </si>
  <si>
    <t>240</t>
  </si>
  <si>
    <t>RUBÍ</t>
  </si>
  <si>
    <t>Estany dels Alous</t>
  </si>
  <si>
    <t>6.4</t>
  </si>
  <si>
    <t>Rubió</t>
  </si>
  <si>
    <t>159</t>
  </si>
  <si>
    <t>SERRA DE RUBIÓ</t>
  </si>
  <si>
    <t>13.4</t>
  </si>
  <si>
    <t>247</t>
  </si>
  <si>
    <t>SABADELL</t>
  </si>
  <si>
    <t xml:space="preserve">COMPANYIA D'AIGÜES DE SABADELL, SA                </t>
  </si>
  <si>
    <t>ADENC/ Ajuntament</t>
  </si>
  <si>
    <t>Riu Ripoll/ Parc Agrari; riu Ripoll</t>
  </si>
  <si>
    <t>8.7</t>
  </si>
  <si>
    <t>Sagàs</t>
  </si>
  <si>
    <t>29.3</t>
  </si>
  <si>
    <t>Sant Pere Sallavinera</t>
  </si>
  <si>
    <t>47.9</t>
  </si>
  <si>
    <t>Saldes</t>
  </si>
  <si>
    <t>Cal Ferrer; Terrenys de Saldes, Gosol i Feners</t>
  </si>
  <si>
    <t>97.4</t>
  </si>
  <si>
    <t>Sallent</t>
  </si>
  <si>
    <t>31.6</t>
  </si>
  <si>
    <t>Santpedor</t>
  </si>
  <si>
    <t>Aiguamoll de la Bòbila de Santpedor</t>
  </si>
  <si>
    <t>10.9</t>
  </si>
  <si>
    <t>Sant Iscle de Vallalta</t>
  </si>
  <si>
    <t>unitat dels al·luvials del Maresme</t>
  </si>
  <si>
    <t>85.4</t>
  </si>
  <si>
    <t>Sant Agustí de Lluçanès</t>
  </si>
  <si>
    <t>81.4</t>
  </si>
  <si>
    <t>Sant Andreu de la Barca</t>
  </si>
  <si>
    <t>Canyons del Mareme</t>
  </si>
  <si>
    <t>35.8</t>
  </si>
  <si>
    <t>Sant Antoni de Vilamajor</t>
  </si>
  <si>
    <t>40.1</t>
  </si>
  <si>
    <t>Sant Bartomeu del Grau</t>
  </si>
  <si>
    <t>78.8</t>
  </si>
  <si>
    <t>El Remolar-Filipines; Llacunes del Dimoni</t>
  </si>
  <si>
    <t>RNP La Ricarda-Ca l'Arana, ENP, ZEC, ZEPA Delta del Llobregat</t>
  </si>
  <si>
    <t>Sant Boi de Lluçanès</t>
  </si>
  <si>
    <t>aqüífer de les calcàries paleògenes de la Plana de Vic-Collsacabra. Aqüífer dels lacustres</t>
  </si>
  <si>
    <t>Sant Celoni</t>
  </si>
  <si>
    <t>117</t>
  </si>
  <si>
    <t>FORESTEC</t>
  </si>
  <si>
    <t>La telefonista</t>
  </si>
  <si>
    <t>Les Llobateres</t>
  </si>
  <si>
    <t>84.5</t>
  </si>
  <si>
    <t>Sant Cebrià de Vallalta</t>
  </si>
  <si>
    <t>Pi pinyer/ Surera</t>
  </si>
  <si>
    <t>74.7</t>
  </si>
  <si>
    <t>Sant Climent de Llobregat</t>
  </si>
  <si>
    <t>251</t>
  </si>
  <si>
    <t>SANT RAMON</t>
  </si>
  <si>
    <t>26.7</t>
  </si>
  <si>
    <t>Sant Cugat del Vallès</t>
  </si>
  <si>
    <t>149</t>
  </si>
  <si>
    <t>SANT CUGAT DEL VALLÈS</t>
  </si>
  <si>
    <t>conveni entre Ajuntament de Sant Cugat i Província Tarraconense de la Companyia de Jesús</t>
  </si>
  <si>
    <t>Pantà de Can Borrell</t>
  </si>
  <si>
    <t>ENP, ZEC, Serra de Collserola</t>
  </si>
  <si>
    <t>22.7</t>
  </si>
  <si>
    <t>Sant Cugat Sesgarrigues</t>
  </si>
  <si>
    <t>Sant Esteve de Palautordera</t>
  </si>
  <si>
    <t>165</t>
  </si>
  <si>
    <t>SANT ESTEVE DE PALAUTORDERA</t>
  </si>
  <si>
    <t xml:space="preserve">AIGÜES VALLFLORIDA, SL                            </t>
  </si>
  <si>
    <t>52.3</t>
  </si>
  <si>
    <t>Sant Esteve Sesrovires</t>
  </si>
  <si>
    <t>Sant Fost de Campsentelles</t>
  </si>
  <si>
    <t>35.2</t>
  </si>
  <si>
    <t>Sant Feliu de Codines</t>
  </si>
  <si>
    <t>61.3</t>
  </si>
  <si>
    <t>196</t>
  </si>
  <si>
    <t>SANT FELIU DE LLOBREGAT</t>
  </si>
  <si>
    <t>Sant Feliu Sasserra</t>
  </si>
  <si>
    <t>Pi negre/ Faig</t>
  </si>
  <si>
    <t>38.4</t>
  </si>
  <si>
    <t>Sant Fruitós de Bages</t>
  </si>
  <si>
    <t>Vilassar de Dalt</t>
  </si>
  <si>
    <t>231</t>
  </si>
  <si>
    <t>VILASSAR DE DALT</t>
  </si>
  <si>
    <t>Sant Hipòlit de Voltregà</t>
  </si>
  <si>
    <t> aqüífer dels marges de Vic</t>
  </si>
  <si>
    <t>Sant Jaume de Frontanyà</t>
  </si>
  <si>
    <t>99.8</t>
  </si>
  <si>
    <t>Sant Joan Despí</t>
  </si>
  <si>
    <t>Sant Joan de Vilatorrada</t>
  </si>
  <si>
    <t>9.7</t>
  </si>
  <si>
    <t xml:space="preserve">AIGÜES DE VILASSAR, SL                            </t>
  </si>
  <si>
    <t>Sant Julià de Vilatorta</t>
  </si>
  <si>
    <t>aqüífer dels gresos de Folgueroles. Aqüífer dels marges de Vic</t>
  </si>
  <si>
    <t>Albereda de Seva</t>
  </si>
  <si>
    <t>74.3</t>
  </si>
  <si>
    <t>Sant Just Desvern</t>
  </si>
  <si>
    <t>Sant Llorenç d'Hortons</t>
  </si>
  <si>
    <t>291</t>
  </si>
  <si>
    <t>HORTONENCA</t>
  </si>
  <si>
    <t>3.3</t>
  </si>
  <si>
    <t>Sant Llorenç Savall</t>
  </si>
  <si>
    <t>49.5</t>
  </si>
  <si>
    <t>Sant Martí de Centelles</t>
  </si>
  <si>
    <t>Pi roig/ Pi blanc</t>
  </si>
  <si>
    <t>87.8</t>
  </si>
  <si>
    <t>Sant Martí d'Albars</t>
  </si>
  <si>
    <t>64.9</t>
  </si>
  <si>
    <t>Sant Martí de Tous</t>
  </si>
  <si>
    <t>155</t>
  </si>
  <si>
    <t>SANT MARTÍ DE TOUS</t>
  </si>
  <si>
    <t>Can Aubareda</t>
  </si>
  <si>
    <t>58.2</t>
  </si>
  <si>
    <t>Sant Martí Sarroca</t>
  </si>
  <si>
    <t>198</t>
  </si>
  <si>
    <t>SANT MARTÍ SARROCA</t>
  </si>
  <si>
    <t>9.5</t>
  </si>
  <si>
    <t>Sant Martí Sesgueioles</t>
  </si>
  <si>
    <t>Sant Mateu de Bages</t>
  </si>
  <si>
    <t>Coaner</t>
  </si>
  <si>
    <t>Premià de Dalt</t>
  </si>
  <si>
    <t>151</t>
  </si>
  <si>
    <t>PREMIÀ DE DALT</t>
  </si>
  <si>
    <t>Baldiri</t>
  </si>
  <si>
    <t>10.8</t>
  </si>
  <si>
    <t>Sant Pere de Ribes</t>
  </si>
  <si>
    <t>307</t>
  </si>
  <si>
    <t>Puig d'en Carbonell</t>
  </si>
  <si>
    <t xml:space="preserve">AIGÜES DE SANT PERE DE RIBES, SA                  </t>
  </si>
  <si>
    <t>4.5</t>
  </si>
  <si>
    <t>Sant Pere de Riudebitlles</t>
  </si>
  <si>
    <t>Sant Pere de Torelló</t>
  </si>
  <si>
    <t>aqüífer dels detrítics paleògens de Bellmunt i Milany.</t>
  </si>
  <si>
    <t>Llombregueres; La Rectoria de la Vola</t>
  </si>
  <si>
    <t>Bassa de les Salines</t>
  </si>
  <si>
    <t>Roures/ Alzina</t>
  </si>
  <si>
    <t>80.7</t>
  </si>
  <si>
    <t>Sant Pere de Vilamajor</t>
  </si>
  <si>
    <t>Sant Elies</t>
  </si>
  <si>
    <t>Sant Quintí de Mediona</t>
  </si>
  <si>
    <t>190</t>
  </si>
  <si>
    <t>QUINTINENCA</t>
  </si>
  <si>
    <t xml:space="preserve">AIGÜES I AGRICOLA DE MEDIONA, SL                  </t>
  </si>
  <si>
    <t>Sant Quirze de Besora</t>
  </si>
  <si>
    <t>64.8</t>
  </si>
  <si>
    <t>Sant Quirze del Vallès</t>
  </si>
  <si>
    <t>244</t>
  </si>
  <si>
    <t>SANT QUIRZE DEL VALLÈS</t>
  </si>
  <si>
    <t>14.1</t>
  </si>
  <si>
    <t>Sant Quirze Safaja</t>
  </si>
  <si>
    <t>58.3</t>
  </si>
  <si>
    <t>Sant Sadurní d'Anoia</t>
  </si>
  <si>
    <t>269</t>
  </si>
  <si>
    <t>SANT SADURNÍ D'ANOIA</t>
  </si>
  <si>
    <t xml:space="preserve">COMUNITAT MINA I AIGÜES DE LA SALUT, SA           </t>
  </si>
  <si>
    <t>Llac de Can Codomiu, llacuna o bassa de Can Codomiu</t>
  </si>
  <si>
    <t>Sant Sadurní d'Osormort</t>
  </si>
  <si>
    <t>063</t>
  </si>
  <si>
    <t>SANT SADURNÍ D'OSORMORT</t>
  </si>
  <si>
    <t xml:space="preserve">No en té </t>
  </si>
  <si>
    <t>SENSE ENTITATS SUBMINISTRADORES</t>
  </si>
  <si>
    <t>87.3</t>
  </si>
  <si>
    <t>Marganell</t>
  </si>
  <si>
    <t>Santa Cecília de Voltregà</t>
  </si>
  <si>
    <t>aqüífer de les marges de Vic.</t>
  </si>
  <si>
    <t>Santa Coloma de Cervelló</t>
  </si>
  <si>
    <t>Santa Coloma de Gramenet</t>
  </si>
  <si>
    <t>Charli</t>
  </si>
  <si>
    <t>Santa Eugènia de Berga</t>
  </si>
  <si>
    <t>Santa Eulàlia de Riuprimer</t>
  </si>
  <si>
    <t>La Rovira Nova; El Baró-La Guixa</t>
  </si>
  <si>
    <t>Santa Eulàlia de Ronçana</t>
  </si>
  <si>
    <t>12.2</t>
  </si>
  <si>
    <t>Santa Fe del Penedès</t>
  </si>
  <si>
    <t>Santa Margarida de Montbui</t>
  </si>
  <si>
    <t>137</t>
  </si>
  <si>
    <t>LA TOSSA</t>
  </si>
  <si>
    <t>31.8</t>
  </si>
  <si>
    <t>Santa Margarida i els Monjos</t>
  </si>
  <si>
    <t>Barberà del Vallès</t>
  </si>
  <si>
    <t xml:space="preserve">SERV. I AIGÜES DE BARBERA EMP. MUN., SA           </t>
  </si>
  <si>
    <t>Santa Maria de Besora</t>
  </si>
  <si>
    <t>Finca del Mir; Castell de Besora</t>
  </si>
  <si>
    <t>Roures/ Faig</t>
  </si>
  <si>
    <t>68.4</t>
  </si>
  <si>
    <t>l'Esquirol</t>
  </si>
  <si>
    <t>aqüífer dels gresos de Folgueroles. Aqüífer dels detrítics paleògens de Bellmunt i</t>
  </si>
  <si>
    <t>Santa Maria de Merlès</t>
  </si>
  <si>
    <t>ADEFFA</t>
  </si>
  <si>
    <t>Canal del Molí de Vilalta de la Riera de Merlès; Canal del Molí del Mas; Canal de la Serradora de la Riera de Merlès; Molí de Vilalta; Excavació del Jaciment de l'Esquerda</t>
  </si>
  <si>
    <t>57.8</t>
  </si>
  <si>
    <t>Santa Maria de Martorelles</t>
  </si>
  <si>
    <t>Les Canyes; Els Til·lers; Els Castanyers</t>
  </si>
  <si>
    <t>82.1</t>
  </si>
  <si>
    <t>Santa Maria de Miralles</t>
  </si>
  <si>
    <t>147</t>
  </si>
  <si>
    <t>SANTA MARIA DE MIRALLES</t>
  </si>
  <si>
    <t>55.9</t>
  </si>
  <si>
    <t>Santa Maria d'Oló</t>
  </si>
  <si>
    <t xml:space="preserve">SERV. D'AIGÜES POT. S. MARIA D'OLO CB             </t>
  </si>
  <si>
    <t>65.5</t>
  </si>
  <si>
    <t>Santa Maria de Palautordera</t>
  </si>
  <si>
    <t>154</t>
  </si>
  <si>
    <t>SANTA MARIA DE PALAUTORDERA</t>
  </si>
  <si>
    <t>38.5</t>
  </si>
  <si>
    <t>Santa Perpètua de Mogoda</t>
  </si>
  <si>
    <t>58.5</t>
  </si>
  <si>
    <t>Sant Vicenç de Castellet</t>
  </si>
  <si>
    <t>13.7</t>
  </si>
  <si>
    <t>Sant Vicenç dels Horts</t>
  </si>
  <si>
    <t xml:space="preserve">UTE AIGÜES DE SANT VICENÇ DELS HORTS              </t>
  </si>
  <si>
    <t>Sant Vicenç de Torelló</t>
  </si>
  <si>
    <t>Cerdanyola del Vallès</t>
  </si>
  <si>
    <t>Bosc Gran de Can Catà</t>
  </si>
  <si>
    <t>22.4</t>
  </si>
  <si>
    <t>Sentmenat</t>
  </si>
  <si>
    <t>28.5</t>
  </si>
  <si>
    <t>Cercs</t>
  </si>
  <si>
    <t>Estany de Cercs</t>
  </si>
  <si>
    <t>ENP Serra d'Ensija-els Rasos de Peguera ZEC, ZEPA Prepirineu Central català</t>
  </si>
  <si>
    <t>87.7</t>
  </si>
  <si>
    <t>Seva</t>
  </si>
  <si>
    <t>64.2</t>
  </si>
  <si>
    <t>257</t>
  </si>
  <si>
    <t>SITGES</t>
  </si>
  <si>
    <t>Serra de la Costa</t>
  </si>
  <si>
    <t>Desembocadura del a Riera de Ribes</t>
  </si>
  <si>
    <t>1.4</t>
  </si>
  <si>
    <t>Sobremunt</t>
  </si>
  <si>
    <t>aqüífer de les calcàries paleògenes de la Plana de Vic-Collsacabra. Aqüífer dels lacustres oligocens d'Artés.</t>
  </si>
  <si>
    <t>El Muntaner</t>
  </si>
  <si>
    <t>79.5</t>
  </si>
  <si>
    <t>Sora</t>
  </si>
  <si>
    <t>79.7</t>
  </si>
  <si>
    <t>Subirats</t>
  </si>
  <si>
    <t>084</t>
  </si>
  <si>
    <t>SUBIRATS</t>
  </si>
  <si>
    <t>25.3</t>
  </si>
  <si>
    <t>Súria</t>
  </si>
  <si>
    <t>Pla de Reguant</t>
  </si>
  <si>
    <t>Pla especial; Pla de Reguant i Pla de les Hortes; ENP; ZEC; Serra de Castelltallat</t>
  </si>
  <si>
    <t>Tavèrnoles</t>
  </si>
  <si>
    <t>75.5</t>
  </si>
  <si>
    <t>Tagamanent</t>
  </si>
  <si>
    <t>La Trona</t>
  </si>
  <si>
    <t>93.9</t>
  </si>
  <si>
    <t>Talamanca</t>
  </si>
  <si>
    <t>40.3</t>
  </si>
  <si>
    <t>Taradell</t>
  </si>
  <si>
    <t>Mas Bellpuig</t>
  </si>
  <si>
    <t>Estany de la Vallmitjana</t>
  </si>
  <si>
    <t>Refugi de fauna salvatge</t>
  </si>
  <si>
    <t>61.6</t>
  </si>
  <si>
    <t>124</t>
  </si>
  <si>
    <t>TERRASSA</t>
  </si>
  <si>
    <t>L'Obac</t>
  </si>
  <si>
    <t>43.9</t>
  </si>
  <si>
    <t>Tavertet</t>
  </si>
  <si>
    <t>90.6</t>
  </si>
  <si>
    <t>Teià</t>
  </si>
  <si>
    <t>148</t>
  </si>
  <si>
    <t>TEIÀ</t>
  </si>
  <si>
    <t>Tiana</t>
  </si>
  <si>
    <t>Alfa</t>
  </si>
  <si>
    <t>5.9</t>
  </si>
  <si>
    <t>Tona</t>
  </si>
  <si>
    <t>56.4</t>
  </si>
  <si>
    <t>Tordera</t>
  </si>
  <si>
    <t>112</t>
  </si>
  <si>
    <t>TORDERA</t>
  </si>
  <si>
    <t>Illa de Tordera (braç esquerra); Estany de Can Raba; Estany de Can Torrent; Estany de la Júlia; Prats d'en Gai; Roudera de Tordera; Bosc de Mas Julià; Gorg del molí d'en Puiverd</t>
  </si>
  <si>
    <t>ENP Estanys de Tordera
ZEC Riu i Estanys de Tordera</t>
  </si>
  <si>
    <t>riera de Tordera</t>
  </si>
  <si>
    <t>75.2</t>
  </si>
  <si>
    <t>Torelló</t>
  </si>
  <si>
    <t>Ajuntament/ CERM</t>
  </si>
  <si>
    <t>La Bardissa; Conanglell/ Espadamala de Baix; Finca les Gambires; riba del riu Ter a Torelló</t>
  </si>
  <si>
    <t>la Torre de Claramunt</t>
  </si>
  <si>
    <t>202</t>
  </si>
  <si>
    <t>LA TORRE DE CLARAMUNT</t>
  </si>
  <si>
    <t>Torrelavit</t>
  </si>
  <si>
    <t>304</t>
  </si>
  <si>
    <t>TORRELAVIT</t>
  </si>
  <si>
    <t>5.4</t>
  </si>
  <si>
    <t>Torrelles de Foix</t>
  </si>
  <si>
    <t>173</t>
  </si>
  <si>
    <t>ALT FOIX</t>
  </si>
  <si>
    <t>Carme-Capellades; Sant Martí Sarroca-Marmellà</t>
  </si>
  <si>
    <t>Torrelles de Llobregat</t>
  </si>
  <si>
    <t>Ullastrell</t>
  </si>
  <si>
    <t xml:space="preserve">AJUNTAMENT D'ULLASTRET                            </t>
  </si>
  <si>
    <t>Vacarisses</t>
  </si>
  <si>
    <t>60.1</t>
  </si>
  <si>
    <t>Vallbona d'Anoia</t>
  </si>
  <si>
    <t>279</t>
  </si>
  <si>
    <t>VALLBONA D'ANOIA</t>
  </si>
  <si>
    <t>47.2</t>
  </si>
  <si>
    <t>Vallcebre</t>
  </si>
  <si>
    <t>Camp de la Cambrota</t>
  </si>
  <si>
    <t>Vallgorguina</t>
  </si>
  <si>
    <t>061</t>
  </si>
  <si>
    <t>VALLGORGUINA</t>
  </si>
  <si>
    <t>Can Plana</t>
  </si>
  <si>
    <t>87.5</t>
  </si>
  <si>
    <t>Vallirana</t>
  </si>
  <si>
    <t xml:space="preserve">AIGÜES DE VALLIRANA, SA                           </t>
  </si>
  <si>
    <t>31.9</t>
  </si>
  <si>
    <t>Vallromanes</t>
  </si>
  <si>
    <t>63.7</t>
  </si>
  <si>
    <t>Veciana</t>
  </si>
  <si>
    <t>123</t>
  </si>
  <si>
    <t>VECIANA</t>
  </si>
  <si>
    <t>Pi blanc/ Faig</t>
  </si>
  <si>
    <t>18.6</t>
  </si>
  <si>
    <t>riu Gurri Bayés; Gurri Castany; Gurri Sadurní; Gurri Paré; finques Ajuntament de Vic</t>
  </si>
  <si>
    <t>Vilada</t>
  </si>
  <si>
    <t>95.1</t>
  </si>
  <si>
    <t>Viladecavalls</t>
  </si>
  <si>
    <t>215</t>
  </si>
  <si>
    <t>VILADECAVALLS</t>
  </si>
  <si>
    <t>39.4</t>
  </si>
  <si>
    <t>SIGEA</t>
  </si>
  <si>
    <t>Espai Agroambiental Delta del Llobregat</t>
  </si>
  <si>
    <t>Estany de la Murtra; Riera de Sant Climent; El Remolar-Filipines; Els Reguerons; Filipines Nord o Can Sabadell; Llacunes del Dimoni</t>
  </si>
  <si>
    <t>ENP, ZEC, ZEPA Delta del Llobregat; +zona perifèrica RNP Remolar-Filipines</t>
  </si>
  <si>
    <t>Vilanova del Camí</t>
  </si>
  <si>
    <t>218</t>
  </si>
  <si>
    <t>CAN TITÓ</t>
  </si>
  <si>
    <t>28.6</t>
  </si>
  <si>
    <t>Vilanova de Sau</t>
  </si>
  <si>
    <t>023</t>
  </si>
  <si>
    <t>VILANOVA DE SAU</t>
  </si>
  <si>
    <t>Salt de la Minyona</t>
  </si>
  <si>
    <t>Vallsau</t>
  </si>
  <si>
    <t>86.5</t>
  </si>
  <si>
    <t>Vilobí del Penedès</t>
  </si>
  <si>
    <t>Vilafranca del Penedès</t>
  </si>
  <si>
    <t>Vilalba Sasserra</t>
  </si>
  <si>
    <t>87.2</t>
  </si>
  <si>
    <t>La Talaia</t>
  </si>
  <si>
    <t>Corporació municipal amb òrgan específic de gestió</t>
  </si>
  <si>
    <t xml:space="preserve">CIA. AIGÜES VILANOVA I LA GELTRÚ, SAM             </t>
  </si>
  <si>
    <t>Plajta Llarga</t>
  </si>
  <si>
    <t>3.1</t>
  </si>
  <si>
    <t>Viver i Serrateix</t>
  </si>
  <si>
    <t>022</t>
  </si>
  <si>
    <t>VIVER I SERRATEIX</t>
  </si>
  <si>
    <t>Pantà de Serrateix; Riera de Navel</t>
  </si>
  <si>
    <t>23.4</t>
  </si>
  <si>
    <t>Rupit i Pruit</t>
  </si>
  <si>
    <t>Vilanova del Vallès</t>
  </si>
  <si>
    <t>Céllecs</t>
  </si>
  <si>
    <t>32.3</t>
  </si>
  <si>
    <t>Sant Julià de Cerdanyola</t>
  </si>
  <si>
    <t>99.3</t>
  </si>
  <si>
    <t>Badia del Vallès</t>
  </si>
  <si>
    <t>la Palma de Cervelló</t>
  </si>
  <si>
    <t>Municipal directa</t>
  </si>
  <si>
    <t>min</t>
  </si>
  <si>
    <t>inf 10%</t>
  </si>
  <si>
    <t>max</t>
  </si>
  <si>
    <t>sup 10%</t>
  </si>
  <si>
    <t>sup 40 %</t>
  </si>
  <si>
    <t>caract mpi</t>
  </si>
  <si>
    <t>v</t>
  </si>
  <si>
    <t>Oferta turística total</t>
  </si>
  <si>
    <t>Codi INE municipi</t>
  </si>
  <si>
    <t>Codi municipi</t>
  </si>
  <si>
    <t>Codi comarca corresponent</t>
  </si>
  <si>
    <t>Codi comarca</t>
  </si>
  <si>
    <t>Dades internes del full inicial</t>
  </si>
  <si>
    <t>Font: Pla de gestió de l'aigua de Catalunya (ACA)</t>
  </si>
  <si>
    <t>Font: Barcelona, ciutat i turisme. Document de bases per a un Pacte Local. 2015</t>
  </si>
  <si>
    <t>Distribució d’aportacions prevista</t>
  </si>
  <si>
    <t>Km2</t>
  </si>
  <si>
    <t>Pressupost municipal (€)</t>
  </si>
  <si>
    <t>Població (hab.)</t>
  </si>
  <si>
    <t>Codi municipi INE</t>
  </si>
  <si>
    <t>Superfícies municipal (ha)</t>
  </si>
  <si>
    <t>Dades de PIB desagregades només per als municipis més grans de 5.000 habitants i capitals comarcals.</t>
  </si>
  <si>
    <t>Font: Andrés Sahuquillo Herráiz Rev.R.Acad.Cienc.Exact.Fís.Nat. (Esp), 2009</t>
  </si>
  <si>
    <t>Superfícies comarcal (ha)</t>
  </si>
  <si>
    <t>Població (hab.) comarcal</t>
  </si>
  <si>
    <t>Superfície (ha) comarcal</t>
  </si>
  <si>
    <t>Inundacions</t>
  </si>
  <si>
    <t>Cops de calor</t>
  </si>
  <si>
    <t>Incendis forestals</t>
  </si>
  <si>
    <t>Erosió costa</t>
  </si>
  <si>
    <t>Codi</t>
  </si>
  <si>
    <t>Referència curta</t>
  </si>
  <si>
    <t>Referència complerta</t>
  </si>
  <si>
    <t>Dades inicials</t>
  </si>
  <si>
    <t>Càlcul del cost per àmbit sense canvi climàtic</t>
  </si>
  <si>
    <t>Resultat del cost acumulat per àmbit sense canvi climàtic</t>
  </si>
  <si>
    <t>Projeccions canvi climàtic aplicades</t>
  </si>
  <si>
    <t>Càlcul del cost per àmbit amb canvi climàtic</t>
  </si>
  <si>
    <t>Resultat del cost acumulat per àmbit amb canvi climàtic</t>
  </si>
  <si>
    <t>Resultat del cost acumulat de no actuar a 15 anys per cada àmbit</t>
  </si>
  <si>
    <t>Detall</t>
  </si>
  <si>
    <t>Colors</t>
  </si>
  <si>
    <t>Tipologia de dada</t>
  </si>
  <si>
    <t>Tipologia de notes</t>
  </si>
  <si>
    <t>Fonts</t>
  </si>
  <si>
    <t>aaa</t>
  </si>
  <si>
    <t>Unitat</t>
  </si>
  <si>
    <t>Àmbit on s'utilitza</t>
  </si>
  <si>
    <t>Tipus de sòl</t>
  </si>
  <si>
    <t>Procedència</t>
  </si>
  <si>
    <t>Parc i Jardins de Bcn: Demanar si tenen calculat els costos de la sequera de 2008 sobre el verd urbà.</t>
  </si>
  <si>
    <t xml:space="preserve">Font: Estat de la zona costanera de Catalunya, del Centre Internacional d’Investigació dels recursos costaners del Laboratori d’enginyeria </t>
  </si>
  <si>
    <t>marítima de la Universitat Politècnica de Catalunya. Aspectes metodològics del estudi d'evolució de platges de Barcelona.</t>
  </si>
  <si>
    <t>Increments de volum anuals obtinguts a partir de les taxes d'evolució de la línia de riba per a cada un dels trams de la província de Barcelona durant</t>
  </si>
  <si>
    <t xml:space="preserve"> el període 1995-2004 (la diferència entre la suma dels volums d'erosió i acumulació i l'increment de volum net és a c ausa de la contribució dels trams en equilibri, </t>
  </si>
  <si>
    <t xml:space="preserve">que s'ha considerat que eren els que tenen un X = ±0,2 m) </t>
  </si>
  <si>
    <t>Valor afegit brut (VAB) Subsectors Serveis. 2014 (M€)</t>
  </si>
  <si>
    <t>Valor afegit brut (VAB) Sectors. 2014 (M€)</t>
  </si>
  <si>
    <t>Superfície conreus (ha)</t>
  </si>
  <si>
    <t>Sòl urbanitzat i altres (ha)</t>
  </si>
  <si>
    <t>Superficie total (km2)</t>
  </si>
  <si>
    <t>COMARQUES</t>
  </si>
  <si>
    <t>Hostaleria</t>
  </si>
  <si>
    <t>Act. financeres i assegurances</t>
  </si>
  <si>
    <t>Act. immobiliàries, tècniques i administratives</t>
  </si>
  <si>
    <t>Total Serveis</t>
  </si>
  <si>
    <t>PIB</t>
  </si>
  <si>
    <t>PIB per càpita</t>
  </si>
  <si>
    <t>Índex (Cat=100)</t>
  </si>
  <si>
    <t>Sense vegetació</t>
  </si>
  <si>
    <t>secà</t>
  </si>
  <si>
    <t>regadiu</t>
  </si>
  <si>
    <t>Total Prov. De Barcelona</t>
  </si>
  <si>
    <t>Gasoil C</t>
  </si>
  <si>
    <t>GLP</t>
  </si>
  <si>
    <t>Espècie</t>
  </si>
  <si>
    <t>Núm. peus plantats</t>
  </si>
  <si>
    <t>% de la població total</t>
  </si>
  <si>
    <t>Platanus x acerifolia</t>
  </si>
  <si>
    <t>Cupressus macrocarpa</t>
  </si>
  <si>
    <t>Ligustrum lucidum</t>
  </si>
  <si>
    <t>Font: Pla Director de l'Arbrat de Barcelona 2017 - 2037</t>
  </si>
  <si>
    <t>Nota: arbres més comuns dins l'àrea urbana de Barcelona, sense tenir en compte la Serra de Collserola</t>
  </si>
  <si>
    <t>http://ajuntament.barcelona.cat/ecologiaurbana/sites/default/files/Pla-director-arbrat-barcelona-CAST.pdf</t>
  </si>
  <si>
    <t xml:space="preserve">Indicadors de verd urbà </t>
  </si>
  <si>
    <t>Oferta d'espais verds</t>
  </si>
  <si>
    <t>Oferta d'arbrat viari</t>
  </si>
  <si>
    <t>m2 d'espais verds per habitant</t>
  </si>
  <si>
    <t>Habitants per arbre (viari)</t>
  </si>
  <si>
    <t>Habitants per arbre (en espai verd)</t>
  </si>
  <si>
    <t>Metres lineals de carrers arbrats respecte els metres lineals totals de carrers (%)</t>
  </si>
  <si>
    <t>m2 d'espais verds per m2 de sòl urbà (%)</t>
  </si>
  <si>
    <t>Disposar d'arbrat amb pocs requeriments de manteniment (%)</t>
  </si>
  <si>
    <t>Promoure un ús eficient de l'aigua en els espais verds (%)</t>
  </si>
  <si>
    <t>Arbres podats amb poda de formació respecte el total d'arbres podats de l'arbrat viari</t>
  </si>
  <si>
    <t>m3 totals de consum d'aigua al verd urbà per m3 d'espais verds</t>
  </si>
  <si>
    <t>Arbres podats amb poda de manteniment respecte el total d'arbres podats de l'arbrat viari</t>
  </si>
  <si>
    <t>m2 d'espais verds amb gestió intel·ligent de reg respecte els m2 de superfície regada</t>
  </si>
  <si>
    <t>Arbres podats amb poda de control respecte el total d'arbres podats de l'arbrat viari</t>
  </si>
  <si>
    <t>Servei de qualitat a la ciutadanía (%)</t>
  </si>
  <si>
    <t>Arbrat viari podat respecte al total de l'arbrat viari</t>
  </si>
  <si>
    <t>m2 de millores o acondicionaments en els espais per m2 total</t>
  </si>
  <si>
    <t>Arbres plantats a l'arbrat viari sobre el total de l'arbrat viari</t>
  </si>
  <si>
    <t>Núm. de nens menors de 12 anys per núm. d'àrees de jocs infantils</t>
  </si>
  <si>
    <t>Arbres plantats a l'arbrat viari per substitució de l'espècie sobre el total dels arbres plantats</t>
  </si>
  <si>
    <t>Promoure la responsabilitat ambiental als espais verds (%)</t>
  </si>
  <si>
    <t>Responsabilitat ambiental a l'arbrat viari (%)</t>
  </si>
  <si>
    <t>m2 de superfície tractada amb productes químics fitosanitaris per m2 d'espais verds</t>
  </si>
  <si>
    <t>Escocells tractats amb herbicida respecte el total de l'arbrat viari</t>
  </si>
  <si>
    <t>m2 de superfície tractada amb control biològic actiu per m2 d'espais verds</t>
  </si>
  <si>
    <t>Fomentar la biodiversitat a l'arbrat viari</t>
  </si>
  <si>
    <t>Disposar de vegetació amb pocs requeriments de manteniment (%)</t>
  </si>
  <si>
    <t>Percentatge de les 5espècies més freqüents de l'arbrat viari</t>
  </si>
  <si>
    <t>m2 de gespes sobre el total de m2 d'espais verds</t>
  </si>
  <si>
    <t>Percentatge de baixes d'arbrat sobre el total d'arbrat viari</t>
  </si>
  <si>
    <t>m2 de prats sobre el total de m2 d'espais verds</t>
  </si>
  <si>
    <t>Font: Indicadors de gestió de serveis municipals. Guia d'interpretació del verd urbà, 2017. Diputació de Barcelona</t>
  </si>
  <si>
    <t>m2 d'altres superfícies plantades (mates, arbustos, entapissants, flor) sobre el total de m2 d'espais verds</t>
  </si>
  <si>
    <t>https://www.diba.cat/documents/446869/99305577/Verd-urba.pdf</t>
  </si>
  <si>
    <t>m2 de paviments durs sobre el total de m2 d'espais verds</t>
  </si>
  <si>
    <t>Any 2015</t>
  </si>
  <si>
    <t>Consum (m3)</t>
  </si>
  <si>
    <t>Aigua de pluja</t>
  </si>
  <si>
    <t>Consum total</t>
  </si>
  <si>
    <t>Font: "El consum d'aigua a Barcelona. L'aprofitament i els usos dels recursos hídrics, 2016. Ajuntament de Barcelona</t>
  </si>
  <si>
    <t>http://ajuntament.barcelona.cat/lafabricadelsol/sites/default/files/informe_consum_aigua_2016_70282.pdf</t>
  </si>
  <si>
    <t>Cost del sediment</t>
  </si>
  <si>
    <t xml:space="preserve"> (€/m3)</t>
  </si>
  <si>
    <t>Font: Estudis de dinàmica litoral, defensa i propostes de millora a les platges amb problemes erosius, considerant els efectes del canvi climàtic. Informe tècnic, Centre d'Estudis de Ports i Costes</t>
  </si>
  <si>
    <t>Municipis afectats</t>
  </si>
  <si>
    <t>Inversió prevista (€)</t>
  </si>
  <si>
    <t>Valoració qualitativa</t>
  </si>
  <si>
    <t>Actuacions més significatives</t>
  </si>
  <si>
    <t>Molt greu</t>
  </si>
  <si>
    <t>Restituir l'accés, eliminar l'escollera irregular per millorar la dinàmica litoral i aportació de 20.000m3 de sorra.</t>
  </si>
  <si>
    <t>Recuperar el camí d'accés, protecció litoral amb escollera i moviment i reperfilat de 200m de sorres</t>
  </si>
  <si>
    <t>Conreus herbacis</t>
  </si>
  <si>
    <t>Cereals per a gra</t>
  </si>
  <si>
    <t>Arròs (closca)</t>
  </si>
  <si>
    <t>Conreus farratgers</t>
  </si>
  <si>
    <t>Alfalfals</t>
  </si>
  <si>
    <t>Blat de moro farratger</t>
  </si>
  <si>
    <t>Hortalisses</t>
  </si>
  <si>
    <t>Lleguminoses</t>
  </si>
  <si>
    <t>Conreus industrials</t>
  </si>
  <si>
    <t>Gira-sol</t>
  </si>
  <si>
    <t>Colza</t>
  </si>
  <si>
    <t>Altres herbacis</t>
  </si>
  <si>
    <t>Guarets</t>
  </si>
  <si>
    <t xml:space="preserve">Font: Cens Agrari 2009 </t>
  </si>
  <si>
    <t>Font (Sup. Prov. BCN): IDESCAT 2014</t>
  </si>
  <si>
    <t>Conreus llenyosos</t>
  </si>
  <si>
    <t>Fruiters</t>
  </si>
  <si>
    <t>Perera</t>
  </si>
  <si>
    <t>Presseguer i nectariner</t>
  </si>
  <si>
    <t>Ametller</t>
  </si>
  <si>
    <t>Avellaner</t>
  </si>
  <si>
    <t>Altres fruiters</t>
  </si>
  <si>
    <t>Cítrics</t>
  </si>
  <si>
    <t>Altres llenyosos i vivers</t>
  </si>
  <si>
    <t>Nota:Les superfícies de cítrics, fruita fresca, fruita seca i olivera fan referència a superfícies en producció. No s'inclouen les superfícies de plantacions joves i/o abandonades.</t>
  </si>
  <si>
    <t>m3 sorra aportada</t>
  </si>
  <si>
    <t>Font: Plan litoral 2017, obras de reparación por temporales. Ministerio de Agricultura y Pesca. Alimenación y Medio Ambiente. Tempesta 19-23 gener del 2017</t>
  </si>
  <si>
    <t>Zona costanera (Nom del tram/No)</t>
  </si>
  <si>
    <t>Places d'allotjament</t>
  </si>
  <si>
    <t>Places d'allotjament ocupades</t>
  </si>
  <si>
    <t>Rendibilitat relativa en base l'hotelera</t>
  </si>
  <si>
    <t>Hotel</t>
  </si>
  <si>
    <t>Rural</t>
  </si>
  <si>
    <t>Càmpings</t>
  </si>
  <si>
    <t>Ocupació de places 2014 (%)</t>
  </si>
  <si>
    <t>Hotels</t>
  </si>
  <si>
    <t>Rurals</t>
  </si>
  <si>
    <t>Font: Estadístiques de turisme a Barcelona i comarques_2014</t>
  </si>
  <si>
    <t>Facturació mitjana per plaça ocupada (€)</t>
  </si>
  <si>
    <t>Font: Idescat, a partir de l'Enquesta d'ocupació hotelera de l'INE.</t>
  </si>
  <si>
    <t>Mapas de riesgo inund. (MAGRAMA, 2013)</t>
  </si>
  <si>
    <t>Font: Mapas de riesgo inund. (MAGRAMA, 2013)</t>
  </si>
  <si>
    <r>
      <t>Agència Catalana de l’Aigua (2009).</t>
    </r>
    <r>
      <rPr>
        <i/>
        <sz val="10"/>
        <color theme="1"/>
        <rFont val="Arial"/>
        <family val="2"/>
      </rPr>
      <t xml:space="preserve"> Aigua i canvi climàtic. Diagnosi dels impactes previstos a Catalunya.</t>
    </r>
  </si>
  <si>
    <t>Aigua i CC. Impactes. (ACA, 2009)</t>
  </si>
  <si>
    <t>Font: Aigua i CC. Impactes. (ACA, 2009)</t>
  </si>
  <si>
    <r>
      <t xml:space="preserve">O. Trejo et al, (2005). </t>
    </r>
    <r>
      <rPr>
        <i/>
        <sz val="10"/>
        <color theme="1"/>
        <rFont val="Arial"/>
        <family val="2"/>
      </rPr>
      <t xml:space="preserve">Impacto de la ola de calor del verano de 2003 en la actividad de un servicio de urgèncias hospitalario. </t>
    </r>
    <r>
      <rPr>
        <sz val="10"/>
        <color theme="1"/>
        <rFont val="Arial"/>
        <family val="2"/>
      </rPr>
      <t>Barcelona: Hospital Clínic</t>
    </r>
  </si>
  <si>
    <t>BIBLIOGRAFIA</t>
  </si>
  <si>
    <t>Imp. Ola de calor. (H. Clínic, 2005)</t>
  </si>
  <si>
    <t>CENIT (2015). Sistema d’Avaluació d’Infraestructures del Transport (SAIT). Departament de Territori i Sostenibilitat de Generalitat de Catalunya.</t>
  </si>
  <si>
    <t>Font: Coste tratamiento (Fund. J. Díaz, 2012)</t>
  </si>
  <si>
    <t>PAESC Granollers (MCRIT, 2015)</t>
  </si>
  <si>
    <r>
      <t xml:space="preserve">B. Carreras, O. Biosca (2016) </t>
    </r>
    <r>
      <rPr>
        <i/>
        <sz val="10"/>
        <color theme="1"/>
        <rFont val="Arial"/>
        <family val="2"/>
      </rPr>
      <t>Pla d’Acció per l’Energia Sostenible i el Clima de Granollers.</t>
    </r>
  </si>
  <si>
    <t>Font: PAESC Granollers (MCRIT, 2015)</t>
  </si>
  <si>
    <t>Font</t>
  </si>
  <si>
    <t>Montero, G. y Serrada, R (2013). La situación de los bosques y el sector forestal en España - ISFE 2013. Edit. Sociedad Española de Ciencias Forestales. Lourizán (Pontevedra).</t>
  </si>
  <si>
    <t>Sit. Sector forestal en España (SECF, 2013)</t>
  </si>
  <si>
    <t>Gestió forestal. Cost incendis (Plana, E. 2007)</t>
  </si>
  <si>
    <t>Font: Gestió forestal. Cost incendis (Plana, E. 2007)</t>
  </si>
  <si>
    <t>Cost acumulat sense CC (M€)</t>
  </si>
  <si>
    <t>Hipotesis: increment anual lineal entre 2016 i 2030</t>
  </si>
  <si>
    <t>Coste tratamiento médico (Fund. J. Díaz, 2012)</t>
  </si>
  <si>
    <t>Sist. Aval. Infraestr. Transport  (CENIT, 2015)</t>
  </si>
  <si>
    <t>Periodicitat cíclica onades de calor sense CC</t>
  </si>
  <si>
    <t>Superficie forestal municipal respecte la forestal comarcal (%)</t>
  </si>
  <si>
    <t>Dada municipal</t>
  </si>
  <si>
    <t>Superficie forestal (ha)</t>
  </si>
  <si>
    <t>Rati superficie municipal vs comarcal (%)</t>
  </si>
  <si>
    <t>Sup. forestal cremada/incendi (ha/incendi)</t>
  </si>
  <si>
    <t>Cost total anual (€/any)</t>
  </si>
  <si>
    <t>Cost total acumulat amb CC (M€)</t>
  </si>
  <si>
    <t>Cost acum. no actuar (M€)</t>
  </si>
  <si>
    <t>Cost de la reparació</t>
  </si>
  <si>
    <t>Cost reparació efecte de les tempestes platges casos concrets</t>
  </si>
  <si>
    <t>Cost de reparació de platges a utilitzar (€/m3)</t>
  </si>
  <si>
    <t>Cost sorra de cantera per regeneració de platges</t>
  </si>
  <si>
    <t>Cost sorra marina per regeneració de platges</t>
  </si>
  <si>
    <t>Cost sorra mitjà</t>
  </si>
  <si>
    <t>DIBA: Falta dades municipals o relacions amb dades mitjanes de la província</t>
  </si>
  <si>
    <t>No s'ha trobat dades històriques concretes</t>
  </si>
  <si>
    <t>Idea: Extreure la probabilitat de tenir tempestes</t>
  </si>
  <si>
    <t>DIBA: Ens podríeu enviar el doc sencer del Consorcio Compensación Seguros (no trobat a web)?</t>
  </si>
  <si>
    <t>Vigilar no incloure costos inundacions, perquè seria doble comptabilitat</t>
  </si>
  <si>
    <t xml:space="preserve">DIBA: Falten costos tempestes concretes. </t>
  </si>
  <si>
    <t>Càlcul del cost de no actuar respecte les tempestes</t>
  </si>
  <si>
    <t>Cost altres reparacions: postes elèctrics, etc.</t>
  </si>
  <si>
    <t>Cost tempestes</t>
  </si>
  <si>
    <t>DIBA: Falta decidir: Dues opcions: cost manteniment/reparació o cost indemnitzacions/conseqüències</t>
  </si>
  <si>
    <t>DIBA: Dades municipals o dades ASVICC i de la resta relacions amb dades mitjanes de la província/comarca</t>
  </si>
  <si>
    <t>Sup. regades (ha) - any 2009</t>
  </si>
  <si>
    <t>Superfície Cat. (Ha.)</t>
  </si>
  <si>
    <t>Producció Cat. (t/any)</t>
  </si>
  <si>
    <t>Sup. Prov. BCN (Ha.)</t>
  </si>
  <si>
    <t>Principals conreus Catalunya i província de BCN</t>
  </si>
  <si>
    <t>Comentari: alguns diu dèficit hídric</t>
  </si>
  <si>
    <t>DIBA: Decidir quina dada/subsector interessa =&gt; Sinó total sequera -30% PIB</t>
  </si>
  <si>
    <t>Hip: Increment de reg a 2030 de cada cultiu i progressió des de 2015 lineal</t>
  </si>
  <si>
    <t>i calcul increment del cost de reg per cultiu suposant manteniment de la producció (o VAP del cultiu)</t>
  </si>
  <si>
    <t>Càlcul costos amb canvi climàtic</t>
  </si>
  <si>
    <t>DIBA: Dues opcions: increment de costos de reg o reducció de la producció</t>
  </si>
  <si>
    <t>CACCa)</t>
  </si>
  <si>
    <t>Sup regada (ha)</t>
  </si>
  <si>
    <t>m3 reg/ha</t>
  </si>
  <si>
    <t>Preu de l'aigua al municipi</t>
  </si>
  <si>
    <t>Cost unitari de reg</t>
  </si>
  <si>
    <t>Cost reg (€/m3)</t>
  </si>
  <si>
    <t>Cost unitari</t>
  </si>
  <si>
    <t>Reducció producció agrícola</t>
  </si>
  <si>
    <t>CSCCa)</t>
  </si>
  <si>
    <t>Cost total consum d'energia amb CC</t>
  </si>
  <si>
    <t>Total (€/any)</t>
  </si>
  <si>
    <t>Hipotesis</t>
  </si>
  <si>
    <t>DIBA: Apliquem la reducció al consum total d'energia del sector domèstic (no per fonts energètiques perquè dependria de la proporció d'ús de cada font)</t>
  </si>
  <si>
    <t>DIBA: Usar rati a partir dades municipals consum i preus mitjans per font energètica, més que no tarifes reals que varien cada x mesos</t>
  </si>
  <si>
    <t>Perill climàtic principal</t>
  </si>
  <si>
    <t xml:space="preserve"> +p</t>
  </si>
  <si>
    <t xml:space="preserve"> +T</t>
  </si>
  <si>
    <t xml:space="preserve"> -P</t>
  </si>
  <si>
    <t>Incendis forestals i Cops de calor</t>
  </si>
  <si>
    <t>Escenarios CC España (AEMET)</t>
  </si>
  <si>
    <t>Superfície forestal (ha) comarcal</t>
  </si>
  <si>
    <t>Font: Escenarios CC España (AEMET)</t>
  </si>
  <si>
    <t>Cost acumulat amb CC (M€)</t>
  </si>
  <si>
    <t>Cost acum. no act. (M€)</t>
  </si>
  <si>
    <t>Ingrés acumulat amb CC (M€)</t>
  </si>
  <si>
    <t>Ingrés acumulat sense CC (M€)</t>
  </si>
  <si>
    <t>Ingrés anual sense CC €</t>
  </si>
  <si>
    <t>Cost total acumulat sense CC (M€)</t>
  </si>
  <si>
    <t>Cost anual (M€)</t>
  </si>
  <si>
    <t>Cost de manteniment anual sense CC (€)</t>
  </si>
  <si>
    <t>Cost anual  (M€)</t>
  </si>
  <si>
    <t>Cost total cost no actuar (M€)</t>
  </si>
  <si>
    <t>Cost anual del sediment a reposar (M€)</t>
  </si>
  <si>
    <t>Cost total variació dels sediments necessàris (M€)</t>
  </si>
  <si>
    <t>Font energètica</t>
  </si>
  <si>
    <t>Gas Natural</t>
  </si>
  <si>
    <t>Electricitat AJMENT</t>
  </si>
  <si>
    <t>Electricitat ENLL</t>
  </si>
  <si>
    <t>Benzina*</t>
  </si>
  <si>
    <t>Gasoil*</t>
  </si>
  <si>
    <t>Biodièsel*</t>
  </si>
  <si>
    <t>GLP Propà *</t>
  </si>
  <si>
    <t>GLP Butà *</t>
  </si>
  <si>
    <t xml:space="preserve">Biomassa PÈLLET </t>
  </si>
  <si>
    <t>Biomassa ESTELLA</t>
  </si>
  <si>
    <t>Biomassa LLENYA</t>
  </si>
  <si>
    <t>BiomassaMIX</t>
  </si>
  <si>
    <t>Preu mig tèrmic sense GN</t>
  </si>
  <si>
    <t>Reducció sector domèstic</t>
  </si>
  <si>
    <t>Total (€)</t>
  </si>
  <si>
    <t>Total municipal</t>
  </si>
  <si>
    <t>% sobre la Prov. de Barcelona</t>
  </si>
  <si>
    <t>PIB Turístic municipal estimat (M€)</t>
  </si>
  <si>
    <t xml:space="preserve">Dades de turisme </t>
  </si>
  <si>
    <t>Horta estacional</t>
  </si>
  <si>
    <t>Horta intensiva</t>
  </si>
  <si>
    <t>Fruita</t>
  </si>
  <si>
    <t>Fruita seca (*)</t>
  </si>
  <si>
    <t>Cereals d'hivern</t>
  </si>
  <si>
    <t>Farratges</t>
  </si>
  <si>
    <t>Arròs</t>
  </si>
  <si>
    <t>TIPUS D'EXPLOTACIÓ</t>
  </si>
  <si>
    <t>TIPUS DE BESTIAR</t>
  </si>
  <si>
    <t>DOTACIÓ DIÀRIA</t>
  </si>
  <si>
    <t>l/cap/dia</t>
  </si>
  <si>
    <t>Rotació</t>
  </si>
  <si>
    <t>Cicles / any</t>
  </si>
  <si>
    <t>Ocupació</t>
  </si>
  <si>
    <t>Dies / cap</t>
  </si>
  <si>
    <t>DOTACIÓ ANUAL</t>
  </si>
  <si>
    <r>
      <t>m</t>
    </r>
    <r>
      <rPr>
        <b/>
        <vertAlign val="superscript"/>
        <sz val="8"/>
        <color rgb="FF000000"/>
        <rFont val="Verdana"/>
        <family val="2"/>
      </rPr>
      <t>3</t>
    </r>
    <r>
      <rPr>
        <b/>
        <sz val="8"/>
        <color rgb="FF000000"/>
        <rFont val="Verdana"/>
        <family val="2"/>
      </rPr>
      <t>/plaça/any</t>
    </r>
  </si>
  <si>
    <t>PORCINA</t>
  </si>
  <si>
    <t>Porcí d'engreix</t>
  </si>
  <si>
    <t>Producció porcina</t>
  </si>
  <si>
    <t>Porcí de transició</t>
  </si>
  <si>
    <t>Truges en cicle tancat</t>
  </si>
  <si>
    <t>AVÍCOLA</t>
  </si>
  <si>
    <t>Engreix d'ànecs</t>
  </si>
  <si>
    <t>Engreix de guatlles</t>
  </si>
  <si>
    <t>Engreix de pollastres</t>
  </si>
  <si>
    <t>Engreix de galls dindi</t>
  </si>
  <si>
    <t>Engreix de Perdius</t>
  </si>
  <si>
    <t>Avicultura de posta</t>
  </si>
  <si>
    <t>Pollets de recria</t>
  </si>
  <si>
    <t>BOVINA</t>
  </si>
  <si>
    <t>Cria de boví</t>
  </si>
  <si>
    <t>Engreix de vedells</t>
  </si>
  <si>
    <t>Vaques alletants</t>
  </si>
  <si>
    <t>Boví de llet</t>
  </si>
  <si>
    <t>Vedelles de reposició</t>
  </si>
  <si>
    <t>OVINA</t>
  </si>
  <si>
    <t>Oví d'engreix</t>
  </si>
  <si>
    <t>Ovelles de reproducció</t>
  </si>
  <si>
    <t>Ovelles de reposició</t>
  </si>
  <si>
    <t>DE CABRUM</t>
  </si>
  <si>
    <t>Cabrum de reproducció</t>
  </si>
  <si>
    <t>Cabrum de reposició</t>
  </si>
  <si>
    <t>Cabrum de sacrifici</t>
  </si>
  <si>
    <t>EQUINA</t>
  </si>
  <si>
    <t>Bestiar equí</t>
  </si>
  <si>
    <t>CONILLS</t>
  </si>
  <si>
    <t>Producció de conills</t>
  </si>
  <si>
    <t>Font: Pla de gestió del districte de conca fluvial de Catalunya per al període 2016-2021.</t>
  </si>
  <si>
    <t>DIBA: opció reducció de la producció (= VAB)</t>
  </si>
  <si>
    <t>Ingrés anual (M€)</t>
  </si>
  <si>
    <t>Reducció producció agrícola (%)</t>
  </si>
  <si>
    <t>SAU (ha)</t>
  </si>
  <si>
    <t xml:space="preserve">DIBA: Opció increment de costos de reg </t>
  </si>
  <si>
    <t xml:space="preserve">Producció final agràfia (M€) </t>
  </si>
  <si>
    <t>Agrícola</t>
  </si>
  <si>
    <t>Patates</t>
  </si>
  <si>
    <t>Olives</t>
  </si>
  <si>
    <t>Oli d'oliva</t>
  </si>
  <si>
    <t>Altres productes vegetals</t>
  </si>
  <si>
    <t>Plantes ferratferes</t>
  </si>
  <si>
    <t>Vi i most</t>
  </si>
  <si>
    <t>Fruita seca</t>
  </si>
  <si>
    <t>Raïm</t>
  </si>
  <si>
    <t>Plantes i flors</t>
  </si>
  <si>
    <t>Cereals</t>
  </si>
  <si>
    <t>Fruita fresca</t>
  </si>
  <si>
    <t>Producció de serveis de l'agricultura</t>
  </si>
  <si>
    <t>Ramader</t>
  </si>
  <si>
    <t>Porquí</t>
  </si>
  <si>
    <t>Equí</t>
  </si>
  <si>
    <t>Oví i cabrum</t>
  </si>
  <si>
    <t>Conill</t>
  </si>
  <si>
    <t>Ous</t>
  </si>
  <si>
    <t>Llet</t>
  </si>
  <si>
    <t>Boví</t>
  </si>
  <si>
    <t>Aviram</t>
  </si>
  <si>
    <t>Altres productes ramaders</t>
  </si>
  <si>
    <t>Activitats secundàries no agràries</t>
  </si>
  <si>
    <t>Plantes industrials</t>
  </si>
  <si>
    <t>Font: Dept. d'Agricultura, Ramaderia i Pesca (DARP); Gabinet tècnic i d'estudis sectorials, Generalitat de Catalunya</t>
  </si>
  <si>
    <t>Reducció producció ramadera (%)</t>
  </si>
  <si>
    <t>Ingrés anual ramader (M€)</t>
  </si>
  <si>
    <t>Opció A: Per reg</t>
  </si>
  <si>
    <t>Hip: reducció líneal del PIB agràri del 30%</t>
  </si>
  <si>
    <t>Ingés anual Agrícola (M€)</t>
  </si>
  <si>
    <t>Superfície (ha)</t>
  </si>
  <si>
    <t>DADES DE PARTIDA MUNICIPALS A CONFIRMAR</t>
  </si>
  <si>
    <t>Dades forestals</t>
  </si>
  <si>
    <t>Dades de consum d'aigua</t>
  </si>
  <si>
    <t>Proporció del verd urbà en el pressupost municipal</t>
  </si>
  <si>
    <t>Dades d'atenció sanitària per onades de calor</t>
  </si>
  <si>
    <r>
      <t>Sòl residencial (m</t>
    </r>
    <r>
      <rPr>
        <vertAlign val="superscript"/>
        <sz val="10"/>
        <color theme="1"/>
        <rFont val="Arial"/>
        <family val="2"/>
      </rPr>
      <t>2</t>
    </r>
    <r>
      <rPr>
        <sz val="10"/>
        <color theme="1"/>
        <rFont val="Arial"/>
        <family val="2"/>
      </rPr>
      <t>)</t>
    </r>
  </si>
  <si>
    <r>
      <t>Sòl industrial (m</t>
    </r>
    <r>
      <rPr>
        <vertAlign val="superscript"/>
        <sz val="10"/>
        <color theme="1"/>
        <rFont val="Arial"/>
        <family val="2"/>
      </rPr>
      <t>2</t>
    </r>
    <r>
      <rPr>
        <sz val="10"/>
        <color theme="1"/>
        <rFont val="Arial"/>
        <family val="2"/>
      </rPr>
      <t>)</t>
    </r>
  </si>
  <si>
    <t>Dades del pressupost de verd urbà</t>
  </si>
  <si>
    <t>Dades generals del municipi</t>
  </si>
  <si>
    <t>Dades generals de la comarca</t>
  </si>
  <si>
    <r>
      <t>Volum d'aigua consumida domèstic (xarxa) (m</t>
    </r>
    <r>
      <rPr>
        <vertAlign val="superscript"/>
        <sz val="10"/>
        <color theme="1"/>
        <rFont val="Arial"/>
        <family val="2"/>
      </rPr>
      <t>3</t>
    </r>
    <r>
      <rPr>
        <sz val="10"/>
        <color theme="1"/>
        <rFont val="Arial"/>
        <family val="2"/>
      </rPr>
      <t>/any)</t>
    </r>
  </si>
  <si>
    <r>
      <t>Volum d'aigua consumida activitats econòmiques (xarxa+fonts pròpies) (m</t>
    </r>
    <r>
      <rPr>
        <vertAlign val="superscript"/>
        <sz val="10"/>
        <color theme="1"/>
        <rFont val="Arial"/>
        <family val="2"/>
      </rPr>
      <t>3</t>
    </r>
    <r>
      <rPr>
        <sz val="10"/>
        <color theme="1"/>
        <rFont val="Arial"/>
        <family val="2"/>
      </rPr>
      <t>/any)</t>
    </r>
  </si>
  <si>
    <t>Fatalitats o morts majors de 75 anys</t>
  </si>
  <si>
    <t>Fatalitats o morts &gt;75 anys</t>
  </si>
  <si>
    <t xml:space="preserve">DIBA: Dada municipal consum d'energia final per sectors del PAESC en curs o dada ASVICC total elèctric i total energètic altres i % per sectors AMB. </t>
  </si>
  <si>
    <t>Fon energètica</t>
  </si>
  <si>
    <t>Preu total (€/kWh)</t>
  </si>
  <si>
    <t xml:space="preserve">Total </t>
  </si>
  <si>
    <t>PIB total (M€)</t>
  </si>
  <si>
    <t>PIB del turisme  (%)</t>
  </si>
  <si>
    <t>Tipus de places</t>
  </si>
  <si>
    <t>Allotjaments del municipi</t>
  </si>
  <si>
    <t>Allotjaments del província de BCN</t>
  </si>
  <si>
    <t>Proporció respecte hoteleres</t>
  </si>
  <si>
    <t>Proporció PIB turístic</t>
  </si>
  <si>
    <t>PIB turístic</t>
  </si>
  <si>
    <t>Dotació comarcal (m3/ha·any)</t>
  </si>
  <si>
    <t>Nota: Taxa d'evolució negativa (perduà de sorres) i positiva (acumulació de sorres)</t>
  </si>
  <si>
    <t>DIBA: Proposta utilitzar el cost mitjà de tots els casos, no només aportació de sorres sinó considerar sorres + reparacions</t>
  </si>
  <si>
    <t>Ramaderia</t>
  </si>
  <si>
    <t>Nomenclatura</t>
  </si>
  <si>
    <t>Estructura dels càlculs</t>
  </si>
  <si>
    <t>Tipologia de dades</t>
  </si>
  <si>
    <t>Dades de sòl inundable per període de retorn (T)</t>
  </si>
  <si>
    <t>Consum d'energia per sectors i fonts energètiques</t>
  </si>
  <si>
    <t xml:space="preserve"> + M</t>
  </si>
  <si>
    <t>Càlcul cost acumulat de no actuar contra la variació de la demanda d'energia</t>
  </si>
  <si>
    <t>Ciutat BCN</t>
  </si>
  <si>
    <t>Abastament de l'aigua municipal domèstica per fonts</t>
  </si>
  <si>
    <t>Càlcul del cost de no actuar respecte el valor ecosistèmic del forestal</t>
  </si>
  <si>
    <t>Sup forestal</t>
  </si>
  <si>
    <t>Sup forestal (ha)</t>
  </si>
  <si>
    <t>Bolets (kg/ha·any)</t>
  </si>
  <si>
    <t>VAB forestal (M€)</t>
  </si>
  <si>
    <t>VAB forestal Catalunya (M€)</t>
  </si>
  <si>
    <t>Proporció del VAB per sectors</t>
  </si>
  <si>
    <t>Fusta</t>
  </si>
  <si>
    <t>Bolets</t>
  </si>
  <si>
    <t>Llenya</t>
  </si>
  <si>
    <t>Tòfona</t>
  </si>
  <si>
    <t>Pinya</t>
  </si>
  <si>
    <t>Suro</t>
  </si>
  <si>
    <t>Font: DARP 2009</t>
  </si>
  <si>
    <t>Valor econòmic del bosc</t>
  </si>
  <si>
    <t>DIBA: Manca el VAB forestal per municipi</t>
  </si>
  <si>
    <t>Preu mitjà dels bolets (€/kg)</t>
  </si>
  <si>
    <t>Increment de la taxa mortalitat alzina i pi amb el CC</t>
  </si>
  <si>
    <t>Increment evapotranspiració alzina i pi amb el CC</t>
  </si>
  <si>
    <t>DIBA: Manca  previsió increment tempestes TCA amb CC</t>
  </si>
  <si>
    <t>Es disposa de:</t>
  </si>
  <si>
    <t>DIBA, CREAF: Manca relació amb els valors econòmics dels ecosistemes forestals</t>
  </si>
  <si>
    <t>DEFINICIÓ</t>
  </si>
  <si>
    <t>Des de la Diputació de Barcelona s'han recopilat moltes dades per avaluar la vulnerabilitat</t>
  </si>
  <si>
    <t>a escala municipal, la major part de les quals provenen de terceres administracions;</t>
  </si>
  <si>
    <t>en aquest sentit, hi ha dades que només es poden obtenir dels ajuntaments.</t>
  </si>
  <si>
    <t>LLEGENDA</t>
  </si>
  <si>
    <t>Cel·les a omplir per l'Ajuntament</t>
  </si>
  <si>
    <t>Cel·les autoomplertes (comprovar que són correctes)</t>
  </si>
  <si>
    <t>SD  / NA</t>
  </si>
  <si>
    <t xml:space="preserve">Sense dades </t>
  </si>
  <si>
    <r>
      <rPr>
        <b/>
        <u/>
        <sz val="11"/>
        <rFont val="Calibri"/>
        <family val="2"/>
      </rPr>
      <t>no</t>
    </r>
    <r>
      <rPr>
        <sz val="11"/>
        <rFont val="Calibri"/>
        <family val="2"/>
      </rPr>
      <t xml:space="preserve"> esborrar aquestes cel·les. Són necessàries pels càlculs</t>
    </r>
  </si>
  <si>
    <t xml:space="preserve">L'objectiu d'aquesta eina és que sigui àgil per tal d'analitzar totes les dades necessàries </t>
  </si>
  <si>
    <t>INSTRUCCIONS per acabar d'omplir el check list inicial</t>
  </si>
  <si>
    <t>Pressupost de verd urbà (€)</t>
  </si>
  <si>
    <t>Any 2014</t>
  </si>
  <si>
    <t>Secà</t>
  </si>
  <si>
    <t>Regadiu</t>
  </si>
  <si>
    <t>Pastures permanents</t>
  </si>
  <si>
    <t>Total llaurades = secà + regadiu</t>
  </si>
  <si>
    <t>2. Comprovar que les dades facilitades per defecte (cel·les en color verd claret) corresponents amb la realitat del municipi</t>
  </si>
  <si>
    <t>Dades de partida a entrar per l'usuari</t>
  </si>
  <si>
    <t>Dades de partida automàtiques a comprovar (entrar la dada per defecte de l'ASVICC)</t>
  </si>
  <si>
    <r>
      <t>Volum d'aigua consumida total (m</t>
    </r>
    <r>
      <rPr>
        <vertAlign val="superscript"/>
        <sz val="10"/>
        <color theme="1"/>
        <rFont val="Arial"/>
        <family val="2"/>
      </rPr>
      <t>3</t>
    </r>
    <r>
      <rPr>
        <sz val="10"/>
        <color theme="1"/>
        <rFont val="Arial"/>
        <family val="2"/>
      </rPr>
      <t>/any)</t>
    </r>
  </si>
  <si>
    <t>Existència de verd urbà gestionat municipalment</t>
  </si>
  <si>
    <t>Any xxx</t>
  </si>
  <si>
    <t>Fonts energètiques</t>
  </si>
  <si>
    <t>i si cal substituir-les o completar-les amb dades més acurades, substituint també a mà l'any de la dada.</t>
  </si>
  <si>
    <r>
      <t xml:space="preserve">3. Veure els costos de no actuar acumulats a 15 anys al full </t>
    </r>
    <r>
      <rPr>
        <b/>
        <sz val="11"/>
        <color theme="0" tint="-0.499984740745262"/>
        <rFont val="Calibri"/>
        <family val="2"/>
        <scheme val="minor"/>
      </rPr>
      <t>"B. Resultats".</t>
    </r>
  </si>
  <si>
    <t>Altres dades de partida</t>
  </si>
  <si>
    <t>DIBA: No s'ha considerat l'increment IPC energètic</t>
  </si>
  <si>
    <t>Increment refrigeració</t>
  </si>
  <si>
    <t>Zona climàtica principal</t>
  </si>
  <si>
    <t>Proporció de calefacció en el consum domèstic anual</t>
  </si>
  <si>
    <t>Proporció de refrigeració en el consum domèstic anual</t>
  </si>
  <si>
    <t>Reducció calefacció a 2100</t>
  </si>
  <si>
    <t>Increment refrigeració a 2100</t>
  </si>
  <si>
    <t>PIB del turisme (M€)</t>
  </si>
  <si>
    <t>DIBA-Turisme: Dada PIB turístic prov Bcn??</t>
  </si>
  <si>
    <t>No usar, pq interessa més el cost municipal que pel ciutadà</t>
  </si>
  <si>
    <t>Dotació de reg agrícola (m3/ha/any)</t>
  </si>
  <si>
    <t>Boscos</t>
  </si>
  <si>
    <t>Bosquines</t>
  </si>
  <si>
    <t>Distribució general de la superfície de Catalunya 2016.</t>
  </si>
  <si>
    <t>http://agricultura.gencat.cat/web/.content/de_departament/de02_estadistiques_observatoris/02_estructura_i_produccio/00_distribucio_general_superficie_catalunya/documents/fitxers_estatics/Distrib-sol-2016-DEFINITIU.pdf</t>
  </si>
  <si>
    <t>IDESCAT 2016</t>
  </si>
  <si>
    <t>Servei de Prevenció d'Incendis Forestals (2006-2016)</t>
  </si>
  <si>
    <t>D. 1/2017 de 3 de gener - Pla de gestió del districte fluvial de Catalunya per al període 2016-2021</t>
  </si>
  <si>
    <t>IDESCAT 2009 a partir de les dades del Cens agrari de l'INE</t>
  </si>
  <si>
    <t>Descripció</t>
  </si>
  <si>
    <t>Enllaç</t>
  </si>
  <si>
    <t>17-23</t>
  </si>
  <si>
    <t>https://www.idescat.cat/pub/?id=aec&amp;n=249</t>
  </si>
  <si>
    <t>27-29</t>
  </si>
  <si>
    <t>31-39</t>
  </si>
  <si>
    <t>http://portaljuridic.gencat.cat/ca/pjur_ocults/pjur_resultats_fitxa/?action=fitxa&amp;documentId=770822&amp;language=ca_ES&amp;textWords=decret%25201%2F2017&amp;mode=single</t>
  </si>
  <si>
    <t>41-45</t>
  </si>
  <si>
    <t>http://www.idescat.cat/pub/?id=aec&amp;n=424</t>
  </si>
  <si>
    <t>Columna</t>
  </si>
  <si>
    <t>Informació sobre les fonts columna BD Comarcal</t>
  </si>
  <si>
    <t>Estadística sobre superfícies ocupades pels conreus agrícoles. Departament d'Agricultura, Ramaderia, Pesca I Alimentació. Generalitat de Catalunya. 2016</t>
  </si>
  <si>
    <t>Idescat. Padró municipal d'habitants; Institut Cartogràfic de Catalunya. 2016</t>
  </si>
  <si>
    <t>Servei de Prevenció d'Incendis Forestals. Període 2006-2016</t>
  </si>
  <si>
    <t>DECRET 1/2017, de 3 de gener, pel qual s'aprova el Pla de gestió del districte de conca fluvial de Catalunya per al període 2016-2021.</t>
  </si>
  <si>
    <t>Idescat, a partir de dades del Cens agrari de l'INE.</t>
  </si>
  <si>
    <t>http://ajuntament.barcelona.cat/barcelonaeconomia/sites/default/files/PIB_BCN_2010_2014_Mar%C3%A7%202016.pdf</t>
  </si>
  <si>
    <t>Font dades Ciutat BCN : El producte interior brut de Barcelona 2010-2014</t>
  </si>
  <si>
    <t>Font dades província BCN : Programa HERMES. Diputació de Barcelona</t>
  </si>
  <si>
    <t>http://www.diba.cat/hg2/presentacioprov.asp?prid=1234</t>
  </si>
  <si>
    <t>http://empresa.gencat.cat/web/.content/20_-_turisme/coneixement_i_planificacio/recerca_i_estudis/documents/arxius/doc_13290732_1.pdf</t>
  </si>
  <si>
    <t>PIB Catalunya (M€) 2008</t>
  </si>
  <si>
    <t xml:space="preserve">Font: Estimació del PIB turístic per Catalunya, marques i comarques 2005 - 2008. Observatori de Turisme </t>
  </si>
  <si>
    <t>Dades PIB per comarca 2008: IDESCAT</t>
  </si>
  <si>
    <t xml:space="preserve">Dades PIB Catalunya 2008: </t>
  </si>
  <si>
    <t>https://www.datosmacro.com/pib/espana-comunidades-autonomas/cataluna?anio=2008</t>
  </si>
  <si>
    <t>https://www.idescat.cat/pub/?id=aec&amp;n=358&amp;t=2008</t>
  </si>
  <si>
    <t>Any 2008</t>
  </si>
  <si>
    <t>Any 2016</t>
  </si>
  <si>
    <t>Any de les dades</t>
  </si>
  <si>
    <t>Fonts PIB Bcn i prov Bcn</t>
  </si>
  <si>
    <t>Proporció PIB turístic comarcal a aplicar</t>
  </si>
  <si>
    <t>PIB turístic (M€)</t>
  </si>
  <si>
    <t>Proporció del PIB turístic (%)</t>
  </si>
  <si>
    <t>Proporció del PIB del turisme  (%)</t>
  </si>
  <si>
    <t>Barcelona sud</t>
  </si>
  <si>
    <t>ALT PENEDÈS-GARRAF</t>
  </si>
  <si>
    <t>Barcelonès nord</t>
  </si>
  <si>
    <t>BARCELONÈS NORD I MARESME</t>
  </si>
  <si>
    <t>VALLÈS ORIENTAL</t>
  </si>
  <si>
    <t>Barcelona ciutat</t>
  </si>
  <si>
    <t xml:space="preserve">BARCELONA CIUTAT </t>
  </si>
  <si>
    <t>Catalunya central</t>
  </si>
  <si>
    <t>OSONA</t>
  </si>
  <si>
    <t>SOLSONÈS-BAGES-BERGUEDÀ</t>
  </si>
  <si>
    <t>Regió assistencial</t>
  </si>
  <si>
    <t>Regió sanitària</t>
  </si>
  <si>
    <t>Font: Informe de l'activitat notificada al registre del conjunt mínim bàsic de dades d'atenció primària (CMBD - AP). Any 2014, Servei Català de la Salut</t>
  </si>
  <si>
    <t>http://catsalut.gencat.cat/web/.content/minisite/catsalut/proveidors_professionals/registres_catalegs/registres/cmbd/informes_anuals/cmbd_ap_2014.pdf</t>
  </si>
  <si>
    <t>http://catsalut.gencat.cat/web/.content/minisite/catsalut/proveidors_professionals/registres_catalegs/registres/cmbd/informes_anuals/cmbd_2014.pdf</t>
  </si>
  <si>
    <t>Font: Activitat assistencial de la xarxa sanitària de Catalunya. Any 2014. Registre del conjunt mínim bàsic de dades (CMDB). Servei Català de Salut</t>
  </si>
  <si>
    <t>Idescat</t>
  </si>
  <si>
    <t>Defuncions (anual)</t>
  </si>
  <si>
    <t>http://www.idescat.cat/pub/?id=def&amp;n=274&amp;t=201400&amp;col=3&amp;by=mun</t>
  </si>
  <si>
    <t xml:space="preserve">Font: Idescat 2014. Defuncions per municipi i mes </t>
  </si>
  <si>
    <t>C2</t>
  </si>
  <si>
    <t>D1</t>
  </si>
  <si>
    <t>D2</t>
  </si>
  <si>
    <t>E1</t>
  </si>
  <si>
    <r>
      <rPr>
        <b/>
        <sz val="10"/>
        <color theme="1"/>
        <rFont val="Arial"/>
        <family val="2"/>
      </rPr>
      <t>Problemes de salut mitjana mensual:</t>
    </r>
    <r>
      <rPr>
        <sz val="10"/>
        <color theme="1"/>
        <rFont val="Arial"/>
        <family val="2"/>
      </rPr>
      <t xml:space="preserve"> en termes d'urgències, hospitalitzacions i morts</t>
    </r>
  </si>
  <si>
    <t>Mitjana mensual</t>
  </si>
  <si>
    <t>Superficie forestal municipal (ha)</t>
  </si>
  <si>
    <t>Rati superficie forestal municipal (%)</t>
  </si>
  <si>
    <t>Incendis/any al municipi (mitjana 16 anys: 1997-2013)</t>
  </si>
  <si>
    <t>Superficie forestal municipal cremada anual (mitjana ha/any)</t>
  </si>
  <si>
    <t>Cost total per hectària cremanda</t>
  </si>
  <si>
    <t>DIBA: L'estudi NWRM (Nat. Wtaer Retention Measures) disposa de dades €/ha·any d'inversió en noves zones verdes i operació i mantenim  per països, entre 2012 i 2030, però no ho veiem aplicable aquí perquè són àrees de nova creació</t>
  </si>
  <si>
    <t>DIBA: Sol·licitud costos manteniment Parcs i Jardins de Bcn any mitjà i any de sequera. Esperant resposta</t>
  </si>
  <si>
    <t xml:space="preserve">CREAF: Falta la superfície forestal per tipologia. Existeix mapa de cobertes de sòl en SIG de cada zona, sol·licitat excel per municipis. Esperant resposta. </t>
  </si>
  <si>
    <t>Any 2100</t>
  </si>
  <si>
    <t>Any 2030</t>
  </si>
  <si>
    <t>D2 i D1</t>
  </si>
  <si>
    <t>Reducció consum total a 2030</t>
  </si>
  <si>
    <t>Calculat mitjançant les dues coses combinades</t>
  </si>
  <si>
    <t>Reducció de calefacció</t>
  </si>
  <si>
    <t>Increment de refrigeració</t>
  </si>
  <si>
    <t>PIB total</t>
  </si>
  <si>
    <t>Percentatge PIB turístic</t>
  </si>
  <si>
    <t xml:space="preserve">Estimació del PIB turístic per Catalunya, marques i comarques 2005 - 2008. Observatori de Turisme </t>
  </si>
  <si>
    <t>Solsonès</t>
  </si>
  <si>
    <t>Hospitalitzacions/any</t>
  </si>
  <si>
    <t>Hospitalitzacions &gt;75 anys</t>
  </si>
  <si>
    <t>Urgències/1.000 hab</t>
  </si>
  <si>
    <t>BAIX LLOBREGAT NORD</t>
  </si>
  <si>
    <t>VALLÈS OCCIDENTAL EST</t>
  </si>
  <si>
    <t>VALLÈS OCCIDENTAL OEST</t>
  </si>
  <si>
    <t>Existència de dades municipals</t>
  </si>
  <si>
    <t>Dades incendis comarca corresponent</t>
  </si>
  <si>
    <t>Incendis/any a la comarca (mitjana 10 anys: 2006-2016)</t>
  </si>
  <si>
    <t>Superficie forestal comarcal cremada anual (mitjana ha/any)</t>
  </si>
  <si>
    <t>Dada d'incendis escollida</t>
  </si>
  <si>
    <t>Condicional dades incendis (col 112)</t>
  </si>
  <si>
    <t>Superfície forestal comarcal (ha)</t>
  </si>
  <si>
    <t>Rati de superficie forestal (%)</t>
  </si>
  <si>
    <t>ASVICC: Dada municipal d'incendis històrics 1997-2013. Cal fer la mitjana.</t>
  </si>
  <si>
    <t>Incendis/any (mitjana 16 anys: 1997-2013)</t>
  </si>
  <si>
    <t>Sup. forestal cremada/incendi (ha/incendi) (mitjana 16 anys)</t>
  </si>
  <si>
    <t>Població per regió sanitària</t>
  </si>
  <si>
    <t>Població per regió assistencial</t>
  </si>
  <si>
    <t>BAIX LLOBREGAT CENTRE-LITORAL I L'HOSPITALET DE LL.</t>
  </si>
  <si>
    <t>Regió assistencial agrupada</t>
  </si>
  <si>
    <t>BAIX LLOBREGAT TOT I L'HOSPITALET DE LL.</t>
  </si>
  <si>
    <t>VALLÈS OCCIDENTAL TOT</t>
  </si>
  <si>
    <t>DIBA: Hi ha comarques que formen part de vàries Regions Assistencials, per això s'han reagrupat en comarques senceres</t>
  </si>
  <si>
    <t>Reagrupació de Regions assistencials amb comarques senceres</t>
  </si>
  <si>
    <t xml:space="preserve">Separació per comarques </t>
  </si>
  <si>
    <t>Població comarca</t>
  </si>
  <si>
    <t>Població per regió assistencial agrupada</t>
  </si>
  <si>
    <t>Proporció de municipis de cada comarque pertanyents a cada zona climàtica</t>
  </si>
  <si>
    <t>Valor a aplicar l'any 2030</t>
  </si>
  <si>
    <t>Electricitat (kWh/any)</t>
  </si>
  <si>
    <t>Gas natural (kWh/any)</t>
  </si>
  <si>
    <t>Gasoil (kWh/any)</t>
  </si>
  <si>
    <t>GLP (kWh/any)</t>
  </si>
  <si>
    <t>Electricitat (€/any)</t>
  </si>
  <si>
    <t>Gas natural (€/any)</t>
  </si>
  <si>
    <t>Gasoil (€/any)</t>
  </si>
  <si>
    <t>GLP (€/any)</t>
  </si>
  <si>
    <t>Consum d'energia domèstic</t>
  </si>
  <si>
    <t>Consum d'energia domèstic (kWh/any)</t>
  </si>
  <si>
    <t>DIBA: Dades IDESCAT per regió sanitària (vegeu BD Altres)</t>
  </si>
  <si>
    <t>Dades de productivitat del turisme =&gt; PIB turístic</t>
  </si>
  <si>
    <t>Consum domèstic</t>
  </si>
  <si>
    <t>Font: Uche y Valero (2002)</t>
  </si>
  <si>
    <t xml:space="preserve">Taula 6 </t>
  </si>
  <si>
    <t>X0 i  C0</t>
  </si>
  <si>
    <t>X0 i CO</t>
  </si>
  <si>
    <t>Dades de productivitat de l'agricultura =&gt; PIB</t>
  </si>
  <si>
    <t>PIB municipal Agrícola (M€)</t>
  </si>
  <si>
    <t>DIBA: Assumim PIB agricultura ASVICC = PIB agrícola (agricultura+ramaderia+pesca)</t>
  </si>
  <si>
    <t>Dades de productivitat de la ramaderia =&gt; PIB</t>
  </si>
  <si>
    <t>X0 i C0</t>
  </si>
  <si>
    <t>Proporció del VAB agrícola català per subsectors</t>
  </si>
  <si>
    <t>Nota: L'ACA no disposa de dades d'inundacions  per municipis utilitzables</t>
  </si>
  <si>
    <r>
      <t xml:space="preserve">MAGRAMA (2013). </t>
    </r>
    <r>
      <rPr>
        <i/>
        <sz val="10"/>
        <color theme="1"/>
        <rFont val="Arial"/>
        <family val="2"/>
      </rPr>
      <t>Propuesta de mínimos para la metodología de realización de los mapas de riesgo de inundación</t>
    </r>
    <r>
      <rPr>
        <sz val="10"/>
        <color theme="1"/>
        <rFont val="Arial"/>
        <family val="2"/>
      </rPr>
      <t>.</t>
    </r>
  </si>
  <si>
    <r>
      <t xml:space="preserve">I.Auñón et al (2012). </t>
    </r>
    <r>
      <rPr>
        <i/>
        <sz val="10"/>
        <color theme="1"/>
        <rFont val="Arial"/>
        <family val="2"/>
      </rPr>
      <t xml:space="preserve">Análisis del coste del tratamiento del paciente politraumatizado en un hospital de referencia en España. </t>
    </r>
    <r>
      <rPr>
        <sz val="10"/>
        <color theme="1"/>
        <rFont val="Arial"/>
        <family val="2"/>
      </rPr>
      <t>Servicio de Cirugía Ortopédica y Traumatología, Fundación Jiménez Díaz, Madrid, ELSEVIER Cirugía Española Vol.90. Núm.9. Noviembre 2012.</t>
    </r>
  </si>
  <si>
    <t>Plana, E, Mavsar; R &amp; Tous C. (2007) “La gestió forestal com a eina per a la prevenció d’incendis: anàlisi de cost-eficiència i de gestió del risc de grans incendis forestals”</t>
  </si>
  <si>
    <r>
      <t xml:space="preserve">Agencia Estatal de Meteorología (2009). </t>
    </r>
    <r>
      <rPr>
        <i/>
        <sz val="10"/>
        <color theme="1"/>
        <rFont val="Arial"/>
        <family val="2"/>
      </rPr>
      <t>Generación de escenarios regionalizados de Cambio climàtico para España.</t>
    </r>
  </si>
  <si>
    <r>
      <t xml:space="preserve">i poder fer una </t>
    </r>
    <r>
      <rPr>
        <b/>
        <sz val="16"/>
        <color theme="9" tint="-0.249977111117893"/>
        <rFont val="Calibri"/>
        <family val="2"/>
        <scheme val="minor"/>
      </rPr>
      <t>avaluació del cost de no actuar</t>
    </r>
    <r>
      <rPr>
        <sz val="11"/>
        <rFont val="Calibri"/>
        <family val="2"/>
        <scheme val="minor"/>
      </rPr>
      <t xml:space="preserve"> davant els efectes del canvi climàtic al municipi.</t>
    </r>
  </si>
  <si>
    <t>Àmbit</t>
  </si>
  <si>
    <t>Indicador</t>
  </si>
  <si>
    <r>
      <rPr>
        <b/>
        <sz val="11"/>
        <rFont val="Calibri"/>
        <family val="2"/>
      </rPr>
      <t>1. Anar al full</t>
    </r>
    <r>
      <rPr>
        <sz val="11"/>
        <color indexed="23"/>
        <rFont val="Calibri"/>
        <family val="2"/>
      </rPr>
      <t xml:space="preserve"> </t>
    </r>
    <r>
      <rPr>
        <b/>
        <sz val="11"/>
        <color indexed="23"/>
        <rFont val="Calibri"/>
        <family val="2"/>
      </rPr>
      <t>"A. Dades de partida"</t>
    </r>
    <r>
      <rPr>
        <sz val="11"/>
        <color indexed="23"/>
        <rFont val="Calibri"/>
        <family val="2"/>
      </rPr>
      <t xml:space="preserve"> i </t>
    </r>
    <r>
      <rPr>
        <b/>
        <sz val="11"/>
        <rFont val="Calibri"/>
        <family val="2"/>
      </rPr>
      <t>triar el nostre municipi</t>
    </r>
    <r>
      <rPr>
        <sz val="11"/>
        <rFont val="Calibri"/>
        <family val="2"/>
      </rPr>
      <t xml:space="preserve"> </t>
    </r>
    <r>
      <rPr>
        <b/>
        <sz val="11"/>
        <color indexed="23"/>
        <rFont val="Calibri"/>
        <family val="2"/>
      </rPr>
      <t>a la cel·la C7</t>
    </r>
    <r>
      <rPr>
        <b/>
        <sz val="11"/>
        <rFont val="Calibri"/>
        <family val="2"/>
      </rPr>
      <t xml:space="preserve"> i completar les dades que manquen (cel·les en color lila claret)</t>
    </r>
  </si>
  <si>
    <t>COST ACUMULAT DE NO ACTUAR CONTRA EL CANVI CLIMÀTIC (CNACC)</t>
  </si>
  <si>
    <t>Salut</t>
  </si>
  <si>
    <t>Aigua</t>
  </si>
  <si>
    <t>Nota: El municipi haurà de completar les dades en lila, indicant l'any de la dada i confirmar les dades en verd</t>
  </si>
  <si>
    <t>M€: Milions d'euros</t>
  </si>
  <si>
    <t>Despesa energètica del sector domèstic</t>
  </si>
  <si>
    <t>Consum residencial (kWh/any)</t>
  </si>
  <si>
    <t>Tipologia d'efectes sobre la salut</t>
  </si>
  <si>
    <t>ASVICC Col. 112</t>
  </si>
  <si>
    <t>ASVICC Col. 113</t>
  </si>
  <si>
    <t>MANRESA</t>
  </si>
  <si>
    <t>GRANOLLERS</t>
  </si>
  <si>
    <t>CUBELLES</t>
  </si>
  <si>
    <t>kWh</t>
  </si>
  <si>
    <t>Xarxa calor/fred</t>
  </si>
  <si>
    <t>Biomassa</t>
  </si>
  <si>
    <t>Solar tèrmica</t>
  </si>
  <si>
    <t>Geotèrmia</t>
  </si>
  <si>
    <t>PIB turístic (% respecte total</t>
  </si>
  <si>
    <t>Pressup verd urbà (% respecte total)</t>
  </si>
  <si>
    <t>Zones inundables</t>
  </si>
  <si>
    <t>Urgències/1.000 hab·any</t>
  </si>
  <si>
    <t>Hospitalitzacions i urgències per regions assistencials</t>
  </si>
  <si>
    <t>http://agricultura.gencat.cat/web/.content/mn_medi_natural/mn04_prevencio_incendis/enllacos-documents/estadistiques/fitxers-binaris/incendis-forestals-comarques-barcelona-1986-2015.pdf</t>
  </si>
  <si>
    <r>
      <t xml:space="preserve">Font: </t>
    </r>
    <r>
      <rPr>
        <sz val="10"/>
        <color theme="1"/>
        <rFont val="Arial"/>
        <family val="2"/>
      </rPr>
      <t xml:space="preserve">Direcció General de Ecosistemes Forestals i Gestió del Medi. </t>
    </r>
    <r>
      <rPr>
        <i/>
        <sz val="10"/>
        <color theme="1"/>
        <rFont val="Arial"/>
        <family val="2"/>
      </rPr>
      <t>Nombre d'incendis i ha forestals cremades a les comarques de Barcelona (1986- 2016)</t>
    </r>
  </si>
  <si>
    <t>"Per a mesurar la utilització dels recursos d’urgències, s’ha calculat la taxa crua d’urgències
amb el nombre de urgències de pacients residents a Catalunya per 1.000 habitants"</t>
  </si>
  <si>
    <t>Hospitalitzacions - Pàg. 22</t>
  </si>
  <si>
    <t>BARCELONÈS NORD I BAIX MARESME</t>
  </si>
  <si>
    <t>Urgències -Pàg 26</t>
  </si>
  <si>
    <t>http://catsalut.gencat.cat/web/.content/minisite/catsalut/proveidors_professionals/registres_catalegs/registres/cmbd/informes_anuals/cmbd_ur_2014.pdf</t>
  </si>
  <si>
    <t>CMBH Excel</t>
  </si>
  <si>
    <t>pg 22 CMBD AP</t>
  </si>
  <si>
    <t>Pg 19 CMBD</t>
  </si>
  <si>
    <t xml:space="preserve">pg 26 CMBD - ur </t>
  </si>
  <si>
    <t>CMBD-ur- 2014 pàgina 9 = explicació taxa crua</t>
  </si>
  <si>
    <t>Dades ja dividides per 10 anys per treure la mitjana</t>
  </si>
  <si>
    <t>Les dades d'electricitat són les de 2014</t>
  </si>
  <si>
    <t>Periode de retorn</t>
  </si>
  <si>
    <t>Assignant tota la comarca</t>
  </si>
  <si>
    <t>Cal calcular les superfícies amb el SIG de superfícies inundables per període de retorn de l'ACA</t>
  </si>
  <si>
    <t>Posar les dades del PAESC</t>
  </si>
  <si>
    <t>LLEGENDA I ESTRUCTURA DE L'EINA</t>
  </si>
  <si>
    <t>BASE DE DADES ASVICC</t>
  </si>
  <si>
    <t>BASE DE DADES COMARCAL</t>
  </si>
  <si>
    <t>ALTRES BASE DE DADES</t>
  </si>
  <si>
    <t>BASE DE DADES PILOTS</t>
  </si>
  <si>
    <t>DADES DELS PILOTS ORIGINALS</t>
  </si>
  <si>
    <t>DADES DELS PILOTS PER L'EINA</t>
  </si>
  <si>
    <t>COPS DE CALOR - Costos per al sistema sanitari</t>
  </si>
  <si>
    <t>INCENDIS FORESTALS - Costos d'extinció i gestió dels incendis forestals</t>
  </si>
  <si>
    <t>AIGUA - Cost del recurs per al sistema i increment de demanda</t>
  </si>
  <si>
    <t>AGRICULTURA - Reducció dels beneficis</t>
  </si>
  <si>
    <t>RAMADERIA- Reducció dels beneficis</t>
  </si>
  <si>
    <t>Càlcul del cost de no actar respecte la ramaderia</t>
  </si>
  <si>
    <t>INUNDACIONS - Cost dels danys de les inundacions</t>
  </si>
  <si>
    <t>EROSIÓ DE COSTA - Cost de manteniment i reposició de sorres</t>
  </si>
  <si>
    <t>BOSC - Cost dels valors ecosistèmics forestals (no acabat)</t>
  </si>
  <si>
    <t>VERD URBÀ - Cost de manteniment (no acabat)</t>
  </si>
  <si>
    <t>TEMPESTES - Cost de danys per tempestes (No acabat)</t>
  </si>
  <si>
    <t>AGRICULTURA - Cost d'increment del reg (no acabat)</t>
  </si>
  <si>
    <t>TURISME - Càlcul segons la variació del PIB turístic (no acabat)</t>
  </si>
  <si>
    <t>TURISME - Càlcul segons la variació del PIB turístic calculat a partir del nombre d'allotjaments turístics</t>
  </si>
  <si>
    <t>Càlcul del cost de no actuar contra les sequeres</t>
  </si>
  <si>
    <t>DIBA: L'ASVICC2 té el PIB municipal i % de 4 sectors per municipi: agricultura, indústria, construcció i serveis</t>
  </si>
  <si>
    <t>Percentatge corresponent</t>
  </si>
  <si>
    <t>Activitats financeres</t>
  </si>
  <si>
    <t>Font: IDESCAT</t>
  </si>
  <si>
    <t>Impacte (M€)</t>
  </si>
  <si>
    <t>Probabilitat de sequera extrema sense CC</t>
  </si>
  <si>
    <t>Hipòtesis: La recurrència d'una sequera extrema actualment és de cada 30 anys</t>
  </si>
  <si>
    <t>Probabilitat de sequera any: 1/30</t>
  </si>
  <si>
    <t>Probabilitat de sequera sense CC</t>
  </si>
  <si>
    <t>Cost sequera/any</t>
  </si>
  <si>
    <t>Cost acumulat sense CC</t>
  </si>
  <si>
    <t>Probabilitat de sequera extrema amb CC</t>
  </si>
  <si>
    <t>Hipòtesis: Probabilitat de sequera any final: 1/15. Increment lineal anual de la probabilitat (entre 2015 i 2030)</t>
  </si>
  <si>
    <t>Probabilitat de sequera amb CC</t>
  </si>
  <si>
    <t>Cost acumulat amb CC</t>
  </si>
  <si>
    <t>Cost acum. no actuar</t>
  </si>
  <si>
    <t>Les sequeres es podrien duplicar a mitjans del s.XXI, però el càlcul les duplica a 2030</t>
  </si>
  <si>
    <t>L'IDESCAT té dades PIB del sector serveis en blau de les comarques =&gt; es podria usar per fer càlcul més real de cada municipi</t>
  </si>
  <si>
    <t>SEQUERES - Reducció dels beneficis per sectors (no acabat)</t>
  </si>
  <si>
    <t>RESULTATS: COST ACUMULAT DE NO ACTUAR CONTRA EL CANVI CLIMÀTIC EN UN PERÍODE DE 15 ANYS</t>
  </si>
  <si>
    <t>Opció B: Per reducció del PIB/VAB agrari</t>
  </si>
  <si>
    <t>Consum energètic sector domèstic (kWh/any)</t>
  </si>
  <si>
    <t>ENERGIA RESIDENCIAL - Cost pel ciutadà a causa del canvi de demanda (No acabat)</t>
  </si>
  <si>
    <t>Font: Sist. Aval. Infraestr. Transport  (CENIT, 2015) ajustat</t>
  </si>
  <si>
    <t>Dades ajustades</t>
  </si>
  <si>
    <t>Càlcul 4 dies</t>
  </si>
  <si>
    <t>Comprovació</t>
  </si>
  <si>
    <t>Font: Imp. Ola de calor. (H. Clínic, 2005) ajustats segons altres fonts</t>
  </si>
  <si>
    <t>Assignant part proporcional forestal municipi vs comarca</t>
  </si>
  <si>
    <t>Costos sanitaris dels cops de calor</t>
  </si>
  <si>
    <t>Costos dels incendis forestals</t>
  </si>
  <si>
    <t>Costos de l’aigua subministrada al sector residencial</t>
  </si>
  <si>
    <t xml:space="preserve">Costos de les inundacions </t>
  </si>
  <si>
    <t>Costos de reposició de sorres i reparació de platges</t>
  </si>
  <si>
    <t xml:space="preserve">Cal calcular les superfícies amb el SIG de superfícies inundables per període de retorn de l'ACA </t>
  </si>
  <si>
    <t>i el SIG de cobertes de sòl per tenir les tipologies residencial i industrial</t>
  </si>
  <si>
    <t>Muncipi</t>
  </si>
  <si>
    <r>
      <t>Sòl residencial (m</t>
    </r>
    <r>
      <rPr>
        <b/>
        <vertAlign val="superscript"/>
        <sz val="10"/>
        <color theme="1"/>
        <rFont val="Arial"/>
        <family val="2"/>
      </rPr>
      <t>2</t>
    </r>
    <r>
      <rPr>
        <b/>
        <sz val="10"/>
        <color theme="1"/>
        <rFont val="Arial"/>
        <family val="2"/>
      </rPr>
      <t>)</t>
    </r>
  </si>
  <si>
    <r>
      <t>Sòl industrial (m</t>
    </r>
    <r>
      <rPr>
        <b/>
        <vertAlign val="superscript"/>
        <sz val="10"/>
        <color theme="1"/>
        <rFont val="Arial"/>
        <family val="2"/>
      </rPr>
      <t>2</t>
    </r>
    <r>
      <rPr>
        <b/>
        <sz val="10"/>
        <color theme="1"/>
        <rFont val="Arial"/>
        <family val="2"/>
      </rPr>
      <t>)</t>
    </r>
  </si>
  <si>
    <t>Notes:</t>
  </si>
  <si>
    <t>Nomenclatura dels perills climàtics: +T: increment de la temperatura, - P: reducció de les precipitacions anuals, + p: intensificació dels períodes de pluges intenses, +M: increment del nivell del mar.</t>
  </si>
  <si>
    <t>No es consideren els costos indirectes</t>
  </si>
  <si>
    <t>Cost per a l'administació pública per cobrir la disponibilitat recurs i increment de demanda d'aigua previsible</t>
  </si>
  <si>
    <t>Cost de manteniment de platges per a l'administració competent</t>
  </si>
  <si>
    <t>Detall de la tipologia de costos</t>
  </si>
  <si>
    <t>Font: Sit. Sector forestal en España (SECF, 2013). Inclou el valor de la producció perduda de recursos forestals</t>
  </si>
  <si>
    <t>Cost dels incendis forestals per a l'administració pública i el privat. Inclou el valor de la producció perduda de recursos forestals i l'extinció, no es consideren els costos de la pèrdua de valors ecosistèmics</t>
  </si>
  <si>
    <t>Potser seria millor el cost real que no el preu de l'electricitat pel consumidor</t>
  </si>
  <si>
    <t xml:space="preserve">No usem dades del proj PESETA ja que no són relacionables, parla d'increment de preu electricitat a Espanya 2010-2050 del 3%, reducció del rendiment de les plantes de producció tèrmica i nuclear a causa de la refrigeració, </t>
  </si>
  <si>
    <t>i la hidroelèctrica a causa reducció pluges. Però no diu valors per sud d'Europa concretament</t>
  </si>
  <si>
    <t>Agent afectat</t>
  </si>
  <si>
    <t>Públic + intangible</t>
  </si>
  <si>
    <t>Públic</t>
  </si>
  <si>
    <t>Privats</t>
  </si>
  <si>
    <t>Cost acumulat de no actuar a 15 anys (M€)</t>
  </si>
  <si>
    <t>Cost acumulat sense canvi climàtic: sumatori de costos anuals en un horitzó de 15 anys si no tenen lloc els efectes agreujants del canvi climàtic</t>
  </si>
  <si>
    <t>Cost acumulat amb canvi climàtic: sumatori de costos anuals en un horitzó de 15 anys tenint en compte els efectes agreujants del canvi climàtic</t>
  </si>
  <si>
    <t>Cost acumulat de no actuar: variació de costos acumulats considerant els efectes del canvi climàtic a 15 anys respecte no considerar-los</t>
  </si>
  <si>
    <t>Onades de calor/Augment temperatura</t>
  </si>
  <si>
    <t>Increment de demanda d'energia</t>
  </si>
  <si>
    <t>Afectació de la calor a infraestructures</t>
  </si>
  <si>
    <t>Afectació a la població feble (augment mortalitat)</t>
  </si>
  <si>
    <t>Canvis en els cultius (AGR03 Gen)</t>
  </si>
  <si>
    <t>Sequeres i disponibilitat d'aigua</t>
  </si>
  <si>
    <t>Problemes d'abastament</t>
  </si>
  <si>
    <t>Problemes en l'agricultura i ramaderia (incopora AGR01 Gen)</t>
  </si>
  <si>
    <t>Problemes al verd urbà (incorpora URB02 Gen)</t>
  </si>
  <si>
    <t>Disponibilitat aqüífers</t>
  </si>
  <si>
    <t>Efectes sobre els boscos</t>
  </si>
  <si>
    <t>Plagues</t>
  </si>
  <si>
    <t>Sequera als boscos, menys disponibilitat aigua (basat en FOR02 i FOR03, Gen)</t>
  </si>
  <si>
    <t>Valors paisatgístics i biodiversitat</t>
  </si>
  <si>
    <t>Erosió</t>
  </si>
  <si>
    <t>Pèrdua d'interès turístic entorn natural*(no costa)</t>
  </si>
  <si>
    <t>Pèrdua de biodiversitat</t>
  </si>
  <si>
    <t>Tempestes i pluges torrencials</t>
  </si>
  <si>
    <t>Inundacions i riuades**</t>
  </si>
  <si>
    <t>Pujada del nivell del mar</t>
  </si>
  <si>
    <t>Desaparició de platges i dunes</t>
  </si>
  <si>
    <t>Pèrdua interès turístic costaner</t>
  </si>
  <si>
    <t>Vulnerabilitat global del municipi</t>
  </si>
  <si>
    <t>Valorció de cada paràmetre entre 0-3</t>
  </si>
  <si>
    <t>Paràmetre</t>
  </si>
  <si>
    <t>Energia</t>
  </si>
  <si>
    <t>Verd urbà</t>
  </si>
  <si>
    <t>Incendis</t>
  </si>
  <si>
    <t>Turisme</t>
  </si>
  <si>
    <t>Nom dels indicadors</t>
  </si>
  <si>
    <t>Codi indic Vulnerab Gene</t>
  </si>
  <si>
    <t>Increment de les necessitats de reg en l’Agricultura i ramaderia</t>
  </si>
  <si>
    <t>AGR01</t>
  </si>
  <si>
    <t>Major risc d’incendi en el sector agrari</t>
  </si>
  <si>
    <t>AGR02</t>
  </si>
  <si>
    <t>Canvis en els cultius</t>
  </si>
  <si>
    <t>AGR03</t>
  </si>
  <si>
    <t>Major risc d'incendi en l'àmbit de la gestió forestal</t>
  </si>
  <si>
    <t>FOR01</t>
  </si>
  <si>
    <t>Disminució de la disponibilitat d'aigua en l'àmbit de la gestió forestal (impacte climàtic: increment de la temperatura)</t>
  </si>
  <si>
    <t>FOR02</t>
  </si>
  <si>
    <t>Disminució de la disponibilitat d'aigua en l'àmbit de la gestió forestal (impacte climàtic: sequera)</t>
  </si>
  <si>
    <t>FOR03</t>
  </si>
  <si>
    <t>Major risc d'incendi per a la biodiversitat</t>
  </si>
  <si>
    <t>BIO01</t>
  </si>
  <si>
    <t>Canvis en el patró de la demanda turística en la gestió de l’aigua</t>
  </si>
  <si>
    <t>AIG01</t>
  </si>
  <si>
    <t>Disminució de la disponibilitat d'aigua en la gestió de l’aigua</t>
  </si>
  <si>
    <t>AIG02</t>
  </si>
  <si>
    <t>Empitjorament del confort climàtic en l'àmbit d'urbanisme i habitatge</t>
  </si>
  <si>
    <t>URB01</t>
  </si>
  <si>
    <t>Increment de les necessitats de reg sobre l’urbanisme i l’habitatge</t>
  </si>
  <si>
    <t>URB02</t>
  </si>
  <si>
    <t>Canvis en els patrons de demanda energètica en l'àmbit del sector residencial</t>
  </si>
  <si>
    <t>ENE01</t>
  </si>
  <si>
    <t>Canvis en els patrons de demanda energètica en l’àmbit de la indústria, els serveis i el comerç</t>
  </si>
  <si>
    <t>IND01</t>
  </si>
  <si>
    <t>Increment de la mortalitat associada a la calor</t>
  </si>
  <si>
    <t>SAL01</t>
  </si>
  <si>
    <t>Empitjorament del confort climàtic (accentuació del fenomen d’illa de calor) sobre la salut</t>
  </si>
  <si>
    <t>SAL02</t>
  </si>
  <si>
    <t>Risc d'incendi en la mobilitat i infraestructures de transport</t>
  </si>
  <si>
    <t>MOB01</t>
  </si>
  <si>
    <t>Canvis en el patró de demanda turística en el turisme</t>
  </si>
  <si>
    <t>TUR01</t>
  </si>
  <si>
    <t>Major risc d’incendi que afecti al sector turístic</t>
  </si>
  <si>
    <t>TUR02</t>
  </si>
  <si>
    <t>Coincidència amb els indicadors del treball CNACC</t>
  </si>
  <si>
    <t>Opció 1: Vulnerabilitat ASVICC DIBA</t>
  </si>
  <si>
    <t>Opció 2: Vulnerabilitat mapes Generalitat</t>
  </si>
  <si>
    <t>Valorció de cada paràmetre entre 0-9</t>
  </si>
  <si>
    <t xml:space="preserve">Valor del municipi </t>
  </si>
  <si>
    <t>x</t>
  </si>
  <si>
    <t>Vulnerabilitat del municipi al canvi climàtic per àmbits</t>
  </si>
  <si>
    <t>Dades ASVICC</t>
  </si>
  <si>
    <t>Valoració de 0-3 per a cada paràmetre</t>
  </si>
  <si>
    <t>Vulnerabilitat</t>
  </si>
  <si>
    <t>Variació del valor final del cost acumulat a 15 anys amb canvi climàtic</t>
  </si>
  <si>
    <t>Cost acumulat de no actuar a 15 anys considerant l'efecte del paràmetre vulnerabilitat (M€)</t>
  </si>
  <si>
    <t xml:space="preserve">MANCA DADES NUMÈRIQUES DE COM PODEN AFECTAR LES RESTRICCIONS O LES SEQUERES A LES ESPECIES EXISTENTS DE VERD URBÀ!! </t>
  </si>
  <si>
    <t>DIBA: Manca dades de superficie regada per tipologia de conreus que es pugui relacionar!!</t>
  </si>
  <si>
    <t>INE</t>
  </si>
  <si>
    <t>Sant Fost de Campcentelles</t>
  </si>
  <si>
    <t>Any /residencial domèstic</t>
  </si>
  <si>
    <t>Secret estadístic</t>
  </si>
  <si>
    <t>Ingrés anual Agrícola</t>
  </si>
  <si>
    <t>Ingrés total acumulat (M€)</t>
  </si>
  <si>
    <t>Costos per a l'agricultura</t>
  </si>
  <si>
    <t>Costos de la ramaderia</t>
  </si>
  <si>
    <t>Cost acumulat a 15 anys sense canvi climàtic (M€) /Agricultura i ramaderia ingressos</t>
  </si>
  <si>
    <t>Agricultura*</t>
  </si>
  <si>
    <t>Ramaderia*</t>
  </si>
  <si>
    <t xml:space="preserve">*En el cas de la ramaderia i l'agricultura es valoren els ingressos sense canvi climàtic i amb canvi climàtic. </t>
  </si>
  <si>
    <t>Pressupost parcs i jardins (€)</t>
  </si>
  <si>
    <t>Cost acumulat a 15 anys amb canvi climàtic (M€)//Agricultura i ramaderia ingressos</t>
  </si>
  <si>
    <t>COST TOTAL (M€)</t>
  </si>
  <si>
    <t>deute viu 15 (€)</t>
  </si>
  <si>
    <t>Ing (15) (€)</t>
  </si>
  <si>
    <t>Ing-Des (16) (€)</t>
  </si>
  <si>
    <t>Desp (16) (€)</t>
  </si>
  <si>
    <t>Inversions16 (€)</t>
  </si>
  <si>
    <t>%inversions/despesa (16)</t>
  </si>
  <si>
    <t>Nom</t>
  </si>
  <si>
    <t>alçada municipi</t>
  </si>
  <si>
    <t>Estació meteorològica de referència</t>
  </si>
  <si>
    <t>La Quar</t>
  </si>
  <si>
    <t>Badalona - Museu</t>
  </si>
  <si>
    <t>Barcelona - Observatori Fabra</t>
  </si>
  <si>
    <t>Begues - PN del Garraf</t>
  </si>
  <si>
    <t>La Granada</t>
  </si>
  <si>
    <t>Canaletes</t>
  </si>
  <si>
    <t>Sant Pere de Ribes - PN del Garraf</t>
  </si>
  <si>
    <t>el Pont de Vilomara</t>
  </si>
  <si>
    <t>Dosrius - PN Montnegre Corredor</t>
  </si>
  <si>
    <t>Font-Rubí</t>
  </si>
  <si>
    <t>L'HOSPITALET DEL LLOBREGAT</t>
  </si>
  <si>
    <t>EL PRAT DEL LLOBREGAT</t>
  </si>
  <si>
    <t>Litoral</t>
  </si>
  <si>
    <t>Interior</t>
  </si>
  <si>
    <t>Pirineu</t>
  </si>
  <si>
    <t>màxima &gt;35ºC</t>
  </si>
  <si>
    <t>any</t>
  </si>
  <si>
    <t>nits &gt;20ºC</t>
  </si>
  <si>
    <t>DADES METEO</t>
  </si>
  <si>
    <t>Mitjana provincial</t>
  </si>
  <si>
    <t xml:space="preserve">Any </t>
  </si>
  <si>
    <t>Consum elèctric</t>
  </si>
  <si>
    <t>Dies onada de calor</t>
  </si>
  <si>
    <t>Cost electricitat</t>
  </si>
  <si>
    <t>Consum diari</t>
  </si>
  <si>
    <t>%consum elèctric de més</t>
  </si>
  <si>
    <t>Cost (a preu constant) de més</t>
  </si>
  <si>
    <t>Cost acumulat (M€)</t>
  </si>
  <si>
    <t>Preu kWh augment anual</t>
  </si>
  <si>
    <t>Cost acumulat total (M€)</t>
  </si>
  <si>
    <t>Costos dels cops de calor</t>
  </si>
  <si>
    <t>Font: ICAEN i ALEO</t>
  </si>
  <si>
    <t>Augment consum elèctric</t>
  </si>
  <si>
    <t>nre nits &gt;=21ºC</t>
  </si>
  <si>
    <t>nre dies  &gt;=35ºC</t>
  </si>
  <si>
    <t>Resum 10 anys</t>
  </si>
  <si>
    <t>Temp &gt;35</t>
  </si>
  <si>
    <t>Temp &gt;20</t>
  </si>
  <si>
    <t>Mitjana en 10 anys</t>
  </si>
  <si>
    <t>% població/comarca</t>
  </si>
  <si>
    <t>Comarca antiga</t>
  </si>
  <si>
    <t>Comarca nova</t>
  </si>
  <si>
    <t>03</t>
  </si>
  <si>
    <t>06</t>
  </si>
  <si>
    <t>07</t>
  </si>
  <si>
    <t>11</t>
  </si>
  <si>
    <t>13</t>
  </si>
  <si>
    <t>14</t>
  </si>
  <si>
    <t>17</t>
  </si>
  <si>
    <t>21</t>
  </si>
  <si>
    <t>42</t>
  </si>
  <si>
    <t>24</t>
  </si>
  <si>
    <t>40</t>
  </si>
  <si>
    <t>41</t>
  </si>
  <si>
    <t>Cost diari Urg</t>
  </si>
  <si>
    <t>Cost diari Hosp</t>
  </si>
  <si>
    <t>Cost diari morts</t>
  </si>
  <si>
    <t>ingressos sense CC</t>
  </si>
  <si>
    <t>cost diari sense CC</t>
  </si>
  <si>
    <t>Cost sense CC</t>
  </si>
  <si>
    <t>Cost anual sense CC</t>
  </si>
  <si>
    <t>nombre de dies augment</t>
  </si>
  <si>
    <t>augment ingressos</t>
  </si>
  <si>
    <t>Cost diari U</t>
  </si>
  <si>
    <t>cost diari H</t>
  </si>
  <si>
    <t>cost diari D</t>
  </si>
  <si>
    <t>cost amb CC</t>
  </si>
  <si>
    <t xml:space="preserve">Cost de les conseqüències per a l'administració pública: hospitalitzacions, urgències i morts de majors de 65 anys. També s'han considerat els costos intangibles de les fatalitats. </t>
  </si>
  <si>
    <t>Cost del CC</t>
  </si>
  <si>
    <t>cost diari total</t>
  </si>
  <si>
    <t>Superfície forestal</t>
  </si>
  <si>
    <t>ha arbrades cremades</t>
  </si>
  <si>
    <t>ha no arbrades</t>
  </si>
  <si>
    <t>ha forestals</t>
  </si>
  <si>
    <t>litoral</t>
  </si>
  <si>
    <t>central</t>
  </si>
  <si>
    <t>Augment % de dies amb calor</t>
  </si>
  <si>
    <t xml:space="preserve"> i nits tropicals</t>
  </si>
  <si>
    <t>zona climàtica</t>
  </si>
  <si>
    <t>tend calor</t>
  </si>
  <si>
    <t>tend nits tropic</t>
  </si>
  <si>
    <t>Mitjana anual</t>
  </si>
  <si>
    <t>Sense CC</t>
  </si>
  <si>
    <t>en 15 anys</t>
  </si>
  <si>
    <t>TendènciA</t>
  </si>
  <si>
    <t>Tendènc</t>
  </si>
  <si>
    <t xml:space="preserve">Mitjana anual </t>
  </si>
  <si>
    <t>A 15 anys</t>
  </si>
  <si>
    <t>Cost amb CC</t>
  </si>
  <si>
    <t>&lt;style type="text/css"&gt; .wpb_animate_when_almost_visible { opacity: 1; }&lt;/style&gt;</t>
  </si>
  <si>
    <t>Suplement EL DINERO del 17/06/2012 a LA VANGUARDIA</t>
  </si>
  <si>
    <t>“Más vale prevenir que pagar.</t>
  </si>
  <si>
    <t>Mantener limpia una hectárea agraria cuesta 1.500 euros; recuperarla tras un incendio, 6.000.</t>
  </si>
  <si>
    <t>Algunas inversiones, como el diseño de cortafuegos en zonas forestales o la construcción de depósitos de contención en rieras, tienen un carácter preventivo, tanto para el particular como para el erario. En Catalunya, cada momento del año tiene sus trampas,</t>
  </si>
  <si>
    <t>sus servidumbres. Hay posibilidades de que nieve en el invierno, abundan los incendios</t>
  </si>
  <si>
    <t>forestales en la primavera y en el verano y se suceden las riadas en el otoño. Se trata de episodios excepcionales, y sin embargo cíclicos, cuyo coste económico –aparte de las secuelas físicas y morales– acostumbra a ser desmesurado.</t>
  </si>
  <si>
    <t>La dirección general de Protecció Civil se plantea tabular por anticipado estos costes, presupuestarlos, poniéndoles nombre, cara, ojos y cifras, algo que el Estado español, a través del Colegio Oficial de Geólogos, también está estudiando: se trata de elaborar un informe acerca de cuánto costarán terremotos, inundaciones o incendios en los próximos treinta años. “Si lo procedimentas, si te anticipas al fenómeno, puedes reducir los costes extraordinariamente.Y todos, particulares (cuya cuota del seguro no crecerá año tras año) y administraciones públicas, saldremos ganando”, dice Manel Pardo, director general de Protecció Civil de la Generalitat: si no se refuerza el sistema actual de prevención de riesgos, para Catalunya se calculan pérdidas de hasta 2.500 millones de euros entre el 2004 y el 2033 sólo en inundaciones.</t>
  </si>
  <si>
    <t>La propuesta, que va dirigida a todos los estamentos sociales –administraciones públicas y</t>
  </si>
  <si>
    <t>privadas, sociedad civil…–, tiene su razón de ser en estos días: tras un invierno y una primavera relativamente secas, se augura un verano complicado, salpicado de incendios. “Se calcula que Interior destinará 24 millones de euros a los incendios forestales en esta temporada, mientras que Medi Natural aportará otros 13 millones”, vaticina Sergio Delgado, subdirector de Coordinació i Gestió d’Emergències. </t>
  </si>
  <si>
    <t>Son cifras elevadísimas, aunque claramente corregibles: basta con anticiparse a los episodios. Josep Escorihuela, director general deMedi Natural, dice que mantener limpia una hectárea agraria (aproximadamente un campo de fútbol) cuesta alrededor de 1.500 euros (en Catalunya hay dos millones de hectáreas agrícolas). “Sin embargo, rehabilitarla después de un desastre se dispara hasta los 6.000 euros”, apunta Pardo. En muchos casos, no pueden evitarse las nevadas, los incendios ni las inundaciones. Sin embargo, sí que pueden paliarse sus consecuencias. “Estamos recogiendo información, hay el deseo de incentivar a la sociedad para que estos planes se activen –dice Delgado–. Tratamos de averiguar qué hacer para que la riera de Arenys de Mar o la de Salou no se inunden cada cinco años, o para que los bosques pirenaicos no se incendien periódicamente. Hay que lograr que los ciudadanos se impliquen, que comprendan que una inversión a priori,</t>
  </si>
  <si>
    <t>en vez deaposteriori, les permitirá obtener un beneficio económico. Se tiene que plantear el informe en forma de ahorro, de eficiencia”.</t>
  </si>
  <si>
    <t>La Generalitat busca la fórmula que dé forma al proyecto: ¿cómo repartir los costes de la prevención? “Desastres como los que se registraron en L’Aquila (Italia) o Lorca (Murcia) todavía no se han resuelto económicamente. Muchos vecinos aún no han podido regresar a sus casas, y las administraciones se muestran incapaces de resolver el entuerto. Se han agotado los presupuestos”, dice Delgado. </t>
  </si>
  <si>
    <t>Sin plan preventivo, las inundaciones le costarán 2.500 millones a Catalunya hasta el 2033</t>
  </si>
  <si>
    <t>“El problema es que los beneficios de la prevención no calan en el imaginario popular –dice Pardo–. Puedes pasarte tres años manteniendo los márgenes de un río para que no se produzcan inundaciones. Y si en ese tiempo no ocurre nada, puede que vengan y te pregunten: “¿En qué te has gastado el dinero”?, sin que se tenga en cuenta que hemos potenciado el ahorro en vidas y en daños…”.</t>
  </si>
  <si>
    <t>Según los expertos, se pueden instalar sensores capaces de detectar una fuga química (a un coste de 6.000 euros la unidad), se pueden limpiar los bosques, se pueden reforzar las estructuras de edificios esenciales como hospitales o escuelas, se puede actuar en rieras y zonas inundables del litoral, se pueden implantar elementos de detección de episodios de inundación o sepuede garantizar el suministro de servicios básicos como agua, gas,  electricidad, telecomunicaciones o transporte.</t>
  </si>
  <si>
    <t>L’Aquila, Lorca o Japón aún no se ha repuesto de los desastres que les asolaron en un pasado reciente</t>
  </si>
  <si>
    <t>Pardo se remite a un caso del 2010: la nevada de aquel año en Catalunya tuvo unos costes de 14.000 millones de euros. “A los daños se le añade el lucro cesante, porque muchas personas no pudieron ir a trabajar, y los costes de la propia intervención –dice–.</t>
  </si>
  <si>
    <t>De haberse prevenido, podían haberse evitado los cortes de luz, o los daños en las torres eléctricas. De manera que la factura se hubiera reducido a la mitad, a unos 7.000 millones”. Se calcula que el terremoto de Lorca costará cerca de 19.000 millones de euros. Chile se gastó 30.000 millones de dólares (unos 26.000 millones de euros) en el devastador cataclismo del 2009 (alrededor de 300 muertos; y según el programa Health and Safety</t>
  </si>
  <si>
    <t>Executive del Reino Unido, cada muerto tiene un coste de 1,6 millones de euros). Los expertos  consideran que Japón tardará cerca de treinta años en recuperarse del tsunami del 2012.</t>
  </si>
  <si>
    <t>http://www.publico.es/sociedad/limpiar-hectarea-monte-vivo-cuesta-3500-euros-despues-incendio-6000.html</t>
  </si>
  <si>
    <t>cost mitjà restauració posterior</t>
  </si>
  <si>
    <t>1997-2013</t>
  </si>
  <si>
    <t>INCENDIS (HA) 86-2017)</t>
  </si>
  <si>
    <t>%sup forest/comarc</t>
  </si>
  <si>
    <t>Mitjana anual segons comarca</t>
  </si>
  <si>
    <t xml:space="preserve"> -P i +T</t>
  </si>
  <si>
    <t xml:space="preserve">Cost mig </t>
  </si>
  <si>
    <t>Present</t>
  </si>
  <si>
    <t>Demanda augment</t>
  </si>
  <si>
    <t>Consum aigua futur</t>
  </si>
  <si>
    <t>Futur CC</t>
  </si>
  <si>
    <t>Futur no CC</t>
  </si>
  <si>
    <t>Acumulat</t>
  </si>
  <si>
    <t>Consum aigua en 15 anys</t>
  </si>
  <si>
    <t>Cost no CC en 15 anys</t>
  </si>
  <si>
    <t>Cost amb  CC en 15 anys</t>
  </si>
  <si>
    <t>Cost del CC en 15 anys</t>
  </si>
  <si>
    <t>Costos de l’aigua subministrada</t>
  </si>
  <si>
    <t>Costos de l’aigua d'abastament</t>
  </si>
  <si>
    <t>ATLL</t>
  </si>
  <si>
    <t xml:space="preserve">Preu </t>
  </si>
  <si>
    <t>€/m3 2017</t>
  </si>
  <si>
    <t>Augment preu aigua</t>
  </si>
  <si>
    <t>2010-2017</t>
  </si>
  <si>
    <t>2012-2017</t>
  </si>
  <si>
    <t>Preu 2017+15</t>
  </si>
  <si>
    <t>mitjana dades Observatori preu aigua (ACA)</t>
  </si>
  <si>
    <t>Municipis ATLL: futur augment proporció dessaladora fins a un 80%</t>
  </si>
  <si>
    <t>Altres: augment de preu per escassedat recurs</t>
  </si>
  <si>
    <t>(56% preu associat a subministrement)</t>
  </si>
  <si>
    <t>Preu subministrement</t>
  </si>
  <si>
    <t>Resta</t>
  </si>
  <si>
    <t>Any 15</t>
  </si>
  <si>
    <t>X</t>
  </si>
  <si>
    <t>X=</t>
  </si>
  <si>
    <t>factor preu subministrement 80% dessalinització</t>
  </si>
  <si>
    <t>factor no dessalinitzacio, però recurs escàs</t>
  </si>
  <si>
    <t xml:space="preserve">Amb CC </t>
  </si>
  <si>
    <t>Preu mitjà en 15 anys</t>
  </si>
  <si>
    <t>Consum mig anual</t>
  </si>
  <si>
    <t>anual</t>
  </si>
  <si>
    <t>Preu mitjà sense CC en 15 anys</t>
  </si>
  <si>
    <t>PIB agricul</t>
  </si>
  <si>
    <t>PIB municipi (M€)</t>
  </si>
  <si>
    <t xml:space="preserve">Producció final agrària (M€) </t>
  </si>
  <si>
    <t>PIB agrícola i ramader (M€)</t>
  </si>
  <si>
    <t>AGRICULTURA</t>
  </si>
  <si>
    <t>RAMADERIA</t>
  </si>
  <si>
    <t>longitud</t>
  </si>
  <si>
    <t>Cost anual sediment a reposar</t>
  </si>
  <si>
    <t>Cost a 15 anys</t>
  </si>
  <si>
    <t>M€ Sense CC</t>
  </si>
  <si>
    <t>taxa retrocés prevista</t>
  </si>
  <si>
    <t>any 2</t>
  </si>
  <si>
    <t>any 0</t>
  </si>
  <si>
    <t>any 1</t>
  </si>
  <si>
    <t>any 3</t>
  </si>
  <si>
    <t>any 4</t>
  </si>
  <si>
    <t>any 5</t>
  </si>
  <si>
    <t>any 6</t>
  </si>
  <si>
    <t>any 7</t>
  </si>
  <si>
    <t>any 8</t>
  </si>
  <si>
    <t>any 9</t>
  </si>
  <si>
    <t>any 10</t>
  </si>
  <si>
    <t>any 11</t>
  </si>
  <si>
    <t>any 12</t>
  </si>
  <si>
    <t>any 13</t>
  </si>
  <si>
    <t>any 14</t>
  </si>
  <si>
    <t>any 15</t>
  </si>
  <si>
    <t>Cost amb CC a 15 anys</t>
  </si>
  <si>
    <t>PIB (Milions d'euros)15</t>
  </si>
  <si>
    <t>PIB Català (09)</t>
  </si>
  <si>
    <t>Agrícola (09)</t>
  </si>
  <si>
    <t>PIB ramader</t>
  </si>
  <si>
    <t>€/UR</t>
  </si>
  <si>
    <t>UR a Cat (09)</t>
  </si>
  <si>
    <t>PIB ramader a partir UR</t>
  </si>
  <si>
    <t>PIB agrícola</t>
  </si>
  <si>
    <t>CODI INE</t>
  </si>
  <si>
    <t>MUNICIPI</t>
  </si>
  <si>
    <t>GRUP CONREU</t>
  </si>
  <si>
    <t>CONREU</t>
  </si>
  <si>
    <t>SECÀ</t>
  </si>
  <si>
    <t>REGADIU</t>
  </si>
  <si>
    <t>OCUPACIÓ PRIMERA (HA)</t>
  </si>
  <si>
    <t>OCUPACIÓ POSTERIOR  (HA)</t>
  </si>
  <si>
    <t>OCUPACIÓ ASSOCIADA  (HA)</t>
  </si>
  <si>
    <t xml:space="preserve"> OCUPACIÓ PRIMERA  (HA)</t>
  </si>
  <si>
    <t>OCUPACIÓ  POSTERIOR  (HA)</t>
  </si>
  <si>
    <t>OCUPACIÓ  ASSOCIADA  (HA)</t>
  </si>
  <si>
    <t>25001</t>
  </si>
  <si>
    <t>Abella de la Conca</t>
  </si>
  <si>
    <t>CEREALS GRA</t>
  </si>
  <si>
    <t>Blat tou</t>
  </si>
  <si>
    <t>Civada</t>
  </si>
  <si>
    <t>Sègol</t>
  </si>
  <si>
    <t>Triticale</t>
  </si>
  <si>
    <t>CULTIUS FARRATGERS</t>
  </si>
  <si>
    <t>Cereals d'hivern per a farratge</t>
  </si>
  <si>
    <t>Raigràs</t>
  </si>
  <si>
    <t>Alfals</t>
  </si>
  <si>
    <t>Trepadella</t>
  </si>
  <si>
    <t>Associació Veça - Civada farratgeres</t>
  </si>
  <si>
    <t>CULTIUS INDUSTRIALS</t>
  </si>
  <si>
    <t>LLEGUMINOSES GRA</t>
  </si>
  <si>
    <t>Pèsol sec</t>
  </si>
  <si>
    <t>Erbs</t>
  </si>
  <si>
    <t>TUBERCLES CONSUM HUMÀ</t>
  </si>
  <si>
    <t>Patata d'estació mitjana</t>
  </si>
  <si>
    <t>08001</t>
  </si>
  <si>
    <t>Sorgo farratger</t>
  </si>
  <si>
    <t>25002</t>
  </si>
  <si>
    <t>Àger</t>
  </si>
  <si>
    <t>HORTALISSES</t>
  </si>
  <si>
    <t>Enciam</t>
  </si>
  <si>
    <t>Escarola</t>
  </si>
  <si>
    <t>Espinac</t>
  </si>
  <si>
    <t>Carbassa</t>
  </si>
  <si>
    <t>Albergínia</t>
  </si>
  <si>
    <t>Coliflor</t>
  </si>
  <si>
    <t>All</t>
  </si>
  <si>
    <t>Ceba</t>
  </si>
  <si>
    <t>Mongeta tendra</t>
  </si>
  <si>
    <t>Carbassó</t>
  </si>
  <si>
    <t>Veça</t>
  </si>
  <si>
    <t>25003</t>
  </si>
  <si>
    <t>Agramunt</t>
  </si>
  <si>
    <t>Festuca</t>
  </si>
  <si>
    <t>FLORS I PLANTES ORNAMENTALS</t>
  </si>
  <si>
    <t>Plantes ornamentals</t>
  </si>
  <si>
    <t>Tomàquet</t>
  </si>
  <si>
    <t>Pastanaga</t>
  </si>
  <si>
    <t>08002</t>
  </si>
  <si>
    <t>Espelta</t>
  </si>
  <si>
    <t>Praderes polifites</t>
  </si>
  <si>
    <t>Camelina</t>
  </si>
  <si>
    <t>Fava tendra</t>
  </si>
  <si>
    <t>17001</t>
  </si>
  <si>
    <t>Agullana</t>
  </si>
  <si>
    <t>Nap i altres</t>
  </si>
  <si>
    <t>08014</t>
  </si>
  <si>
    <t>43001</t>
  </si>
  <si>
    <t>Aiguamúrcia</t>
  </si>
  <si>
    <t>17002</t>
  </si>
  <si>
    <t>Aiguaviva</t>
  </si>
  <si>
    <t>Meló</t>
  </si>
  <si>
    <t>25038</t>
  </si>
  <si>
    <t>Aitona</t>
  </si>
  <si>
    <t>25004</t>
  </si>
  <si>
    <t>Alamús</t>
  </si>
  <si>
    <t>Blat dur</t>
  </si>
  <si>
    <t>Cogombre</t>
  </si>
  <si>
    <t>25005</t>
  </si>
  <si>
    <t>Alàs i Cerc</t>
  </si>
  <si>
    <t>25006</t>
  </si>
  <si>
    <t>Albagés</t>
  </si>
  <si>
    <t>25007</t>
  </si>
  <si>
    <t>Albatàrrec</t>
  </si>
  <si>
    <t>Col de cabdell</t>
  </si>
  <si>
    <t>Síndria</t>
  </si>
  <si>
    <t>25008</t>
  </si>
  <si>
    <t>Albesa</t>
  </si>
  <si>
    <t>25009</t>
  </si>
  <si>
    <t>Albi</t>
  </si>
  <si>
    <t>Cigró</t>
  </si>
  <si>
    <t>43002</t>
  </si>
  <si>
    <t>Albinyana</t>
  </si>
  <si>
    <t>43003</t>
  </si>
  <si>
    <t>Albiol</t>
  </si>
  <si>
    <t>17004</t>
  </si>
  <si>
    <t>Albons</t>
  </si>
  <si>
    <t>Pebrot</t>
  </si>
  <si>
    <t>Carxofa</t>
  </si>
  <si>
    <t>Porro</t>
  </si>
  <si>
    <t>Mongeta seca</t>
  </si>
  <si>
    <t>Fava seca</t>
  </si>
  <si>
    <t>43004</t>
  </si>
  <si>
    <t>Alcanar</t>
  </si>
  <si>
    <t>Bleda</t>
  </si>
  <si>
    <t>25010</t>
  </si>
  <si>
    <t>Alcanó</t>
  </si>
  <si>
    <t>25011</t>
  </si>
  <si>
    <t>Alcarràs</t>
  </si>
  <si>
    <t>Trèvol</t>
  </si>
  <si>
    <t>Nap farratger</t>
  </si>
  <si>
    <t>25012</t>
  </si>
  <si>
    <t>Alcoletge</t>
  </si>
  <si>
    <t>43005</t>
  </si>
  <si>
    <t>Alcover</t>
  </si>
  <si>
    <t>43904</t>
  </si>
  <si>
    <t>Aldea</t>
  </si>
  <si>
    <t>Altres conreus industrials</t>
  </si>
  <si>
    <t>Api</t>
  </si>
  <si>
    <t>Altres Hortalisses</t>
  </si>
  <si>
    <t>Bròquil</t>
  </si>
  <si>
    <t>Julivert</t>
  </si>
  <si>
    <t>Favó</t>
  </si>
  <si>
    <t>43006</t>
  </si>
  <si>
    <t>Aldover</t>
  </si>
  <si>
    <t>Cànem per a llavor</t>
  </si>
  <si>
    <t>43007</t>
  </si>
  <si>
    <t>Aleixar</t>
  </si>
  <si>
    <t>08003</t>
  </si>
  <si>
    <t>Rave</t>
  </si>
  <si>
    <t>Pèsol verd</t>
  </si>
  <si>
    <t>43008</t>
  </si>
  <si>
    <t>Alfara de Carles</t>
  </si>
  <si>
    <t>25013</t>
  </si>
  <si>
    <t>Alfarràs</t>
  </si>
  <si>
    <t>25014</t>
  </si>
  <si>
    <t>Alfés</t>
  </si>
  <si>
    <t>43009</t>
  </si>
  <si>
    <t>Alforja</t>
  </si>
  <si>
    <t>25015</t>
  </si>
  <si>
    <t>Algerri</t>
  </si>
  <si>
    <t>25016</t>
  </si>
  <si>
    <t>Alguaire</t>
  </si>
  <si>
    <t>Llentia</t>
  </si>
  <si>
    <t>25017</t>
  </si>
  <si>
    <t>Alins</t>
  </si>
  <si>
    <t>43010</t>
  </si>
  <si>
    <t>Alió</t>
  </si>
  <si>
    <t>25019</t>
  </si>
  <si>
    <t>Almacelles</t>
  </si>
  <si>
    <t>Mill i melca</t>
  </si>
  <si>
    <t>25020</t>
  </si>
  <si>
    <t>Almatret</t>
  </si>
  <si>
    <t>25021</t>
  </si>
  <si>
    <t>Almenar</t>
  </si>
  <si>
    <t>43011</t>
  </si>
  <si>
    <t>Almoster</t>
  </si>
  <si>
    <t>25022</t>
  </si>
  <si>
    <t>Alòs de Balaguer</t>
  </si>
  <si>
    <t>08004</t>
  </si>
  <si>
    <t>25023</t>
  </si>
  <si>
    <t>Alpicat</t>
  </si>
  <si>
    <t>Patata tardana</t>
  </si>
  <si>
    <t>43012</t>
  </si>
  <si>
    <t>Altafulla</t>
  </si>
  <si>
    <t>Patata primerenca</t>
  </si>
  <si>
    <t>17007</t>
  </si>
  <si>
    <t>Amer</t>
  </si>
  <si>
    <t>43013</t>
  </si>
  <si>
    <t>Ametlla de Mar</t>
  </si>
  <si>
    <t>08005</t>
  </si>
  <si>
    <t>Ametlla del Vallès</t>
  </si>
  <si>
    <t>43906</t>
  </si>
  <si>
    <t>Ampolla</t>
  </si>
  <si>
    <t>43014</t>
  </si>
  <si>
    <t>Amposta</t>
  </si>
  <si>
    <t>17008</t>
  </si>
  <si>
    <t>Anglès</t>
  </si>
  <si>
    <t>25027</t>
  </si>
  <si>
    <t>Anglesola</t>
  </si>
  <si>
    <t>25029</t>
  </si>
  <si>
    <t>Arbeca</t>
  </si>
  <si>
    <t>43016</t>
  </si>
  <si>
    <t>Arboç</t>
  </si>
  <si>
    <t>43015</t>
  </si>
  <si>
    <t>Arbolí</t>
  </si>
  <si>
    <t>17009</t>
  </si>
  <si>
    <t>Arbúcies</t>
  </si>
  <si>
    <t>Maduixa i maduixot</t>
  </si>
  <si>
    <t>08006</t>
  </si>
  <si>
    <t>08007</t>
  </si>
  <si>
    <t>08008</t>
  </si>
  <si>
    <t>Fenigrec</t>
  </si>
  <si>
    <t>08009</t>
  </si>
  <si>
    <t>17011</t>
  </si>
  <si>
    <t>Armentera</t>
  </si>
  <si>
    <t>43018</t>
  </si>
  <si>
    <t>Arnes</t>
  </si>
  <si>
    <t>08010</t>
  </si>
  <si>
    <t>25033</t>
  </si>
  <si>
    <t>Artesa de Lleida</t>
  </si>
  <si>
    <t>25034</t>
  </si>
  <si>
    <t>Artesa de Segre</t>
  </si>
  <si>
    <t>43019</t>
  </si>
  <si>
    <t>Ascó</t>
  </si>
  <si>
    <t>25036</t>
  </si>
  <si>
    <t>Aspa</t>
  </si>
  <si>
    <t>25037</t>
  </si>
  <si>
    <t>Avellanes i Santa Linya</t>
  </si>
  <si>
    <t>08011</t>
  </si>
  <si>
    <t>08012</t>
  </si>
  <si>
    <t>17012</t>
  </si>
  <si>
    <t>Avinyonet de Puigventós</t>
  </si>
  <si>
    <t>08013</t>
  </si>
  <si>
    <t>08015</t>
  </si>
  <si>
    <t>08016</t>
  </si>
  <si>
    <t>Dàctil</t>
  </si>
  <si>
    <t>25040</t>
  </si>
  <si>
    <t>Balaguer</t>
  </si>
  <si>
    <t>08017</t>
  </si>
  <si>
    <t>08018</t>
  </si>
  <si>
    <t>43020</t>
  </si>
  <si>
    <t>Banyeres del Penedès</t>
  </si>
  <si>
    <t>17015</t>
  </si>
  <si>
    <t>Banyoles</t>
  </si>
  <si>
    <t>25041</t>
  </si>
  <si>
    <t>Barbens</t>
  </si>
  <si>
    <t>43021</t>
  </si>
  <si>
    <t>Barberà de la Conca</t>
  </si>
  <si>
    <t>08252</t>
  </si>
  <si>
    <t>08019</t>
  </si>
  <si>
    <t>25042</t>
  </si>
  <si>
    <t>Baronia de Rialb</t>
  </si>
  <si>
    <t>17016</t>
  </si>
  <si>
    <t>Bàscara</t>
  </si>
  <si>
    <t>25044</t>
  </si>
  <si>
    <t>Bassella</t>
  </si>
  <si>
    <t>43022</t>
  </si>
  <si>
    <t>Batea</t>
  </si>
  <si>
    <t>08020</t>
  </si>
  <si>
    <t>17013</t>
  </si>
  <si>
    <t>Begur</t>
  </si>
  <si>
    <t>25046</t>
  </si>
  <si>
    <t>Belianes</t>
  </si>
  <si>
    <t>Veça per a farratge</t>
  </si>
  <si>
    <t>25170</t>
  </si>
  <si>
    <t>Bellaguarda</t>
  </si>
  <si>
    <t>17018</t>
  </si>
  <si>
    <t>Bellcaire d'Empordà</t>
  </si>
  <si>
    <t>25047</t>
  </si>
  <si>
    <t>Bellcaire d'Urgell</t>
  </si>
  <si>
    <t>25048</t>
  </si>
  <si>
    <t>Bell-lloc d'Urgell</t>
  </si>
  <si>
    <t>25049</t>
  </si>
  <si>
    <t>Bellmunt d'Urgell</t>
  </si>
  <si>
    <t>08021</t>
  </si>
  <si>
    <t>25050</t>
  </si>
  <si>
    <t>Bellpuig</t>
  </si>
  <si>
    <t>43024</t>
  </si>
  <si>
    <t>Bellvei</t>
  </si>
  <si>
    <t>25051</t>
  </si>
  <si>
    <t>Bellver de Cerdanya</t>
  </si>
  <si>
    <t>25052</t>
  </si>
  <si>
    <t>Bellvís</t>
  </si>
  <si>
    <t>25053</t>
  </si>
  <si>
    <t>Benavent de Segrià</t>
  </si>
  <si>
    <t>43025</t>
  </si>
  <si>
    <t>Benifallet</t>
  </si>
  <si>
    <t>43026</t>
  </si>
  <si>
    <t>Benissanet</t>
  </si>
  <si>
    <t>08022</t>
  </si>
  <si>
    <t>17020</t>
  </si>
  <si>
    <t>Bescanó</t>
  </si>
  <si>
    <t>08023</t>
  </si>
  <si>
    <t>25055</t>
  </si>
  <si>
    <t>Biosca</t>
  </si>
  <si>
    <t>43027</t>
  </si>
  <si>
    <t>Bisbal de Falset</t>
  </si>
  <si>
    <t>43028</t>
  </si>
  <si>
    <t>Bisbal del Penedès</t>
  </si>
  <si>
    <t>17022</t>
  </si>
  <si>
    <t>Bisbal d'Empordà</t>
  </si>
  <si>
    <t>17234</t>
  </si>
  <si>
    <t>Biure</t>
  </si>
  <si>
    <t>43029</t>
  </si>
  <si>
    <t>Blancafort</t>
  </si>
  <si>
    <t>17023</t>
  </si>
  <si>
    <t>17029</t>
  </si>
  <si>
    <t>Boadella i les Escaules</t>
  </si>
  <si>
    <t>43030</t>
  </si>
  <si>
    <t>Bonastre</t>
  </si>
  <si>
    <t>17025</t>
  </si>
  <si>
    <t>Bordils</t>
  </si>
  <si>
    <t>25058</t>
  </si>
  <si>
    <t>Borges Blanques</t>
  </si>
  <si>
    <t>43031</t>
  </si>
  <si>
    <t>Borges del Camp</t>
  </si>
  <si>
    <t>17026</t>
  </si>
  <si>
    <t>Borrassà</t>
  </si>
  <si>
    <t>08024</t>
  </si>
  <si>
    <t>43032</t>
  </si>
  <si>
    <t>Bot</t>
  </si>
  <si>
    <t>43033</t>
  </si>
  <si>
    <t>Botarell</t>
  </si>
  <si>
    <t>25056</t>
  </si>
  <si>
    <t>Bovera</t>
  </si>
  <si>
    <t>43034</t>
  </si>
  <si>
    <t>Bràfim</t>
  </si>
  <si>
    <t>08025</t>
  </si>
  <si>
    <t>Bruc</t>
  </si>
  <si>
    <t>08026</t>
  </si>
  <si>
    <t>Brull</t>
  </si>
  <si>
    <t>17028</t>
  </si>
  <si>
    <t>Brunyola i Sant Martí Sapresa</t>
  </si>
  <si>
    <t>43035</t>
  </si>
  <si>
    <t>Cabacés</t>
  </si>
  <si>
    <t>25060</t>
  </si>
  <si>
    <t>Cabanabona</t>
  </si>
  <si>
    <t>17031</t>
  </si>
  <si>
    <t>Cabanelles</t>
  </si>
  <si>
    <t>17030</t>
  </si>
  <si>
    <t>Cabanes</t>
  </si>
  <si>
    <t>08027</t>
  </si>
  <si>
    <t>Cabanyes</t>
  </si>
  <si>
    <t>25061</t>
  </si>
  <si>
    <t>Cabó</t>
  </si>
  <si>
    <t>43036</t>
  </si>
  <si>
    <t>Cabra del Camp</t>
  </si>
  <si>
    <t>08029</t>
  </si>
  <si>
    <t>Clavell</t>
  </si>
  <si>
    <t>Altres flors</t>
  </si>
  <si>
    <t>08028</t>
  </si>
  <si>
    <t>Cabrera d'Igualada</t>
  </si>
  <si>
    <t>08030</t>
  </si>
  <si>
    <t>08031</t>
  </si>
  <si>
    <t>43037</t>
  </si>
  <si>
    <t>Calafell</t>
  </si>
  <si>
    <t>08034</t>
  </si>
  <si>
    <t>17033</t>
  </si>
  <si>
    <t>Caldes de Malavella</t>
  </si>
  <si>
    <t>Fajol</t>
  </si>
  <si>
    <t>08033</t>
  </si>
  <si>
    <t>08035</t>
  </si>
  <si>
    <t>08037</t>
  </si>
  <si>
    <t>08038</t>
  </si>
  <si>
    <t>17034</t>
  </si>
  <si>
    <t>Calonge</t>
  </si>
  <si>
    <t>08036</t>
  </si>
  <si>
    <t>Lli oleaginós</t>
  </si>
  <si>
    <t>25062</t>
  </si>
  <si>
    <t>Camarasa</t>
  </si>
  <si>
    <t>43903</t>
  </si>
  <si>
    <t>Camarles</t>
  </si>
  <si>
    <t>43038</t>
  </si>
  <si>
    <t>Cambrils</t>
  </si>
  <si>
    <t>08039</t>
  </si>
  <si>
    <t>17038</t>
  </si>
  <si>
    <t>Campllong</t>
  </si>
  <si>
    <t>17040</t>
  </si>
  <si>
    <t>Canet d'Adri</t>
  </si>
  <si>
    <t>08040</t>
  </si>
  <si>
    <t>08041</t>
  </si>
  <si>
    <t>08042</t>
  </si>
  <si>
    <t>17041</t>
  </si>
  <si>
    <t>Cantallops</t>
  </si>
  <si>
    <t>08043</t>
  </si>
  <si>
    <t>43039</t>
  </si>
  <si>
    <t>Capafonts</t>
  </si>
  <si>
    <t>43040</t>
  </si>
  <si>
    <t>Capçanes</t>
  </si>
  <si>
    <t>08044</t>
  </si>
  <si>
    <t>17042</t>
  </si>
  <si>
    <t>Capmany</t>
  </si>
  <si>
    <t>08045</t>
  </si>
  <si>
    <t>08046</t>
  </si>
  <si>
    <t>08047</t>
  </si>
  <si>
    <t>08048</t>
  </si>
  <si>
    <t>43041</t>
  </si>
  <si>
    <t>Caseres</t>
  </si>
  <si>
    <t>17044</t>
  </si>
  <si>
    <t>Cassà de la Selva</t>
  </si>
  <si>
    <t>08049</t>
  </si>
  <si>
    <t>08057</t>
  </si>
  <si>
    <t>25904</t>
  </si>
  <si>
    <t>Castell de Mur</t>
  </si>
  <si>
    <t>25064</t>
  </si>
  <si>
    <t>Castellar de la Ribera</t>
  </si>
  <si>
    <t>08050</t>
  </si>
  <si>
    <t>08051</t>
  </si>
  <si>
    <t>08053</t>
  </si>
  <si>
    <t>08054</t>
  </si>
  <si>
    <t>08055</t>
  </si>
  <si>
    <t>25067</t>
  </si>
  <si>
    <t>Castelldans</t>
  </si>
  <si>
    <t>08056</t>
  </si>
  <si>
    <t>08058</t>
  </si>
  <si>
    <t>08060</t>
  </si>
  <si>
    <t>08059</t>
  </si>
  <si>
    <t>08061</t>
  </si>
  <si>
    <t>08062</t>
  </si>
  <si>
    <t>25068</t>
  </si>
  <si>
    <t>Castellnou de Seana</t>
  </si>
  <si>
    <t>25069</t>
  </si>
  <si>
    <t>Castelló de Farfanya</t>
  </si>
  <si>
    <t>17047</t>
  </si>
  <si>
    <t>Castelló d'Empúries</t>
  </si>
  <si>
    <t>08063</t>
  </si>
  <si>
    <t>17048</t>
  </si>
  <si>
    <t>Castell-Platja d'Aro</t>
  </si>
  <si>
    <t>25070</t>
  </si>
  <si>
    <t>Castellserà</t>
  </si>
  <si>
    <t>08064</t>
  </si>
  <si>
    <t>Lavanda</t>
  </si>
  <si>
    <t>08065</t>
  </si>
  <si>
    <t>08066</t>
  </si>
  <si>
    <t>43043</t>
  </si>
  <si>
    <t>Catllar</t>
  </si>
  <si>
    <t>17189</t>
  </si>
  <si>
    <t>Cellera de Ter</t>
  </si>
  <si>
    <t>17049</t>
  </si>
  <si>
    <t>Celrà</t>
  </si>
  <si>
    <t>08067</t>
  </si>
  <si>
    <t>08268</t>
  </si>
  <si>
    <t>08266</t>
  </si>
  <si>
    <t>08068</t>
  </si>
  <si>
    <t>25072</t>
  </si>
  <si>
    <t>Cervera</t>
  </si>
  <si>
    <t>25073</t>
  </si>
  <si>
    <t>Cervià de les Garrigues</t>
  </si>
  <si>
    <t>17050</t>
  </si>
  <si>
    <t>Cervià de Ter</t>
  </si>
  <si>
    <t>17051</t>
  </si>
  <si>
    <t>Cistella</t>
  </si>
  <si>
    <t>25074</t>
  </si>
  <si>
    <t>Ciutadilla</t>
  </si>
  <si>
    <t>25076</t>
  </si>
  <si>
    <t>Cogul</t>
  </si>
  <si>
    <t>25077</t>
  </si>
  <si>
    <t>Coll de Nargó</t>
  </si>
  <si>
    <t>08069</t>
  </si>
  <si>
    <t>43045</t>
  </si>
  <si>
    <t>Colldejou</t>
  </si>
  <si>
    <t>08070</t>
  </si>
  <si>
    <t>25161</t>
  </si>
  <si>
    <t>Conca de Dalt</t>
  </si>
  <si>
    <t>43046</t>
  </si>
  <si>
    <t>Conesa</t>
  </si>
  <si>
    <t>43047</t>
  </si>
  <si>
    <t>Constantí</t>
  </si>
  <si>
    <t>08071</t>
  </si>
  <si>
    <t>43048</t>
  </si>
  <si>
    <t>Corbera d'Ebre</t>
  </si>
  <si>
    <t>25078</t>
  </si>
  <si>
    <t>Corbins</t>
  </si>
  <si>
    <t>17057</t>
  </si>
  <si>
    <t>Corçà</t>
  </si>
  <si>
    <t>08073</t>
  </si>
  <si>
    <t>17056</t>
  </si>
  <si>
    <t>Cornellà del Terri</t>
  </si>
  <si>
    <t>43049</t>
  </si>
  <si>
    <t>Cornudella de Montsant</t>
  </si>
  <si>
    <t>43050</t>
  </si>
  <si>
    <t>Creixell</t>
  </si>
  <si>
    <t>17058</t>
  </si>
  <si>
    <t>Crespià</t>
  </si>
  <si>
    <t>17901</t>
  </si>
  <si>
    <t>Cruïlles, Monells i Sant Sadurní de l'Heura</t>
  </si>
  <si>
    <t>08074</t>
  </si>
  <si>
    <t>25079</t>
  </si>
  <si>
    <t>Cubells</t>
  </si>
  <si>
    <t>43051</t>
  </si>
  <si>
    <t>Cunit</t>
  </si>
  <si>
    <t>17060</t>
  </si>
  <si>
    <t>Darnius</t>
  </si>
  <si>
    <t>17061</t>
  </si>
  <si>
    <t>Das</t>
  </si>
  <si>
    <t>43901</t>
  </si>
  <si>
    <t>Deltebre</t>
  </si>
  <si>
    <t>08075</t>
  </si>
  <si>
    <t>43053</t>
  </si>
  <si>
    <t>Duesaigües</t>
  </si>
  <si>
    <t>17062</t>
  </si>
  <si>
    <t>Escala</t>
  </si>
  <si>
    <t>08076</t>
  </si>
  <si>
    <t>17063</t>
  </si>
  <si>
    <t>Espinelves</t>
  </si>
  <si>
    <t>25081</t>
  </si>
  <si>
    <t>Espluga Calba</t>
  </si>
  <si>
    <t>43054</t>
  </si>
  <si>
    <t>Espluga de Francolí</t>
  </si>
  <si>
    <t>17064</t>
  </si>
  <si>
    <t>Espolla</t>
  </si>
  <si>
    <t>17065</t>
  </si>
  <si>
    <t>Esponellà</t>
  </si>
  <si>
    <t>08078</t>
  </si>
  <si>
    <t>Espunyola</t>
  </si>
  <si>
    <t>08079</t>
  </si>
  <si>
    <t>Estany</t>
  </si>
  <si>
    <t>25085</t>
  </si>
  <si>
    <t>Estaràs</t>
  </si>
  <si>
    <t>25086</t>
  </si>
  <si>
    <t>Esterri d'Àneu</t>
  </si>
  <si>
    <t>43055</t>
  </si>
  <si>
    <t>Falset</t>
  </si>
  <si>
    <t>17005</t>
  </si>
  <si>
    <t>Far d'Empordà</t>
  </si>
  <si>
    <t>43056</t>
  </si>
  <si>
    <t>Fatarella</t>
  </si>
  <si>
    <t>08134</t>
  </si>
  <si>
    <t>Figaró-Montmany</t>
  </si>
  <si>
    <t>25908</t>
  </si>
  <si>
    <t>Fígols i Alinyà</t>
  </si>
  <si>
    <t>17066</t>
  </si>
  <si>
    <t>Figueres</t>
  </si>
  <si>
    <t>43059</t>
  </si>
  <si>
    <t>Figuerola del Camp</t>
  </si>
  <si>
    <t>17067</t>
  </si>
  <si>
    <t>Flaçà</t>
  </si>
  <si>
    <t>43060</t>
  </si>
  <si>
    <t>Flix</t>
  </si>
  <si>
    <t>25092</t>
  </si>
  <si>
    <t>Floresta</t>
  </si>
  <si>
    <t>08082</t>
  </si>
  <si>
    <t>08081</t>
  </si>
  <si>
    <t>17068</t>
  </si>
  <si>
    <t>Foixà</t>
  </si>
  <si>
    <t>08083</t>
  </si>
  <si>
    <t>25093</t>
  </si>
  <si>
    <t>Fondarella</t>
  </si>
  <si>
    <t>08084</t>
  </si>
  <si>
    <t>17070</t>
  </si>
  <si>
    <t>Fontanilles</t>
  </si>
  <si>
    <t>08085</t>
  </si>
  <si>
    <t>25094</t>
  </si>
  <si>
    <t>Foradada</t>
  </si>
  <si>
    <t>17902</t>
  </si>
  <si>
    <t>Forallac</t>
  </si>
  <si>
    <t>43061</t>
  </si>
  <si>
    <t>Forès</t>
  </si>
  <si>
    <t>17073</t>
  </si>
  <si>
    <t>Fornells de la Selva</t>
  </si>
  <si>
    <t>17074</t>
  </si>
  <si>
    <t>Fortià</t>
  </si>
  <si>
    <t>08086</t>
  </si>
  <si>
    <t>Franqueses del Vallès</t>
  </si>
  <si>
    <t>43062</t>
  </si>
  <si>
    <t>Freginals</t>
  </si>
  <si>
    <t>25096</t>
  </si>
  <si>
    <t>Fuliola</t>
  </si>
  <si>
    <t>25097</t>
  </si>
  <si>
    <t>Fulleda</t>
  </si>
  <si>
    <t>08090</t>
  </si>
  <si>
    <t>43063</t>
  </si>
  <si>
    <t>Galera</t>
  </si>
  <si>
    <t>08087</t>
  </si>
  <si>
    <t>43064</t>
  </si>
  <si>
    <t>Gandesa</t>
  </si>
  <si>
    <t>Espàrrec</t>
  </si>
  <si>
    <t>43065</t>
  </si>
  <si>
    <t>Garcia</t>
  </si>
  <si>
    <t>43066</t>
  </si>
  <si>
    <t>Garidells</t>
  </si>
  <si>
    <t>08088</t>
  </si>
  <si>
    <t>Garriga</t>
  </si>
  <si>
    <t>17075</t>
  </si>
  <si>
    <t>Garrigàs</t>
  </si>
  <si>
    <t>17076</t>
  </si>
  <si>
    <t>Garrigoles</t>
  </si>
  <si>
    <t>17077</t>
  </si>
  <si>
    <t>Garriguella</t>
  </si>
  <si>
    <t>08089</t>
  </si>
  <si>
    <t>25098</t>
  </si>
  <si>
    <t>Gavet de la Conca</t>
  </si>
  <si>
    <t>08091</t>
  </si>
  <si>
    <t>17078</t>
  </si>
  <si>
    <t>Ger</t>
  </si>
  <si>
    <t>25912</t>
  </si>
  <si>
    <t>Gimenells i el Pla de la Font</t>
  </si>
  <si>
    <t>43067</t>
  </si>
  <si>
    <t>Ginestar</t>
  </si>
  <si>
    <t>17079</t>
  </si>
  <si>
    <t>Girona</t>
  </si>
  <si>
    <t>08092</t>
  </si>
  <si>
    <t>43068</t>
  </si>
  <si>
    <t>Godall</t>
  </si>
  <si>
    <t>25099</t>
  </si>
  <si>
    <t>Golmés</t>
  </si>
  <si>
    <t>08094</t>
  </si>
  <si>
    <t>Granada</t>
  </si>
  <si>
    <t>25101</t>
  </si>
  <si>
    <t>Granadella</t>
  </si>
  <si>
    <t>08095</t>
  </si>
  <si>
    <t>25102</t>
  </si>
  <si>
    <t>Granja d'Escarp</t>
  </si>
  <si>
    <t>08096</t>
  </si>
  <si>
    <t>25103</t>
  </si>
  <si>
    <t>Granyanella</t>
  </si>
  <si>
    <t>25105</t>
  </si>
  <si>
    <t>Granyena de les Garrigues</t>
  </si>
  <si>
    <t>25104</t>
  </si>
  <si>
    <t>Granyena de Segarra</t>
  </si>
  <si>
    <t>08097</t>
  </si>
  <si>
    <t>17081</t>
  </si>
  <si>
    <t>Gualta</t>
  </si>
  <si>
    <t>08099</t>
  </si>
  <si>
    <t>43070</t>
  </si>
  <si>
    <t>Guiamets</t>
  </si>
  <si>
    <t>25109</t>
  </si>
  <si>
    <t>Guimerà</t>
  </si>
  <si>
    <t>25903</t>
  </si>
  <si>
    <t>Guingueta d'Àneu</t>
  </si>
  <si>
    <t>25110</t>
  </si>
  <si>
    <t>Guissona</t>
  </si>
  <si>
    <t>08100</t>
  </si>
  <si>
    <t>43071</t>
  </si>
  <si>
    <t>Horta de Sant Joan</t>
  </si>
  <si>
    <t>08101</t>
  </si>
  <si>
    <t>Hospitalet de Llobregat</t>
  </si>
  <si>
    <t>08162</t>
  </si>
  <si>
    <t>Hostalets de Pierola</t>
  </si>
  <si>
    <t>08102</t>
  </si>
  <si>
    <t>25115</t>
  </si>
  <si>
    <t>Isona i Conca Dellà</t>
  </si>
  <si>
    <t>17084</t>
  </si>
  <si>
    <t>Isòvol</t>
  </si>
  <si>
    <t>25112</t>
  </si>
  <si>
    <t>Ivars de Noguera</t>
  </si>
  <si>
    <t>25113</t>
  </si>
  <si>
    <t>Ivars d'Urgell</t>
  </si>
  <si>
    <t>25114</t>
  </si>
  <si>
    <t>Ivorra</t>
  </si>
  <si>
    <t>17085</t>
  </si>
  <si>
    <t>Jafre</t>
  </si>
  <si>
    <t>17086</t>
  </si>
  <si>
    <t>Jonquera</t>
  </si>
  <si>
    <t>08103</t>
  </si>
  <si>
    <t>17087</t>
  </si>
  <si>
    <t>Juià</t>
  </si>
  <si>
    <t>25118</t>
  </si>
  <si>
    <t>Juncosa</t>
  </si>
  <si>
    <t>25119</t>
  </si>
  <si>
    <t>Juneda</t>
  </si>
  <si>
    <t>43907</t>
  </si>
  <si>
    <t>La Canonja</t>
  </si>
  <si>
    <t>25122</t>
  </si>
  <si>
    <t>Linyola</t>
  </si>
  <si>
    <t>08104</t>
  </si>
  <si>
    <t>Llacuna</t>
  </si>
  <si>
    <t>17088</t>
  </si>
  <si>
    <t>Lladó</t>
  </si>
  <si>
    <t>17089</t>
  </si>
  <si>
    <t>Llagostera</t>
  </si>
  <si>
    <t>17090</t>
  </si>
  <si>
    <t>Llambilles</t>
  </si>
  <si>
    <t>17092</t>
  </si>
  <si>
    <t>Llançà</t>
  </si>
  <si>
    <t>25125</t>
  </si>
  <si>
    <t>Llardecans</t>
  </si>
  <si>
    <t>25120</t>
  </si>
  <si>
    <t>Lleida</t>
  </si>
  <si>
    <t>17093</t>
  </si>
  <si>
    <t>Llers</t>
  </si>
  <si>
    <t>08107</t>
  </si>
  <si>
    <t>08108</t>
  </si>
  <si>
    <t>25128</t>
  </si>
  <si>
    <t>Llimiana</t>
  </si>
  <si>
    <t>08106</t>
  </si>
  <si>
    <t>43072</t>
  </si>
  <si>
    <t>Lloar</t>
  </si>
  <si>
    <t>43073</t>
  </si>
  <si>
    <t>Llorac</t>
  </si>
  <si>
    <t>43074</t>
  </si>
  <si>
    <t>Llorenç del Penedès</t>
  </si>
  <si>
    <t>17095</t>
  </si>
  <si>
    <t>Lloret de Mar</t>
  </si>
  <si>
    <t>08109</t>
  </si>
  <si>
    <t>17103</t>
  </si>
  <si>
    <t>Maçanet de la Selva</t>
  </si>
  <si>
    <t>17097</t>
  </si>
  <si>
    <t>Madremanya</t>
  </si>
  <si>
    <t>17098</t>
  </si>
  <si>
    <t>Maià de Montcal</t>
  </si>
  <si>
    <t>25133</t>
  </si>
  <si>
    <t>Maials</t>
  </si>
  <si>
    <t>25130</t>
  </si>
  <si>
    <t>Maldà</t>
  </si>
  <si>
    <t>08110</t>
  </si>
  <si>
    <t>08111</t>
  </si>
  <si>
    <t>08112</t>
  </si>
  <si>
    <t>08113</t>
  </si>
  <si>
    <t>43076</t>
  </si>
  <si>
    <t>Marçà</t>
  </si>
  <si>
    <t>43075</t>
  </si>
  <si>
    <t>Margalef</t>
  </si>
  <si>
    <t>08242</t>
  </si>
  <si>
    <t>08114</t>
  </si>
  <si>
    <t>43077</t>
  </si>
  <si>
    <t>Mas de Barberans</t>
  </si>
  <si>
    <t>17100</t>
  </si>
  <si>
    <t>Masarac</t>
  </si>
  <si>
    <t>43078</t>
  </si>
  <si>
    <t>Masdenverge</t>
  </si>
  <si>
    <t>08116</t>
  </si>
  <si>
    <t>Masies de Roda</t>
  </si>
  <si>
    <t>08117</t>
  </si>
  <si>
    <t>Masies de Voltregà</t>
  </si>
  <si>
    <t>43079</t>
  </si>
  <si>
    <t>Masllorenç</t>
  </si>
  <si>
    <t>08118</t>
  </si>
  <si>
    <t>Masnou</t>
  </si>
  <si>
    <t>43080</t>
  </si>
  <si>
    <t>Masó</t>
  </si>
  <si>
    <t>43081</t>
  </si>
  <si>
    <t>Maspujols</t>
  </si>
  <si>
    <t>08119</t>
  </si>
  <si>
    <t>43082</t>
  </si>
  <si>
    <t>Masroig</t>
  </si>
  <si>
    <t>25131</t>
  </si>
  <si>
    <t>Massalcoreig</t>
  </si>
  <si>
    <t>17101</t>
  </si>
  <si>
    <t>Massanes</t>
  </si>
  <si>
    <t>25132</t>
  </si>
  <si>
    <t>Massoteres</t>
  </si>
  <si>
    <t>08120</t>
  </si>
  <si>
    <t>08121</t>
  </si>
  <si>
    <t>08122</t>
  </si>
  <si>
    <t>25134</t>
  </si>
  <si>
    <t>Menàrguens</t>
  </si>
  <si>
    <t>43083</t>
  </si>
  <si>
    <t>Milà</t>
  </si>
  <si>
    <t>25135</t>
  </si>
  <si>
    <t>Miralcamp</t>
  </si>
  <si>
    <t>43084</t>
  </si>
  <si>
    <t>Miravet</t>
  </si>
  <si>
    <t>08138</t>
  </si>
  <si>
    <t>Remolatxa farratgera</t>
  </si>
  <si>
    <t>08123</t>
  </si>
  <si>
    <t>25137</t>
  </si>
  <si>
    <t>Mollerussa</t>
  </si>
  <si>
    <t>17106</t>
  </si>
  <si>
    <t>Mollet de Peralada</t>
  </si>
  <si>
    <t>08124</t>
  </si>
  <si>
    <t>08128</t>
  </si>
  <si>
    <t>08127</t>
  </si>
  <si>
    <t>43086</t>
  </si>
  <si>
    <t>Montblanc</t>
  </si>
  <si>
    <t>43088</t>
  </si>
  <si>
    <t>Montbrió del Camp</t>
  </si>
  <si>
    <t>08125</t>
  </si>
  <si>
    <t>08130</t>
  </si>
  <si>
    <t>08131</t>
  </si>
  <si>
    <t>25140</t>
  </si>
  <si>
    <t>Montferrer i Castellbò</t>
  </si>
  <si>
    <t>43089</t>
  </si>
  <si>
    <t>Montferri</t>
  </si>
  <si>
    <t>25138</t>
  </si>
  <si>
    <t>Montgai</t>
  </si>
  <si>
    <t>08126</t>
  </si>
  <si>
    <t>08132</t>
  </si>
  <si>
    <t>08133</t>
  </si>
  <si>
    <t>43090</t>
  </si>
  <si>
    <t>Montmell</t>
  </si>
  <si>
    <t>08135</t>
  </si>
  <si>
    <t>25142</t>
  </si>
  <si>
    <t>Montoliu de Lleida</t>
  </si>
  <si>
    <t>25141</t>
  </si>
  <si>
    <t>Montoliu de Segarra</t>
  </si>
  <si>
    <t>25143</t>
  </si>
  <si>
    <t>Montornès de Segarra</t>
  </si>
  <si>
    <t>08136</t>
  </si>
  <si>
    <t>43091</t>
  </si>
  <si>
    <t>Mont-ral</t>
  </si>
  <si>
    <t>17110</t>
  </si>
  <si>
    <t>Mont-ras</t>
  </si>
  <si>
    <t>43092</t>
  </si>
  <si>
    <t>Mont-roig del Camp</t>
  </si>
  <si>
    <t>08137</t>
  </si>
  <si>
    <t>43093</t>
  </si>
  <si>
    <t>Móra d'Ebre</t>
  </si>
  <si>
    <t>43094</t>
  </si>
  <si>
    <t>Móra la Nova</t>
  </si>
  <si>
    <t>43095</t>
  </si>
  <si>
    <t>Morell</t>
  </si>
  <si>
    <t>43096</t>
  </si>
  <si>
    <t>Morera de Montsant</t>
  </si>
  <si>
    <t>08129</t>
  </si>
  <si>
    <t>08139</t>
  </si>
  <si>
    <t>25145</t>
  </si>
  <si>
    <t>Nalec</t>
  </si>
  <si>
    <t>25025</t>
  </si>
  <si>
    <t>Naut Aran</t>
  </si>
  <si>
    <t>08140</t>
  </si>
  <si>
    <t>08141</t>
  </si>
  <si>
    <t>17111</t>
  </si>
  <si>
    <t>Navata</t>
  </si>
  <si>
    <t>08142</t>
  </si>
  <si>
    <t>Nou de Berguedà</t>
  </si>
  <si>
    <t>43097</t>
  </si>
  <si>
    <t>Nou de Gaià</t>
  </si>
  <si>
    <t>43098</t>
  </si>
  <si>
    <t>Nulles</t>
  </si>
  <si>
    <t>25148</t>
  </si>
  <si>
    <t>Odèn</t>
  </si>
  <si>
    <t>08143</t>
  </si>
  <si>
    <t>Càrtam</t>
  </si>
  <si>
    <t>08145</t>
  </si>
  <si>
    <t>08146</t>
  </si>
  <si>
    <t>08147</t>
  </si>
  <si>
    <t>25149</t>
  </si>
  <si>
    <t>Oliana</t>
  </si>
  <si>
    <t>25150</t>
  </si>
  <si>
    <t>Oliola</t>
  </si>
  <si>
    <t>08148</t>
  </si>
  <si>
    <t>08149</t>
  </si>
  <si>
    <t>25152</t>
  </si>
  <si>
    <t>Oluges</t>
  </si>
  <si>
    <t>08144</t>
  </si>
  <si>
    <t>25153</t>
  </si>
  <si>
    <t>Omellons</t>
  </si>
  <si>
    <t>25154</t>
  </si>
  <si>
    <t>Omells de na Gaia</t>
  </si>
  <si>
    <t>17115</t>
  </si>
  <si>
    <t>Ordis</t>
  </si>
  <si>
    <t>25155</t>
  </si>
  <si>
    <t>Organyà</t>
  </si>
  <si>
    <t>08150</t>
  </si>
  <si>
    <t>08151</t>
  </si>
  <si>
    <t>Mestall i altres mescles</t>
  </si>
  <si>
    <t>08152</t>
  </si>
  <si>
    <t>08153</t>
  </si>
  <si>
    <t>25156</t>
  </si>
  <si>
    <t>Os de Balaguer</t>
  </si>
  <si>
    <t>25157</t>
  </si>
  <si>
    <t>Ossó de Sió</t>
  </si>
  <si>
    <t>08154</t>
  </si>
  <si>
    <t>08155</t>
  </si>
  <si>
    <t>17117</t>
  </si>
  <si>
    <t>Palafrugell</t>
  </si>
  <si>
    <t>17118</t>
  </si>
  <si>
    <t>Palamós</t>
  </si>
  <si>
    <t>25158</t>
  </si>
  <si>
    <t>Palau d'Anglesola</t>
  </si>
  <si>
    <t>17119</t>
  </si>
  <si>
    <t>Palau de Santa Eulàlia</t>
  </si>
  <si>
    <t>17121</t>
  </si>
  <si>
    <t>Palau-sator</t>
  </si>
  <si>
    <t>17120</t>
  </si>
  <si>
    <t>Palau-saverdera</t>
  </si>
  <si>
    <t>08156</t>
  </si>
  <si>
    <t>43100</t>
  </si>
  <si>
    <t>Pallaresos</t>
  </si>
  <si>
    <t>08157</t>
  </si>
  <si>
    <t>08905</t>
  </si>
  <si>
    <t>Palma de Cervelló</t>
  </si>
  <si>
    <t>43099</t>
  </si>
  <si>
    <t>Palma d'Ebre</t>
  </si>
  <si>
    <t>17124</t>
  </si>
  <si>
    <t>Pals</t>
  </si>
  <si>
    <t>08158</t>
  </si>
  <si>
    <t>Papiol</t>
  </si>
  <si>
    <t>08159</t>
  </si>
  <si>
    <t>17126</t>
  </si>
  <si>
    <t>Parlavà</t>
  </si>
  <si>
    <t>43101</t>
  </si>
  <si>
    <t>Passanant i Belltall</t>
  </si>
  <si>
    <t>17128</t>
  </si>
  <si>
    <t>Pau</t>
  </si>
  <si>
    <t>43102</t>
  </si>
  <si>
    <t>Paüls</t>
  </si>
  <si>
    <t>17129</t>
  </si>
  <si>
    <t>Pedret i Marzà</t>
  </si>
  <si>
    <t>25164</t>
  </si>
  <si>
    <t>Penelles</t>
  </si>
  <si>
    <t>17130</t>
  </si>
  <si>
    <t>Pera</t>
  </si>
  <si>
    <t>08160</t>
  </si>
  <si>
    <t>43103</t>
  </si>
  <si>
    <t>Perafort</t>
  </si>
  <si>
    <t>17132</t>
  </si>
  <si>
    <t>Peralada</t>
  </si>
  <si>
    <t>25165</t>
  </si>
  <si>
    <t>Peramola</t>
  </si>
  <si>
    <t>43104</t>
  </si>
  <si>
    <t>Perelló</t>
  </si>
  <si>
    <t>08161</t>
  </si>
  <si>
    <t>43105</t>
  </si>
  <si>
    <t>Piles</t>
  </si>
  <si>
    <t>08163</t>
  </si>
  <si>
    <t>43106</t>
  </si>
  <si>
    <t>Pinell de Brai</t>
  </si>
  <si>
    <t>25166</t>
  </si>
  <si>
    <t>Pinell de Solsonès</t>
  </si>
  <si>
    <t>43107</t>
  </si>
  <si>
    <t>Pira</t>
  </si>
  <si>
    <t>43108</t>
  </si>
  <si>
    <t>Pla de Santa Maria</t>
  </si>
  <si>
    <t>08164</t>
  </si>
  <si>
    <t>Pla del Penedès</t>
  </si>
  <si>
    <t>17133</t>
  </si>
  <si>
    <t>Planes d'Hostoles</t>
  </si>
  <si>
    <t>25911</t>
  </si>
  <si>
    <t>Plans de Sió</t>
  </si>
  <si>
    <t>25168</t>
  </si>
  <si>
    <t>Poal</t>
  </si>
  <si>
    <t>25169</t>
  </si>
  <si>
    <t>Pobla de Cérvoles</t>
  </si>
  <si>
    <t>08165</t>
  </si>
  <si>
    <t>Pobla de Claramunt</t>
  </si>
  <si>
    <t>08166</t>
  </si>
  <si>
    <t>Pobla de Lillet</t>
  </si>
  <si>
    <t>43109</t>
  </si>
  <si>
    <t>Pobla de Mafumet</t>
  </si>
  <si>
    <t>43110</t>
  </si>
  <si>
    <t>Pobla de Massaluca</t>
  </si>
  <si>
    <t>43111</t>
  </si>
  <si>
    <t>Pobla de Montornès</t>
  </si>
  <si>
    <t>25171</t>
  </si>
  <si>
    <t>Pobla de Segur</t>
  </si>
  <si>
    <t>43112</t>
  </si>
  <si>
    <t>Poboleda</t>
  </si>
  <si>
    <t>08167</t>
  </si>
  <si>
    <t>43113</t>
  </si>
  <si>
    <t>Pont d'Armentera</t>
  </si>
  <si>
    <t>25030</t>
  </si>
  <si>
    <t>Pont de Bar</t>
  </si>
  <si>
    <t>17135</t>
  </si>
  <si>
    <t>Pont de Molins</t>
  </si>
  <si>
    <t>25173</t>
  </si>
  <si>
    <t>Pont de Suert</t>
  </si>
  <si>
    <t>08182</t>
  </si>
  <si>
    <t>Pont de Vilomara i Rocafort</t>
  </si>
  <si>
    <t>43141</t>
  </si>
  <si>
    <t>Pontils</t>
  </si>
  <si>
    <t>08168</t>
  </si>
  <si>
    <t>17136</t>
  </si>
  <si>
    <t>Pontós</t>
  </si>
  <si>
    <t>25172</t>
  </si>
  <si>
    <t>Ponts</t>
  </si>
  <si>
    <t>17137</t>
  </si>
  <si>
    <t>Porqueres</t>
  </si>
  <si>
    <t>43114</t>
  </si>
  <si>
    <t>Porrera</t>
  </si>
  <si>
    <t>25174</t>
  </si>
  <si>
    <t>Portella</t>
  </si>
  <si>
    <t>43115</t>
  </si>
  <si>
    <t>Pradell de la Teixeta</t>
  </si>
  <si>
    <t>43116</t>
  </si>
  <si>
    <t>Prades</t>
  </si>
  <si>
    <t>08169</t>
  </si>
  <si>
    <t>Prat de Llobregat</t>
  </si>
  <si>
    <t>43118</t>
  </si>
  <si>
    <t>Pratdip</t>
  </si>
  <si>
    <t>08171</t>
  </si>
  <si>
    <t>08170</t>
  </si>
  <si>
    <t>Prats de Rei</t>
  </si>
  <si>
    <t>25176</t>
  </si>
  <si>
    <t>Preixana</t>
  </si>
  <si>
    <t>25177</t>
  </si>
  <si>
    <t>Preixens</t>
  </si>
  <si>
    <t>08230</t>
  </si>
  <si>
    <t>08172</t>
  </si>
  <si>
    <t>08174</t>
  </si>
  <si>
    <t>25180</t>
  </si>
  <si>
    <t>Puiggròs</t>
  </si>
  <si>
    <t>43119</t>
  </si>
  <si>
    <t>Puigpelat</t>
  </si>
  <si>
    <t>08175</t>
  </si>
  <si>
    <t>25181</t>
  </si>
  <si>
    <t>Puigverd d'Agramunt</t>
  </si>
  <si>
    <t>25182</t>
  </si>
  <si>
    <t>Puigverd de Lleida</t>
  </si>
  <si>
    <t>08176</t>
  </si>
  <si>
    <t>08177</t>
  </si>
  <si>
    <t>Quar</t>
  </si>
  <si>
    <t>43120</t>
  </si>
  <si>
    <t>Querol</t>
  </si>
  <si>
    <t>17143</t>
  </si>
  <si>
    <t>Rabós</t>
  </si>
  <si>
    <t>08178</t>
  </si>
  <si>
    <t>43121</t>
  </si>
  <si>
    <t>Rasquera</t>
  </si>
  <si>
    <t>17144</t>
  </si>
  <si>
    <t>Regencós</t>
  </si>
  <si>
    <t>08179</t>
  </si>
  <si>
    <t>43122</t>
  </si>
  <si>
    <t>Renau</t>
  </si>
  <si>
    <t>43123</t>
  </si>
  <si>
    <t>Reus</t>
  </si>
  <si>
    <t>25183</t>
  </si>
  <si>
    <t>Rialp</t>
  </si>
  <si>
    <t>43124</t>
  </si>
  <si>
    <t>Riba</t>
  </si>
  <si>
    <t>43125</t>
  </si>
  <si>
    <t>Riba-roja d'Ebre</t>
  </si>
  <si>
    <t>25905</t>
  </si>
  <si>
    <t>Ribera d'Ondara</t>
  </si>
  <si>
    <t>25185</t>
  </si>
  <si>
    <t>Ribera d'Urgellet</t>
  </si>
  <si>
    <t>17146</t>
  </si>
  <si>
    <t>Riells i Viabrea</t>
  </si>
  <si>
    <t>43126</t>
  </si>
  <si>
    <t>Riera de Gaià</t>
  </si>
  <si>
    <t>25186</t>
  </si>
  <si>
    <t>Riner</t>
  </si>
  <si>
    <t>08180</t>
  </si>
  <si>
    <t>25913</t>
  </si>
  <si>
    <t>Riu de Cerdanya</t>
  </si>
  <si>
    <t>17148</t>
  </si>
  <si>
    <t>Riudarenes</t>
  </si>
  <si>
    <t>17149</t>
  </si>
  <si>
    <t>Riudaura</t>
  </si>
  <si>
    <t>43127</t>
  </si>
  <si>
    <t>Riudecanyes</t>
  </si>
  <si>
    <t>43128</t>
  </si>
  <si>
    <t>Riudecols</t>
  </si>
  <si>
    <t>17150</t>
  </si>
  <si>
    <t>Riudellots de la Selva</t>
  </si>
  <si>
    <t>43129</t>
  </si>
  <si>
    <t>Riudoms</t>
  </si>
  <si>
    <t>17151</t>
  </si>
  <si>
    <t>Riumors</t>
  </si>
  <si>
    <t>08181</t>
  </si>
  <si>
    <t>Roca del Vallès</t>
  </si>
  <si>
    <t>43130</t>
  </si>
  <si>
    <t>Rocafort de Queralt</t>
  </si>
  <si>
    <t>43131</t>
  </si>
  <si>
    <t>Roda de Berà</t>
  </si>
  <si>
    <t>08183</t>
  </si>
  <si>
    <t>43132</t>
  </si>
  <si>
    <t>Rodonyà</t>
  </si>
  <si>
    <t>43133</t>
  </si>
  <si>
    <t>Roquetes</t>
  </si>
  <si>
    <t>Agrostis</t>
  </si>
  <si>
    <t>17152</t>
  </si>
  <si>
    <t>Roses</t>
  </si>
  <si>
    <t>25189</t>
  </si>
  <si>
    <t>Rosselló</t>
  </si>
  <si>
    <t>43134</t>
  </si>
  <si>
    <t>Rourell</t>
  </si>
  <si>
    <t>08184</t>
  </si>
  <si>
    <t>08185</t>
  </si>
  <si>
    <t>17153</t>
  </si>
  <si>
    <t>Rupià</t>
  </si>
  <si>
    <t>08901</t>
  </si>
  <si>
    <t>08187</t>
  </si>
  <si>
    <t>08188</t>
  </si>
  <si>
    <t>25190</t>
  </si>
  <si>
    <t>Salàs de Pallars</t>
  </si>
  <si>
    <t>08190</t>
  </si>
  <si>
    <t>17154</t>
  </si>
  <si>
    <t>Sales de Llierca</t>
  </si>
  <si>
    <t>08191</t>
  </si>
  <si>
    <t>43135</t>
  </si>
  <si>
    <t>Salomó</t>
  </si>
  <si>
    <t>43905</t>
  </si>
  <si>
    <t>Salou</t>
  </si>
  <si>
    <t>25191</t>
  </si>
  <si>
    <t>Sanaüja</t>
  </si>
  <si>
    <t>08195</t>
  </si>
  <si>
    <t>08197</t>
  </si>
  <si>
    <t>17157</t>
  </si>
  <si>
    <t>Sant Andreu Salou</t>
  </si>
  <si>
    <t>17183</t>
  </si>
  <si>
    <t>Sant Aniol de Finestres</t>
  </si>
  <si>
    <t>08198</t>
  </si>
  <si>
    <t>08199</t>
  </si>
  <si>
    <t>08200</t>
  </si>
  <si>
    <t>08201</t>
  </si>
  <si>
    <t>43136</t>
  </si>
  <si>
    <t>Sant Carles de la Ràpita</t>
  </si>
  <si>
    <t>08203</t>
  </si>
  <si>
    <t>08202</t>
  </si>
  <si>
    <t>08204</t>
  </si>
  <si>
    <t>17158</t>
  </si>
  <si>
    <t>Sant Climent Sescebes</t>
  </si>
  <si>
    <t>08205</t>
  </si>
  <si>
    <t>08206</t>
  </si>
  <si>
    <t>25196</t>
  </si>
  <si>
    <t>Sant Esteve de la Sarga</t>
  </si>
  <si>
    <t>08207</t>
  </si>
  <si>
    <t>08208</t>
  </si>
  <si>
    <t>17159</t>
  </si>
  <si>
    <t>Sant Feliu de Buixalleu</t>
  </si>
  <si>
    <t>08210</t>
  </si>
  <si>
    <t>17160</t>
  </si>
  <si>
    <t>Sant Feliu de Guíxols</t>
  </si>
  <si>
    <t>08211</t>
  </si>
  <si>
    <t>17161</t>
  </si>
  <si>
    <t>Sant Feliu de Pallerols</t>
  </si>
  <si>
    <t>08212</t>
  </si>
  <si>
    <t>17162</t>
  </si>
  <si>
    <t>Sant Ferriol</t>
  </si>
  <si>
    <t>08209</t>
  </si>
  <si>
    <t>08213</t>
  </si>
  <si>
    <t>17163</t>
  </si>
  <si>
    <t>Sant Gregori</t>
  </si>
  <si>
    <t>25192</t>
  </si>
  <si>
    <t>Sant Guim de Freixenet</t>
  </si>
  <si>
    <t>25197</t>
  </si>
  <si>
    <t>Sant Guim de la Plana</t>
  </si>
  <si>
    <t>17164</t>
  </si>
  <si>
    <t>Sant Hilari Sacalm</t>
  </si>
  <si>
    <t>08215</t>
  </si>
  <si>
    <t>08193</t>
  </si>
  <si>
    <t>08216</t>
  </si>
  <si>
    <t>43137</t>
  </si>
  <si>
    <t>Sant Jaume dels Domenys</t>
  </si>
  <si>
    <t>43902</t>
  </si>
  <si>
    <t>Sant Jaume d'Enveja</t>
  </si>
  <si>
    <t>17168</t>
  </si>
  <si>
    <t>Sant Joan de Mollet</t>
  </si>
  <si>
    <t>08218</t>
  </si>
  <si>
    <t>08217</t>
  </si>
  <si>
    <t>17185</t>
  </si>
  <si>
    <t>Sant Joan les Fonts</t>
  </si>
  <si>
    <t>17166</t>
  </si>
  <si>
    <t>Sant Jordi Desvalls</t>
  </si>
  <si>
    <t>08903</t>
  </si>
  <si>
    <t>17169</t>
  </si>
  <si>
    <t>Sant Julià de Ramis</t>
  </si>
  <si>
    <t>08220</t>
  </si>
  <si>
    <t>17903</t>
  </si>
  <si>
    <t>Sant Julià del Llor i Bonmatí</t>
  </si>
  <si>
    <t>08221</t>
  </si>
  <si>
    <t>25193</t>
  </si>
  <si>
    <t>Sant Llorenç de Morunys</t>
  </si>
  <si>
    <t>08222</t>
  </si>
  <si>
    <t>08223</t>
  </si>
  <si>
    <t>08225</t>
  </si>
  <si>
    <t>08224</t>
  </si>
  <si>
    <t>17172</t>
  </si>
  <si>
    <t>Sant Martí de Llémena</t>
  </si>
  <si>
    <t>25902</t>
  </si>
  <si>
    <t>Sant Martí de Riucorb</t>
  </si>
  <si>
    <t>08226</t>
  </si>
  <si>
    <t>08227</t>
  </si>
  <si>
    <t>08228</t>
  </si>
  <si>
    <t>17173</t>
  </si>
  <si>
    <t>Sant Martí Vell</t>
  </si>
  <si>
    <t>08229</t>
  </si>
  <si>
    <t>17174</t>
  </si>
  <si>
    <t>Sant Miquel de Campmajor</t>
  </si>
  <si>
    <t>17176</t>
  </si>
  <si>
    <t>Sant Mori</t>
  </si>
  <si>
    <t>08231</t>
  </si>
  <si>
    <t>08232</t>
  </si>
  <si>
    <t>08233</t>
  </si>
  <si>
    <t>08234</t>
  </si>
  <si>
    <t>17178</t>
  </si>
  <si>
    <t>Sant Pere Pescador</t>
  </si>
  <si>
    <t>08189</t>
  </si>
  <si>
    <t>08235</t>
  </si>
  <si>
    <t>08236</t>
  </si>
  <si>
    <t>08237</t>
  </si>
  <si>
    <t>08238</t>
  </si>
  <si>
    <t>08239</t>
  </si>
  <si>
    <t>25194</t>
  </si>
  <si>
    <t>Sant Ramon</t>
  </si>
  <si>
    <t>08240</t>
  </si>
  <si>
    <t>08241</t>
  </si>
  <si>
    <t>08098</t>
  </si>
  <si>
    <t>08262</t>
  </si>
  <si>
    <t>08264</t>
  </si>
  <si>
    <t>08265</t>
  </si>
  <si>
    <t>08263</t>
  </si>
  <si>
    <t>43138</t>
  </si>
  <si>
    <t>Santa Bàrbara</t>
  </si>
  <si>
    <t>08243</t>
  </si>
  <si>
    <t>08244</t>
  </si>
  <si>
    <t>17180</t>
  </si>
  <si>
    <t>Santa Coloma de Farners</t>
  </si>
  <si>
    <t>43139</t>
  </si>
  <si>
    <t>Santa Coloma de Queralt</t>
  </si>
  <si>
    <t>17181</t>
  </si>
  <si>
    <t>Santa Cristina d'Aro</t>
  </si>
  <si>
    <t>08246</t>
  </si>
  <si>
    <t>08247</t>
  </si>
  <si>
    <t>08248</t>
  </si>
  <si>
    <t>08249</t>
  </si>
  <si>
    <t>17182</t>
  </si>
  <si>
    <t>Santa Llogaia d'Àlguema</t>
  </si>
  <si>
    <t>08250</t>
  </si>
  <si>
    <t>08251</t>
  </si>
  <si>
    <t>08253</t>
  </si>
  <si>
    <t>08254</t>
  </si>
  <si>
    <t>Santa Maria de Corcó</t>
  </si>
  <si>
    <t>08255</t>
  </si>
  <si>
    <t>08257</t>
  </si>
  <si>
    <t>08259</t>
  </si>
  <si>
    <t>08258</t>
  </si>
  <si>
    <t>43140</t>
  </si>
  <si>
    <t>Santa Oliva</t>
  </si>
  <si>
    <t>08260</t>
  </si>
  <si>
    <t>08261</t>
  </si>
  <si>
    <t>Rosa</t>
  </si>
  <si>
    <t>08192</t>
  </si>
  <si>
    <t>43142</t>
  </si>
  <si>
    <t>Sarral</t>
  </si>
  <si>
    <t>25200</t>
  </si>
  <si>
    <t>Sarroca de Lleida</t>
  </si>
  <si>
    <t>17187</t>
  </si>
  <si>
    <t>Saus</t>
  </si>
  <si>
    <t>43144</t>
  </si>
  <si>
    <t>Secuita</t>
  </si>
  <si>
    <t>43145</t>
  </si>
  <si>
    <t>Selva del Camp</t>
  </si>
  <si>
    <t>43146</t>
  </si>
  <si>
    <t>Senan</t>
  </si>
  <si>
    <t>43044</t>
  </si>
  <si>
    <t>Sénia</t>
  </si>
  <si>
    <t>25035</t>
  </si>
  <si>
    <t>Sentiu de Sió</t>
  </si>
  <si>
    <t>08267</t>
  </si>
  <si>
    <t>25204</t>
  </si>
  <si>
    <t>Seròs</t>
  </si>
  <si>
    <t>17191</t>
  </si>
  <si>
    <t>Serra de Daró</t>
  </si>
  <si>
    <t>25203</t>
  </si>
  <si>
    <t>Seu d'Urgell</t>
  </si>
  <si>
    <t>08269</t>
  </si>
  <si>
    <t>25205</t>
  </si>
  <si>
    <t>Sidamon</t>
  </si>
  <si>
    <t>17193</t>
  </si>
  <si>
    <t>Sils</t>
  </si>
  <si>
    <t>08270</t>
  </si>
  <si>
    <t>17052</t>
  </si>
  <si>
    <t>Siurana</t>
  </si>
  <si>
    <t>08271</t>
  </si>
  <si>
    <t>25206</t>
  </si>
  <si>
    <t>Soleràs</t>
  </si>
  <si>
    <t>43147</t>
  </si>
  <si>
    <t>Solivella</t>
  </si>
  <si>
    <t>25207</t>
  </si>
  <si>
    <t>Solsona</t>
  </si>
  <si>
    <t>08272</t>
  </si>
  <si>
    <t>25208</t>
  </si>
  <si>
    <t>Soriguera</t>
  </si>
  <si>
    <t>25209</t>
  </si>
  <si>
    <t>Sort</t>
  </si>
  <si>
    <t>25210</t>
  </si>
  <si>
    <t>Soses</t>
  </si>
  <si>
    <t>08273</t>
  </si>
  <si>
    <t>25211</t>
  </si>
  <si>
    <t>Sudanell</t>
  </si>
  <si>
    <t>25212</t>
  </si>
  <si>
    <t>Sunyer</t>
  </si>
  <si>
    <t>08274</t>
  </si>
  <si>
    <t>08276</t>
  </si>
  <si>
    <t>08277</t>
  </si>
  <si>
    <t>25215</t>
  </si>
  <si>
    <t>Talarn</t>
  </si>
  <si>
    <t>25216</t>
  </si>
  <si>
    <t>Talavera</t>
  </si>
  <si>
    <t>17195</t>
  </si>
  <si>
    <t>Tallada d'Empordà</t>
  </si>
  <si>
    <t>08278</t>
  </si>
  <si>
    <t>43148</t>
  </si>
  <si>
    <t>Tarragona</t>
  </si>
  <si>
    <t>25217</t>
  </si>
  <si>
    <t>Tàrrega</t>
  </si>
  <si>
    <t>25218</t>
  </si>
  <si>
    <t>Tarrés</t>
  </si>
  <si>
    <t>25219</t>
  </si>
  <si>
    <t>Tarroja de Segarra</t>
  </si>
  <si>
    <t>08275</t>
  </si>
  <si>
    <t>08280</t>
  </si>
  <si>
    <t>08281</t>
  </si>
  <si>
    <t>25220</t>
  </si>
  <si>
    <t>Térmens</t>
  </si>
  <si>
    <t>17196</t>
  </si>
  <si>
    <t>Terrades</t>
  </si>
  <si>
    <t>08279</t>
  </si>
  <si>
    <t>08282</t>
  </si>
  <si>
    <t>25222</t>
  </si>
  <si>
    <t>Tiurana</t>
  </si>
  <si>
    <t>43149</t>
  </si>
  <si>
    <t>Tivenys</t>
  </si>
  <si>
    <t>43150</t>
  </si>
  <si>
    <t>Tivissa</t>
  </si>
  <si>
    <t>08283</t>
  </si>
  <si>
    <t>25223</t>
  </si>
  <si>
    <t>Torà</t>
  </si>
  <si>
    <t>08284</t>
  </si>
  <si>
    <t>Card</t>
  </si>
  <si>
    <t>08285</t>
  </si>
  <si>
    <t>25224</t>
  </si>
  <si>
    <t>Torms</t>
  </si>
  <si>
    <t>25225</t>
  </si>
  <si>
    <t>Tornabous</t>
  </si>
  <si>
    <t>25227</t>
  </si>
  <si>
    <t>Torre de Cabdella</t>
  </si>
  <si>
    <t>08286</t>
  </si>
  <si>
    <t>Torre de Claramunt</t>
  </si>
  <si>
    <t>43152</t>
  </si>
  <si>
    <t>Torre de l'Espanyol</t>
  </si>
  <si>
    <t>25226</t>
  </si>
  <si>
    <t>Torrebesses</t>
  </si>
  <si>
    <t>43153</t>
  </si>
  <si>
    <t>Torredembarra</t>
  </si>
  <si>
    <t>25228</t>
  </si>
  <si>
    <t>Torrefarrera</t>
  </si>
  <si>
    <t>25907</t>
  </si>
  <si>
    <t>Torrefeta i Florejacs</t>
  </si>
  <si>
    <t>25230</t>
  </si>
  <si>
    <t>Torregrossa</t>
  </si>
  <si>
    <t>25231</t>
  </si>
  <si>
    <t>Torrelameu</t>
  </si>
  <si>
    <t>08287</t>
  </si>
  <si>
    <t>08288</t>
  </si>
  <si>
    <t>08289</t>
  </si>
  <si>
    <t>17197</t>
  </si>
  <si>
    <t>Torrent</t>
  </si>
  <si>
    <t>25232</t>
  </si>
  <si>
    <t>Torres de Segre</t>
  </si>
  <si>
    <t>25233</t>
  </si>
  <si>
    <t>Torre-serona</t>
  </si>
  <si>
    <t>17198</t>
  </si>
  <si>
    <t>Torroella de Fluvià</t>
  </si>
  <si>
    <t>17199</t>
  </si>
  <si>
    <t>Torroella de Montgrí</t>
  </si>
  <si>
    <t>17200</t>
  </si>
  <si>
    <t>Tortellà</t>
  </si>
  <si>
    <t>43155</t>
  </si>
  <si>
    <t>Tortosa</t>
  </si>
  <si>
    <t>17202</t>
  </si>
  <si>
    <t>Tossa de Mar</t>
  </si>
  <si>
    <t>25234</t>
  </si>
  <si>
    <t>Tremp</t>
  </si>
  <si>
    <t>17204</t>
  </si>
  <si>
    <t>Ullà</t>
  </si>
  <si>
    <t>08290</t>
  </si>
  <si>
    <t>17205</t>
  </si>
  <si>
    <t>Ullastret</t>
  </si>
  <si>
    <t>43156</t>
  </si>
  <si>
    <t>Ulldecona</t>
  </si>
  <si>
    <t>43157</t>
  </si>
  <si>
    <t>Ulldemolins</t>
  </si>
  <si>
    <t>17203</t>
  </si>
  <si>
    <t>Ultramort</t>
  </si>
  <si>
    <t>08291</t>
  </si>
  <si>
    <t>17208</t>
  </si>
  <si>
    <t>Vall de Bianya</t>
  </si>
  <si>
    <t>25901</t>
  </si>
  <si>
    <t>Vall de Cardós</t>
  </si>
  <si>
    <t>17207</t>
  </si>
  <si>
    <t>Vall d'en Bas</t>
  </si>
  <si>
    <t>08292</t>
  </si>
  <si>
    <t>25238</t>
  </si>
  <si>
    <t>Vallbona de les Monges</t>
  </si>
  <si>
    <t>08293</t>
  </si>
  <si>
    <t>43158</t>
  </si>
  <si>
    <t>Vallclara</t>
  </si>
  <si>
    <t>25240</t>
  </si>
  <si>
    <t>Vallfogona de Balaguer</t>
  </si>
  <si>
    <t>43159</t>
  </si>
  <si>
    <t>Vallfogona de Riucorb</t>
  </si>
  <si>
    <t>08294</t>
  </si>
  <si>
    <t>17209</t>
  </si>
  <si>
    <t>Vall-llobrega</t>
  </si>
  <si>
    <t>43160</t>
  </si>
  <si>
    <t>Vallmoll</t>
  </si>
  <si>
    <t>08296</t>
  </si>
  <si>
    <t>43161</t>
  </si>
  <si>
    <t>Valls</t>
  </si>
  <si>
    <t>25239</t>
  </si>
  <si>
    <t>Valls de Valira</t>
  </si>
  <si>
    <t>43162</t>
  </si>
  <si>
    <t>Vandellòs i l'Hospitalet de l'Infant</t>
  </si>
  <si>
    <t>08297</t>
  </si>
  <si>
    <t>43163</t>
  </si>
  <si>
    <t>Vendrell</t>
  </si>
  <si>
    <t>17210</t>
  </si>
  <si>
    <t>Ventalló</t>
  </si>
  <si>
    <t>25242</t>
  </si>
  <si>
    <t>Verdú</t>
  </si>
  <si>
    <t>17211</t>
  </si>
  <si>
    <t>Verges</t>
  </si>
  <si>
    <t>43164</t>
  </si>
  <si>
    <t>Vespella de Gaià</t>
  </si>
  <si>
    <t>08298</t>
  </si>
  <si>
    <t>17213</t>
  </si>
  <si>
    <t>Vidreres</t>
  </si>
  <si>
    <t>43165</t>
  </si>
  <si>
    <t>Vilabella</t>
  </si>
  <si>
    <t>17215</t>
  </si>
  <si>
    <t>Vilablareix</t>
  </si>
  <si>
    <t>08299</t>
  </si>
  <si>
    <t>17217</t>
  </si>
  <si>
    <t>Viladamat</t>
  </si>
  <si>
    <t>17216</t>
  </si>
  <si>
    <t>Viladasens</t>
  </si>
  <si>
    <t>08301</t>
  </si>
  <si>
    <t>08300</t>
  </si>
  <si>
    <t>17218</t>
  </si>
  <si>
    <t>Vilademuls</t>
  </si>
  <si>
    <t>17220</t>
  </si>
  <si>
    <t>Viladrau</t>
  </si>
  <si>
    <t>17221</t>
  </si>
  <si>
    <t>Vilafant</t>
  </si>
  <si>
    <t>08305</t>
  </si>
  <si>
    <t>25244</t>
  </si>
  <si>
    <t>Vilagrassa</t>
  </si>
  <si>
    <t>17223</t>
  </si>
  <si>
    <t>Vilajuïga</t>
  </si>
  <si>
    <t>43175</t>
  </si>
  <si>
    <t>Vilalba dels Arcs</t>
  </si>
  <si>
    <t>08306</t>
  </si>
  <si>
    <t>43166</t>
  </si>
  <si>
    <t>Vilallonga del Camp</t>
  </si>
  <si>
    <t>17225</t>
  </si>
  <si>
    <t>Vilamacolum</t>
  </si>
  <si>
    <t>17226</t>
  </si>
  <si>
    <t>Vilamalla</t>
  </si>
  <si>
    <t>17227</t>
  </si>
  <si>
    <t>Vilamaniscle</t>
  </si>
  <si>
    <t>17228</t>
  </si>
  <si>
    <t>Vilanant</t>
  </si>
  <si>
    <t>25248</t>
  </si>
  <si>
    <t>Vilanova de Bellpuig</t>
  </si>
  <si>
    <t>25254</t>
  </si>
  <si>
    <t>Vilanova de la Barca</t>
  </si>
  <si>
    <t>25249</t>
  </si>
  <si>
    <t>Vilanova de l'Aguda</t>
  </si>
  <si>
    <t>25250</t>
  </si>
  <si>
    <t>Vilanova de Meià</t>
  </si>
  <si>
    <t>08303</t>
  </si>
  <si>
    <t>25251</t>
  </si>
  <si>
    <t>Vilanova de Segrià</t>
  </si>
  <si>
    <t>08302</t>
  </si>
  <si>
    <t>08902</t>
  </si>
  <si>
    <t>43167</t>
  </si>
  <si>
    <t>Vilanova d'Escornalbou</t>
  </si>
  <si>
    <t>08307</t>
  </si>
  <si>
    <t>43169</t>
  </si>
  <si>
    <t>Vilaplana</t>
  </si>
  <si>
    <t>43170</t>
  </si>
  <si>
    <t>Vila-rodona</t>
  </si>
  <si>
    <t>25252</t>
  </si>
  <si>
    <t>Vila-sana</t>
  </si>
  <si>
    <t>43171</t>
  </si>
  <si>
    <t>Vila-seca</t>
  </si>
  <si>
    <t>08214</t>
  </si>
  <si>
    <t>08219</t>
  </si>
  <si>
    <t>17222</t>
  </si>
  <si>
    <t>Vilaür</t>
  </si>
  <si>
    <t>43172</t>
  </si>
  <si>
    <t>Vilaverd</t>
  </si>
  <si>
    <t>43174</t>
  </si>
  <si>
    <t>Vilella Baixa</t>
  </si>
  <si>
    <t>08304</t>
  </si>
  <si>
    <t>17233</t>
  </si>
  <si>
    <t>Vilobí d'Onyar</t>
  </si>
  <si>
    <t>17232</t>
  </si>
  <si>
    <t>Vilopriu</t>
  </si>
  <si>
    <t>25253</t>
  </si>
  <si>
    <t>Vilosell</t>
  </si>
  <si>
    <t>43176</t>
  </si>
  <si>
    <t>Vimbodí</t>
  </si>
  <si>
    <t>25255</t>
  </si>
  <si>
    <t>Vinaixa</t>
  </si>
  <si>
    <t>43177</t>
  </si>
  <si>
    <t>Vinebre</t>
  </si>
  <si>
    <t>43178</t>
  </si>
  <si>
    <t>Vinyols i els Arcs</t>
  </si>
  <si>
    <t>08308</t>
  </si>
  <si>
    <t>43052</t>
  </si>
  <si>
    <t>Xerta</t>
  </si>
  <si>
    <t>NO PRODUCTIVA (HA)</t>
  </si>
  <si>
    <t>EN PRODUCCIÓ (HA)</t>
  </si>
  <si>
    <t>FRUITERS</t>
  </si>
  <si>
    <t>OLIVAR</t>
  </si>
  <si>
    <t>Olivera per a oliva d'oli</t>
  </si>
  <si>
    <t>Cirerer i guinder</t>
  </si>
  <si>
    <t>Presseguer</t>
  </si>
  <si>
    <t>Nectariner</t>
  </si>
  <si>
    <t>VINYA NO ASSOCIADA</t>
  </si>
  <si>
    <t>Vinya de raïm per a vi</t>
  </si>
  <si>
    <t>Noguera</t>
  </si>
  <si>
    <t>Pruner</t>
  </si>
  <si>
    <t>Caqui</t>
  </si>
  <si>
    <t>VIVERS</t>
  </si>
  <si>
    <t>Vivers</t>
  </si>
  <si>
    <t>Codony</t>
  </si>
  <si>
    <t>Albercoquer</t>
  </si>
  <si>
    <t>Figuera</t>
  </si>
  <si>
    <t>Magraner</t>
  </si>
  <si>
    <t>Kiwi</t>
  </si>
  <si>
    <t>Pistatxo</t>
  </si>
  <si>
    <t>ALTRES CULTIUS LLENYOSOS</t>
  </si>
  <si>
    <t>Garrofer</t>
  </si>
  <si>
    <t>CÍTRICS</t>
  </si>
  <si>
    <t>Taronger</t>
  </si>
  <si>
    <t>Mandarina</t>
  </si>
  <si>
    <t>Llimoner</t>
  </si>
  <si>
    <t>Alvocat</t>
  </si>
  <si>
    <t>Castanya (fruit)</t>
  </si>
  <si>
    <t>43017</t>
  </si>
  <si>
    <t>Argentera</t>
  </si>
  <si>
    <t>Olivera per a oliva de taula</t>
  </si>
  <si>
    <t>43023</t>
  </si>
  <si>
    <t>Bellmunt del Priorat</t>
  </si>
  <si>
    <t>17032</t>
  </si>
  <si>
    <t>Cadaqués</t>
  </si>
  <si>
    <t>43042</t>
  </si>
  <si>
    <t>Castellvell del Camp</t>
  </si>
  <si>
    <t>Canya vulgar</t>
  </si>
  <si>
    <t>17054</t>
  </si>
  <si>
    <t>Colera</t>
  </si>
  <si>
    <t>08072</t>
  </si>
  <si>
    <t>Nesprer</t>
  </si>
  <si>
    <t>43057</t>
  </si>
  <si>
    <t>Febró</t>
  </si>
  <si>
    <t>43058</t>
  </si>
  <si>
    <t>Vinya de raïm de taula</t>
  </si>
  <si>
    <t>43069</t>
  </si>
  <si>
    <t>Gratallops</t>
  </si>
  <si>
    <t>08115</t>
  </si>
  <si>
    <t>43085</t>
  </si>
  <si>
    <t>Molar</t>
  </si>
  <si>
    <t>17140</t>
  </si>
  <si>
    <t>Port de la Selva</t>
  </si>
  <si>
    <t>43117</t>
  </si>
  <si>
    <t>Prat de Comte</t>
  </si>
  <si>
    <t>Groseller</t>
  </si>
  <si>
    <t>08256</t>
  </si>
  <si>
    <t>17188</t>
  </si>
  <si>
    <t>Selva de Mar</t>
  </si>
  <si>
    <t>43151</t>
  </si>
  <si>
    <t>Torre de Fontaubella</t>
  </si>
  <si>
    <t>43154</t>
  </si>
  <si>
    <t>Torroja del Priorat</t>
  </si>
  <si>
    <t>08295</t>
  </si>
  <si>
    <t>43168</t>
  </si>
  <si>
    <t>Vilanova de Prades</t>
  </si>
  <si>
    <t>43173</t>
  </si>
  <si>
    <t>Vilella Alta</t>
  </si>
  <si>
    <t>Explotacions agràries i producció estàndard total. 2009-2016</t>
  </si>
  <si>
    <t>Per orientació tecnicoeconòmica</t>
  </si>
  <si>
    <t>Font: Idescat. Enquesta sobre l'estructura de les explotacions agràries.</t>
  </si>
  <si>
    <t>Explotacions (nombre)</t>
  </si>
  <si>
    <t>Agricultura general</t>
  </si>
  <si>
    <t>Horticultura</t>
  </si>
  <si>
    <t>Hervíbors</t>
  </si>
  <si>
    <t>Granívors</t>
  </si>
  <si>
    <t>Policultius</t>
  </si>
  <si>
    <t>Ramaderia mixta</t>
  </si>
  <si>
    <t>Conreus i ramaderia</t>
  </si>
  <si>
    <t>Producció estàndard total (euros)</t>
  </si>
  <si>
    <t>Institut d'Estadística de Catalunya</t>
  </si>
  <si>
    <t>https://www.idescat.cat/pub/aec/430</t>
  </si>
  <si>
    <t>€/explotació</t>
  </si>
  <si>
    <t>Total Reg</t>
  </si>
  <si>
    <t>Total sec</t>
  </si>
  <si>
    <t>Etiquetes de fila</t>
  </si>
  <si>
    <t>Total general</t>
  </si>
  <si>
    <t>Etiquetes de columna</t>
  </si>
  <si>
    <t>Total secà</t>
  </si>
  <si>
    <t>Total Regadiu</t>
  </si>
  <si>
    <t>LLENYOSOS</t>
  </si>
  <si>
    <t xml:space="preserve">Cultivo </t>
  </si>
  <si>
    <t xml:space="preserve">Coste de producción (€/ha) </t>
  </si>
  <si>
    <t xml:space="preserve">Producción media (kg/ha) </t>
  </si>
  <si>
    <t>Consumo de agua (m3/ha)</t>
  </si>
  <si>
    <t>1500-2000</t>
  </si>
  <si>
    <t>Trigo secano</t>
  </si>
  <si>
    <t>Trigo en regadío</t>
  </si>
  <si>
    <t>Colza en secano</t>
  </si>
  <si>
    <t>Colza en regadío</t>
  </si>
  <si>
    <t xml:space="preserve">Guisantes (regadío) </t>
  </si>
  <si>
    <t>Maíz</t>
  </si>
  <si>
    <t>Costes de producción de cultivos extensivos en secano y regadío</t>
  </si>
  <si>
    <t>Jaume Lloveras1 y Mª Angels Cabases2.</t>
  </si>
  <si>
    <t>1 Escola Técnica Superior d’Enginyeria Agrària. Universidad de Lleida.</t>
  </si>
  <si>
    <t>2 Facultat de Dret i Economia. Universidad de Lleida</t>
  </si>
  <si>
    <t>(2015)</t>
  </si>
  <si>
    <t>€/t</t>
  </si>
  <si>
    <t>Informe tècniceconòmic DARP (2017)</t>
  </si>
  <si>
    <t>€/truja</t>
  </si>
  <si>
    <t>Costos producció Ramaderia</t>
  </si>
  <si>
    <t xml:space="preserve"> </t>
  </si>
  <si>
    <t>Cost sense CC (M€/15 anys)</t>
  </si>
  <si>
    <t>Cost amb CC any 15</t>
  </si>
  <si>
    <t>Cost amb CC any 15 (M€) AG</t>
  </si>
  <si>
    <t>Mitjana cerelas secà</t>
  </si>
  <si>
    <t>Ordi (secà)</t>
  </si>
  <si>
    <t xml:space="preserve">Ordi regadiu </t>
  </si>
  <si>
    <t>Alfals (regadiu)</t>
  </si>
  <si>
    <t>Girasol</t>
  </si>
  <si>
    <t>Raigras</t>
  </si>
  <si>
    <t>Departament d'Agricultura, Ramaderia, Pesca i Alimentació</t>
  </si>
  <si>
    <r>
      <t xml:space="preserve">XARXA COMPTABLE AGRÀRIA DE CATALUNYA (XCAC) - Compte analític per cultiu i servei </t>
    </r>
    <r>
      <rPr>
        <b/>
        <sz val="10"/>
        <color indexed="9"/>
        <rFont val="Arial"/>
        <family val="2"/>
      </rPr>
      <t>Font: Gabinet Tècnic.</t>
    </r>
  </si>
  <si>
    <t>Exercici 2016</t>
  </si>
  <si>
    <t>PRODUCTE</t>
  </si>
  <si>
    <t>10790. ALTRES HORTALISSES</t>
  </si>
  <si>
    <t>10922 LLEGUMINOSES FARRATGERES</t>
  </si>
  <si>
    <t>10923. ALTRES FARRATGERES</t>
  </si>
  <si>
    <t>120. BLAT TOU</t>
  </si>
  <si>
    <t>123. ORDI</t>
  </si>
  <si>
    <t>124. CIVADA</t>
  </si>
  <si>
    <t>126. BLAT DE MORO GRA</t>
  </si>
  <si>
    <t>127. ARROS</t>
  </si>
  <si>
    <t>128. ALTRES CEREALS</t>
  </si>
  <si>
    <t>130. PATATES</t>
  </si>
  <si>
    <t>147. PRATS TEMPORALS</t>
  </si>
  <si>
    <t>150. PRATS PERMANENTS</t>
  </si>
  <si>
    <t>177. TREBALL A TERCERS</t>
  </si>
  <si>
    <t>179. AGRITURISME</t>
  </si>
  <si>
    <t>282. OLIVES PER OLI</t>
  </si>
  <si>
    <t>2860. MACABEU</t>
  </si>
  <si>
    <t>2861. GARNATXA NEGRA</t>
  </si>
  <si>
    <t>2862. CABERNET SAUVIGNON</t>
  </si>
  <si>
    <t>2863. PARELLADA</t>
  </si>
  <si>
    <t>2864. ULL DE LLEBRE</t>
  </si>
  <si>
    <t>2865. CHARDONNAY</t>
  </si>
  <si>
    <t>2866. XAREL.LO</t>
  </si>
  <si>
    <t>2867. MERLOT</t>
  </si>
  <si>
    <t>2868. SAMSÓ</t>
  </si>
  <si>
    <t>2869. ALTRES BLANCS</t>
  </si>
  <si>
    <t>286A. ALTRES NEGRES</t>
  </si>
  <si>
    <t>286B. GARNATXA BLANCA</t>
  </si>
  <si>
    <t>326. BLAT DE MORO FARRATGER</t>
  </si>
  <si>
    <t>331. COLZA I NAP</t>
  </si>
  <si>
    <t>332. GIRA-SOL</t>
  </si>
  <si>
    <t>337. TOMAQUETS</t>
  </si>
  <si>
    <t>3394. CEBES</t>
  </si>
  <si>
    <t>3491. POMA DE TAULA</t>
  </si>
  <si>
    <t>3493. PERA</t>
  </si>
  <si>
    <t>3501. CIRERERS</t>
  </si>
  <si>
    <t>3503. ALBERCOCS</t>
  </si>
  <si>
    <t>3504. PRESSECS I NECTARINA</t>
  </si>
  <si>
    <t>3505. A.FRUITA DE PINYOL</t>
  </si>
  <si>
    <t>3512. AVELLANES</t>
  </si>
  <si>
    <t>3513. AMETLLES</t>
  </si>
  <si>
    <t>355. MANDARINES, CLEMENTINES I FRT. SIMILARS</t>
  </si>
  <si>
    <t>360. PÈSOLS, FAVES I TRAMUSSOS DOLÇOS</t>
  </si>
  <si>
    <t>unitats</t>
  </si>
  <si>
    <t>€/ ha</t>
  </si>
  <si>
    <t>CS000</t>
  </si>
  <si>
    <t>Nombre Explotacions</t>
  </si>
  <si>
    <t>CS210</t>
  </si>
  <si>
    <t>INGRESSOS</t>
  </si>
  <si>
    <t>CS201</t>
  </si>
  <si>
    <t>Producte principal</t>
  </si>
  <si>
    <t>CS202</t>
  </si>
  <si>
    <t>Subproducte</t>
  </si>
  <si>
    <t>CS203</t>
  </si>
  <si>
    <t>Subvencions vinculades al producte, superficie o bestiar</t>
  </si>
  <si>
    <t>CS204</t>
  </si>
  <si>
    <t>Subvencions per despeses</t>
  </si>
  <si>
    <t>CS801</t>
  </si>
  <si>
    <t>Pagament Únic proporcional</t>
  </si>
  <si>
    <t>CS206</t>
  </si>
  <si>
    <t>Anualització subvencions de capital</t>
  </si>
  <si>
    <t>CS151</t>
  </si>
  <si>
    <t>TOTAL COSTOS ESPECÍFICS</t>
  </si>
  <si>
    <t>CS139</t>
  </si>
  <si>
    <t>Costos específics de cultiu</t>
  </si>
  <si>
    <t>CS131</t>
  </si>
  <si>
    <t>Llavors i plantes comprades</t>
  </si>
  <si>
    <t>CS132</t>
  </si>
  <si>
    <t>Llavors i plantes reocupades</t>
  </si>
  <si>
    <t>CS133</t>
  </si>
  <si>
    <t>Fertilitzants</t>
  </si>
  <si>
    <t>CS134</t>
  </si>
  <si>
    <t>Productes de protecció dels cultius</t>
  </si>
  <si>
    <t>CS135</t>
  </si>
  <si>
    <t>Altres costos específics de cultiu</t>
  </si>
  <si>
    <t xml:space="preserve">CS137 </t>
  </si>
  <si>
    <t>Costos específics de transformació</t>
  </si>
  <si>
    <t>CS143</t>
  </si>
  <si>
    <t>CS401</t>
  </si>
  <si>
    <t>Mà d'obra assalariada eventual</t>
  </si>
  <si>
    <t>CS405</t>
  </si>
  <si>
    <t>Arrendament i pareceria</t>
  </si>
  <si>
    <t>CS301</t>
  </si>
  <si>
    <t>MARGE BRUT XCAC</t>
  </si>
  <si>
    <t>CS420</t>
  </si>
  <si>
    <t>Costos generals</t>
  </si>
  <si>
    <t>CS402</t>
  </si>
  <si>
    <t>Mà d'obra assalariada fixa</t>
  </si>
  <si>
    <t>CS403</t>
  </si>
  <si>
    <t>Despeses mecanització</t>
  </si>
  <si>
    <t>CS404</t>
  </si>
  <si>
    <t>Treballs de tercers i lloguer maquinària</t>
  </si>
  <si>
    <t>CS406</t>
  </si>
  <si>
    <t>Amortització</t>
  </si>
  <si>
    <t>CS407</t>
  </si>
  <si>
    <t>Despeses financeres</t>
  </si>
  <si>
    <t>CS408</t>
  </si>
  <si>
    <t>Altres despeses generals</t>
  </si>
  <si>
    <t>CS141</t>
  </si>
  <si>
    <t>CS142</t>
  </si>
  <si>
    <t>Combustibles</t>
  </si>
  <si>
    <t>CS144</t>
  </si>
  <si>
    <t>Assegurances</t>
  </si>
  <si>
    <t>CS501</t>
  </si>
  <si>
    <t>MARGE ECONÒMIC (1)</t>
  </si>
  <si>
    <t>CS601</t>
  </si>
  <si>
    <t>Mà d'obra familiar</t>
  </si>
  <si>
    <t>CS701</t>
  </si>
  <si>
    <t>MARGE ECONÔMIC (2)</t>
  </si>
  <si>
    <t>CS610</t>
  </si>
  <si>
    <t>Costos d'oportunitat</t>
  </si>
  <si>
    <t>CS602</t>
  </si>
  <si>
    <t>Terra en propietat</t>
  </si>
  <si>
    <t>CS603</t>
  </si>
  <si>
    <t>Capital fix i circulant</t>
  </si>
  <si>
    <t>CS901</t>
  </si>
  <si>
    <t>MARGE ECONÔMIC (3)</t>
  </si>
  <si>
    <t>CS699</t>
  </si>
  <si>
    <t>TOTAL COSTOS</t>
  </si>
  <si>
    <t xml:space="preserve">Notes: </t>
  </si>
  <si>
    <t xml:space="preserve">1 La mà d'obra familiar que s'inclou en el codi CS601 s'obté valorant les unitats de treball familiar. </t>
  </si>
  <si>
    <t>2 La Xarxa Comptable Agrària de Catalunya ofereix una informació acurada sobre l’economia de les explotacions agràries. Tanmateix, els resultats per productes, per representativitat estadística, s’han de considerar aproximades i orientatives.</t>
  </si>
  <si>
    <t>Mitjana cereal regadiu</t>
  </si>
  <si>
    <t>Herbacis secà</t>
  </si>
  <si>
    <t xml:space="preserve">herbacis regadiu </t>
  </si>
  <si>
    <t>Blat de mor0 reg</t>
  </si>
  <si>
    <t>Mitjana regadiu</t>
  </si>
  <si>
    <t>Mitjana secà</t>
  </si>
  <si>
    <t>cost aigua</t>
  </si>
  <si>
    <t>Preu aigua:</t>
  </si>
  <si>
    <t>€/ha</t>
  </si>
  <si>
    <t>Augment consum aigua</t>
  </si>
  <si>
    <t>cost act</t>
  </si>
  <si>
    <t>Mitjana consum aigua m3</t>
  </si>
  <si>
    <t>m3</t>
  </si>
  <si>
    <t>futur</t>
  </si>
  <si>
    <t>Reducció producció</t>
  </si>
  <si>
    <t>Producció agrària</t>
  </si>
  <si>
    <t>Producció ramadera</t>
  </si>
  <si>
    <t>ha o UR</t>
  </si>
  <si>
    <t>Producció total</t>
  </si>
  <si>
    <t>1h secà</t>
  </si>
  <si>
    <t>ha regadiu</t>
  </si>
  <si>
    <t>total cat ha seca</t>
  </si>
  <si>
    <t>total cat ha reg</t>
  </si>
  <si>
    <t>uhasec</t>
  </si>
  <si>
    <t>€/hasec</t>
  </si>
  <si>
    <t>uhsec</t>
  </si>
  <si>
    <t>total cost secà futur</t>
  </si>
  <si>
    <t>total cost regadiu futur</t>
  </si>
  <si>
    <t>ANUAL</t>
  </si>
  <si>
    <t>valor producció agrària</t>
  </si>
  <si>
    <t>pèrdua  valor</t>
  </si>
  <si>
    <t>Producció total (€)</t>
  </si>
  <si>
    <t>IDESCAT 16</t>
  </si>
  <si>
    <t>Total cost</t>
  </si>
  <si>
    <t>Costos anuals produccio agrícola M€</t>
  </si>
  <si>
    <t xml:space="preserve">Cost acumulat a 15 anys sense canvi climàtic (M€) </t>
  </si>
  <si>
    <t>Cost acumulat a 15 anys amb canvi climàtic (M€)</t>
  </si>
  <si>
    <t>Costos de l'agricultura per als privats. S'inclou el consum extra d'aigua i la pèrdua de producció</t>
  </si>
  <si>
    <t>Costos de la ramaderia per als privats</t>
  </si>
  <si>
    <t>Cost final amb CC/15 anys</t>
  </si>
  <si>
    <t>Costos per a la ramaderia</t>
  </si>
  <si>
    <t>població</t>
  </si>
  <si>
    <t>tram</t>
  </si>
  <si>
    <t>a &lt; 1.000 hab.</t>
  </si>
  <si>
    <t>b 1.000 a 5.000 hab.</t>
  </si>
  <si>
    <t>c 5.000 a 20.000 hab.</t>
  </si>
  <si>
    <t>d 20.000 a 50.000 hab.</t>
  </si>
  <si>
    <t>e &gt;50.000 hab.</t>
  </si>
  <si>
    <t>Suma de població</t>
  </si>
  <si>
    <t>Suma de TOTAL</t>
  </si>
  <si>
    <t>Recompte de Municipi</t>
  </si>
  <si>
    <t>cost no actuar €/hab</t>
  </si>
  <si>
    <t>Cost acció (€/hab)</t>
  </si>
  <si>
    <t>Quantes vegades més car és no actuar</t>
  </si>
  <si>
    <t>Global</t>
  </si>
  <si>
    <t>Consum elèctric (kWh/hab)(14-16PAES)</t>
  </si>
  <si>
    <t>Consum energètic altres (kWh/hab)14-16</t>
  </si>
  <si>
    <t>Consum d'aigua (m3)(14-16)</t>
  </si>
  <si>
    <t>Consum d'aigua (l/hab.dia)(14-16)</t>
  </si>
  <si>
    <t xml:space="preserve">ASVICC: </t>
  </si>
  <si>
    <t>BD comarcal:</t>
  </si>
  <si>
    <t>IDESCAT</t>
  </si>
  <si>
    <t>BD Altres</t>
  </si>
  <si>
    <t>1. Cops de calor</t>
  </si>
  <si>
    <t>Excel ASVICC té pestanyes son s'indiquen</t>
  </si>
  <si>
    <t>2. Incendis forestals</t>
  </si>
  <si>
    <t>3. Aigua</t>
  </si>
  <si>
    <t>Observatori preu aigua (ACA)</t>
  </si>
  <si>
    <t>Font: ASVICC (Dada 2016)</t>
  </si>
  <si>
    <t>ACA</t>
  </si>
  <si>
    <t>Preus aigua</t>
  </si>
  <si>
    <t>4. Agricultura PIB</t>
  </si>
  <si>
    <t>DARP</t>
  </si>
  <si>
    <t>Cultius i cultoius llenyosos</t>
  </si>
  <si>
    <t>IDECAT</t>
  </si>
  <si>
    <t>Tecnicecon agric</t>
  </si>
  <si>
    <t>Agrari</t>
  </si>
  <si>
    <t>XARXA COMPTABLE AGRÀRIA DE CATALUNYA (XCAC) - Compte analític per cultiu i servei Font: Gabinet Tècnic.</t>
  </si>
  <si>
    <t>Espais lliures</t>
  </si>
  <si>
    <t>Industrial</t>
  </si>
  <si>
    <t>No urbanitzable</t>
  </si>
  <si>
    <t>Urbà consolidat</t>
  </si>
  <si>
    <t>Urbanitzable</t>
  </si>
  <si>
    <t>Pisos</t>
  </si>
  <si>
    <t>€/m2</t>
  </si>
  <si>
    <t>masies</t>
  </si>
  <si>
    <t>centres comercials</t>
  </si>
  <si>
    <t>Ensenyament sec i FP</t>
  </si>
  <si>
    <t>Aeroports</t>
  </si>
  <si>
    <t>unifamiliars</t>
  </si>
  <si>
    <t>colònie si nuclis aïllats</t>
  </si>
  <si>
    <t>càmping</t>
  </si>
  <si>
    <t>complexos administratius</t>
  </si>
  <si>
    <t>vies d etren</t>
  </si>
  <si>
    <t>carreters i autopistes</t>
  </si>
  <si>
    <t>Activitat econòmica, Industrial</t>
  </si>
  <si>
    <t>Activitat econòmica, Serveis</t>
  </si>
  <si>
    <t>Mixt, Conservació</t>
  </si>
  <si>
    <t>Mixt, Mixtes</t>
  </si>
  <si>
    <t>Mixt, Transformació</t>
  </si>
  <si>
    <t>No urbanitzable, Activitat autoritzada</t>
  </si>
  <si>
    <t>No urbanitzable, Protecció</t>
  </si>
  <si>
    <t>No urbanitzable, Protecció sectorial</t>
  </si>
  <si>
    <t>No urbanitzable, Rústic</t>
  </si>
  <si>
    <t>Residencial, Cases agrupades</t>
  </si>
  <si>
    <t>Residencial, Cases aïllades</t>
  </si>
  <si>
    <t>Residencial, Nucli antic</t>
  </si>
  <si>
    <t>Residencial, Ordenació oberta</t>
  </si>
  <si>
    <t>Residencial, Ordenació tancada</t>
  </si>
  <si>
    <t>Residencial, Urbà tradicional</t>
  </si>
  <si>
    <t>Sistemes, Aeroportuari</t>
  </si>
  <si>
    <t>Sistemes, Costaner</t>
  </si>
  <si>
    <t>Sistemes, Equipaments</t>
  </si>
  <si>
    <t>Sistemes, Espais lliures, Zones verdes</t>
  </si>
  <si>
    <t>Sistemes, Ferroviari</t>
  </si>
  <si>
    <t>Sistemes, Habitatge dotacional públic</t>
  </si>
  <si>
    <t>Sistemes, Hidrogràfic</t>
  </si>
  <si>
    <t>Sistemes, Portuari</t>
  </si>
  <si>
    <t>Sistemes, Protecció</t>
  </si>
  <si>
    <t>Sistemes, Serveis tècnics i ambientals</t>
  </si>
  <si>
    <t>Sistemes, Viari</t>
  </si>
  <si>
    <t>Sistemes, Viari, Altre viari en sòl no urbanitzable</t>
  </si>
  <si>
    <t>Sistemes, Viari, Altre viari en sòl urbà</t>
  </si>
  <si>
    <t>Sistemes, Viari, Eixos estructurants</t>
  </si>
  <si>
    <t>Urbanitzable, Altres desenvolupaments</t>
  </si>
  <si>
    <t>Urbanitzable, Desenvolupament activitat econòmica</t>
  </si>
  <si>
    <t>Urbanitzable, Desenvolupament mixt</t>
  </si>
  <si>
    <t>Urbanitzable, Desenvolupament residencial</t>
  </si>
  <si>
    <t>Urbanitzable, Urbanitzable no delimitat</t>
  </si>
  <si>
    <t xml:space="preserve">Ha </t>
  </si>
  <si>
    <t>QUALIFICACIONS</t>
  </si>
  <si>
    <t>AGRUPACIONS_de_QUALIFICACIONS</t>
  </si>
  <si>
    <t>Activitat econòmica, Logística</t>
  </si>
  <si>
    <t>Ha</t>
  </si>
  <si>
    <t>Privats i públic</t>
  </si>
  <si>
    <t>Cost de les conseqüències de les inundacions per als privats i públic</t>
  </si>
  <si>
    <t>€/hab</t>
  </si>
  <si>
    <t>Mitjana de €/hab</t>
  </si>
  <si>
    <t>6. Inundacions</t>
  </si>
  <si>
    <t>capes T50 i T100 ACA (superfície per tipologia de sòl, MUC). Treball José Ángel Burriel</t>
  </si>
  <si>
    <t>Article cost inundacions</t>
  </si>
  <si>
    <t>Estudi de perillositat i risc d'inundació Xavier Roura</t>
  </si>
  <si>
    <t>Riesgos y cuantificación de daños por inundación Alex García, lluís Godé et al</t>
  </si>
  <si>
    <t>Ambdós estudis usen valors ACA (veure pestanya cost per tipologia de sòl)</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</si>
</sst>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_-;\-* #,##0.00\ _€_-;_-* &quot;-&quot;??\ _€_-;_-@_-"/>
    <numFmt numFmtId="164" formatCode="#,##0.0"/>
    <numFmt numFmtId="165" formatCode="0.0"/>
    <numFmt numFmtId="166" formatCode="#,##0.000"/>
    <numFmt numFmtId="167" formatCode="[$€-2]\ #,##0;[Red]\-[$€-2]\ #,##0"/>
    <numFmt numFmtId="168" formatCode="0.000"/>
    <numFmt numFmtId="169" formatCode="#,##0.00\ &quot;€&quot;"/>
    <numFmt numFmtId="170" formatCode="0.0%"/>
    <numFmt numFmtId="171" formatCode="_-* #,##0\ _€_-;\-* #,##0\ _€_-;_-* &quot;-&quot;??\ _€_-;_-@_-"/>
    <numFmt numFmtId="172" formatCode="0.000%"/>
    <numFmt numFmtId="173" formatCode="0.000000E+00"/>
    <numFmt numFmtId="174" formatCode="0.0000"/>
    <numFmt numFmtId="175" formatCode="#,##0.000000"/>
  </numFmts>
  <fonts count="164">
    <font>
      <sz val="11"/>
      <color theme="1"/>
      <name val="Calibri"/>
      <family val="2"/>
      <scheme val="minor"/>
    </font>
    <font>
      <b/>
      <sz val="11"/>
      <color theme="1"/>
      <name val="Calibri"/>
      <family val="2"/>
      <scheme val="minor"/>
    </font>
    <font>
      <sz val="11"/>
      <color theme="3"/>
      <name val="Calibri"/>
      <family val="2"/>
      <scheme val="minor"/>
    </font>
    <font>
      <sz val="10"/>
      <name val="Arial"/>
      <family val="2"/>
    </font>
    <font>
      <sz val="10"/>
      <name val="Arial"/>
      <family val="2"/>
    </font>
    <font>
      <sz val="8"/>
      <name val="Arial"/>
      <family val="2"/>
    </font>
    <font>
      <sz val="10"/>
      <color theme="1"/>
      <name val="Arial"/>
      <family val="2"/>
    </font>
    <font>
      <b/>
      <sz val="10"/>
      <color theme="1"/>
      <name val="Arial"/>
      <family val="2"/>
    </font>
    <font>
      <i/>
      <sz val="10"/>
      <color theme="3"/>
      <name val="Arial"/>
      <family val="2"/>
    </font>
    <font>
      <sz val="10"/>
      <color theme="3"/>
      <name val="Arial"/>
      <family val="2"/>
    </font>
    <font>
      <sz val="10"/>
      <color rgb="FFFF0000"/>
      <name val="Arial"/>
      <family val="2"/>
    </font>
    <font>
      <i/>
      <sz val="10"/>
      <name val="Arial"/>
      <family val="2"/>
    </font>
    <font>
      <i/>
      <sz val="10"/>
      <color theme="1"/>
      <name val="Arial"/>
      <family val="2"/>
    </font>
    <font>
      <sz val="10"/>
      <color rgb="FF0070C0"/>
      <name val="Arial"/>
      <family val="2"/>
    </font>
    <font>
      <i/>
      <sz val="10"/>
      <color rgb="FFFF0000"/>
      <name val="Arial"/>
      <family val="2"/>
    </font>
    <font>
      <sz val="10"/>
      <color rgb="FF595959"/>
      <name val="Arial"/>
      <family val="2"/>
    </font>
    <font>
      <b/>
      <sz val="10"/>
      <name val="Arial"/>
      <family val="2"/>
    </font>
    <font>
      <i/>
      <sz val="10"/>
      <color theme="3" tint="-0.249977111117893"/>
      <name val="Arial"/>
      <family val="2"/>
    </font>
    <font>
      <sz val="10"/>
      <color theme="7"/>
      <name val="Arial"/>
      <family val="2"/>
    </font>
    <font>
      <sz val="11"/>
      <color theme="1"/>
      <name val="Calibri"/>
      <family val="2"/>
      <scheme val="minor"/>
    </font>
    <font>
      <b/>
      <i/>
      <sz val="10"/>
      <color theme="3" tint="-0.249977111117893"/>
      <name val="Arial"/>
      <family val="2"/>
    </font>
    <font>
      <sz val="10"/>
      <color rgb="FF000000"/>
      <name val="Arial"/>
      <family val="2"/>
    </font>
    <font>
      <b/>
      <sz val="10"/>
      <color rgb="FFFF0000"/>
      <name val="Arial"/>
      <family val="2"/>
    </font>
    <font>
      <b/>
      <i/>
      <sz val="10"/>
      <color theme="1"/>
      <name val="Arial"/>
      <family val="2"/>
    </font>
    <font>
      <sz val="9"/>
      <color theme="1"/>
      <name val="Arial"/>
      <family val="2"/>
    </font>
    <font>
      <sz val="8"/>
      <color theme="1"/>
      <name val="Arial"/>
      <family val="2"/>
    </font>
    <font>
      <sz val="9"/>
      <color rgb="FF000000"/>
      <name val="Arial"/>
      <family val="2"/>
    </font>
    <font>
      <b/>
      <i/>
      <sz val="10"/>
      <color theme="3"/>
      <name val="Arial"/>
      <family val="2"/>
    </font>
    <font>
      <sz val="10"/>
      <color theme="0" tint="-0.14999847407452621"/>
      <name val="Arial"/>
      <family val="2"/>
    </font>
    <font>
      <b/>
      <sz val="10"/>
      <color theme="3"/>
      <name val="Arial"/>
      <family val="2"/>
    </font>
    <font>
      <i/>
      <sz val="10"/>
      <color rgb="FF3D3D3D"/>
      <name val="Arial"/>
      <family val="2"/>
    </font>
    <font>
      <b/>
      <sz val="10"/>
      <color rgb="FF000000"/>
      <name val="Arial"/>
      <family val="2"/>
    </font>
    <font>
      <b/>
      <vertAlign val="superscript"/>
      <sz val="10"/>
      <color theme="1"/>
      <name val="Arial"/>
      <family val="2"/>
    </font>
    <font>
      <b/>
      <sz val="10"/>
      <name val="Calibri"/>
      <family val="2"/>
    </font>
    <font>
      <b/>
      <sz val="14"/>
      <color indexed="81"/>
      <name val="Tahoma"/>
      <family val="2"/>
    </font>
    <font>
      <sz val="9"/>
      <color indexed="81"/>
      <name val="Tahoma"/>
      <family val="2"/>
    </font>
    <font>
      <b/>
      <sz val="18"/>
      <color indexed="81"/>
      <name val="Tahoma"/>
      <family val="2"/>
    </font>
    <font>
      <b/>
      <sz val="9"/>
      <color indexed="81"/>
      <name val="Tahoma"/>
      <family val="2"/>
    </font>
    <font>
      <b/>
      <sz val="9"/>
      <name val="Calibri"/>
      <family val="2"/>
    </font>
    <font>
      <b/>
      <sz val="12"/>
      <color theme="0" tint="-0.499984740745262"/>
      <name val="Calibri"/>
      <family val="2"/>
    </font>
    <font>
      <b/>
      <sz val="12"/>
      <color theme="9" tint="-0.249977111117893"/>
      <name val="Calibri"/>
      <family val="2"/>
    </font>
    <font>
      <b/>
      <sz val="12"/>
      <color theme="0" tint="-0.14999847407452621"/>
      <name val="Calibri"/>
      <family val="2"/>
    </font>
    <font>
      <sz val="10"/>
      <color rgb="FFFF0000"/>
      <name val="Calibri"/>
      <family val="2"/>
    </font>
    <font>
      <sz val="10"/>
      <name val="Calibri"/>
      <family val="2"/>
    </font>
    <font>
      <sz val="10"/>
      <name val="Calibri"/>
      <family val="2"/>
      <scheme val="minor"/>
    </font>
    <font>
      <sz val="10"/>
      <color theme="9" tint="-0.249977111117893"/>
      <name val="Calibri"/>
      <family val="2"/>
    </font>
    <font>
      <sz val="10"/>
      <color theme="0" tint="-0.14999847407452621"/>
      <name val="Calibri"/>
      <family val="2"/>
    </font>
    <font>
      <b/>
      <sz val="10"/>
      <name val="Calibri"/>
      <family val="2"/>
      <scheme val="minor"/>
    </font>
    <font>
      <b/>
      <sz val="10"/>
      <color theme="0" tint="-0.249977111117893"/>
      <name val="Calibri"/>
      <family val="2"/>
    </font>
    <font>
      <b/>
      <sz val="10"/>
      <color theme="0" tint="-0.34998626667073579"/>
      <name val="Calibri"/>
      <family val="2"/>
    </font>
    <font>
      <sz val="10"/>
      <color indexed="8"/>
      <name val="Calibri"/>
      <family val="2"/>
    </font>
    <font>
      <b/>
      <sz val="10"/>
      <color theme="0" tint="-0.14999847407452621"/>
      <name val="Calibri"/>
      <family val="2"/>
    </font>
    <font>
      <sz val="10"/>
      <color rgb="FF000000"/>
      <name val="Calibri"/>
      <family val="2"/>
    </font>
    <font>
      <sz val="8"/>
      <name val="Univers"/>
      <family val="2"/>
    </font>
    <font>
      <sz val="10"/>
      <color rgb="FF535847"/>
      <name val="Calibri"/>
      <family val="2"/>
    </font>
    <font>
      <sz val="10"/>
      <color indexed="8"/>
      <name val="Arial"/>
      <family val="2"/>
    </font>
    <font>
      <sz val="10"/>
      <color theme="1"/>
      <name val="Calibri"/>
      <family val="2"/>
    </font>
    <font>
      <i/>
      <sz val="10"/>
      <name val="Calibri"/>
      <family val="2"/>
    </font>
    <font>
      <i/>
      <sz val="10"/>
      <color theme="9" tint="-0.249977111117893"/>
      <name val="Calibri"/>
      <family val="2"/>
    </font>
    <font>
      <i/>
      <sz val="10"/>
      <color theme="0" tint="-0.14999847407452621"/>
      <name val="Calibri"/>
      <family val="2"/>
    </font>
    <font>
      <sz val="14"/>
      <color rgb="FF535847"/>
      <name val="Verdana"/>
      <family val="2"/>
    </font>
    <font>
      <b/>
      <sz val="16"/>
      <color indexed="81"/>
      <name val="Tahoma"/>
      <family val="2"/>
    </font>
    <font>
      <b/>
      <sz val="8"/>
      <color indexed="81"/>
      <name val="Tahoma"/>
      <family val="2"/>
    </font>
    <font>
      <sz val="8"/>
      <color indexed="81"/>
      <name val="Tahoma"/>
      <family val="2"/>
    </font>
    <font>
      <sz val="12"/>
      <color indexed="81"/>
      <name val="Tahoma"/>
      <family val="2"/>
    </font>
    <font>
      <sz val="11"/>
      <color indexed="81"/>
      <name val="SimHei"/>
      <family val="3"/>
    </font>
    <font>
      <sz val="11"/>
      <color indexed="81"/>
      <name val="Tahoma"/>
      <family val="2"/>
    </font>
    <font>
      <u/>
      <sz val="12"/>
      <color indexed="81"/>
      <name val="Tahoma"/>
      <family val="2"/>
    </font>
    <font>
      <sz val="10"/>
      <color indexed="81"/>
      <name val="Tahoma"/>
      <family val="2"/>
    </font>
    <font>
      <b/>
      <sz val="10"/>
      <color theme="0" tint="-0.499984740745262"/>
      <name val="Calibri"/>
      <family val="2"/>
    </font>
    <font>
      <i/>
      <sz val="11"/>
      <color theme="1"/>
      <name val="Calibri"/>
      <family val="2"/>
      <scheme val="minor"/>
    </font>
    <font>
      <sz val="11"/>
      <color theme="1"/>
      <name val="Arial"/>
      <family val="2"/>
    </font>
    <font>
      <i/>
      <sz val="9"/>
      <color theme="1"/>
      <name val="Arial"/>
      <family val="2"/>
    </font>
    <font>
      <i/>
      <sz val="10"/>
      <color theme="7"/>
      <name val="Arial"/>
      <family val="2"/>
    </font>
    <font>
      <b/>
      <sz val="8"/>
      <color rgb="FF000000"/>
      <name val="Verdana"/>
      <family val="2"/>
    </font>
    <font>
      <b/>
      <vertAlign val="superscript"/>
      <sz val="8"/>
      <color rgb="FF000000"/>
      <name val="Verdana"/>
      <family val="2"/>
    </font>
    <font>
      <vertAlign val="superscript"/>
      <sz val="10"/>
      <color theme="1"/>
      <name val="Arial"/>
      <family val="2"/>
    </font>
    <font>
      <b/>
      <i/>
      <sz val="11"/>
      <color theme="3"/>
      <name val="Calibri"/>
      <family val="2"/>
      <scheme val="minor"/>
    </font>
    <font>
      <u/>
      <sz val="11"/>
      <color theme="10"/>
      <name val="Calibri"/>
      <family val="2"/>
      <scheme val="minor"/>
    </font>
    <font>
      <sz val="12"/>
      <name val="Calibri"/>
      <family val="2"/>
      <scheme val="minor"/>
    </font>
    <font>
      <b/>
      <i/>
      <sz val="12"/>
      <color indexed="48"/>
      <name val="Calibri"/>
      <family val="2"/>
      <scheme val="minor"/>
    </font>
    <font>
      <b/>
      <sz val="12"/>
      <name val="Calibri"/>
      <family val="2"/>
      <scheme val="minor"/>
    </font>
    <font>
      <sz val="11"/>
      <name val="Calibri"/>
      <family val="2"/>
      <scheme val="minor"/>
    </font>
    <font>
      <sz val="11"/>
      <color theme="0" tint="-0.499984740745262"/>
      <name val="Calibri"/>
      <family val="2"/>
      <scheme val="minor"/>
    </font>
    <font>
      <b/>
      <i/>
      <sz val="12"/>
      <name val="Calibri"/>
      <family val="2"/>
      <scheme val="minor"/>
    </font>
    <font>
      <b/>
      <sz val="16"/>
      <color theme="9" tint="-0.249977111117893"/>
      <name val="Calibri"/>
      <family val="2"/>
      <scheme val="minor"/>
    </font>
    <font>
      <i/>
      <sz val="11"/>
      <name val="Calibri"/>
      <family val="2"/>
      <scheme val="minor"/>
    </font>
    <font>
      <b/>
      <sz val="11"/>
      <name val="Calibri"/>
      <family val="2"/>
    </font>
    <font>
      <sz val="11"/>
      <color indexed="23"/>
      <name val="Calibri"/>
      <family val="2"/>
    </font>
    <font>
      <sz val="11"/>
      <name val="Calibri"/>
      <family val="2"/>
    </font>
    <font>
      <b/>
      <i/>
      <u/>
      <sz val="12"/>
      <color indexed="48"/>
      <name val="Calibri"/>
      <family val="2"/>
      <scheme val="minor"/>
    </font>
    <font>
      <b/>
      <sz val="11"/>
      <name val="Calibri"/>
      <family val="2"/>
      <scheme val="minor"/>
    </font>
    <font>
      <b/>
      <i/>
      <sz val="11"/>
      <color indexed="48"/>
      <name val="Calibri"/>
      <family val="2"/>
      <scheme val="minor"/>
    </font>
    <font>
      <sz val="12"/>
      <color rgb="FFFF0000"/>
      <name val="Calibri"/>
      <family val="2"/>
      <scheme val="minor"/>
    </font>
    <font>
      <b/>
      <u/>
      <sz val="11"/>
      <name val="Calibri"/>
      <family val="2"/>
    </font>
    <font>
      <b/>
      <sz val="12"/>
      <color rgb="FFFF0000"/>
      <name val="Calibri"/>
      <family val="2"/>
      <scheme val="minor"/>
    </font>
    <font>
      <b/>
      <sz val="10"/>
      <color theme="0" tint="-0.499984740745262"/>
      <name val="Arial"/>
      <family val="2"/>
    </font>
    <font>
      <b/>
      <sz val="11"/>
      <color theme="0" tint="-0.499984740745262"/>
      <name val="Calibri"/>
      <family val="2"/>
      <scheme val="minor"/>
    </font>
    <font>
      <b/>
      <sz val="11"/>
      <color indexed="23"/>
      <name val="Calibri"/>
      <family val="2"/>
    </font>
    <font>
      <sz val="10"/>
      <color theme="0"/>
      <name val="Arial"/>
      <family val="2"/>
    </font>
    <font>
      <u/>
      <sz val="10"/>
      <color theme="10"/>
      <name val="Arial"/>
      <family val="2"/>
    </font>
    <font>
      <sz val="10"/>
      <color theme="0" tint="-0.499984740745262"/>
      <name val="Arial"/>
      <family val="2"/>
    </font>
    <font>
      <b/>
      <sz val="10"/>
      <color indexed="8"/>
      <name val="Calibri"/>
      <family val="2"/>
    </font>
    <font>
      <u/>
      <sz val="10"/>
      <color indexed="12"/>
      <name val="Arial"/>
      <family val="2"/>
    </font>
    <font>
      <b/>
      <sz val="10"/>
      <color theme="0"/>
      <name val="Arial"/>
      <family val="2"/>
    </font>
    <font>
      <b/>
      <sz val="12"/>
      <color theme="0"/>
      <name val="Arial"/>
      <family val="2"/>
    </font>
    <font>
      <b/>
      <sz val="11"/>
      <color theme="0"/>
      <name val="Arial"/>
      <family val="2"/>
    </font>
    <font>
      <sz val="10"/>
      <color theme="0"/>
      <name val="Calibri"/>
      <family val="2"/>
    </font>
    <font>
      <sz val="12"/>
      <color theme="0"/>
      <name val="Calibri"/>
      <family val="2"/>
    </font>
    <font>
      <sz val="10"/>
      <color theme="0" tint="-0.34998626667073579"/>
      <name val="Arial"/>
      <family val="2"/>
    </font>
    <font>
      <sz val="10"/>
      <color rgb="FF00B050"/>
      <name val="Arial"/>
      <family val="2"/>
    </font>
    <font>
      <b/>
      <sz val="16"/>
      <color theme="0"/>
      <name val="Calibri"/>
      <family val="2"/>
      <scheme val="minor"/>
    </font>
    <font>
      <b/>
      <sz val="11"/>
      <color theme="0"/>
      <name val="Calibri"/>
      <family val="2"/>
      <scheme val="minor"/>
    </font>
    <font>
      <b/>
      <sz val="12"/>
      <color theme="1"/>
      <name val="Calibri"/>
      <family val="2"/>
      <scheme val="minor"/>
    </font>
    <font>
      <i/>
      <sz val="12"/>
      <color theme="1"/>
      <name val="Calibri"/>
      <family val="2"/>
      <scheme val="minor"/>
    </font>
    <font>
      <b/>
      <sz val="12"/>
      <color indexed="9"/>
      <name val="Calibri"/>
      <family val="2"/>
    </font>
    <font>
      <b/>
      <sz val="8"/>
      <name val="Calibri"/>
      <family val="2"/>
    </font>
    <font>
      <sz val="8"/>
      <name val="Calibri"/>
      <family val="2"/>
    </font>
    <font>
      <b/>
      <sz val="10"/>
      <color theme="6" tint="-0.249977111117893"/>
      <name val="Arial"/>
      <family val="2"/>
    </font>
    <font>
      <b/>
      <sz val="10"/>
      <color theme="5" tint="-0.249977111117893"/>
      <name val="Arial"/>
      <family val="2"/>
    </font>
    <font>
      <sz val="11"/>
      <color rgb="FFFF0000"/>
      <name val="Calibri"/>
      <family val="2"/>
      <scheme val="minor"/>
    </font>
    <font>
      <b/>
      <sz val="11"/>
      <color rgb="FFFF0000"/>
      <name val="Calibri"/>
      <family val="2"/>
      <scheme val="minor"/>
    </font>
    <font>
      <sz val="10"/>
      <color theme="1"/>
      <name val="Calibri"/>
      <family val="2"/>
      <scheme val="minor"/>
    </font>
    <font>
      <sz val="9"/>
      <color theme="1"/>
      <name val="Calibri"/>
      <family val="2"/>
      <scheme val="minor"/>
    </font>
    <font>
      <sz val="8"/>
      <color indexed="8"/>
      <name val="Arial"/>
      <family val="2"/>
    </font>
    <font>
      <sz val="9"/>
      <name val="Calibri"/>
      <family val="2"/>
    </font>
    <font>
      <b/>
      <i/>
      <sz val="10"/>
      <name val="Calibri"/>
      <family val="2"/>
    </font>
    <font>
      <b/>
      <sz val="12"/>
      <color theme="0"/>
      <name val="Calibri"/>
      <family val="2"/>
    </font>
    <font>
      <b/>
      <sz val="10"/>
      <color theme="0"/>
      <name val="Calibri"/>
      <family val="2"/>
    </font>
    <font>
      <b/>
      <sz val="8"/>
      <color theme="1"/>
      <name val="Calibri"/>
      <family val="2"/>
      <scheme val="minor"/>
    </font>
    <font>
      <b/>
      <sz val="11"/>
      <color rgb="FF940000"/>
      <name val="Calibri"/>
      <family val="2"/>
      <scheme val="minor"/>
    </font>
    <font>
      <b/>
      <sz val="11"/>
      <color theme="9"/>
      <name val="Calibri"/>
      <family val="2"/>
      <scheme val="minor"/>
    </font>
    <font>
      <sz val="11"/>
      <color theme="9"/>
      <name val="Calibri"/>
      <family val="2"/>
      <scheme val="minor"/>
    </font>
    <font>
      <b/>
      <sz val="8"/>
      <name val="Calibri"/>
      <family val="2"/>
      <scheme val="minor"/>
    </font>
    <font>
      <sz val="11"/>
      <color rgb="FF9C0006"/>
      <name val="Calibri"/>
      <family val="2"/>
      <scheme val="minor"/>
    </font>
    <font>
      <b/>
      <sz val="8"/>
      <color theme="1"/>
      <name val="Arial"/>
      <family val="2"/>
    </font>
    <font>
      <sz val="12"/>
      <color indexed="12"/>
      <name val="Arial MT"/>
    </font>
    <font>
      <sz val="12"/>
      <name val="Arial MT"/>
    </font>
    <font>
      <b/>
      <sz val="12"/>
      <color indexed="9"/>
      <name val="Arial"/>
      <family val="2"/>
    </font>
    <font>
      <b/>
      <sz val="16"/>
      <color indexed="9"/>
      <name val="Arial"/>
      <family val="2"/>
    </font>
    <font>
      <b/>
      <sz val="10"/>
      <color indexed="9"/>
      <name val="Arial"/>
      <family val="2"/>
    </font>
    <font>
      <sz val="6"/>
      <color indexed="8"/>
      <name val="Arial"/>
      <family val="2"/>
    </font>
    <font>
      <sz val="6"/>
      <name val="Arial"/>
      <family val="2"/>
    </font>
    <font>
      <b/>
      <sz val="9"/>
      <color indexed="9"/>
      <name val="Arial"/>
      <family val="2"/>
    </font>
    <font>
      <sz val="9"/>
      <color indexed="8"/>
      <name val="Arial"/>
      <family val="2"/>
    </font>
    <font>
      <sz val="9"/>
      <color indexed="10"/>
      <name val="Arial"/>
      <family val="2"/>
    </font>
    <font>
      <sz val="9"/>
      <name val="Arial"/>
      <family val="2"/>
    </font>
    <font>
      <b/>
      <sz val="9"/>
      <color theme="0"/>
      <name val="Arial"/>
      <family val="2"/>
    </font>
    <font>
      <b/>
      <sz val="8"/>
      <color rgb="FFFFFFFF"/>
      <name val="Arial"/>
      <family val="2"/>
    </font>
    <font>
      <b/>
      <sz val="9"/>
      <color rgb="FFFF0000"/>
      <name val="Arial"/>
      <family val="2"/>
    </font>
    <font>
      <b/>
      <sz val="9"/>
      <name val="Arial"/>
      <family val="2"/>
    </font>
    <font>
      <sz val="6"/>
      <color rgb="FFFF0000"/>
      <name val="Arial"/>
      <family val="2"/>
    </font>
    <font>
      <sz val="9"/>
      <color rgb="FFFF0000"/>
      <name val="Arial"/>
      <family val="2"/>
    </font>
    <font>
      <sz val="9"/>
      <color rgb="FF000000"/>
      <name val="Open Sans"/>
      <family val="2"/>
    </font>
    <font>
      <b/>
      <sz val="10"/>
      <color rgb="FFC00000"/>
      <name val="Arial"/>
      <family val="2"/>
    </font>
    <font>
      <sz val="8"/>
      <color theme="1"/>
      <name val="Calibri"/>
      <family val="2"/>
      <scheme val="minor"/>
    </font>
    <font>
      <b/>
      <sz val="9"/>
      <color theme="1"/>
      <name val="Calibri"/>
      <family val="2"/>
      <scheme val="minor"/>
    </font>
    <font>
      <b/>
      <i/>
      <sz val="11"/>
      <color theme="1"/>
      <name val="Calibri"/>
      <family val="2"/>
      <scheme val="minor"/>
    </font>
    <font>
      <sz val="10"/>
      <color theme="0" tint="-4.9989318521683403E-2"/>
      <name val="Arial"/>
      <family val="2"/>
    </font>
    <font>
      <b/>
      <i/>
      <sz val="10"/>
      <color theme="1"/>
      <name val="Calibri"/>
      <family val="2"/>
      <scheme val="minor"/>
    </font>
    <font>
      <b/>
      <sz val="10"/>
      <color theme="1"/>
      <name val="Calibri"/>
      <family val="2"/>
      <scheme val="minor"/>
    </font>
    <font>
      <b/>
      <sz val="11"/>
      <color rgb="FF000000"/>
      <name val="Calibri"/>
      <family val="2"/>
    </font>
    <font>
      <sz val="11"/>
      <color rgb="FF000000"/>
      <name val="Calibri"/>
      <family val="2"/>
    </font>
    <font>
      <sz val="11"/>
      <color rgb="FFFF0000"/>
      <name val="Calibri"/>
      <family val="2"/>
    </font>
  </fonts>
  <fills count="4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indexed="9"/>
        <bgColor indexed="64"/>
      </patternFill>
    </fill>
    <fill>
      <patternFill patternType="solid">
        <fgColor rgb="FFFFFFFF"/>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940000"/>
        <bgColor indexed="64"/>
      </patternFill>
    </fill>
    <fill>
      <patternFill patternType="solid">
        <fgColor theme="5"/>
        <bgColor indexed="64"/>
      </patternFill>
    </fill>
    <fill>
      <patternFill patternType="solid">
        <fgColor theme="7" tint="0.39997558519241921"/>
        <bgColor indexed="64"/>
      </patternFill>
    </fill>
    <fill>
      <patternFill patternType="solid">
        <fgColor indexed="60"/>
        <bgColor indexed="64"/>
      </patternFill>
    </fill>
    <fill>
      <patternFill patternType="solid">
        <fgColor indexed="47"/>
        <bgColor indexed="64"/>
      </patternFill>
    </fill>
    <fill>
      <patternFill patternType="solid">
        <fgColor indexed="43"/>
        <bgColor indexed="64"/>
      </patternFill>
    </fill>
    <fill>
      <patternFill patternType="solid">
        <fgColor theme="2"/>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8"/>
        <bgColor indexed="64"/>
      </patternFill>
    </fill>
    <fill>
      <patternFill patternType="solid">
        <fgColor rgb="FFFFC7CE"/>
      </patternFill>
    </fill>
    <fill>
      <patternFill patternType="solid">
        <fgColor theme="6"/>
        <bgColor indexed="64"/>
      </patternFill>
    </fill>
    <fill>
      <patternFill patternType="solid">
        <fgColor rgb="FFC00000"/>
        <bgColor indexed="64"/>
      </patternFill>
    </fill>
    <fill>
      <patternFill patternType="solid">
        <fgColor indexed="17"/>
        <bgColor indexed="64"/>
      </patternFill>
    </fill>
    <fill>
      <patternFill patternType="solid">
        <fgColor indexed="50"/>
        <bgColor indexed="64"/>
      </patternFill>
    </fill>
    <fill>
      <patternFill patternType="solid">
        <fgColor indexed="9"/>
        <bgColor indexed="9"/>
      </patternFill>
    </fill>
    <fill>
      <patternFill patternType="solid">
        <fgColor indexed="17"/>
        <bgColor indexed="9"/>
      </patternFill>
    </fill>
    <fill>
      <patternFill patternType="solid">
        <fgColor rgb="FF008000"/>
        <bgColor rgb="FFFFFFFF"/>
      </patternFill>
    </fill>
    <fill>
      <patternFill patternType="solid">
        <fgColor indexed="50"/>
        <bgColor indexed="9"/>
      </patternFill>
    </fill>
    <fill>
      <patternFill patternType="solid">
        <fgColor theme="0"/>
        <bgColor indexed="9"/>
      </patternFill>
    </fill>
    <fill>
      <patternFill patternType="solid">
        <fgColor theme="4" tint="0.79998168889431442"/>
        <bgColor theme="4" tint="0.79998168889431442"/>
      </patternFill>
    </fill>
    <fill>
      <patternFill patternType="solid">
        <fgColor rgb="FFC0C0C0"/>
        <bgColor rgb="FFC0C0C0"/>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indexed="64"/>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ck">
        <color theme="0"/>
      </right>
      <top/>
      <bottom style="thick">
        <color theme="0"/>
      </bottom>
      <diagonal/>
    </border>
    <border>
      <left style="medium">
        <color theme="0"/>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bottom style="thin">
        <color indexed="50"/>
      </bottom>
      <diagonal/>
    </border>
    <border>
      <left style="thin">
        <color indexed="50"/>
      </left>
      <right/>
      <top style="thin">
        <color indexed="50"/>
      </top>
      <bottom/>
      <diagonal/>
    </border>
    <border>
      <left/>
      <right/>
      <top style="thin">
        <color indexed="50"/>
      </top>
      <bottom/>
      <diagonal/>
    </border>
    <border>
      <left/>
      <right style="thin">
        <color indexed="50"/>
      </right>
      <top style="thin">
        <color indexed="50"/>
      </top>
      <bottom/>
      <diagonal/>
    </border>
    <border>
      <left style="thin">
        <color indexed="50"/>
      </left>
      <right/>
      <top/>
      <bottom style="thin">
        <color indexed="50"/>
      </bottom>
      <diagonal/>
    </border>
    <border>
      <left/>
      <right/>
      <top style="thin">
        <color indexed="50"/>
      </top>
      <bottom style="thin">
        <color indexed="50"/>
      </bottom>
      <diagonal/>
    </border>
    <border>
      <left/>
      <right style="thin">
        <color indexed="50"/>
      </right>
      <top style="thin">
        <color indexed="50"/>
      </top>
      <bottom style="thin">
        <color indexed="50"/>
      </bottom>
      <diagonal/>
    </border>
    <border>
      <left/>
      <right/>
      <top style="thin">
        <color indexed="17"/>
      </top>
      <bottom style="thin">
        <color indexed="17"/>
      </bottom>
      <diagonal/>
    </border>
    <border>
      <left style="thin">
        <color indexed="17"/>
      </left>
      <right/>
      <top style="thin">
        <color indexed="17"/>
      </top>
      <bottom style="thin">
        <color indexed="17"/>
      </bottom>
      <diagonal/>
    </border>
    <border>
      <left style="thin">
        <color indexed="17"/>
      </left>
      <right/>
      <top style="thin">
        <color indexed="17"/>
      </top>
      <bottom/>
      <diagonal/>
    </border>
    <border>
      <left/>
      <right/>
      <top style="thin">
        <color indexed="17"/>
      </top>
      <bottom/>
      <diagonal/>
    </border>
    <border>
      <left/>
      <right/>
      <top style="dashed">
        <color auto="1"/>
      </top>
      <bottom style="dashed">
        <color auto="1"/>
      </bottom>
      <diagonal/>
    </border>
    <border>
      <left/>
      <right/>
      <top/>
      <bottom style="thin">
        <color theme="4" tint="0.39997558519241921"/>
      </bottom>
      <diagonal/>
    </border>
    <border>
      <left style="thin">
        <color auto="1"/>
      </left>
      <right style="thin">
        <color auto="1"/>
      </right>
      <top style="thin">
        <color auto="1"/>
      </top>
      <bottom style="dotted">
        <color auto="1"/>
      </bottom>
      <diagonal/>
    </border>
    <border>
      <left style="thin">
        <color rgb="FFD0D7E5"/>
      </left>
      <right style="thin">
        <color rgb="FFD0D7E5"/>
      </right>
      <top style="dotted">
        <color auto="1"/>
      </top>
      <bottom style="dotted">
        <color auto="1"/>
      </bottom>
      <diagonal/>
    </border>
  </borders>
  <cellStyleXfs count="18">
    <xf numFmtId="0" fontId="0" fillId="0" borderId="0"/>
    <xf numFmtId="0" fontId="3" fillId="0" borderId="0"/>
    <xf numFmtId="43" fontId="4" fillId="0" borderId="0" applyFont="0" applyFill="0" applyBorder="0" applyAlignment="0" applyProtection="0"/>
    <xf numFmtId="0" fontId="5" fillId="0" borderId="0"/>
    <xf numFmtId="9" fontId="4" fillId="0" borderId="0" applyFont="0" applyFill="0" applyBorder="0" applyAlignment="0" applyProtection="0"/>
    <xf numFmtId="9" fontId="19" fillId="0" borderId="0" applyFont="0" applyFill="0" applyBorder="0" applyAlignment="0" applyProtection="0"/>
    <xf numFmtId="0" fontId="53" fillId="0" borderId="0"/>
    <xf numFmtId="0" fontId="55" fillId="0" borderId="0"/>
    <xf numFmtId="9"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0" fontId="3" fillId="0" borderId="0"/>
    <xf numFmtId="0" fontId="78" fillId="0" borderId="0" applyNumberFormat="0" applyFill="0" applyBorder="0" applyAlignment="0" applyProtection="0"/>
    <xf numFmtId="0" fontId="103"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9" fontId="3" fillId="0" borderId="0" applyFont="0" applyFill="0" applyBorder="0" applyAlignment="0" applyProtection="0"/>
    <xf numFmtId="0" fontId="134" fillId="35" borderId="0" applyNumberFormat="0" applyBorder="0" applyAlignment="0" applyProtection="0"/>
    <xf numFmtId="0" fontId="19" fillId="0" borderId="0"/>
  </cellStyleXfs>
  <cellXfs count="1206">
    <xf numFmtId="0" fontId="0" fillId="0" borderId="0" xfId="0"/>
    <xf numFmtId="0" fontId="0" fillId="0" borderId="1" xfId="0" applyBorder="1"/>
    <xf numFmtId="0" fontId="1" fillId="0" borderId="0" xfId="0" applyFont="1"/>
    <xf numFmtId="0" fontId="6" fillId="0" borderId="0" xfId="0" applyFont="1"/>
    <xf numFmtId="0" fontId="7" fillId="0" borderId="0" xfId="0" applyFont="1"/>
    <xf numFmtId="0" fontId="8" fillId="0" borderId="0" xfId="0" applyFont="1"/>
    <xf numFmtId="0" fontId="6" fillId="0" borderId="1" xfId="0" applyFont="1" applyBorder="1"/>
    <xf numFmtId="0" fontId="3" fillId="0" borderId="1" xfId="0" applyFont="1" applyBorder="1"/>
    <xf numFmtId="0" fontId="10" fillId="0" borderId="0" xfId="0" applyFont="1"/>
    <xf numFmtId="0" fontId="12" fillId="0" borderId="0" xfId="0" applyFont="1" applyFill="1" applyBorder="1"/>
    <xf numFmtId="0" fontId="9" fillId="0" borderId="0" xfId="0" applyFont="1"/>
    <xf numFmtId="3" fontId="6" fillId="0" borderId="1" xfId="0" applyNumberFormat="1" applyFont="1" applyBorder="1"/>
    <xf numFmtId="0" fontId="12" fillId="0" borderId="0" xfId="0" applyFont="1"/>
    <xf numFmtId="0" fontId="6" fillId="0" borderId="0" xfId="0" applyFont="1" applyBorder="1"/>
    <xf numFmtId="3" fontId="9" fillId="0" borderId="0" xfId="0" applyNumberFormat="1" applyFont="1"/>
    <xf numFmtId="3" fontId="6" fillId="0" borderId="0" xfId="0" applyNumberFormat="1" applyFont="1" applyBorder="1"/>
    <xf numFmtId="0" fontId="10" fillId="0" borderId="0" xfId="0" applyFont="1" applyFill="1" applyBorder="1"/>
    <xf numFmtId="0" fontId="10" fillId="0" borderId="0" xfId="0" applyFont="1" applyBorder="1"/>
    <xf numFmtId="165" fontId="6" fillId="0" borderId="1" xfId="0" applyNumberFormat="1" applyFont="1" applyBorder="1"/>
    <xf numFmtId="0" fontId="3" fillId="0" borderId="1" xfId="0" applyFont="1" applyFill="1" applyBorder="1"/>
    <xf numFmtId="3" fontId="6" fillId="0" borderId="0" xfId="0" applyNumberFormat="1" applyFont="1"/>
    <xf numFmtId="167" fontId="6" fillId="0" borderId="0" xfId="0" applyNumberFormat="1" applyFont="1"/>
    <xf numFmtId="0" fontId="6" fillId="0" borderId="0" xfId="0" applyFont="1" applyFill="1" applyBorder="1"/>
    <xf numFmtId="0" fontId="6" fillId="0" borderId="3" xfId="0" applyFont="1" applyBorder="1"/>
    <xf numFmtId="0" fontId="6" fillId="0" borderId="1" xfId="0" applyFont="1" applyFill="1" applyBorder="1"/>
    <xf numFmtId="2" fontId="7" fillId="3" borderId="1" xfId="0" applyNumberFormat="1" applyFont="1" applyFill="1" applyBorder="1"/>
    <xf numFmtId="0" fontId="6" fillId="0" borderId="0" xfId="0" applyFont="1" applyAlignment="1">
      <alignment wrapText="1"/>
    </xf>
    <xf numFmtId="0" fontId="15" fillId="0" borderId="0" xfId="0" applyFont="1" applyAlignment="1">
      <alignment horizontal="center" vertical="center" readingOrder="1"/>
    </xf>
    <xf numFmtId="2" fontId="13" fillId="0" borderId="1" xfId="0" applyNumberFormat="1" applyFont="1" applyFill="1" applyBorder="1"/>
    <xf numFmtId="0" fontId="15" fillId="0" borderId="0" xfId="0" applyFont="1" applyAlignment="1">
      <alignment horizontal="left" vertical="center" readingOrder="1"/>
    </xf>
    <xf numFmtId="1" fontId="6" fillId="0" borderId="1" xfId="0" applyNumberFormat="1" applyFont="1" applyBorder="1"/>
    <xf numFmtId="0" fontId="16" fillId="0" borderId="1" xfId="0" applyFont="1" applyFill="1" applyBorder="1"/>
    <xf numFmtId="165" fontId="16" fillId="3" borderId="1" xfId="0" applyNumberFormat="1" applyFont="1" applyFill="1" applyBorder="1"/>
    <xf numFmtId="0" fontId="13" fillId="0" borderId="0" xfId="0" applyFont="1" applyBorder="1"/>
    <xf numFmtId="0" fontId="7" fillId="0" borderId="1" xfId="0" applyFont="1" applyBorder="1"/>
    <xf numFmtId="2" fontId="6" fillId="0" borderId="1" xfId="0" applyNumberFormat="1" applyFont="1" applyBorder="1"/>
    <xf numFmtId="2" fontId="7" fillId="0" borderId="1" xfId="0" applyNumberFormat="1" applyFont="1" applyBorder="1"/>
    <xf numFmtId="0" fontId="6" fillId="0" borderId="1" xfId="0" applyFont="1" applyBorder="1" applyAlignment="1">
      <alignment horizontal="center" wrapText="1"/>
    </xf>
    <xf numFmtId="0" fontId="6" fillId="0" borderId="1" xfId="0" applyFont="1" applyBorder="1" applyAlignment="1">
      <alignment horizontal="center"/>
    </xf>
    <xf numFmtId="2" fontId="6" fillId="0" borderId="3" xfId="0" applyNumberFormat="1" applyFont="1" applyBorder="1"/>
    <xf numFmtId="2" fontId="6" fillId="0" borderId="0" xfId="0" applyNumberFormat="1" applyFont="1" applyBorder="1"/>
    <xf numFmtId="1" fontId="6" fillId="0" borderId="3" xfId="0" applyNumberFormat="1" applyFont="1" applyBorder="1"/>
    <xf numFmtId="165" fontId="7" fillId="5" borderId="1" xfId="0" applyNumberFormat="1" applyFont="1" applyFill="1" applyBorder="1"/>
    <xf numFmtId="0" fontId="7" fillId="0" borderId="2" xfId="0" applyFont="1" applyFill="1" applyBorder="1" applyAlignment="1">
      <alignment horizontal="center"/>
    </xf>
    <xf numFmtId="0" fontId="6" fillId="0" borderId="1" xfId="0" applyFont="1" applyFill="1" applyBorder="1" applyAlignment="1">
      <alignment horizontal="center"/>
    </xf>
    <xf numFmtId="0" fontId="6" fillId="0" borderId="3" xfId="0" applyFont="1" applyFill="1" applyBorder="1" applyAlignment="1">
      <alignment horizontal="center"/>
    </xf>
    <xf numFmtId="0" fontId="7" fillId="0" borderId="1" xfId="0" applyFont="1" applyFill="1" applyBorder="1" applyAlignment="1">
      <alignment horizontal="center"/>
    </xf>
    <xf numFmtId="0" fontId="6" fillId="6" borderId="1" xfId="0" applyFont="1" applyFill="1" applyBorder="1" applyAlignment="1">
      <alignment horizontal="center"/>
    </xf>
    <xf numFmtId="0" fontId="7" fillId="0" borderId="1" xfId="0" applyFont="1" applyFill="1" applyBorder="1"/>
    <xf numFmtId="4" fontId="3" fillId="0" borderId="1" xfId="0" applyNumberFormat="1" applyFont="1" applyBorder="1"/>
    <xf numFmtId="4" fontId="6" fillId="0" borderId="1" xfId="0" applyNumberFormat="1" applyFont="1" applyBorder="1"/>
    <xf numFmtId="0" fontId="0" fillId="0" borderId="0" xfId="0" applyAlignment="1">
      <alignment horizontal="left"/>
    </xf>
    <xf numFmtId="0" fontId="0" fillId="0" borderId="0" xfId="0" applyNumberFormat="1"/>
    <xf numFmtId="0" fontId="6" fillId="0" borderId="0" xfId="0" applyFont="1" applyFill="1"/>
    <xf numFmtId="0" fontId="7" fillId="0" borderId="0" xfId="0" applyFont="1" applyFill="1"/>
    <xf numFmtId="4" fontId="7" fillId="5" borderId="1" xfId="0" applyNumberFormat="1" applyFont="1" applyFill="1" applyBorder="1"/>
    <xf numFmtId="3" fontId="6" fillId="0" borderId="0" xfId="0" applyNumberFormat="1" applyFont="1" applyFill="1" applyBorder="1"/>
    <xf numFmtId="0" fontId="6" fillId="0" borderId="1" xfId="0" applyFont="1" applyFill="1" applyBorder="1" applyAlignment="1">
      <alignment horizontal="left"/>
    </xf>
    <xf numFmtId="2" fontId="13" fillId="0" borderId="0" xfId="0" applyNumberFormat="1" applyFont="1" applyFill="1" applyBorder="1"/>
    <xf numFmtId="0" fontId="7" fillId="0" borderId="1" xfId="0" applyFont="1" applyBorder="1" applyAlignment="1">
      <alignment horizontal="center"/>
    </xf>
    <xf numFmtId="0" fontId="8" fillId="0" borderId="0" xfId="0" applyFont="1" applyFill="1" applyBorder="1"/>
    <xf numFmtId="0" fontId="17" fillId="0" borderId="0" xfId="0" applyFont="1"/>
    <xf numFmtId="0" fontId="6" fillId="6" borderId="1" xfId="0" applyFont="1" applyFill="1" applyBorder="1"/>
    <xf numFmtId="0" fontId="0" fillId="6" borderId="1" xfId="0" applyFill="1" applyBorder="1"/>
    <xf numFmtId="3" fontId="6" fillId="6" borderId="1" xfId="0" applyNumberFormat="1" applyFont="1" applyFill="1" applyBorder="1"/>
    <xf numFmtId="10" fontId="6" fillId="6" borderId="1" xfId="0" applyNumberFormat="1" applyFont="1" applyFill="1" applyBorder="1"/>
    <xf numFmtId="9" fontId="6" fillId="6" borderId="1" xfId="0" applyNumberFormat="1" applyFont="1" applyFill="1" applyBorder="1"/>
    <xf numFmtId="0" fontId="12" fillId="0" borderId="0" xfId="0" applyFont="1" applyBorder="1"/>
    <xf numFmtId="3" fontId="7" fillId="0" borderId="1" xfId="0" applyNumberFormat="1" applyFont="1" applyBorder="1"/>
    <xf numFmtId="0" fontId="7" fillId="0" borderId="1" xfId="0" applyFont="1" applyBorder="1" applyAlignment="1">
      <alignment horizontal="left"/>
    </xf>
    <xf numFmtId="0" fontId="7" fillId="0" borderId="0" xfId="0" applyFont="1" applyFill="1" applyBorder="1"/>
    <xf numFmtId="0" fontId="16" fillId="0" borderId="0" xfId="0" applyFont="1"/>
    <xf numFmtId="3" fontId="3" fillId="0" borderId="1" xfId="0" applyNumberFormat="1" applyFont="1" applyBorder="1"/>
    <xf numFmtId="0" fontId="7" fillId="0" borderId="0" xfId="0" applyFont="1" applyBorder="1"/>
    <xf numFmtId="166" fontId="7" fillId="5" borderId="1" xfId="0" applyNumberFormat="1" applyFont="1" applyFill="1" applyBorder="1"/>
    <xf numFmtId="10" fontId="6" fillId="4" borderId="1" xfId="5" applyNumberFormat="1" applyFont="1" applyFill="1" applyBorder="1"/>
    <xf numFmtId="4" fontId="7" fillId="0" borderId="1" xfId="0" applyNumberFormat="1" applyFont="1" applyBorder="1"/>
    <xf numFmtId="0" fontId="3" fillId="0" borderId="0" xfId="0" applyFont="1"/>
    <xf numFmtId="0" fontId="3" fillId="6" borderId="1" xfId="0" applyFont="1" applyFill="1" applyBorder="1"/>
    <xf numFmtId="3" fontId="6" fillId="0" borderId="1" xfId="0" applyNumberFormat="1" applyFont="1" applyFill="1" applyBorder="1"/>
    <xf numFmtId="0" fontId="3" fillId="0" borderId="1" xfId="0" applyFont="1" applyFill="1" applyBorder="1" applyAlignment="1">
      <alignment wrapText="1"/>
    </xf>
    <xf numFmtId="0" fontId="3" fillId="0" borderId="0" xfId="0" applyFont="1" applyFill="1" applyBorder="1" applyAlignment="1">
      <alignment wrapText="1"/>
    </xf>
    <xf numFmtId="0" fontId="6" fillId="0" borderId="1" xfId="0" applyFont="1" applyFill="1" applyBorder="1" applyAlignment="1">
      <alignment wrapText="1"/>
    </xf>
    <xf numFmtId="3" fontId="6" fillId="4" borderId="1" xfId="0" applyNumberFormat="1" applyFont="1" applyFill="1" applyBorder="1"/>
    <xf numFmtId="0" fontId="6" fillId="4" borderId="1" xfId="0" applyFont="1" applyFill="1" applyBorder="1"/>
    <xf numFmtId="166" fontId="6" fillId="4" borderId="1" xfId="0" applyNumberFormat="1" applyFont="1" applyFill="1" applyBorder="1"/>
    <xf numFmtId="0" fontId="7" fillId="0" borderId="0" xfId="0" applyFont="1" applyFill="1" applyAlignment="1"/>
    <xf numFmtId="0" fontId="12" fillId="0" borderId="0" xfId="0" applyFont="1" applyFill="1" applyAlignment="1"/>
    <xf numFmtId="168" fontId="6" fillId="0" borderId="1" xfId="0" applyNumberFormat="1" applyFont="1" applyFill="1" applyBorder="1"/>
    <xf numFmtId="0" fontId="7" fillId="0" borderId="1" xfId="0" applyFont="1" applyFill="1" applyBorder="1" applyAlignment="1">
      <alignment horizontal="left"/>
    </xf>
    <xf numFmtId="4" fontId="6" fillId="6" borderId="1" xfId="0" applyNumberFormat="1" applyFont="1" applyFill="1" applyBorder="1"/>
    <xf numFmtId="168" fontId="6" fillId="6" borderId="1" xfId="0" applyNumberFormat="1" applyFont="1" applyFill="1" applyBorder="1"/>
    <xf numFmtId="168" fontId="6" fillId="0" borderId="1" xfId="0" applyNumberFormat="1" applyFont="1" applyBorder="1"/>
    <xf numFmtId="9" fontId="6" fillId="0" borderId="1" xfId="5" applyFont="1" applyBorder="1" applyAlignment="1">
      <alignment horizontal="right"/>
    </xf>
    <xf numFmtId="9" fontId="6" fillId="0" borderId="1" xfId="5" applyFont="1" applyBorder="1"/>
    <xf numFmtId="0" fontId="6" fillId="0" borderId="2" xfId="0" applyFont="1" applyBorder="1"/>
    <xf numFmtId="166" fontId="6" fillId="0" borderId="1" xfId="0" applyNumberFormat="1" applyFont="1" applyBorder="1"/>
    <xf numFmtId="10" fontId="6" fillId="0" borderId="1" xfId="5" applyNumberFormat="1" applyFont="1" applyBorder="1"/>
    <xf numFmtId="0" fontId="21" fillId="0" borderId="0" xfId="0" applyFont="1"/>
    <xf numFmtId="0" fontId="6" fillId="0" borderId="0" xfId="0" applyFont="1" applyAlignment="1">
      <alignment horizontal="justify" vertical="center"/>
    </xf>
    <xf numFmtId="9" fontId="6" fillId="0" borderId="1" xfId="0" applyNumberFormat="1" applyFont="1" applyBorder="1"/>
    <xf numFmtId="0" fontId="8" fillId="0" borderId="0" xfId="0" applyFont="1" applyFill="1"/>
    <xf numFmtId="0" fontId="10" fillId="0" borderId="0" xfId="0" applyFont="1" applyFill="1"/>
    <xf numFmtId="9" fontId="6" fillId="4" borderId="1" xfId="0" applyNumberFormat="1" applyFont="1" applyFill="1" applyBorder="1"/>
    <xf numFmtId="3" fontId="6" fillId="0" borderId="1" xfId="0" applyNumberFormat="1" applyFont="1" applyBorder="1" applyAlignment="1"/>
    <xf numFmtId="3" fontId="7" fillId="0" borderId="1" xfId="0" applyNumberFormat="1" applyFont="1" applyBorder="1" applyAlignment="1"/>
    <xf numFmtId="4" fontId="7" fillId="3" borderId="1" xfId="0" applyNumberFormat="1" applyFont="1" applyFill="1" applyBorder="1"/>
    <xf numFmtId="0" fontId="6" fillId="2" borderId="0" xfId="0" applyFont="1" applyFill="1"/>
    <xf numFmtId="0" fontId="23" fillId="0" borderId="0" xfId="0" applyFont="1"/>
    <xf numFmtId="0" fontId="24" fillId="0" borderId="0" xfId="0" applyFont="1"/>
    <xf numFmtId="0" fontId="25" fillId="0" borderId="0" xfId="0" applyFont="1" applyAlignment="1">
      <alignment horizontal="justify" vertical="center"/>
    </xf>
    <xf numFmtId="0" fontId="12" fillId="0" borderId="0" xfId="0" applyFont="1" applyFill="1"/>
    <xf numFmtId="0" fontId="3" fillId="0" borderId="0" xfId="0" applyFont="1" applyBorder="1"/>
    <xf numFmtId="2" fontId="6" fillId="0" borderId="0" xfId="0" applyNumberFormat="1" applyFont="1" applyBorder="1" applyAlignment="1">
      <alignment horizontal="right"/>
    </xf>
    <xf numFmtId="0" fontId="28" fillId="0" borderId="0" xfId="0" applyFont="1"/>
    <xf numFmtId="4" fontId="6" fillId="0" borderId="1" xfId="0" applyNumberFormat="1" applyFont="1" applyFill="1" applyBorder="1"/>
    <xf numFmtId="166" fontId="6" fillId="0" borderId="1" xfId="0" applyNumberFormat="1" applyFont="1" applyFill="1" applyBorder="1"/>
    <xf numFmtId="0" fontId="9" fillId="0" borderId="0" xfId="0" applyFont="1" applyFill="1"/>
    <xf numFmtId="0" fontId="22" fillId="0" borderId="0" xfId="0" applyFont="1"/>
    <xf numFmtId="0" fontId="21" fillId="0" borderId="1" xfId="0" applyFont="1" applyBorder="1"/>
    <xf numFmtId="0" fontId="29" fillId="0" borderId="0" xfId="0" applyFont="1"/>
    <xf numFmtId="0" fontId="6" fillId="9" borderId="1" xfId="0" applyFont="1" applyFill="1" applyBorder="1"/>
    <xf numFmtId="0" fontId="30" fillId="0" borderId="1" xfId="0" applyFont="1" applyBorder="1"/>
    <xf numFmtId="0" fontId="12" fillId="0" borderId="1" xfId="0" applyFont="1" applyBorder="1"/>
    <xf numFmtId="10" fontId="3" fillId="10" borderId="1" xfId="5" applyNumberFormat="1" applyFont="1" applyFill="1" applyBorder="1"/>
    <xf numFmtId="4" fontId="10" fillId="0" borderId="0" xfId="0" applyNumberFormat="1" applyFont="1" applyFill="1"/>
    <xf numFmtId="9" fontId="3" fillId="0" borderId="0" xfId="5" applyFont="1" applyBorder="1"/>
    <xf numFmtId="0" fontId="6" fillId="10" borderId="1" xfId="0" applyFont="1" applyFill="1" applyBorder="1"/>
    <xf numFmtId="170" fontId="6" fillId="0" borderId="1" xfId="5" applyNumberFormat="1" applyFont="1" applyBorder="1"/>
    <xf numFmtId="0" fontId="11" fillId="0" borderId="0" xfId="0" applyFont="1"/>
    <xf numFmtId="9" fontId="3" fillId="0" borderId="1" xfId="5" applyFont="1" applyBorder="1"/>
    <xf numFmtId="10" fontId="3" fillId="0" borderId="1" xfId="5" applyNumberFormat="1" applyFont="1" applyBorder="1"/>
    <xf numFmtId="0" fontId="7" fillId="3" borderId="1" xfId="0" applyFont="1" applyFill="1" applyBorder="1"/>
    <xf numFmtId="9" fontId="6" fillId="6" borderId="1" xfId="5" applyFont="1" applyFill="1" applyBorder="1"/>
    <xf numFmtId="0" fontId="16" fillId="0" borderId="1" xfId="0" applyFont="1" applyFill="1" applyBorder="1" applyAlignment="1">
      <alignment horizontal="left" wrapText="1"/>
    </xf>
    <xf numFmtId="0" fontId="6" fillId="0" borderId="1" xfId="0" applyFont="1" applyBorder="1" applyAlignment="1">
      <alignment horizontal="left"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27" fillId="0" borderId="0" xfId="0" applyFont="1"/>
    <xf numFmtId="4" fontId="7" fillId="11" borderId="1" xfId="0" applyNumberFormat="1" applyFont="1" applyFill="1" applyBorder="1"/>
    <xf numFmtId="0" fontId="6" fillId="0" borderId="1" xfId="0" applyFont="1" applyBorder="1" applyAlignment="1">
      <alignment wrapText="1"/>
    </xf>
    <xf numFmtId="0" fontId="7" fillId="0" borderId="1" xfId="0" applyFont="1" applyBorder="1" applyAlignment="1">
      <alignment horizontal="center" wrapText="1"/>
    </xf>
    <xf numFmtId="3" fontId="3" fillId="6" borderId="1" xfId="0" applyNumberFormat="1" applyFont="1" applyFill="1" applyBorder="1" applyAlignment="1">
      <alignment horizontal="right"/>
    </xf>
    <xf numFmtId="3" fontId="6" fillId="0" borderId="0" xfId="0" applyNumberFormat="1" applyFont="1" applyBorder="1" applyAlignment="1"/>
    <xf numFmtId="0" fontId="7" fillId="0" borderId="1" xfId="0" applyFont="1" applyBorder="1" applyAlignment="1">
      <alignment horizontal="center" vertical="center" wrapText="1"/>
    </xf>
    <xf numFmtId="0" fontId="7" fillId="0" borderId="1" xfId="0" applyFont="1" applyBorder="1" applyAlignment="1">
      <alignment horizontal="left" vertical="center" wrapText="1" indent="1"/>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xf numFmtId="3" fontId="10" fillId="0" borderId="0" xfId="0" applyNumberFormat="1" applyFont="1" applyBorder="1" applyAlignment="1"/>
    <xf numFmtId="0" fontId="21" fillId="0" borderId="1" xfId="0" applyFont="1" applyBorder="1" applyAlignment="1">
      <alignment vertical="center" wrapText="1"/>
    </xf>
    <xf numFmtId="0" fontId="21" fillId="0" borderId="1" xfId="0" applyFont="1" applyBorder="1" applyAlignment="1">
      <alignment horizontal="right" vertical="center"/>
    </xf>
    <xf numFmtId="9" fontId="6" fillId="0" borderId="0" xfId="5" applyFont="1" applyBorder="1"/>
    <xf numFmtId="0" fontId="21" fillId="6" borderId="1" xfId="0" applyFont="1" applyFill="1" applyBorder="1" applyAlignment="1">
      <alignment horizontal="right" vertical="center" wrapText="1"/>
    </xf>
    <xf numFmtId="0" fontId="6" fillId="0" borderId="2" xfId="0" applyFont="1" applyBorder="1" applyAlignment="1">
      <alignment wrapText="1"/>
    </xf>
    <xf numFmtId="0" fontId="6" fillId="0" borderId="2" xfId="0" applyFont="1" applyFill="1" applyBorder="1" applyAlignment="1">
      <alignment wrapText="1"/>
    </xf>
    <xf numFmtId="3" fontId="16" fillId="0" borderId="2" xfId="0" applyNumberFormat="1" applyFont="1" applyBorder="1" applyAlignment="1">
      <alignment wrapText="1"/>
    </xf>
    <xf numFmtId="0" fontId="7" fillId="0" borderId="2" xfId="0" applyFont="1" applyFill="1" applyBorder="1" applyAlignment="1">
      <alignment wrapText="1"/>
    </xf>
    <xf numFmtId="2" fontId="7" fillId="5" borderId="1" xfId="0" applyNumberFormat="1" applyFont="1" applyFill="1" applyBorder="1"/>
    <xf numFmtId="0" fontId="21" fillId="14" borderId="1" xfId="0" applyFont="1" applyFill="1" applyBorder="1" applyAlignment="1">
      <alignment horizontal="right" vertical="center"/>
    </xf>
    <xf numFmtId="0" fontId="21" fillId="14" borderId="1" xfId="0" applyFont="1" applyFill="1" applyBorder="1" applyAlignment="1">
      <alignment horizontal="right" vertical="center" wrapText="1"/>
    </xf>
    <xf numFmtId="0" fontId="27" fillId="0" borderId="0" xfId="0" applyFont="1" applyFill="1" applyBorder="1"/>
    <xf numFmtId="0" fontId="6" fillId="4" borderId="4" xfId="0" applyFont="1" applyFill="1" applyBorder="1"/>
    <xf numFmtId="0" fontId="7" fillId="0" borderId="4" xfId="0" applyFont="1" applyBorder="1"/>
    <xf numFmtId="10" fontId="6" fillId="0" borderId="4" xfId="0" applyNumberFormat="1" applyFont="1" applyBorder="1"/>
    <xf numFmtId="9" fontId="6" fillId="0" borderId="4" xfId="0" applyNumberFormat="1" applyFont="1" applyBorder="1"/>
    <xf numFmtId="0" fontId="6" fillId="0" borderId="4" xfId="0" applyFont="1" applyBorder="1"/>
    <xf numFmtId="10" fontId="3" fillId="0" borderId="4" xfId="0" applyNumberFormat="1" applyFont="1" applyBorder="1"/>
    <xf numFmtId="9" fontId="7" fillId="0" borderId="4" xfId="0" applyNumberFormat="1" applyFont="1" applyBorder="1"/>
    <xf numFmtId="2" fontId="6" fillId="9" borderId="1" xfId="0" applyNumberFormat="1" applyFont="1" applyFill="1" applyBorder="1"/>
    <xf numFmtId="0" fontId="38" fillId="0" borderId="1" xfId="0" applyFont="1" applyFill="1" applyBorder="1" applyAlignment="1">
      <alignment horizontal="center" wrapText="1"/>
    </xf>
    <xf numFmtId="0" fontId="10" fillId="0" borderId="0" xfId="0" applyFont="1" applyAlignment="1">
      <alignment horizontal="justify" vertical="center"/>
    </xf>
    <xf numFmtId="0" fontId="6" fillId="14" borderId="0" xfId="0" applyFont="1" applyFill="1"/>
    <xf numFmtId="0" fontId="6" fillId="14" borderId="0" xfId="0" applyFont="1" applyFill="1" applyBorder="1"/>
    <xf numFmtId="0" fontId="21" fillId="0" borderId="0" xfId="0" applyFont="1" applyBorder="1" applyAlignment="1">
      <alignment vertical="center" wrapText="1"/>
    </xf>
    <xf numFmtId="9" fontId="6" fillId="0" borderId="1" xfId="5" applyFont="1" applyFill="1" applyBorder="1"/>
    <xf numFmtId="0" fontId="7" fillId="0" borderId="0" xfId="0" applyFont="1" applyBorder="1" applyAlignment="1">
      <alignment horizontal="left" vertical="center" wrapText="1"/>
    </xf>
    <xf numFmtId="3" fontId="27" fillId="0" borderId="0" xfId="0" applyNumberFormat="1" applyFont="1" applyBorder="1" applyAlignment="1"/>
    <xf numFmtId="9" fontId="6" fillId="8" borderId="1" xfId="5" applyFont="1" applyFill="1" applyBorder="1"/>
    <xf numFmtId="0" fontId="21" fillId="10" borderId="1" xfId="0" applyFont="1" applyFill="1" applyBorder="1" applyAlignment="1">
      <alignment horizontal="right" vertical="center" wrapText="1"/>
    </xf>
    <xf numFmtId="0" fontId="21" fillId="10" borderId="1" xfId="0" applyFont="1" applyFill="1" applyBorder="1" applyAlignment="1">
      <alignment vertical="center" wrapText="1"/>
    </xf>
    <xf numFmtId="0" fontId="6" fillId="0" borderId="0" xfId="0" applyFont="1" applyFill="1" applyAlignment="1">
      <alignment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6" fillId="0" borderId="0" xfId="0" applyFont="1" applyAlignment="1">
      <alignment vertical="center"/>
    </xf>
    <xf numFmtId="3" fontId="3" fillId="6" borderId="1" xfId="0" applyNumberFormat="1" applyFont="1" applyFill="1" applyBorder="1" applyAlignment="1">
      <alignment horizontal="right" vertical="center"/>
    </xf>
    <xf numFmtId="2" fontId="6" fillId="0" borderId="1" xfId="0" applyNumberFormat="1" applyFont="1" applyFill="1" applyBorder="1" applyAlignment="1">
      <alignment vertical="center"/>
    </xf>
    <xf numFmtId="2" fontId="6" fillId="0" borderId="0" xfId="0" applyNumberFormat="1" applyFont="1" applyAlignment="1">
      <alignment vertical="center"/>
    </xf>
    <xf numFmtId="2" fontId="6" fillId="0" borderId="1" xfId="0" applyNumberFormat="1" applyFont="1" applyFill="1" applyBorder="1"/>
    <xf numFmtId="3" fontId="6" fillId="0" borderId="1" xfId="0" applyNumberFormat="1" applyFont="1" applyFill="1" applyBorder="1" applyAlignment="1"/>
    <xf numFmtId="0" fontId="6" fillId="12" borderId="1" xfId="0" applyFont="1" applyFill="1" applyBorder="1" applyAlignment="1">
      <alignment horizontal="right" vertical="center" wrapText="1"/>
    </xf>
    <xf numFmtId="165" fontId="6" fillId="12" borderId="1" xfId="0" applyNumberFormat="1" applyFont="1" applyFill="1" applyBorder="1" applyAlignment="1">
      <alignment horizontal="right" vertical="center" wrapText="1"/>
    </xf>
    <xf numFmtId="0" fontId="7" fillId="0" borderId="1" xfId="0" applyFont="1" applyBorder="1" applyAlignment="1">
      <alignment horizontal="right" vertical="center" wrapText="1"/>
    </xf>
    <xf numFmtId="4" fontId="43" fillId="0" borderId="0" xfId="3" applyNumberFormat="1" applyFont="1" applyFill="1" applyBorder="1" applyAlignment="1">
      <alignment horizontal="right" wrapText="1"/>
    </xf>
    <xf numFmtId="0" fontId="43" fillId="0" borderId="0" xfId="3" applyFont="1" applyFill="1" applyBorder="1" applyAlignment="1">
      <alignment horizontal="right" vertical="center"/>
    </xf>
    <xf numFmtId="3" fontId="43" fillId="0" borderId="0" xfId="6" applyNumberFormat="1" applyFont="1" applyFill="1" applyBorder="1" applyAlignment="1">
      <alignment horizontal="right"/>
    </xf>
    <xf numFmtId="0" fontId="50" fillId="16" borderId="0" xfId="7" applyFont="1" applyFill="1" applyBorder="1" applyAlignment="1">
      <alignment horizontal="right" wrapText="1"/>
    </xf>
    <xf numFmtId="0" fontId="50" fillId="16" borderId="0" xfId="7" applyFont="1" applyFill="1" applyBorder="1" applyAlignment="1">
      <alignment horizontal="left" wrapText="1"/>
    </xf>
    <xf numFmtId="0" fontId="43" fillId="0" borderId="7" xfId="3" applyFont="1" applyFill="1" applyBorder="1" applyAlignment="1">
      <alignment horizontal="right" vertical="center"/>
    </xf>
    <xf numFmtId="10" fontId="6" fillId="0" borderId="1" xfId="5" applyNumberFormat="1" applyFont="1" applyFill="1" applyBorder="1"/>
    <xf numFmtId="0" fontId="39" fillId="0" borderId="0" xfId="1" applyFont="1" applyBorder="1" applyAlignment="1">
      <alignment horizontal="center"/>
    </xf>
    <xf numFmtId="2" fontId="39" fillId="0" borderId="0" xfId="1" applyNumberFormat="1" applyFont="1" applyBorder="1" applyAlignment="1">
      <alignment horizontal="center"/>
    </xf>
    <xf numFmtId="0" fontId="39" fillId="0" borderId="0" xfId="1" applyFont="1" applyBorder="1" applyAlignment="1">
      <alignment horizontal="left"/>
    </xf>
    <xf numFmtId="0" fontId="40" fillId="0" borderId="0" xfId="1" applyFont="1" applyBorder="1" applyAlignment="1">
      <alignment horizontal="center"/>
    </xf>
    <xf numFmtId="0" fontId="41" fillId="0" borderId="0" xfId="1" applyFont="1" applyBorder="1" applyAlignment="1">
      <alignment horizontal="left"/>
    </xf>
    <xf numFmtId="0" fontId="39" fillId="0" borderId="0" xfId="1" applyNumberFormat="1" applyFont="1" applyBorder="1" applyAlignment="1">
      <alignment horizontal="center"/>
    </xf>
    <xf numFmtId="0" fontId="43" fillId="0" borderId="0" xfId="1" applyFont="1" applyBorder="1"/>
    <xf numFmtId="0" fontId="43" fillId="0" borderId="0" xfId="1" applyFont="1" applyBorder="1" applyAlignment="1">
      <alignment horizontal="center"/>
    </xf>
    <xf numFmtId="9" fontId="43" fillId="0" borderId="0" xfId="8" applyFont="1" applyBorder="1" applyAlignment="1">
      <alignment horizontal="center"/>
    </xf>
    <xf numFmtId="0" fontId="42" fillId="0" borderId="0" xfId="1" applyFont="1" applyBorder="1"/>
    <xf numFmtId="0" fontId="43" fillId="0" borderId="0" xfId="1" applyFont="1" applyFill="1" applyBorder="1"/>
    <xf numFmtId="0" fontId="44" fillId="0" borderId="0" xfId="1" applyFont="1" applyBorder="1"/>
    <xf numFmtId="0" fontId="43" fillId="0" borderId="0" xfId="1" applyFont="1" applyBorder="1" applyAlignment="1">
      <alignment wrapText="1"/>
    </xf>
    <xf numFmtId="0" fontId="43" fillId="0" borderId="0" xfId="1" applyFont="1" applyBorder="1" applyAlignment="1">
      <alignment vertical="center" wrapText="1"/>
    </xf>
    <xf numFmtId="0" fontId="43" fillId="0" borderId="0" xfId="1" applyFont="1" applyBorder="1" applyAlignment="1">
      <alignment horizontal="left" vertical="center" wrapText="1"/>
    </xf>
    <xf numFmtId="0" fontId="43" fillId="0" borderId="0" xfId="1" applyFont="1" applyBorder="1" applyAlignment="1">
      <alignment horizontal="left"/>
    </xf>
    <xf numFmtId="2" fontId="43" fillId="0" borderId="0" xfId="1" applyNumberFormat="1" applyFont="1" applyBorder="1" applyAlignment="1">
      <alignment horizontal="center"/>
    </xf>
    <xf numFmtId="1" fontId="3" fillId="0" borderId="0" xfId="1" applyNumberFormat="1" applyBorder="1"/>
    <xf numFmtId="0" fontId="42" fillId="0" borderId="0" xfId="1" applyFont="1" applyFill="1" applyBorder="1"/>
    <xf numFmtId="0" fontId="45" fillId="0" borderId="0" xfId="1" applyFont="1" applyBorder="1"/>
    <xf numFmtId="0" fontId="42" fillId="0" borderId="0" xfId="1" applyFont="1" applyFill="1" applyBorder="1" applyAlignment="1">
      <alignment horizontal="left"/>
    </xf>
    <xf numFmtId="0" fontId="46" fillId="0" borderId="0" xfId="1" applyFont="1" applyBorder="1" applyAlignment="1">
      <alignment horizontal="left"/>
    </xf>
    <xf numFmtId="0" fontId="43" fillId="0" borderId="0" xfId="1" applyNumberFormat="1" applyFont="1" applyBorder="1"/>
    <xf numFmtId="2" fontId="43" fillId="0" borderId="0" xfId="1" applyNumberFormat="1" applyFont="1" applyBorder="1"/>
    <xf numFmtId="2" fontId="33" fillId="0" borderId="0" xfId="1" applyNumberFormat="1" applyFont="1" applyBorder="1" applyAlignment="1">
      <alignment horizontal="center"/>
    </xf>
    <xf numFmtId="0" fontId="33" fillId="0" borderId="7" xfId="1" applyFont="1" applyBorder="1" applyAlignment="1">
      <alignment horizontal="center" wrapText="1"/>
    </xf>
    <xf numFmtId="0" fontId="48" fillId="0" borderId="7" xfId="1" applyFont="1" applyBorder="1" applyAlignment="1">
      <alignment horizontal="center" wrapText="1"/>
    </xf>
    <xf numFmtId="0" fontId="33" fillId="0" borderId="7" xfId="1" applyFont="1" applyFill="1" applyBorder="1" applyAlignment="1">
      <alignment horizontal="center" wrapText="1"/>
    </xf>
    <xf numFmtId="0" fontId="48" fillId="0" borderId="7" xfId="1" applyFont="1" applyFill="1" applyBorder="1" applyAlignment="1">
      <alignment horizontal="center" wrapText="1"/>
    </xf>
    <xf numFmtId="1" fontId="33" fillId="0" borderId="7" xfId="1" applyNumberFormat="1" applyFont="1" applyBorder="1" applyAlignment="1">
      <alignment horizontal="center" wrapText="1"/>
    </xf>
    <xf numFmtId="0" fontId="47" fillId="0" borderId="7" xfId="1" applyFont="1" applyBorder="1" applyAlignment="1">
      <alignment horizontal="center" wrapText="1"/>
    </xf>
    <xf numFmtId="0" fontId="49" fillId="0" borderId="7" xfId="1" applyFont="1" applyFill="1" applyBorder="1" applyAlignment="1">
      <alignment horizontal="center" wrapText="1"/>
    </xf>
    <xf numFmtId="0" fontId="48" fillId="0" borderId="7" xfId="1" applyFont="1" applyFill="1" applyBorder="1" applyAlignment="1">
      <alignment horizontal="left" wrapText="1"/>
    </xf>
    <xf numFmtId="0" fontId="51" fillId="0" borderId="7" xfId="1" applyFont="1" applyBorder="1" applyAlignment="1">
      <alignment horizontal="center" wrapText="1"/>
    </xf>
    <xf numFmtId="2" fontId="33" fillId="0" borderId="7" xfId="1" applyNumberFormat="1" applyFont="1" applyBorder="1" applyAlignment="1">
      <alignment horizontal="center" wrapText="1"/>
    </xf>
    <xf numFmtId="0" fontId="43" fillId="0" borderId="0" xfId="1" applyFont="1" applyBorder="1" applyAlignment="1">
      <alignment horizontal="left" indent="1"/>
    </xf>
    <xf numFmtId="0" fontId="43" fillId="0" borderId="0" xfId="1" applyFont="1" applyBorder="1" applyAlignment="1">
      <alignment horizontal="right"/>
    </xf>
    <xf numFmtId="3" fontId="43" fillId="0" borderId="0" xfId="1" applyNumberFormat="1" applyFont="1" applyBorder="1" applyAlignment="1">
      <alignment horizontal="right"/>
    </xf>
    <xf numFmtId="9" fontId="43" fillId="0" borderId="0" xfId="8" applyFont="1" applyBorder="1" applyAlignment="1">
      <alignment horizontal="right"/>
    </xf>
    <xf numFmtId="164" fontId="43" fillId="0" borderId="0" xfId="1" applyNumberFormat="1" applyFont="1" applyBorder="1" applyAlignment="1">
      <alignment horizontal="right"/>
    </xf>
    <xf numFmtId="170" fontId="43" fillId="0" borderId="0" xfId="8" applyNumberFormat="1" applyFont="1" applyBorder="1" applyAlignment="1">
      <alignment horizontal="right"/>
    </xf>
    <xf numFmtId="4" fontId="43" fillId="0" borderId="0" xfId="1" applyNumberFormat="1" applyFont="1" applyBorder="1" applyAlignment="1">
      <alignment horizontal="right"/>
    </xf>
    <xf numFmtId="0" fontId="3" fillId="0" borderId="0" xfId="1" applyBorder="1" applyAlignment="1">
      <alignment horizontal="right"/>
    </xf>
    <xf numFmtId="0" fontId="43" fillId="0" borderId="0" xfId="1" applyFont="1" applyBorder="1" applyAlignment="1">
      <alignment horizontal="right" wrapText="1"/>
    </xf>
    <xf numFmtId="0" fontId="43" fillId="0" borderId="0" xfId="1" applyFont="1" applyBorder="1" applyAlignment="1">
      <alignment horizontal="right" vertical="center" wrapText="1"/>
    </xf>
    <xf numFmtId="0" fontId="43" fillId="0" borderId="0" xfId="1" applyFont="1" applyBorder="1" applyAlignment="1">
      <alignment horizontal="left" wrapText="1"/>
    </xf>
    <xf numFmtId="2" fontId="43" fillId="0" borderId="0" xfId="1" applyNumberFormat="1" applyFont="1" applyBorder="1" applyAlignment="1">
      <alignment horizontal="right"/>
    </xf>
    <xf numFmtId="1" fontId="43" fillId="0" borderId="0" xfId="1" applyNumberFormat="1" applyFont="1" applyBorder="1" applyAlignment="1">
      <alignment horizontal="right"/>
    </xf>
    <xf numFmtId="3" fontId="43" fillId="0" borderId="0" xfId="1" applyNumberFormat="1" applyFont="1" applyFill="1" applyBorder="1" applyAlignment="1">
      <alignment horizontal="right"/>
    </xf>
    <xf numFmtId="1" fontId="52" fillId="0" borderId="0" xfId="1" applyNumberFormat="1" applyFont="1" applyBorder="1" applyAlignment="1">
      <alignment horizontal="right"/>
    </xf>
    <xf numFmtId="4" fontId="52" fillId="0" borderId="0" xfId="1" applyNumberFormat="1" applyFont="1" applyBorder="1" applyAlignment="1">
      <alignment horizontal="right"/>
    </xf>
    <xf numFmtId="2" fontId="52" fillId="0" borderId="0" xfId="1" applyNumberFormat="1" applyFont="1" applyBorder="1" applyAlignment="1">
      <alignment horizontal="right"/>
    </xf>
    <xf numFmtId="4" fontId="43" fillId="0" borderId="0" xfId="1" applyNumberFormat="1" applyFont="1" applyBorder="1" applyAlignment="1" applyProtection="1">
      <alignment horizontal="right"/>
      <protection locked="0"/>
    </xf>
    <xf numFmtId="10" fontId="43" fillId="0" borderId="0" xfId="1" applyNumberFormat="1" applyFont="1" applyBorder="1" applyAlignment="1" applyProtection="1">
      <alignment horizontal="right"/>
      <protection locked="0"/>
    </xf>
    <xf numFmtId="10" fontId="43" fillId="0" borderId="0" xfId="8" applyNumberFormat="1" applyFont="1" applyBorder="1" applyAlignment="1">
      <alignment horizontal="right"/>
    </xf>
    <xf numFmtId="0" fontId="43" fillId="0" borderId="0" xfId="1" applyFont="1" applyFill="1" applyBorder="1" applyAlignment="1">
      <alignment horizontal="right"/>
    </xf>
    <xf numFmtId="164" fontId="50" fillId="0" borderId="0" xfId="1" applyNumberFormat="1" applyFont="1" applyBorder="1" applyAlignment="1">
      <alignment horizontal="right"/>
    </xf>
    <xf numFmtId="0" fontId="43" fillId="0" borderId="0" xfId="1" applyFont="1" applyAlignment="1">
      <alignment horizontal="right"/>
    </xf>
    <xf numFmtId="0" fontId="3" fillId="0" borderId="0" xfId="1" applyNumberFormat="1" applyProtection="1">
      <protection locked="0"/>
    </xf>
    <xf numFmtId="171" fontId="44" fillId="0" borderId="0" xfId="9" applyNumberFormat="1" applyFont="1" applyBorder="1" applyAlignment="1"/>
    <xf numFmtId="4" fontId="43" fillId="0" borderId="0" xfId="1" applyNumberFormat="1" applyFont="1" applyFill="1" applyBorder="1" applyAlignment="1">
      <alignment horizontal="right"/>
    </xf>
    <xf numFmtId="0" fontId="43" fillId="2" borderId="0" xfId="1" applyFont="1" applyFill="1" applyBorder="1" applyAlignment="1">
      <alignment horizontal="right"/>
    </xf>
    <xf numFmtId="171" fontId="44" fillId="0" borderId="0" xfId="9" applyNumberFormat="1" applyFont="1" applyAlignment="1"/>
    <xf numFmtId="4" fontId="43" fillId="15" borderId="0" xfId="1" applyNumberFormat="1" applyFont="1" applyFill="1" applyBorder="1" applyAlignment="1" applyProtection="1">
      <alignment horizontal="right"/>
      <protection locked="0"/>
    </xf>
    <xf numFmtId="3" fontId="43" fillId="15" borderId="0" xfId="1" applyNumberFormat="1" applyFont="1" applyFill="1" applyBorder="1" applyAlignment="1">
      <alignment horizontal="right"/>
    </xf>
    <xf numFmtId="1" fontId="43" fillId="0" borderId="0" xfId="1" applyNumberFormat="1" applyFont="1" applyFill="1" applyBorder="1" applyAlignment="1">
      <alignment horizontal="right"/>
    </xf>
    <xf numFmtId="1" fontId="43" fillId="0" borderId="0" xfId="8" applyNumberFormat="1" applyFont="1" applyBorder="1" applyAlignment="1">
      <alignment horizontal="right"/>
    </xf>
    <xf numFmtId="0" fontId="43" fillId="16" borderId="0" xfId="1" applyFont="1" applyFill="1" applyBorder="1" applyAlignment="1">
      <alignment horizontal="right"/>
    </xf>
    <xf numFmtId="2" fontId="43" fillId="0" borderId="0" xfId="1" applyNumberFormat="1" applyFont="1" applyFill="1" applyBorder="1" applyAlignment="1">
      <alignment horizontal="right"/>
    </xf>
    <xf numFmtId="0" fontId="54" fillId="0" borderId="0" xfId="1" applyFont="1" applyBorder="1" applyAlignment="1">
      <alignment horizontal="right"/>
    </xf>
    <xf numFmtId="4" fontId="42" fillId="0" borderId="0" xfId="1" applyNumberFormat="1" applyFont="1" applyBorder="1" applyAlignment="1">
      <alignment horizontal="right"/>
    </xf>
    <xf numFmtId="9" fontId="43" fillId="0" borderId="0" xfId="8" applyNumberFormat="1" applyFont="1" applyBorder="1" applyAlignment="1">
      <alignment horizontal="right"/>
    </xf>
    <xf numFmtId="0" fontId="26" fillId="0" borderId="0" xfId="1" applyFont="1" applyBorder="1" applyAlignment="1">
      <alignment horizontal="right"/>
    </xf>
    <xf numFmtId="0" fontId="54" fillId="0" borderId="0" xfId="1" applyFont="1" applyBorder="1" applyAlignment="1">
      <alignment horizontal="right" wrapText="1"/>
    </xf>
    <xf numFmtId="0" fontId="3" fillId="0" borderId="0" xfId="1" applyNumberFormat="1" applyFont="1" applyProtection="1">
      <protection locked="0"/>
    </xf>
    <xf numFmtId="3" fontId="56" fillId="0" borderId="0" xfId="1" applyNumberFormat="1" applyFont="1" applyBorder="1" applyAlignment="1">
      <alignment horizontal="right"/>
    </xf>
    <xf numFmtId="0" fontId="43" fillId="0" borderId="7" xfId="1" applyFont="1" applyBorder="1" applyAlignment="1">
      <alignment horizontal="left" indent="1"/>
    </xf>
    <xf numFmtId="0" fontId="43" fillId="0" borderId="7" xfId="1" applyFont="1" applyBorder="1" applyAlignment="1">
      <alignment horizontal="right"/>
    </xf>
    <xf numFmtId="3" fontId="43" fillId="0" borderId="7" xfId="1" applyNumberFormat="1" applyFont="1" applyBorder="1" applyAlignment="1">
      <alignment horizontal="right"/>
    </xf>
    <xf numFmtId="9" fontId="43" fillId="0" borderId="7" xfId="8" applyFont="1" applyBorder="1" applyAlignment="1">
      <alignment horizontal="right"/>
    </xf>
    <xf numFmtId="164" fontId="43" fillId="0" borderId="7" xfId="1" applyNumberFormat="1" applyFont="1" applyBorder="1" applyAlignment="1">
      <alignment horizontal="right"/>
    </xf>
    <xf numFmtId="2" fontId="43" fillId="0" borderId="7" xfId="1" applyNumberFormat="1" applyFont="1" applyBorder="1" applyAlignment="1">
      <alignment horizontal="right"/>
    </xf>
    <xf numFmtId="4" fontId="43" fillId="0" borderId="7" xfId="1" applyNumberFormat="1" applyFont="1" applyBorder="1" applyAlignment="1">
      <alignment horizontal="right"/>
    </xf>
    <xf numFmtId="0" fontId="3" fillId="0" borderId="7" xfId="1" applyBorder="1" applyAlignment="1">
      <alignment horizontal="right"/>
    </xf>
    <xf numFmtId="0" fontId="43" fillId="0" borderId="7" xfId="1" applyFont="1" applyBorder="1" applyAlignment="1">
      <alignment horizontal="right" wrapText="1"/>
    </xf>
    <xf numFmtId="0" fontId="43" fillId="0" borderId="7" xfId="1" applyFont="1" applyBorder="1" applyAlignment="1">
      <alignment horizontal="right" vertical="center" wrapText="1"/>
    </xf>
    <xf numFmtId="0" fontId="43" fillId="0" borderId="7" xfId="1" applyFont="1" applyBorder="1" applyAlignment="1">
      <alignment horizontal="left" vertical="center" wrapText="1"/>
    </xf>
    <xf numFmtId="0" fontId="43" fillId="0" borderId="7" xfId="1" applyFont="1" applyBorder="1" applyAlignment="1">
      <alignment horizontal="left" wrapText="1"/>
    </xf>
    <xf numFmtId="1" fontId="43" fillId="0" borderId="7" xfId="1" applyNumberFormat="1" applyFont="1" applyBorder="1" applyAlignment="1">
      <alignment horizontal="right"/>
    </xf>
    <xf numFmtId="3" fontId="43" fillId="0" borderId="7" xfId="1" applyNumberFormat="1" applyFont="1" applyFill="1" applyBorder="1" applyAlignment="1">
      <alignment horizontal="right"/>
    </xf>
    <xf numFmtId="1" fontId="52" fillId="0" borderId="7" xfId="1" applyNumberFormat="1" applyFont="1" applyBorder="1" applyAlignment="1">
      <alignment horizontal="right"/>
    </xf>
    <xf numFmtId="2" fontId="52" fillId="0" borderId="7" xfId="1" applyNumberFormat="1" applyFont="1" applyBorder="1" applyAlignment="1">
      <alignment horizontal="right"/>
    </xf>
    <xf numFmtId="0" fontId="43" fillId="0" borderId="7" xfId="1" applyFont="1" applyBorder="1" applyAlignment="1">
      <alignment horizontal="left"/>
    </xf>
    <xf numFmtId="4" fontId="43" fillId="0" borderId="7" xfId="1" applyNumberFormat="1" applyFont="1" applyBorder="1" applyAlignment="1" applyProtection="1">
      <alignment horizontal="right"/>
      <protection locked="0"/>
    </xf>
    <xf numFmtId="10" fontId="43" fillId="0" borderId="7" xfId="1" applyNumberFormat="1" applyFont="1" applyBorder="1" applyAlignment="1" applyProtection="1">
      <alignment horizontal="right"/>
      <protection locked="0"/>
    </xf>
    <xf numFmtId="4" fontId="43" fillId="0" borderId="7" xfId="1" applyNumberFormat="1" applyFont="1" applyFill="1" applyBorder="1" applyAlignment="1">
      <alignment horizontal="right"/>
    </xf>
    <xf numFmtId="164" fontId="50" fillId="0" borderId="7" xfId="1" applyNumberFormat="1" applyFont="1" applyBorder="1" applyAlignment="1">
      <alignment horizontal="right"/>
    </xf>
    <xf numFmtId="0" fontId="43" fillId="0" borderId="7" xfId="1" applyFont="1" applyBorder="1" applyAlignment="1">
      <alignment horizontal="center"/>
    </xf>
    <xf numFmtId="4" fontId="57" fillId="0" borderId="0" xfId="1" applyNumberFormat="1" applyFont="1" applyBorder="1"/>
    <xf numFmtId="4" fontId="57" fillId="0" borderId="0" xfId="1" applyNumberFormat="1" applyFont="1" applyBorder="1" applyAlignment="1">
      <alignment horizontal="center"/>
    </xf>
    <xf numFmtId="4" fontId="57" fillId="0" borderId="0" xfId="8" applyNumberFormat="1" applyFont="1" applyBorder="1" applyAlignment="1">
      <alignment horizontal="center"/>
    </xf>
    <xf numFmtId="4" fontId="57" fillId="0" borderId="0" xfId="1" applyNumberFormat="1" applyFont="1" applyBorder="1" applyAlignment="1">
      <alignment horizontal="right"/>
    </xf>
    <xf numFmtId="4" fontId="57" fillId="0" borderId="0" xfId="8" applyNumberFormat="1" applyFont="1" applyBorder="1" applyAlignment="1">
      <alignment horizontal="right"/>
    </xf>
    <xf numFmtId="4" fontId="57" fillId="0" borderId="0" xfId="8" applyNumberFormat="1" applyFont="1" applyBorder="1" applyAlignment="1">
      <alignment horizontal="left"/>
    </xf>
    <xf numFmtId="4" fontId="57" fillId="0" borderId="0" xfId="1" applyNumberFormat="1" applyFont="1" applyBorder="1" applyAlignment="1">
      <alignment horizontal="left"/>
    </xf>
    <xf numFmtId="10" fontId="57" fillId="0" borderId="0" xfId="8" applyNumberFormat="1" applyFont="1" applyBorder="1" applyAlignment="1">
      <alignment horizontal="right"/>
    </xf>
    <xf numFmtId="10" fontId="57" fillId="0" borderId="0" xfId="1" applyNumberFormat="1" applyFont="1" applyBorder="1"/>
    <xf numFmtId="4" fontId="43" fillId="0" borderId="0" xfId="1" applyNumberFormat="1" applyFont="1" applyBorder="1"/>
    <xf numFmtId="4" fontId="58" fillId="0" borderId="0" xfId="1" applyNumberFormat="1" applyFont="1" applyBorder="1"/>
    <xf numFmtId="4" fontId="59" fillId="0" borderId="0" xfId="1" applyNumberFormat="1" applyFont="1" applyBorder="1" applyAlignment="1">
      <alignment horizontal="left"/>
    </xf>
    <xf numFmtId="2" fontId="57" fillId="0" borderId="0" xfId="1" applyNumberFormat="1" applyFont="1" applyBorder="1"/>
    <xf numFmtId="2" fontId="57" fillId="0" borderId="0" xfId="1" applyNumberFormat="1" applyFont="1" applyBorder="1" applyAlignment="1">
      <alignment horizontal="center"/>
    </xf>
    <xf numFmtId="168" fontId="43" fillId="0" borderId="0" xfId="1" applyNumberFormat="1" applyFont="1" applyBorder="1"/>
    <xf numFmtId="3" fontId="43" fillId="0" borderId="0" xfId="1" applyNumberFormat="1" applyFont="1" applyBorder="1"/>
    <xf numFmtId="0" fontId="57" fillId="0" borderId="0" xfId="1" applyFont="1" applyBorder="1"/>
    <xf numFmtId="0" fontId="60" fillId="0" borderId="0" xfId="1" applyFont="1" applyBorder="1"/>
    <xf numFmtId="0" fontId="3" fillId="0" borderId="0" xfId="1" applyNumberFormat="1" applyBorder="1"/>
    <xf numFmtId="0" fontId="3" fillId="0" borderId="0" xfId="1" applyNumberFormat="1"/>
    <xf numFmtId="0" fontId="0" fillId="0" borderId="0" xfId="0" applyBorder="1" applyAlignment="1">
      <alignment wrapText="1"/>
    </xf>
    <xf numFmtId="10" fontId="0" fillId="0" borderId="0" xfId="0" applyNumberFormat="1" applyBorder="1" applyAlignment="1">
      <alignment wrapText="1"/>
    </xf>
    <xf numFmtId="0" fontId="23" fillId="0" borderId="1" xfId="0" applyFont="1" applyFill="1" applyBorder="1"/>
    <xf numFmtId="0" fontId="11" fillId="0" borderId="0" xfId="0" applyFont="1" applyFill="1"/>
    <xf numFmtId="0" fontId="6" fillId="0" borderId="0" xfId="0" applyFont="1" applyAlignment="1"/>
    <xf numFmtId="4" fontId="16" fillId="4" borderId="1" xfId="0" applyNumberFormat="1" applyFont="1" applyFill="1" applyBorder="1"/>
    <xf numFmtId="9" fontId="7" fillId="0" borderId="1" xfId="0" applyNumberFormat="1" applyFont="1" applyBorder="1"/>
    <xf numFmtId="9" fontId="7" fillId="0" borderId="1" xfId="5" applyFont="1" applyBorder="1"/>
    <xf numFmtId="9" fontId="7" fillId="0" borderId="1" xfId="5" applyFont="1" applyBorder="1" applyAlignment="1">
      <alignment horizontal="right"/>
    </xf>
    <xf numFmtId="9" fontId="7" fillId="6" borderId="1" xfId="0" applyNumberFormat="1" applyFont="1" applyFill="1" applyBorder="1"/>
    <xf numFmtId="166" fontId="3" fillId="0" borderId="1" xfId="0" applyNumberFormat="1" applyFont="1" applyFill="1" applyBorder="1"/>
    <xf numFmtId="3" fontId="3" fillId="0" borderId="1" xfId="0" applyNumberFormat="1" applyFont="1" applyFill="1" applyBorder="1"/>
    <xf numFmtId="0" fontId="3" fillId="0" borderId="0" xfId="0" applyFont="1" applyFill="1" applyBorder="1"/>
    <xf numFmtId="0" fontId="69" fillId="0" borderId="0" xfId="1" applyFont="1" applyBorder="1" applyAlignment="1">
      <alignment horizontal="center"/>
    </xf>
    <xf numFmtId="0" fontId="69" fillId="0" borderId="0" xfId="1" applyFont="1" applyBorder="1" applyAlignment="1">
      <alignment horizontal="right"/>
    </xf>
    <xf numFmtId="0" fontId="6" fillId="15" borderId="1" xfId="0" applyFont="1" applyFill="1" applyBorder="1"/>
    <xf numFmtId="0" fontId="6" fillId="15" borderId="0" xfId="0" applyFont="1" applyFill="1"/>
    <xf numFmtId="0" fontId="7" fillId="15" borderId="6" xfId="0" applyFont="1" applyFill="1" applyBorder="1" applyAlignment="1">
      <alignment horizontal="center" vertical="center" wrapText="1"/>
    </xf>
    <xf numFmtId="0" fontId="6" fillId="15" borderId="1" xfId="0" applyFont="1" applyFill="1" applyBorder="1" applyAlignment="1">
      <alignment horizontal="left" vertical="center" wrapText="1"/>
    </xf>
    <xf numFmtId="3" fontId="6" fillId="15" borderId="0" xfId="0" applyNumberFormat="1" applyFont="1" applyFill="1" applyBorder="1"/>
    <xf numFmtId="0" fontId="6" fillId="15" borderId="1" xfId="0" applyFont="1" applyFill="1" applyBorder="1" applyAlignment="1">
      <alignment wrapText="1"/>
    </xf>
    <xf numFmtId="0" fontId="10" fillId="15" borderId="0" xfId="0" applyFont="1" applyFill="1" applyBorder="1"/>
    <xf numFmtId="0" fontId="3" fillId="15" borderId="1" xfId="0" applyFont="1" applyFill="1" applyBorder="1"/>
    <xf numFmtId="0" fontId="7" fillId="15" borderId="0" xfId="0" applyFont="1" applyFill="1"/>
    <xf numFmtId="0" fontId="6" fillId="15" borderId="1" xfId="0" applyFont="1" applyFill="1" applyBorder="1" applyAlignment="1">
      <alignment horizontal="center"/>
    </xf>
    <xf numFmtId="0" fontId="7" fillId="15" borderId="0" xfId="0" applyFont="1" applyFill="1" applyBorder="1"/>
    <xf numFmtId="0" fontId="6" fillId="15" borderId="1" xfId="0" applyFont="1" applyFill="1" applyBorder="1" applyAlignment="1">
      <alignment horizontal="left"/>
    </xf>
    <xf numFmtId="167" fontId="6" fillId="0" borderId="1" xfId="0" applyNumberFormat="1" applyFont="1" applyBorder="1"/>
    <xf numFmtId="0" fontId="6" fillId="0" borderId="1" xfId="0" applyFont="1" applyFill="1" applyBorder="1" applyAlignment="1">
      <alignment horizontal="right"/>
    </xf>
    <xf numFmtId="3" fontId="6" fillId="0" borderId="1" xfId="0" applyNumberFormat="1" applyFont="1" applyFill="1" applyBorder="1" applyAlignment="1">
      <alignment horizontal="right"/>
    </xf>
    <xf numFmtId="0" fontId="6" fillId="0" borderId="4" xfId="0" applyFont="1" applyFill="1" applyBorder="1"/>
    <xf numFmtId="0" fontId="27" fillId="0" borderId="0" xfId="0" applyFont="1" applyFill="1"/>
    <xf numFmtId="2" fontId="7" fillId="0" borderId="1" xfId="0" applyNumberFormat="1" applyFont="1" applyFill="1" applyBorder="1" applyAlignment="1">
      <alignment vertical="center"/>
    </xf>
    <xf numFmtId="3" fontId="3" fillId="0" borderId="1" xfId="0" applyNumberFormat="1" applyFont="1" applyFill="1" applyBorder="1" applyAlignment="1">
      <alignment horizontal="right"/>
    </xf>
    <xf numFmtId="166" fontId="7" fillId="3" borderId="1" xfId="0" applyNumberFormat="1" applyFont="1" applyFill="1" applyBorder="1"/>
    <xf numFmtId="170" fontId="6" fillId="6" borderId="1" xfId="0" applyNumberFormat="1" applyFont="1" applyFill="1" applyBorder="1"/>
    <xf numFmtId="170" fontId="7" fillId="6" borderId="1" xfId="0" applyNumberFormat="1" applyFont="1" applyFill="1" applyBorder="1"/>
    <xf numFmtId="4" fontId="7" fillId="4" borderId="1" xfId="0" applyNumberFormat="1" applyFont="1" applyFill="1" applyBorder="1"/>
    <xf numFmtId="0" fontId="6" fillId="15" borderId="0" xfId="0" applyFont="1" applyFill="1" applyBorder="1"/>
    <xf numFmtId="4" fontId="7" fillId="0" borderId="1" xfId="0" applyNumberFormat="1" applyFont="1" applyFill="1" applyBorder="1"/>
    <xf numFmtId="0" fontId="12" fillId="0" borderId="1" xfId="0" applyFont="1" applyFill="1" applyBorder="1"/>
    <xf numFmtId="0" fontId="25" fillId="0" borderId="0" xfId="0" applyFont="1"/>
    <xf numFmtId="0" fontId="7" fillId="0" borderId="1" xfId="0" applyFont="1" applyFill="1" applyBorder="1" applyAlignment="1">
      <alignment wrapText="1"/>
    </xf>
    <xf numFmtId="0" fontId="6" fillId="0" borderId="3" xfId="0" applyFont="1" applyBorder="1" applyAlignment="1">
      <alignment wrapText="1"/>
    </xf>
    <xf numFmtId="0" fontId="25" fillId="0" borderId="0" xfId="0" applyFont="1" applyBorder="1" applyAlignment="1">
      <alignment wrapText="1"/>
    </xf>
    <xf numFmtId="0" fontId="25" fillId="0" borderId="0" xfId="0" applyFont="1" applyFill="1"/>
    <xf numFmtId="0" fontId="6" fillId="0" borderId="0" xfId="0" applyFont="1" applyFill="1" applyAlignment="1">
      <alignment wrapText="1"/>
    </xf>
    <xf numFmtId="0" fontId="7" fillId="0" borderId="0" xfId="0" applyFont="1" applyFill="1" applyBorder="1" applyAlignment="1">
      <alignment wrapText="1"/>
    </xf>
    <xf numFmtId="0" fontId="9" fillId="0" borderId="0" xfId="0" applyFont="1" applyFill="1" applyBorder="1" applyAlignment="1">
      <alignment wrapText="1"/>
    </xf>
    <xf numFmtId="10" fontId="6" fillId="4" borderId="1" xfId="0" applyNumberFormat="1" applyFont="1" applyFill="1" applyBorder="1" applyAlignment="1">
      <alignment wrapText="1"/>
    </xf>
    <xf numFmtId="0" fontId="12" fillId="0" borderId="0" xfId="0" applyFont="1" applyAlignment="1">
      <alignment wrapText="1"/>
    </xf>
    <xf numFmtId="169" fontId="6" fillId="0" borderId="1" xfId="0" applyNumberFormat="1" applyFont="1" applyBorder="1" applyAlignment="1">
      <alignment wrapText="1"/>
    </xf>
    <xf numFmtId="3" fontId="6" fillId="0" borderId="1" xfId="0" applyNumberFormat="1" applyFont="1" applyBorder="1" applyAlignment="1">
      <alignment wrapText="1"/>
    </xf>
    <xf numFmtId="0" fontId="7" fillId="0" borderId="1" xfId="0" applyFont="1" applyBorder="1" applyAlignment="1">
      <alignment wrapText="1"/>
    </xf>
    <xf numFmtId="3" fontId="7" fillId="4" borderId="1" xfId="0" applyNumberFormat="1" applyFont="1" applyFill="1" applyBorder="1" applyAlignment="1">
      <alignment wrapText="1"/>
    </xf>
    <xf numFmtId="0" fontId="7" fillId="0" borderId="0" xfId="0" applyFont="1" applyAlignment="1">
      <alignment wrapText="1"/>
    </xf>
    <xf numFmtId="0" fontId="6" fillId="4" borderId="1" xfId="0" applyFont="1" applyFill="1" applyBorder="1" applyAlignment="1">
      <alignment wrapText="1"/>
    </xf>
    <xf numFmtId="3" fontId="6" fillId="4" borderId="1" xfId="0" applyNumberFormat="1" applyFont="1" applyFill="1" applyBorder="1" applyAlignment="1">
      <alignment wrapText="1"/>
    </xf>
    <xf numFmtId="0" fontId="25" fillId="0" borderId="0" xfId="0" applyFont="1" applyAlignment="1">
      <alignment wrapText="1"/>
    </xf>
    <xf numFmtId="2" fontId="6" fillId="0" borderId="0" xfId="0" applyNumberFormat="1" applyFont="1"/>
    <xf numFmtId="3" fontId="16" fillId="0" borderId="1" xfId="0" applyNumberFormat="1" applyFont="1" applyFill="1" applyBorder="1"/>
    <xf numFmtId="1" fontId="6" fillId="6" borderId="1" xfId="0" applyNumberFormat="1" applyFont="1" applyFill="1" applyBorder="1" applyAlignment="1">
      <alignment wrapText="1"/>
    </xf>
    <xf numFmtId="0" fontId="6" fillId="6" borderId="1" xfId="0" applyFont="1" applyFill="1" applyBorder="1" applyAlignment="1">
      <alignment wrapText="1"/>
    </xf>
    <xf numFmtId="0" fontId="6" fillId="6" borderId="3" xfId="0" applyFont="1" applyFill="1" applyBorder="1" applyAlignment="1">
      <alignment wrapText="1"/>
    </xf>
    <xf numFmtId="3" fontId="7" fillId="6" borderId="1" xfId="0" applyNumberFormat="1" applyFont="1" applyFill="1" applyBorder="1"/>
    <xf numFmtId="0" fontId="6" fillId="0" borderId="0" xfId="0" applyFont="1" applyFill="1" applyBorder="1" applyAlignment="1">
      <alignment wrapText="1"/>
    </xf>
    <xf numFmtId="3" fontId="6" fillId="0" borderId="1" xfId="0" applyNumberFormat="1" applyFont="1" applyFill="1" applyBorder="1" applyAlignment="1">
      <alignment wrapText="1"/>
    </xf>
    <xf numFmtId="3" fontId="6" fillId="0" borderId="0" xfId="0" applyNumberFormat="1" applyFont="1" applyFill="1" applyBorder="1" applyAlignment="1">
      <alignment wrapText="1"/>
    </xf>
    <xf numFmtId="0" fontId="6" fillId="0" borderId="10" xfId="0" applyFont="1" applyBorder="1" applyAlignment="1">
      <alignment wrapText="1"/>
    </xf>
    <xf numFmtId="0" fontId="6" fillId="0" borderId="0" xfId="0" applyFont="1" applyBorder="1" applyAlignment="1">
      <alignment wrapText="1"/>
    </xf>
    <xf numFmtId="3" fontId="7" fillId="0" borderId="0" xfId="0" applyNumberFormat="1" applyFont="1" applyBorder="1" applyAlignment="1"/>
    <xf numFmtId="0" fontId="12" fillId="0" borderId="10" xfId="0" applyFont="1" applyBorder="1" applyAlignment="1"/>
    <xf numFmtId="2" fontId="6" fillId="0" borderId="0" xfId="0" applyNumberFormat="1" applyFont="1" applyFill="1" applyBorder="1"/>
    <xf numFmtId="0" fontId="6" fillId="0" borderId="0" xfId="0" applyFont="1" applyFill="1" applyBorder="1" applyAlignment="1">
      <alignment horizontal="left" vertical="center"/>
    </xf>
    <xf numFmtId="0" fontId="6" fillId="0" borderId="0" xfId="0" applyFont="1" applyFill="1" applyBorder="1" applyAlignment="1">
      <alignmen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2" fontId="6" fillId="0" borderId="0" xfId="0" applyNumberFormat="1" applyFont="1" applyFill="1" applyBorder="1" applyAlignment="1">
      <alignment vertical="center"/>
    </xf>
    <xf numFmtId="3" fontId="7" fillId="0" borderId="0" xfId="0" applyNumberFormat="1"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xf numFmtId="0" fontId="3" fillId="0" borderId="1" xfId="0" applyFont="1" applyFill="1" applyBorder="1" applyAlignment="1"/>
    <xf numFmtId="0" fontId="6" fillId="0" borderId="1" xfId="0" applyFont="1" applyFill="1" applyBorder="1" applyAlignment="1">
      <alignment horizontal="left" vertical="center" wrapText="1"/>
    </xf>
    <xf numFmtId="3" fontId="6" fillId="6" borderId="1" xfId="0" applyNumberFormat="1" applyFont="1" applyFill="1" applyBorder="1" applyAlignment="1">
      <alignment vertical="center" wrapText="1"/>
    </xf>
    <xf numFmtId="3" fontId="6" fillId="6" borderId="1" xfId="0" applyNumberFormat="1" applyFont="1" applyFill="1" applyBorder="1" applyAlignment="1">
      <alignment vertical="center"/>
    </xf>
    <xf numFmtId="0" fontId="6" fillId="0" borderId="1" xfId="0" applyFont="1" applyFill="1" applyBorder="1" applyAlignment="1">
      <alignment vertical="center" wrapText="1"/>
    </xf>
    <xf numFmtId="3" fontId="6" fillId="0" borderId="1" xfId="0" applyNumberFormat="1" applyFont="1" applyBorder="1" applyAlignment="1">
      <alignment vertical="center"/>
    </xf>
    <xf numFmtId="2" fontId="7" fillId="0" borderId="1" xfId="0" applyNumberFormat="1" applyFont="1" applyFill="1" applyBorder="1"/>
    <xf numFmtId="0" fontId="6" fillId="15" borderId="0" xfId="0" applyFont="1" applyFill="1" applyAlignment="1">
      <alignment vertical="center"/>
    </xf>
    <xf numFmtId="0" fontId="0" fillId="0" borderId="0" xfId="0" applyBorder="1"/>
    <xf numFmtId="0" fontId="12" fillId="0" borderId="0" xfId="0" applyFont="1" applyAlignment="1">
      <alignment horizontal="left" wrapText="1"/>
    </xf>
    <xf numFmtId="166" fontId="6" fillId="0" borderId="1" xfId="5" applyNumberFormat="1" applyFont="1" applyFill="1" applyBorder="1"/>
    <xf numFmtId="166" fontId="7" fillId="11" borderId="1" xfId="0" applyNumberFormat="1" applyFont="1" applyFill="1" applyBorder="1"/>
    <xf numFmtId="166" fontId="7" fillId="13" borderId="1" xfId="0" applyNumberFormat="1" applyFont="1" applyFill="1" applyBorder="1"/>
    <xf numFmtId="10" fontId="6" fillId="15" borderId="1" xfId="5" applyNumberFormat="1" applyFont="1" applyFill="1" applyBorder="1"/>
    <xf numFmtId="0" fontId="7" fillId="0" borderId="1" xfId="0" applyFont="1" applyFill="1" applyBorder="1" applyAlignment="1">
      <alignment horizontal="left"/>
    </xf>
    <xf numFmtId="0" fontId="12" fillId="0" borderId="0" xfId="0" applyFont="1" applyAlignment="1">
      <alignment horizontal="left" wrapText="1"/>
    </xf>
    <xf numFmtId="0" fontId="6" fillId="15" borderId="3" xfId="0" applyFont="1" applyFill="1" applyBorder="1" applyAlignment="1">
      <alignment horizontal="center"/>
    </xf>
    <xf numFmtId="10" fontId="3" fillId="0" borderId="1" xfId="5" applyNumberFormat="1" applyFont="1" applyFill="1" applyBorder="1"/>
    <xf numFmtId="0" fontId="73" fillId="0" borderId="0" xfId="0" applyFont="1"/>
    <xf numFmtId="10" fontId="18" fillId="0" borderId="4" xfId="0" applyNumberFormat="1" applyFont="1" applyBorder="1"/>
    <xf numFmtId="9" fontId="18" fillId="0" borderId="4" xfId="0" applyNumberFormat="1" applyFont="1" applyBorder="1"/>
    <xf numFmtId="0" fontId="7" fillId="0" borderId="0" xfId="0" applyFont="1" applyAlignment="1">
      <alignment horizontal="left" wrapText="1"/>
    </xf>
    <xf numFmtId="0" fontId="6" fillId="0" borderId="1" xfId="0" applyFont="1" applyBorder="1" applyAlignment="1">
      <alignment horizontal="center"/>
    </xf>
    <xf numFmtId="0" fontId="12" fillId="0" borderId="0" xfId="0" applyFont="1" applyAlignment="1">
      <alignment horizontal="left" wrapText="1"/>
    </xf>
    <xf numFmtId="0" fontId="7" fillId="0" borderId="1" xfId="0" applyFont="1" applyFill="1" applyBorder="1" applyAlignment="1">
      <alignment horizontal="left"/>
    </xf>
    <xf numFmtId="0" fontId="3" fillId="0" borderId="1" xfId="11" applyFont="1" applyFill="1" applyBorder="1" applyAlignment="1">
      <alignment horizontal="left"/>
    </xf>
    <xf numFmtId="0" fontId="16" fillId="0" borderId="1" xfId="11" applyFont="1" applyFill="1" applyBorder="1" applyAlignment="1">
      <alignment horizontal="left"/>
    </xf>
    <xf numFmtId="3" fontId="16" fillId="0" borderId="1" xfId="11" applyNumberFormat="1" applyFont="1" applyFill="1" applyBorder="1" applyAlignment="1"/>
    <xf numFmtId="0" fontId="16" fillId="17" borderId="1" xfId="11" applyFont="1" applyFill="1" applyBorder="1" applyProtection="1">
      <protection hidden="1"/>
    </xf>
    <xf numFmtId="0" fontId="16" fillId="17" borderId="1" xfId="11" applyFont="1" applyFill="1" applyBorder="1" applyAlignment="1" applyProtection="1">
      <alignment horizontal="center"/>
      <protection hidden="1"/>
    </xf>
    <xf numFmtId="0" fontId="3" fillId="0" borderId="0" xfId="11" applyFont="1"/>
    <xf numFmtId="0" fontId="3" fillId="17" borderId="1" xfId="11" applyFont="1" applyFill="1" applyBorder="1" applyProtection="1">
      <protection hidden="1"/>
    </xf>
    <xf numFmtId="0" fontId="7" fillId="15" borderId="1" xfId="0" applyFont="1" applyFill="1" applyBorder="1"/>
    <xf numFmtId="4" fontId="0" fillId="0" borderId="0" xfId="0" applyNumberFormat="1" applyBorder="1"/>
    <xf numFmtId="0" fontId="31" fillId="18" borderId="11" xfId="0" applyFont="1" applyFill="1" applyBorder="1" applyAlignment="1">
      <alignment horizontal="justify" vertical="center" wrapText="1"/>
    </xf>
    <xf numFmtId="168" fontId="7" fillId="0" borderId="1" xfId="0" applyNumberFormat="1" applyFont="1" applyFill="1" applyBorder="1"/>
    <xf numFmtId="168" fontId="7" fillId="3" borderId="1" xfId="0" applyNumberFormat="1" applyFont="1" applyFill="1" applyBorder="1"/>
    <xf numFmtId="9" fontId="6" fillId="0" borderId="1" xfId="5" applyNumberFormat="1" applyFont="1" applyBorder="1"/>
    <xf numFmtId="0" fontId="6" fillId="0" borderId="1" xfId="0" applyFont="1" applyBorder="1" applyAlignment="1">
      <alignment horizontal="center"/>
    </xf>
    <xf numFmtId="0" fontId="6" fillId="0" borderId="4" xfId="0" applyFont="1" applyBorder="1" applyAlignment="1">
      <alignment horizontal="center" wrapText="1"/>
    </xf>
    <xf numFmtId="10" fontId="6" fillId="6" borderId="1" xfId="5" applyNumberFormat="1" applyFont="1" applyFill="1" applyBorder="1"/>
    <xf numFmtId="10" fontId="7" fillId="0" borderId="1" xfId="5" applyNumberFormat="1" applyFont="1" applyBorder="1"/>
    <xf numFmtId="164" fontId="6" fillId="0" borderId="1" xfId="0" applyNumberFormat="1" applyFont="1" applyFill="1" applyBorder="1"/>
    <xf numFmtId="2" fontId="6" fillId="0" borderId="1" xfId="5" applyNumberFormat="1" applyFont="1" applyFill="1" applyBorder="1"/>
    <xf numFmtId="0" fontId="12" fillId="0" borderId="0" xfId="0" applyFont="1" applyBorder="1" applyAlignment="1"/>
    <xf numFmtId="0" fontId="0" fillId="0" borderId="0" xfId="0" applyAlignment="1"/>
    <xf numFmtId="10" fontId="6" fillId="6" borderId="1" xfId="5" applyNumberFormat="1" applyFont="1" applyFill="1" applyBorder="1" applyAlignment="1"/>
    <xf numFmtId="4" fontId="6" fillId="0" borderId="1" xfId="0" applyNumberFormat="1" applyFont="1" applyBorder="1" applyAlignment="1"/>
    <xf numFmtId="0" fontId="6" fillId="0" borderId="1" xfId="0" applyFont="1" applyFill="1" applyBorder="1" applyAlignment="1"/>
    <xf numFmtId="0" fontId="7" fillId="0" borderId="1" xfId="0" applyFont="1" applyBorder="1" applyAlignment="1"/>
    <xf numFmtId="10" fontId="7" fillId="0" borderId="1" xfId="5" applyNumberFormat="1" applyFont="1" applyBorder="1" applyAlignment="1"/>
    <xf numFmtId="0" fontId="6" fillId="0" borderId="0" xfId="0" applyFont="1" applyBorder="1" applyAlignment="1"/>
    <xf numFmtId="2" fontId="6" fillId="0" borderId="0" xfId="0" applyNumberFormat="1" applyFont="1" applyBorder="1" applyAlignment="1"/>
    <xf numFmtId="168" fontId="7" fillId="0" borderId="1" xfId="0" applyNumberFormat="1" applyFont="1" applyBorder="1"/>
    <xf numFmtId="0" fontId="6" fillId="0" borderId="0" xfId="0" applyFont="1" applyAlignment="1">
      <alignment horizontal="right"/>
    </xf>
    <xf numFmtId="3" fontId="3" fillId="0" borderId="1" xfId="5" applyNumberFormat="1" applyFont="1" applyFill="1" applyBorder="1"/>
    <xf numFmtId="0" fontId="10" fillId="15" borderId="0" xfId="0" applyFont="1" applyFill="1"/>
    <xf numFmtId="0" fontId="6" fillId="15" borderId="6" xfId="0" applyFont="1" applyFill="1" applyBorder="1" applyAlignment="1">
      <alignment horizontal="center" vertical="center" wrapText="1"/>
    </xf>
    <xf numFmtId="10" fontId="7" fillId="15" borderId="1" xfId="0" applyNumberFormat="1" applyFont="1" applyFill="1" applyBorder="1"/>
    <xf numFmtId="0" fontId="10" fillId="0" borderId="1" xfId="0" applyFont="1" applyFill="1" applyBorder="1"/>
    <xf numFmtId="0" fontId="6" fillId="15" borderId="1" xfId="0" applyFont="1" applyFill="1" applyBorder="1" applyAlignment="1">
      <alignment horizontal="center" wrapText="1"/>
    </xf>
    <xf numFmtId="0" fontId="14" fillId="0" borderId="0" xfId="0" applyFont="1" applyFill="1" applyBorder="1"/>
    <xf numFmtId="4" fontId="3" fillId="0" borderId="1" xfId="0" applyNumberFormat="1" applyFont="1" applyFill="1" applyBorder="1"/>
    <xf numFmtId="0" fontId="3" fillId="0" borderId="1" xfId="11" applyFont="1" applyFill="1" applyBorder="1" applyProtection="1">
      <protection hidden="1"/>
    </xf>
    <xf numFmtId="2" fontId="3" fillId="6" borderId="1" xfId="11" applyNumberFormat="1" applyFont="1" applyFill="1" applyBorder="1" applyProtection="1">
      <protection hidden="1"/>
    </xf>
    <xf numFmtId="0" fontId="3" fillId="0" borderId="0" xfId="11" applyFont="1" applyFill="1" applyBorder="1" applyProtection="1">
      <protection hidden="1"/>
    </xf>
    <xf numFmtId="0" fontId="11" fillId="0" borderId="0" xfId="0" applyFont="1" applyFill="1" applyBorder="1"/>
    <xf numFmtId="168" fontId="7" fillId="5" borderId="1" xfId="0" applyNumberFormat="1" applyFont="1" applyFill="1" applyBorder="1"/>
    <xf numFmtId="0" fontId="3" fillId="6" borderId="1" xfId="11" applyFont="1" applyFill="1" applyBorder="1" applyAlignment="1">
      <alignment horizontal="right"/>
    </xf>
    <xf numFmtId="170" fontId="6" fillId="6" borderId="1" xfId="5" applyNumberFormat="1" applyFont="1" applyFill="1" applyBorder="1"/>
    <xf numFmtId="170" fontId="6" fillId="0" borderId="1" xfId="5" applyNumberFormat="1" applyFont="1" applyFill="1" applyBorder="1"/>
    <xf numFmtId="0" fontId="9" fillId="0" borderId="1" xfId="0" applyFont="1" applyBorder="1"/>
    <xf numFmtId="9" fontId="3" fillId="6" borderId="1" xfId="0" applyNumberFormat="1" applyFont="1" applyFill="1" applyBorder="1"/>
    <xf numFmtId="2" fontId="6" fillId="4" borderId="1" xfId="0" applyNumberFormat="1" applyFont="1" applyFill="1" applyBorder="1" applyAlignment="1"/>
    <xf numFmtId="2" fontId="6" fillId="4" borderId="1" xfId="0" applyNumberFormat="1" applyFont="1" applyFill="1" applyBorder="1"/>
    <xf numFmtId="0" fontId="7" fillId="0" borderId="1" xfId="0" applyFont="1" applyFill="1" applyBorder="1" applyAlignment="1">
      <alignment horizontal="left" wrapText="1"/>
    </xf>
    <xf numFmtId="9" fontId="6" fillId="0" borderId="0" xfId="5" applyFont="1"/>
    <xf numFmtId="0" fontId="6" fillId="15" borderId="1" xfId="0" applyFont="1" applyFill="1" applyBorder="1" applyAlignment="1">
      <alignment horizontal="center" vertical="center"/>
    </xf>
    <xf numFmtId="0" fontId="6" fillId="0" borderId="1" xfId="0" applyFont="1" applyBorder="1" applyAlignment="1">
      <alignment horizontal="center" vertical="center"/>
    </xf>
    <xf numFmtId="3" fontId="16" fillId="0" borderId="2" xfId="0" applyNumberFormat="1" applyFont="1" applyFill="1" applyBorder="1" applyAlignment="1">
      <alignment wrapText="1"/>
    </xf>
    <xf numFmtId="0" fontId="6" fillId="7" borderId="1" xfId="0" applyFont="1" applyFill="1" applyBorder="1"/>
    <xf numFmtId="0" fontId="6" fillId="3" borderId="1" xfId="0" applyFont="1" applyFill="1" applyBorder="1"/>
    <xf numFmtId="0" fontId="6" fillId="5" borderId="1" xfId="0" applyFont="1" applyFill="1" applyBorder="1"/>
    <xf numFmtId="0" fontId="12" fillId="0" borderId="1" xfId="0" applyFont="1" applyBorder="1" applyAlignment="1">
      <alignment horizontal="center"/>
    </xf>
    <xf numFmtId="0" fontId="9" fillId="0" borderId="1" xfId="0" applyFont="1" applyBorder="1" applyAlignment="1">
      <alignment horizontal="center"/>
    </xf>
    <xf numFmtId="2" fontId="7" fillId="0" borderId="1" xfId="0" applyNumberFormat="1" applyFont="1" applyBorder="1" applyAlignment="1"/>
    <xf numFmtId="172" fontId="7" fillId="0" borderId="1" xfId="5" applyNumberFormat="1" applyFont="1" applyBorder="1"/>
    <xf numFmtId="3" fontId="3" fillId="0" borderId="0" xfId="0" applyNumberFormat="1" applyFont="1" applyFill="1" applyBorder="1"/>
    <xf numFmtId="0" fontId="0" fillId="4" borderId="1" xfId="0" applyFill="1" applyBorder="1"/>
    <xf numFmtId="0" fontId="70" fillId="0" borderId="0" xfId="0" applyFont="1" applyFill="1" applyBorder="1"/>
    <xf numFmtId="0" fontId="0" fillId="0" borderId="1" xfId="0" applyBorder="1" applyAlignment="1">
      <alignment wrapText="1"/>
    </xf>
    <xf numFmtId="9" fontId="0" fillId="6" borderId="1" xfId="0" applyNumberFormat="1" applyFill="1" applyBorder="1"/>
    <xf numFmtId="0" fontId="2" fillId="0" borderId="0" xfId="0" applyFont="1"/>
    <xf numFmtId="0" fontId="27" fillId="2" borderId="0" xfId="0" applyFont="1" applyFill="1"/>
    <xf numFmtId="0" fontId="33" fillId="0" borderId="0" xfId="1" applyFont="1" applyBorder="1" applyAlignment="1">
      <alignment horizontal="center"/>
    </xf>
    <xf numFmtId="0" fontId="33" fillId="0" borderId="0" xfId="1" applyFont="1" applyBorder="1" applyAlignment="1"/>
    <xf numFmtId="0" fontId="6" fillId="0" borderId="1" xfId="0" applyFont="1" applyBorder="1" applyAlignment="1">
      <alignment horizontal="center"/>
    </xf>
    <xf numFmtId="0" fontId="79" fillId="15" borderId="0" xfId="0" applyFont="1" applyFill="1"/>
    <xf numFmtId="0" fontId="79" fillId="15" borderId="0" xfId="0" applyFont="1" applyFill="1" applyAlignment="1">
      <alignment horizontal="left" indent="1"/>
    </xf>
    <xf numFmtId="0" fontId="79" fillId="15" borderId="0" xfId="0" applyFont="1" applyFill="1" applyBorder="1"/>
    <xf numFmtId="0" fontId="80" fillId="15" borderId="0" xfId="0" applyFont="1" applyFill="1" applyBorder="1"/>
    <xf numFmtId="0" fontId="84" fillId="15" borderId="0" xfId="0" applyFont="1" applyFill="1" applyBorder="1" applyAlignment="1">
      <alignment vertical="top"/>
    </xf>
    <xf numFmtId="0" fontId="80" fillId="15" borderId="0" xfId="0" applyFont="1" applyFill="1"/>
    <xf numFmtId="0" fontId="92" fillId="15" borderId="0" xfId="0" applyFont="1" applyFill="1" applyBorder="1"/>
    <xf numFmtId="0" fontId="82" fillId="15" borderId="0" xfId="0" applyFont="1" applyFill="1" applyBorder="1"/>
    <xf numFmtId="0" fontId="79" fillId="0" borderId="0" xfId="0" applyFont="1" applyFill="1" applyBorder="1"/>
    <xf numFmtId="0" fontId="84" fillId="15" borderId="0" xfId="0" applyFont="1" applyFill="1" applyAlignment="1">
      <alignment vertical="top"/>
    </xf>
    <xf numFmtId="0" fontId="93" fillId="15" borderId="0" xfId="0" applyFont="1" applyFill="1" applyBorder="1" applyAlignment="1">
      <alignment horizontal="left" indent="1"/>
    </xf>
    <xf numFmtId="0" fontId="82" fillId="15" borderId="21" xfId="0" applyFont="1" applyFill="1" applyBorder="1" applyAlignment="1">
      <alignment horizontal="left" indent="1"/>
    </xf>
    <xf numFmtId="0" fontId="79" fillId="15" borderId="1" xfId="0" applyFont="1" applyFill="1" applyBorder="1" applyAlignment="1">
      <alignment horizontal="left" indent="1"/>
    </xf>
    <xf numFmtId="0" fontId="82" fillId="15" borderId="0" xfId="0" applyFont="1" applyFill="1" applyAlignment="1">
      <alignment horizontal="left" indent="1"/>
    </xf>
    <xf numFmtId="0" fontId="80" fillId="15" borderId="22" xfId="0" applyFont="1" applyFill="1" applyBorder="1" applyAlignment="1">
      <alignment horizontal="left" indent="1"/>
    </xf>
    <xf numFmtId="0" fontId="79" fillId="15" borderId="22" xfId="0" applyFont="1" applyFill="1" applyBorder="1" applyAlignment="1">
      <alignment horizontal="left" indent="1"/>
    </xf>
    <xf numFmtId="0" fontId="84" fillId="15" borderId="22" xfId="0" applyFont="1" applyFill="1" applyBorder="1" applyAlignment="1">
      <alignment horizontal="left" vertical="top" indent="1"/>
    </xf>
    <xf numFmtId="0" fontId="95" fillId="15" borderId="0" xfId="0" applyFont="1" applyFill="1"/>
    <xf numFmtId="0" fontId="96" fillId="0" borderId="0" xfId="1" applyFont="1" applyBorder="1" applyAlignment="1">
      <alignment horizontal="center"/>
    </xf>
    <xf numFmtId="0" fontId="7" fillId="0" borderId="1" xfId="0" applyFont="1" applyBorder="1" applyAlignment="1">
      <alignment vertical="center" wrapText="1"/>
    </xf>
    <xf numFmtId="164" fontId="6" fillId="0" borderId="1" xfId="0" applyNumberFormat="1" applyFont="1" applyBorder="1"/>
    <xf numFmtId="164" fontId="6" fillId="0" borderId="1" xfId="0" applyNumberFormat="1" applyFont="1" applyBorder="1" applyAlignment="1">
      <alignment horizontal="right" wrapText="1"/>
    </xf>
    <xf numFmtId="3" fontId="6" fillId="0" borderId="1" xfId="0" applyNumberFormat="1" applyFont="1" applyBorder="1" applyAlignment="1">
      <alignment horizontal="right" wrapText="1"/>
    </xf>
    <xf numFmtId="0" fontId="6" fillId="0" borderId="1" xfId="0" applyNumberFormat="1" applyFont="1" applyFill="1" applyBorder="1"/>
    <xf numFmtId="165" fontId="6" fillId="0" borderId="1" xfId="0" applyNumberFormat="1" applyFont="1" applyFill="1" applyBorder="1"/>
    <xf numFmtId="3" fontId="21" fillId="18" borderId="11" xfId="0" applyNumberFormat="1" applyFont="1" applyFill="1" applyBorder="1" applyAlignment="1">
      <alignment horizontal="justify" vertical="center" wrapText="1"/>
    </xf>
    <xf numFmtId="0" fontId="21" fillId="18" borderId="11" xfId="0" applyFont="1" applyFill="1" applyBorder="1" applyAlignment="1">
      <alignment horizontal="justify" vertical="center" wrapText="1"/>
    </xf>
    <xf numFmtId="0" fontId="21" fillId="18" borderId="18" xfId="0" applyFont="1" applyFill="1" applyBorder="1" applyAlignment="1">
      <alignment horizontal="justify" vertical="center" wrapText="1"/>
    </xf>
    <xf numFmtId="0" fontId="6" fillId="0" borderId="1" xfId="0" applyFont="1" applyBorder="1" applyAlignment="1">
      <alignment horizontal="right" wrapText="1"/>
    </xf>
    <xf numFmtId="3" fontId="21" fillId="18" borderId="6" xfId="0" applyNumberFormat="1" applyFont="1" applyFill="1" applyBorder="1" applyAlignment="1">
      <alignment horizontal="justify" vertical="center" wrapText="1"/>
    </xf>
    <xf numFmtId="0" fontId="21" fillId="18" borderId="6" xfId="0" applyFont="1" applyFill="1" applyBorder="1" applyAlignment="1">
      <alignment horizontal="justify" vertical="center" wrapText="1"/>
    </xf>
    <xf numFmtId="0" fontId="21" fillId="18" borderId="13" xfId="0" applyFont="1" applyFill="1" applyBorder="1" applyAlignment="1">
      <alignment horizontal="justify" vertical="center" wrapText="1"/>
    </xf>
    <xf numFmtId="3" fontId="21" fillId="18" borderId="12" xfId="0" applyNumberFormat="1" applyFont="1" applyFill="1" applyBorder="1" applyAlignment="1">
      <alignment horizontal="justify" vertical="center" wrapText="1"/>
    </xf>
    <xf numFmtId="0" fontId="21" fillId="18" borderId="12" xfId="0" applyFont="1" applyFill="1" applyBorder="1" applyAlignment="1">
      <alignment horizontal="justify" vertical="center" wrapText="1"/>
    </xf>
    <xf numFmtId="0" fontId="21" fillId="18" borderId="16" xfId="0" applyFont="1" applyFill="1" applyBorder="1" applyAlignment="1">
      <alignment horizontal="justify" vertical="center" wrapText="1"/>
    </xf>
    <xf numFmtId="0" fontId="7" fillId="0" borderId="0" xfId="0" applyFont="1" applyAlignment="1">
      <alignment horizontal="center" vertical="center" wrapText="1"/>
    </xf>
    <xf numFmtId="0" fontId="31" fillId="18" borderId="11" xfId="0" applyFont="1" applyFill="1" applyBorder="1" applyAlignment="1">
      <alignment horizontal="center" vertical="center" wrapText="1"/>
    </xf>
    <xf numFmtId="0" fontId="31" fillId="18" borderId="18" xfId="0" applyFont="1" applyFill="1" applyBorder="1" applyAlignment="1">
      <alignment horizontal="center" vertical="center" wrapText="1"/>
    </xf>
    <xf numFmtId="0" fontId="7" fillId="19" borderId="1" xfId="0" applyFont="1" applyFill="1" applyBorder="1" applyAlignment="1">
      <alignment horizontal="center"/>
    </xf>
    <xf numFmtId="0" fontId="6" fillId="0" borderId="1" xfId="0" applyFont="1" applyBorder="1" applyAlignment="1">
      <alignment horizontal="left"/>
    </xf>
    <xf numFmtId="0" fontId="6" fillId="19" borderId="1" xfId="0" applyFont="1" applyFill="1" applyBorder="1"/>
    <xf numFmtId="0" fontId="12" fillId="15" borderId="0" xfId="0" applyFont="1" applyFill="1" applyBorder="1"/>
    <xf numFmtId="0" fontId="91" fillId="0" borderId="0" xfId="0" applyFont="1" applyFill="1" applyBorder="1" applyAlignment="1">
      <alignment horizontal="left" indent="1"/>
    </xf>
    <xf numFmtId="0" fontId="3" fillId="6" borderId="1" xfId="11" applyFont="1" applyFill="1" applyBorder="1" applyAlignment="1" applyProtection="1">
      <alignment horizontal="right"/>
      <protection hidden="1"/>
    </xf>
    <xf numFmtId="168" fontId="3" fillId="6" borderId="1" xfId="11" applyNumberFormat="1" applyFont="1" applyFill="1" applyBorder="1" applyAlignment="1" applyProtection="1">
      <alignment horizontal="right"/>
      <protection hidden="1"/>
    </xf>
    <xf numFmtId="2" fontId="3" fillId="6" borderId="1" xfId="11" applyNumberFormat="1" applyFont="1" applyFill="1" applyBorder="1" applyAlignment="1" applyProtection="1">
      <alignment horizontal="right"/>
      <protection hidden="1"/>
    </xf>
    <xf numFmtId="0" fontId="31" fillId="0" borderId="1" xfId="0" applyFont="1" applyBorder="1" applyAlignment="1">
      <alignment wrapText="1"/>
    </xf>
    <xf numFmtId="2" fontId="6" fillId="6" borderId="1" xfId="0" applyNumberFormat="1" applyFont="1" applyFill="1" applyBorder="1" applyAlignment="1">
      <alignment wrapText="1"/>
    </xf>
    <xf numFmtId="0" fontId="78" fillId="0" borderId="0" xfId="12"/>
    <xf numFmtId="0" fontId="6" fillId="20" borderId="0" xfId="0" applyFont="1" applyFill="1"/>
    <xf numFmtId="0" fontId="6" fillId="12" borderId="0" xfId="0" applyFont="1" applyFill="1"/>
    <xf numFmtId="0" fontId="96" fillId="12" borderId="0" xfId="1" applyFont="1" applyFill="1" applyBorder="1" applyAlignment="1">
      <alignment horizontal="center"/>
    </xf>
    <xf numFmtId="0" fontId="6" fillId="4" borderId="0" xfId="0" applyFont="1" applyFill="1"/>
    <xf numFmtId="0" fontId="96" fillId="4" borderId="0" xfId="1" applyFont="1" applyFill="1" applyBorder="1" applyAlignment="1">
      <alignment horizontal="center"/>
    </xf>
    <xf numFmtId="0" fontId="6" fillId="21" borderId="0" xfId="0" applyFont="1" applyFill="1"/>
    <xf numFmtId="0" fontId="96" fillId="21" borderId="0" xfId="1" applyFont="1" applyFill="1" applyBorder="1" applyAlignment="1">
      <alignment horizontal="center"/>
    </xf>
    <xf numFmtId="0" fontId="6" fillId="7" borderId="0" xfId="0" applyFont="1" applyFill="1"/>
    <xf numFmtId="0" fontId="96" fillId="7" borderId="0" xfId="1" applyFont="1" applyFill="1" applyBorder="1" applyAlignment="1">
      <alignment horizontal="center"/>
    </xf>
    <xf numFmtId="173" fontId="6" fillId="0" borderId="0" xfId="0" applyNumberFormat="1" applyFont="1"/>
    <xf numFmtId="0" fontId="78" fillId="0" borderId="0" xfId="12" applyBorder="1"/>
    <xf numFmtId="0" fontId="6" fillId="0" borderId="1" xfId="0" applyFont="1" applyBorder="1" applyAlignment="1">
      <alignment horizontal="center"/>
    </xf>
    <xf numFmtId="0" fontId="7" fillId="0" borderId="1" xfId="0" applyFont="1" applyFill="1" applyBorder="1" applyAlignment="1">
      <alignment horizontal="left"/>
    </xf>
    <xf numFmtId="0" fontId="96" fillId="0" borderId="0" xfId="1" applyFont="1" applyBorder="1" applyAlignment="1">
      <alignment horizontal="left"/>
    </xf>
    <xf numFmtId="9" fontId="6" fillId="4" borderId="1" xfId="5" applyFont="1" applyFill="1" applyBorder="1"/>
    <xf numFmtId="0" fontId="0" fillId="0" borderId="0" xfId="0" applyFill="1"/>
    <xf numFmtId="43" fontId="0" fillId="0" borderId="0" xfId="10" applyFont="1" applyFill="1" applyBorder="1" applyAlignment="1">
      <alignment wrapText="1"/>
    </xf>
    <xf numFmtId="171" fontId="0" fillId="0" borderId="0" xfId="10" applyNumberFormat="1" applyFont="1" applyFill="1" applyBorder="1" applyAlignment="1">
      <alignment wrapText="1"/>
    </xf>
    <xf numFmtId="43" fontId="0" fillId="0" borderId="0" xfId="10" applyFont="1" applyFill="1"/>
    <xf numFmtId="0" fontId="31" fillId="0" borderId="0" xfId="0" applyFont="1" applyFill="1" applyBorder="1" applyAlignment="1">
      <alignment wrapText="1"/>
    </xf>
    <xf numFmtId="0" fontId="31" fillId="0" borderId="1" xfId="0" applyFont="1" applyFill="1" applyBorder="1" applyAlignment="1">
      <alignment wrapText="1"/>
    </xf>
    <xf numFmtId="0" fontId="7" fillId="0" borderId="1" xfId="0" applyFont="1" applyBorder="1" applyAlignment="1">
      <alignment horizontal="center" vertical="center" wrapText="1"/>
    </xf>
    <xf numFmtId="0" fontId="6" fillId="0" borderId="1" xfId="0" applyFont="1" applyBorder="1" applyAlignment="1">
      <alignment horizontal="center"/>
    </xf>
    <xf numFmtId="165" fontId="3" fillId="0" borderId="1" xfId="0" applyNumberFormat="1" applyFont="1" applyFill="1" applyBorder="1"/>
    <xf numFmtId="3" fontId="16" fillId="0" borderId="1" xfId="0" applyNumberFormat="1" applyFont="1" applyBorder="1"/>
    <xf numFmtId="0" fontId="16" fillId="0" borderId="1" xfId="0" applyFont="1" applyBorder="1"/>
    <xf numFmtId="0" fontId="9" fillId="0" borderId="0" xfId="0" applyFont="1" applyAlignment="1">
      <alignment wrapText="1"/>
    </xf>
    <xf numFmtId="9" fontId="9" fillId="0" borderId="1" xfId="0" applyNumberFormat="1" applyFont="1" applyFill="1" applyBorder="1" applyAlignment="1">
      <alignment horizontal="center"/>
    </xf>
    <xf numFmtId="0" fontId="9" fillId="0" borderId="1" xfId="0" applyFont="1" applyFill="1" applyBorder="1" applyAlignment="1">
      <alignment horizontal="center"/>
    </xf>
    <xf numFmtId="9" fontId="9" fillId="0" borderId="1" xfId="0" applyNumberFormat="1" applyFont="1" applyFill="1" applyBorder="1" applyAlignment="1">
      <alignment horizontal="right"/>
    </xf>
    <xf numFmtId="9" fontId="6" fillId="0" borderId="1" xfId="0" applyNumberFormat="1" applyFont="1" applyFill="1" applyBorder="1" applyAlignment="1">
      <alignment horizontal="right"/>
    </xf>
    <xf numFmtId="9" fontId="3" fillId="6" borderId="1" xfId="0" applyNumberFormat="1" applyFont="1" applyFill="1" applyBorder="1" applyAlignment="1">
      <alignment horizontal="right"/>
    </xf>
    <xf numFmtId="9" fontId="3" fillId="0" borderId="1" xfId="0" applyNumberFormat="1" applyFont="1" applyFill="1" applyBorder="1" applyAlignment="1">
      <alignment horizontal="right"/>
    </xf>
    <xf numFmtId="9" fontId="3" fillId="6" borderId="1" xfId="5" applyFont="1" applyFill="1" applyBorder="1" applyAlignment="1">
      <alignment horizontal="right"/>
    </xf>
    <xf numFmtId="9" fontId="0" fillId="0" borderId="1" xfId="0" applyNumberFormat="1" applyBorder="1"/>
    <xf numFmtId="10" fontId="0" fillId="0" borderId="1" xfId="0" applyNumberFormat="1" applyBorder="1"/>
    <xf numFmtId="9" fontId="16" fillId="0" borderId="1" xfId="0" applyNumberFormat="1" applyFont="1" applyFill="1" applyBorder="1" applyAlignment="1">
      <alignment horizontal="center"/>
    </xf>
    <xf numFmtId="0" fontId="16" fillId="0" borderId="1" xfId="0" applyFont="1" applyFill="1" applyBorder="1" applyAlignment="1">
      <alignment horizontal="center"/>
    </xf>
    <xf numFmtId="0" fontId="31" fillId="0" borderId="0" xfId="0" applyFont="1"/>
    <xf numFmtId="9" fontId="6" fillId="22" borderId="1" xfId="5" applyFont="1" applyFill="1" applyBorder="1"/>
    <xf numFmtId="0" fontId="3" fillId="0" borderId="0" xfId="0" applyFont="1" applyFill="1"/>
    <xf numFmtId="1" fontId="6" fillId="0" borderId="1" xfId="0" applyNumberFormat="1" applyFont="1" applyFill="1" applyBorder="1"/>
    <xf numFmtId="10" fontId="6" fillId="0" borderId="1" xfId="5" applyNumberFormat="1" applyFont="1" applyBorder="1" applyAlignment="1">
      <alignment horizontal="right" wrapText="1"/>
    </xf>
    <xf numFmtId="0" fontId="6" fillId="10" borderId="0" xfId="0" applyFont="1" applyFill="1" applyBorder="1"/>
    <xf numFmtId="0" fontId="6" fillId="10" borderId="0" xfId="0" applyFont="1" applyFill="1"/>
    <xf numFmtId="0" fontId="6" fillId="0" borderId="20" xfId="0" applyFont="1" applyBorder="1"/>
    <xf numFmtId="0" fontId="6" fillId="0" borderId="23" xfId="0" applyNumberFormat="1" applyFont="1" applyBorder="1"/>
    <xf numFmtId="0" fontId="6" fillId="0" borderId="2" xfId="0" applyNumberFormat="1" applyFont="1" applyBorder="1"/>
    <xf numFmtId="0" fontId="6" fillId="0" borderId="24" xfId="0" applyNumberFormat="1" applyFont="1" applyBorder="1"/>
    <xf numFmtId="0" fontId="7" fillId="0" borderId="1" xfId="0" applyFont="1" applyFill="1" applyBorder="1" applyAlignment="1">
      <alignment horizontal="center" wrapText="1"/>
    </xf>
    <xf numFmtId="2" fontId="6" fillId="0" borderId="2" xfId="0" applyNumberFormat="1" applyFont="1" applyBorder="1"/>
    <xf numFmtId="0" fontId="7" fillId="0" borderId="2" xfId="0" applyFont="1" applyFill="1" applyBorder="1"/>
    <xf numFmtId="0" fontId="6" fillId="0" borderId="1" xfId="0" applyFont="1" applyBorder="1" applyAlignment="1">
      <alignment horizontal="center"/>
    </xf>
    <xf numFmtId="0" fontId="7" fillId="0" borderId="1" xfId="0" applyFont="1" applyFill="1" applyBorder="1" applyAlignment="1">
      <alignment horizontal="left"/>
    </xf>
    <xf numFmtId="0" fontId="7" fillId="0" borderId="1" xfId="0" applyFont="1" applyFill="1" applyBorder="1" applyAlignment="1">
      <alignment horizontal="center" vertical="center" wrapText="1"/>
    </xf>
    <xf numFmtId="0" fontId="12" fillId="15" borderId="1" xfId="0" applyFont="1" applyFill="1" applyBorder="1" applyAlignment="1">
      <alignment horizontal="center"/>
    </xf>
    <xf numFmtId="0" fontId="12" fillId="0" borderId="1" xfId="0" applyFont="1" applyFill="1" applyBorder="1" applyAlignment="1">
      <alignment horizontal="center"/>
    </xf>
    <xf numFmtId="0" fontId="12" fillId="19" borderId="1" xfId="0" applyFont="1" applyFill="1" applyBorder="1" applyAlignment="1">
      <alignment horizontal="center"/>
    </xf>
    <xf numFmtId="0" fontId="7" fillId="0" borderId="1" xfId="0" applyNumberFormat="1" applyFont="1" applyFill="1" applyBorder="1" applyAlignment="1">
      <alignment horizontal="left" wrapText="1"/>
    </xf>
    <xf numFmtId="0" fontId="7" fillId="0" borderId="1" xfId="0" applyNumberFormat="1" applyFont="1" applyFill="1" applyBorder="1" applyAlignment="1">
      <alignment wrapText="1"/>
    </xf>
    <xf numFmtId="0" fontId="6" fillId="6" borderId="3" xfId="0" applyFont="1" applyFill="1" applyBorder="1"/>
    <xf numFmtId="3" fontId="12" fillId="0" borderId="1" xfId="0" applyNumberFormat="1" applyFont="1" applyFill="1" applyBorder="1"/>
    <xf numFmtId="0" fontId="6" fillId="6" borderId="20" xfId="0" applyFont="1" applyFill="1" applyBorder="1"/>
    <xf numFmtId="0" fontId="6" fillId="23" borderId="1" xfId="0" applyFont="1" applyFill="1" applyBorder="1"/>
    <xf numFmtId="3" fontId="6" fillId="23" borderId="1" xfId="0" applyNumberFormat="1" applyFont="1" applyFill="1" applyBorder="1"/>
    <xf numFmtId="0" fontId="6" fillId="23" borderId="1" xfId="0" applyFont="1" applyFill="1" applyBorder="1" applyAlignment="1">
      <alignment wrapText="1"/>
    </xf>
    <xf numFmtId="3" fontId="6" fillId="6" borderId="0" xfId="0" applyNumberFormat="1" applyFont="1" applyFill="1"/>
    <xf numFmtId="0" fontId="6" fillId="23" borderId="1" xfId="0" applyFont="1" applyFill="1" applyBorder="1" applyAlignment="1">
      <alignment horizontal="left"/>
    </xf>
    <xf numFmtId="0" fontId="100" fillId="0" borderId="0" xfId="12" applyFont="1"/>
    <xf numFmtId="0" fontId="91" fillId="0" borderId="0" xfId="0" applyFont="1"/>
    <xf numFmtId="168" fontId="6" fillId="6" borderId="4" xfId="0" applyNumberFormat="1" applyFont="1" applyFill="1" applyBorder="1"/>
    <xf numFmtId="4" fontId="6" fillId="15" borderId="1" xfId="0" applyNumberFormat="1" applyFont="1" applyFill="1" applyBorder="1"/>
    <xf numFmtId="0" fontId="101" fillId="0" borderId="1" xfId="0" applyFont="1" applyBorder="1"/>
    <xf numFmtId="9" fontId="101" fillId="6" borderId="1" xfId="0" applyNumberFormat="1" applyFont="1" applyFill="1" applyBorder="1"/>
    <xf numFmtId="2" fontId="101" fillId="0" borderId="1" xfId="0" applyNumberFormat="1" applyFont="1" applyBorder="1"/>
    <xf numFmtId="9" fontId="101" fillId="0" borderId="1" xfId="0" applyNumberFormat="1" applyFont="1" applyFill="1" applyBorder="1"/>
    <xf numFmtId="9" fontId="96" fillId="0" borderId="1" xfId="0" applyNumberFormat="1" applyFont="1" applyFill="1" applyBorder="1"/>
    <xf numFmtId="2" fontId="96" fillId="0" borderId="1" xfId="0" applyNumberFormat="1" applyFont="1" applyBorder="1"/>
    <xf numFmtId="168" fontId="6" fillId="4" borderId="1" xfId="0" applyNumberFormat="1" applyFont="1" applyFill="1" applyBorder="1"/>
    <xf numFmtId="4" fontId="7" fillId="0" borderId="1" xfId="5" applyNumberFormat="1" applyFont="1" applyBorder="1" applyAlignment="1"/>
    <xf numFmtId="3" fontId="3" fillId="19" borderId="1" xfId="0" applyNumberFormat="1" applyFont="1" applyFill="1" applyBorder="1"/>
    <xf numFmtId="0" fontId="6" fillId="15" borderId="0" xfId="0" applyFont="1" applyFill="1" applyBorder="1" applyAlignment="1">
      <alignment horizontal="center"/>
    </xf>
    <xf numFmtId="174" fontId="6" fillId="0" borderId="0" xfId="0" applyNumberFormat="1" applyFont="1"/>
    <xf numFmtId="164" fontId="6" fillId="4" borderId="1" xfId="0" applyNumberFormat="1" applyFont="1" applyFill="1" applyBorder="1" applyAlignment="1">
      <alignment horizontal="right"/>
    </xf>
    <xf numFmtId="0" fontId="71" fillId="0" borderId="0" xfId="0" applyFont="1" applyAlignment="1">
      <alignment horizontal="justify" vertical="center"/>
    </xf>
    <xf numFmtId="0" fontId="6" fillId="15" borderId="1" xfId="0" applyFont="1" applyFill="1" applyBorder="1" applyAlignment="1">
      <alignment vertical="center"/>
    </xf>
    <xf numFmtId="0" fontId="6" fillId="0" borderId="1" xfId="0" applyFont="1" applyFill="1" applyBorder="1" applyAlignment="1">
      <alignment vertical="center"/>
    </xf>
    <xf numFmtId="0" fontId="21" fillId="0" borderId="1" xfId="0" applyFont="1" applyBorder="1" applyAlignment="1">
      <alignment horizontal="left" vertical="center" wrapText="1"/>
    </xf>
    <xf numFmtId="4" fontId="6" fillId="15" borderId="1" xfId="0" applyNumberFormat="1" applyFont="1" applyFill="1" applyBorder="1" applyAlignment="1">
      <alignment vertical="center"/>
    </xf>
    <xf numFmtId="4" fontId="6" fillId="0" borderId="1" xfId="0" applyNumberFormat="1" applyFont="1" applyFill="1" applyBorder="1" applyAlignment="1">
      <alignment vertical="center"/>
    </xf>
    <xf numFmtId="10" fontId="6" fillId="0" borderId="1" xfId="5" applyNumberFormat="1" applyFont="1" applyFill="1" applyBorder="1" applyAlignment="1">
      <alignment horizontal="right"/>
    </xf>
    <xf numFmtId="164" fontId="102" fillId="0" borderId="7" xfId="1" applyNumberFormat="1" applyFont="1" applyFill="1" applyBorder="1" applyAlignment="1">
      <alignment wrapText="1"/>
    </xf>
    <xf numFmtId="0" fontId="33" fillId="15" borderId="7" xfId="1" applyFont="1" applyFill="1" applyBorder="1" applyAlignment="1">
      <alignment horizontal="center" wrapText="1"/>
    </xf>
    <xf numFmtId="9" fontId="11" fillId="6" borderId="1" xfId="0" applyNumberFormat="1" applyFont="1" applyFill="1" applyBorder="1"/>
    <xf numFmtId="9" fontId="11" fillId="6" borderId="1" xfId="5" applyFont="1" applyFill="1" applyBorder="1" applyAlignment="1">
      <alignment horizontal="right"/>
    </xf>
    <xf numFmtId="3" fontId="7" fillId="15" borderId="1" xfId="0" applyNumberFormat="1" applyFont="1" applyFill="1" applyBorder="1"/>
    <xf numFmtId="0" fontId="6" fillId="15" borderId="15" xfId="0" applyFont="1" applyFill="1" applyBorder="1" applyAlignment="1">
      <alignment horizontal="center" vertical="center" wrapText="1"/>
    </xf>
    <xf numFmtId="0" fontId="16" fillId="0" borderId="1" xfId="0" applyFont="1" applyFill="1" applyBorder="1" applyAlignment="1">
      <alignment horizontal="left"/>
    </xf>
    <xf numFmtId="0" fontId="16" fillId="0" borderId="1" xfId="0" applyFont="1" applyFill="1" applyBorder="1" applyAlignment="1">
      <alignment horizontal="right"/>
    </xf>
    <xf numFmtId="0" fontId="3" fillId="0" borderId="1" xfId="0" applyFont="1" applyFill="1" applyBorder="1" applyAlignment="1">
      <alignment horizontal="left"/>
    </xf>
    <xf numFmtId="3" fontId="3" fillId="0" borderId="1" xfId="0" applyNumberFormat="1" applyFont="1" applyFill="1" applyBorder="1" applyAlignment="1"/>
    <xf numFmtId="3" fontId="16" fillId="0" borderId="1" xfId="0" applyNumberFormat="1" applyFont="1" applyFill="1" applyBorder="1" applyAlignment="1"/>
    <xf numFmtId="0" fontId="6"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164" fontId="3" fillId="0" borderId="1" xfId="0" applyNumberFormat="1" applyFont="1" applyFill="1" applyBorder="1"/>
    <xf numFmtId="0" fontId="6" fillId="0" borderId="1" xfId="0" applyFont="1" applyBorder="1" applyAlignment="1">
      <alignment horizontal="center"/>
    </xf>
    <xf numFmtId="0" fontId="6" fillId="0" borderId="0" xfId="0" applyFont="1" applyFill="1" applyAlignment="1"/>
    <xf numFmtId="3" fontId="11" fillId="0" borderId="1" xfId="0" applyNumberFormat="1" applyFont="1" applyFill="1" applyBorder="1" applyAlignment="1"/>
    <xf numFmtId="0" fontId="10" fillId="15" borderId="0" xfId="0" applyFont="1" applyFill="1" applyAlignment="1">
      <alignment vertical="center"/>
    </xf>
    <xf numFmtId="0" fontId="6" fillId="0" borderId="1" xfId="0" applyFont="1" applyBorder="1" applyAlignment="1">
      <alignment horizontal="center"/>
    </xf>
    <xf numFmtId="0" fontId="48" fillId="0" borderId="0" xfId="1" applyFont="1" applyFill="1" applyBorder="1" applyAlignment="1">
      <alignment horizontal="center" wrapText="1"/>
    </xf>
    <xf numFmtId="9" fontId="43" fillId="0" borderId="0" xfId="8" applyFont="1" applyFill="1" applyBorder="1" applyAlignment="1">
      <alignment horizontal="right"/>
    </xf>
    <xf numFmtId="0" fontId="43" fillId="0" borderId="0" xfId="1" applyFont="1" applyFill="1" applyBorder="1" applyAlignment="1">
      <alignment horizontal="center"/>
    </xf>
    <xf numFmtId="0" fontId="3" fillId="0" borderId="0" xfId="0" applyNumberFormat="1" applyFont="1" applyFill="1" applyBorder="1" applyAlignment="1">
      <alignment horizontal="right" wrapText="1"/>
    </xf>
    <xf numFmtId="0" fontId="43" fillId="0" borderId="0" xfId="0" applyFont="1" applyFill="1" applyBorder="1" applyAlignment="1">
      <alignment horizontal="right" indent="1"/>
    </xf>
    <xf numFmtId="175" fontId="7" fillId="3" borderId="1" xfId="0" applyNumberFormat="1" applyFont="1" applyFill="1" applyBorder="1"/>
    <xf numFmtId="0" fontId="11" fillId="0" borderId="1" xfId="0" applyFont="1" applyFill="1" applyBorder="1" applyAlignment="1">
      <alignment horizontal="center"/>
    </xf>
    <xf numFmtId="0" fontId="79" fillId="8" borderId="1" xfId="0" applyFont="1" applyFill="1" applyBorder="1" applyAlignment="1">
      <alignment horizontal="left" indent="1"/>
    </xf>
    <xf numFmtId="0" fontId="79" fillId="4" borderId="1" xfId="0" applyFont="1" applyFill="1" applyBorder="1" applyAlignment="1">
      <alignment horizontal="left" indent="1"/>
    </xf>
    <xf numFmtId="0" fontId="83" fillId="15" borderId="0" xfId="0" applyFont="1" applyFill="1" applyBorder="1"/>
    <xf numFmtId="0" fontId="90" fillId="15" borderId="0" xfId="12" applyFont="1" applyFill="1" applyBorder="1" applyAlignment="1" applyProtection="1">
      <alignment horizontal="left" indent="1"/>
    </xf>
    <xf numFmtId="0" fontId="80" fillId="15" borderId="0" xfId="0" applyFont="1" applyFill="1" applyBorder="1" applyAlignment="1">
      <alignment horizontal="left" indent="1"/>
    </xf>
    <xf numFmtId="0" fontId="79" fillId="14" borderId="0" xfId="0" applyFont="1" applyFill="1" applyBorder="1"/>
    <xf numFmtId="0" fontId="79" fillId="15" borderId="26" xfId="0" applyFont="1" applyFill="1" applyBorder="1"/>
    <xf numFmtId="0" fontId="83" fillId="15" borderId="26" xfId="0" applyFont="1" applyFill="1" applyBorder="1"/>
    <xf numFmtId="0" fontId="86" fillId="15" borderId="0" xfId="0" applyFont="1" applyFill="1" applyBorder="1"/>
    <xf numFmtId="0" fontId="86" fillId="0" borderId="0" xfId="0" applyFont="1" applyFill="1" applyBorder="1"/>
    <xf numFmtId="0" fontId="82" fillId="15" borderId="26" xfId="0" applyFont="1" applyFill="1" applyBorder="1"/>
    <xf numFmtId="0" fontId="81" fillId="14" borderId="27" xfId="0" applyFont="1" applyFill="1" applyBorder="1" applyAlignment="1">
      <alignment horizontal="left" indent="1"/>
    </xf>
    <xf numFmtId="0" fontId="82" fillId="15" borderId="27" xfId="0" applyFont="1" applyFill="1" applyBorder="1" applyAlignment="1">
      <alignment horizontal="left" indent="1"/>
    </xf>
    <xf numFmtId="0" fontId="82" fillId="0" borderId="27" xfId="0" applyFont="1" applyFill="1" applyBorder="1" applyAlignment="1">
      <alignment horizontal="left" indent="1"/>
    </xf>
    <xf numFmtId="0" fontId="79" fillId="15" borderId="27" xfId="0" applyFont="1" applyFill="1" applyBorder="1" applyAlignment="1">
      <alignment horizontal="left" indent="1"/>
    </xf>
    <xf numFmtId="0" fontId="89" fillId="15" borderId="27" xfId="0" applyFont="1" applyFill="1" applyBorder="1" applyAlignment="1">
      <alignment horizontal="left" indent="1"/>
    </xf>
    <xf numFmtId="0" fontId="91" fillId="15" borderId="27" xfId="0" applyFont="1" applyFill="1" applyBorder="1" applyAlignment="1">
      <alignment horizontal="left" indent="1"/>
    </xf>
    <xf numFmtId="0" fontId="79" fillId="0" borderId="27" xfId="0" applyFont="1" applyFill="1" applyBorder="1" applyAlignment="1">
      <alignment horizontal="left" indent="1"/>
    </xf>
    <xf numFmtId="0" fontId="104" fillId="24" borderId="1" xfId="0" applyFont="1" applyFill="1" applyBorder="1" applyAlignment="1">
      <alignment horizontal="center" vertical="center"/>
    </xf>
    <xf numFmtId="0" fontId="104" fillId="24" borderId="1" xfId="0" applyNumberFormat="1" applyFont="1" applyFill="1" applyBorder="1" applyAlignment="1">
      <alignment horizontal="center" vertical="center" wrapText="1"/>
    </xf>
    <xf numFmtId="0" fontId="6" fillId="15" borderId="27" xfId="0" applyFont="1" applyFill="1" applyBorder="1"/>
    <xf numFmtId="0" fontId="6" fillId="15" borderId="26" xfId="0" applyFont="1" applyFill="1" applyBorder="1"/>
    <xf numFmtId="0" fontId="6" fillId="15" borderId="24" xfId="0" applyFont="1" applyFill="1" applyBorder="1"/>
    <xf numFmtId="0" fontId="6" fillId="15" borderId="25" xfId="0" applyFont="1" applyFill="1" applyBorder="1"/>
    <xf numFmtId="0" fontId="6" fillId="15" borderId="9" xfId="0" applyFont="1" applyFill="1" applyBorder="1"/>
    <xf numFmtId="0" fontId="99" fillId="0" borderId="0" xfId="0" applyFont="1" applyFill="1" applyBorder="1"/>
    <xf numFmtId="0" fontId="21" fillId="15" borderId="0" xfId="0" applyFont="1" applyFill="1" applyBorder="1"/>
    <xf numFmtId="0" fontId="10" fillId="15" borderId="25" xfId="0" applyFont="1" applyFill="1" applyBorder="1"/>
    <xf numFmtId="3" fontId="6" fillId="15" borderId="25" xfId="0" applyNumberFormat="1" applyFont="1" applyFill="1" applyBorder="1"/>
    <xf numFmtId="0" fontId="11" fillId="15" borderId="0" xfId="0" applyFont="1" applyFill="1" applyBorder="1"/>
    <xf numFmtId="0" fontId="14" fillId="15" borderId="0" xfId="0" applyFont="1" applyFill="1" applyBorder="1"/>
    <xf numFmtId="0" fontId="14" fillId="15" borderId="25" xfId="0" applyFont="1" applyFill="1" applyBorder="1"/>
    <xf numFmtId="0" fontId="8" fillId="15" borderId="0" xfId="0" applyFont="1" applyFill="1" applyBorder="1"/>
    <xf numFmtId="0" fontId="12" fillId="15" borderId="25" xfId="0" applyFont="1" applyFill="1" applyBorder="1"/>
    <xf numFmtId="0" fontId="6" fillId="15" borderId="25" xfId="0" applyFont="1" applyFill="1" applyBorder="1" applyAlignment="1">
      <alignment horizontal="left"/>
    </xf>
    <xf numFmtId="0" fontId="7" fillId="15" borderId="25" xfId="0" applyFont="1" applyFill="1" applyBorder="1"/>
    <xf numFmtId="0" fontId="104" fillId="24" borderId="1" xfId="0" applyFont="1" applyFill="1" applyBorder="1" applyAlignment="1">
      <alignment horizontal="center"/>
    </xf>
    <xf numFmtId="0" fontId="104" fillId="24" borderId="1" xfId="0" applyFont="1" applyFill="1" applyBorder="1" applyAlignment="1">
      <alignment horizontal="center" vertical="center" wrapText="1"/>
    </xf>
    <xf numFmtId="0" fontId="6" fillId="0" borderId="20" xfId="0" applyFont="1" applyBorder="1" applyAlignment="1">
      <alignment horizontal="right" vertical="center"/>
    </xf>
    <xf numFmtId="0" fontId="6" fillId="0" borderId="1" xfId="0" applyFont="1" applyBorder="1" applyAlignment="1">
      <alignment horizontal="right" vertical="center"/>
    </xf>
    <xf numFmtId="0" fontId="6" fillId="0" borderId="3" xfId="0" applyFont="1" applyFill="1" applyBorder="1"/>
    <xf numFmtId="10" fontId="7" fillId="0" borderId="1" xfId="0" applyNumberFormat="1" applyFont="1" applyBorder="1"/>
    <xf numFmtId="164" fontId="7" fillId="4" borderId="1" xfId="0" applyNumberFormat="1" applyFont="1" applyFill="1" applyBorder="1"/>
    <xf numFmtId="10" fontId="6" fillId="0" borderId="1" xfId="0" applyNumberFormat="1" applyFont="1" applyBorder="1"/>
    <xf numFmtId="10" fontId="6" fillId="26" borderId="1" xfId="0" applyNumberFormat="1" applyFont="1" applyFill="1" applyBorder="1"/>
    <xf numFmtId="10" fontId="7" fillId="0" borderId="1" xfId="5" applyNumberFormat="1" applyFont="1" applyFill="1" applyBorder="1"/>
    <xf numFmtId="10" fontId="7" fillId="6" borderId="1" xfId="0" applyNumberFormat="1" applyFont="1" applyFill="1" applyBorder="1"/>
    <xf numFmtId="0" fontId="109" fillId="0" borderId="0" xfId="0" applyFont="1"/>
    <xf numFmtId="4" fontId="110" fillId="0" borderId="0" xfId="0" applyNumberFormat="1" applyFont="1"/>
    <xf numFmtId="4" fontId="6" fillId="0" borderId="0" xfId="0" applyNumberFormat="1" applyFont="1"/>
    <xf numFmtId="2" fontId="16" fillId="3" borderId="1" xfId="0" applyNumberFormat="1" applyFont="1" applyFill="1" applyBorder="1"/>
    <xf numFmtId="0" fontId="110" fillId="0" borderId="0" xfId="0" applyFont="1"/>
    <xf numFmtId="2" fontId="6" fillId="6" borderId="1" xfId="0" applyNumberFormat="1" applyFont="1" applyFill="1" applyBorder="1"/>
    <xf numFmtId="166" fontId="6" fillId="0" borderId="0" xfId="0" applyNumberFormat="1" applyFont="1"/>
    <xf numFmtId="165" fontId="7" fillId="0" borderId="1" xfId="0" applyNumberFormat="1" applyFont="1" applyFill="1" applyBorder="1"/>
    <xf numFmtId="3" fontId="3" fillId="4" borderId="1" xfId="11" applyNumberFormat="1" applyFont="1" applyFill="1" applyBorder="1" applyAlignment="1"/>
    <xf numFmtId="3" fontId="3" fillId="4" borderId="1" xfId="0" applyNumberFormat="1" applyFont="1" applyFill="1" applyBorder="1"/>
    <xf numFmtId="0" fontId="96" fillId="0" borderId="1" xfId="0" applyFont="1" applyBorder="1" applyAlignment="1">
      <alignment horizontal="center"/>
    </xf>
    <xf numFmtId="0" fontId="101" fillId="0" borderId="0" xfId="0" applyFont="1"/>
    <xf numFmtId="0" fontId="3" fillId="6" borderId="1" xfId="0" applyFont="1" applyFill="1" applyBorder="1" applyAlignment="1">
      <alignment wrapText="1"/>
    </xf>
    <xf numFmtId="0" fontId="3" fillId="23" borderId="1" xfId="0" applyFont="1" applyFill="1" applyBorder="1" applyAlignment="1">
      <alignment wrapText="1"/>
    </xf>
    <xf numFmtId="0" fontId="7" fillId="15" borderId="1" xfId="0" applyFont="1" applyFill="1" applyBorder="1" applyAlignment="1">
      <alignment horizontal="center" wrapText="1"/>
    </xf>
    <xf numFmtId="0" fontId="13" fillId="0" borderId="0" xfId="0" applyFont="1"/>
    <xf numFmtId="0" fontId="7" fillId="0" borderId="1" xfId="0" applyFont="1" applyBorder="1" applyAlignment="1">
      <alignment horizontal="center" vertical="center"/>
    </xf>
    <xf numFmtId="0" fontId="6" fillId="0" borderId="1" xfId="0" applyFont="1" applyBorder="1" applyAlignment="1">
      <alignment horizontal="center"/>
    </xf>
    <xf numFmtId="0" fontId="113" fillId="0" borderId="0" xfId="0" applyFont="1"/>
    <xf numFmtId="0" fontId="1" fillId="3" borderId="1" xfId="0" applyFont="1" applyFill="1" applyBorder="1"/>
    <xf numFmtId="0" fontId="0" fillId="3" borderId="1" xfId="0" applyFill="1" applyBorder="1"/>
    <xf numFmtId="0" fontId="3" fillId="3" borderId="1" xfId="0" applyFont="1" applyFill="1" applyBorder="1" applyAlignment="1">
      <alignment wrapText="1"/>
    </xf>
    <xf numFmtId="0" fontId="6" fillId="3" borderId="1" xfId="0" applyFont="1" applyFill="1" applyBorder="1" applyAlignment="1">
      <alignment horizontal="center"/>
    </xf>
    <xf numFmtId="0" fontId="112" fillId="24" borderId="1" xfId="0" applyFont="1" applyFill="1" applyBorder="1" applyAlignment="1">
      <alignment horizontal="center" wrapText="1"/>
    </xf>
    <xf numFmtId="0" fontId="114" fillId="0" borderId="0" xfId="0" applyFont="1"/>
    <xf numFmtId="0" fontId="7" fillId="15" borderId="1" xfId="0" applyFont="1" applyFill="1" applyBorder="1" applyAlignment="1">
      <alignment horizontal="center" vertical="center"/>
    </xf>
    <xf numFmtId="0" fontId="1" fillId="0" borderId="1" xfId="0" applyFont="1" applyFill="1" applyBorder="1" applyAlignment="1">
      <alignment vertical="center" wrapText="1"/>
    </xf>
    <xf numFmtId="0" fontId="0" fillId="19" borderId="1" xfId="0" applyFill="1" applyBorder="1"/>
    <xf numFmtId="9" fontId="6" fillId="22" borderId="1" xfId="0" applyNumberFormat="1" applyFont="1" applyFill="1" applyBorder="1"/>
    <xf numFmtId="4" fontId="6" fillId="15" borderId="0" xfId="0" applyNumberFormat="1" applyFont="1" applyFill="1" applyAlignment="1">
      <alignment vertical="center"/>
    </xf>
    <xf numFmtId="0" fontId="29" fillId="0" borderId="0" xfId="0" applyFont="1" applyFill="1"/>
    <xf numFmtId="0" fontId="77" fillId="0" borderId="0" xfId="0" applyFont="1" applyFill="1"/>
    <xf numFmtId="0" fontId="6" fillId="12" borderId="1" xfId="0" applyFont="1" applyFill="1" applyBorder="1"/>
    <xf numFmtId="3" fontId="21" fillId="0" borderId="1" xfId="0" applyNumberFormat="1" applyFont="1" applyFill="1" applyBorder="1" applyAlignment="1">
      <alignment horizontal="right" vertical="center" wrapText="1"/>
    </xf>
    <xf numFmtId="0" fontId="21" fillId="0" borderId="1" xfId="0" applyFont="1" applyFill="1" applyBorder="1" applyAlignment="1">
      <alignment horizontal="right" vertical="center" wrapText="1"/>
    </xf>
    <xf numFmtId="0" fontId="6" fillId="19" borderId="1" xfId="0" applyFont="1" applyFill="1" applyBorder="1" applyAlignment="1" applyProtection="1">
      <alignment horizontal="center"/>
      <protection locked="0"/>
    </xf>
    <xf numFmtId="0" fontId="6" fillId="19" borderId="1" xfId="0" applyFont="1" applyFill="1" applyBorder="1" applyProtection="1">
      <protection locked="0"/>
    </xf>
    <xf numFmtId="0" fontId="12" fillId="19" borderId="1" xfId="0" applyFont="1" applyFill="1" applyBorder="1" applyAlignment="1" applyProtection="1">
      <alignment horizontal="center"/>
      <protection locked="0"/>
    </xf>
    <xf numFmtId="9" fontId="6" fillId="19" borderId="1" xfId="0" applyNumberFormat="1" applyFont="1" applyFill="1" applyBorder="1" applyProtection="1">
      <protection locked="0"/>
    </xf>
    <xf numFmtId="3" fontId="3" fillId="19" borderId="1" xfId="0" applyNumberFormat="1" applyFont="1" applyFill="1" applyBorder="1" applyProtection="1">
      <protection locked="0"/>
    </xf>
    <xf numFmtId="0" fontId="116" fillId="0" borderId="1" xfId="0" applyNumberFormat="1" applyFont="1" applyBorder="1" applyAlignment="1">
      <alignment horizontal="center" vertical="center" wrapText="1"/>
    </xf>
    <xf numFmtId="0" fontId="117" fillId="0" borderId="1" xfId="0" applyNumberFormat="1" applyFont="1" applyBorder="1" applyAlignment="1">
      <alignment horizontal="center" vertical="center" wrapText="1"/>
    </xf>
    <xf numFmtId="49" fontId="117" fillId="0" borderId="1" xfId="0" applyNumberFormat="1" applyFont="1" applyBorder="1" applyAlignment="1">
      <alignment horizontal="left" vertical="center"/>
    </xf>
    <xf numFmtId="0" fontId="117" fillId="0" borderId="1" xfId="0" applyNumberFormat="1" applyFont="1" applyFill="1" applyBorder="1" applyAlignment="1">
      <alignment horizontal="center" vertical="center" wrapText="1"/>
    </xf>
    <xf numFmtId="49" fontId="117" fillId="0" borderId="1" xfId="0" applyNumberFormat="1" applyFont="1" applyFill="1" applyBorder="1" applyAlignment="1">
      <alignment horizontal="left" vertical="center"/>
    </xf>
    <xf numFmtId="2" fontId="117" fillId="0" borderId="1" xfId="0" applyNumberFormat="1" applyFont="1" applyFill="1" applyBorder="1" applyAlignment="1">
      <alignment wrapText="1"/>
    </xf>
    <xf numFmtId="2" fontId="117" fillId="0" borderId="1" xfId="0" applyNumberFormat="1" applyFont="1" applyBorder="1" applyAlignment="1">
      <alignment wrapText="1"/>
    </xf>
    <xf numFmtId="49" fontId="117" fillId="28" borderId="1" xfId="0" applyNumberFormat="1" applyFont="1" applyFill="1" applyBorder="1" applyAlignment="1">
      <alignment horizontal="left" vertical="center"/>
    </xf>
    <xf numFmtId="2" fontId="5" fillId="0" borderId="1" xfId="0" applyNumberFormat="1" applyFont="1" applyBorder="1" applyAlignment="1">
      <alignment wrapText="1"/>
    </xf>
    <xf numFmtId="2" fontId="117" fillId="28" borderId="1" xfId="0" applyNumberFormat="1" applyFont="1" applyFill="1" applyBorder="1" applyAlignment="1">
      <alignment wrapText="1"/>
    </xf>
    <xf numFmtId="0" fontId="117" fillId="0" borderId="1" xfId="0" applyFont="1" applyBorder="1" applyAlignment="1">
      <alignment wrapText="1"/>
    </xf>
    <xf numFmtId="0" fontId="117" fillId="0" borderId="3" xfId="0" applyNumberFormat="1" applyFont="1" applyFill="1" applyBorder="1" applyAlignment="1">
      <alignment horizontal="center" vertical="center" wrapText="1"/>
    </xf>
    <xf numFmtId="49" fontId="117" fillId="0" borderId="3" xfId="0" applyNumberFormat="1" applyFont="1" applyBorder="1" applyAlignment="1">
      <alignment horizontal="left" vertical="center"/>
    </xf>
    <xf numFmtId="0" fontId="116" fillId="17" borderId="0" xfId="0" applyNumberFormat="1" applyFont="1" applyFill="1" applyBorder="1" applyAlignment="1">
      <alignment horizontal="center" vertical="center" wrapText="1"/>
    </xf>
    <xf numFmtId="2" fontId="116" fillId="17" borderId="0" xfId="0" applyNumberFormat="1" applyFont="1" applyFill="1" applyBorder="1" applyAlignment="1">
      <alignment wrapText="1"/>
    </xf>
    <xf numFmtId="0" fontId="117" fillId="17" borderId="0" xfId="0" applyNumberFormat="1" applyFont="1" applyFill="1" applyBorder="1" applyAlignment="1">
      <alignment horizontal="center" vertical="center" wrapText="1"/>
    </xf>
    <xf numFmtId="2" fontId="117" fillId="17" borderId="0" xfId="0" applyNumberFormat="1" applyFont="1" applyFill="1" applyBorder="1" applyAlignment="1">
      <alignment wrapText="1"/>
    </xf>
    <xf numFmtId="0" fontId="117" fillId="17" borderId="0" xfId="0" applyFont="1" applyFill="1" applyBorder="1"/>
    <xf numFmtId="3" fontId="6" fillId="4" borderId="1" xfId="0" applyNumberFormat="1" applyFont="1" applyFill="1" applyBorder="1" applyProtection="1">
      <protection locked="0"/>
    </xf>
    <xf numFmtId="0" fontId="12" fillId="4" borderId="1" xfId="0" applyFont="1" applyFill="1" applyBorder="1" applyAlignment="1" applyProtection="1">
      <alignment horizontal="center"/>
      <protection locked="0"/>
    </xf>
    <xf numFmtId="49" fontId="12" fillId="4" borderId="1" xfId="0" applyNumberFormat="1" applyFont="1" applyFill="1" applyBorder="1" applyAlignment="1" applyProtection="1">
      <alignment horizontal="center"/>
      <protection locked="0"/>
    </xf>
    <xf numFmtId="0" fontId="116" fillId="0" borderId="2" xfId="0" applyNumberFormat="1" applyFont="1" applyBorder="1" applyAlignment="1">
      <alignment horizontal="left" vertical="center"/>
    </xf>
    <xf numFmtId="0" fontId="12" fillId="4" borderId="1" xfId="0" applyNumberFormat="1" applyFont="1" applyFill="1" applyBorder="1" applyAlignment="1" applyProtection="1">
      <alignment horizontal="center"/>
      <protection locked="0"/>
    </xf>
    <xf numFmtId="4" fontId="10" fillId="15" borderId="0" xfId="0" applyNumberFormat="1" applyFont="1" applyFill="1" applyAlignment="1">
      <alignment vertical="center"/>
    </xf>
    <xf numFmtId="0" fontId="118" fillId="15" borderId="0" xfId="0" applyFont="1" applyFill="1"/>
    <xf numFmtId="0" fontId="119" fillId="15" borderId="0" xfId="0" applyFont="1" applyFill="1"/>
    <xf numFmtId="3" fontId="0" fillId="0" borderId="0" xfId="0" applyNumberFormat="1"/>
    <xf numFmtId="3" fontId="120" fillId="0" borderId="0" xfId="0" applyNumberFormat="1" applyFont="1"/>
    <xf numFmtId="3" fontId="121" fillId="0" borderId="0" xfId="0" applyNumberFormat="1" applyFont="1"/>
    <xf numFmtId="0" fontId="7" fillId="15" borderId="0" xfId="0" applyFont="1" applyFill="1" applyAlignment="1">
      <alignment horizontal="right"/>
    </xf>
    <xf numFmtId="4" fontId="7" fillId="15" borderId="0" xfId="0" applyNumberFormat="1" applyFont="1" applyFill="1" applyAlignment="1">
      <alignment horizontal="left"/>
    </xf>
    <xf numFmtId="0" fontId="99" fillId="15" borderId="0" xfId="0" applyFont="1" applyFill="1"/>
    <xf numFmtId="0" fontId="123" fillId="19" borderId="1" xfId="0" applyFont="1" applyFill="1" applyBorder="1" applyAlignment="1" applyProtection="1">
      <alignment horizontal="center" wrapText="1"/>
      <protection locked="0"/>
    </xf>
    <xf numFmtId="170" fontId="122" fillId="4" borderId="1" xfId="5" applyNumberFormat="1" applyFont="1" applyFill="1" applyBorder="1" applyAlignment="1" applyProtection="1">
      <alignment wrapText="1"/>
      <protection locked="0"/>
    </xf>
    <xf numFmtId="0" fontId="33" fillId="29" borderId="1" xfId="0" applyFont="1" applyFill="1" applyBorder="1" applyAlignment="1">
      <alignment wrapText="1"/>
    </xf>
    <xf numFmtId="0" fontId="43" fillId="0" borderId="1" xfId="0" applyFont="1" applyBorder="1"/>
    <xf numFmtId="3" fontId="124" fillId="0" borderId="1" xfId="0" applyNumberFormat="1" applyFont="1" applyBorder="1" applyAlignment="1">
      <alignment vertical="center" wrapText="1"/>
    </xf>
    <xf numFmtId="165" fontId="125" fillId="0" borderId="0" xfId="0" applyNumberFormat="1" applyFont="1"/>
    <xf numFmtId="3" fontId="125" fillId="0" borderId="1" xfId="0" applyNumberFormat="1" applyFont="1" applyBorder="1" applyAlignment="1">
      <alignment vertical="center" wrapText="1"/>
    </xf>
    <xf numFmtId="3" fontId="5" fillId="0" borderId="1" xfId="0" applyNumberFormat="1" applyFont="1" applyBorder="1" applyAlignment="1">
      <alignment vertical="center" wrapText="1"/>
    </xf>
    <xf numFmtId="0" fontId="5" fillId="0" borderId="1" xfId="0" applyFont="1" applyBorder="1" applyAlignment="1">
      <alignment wrapText="1"/>
    </xf>
    <xf numFmtId="0" fontId="43" fillId="0" borderId="0" xfId="0" applyFont="1"/>
    <xf numFmtId="0" fontId="43" fillId="0" borderId="0" xfId="0" applyFont="1" applyAlignment="1">
      <alignment wrapText="1"/>
    </xf>
    <xf numFmtId="0" fontId="33" fillId="22" borderId="0" xfId="0" applyFont="1" applyFill="1" applyAlignment="1">
      <alignment horizontal="center"/>
    </xf>
    <xf numFmtId="0" fontId="126" fillId="22" borderId="0" xfId="0" applyFont="1" applyFill="1"/>
    <xf numFmtId="0" fontId="0" fillId="22" borderId="0" xfId="0" applyFill="1"/>
    <xf numFmtId="0" fontId="33" fillId="19" borderId="0" xfId="0" applyFont="1" applyFill="1" applyAlignment="1">
      <alignment horizontal="center"/>
    </xf>
    <xf numFmtId="0" fontId="0" fillId="19" borderId="0" xfId="0" applyFill="1"/>
    <xf numFmtId="0" fontId="33" fillId="11" borderId="0" xfId="0" applyFont="1" applyFill="1" applyAlignment="1">
      <alignment horizontal="center"/>
    </xf>
    <xf numFmtId="0" fontId="0" fillId="11" borderId="0" xfId="0" applyFill="1"/>
    <xf numFmtId="0" fontId="126" fillId="19" borderId="0" xfId="0" applyFont="1" applyFill="1"/>
    <xf numFmtId="0" fontId="33" fillId="30" borderId="0" xfId="0" applyFont="1" applyFill="1" applyAlignment="1">
      <alignment horizontal="center"/>
    </xf>
    <xf numFmtId="0" fontId="82" fillId="30" borderId="0" xfId="0" applyFont="1" applyFill="1"/>
    <xf numFmtId="0" fontId="6" fillId="0" borderId="8" xfId="0" applyFont="1" applyBorder="1"/>
    <xf numFmtId="0" fontId="6" fillId="0" borderId="26" xfId="0" applyFont="1" applyBorder="1"/>
    <xf numFmtId="0" fontId="6" fillId="0" borderId="27" xfId="0" applyFont="1" applyBorder="1"/>
    <xf numFmtId="0" fontId="6" fillId="0" borderId="24" xfId="0" applyFont="1" applyBorder="1"/>
    <xf numFmtId="0" fontId="101" fillId="0" borderId="26" xfId="0" applyFont="1" applyBorder="1"/>
    <xf numFmtId="0" fontId="101" fillId="0" borderId="9" xfId="0" applyFont="1" applyBorder="1"/>
    <xf numFmtId="0" fontId="6" fillId="15" borderId="29" xfId="0" applyFont="1" applyFill="1" applyBorder="1"/>
    <xf numFmtId="0" fontId="6" fillId="15" borderId="30" xfId="0" applyFont="1" applyFill="1" applyBorder="1"/>
    <xf numFmtId="0" fontId="6" fillId="15" borderId="31" xfId="0" applyFont="1" applyFill="1" applyBorder="1"/>
    <xf numFmtId="0" fontId="6" fillId="15" borderId="32" xfId="0" applyFont="1" applyFill="1" applyBorder="1"/>
    <xf numFmtId="0" fontId="6" fillId="15" borderId="33" xfId="0" applyFont="1" applyFill="1" applyBorder="1"/>
    <xf numFmtId="0" fontId="6" fillId="15" borderId="34" xfId="0" applyFont="1" applyFill="1" applyBorder="1"/>
    <xf numFmtId="0" fontId="6" fillId="15" borderId="7" xfId="0" applyFont="1" applyFill="1" applyBorder="1"/>
    <xf numFmtId="0" fontId="6" fillId="15" borderId="35" xfId="0" applyFont="1" applyFill="1" applyBorder="1"/>
    <xf numFmtId="0" fontId="6" fillId="0" borderId="1" xfId="0" applyFont="1" applyBorder="1" applyAlignment="1">
      <alignment horizontal="center"/>
    </xf>
    <xf numFmtId="0" fontId="0" fillId="0" borderId="0" xfId="0" applyAlignment="1">
      <alignment wrapText="1"/>
    </xf>
    <xf numFmtId="0" fontId="0" fillId="0" borderId="0" xfId="0" applyAlignment="1">
      <alignment horizontal="center" wrapText="1"/>
    </xf>
    <xf numFmtId="0" fontId="1" fillId="0" borderId="0" xfId="0" applyFont="1" applyAlignment="1">
      <alignment wrapText="1"/>
    </xf>
    <xf numFmtId="0" fontId="129" fillId="0" borderId="7" xfId="0" applyFont="1" applyBorder="1" applyAlignment="1">
      <alignment wrapText="1"/>
    </xf>
    <xf numFmtId="0" fontId="0" fillId="0" borderId="36" xfId="0" applyBorder="1" applyAlignment="1">
      <alignment wrapText="1"/>
    </xf>
    <xf numFmtId="0" fontId="0" fillId="0" borderId="37" xfId="0" applyBorder="1" applyAlignment="1">
      <alignment wrapText="1"/>
    </xf>
    <xf numFmtId="0" fontId="0" fillId="0" borderId="38" xfId="0" applyBorder="1" applyAlignment="1">
      <alignment wrapText="1"/>
    </xf>
    <xf numFmtId="3" fontId="10" fillId="0" borderId="0" xfId="0" applyNumberFormat="1" applyFont="1"/>
    <xf numFmtId="9" fontId="6" fillId="0" borderId="0" xfId="0" applyNumberFormat="1" applyFont="1"/>
    <xf numFmtId="10" fontId="6" fillId="0" borderId="0" xfId="0" applyNumberFormat="1" applyFont="1"/>
    <xf numFmtId="2" fontId="7" fillId="0" borderId="0" xfId="0" applyNumberFormat="1" applyFont="1"/>
    <xf numFmtId="0" fontId="1" fillId="0" borderId="0" xfId="0" applyFont="1" applyAlignment="1">
      <alignment horizontal="center" wrapText="1"/>
    </xf>
    <xf numFmtId="0" fontId="129" fillId="0" borderId="7" xfId="0" applyFont="1" applyBorder="1" applyAlignment="1">
      <alignment horizontal="center" wrapText="1"/>
    </xf>
    <xf numFmtId="0" fontId="0" fillId="0" borderId="36" xfId="0" applyBorder="1" applyAlignment="1">
      <alignment horizontal="center" wrapText="1"/>
    </xf>
    <xf numFmtId="0" fontId="0" fillId="0" borderId="37" xfId="0" applyBorder="1" applyAlignment="1">
      <alignment horizontal="center" wrapText="1"/>
    </xf>
    <xf numFmtId="0" fontId="0" fillId="0" borderId="38" xfId="0" applyBorder="1" applyAlignment="1">
      <alignment horizontal="center" wrapText="1"/>
    </xf>
    <xf numFmtId="49" fontId="6" fillId="0" borderId="1" xfId="0" applyNumberFormat="1" applyFont="1" applyFill="1" applyBorder="1"/>
    <xf numFmtId="0" fontId="6" fillId="15" borderId="1" xfId="0" applyFont="1" applyFill="1" applyBorder="1" applyAlignment="1">
      <alignment horizontal="right"/>
    </xf>
    <xf numFmtId="165" fontId="0" fillId="0" borderId="0" xfId="0" applyNumberFormat="1" applyAlignment="1">
      <alignment horizontal="center"/>
    </xf>
    <xf numFmtId="2" fontId="0" fillId="0" borderId="0" xfId="0" applyNumberFormat="1" applyAlignment="1">
      <alignment horizontal="center"/>
    </xf>
    <xf numFmtId="2" fontId="1" fillId="0" borderId="0" xfId="0" applyNumberFormat="1" applyFont="1" applyAlignment="1">
      <alignment horizontal="center"/>
    </xf>
    <xf numFmtId="0" fontId="0" fillId="0" borderId="0" xfId="0" applyAlignment="1">
      <alignment horizontal="center"/>
    </xf>
    <xf numFmtId="0" fontId="130" fillId="15" borderId="0" xfId="0" applyFont="1" applyFill="1"/>
    <xf numFmtId="165" fontId="130" fillId="0" borderId="0" xfId="0" applyNumberFormat="1" applyFont="1" applyAlignment="1">
      <alignment horizontal="center"/>
    </xf>
    <xf numFmtId="0" fontId="130" fillId="0" borderId="0" xfId="0" applyFont="1"/>
    <xf numFmtId="4" fontId="0" fillId="0" borderId="0" xfId="0" applyNumberFormat="1"/>
    <xf numFmtId="4" fontId="1" fillId="0" borderId="0" xfId="0" applyNumberFormat="1" applyFont="1"/>
    <xf numFmtId="3" fontId="1" fillId="0" borderId="0" xfId="0" applyNumberFormat="1" applyFont="1"/>
    <xf numFmtId="3" fontId="130" fillId="0" borderId="0" xfId="0" applyNumberFormat="1" applyFont="1"/>
    <xf numFmtId="3" fontId="131" fillId="0" borderId="0" xfId="0" applyNumberFormat="1" applyFont="1"/>
    <xf numFmtId="0" fontId="132" fillId="0" borderId="0" xfId="0" applyFont="1"/>
    <xf numFmtId="3" fontId="131" fillId="0" borderId="0" xfId="0" applyNumberFormat="1" applyFont="1" applyAlignment="1">
      <alignment horizontal="right"/>
    </xf>
    <xf numFmtId="0" fontId="7" fillId="0" borderId="1" xfId="0" applyFont="1" applyBorder="1" applyAlignment="1">
      <alignment horizontal="right"/>
    </xf>
    <xf numFmtId="170" fontId="0" fillId="0" borderId="0" xfId="5" applyNumberFormat="1" applyFont="1"/>
    <xf numFmtId="170" fontId="0" fillId="0" borderId="0" xfId="0" applyNumberFormat="1"/>
    <xf numFmtId="3" fontId="0" fillId="0" borderId="36" xfId="0" applyNumberFormat="1" applyBorder="1" applyAlignment="1">
      <alignment wrapText="1"/>
    </xf>
    <xf numFmtId="3" fontId="0" fillId="0" borderId="37" xfId="0" applyNumberFormat="1" applyBorder="1" applyAlignment="1">
      <alignment wrapText="1"/>
    </xf>
    <xf numFmtId="3" fontId="0" fillId="0" borderId="38" xfId="0" applyNumberFormat="1" applyBorder="1" applyAlignment="1">
      <alignment wrapText="1"/>
    </xf>
    <xf numFmtId="9" fontId="6" fillId="0" borderId="1" xfId="0" applyNumberFormat="1" applyFont="1" applyBorder="1" applyAlignment="1">
      <alignment horizontal="center"/>
    </xf>
    <xf numFmtId="0" fontId="0" fillId="0" borderId="0" xfId="0" applyAlignment="1">
      <alignment horizontal="center"/>
    </xf>
    <xf numFmtId="0" fontId="129" fillId="11" borderId="7" xfId="0" applyFont="1" applyFill="1" applyBorder="1" applyAlignment="1">
      <alignment horizontal="center" wrapText="1"/>
    </xf>
    <xf numFmtId="4" fontId="0" fillId="11" borderId="36" xfId="0" applyNumberFormat="1" applyFill="1" applyBorder="1" applyAlignment="1">
      <alignment horizontal="center" wrapText="1"/>
    </xf>
    <xf numFmtId="4" fontId="0" fillId="11" borderId="37" xfId="0" applyNumberFormat="1" applyFill="1" applyBorder="1" applyAlignment="1">
      <alignment horizontal="center" wrapText="1"/>
    </xf>
    <xf numFmtId="2" fontId="0" fillId="11" borderId="37" xfId="0" applyNumberFormat="1" applyFill="1" applyBorder="1" applyAlignment="1">
      <alignment horizontal="center" wrapText="1"/>
    </xf>
    <xf numFmtId="4" fontId="0" fillId="11" borderId="38" xfId="0" applyNumberFormat="1" applyFill="1" applyBorder="1" applyAlignment="1">
      <alignment horizontal="center" wrapText="1"/>
    </xf>
    <xf numFmtId="2" fontId="0" fillId="11" borderId="38" xfId="0" applyNumberFormat="1" applyFill="1" applyBorder="1" applyAlignment="1">
      <alignment horizontal="center" wrapText="1"/>
    </xf>
    <xf numFmtId="0" fontId="0" fillId="11" borderId="0" xfId="0" applyFill="1" applyAlignment="1">
      <alignment horizontal="center" wrapText="1"/>
    </xf>
    <xf numFmtId="0" fontId="129" fillId="4" borderId="7" xfId="0" applyFont="1" applyFill="1" applyBorder="1" applyAlignment="1">
      <alignment horizontal="center" wrapText="1"/>
    </xf>
    <xf numFmtId="4" fontId="0" fillId="4" borderId="36" xfId="0" applyNumberFormat="1" applyFill="1" applyBorder="1" applyAlignment="1">
      <alignment horizontal="center" wrapText="1"/>
    </xf>
    <xf numFmtId="4" fontId="0" fillId="4" borderId="37" xfId="0" applyNumberFormat="1" applyFill="1" applyBorder="1" applyAlignment="1">
      <alignment horizontal="center" wrapText="1"/>
    </xf>
    <xf numFmtId="4" fontId="0" fillId="4" borderId="38" xfId="0" applyNumberFormat="1" applyFill="1" applyBorder="1" applyAlignment="1">
      <alignment horizontal="center" wrapText="1"/>
    </xf>
    <xf numFmtId="0" fontId="0" fillId="4" borderId="0" xfId="0" applyFill="1" applyAlignment="1">
      <alignment horizontal="center" wrapText="1"/>
    </xf>
    <xf numFmtId="0" fontId="129" fillId="19" borderId="7" xfId="0" applyFont="1" applyFill="1" applyBorder="1" applyAlignment="1">
      <alignment horizontal="center" wrapText="1"/>
    </xf>
    <xf numFmtId="0" fontId="0" fillId="19" borderId="0" xfId="0" applyFill="1" applyAlignment="1">
      <alignment horizontal="center" wrapText="1"/>
    </xf>
    <xf numFmtId="4" fontId="129" fillId="19" borderId="7" xfId="0" applyNumberFormat="1" applyFont="1" applyFill="1" applyBorder="1" applyAlignment="1">
      <alignment horizontal="center" wrapText="1"/>
    </xf>
    <xf numFmtId="4" fontId="0" fillId="19" borderId="36" xfId="0" applyNumberFormat="1" applyFill="1" applyBorder="1" applyAlignment="1">
      <alignment horizontal="center" wrapText="1"/>
    </xf>
    <xf numFmtId="2" fontId="0" fillId="19" borderId="36" xfId="0" applyNumberFormat="1" applyFill="1" applyBorder="1" applyAlignment="1">
      <alignment horizontal="center" wrapText="1"/>
    </xf>
    <xf numFmtId="4" fontId="0" fillId="19" borderId="37" xfId="0" applyNumberFormat="1" applyFill="1" applyBorder="1" applyAlignment="1">
      <alignment horizontal="center" wrapText="1"/>
    </xf>
    <xf numFmtId="2" fontId="0" fillId="19" borderId="37" xfId="0" applyNumberFormat="1" applyFill="1" applyBorder="1" applyAlignment="1">
      <alignment horizontal="center" wrapText="1"/>
    </xf>
    <xf numFmtId="4" fontId="0" fillId="19" borderId="38" xfId="0" applyNumberFormat="1" applyFill="1" applyBorder="1" applyAlignment="1">
      <alignment horizontal="center" wrapText="1"/>
    </xf>
    <xf numFmtId="2" fontId="0" fillId="19" borderId="38" xfId="0" applyNumberFormat="1" applyFill="1" applyBorder="1" applyAlignment="1">
      <alignment horizontal="center" wrapText="1"/>
    </xf>
    <xf numFmtId="4" fontId="0" fillId="19" borderId="0" xfId="0" applyNumberFormat="1" applyFill="1" applyAlignment="1">
      <alignment horizontal="center" wrapText="1"/>
    </xf>
    <xf numFmtId="2" fontId="0" fillId="0" borderId="36" xfId="0" applyNumberFormat="1" applyBorder="1" applyAlignment="1">
      <alignment horizontal="center" wrapText="1"/>
    </xf>
    <xf numFmtId="2" fontId="0" fillId="0" borderId="37" xfId="0" applyNumberFormat="1" applyBorder="1" applyAlignment="1">
      <alignment horizontal="center" wrapText="1"/>
    </xf>
    <xf numFmtId="2" fontId="0" fillId="0" borderId="38" xfId="0" applyNumberFormat="1" applyBorder="1" applyAlignment="1">
      <alignment horizontal="center" wrapText="1"/>
    </xf>
    <xf numFmtId="0" fontId="7" fillId="22" borderId="0" xfId="0" applyFont="1" applyFill="1" applyBorder="1"/>
    <xf numFmtId="9" fontId="7" fillId="22" borderId="0" xfId="0" applyNumberFormat="1" applyFont="1" applyFill="1"/>
    <xf numFmtId="0" fontId="7" fillId="22" borderId="0" xfId="0" applyFont="1" applyFill="1"/>
    <xf numFmtId="0" fontId="6" fillId="22" borderId="0" xfId="0" applyFont="1" applyFill="1"/>
    <xf numFmtId="0" fontId="1" fillId="0" borderId="0" xfId="0" applyFont="1" applyAlignment="1">
      <alignment horizontal="center" wrapText="1"/>
    </xf>
    <xf numFmtId="0" fontId="129" fillId="22" borderId="7" xfId="0" applyFont="1" applyFill="1" applyBorder="1" applyAlignment="1">
      <alignment horizontal="center" wrapText="1"/>
    </xf>
    <xf numFmtId="2" fontId="0" fillId="22" borderId="36" xfId="0" applyNumberFormat="1" applyFill="1" applyBorder="1" applyAlignment="1">
      <alignment horizontal="center" wrapText="1"/>
    </xf>
    <xf numFmtId="2" fontId="0" fillId="22" borderId="37" xfId="0" applyNumberFormat="1" applyFill="1" applyBorder="1" applyAlignment="1">
      <alignment horizontal="center" wrapText="1"/>
    </xf>
    <xf numFmtId="2" fontId="0" fillId="22" borderId="38" xfId="0" applyNumberFormat="1" applyFill="1" applyBorder="1" applyAlignment="1">
      <alignment horizontal="center" wrapText="1"/>
    </xf>
    <xf numFmtId="0" fontId="0" fillId="20" borderId="0" xfId="0" applyFill="1"/>
    <xf numFmtId="0" fontId="1" fillId="31" borderId="0" xfId="0" applyFont="1" applyFill="1" applyAlignment="1"/>
    <xf numFmtId="0" fontId="129" fillId="31" borderId="7" xfId="0" applyFont="1" applyFill="1" applyBorder="1" applyAlignment="1">
      <alignment horizontal="center" wrapText="1"/>
    </xf>
    <xf numFmtId="2" fontId="0" fillId="31" borderId="36" xfId="0" applyNumberFormat="1" applyFill="1" applyBorder="1" applyAlignment="1">
      <alignment horizontal="center" wrapText="1"/>
    </xf>
    <xf numFmtId="2" fontId="0" fillId="31" borderId="37" xfId="0" applyNumberFormat="1" applyFill="1" applyBorder="1" applyAlignment="1">
      <alignment horizontal="center" wrapText="1"/>
    </xf>
    <xf numFmtId="2" fontId="0" fillId="31" borderId="38" xfId="0" applyNumberFormat="1" applyFill="1" applyBorder="1" applyAlignment="1">
      <alignment horizontal="center" wrapText="1"/>
    </xf>
    <xf numFmtId="0" fontId="0" fillId="31" borderId="0" xfId="0" applyFill="1"/>
    <xf numFmtId="170" fontId="1" fillId="0" borderId="0" xfId="5" applyNumberFormat="1" applyFont="1" applyAlignment="1">
      <alignment horizontal="center" wrapText="1"/>
    </xf>
    <xf numFmtId="170" fontId="129" fillId="0" borderId="7" xfId="5" applyNumberFormat="1" applyFont="1" applyBorder="1" applyAlignment="1">
      <alignment horizontal="center" wrapText="1"/>
    </xf>
    <xf numFmtId="170" fontId="0" fillId="0" borderId="0" xfId="5" applyNumberFormat="1" applyFont="1" applyBorder="1" applyAlignment="1">
      <alignment horizontal="center" wrapText="1"/>
    </xf>
    <xf numFmtId="170" fontId="0" fillId="0" borderId="0" xfId="5" applyNumberFormat="1" applyFont="1" applyAlignment="1">
      <alignment horizontal="center" wrapText="1"/>
    </xf>
    <xf numFmtId="10" fontId="1" fillId="0" borderId="0" xfId="5" applyNumberFormat="1" applyFont="1" applyAlignment="1">
      <alignment horizontal="center" wrapText="1"/>
    </xf>
    <xf numFmtId="10" fontId="129" fillId="0" borderId="7" xfId="5" applyNumberFormat="1" applyFont="1" applyBorder="1" applyAlignment="1">
      <alignment horizontal="center" wrapText="1"/>
    </xf>
    <xf numFmtId="10" fontId="0" fillId="0" borderId="0" xfId="5" applyNumberFormat="1" applyFont="1" applyBorder="1" applyAlignment="1">
      <alignment horizontal="center" wrapText="1"/>
    </xf>
    <xf numFmtId="10" fontId="0" fillId="0" borderId="0" xfId="5" applyNumberFormat="1" applyFont="1" applyAlignment="1">
      <alignment horizontal="center" wrapText="1"/>
    </xf>
    <xf numFmtId="164" fontId="0" fillId="0" borderId="0" xfId="0" applyNumberFormat="1" applyBorder="1" applyAlignment="1">
      <alignment horizontal="center" wrapText="1"/>
    </xf>
    <xf numFmtId="166" fontId="7" fillId="0" borderId="1" xfId="5" applyNumberFormat="1" applyFont="1" applyBorder="1"/>
    <xf numFmtId="10" fontId="112" fillId="32" borderId="0" xfId="0" applyNumberFormat="1" applyFont="1" applyFill="1"/>
    <xf numFmtId="10" fontId="112" fillId="33" borderId="0" xfId="0" applyNumberFormat="1" applyFont="1" applyFill="1"/>
    <xf numFmtId="0" fontId="112" fillId="32" borderId="0" xfId="0" applyFont="1" applyFill="1" applyAlignment="1">
      <alignment horizontal="center" wrapText="1"/>
    </xf>
    <xf numFmtId="164" fontId="0" fillId="11" borderId="0" xfId="0" applyNumberFormat="1" applyFill="1" applyBorder="1" applyAlignment="1">
      <alignment horizontal="center" wrapText="1"/>
    </xf>
    <xf numFmtId="165" fontId="0" fillId="22" borderId="0" xfId="0" applyNumberFormat="1" applyFill="1" applyAlignment="1">
      <alignment horizontal="center"/>
    </xf>
    <xf numFmtId="2" fontId="0" fillId="4" borderId="36" xfId="0" applyNumberFormat="1" applyFill="1" applyBorder="1" applyAlignment="1">
      <alignment horizontal="center" wrapText="1"/>
    </xf>
    <xf numFmtId="2" fontId="0" fillId="4" borderId="37" xfId="0" applyNumberFormat="1" applyFill="1" applyBorder="1" applyAlignment="1">
      <alignment horizontal="center" wrapText="1"/>
    </xf>
    <xf numFmtId="2" fontId="0" fillId="4" borderId="38" xfId="0" applyNumberFormat="1" applyFill="1" applyBorder="1" applyAlignment="1">
      <alignment horizontal="center" wrapText="1"/>
    </xf>
    <xf numFmtId="3" fontId="1" fillId="0" borderId="0" xfId="0" applyNumberFormat="1" applyFont="1" applyAlignment="1">
      <alignment horizontal="center" wrapText="1"/>
    </xf>
    <xf numFmtId="3" fontId="129" fillId="0" borderId="7" xfId="0" applyNumberFormat="1" applyFont="1" applyBorder="1" applyAlignment="1">
      <alignment horizontal="center" wrapText="1"/>
    </xf>
    <xf numFmtId="3" fontId="0" fillId="0" borderId="36" xfId="0" applyNumberFormat="1" applyBorder="1" applyAlignment="1">
      <alignment horizontal="center" wrapText="1"/>
    </xf>
    <xf numFmtId="3" fontId="0" fillId="0" borderId="37" xfId="0" applyNumberFormat="1" applyBorder="1" applyAlignment="1">
      <alignment horizontal="center" wrapText="1"/>
    </xf>
    <xf numFmtId="3" fontId="0" fillId="0" borderId="38" xfId="0" applyNumberFormat="1" applyBorder="1" applyAlignment="1">
      <alignment horizontal="center" wrapText="1"/>
    </xf>
    <xf numFmtId="3" fontId="0" fillId="0" borderId="0" xfId="0" applyNumberFormat="1" applyAlignment="1">
      <alignment horizontal="center" wrapText="1"/>
    </xf>
    <xf numFmtId="164" fontId="0" fillId="0" borderId="37" xfId="0" applyNumberFormat="1" applyBorder="1" applyAlignment="1">
      <alignment horizontal="center" wrapText="1"/>
    </xf>
    <xf numFmtId="164" fontId="0" fillId="0" borderId="38" xfId="0" applyNumberFormat="1" applyBorder="1" applyAlignment="1">
      <alignment horizontal="center" wrapText="1"/>
    </xf>
    <xf numFmtId="4" fontId="1" fillId="0" borderId="0" xfId="0" applyNumberFormat="1" applyFont="1" applyAlignment="1">
      <alignment horizontal="center" wrapText="1"/>
    </xf>
    <xf numFmtId="4" fontId="129" fillId="0" borderId="7" xfId="0" applyNumberFormat="1" applyFont="1" applyBorder="1" applyAlignment="1">
      <alignment horizontal="center" wrapText="1"/>
    </xf>
    <xf numFmtId="4" fontId="0" fillId="0" borderId="36" xfId="0" applyNumberFormat="1" applyBorder="1" applyAlignment="1">
      <alignment horizontal="center" wrapText="1"/>
    </xf>
    <xf numFmtId="4" fontId="0" fillId="0" borderId="37" xfId="0" applyNumberFormat="1" applyBorder="1" applyAlignment="1">
      <alignment horizontal="center" wrapText="1"/>
    </xf>
    <xf numFmtId="4" fontId="0" fillId="0" borderId="38" xfId="0" applyNumberFormat="1" applyBorder="1" applyAlignment="1">
      <alignment horizontal="center" wrapText="1"/>
    </xf>
    <xf numFmtId="4" fontId="0" fillId="0" borderId="0" xfId="0" applyNumberFormat="1" applyAlignment="1">
      <alignment horizontal="center" wrapText="1"/>
    </xf>
    <xf numFmtId="0" fontId="104" fillId="25" borderId="0" xfId="0" applyFont="1" applyFill="1"/>
    <xf numFmtId="4" fontId="129" fillId="10" borderId="7" xfId="0" applyNumberFormat="1" applyFont="1" applyFill="1" applyBorder="1" applyAlignment="1">
      <alignment horizontal="center" wrapText="1"/>
    </xf>
    <xf numFmtId="4" fontId="0" fillId="10" borderId="36" xfId="0" applyNumberFormat="1" applyFill="1" applyBorder="1" applyAlignment="1">
      <alignment horizontal="center" wrapText="1"/>
    </xf>
    <xf numFmtId="4" fontId="0" fillId="10" borderId="37" xfId="0" applyNumberFormat="1" applyFill="1" applyBorder="1" applyAlignment="1">
      <alignment horizontal="center" wrapText="1"/>
    </xf>
    <xf numFmtId="4" fontId="0" fillId="10" borderId="38" xfId="0" applyNumberFormat="1" applyFill="1" applyBorder="1" applyAlignment="1">
      <alignment horizontal="center" wrapText="1"/>
    </xf>
    <xf numFmtId="4" fontId="0" fillId="10" borderId="0" xfId="0" applyNumberFormat="1" applyFill="1" applyAlignment="1">
      <alignment horizontal="center" wrapText="1"/>
    </xf>
    <xf numFmtId="3" fontId="129" fillId="19" borderId="7" xfId="0" applyNumberFormat="1" applyFont="1" applyFill="1" applyBorder="1" applyAlignment="1">
      <alignment horizontal="center" wrapText="1"/>
    </xf>
    <xf numFmtId="3" fontId="0" fillId="19" borderId="0" xfId="0" applyNumberFormat="1" applyFill="1"/>
    <xf numFmtId="4" fontId="129" fillId="20" borderId="0" xfId="0" applyNumberFormat="1" applyFont="1" applyFill="1" applyBorder="1" applyAlignment="1">
      <alignment horizontal="center" wrapText="1"/>
    </xf>
    <xf numFmtId="4" fontId="6" fillId="15" borderId="1" xfId="0" applyNumberFormat="1" applyFont="1" applyFill="1" applyBorder="1" applyAlignment="1">
      <alignment vertical="center" wrapText="1"/>
    </xf>
    <xf numFmtId="0" fontId="39" fillId="34" borderId="0" xfId="1" applyFont="1" applyFill="1" applyBorder="1" applyAlignment="1">
      <alignment horizontal="center"/>
    </xf>
    <xf numFmtId="0" fontId="43" fillId="34" borderId="0" xfId="1" applyFont="1" applyFill="1" applyBorder="1"/>
    <xf numFmtId="0" fontId="33" fillId="34" borderId="7" xfId="1" applyFont="1" applyFill="1" applyBorder="1" applyAlignment="1">
      <alignment horizontal="center" wrapText="1"/>
    </xf>
    <xf numFmtId="0" fontId="0" fillId="34" borderId="0" xfId="0" applyFill="1" applyBorder="1" applyAlignment="1">
      <alignment wrapText="1"/>
    </xf>
    <xf numFmtId="0" fontId="43" fillId="34" borderId="7" xfId="1" applyFont="1" applyFill="1" applyBorder="1" applyAlignment="1">
      <alignment horizontal="right"/>
    </xf>
    <xf numFmtId="4" fontId="57" fillId="34" borderId="0" xfId="1" applyNumberFormat="1" applyFont="1" applyFill="1" applyBorder="1"/>
    <xf numFmtId="10" fontId="6" fillId="0" borderId="0" xfId="5" applyNumberFormat="1" applyFont="1"/>
    <xf numFmtId="0" fontId="6" fillId="0" borderId="0" xfId="0" applyFont="1" applyAlignment="1">
      <alignment horizontal="center"/>
    </xf>
    <xf numFmtId="4" fontId="0" fillId="0" borderId="0" xfId="0" applyNumberFormat="1" applyBorder="1" applyAlignment="1">
      <alignment horizontal="center" wrapText="1"/>
    </xf>
    <xf numFmtId="166" fontId="0" fillId="0" borderId="0" xfId="0" applyNumberFormat="1" applyBorder="1" applyAlignment="1">
      <alignment horizontal="center" wrapText="1"/>
    </xf>
    <xf numFmtId="0" fontId="133" fillId="11" borderId="7" xfId="0" applyFont="1" applyFill="1" applyBorder="1" applyAlignment="1">
      <alignment horizontal="center" wrapText="1"/>
    </xf>
    <xf numFmtId="4" fontId="0" fillId="11" borderId="0" xfId="0" applyNumberFormat="1" applyFill="1" applyBorder="1" applyAlignment="1">
      <alignment horizontal="center" wrapText="1"/>
    </xf>
    <xf numFmtId="4" fontId="82" fillId="11" borderId="0" xfId="0" applyNumberFormat="1" applyFont="1" applyFill="1" applyBorder="1" applyAlignment="1">
      <alignment horizontal="center" wrapText="1"/>
    </xf>
    <xf numFmtId="0" fontId="135" fillId="36" borderId="1" xfId="0" applyFont="1" applyFill="1" applyBorder="1" applyAlignment="1">
      <alignment horizontal="center" vertical="center" wrapText="1"/>
    </xf>
    <xf numFmtId="0" fontId="135" fillId="36" borderId="25" xfId="0" applyFont="1" applyFill="1" applyBorder="1" applyAlignment="1">
      <alignment horizontal="center" vertical="center" wrapText="1"/>
    </xf>
    <xf numFmtId="0" fontId="19" fillId="0" borderId="0" xfId="17" applyAlignment="1">
      <alignment horizontal="right" indent="1"/>
    </xf>
    <xf numFmtId="0" fontId="19" fillId="0" borderId="0" xfId="17"/>
    <xf numFmtId="0" fontId="19" fillId="0" borderId="0" xfId="17" applyFont="1"/>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3" fontId="1" fillId="0" borderId="0" xfId="0" applyNumberFormat="1" applyFont="1" applyAlignment="1">
      <alignment horizontal="right" wrapText="1"/>
    </xf>
    <xf numFmtId="0" fontId="1" fillId="0" borderId="0" xfId="0" applyFont="1" applyAlignment="1">
      <alignment horizontal="right" wrapText="1"/>
    </xf>
    <xf numFmtId="0" fontId="0" fillId="0" borderId="0" xfId="0" applyAlignment="1">
      <alignment horizontal="left" vertical="center" wrapText="1"/>
    </xf>
    <xf numFmtId="3" fontId="0" fillId="0" borderId="0" xfId="0" applyNumberFormat="1" applyAlignment="1">
      <alignment horizontal="right" wrapText="1"/>
    </xf>
    <xf numFmtId="0" fontId="0" fillId="0" borderId="0" xfId="0" applyAlignment="1">
      <alignment horizontal="right" wrapText="1"/>
    </xf>
    <xf numFmtId="0" fontId="135" fillId="36" borderId="3" xfId="0" applyFont="1" applyFill="1" applyBorder="1" applyAlignment="1">
      <alignment vertical="center" wrapText="1"/>
    </xf>
    <xf numFmtId="0" fontId="135" fillId="36" borderId="5" xfId="0" applyFont="1" applyFill="1" applyBorder="1" applyAlignment="1">
      <alignment horizontal="center"/>
    </xf>
    <xf numFmtId="0" fontId="135" fillId="36" borderId="0" xfId="0" applyFont="1" applyFill="1" applyBorder="1" applyAlignment="1">
      <alignment horizontal="center" vertical="center" wrapText="1"/>
    </xf>
    <xf numFmtId="0" fontId="0" fillId="0" borderId="0" xfId="0" pivotButton="1"/>
    <xf numFmtId="0" fontId="0" fillId="0" borderId="39" xfId="0" applyBorder="1" applyAlignment="1">
      <alignment horizontal="left"/>
    </xf>
    <xf numFmtId="0" fontId="0" fillId="0" borderId="0" xfId="0" pivotButton="1" applyAlignment="1">
      <alignment horizontal="center"/>
    </xf>
    <xf numFmtId="0" fontId="0" fillId="0" borderId="40" xfId="0" applyNumberFormat="1" applyBorder="1" applyAlignment="1">
      <alignment horizontal="center"/>
    </xf>
    <xf numFmtId="0" fontId="0" fillId="0" borderId="41" xfId="0" applyNumberFormat="1" applyBorder="1" applyAlignment="1">
      <alignment horizontal="center"/>
    </xf>
    <xf numFmtId="0" fontId="0" fillId="0" borderId="0" xfId="0" applyNumberFormat="1" applyAlignment="1">
      <alignment horizontal="center"/>
    </xf>
    <xf numFmtId="0" fontId="1" fillId="0" borderId="7" xfId="0" applyFont="1" applyBorder="1"/>
    <xf numFmtId="0" fontId="1" fillId="0" borderId="7" xfId="0" applyFont="1" applyBorder="1" applyAlignment="1">
      <alignment horizontal="center"/>
    </xf>
    <xf numFmtId="0" fontId="1" fillId="0" borderId="36" xfId="0" applyFont="1" applyBorder="1"/>
    <xf numFmtId="0" fontId="0" fillId="0" borderId="36" xfId="0" applyBorder="1" applyAlignment="1">
      <alignment horizontal="center"/>
    </xf>
    <xf numFmtId="0" fontId="1" fillId="0" borderId="37" xfId="0" applyFont="1" applyBorder="1"/>
    <xf numFmtId="0" fontId="0" fillId="0" borderId="37" xfId="0" applyBorder="1" applyAlignment="1">
      <alignment horizontal="center"/>
    </xf>
    <xf numFmtId="174" fontId="0" fillId="0" borderId="0" xfId="0" applyNumberFormat="1"/>
    <xf numFmtId="1" fontId="0" fillId="0" borderId="0" xfId="0" applyNumberFormat="1"/>
    <xf numFmtId="0" fontId="0" fillId="0" borderId="19" xfId="0" quotePrefix="1" applyFill="1" applyBorder="1"/>
    <xf numFmtId="0" fontId="0" fillId="0" borderId="1" xfId="0" applyBorder="1" applyAlignment="1">
      <alignment horizontal="center"/>
    </xf>
    <xf numFmtId="0" fontId="0" fillId="0" borderId="1" xfId="0" applyFill="1" applyBorder="1" applyAlignment="1">
      <alignment horizontal="center"/>
    </xf>
    <xf numFmtId="0" fontId="112" fillId="37" borderId="0" xfId="0" applyFont="1" applyFill="1"/>
    <xf numFmtId="2" fontId="0" fillId="22" borderId="0" xfId="0" applyNumberFormat="1" applyFill="1" applyAlignment="1">
      <alignment horizontal="center"/>
    </xf>
    <xf numFmtId="1" fontId="0" fillId="0" borderId="1" xfId="0" applyNumberFormat="1" applyFill="1" applyBorder="1" applyAlignment="1">
      <alignment horizontal="center"/>
    </xf>
    <xf numFmtId="0" fontId="136" fillId="38" borderId="0" xfId="0" applyFont="1" applyFill="1" applyProtection="1">
      <protection locked="0"/>
    </xf>
    <xf numFmtId="0" fontId="137" fillId="38" borderId="0" xfId="0" applyFont="1" applyFill="1" applyBorder="1" applyProtection="1"/>
    <xf numFmtId="0" fontId="138" fillId="38" borderId="42" xfId="0" applyFont="1" applyFill="1" applyBorder="1" applyAlignment="1" applyProtection="1">
      <alignment vertical="center" wrapText="1"/>
    </xf>
    <xf numFmtId="0" fontId="0" fillId="38" borderId="0" xfId="0" applyFill="1"/>
    <xf numFmtId="0" fontId="0" fillId="0" borderId="0" xfId="0" applyFill="1" applyBorder="1"/>
    <xf numFmtId="0" fontId="139" fillId="39" borderId="43" xfId="0" applyFont="1" applyFill="1" applyBorder="1" applyAlignment="1">
      <alignment vertical="center"/>
    </xf>
    <xf numFmtId="0" fontId="139" fillId="39" borderId="44" xfId="0" applyFont="1" applyFill="1" applyBorder="1" applyAlignment="1">
      <alignment vertical="center"/>
    </xf>
    <xf numFmtId="0" fontId="139" fillId="39" borderId="45" xfId="0" applyFont="1" applyFill="1" applyBorder="1" applyAlignment="1">
      <alignment vertical="center"/>
    </xf>
    <xf numFmtId="0" fontId="141" fillId="40" borderId="0" xfId="0" applyFont="1" applyFill="1" applyBorder="1" applyAlignment="1">
      <alignment vertical="center"/>
    </xf>
    <xf numFmtId="0" fontId="142" fillId="17" borderId="0" xfId="0" applyFont="1" applyFill="1" applyBorder="1" applyAlignment="1">
      <alignment vertical="center"/>
    </xf>
    <xf numFmtId="0" fontId="141" fillId="0" borderId="0" xfId="0" applyFont="1" applyFill="1" applyBorder="1" applyAlignment="1">
      <alignment vertical="center"/>
    </xf>
    <xf numFmtId="0" fontId="144" fillId="40" borderId="0" xfId="0" applyFont="1" applyFill="1" applyBorder="1" applyAlignment="1">
      <alignment vertical="center"/>
    </xf>
    <xf numFmtId="0" fontId="143" fillId="40" borderId="0" xfId="0" applyFont="1" applyFill="1" applyBorder="1" applyAlignment="1">
      <alignment vertical="center" wrapText="1"/>
    </xf>
    <xf numFmtId="4" fontId="145" fillId="40" borderId="0" xfId="0" applyNumberFormat="1" applyFont="1" applyFill="1" applyBorder="1" applyAlignment="1">
      <alignment vertical="center"/>
    </xf>
    <xf numFmtId="4" fontId="146" fillId="17" borderId="0" xfId="0" applyNumberFormat="1" applyFont="1" applyFill="1" applyBorder="1" applyAlignment="1">
      <alignment vertical="center"/>
    </xf>
    <xf numFmtId="0" fontId="144" fillId="41" borderId="0" xfId="0" applyFont="1" applyFill="1" applyBorder="1" applyAlignment="1">
      <alignment vertical="center"/>
    </xf>
    <xf numFmtId="0" fontId="143" fillId="41" borderId="0" xfId="0" applyFont="1" applyFill="1" applyBorder="1" applyAlignment="1">
      <alignment vertical="center"/>
    </xf>
    <xf numFmtId="0" fontId="147" fillId="41" borderId="0" xfId="0" applyFont="1" applyFill="1" applyBorder="1" applyAlignment="1">
      <alignment horizontal="center" vertical="center" wrapText="1"/>
    </xf>
    <xf numFmtId="0" fontId="143" fillId="41" borderId="0" xfId="0" applyFont="1" applyFill="1" applyBorder="1" applyAlignment="1">
      <alignment horizontal="right" vertical="center"/>
    </xf>
    <xf numFmtId="0" fontId="148" fillId="42" borderId="0" xfId="11" applyFont="1" applyFill="1" applyAlignment="1">
      <alignment horizontal="center" vertical="center" wrapText="1"/>
    </xf>
    <xf numFmtId="0" fontId="143" fillId="43" borderId="46" xfId="0" applyFont="1" applyFill="1" applyBorder="1" applyAlignment="1">
      <alignment horizontal="center" vertical="center"/>
    </xf>
    <xf numFmtId="0" fontId="143" fillId="43" borderId="42" xfId="0" applyFont="1" applyFill="1" applyBorder="1" applyAlignment="1"/>
    <xf numFmtId="0" fontId="147" fillId="43" borderId="47" xfId="0" applyFont="1" applyFill="1" applyBorder="1" applyAlignment="1">
      <alignment horizontal="center"/>
    </xf>
    <xf numFmtId="0" fontId="147" fillId="43" borderId="48" xfId="0" applyFont="1" applyFill="1" applyBorder="1" applyAlignment="1">
      <alignment horizontal="center"/>
    </xf>
    <xf numFmtId="0" fontId="141" fillId="0" borderId="0" xfId="0" applyFont="1" applyFill="1" applyBorder="1" applyAlignment="1">
      <alignment horizontal="center" vertical="center"/>
    </xf>
    <xf numFmtId="4" fontId="149" fillId="15" borderId="0" xfId="0" applyNumberFormat="1" applyFont="1" applyFill="1" applyBorder="1" applyAlignment="1">
      <alignment horizontal="right"/>
    </xf>
    <xf numFmtId="0" fontId="143" fillId="41" borderId="0" xfId="0" applyFont="1" applyFill="1" applyBorder="1" applyAlignment="1">
      <alignment horizontal="left" vertical="center"/>
    </xf>
    <xf numFmtId="4" fontId="150" fillId="41" borderId="0" xfId="0" applyNumberFormat="1" applyFont="1" applyFill="1" applyBorder="1" applyAlignment="1">
      <alignment horizontal="right"/>
    </xf>
    <xf numFmtId="4" fontId="146" fillId="44" borderId="0" xfId="0" applyNumberFormat="1" applyFont="1" applyFill="1" applyBorder="1" applyAlignment="1">
      <alignment horizontal="right"/>
    </xf>
    <xf numFmtId="0" fontId="150" fillId="17" borderId="0" xfId="0" applyFont="1" applyFill="1" applyBorder="1" applyAlignment="1">
      <alignment horizontal="left" vertical="center"/>
    </xf>
    <xf numFmtId="0" fontId="150" fillId="17" borderId="0" xfId="0" applyFont="1" applyFill="1" applyBorder="1" applyAlignment="1">
      <alignment horizontal="left" vertical="center" wrapText="1"/>
    </xf>
    <xf numFmtId="0" fontId="151" fillId="15" borderId="0" xfId="0" applyFont="1" applyFill="1" applyBorder="1" applyAlignment="1">
      <alignment vertical="center"/>
    </xf>
    <xf numFmtId="0" fontId="142" fillId="0" borderId="0" xfId="0" applyFont="1" applyFill="1" applyBorder="1" applyAlignment="1">
      <alignment vertical="center"/>
    </xf>
    <xf numFmtId="4" fontId="143" fillId="41" borderId="0" xfId="0" applyNumberFormat="1" applyFont="1" applyFill="1" applyBorder="1" applyAlignment="1">
      <alignment horizontal="left"/>
    </xf>
    <xf numFmtId="4" fontId="143" fillId="41" borderId="0" xfId="0" applyNumberFormat="1" applyFont="1" applyFill="1" applyBorder="1" applyAlignment="1">
      <alignment horizontal="right"/>
    </xf>
    <xf numFmtId="4" fontId="150" fillId="41" borderId="49" xfId="0" applyNumberFormat="1" applyFont="1" applyFill="1" applyBorder="1" applyAlignment="1">
      <alignment horizontal="right"/>
    </xf>
    <xf numFmtId="0" fontId="146" fillId="17" borderId="0" xfId="0" applyFont="1" applyFill="1"/>
    <xf numFmtId="4" fontId="152" fillId="17" borderId="0" xfId="0" applyNumberFormat="1" applyFont="1" applyFill="1"/>
    <xf numFmtId="0" fontId="143" fillId="41" borderId="50" xfId="0" applyFont="1" applyFill="1" applyBorder="1" applyAlignment="1">
      <alignment horizontal="left" vertical="center"/>
    </xf>
    <xf numFmtId="0" fontId="144" fillId="0" borderId="0" xfId="0" applyFont="1" applyFill="1" applyBorder="1" applyAlignment="1">
      <alignment vertical="center"/>
    </xf>
    <xf numFmtId="0" fontId="150" fillId="40" borderId="0" xfId="0" applyFont="1" applyFill="1" applyBorder="1" applyAlignment="1">
      <alignment horizontal="left" vertical="center"/>
    </xf>
    <xf numFmtId="0" fontId="150" fillId="40" borderId="0" xfId="0" applyFont="1" applyFill="1" applyBorder="1" applyAlignment="1">
      <alignment horizontal="left" vertical="center" wrapText="1"/>
    </xf>
    <xf numFmtId="4" fontId="149" fillId="44" borderId="0" xfId="0" applyNumberFormat="1" applyFont="1" applyFill="1" applyBorder="1" applyAlignment="1">
      <alignment horizontal="right"/>
    </xf>
    <xf numFmtId="4" fontId="5" fillId="15" borderId="0" xfId="0" applyNumberFormat="1" applyFont="1" applyFill="1" applyAlignment="1">
      <alignment horizontal="right" vertical="center"/>
    </xf>
    <xf numFmtId="0" fontId="152" fillId="40" borderId="0" xfId="0" applyFont="1" applyFill="1" applyBorder="1" applyAlignment="1">
      <alignment vertical="center"/>
    </xf>
    <xf numFmtId="4" fontId="146" fillId="40" borderId="0" xfId="0" applyNumberFormat="1" applyFont="1" applyFill="1" applyBorder="1" applyAlignment="1">
      <alignment horizontal="right"/>
    </xf>
    <xf numFmtId="4" fontId="149" fillId="40" borderId="0" xfId="0" applyNumberFormat="1" applyFont="1" applyFill="1" applyBorder="1" applyAlignment="1">
      <alignment horizontal="right"/>
    </xf>
    <xf numFmtId="0" fontId="151" fillId="0" borderId="0" xfId="0" applyFont="1" applyFill="1" applyBorder="1" applyAlignment="1">
      <alignment vertical="center"/>
    </xf>
    <xf numFmtId="0" fontId="152" fillId="15" borderId="0" xfId="0" applyFont="1" applyFill="1" applyBorder="1" applyAlignment="1">
      <alignment vertical="center"/>
    </xf>
    <xf numFmtId="4" fontId="146" fillId="15" borderId="0" xfId="0" applyNumberFormat="1" applyFont="1" applyFill="1" applyAlignment="1">
      <alignment horizontal="right" vertical="center"/>
    </xf>
    <xf numFmtId="4" fontId="152" fillId="40" borderId="0" xfId="0" applyNumberFormat="1" applyFont="1" applyFill="1" applyBorder="1" applyAlignment="1">
      <alignment horizontal="right"/>
    </xf>
    <xf numFmtId="0" fontId="143" fillId="40" borderId="0" xfId="0" applyFont="1" applyFill="1" applyBorder="1" applyAlignment="1">
      <alignment horizontal="left" vertical="center"/>
    </xf>
    <xf numFmtId="0" fontId="143" fillId="40" borderId="0" xfId="0" applyFont="1" applyFill="1" applyBorder="1" applyAlignment="1">
      <alignment horizontal="left" vertical="center" wrapText="1"/>
    </xf>
    <xf numFmtId="0" fontId="143" fillId="41" borderId="51" xfId="0" applyFont="1" applyFill="1" applyBorder="1" applyAlignment="1">
      <alignment horizontal="left" vertical="center"/>
    </xf>
    <xf numFmtId="4" fontId="150" fillId="41" borderId="52" xfId="0" applyNumberFormat="1" applyFont="1" applyFill="1" applyBorder="1" applyAlignment="1">
      <alignment horizontal="right"/>
    </xf>
    <xf numFmtId="0" fontId="144" fillId="40" borderId="0" xfId="11" applyFont="1" applyFill="1" applyBorder="1" applyAlignment="1">
      <alignment vertical="center"/>
    </xf>
    <xf numFmtId="4" fontId="146" fillId="40" borderId="0" xfId="11" applyNumberFormat="1" applyFont="1" applyFill="1" applyBorder="1" applyAlignment="1">
      <alignment horizontal="right"/>
    </xf>
    <xf numFmtId="0" fontId="141" fillId="0" borderId="0" xfId="11" applyFont="1" applyFill="1" applyBorder="1" applyAlignment="1">
      <alignment vertical="center"/>
    </xf>
    <xf numFmtId="0" fontId="134" fillId="35" borderId="0" xfId="16" applyBorder="1" applyAlignment="1">
      <alignment vertical="center"/>
    </xf>
    <xf numFmtId="0" fontId="134" fillId="35" borderId="0" xfId="16" applyBorder="1"/>
    <xf numFmtId="0" fontId="0" fillId="0" borderId="1" xfId="0" applyBorder="1" applyAlignment="1">
      <alignment horizontal="right"/>
    </xf>
    <xf numFmtId="0" fontId="70" fillId="0" borderId="0" xfId="0" applyFont="1"/>
    <xf numFmtId="3" fontId="82" fillId="11" borderId="0" xfId="0" applyNumberFormat="1" applyFont="1" applyFill="1"/>
    <xf numFmtId="3" fontId="91" fillId="11" borderId="0" xfId="0" applyNumberFormat="1" applyFont="1" applyFill="1" applyAlignment="1">
      <alignment horizontal="center" wrapText="1"/>
    </xf>
    <xf numFmtId="3" fontId="82" fillId="11" borderId="0" xfId="0" applyNumberFormat="1" applyFont="1" applyFill="1" applyAlignment="1">
      <alignment wrapText="1"/>
    </xf>
    <xf numFmtId="3" fontId="91" fillId="11" borderId="0" xfId="0" applyNumberFormat="1" applyFont="1" applyFill="1" applyBorder="1" applyAlignment="1">
      <alignment horizontal="center"/>
    </xf>
    <xf numFmtId="0" fontId="0" fillId="0" borderId="0" xfId="0" applyAlignment="1">
      <alignment horizontal="right"/>
    </xf>
    <xf numFmtId="3" fontId="153" fillId="0" borderId="0" xfId="0" applyNumberFormat="1" applyFont="1" applyAlignment="1">
      <alignment vertical="center" wrapText="1"/>
    </xf>
    <xf numFmtId="0" fontId="154" fillId="15" borderId="0" xfId="0" applyFont="1" applyFill="1"/>
    <xf numFmtId="0" fontId="0" fillId="0" borderId="0" xfId="0"/>
    <xf numFmtId="0" fontId="0" fillId="0" borderId="0" xfId="0" applyAlignment="1">
      <alignment wrapText="1"/>
    </xf>
    <xf numFmtId="0" fontId="1" fillId="22" borderId="0" xfId="0" applyFont="1" applyFill="1" applyAlignment="1">
      <alignment wrapText="1"/>
    </xf>
    <xf numFmtId="4" fontId="0" fillId="22" borderId="36" xfId="0" applyNumberFormat="1" applyFill="1" applyBorder="1" applyAlignment="1">
      <alignment horizontal="center" wrapText="1"/>
    </xf>
    <xf numFmtId="0" fontId="0" fillId="22" borderId="0" xfId="0" applyFill="1" applyAlignment="1">
      <alignment horizontal="center" wrapText="1"/>
    </xf>
    <xf numFmtId="4" fontId="0" fillId="22" borderId="37" xfId="0" applyNumberFormat="1" applyFill="1" applyBorder="1" applyAlignment="1">
      <alignment horizontal="center" wrapText="1"/>
    </xf>
    <xf numFmtId="4" fontId="0" fillId="22" borderId="38" xfId="0" applyNumberFormat="1" applyFill="1" applyBorder="1" applyAlignment="1">
      <alignment horizontal="center" wrapText="1"/>
    </xf>
    <xf numFmtId="0" fontId="155" fillId="0" borderId="36" xfId="0" applyFont="1" applyBorder="1" applyAlignment="1">
      <alignment wrapText="1"/>
    </xf>
    <xf numFmtId="3" fontId="0" fillId="0" borderId="53" xfId="0" applyNumberFormat="1" applyBorder="1" applyAlignment="1">
      <alignment horizontal="center"/>
    </xf>
    <xf numFmtId="0" fontId="0" fillId="0" borderId="53" xfId="0" applyBorder="1" applyAlignment="1">
      <alignment horizontal="right"/>
    </xf>
    <xf numFmtId="0" fontId="123" fillId="22" borderId="53" xfId="0" applyFont="1" applyFill="1" applyBorder="1" applyAlignment="1">
      <alignment horizontal="center" wrapText="1"/>
    </xf>
    <xf numFmtId="0" fontId="156" fillId="22" borderId="53" xfId="0" applyFont="1" applyFill="1" applyBorder="1" applyAlignment="1">
      <alignment horizontal="center" wrapText="1"/>
    </xf>
    <xf numFmtId="0" fontId="157" fillId="0" borderId="53" xfId="0" applyFont="1" applyBorder="1" applyAlignment="1">
      <alignment horizontal="right"/>
    </xf>
    <xf numFmtId="3" fontId="157" fillId="0" borderId="53" xfId="0" applyNumberFormat="1" applyFont="1" applyBorder="1" applyAlignment="1">
      <alignment horizontal="center"/>
    </xf>
    <xf numFmtId="0" fontId="0" fillId="0" borderId="0" xfId="0"/>
    <xf numFmtId="0" fontId="0" fillId="0" borderId="0" xfId="0"/>
    <xf numFmtId="0" fontId="158" fillId="0" borderId="1" xfId="0" applyFont="1" applyBorder="1"/>
    <xf numFmtId="0" fontId="6" fillId="22" borderId="1" xfId="0" applyFont="1" applyFill="1" applyBorder="1"/>
    <xf numFmtId="0" fontId="0" fillId="0" borderId="0" xfId="0"/>
    <xf numFmtId="0" fontId="0" fillId="0" borderId="0" xfId="0" applyAlignment="1">
      <alignment wrapText="1"/>
    </xf>
    <xf numFmtId="0" fontId="0" fillId="0" borderId="0" xfId="0" applyFont="1"/>
    <xf numFmtId="0" fontId="159" fillId="0" borderId="0" xfId="0" applyFont="1"/>
    <xf numFmtId="0" fontId="122" fillId="0" borderId="0" xfId="0" applyFont="1"/>
    <xf numFmtId="0" fontId="160" fillId="45" borderId="54" xfId="0" applyFont="1" applyFill="1" applyBorder="1"/>
    <xf numFmtId="4" fontId="160" fillId="45" borderId="54" xfId="0" applyNumberFormat="1" applyFont="1" applyFill="1" applyBorder="1"/>
    <xf numFmtId="4" fontId="122" fillId="0" borderId="0" xfId="0" applyNumberFormat="1" applyFont="1"/>
    <xf numFmtId="0" fontId="161" fillId="46" borderId="55" xfId="0" applyFont="1" applyFill="1" applyBorder="1" applyAlignment="1" applyProtection="1">
      <alignment horizontal="center" vertical="center"/>
    </xf>
    <xf numFmtId="0" fontId="162" fillId="0" borderId="56" xfId="0" applyFont="1" applyFill="1" applyBorder="1" applyAlignment="1" applyProtection="1">
      <alignment vertical="center" wrapText="1"/>
    </xf>
    <xf numFmtId="0" fontId="162" fillId="0" borderId="56" xfId="0" applyFont="1" applyFill="1" applyBorder="1" applyAlignment="1" applyProtection="1">
      <alignment horizontal="center" vertical="center" wrapText="1"/>
    </xf>
    <xf numFmtId="0" fontId="163" fillId="0" borderId="56" xfId="0" applyFont="1" applyFill="1" applyBorder="1" applyAlignment="1" applyProtection="1">
      <alignment horizontal="center" vertical="center" wrapText="1"/>
    </xf>
    <xf numFmtId="0" fontId="161" fillId="46" borderId="19" xfId="0" applyFont="1" applyFill="1" applyBorder="1" applyAlignment="1" applyProtection="1">
      <alignment horizontal="center" vertical="center"/>
    </xf>
    <xf numFmtId="0" fontId="160" fillId="45" borderId="54" xfId="0" applyFont="1" applyFill="1" applyBorder="1" applyAlignment="1">
      <alignment wrapText="1"/>
    </xf>
    <xf numFmtId="4" fontId="160" fillId="45" borderId="54" xfId="0" applyNumberFormat="1" applyFont="1" applyFill="1" applyBorder="1" applyAlignment="1">
      <alignment wrapText="1"/>
    </xf>
    <xf numFmtId="0" fontId="122" fillId="0" borderId="0" xfId="0" applyFont="1" applyAlignment="1">
      <alignment wrapText="1"/>
    </xf>
    <xf numFmtId="0" fontId="122" fillId="0" borderId="0" xfId="0" applyFont="1" applyAlignment="1">
      <alignment horizontal="left" wrapText="1"/>
    </xf>
    <xf numFmtId="0" fontId="129" fillId="45" borderId="54" xfId="0" applyFont="1" applyFill="1" applyBorder="1" applyAlignment="1">
      <alignment wrapText="1"/>
    </xf>
    <xf numFmtId="0" fontId="155" fillId="0" borderId="0" xfId="0" applyFont="1" applyAlignment="1">
      <alignment wrapText="1"/>
    </xf>
    <xf numFmtId="0" fontId="155" fillId="0" borderId="0" xfId="0" applyFont="1" applyAlignment="1">
      <alignment horizontal="left" wrapText="1"/>
    </xf>
    <xf numFmtId="3" fontId="155" fillId="0" borderId="0" xfId="0" applyNumberFormat="1" applyFont="1" applyAlignment="1">
      <alignment wrapText="1"/>
    </xf>
    <xf numFmtId="4" fontId="122" fillId="0" borderId="0" xfId="0" applyNumberFormat="1" applyFont="1" applyAlignment="1">
      <alignment wrapText="1"/>
    </xf>
    <xf numFmtId="3" fontId="160" fillId="45" borderId="54" xfId="0" applyNumberFormat="1" applyFont="1" applyFill="1" applyBorder="1" applyAlignment="1">
      <alignment wrapText="1"/>
    </xf>
    <xf numFmtId="3" fontId="122" fillId="0" borderId="0" xfId="0" applyNumberFormat="1" applyFont="1" applyAlignment="1">
      <alignment wrapText="1"/>
    </xf>
    <xf numFmtId="3" fontId="129" fillId="45" borderId="54" xfId="0" applyNumberFormat="1" applyFont="1" applyFill="1" applyBorder="1" applyAlignment="1">
      <alignment wrapText="1"/>
    </xf>
    <xf numFmtId="0" fontId="0" fillId="0" borderId="0" xfId="0"/>
    <xf numFmtId="0" fontId="156" fillId="45" borderId="54" xfId="0" applyFont="1" applyFill="1" applyBorder="1" applyAlignment="1">
      <alignment wrapText="1"/>
    </xf>
    <xf numFmtId="0" fontId="123" fillId="0" borderId="0" xfId="0" applyFont="1"/>
    <xf numFmtId="0" fontId="123" fillId="0" borderId="0" xfId="0" applyFont="1" applyAlignment="1">
      <alignment horizontal="left" wrapText="1"/>
    </xf>
    <xf numFmtId="0" fontId="123" fillId="0" borderId="0" xfId="0" applyFont="1" applyAlignment="1">
      <alignment wrapText="1"/>
    </xf>
    <xf numFmtId="0" fontId="0" fillId="15" borderId="36" xfId="0" applyFill="1" applyBorder="1" applyAlignment="1">
      <alignment wrapText="1"/>
    </xf>
    <xf numFmtId="168" fontId="0" fillId="4" borderId="37" xfId="0" applyNumberFormat="1" applyFill="1" applyBorder="1" applyAlignment="1">
      <alignment horizontal="center" wrapText="1"/>
    </xf>
    <xf numFmtId="174" fontId="0" fillId="4" borderId="37" xfId="0" applyNumberFormat="1" applyFill="1" applyBorder="1" applyAlignment="1">
      <alignment horizontal="center" wrapText="1"/>
    </xf>
    <xf numFmtId="174" fontId="0" fillId="11" borderId="37" xfId="0" applyNumberFormat="1" applyFill="1" applyBorder="1" applyAlignment="1">
      <alignment horizontal="center" wrapText="1"/>
    </xf>
    <xf numFmtId="166" fontId="6" fillId="15" borderId="1" xfId="0" applyNumberFormat="1" applyFont="1" applyFill="1" applyBorder="1" applyAlignment="1">
      <alignment vertical="center"/>
    </xf>
    <xf numFmtId="166" fontId="6" fillId="0" borderId="1" xfId="0" applyNumberFormat="1" applyFont="1" applyFill="1" applyBorder="1" applyAlignment="1">
      <alignment vertical="center"/>
    </xf>
    <xf numFmtId="0" fontId="0" fillId="0" borderId="0" xfId="0"/>
    <xf numFmtId="0" fontId="0" fillId="0" borderId="0" xfId="0" applyAlignment="1">
      <alignment wrapText="1"/>
    </xf>
    <xf numFmtId="0" fontId="111" fillId="24" borderId="0" xfId="0" applyFont="1" applyFill="1" applyAlignment="1">
      <alignment horizontal="center" vertical="center"/>
    </xf>
    <xf numFmtId="0" fontId="104" fillId="24" borderId="27" xfId="0" applyFont="1" applyFill="1" applyBorder="1" applyAlignment="1">
      <alignment horizontal="center"/>
    </xf>
    <xf numFmtId="0" fontId="104" fillId="24" borderId="0" xfId="0" applyFont="1" applyFill="1" applyBorder="1" applyAlignment="1">
      <alignment horizontal="center"/>
    </xf>
    <xf numFmtId="0" fontId="104" fillId="24" borderId="26" xfId="0" applyFont="1" applyFill="1" applyBorder="1" applyAlignment="1">
      <alignment horizontal="center"/>
    </xf>
    <xf numFmtId="0" fontId="104" fillId="24" borderId="23" xfId="0" applyFont="1" applyFill="1" applyBorder="1" applyAlignment="1">
      <alignment horizontal="center"/>
    </xf>
    <xf numFmtId="0" fontId="104" fillId="24" borderId="10" xfId="0" applyFont="1" applyFill="1" applyBorder="1" applyAlignment="1">
      <alignment horizontal="center"/>
    </xf>
    <xf numFmtId="0" fontId="104" fillId="24" borderId="8" xfId="0" applyFont="1" applyFill="1" applyBorder="1" applyAlignment="1">
      <alignment horizontal="center"/>
    </xf>
    <xf numFmtId="0" fontId="105" fillId="24" borderId="0" xfId="0" applyFont="1" applyFill="1" applyBorder="1" applyAlignment="1">
      <alignment horizontal="center" vertical="center"/>
    </xf>
    <xf numFmtId="0" fontId="105" fillId="24" borderId="0" xfId="0" applyFont="1" applyFill="1" applyAlignment="1">
      <alignment horizontal="center" vertical="center"/>
    </xf>
    <xf numFmtId="0" fontId="105" fillId="24" borderId="0" xfId="0" applyFont="1" applyFill="1" applyAlignment="1">
      <alignment horizontal="center"/>
    </xf>
    <xf numFmtId="0" fontId="6" fillId="0" borderId="1" xfId="0" applyFont="1" applyBorder="1" applyAlignment="1">
      <alignment horizontal="center" vertical="center" wrapText="1"/>
    </xf>
    <xf numFmtId="0" fontId="104" fillId="24" borderId="1" xfId="0" applyFont="1" applyFill="1" applyBorder="1" applyAlignment="1">
      <alignment horizontal="center" wrapText="1"/>
    </xf>
    <xf numFmtId="0" fontId="106" fillId="24" borderId="0" xfId="0" applyFont="1" applyFill="1" applyAlignment="1">
      <alignment horizontal="center" vertical="center"/>
    </xf>
    <xf numFmtId="0" fontId="7" fillId="15" borderId="1" xfId="0" applyFont="1" applyFill="1" applyBorder="1" applyAlignment="1">
      <alignment horizontal="center" wrapText="1"/>
    </xf>
    <xf numFmtId="0" fontId="108" fillId="24" borderId="0" xfId="1" applyFont="1" applyFill="1" applyBorder="1" applyAlignment="1">
      <alignment horizontal="center" vertical="center"/>
    </xf>
    <xf numFmtId="0" fontId="6" fillId="0" borderId="3" xfId="0" applyFont="1" applyBorder="1" applyAlignment="1">
      <alignment horizontal="center"/>
    </xf>
    <xf numFmtId="0" fontId="6" fillId="0" borderId="20" xfId="0" applyFont="1" applyBorder="1" applyAlignment="1">
      <alignment horizontal="center"/>
    </xf>
    <xf numFmtId="0" fontId="1" fillId="0" borderId="1" xfId="0" applyFont="1" applyFill="1" applyBorder="1" applyAlignment="1">
      <alignment horizontal="center" vertical="center" wrapText="1"/>
    </xf>
    <xf numFmtId="0" fontId="128" fillId="24" borderId="0" xfId="1" applyFont="1" applyFill="1" applyBorder="1" applyAlignment="1">
      <alignment horizontal="center" vertical="center"/>
    </xf>
    <xf numFmtId="0" fontId="107" fillId="24" borderId="0" xfId="1" applyFont="1" applyFill="1" applyBorder="1" applyAlignment="1">
      <alignment horizontal="center" vertical="center"/>
    </xf>
    <xf numFmtId="0" fontId="7" fillId="0" borderId="1" xfId="0" applyFont="1" applyBorder="1" applyAlignment="1">
      <alignment horizontal="center" vertical="center" wrapText="1"/>
    </xf>
    <xf numFmtId="0" fontId="31" fillId="18" borderId="17" xfId="0" applyFont="1" applyFill="1" applyBorder="1" applyAlignment="1">
      <alignment horizontal="center" vertical="center" wrapText="1"/>
    </xf>
    <xf numFmtId="0" fontId="31" fillId="18"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127" fillId="24" borderId="0" xfId="1" applyFont="1" applyFill="1" applyBorder="1" applyAlignment="1">
      <alignment horizontal="center" vertical="center"/>
    </xf>
    <xf numFmtId="0" fontId="6" fillId="0" borderId="2" xfId="0"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6" fillId="0" borderId="23" xfId="0" applyFont="1" applyBorder="1" applyAlignment="1">
      <alignment horizontal="center" wrapText="1"/>
    </xf>
    <xf numFmtId="0" fontId="6" fillId="0" borderId="27" xfId="0" applyFont="1" applyBorder="1" applyAlignment="1">
      <alignment horizontal="center" wrapText="1"/>
    </xf>
    <xf numFmtId="0" fontId="0" fillId="0" borderId="0" xfId="0" applyAlignment="1">
      <alignment horizontal="center"/>
    </xf>
    <xf numFmtId="0" fontId="1" fillId="0" borderId="0" xfId="0" applyFont="1" applyAlignment="1">
      <alignment horizontal="center"/>
    </xf>
    <xf numFmtId="0" fontId="101" fillId="0" borderId="4" xfId="0" applyFont="1" applyBorder="1" applyAlignment="1">
      <alignment horizontal="center"/>
    </xf>
    <xf numFmtId="0" fontId="101" fillId="0" borderId="1" xfId="0" applyFont="1" applyBorder="1" applyAlignment="1">
      <alignment horizontal="center"/>
    </xf>
    <xf numFmtId="0" fontId="6" fillId="0" borderId="1" xfId="0" applyFont="1" applyBorder="1" applyAlignment="1">
      <alignment horizontal="center"/>
    </xf>
    <xf numFmtId="0" fontId="112" fillId="32" borderId="0" xfId="0" applyFont="1" applyFill="1" applyAlignment="1">
      <alignment horizontal="center" wrapText="1"/>
    </xf>
    <xf numFmtId="0" fontId="112" fillId="33" borderId="0" xfId="0" applyFont="1" applyFill="1" applyAlignment="1">
      <alignment horizontal="center"/>
    </xf>
    <xf numFmtId="0" fontId="6" fillId="0" borderId="3"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3" fontId="1" fillId="0" borderId="0" xfId="0" applyNumberFormat="1" applyFont="1" applyAlignment="1">
      <alignment horizontal="center" wrapText="1"/>
    </xf>
    <xf numFmtId="0" fontId="0" fillId="15" borderId="0" xfId="0" applyFill="1" applyAlignment="1">
      <alignment horizontal="center"/>
    </xf>
    <xf numFmtId="0" fontId="72" fillId="0" borderId="10" xfId="0" applyFont="1" applyFill="1" applyBorder="1" applyAlignment="1">
      <alignment vertical="center" wrapText="1"/>
    </xf>
    <xf numFmtId="0" fontId="7" fillId="0" borderId="2" xfId="0" applyFont="1" applyFill="1" applyBorder="1" applyAlignment="1">
      <alignment horizontal="left" wrapText="1"/>
    </xf>
    <xf numFmtId="0" fontId="7" fillId="0" borderId="4" xfId="0" applyFont="1" applyFill="1" applyBorder="1" applyAlignment="1">
      <alignment horizontal="left" wrapText="1"/>
    </xf>
    <xf numFmtId="0" fontId="7" fillId="0" borderId="2" xfId="0" applyFont="1" applyBorder="1" applyAlignment="1">
      <alignment horizontal="left" wrapText="1"/>
    </xf>
    <xf numFmtId="0" fontId="7" fillId="0" borderId="4" xfId="0" applyFont="1" applyBorder="1" applyAlignment="1">
      <alignment horizontal="left" wrapText="1"/>
    </xf>
    <xf numFmtId="0" fontId="72" fillId="0" borderId="10" xfId="0" applyFont="1" applyFill="1" applyBorder="1" applyAlignment="1">
      <alignment horizontal="left" vertical="center" wrapText="1"/>
    </xf>
    <xf numFmtId="0" fontId="106" fillId="25" borderId="0" xfId="0" applyFont="1" applyFill="1" applyAlignment="1">
      <alignment horizontal="center" vertical="center"/>
    </xf>
    <xf numFmtId="0" fontId="7" fillId="0" borderId="1" xfId="0" applyFont="1" applyFill="1" applyBorder="1" applyAlignment="1">
      <alignment horizontal="left"/>
    </xf>
    <xf numFmtId="0" fontId="104" fillId="25" borderId="0" xfId="0" applyFont="1" applyFill="1" applyAlignment="1">
      <alignment horizontal="center"/>
    </xf>
    <xf numFmtId="0" fontId="12" fillId="0" borderId="0" xfId="0" applyFont="1" applyAlignment="1">
      <alignment horizontal="left" wrapText="1"/>
    </xf>
    <xf numFmtId="0" fontId="31" fillId="0" borderId="13" xfId="0" applyFont="1" applyFill="1" applyBorder="1" applyAlignment="1">
      <alignment horizontal="left" vertical="center" wrapText="1"/>
    </xf>
    <xf numFmtId="0" fontId="31" fillId="0" borderId="14" xfId="0" applyFont="1" applyFill="1" applyBorder="1" applyAlignment="1">
      <alignment horizontal="left" vertical="center" wrapText="1"/>
    </xf>
    <xf numFmtId="0" fontId="31" fillId="0" borderId="15" xfId="0" applyFont="1" applyFill="1" applyBorder="1" applyAlignment="1">
      <alignment horizontal="left" vertical="center" wrapText="1"/>
    </xf>
    <xf numFmtId="0" fontId="105" fillId="25" borderId="0" xfId="0" applyFont="1" applyFill="1" applyAlignment="1">
      <alignment horizontal="center" vertical="center"/>
    </xf>
    <xf numFmtId="1" fontId="115" fillId="27" borderId="7" xfId="0" applyNumberFormat="1" applyFont="1" applyFill="1" applyBorder="1" applyAlignment="1">
      <alignment vertical="center"/>
    </xf>
    <xf numFmtId="49" fontId="116" fillId="0" borderId="28" xfId="0" applyNumberFormat="1" applyFont="1" applyBorder="1" applyAlignment="1">
      <alignment horizontal="center" vertical="center"/>
    </xf>
    <xf numFmtId="49" fontId="116" fillId="0" borderId="9" xfId="0" applyNumberFormat="1" applyFont="1" applyBorder="1" applyAlignment="1">
      <alignment horizontal="center" vertical="center"/>
    </xf>
    <xf numFmtId="3" fontId="0" fillId="0" borderId="0" xfId="0" applyNumberFormat="1" applyAlignment="1">
      <alignment horizontal="center"/>
    </xf>
    <xf numFmtId="165" fontId="0" fillId="0" borderId="0" xfId="0" applyNumberFormat="1" applyAlignment="1">
      <alignment horizontal="center"/>
    </xf>
    <xf numFmtId="4" fontId="1" fillId="0" borderId="0" xfId="0" applyNumberFormat="1" applyFont="1" applyAlignment="1">
      <alignment horizontal="center"/>
    </xf>
    <xf numFmtId="0" fontId="33" fillId="22" borderId="0" xfId="0" applyFont="1" applyFill="1" applyAlignment="1">
      <alignment horizontal="center"/>
    </xf>
    <xf numFmtId="0" fontId="33" fillId="19" borderId="0" xfId="0" applyFont="1" applyFill="1" applyAlignment="1">
      <alignment horizontal="center"/>
    </xf>
    <xf numFmtId="0" fontId="1" fillId="19" borderId="0" xfId="0" applyFont="1" applyFill="1" applyAlignment="1">
      <alignment horizontal="center" wrapText="1"/>
    </xf>
    <xf numFmtId="0" fontId="1" fillId="4" borderId="0" xfId="0" applyFont="1" applyFill="1" applyAlignment="1">
      <alignment horizontal="center" wrapText="1"/>
    </xf>
    <xf numFmtId="0" fontId="1" fillId="11" borderId="0" xfId="0" applyFont="1" applyFill="1" applyAlignment="1">
      <alignment horizontal="center" wrapText="1"/>
    </xf>
    <xf numFmtId="0" fontId="1" fillId="0" borderId="0" xfId="0" applyFont="1" applyAlignment="1">
      <alignment horizontal="center" wrapText="1"/>
    </xf>
    <xf numFmtId="3" fontId="82" fillId="11" borderId="0" xfId="0" applyNumberFormat="1" applyFont="1" applyFill="1" applyAlignment="1">
      <alignment horizontal="center"/>
    </xf>
    <xf numFmtId="0" fontId="135" fillId="36" borderId="2" xfId="0" applyFont="1" applyFill="1" applyBorder="1" applyAlignment="1">
      <alignment horizontal="center"/>
    </xf>
    <xf numFmtId="0" fontId="135" fillId="36" borderId="5" xfId="0" applyFont="1" applyFill="1" applyBorder="1" applyAlignment="1">
      <alignment horizontal="center"/>
    </xf>
    <xf numFmtId="0" fontId="135" fillId="36" borderId="4" xfId="0" applyFont="1" applyFill="1" applyBorder="1" applyAlignment="1">
      <alignment horizontal="center"/>
    </xf>
    <xf numFmtId="0" fontId="135" fillId="36" borderId="2" xfId="0" applyFont="1" applyFill="1" applyBorder="1" applyAlignment="1">
      <alignment horizontal="center" vertical="center"/>
    </xf>
    <xf numFmtId="0" fontId="135" fillId="36" borderId="4" xfId="0" applyFont="1" applyFill="1" applyBorder="1" applyAlignment="1">
      <alignment horizontal="center" vertical="center"/>
    </xf>
    <xf numFmtId="0" fontId="135" fillId="36" borderId="3" xfId="0" applyFont="1" applyFill="1" applyBorder="1" applyAlignment="1">
      <alignment horizontal="center" vertical="center" wrapText="1"/>
    </xf>
    <xf numFmtId="0" fontId="135" fillId="36" borderId="20" xfId="0" applyFont="1" applyFill="1" applyBorder="1" applyAlignment="1">
      <alignment horizontal="center" vertical="center" wrapText="1"/>
    </xf>
    <xf numFmtId="0" fontId="113" fillId="0" borderId="0" xfId="0" applyFont="1" applyAlignment="1">
      <alignment horizontal="left"/>
    </xf>
    <xf numFmtId="0" fontId="0" fillId="0" borderId="0" xfId="0"/>
    <xf numFmtId="0" fontId="0" fillId="0" borderId="0" xfId="0" applyAlignment="1">
      <alignment wrapText="1"/>
    </xf>
    <xf numFmtId="0" fontId="143" fillId="41" borderId="49" xfId="0" applyFont="1" applyFill="1" applyBorder="1" applyAlignment="1">
      <alignment horizontal="left" vertical="center" wrapText="1"/>
    </xf>
    <xf numFmtId="0" fontId="143" fillId="41" borderId="0" xfId="0" applyFont="1" applyFill="1" applyBorder="1" applyAlignment="1">
      <alignment horizontal="left" vertical="center" wrapText="1"/>
    </xf>
    <xf numFmtId="0" fontId="143" fillId="41" borderId="52" xfId="0" applyFont="1" applyFill="1" applyBorder="1" applyAlignment="1">
      <alignment horizontal="left" vertical="center" wrapText="1"/>
    </xf>
  </cellXfs>
  <cellStyles count="18">
    <cellStyle name="Coma" xfId="10" builtinId="3"/>
    <cellStyle name="Enllaç" xfId="12" builtinId="8"/>
    <cellStyle name="Hipervínculo 2" xfId="13"/>
    <cellStyle name="Incorrecte" xfId="16" builtinId="27"/>
    <cellStyle name="Lien hypertexte 3" xfId="14"/>
    <cellStyle name="Millares 2" xfId="2"/>
    <cellStyle name="Millares 3" xfId="9"/>
    <cellStyle name="Normal" xfId="0" builtinId="0"/>
    <cellStyle name="Normal 2" xfId="3"/>
    <cellStyle name="Normal 2 2" xfId="11"/>
    <cellStyle name="Normal 3" xfId="1"/>
    <cellStyle name="Normal 4" xfId="17"/>
    <cellStyle name="Normal_83" xfId="6"/>
    <cellStyle name="Normal_Full1" xfId="7"/>
    <cellStyle name="Percentatge" xfId="5" builtinId="5"/>
    <cellStyle name="Porcentaje 2" xfId="4"/>
    <cellStyle name="Porcentaje 3" xfId="8"/>
    <cellStyle name="Pourcentage 2" xfId="15"/>
  </cellStyles>
  <dxfs count="24">
    <dxf>
      <numFmt numFmtId="3" formatCode="#,##0"/>
    </dxf>
    <dxf>
      <font>
        <color theme="0"/>
      </font>
    </dxf>
    <dxf>
      <font>
        <condense val="0"/>
        <extend val="0"/>
        <color auto="1"/>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top style="dotted">
          <color auto="1"/>
        </top>
        <bottom style="dotted">
          <color auto="1"/>
        </bottom>
        <vertical style="dotted">
          <color auto="1"/>
        </vertical>
        <horizontal style="dotted">
          <color auto="1"/>
        </horizontal>
      </border>
    </dxf>
    <dxf>
      <border>
        <top style="dotted">
          <color auto="1"/>
        </top>
        <bottom style="dotted">
          <color auto="1"/>
        </bottom>
        <vertical style="dotted">
          <color auto="1"/>
        </vertical>
        <horizontal style="dotted">
          <color auto="1"/>
        </horizontal>
      </border>
    </dxf>
    <dxf>
      <border>
        <top style="dotted">
          <color auto="1"/>
        </top>
        <bottom style="dotted">
          <color auto="1"/>
        </bottom>
        <vertical style="dotted">
          <color auto="1"/>
        </vertical>
        <horizontal style="dotted">
          <color auto="1"/>
        </horizontal>
      </border>
    </dxf>
    <dxf>
      <border>
        <top style="dotted">
          <color auto="1"/>
        </top>
        <bottom style="dotted">
          <color auto="1"/>
        </bottom>
        <vertical style="dotted">
          <color auto="1"/>
        </vertical>
        <horizontal style="dotted">
          <color auto="1"/>
        </horizontal>
      </border>
    </dxf>
    <dxf>
      <border>
        <top style="dotted">
          <color auto="1"/>
        </top>
        <bottom style="dotted">
          <color auto="1"/>
        </bottom>
        <vertical style="dotted">
          <color auto="1"/>
        </vertical>
        <horizontal style="dotted">
          <color auto="1"/>
        </horizontal>
      </border>
    </dxf>
    <dxf>
      <border>
        <top style="dotted">
          <color auto="1"/>
        </top>
        <bottom style="dotted">
          <color auto="1"/>
        </bottom>
        <vertical style="dotted">
          <color auto="1"/>
        </vertical>
        <horizontal style="dotted">
          <color auto="1"/>
        </horizontal>
      </border>
    </dxf>
    <dxf>
      <border>
        <top style="dotted">
          <color auto="1"/>
        </top>
        <bottom style="dotted">
          <color auto="1"/>
        </bottom>
        <vertical style="dotted">
          <color auto="1"/>
        </vertical>
        <horizontal style="dotted">
          <color auto="1"/>
        </horizontal>
      </border>
    </dxf>
  </dxfs>
  <tableStyles count="0" defaultTableStyle="TableStyleMedium9" defaultPivotStyle="PivotStyleLight16"/>
  <colors>
    <mruColors>
      <color rgb="FF94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pivotCacheDefinition" Target="pivotCache/pivotCacheDefinition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3.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2.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65000"/>
                    <a:lumOff val="35000"/>
                  </a:schemeClr>
                </a:solidFill>
                <a:latin typeface="+mn-lt"/>
                <a:ea typeface="+mn-ea"/>
                <a:cs typeface="+mn-cs"/>
              </a:defRPr>
            </a:pPr>
            <a:r>
              <a:rPr lang="en-US"/>
              <a:t>Cost acumulat a 15 anys sense canvi climàtic</a:t>
            </a:r>
          </a:p>
        </c:rich>
      </c:tx>
      <c:layout/>
      <c:overlay val="0"/>
      <c:spPr>
        <a:noFill/>
        <a:ln>
          <a:noFill/>
        </a:ln>
        <a:effectLst/>
      </c:spPr>
    </c:title>
    <c:autoTitleDeleted val="0"/>
    <c:plotArea>
      <c:layout/>
      <c:pieChart>
        <c:varyColors val="1"/>
        <c:ser>
          <c:idx val="0"/>
          <c:order val="0"/>
          <c:dPt>
            <c:idx val="0"/>
            <c:bubble3D val="0"/>
            <c:spPr>
              <a:solidFill>
                <a:schemeClr val="accent1"/>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1-5714-427B-A6B3-0362672E8F32}"/>
              </c:ext>
            </c:extLst>
          </c:dPt>
          <c:dPt>
            <c:idx val="1"/>
            <c:bubble3D val="0"/>
            <c:spPr>
              <a:solidFill>
                <a:schemeClr val="accent2"/>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3-5714-427B-A6B3-0362672E8F32}"/>
              </c:ext>
            </c:extLst>
          </c:dPt>
          <c:dPt>
            <c:idx val="2"/>
            <c:bubble3D val="0"/>
            <c:spPr>
              <a:solidFill>
                <a:schemeClr val="accent3"/>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5-5714-427B-A6B3-0362672E8F32}"/>
              </c:ext>
            </c:extLst>
          </c:dPt>
          <c:dPt>
            <c:idx val="3"/>
            <c:bubble3D val="0"/>
            <c:spPr>
              <a:solidFill>
                <a:schemeClr val="accent4"/>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7-5714-427B-A6B3-0362672E8F32}"/>
              </c:ext>
            </c:extLst>
          </c:dPt>
          <c:dPt>
            <c:idx val="4"/>
            <c:bubble3D val="0"/>
            <c:spPr>
              <a:solidFill>
                <a:schemeClr val="accent5"/>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9-5714-427B-A6B3-0362672E8F32}"/>
              </c:ext>
            </c:extLst>
          </c:dPt>
          <c:dPt>
            <c:idx val="5"/>
            <c:bubble3D val="0"/>
            <c:spPr>
              <a:solidFill>
                <a:schemeClr val="accent6"/>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B-5714-427B-A6B3-0362672E8F32}"/>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D-5714-427B-A6B3-0362672E8F32}"/>
              </c:ext>
            </c:extLst>
          </c:dPt>
          <c:dPt>
            <c:idx val="7"/>
            <c:bubble3D val="0"/>
            <c:spPr>
              <a:solidFill>
                <a:schemeClr val="accent2">
                  <a:lumMod val="60000"/>
                </a:schemeClr>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F-5714-427B-A6B3-0362672E8F32}"/>
              </c:ext>
            </c:extLst>
          </c:dPt>
          <c:dLbls>
            <c:spPr>
              <a:noFill/>
              <a:ln>
                <a:noFill/>
              </a:ln>
              <a:effectLst/>
            </c:spPr>
            <c:txPr>
              <a:bodyPr rot="0" spcFirstLastPara="1" vertOverflow="ellipsis" vert="horz" wrap="square" anchor="ctr" anchorCtr="1"/>
              <a:lstStyle/>
              <a:p>
                <a:pPr>
                  <a:defRPr sz="1000" b="1" i="0" u="none" strike="noStrike" kern="1200" baseline="0">
                    <a:solidFill>
                      <a:schemeClr val="lt1"/>
                    </a:solidFill>
                    <a:latin typeface="+mn-lt"/>
                    <a:ea typeface="+mn-ea"/>
                    <a:cs typeface="+mn-cs"/>
                  </a:defRPr>
                </a:pPr>
                <a:endParaRPr lang="ca-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'B. Resultats'!$C$7:$C$13</c:f>
              <c:strCache>
                <c:ptCount val="7"/>
                <c:pt idx="0">
                  <c:v>Salut</c:v>
                </c:pt>
                <c:pt idx="1">
                  <c:v>Incendis forestals</c:v>
                </c:pt>
                <c:pt idx="2">
                  <c:v>Aigua</c:v>
                </c:pt>
                <c:pt idx="3">
                  <c:v>Agricultura*</c:v>
                </c:pt>
                <c:pt idx="4">
                  <c:v>Ramaderia*</c:v>
                </c:pt>
                <c:pt idx="5">
                  <c:v>Inundacions</c:v>
                </c:pt>
                <c:pt idx="6">
                  <c:v>Erosió costa</c:v>
                </c:pt>
              </c:strCache>
            </c:strRef>
          </c:cat>
          <c:val>
            <c:numRef>
              <c:f>'B. Resultats'!$F$7:$F$13</c:f>
              <c:numCache>
                <c:formatCode>#,##0.00</c:formatCode>
                <c:ptCount val="7"/>
                <c:pt idx="0">
                  <c:v>0.27783748645904965</c:v>
                </c:pt>
                <c:pt idx="1">
                  <c:v>0.15266925252163877</c:v>
                </c:pt>
                <c:pt idx="2">
                  <c:v>1.0759899688581336</c:v>
                </c:pt>
                <c:pt idx="3">
                  <c:v>0.22639875000000001</c:v>
                </c:pt>
                <c:pt idx="4">
                  <c:v>0.264654</c:v>
                </c:pt>
                <c:pt idx="5" formatCode="#,##0.000">
                  <c:v>0</c:v>
                </c:pt>
                <c:pt idx="6">
                  <c:v>0</c:v>
                </c:pt>
              </c:numCache>
            </c:numRef>
          </c:val>
          <c:extLst xmlns:c16r2="http://schemas.microsoft.com/office/drawing/2015/06/chart">
            <c:ext xmlns:c16="http://schemas.microsoft.com/office/drawing/2014/chart" uri="{C3380CC4-5D6E-409C-BE32-E72D297353CC}">
              <c16:uniqueId val="{00000000-8D06-4607-9BDD-1F3B0DF71C52}"/>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layout/>
      <c:overlay val="0"/>
      <c:spPr>
        <a:solidFill>
          <a:schemeClr val="lt1">
            <a:alpha val="78000"/>
          </a:schemeClr>
        </a:solidFill>
        <a:ln>
          <a:noFill/>
        </a:ln>
        <a:effectLst/>
      </c:spPr>
      <c:txPr>
        <a:bodyPr rot="0" spcFirstLastPara="1" vertOverflow="ellipsis" vert="horz" wrap="square" anchor="ctr" anchorCtr="1"/>
        <a:lstStyle/>
        <a:p>
          <a:pPr rtl="0">
            <a:defRPr sz="1000" b="0" i="0" u="none" strike="noStrike" kern="1200" baseline="0">
              <a:solidFill>
                <a:schemeClr val="dk1">
                  <a:lumMod val="65000"/>
                  <a:lumOff val="35000"/>
                </a:schemeClr>
              </a:solidFill>
              <a:latin typeface="+mn-lt"/>
              <a:ea typeface="+mn-ea"/>
              <a:cs typeface="+mn-cs"/>
            </a:defRPr>
          </a:pPr>
          <a:endParaRPr lang="ca-E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sz="1000"/>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dk1">
                    <a:lumMod val="65000"/>
                    <a:lumOff val="35000"/>
                  </a:schemeClr>
                </a:solidFill>
                <a:latin typeface="+mn-lt"/>
                <a:ea typeface="+mn-ea"/>
                <a:cs typeface="+mn-cs"/>
              </a:defRPr>
            </a:pPr>
            <a:r>
              <a:rPr lang="en-US"/>
              <a:t>Cost acumulat a 15 anys amb canvi climàtic</a:t>
            </a:r>
          </a:p>
        </c:rich>
      </c:tx>
      <c:layout/>
      <c:overlay val="0"/>
      <c:spPr>
        <a:noFill/>
        <a:ln>
          <a:noFill/>
        </a:ln>
        <a:effectLst/>
      </c:spPr>
    </c:title>
    <c:autoTitleDeleted val="0"/>
    <c:plotArea>
      <c:layout/>
      <c:pieChart>
        <c:varyColors val="1"/>
        <c:ser>
          <c:idx val="0"/>
          <c:order val="0"/>
          <c:dPt>
            <c:idx val="0"/>
            <c:bubble3D val="0"/>
            <c:spPr>
              <a:solidFill>
                <a:schemeClr val="accent1"/>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1-F0FC-4948-8C03-E4ABBDDF20FE}"/>
              </c:ext>
            </c:extLst>
          </c:dPt>
          <c:dPt>
            <c:idx val="1"/>
            <c:bubble3D val="0"/>
            <c:spPr>
              <a:solidFill>
                <a:schemeClr val="accent2"/>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3-F0FC-4948-8C03-E4ABBDDF20FE}"/>
              </c:ext>
            </c:extLst>
          </c:dPt>
          <c:dPt>
            <c:idx val="2"/>
            <c:bubble3D val="0"/>
            <c:spPr>
              <a:solidFill>
                <a:schemeClr val="accent3"/>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5-F0FC-4948-8C03-E4ABBDDF20FE}"/>
              </c:ext>
            </c:extLst>
          </c:dPt>
          <c:dPt>
            <c:idx val="3"/>
            <c:bubble3D val="0"/>
            <c:spPr>
              <a:solidFill>
                <a:schemeClr val="accent4"/>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7-F0FC-4948-8C03-E4ABBDDF20FE}"/>
              </c:ext>
            </c:extLst>
          </c:dPt>
          <c:dPt>
            <c:idx val="4"/>
            <c:bubble3D val="0"/>
            <c:spPr>
              <a:solidFill>
                <a:schemeClr val="accent5"/>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9-F0FC-4948-8C03-E4ABBDDF20FE}"/>
              </c:ext>
            </c:extLst>
          </c:dPt>
          <c:dPt>
            <c:idx val="5"/>
            <c:bubble3D val="0"/>
            <c:spPr>
              <a:solidFill>
                <a:schemeClr val="accent6"/>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B-F0FC-4948-8C03-E4ABBDDF20FE}"/>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D-F0FC-4948-8C03-E4ABBDDF20FE}"/>
              </c:ext>
            </c:extLst>
          </c:dPt>
          <c:dPt>
            <c:idx val="7"/>
            <c:bubble3D val="0"/>
            <c:spPr>
              <a:solidFill>
                <a:schemeClr val="accent2">
                  <a:lumMod val="60000"/>
                </a:schemeClr>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F-F0FC-4948-8C03-E4ABBDDF20FE}"/>
              </c:ext>
            </c:extLst>
          </c:dPt>
          <c:dLbls>
            <c:spPr>
              <a:noFill/>
              <a:ln>
                <a:noFill/>
              </a:ln>
              <a:effectLst/>
            </c:spPr>
            <c:txPr>
              <a:bodyPr rot="0" spcFirstLastPara="1" vertOverflow="ellipsis" vert="horz" wrap="square" anchor="ctr" anchorCtr="1"/>
              <a:lstStyle/>
              <a:p>
                <a:pPr>
                  <a:defRPr sz="1000" b="1" i="0" u="none" strike="noStrike" kern="1200" baseline="0">
                    <a:solidFill>
                      <a:schemeClr val="lt1"/>
                    </a:solidFill>
                    <a:latin typeface="+mn-lt"/>
                    <a:ea typeface="+mn-ea"/>
                    <a:cs typeface="+mn-cs"/>
                  </a:defRPr>
                </a:pPr>
                <a:endParaRPr lang="ca-ES"/>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'B. Resultats'!$C$7:$C$13</c:f>
              <c:strCache>
                <c:ptCount val="7"/>
                <c:pt idx="0">
                  <c:v>Salut</c:v>
                </c:pt>
                <c:pt idx="1">
                  <c:v>Incendis forestals</c:v>
                </c:pt>
                <c:pt idx="2">
                  <c:v>Aigua</c:v>
                </c:pt>
                <c:pt idx="3">
                  <c:v>Agricultura*</c:v>
                </c:pt>
                <c:pt idx="4">
                  <c:v>Ramaderia*</c:v>
                </c:pt>
                <c:pt idx="5">
                  <c:v>Inundacions</c:v>
                </c:pt>
                <c:pt idx="6">
                  <c:v>Erosió costa</c:v>
                </c:pt>
              </c:strCache>
            </c:strRef>
          </c:cat>
          <c:val>
            <c:numRef>
              <c:f>'B. Resultats'!$G$7:$G$13</c:f>
              <c:numCache>
                <c:formatCode>#,##0.00</c:formatCode>
                <c:ptCount val="7"/>
                <c:pt idx="0">
                  <c:v>1.6164165420313101</c:v>
                </c:pt>
                <c:pt idx="1">
                  <c:v>0.41984044443450652</c:v>
                </c:pt>
                <c:pt idx="2">
                  <c:v>1.5562160254928217</c:v>
                </c:pt>
                <c:pt idx="3">
                  <c:v>1.2638422743309528</c:v>
                </c:pt>
                <c:pt idx="4">
                  <c:v>0.30355813799999998</c:v>
                </c:pt>
                <c:pt idx="5" formatCode="#,##0.000">
                  <c:v>0</c:v>
                </c:pt>
                <c:pt idx="6">
                  <c:v>0</c:v>
                </c:pt>
              </c:numCache>
            </c:numRef>
          </c:val>
          <c:extLst xmlns:c16r2="http://schemas.microsoft.com/office/drawing/2015/06/chart">
            <c:ext xmlns:c16="http://schemas.microsoft.com/office/drawing/2014/chart" uri="{C3380CC4-5D6E-409C-BE32-E72D297353CC}">
              <c16:uniqueId val="{00000010-F0FC-4948-8C03-E4ABBDDF20F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layout/>
      <c:overlay val="0"/>
      <c:spPr>
        <a:solidFill>
          <a:schemeClr val="lt1">
            <a:alpha val="78000"/>
          </a:schemeClr>
        </a:solidFill>
        <a:ln>
          <a:noFill/>
        </a:ln>
        <a:effectLst/>
      </c:spPr>
      <c:txPr>
        <a:bodyPr rot="0" spcFirstLastPara="1" vertOverflow="ellipsis" vert="horz" wrap="square" anchor="ctr" anchorCtr="1"/>
        <a:lstStyle/>
        <a:p>
          <a:pPr rtl="0">
            <a:defRPr sz="1000" b="0" i="0" u="none" strike="noStrike" kern="1200" baseline="0">
              <a:solidFill>
                <a:schemeClr val="dk1">
                  <a:lumMod val="65000"/>
                  <a:lumOff val="35000"/>
                </a:schemeClr>
              </a:solidFill>
              <a:latin typeface="+mn-lt"/>
              <a:ea typeface="+mn-ea"/>
              <a:cs typeface="+mn-cs"/>
            </a:defRPr>
          </a:pPr>
          <a:endParaRPr lang="ca-ES"/>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sz="1000"/>
      </a:pPr>
      <a:endParaRPr lang="ca-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r>
              <a:rPr lang="en-US" sz="1000"/>
              <a:t>Comparativa de costos acumulats d'actuar o no actuar contra</a:t>
            </a:r>
            <a:r>
              <a:rPr lang="en-US" sz="1000" baseline="0"/>
              <a:t> el canvi climàtic</a:t>
            </a:r>
            <a:endParaRPr lang="en-US" sz="1000"/>
          </a:p>
        </c:rich>
      </c:tx>
      <c:layout/>
      <c:overlay val="0"/>
      <c:spPr>
        <a:noFill/>
        <a:ln>
          <a:noFill/>
        </a:ln>
        <a:effectLst/>
      </c:spPr>
    </c:title>
    <c:autoTitleDeleted val="0"/>
    <c:plotArea>
      <c:layout/>
      <c:barChart>
        <c:barDir val="bar"/>
        <c:grouping val="clustered"/>
        <c:varyColors val="0"/>
        <c:ser>
          <c:idx val="0"/>
          <c:order val="0"/>
          <c:tx>
            <c:strRef>
              <c:f>'B. Resultats'!$F$6</c:f>
              <c:strCache>
                <c:ptCount val="1"/>
                <c:pt idx="0">
                  <c:v>Cost acumulat a 15 anys sense canvi climàtic (M€) </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f>'B. Resultats'!$C$7:$C$13</c:f>
              <c:strCache>
                <c:ptCount val="7"/>
                <c:pt idx="0">
                  <c:v>Salut</c:v>
                </c:pt>
                <c:pt idx="1">
                  <c:v>Incendis forestals</c:v>
                </c:pt>
                <c:pt idx="2">
                  <c:v>Aigua</c:v>
                </c:pt>
                <c:pt idx="3">
                  <c:v>Agricultura*</c:v>
                </c:pt>
                <c:pt idx="4">
                  <c:v>Ramaderia*</c:v>
                </c:pt>
                <c:pt idx="5">
                  <c:v>Inundacions</c:v>
                </c:pt>
                <c:pt idx="6">
                  <c:v>Erosió costa</c:v>
                </c:pt>
              </c:strCache>
            </c:strRef>
          </c:cat>
          <c:val>
            <c:numRef>
              <c:f>'B. Resultats'!$F$7:$F$13</c:f>
              <c:numCache>
                <c:formatCode>#,##0.00</c:formatCode>
                <c:ptCount val="7"/>
                <c:pt idx="0">
                  <c:v>0.27783748645904965</c:v>
                </c:pt>
                <c:pt idx="1">
                  <c:v>0.15266925252163877</c:v>
                </c:pt>
                <c:pt idx="2">
                  <c:v>1.0759899688581336</c:v>
                </c:pt>
                <c:pt idx="3">
                  <c:v>0.22639875000000001</c:v>
                </c:pt>
                <c:pt idx="4">
                  <c:v>0.264654</c:v>
                </c:pt>
                <c:pt idx="5" formatCode="#,##0.000">
                  <c:v>0</c:v>
                </c:pt>
                <c:pt idx="6">
                  <c:v>0</c:v>
                </c:pt>
              </c:numCache>
            </c:numRef>
          </c:val>
          <c:extLst xmlns:c16r2="http://schemas.microsoft.com/office/drawing/2015/06/chart">
            <c:ext xmlns:c16="http://schemas.microsoft.com/office/drawing/2014/chart" uri="{C3380CC4-5D6E-409C-BE32-E72D297353CC}">
              <c16:uniqueId val="{00000000-CF56-4BF9-881E-B0630C70ECFD}"/>
            </c:ext>
          </c:extLst>
        </c:ser>
        <c:ser>
          <c:idx val="1"/>
          <c:order val="1"/>
          <c:tx>
            <c:strRef>
              <c:f>'B. Resultats'!$G$6</c:f>
              <c:strCache>
                <c:ptCount val="1"/>
                <c:pt idx="0">
                  <c:v>Cost acumulat a 15 anys amb canvi climàtic (M€)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f>'B. Resultats'!$C$7:$C$13</c:f>
              <c:strCache>
                <c:ptCount val="7"/>
                <c:pt idx="0">
                  <c:v>Salut</c:v>
                </c:pt>
                <c:pt idx="1">
                  <c:v>Incendis forestals</c:v>
                </c:pt>
                <c:pt idx="2">
                  <c:v>Aigua</c:v>
                </c:pt>
                <c:pt idx="3">
                  <c:v>Agricultura*</c:v>
                </c:pt>
                <c:pt idx="4">
                  <c:v>Ramaderia*</c:v>
                </c:pt>
                <c:pt idx="5">
                  <c:v>Inundacions</c:v>
                </c:pt>
                <c:pt idx="6">
                  <c:v>Erosió costa</c:v>
                </c:pt>
              </c:strCache>
            </c:strRef>
          </c:cat>
          <c:val>
            <c:numRef>
              <c:f>'B. Resultats'!$G$7:$G$13</c:f>
              <c:numCache>
                <c:formatCode>#,##0.00</c:formatCode>
                <c:ptCount val="7"/>
                <c:pt idx="0">
                  <c:v>1.6164165420313101</c:v>
                </c:pt>
                <c:pt idx="1">
                  <c:v>0.41984044443450652</c:v>
                </c:pt>
                <c:pt idx="2">
                  <c:v>1.5562160254928217</c:v>
                </c:pt>
                <c:pt idx="3">
                  <c:v>1.2638422743309528</c:v>
                </c:pt>
                <c:pt idx="4">
                  <c:v>0.30355813799999998</c:v>
                </c:pt>
                <c:pt idx="5" formatCode="#,##0.000">
                  <c:v>0</c:v>
                </c:pt>
                <c:pt idx="6">
                  <c:v>0</c:v>
                </c:pt>
              </c:numCache>
            </c:numRef>
          </c:val>
          <c:extLst xmlns:c16r2="http://schemas.microsoft.com/office/drawing/2015/06/chart">
            <c:ext xmlns:c16="http://schemas.microsoft.com/office/drawing/2014/chart" uri="{C3380CC4-5D6E-409C-BE32-E72D297353CC}">
              <c16:uniqueId val="{00000001-CF56-4BF9-881E-B0630C70ECFD}"/>
            </c:ext>
          </c:extLst>
        </c:ser>
        <c:dLbls>
          <c:showLegendKey val="0"/>
          <c:showVal val="0"/>
          <c:showCatName val="0"/>
          <c:showSerName val="0"/>
          <c:showPercent val="0"/>
          <c:showBubbleSize val="0"/>
        </c:dLbls>
        <c:gapWidth val="100"/>
        <c:axId val="110562688"/>
        <c:axId val="110564480"/>
      </c:barChart>
      <c:catAx>
        <c:axId val="110562688"/>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ca-ES"/>
          </a:p>
        </c:txPr>
        <c:crossAx val="110564480"/>
        <c:crosses val="autoZero"/>
        <c:auto val="1"/>
        <c:lblAlgn val="ctr"/>
        <c:lblOffset val="100"/>
        <c:noMultiLvlLbl val="0"/>
      </c:catAx>
      <c:valAx>
        <c:axId val="110564480"/>
        <c:scaling>
          <c:orientation val="minMax"/>
        </c:scaling>
        <c:delete val="0"/>
        <c:axPos val="b"/>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ca-ES"/>
          </a:p>
        </c:txPr>
        <c:crossAx val="1105626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r>
              <a:rPr lang="en-US" sz="1000"/>
              <a:t>Comparativa de costos acumulats de no actuar contra</a:t>
            </a:r>
            <a:r>
              <a:rPr lang="en-US" sz="1000" baseline="0"/>
              <a:t> el canvi climàtic</a:t>
            </a:r>
            <a:endParaRPr lang="en-US" sz="1000"/>
          </a:p>
        </c:rich>
      </c:tx>
      <c:layout/>
      <c:overlay val="0"/>
      <c:spPr>
        <a:noFill/>
        <a:ln>
          <a:noFill/>
        </a:ln>
        <a:effectLst/>
      </c:spPr>
    </c:title>
    <c:autoTitleDeleted val="0"/>
    <c:plotArea>
      <c:layout/>
      <c:barChart>
        <c:barDir val="bar"/>
        <c:grouping val="clustered"/>
        <c:varyColors val="0"/>
        <c:ser>
          <c:idx val="0"/>
          <c:order val="0"/>
          <c:tx>
            <c:strRef>
              <c:f>'B. Resultats'!$H$6</c:f>
              <c:strCache>
                <c:ptCount val="1"/>
                <c:pt idx="0">
                  <c:v>Cost acumulat de no actuar a 15 anys (M€)</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f>'B. Resultats'!$C$7:$C$13</c:f>
              <c:strCache>
                <c:ptCount val="7"/>
                <c:pt idx="0">
                  <c:v>Salut</c:v>
                </c:pt>
                <c:pt idx="1">
                  <c:v>Incendis forestals</c:v>
                </c:pt>
                <c:pt idx="2">
                  <c:v>Aigua</c:v>
                </c:pt>
                <c:pt idx="3">
                  <c:v>Agricultura*</c:v>
                </c:pt>
                <c:pt idx="4">
                  <c:v>Ramaderia*</c:v>
                </c:pt>
                <c:pt idx="5">
                  <c:v>Inundacions</c:v>
                </c:pt>
                <c:pt idx="6">
                  <c:v>Erosió costa</c:v>
                </c:pt>
              </c:strCache>
            </c:strRef>
          </c:cat>
          <c:val>
            <c:numRef>
              <c:f>'B. Resultats'!$H$7:$H$13</c:f>
              <c:numCache>
                <c:formatCode>#,##0.00</c:formatCode>
                <c:ptCount val="7"/>
                <c:pt idx="0">
                  <c:v>1.3385790555722605</c:v>
                </c:pt>
                <c:pt idx="1">
                  <c:v>0.26717119191286776</c:v>
                </c:pt>
                <c:pt idx="2">
                  <c:v>0.48022605663468809</c:v>
                </c:pt>
                <c:pt idx="3">
                  <c:v>1.0374435243309528</c:v>
                </c:pt>
                <c:pt idx="4">
                  <c:v>3.8904137999999977E-2</c:v>
                </c:pt>
                <c:pt idx="5" formatCode="#,##0.000">
                  <c:v>0</c:v>
                </c:pt>
                <c:pt idx="6">
                  <c:v>0</c:v>
                </c:pt>
              </c:numCache>
            </c:numRef>
          </c:val>
          <c:extLst xmlns:c16r2="http://schemas.microsoft.com/office/drawing/2015/06/chart">
            <c:ext xmlns:c16="http://schemas.microsoft.com/office/drawing/2014/chart" uri="{C3380CC4-5D6E-409C-BE32-E72D297353CC}">
              <c16:uniqueId val="{00000000-CF56-4BF9-881E-B0630C70ECFD}"/>
            </c:ext>
          </c:extLst>
        </c:ser>
        <c:dLbls>
          <c:showLegendKey val="0"/>
          <c:showVal val="0"/>
          <c:showCatName val="0"/>
          <c:showSerName val="0"/>
          <c:showPercent val="0"/>
          <c:showBubbleSize val="0"/>
        </c:dLbls>
        <c:gapWidth val="100"/>
        <c:axId val="110582784"/>
        <c:axId val="110613248"/>
      </c:barChart>
      <c:catAx>
        <c:axId val="110582784"/>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ca-ES"/>
          </a:p>
        </c:txPr>
        <c:crossAx val="110613248"/>
        <c:crosses val="autoZero"/>
        <c:auto val="1"/>
        <c:lblAlgn val="ctr"/>
        <c:lblOffset val="100"/>
        <c:noMultiLvlLbl val="0"/>
      </c:catAx>
      <c:valAx>
        <c:axId val="110613248"/>
        <c:scaling>
          <c:orientation val="minMax"/>
        </c:scaling>
        <c:delete val="0"/>
        <c:axPos val="b"/>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ca-ES"/>
          </a:p>
        </c:txPr>
        <c:crossAx val="1105827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ca-E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Actual</c:v>
          </c:tx>
          <c:invertIfNegative val="0"/>
          <c:cat>
            <c:numRef>
              <c:f>'1. Cops de calor'!$C$61:$Q$61</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'1. Cops de calor'!$C$62:$Q$62</c:f>
              <c:numCache>
                <c:formatCode>General</c:formatCode>
                <c:ptCount val="15"/>
                <c:pt idx="0">
                  <c:v>4</c:v>
                </c:pt>
                <c:pt idx="1">
                  <c:v>1</c:v>
                </c:pt>
                <c:pt idx="2">
                  <c:v>2</c:v>
                </c:pt>
                <c:pt idx="3">
                  <c:v>1</c:v>
                </c:pt>
                <c:pt idx="4">
                  <c:v>4</c:v>
                </c:pt>
                <c:pt idx="5">
                  <c:v>1</c:v>
                </c:pt>
                <c:pt idx="6">
                  <c:v>2</c:v>
                </c:pt>
                <c:pt idx="7">
                  <c:v>1</c:v>
                </c:pt>
                <c:pt idx="8">
                  <c:v>4</c:v>
                </c:pt>
                <c:pt idx="9">
                  <c:v>1</c:v>
                </c:pt>
                <c:pt idx="10">
                  <c:v>2</c:v>
                </c:pt>
                <c:pt idx="11">
                  <c:v>1</c:v>
                </c:pt>
                <c:pt idx="12">
                  <c:v>4</c:v>
                </c:pt>
                <c:pt idx="13">
                  <c:v>1</c:v>
                </c:pt>
                <c:pt idx="14">
                  <c:v>2</c:v>
                </c:pt>
              </c:numCache>
            </c:numRef>
          </c:val>
          <c:extLst xmlns:c16r2="http://schemas.microsoft.com/office/drawing/2015/06/chart">
            <c:ext xmlns:c16="http://schemas.microsoft.com/office/drawing/2014/chart" uri="{C3380CC4-5D6E-409C-BE32-E72D297353CC}">
              <c16:uniqueId val="{00000000-06F1-4887-863C-54A1368764D2}"/>
            </c:ext>
          </c:extLst>
        </c:ser>
        <c:ser>
          <c:idx val="1"/>
          <c:order val="1"/>
          <c:tx>
            <c:v>Futur</c:v>
          </c:tx>
          <c:invertIfNegative val="0"/>
          <c:cat>
            <c:numRef>
              <c:f>'1. Cops de calor'!$C$61:$Q$61</c:f>
              <c:numCache>
                <c:formatCode>General</c:formatCod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numCache>
            </c:numRef>
          </c:cat>
          <c:val>
            <c:numRef>
              <c:f>'1. Cops de calor'!$C$109:$Q$109</c:f>
              <c:numCache>
                <c:formatCode>General</c:formatCode>
                <c:ptCount val="15"/>
                <c:pt idx="0">
                  <c:v>4</c:v>
                </c:pt>
                <c:pt idx="1">
                  <c:v>1</c:v>
                </c:pt>
                <c:pt idx="2">
                  <c:v>2</c:v>
                </c:pt>
                <c:pt idx="3">
                  <c:v>1</c:v>
                </c:pt>
                <c:pt idx="4">
                  <c:v>4.0367647058823533</c:v>
                </c:pt>
                <c:pt idx="5">
                  <c:v>1.0091911764705883</c:v>
                </c:pt>
                <c:pt idx="6">
                  <c:v>2.0183823529411766</c:v>
                </c:pt>
                <c:pt idx="7">
                  <c:v>1.0091911764705883</c:v>
                </c:pt>
                <c:pt idx="8">
                  <c:v>4.0735294117647056</c:v>
                </c:pt>
                <c:pt idx="9">
                  <c:v>1.0183823529411764</c:v>
                </c:pt>
                <c:pt idx="10">
                  <c:v>2.0367647058823528</c:v>
                </c:pt>
                <c:pt idx="11">
                  <c:v>1.0183823529411764</c:v>
                </c:pt>
                <c:pt idx="12">
                  <c:v>4.1102941176470589</c:v>
                </c:pt>
                <c:pt idx="13">
                  <c:v>1.0275735294117647</c:v>
                </c:pt>
                <c:pt idx="14">
                  <c:v>2.0551470588235294</c:v>
                </c:pt>
              </c:numCache>
            </c:numRef>
          </c:val>
          <c:extLst xmlns:c16r2="http://schemas.microsoft.com/office/drawing/2015/06/chart">
            <c:ext xmlns:c16="http://schemas.microsoft.com/office/drawing/2014/chart" uri="{C3380CC4-5D6E-409C-BE32-E72D297353CC}">
              <c16:uniqueId val="{00000001-06F1-4887-863C-54A1368764D2}"/>
            </c:ext>
          </c:extLst>
        </c:ser>
        <c:dLbls>
          <c:showLegendKey val="0"/>
          <c:showVal val="0"/>
          <c:showCatName val="0"/>
          <c:showSerName val="0"/>
          <c:showPercent val="0"/>
          <c:showBubbleSize val="0"/>
        </c:dLbls>
        <c:gapWidth val="150"/>
        <c:axId val="110855680"/>
        <c:axId val="110857216"/>
      </c:barChart>
      <c:catAx>
        <c:axId val="110855680"/>
        <c:scaling>
          <c:orientation val="minMax"/>
        </c:scaling>
        <c:delete val="0"/>
        <c:axPos val="b"/>
        <c:numFmt formatCode="General" sourceLinked="1"/>
        <c:majorTickMark val="out"/>
        <c:minorTickMark val="none"/>
        <c:tickLblPos val="nextTo"/>
        <c:crossAx val="110857216"/>
        <c:crosses val="autoZero"/>
        <c:auto val="1"/>
        <c:lblAlgn val="ctr"/>
        <c:lblOffset val="100"/>
        <c:noMultiLvlLbl val="0"/>
      </c:catAx>
      <c:valAx>
        <c:axId val="110857216"/>
        <c:scaling>
          <c:orientation val="minMax"/>
        </c:scaling>
        <c:delete val="0"/>
        <c:axPos val="l"/>
        <c:majorGridlines/>
        <c:numFmt formatCode="General" sourceLinked="1"/>
        <c:majorTickMark val="out"/>
        <c:minorTickMark val="none"/>
        <c:tickLblPos val="nextTo"/>
        <c:crossAx val="110855680"/>
        <c:crosses val="autoZero"/>
        <c:crossBetween val="between"/>
      </c:valAx>
    </c:plotArea>
    <c:legend>
      <c:legendPos val="r"/>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Regressió taxa retrocés amb nivell mar</a:t>
            </a:r>
          </a:p>
        </c:rich>
      </c:tx>
      <c:overlay val="0"/>
      <c:spPr>
        <a:noFill/>
        <a:ln>
          <a:noFill/>
        </a:ln>
        <a:effectLst/>
      </c:sp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trendlineLbl>
          </c:trendline>
          <c:xVal>
            <c:numRef>
              <c:f>'7. Erosió de costa'!$C$109:$E$109</c:f>
              <c:numCache>
                <c:formatCode>General</c:formatCode>
                <c:ptCount val="3"/>
                <c:pt idx="0">
                  <c:v>0.47</c:v>
                </c:pt>
                <c:pt idx="1">
                  <c:v>0.88</c:v>
                </c:pt>
                <c:pt idx="2">
                  <c:v>1.8</c:v>
                </c:pt>
              </c:numCache>
            </c:numRef>
          </c:xVal>
          <c:yVal>
            <c:numRef>
              <c:f>'7. Erosió de costa'!$C$110:$E$110</c:f>
              <c:numCache>
                <c:formatCode>General</c:formatCode>
                <c:ptCount val="3"/>
                <c:pt idx="0">
                  <c:v>0.185</c:v>
                </c:pt>
                <c:pt idx="1">
                  <c:v>0.35499999999999998</c:v>
                </c:pt>
                <c:pt idx="2">
                  <c:v>0.71500000000000008</c:v>
                </c:pt>
              </c:numCache>
            </c:numRef>
          </c:yVal>
          <c:smooth val="0"/>
          <c:extLst xmlns:c16r2="http://schemas.microsoft.com/office/drawing/2015/06/chart">
            <c:ext xmlns:c16="http://schemas.microsoft.com/office/drawing/2014/chart" uri="{C3380CC4-5D6E-409C-BE32-E72D297353CC}">
              <c16:uniqueId val="{00000000-F026-4286-A1CD-3CF6C102FD0C}"/>
            </c:ext>
          </c:extLst>
        </c:ser>
        <c:dLbls>
          <c:showLegendKey val="0"/>
          <c:showVal val="0"/>
          <c:showCatName val="0"/>
          <c:showSerName val="0"/>
          <c:showPercent val="0"/>
          <c:showBubbleSize val="0"/>
        </c:dLbls>
        <c:axId val="114666880"/>
        <c:axId val="115029120"/>
      </c:scatterChart>
      <c:valAx>
        <c:axId val="114666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15029120"/>
        <c:crosses val="autoZero"/>
        <c:crossBetween val="midCat"/>
      </c:valAx>
      <c:valAx>
        <c:axId val="115029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11466688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col"/>
        <c:grouping val="clustered"/>
        <c:varyColors val="0"/>
        <c:ser>
          <c:idx val="0"/>
          <c:order val="0"/>
          <c:invertIfNegative val="0"/>
          <c:dLbls>
            <c:txPr>
              <a:bodyPr/>
              <a:lstStyle/>
              <a:p>
                <a:pPr>
                  <a:defRPr b="1"/>
                </a:pPr>
                <a:endParaRPr lang="ca-ES"/>
              </a:p>
            </c:txPr>
            <c:dLblPos val="outEnd"/>
            <c:showLegendKey val="0"/>
            <c:showVal val="1"/>
            <c:showCatName val="0"/>
            <c:showSerName val="0"/>
            <c:showPercent val="0"/>
            <c:showBubbleSize val="0"/>
            <c:showLeaderLines val="0"/>
          </c:dLbls>
          <c:cat>
            <c:strRef>
              <c:f>ratis!$A$21:$A$25</c:f>
              <c:strCache>
                <c:ptCount val="5"/>
                <c:pt idx="0">
                  <c:v>a &lt; 1.000 hab.</c:v>
                </c:pt>
                <c:pt idx="1">
                  <c:v>b 1.000 a 5.000 hab.</c:v>
                </c:pt>
                <c:pt idx="2">
                  <c:v>c 5.000 a 20.000 hab.</c:v>
                </c:pt>
                <c:pt idx="3">
                  <c:v>d 20.000 a 50.000 hab.</c:v>
                </c:pt>
                <c:pt idx="4">
                  <c:v>e &gt;50.000 hab.</c:v>
                </c:pt>
              </c:strCache>
            </c:strRef>
          </c:cat>
          <c:val>
            <c:numRef>
              <c:f>ratis!$B$21:$B$25</c:f>
              <c:numCache>
                <c:formatCode>#,##0</c:formatCode>
                <c:ptCount val="5"/>
                <c:pt idx="0">
                  <c:v>71701.898059247542</c:v>
                </c:pt>
                <c:pt idx="1">
                  <c:v>13546.382682688116</c:v>
                </c:pt>
                <c:pt idx="2">
                  <c:v>7667.7483847827061</c:v>
                </c:pt>
                <c:pt idx="3">
                  <c:v>7531.6791277342309</c:v>
                </c:pt>
                <c:pt idx="4">
                  <c:v>7635.1492536966916</c:v>
                </c:pt>
              </c:numCache>
            </c:numRef>
          </c:val>
        </c:ser>
        <c:dLbls>
          <c:dLblPos val="outEnd"/>
          <c:showLegendKey val="0"/>
          <c:showVal val="1"/>
          <c:showCatName val="0"/>
          <c:showSerName val="0"/>
          <c:showPercent val="0"/>
          <c:showBubbleSize val="0"/>
        </c:dLbls>
        <c:gapWidth val="150"/>
        <c:axId val="115079040"/>
        <c:axId val="115528448"/>
      </c:barChart>
      <c:catAx>
        <c:axId val="115079040"/>
        <c:scaling>
          <c:orientation val="minMax"/>
        </c:scaling>
        <c:delete val="0"/>
        <c:axPos val="b"/>
        <c:numFmt formatCode="General" sourceLinked="1"/>
        <c:majorTickMark val="none"/>
        <c:minorTickMark val="none"/>
        <c:tickLblPos val="nextTo"/>
        <c:crossAx val="115528448"/>
        <c:crosses val="autoZero"/>
        <c:auto val="1"/>
        <c:lblAlgn val="ctr"/>
        <c:lblOffset val="100"/>
        <c:noMultiLvlLbl val="0"/>
      </c:catAx>
      <c:valAx>
        <c:axId val="115528448"/>
        <c:scaling>
          <c:orientation val="minMax"/>
        </c:scaling>
        <c:delete val="0"/>
        <c:axPos val="l"/>
        <c:majorGridlines>
          <c:spPr>
            <a:ln w="15875">
              <a:prstDash val="sysDot"/>
            </a:ln>
          </c:spPr>
        </c:majorGridlines>
        <c:title>
          <c:tx>
            <c:rich>
              <a:bodyPr rot="-5400000" vert="horz"/>
              <a:lstStyle/>
              <a:p>
                <a:pPr>
                  <a:defRPr/>
                </a:pPr>
                <a:r>
                  <a:rPr lang="en-US"/>
                  <a:t>€/</a:t>
                </a:r>
                <a:r>
                  <a:rPr lang="en-US" sz="1050"/>
                  <a:t>habitant</a:t>
                </a:r>
              </a:p>
            </c:rich>
          </c:tx>
          <c:layout/>
          <c:overlay val="0"/>
        </c:title>
        <c:numFmt formatCode="#,##0" sourceLinked="1"/>
        <c:majorTickMark val="none"/>
        <c:minorTickMark val="none"/>
        <c:tickLblPos val="nextTo"/>
        <c:crossAx val="115079040"/>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ca-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col"/>
        <c:grouping val="clustered"/>
        <c:varyColors val="0"/>
        <c:ser>
          <c:idx val="0"/>
          <c:order val="0"/>
          <c:spPr>
            <a:solidFill>
              <a:schemeClr val="accent3">
                <a:lumMod val="60000"/>
                <a:lumOff val="40000"/>
              </a:schemeClr>
            </a:solidFill>
          </c:spPr>
          <c:invertIfNegative val="0"/>
          <c:dLbls>
            <c:txPr>
              <a:bodyPr/>
              <a:lstStyle/>
              <a:p>
                <a:pPr>
                  <a:defRPr b="1"/>
                </a:pPr>
                <a:endParaRPr lang="ca-ES"/>
              </a:p>
            </c:txPr>
            <c:dLblPos val="outEnd"/>
            <c:showLegendKey val="0"/>
            <c:showVal val="1"/>
            <c:showCatName val="0"/>
            <c:showSerName val="0"/>
            <c:showPercent val="0"/>
            <c:showBubbleSize val="0"/>
            <c:showLeaderLines val="0"/>
          </c:dLbls>
          <c:cat>
            <c:strRef>
              <c:f>ratis!$A$21:$A$25</c:f>
              <c:strCache>
                <c:ptCount val="5"/>
                <c:pt idx="0">
                  <c:v>a &lt; 1.000 hab.</c:v>
                </c:pt>
                <c:pt idx="1">
                  <c:v>b 1.000 a 5.000 hab.</c:v>
                </c:pt>
                <c:pt idx="2">
                  <c:v>c 5.000 a 20.000 hab.</c:v>
                </c:pt>
                <c:pt idx="3">
                  <c:v>d 20.000 a 50.000 hab.</c:v>
                </c:pt>
                <c:pt idx="4">
                  <c:v>e &gt;50.000 hab.</c:v>
                </c:pt>
              </c:strCache>
            </c:strRef>
          </c:cat>
          <c:val>
            <c:numRef>
              <c:f>ratis!$C$21:$C$25</c:f>
              <c:numCache>
                <c:formatCode>#,##0</c:formatCode>
                <c:ptCount val="5"/>
                <c:pt idx="0">
                  <c:v>5182.817316110516</c:v>
                </c:pt>
                <c:pt idx="1">
                  <c:v>481.72906989775396</c:v>
                </c:pt>
                <c:pt idx="2">
                  <c:v>419.85960643142056</c:v>
                </c:pt>
                <c:pt idx="3">
                  <c:v>10.640863374010653</c:v>
                </c:pt>
                <c:pt idx="4">
                  <c:v>41.925725177514025</c:v>
                </c:pt>
              </c:numCache>
            </c:numRef>
          </c:val>
        </c:ser>
        <c:dLbls>
          <c:dLblPos val="outEnd"/>
          <c:showLegendKey val="0"/>
          <c:showVal val="1"/>
          <c:showCatName val="0"/>
          <c:showSerName val="0"/>
          <c:showPercent val="0"/>
          <c:showBubbleSize val="0"/>
        </c:dLbls>
        <c:gapWidth val="150"/>
        <c:axId val="195086208"/>
        <c:axId val="195087744"/>
      </c:barChart>
      <c:catAx>
        <c:axId val="195086208"/>
        <c:scaling>
          <c:orientation val="minMax"/>
        </c:scaling>
        <c:delete val="0"/>
        <c:axPos val="b"/>
        <c:numFmt formatCode="General" sourceLinked="1"/>
        <c:majorTickMark val="none"/>
        <c:minorTickMark val="none"/>
        <c:tickLblPos val="nextTo"/>
        <c:crossAx val="195087744"/>
        <c:crosses val="autoZero"/>
        <c:auto val="1"/>
        <c:lblAlgn val="ctr"/>
        <c:lblOffset val="100"/>
        <c:noMultiLvlLbl val="0"/>
      </c:catAx>
      <c:valAx>
        <c:axId val="195087744"/>
        <c:scaling>
          <c:orientation val="minMax"/>
        </c:scaling>
        <c:delete val="0"/>
        <c:axPos val="l"/>
        <c:majorGridlines>
          <c:spPr>
            <a:ln w="15875">
              <a:prstDash val="sysDot"/>
            </a:ln>
          </c:spPr>
        </c:majorGridlines>
        <c:title>
          <c:tx>
            <c:rich>
              <a:bodyPr rot="-5400000" vert="horz"/>
              <a:lstStyle/>
              <a:p>
                <a:pPr>
                  <a:defRPr/>
                </a:pPr>
                <a:r>
                  <a:rPr lang="en-US"/>
                  <a:t>€/</a:t>
                </a:r>
                <a:r>
                  <a:rPr lang="en-US" sz="1050"/>
                  <a:t>habitant</a:t>
                </a:r>
              </a:p>
            </c:rich>
          </c:tx>
          <c:layout/>
          <c:overlay val="0"/>
        </c:title>
        <c:numFmt formatCode="#,##0" sourceLinked="1"/>
        <c:majorTickMark val="none"/>
        <c:minorTickMark val="none"/>
        <c:tickLblPos val="nextTo"/>
        <c:crossAx val="195086208"/>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emf"/><Relationship Id="rId1" Type="http://schemas.openxmlformats.org/officeDocument/2006/relationships/image" Target="../media/image5.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xdr:col>
      <xdr:colOff>62538</xdr:colOff>
      <xdr:row>7</xdr:row>
      <xdr:rowOff>66674</xdr:rowOff>
    </xdr:from>
    <xdr:to>
      <xdr:col>2</xdr:col>
      <xdr:colOff>52387</xdr:colOff>
      <xdr:row>11</xdr:row>
      <xdr:rowOff>161925</xdr:rowOff>
    </xdr:to>
    <xdr:pic>
      <xdr:nvPicPr>
        <xdr:cNvPr id="8" name="Imatge 2">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938" y="1933574"/>
          <a:ext cx="2437774" cy="1000126"/>
        </a:xfrm>
        <a:prstGeom prst="rect">
          <a:avLst/>
        </a:prstGeom>
      </xdr:spPr>
    </xdr:pic>
    <xdr:clientData/>
  </xdr:twoCellAnchor>
  <xdr:twoCellAnchor editAs="oneCell">
    <xdr:from>
      <xdr:col>1</xdr:col>
      <xdr:colOff>511628</xdr:colOff>
      <xdr:row>12</xdr:row>
      <xdr:rowOff>82096</xdr:rowOff>
    </xdr:from>
    <xdr:to>
      <xdr:col>1</xdr:col>
      <xdr:colOff>1989591</xdr:colOff>
      <xdr:row>15</xdr:row>
      <xdr:rowOff>22905</xdr:rowOff>
    </xdr:to>
    <xdr:pic>
      <xdr:nvPicPr>
        <xdr:cNvPr id="4" name="7 Imagen" descr="LOGO ERF color.jpg">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4028" y="3130096"/>
          <a:ext cx="1477963" cy="769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38101</xdr:rowOff>
    </xdr:from>
    <xdr:to>
      <xdr:col>1</xdr:col>
      <xdr:colOff>2409825</xdr:colOff>
      <xdr:row>7</xdr:row>
      <xdr:rowOff>90496</xdr:rowOff>
    </xdr:to>
    <xdr:pic>
      <xdr:nvPicPr>
        <xdr:cNvPr id="2" name="Imatg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619126"/>
          <a:ext cx="2562225" cy="13382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19</xdr:col>
      <xdr:colOff>322884</xdr:colOff>
      <xdr:row>17</xdr:row>
      <xdr:rowOff>151428</xdr:rowOff>
    </xdr:to>
    <xdr:pic>
      <xdr:nvPicPr>
        <xdr:cNvPr id="2" name="Imatge 1"/>
        <xdr:cNvPicPr>
          <a:picLocks noChangeAspect="1"/>
        </xdr:cNvPicPr>
      </xdr:nvPicPr>
      <xdr:blipFill>
        <a:blip xmlns:r="http://schemas.openxmlformats.org/officeDocument/2006/relationships" r:embed="rId1"/>
        <a:stretch>
          <a:fillRect/>
        </a:stretch>
      </xdr:blipFill>
      <xdr:spPr>
        <a:xfrm>
          <a:off x="6267450" y="0"/>
          <a:ext cx="7723809" cy="77714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156935</xdr:colOff>
      <xdr:row>23</xdr:row>
      <xdr:rowOff>137885</xdr:rowOff>
    </xdr:from>
    <xdr:to>
      <xdr:col>5</xdr:col>
      <xdr:colOff>710294</xdr:colOff>
      <xdr:row>40</xdr:row>
      <xdr:rowOff>105228</xdr:rowOff>
    </xdr:to>
    <xdr:graphicFrame macro="">
      <xdr:nvGraphicFramePr>
        <xdr:cNvPr id="2" name="Gráfico 1">
          <a:extLst>
            <a:ext uri="{FF2B5EF4-FFF2-40B4-BE49-F238E27FC236}">
              <a16:creationId xmlns=""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979715</xdr:colOff>
      <xdr:row>23</xdr:row>
      <xdr:rowOff>136071</xdr:rowOff>
    </xdr:from>
    <xdr:to>
      <xdr:col>9</xdr:col>
      <xdr:colOff>2540000</xdr:colOff>
      <xdr:row>40</xdr:row>
      <xdr:rowOff>103414</xdr:rowOff>
    </xdr:to>
    <xdr:graphicFrame macro="">
      <xdr:nvGraphicFramePr>
        <xdr:cNvPr id="4" name="Gráfico 3">
          <a:extLst>
            <a:ext uri="{FF2B5EF4-FFF2-40B4-BE49-F238E27FC236}">
              <a16:creationId xmlns=""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605119</xdr:colOff>
      <xdr:row>5</xdr:row>
      <xdr:rowOff>36549</xdr:rowOff>
    </xdr:from>
    <xdr:to>
      <xdr:col>17</xdr:col>
      <xdr:colOff>655652</xdr:colOff>
      <xdr:row>13</xdr:row>
      <xdr:rowOff>33616</xdr:rowOff>
    </xdr:to>
    <xdr:graphicFrame macro="">
      <xdr:nvGraphicFramePr>
        <xdr:cNvPr id="5" name="Gráfico 4">
          <a:extLst>
            <a:ext uri="{FF2B5EF4-FFF2-40B4-BE49-F238E27FC236}">
              <a16:creationId xmlns=""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291353</xdr:colOff>
      <xdr:row>5</xdr:row>
      <xdr:rowOff>33618</xdr:rowOff>
    </xdr:from>
    <xdr:to>
      <xdr:col>24</xdr:col>
      <xdr:colOff>341886</xdr:colOff>
      <xdr:row>13</xdr:row>
      <xdr:rowOff>30685</xdr:rowOff>
    </xdr:to>
    <xdr:graphicFrame macro="">
      <xdr:nvGraphicFramePr>
        <xdr:cNvPr id="6" name="Gráfico 4">
          <a:extLst>
            <a:ext uri="{FF2B5EF4-FFF2-40B4-BE49-F238E27FC236}">
              <a16:creationId xmlns=""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9467</xdr:colOff>
      <xdr:row>76</xdr:row>
      <xdr:rowOff>139665</xdr:rowOff>
    </xdr:from>
    <xdr:to>
      <xdr:col>16</xdr:col>
      <xdr:colOff>309318</xdr:colOff>
      <xdr:row>100</xdr:row>
      <xdr:rowOff>30807</xdr:rowOff>
    </xdr:to>
    <xdr:graphicFrame macro="">
      <xdr:nvGraphicFramePr>
        <xdr:cNvPr id="3" name="Gràfic 5">
          <a:extLst>
            <a:ext uri="{FF2B5EF4-FFF2-40B4-BE49-F238E27FC236}">
              <a16:creationId xmlns=""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13</xdr:col>
      <xdr:colOff>1028190</xdr:colOff>
      <xdr:row>137</xdr:row>
      <xdr:rowOff>22449</xdr:rowOff>
    </xdr:from>
    <xdr:ext cx="4033157" cy="2914281"/>
    <xdr:pic>
      <xdr:nvPicPr>
        <xdr:cNvPr id="2" name="Imagen 1">
          <a:extLst>
            <a:ext uri="{FF2B5EF4-FFF2-40B4-BE49-F238E27FC236}">
              <a16:creationId xmlns="" xmlns:a16="http://schemas.microsoft.com/office/drawing/2014/main" id="{00000000-0008-0000-0A00-000002000000}"/>
            </a:ext>
          </a:extLst>
        </xdr:cNvPr>
        <xdr:cNvPicPr/>
      </xdr:nvPicPr>
      <xdr:blipFill>
        <a:blip xmlns:r="http://schemas.openxmlformats.org/officeDocument/2006/relationships" r:embed="rId1"/>
        <a:stretch>
          <a:fillRect/>
        </a:stretch>
      </xdr:blipFill>
      <xdr:spPr>
        <a:xfrm>
          <a:off x="14293917" y="17952540"/>
          <a:ext cx="4033157" cy="291428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11</xdr:col>
      <xdr:colOff>277586</xdr:colOff>
      <xdr:row>96</xdr:row>
      <xdr:rowOff>103415</xdr:rowOff>
    </xdr:from>
    <xdr:to>
      <xdr:col>16</xdr:col>
      <xdr:colOff>538843</xdr:colOff>
      <xdr:row>115</xdr:row>
      <xdr:rowOff>108857</xdr:rowOff>
    </xdr:to>
    <xdr:graphicFrame macro="">
      <xdr:nvGraphicFramePr>
        <xdr:cNvPr id="2" name="Gráfico 1">
          <a:extLst>
            <a:ext uri="{FF2B5EF4-FFF2-40B4-BE49-F238E27FC236}">
              <a16:creationId xmlns=""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582706</xdr:colOff>
      <xdr:row>100</xdr:row>
      <xdr:rowOff>26893</xdr:rowOff>
    </xdr:from>
    <xdr:to>
      <xdr:col>5</xdr:col>
      <xdr:colOff>1234447</xdr:colOff>
      <xdr:row>122</xdr:row>
      <xdr:rowOff>85577</xdr:rowOff>
    </xdr:to>
    <xdr:pic>
      <xdr:nvPicPr>
        <xdr:cNvPr id="2" name="Imagen 1">
          <a:extLst>
            <a:ext uri="{FF2B5EF4-FFF2-40B4-BE49-F238E27FC236}">
              <a16:creationId xmlns="" xmlns:a16="http://schemas.microsoft.com/office/drawing/2014/main" id="{00000000-0008-0000-1000-000002000000}"/>
            </a:ext>
          </a:extLst>
        </xdr:cNvPr>
        <xdr:cNvPicPr/>
      </xdr:nvPicPr>
      <xdr:blipFill>
        <a:blip xmlns:r="http://schemas.openxmlformats.org/officeDocument/2006/relationships" r:embed="rId1"/>
        <a:stretch>
          <a:fillRect/>
        </a:stretch>
      </xdr:blipFill>
      <xdr:spPr>
        <a:xfrm>
          <a:off x="6866965" y="5818093"/>
          <a:ext cx="3500276" cy="3805933"/>
        </a:xfrm>
        <a:prstGeom prst="rect">
          <a:avLst/>
        </a:prstGeom>
      </xdr:spPr>
    </xdr:pic>
    <xdr:clientData/>
  </xdr:twoCellAnchor>
  <xdr:twoCellAnchor editAs="oneCell">
    <xdr:from>
      <xdr:col>12</xdr:col>
      <xdr:colOff>322861</xdr:colOff>
      <xdr:row>137</xdr:row>
      <xdr:rowOff>92776</xdr:rowOff>
    </xdr:from>
    <xdr:to>
      <xdr:col>19</xdr:col>
      <xdr:colOff>46636</xdr:colOff>
      <xdr:row>162</xdr:row>
      <xdr:rowOff>36587</xdr:rowOff>
    </xdr:to>
    <xdr:pic>
      <xdr:nvPicPr>
        <xdr:cNvPr id="3" name="Imagen 2">
          <a:extLst>
            <a:ext uri="{FF2B5EF4-FFF2-40B4-BE49-F238E27FC236}">
              <a16:creationId xmlns=""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888741" y="11355136"/>
          <a:ext cx="5271135" cy="4047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253093</xdr:colOff>
      <xdr:row>168</xdr:row>
      <xdr:rowOff>0</xdr:rowOff>
    </xdr:from>
    <xdr:to>
      <xdr:col>18</xdr:col>
      <xdr:colOff>688522</xdr:colOff>
      <xdr:row>191</xdr:row>
      <xdr:rowOff>19598</xdr:rowOff>
    </xdr:to>
    <xdr:pic>
      <xdr:nvPicPr>
        <xdr:cNvPr id="4" name="Imagen 3">
          <a:extLst>
            <a:ext uri="{FF2B5EF4-FFF2-40B4-BE49-F238E27FC236}">
              <a16:creationId xmlns="" xmlns:a16="http://schemas.microsoft.com/office/drawing/2014/main" id="{00000000-0008-0000-1000-000004000000}"/>
            </a:ext>
          </a:extLst>
        </xdr:cNvPr>
        <xdr:cNvPicPr/>
      </xdr:nvPicPr>
      <xdr:blipFill>
        <a:blip xmlns:r="http://schemas.openxmlformats.org/officeDocument/2006/relationships" r:embed="rId3"/>
        <a:stretch>
          <a:fillRect/>
        </a:stretch>
      </xdr:blipFill>
      <xdr:spPr>
        <a:xfrm>
          <a:off x="17611453" y="15631886"/>
          <a:ext cx="4397829" cy="3882935"/>
        </a:xfrm>
        <a:prstGeom prst="rect">
          <a:avLst/>
        </a:prstGeom>
      </xdr:spPr>
    </xdr:pic>
    <xdr:clientData/>
  </xdr:twoCellAnchor>
  <xdr:twoCellAnchor editAs="oneCell">
    <xdr:from>
      <xdr:col>5</xdr:col>
      <xdr:colOff>633018</xdr:colOff>
      <xdr:row>17</xdr:row>
      <xdr:rowOff>89647</xdr:rowOff>
    </xdr:from>
    <xdr:to>
      <xdr:col>8</xdr:col>
      <xdr:colOff>928137</xdr:colOff>
      <xdr:row>30</xdr:row>
      <xdr:rowOff>106808</xdr:rowOff>
    </xdr:to>
    <xdr:pic>
      <xdr:nvPicPr>
        <xdr:cNvPr id="7" name="Imagen 6">
          <a:extLst>
            <a:ext uri="{FF2B5EF4-FFF2-40B4-BE49-F238E27FC236}">
              <a16:creationId xmlns="" xmlns:a16="http://schemas.microsoft.com/office/drawing/2014/main" id="{00000000-0008-0000-1000-000007000000}"/>
            </a:ext>
          </a:extLst>
        </xdr:cNvPr>
        <xdr:cNvPicPr>
          <a:picLocks noChangeAspect="1"/>
        </xdr:cNvPicPr>
      </xdr:nvPicPr>
      <xdr:blipFill rotWithShape="1">
        <a:blip xmlns:r="http://schemas.openxmlformats.org/officeDocument/2006/relationships" r:embed="rId4"/>
        <a:srcRect l="4688" t="17336" r="8974" b="28702"/>
        <a:stretch/>
      </xdr:blipFill>
      <xdr:spPr>
        <a:xfrm>
          <a:off x="8190265" y="1792941"/>
          <a:ext cx="4580248" cy="22314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640080</xdr:colOff>
      <xdr:row>30</xdr:row>
      <xdr:rowOff>97790</xdr:rowOff>
    </xdr:from>
    <xdr:to>
      <xdr:col>14</xdr:col>
      <xdr:colOff>462915</xdr:colOff>
      <xdr:row>53</xdr:row>
      <xdr:rowOff>128905</xdr:rowOff>
    </xdr:to>
    <xdr:pic>
      <xdr:nvPicPr>
        <xdr:cNvPr id="4" name="Imagen 3">
          <a:extLst>
            <a:ext uri="{FF2B5EF4-FFF2-40B4-BE49-F238E27FC236}">
              <a16:creationId xmlns="" xmlns:a16="http://schemas.microsoft.com/office/drawing/2014/main" id="{00000000-0008-0000-1100-000004000000}"/>
            </a:ext>
          </a:extLst>
        </xdr:cNvPr>
        <xdr:cNvPicPr/>
      </xdr:nvPicPr>
      <xdr:blipFill rotWithShape="1">
        <a:blip xmlns:r="http://schemas.openxmlformats.org/officeDocument/2006/relationships" r:embed="rId1"/>
        <a:srcRect t="6514" b="3819"/>
        <a:stretch/>
      </xdr:blipFill>
      <xdr:spPr bwMode="auto">
        <a:xfrm>
          <a:off x="5548630" y="5806440"/>
          <a:ext cx="6223635" cy="4450715"/>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1</xdr:col>
      <xdr:colOff>219075</xdr:colOff>
      <xdr:row>1</xdr:row>
      <xdr:rowOff>0</xdr:rowOff>
    </xdr:to>
    <xdr:pic>
      <xdr:nvPicPr>
        <xdr:cNvPr id="2" name="Picture 1" descr="senyal_b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04775"/>
          <a:ext cx="5143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85725</xdr:colOff>
      <xdr:row>0</xdr:row>
      <xdr:rowOff>0</xdr:rowOff>
    </xdr:from>
    <xdr:to>
      <xdr:col>14</xdr:col>
      <xdr:colOff>323850</xdr:colOff>
      <xdr:row>14</xdr:row>
      <xdr:rowOff>66675</xdr:rowOff>
    </xdr:to>
    <xdr:graphicFrame macro="">
      <xdr:nvGraphicFramePr>
        <xdr:cNvPr id="2" name="Gràfic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15</xdr:row>
      <xdr:rowOff>161925</xdr:rowOff>
    </xdr:from>
    <xdr:to>
      <xdr:col>14</xdr:col>
      <xdr:colOff>333375</xdr:colOff>
      <xdr:row>29</xdr:row>
      <xdr:rowOff>104775</xdr:rowOff>
    </xdr:to>
    <xdr:graphicFrame macro="">
      <xdr:nvGraphicFramePr>
        <xdr:cNvPr id="3" name="Gràfic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SER\Downloads\IEQ_REVISION_V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SMA/Tecnics/NOU%20PACTE%20DELS%20ALCALDES/METODOLOGIA/dades%20meteo/dades%20municip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Ivan\Desktop\Proj%20ERF\DIBA-Cost%20no%20actuar%20Canvi%20clim-837\Docs%20client\ASVICC_gen17-prova-v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Data\melcionfc\AppData\Local\Microsoft\Windows\INetCache\Content.Outlook\WETL8VEJ\MA_MR_template_(almost)FINAL-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PROJECTES\837%20Diputaci&#243;%20Bcn%20-%20Doc.%20inicial%20abast%20CCAA\info%20i%20dades\Aigua\C&#224;lcul%20impacte%20CC%20del%20increment%20de%20demanda%20d'aigua%20dom&#232;st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EQ Revision "/>
      <sheetName val="Hoja2"/>
      <sheetName val="BD_VENTILACIÓN"/>
      <sheetName val="SYSTEM VENT"/>
    </sheetNames>
    <sheetDataSet>
      <sheetData sheetId="0"/>
      <sheetData sheetId="1"/>
      <sheetData sheetId="2">
        <row r="5">
          <cell r="K5" t="str">
            <v>Suministro de aire frio por techo</v>
          </cell>
        </row>
        <row r="6">
          <cell r="K6" t="str">
            <v>Suministro de aire caliente por techo y retorno por el suelo</v>
          </cell>
        </row>
        <row r="7">
          <cell r="K7" t="str">
            <v>Suministro de aire caliente por techo 8ºC por encima del aire interior y retorno por el techo</v>
          </cell>
        </row>
        <row r="8">
          <cell r="K8" t="str">
            <v>El suministro de aire caliente por techo a 8 ° C del aire interior y retorno por techo siempre que la impulsion del aire sea a 0,8 m / s y  llegue a 1,4 m del nivel del suelo. Nota: Para aire de suministro de baja velocidad, Ez = 0,8.</v>
          </cell>
        </row>
        <row r="9">
          <cell r="K9" t="str">
            <v>Suministro de aire frio por el suelo y retorno por el techo,siempre que la impulsion del aire sea a 0,8 m / s y  llegue a 1,4 m del nivel del suelo. Nota: La mayoría de los sistemas de distribución de aire bajo el suelo cumplen con esta condición.</v>
          </cell>
        </row>
        <row r="10">
          <cell r="K10" t="str">
            <v>Suministro de aire frío y retorno por el techo, siempre que sea ventilación por desplazamiento a baja velocidad y se logre flujo unidireccional y estratificación térmica</v>
          </cell>
        </row>
        <row r="11">
          <cell r="K11" t="str">
            <v>Suministro y retorno de aire caliente por el suelo</v>
          </cell>
        </row>
        <row r="12">
          <cell r="K12" t="str">
            <v>Suministro de aire caliente por el suelo y retorno por el techo.</v>
          </cell>
        </row>
        <row r="13">
          <cell r="K13" t="str">
            <v>Extracción -Suministro de aire situado en el lado opuesto del espacio donde está situada la extracción o el retorno.</v>
          </cell>
        </row>
        <row r="14">
          <cell r="K14" t="str">
            <v>Extracción -Suministro de aire situado en el mismo lado del espacio donde está situada la extracción o el retorno.</v>
          </cell>
        </row>
        <row r="15">
          <cell r="K15">
            <v>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es climàtiques"/>
      <sheetName val="pronòstic"/>
      <sheetName val="gràfiques"/>
      <sheetName val="Pirineu"/>
      <sheetName val="Interior"/>
      <sheetName val="Litoral"/>
      <sheetName val="EMA VV"/>
      <sheetName val="EMA HR%"/>
      <sheetName val="EMA Tmin"/>
      <sheetName val="tropical"/>
      <sheetName val="nre Tmx &gt;mitjana"/>
      <sheetName val="EMA Tmax"/>
      <sheetName val="EMA mm"/>
      <sheetName val="nre mm &gt; mitjana"/>
      <sheetName val="nre Ta &gt; mitjana"/>
      <sheetName val="EMA"/>
      <sheetName val="comb mm i Ta"/>
      <sheetName val="nre anys segons cond clima"/>
      <sheetName val="mpis"/>
    </sheetNames>
    <sheetDataSet>
      <sheetData sheetId="0"/>
      <sheetData sheetId="1"/>
      <sheetData sheetId="2"/>
      <sheetData sheetId="3"/>
      <sheetData sheetId="4"/>
      <sheetData sheetId="5"/>
      <sheetData sheetId="6"/>
      <sheetData sheetId="7"/>
      <sheetData sheetId="8"/>
      <sheetData sheetId="9">
        <row r="1">
          <cell r="C1">
            <v>3</v>
          </cell>
          <cell r="D1">
            <v>4</v>
          </cell>
          <cell r="E1">
            <v>5</v>
          </cell>
          <cell r="F1">
            <v>6</v>
          </cell>
          <cell r="G1">
            <v>7</v>
          </cell>
          <cell r="H1">
            <v>8</v>
          </cell>
          <cell r="I1">
            <v>9</v>
          </cell>
          <cell r="J1">
            <v>10</v>
          </cell>
          <cell r="K1">
            <v>11</v>
          </cell>
          <cell r="L1">
            <v>12</v>
          </cell>
          <cell r="M1">
            <v>13</v>
          </cell>
          <cell r="N1">
            <v>14</v>
          </cell>
          <cell r="O1">
            <v>15</v>
          </cell>
          <cell r="P1">
            <v>16</v>
          </cell>
          <cell r="AD1">
            <v>30</v>
          </cell>
          <cell r="AE1">
            <v>31</v>
          </cell>
          <cell r="AF1">
            <v>32</v>
          </cell>
        </row>
        <row r="4">
          <cell r="A4" t="str">
            <v>Artés</v>
          </cell>
          <cell r="B4" t="str">
            <v>Bages</v>
          </cell>
          <cell r="E4">
            <v>2</v>
          </cell>
          <cell r="Q4">
            <v>2</v>
          </cell>
          <cell r="U4">
            <v>27</v>
          </cell>
          <cell r="V4">
            <v>10</v>
          </cell>
          <cell r="W4">
            <v>13</v>
          </cell>
          <cell r="X4">
            <v>30</v>
          </cell>
          <cell r="Y4">
            <v>11</v>
          </cell>
          <cell r="Z4">
            <v>11</v>
          </cell>
          <cell r="AA4">
            <v>26</v>
          </cell>
          <cell r="AB4">
            <v>12</v>
          </cell>
          <cell r="AC4">
            <v>3</v>
          </cell>
        </row>
        <row r="5">
          <cell r="A5" t="str">
            <v>Badalona - Museu</v>
          </cell>
          <cell r="B5" t="str">
            <v>Barcelonès</v>
          </cell>
          <cell r="E5">
            <v>66</v>
          </cell>
          <cell r="F5">
            <v>40</v>
          </cell>
          <cell r="G5">
            <v>61</v>
          </cell>
          <cell r="H5">
            <v>65</v>
          </cell>
          <cell r="I5">
            <v>56</v>
          </cell>
          <cell r="J5">
            <v>51</v>
          </cell>
          <cell r="K5">
            <v>64</v>
          </cell>
          <cell r="L5">
            <v>50</v>
          </cell>
          <cell r="M5">
            <v>51</v>
          </cell>
          <cell r="Q5">
            <v>504</v>
          </cell>
          <cell r="S5">
            <v>2</v>
          </cell>
          <cell r="T5">
            <v>4</v>
          </cell>
        </row>
        <row r="6">
          <cell r="A6" t="str">
            <v>Barcelona - Observatori Fabra</v>
          </cell>
          <cell r="B6" t="str">
            <v>Barcelonès</v>
          </cell>
          <cell r="C6">
            <v>12</v>
          </cell>
          <cell r="D6">
            <v>23</v>
          </cell>
          <cell r="E6">
            <v>31</v>
          </cell>
          <cell r="F6">
            <v>7</v>
          </cell>
          <cell r="G6">
            <v>12</v>
          </cell>
          <cell r="H6">
            <v>30</v>
          </cell>
          <cell r="I6">
            <v>27</v>
          </cell>
          <cell r="J6">
            <v>9</v>
          </cell>
          <cell r="K6">
            <v>20</v>
          </cell>
          <cell r="L6">
            <v>24</v>
          </cell>
          <cell r="M6">
            <v>4</v>
          </cell>
          <cell r="Q6">
            <v>199</v>
          </cell>
          <cell r="S6">
            <v>5</v>
          </cell>
          <cell r="T6">
            <v>7</v>
          </cell>
          <cell r="U6">
            <v>11</v>
          </cell>
          <cell r="X6">
            <v>6</v>
          </cell>
          <cell r="Y6">
            <v>2</v>
          </cell>
          <cell r="AA6">
            <v>1</v>
          </cell>
          <cell r="AB6">
            <v>1</v>
          </cell>
        </row>
        <row r="7">
          <cell r="A7" t="str">
            <v>Begues - PN del Garraf</v>
          </cell>
          <cell r="B7" t="str">
            <v>Baix Llobregat</v>
          </cell>
          <cell r="C7">
            <v>4</v>
          </cell>
          <cell r="D7">
            <v>6</v>
          </cell>
          <cell r="E7">
            <v>18</v>
          </cell>
          <cell r="F7">
            <v>3</v>
          </cell>
          <cell r="G7">
            <v>3</v>
          </cell>
          <cell r="H7">
            <v>8</v>
          </cell>
          <cell r="I7">
            <v>1</v>
          </cell>
          <cell r="J7">
            <v>3</v>
          </cell>
          <cell r="K7">
            <v>11</v>
          </cell>
          <cell r="L7">
            <v>2</v>
          </cell>
          <cell r="M7">
            <v>1</v>
          </cell>
          <cell r="Q7">
            <v>60</v>
          </cell>
        </row>
        <row r="8">
          <cell r="A8" t="str">
            <v>Cabrils</v>
          </cell>
          <cell r="B8" t="str">
            <v>Maresme</v>
          </cell>
          <cell r="C8">
            <v>23</v>
          </cell>
          <cell r="D8">
            <v>30</v>
          </cell>
          <cell r="E8">
            <v>35</v>
          </cell>
          <cell r="F8">
            <v>18</v>
          </cell>
          <cell r="G8">
            <v>24</v>
          </cell>
          <cell r="H8">
            <v>26</v>
          </cell>
          <cell r="I8">
            <v>38</v>
          </cell>
          <cell r="J8">
            <v>14</v>
          </cell>
          <cell r="K8">
            <v>28</v>
          </cell>
          <cell r="L8">
            <v>18</v>
          </cell>
          <cell r="M8">
            <v>10</v>
          </cell>
          <cell r="Q8">
            <v>264</v>
          </cell>
          <cell r="T8">
            <v>1</v>
          </cell>
          <cell r="X8">
            <v>1</v>
          </cell>
        </row>
        <row r="9">
          <cell r="A9" t="str">
            <v>Caldes de Montbui</v>
          </cell>
          <cell r="B9" t="str">
            <v>Vallès Oriental</v>
          </cell>
          <cell r="D9">
            <v>1</v>
          </cell>
          <cell r="E9">
            <v>2</v>
          </cell>
          <cell r="F9">
            <v>1</v>
          </cell>
          <cell r="H9">
            <v>2</v>
          </cell>
          <cell r="K9">
            <v>2</v>
          </cell>
          <cell r="Q9">
            <v>8</v>
          </cell>
          <cell r="T9">
            <v>3</v>
          </cell>
          <cell r="U9">
            <v>9</v>
          </cell>
          <cell r="V9">
            <v>4</v>
          </cell>
          <cell r="W9">
            <v>7</v>
          </cell>
          <cell r="X9">
            <v>7</v>
          </cell>
          <cell r="Y9">
            <v>4</v>
          </cell>
          <cell r="AA9">
            <v>7</v>
          </cell>
          <cell r="AB9">
            <v>1</v>
          </cell>
        </row>
        <row r="10">
          <cell r="A10" t="str">
            <v>Canaletes</v>
          </cell>
          <cell r="B10" t="str">
            <v>Alt Penedès</v>
          </cell>
          <cell r="D10">
            <v>2</v>
          </cell>
          <cell r="E10">
            <v>2</v>
          </cell>
          <cell r="F10">
            <v>1</v>
          </cell>
          <cell r="G10">
            <v>1</v>
          </cell>
          <cell r="H10">
            <v>1</v>
          </cell>
          <cell r="K10">
            <v>1</v>
          </cell>
          <cell r="Q10">
            <v>8</v>
          </cell>
          <cell r="S10">
            <v>1</v>
          </cell>
          <cell r="T10">
            <v>3</v>
          </cell>
          <cell r="U10">
            <v>7</v>
          </cell>
          <cell r="V10">
            <v>2</v>
          </cell>
          <cell r="W10">
            <v>1</v>
          </cell>
          <cell r="X10">
            <v>3</v>
          </cell>
          <cell r="Y10">
            <v>1</v>
          </cell>
          <cell r="AA10">
            <v>1</v>
          </cell>
          <cell r="AC10">
            <v>1</v>
          </cell>
        </row>
        <row r="11">
          <cell r="A11" t="str">
            <v>Castellbisbal</v>
          </cell>
          <cell r="B11" t="str">
            <v>Vallès Occidental</v>
          </cell>
          <cell r="G11">
            <v>6</v>
          </cell>
          <cell r="H11">
            <v>9</v>
          </cell>
          <cell r="I11">
            <v>10</v>
          </cell>
          <cell r="J11">
            <v>4</v>
          </cell>
          <cell r="K11">
            <v>14</v>
          </cell>
          <cell r="L11">
            <v>5</v>
          </cell>
          <cell r="M11">
            <v>2</v>
          </cell>
          <cell r="Q11">
            <v>50</v>
          </cell>
          <cell r="W11">
            <v>10</v>
          </cell>
          <cell r="X11">
            <v>14</v>
          </cell>
          <cell r="Y11">
            <v>12</v>
          </cell>
          <cell r="Z11">
            <v>4</v>
          </cell>
          <cell r="AA11">
            <v>9</v>
          </cell>
          <cell r="AB11">
            <v>8</v>
          </cell>
          <cell r="AC11">
            <v>1</v>
          </cell>
        </row>
        <row r="12">
          <cell r="A12" t="str">
            <v>Castellnou de Bages</v>
          </cell>
          <cell r="B12" t="str">
            <v>Bages</v>
          </cell>
          <cell r="K12">
            <v>3</v>
          </cell>
          <cell r="Q12">
            <v>3</v>
          </cell>
          <cell r="S12">
            <v>5</v>
          </cell>
          <cell r="T12">
            <v>8</v>
          </cell>
          <cell r="U12">
            <v>9</v>
          </cell>
          <cell r="V12">
            <v>2</v>
          </cell>
          <cell r="W12">
            <v>2</v>
          </cell>
          <cell r="X12">
            <v>12</v>
          </cell>
          <cell r="Y12">
            <v>6</v>
          </cell>
          <cell r="Z12">
            <v>5</v>
          </cell>
          <cell r="AA12">
            <v>18</v>
          </cell>
          <cell r="AB12">
            <v>1</v>
          </cell>
          <cell r="AC12">
            <v>2</v>
          </cell>
        </row>
        <row r="13">
          <cell r="A13" t="str">
            <v>Cerdanyola del Vallès</v>
          </cell>
          <cell r="B13" t="str">
            <v>Vallès Occidental</v>
          </cell>
          <cell r="C13">
            <v>4</v>
          </cell>
          <cell r="D13">
            <v>8</v>
          </cell>
          <cell r="E13">
            <v>9</v>
          </cell>
          <cell r="G13">
            <v>1</v>
          </cell>
          <cell r="H13">
            <v>4</v>
          </cell>
          <cell r="I13">
            <v>5</v>
          </cell>
          <cell r="J13">
            <v>1</v>
          </cell>
          <cell r="K13">
            <v>4</v>
          </cell>
          <cell r="L13">
            <v>3</v>
          </cell>
          <cell r="Q13">
            <v>39</v>
          </cell>
          <cell r="S13">
            <v>2</v>
          </cell>
          <cell r="T13">
            <v>5</v>
          </cell>
          <cell r="U13">
            <v>9</v>
          </cell>
          <cell r="V13">
            <v>1</v>
          </cell>
          <cell r="W13">
            <v>3</v>
          </cell>
          <cell r="X13">
            <v>6</v>
          </cell>
          <cell r="Y13">
            <v>4</v>
          </cell>
          <cell r="AA13">
            <v>7</v>
          </cell>
        </row>
        <row r="14">
          <cell r="A14" t="str">
            <v>Dosrius - PN Montnegre Corredor</v>
          </cell>
          <cell r="B14" t="str">
            <v>Maresme</v>
          </cell>
          <cell r="C14">
            <v>6</v>
          </cell>
          <cell r="D14">
            <v>3</v>
          </cell>
          <cell r="F14">
            <v>2</v>
          </cell>
          <cell r="G14">
            <v>3</v>
          </cell>
          <cell r="H14">
            <v>5</v>
          </cell>
          <cell r="I14">
            <v>3</v>
          </cell>
          <cell r="J14">
            <v>4</v>
          </cell>
          <cell r="K14">
            <v>11</v>
          </cell>
          <cell r="L14">
            <v>1</v>
          </cell>
          <cell r="Q14">
            <v>38</v>
          </cell>
          <cell r="S14">
            <v>1</v>
          </cell>
          <cell r="Y14">
            <v>1</v>
          </cell>
        </row>
        <row r="15">
          <cell r="A15" t="str">
            <v>el Pont de Vilomara</v>
          </cell>
          <cell r="B15" t="str">
            <v>Bages</v>
          </cell>
          <cell r="D15">
            <v>2</v>
          </cell>
          <cell r="E15">
            <v>2</v>
          </cell>
          <cell r="K15">
            <v>1</v>
          </cell>
          <cell r="Q15">
            <v>5</v>
          </cell>
          <cell r="S15">
            <v>7</v>
          </cell>
          <cell r="T15">
            <v>19</v>
          </cell>
          <cell r="U15">
            <v>23</v>
          </cell>
          <cell r="V15">
            <v>3</v>
          </cell>
          <cell r="W15">
            <v>10</v>
          </cell>
          <cell r="X15">
            <v>20</v>
          </cell>
          <cell r="Y15">
            <v>9</v>
          </cell>
          <cell r="Z15">
            <v>5</v>
          </cell>
          <cell r="AA15">
            <v>25</v>
          </cell>
          <cell r="AB15">
            <v>12</v>
          </cell>
          <cell r="AC15">
            <v>5</v>
          </cell>
        </row>
        <row r="16">
          <cell r="A16" t="str">
            <v>el Prat del Llobregat</v>
          </cell>
          <cell r="B16" t="str">
            <v>Baix Llobregat</v>
          </cell>
          <cell r="J16">
            <v>7</v>
          </cell>
          <cell r="K16">
            <v>12</v>
          </cell>
          <cell r="L16">
            <v>4</v>
          </cell>
          <cell r="M16">
            <v>7</v>
          </cell>
          <cell r="Q16">
            <v>30</v>
          </cell>
          <cell r="AA16">
            <v>1</v>
          </cell>
        </row>
        <row r="17">
          <cell r="A17" t="str">
            <v>els Hostalets de Pierola</v>
          </cell>
          <cell r="B17" t="str">
            <v>Anoia</v>
          </cell>
          <cell r="C17">
            <v>3</v>
          </cell>
          <cell r="D17">
            <v>3</v>
          </cell>
          <cell r="E17">
            <v>13</v>
          </cell>
          <cell r="F17">
            <v>2</v>
          </cell>
          <cell r="G17">
            <v>3</v>
          </cell>
          <cell r="H17">
            <v>6</v>
          </cell>
          <cell r="I17">
            <v>2</v>
          </cell>
          <cell r="J17">
            <v>2</v>
          </cell>
          <cell r="K17">
            <v>10</v>
          </cell>
          <cell r="M17">
            <v>1</v>
          </cell>
          <cell r="Q17">
            <v>45</v>
          </cell>
          <cell r="S17">
            <v>3</v>
          </cell>
          <cell r="T17">
            <v>3</v>
          </cell>
          <cell r="U17">
            <v>14</v>
          </cell>
          <cell r="V17">
            <v>2</v>
          </cell>
          <cell r="X17">
            <v>4</v>
          </cell>
          <cell r="Y17">
            <v>1</v>
          </cell>
          <cell r="Z17">
            <v>2</v>
          </cell>
          <cell r="AA17">
            <v>3</v>
          </cell>
          <cell r="AB17">
            <v>2</v>
          </cell>
          <cell r="AC17">
            <v>1</v>
          </cell>
        </row>
        <row r="18">
          <cell r="A18" t="str">
            <v>Font-Rubí</v>
          </cell>
          <cell r="B18" t="str">
            <v>Alt Penedès</v>
          </cell>
          <cell r="C18">
            <v>2</v>
          </cell>
          <cell r="D18">
            <v>8</v>
          </cell>
          <cell r="E18">
            <v>16</v>
          </cell>
          <cell r="F18">
            <v>3</v>
          </cell>
          <cell r="G18">
            <v>1</v>
          </cell>
          <cell r="H18">
            <v>8</v>
          </cell>
          <cell r="J18">
            <v>4</v>
          </cell>
          <cell r="K18">
            <v>7</v>
          </cell>
          <cell r="Q18">
            <v>49</v>
          </cell>
          <cell r="S18">
            <v>1</v>
          </cell>
          <cell r="T18">
            <v>2</v>
          </cell>
          <cell r="U18">
            <v>1</v>
          </cell>
          <cell r="V18">
            <v>2</v>
          </cell>
          <cell r="Y18">
            <v>1</v>
          </cell>
          <cell r="AC18">
            <v>1</v>
          </cell>
        </row>
        <row r="19">
          <cell r="A19" t="str">
            <v>Gisclareny</v>
          </cell>
          <cell r="B19" t="str">
            <v>Berguedà</v>
          </cell>
          <cell r="Q19">
            <v>0</v>
          </cell>
        </row>
        <row r="20">
          <cell r="A20" t="str">
            <v>Guardiola de Berguedà</v>
          </cell>
          <cell r="B20" t="str">
            <v>Berguedà</v>
          </cell>
          <cell r="Q20">
            <v>0</v>
          </cell>
          <cell r="S20">
            <v>3</v>
          </cell>
          <cell r="U20">
            <v>1</v>
          </cell>
          <cell r="V20">
            <v>2</v>
          </cell>
          <cell r="AA20">
            <v>5</v>
          </cell>
        </row>
        <row r="21">
          <cell r="A21" t="str">
            <v>Gurb</v>
          </cell>
          <cell r="B21" t="str">
            <v>Osona</v>
          </cell>
          <cell r="Q21">
            <v>0</v>
          </cell>
          <cell r="S21">
            <v>1</v>
          </cell>
          <cell r="T21">
            <v>9</v>
          </cell>
          <cell r="U21">
            <v>16</v>
          </cell>
          <cell r="V21">
            <v>7</v>
          </cell>
          <cell r="W21">
            <v>4</v>
          </cell>
          <cell r="X21">
            <v>11</v>
          </cell>
          <cell r="Y21">
            <v>8</v>
          </cell>
          <cell r="Z21">
            <v>5</v>
          </cell>
          <cell r="AA21">
            <v>21</v>
          </cell>
          <cell r="AC21">
            <v>1</v>
          </cell>
        </row>
        <row r="22">
          <cell r="A22" t="str">
            <v>La Granada</v>
          </cell>
          <cell r="B22" t="str">
            <v>Alt Penedès</v>
          </cell>
          <cell r="D22">
            <v>3</v>
          </cell>
          <cell r="E22">
            <v>2</v>
          </cell>
          <cell r="G22">
            <v>1</v>
          </cell>
          <cell r="H22">
            <v>1</v>
          </cell>
          <cell r="I22">
            <v>1</v>
          </cell>
          <cell r="J22">
            <v>1</v>
          </cell>
          <cell r="K22">
            <v>1</v>
          </cell>
          <cell r="Q22">
            <v>10</v>
          </cell>
          <cell r="S22">
            <v>1</v>
          </cell>
          <cell r="T22">
            <v>4</v>
          </cell>
          <cell r="U22">
            <v>1</v>
          </cell>
          <cell r="V22">
            <v>1</v>
          </cell>
          <cell r="X22">
            <v>5</v>
          </cell>
          <cell r="Y22">
            <v>1</v>
          </cell>
          <cell r="AA22">
            <v>2</v>
          </cell>
        </row>
        <row r="23">
          <cell r="A23" t="str">
            <v>La Llacuna</v>
          </cell>
          <cell r="B23" t="str">
            <v>Anoia</v>
          </cell>
          <cell r="Q23">
            <v>0</v>
          </cell>
          <cell r="X23">
            <v>1</v>
          </cell>
          <cell r="AA23">
            <v>3</v>
          </cell>
        </row>
        <row r="24">
          <cell r="A24" t="str">
            <v>La Quar</v>
          </cell>
          <cell r="B24" t="str">
            <v>Berguedà</v>
          </cell>
          <cell r="D24">
            <v>1</v>
          </cell>
          <cell r="K24">
            <v>2</v>
          </cell>
          <cell r="Q24">
            <v>3</v>
          </cell>
          <cell r="T24">
            <v>5</v>
          </cell>
          <cell r="U24">
            <v>1</v>
          </cell>
          <cell r="V24">
            <v>1</v>
          </cell>
          <cell r="AA24">
            <v>10</v>
          </cell>
        </row>
        <row r="25">
          <cell r="A25" t="str">
            <v>Malgrat de Mar</v>
          </cell>
          <cell r="B25" t="str">
            <v>Maresme</v>
          </cell>
          <cell r="C25">
            <v>14</v>
          </cell>
          <cell r="D25">
            <v>8</v>
          </cell>
          <cell r="E25">
            <v>3</v>
          </cell>
          <cell r="F25">
            <v>4</v>
          </cell>
          <cell r="G25">
            <v>2</v>
          </cell>
          <cell r="H25">
            <v>9</v>
          </cell>
          <cell r="I25">
            <v>4</v>
          </cell>
          <cell r="J25">
            <v>3</v>
          </cell>
          <cell r="K25">
            <v>7</v>
          </cell>
          <cell r="L25">
            <v>5</v>
          </cell>
          <cell r="M25">
            <v>3</v>
          </cell>
          <cell r="Q25">
            <v>62</v>
          </cell>
        </row>
        <row r="26">
          <cell r="A26" t="str">
            <v>Montesquiu</v>
          </cell>
          <cell r="B26" t="str">
            <v>Osona</v>
          </cell>
          <cell r="Q26">
            <v>0</v>
          </cell>
          <cell r="T26">
            <v>3</v>
          </cell>
          <cell r="U26">
            <v>11</v>
          </cell>
          <cell r="V26">
            <v>10</v>
          </cell>
          <cell r="W26">
            <v>3</v>
          </cell>
          <cell r="X26">
            <v>3</v>
          </cell>
          <cell r="Y26">
            <v>2</v>
          </cell>
          <cell r="AA26">
            <v>21</v>
          </cell>
        </row>
        <row r="27">
          <cell r="A27" t="str">
            <v>Montserrat</v>
          </cell>
          <cell r="B27" t="str">
            <v>Bages</v>
          </cell>
          <cell r="C27">
            <v>5</v>
          </cell>
          <cell r="D27">
            <v>4</v>
          </cell>
          <cell r="E27">
            <v>13</v>
          </cell>
          <cell r="F27">
            <v>3</v>
          </cell>
          <cell r="G27">
            <v>2</v>
          </cell>
          <cell r="H27">
            <v>10</v>
          </cell>
          <cell r="I27">
            <v>4</v>
          </cell>
          <cell r="J27">
            <v>4</v>
          </cell>
          <cell r="K27">
            <v>13</v>
          </cell>
          <cell r="L27">
            <v>1</v>
          </cell>
          <cell r="Q27">
            <v>59</v>
          </cell>
        </row>
        <row r="28">
          <cell r="A28" t="str">
            <v>Muntanyola</v>
          </cell>
          <cell r="B28" t="str">
            <v>Osona</v>
          </cell>
          <cell r="D28">
            <v>1</v>
          </cell>
          <cell r="E28">
            <v>1</v>
          </cell>
          <cell r="F28">
            <v>2</v>
          </cell>
          <cell r="G28">
            <v>1</v>
          </cell>
          <cell r="H28">
            <v>2</v>
          </cell>
          <cell r="K28">
            <v>2</v>
          </cell>
          <cell r="Q28">
            <v>9</v>
          </cell>
          <cell r="T28">
            <v>2</v>
          </cell>
          <cell r="AA28">
            <v>2</v>
          </cell>
        </row>
        <row r="29">
          <cell r="A29" t="str">
            <v>Òdena</v>
          </cell>
          <cell r="B29" t="str">
            <v>Anoia</v>
          </cell>
          <cell r="G29">
            <v>1</v>
          </cell>
          <cell r="K29">
            <v>1</v>
          </cell>
          <cell r="Q29">
            <v>2</v>
          </cell>
          <cell r="S29">
            <v>4</v>
          </cell>
          <cell r="T29">
            <v>15</v>
          </cell>
          <cell r="U29">
            <v>20</v>
          </cell>
          <cell r="V29">
            <v>2</v>
          </cell>
          <cell r="W29">
            <v>5</v>
          </cell>
          <cell r="X29">
            <v>8</v>
          </cell>
          <cell r="Y29">
            <v>2</v>
          </cell>
          <cell r="Z29">
            <v>4</v>
          </cell>
          <cell r="AA29">
            <v>16</v>
          </cell>
          <cell r="AC29">
            <v>1</v>
          </cell>
        </row>
        <row r="30">
          <cell r="A30" t="str">
            <v>Orís</v>
          </cell>
          <cell r="B30" t="str">
            <v>Osona</v>
          </cell>
          <cell r="Q30">
            <v>0</v>
          </cell>
          <cell r="S30">
            <v>1</v>
          </cell>
          <cell r="T30">
            <v>7</v>
          </cell>
          <cell r="U30">
            <v>11</v>
          </cell>
          <cell r="V30">
            <v>2</v>
          </cell>
          <cell r="W30">
            <v>2</v>
          </cell>
          <cell r="X30">
            <v>1</v>
          </cell>
          <cell r="Y30">
            <v>1</v>
          </cell>
          <cell r="Z30">
            <v>4</v>
          </cell>
          <cell r="AA30">
            <v>17</v>
          </cell>
        </row>
        <row r="31">
          <cell r="A31" t="str">
            <v>Parets del Vallès</v>
          </cell>
          <cell r="B31" t="str">
            <v>Vallès Oriental</v>
          </cell>
          <cell r="H31">
            <v>10</v>
          </cell>
          <cell r="I31">
            <v>16</v>
          </cell>
          <cell r="J31">
            <v>3</v>
          </cell>
          <cell r="K31">
            <v>14</v>
          </cell>
          <cell r="L31">
            <v>9</v>
          </cell>
          <cell r="M31">
            <v>6</v>
          </cell>
          <cell r="Q31">
            <v>58</v>
          </cell>
          <cell r="X31">
            <v>8</v>
          </cell>
          <cell r="Y31">
            <v>4</v>
          </cell>
          <cell r="Z31">
            <v>3</v>
          </cell>
          <cell r="AA31">
            <v>7</v>
          </cell>
          <cell r="AB31">
            <v>1</v>
          </cell>
        </row>
        <row r="32">
          <cell r="A32" t="str">
            <v>Perafita</v>
          </cell>
          <cell r="B32" t="str">
            <v>Osona</v>
          </cell>
          <cell r="Q32">
            <v>0</v>
          </cell>
          <cell r="U32">
            <v>2</v>
          </cell>
          <cell r="V32">
            <v>1</v>
          </cell>
          <cell r="AA32">
            <v>7</v>
          </cell>
        </row>
        <row r="33">
          <cell r="A33" t="str">
            <v>Rellinars</v>
          </cell>
          <cell r="B33" t="str">
            <v>Vallès Occidental</v>
          </cell>
          <cell r="C33">
            <v>1</v>
          </cell>
          <cell r="E33">
            <v>1</v>
          </cell>
          <cell r="K33">
            <v>2</v>
          </cell>
          <cell r="Q33">
            <v>4</v>
          </cell>
          <cell r="S33">
            <v>4</v>
          </cell>
          <cell r="T33">
            <v>2</v>
          </cell>
          <cell r="U33">
            <v>8</v>
          </cell>
          <cell r="V33">
            <v>2</v>
          </cell>
          <cell r="X33">
            <v>4</v>
          </cell>
          <cell r="Y33">
            <v>1</v>
          </cell>
          <cell r="Z33">
            <v>2</v>
          </cell>
          <cell r="AA33">
            <v>3</v>
          </cell>
        </row>
        <row r="34">
          <cell r="A34" t="str">
            <v>Sabadell</v>
          </cell>
          <cell r="B34" t="str">
            <v>Vallès Occidental</v>
          </cell>
          <cell r="K34">
            <v>2</v>
          </cell>
          <cell r="L34">
            <v>1</v>
          </cell>
          <cell r="Q34">
            <v>3</v>
          </cell>
          <cell r="X34">
            <v>5</v>
          </cell>
          <cell r="Y34">
            <v>4</v>
          </cell>
          <cell r="AA34">
            <v>7</v>
          </cell>
        </row>
        <row r="35">
          <cell r="A35" t="str">
            <v>Sant Llorenç Savall</v>
          </cell>
          <cell r="B35" t="str">
            <v>Vallès Occidental</v>
          </cell>
          <cell r="Q35">
            <v>0</v>
          </cell>
          <cell r="S35">
            <v>2</v>
          </cell>
          <cell r="T35">
            <v>2</v>
          </cell>
          <cell r="U35">
            <v>13</v>
          </cell>
          <cell r="V35">
            <v>2</v>
          </cell>
          <cell r="W35">
            <v>2</v>
          </cell>
          <cell r="X35">
            <v>4</v>
          </cell>
          <cell r="AA35">
            <v>5</v>
          </cell>
        </row>
        <row r="36">
          <cell r="A36" t="str">
            <v>Sant Martí Sarroca</v>
          </cell>
          <cell r="B36" t="str">
            <v>Alt Penedès</v>
          </cell>
          <cell r="C36">
            <v>1</v>
          </cell>
          <cell r="D36">
            <v>1</v>
          </cell>
          <cell r="E36">
            <v>3</v>
          </cell>
          <cell r="F36">
            <v>2</v>
          </cell>
          <cell r="G36">
            <v>1</v>
          </cell>
          <cell r="H36">
            <v>1</v>
          </cell>
          <cell r="K36">
            <v>1</v>
          </cell>
          <cell r="Q36">
            <v>10</v>
          </cell>
          <cell r="S36">
            <v>2</v>
          </cell>
          <cell r="T36">
            <v>5</v>
          </cell>
          <cell r="U36">
            <v>10</v>
          </cell>
          <cell r="V36">
            <v>1</v>
          </cell>
          <cell r="X36">
            <v>5</v>
          </cell>
          <cell r="Y36">
            <v>1</v>
          </cell>
          <cell r="AA36">
            <v>1</v>
          </cell>
        </row>
        <row r="37">
          <cell r="A37" t="str">
            <v>Sant Pere de Ribes - PN del Garraf</v>
          </cell>
          <cell r="B37" t="str">
            <v>Garraf</v>
          </cell>
          <cell r="C37">
            <v>10</v>
          </cell>
          <cell r="D37">
            <v>13</v>
          </cell>
          <cell r="E37">
            <v>16</v>
          </cell>
          <cell r="F37">
            <v>9</v>
          </cell>
          <cell r="G37">
            <v>9</v>
          </cell>
          <cell r="H37">
            <v>25</v>
          </cell>
          <cell r="I37">
            <v>14</v>
          </cell>
          <cell r="J37">
            <v>10</v>
          </cell>
          <cell r="K37">
            <v>18</v>
          </cell>
          <cell r="L37">
            <v>5</v>
          </cell>
          <cell r="M37">
            <v>8</v>
          </cell>
          <cell r="Q37">
            <v>137</v>
          </cell>
          <cell r="S37">
            <v>1</v>
          </cell>
          <cell r="T37">
            <v>4</v>
          </cell>
          <cell r="U37">
            <v>5</v>
          </cell>
          <cell r="V37">
            <v>1</v>
          </cell>
          <cell r="X37">
            <v>3</v>
          </cell>
          <cell r="Y37">
            <v>1</v>
          </cell>
          <cell r="Z37">
            <v>1</v>
          </cell>
          <cell r="AA37">
            <v>1</v>
          </cell>
          <cell r="AB37">
            <v>2</v>
          </cell>
        </row>
        <row r="38">
          <cell r="A38" t="str">
            <v>Sant Sadurní d'Anoia</v>
          </cell>
          <cell r="B38" t="str">
            <v>Alt Penedès</v>
          </cell>
          <cell r="E38">
            <v>3</v>
          </cell>
          <cell r="J38">
            <v>2</v>
          </cell>
          <cell r="K38">
            <v>2</v>
          </cell>
          <cell r="Q38">
            <v>7</v>
          </cell>
          <cell r="U38">
            <v>4</v>
          </cell>
          <cell r="V38">
            <v>2</v>
          </cell>
          <cell r="X38">
            <v>9</v>
          </cell>
          <cell r="Y38">
            <v>4</v>
          </cell>
          <cell r="Z38">
            <v>4</v>
          </cell>
          <cell r="AA38">
            <v>9</v>
          </cell>
          <cell r="AB38">
            <v>4</v>
          </cell>
          <cell r="AC38">
            <v>1</v>
          </cell>
        </row>
        <row r="39">
          <cell r="A39" t="str">
            <v>Sant Salvador de Guardiola</v>
          </cell>
          <cell r="B39" t="str">
            <v>Bages</v>
          </cell>
          <cell r="E39">
            <v>1</v>
          </cell>
          <cell r="Q39">
            <v>1</v>
          </cell>
          <cell r="S39">
            <v>8</v>
          </cell>
          <cell r="T39">
            <v>22</v>
          </cell>
          <cell r="U39">
            <v>15</v>
          </cell>
          <cell r="V39">
            <v>5</v>
          </cell>
          <cell r="W39">
            <v>4</v>
          </cell>
          <cell r="X39">
            <v>9</v>
          </cell>
          <cell r="Y39">
            <v>1</v>
          </cell>
          <cell r="Z39">
            <v>4</v>
          </cell>
          <cell r="AA39">
            <v>17</v>
          </cell>
          <cell r="AB39">
            <v>3</v>
          </cell>
          <cell r="AC39">
            <v>2</v>
          </cell>
        </row>
        <row r="40">
          <cell r="A40" t="str">
            <v>Tagamanent (PN Montseny)</v>
          </cell>
          <cell r="B40" t="str">
            <v>Vallès Oriental</v>
          </cell>
          <cell r="C40">
            <v>1</v>
          </cell>
          <cell r="D40">
            <v>3</v>
          </cell>
          <cell r="E40">
            <v>4</v>
          </cell>
          <cell r="F40">
            <v>2</v>
          </cell>
          <cell r="H40">
            <v>5</v>
          </cell>
          <cell r="J40">
            <v>2</v>
          </cell>
          <cell r="K40">
            <v>8</v>
          </cell>
          <cell r="Q40">
            <v>25</v>
          </cell>
        </row>
        <row r="41">
          <cell r="A41" t="str">
            <v>Vacarisses</v>
          </cell>
          <cell r="B41" t="str">
            <v>Vallès Occidental</v>
          </cell>
          <cell r="D41">
            <v>2</v>
          </cell>
          <cell r="E41">
            <v>1</v>
          </cell>
          <cell r="Q41">
            <v>3</v>
          </cell>
          <cell r="S41">
            <v>3</v>
          </cell>
          <cell r="T41">
            <v>5</v>
          </cell>
          <cell r="U41">
            <v>9</v>
          </cell>
          <cell r="V41">
            <v>2</v>
          </cell>
          <cell r="W41">
            <v>3</v>
          </cell>
          <cell r="X41">
            <v>7</v>
          </cell>
          <cell r="Y41">
            <v>1</v>
          </cell>
          <cell r="Z41">
            <v>2</v>
          </cell>
          <cell r="AA41">
            <v>6</v>
          </cell>
          <cell r="AC41">
            <v>1</v>
          </cell>
        </row>
        <row r="42">
          <cell r="A42" t="str">
            <v>Vallirana</v>
          </cell>
          <cell r="B42" t="str">
            <v>Baix Llobregat</v>
          </cell>
          <cell r="C42">
            <v>8</v>
          </cell>
          <cell r="D42">
            <v>14</v>
          </cell>
          <cell r="E42">
            <v>22</v>
          </cell>
          <cell r="F42">
            <v>5</v>
          </cell>
          <cell r="G42">
            <v>5</v>
          </cell>
          <cell r="H42">
            <v>17</v>
          </cell>
          <cell r="I42">
            <v>24</v>
          </cell>
          <cell r="J42">
            <v>3</v>
          </cell>
          <cell r="K42">
            <v>17</v>
          </cell>
          <cell r="L42">
            <v>7</v>
          </cell>
          <cell r="M42">
            <v>3</v>
          </cell>
          <cell r="Q42">
            <v>125</v>
          </cell>
          <cell r="S42">
            <v>9</v>
          </cell>
          <cell r="T42">
            <v>26</v>
          </cell>
          <cell r="U42">
            <v>23</v>
          </cell>
          <cell r="V42">
            <v>3</v>
          </cell>
          <cell r="X42">
            <v>6</v>
          </cell>
          <cell r="Y42">
            <v>5</v>
          </cell>
          <cell r="Z42">
            <v>2</v>
          </cell>
          <cell r="AA42">
            <v>14</v>
          </cell>
          <cell r="AB42">
            <v>10</v>
          </cell>
          <cell r="AC42">
            <v>4</v>
          </cell>
        </row>
        <row r="43">
          <cell r="A43" t="str">
            <v>Vic</v>
          </cell>
          <cell r="B43" t="str">
            <v>Osona</v>
          </cell>
          <cell r="Q43">
            <v>0</v>
          </cell>
          <cell r="AA43">
            <v>13</v>
          </cell>
        </row>
        <row r="44">
          <cell r="A44" t="str">
            <v>Viladecans</v>
          </cell>
          <cell r="B44" t="str">
            <v>Baix Llobregat</v>
          </cell>
          <cell r="C44">
            <v>33</v>
          </cell>
          <cell r="D44">
            <v>25</v>
          </cell>
          <cell r="E44">
            <v>28</v>
          </cell>
          <cell r="F44">
            <v>10</v>
          </cell>
          <cell r="G44">
            <v>21</v>
          </cell>
          <cell r="H44">
            <v>36</v>
          </cell>
          <cell r="I44">
            <v>23</v>
          </cell>
          <cell r="J44">
            <v>16</v>
          </cell>
          <cell r="K44">
            <v>22</v>
          </cell>
          <cell r="L44">
            <v>19</v>
          </cell>
          <cell r="M44">
            <v>13</v>
          </cell>
          <cell r="Q44">
            <v>246</v>
          </cell>
          <cell r="T44">
            <v>1</v>
          </cell>
          <cell r="Y44">
            <v>1</v>
          </cell>
        </row>
        <row r="45">
          <cell r="A45" t="str">
            <v>Vilanova del Vallès</v>
          </cell>
          <cell r="B45" t="str">
            <v>Vallès Oriental</v>
          </cell>
          <cell r="E45">
            <v>2</v>
          </cell>
          <cell r="Q45">
            <v>2</v>
          </cell>
          <cell r="S45">
            <v>1</v>
          </cell>
          <cell r="T45">
            <v>7</v>
          </cell>
          <cell r="U45">
            <v>11</v>
          </cell>
          <cell r="V45">
            <v>2</v>
          </cell>
          <cell r="W45">
            <v>2</v>
          </cell>
          <cell r="X45">
            <v>5</v>
          </cell>
          <cell r="Y45">
            <v>4</v>
          </cell>
          <cell r="AA45">
            <v>7</v>
          </cell>
        </row>
        <row r="46">
          <cell r="A46" t="str">
            <v>Vilassar de Mar</v>
          </cell>
          <cell r="B46" t="str">
            <v>Maresme</v>
          </cell>
          <cell r="C46">
            <v>41</v>
          </cell>
          <cell r="D46">
            <v>57</v>
          </cell>
          <cell r="E46">
            <v>52</v>
          </cell>
          <cell r="F46">
            <v>9</v>
          </cell>
          <cell r="G46">
            <v>37</v>
          </cell>
          <cell r="H46">
            <v>47</v>
          </cell>
          <cell r="I46">
            <v>42</v>
          </cell>
          <cell r="J46">
            <v>27</v>
          </cell>
          <cell r="K46">
            <v>39</v>
          </cell>
          <cell r="L46">
            <v>32</v>
          </cell>
          <cell r="M46">
            <v>20</v>
          </cell>
          <cell r="Q46">
            <v>403</v>
          </cell>
          <cell r="T46">
            <v>1</v>
          </cell>
          <cell r="X46">
            <v>1</v>
          </cell>
        </row>
      </sheetData>
      <sheetData sheetId="10"/>
      <sheetData sheetId="11"/>
      <sheetData sheetId="12"/>
      <sheetData sheetId="13"/>
      <sheetData sheetId="14"/>
      <sheetData sheetId="15">
        <row r="2">
          <cell r="B2" t="str">
            <v>Artés</v>
          </cell>
        </row>
        <row r="3">
          <cell r="B3" t="str">
            <v>Badalona - Museu</v>
          </cell>
        </row>
        <row r="4">
          <cell r="B4" t="str">
            <v>Barcelona - Observatori Fabra</v>
          </cell>
        </row>
        <row r="5">
          <cell r="B5" t="str">
            <v>Begues - PN del Garraf</v>
          </cell>
        </row>
        <row r="6">
          <cell r="B6" t="str">
            <v>Cabrils</v>
          </cell>
        </row>
        <row r="7">
          <cell r="B7" t="str">
            <v>Caldes de Montbui</v>
          </cell>
        </row>
        <row r="8">
          <cell r="B8" t="str">
            <v>Canaletes</v>
          </cell>
        </row>
        <row r="9">
          <cell r="B9" t="str">
            <v>Castellbisbal</v>
          </cell>
        </row>
        <row r="10">
          <cell r="B10" t="str">
            <v>Castellnou de Bages</v>
          </cell>
        </row>
        <row r="11">
          <cell r="B11" t="str">
            <v>Cerdanyola del Vallès</v>
          </cell>
        </row>
        <row r="12">
          <cell r="B12" t="str">
            <v>Dosrius - PN Montnegre Corredor</v>
          </cell>
        </row>
        <row r="13">
          <cell r="B13" t="str">
            <v>el Pont de Vilomara</v>
          </cell>
        </row>
        <row r="14">
          <cell r="B14" t="str">
            <v>el Prat del Llobregat</v>
          </cell>
        </row>
        <row r="15">
          <cell r="B15" t="str">
            <v>els Hostalets de Pierola</v>
          </cell>
        </row>
        <row r="16">
          <cell r="B16" t="str">
            <v>Font-Rubí</v>
          </cell>
        </row>
        <row r="17">
          <cell r="B17" t="str">
            <v>Gisclareny</v>
          </cell>
        </row>
        <row r="18">
          <cell r="B18" t="str">
            <v>Guardiola de Berguedà</v>
          </cell>
        </row>
        <row r="19">
          <cell r="B19" t="str">
            <v>Gurb</v>
          </cell>
        </row>
        <row r="20">
          <cell r="B20" t="str">
            <v>La Granada</v>
          </cell>
        </row>
        <row r="21">
          <cell r="B21" t="str">
            <v>La Llacuna</v>
          </cell>
        </row>
        <row r="22">
          <cell r="B22" t="str">
            <v>La Quar</v>
          </cell>
        </row>
        <row r="23">
          <cell r="B23" t="str">
            <v>Malgrat de Mar</v>
          </cell>
        </row>
        <row r="24">
          <cell r="B24" t="str">
            <v>Montesquiu</v>
          </cell>
        </row>
        <row r="25">
          <cell r="B25" t="str">
            <v>Montserrat</v>
          </cell>
        </row>
        <row r="26">
          <cell r="B26" t="str">
            <v>Muntanyola</v>
          </cell>
        </row>
        <row r="27">
          <cell r="B27" t="str">
            <v>Òdena</v>
          </cell>
        </row>
        <row r="28">
          <cell r="B28" t="str">
            <v>Orís</v>
          </cell>
        </row>
        <row r="29">
          <cell r="B29" t="str">
            <v>Parets del Vallès</v>
          </cell>
        </row>
        <row r="30">
          <cell r="B30" t="str">
            <v>Perafita</v>
          </cell>
        </row>
        <row r="31">
          <cell r="B31" t="str">
            <v>Rellinars</v>
          </cell>
        </row>
        <row r="32">
          <cell r="B32" t="str">
            <v>Sabadell</v>
          </cell>
        </row>
        <row r="33">
          <cell r="B33" t="str">
            <v>Sant Llorenç Savall</v>
          </cell>
        </row>
        <row r="34">
          <cell r="B34" t="str">
            <v>Sant Martí Sarroca</v>
          </cell>
        </row>
        <row r="35">
          <cell r="B35" t="str">
            <v>Sant Pere de Ribes - PN del Garraf</v>
          </cell>
        </row>
        <row r="36">
          <cell r="B36" t="str">
            <v>Sant Sadurní d'Anoia</v>
          </cell>
        </row>
        <row r="37">
          <cell r="B37" t="str">
            <v>Sant Salvador de Guardiola</v>
          </cell>
        </row>
        <row r="38">
          <cell r="B38" t="str">
            <v>Tagamanent (PN Montseny)</v>
          </cell>
        </row>
        <row r="39">
          <cell r="B39" t="str">
            <v>Vacarisses</v>
          </cell>
        </row>
        <row r="40">
          <cell r="B40" t="str">
            <v>Vallirana</v>
          </cell>
        </row>
        <row r="41">
          <cell r="B41" t="str">
            <v>Vic</v>
          </cell>
        </row>
        <row r="42">
          <cell r="B42" t="str">
            <v>Viladecans</v>
          </cell>
        </row>
        <row r="43">
          <cell r="B43" t="str">
            <v>Vilanova del Vallès</v>
          </cell>
        </row>
        <row r="44">
          <cell r="B44" t="str">
            <v>Vilassar de Mar</v>
          </cell>
        </row>
      </sheetData>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00_caract_mpi"/>
      <sheetName val="01_check_recursos"/>
      <sheetName val="01_check_vulnerab"/>
      <sheetName val="02_resultats"/>
      <sheetName val="VULN_onada_calor"/>
      <sheetName val="VULN_sequera"/>
      <sheetName val="VULN_incendis"/>
      <sheetName val="VULN_inund"/>
      <sheetName val="VULN_capac"/>
      <sheetName val="criteris_calculs_gral"/>
      <sheetName val="criteris_calculs_ajt"/>
      <sheetName val="font_dades"/>
      <sheetName val="parametres"/>
      <sheetName val="taules"/>
      <sheetName val="BASE_DADES"/>
      <sheetName val="03_proposta_accions"/>
      <sheetName val="llistat_accions"/>
      <sheetName val="taules1"/>
      <sheetName val="taules_especies"/>
      <sheetName val="TEMPLATE_IDIOMA"/>
      <sheetName val="T_perfil_signatari"/>
      <sheetName val="T_estratègia"/>
      <sheetName val="traductor"/>
      <sheetName val="llistes"/>
      <sheetName val="Full2"/>
      <sheetName val="VULN_Ajt"/>
      <sheetName val="Ful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M1" t="str">
            <v>Actualitzat i homologat</v>
          </cell>
          <cell r="P1" t="str">
            <v>Municipal directa</v>
          </cell>
          <cell r="R1" t="str">
            <v>POUM - Pla d'Ordenació Urbanística Municipal</v>
          </cell>
          <cell r="AD1" t="str">
            <v>Llacs i estanys (no càrstics)</v>
          </cell>
        </row>
        <row r="2">
          <cell r="M2" t="str">
            <v>No actualitzat i/o no homologat</v>
          </cell>
          <cell r="P2" t="str">
            <v>Societat privada municipal</v>
          </cell>
          <cell r="R2" t="str">
            <v>PG - Pla General</v>
          </cell>
          <cell r="AD2" t="str">
            <v>Rius i zones inundables</v>
          </cell>
        </row>
        <row r="3">
          <cell r="M3" t="str">
            <v>Recomanat: sí</v>
          </cell>
          <cell r="P3" t="str">
            <v>Empresa mixta</v>
          </cell>
          <cell r="R3" t="str">
            <v>Nsa - normes subsidiàries</v>
          </cell>
          <cell r="AD3" t="str">
            <v>Antics estanys</v>
          </cell>
        </row>
        <row r="4">
          <cell r="M4" t="str">
            <v>Recomanat: No</v>
          </cell>
          <cell r="P4" t="str">
            <v>Empresa privada</v>
          </cell>
          <cell r="R4" t="str">
            <v>DSU - delimitació de sòl urbà</v>
          </cell>
          <cell r="AD4" t="str">
            <v>Aiguamolls i criptoaiguamoll</v>
          </cell>
        </row>
        <row r="5">
          <cell r="M5" t="str">
            <v>No</v>
          </cell>
          <cell r="P5" t="str">
            <v>Altres</v>
          </cell>
          <cell r="R5" t="str">
            <v>NPU - normes de planejament urbanístic</v>
          </cell>
          <cell r="AD5" t="str">
            <v>Graveres, argileres i similars</v>
          </cell>
        </row>
        <row r="6">
          <cell r="M6" t="str">
            <v>No li cal</v>
          </cell>
          <cell r="P6" t="str">
            <v xml:space="preserve">No en té </v>
          </cell>
          <cell r="AD6" t="str">
            <v>Llacunes litorals i aiguamolls</v>
          </cell>
        </row>
        <row r="7">
          <cell r="P7" t="str">
            <v>Municipal concessió</v>
          </cell>
          <cell r="AD7" t="str">
            <v>Zona humida restaurada o de nova creació</v>
          </cell>
        </row>
        <row r="8">
          <cell r="AD8" t="str">
            <v>Llacuna de depuració</v>
          </cell>
        </row>
        <row r="9">
          <cell r="AD9" t="str">
            <v>Llacunes litorals i aiguamolls</v>
          </cell>
        </row>
        <row r="10">
          <cell r="AD10" t="str">
            <v>Desembocadures històriques de rius i rieres</v>
          </cell>
        </row>
        <row r="11">
          <cell r="AD11" t="str">
            <v>Salobrars</v>
          </cell>
        </row>
        <row r="12">
          <cell r="AD12" t="str">
            <v>Illes i galatxos fluvials interiors</v>
          </cell>
        </row>
        <row r="13">
          <cell r="AD13" t="str">
            <v>Antics meandres</v>
          </cell>
        </row>
        <row r="14">
          <cell r="AD14" t="str">
            <v>Meandres</v>
          </cell>
        </row>
        <row r="15">
          <cell r="AD15" t="str">
            <v>Assuts, rescloses i d'altres</v>
          </cell>
        </row>
        <row r="16">
          <cell r="AD16" t="str">
            <v>Llacs i estanys càrstics</v>
          </cell>
        </row>
        <row r="17">
          <cell r="AD17" t="str">
            <v>Ullals</v>
          </cell>
        </row>
        <row r="18">
          <cell r="AD18" t="str">
            <v>Aiguabarreigs</v>
          </cell>
        </row>
        <row r="19">
          <cell r="AD19" t="str">
            <v>Embassaments de rius</v>
          </cell>
        </row>
        <row r="54">
          <cell r="I54" t="str">
            <v>Molt alt</v>
          </cell>
        </row>
        <row r="55">
          <cell r="I55" t="str">
            <v>Alt</v>
          </cell>
        </row>
        <row r="56">
          <cell r="I56" t="str">
            <v>Mitjà</v>
          </cell>
        </row>
        <row r="57">
          <cell r="I57" t="str">
            <v>Moderat</v>
          </cell>
        </row>
        <row r="58">
          <cell r="I58" t="str">
            <v>Baix</v>
          </cell>
        </row>
        <row r="61">
          <cell r="I61" t="str">
            <v>No obligat</v>
          </cell>
        </row>
        <row r="62">
          <cell r="I62" t="str">
            <v>Recomanat</v>
          </cell>
        </row>
        <row r="63">
          <cell r="I63" t="str">
            <v>Obligat</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Signatory Profile"/>
      <sheetName val="Signatory Scoreboard"/>
      <sheetName val="Strategy"/>
      <sheetName val="Risks &amp; Vulnerabilities"/>
      <sheetName val="Actions"/>
      <sheetName val="Synthesis Report"/>
      <sheetName val="Indicators"/>
      <sheetName val="Glossary"/>
      <sheetName val="Drop-down Menus"/>
    </sheetNames>
    <sheetDataSet>
      <sheetData sheetId="0"/>
      <sheetData sheetId="1"/>
      <sheetData sheetId="2"/>
      <sheetData sheetId="3"/>
      <sheetData sheetId="4"/>
      <sheetData sheetId="5"/>
      <sheetData sheetId="6"/>
      <sheetData sheetId="7"/>
      <sheetData sheetId="8"/>
      <sheetData sheetId="9">
        <row r="4">
          <cell r="A4" t="str">
            <v>[Drop-Down]</v>
          </cell>
        </row>
        <row r="5">
          <cell r="A5" t="str">
            <v>Low</v>
          </cell>
        </row>
        <row r="6">
          <cell r="A6" t="str">
            <v>Medium</v>
          </cell>
        </row>
        <row r="7">
          <cell r="A7" t="str">
            <v>High</v>
          </cell>
        </row>
        <row r="10">
          <cell r="A10" t="str">
            <v>[Drop-Down]</v>
          </cell>
        </row>
        <row r="11">
          <cell r="A11" t="str">
            <v>Little</v>
          </cell>
        </row>
        <row r="12">
          <cell r="A12" t="str">
            <v>Fair</v>
          </cell>
        </row>
        <row r="13">
          <cell r="A13" t="str">
            <v>Strong</v>
          </cell>
        </row>
        <row r="14">
          <cell r="A14" t="str">
            <v>Not applicable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Aigua BD"/>
      <sheetName val="Preu de l'aigua ús domèstic"/>
      <sheetName val="Consum municipis"/>
      <sheetName val="Càlcul 1"/>
      <sheetName val="Càlcul 2"/>
      <sheetName val="P1-Disponibilitat recurs aigua"/>
      <sheetName val="Verd Urbà Càlcul"/>
      <sheetName val="Pressupost Badalona"/>
      <sheetName val="Verd urbà Dades"/>
      <sheetName val="Cost Verd urbà"/>
      <sheetName val="Verd urbà càlcul 2"/>
    </sheetNames>
    <sheetDataSet>
      <sheetData sheetId="0"/>
      <sheetData sheetId="1">
        <row r="2">
          <cell r="A2" t="str">
            <v>Font : https://www.instamaps.cat/instavisor/19139746/ed7415fcb6d888e3398a78f7751d161e/Preu_de_l_aigua_d_us_domestic_a_Catalunya_2016.html#8/41.806/1.741</v>
          </cell>
        </row>
        <row r="5">
          <cell r="A5" t="str">
            <v>Santa Maria de Besora</v>
          </cell>
        </row>
        <row r="6">
          <cell r="A6" t="str">
            <v>Vallgorguina</v>
          </cell>
        </row>
        <row r="7">
          <cell r="A7" t="str">
            <v>Sant Vicenç dels Horts</v>
          </cell>
        </row>
        <row r="8">
          <cell r="A8" t="str">
            <v>Campins</v>
          </cell>
        </row>
        <row r="9">
          <cell r="A9" t="str">
            <v>Gisclareny</v>
          </cell>
        </row>
        <row r="10">
          <cell r="A10" t="str">
            <v>Cabrera de Mar</v>
          </cell>
        </row>
        <row r="11">
          <cell r="A11" t="str">
            <v>Montgat</v>
          </cell>
        </row>
        <row r="12">
          <cell r="A12" t="str">
            <v>Viladecans</v>
          </cell>
        </row>
        <row r="13">
          <cell r="A13" t="str">
            <v>Sant Martí d'Albars</v>
          </cell>
        </row>
        <row r="14">
          <cell r="A14" t="str">
            <v>Artés</v>
          </cell>
        </row>
        <row r="15">
          <cell r="A15" t="str">
            <v>Santa Maria de Palautordera</v>
          </cell>
        </row>
        <row r="16">
          <cell r="A16" t="str">
            <v>Sabadell</v>
          </cell>
        </row>
        <row r="17">
          <cell r="A17" t="str">
            <v>Caldes de Montbui</v>
          </cell>
        </row>
        <row r="18">
          <cell r="A18" t="str">
            <v>Calldetenes</v>
          </cell>
        </row>
        <row r="19">
          <cell r="A19" t="str">
            <v>Cabrils</v>
          </cell>
        </row>
        <row r="20">
          <cell r="A20" t="str">
            <v>Sant Quintí de Mediona</v>
          </cell>
        </row>
        <row r="21">
          <cell r="A21" t="str">
            <v>Torrelles de Llobregat</v>
          </cell>
        </row>
        <row r="22">
          <cell r="A22" t="str">
            <v>Vilanova de Sau</v>
          </cell>
        </row>
        <row r="23">
          <cell r="A23" t="str">
            <v>Barcelona</v>
          </cell>
        </row>
        <row r="24">
          <cell r="A24" t="str">
            <v>Montornès del Vallès</v>
          </cell>
        </row>
        <row r="25">
          <cell r="A25" t="str">
            <v>Súria</v>
          </cell>
        </row>
        <row r="26">
          <cell r="A26" t="str">
            <v>Taradell</v>
          </cell>
        </row>
        <row r="27">
          <cell r="A27" t="str">
            <v>Argentona</v>
          </cell>
        </row>
        <row r="28">
          <cell r="A28" t="str">
            <v>Tavertet</v>
          </cell>
        </row>
        <row r="29">
          <cell r="A29" t="str">
            <v>Borredà</v>
          </cell>
        </row>
        <row r="30">
          <cell r="A30" t="str">
            <v>Santa Eugènia de Berga</v>
          </cell>
        </row>
        <row r="31">
          <cell r="A31" t="str">
            <v>Canet de Mar</v>
          </cell>
        </row>
        <row r="32">
          <cell r="A32" t="str">
            <v>Castellar de n'Hug</v>
          </cell>
        </row>
        <row r="33">
          <cell r="A33" t="str">
            <v>Sant Adrià de Besòs</v>
          </cell>
        </row>
        <row r="34">
          <cell r="A34" t="str">
            <v>Cubelles</v>
          </cell>
        </row>
        <row r="35">
          <cell r="A35" t="str">
            <v>Pineda de Mar</v>
          </cell>
        </row>
        <row r="36">
          <cell r="A36" t="str">
            <v>Igualada</v>
          </cell>
        </row>
        <row r="37">
          <cell r="A37" t="str">
            <v>Martorell</v>
          </cell>
        </row>
        <row r="38">
          <cell r="A38" t="str">
            <v>Manlleu</v>
          </cell>
        </row>
        <row r="39">
          <cell r="A39" t="str">
            <v>Dosrius</v>
          </cell>
        </row>
        <row r="40">
          <cell r="A40" t="str">
            <v>Mollet del Vallès</v>
          </cell>
        </row>
        <row r="41">
          <cell r="A41" t="str">
            <v>Arenys de Munt</v>
          </cell>
        </row>
        <row r="42">
          <cell r="A42" t="str">
            <v>Molins de Rei</v>
          </cell>
        </row>
        <row r="43">
          <cell r="A43" t="str">
            <v>Sallent</v>
          </cell>
        </row>
        <row r="44">
          <cell r="A44" t="str">
            <v>Folgueroles</v>
          </cell>
        </row>
        <row r="45">
          <cell r="A45" t="str">
            <v>Calella</v>
          </cell>
        </row>
        <row r="46">
          <cell r="A46" t="str">
            <v>Berga</v>
          </cell>
        </row>
        <row r="47">
          <cell r="A47" t="str">
            <v>Lliçà de Vall</v>
          </cell>
        </row>
        <row r="48">
          <cell r="A48" t="str">
            <v>Fonollosa</v>
          </cell>
        </row>
        <row r="49">
          <cell r="A49" t="str">
            <v>Balsareny</v>
          </cell>
        </row>
        <row r="50">
          <cell r="A50" t="str">
            <v>Montclar</v>
          </cell>
        </row>
        <row r="51">
          <cell r="A51" t="str">
            <v>Cànoves i Samalús</v>
          </cell>
        </row>
        <row r="52">
          <cell r="A52" t="str">
            <v>Barberà del Vallès</v>
          </cell>
        </row>
        <row r="53">
          <cell r="A53" t="str">
            <v>Sant Llorenç d'Hortons</v>
          </cell>
        </row>
        <row r="54">
          <cell r="A54" t="str">
            <v>Esplugues de Llobregat</v>
          </cell>
        </row>
        <row r="55">
          <cell r="A55" t="str">
            <v>Teià</v>
          </cell>
        </row>
        <row r="56">
          <cell r="A56" t="str">
            <v>Centelles</v>
          </cell>
        </row>
        <row r="57">
          <cell r="A57" t="str">
            <v>Rajadell</v>
          </cell>
        </row>
        <row r="58">
          <cell r="A58" t="str">
            <v>Perafita</v>
          </cell>
        </row>
        <row r="59">
          <cell r="A59" t="str">
            <v>Vilafranca del Penedès</v>
          </cell>
        </row>
        <row r="60">
          <cell r="A60" t="str">
            <v>Sant Feliu Sasserra</v>
          </cell>
        </row>
        <row r="61">
          <cell r="A61" t="str">
            <v>Vilassar de Mar</v>
          </cell>
        </row>
        <row r="62">
          <cell r="A62" t="str">
            <v>Cervelló</v>
          </cell>
        </row>
        <row r="63">
          <cell r="A63" t="str">
            <v>Rubí</v>
          </cell>
        </row>
        <row r="64">
          <cell r="A64" t="str">
            <v>Aiguafreda</v>
          </cell>
        </row>
        <row r="65">
          <cell r="A65" t="str">
            <v>Sant Vicenç de Castellet</v>
          </cell>
        </row>
        <row r="66">
          <cell r="A66" t="str">
            <v>Sentmenat</v>
          </cell>
        </row>
        <row r="67">
          <cell r="A67" t="str">
            <v>Ullastrell</v>
          </cell>
        </row>
        <row r="68">
          <cell r="A68" t="str">
            <v>Mataró</v>
          </cell>
        </row>
        <row r="69">
          <cell r="A69" t="str">
            <v>Santa Eulàlia de Ronçana</v>
          </cell>
        </row>
        <row r="70">
          <cell r="A70" t="str">
            <v>Castellolí</v>
          </cell>
        </row>
        <row r="71">
          <cell r="A71" t="str">
            <v>Begues</v>
          </cell>
        </row>
        <row r="72">
          <cell r="A72" t="str">
            <v>Abrera</v>
          </cell>
        </row>
        <row r="73">
          <cell r="A73" t="str">
            <v>Malla</v>
          </cell>
        </row>
        <row r="74">
          <cell r="A74" t="str">
            <v>Sant Feliu de Codines</v>
          </cell>
        </row>
        <row r="75">
          <cell r="A75" t="str">
            <v>Sant Pere de Riudebitlles</v>
          </cell>
        </row>
        <row r="76">
          <cell r="A76" t="str">
            <v>Llinars del Vallès</v>
          </cell>
        </row>
        <row r="77">
          <cell r="A77" t="str">
            <v>Lluçà</v>
          </cell>
        </row>
        <row r="78">
          <cell r="A78" t="str">
            <v>Castellar del Vallès</v>
          </cell>
        </row>
        <row r="79">
          <cell r="A79" t="str">
            <v>Palau-solità i Plegamans</v>
          </cell>
        </row>
        <row r="80">
          <cell r="A80" t="str">
            <v>Vic</v>
          </cell>
        </row>
        <row r="81">
          <cell r="A81" t="str">
            <v>Sant Fruitós de Bages</v>
          </cell>
        </row>
        <row r="82">
          <cell r="A82" t="str">
            <v>Castelldefels</v>
          </cell>
        </row>
        <row r="83">
          <cell r="A83" t="str">
            <v>Sobremunt</v>
          </cell>
        </row>
        <row r="84">
          <cell r="A84" t="str">
            <v>Fígols</v>
          </cell>
        </row>
        <row r="85">
          <cell r="A85" t="str">
            <v>Sant Cugat Sesgarrigues</v>
          </cell>
        </row>
        <row r="86">
          <cell r="A86" t="str">
            <v>Capellades</v>
          </cell>
        </row>
        <row r="87">
          <cell r="A87" t="str">
            <v>Vilanova i la Geltrú</v>
          </cell>
        </row>
        <row r="88">
          <cell r="A88" t="str">
            <v>Badalona</v>
          </cell>
        </row>
        <row r="89">
          <cell r="A89" t="str">
            <v>Sant Sadurní d'Anoia</v>
          </cell>
        </row>
        <row r="90">
          <cell r="A90" t="str">
            <v>Sant Joan Despí</v>
          </cell>
        </row>
        <row r="91">
          <cell r="A91" t="str">
            <v>Cerdanyola del Vallès</v>
          </cell>
        </row>
        <row r="92">
          <cell r="A92" t="str">
            <v>Castellbisbal</v>
          </cell>
        </row>
        <row r="93">
          <cell r="A93" t="str">
            <v>Balenyà</v>
          </cell>
        </row>
        <row r="94">
          <cell r="A94" t="str">
            <v>Vallromanes</v>
          </cell>
        </row>
        <row r="95">
          <cell r="A95" t="str">
            <v>Mitjana</v>
          </cell>
        </row>
        <row r="96">
          <cell r="A96" t="str">
            <v>Santa Coloma de Gramenet</v>
          </cell>
        </row>
        <row r="97">
          <cell r="A97" t="str">
            <v>Mura</v>
          </cell>
        </row>
        <row r="98">
          <cell r="A98" t="str">
            <v>Veciana</v>
          </cell>
        </row>
        <row r="99">
          <cell r="A99" t="str">
            <v>Collsuspina</v>
          </cell>
        </row>
        <row r="100">
          <cell r="A100" t="str">
            <v>Montmaneu</v>
          </cell>
        </row>
        <row r="101">
          <cell r="A101" t="str">
            <v>Piera</v>
          </cell>
        </row>
        <row r="102">
          <cell r="A102" t="str">
            <v>Badia del Vallès</v>
          </cell>
        </row>
        <row r="103">
          <cell r="A103" t="str">
            <v>Sant Feliu de Llobregat</v>
          </cell>
        </row>
        <row r="104">
          <cell r="A104" t="str">
            <v>Calaf</v>
          </cell>
        </row>
        <row r="105">
          <cell r="A105" t="str">
            <v>Lliçà d'Amunt</v>
          </cell>
        </row>
        <row r="106">
          <cell r="A106" t="str">
            <v>Esparreguera</v>
          </cell>
        </row>
        <row r="107">
          <cell r="A107" t="str">
            <v>Avià</v>
          </cell>
        </row>
        <row r="108">
          <cell r="A108" t="str">
            <v>Parets del Vallès</v>
          </cell>
        </row>
        <row r="109">
          <cell r="A109" t="str">
            <v>Sant Climent de Llobregat</v>
          </cell>
        </row>
        <row r="110">
          <cell r="A110" t="str">
            <v>Argençola</v>
          </cell>
        </row>
        <row r="111">
          <cell r="A111" t="str">
            <v>Calders</v>
          </cell>
        </row>
        <row r="112">
          <cell r="A112" t="str">
            <v>Subirats</v>
          </cell>
        </row>
        <row r="113">
          <cell r="A113" t="str">
            <v>Aguilar de Segarra</v>
          </cell>
        </row>
        <row r="114">
          <cell r="A114" t="str">
            <v>Sant Vicenç de Torelló</v>
          </cell>
        </row>
        <row r="115">
          <cell r="A115" t="str">
            <v>Sitges</v>
          </cell>
        </row>
        <row r="116">
          <cell r="A116" t="str">
            <v>Sant Pere de Ribes</v>
          </cell>
        </row>
        <row r="117">
          <cell r="A117" t="str">
            <v>Fogars de la Selva</v>
          </cell>
        </row>
        <row r="118">
          <cell r="A118" t="str">
            <v>Alella</v>
          </cell>
        </row>
        <row r="119">
          <cell r="A119" t="str">
            <v>Premià de Dalt</v>
          </cell>
        </row>
        <row r="120">
          <cell r="A120" t="str">
            <v>Ripollet</v>
          </cell>
        </row>
        <row r="121">
          <cell r="A121" t="str">
            <v>Polinyà</v>
          </cell>
        </row>
        <row r="122">
          <cell r="A122" t="str">
            <v>Sant Julià de Vilatorta</v>
          </cell>
        </row>
        <row r="123">
          <cell r="A123" t="str">
            <v>Pallejà</v>
          </cell>
        </row>
        <row r="124">
          <cell r="A124" t="str">
            <v>Vacarisses</v>
          </cell>
        </row>
        <row r="125">
          <cell r="A125" t="str">
            <v>Seva</v>
          </cell>
        </row>
        <row r="126">
          <cell r="A126" t="str">
            <v>Sant Pere de Vilamajor</v>
          </cell>
        </row>
        <row r="127">
          <cell r="A127" t="str">
            <v>Castellbell i el Vilar</v>
          </cell>
        </row>
        <row r="128">
          <cell r="A128" t="str">
            <v>Bigues i Riells</v>
          </cell>
        </row>
        <row r="129">
          <cell r="A129" t="str">
            <v>Arenys de Mar</v>
          </cell>
        </row>
        <row r="130">
          <cell r="A130" t="str">
            <v>Vilobí del Penedès</v>
          </cell>
        </row>
        <row r="131">
          <cell r="A131" t="str">
            <v>Callús</v>
          </cell>
        </row>
        <row r="132">
          <cell r="A132" t="str">
            <v>Santa Coloma de Cervelló</v>
          </cell>
        </row>
        <row r="133">
          <cell r="A133" t="str">
            <v>Terrassa</v>
          </cell>
        </row>
        <row r="134">
          <cell r="A134" t="str">
            <v>Castellar del Riu</v>
          </cell>
        </row>
        <row r="135">
          <cell r="A135" t="str">
            <v>Gironella</v>
          </cell>
        </row>
        <row r="136">
          <cell r="A136" t="str">
            <v>Santa Perpètua de Mogoda</v>
          </cell>
        </row>
        <row r="137">
          <cell r="A137" t="str">
            <v>Olesa de Bonesvalls</v>
          </cell>
        </row>
        <row r="138">
          <cell r="A138" t="str">
            <v>Sant Cebrià de Vallalta</v>
          </cell>
        </row>
        <row r="139">
          <cell r="A139" t="str">
            <v>Martorelles</v>
          </cell>
        </row>
        <row r="140">
          <cell r="A140" t="str">
            <v>Roda de Ter</v>
          </cell>
        </row>
        <row r="141">
          <cell r="A141" t="str">
            <v>Montmeló</v>
          </cell>
        </row>
        <row r="142">
          <cell r="A142" t="str">
            <v>Cercs</v>
          </cell>
        </row>
        <row r="143">
          <cell r="A143" t="str">
            <v>Sant Salvador de Guardiola</v>
          </cell>
        </row>
        <row r="144">
          <cell r="A144" t="str">
            <v>Olivella</v>
          </cell>
        </row>
        <row r="145">
          <cell r="A145" t="str">
            <v>Prats de Lluçanès</v>
          </cell>
        </row>
        <row r="146">
          <cell r="A146" t="str">
            <v>Tiana</v>
          </cell>
        </row>
        <row r="147">
          <cell r="A147" t="str">
            <v>Alpens</v>
          </cell>
        </row>
        <row r="148">
          <cell r="A148" t="str">
            <v>Avinyó</v>
          </cell>
        </row>
        <row r="149">
          <cell r="A149" t="str">
            <v>Palafolls</v>
          </cell>
        </row>
        <row r="150">
          <cell r="A150" t="str">
            <v>Sant Quirze de Besora</v>
          </cell>
        </row>
        <row r="151">
          <cell r="A151" t="str">
            <v>Moià</v>
          </cell>
        </row>
        <row r="152">
          <cell r="A152" t="str">
            <v>Castellterçol</v>
          </cell>
        </row>
        <row r="153">
          <cell r="A153" t="str">
            <v>Font-rubí</v>
          </cell>
        </row>
        <row r="154">
          <cell r="A154" t="str">
            <v>Bagà</v>
          </cell>
        </row>
        <row r="155">
          <cell r="A155" t="str">
            <v>Sant Cugat del Vallès</v>
          </cell>
        </row>
        <row r="156">
          <cell r="A156" t="str">
            <v>Sant Martí de Tous</v>
          </cell>
        </row>
        <row r="157">
          <cell r="A157" t="str">
            <v>Cornellà de Llobregat</v>
          </cell>
        </row>
        <row r="158">
          <cell r="A158" t="str">
            <v>Montcada i Reixac</v>
          </cell>
        </row>
        <row r="159">
          <cell r="A159" t="str">
            <v>Santa Eulàlia de Riuprimer</v>
          </cell>
        </row>
        <row r="160">
          <cell r="A160" t="str">
            <v>Mediona</v>
          </cell>
        </row>
        <row r="161">
          <cell r="A161" t="str">
            <v>Santa Margarida de Montbui</v>
          </cell>
        </row>
        <row r="162">
          <cell r="A162" t="str">
            <v>Cabrera d'Anoia</v>
          </cell>
        </row>
        <row r="163">
          <cell r="A163" t="str">
            <v>Tordera</v>
          </cell>
        </row>
        <row r="164">
          <cell r="A164" t="str">
            <v>Sant Llorenç Savall</v>
          </cell>
        </row>
        <row r="165">
          <cell r="A165" t="str">
            <v>Sant Pere Sallavinera</v>
          </cell>
        </row>
        <row r="166">
          <cell r="A166" t="str">
            <v>Vallirana</v>
          </cell>
        </row>
        <row r="167">
          <cell r="A167" t="str">
            <v>Sant Celoni</v>
          </cell>
        </row>
        <row r="168">
          <cell r="A168" t="str">
            <v>Santa Maria de Miralles</v>
          </cell>
        </row>
        <row r="169">
          <cell r="A169" t="str">
            <v>Olost</v>
          </cell>
        </row>
        <row r="170">
          <cell r="A170" t="str">
            <v>Gelida</v>
          </cell>
        </row>
        <row r="171">
          <cell r="A171" t="str">
            <v>Sant Fost de Campsentelles</v>
          </cell>
        </row>
        <row r="172">
          <cell r="A172" t="str">
            <v>Muntanyola</v>
          </cell>
        </row>
        <row r="173">
          <cell r="A173" t="str">
            <v>Collbató</v>
          </cell>
        </row>
        <row r="174">
          <cell r="A174" t="str">
            <v>Torrelles de Foix</v>
          </cell>
        </row>
        <row r="175">
          <cell r="A175" t="str">
            <v>Santa Susanna</v>
          </cell>
        </row>
        <row r="176">
          <cell r="A176" t="str">
            <v>Gurb</v>
          </cell>
        </row>
        <row r="177">
          <cell r="A177" t="str">
            <v>Rupit i Pruit</v>
          </cell>
        </row>
        <row r="178">
          <cell r="A178" t="str">
            <v>Caldes d'Estrac</v>
          </cell>
        </row>
        <row r="179">
          <cell r="A179" t="str">
            <v>Pacs del Penedès</v>
          </cell>
        </row>
        <row r="180">
          <cell r="A180" t="str">
            <v>Sant Bartomeu del Grau</v>
          </cell>
        </row>
        <row r="181">
          <cell r="A181" t="str">
            <v>Sora</v>
          </cell>
        </row>
        <row r="182">
          <cell r="A182" t="str">
            <v>Cardedeu</v>
          </cell>
        </row>
        <row r="183">
          <cell r="A183" t="str">
            <v>Vilassar de Dalt</v>
          </cell>
        </row>
        <row r="184">
          <cell r="A184" t="str">
            <v>Navarcles</v>
          </cell>
        </row>
        <row r="185">
          <cell r="A185" t="str">
            <v>Monistrol de Montserrat</v>
          </cell>
        </row>
        <row r="186">
          <cell r="A186" t="str">
            <v>Orís</v>
          </cell>
        </row>
        <row r="187">
          <cell r="A187" t="str">
            <v>Castell de l'Areny</v>
          </cell>
        </row>
        <row r="188">
          <cell r="A188" t="str">
            <v>Manresa</v>
          </cell>
        </row>
        <row r="189">
          <cell r="A189" t="str">
            <v>Sant Andreu de la Barca</v>
          </cell>
        </row>
        <row r="190">
          <cell r="A190" t="str">
            <v>Castellet i la Gornal</v>
          </cell>
        </row>
        <row r="191">
          <cell r="A191" t="str">
            <v>Sant Antoni de Vilamajor</v>
          </cell>
        </row>
        <row r="192">
          <cell r="A192" t="str">
            <v>Sant Quirze del Vallès</v>
          </cell>
        </row>
        <row r="193">
          <cell r="A193" t="str">
            <v>Navàs</v>
          </cell>
        </row>
        <row r="194">
          <cell r="A194" t="str">
            <v>Santa Margarida i els Monjos</v>
          </cell>
        </row>
        <row r="195">
          <cell r="A195" t="str">
            <v>Viladecavalls</v>
          </cell>
        </row>
        <row r="196">
          <cell r="A196" t="str">
            <v>Vilanova del Vallès</v>
          </cell>
        </row>
        <row r="197">
          <cell r="A197" t="str">
            <v>Tona</v>
          </cell>
        </row>
        <row r="198">
          <cell r="A198" t="str">
            <v>Pontons</v>
          </cell>
        </row>
        <row r="199">
          <cell r="A199" t="str">
            <v>Premià de Mar</v>
          </cell>
        </row>
        <row r="200">
          <cell r="A200" t="str">
            <v>Sant Pere de Torelló</v>
          </cell>
        </row>
        <row r="201">
          <cell r="A201" t="str">
            <v>Castellví de la Marca</v>
          </cell>
        </row>
        <row r="202">
          <cell r="A202" t="str">
            <v>Olesa de Montserrat</v>
          </cell>
        </row>
        <row r="203">
          <cell r="A203" t="str">
            <v>Sant Joan de Vilatorrada</v>
          </cell>
        </row>
        <row r="204">
          <cell r="A204" t="str">
            <v>Sant Just Desvern</v>
          </cell>
        </row>
        <row r="205">
          <cell r="A205" t="str">
            <v>Sant Andreu de Llavaneres</v>
          </cell>
        </row>
        <row r="206">
          <cell r="A206" t="str">
            <v>Sant Iscle de Vallalta</v>
          </cell>
        </row>
        <row r="207">
          <cell r="A207" t="str">
            <v>Òdena</v>
          </cell>
        </row>
        <row r="208">
          <cell r="A208" t="str">
            <v>Olèrdola</v>
          </cell>
        </row>
        <row r="209">
          <cell r="A209" t="str">
            <v>Sant Esteve Sesrovires</v>
          </cell>
        </row>
        <row r="210">
          <cell r="A210" t="str">
            <v>Sant Pol de Mar</v>
          </cell>
        </row>
        <row r="211">
          <cell r="A211" t="str">
            <v>Matadepera</v>
          </cell>
        </row>
        <row r="212">
          <cell r="A212" t="str">
            <v>Canovelles</v>
          </cell>
        </row>
        <row r="213">
          <cell r="A213" t="str">
            <v>Canyelles</v>
          </cell>
        </row>
        <row r="214">
          <cell r="A214" t="str">
            <v>Corbera de Llobregat</v>
          </cell>
        </row>
        <row r="215">
          <cell r="A215" t="str">
            <v>Sant Hipòlit de Voltregà</v>
          </cell>
        </row>
        <row r="216">
          <cell r="A216" t="str">
            <v>Sant Mateu de Bages</v>
          </cell>
        </row>
        <row r="217">
          <cell r="A217" t="str">
            <v>Sant Vicenç de Montalt</v>
          </cell>
        </row>
        <row r="218">
          <cell r="A218" t="str">
            <v>Vilanova del Camí</v>
          </cell>
        </row>
        <row r="219">
          <cell r="A219" t="str">
            <v>Olvan</v>
          </cell>
        </row>
        <row r="220">
          <cell r="A220" t="str">
            <v>Torelló</v>
          </cell>
        </row>
        <row r="221">
          <cell r="A221" t="str">
            <v>Malgrat de Mar</v>
          </cell>
        </row>
        <row r="222">
          <cell r="A222" t="str">
            <v>Sant Boi de Lluçanès</v>
          </cell>
        </row>
        <row r="223">
          <cell r="A223" t="str">
            <v>Gavà</v>
          </cell>
        </row>
        <row r="224">
          <cell r="A224" t="str">
            <v>Masquefa</v>
          </cell>
        </row>
        <row r="225">
          <cell r="A225" t="str">
            <v>Granollers</v>
          </cell>
        </row>
        <row r="226">
          <cell r="A226" t="str">
            <v>Sant Boi de Llobregat</v>
          </cell>
        </row>
        <row r="227">
          <cell r="A227" t="str">
            <v>Santpedor</v>
          </cell>
        </row>
        <row r="228">
          <cell r="A228" t="str">
            <v>Sant Esteve de Palautordera</v>
          </cell>
        </row>
        <row r="229">
          <cell r="A229" t="str">
            <v>Puig-reig</v>
          </cell>
        </row>
        <row r="230">
          <cell r="A230" t="str">
            <v>Sant Martí Sarroca</v>
          </cell>
        </row>
        <row r="231">
          <cell r="A231" t="str">
            <v>Cardona</v>
          </cell>
        </row>
      </sheetData>
      <sheetData sheetId="2">
        <row r="10">
          <cell r="B10" t="str">
            <v>ABELLA DE LA CONCA</v>
          </cell>
        </row>
      </sheetData>
      <sheetData sheetId="3"/>
      <sheetData sheetId="4"/>
      <sheetData sheetId="5"/>
      <sheetData sheetId="6"/>
      <sheetData sheetId="7"/>
      <sheetData sheetId="8"/>
      <sheetData sheetId="9"/>
      <sheetData sheetId="10"/>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melcionfc" refreshedDate="43292.46329861111" createdVersion="4" refreshedVersion="4" minRefreshableVersion="3" recordCount="3558">
  <cacheSource type="worksheet">
    <worksheetSource ref="A2:L3560" sheet="cultius"/>
  </cacheSource>
  <cacheFields count="12">
    <cacheField name="CODI INE" numFmtId="0">
      <sharedItems count="297">
        <s v="08001"/>
        <s v="08002"/>
        <s v="08014"/>
        <s v="08003"/>
        <s v="08004"/>
        <s v="08005"/>
        <s v="08006"/>
        <s v="08007"/>
        <s v="08008"/>
        <s v="08009"/>
        <s v="08010"/>
        <s v="08011"/>
        <s v="08012"/>
        <s v="08013"/>
        <s v="08015"/>
        <s v="08016"/>
        <s v="08017"/>
        <s v="08018"/>
        <s v="08252"/>
        <s v="08019"/>
        <s v="08020"/>
        <s v="08021"/>
        <s v="08022"/>
        <s v="08023"/>
        <s v="08024"/>
        <s v="08025"/>
        <s v="08026"/>
        <s v="08027"/>
        <s v="08029"/>
        <s v="08028"/>
        <s v="08030"/>
        <s v="08031"/>
        <s v="08034"/>
        <s v="08033"/>
        <s v="08035"/>
        <s v="08037"/>
        <s v="08038"/>
        <s v="08036"/>
        <s v="08039"/>
        <s v="08040"/>
        <s v="08041"/>
        <s v="08042"/>
        <s v="08043"/>
        <s v="08044"/>
        <s v="08045"/>
        <s v="08046"/>
        <s v="08047"/>
        <s v="08048"/>
        <s v="08049"/>
        <s v="08057"/>
        <s v="08050"/>
        <s v="08051"/>
        <s v="08053"/>
        <s v="08054"/>
        <s v="08055"/>
        <s v="08056"/>
        <s v="08058"/>
        <s v="08060"/>
        <s v="08059"/>
        <s v="08061"/>
        <s v="08062"/>
        <s v="08063"/>
        <s v="08064"/>
        <s v="08065"/>
        <s v="08066"/>
        <s v="08067"/>
        <s v="08268"/>
        <s v="08266"/>
        <s v="08068"/>
        <s v="08069"/>
        <s v="08070"/>
        <s v="08071"/>
        <s v="08073"/>
        <s v="08074"/>
        <s v="08075"/>
        <s v="08076"/>
        <s v="08078"/>
        <s v="08079"/>
        <s v="08134"/>
        <s v="08082"/>
        <s v="08081"/>
        <s v="08083"/>
        <s v="08084"/>
        <s v="08085"/>
        <s v="08086"/>
        <s v="08090"/>
        <s v="08087"/>
        <s v="08088"/>
        <s v="08089"/>
        <s v="08091"/>
        <s v="08092"/>
        <s v="08094"/>
        <s v="08095"/>
        <s v="08096"/>
        <s v="08097"/>
        <s v="08099"/>
        <s v="08100"/>
        <s v="08101"/>
        <s v="08162"/>
        <s v="08102"/>
        <s v="08103"/>
        <s v="08104"/>
        <s v="08107"/>
        <s v="08108"/>
        <s v="08106"/>
        <s v="08109"/>
        <s v="08110"/>
        <s v="08111"/>
        <s v="08112"/>
        <s v="08113"/>
        <s v="08242"/>
        <s v="08114"/>
        <s v="08116"/>
        <s v="08117"/>
        <s v="08118"/>
        <s v="08119"/>
        <s v="08120"/>
        <s v="08121"/>
        <s v="08122"/>
        <s v="08138"/>
        <s v="08123"/>
        <s v="08124"/>
        <s v="08128"/>
        <s v="08127"/>
        <s v="08125"/>
        <s v="08130"/>
        <s v="08131"/>
        <s v="08126"/>
        <s v="08132"/>
        <s v="08133"/>
        <s v="08135"/>
        <s v="08136"/>
        <s v="08137"/>
        <s v="08129"/>
        <s v="08139"/>
        <s v="08140"/>
        <s v="08141"/>
        <s v="08142"/>
        <s v="08143"/>
        <s v="08145"/>
        <s v="08146"/>
        <s v="08147"/>
        <s v="08148"/>
        <s v="08149"/>
        <s v="08144"/>
        <s v="08150"/>
        <s v="08151"/>
        <s v="08152"/>
        <s v="08153"/>
        <s v="08154"/>
        <s v="08155"/>
        <s v="08156"/>
        <s v="08157"/>
        <s v="08905"/>
        <s v="08158"/>
        <s v="08159"/>
        <s v="08160"/>
        <s v="08161"/>
        <s v="08163"/>
        <s v="08164"/>
        <s v="08165"/>
        <s v="08166"/>
        <s v="08167"/>
        <s v="08182"/>
        <s v="08168"/>
        <s v="08169"/>
        <s v="08171"/>
        <s v="08170"/>
        <s v="08230"/>
        <s v="08172"/>
        <s v="08174"/>
        <s v="08175"/>
        <s v="08176"/>
        <s v="08177"/>
        <s v="08178"/>
        <s v="08179"/>
        <s v="08180"/>
        <s v="08181"/>
        <s v="08183"/>
        <s v="08184"/>
        <s v="08185"/>
        <s v="08901"/>
        <s v="08187"/>
        <s v="08188"/>
        <s v="08190"/>
        <s v="08191"/>
        <s v="08195"/>
        <s v="08197"/>
        <s v="08198"/>
        <s v="08199"/>
        <s v="08200"/>
        <s v="08201"/>
        <s v="08203"/>
        <s v="08202"/>
        <s v="08204"/>
        <s v="08205"/>
        <s v="08206"/>
        <s v="08207"/>
        <s v="08208"/>
        <s v="08210"/>
        <s v="08211"/>
        <s v="08212"/>
        <s v="08209"/>
        <s v="08213"/>
        <s v="08215"/>
        <s v="08193"/>
        <s v="08216"/>
        <s v="08218"/>
        <s v="08217"/>
        <s v="08903"/>
        <s v="08220"/>
        <s v="08221"/>
        <s v="08222"/>
        <s v="08223"/>
        <s v="08225"/>
        <s v="08224"/>
        <s v="08226"/>
        <s v="08227"/>
        <s v="08228"/>
        <s v="08229"/>
        <s v="08231"/>
        <s v="08232"/>
        <s v="08233"/>
        <s v="08234"/>
        <s v="08189"/>
        <s v="08235"/>
        <s v="08236"/>
        <s v="08237"/>
        <s v="08238"/>
        <s v="08239"/>
        <s v="08240"/>
        <s v="08241"/>
        <s v="08098"/>
        <s v="08262"/>
        <s v="08264"/>
        <s v="08265"/>
        <s v="08263"/>
        <s v="08243"/>
        <s v="08244"/>
        <s v="08246"/>
        <s v="08247"/>
        <s v="08248"/>
        <s v="08249"/>
        <s v="08250"/>
        <s v="08251"/>
        <s v="08253"/>
        <s v="08254"/>
        <s v="08255"/>
        <s v="08257"/>
        <s v="08259"/>
        <s v="08258"/>
        <s v="08260"/>
        <s v="08261"/>
        <s v="08192"/>
        <s v="08267"/>
        <s v="08269"/>
        <s v="08270"/>
        <s v="08271"/>
        <s v="08272"/>
        <s v="08273"/>
        <s v="08274"/>
        <s v="08276"/>
        <s v="08277"/>
        <s v="08278"/>
        <s v="08275"/>
        <s v="08280"/>
        <s v="08281"/>
        <s v="08279"/>
        <s v="08282"/>
        <s v="08283"/>
        <s v="08284"/>
        <s v="08285"/>
        <s v="08286"/>
        <s v="08287"/>
        <s v="08288"/>
        <s v="08289"/>
        <s v="08290"/>
        <s v="08291"/>
        <s v="08292"/>
        <s v="08293"/>
        <s v="08294"/>
        <s v="08296"/>
        <s v="08297"/>
        <s v="08298"/>
        <s v="08299"/>
        <s v="08301"/>
        <s v="08300"/>
        <s v="08305"/>
        <s v="08306"/>
        <s v="08303"/>
        <s v="08302"/>
        <s v="08902"/>
        <s v="08307"/>
        <s v="08214"/>
        <s v="08219"/>
        <s v="08304"/>
        <s v="08308"/>
      </sharedItems>
    </cacheField>
    <cacheField name="MUNICIPI" numFmtId="0">
      <sharedItems count="297">
        <s v="Abrera"/>
        <s v="Aguilar de Segarra"/>
        <s v="Aiguafreda"/>
        <s v="Alella"/>
        <s v="Alpens"/>
        <s v="Ametlla del Vallès"/>
        <s v="Arenys de Mar"/>
        <s v="Arenys de Munt"/>
        <s v="Argençola"/>
        <s v="Argentona"/>
        <s v="Artés"/>
        <s v="Avià"/>
        <s v="Avinyó"/>
        <s v="Avinyonet del Penedès"/>
        <s v="Badalona"/>
        <s v="Bagà"/>
        <s v="Balenyà"/>
        <s v="Balsareny"/>
        <s v="Barberà del Vallès"/>
        <s v="Barcelona"/>
        <s v="Begues"/>
        <s v="Bellprat"/>
        <s v="Berga"/>
        <s v="Bigues i Riells"/>
        <s v="Borredà"/>
        <s v="Bruc"/>
        <s v="Brull"/>
        <s v="Cabanyes"/>
        <s v="Cabrera de Mar"/>
        <s v="Cabrera d'Igualada"/>
        <s v="Cabrils"/>
        <s v="Calaf"/>
        <s v="Calders"/>
        <s v="Caldes de Montbui"/>
        <s v="Calella"/>
        <s v="Calldetenes"/>
        <s v="Callús"/>
        <s v="Calonge de Segarra"/>
        <s v="Campins"/>
        <s v="Canet de Mar"/>
        <s v="Canovelles"/>
        <s v="Cànoves i Samalús"/>
        <s v="Canyelles"/>
        <s v="Capellades"/>
        <s v="Capolat"/>
        <s v="Cardedeu"/>
        <s v="Cardona"/>
        <s v="Carme"/>
        <s v="Casserres"/>
        <s v="Castell de l'Areny"/>
        <s v="Castellar del Riu"/>
        <s v="Castellar del Vallès"/>
        <s v="Castellbell i el Vilar"/>
        <s v="Castellbisbal"/>
        <s v="Castellcir"/>
        <s v="Castelldefels"/>
        <s v="Castellet i la Gornal"/>
        <s v="Castellfollit de Riubregós"/>
        <s v="Castellfollit del Boix"/>
        <s v="Castellgalí"/>
        <s v="Castellnou de Bages"/>
        <s v="Castellolí"/>
        <s v="Castellterçol"/>
        <s v="Castellví de la Marca"/>
        <s v="Castellví de Rosanes"/>
        <s v="Centelles"/>
        <s v="Cercs"/>
        <s v="Cerdanyola del Vallès"/>
        <s v="Cervelló"/>
        <s v="Collbató"/>
        <s v="Collsuspina"/>
        <s v="Copons"/>
        <s v="Cornellà de Llobregat"/>
        <s v="Cubelles"/>
        <s v="Dosrius"/>
        <s v="Esparreguera"/>
        <s v="Espunyola"/>
        <s v="Estany"/>
        <s v="Figaró-Montmany"/>
        <s v="Fogars de la Selva"/>
        <s v="Fogars de Montclús"/>
        <s v="Folgueroles"/>
        <s v="Fonollosa"/>
        <s v="Font-rubí"/>
        <s v="Franqueses del Vallès"/>
        <s v="Gaià"/>
        <s v="Gallifa"/>
        <s v="Garriga"/>
        <s v="Gavà"/>
        <s v="Gelida"/>
        <s v="Gironella"/>
        <s v="Granada"/>
        <s v="Granera"/>
        <s v="Granollers"/>
        <s v="Gualba"/>
        <s v="Guardiola de Berguedà"/>
        <s v="Gurb"/>
        <s v="Hospitalet de Llobregat"/>
        <s v="Hostalets de Pierola"/>
        <s v="Igualada"/>
        <s v="Jorba"/>
        <s v="Llacuna"/>
        <s v="Lliçà d'Amunt"/>
        <s v="Lliçà de Vall"/>
        <s v="Llinars del Vallès"/>
        <s v="Lluçà"/>
        <s v="Malgrat de Mar"/>
        <s v="Malla"/>
        <s v="Manlleu"/>
        <s v="Manresa"/>
        <s v="Marganell"/>
        <s v="Martorell"/>
        <s v="Masies de Roda"/>
        <s v="Masies de Voltregà"/>
        <s v="Masnou"/>
        <s v="Masquefa"/>
        <s v="Matadepera"/>
        <s v="Mataró"/>
        <s v="Mediona"/>
        <s v="Moià"/>
        <s v="Molins de Rei"/>
        <s v="Mollet del Vallès"/>
        <s v="Monistrol de Calders"/>
        <s v="Monistrol de Montserrat"/>
        <s v="Montcada i Reixac"/>
        <s v="Montclar"/>
        <s v="Montesquiu"/>
        <s v="Montgat"/>
        <s v="Montmajor"/>
        <s v="Montmaneu"/>
        <s v="Montmeló"/>
        <s v="Montornès del Vallès"/>
        <s v="Montseny"/>
        <s v="Muntanyola"/>
        <s v="Mura"/>
        <s v="Navarcles"/>
        <s v="Navàs"/>
        <s v="Nou de Berguedà"/>
        <s v="Òdena"/>
        <s v="Olèrdola"/>
        <s v="Olesa de Bonesvalls"/>
        <s v="Olesa de Montserrat"/>
        <s v="Olivella"/>
        <s v="Olost"/>
        <s v="Olvan"/>
        <s v="Orís"/>
        <s v="Oristà"/>
        <s v="Orpí"/>
        <s v="Òrrius"/>
        <s v="Pacs del Penedès"/>
        <s v="Palafolls"/>
        <s v="Palau-solità i Plegamans"/>
        <s v="Pallejà"/>
        <s v="Palma de Cervelló"/>
        <s v="Papiol"/>
        <s v="Parets del Vallès"/>
        <s v="Perafita"/>
        <s v="Piera"/>
        <s v="Pineda de Mar"/>
        <s v="Pla del Penedès"/>
        <s v="Pobla de Claramunt"/>
        <s v="Pobla de Lillet"/>
        <s v="Polinyà"/>
        <s v="Pont de Vilomara i Rocafort"/>
        <s v="Pontons"/>
        <s v="Prat de Llobregat"/>
        <s v="Prats de Lluçanès"/>
        <s v="Prats de Rei"/>
        <s v="Premià de Dalt"/>
        <s v="Premià de Mar"/>
        <s v="Puigdàlber"/>
        <s v="Puig-reig"/>
        <s v="Pujalt"/>
        <s v="Quar"/>
        <s v="Rajadell"/>
        <s v="Rellinars"/>
        <s v="Ripollet"/>
        <s v="Roca del Vallès"/>
        <s v="Roda de Ter"/>
        <s v="Rubí"/>
        <s v="Rubió"/>
        <s v="Rupit i Pruit"/>
        <s v="Sabadell"/>
        <s v="Sagàs"/>
        <s v="Saldes"/>
        <s v="Sallent"/>
        <s v="Sant Agustí de Lluçanès"/>
        <s v="Sant Andreu de Llavaneres"/>
        <s v="Sant Antoni de Vilamajor"/>
        <s v="Sant Bartomeu del Grau"/>
        <s v="Sant Boi de Llobregat"/>
        <s v="Sant Boi de Lluçanès"/>
        <s v="Sant Cebrià de Vallalta"/>
        <s v="Sant Celoni"/>
        <s v="Sant Climent de Llobregat"/>
        <s v="Sant Cugat del Vallès"/>
        <s v="Sant Cugat Sesgarrigues"/>
        <s v="Sant Esteve de Palautordera"/>
        <s v="Sant Esteve Sesrovires"/>
        <s v="Sant Feliu de Codines"/>
        <s v="Sant Feliu de Llobregat"/>
        <s v="Sant Feliu Sasserra"/>
        <s v="Sant Fost de Campsentelles"/>
        <s v="Sant Fruitós de Bages"/>
        <s v="Sant Hipòlit de Voltregà"/>
        <s v="Sant Iscle de Vallalta"/>
        <s v="Sant Jaume de Frontanyà"/>
        <s v="Sant Joan de Vilatorrada"/>
        <s v="Sant Joan Despí"/>
        <s v="Sant Julià de Cerdanyola"/>
        <s v="Sant Julià de Vilatorta"/>
        <s v="Sant Just Desvern"/>
        <s v="Sant Llorenç d'Hortons"/>
        <s v="Sant Llorenç Savall"/>
        <s v="Sant Martí d'Albars"/>
        <s v="Sant Martí de Centelles"/>
        <s v="Sant Martí de Tous"/>
        <s v="Sant Martí Sarroca"/>
        <s v="Sant Martí Sesgueioles"/>
        <s v="Sant Mateu de Bages"/>
        <s v="Sant Pere de Ribes"/>
        <s v="Sant Pere de Riudebitlles"/>
        <s v="Sant Pere de Torelló"/>
        <s v="Sant Pere de Vilamajor"/>
        <s v="Sant Pere Sallavinera"/>
        <s v="Sant Pol de Mar"/>
        <s v="Sant Quintí de Mediona"/>
        <s v="Sant Quirze de Besora"/>
        <s v="Sant Quirze del Vallès"/>
        <s v="Sant Quirze Safaja"/>
        <s v="Sant Sadurní d'Anoia"/>
        <s v="Sant Sadurní d'Osormort"/>
        <s v="Sant Salvador de Guardiola"/>
        <s v="Sant Vicenç de Castellet"/>
        <s v="Sant Vicenç de Montalt"/>
        <s v="Sant Vicenç de Torelló"/>
        <s v="Sant Vicenç dels Horts"/>
        <s v="Santa Cecília de Voltregà"/>
        <s v="Santa Coloma de Cervelló"/>
        <s v="Santa Eugènia de Berga"/>
        <s v="Santa Eulàlia de Riuprimer"/>
        <s v="Santa Eulàlia de Ronçana"/>
        <s v="Santa Fe del Penedès"/>
        <s v="Santa Margarida de Montbui"/>
        <s v="Santa Margarida i els Monjos"/>
        <s v="Santa Maria de Besora"/>
        <s v="Santa Maria de Corcó"/>
        <s v="Santa Maria de Merlès"/>
        <s v="Santa Maria de Miralles"/>
        <s v="Santa Maria de Palautordera"/>
        <s v="Santa Maria d'Oló"/>
        <s v="Santa Perpètua de Mogoda"/>
        <s v="Santa Susanna"/>
        <s v="Santpedor"/>
        <s v="Sentmenat"/>
        <s v="Seva"/>
        <s v="Sitges"/>
        <s v="Sobremunt"/>
        <s v="Sora"/>
        <s v="Subirats"/>
        <s v="Súria"/>
        <s v="Tagamanent"/>
        <s v="Talamanca"/>
        <s v="Taradell"/>
        <s v="Tavèrnoles"/>
        <s v="Tavertet"/>
        <s v="Teià"/>
        <s v="Terrassa"/>
        <s v="Tiana"/>
        <s v="Tona"/>
        <s v="Tordera"/>
        <s v="Torelló"/>
        <s v="Torre de Claramunt"/>
        <s v="Torrelavit"/>
        <s v="Torrelles de Foix"/>
        <s v="Torrelles de Llobregat"/>
        <s v="Ullastrell"/>
        <s v="Vacarisses"/>
        <s v="Vallbona d'Anoia"/>
        <s v="Vallcebre"/>
        <s v="Vallgorguina"/>
        <s v="Vallromanes"/>
        <s v="Veciana"/>
        <s v="Vic"/>
        <s v="Vilada"/>
        <s v="Viladecans"/>
        <s v="Viladecavalls"/>
        <s v="Vilafranca del Penedès"/>
        <s v="Vilalba Sasserra"/>
        <s v="Vilanova de Sau"/>
        <s v="Vilanova del Camí"/>
        <s v="Vilanova del Vallès"/>
        <s v="Vilanova i la Geltrú"/>
        <s v="Vilassar de Dalt"/>
        <s v="Vilassar de Mar"/>
        <s v="Vilobí del Penedès"/>
        <s v="Viver i Serrateix"/>
      </sharedItems>
    </cacheField>
    <cacheField name="GRUP CONREU" numFmtId="0">
      <sharedItems count="7">
        <s v="CEREALS GRA"/>
        <s v="CULTIUS FARRATGERS"/>
        <s v="LLEGUMINOSES GRA"/>
        <s v="CULTIUS INDUSTRIALS"/>
        <s v="HORTALISSES"/>
        <s v="FLORS I PLANTES ORNAMENTALS"/>
        <s v="TUBERCLES CONSUM HUMÀ"/>
      </sharedItems>
    </cacheField>
    <cacheField name="CONREU" numFmtId="0">
      <sharedItems/>
    </cacheField>
    <cacheField name="OCUPACIÓ PRIMERA (HA)" numFmtId="0">
      <sharedItems containsSemiMixedTypes="0" containsString="0" containsNumber="1" containsInteger="1" minValue="0" maxValue="975"/>
    </cacheField>
    <cacheField name="OCUPACIÓ POSTERIOR  (HA)" numFmtId="0">
      <sharedItems containsSemiMixedTypes="0" containsString="0" containsNumber="1" containsInteger="1" minValue="0" maxValue="232"/>
    </cacheField>
    <cacheField name="OCUPACIÓ ASSOCIADA  (HA)" numFmtId="0">
      <sharedItems containsSemiMixedTypes="0" containsString="0" containsNumber="1" containsInteger="1" minValue="0" maxValue="0"/>
    </cacheField>
    <cacheField name="Total sec" numFmtId="0">
      <sharedItems containsSemiMixedTypes="0" containsString="0" containsNumber="1" containsInteger="1" minValue="0" maxValue="975"/>
    </cacheField>
    <cacheField name=" OCUPACIÓ PRIMERA  (HA)" numFmtId="0">
      <sharedItems containsSemiMixedTypes="0" containsString="0" containsNumber="1" containsInteger="1" minValue="0" maxValue="165"/>
    </cacheField>
    <cacheField name="OCUPACIÓ  POSTERIOR  (HA)" numFmtId="0">
      <sharedItems containsSemiMixedTypes="0" containsString="0" containsNumber="1" containsInteger="1" minValue="0" maxValue="92"/>
    </cacheField>
    <cacheField name="OCUPACIÓ  ASSOCIADA  (HA)" numFmtId="0">
      <sharedItems containsSemiMixedTypes="0" containsString="0" containsNumber="1" containsInteger="1" minValue="0" maxValue="0"/>
    </cacheField>
    <cacheField name="Total Reg" numFmtId="0">
      <sharedItems containsSemiMixedTypes="0" containsString="0" containsNumber="1" containsInteger="1" minValue="0" maxValue="16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elcionfc" refreshedDate="43473.608977777774" createdVersion="4" refreshedVersion="4" minRefreshableVersion="3" recordCount="311">
  <cacheSource type="worksheet">
    <worksheetSource ref="A3:Z314" sheet="global dades"/>
  </cacheSource>
  <cacheFields count="26">
    <cacheField name="INE" numFmtId="0">
      <sharedItems containsSemiMixedTypes="0" containsString="0" containsNumber="1" containsInteger="1" minValue="8001" maxValue="8905"/>
    </cacheField>
    <cacheField name="Municipi" numFmtId="0">
      <sharedItems/>
    </cacheField>
    <cacheField name="Costos sanitaris dels cops de calor" numFmtId="4">
      <sharedItems containsSemiMixedTypes="0" containsString="0" containsNumber="1" minValue="0" maxValue="2157.6794509136507"/>
    </cacheField>
    <cacheField name="Costos dels incendis forestals" numFmtId="2">
      <sharedItems containsSemiMixedTypes="0" containsString="0" containsNumber="1" minValue="0" maxValue="14.067980793404509"/>
    </cacheField>
    <cacheField name="Costos de l’aigua d'abastament" numFmtId="4">
      <sharedItems containsSemiMixedTypes="0" containsString="0" containsNumber="1" minValue="5.5075184437333334E-3" maxValue="4487.2156251274428"/>
    </cacheField>
    <cacheField name="Costos per a l'agricultura" numFmtId="0">
      <sharedItems containsSemiMixedTypes="0" containsString="0" containsNumber="1" minValue="0" maxValue="19.880553124999999"/>
    </cacheField>
    <cacheField name="Costos per a la ramaderia" numFmtId="0">
      <sharedItems containsSemiMixedTypes="0" containsString="0" containsNumber="1" minValue="0" maxValue="66.412943999999996"/>
    </cacheField>
    <cacheField name="Costos de les inundacions " numFmtId="0">
      <sharedItems containsSemiMixedTypes="0" containsString="0" containsNumber="1" minValue="0" maxValue="944.36469567810002"/>
    </cacheField>
    <cacheField name="Costos de reposició de sorres i reparació de platges" numFmtId="4">
      <sharedItems containsMixedTypes="1" containsNumber="1" minValue="0.1520721649484536" maxValue="47.33850000000001"/>
    </cacheField>
    <cacheField name="Costos sanitaris dels cops de calor2" numFmtId="4">
      <sharedItems containsSemiMixedTypes="0" containsString="0" containsNumber="1" minValue="0" maxValue="12769.206532382193"/>
    </cacheField>
    <cacheField name="Costos dels incendis forestals2" numFmtId="4">
      <sharedItems containsSemiMixedTypes="0" containsString="0" containsNumber="1" minValue="0" maxValue="38.686947181862401"/>
    </cacheField>
    <cacheField name="Costos de l’aigua d'abastament2" numFmtId="4">
      <sharedItems containsSemiMixedTypes="0" containsString="0" containsNumber="1" minValue="7.9655839839573341E-3" maxValue="8243.6501849209053"/>
    </cacheField>
    <cacheField name="Costos per a l'agricultura2" numFmtId="2">
      <sharedItems containsSemiMixedTypes="0" containsString="0" containsNumber="1" minValue="6.2424576989515666E-2" maxValue="101.27894016879868"/>
    </cacheField>
    <cacheField name="Costos per a la ramaderia2" numFmtId="2">
      <sharedItems containsSemiMixedTypes="0" containsString="0" containsNumber="1" minValue="0" maxValue="76.175646767999993"/>
    </cacheField>
    <cacheField name="Costos de les inundacions 2" numFmtId="0">
      <sharedItems containsSemiMixedTypes="0" containsString="0" containsNumber="1" minValue="0" maxValue="1269.3229899743999"/>
    </cacheField>
    <cacheField name="Costos de reposició de sorres i reparació de platges2" numFmtId="2">
      <sharedItems containsMixedTypes="1" containsNumber="1" minValue="0.17551375658907498" maxValue="54.635626244343889"/>
    </cacheField>
    <cacheField name="Costos sanitaris dels cops de calor3" numFmtId="4">
      <sharedItems containsSemiMixedTypes="0" containsString="0" containsNumber="1" minValue="0" maxValue="10611.527081468543"/>
    </cacheField>
    <cacheField name="Costos dels incendis forestals3" numFmtId="0">
      <sharedItems containsSemiMixedTypes="0" containsString="0" containsNumber="1" minValue="0" maxValue="24.618966388457892"/>
    </cacheField>
    <cacheField name="Costos de l’aigua subministrada al sector residencial" numFmtId="4">
      <sharedItems containsSemiMixedTypes="0" containsString="0" containsNumber="1" minValue="2.4580655402240007E-3" maxValue="3756.4345597934625"/>
    </cacheField>
    <cacheField name="Costos per a l'agricultura3" numFmtId="0">
      <sharedItems containsSemiMixedTypes="0" containsString="0" containsNumber="1" minValue="6.2424576989515666E-2" maxValue="88.777440793798689"/>
    </cacheField>
    <cacheField name="Costos de la ramaderia" numFmtId="0">
      <sharedItems containsSemiMixedTypes="0" containsString="0" containsNumber="1" minValue="0" maxValue="9.7627027679999969"/>
    </cacheField>
    <cacheField name="Costos de les inundacions 3" numFmtId="0">
      <sharedItems containsSemiMixedTypes="0" containsString="0" containsNumber="1" minValue="-944.36469567810002" maxValue="640.29665394359995"/>
    </cacheField>
    <cacheField name="Costos de reposició de sorres i reparació de platges3" numFmtId="0">
      <sharedItems containsMixedTypes="1" containsNumber="1" minValue="2.3441591640621373E-2" maxValue="7.2971262443438789"/>
    </cacheField>
    <cacheField name="TOTAL" numFmtId="4">
      <sharedItems containsSemiMixedTypes="0" containsString="0" containsNumber="1" minValue="-499.37776271977373" maxValue="14463.284740688676"/>
    </cacheField>
    <cacheField name="població" numFmtId="0">
      <sharedItems containsSemiMixedTypes="0" containsString="0" containsNumber="1" containsInteger="1" minValue="27" maxValue="1608746"/>
    </cacheField>
    <cacheField name="tram" numFmtId="0">
      <sharedItems count="5">
        <s v="c 5.000 a 20.000 hab."/>
        <s v="a &lt; 1.000 hab."/>
        <s v="b 1.000 a 5.000 hab."/>
        <s v="e &gt;50.000 hab."/>
        <s v="d 20.000 a 50.000 hab."/>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elcionfc" refreshedDate="43474.479956249997" createdVersion="4" refreshedVersion="4" minRefreshableVersion="3" recordCount="311">
  <cacheSource type="worksheet">
    <worksheetSource ref="Z3:AA314" sheet="global dades"/>
  </cacheSource>
  <cacheFields count="2">
    <cacheField name="tram" numFmtId="0">
      <sharedItems count="5">
        <s v="c 5.000 a 20.000 hab."/>
        <s v="a &lt; 1.000 hab."/>
        <s v="b 1.000 a 5.000 hab."/>
        <s v="e &gt;50.000 hab."/>
        <s v="d 20.000 a 50.000 hab."/>
      </sharedItems>
    </cacheField>
    <cacheField name="€/hab" numFmtId="0">
      <sharedItems containsSemiMixedTypes="0" containsString="0" containsNumber="1" minValue="-3532.7114465193986" maxValue="383745.8192138660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558">
  <r>
    <x v="0"/>
    <x v="0"/>
    <x v="0"/>
    <s v="Ordi"/>
    <n v="109"/>
    <n v="0"/>
    <n v="0"/>
    <n v="109"/>
    <n v="2"/>
    <n v="0"/>
    <n v="0"/>
    <n v="2"/>
  </r>
  <r>
    <x v="0"/>
    <x v="0"/>
    <x v="0"/>
    <s v="Civada"/>
    <n v="10"/>
    <n v="0"/>
    <n v="0"/>
    <n v="10"/>
    <n v="19"/>
    <n v="0"/>
    <n v="0"/>
    <n v="19"/>
  </r>
  <r>
    <x v="0"/>
    <x v="0"/>
    <x v="0"/>
    <s v="Blat de moro"/>
    <n v="0"/>
    <n v="0"/>
    <n v="0"/>
    <n v="0"/>
    <n v="3"/>
    <n v="0"/>
    <n v="0"/>
    <n v="3"/>
  </r>
  <r>
    <x v="0"/>
    <x v="0"/>
    <x v="1"/>
    <s v="Cereals d'hivern per a farratge"/>
    <n v="2"/>
    <n v="0"/>
    <n v="0"/>
    <n v="2"/>
    <n v="3"/>
    <n v="0"/>
    <n v="0"/>
    <n v="3"/>
  </r>
  <r>
    <x v="0"/>
    <x v="0"/>
    <x v="1"/>
    <s v="Blat de moro farratger"/>
    <n v="0"/>
    <n v="0"/>
    <n v="0"/>
    <n v="0"/>
    <n v="24"/>
    <n v="0"/>
    <n v="0"/>
    <n v="24"/>
  </r>
  <r>
    <x v="0"/>
    <x v="0"/>
    <x v="1"/>
    <s v="Sorgo farratger"/>
    <n v="0"/>
    <n v="0"/>
    <n v="0"/>
    <n v="0"/>
    <n v="20"/>
    <n v="0"/>
    <n v="0"/>
    <n v="20"/>
  </r>
  <r>
    <x v="0"/>
    <x v="0"/>
    <x v="2"/>
    <s v="Pèsol sec"/>
    <n v="12"/>
    <n v="0"/>
    <n v="0"/>
    <n v="12"/>
    <n v="0"/>
    <n v="0"/>
    <n v="0"/>
    <n v="0"/>
  </r>
  <r>
    <x v="1"/>
    <x v="1"/>
    <x v="0"/>
    <s v="Blat tou"/>
    <n v="310"/>
    <n v="0"/>
    <n v="0"/>
    <n v="310"/>
    <n v="0"/>
    <n v="0"/>
    <n v="0"/>
    <n v="0"/>
  </r>
  <r>
    <x v="1"/>
    <x v="1"/>
    <x v="0"/>
    <s v="Ordi"/>
    <n v="518"/>
    <n v="0"/>
    <n v="0"/>
    <n v="518"/>
    <n v="0"/>
    <n v="0"/>
    <n v="0"/>
    <n v="0"/>
  </r>
  <r>
    <x v="1"/>
    <x v="1"/>
    <x v="0"/>
    <s v="Civada"/>
    <n v="9"/>
    <n v="0"/>
    <n v="0"/>
    <n v="9"/>
    <n v="0"/>
    <n v="0"/>
    <n v="0"/>
    <n v="0"/>
  </r>
  <r>
    <x v="1"/>
    <x v="1"/>
    <x v="0"/>
    <s v="Espelta"/>
    <n v="8"/>
    <n v="0"/>
    <n v="0"/>
    <n v="8"/>
    <n v="0"/>
    <n v="0"/>
    <n v="0"/>
    <n v="0"/>
  </r>
  <r>
    <x v="1"/>
    <x v="1"/>
    <x v="1"/>
    <s v="Cereals d'hivern per a farratge"/>
    <n v="38"/>
    <n v="0"/>
    <n v="0"/>
    <n v="38"/>
    <n v="0"/>
    <n v="0"/>
    <n v="0"/>
    <n v="0"/>
  </r>
  <r>
    <x v="1"/>
    <x v="1"/>
    <x v="1"/>
    <s v="Alfals"/>
    <n v="14"/>
    <n v="0"/>
    <n v="0"/>
    <n v="14"/>
    <n v="0"/>
    <n v="0"/>
    <n v="0"/>
    <n v="0"/>
  </r>
  <r>
    <x v="1"/>
    <x v="1"/>
    <x v="1"/>
    <s v="Trepadella"/>
    <n v="3"/>
    <n v="0"/>
    <n v="0"/>
    <n v="3"/>
    <n v="0"/>
    <n v="0"/>
    <n v="0"/>
    <n v="0"/>
  </r>
  <r>
    <x v="1"/>
    <x v="1"/>
    <x v="1"/>
    <s v="Praderes polifites"/>
    <n v="13"/>
    <n v="0"/>
    <n v="0"/>
    <n v="13"/>
    <n v="0"/>
    <n v="0"/>
    <n v="0"/>
    <n v="0"/>
  </r>
  <r>
    <x v="1"/>
    <x v="1"/>
    <x v="1"/>
    <s v="Associació Veça - Civada farratgeres"/>
    <n v="34"/>
    <n v="0"/>
    <n v="0"/>
    <n v="34"/>
    <n v="0"/>
    <n v="0"/>
    <n v="0"/>
    <n v="0"/>
  </r>
  <r>
    <x v="1"/>
    <x v="1"/>
    <x v="3"/>
    <s v="Colza"/>
    <n v="108"/>
    <n v="0"/>
    <n v="0"/>
    <n v="108"/>
    <n v="0"/>
    <n v="0"/>
    <n v="0"/>
    <n v="0"/>
  </r>
  <r>
    <x v="1"/>
    <x v="1"/>
    <x v="3"/>
    <s v="Camelina"/>
    <n v="17"/>
    <n v="0"/>
    <n v="0"/>
    <n v="17"/>
    <n v="0"/>
    <n v="0"/>
    <n v="0"/>
    <n v="0"/>
  </r>
  <r>
    <x v="1"/>
    <x v="1"/>
    <x v="4"/>
    <s v="Tomàquet"/>
    <n v="0"/>
    <n v="0"/>
    <n v="0"/>
    <n v="0"/>
    <n v="1"/>
    <n v="0"/>
    <n v="0"/>
    <n v="1"/>
  </r>
  <r>
    <x v="1"/>
    <x v="1"/>
    <x v="4"/>
    <s v="Fava tendra"/>
    <n v="0"/>
    <n v="0"/>
    <n v="0"/>
    <n v="0"/>
    <n v="1"/>
    <n v="0"/>
    <n v="0"/>
    <n v="1"/>
  </r>
  <r>
    <x v="1"/>
    <x v="1"/>
    <x v="2"/>
    <s v="Pèsol sec"/>
    <n v="21"/>
    <n v="0"/>
    <n v="0"/>
    <n v="21"/>
    <n v="0"/>
    <n v="0"/>
    <n v="0"/>
    <n v="0"/>
  </r>
  <r>
    <x v="1"/>
    <x v="1"/>
    <x v="2"/>
    <s v="Veça"/>
    <n v="22"/>
    <n v="0"/>
    <n v="0"/>
    <n v="22"/>
    <n v="0"/>
    <n v="0"/>
    <n v="0"/>
    <n v="0"/>
  </r>
  <r>
    <x v="1"/>
    <x v="1"/>
    <x v="2"/>
    <s v="Erbs"/>
    <n v="5"/>
    <n v="0"/>
    <n v="0"/>
    <n v="5"/>
    <n v="0"/>
    <n v="0"/>
    <n v="0"/>
    <n v="0"/>
  </r>
  <r>
    <x v="2"/>
    <x v="2"/>
    <x v="0"/>
    <s v="Blat tou"/>
    <n v="4"/>
    <n v="0"/>
    <n v="0"/>
    <n v="4"/>
    <n v="0"/>
    <n v="0"/>
    <n v="0"/>
    <n v="0"/>
  </r>
  <r>
    <x v="2"/>
    <x v="2"/>
    <x v="1"/>
    <s v="Alfals"/>
    <n v="0"/>
    <n v="0"/>
    <n v="0"/>
    <n v="0"/>
    <n v="0"/>
    <n v="1"/>
    <n v="0"/>
    <n v="1"/>
  </r>
  <r>
    <x v="2"/>
    <x v="2"/>
    <x v="2"/>
    <s v="Pèsol sec"/>
    <n v="0"/>
    <n v="0"/>
    <n v="0"/>
    <n v="0"/>
    <n v="1"/>
    <n v="0"/>
    <n v="0"/>
    <n v="1"/>
  </r>
  <r>
    <x v="3"/>
    <x v="3"/>
    <x v="5"/>
    <s v="Plantes ornamentals"/>
    <n v="0"/>
    <n v="0"/>
    <n v="0"/>
    <n v="0"/>
    <n v="4"/>
    <n v="0"/>
    <n v="0"/>
    <n v="4"/>
  </r>
  <r>
    <x v="3"/>
    <x v="3"/>
    <x v="4"/>
    <s v="Col de cabdell"/>
    <n v="0"/>
    <n v="0"/>
    <n v="0"/>
    <n v="0"/>
    <n v="1"/>
    <n v="0"/>
    <n v="0"/>
    <n v="1"/>
  </r>
  <r>
    <x v="3"/>
    <x v="3"/>
    <x v="4"/>
    <s v="Enciam"/>
    <n v="0"/>
    <n v="0"/>
    <n v="0"/>
    <n v="0"/>
    <n v="1"/>
    <n v="0"/>
    <n v="0"/>
    <n v="1"/>
  </r>
  <r>
    <x v="3"/>
    <x v="3"/>
    <x v="4"/>
    <s v="Escarola"/>
    <n v="0"/>
    <n v="0"/>
    <n v="0"/>
    <n v="0"/>
    <n v="0"/>
    <n v="1"/>
    <n v="0"/>
    <n v="1"/>
  </r>
  <r>
    <x v="3"/>
    <x v="3"/>
    <x v="4"/>
    <s v="Espinac"/>
    <n v="0"/>
    <n v="0"/>
    <n v="0"/>
    <n v="0"/>
    <n v="1"/>
    <n v="0"/>
    <n v="0"/>
    <n v="1"/>
  </r>
  <r>
    <x v="3"/>
    <x v="3"/>
    <x v="4"/>
    <s v="Cogombre"/>
    <n v="0"/>
    <n v="0"/>
    <n v="0"/>
    <n v="0"/>
    <n v="1"/>
    <n v="0"/>
    <n v="0"/>
    <n v="1"/>
  </r>
  <r>
    <x v="3"/>
    <x v="3"/>
    <x v="4"/>
    <s v="Albergínia"/>
    <n v="0"/>
    <n v="0"/>
    <n v="0"/>
    <n v="0"/>
    <n v="1"/>
    <n v="0"/>
    <n v="0"/>
    <n v="1"/>
  </r>
  <r>
    <x v="3"/>
    <x v="3"/>
    <x v="4"/>
    <s v="Tomàquet"/>
    <n v="0"/>
    <n v="0"/>
    <n v="0"/>
    <n v="0"/>
    <n v="3"/>
    <n v="1"/>
    <n v="0"/>
    <n v="4"/>
  </r>
  <r>
    <x v="3"/>
    <x v="3"/>
    <x v="4"/>
    <s v="Pebrot"/>
    <n v="0"/>
    <n v="0"/>
    <n v="0"/>
    <n v="0"/>
    <n v="1"/>
    <n v="0"/>
    <n v="0"/>
    <n v="1"/>
  </r>
  <r>
    <x v="3"/>
    <x v="3"/>
    <x v="4"/>
    <s v="Carxofa"/>
    <n v="0"/>
    <n v="0"/>
    <n v="0"/>
    <n v="0"/>
    <n v="1"/>
    <n v="0"/>
    <n v="0"/>
    <n v="1"/>
  </r>
  <r>
    <x v="3"/>
    <x v="3"/>
    <x v="4"/>
    <s v="Coliflor"/>
    <n v="0"/>
    <n v="0"/>
    <n v="0"/>
    <n v="0"/>
    <n v="1"/>
    <n v="0"/>
    <n v="0"/>
    <n v="1"/>
  </r>
  <r>
    <x v="3"/>
    <x v="3"/>
    <x v="4"/>
    <s v="Ceba"/>
    <n v="0"/>
    <n v="0"/>
    <n v="0"/>
    <n v="0"/>
    <n v="2"/>
    <n v="0"/>
    <n v="0"/>
    <n v="2"/>
  </r>
  <r>
    <x v="3"/>
    <x v="3"/>
    <x v="4"/>
    <s v="Rave"/>
    <n v="0"/>
    <n v="0"/>
    <n v="0"/>
    <n v="0"/>
    <n v="0"/>
    <n v="1"/>
    <n v="0"/>
    <n v="1"/>
  </r>
  <r>
    <x v="3"/>
    <x v="3"/>
    <x v="4"/>
    <s v="Pèsol verd"/>
    <n v="0"/>
    <n v="0"/>
    <n v="0"/>
    <n v="0"/>
    <n v="1"/>
    <n v="0"/>
    <n v="0"/>
    <n v="1"/>
  </r>
  <r>
    <x v="3"/>
    <x v="3"/>
    <x v="6"/>
    <s v="Patata d'estació mitjana"/>
    <n v="0"/>
    <n v="0"/>
    <n v="0"/>
    <n v="0"/>
    <n v="2"/>
    <n v="0"/>
    <n v="0"/>
    <n v="2"/>
  </r>
  <r>
    <x v="4"/>
    <x v="4"/>
    <x v="0"/>
    <s v="Blat tou"/>
    <n v="23"/>
    <n v="0"/>
    <n v="0"/>
    <n v="23"/>
    <n v="0"/>
    <n v="0"/>
    <n v="0"/>
    <n v="0"/>
  </r>
  <r>
    <x v="4"/>
    <x v="4"/>
    <x v="0"/>
    <s v="Civada"/>
    <n v="1"/>
    <n v="0"/>
    <n v="0"/>
    <n v="1"/>
    <n v="0"/>
    <n v="0"/>
    <n v="0"/>
    <n v="0"/>
  </r>
  <r>
    <x v="4"/>
    <x v="4"/>
    <x v="1"/>
    <s v="Cereals d'hivern per a farratge"/>
    <n v="4"/>
    <n v="0"/>
    <n v="0"/>
    <n v="4"/>
    <n v="0"/>
    <n v="0"/>
    <n v="0"/>
    <n v="0"/>
  </r>
  <r>
    <x v="4"/>
    <x v="4"/>
    <x v="1"/>
    <s v="Raigràs"/>
    <n v="64"/>
    <n v="0"/>
    <n v="0"/>
    <n v="64"/>
    <n v="0"/>
    <n v="0"/>
    <n v="0"/>
    <n v="0"/>
  </r>
  <r>
    <x v="4"/>
    <x v="4"/>
    <x v="1"/>
    <s v="Alfals"/>
    <n v="3"/>
    <n v="0"/>
    <n v="0"/>
    <n v="3"/>
    <n v="0"/>
    <n v="0"/>
    <n v="0"/>
    <n v="0"/>
  </r>
  <r>
    <x v="4"/>
    <x v="4"/>
    <x v="1"/>
    <s v="Praderes polifites"/>
    <n v="58"/>
    <n v="0"/>
    <n v="0"/>
    <n v="58"/>
    <n v="0"/>
    <n v="0"/>
    <n v="0"/>
    <n v="0"/>
  </r>
  <r>
    <x v="5"/>
    <x v="5"/>
    <x v="0"/>
    <s v="Blat tou"/>
    <n v="61"/>
    <n v="0"/>
    <n v="0"/>
    <n v="61"/>
    <n v="0"/>
    <n v="0"/>
    <n v="0"/>
    <n v="0"/>
  </r>
  <r>
    <x v="5"/>
    <x v="5"/>
    <x v="0"/>
    <s v="Ordi"/>
    <n v="113"/>
    <n v="0"/>
    <n v="0"/>
    <n v="113"/>
    <n v="11"/>
    <n v="0"/>
    <n v="0"/>
    <n v="11"/>
  </r>
  <r>
    <x v="5"/>
    <x v="5"/>
    <x v="0"/>
    <s v="Civada"/>
    <n v="2"/>
    <n v="0"/>
    <n v="0"/>
    <n v="2"/>
    <n v="0"/>
    <n v="0"/>
    <n v="0"/>
    <n v="0"/>
  </r>
  <r>
    <x v="5"/>
    <x v="5"/>
    <x v="0"/>
    <s v="Triticale"/>
    <n v="16"/>
    <n v="0"/>
    <n v="0"/>
    <n v="16"/>
    <n v="11"/>
    <n v="0"/>
    <n v="0"/>
    <n v="11"/>
  </r>
  <r>
    <x v="5"/>
    <x v="5"/>
    <x v="1"/>
    <s v="Cereals d'hivern per a farratge"/>
    <n v="15"/>
    <n v="0"/>
    <n v="0"/>
    <n v="15"/>
    <n v="1"/>
    <n v="0"/>
    <n v="0"/>
    <n v="1"/>
  </r>
  <r>
    <x v="5"/>
    <x v="5"/>
    <x v="1"/>
    <s v="Sorgo farratger"/>
    <n v="8"/>
    <n v="11"/>
    <n v="0"/>
    <n v="19"/>
    <n v="0"/>
    <n v="16"/>
    <n v="0"/>
    <n v="16"/>
  </r>
  <r>
    <x v="5"/>
    <x v="5"/>
    <x v="1"/>
    <s v="Raigràs"/>
    <n v="4"/>
    <n v="0"/>
    <n v="0"/>
    <n v="4"/>
    <n v="0"/>
    <n v="0"/>
    <n v="0"/>
    <n v="0"/>
  </r>
  <r>
    <x v="5"/>
    <x v="5"/>
    <x v="1"/>
    <s v="Alfals"/>
    <n v="7"/>
    <n v="0"/>
    <n v="0"/>
    <n v="7"/>
    <n v="0"/>
    <n v="0"/>
    <n v="0"/>
    <n v="0"/>
  </r>
  <r>
    <x v="5"/>
    <x v="5"/>
    <x v="3"/>
    <s v="Colza"/>
    <n v="23"/>
    <n v="0"/>
    <n v="0"/>
    <n v="23"/>
    <n v="0"/>
    <n v="0"/>
    <n v="0"/>
    <n v="0"/>
  </r>
  <r>
    <x v="5"/>
    <x v="5"/>
    <x v="2"/>
    <s v="Pèsol sec"/>
    <n v="6"/>
    <n v="0"/>
    <n v="0"/>
    <n v="6"/>
    <n v="0"/>
    <n v="0"/>
    <n v="0"/>
    <n v="0"/>
  </r>
  <r>
    <x v="5"/>
    <x v="5"/>
    <x v="2"/>
    <s v="Favó"/>
    <n v="2"/>
    <n v="0"/>
    <n v="0"/>
    <n v="2"/>
    <n v="0"/>
    <n v="0"/>
    <n v="0"/>
    <n v="0"/>
  </r>
  <r>
    <x v="6"/>
    <x v="6"/>
    <x v="1"/>
    <s v="Raigràs"/>
    <n v="0"/>
    <n v="0"/>
    <n v="0"/>
    <n v="0"/>
    <n v="1"/>
    <n v="0"/>
    <n v="0"/>
    <n v="1"/>
  </r>
  <r>
    <x v="6"/>
    <x v="6"/>
    <x v="4"/>
    <s v="Col de cabdell"/>
    <n v="0"/>
    <n v="0"/>
    <n v="0"/>
    <n v="0"/>
    <n v="0"/>
    <n v="1"/>
    <n v="0"/>
    <n v="1"/>
  </r>
  <r>
    <x v="6"/>
    <x v="6"/>
    <x v="4"/>
    <s v="Api"/>
    <n v="0"/>
    <n v="0"/>
    <n v="0"/>
    <n v="0"/>
    <n v="1"/>
    <n v="0"/>
    <n v="0"/>
    <n v="1"/>
  </r>
  <r>
    <x v="6"/>
    <x v="6"/>
    <x v="4"/>
    <s v="Enciam"/>
    <n v="0"/>
    <n v="0"/>
    <n v="0"/>
    <n v="0"/>
    <n v="2"/>
    <n v="2"/>
    <n v="0"/>
    <n v="4"/>
  </r>
  <r>
    <x v="6"/>
    <x v="6"/>
    <x v="4"/>
    <s v="Espinac"/>
    <n v="0"/>
    <n v="0"/>
    <n v="0"/>
    <n v="0"/>
    <n v="0"/>
    <n v="2"/>
    <n v="0"/>
    <n v="2"/>
  </r>
  <r>
    <x v="6"/>
    <x v="6"/>
    <x v="4"/>
    <s v="Bleda"/>
    <n v="0"/>
    <n v="0"/>
    <n v="0"/>
    <n v="0"/>
    <n v="0"/>
    <n v="1"/>
    <n v="0"/>
    <n v="1"/>
  </r>
  <r>
    <x v="6"/>
    <x v="6"/>
    <x v="4"/>
    <s v="Tomàquet"/>
    <n v="0"/>
    <n v="0"/>
    <n v="0"/>
    <n v="0"/>
    <n v="3"/>
    <n v="0"/>
    <n v="0"/>
    <n v="3"/>
  </r>
  <r>
    <x v="6"/>
    <x v="6"/>
    <x v="4"/>
    <s v="Maduixa i maduixot"/>
    <n v="0"/>
    <n v="0"/>
    <n v="0"/>
    <n v="0"/>
    <n v="1"/>
    <n v="0"/>
    <n v="0"/>
    <n v="1"/>
  </r>
  <r>
    <x v="6"/>
    <x v="6"/>
    <x v="4"/>
    <s v="Carxofa"/>
    <n v="0"/>
    <n v="0"/>
    <n v="0"/>
    <n v="0"/>
    <n v="1"/>
    <n v="0"/>
    <n v="0"/>
    <n v="1"/>
  </r>
  <r>
    <x v="6"/>
    <x v="6"/>
    <x v="4"/>
    <s v="Coliflor"/>
    <n v="0"/>
    <n v="0"/>
    <n v="0"/>
    <n v="0"/>
    <n v="0"/>
    <n v="1"/>
    <n v="0"/>
    <n v="1"/>
  </r>
  <r>
    <x v="6"/>
    <x v="6"/>
    <x v="4"/>
    <s v="All"/>
    <n v="0"/>
    <n v="0"/>
    <n v="0"/>
    <n v="0"/>
    <n v="1"/>
    <n v="1"/>
    <n v="0"/>
    <n v="2"/>
  </r>
  <r>
    <x v="6"/>
    <x v="6"/>
    <x v="4"/>
    <s v="Ceba"/>
    <n v="0"/>
    <n v="0"/>
    <n v="0"/>
    <n v="0"/>
    <n v="0"/>
    <n v="1"/>
    <n v="0"/>
    <n v="1"/>
  </r>
  <r>
    <x v="6"/>
    <x v="6"/>
    <x v="4"/>
    <s v="Pastanaga"/>
    <n v="0"/>
    <n v="0"/>
    <n v="0"/>
    <n v="0"/>
    <n v="0"/>
    <n v="1"/>
    <n v="0"/>
    <n v="1"/>
  </r>
  <r>
    <x v="6"/>
    <x v="6"/>
    <x v="4"/>
    <s v="Mongeta tendra"/>
    <n v="0"/>
    <n v="0"/>
    <n v="0"/>
    <n v="0"/>
    <n v="1"/>
    <n v="1"/>
    <n v="0"/>
    <n v="2"/>
  </r>
  <r>
    <x v="6"/>
    <x v="6"/>
    <x v="4"/>
    <s v="Pèsol verd"/>
    <n v="0"/>
    <n v="0"/>
    <n v="0"/>
    <n v="0"/>
    <n v="0"/>
    <n v="2"/>
    <n v="0"/>
    <n v="2"/>
  </r>
  <r>
    <x v="6"/>
    <x v="6"/>
    <x v="4"/>
    <s v="Fava tendra"/>
    <n v="0"/>
    <n v="0"/>
    <n v="0"/>
    <n v="0"/>
    <n v="1"/>
    <n v="0"/>
    <n v="0"/>
    <n v="1"/>
  </r>
  <r>
    <x v="6"/>
    <x v="6"/>
    <x v="2"/>
    <s v="Mongeta seca"/>
    <n v="0"/>
    <n v="0"/>
    <n v="0"/>
    <n v="0"/>
    <n v="1"/>
    <n v="0"/>
    <n v="0"/>
    <n v="1"/>
  </r>
  <r>
    <x v="6"/>
    <x v="6"/>
    <x v="6"/>
    <s v="Patata primerenca"/>
    <n v="0"/>
    <n v="0"/>
    <n v="0"/>
    <n v="0"/>
    <n v="2"/>
    <n v="0"/>
    <n v="0"/>
    <n v="2"/>
  </r>
  <r>
    <x v="6"/>
    <x v="6"/>
    <x v="6"/>
    <s v="Patata d'estació mitjana"/>
    <n v="0"/>
    <n v="0"/>
    <n v="0"/>
    <n v="0"/>
    <n v="0"/>
    <n v="1"/>
    <n v="0"/>
    <n v="1"/>
  </r>
  <r>
    <x v="6"/>
    <x v="6"/>
    <x v="6"/>
    <s v="Patata tardana"/>
    <n v="0"/>
    <n v="0"/>
    <n v="0"/>
    <n v="0"/>
    <n v="1"/>
    <n v="0"/>
    <n v="0"/>
    <n v="1"/>
  </r>
  <r>
    <x v="7"/>
    <x v="7"/>
    <x v="0"/>
    <s v="Civada"/>
    <n v="2"/>
    <n v="0"/>
    <n v="0"/>
    <n v="2"/>
    <n v="0"/>
    <n v="0"/>
    <n v="0"/>
    <n v="0"/>
  </r>
  <r>
    <x v="7"/>
    <x v="7"/>
    <x v="1"/>
    <s v="Cereals d'hivern per a farratge"/>
    <n v="2"/>
    <n v="0"/>
    <n v="0"/>
    <n v="2"/>
    <n v="0"/>
    <n v="0"/>
    <n v="0"/>
    <n v="0"/>
  </r>
  <r>
    <x v="7"/>
    <x v="7"/>
    <x v="1"/>
    <s v="Raigràs"/>
    <n v="1"/>
    <n v="0"/>
    <n v="0"/>
    <n v="1"/>
    <n v="0"/>
    <n v="0"/>
    <n v="0"/>
    <n v="0"/>
  </r>
  <r>
    <x v="7"/>
    <x v="7"/>
    <x v="1"/>
    <s v="Alfals"/>
    <n v="6"/>
    <n v="0"/>
    <n v="0"/>
    <n v="6"/>
    <n v="0"/>
    <n v="0"/>
    <n v="0"/>
    <n v="0"/>
  </r>
  <r>
    <x v="7"/>
    <x v="7"/>
    <x v="5"/>
    <s v="Plantes ornamentals"/>
    <n v="0"/>
    <n v="0"/>
    <n v="0"/>
    <n v="0"/>
    <n v="1"/>
    <n v="0"/>
    <n v="0"/>
    <n v="1"/>
  </r>
  <r>
    <x v="7"/>
    <x v="7"/>
    <x v="4"/>
    <s v="Col de cabdell"/>
    <n v="0"/>
    <n v="0"/>
    <n v="0"/>
    <n v="0"/>
    <n v="1"/>
    <n v="1"/>
    <n v="0"/>
    <n v="2"/>
  </r>
  <r>
    <x v="7"/>
    <x v="7"/>
    <x v="4"/>
    <s v="Api"/>
    <n v="0"/>
    <n v="0"/>
    <n v="0"/>
    <n v="0"/>
    <n v="2"/>
    <n v="0"/>
    <n v="0"/>
    <n v="2"/>
  </r>
  <r>
    <x v="7"/>
    <x v="7"/>
    <x v="4"/>
    <s v="Enciam"/>
    <n v="0"/>
    <n v="0"/>
    <n v="0"/>
    <n v="0"/>
    <n v="3"/>
    <n v="1"/>
    <n v="0"/>
    <n v="4"/>
  </r>
  <r>
    <x v="7"/>
    <x v="7"/>
    <x v="4"/>
    <s v="Escarola"/>
    <n v="0"/>
    <n v="0"/>
    <n v="0"/>
    <n v="0"/>
    <n v="1"/>
    <n v="2"/>
    <n v="0"/>
    <n v="3"/>
  </r>
  <r>
    <x v="7"/>
    <x v="7"/>
    <x v="4"/>
    <s v="Espinac"/>
    <n v="0"/>
    <n v="0"/>
    <n v="0"/>
    <n v="0"/>
    <n v="0"/>
    <n v="2"/>
    <n v="0"/>
    <n v="2"/>
  </r>
  <r>
    <x v="7"/>
    <x v="7"/>
    <x v="4"/>
    <s v="Bleda"/>
    <n v="0"/>
    <n v="0"/>
    <n v="0"/>
    <n v="0"/>
    <n v="1"/>
    <n v="2"/>
    <n v="0"/>
    <n v="3"/>
  </r>
  <r>
    <x v="7"/>
    <x v="7"/>
    <x v="4"/>
    <s v="Carbassa"/>
    <n v="0"/>
    <n v="0"/>
    <n v="0"/>
    <n v="0"/>
    <n v="1"/>
    <n v="0"/>
    <n v="0"/>
    <n v="1"/>
  </r>
  <r>
    <x v="7"/>
    <x v="7"/>
    <x v="4"/>
    <s v="Cogombre"/>
    <n v="0"/>
    <n v="0"/>
    <n v="0"/>
    <n v="0"/>
    <n v="0"/>
    <n v="5"/>
    <n v="0"/>
    <n v="5"/>
  </r>
  <r>
    <x v="7"/>
    <x v="7"/>
    <x v="4"/>
    <s v="Albergínia"/>
    <n v="0"/>
    <n v="0"/>
    <n v="0"/>
    <n v="0"/>
    <n v="1"/>
    <n v="0"/>
    <n v="0"/>
    <n v="1"/>
  </r>
  <r>
    <x v="7"/>
    <x v="7"/>
    <x v="4"/>
    <s v="Tomàquet"/>
    <n v="0"/>
    <n v="0"/>
    <n v="0"/>
    <n v="0"/>
    <n v="4"/>
    <n v="1"/>
    <n v="0"/>
    <n v="5"/>
  </r>
  <r>
    <x v="7"/>
    <x v="7"/>
    <x v="4"/>
    <s v="Maduixa i maduixot"/>
    <n v="0"/>
    <n v="0"/>
    <n v="0"/>
    <n v="0"/>
    <n v="4"/>
    <n v="0"/>
    <n v="0"/>
    <n v="4"/>
  </r>
  <r>
    <x v="7"/>
    <x v="7"/>
    <x v="4"/>
    <s v="Carxofa"/>
    <n v="0"/>
    <n v="0"/>
    <n v="0"/>
    <n v="0"/>
    <n v="1"/>
    <n v="0"/>
    <n v="0"/>
    <n v="1"/>
  </r>
  <r>
    <x v="7"/>
    <x v="7"/>
    <x v="4"/>
    <s v="Coliflor"/>
    <n v="0"/>
    <n v="0"/>
    <n v="0"/>
    <n v="0"/>
    <n v="1"/>
    <n v="0"/>
    <n v="0"/>
    <n v="1"/>
  </r>
  <r>
    <x v="7"/>
    <x v="7"/>
    <x v="4"/>
    <s v="Porro"/>
    <n v="0"/>
    <n v="0"/>
    <n v="0"/>
    <n v="0"/>
    <n v="1"/>
    <n v="1"/>
    <n v="0"/>
    <n v="2"/>
  </r>
  <r>
    <x v="7"/>
    <x v="7"/>
    <x v="4"/>
    <s v="Pastanaga"/>
    <n v="0"/>
    <n v="0"/>
    <n v="0"/>
    <n v="0"/>
    <n v="0"/>
    <n v="1"/>
    <n v="0"/>
    <n v="1"/>
  </r>
  <r>
    <x v="7"/>
    <x v="7"/>
    <x v="4"/>
    <s v="Mongeta tendra"/>
    <n v="0"/>
    <n v="0"/>
    <n v="0"/>
    <n v="0"/>
    <n v="2"/>
    <n v="0"/>
    <n v="0"/>
    <n v="2"/>
  </r>
  <r>
    <x v="7"/>
    <x v="7"/>
    <x v="4"/>
    <s v="Pèsol verd"/>
    <n v="0"/>
    <n v="0"/>
    <n v="0"/>
    <n v="0"/>
    <n v="2"/>
    <n v="1"/>
    <n v="0"/>
    <n v="3"/>
  </r>
  <r>
    <x v="7"/>
    <x v="7"/>
    <x v="4"/>
    <s v="Fava tendra"/>
    <n v="0"/>
    <n v="0"/>
    <n v="0"/>
    <n v="0"/>
    <n v="0"/>
    <n v="1"/>
    <n v="0"/>
    <n v="1"/>
  </r>
  <r>
    <x v="7"/>
    <x v="7"/>
    <x v="2"/>
    <s v="Mongeta seca"/>
    <n v="0"/>
    <n v="0"/>
    <n v="0"/>
    <n v="0"/>
    <n v="0"/>
    <n v="2"/>
    <n v="0"/>
    <n v="2"/>
  </r>
  <r>
    <x v="7"/>
    <x v="7"/>
    <x v="6"/>
    <s v="Patata primerenca"/>
    <n v="0"/>
    <n v="0"/>
    <n v="0"/>
    <n v="0"/>
    <n v="2"/>
    <n v="0"/>
    <n v="0"/>
    <n v="2"/>
  </r>
  <r>
    <x v="7"/>
    <x v="7"/>
    <x v="6"/>
    <s v="Patata d'estació mitjana"/>
    <n v="0"/>
    <n v="0"/>
    <n v="0"/>
    <n v="0"/>
    <n v="0"/>
    <n v="1"/>
    <n v="0"/>
    <n v="1"/>
  </r>
  <r>
    <x v="8"/>
    <x v="8"/>
    <x v="0"/>
    <s v="Blat tou"/>
    <n v="462"/>
    <n v="0"/>
    <n v="0"/>
    <n v="462"/>
    <n v="0"/>
    <n v="0"/>
    <n v="0"/>
    <n v="0"/>
  </r>
  <r>
    <x v="8"/>
    <x v="8"/>
    <x v="0"/>
    <s v="Ordi"/>
    <n v="681"/>
    <n v="0"/>
    <n v="0"/>
    <n v="681"/>
    <n v="0"/>
    <n v="0"/>
    <n v="0"/>
    <n v="0"/>
  </r>
  <r>
    <x v="8"/>
    <x v="8"/>
    <x v="0"/>
    <s v="Civada"/>
    <n v="5"/>
    <n v="0"/>
    <n v="0"/>
    <n v="5"/>
    <n v="0"/>
    <n v="0"/>
    <n v="0"/>
    <n v="0"/>
  </r>
  <r>
    <x v="8"/>
    <x v="8"/>
    <x v="0"/>
    <s v="Sègol"/>
    <n v="5"/>
    <n v="0"/>
    <n v="0"/>
    <n v="5"/>
    <n v="0"/>
    <n v="0"/>
    <n v="0"/>
    <n v="0"/>
  </r>
  <r>
    <x v="8"/>
    <x v="8"/>
    <x v="0"/>
    <s v="Espelta"/>
    <n v="13"/>
    <n v="0"/>
    <n v="0"/>
    <n v="13"/>
    <n v="0"/>
    <n v="0"/>
    <n v="0"/>
    <n v="0"/>
  </r>
  <r>
    <x v="8"/>
    <x v="8"/>
    <x v="0"/>
    <s v="Blat dur"/>
    <n v="3"/>
    <n v="0"/>
    <n v="0"/>
    <n v="3"/>
    <n v="0"/>
    <n v="0"/>
    <n v="0"/>
    <n v="0"/>
  </r>
  <r>
    <x v="8"/>
    <x v="8"/>
    <x v="1"/>
    <s v="Cereals d'hivern per a farratge"/>
    <n v="18"/>
    <n v="0"/>
    <n v="0"/>
    <n v="18"/>
    <n v="0"/>
    <n v="0"/>
    <n v="0"/>
    <n v="0"/>
  </r>
  <r>
    <x v="8"/>
    <x v="8"/>
    <x v="1"/>
    <s v="Raigràs"/>
    <n v="8"/>
    <n v="0"/>
    <n v="0"/>
    <n v="8"/>
    <n v="0"/>
    <n v="0"/>
    <n v="0"/>
    <n v="0"/>
  </r>
  <r>
    <x v="8"/>
    <x v="8"/>
    <x v="1"/>
    <s v="Alfals"/>
    <n v="13"/>
    <n v="0"/>
    <n v="0"/>
    <n v="13"/>
    <n v="0"/>
    <n v="0"/>
    <n v="0"/>
    <n v="0"/>
  </r>
  <r>
    <x v="8"/>
    <x v="8"/>
    <x v="1"/>
    <s v="Trepadella"/>
    <n v="10"/>
    <n v="0"/>
    <n v="0"/>
    <n v="10"/>
    <n v="0"/>
    <n v="0"/>
    <n v="0"/>
    <n v="0"/>
  </r>
  <r>
    <x v="8"/>
    <x v="8"/>
    <x v="1"/>
    <s v="Festuca"/>
    <n v="4"/>
    <n v="0"/>
    <n v="0"/>
    <n v="4"/>
    <n v="0"/>
    <n v="0"/>
    <n v="0"/>
    <n v="0"/>
  </r>
  <r>
    <x v="8"/>
    <x v="8"/>
    <x v="3"/>
    <s v="Colza"/>
    <n v="33"/>
    <n v="0"/>
    <n v="0"/>
    <n v="33"/>
    <n v="0"/>
    <n v="0"/>
    <n v="0"/>
    <n v="0"/>
  </r>
  <r>
    <x v="8"/>
    <x v="8"/>
    <x v="3"/>
    <s v="Camelina"/>
    <n v="2"/>
    <n v="0"/>
    <n v="0"/>
    <n v="2"/>
    <n v="0"/>
    <n v="0"/>
    <n v="0"/>
    <n v="0"/>
  </r>
  <r>
    <x v="8"/>
    <x v="8"/>
    <x v="2"/>
    <s v="Fava seca"/>
    <n v="3"/>
    <n v="0"/>
    <n v="0"/>
    <n v="3"/>
    <n v="0"/>
    <n v="0"/>
    <n v="0"/>
    <n v="0"/>
  </r>
  <r>
    <x v="8"/>
    <x v="8"/>
    <x v="2"/>
    <s v="Llentia"/>
    <n v="19"/>
    <n v="0"/>
    <n v="0"/>
    <n v="19"/>
    <n v="0"/>
    <n v="0"/>
    <n v="0"/>
    <n v="0"/>
  </r>
  <r>
    <x v="8"/>
    <x v="8"/>
    <x v="2"/>
    <s v="Cigró"/>
    <n v="8"/>
    <n v="0"/>
    <n v="0"/>
    <n v="8"/>
    <n v="0"/>
    <n v="0"/>
    <n v="0"/>
    <n v="0"/>
  </r>
  <r>
    <x v="8"/>
    <x v="8"/>
    <x v="2"/>
    <s v="Pèsol sec"/>
    <n v="77"/>
    <n v="0"/>
    <n v="0"/>
    <n v="77"/>
    <n v="0"/>
    <n v="0"/>
    <n v="0"/>
    <n v="0"/>
  </r>
  <r>
    <x v="8"/>
    <x v="8"/>
    <x v="2"/>
    <s v="Veça"/>
    <n v="35"/>
    <n v="0"/>
    <n v="0"/>
    <n v="35"/>
    <n v="0"/>
    <n v="0"/>
    <n v="0"/>
    <n v="0"/>
  </r>
  <r>
    <x v="8"/>
    <x v="8"/>
    <x v="2"/>
    <s v="Fenigrec"/>
    <n v="3"/>
    <n v="0"/>
    <n v="0"/>
    <n v="3"/>
    <n v="0"/>
    <n v="0"/>
    <n v="0"/>
    <n v="0"/>
  </r>
  <r>
    <x v="8"/>
    <x v="8"/>
    <x v="2"/>
    <s v="Erbs"/>
    <n v="10"/>
    <n v="0"/>
    <n v="0"/>
    <n v="10"/>
    <n v="0"/>
    <n v="0"/>
    <n v="0"/>
    <n v="0"/>
  </r>
  <r>
    <x v="9"/>
    <x v="9"/>
    <x v="0"/>
    <s v="Ordi"/>
    <n v="3"/>
    <n v="0"/>
    <n v="0"/>
    <n v="3"/>
    <n v="8"/>
    <n v="0"/>
    <n v="0"/>
    <n v="8"/>
  </r>
  <r>
    <x v="9"/>
    <x v="9"/>
    <x v="0"/>
    <s v="Civada"/>
    <n v="3"/>
    <n v="0"/>
    <n v="0"/>
    <n v="3"/>
    <n v="0"/>
    <n v="0"/>
    <n v="0"/>
    <n v="0"/>
  </r>
  <r>
    <x v="9"/>
    <x v="9"/>
    <x v="1"/>
    <s v="Cereals d'hivern per a farratge"/>
    <n v="1"/>
    <n v="0"/>
    <n v="0"/>
    <n v="1"/>
    <n v="0"/>
    <n v="0"/>
    <n v="0"/>
    <n v="0"/>
  </r>
  <r>
    <x v="9"/>
    <x v="9"/>
    <x v="1"/>
    <s v="Raigràs"/>
    <n v="6"/>
    <n v="0"/>
    <n v="0"/>
    <n v="6"/>
    <n v="0"/>
    <n v="0"/>
    <n v="0"/>
    <n v="0"/>
  </r>
  <r>
    <x v="9"/>
    <x v="9"/>
    <x v="1"/>
    <s v="Alfals"/>
    <n v="4"/>
    <n v="0"/>
    <n v="0"/>
    <n v="4"/>
    <n v="0"/>
    <n v="0"/>
    <n v="0"/>
    <n v="0"/>
  </r>
  <r>
    <x v="9"/>
    <x v="9"/>
    <x v="3"/>
    <s v="Colza"/>
    <n v="4"/>
    <n v="0"/>
    <n v="0"/>
    <n v="4"/>
    <n v="1"/>
    <n v="0"/>
    <n v="0"/>
    <n v="1"/>
  </r>
  <r>
    <x v="9"/>
    <x v="9"/>
    <x v="5"/>
    <s v="Plantes ornamentals"/>
    <n v="0"/>
    <n v="0"/>
    <n v="0"/>
    <n v="0"/>
    <n v="10"/>
    <n v="2"/>
    <n v="0"/>
    <n v="12"/>
  </r>
  <r>
    <x v="9"/>
    <x v="9"/>
    <x v="4"/>
    <s v="Col de cabdell"/>
    <n v="0"/>
    <n v="0"/>
    <n v="0"/>
    <n v="0"/>
    <n v="2"/>
    <n v="1"/>
    <n v="0"/>
    <n v="3"/>
  </r>
  <r>
    <x v="9"/>
    <x v="9"/>
    <x v="4"/>
    <s v="Api"/>
    <n v="0"/>
    <n v="0"/>
    <n v="0"/>
    <n v="0"/>
    <n v="3"/>
    <n v="2"/>
    <n v="0"/>
    <n v="5"/>
  </r>
  <r>
    <x v="9"/>
    <x v="9"/>
    <x v="4"/>
    <s v="Enciam"/>
    <n v="0"/>
    <n v="0"/>
    <n v="0"/>
    <n v="0"/>
    <n v="3"/>
    <n v="1"/>
    <n v="0"/>
    <n v="4"/>
  </r>
  <r>
    <x v="9"/>
    <x v="9"/>
    <x v="4"/>
    <s v="Escarola"/>
    <n v="0"/>
    <n v="0"/>
    <n v="0"/>
    <n v="0"/>
    <n v="1"/>
    <n v="2"/>
    <n v="0"/>
    <n v="3"/>
  </r>
  <r>
    <x v="9"/>
    <x v="9"/>
    <x v="4"/>
    <s v="Espinac"/>
    <n v="0"/>
    <n v="0"/>
    <n v="0"/>
    <n v="0"/>
    <n v="0"/>
    <n v="2"/>
    <n v="0"/>
    <n v="2"/>
  </r>
  <r>
    <x v="9"/>
    <x v="9"/>
    <x v="4"/>
    <s v="Bleda"/>
    <n v="0"/>
    <n v="0"/>
    <n v="0"/>
    <n v="0"/>
    <n v="1"/>
    <n v="2"/>
    <n v="0"/>
    <n v="3"/>
  </r>
  <r>
    <x v="9"/>
    <x v="9"/>
    <x v="4"/>
    <s v="Carbassa"/>
    <n v="0"/>
    <n v="0"/>
    <n v="0"/>
    <n v="0"/>
    <n v="1"/>
    <n v="0"/>
    <n v="0"/>
    <n v="1"/>
  </r>
  <r>
    <x v="9"/>
    <x v="9"/>
    <x v="4"/>
    <s v="Cogombre"/>
    <n v="0"/>
    <n v="0"/>
    <n v="0"/>
    <n v="0"/>
    <n v="1"/>
    <n v="2"/>
    <n v="0"/>
    <n v="3"/>
  </r>
  <r>
    <x v="9"/>
    <x v="9"/>
    <x v="4"/>
    <s v="Albergínia"/>
    <n v="0"/>
    <n v="0"/>
    <n v="0"/>
    <n v="0"/>
    <n v="2"/>
    <n v="1"/>
    <n v="0"/>
    <n v="3"/>
  </r>
  <r>
    <x v="9"/>
    <x v="9"/>
    <x v="4"/>
    <s v="Tomàquet"/>
    <n v="0"/>
    <n v="0"/>
    <n v="0"/>
    <n v="0"/>
    <n v="3"/>
    <n v="1"/>
    <n v="0"/>
    <n v="4"/>
  </r>
  <r>
    <x v="9"/>
    <x v="9"/>
    <x v="4"/>
    <s v="Pebrot"/>
    <n v="0"/>
    <n v="0"/>
    <n v="0"/>
    <n v="0"/>
    <n v="2"/>
    <n v="0"/>
    <n v="0"/>
    <n v="2"/>
  </r>
  <r>
    <x v="9"/>
    <x v="9"/>
    <x v="4"/>
    <s v="Maduixa i maduixot"/>
    <n v="0"/>
    <n v="0"/>
    <n v="0"/>
    <n v="0"/>
    <n v="2"/>
    <n v="0"/>
    <n v="0"/>
    <n v="2"/>
  </r>
  <r>
    <x v="9"/>
    <x v="9"/>
    <x v="4"/>
    <s v="Coliflor"/>
    <n v="0"/>
    <n v="0"/>
    <n v="0"/>
    <n v="0"/>
    <n v="3"/>
    <n v="2"/>
    <n v="0"/>
    <n v="5"/>
  </r>
  <r>
    <x v="9"/>
    <x v="9"/>
    <x v="4"/>
    <s v="Ceba"/>
    <n v="0"/>
    <n v="0"/>
    <n v="0"/>
    <n v="0"/>
    <n v="3"/>
    <n v="2"/>
    <n v="0"/>
    <n v="5"/>
  </r>
  <r>
    <x v="9"/>
    <x v="9"/>
    <x v="4"/>
    <s v="Porro"/>
    <n v="0"/>
    <n v="0"/>
    <n v="0"/>
    <n v="0"/>
    <n v="2"/>
    <n v="1"/>
    <n v="0"/>
    <n v="3"/>
  </r>
  <r>
    <x v="9"/>
    <x v="9"/>
    <x v="4"/>
    <s v="Pastanaga"/>
    <n v="0"/>
    <n v="0"/>
    <n v="0"/>
    <n v="0"/>
    <n v="0"/>
    <n v="2"/>
    <n v="0"/>
    <n v="2"/>
  </r>
  <r>
    <x v="9"/>
    <x v="9"/>
    <x v="4"/>
    <s v="Mongeta tendra"/>
    <n v="0"/>
    <n v="0"/>
    <n v="0"/>
    <n v="0"/>
    <n v="2"/>
    <n v="1"/>
    <n v="0"/>
    <n v="3"/>
  </r>
  <r>
    <x v="9"/>
    <x v="9"/>
    <x v="4"/>
    <s v="Pèsol verd"/>
    <n v="0"/>
    <n v="0"/>
    <n v="0"/>
    <n v="0"/>
    <n v="0"/>
    <n v="1"/>
    <n v="0"/>
    <n v="1"/>
  </r>
  <r>
    <x v="9"/>
    <x v="9"/>
    <x v="4"/>
    <s v="Fava tendra"/>
    <n v="0"/>
    <n v="0"/>
    <n v="0"/>
    <n v="0"/>
    <n v="0"/>
    <n v="2"/>
    <n v="0"/>
    <n v="2"/>
  </r>
  <r>
    <x v="9"/>
    <x v="9"/>
    <x v="4"/>
    <s v="Carbassó"/>
    <n v="0"/>
    <n v="0"/>
    <n v="0"/>
    <n v="0"/>
    <n v="2"/>
    <n v="0"/>
    <n v="0"/>
    <n v="2"/>
  </r>
  <r>
    <x v="9"/>
    <x v="9"/>
    <x v="2"/>
    <s v="Mongeta seca"/>
    <n v="0"/>
    <n v="0"/>
    <n v="0"/>
    <n v="0"/>
    <n v="4"/>
    <n v="2"/>
    <n v="0"/>
    <n v="6"/>
  </r>
  <r>
    <x v="9"/>
    <x v="9"/>
    <x v="6"/>
    <s v="Patata primerenca"/>
    <n v="0"/>
    <n v="0"/>
    <n v="0"/>
    <n v="0"/>
    <n v="10"/>
    <n v="0"/>
    <n v="0"/>
    <n v="10"/>
  </r>
  <r>
    <x v="9"/>
    <x v="9"/>
    <x v="6"/>
    <s v="Patata d'estació mitjana"/>
    <n v="0"/>
    <n v="0"/>
    <n v="0"/>
    <n v="0"/>
    <n v="2"/>
    <n v="0"/>
    <n v="0"/>
    <n v="2"/>
  </r>
  <r>
    <x v="9"/>
    <x v="9"/>
    <x v="6"/>
    <s v="Patata tardana"/>
    <n v="0"/>
    <n v="0"/>
    <n v="0"/>
    <n v="0"/>
    <n v="4"/>
    <n v="0"/>
    <n v="0"/>
    <n v="4"/>
  </r>
  <r>
    <x v="10"/>
    <x v="10"/>
    <x v="0"/>
    <s v="Blat tou"/>
    <n v="125"/>
    <n v="0"/>
    <n v="0"/>
    <n v="125"/>
    <n v="18"/>
    <n v="0"/>
    <n v="0"/>
    <n v="18"/>
  </r>
  <r>
    <x v="10"/>
    <x v="10"/>
    <x v="0"/>
    <s v="Ordi"/>
    <n v="301"/>
    <n v="0"/>
    <n v="0"/>
    <n v="301"/>
    <n v="25"/>
    <n v="0"/>
    <n v="0"/>
    <n v="25"/>
  </r>
  <r>
    <x v="10"/>
    <x v="10"/>
    <x v="0"/>
    <s v="Civada"/>
    <n v="4"/>
    <n v="0"/>
    <n v="0"/>
    <n v="4"/>
    <n v="0"/>
    <n v="0"/>
    <n v="0"/>
    <n v="0"/>
  </r>
  <r>
    <x v="10"/>
    <x v="10"/>
    <x v="0"/>
    <s v="Blat de moro"/>
    <n v="0"/>
    <n v="0"/>
    <n v="0"/>
    <n v="0"/>
    <n v="3"/>
    <n v="0"/>
    <n v="0"/>
    <n v="3"/>
  </r>
  <r>
    <x v="10"/>
    <x v="10"/>
    <x v="0"/>
    <s v="Espelta"/>
    <n v="1"/>
    <n v="0"/>
    <n v="0"/>
    <n v="1"/>
    <n v="0"/>
    <n v="0"/>
    <n v="0"/>
    <n v="0"/>
  </r>
  <r>
    <x v="10"/>
    <x v="10"/>
    <x v="0"/>
    <s v="Blat dur"/>
    <n v="3"/>
    <n v="0"/>
    <n v="0"/>
    <n v="3"/>
    <n v="0"/>
    <n v="0"/>
    <n v="0"/>
    <n v="0"/>
  </r>
  <r>
    <x v="10"/>
    <x v="10"/>
    <x v="1"/>
    <s v="Cereals d'hivern per a farratge"/>
    <n v="17"/>
    <n v="0"/>
    <n v="0"/>
    <n v="17"/>
    <n v="0"/>
    <n v="0"/>
    <n v="0"/>
    <n v="0"/>
  </r>
  <r>
    <x v="10"/>
    <x v="10"/>
    <x v="1"/>
    <s v="Blat de moro farratger"/>
    <n v="0"/>
    <n v="0"/>
    <n v="0"/>
    <n v="0"/>
    <n v="10"/>
    <n v="0"/>
    <n v="0"/>
    <n v="10"/>
  </r>
  <r>
    <x v="10"/>
    <x v="10"/>
    <x v="1"/>
    <s v="Sorgo farratger"/>
    <n v="2"/>
    <n v="7"/>
    <n v="0"/>
    <n v="9"/>
    <n v="0"/>
    <n v="0"/>
    <n v="0"/>
    <n v="0"/>
  </r>
  <r>
    <x v="10"/>
    <x v="10"/>
    <x v="1"/>
    <s v="Raigràs"/>
    <n v="12"/>
    <n v="0"/>
    <n v="0"/>
    <n v="12"/>
    <n v="0"/>
    <n v="0"/>
    <n v="0"/>
    <n v="0"/>
  </r>
  <r>
    <x v="10"/>
    <x v="10"/>
    <x v="1"/>
    <s v="Alfals"/>
    <n v="2"/>
    <n v="0"/>
    <n v="0"/>
    <n v="2"/>
    <n v="0"/>
    <n v="0"/>
    <n v="0"/>
    <n v="0"/>
  </r>
  <r>
    <x v="10"/>
    <x v="10"/>
    <x v="1"/>
    <s v="Trepadella"/>
    <n v="8"/>
    <n v="0"/>
    <n v="0"/>
    <n v="8"/>
    <n v="0"/>
    <n v="0"/>
    <n v="0"/>
    <n v="0"/>
  </r>
  <r>
    <x v="10"/>
    <x v="10"/>
    <x v="1"/>
    <s v="Praderes polifites"/>
    <n v="6"/>
    <n v="0"/>
    <n v="0"/>
    <n v="6"/>
    <n v="0"/>
    <n v="0"/>
    <n v="0"/>
    <n v="0"/>
  </r>
  <r>
    <x v="10"/>
    <x v="10"/>
    <x v="1"/>
    <s v="Associació Veça - Civada farratgeres"/>
    <n v="21"/>
    <n v="0"/>
    <n v="0"/>
    <n v="21"/>
    <n v="0"/>
    <n v="0"/>
    <n v="0"/>
    <n v="0"/>
  </r>
  <r>
    <x v="10"/>
    <x v="10"/>
    <x v="3"/>
    <s v="Colza"/>
    <n v="23"/>
    <n v="0"/>
    <n v="0"/>
    <n v="23"/>
    <n v="0"/>
    <n v="0"/>
    <n v="0"/>
    <n v="0"/>
  </r>
  <r>
    <x v="10"/>
    <x v="10"/>
    <x v="4"/>
    <s v="Tomàquet"/>
    <n v="0"/>
    <n v="0"/>
    <n v="0"/>
    <n v="0"/>
    <n v="1"/>
    <n v="0"/>
    <n v="0"/>
    <n v="1"/>
  </r>
  <r>
    <x v="10"/>
    <x v="10"/>
    <x v="2"/>
    <s v="Veça"/>
    <n v="6"/>
    <n v="0"/>
    <n v="0"/>
    <n v="6"/>
    <n v="0"/>
    <n v="0"/>
    <n v="0"/>
    <n v="0"/>
  </r>
  <r>
    <x v="11"/>
    <x v="11"/>
    <x v="0"/>
    <s v="Blat tou"/>
    <n v="298"/>
    <n v="0"/>
    <n v="0"/>
    <n v="298"/>
    <n v="0"/>
    <n v="0"/>
    <n v="0"/>
    <n v="0"/>
  </r>
  <r>
    <x v="11"/>
    <x v="11"/>
    <x v="0"/>
    <s v="Ordi"/>
    <n v="615"/>
    <n v="0"/>
    <n v="0"/>
    <n v="615"/>
    <n v="1"/>
    <n v="0"/>
    <n v="0"/>
    <n v="1"/>
  </r>
  <r>
    <x v="11"/>
    <x v="11"/>
    <x v="0"/>
    <s v="Civada"/>
    <n v="26"/>
    <n v="0"/>
    <n v="0"/>
    <n v="26"/>
    <n v="0"/>
    <n v="0"/>
    <n v="0"/>
    <n v="0"/>
  </r>
  <r>
    <x v="11"/>
    <x v="11"/>
    <x v="0"/>
    <s v="Mill i melca"/>
    <n v="1"/>
    <n v="0"/>
    <n v="0"/>
    <n v="1"/>
    <n v="0"/>
    <n v="0"/>
    <n v="0"/>
    <n v="0"/>
  </r>
  <r>
    <x v="11"/>
    <x v="11"/>
    <x v="1"/>
    <s v="Cereals d'hivern per a farratge"/>
    <n v="26"/>
    <n v="0"/>
    <n v="0"/>
    <n v="26"/>
    <n v="0"/>
    <n v="0"/>
    <n v="0"/>
    <n v="0"/>
  </r>
  <r>
    <x v="11"/>
    <x v="11"/>
    <x v="1"/>
    <s v="Sorgo farratger"/>
    <n v="23"/>
    <n v="0"/>
    <n v="0"/>
    <n v="23"/>
    <n v="0"/>
    <n v="0"/>
    <n v="0"/>
    <n v="0"/>
  </r>
  <r>
    <x v="11"/>
    <x v="11"/>
    <x v="1"/>
    <s v="Raigràs"/>
    <n v="106"/>
    <n v="0"/>
    <n v="0"/>
    <n v="106"/>
    <n v="0"/>
    <n v="0"/>
    <n v="0"/>
    <n v="0"/>
  </r>
  <r>
    <x v="11"/>
    <x v="11"/>
    <x v="1"/>
    <s v="Alfals"/>
    <n v="141"/>
    <n v="0"/>
    <n v="0"/>
    <n v="141"/>
    <n v="0"/>
    <n v="0"/>
    <n v="0"/>
    <n v="0"/>
  </r>
  <r>
    <x v="11"/>
    <x v="11"/>
    <x v="1"/>
    <s v="Trepadella"/>
    <n v="4"/>
    <n v="0"/>
    <n v="0"/>
    <n v="4"/>
    <n v="0"/>
    <n v="0"/>
    <n v="0"/>
    <n v="0"/>
  </r>
  <r>
    <x v="11"/>
    <x v="11"/>
    <x v="1"/>
    <s v="Festuca"/>
    <n v="5"/>
    <n v="0"/>
    <n v="0"/>
    <n v="5"/>
    <n v="0"/>
    <n v="0"/>
    <n v="0"/>
    <n v="0"/>
  </r>
  <r>
    <x v="11"/>
    <x v="11"/>
    <x v="1"/>
    <s v="Associació Veça - Civada farratgeres"/>
    <n v="6"/>
    <n v="0"/>
    <n v="0"/>
    <n v="6"/>
    <n v="0"/>
    <n v="0"/>
    <n v="0"/>
    <n v="0"/>
  </r>
  <r>
    <x v="11"/>
    <x v="11"/>
    <x v="3"/>
    <s v="Colza"/>
    <n v="14"/>
    <n v="0"/>
    <n v="0"/>
    <n v="14"/>
    <n v="0"/>
    <n v="0"/>
    <n v="0"/>
    <n v="0"/>
  </r>
  <r>
    <x v="11"/>
    <x v="11"/>
    <x v="2"/>
    <s v="Pèsol sec"/>
    <n v="6"/>
    <n v="0"/>
    <n v="0"/>
    <n v="6"/>
    <n v="0"/>
    <n v="0"/>
    <n v="0"/>
    <n v="0"/>
  </r>
  <r>
    <x v="11"/>
    <x v="11"/>
    <x v="2"/>
    <s v="Veça"/>
    <n v="2"/>
    <n v="0"/>
    <n v="0"/>
    <n v="2"/>
    <n v="0"/>
    <n v="0"/>
    <n v="0"/>
    <n v="0"/>
  </r>
  <r>
    <x v="12"/>
    <x v="12"/>
    <x v="0"/>
    <s v="Blat tou"/>
    <n v="312"/>
    <n v="0"/>
    <n v="0"/>
    <n v="312"/>
    <n v="0"/>
    <n v="0"/>
    <n v="0"/>
    <n v="0"/>
  </r>
  <r>
    <x v="12"/>
    <x v="12"/>
    <x v="0"/>
    <s v="Ordi"/>
    <n v="579"/>
    <n v="1"/>
    <n v="0"/>
    <n v="580"/>
    <n v="4"/>
    <n v="0"/>
    <n v="0"/>
    <n v="4"/>
  </r>
  <r>
    <x v="12"/>
    <x v="12"/>
    <x v="0"/>
    <s v="Civada"/>
    <n v="14"/>
    <n v="0"/>
    <n v="0"/>
    <n v="14"/>
    <n v="1"/>
    <n v="0"/>
    <n v="0"/>
    <n v="1"/>
  </r>
  <r>
    <x v="12"/>
    <x v="12"/>
    <x v="0"/>
    <s v="Mill i melca"/>
    <n v="0"/>
    <n v="2"/>
    <n v="0"/>
    <n v="2"/>
    <n v="0"/>
    <n v="0"/>
    <n v="0"/>
    <n v="0"/>
  </r>
  <r>
    <x v="12"/>
    <x v="12"/>
    <x v="1"/>
    <s v="Cereals d'hivern per a farratge"/>
    <n v="55"/>
    <n v="0"/>
    <n v="0"/>
    <n v="55"/>
    <n v="4"/>
    <n v="0"/>
    <n v="0"/>
    <n v="4"/>
  </r>
  <r>
    <x v="12"/>
    <x v="12"/>
    <x v="1"/>
    <s v="Sorgo farratger"/>
    <n v="3"/>
    <n v="19"/>
    <n v="0"/>
    <n v="22"/>
    <n v="0"/>
    <n v="0"/>
    <n v="0"/>
    <n v="0"/>
  </r>
  <r>
    <x v="12"/>
    <x v="12"/>
    <x v="1"/>
    <s v="Raigràs"/>
    <n v="117"/>
    <n v="0"/>
    <n v="0"/>
    <n v="117"/>
    <n v="0"/>
    <n v="0"/>
    <n v="0"/>
    <n v="0"/>
  </r>
  <r>
    <x v="12"/>
    <x v="12"/>
    <x v="1"/>
    <s v="Alfals"/>
    <n v="11"/>
    <n v="0"/>
    <n v="0"/>
    <n v="11"/>
    <n v="0"/>
    <n v="0"/>
    <n v="0"/>
    <n v="0"/>
  </r>
  <r>
    <x v="12"/>
    <x v="12"/>
    <x v="1"/>
    <s v="Trepadella"/>
    <n v="5"/>
    <n v="0"/>
    <n v="0"/>
    <n v="5"/>
    <n v="0"/>
    <n v="0"/>
    <n v="0"/>
    <n v="0"/>
  </r>
  <r>
    <x v="12"/>
    <x v="12"/>
    <x v="1"/>
    <s v="Praderes polifites"/>
    <n v="22"/>
    <n v="0"/>
    <n v="0"/>
    <n v="22"/>
    <n v="0"/>
    <n v="0"/>
    <n v="0"/>
    <n v="0"/>
  </r>
  <r>
    <x v="12"/>
    <x v="12"/>
    <x v="1"/>
    <s v="Festuca"/>
    <n v="1"/>
    <n v="0"/>
    <n v="0"/>
    <n v="1"/>
    <n v="0"/>
    <n v="0"/>
    <n v="0"/>
    <n v="0"/>
  </r>
  <r>
    <x v="12"/>
    <x v="12"/>
    <x v="1"/>
    <s v="Associació Veça - Civada farratgeres"/>
    <n v="3"/>
    <n v="0"/>
    <n v="0"/>
    <n v="3"/>
    <n v="0"/>
    <n v="0"/>
    <n v="0"/>
    <n v="0"/>
  </r>
  <r>
    <x v="12"/>
    <x v="12"/>
    <x v="3"/>
    <s v="Gira-sol"/>
    <n v="10"/>
    <n v="0"/>
    <n v="0"/>
    <n v="10"/>
    <n v="0"/>
    <n v="0"/>
    <n v="0"/>
    <n v="0"/>
  </r>
  <r>
    <x v="12"/>
    <x v="12"/>
    <x v="3"/>
    <s v="Colza"/>
    <n v="29"/>
    <n v="0"/>
    <n v="0"/>
    <n v="29"/>
    <n v="0"/>
    <n v="0"/>
    <n v="0"/>
    <n v="0"/>
  </r>
  <r>
    <x v="12"/>
    <x v="12"/>
    <x v="4"/>
    <s v="Enciam"/>
    <n v="0"/>
    <n v="0"/>
    <n v="0"/>
    <n v="0"/>
    <n v="1"/>
    <n v="0"/>
    <n v="0"/>
    <n v="1"/>
  </r>
  <r>
    <x v="12"/>
    <x v="12"/>
    <x v="4"/>
    <s v="Carbassa"/>
    <n v="0"/>
    <n v="0"/>
    <n v="0"/>
    <n v="0"/>
    <n v="1"/>
    <n v="0"/>
    <n v="0"/>
    <n v="1"/>
  </r>
  <r>
    <x v="12"/>
    <x v="12"/>
    <x v="4"/>
    <s v="Tomàquet"/>
    <n v="0"/>
    <n v="0"/>
    <n v="0"/>
    <n v="0"/>
    <n v="1"/>
    <n v="0"/>
    <n v="0"/>
    <n v="1"/>
  </r>
  <r>
    <x v="12"/>
    <x v="12"/>
    <x v="2"/>
    <s v="Pèsol sec"/>
    <n v="5"/>
    <n v="0"/>
    <n v="0"/>
    <n v="5"/>
    <n v="0"/>
    <n v="0"/>
    <n v="0"/>
    <n v="0"/>
  </r>
  <r>
    <x v="12"/>
    <x v="12"/>
    <x v="2"/>
    <s v="Veça"/>
    <n v="12"/>
    <n v="0"/>
    <n v="0"/>
    <n v="12"/>
    <n v="0"/>
    <n v="0"/>
    <n v="0"/>
    <n v="0"/>
  </r>
  <r>
    <x v="13"/>
    <x v="13"/>
    <x v="0"/>
    <s v="Blat tou"/>
    <n v="4"/>
    <n v="0"/>
    <n v="0"/>
    <n v="4"/>
    <n v="0"/>
    <n v="0"/>
    <n v="0"/>
    <n v="0"/>
  </r>
  <r>
    <x v="13"/>
    <x v="13"/>
    <x v="0"/>
    <s v="Ordi"/>
    <n v="27"/>
    <n v="0"/>
    <n v="0"/>
    <n v="27"/>
    <n v="0"/>
    <n v="0"/>
    <n v="0"/>
    <n v="0"/>
  </r>
  <r>
    <x v="13"/>
    <x v="13"/>
    <x v="0"/>
    <s v="Civada"/>
    <n v="5"/>
    <n v="0"/>
    <n v="0"/>
    <n v="5"/>
    <n v="0"/>
    <n v="0"/>
    <n v="0"/>
    <n v="0"/>
  </r>
  <r>
    <x v="13"/>
    <x v="13"/>
    <x v="1"/>
    <s v="Alfals"/>
    <n v="2"/>
    <n v="0"/>
    <n v="0"/>
    <n v="2"/>
    <n v="0"/>
    <n v="0"/>
    <n v="0"/>
    <n v="0"/>
  </r>
  <r>
    <x v="13"/>
    <x v="13"/>
    <x v="1"/>
    <s v="Trepadella"/>
    <n v="2"/>
    <n v="0"/>
    <n v="0"/>
    <n v="2"/>
    <n v="0"/>
    <n v="0"/>
    <n v="0"/>
    <n v="0"/>
  </r>
  <r>
    <x v="13"/>
    <x v="13"/>
    <x v="1"/>
    <s v="Associació Veça - Civada farratgeres"/>
    <n v="1"/>
    <n v="0"/>
    <n v="0"/>
    <n v="1"/>
    <n v="0"/>
    <n v="0"/>
    <n v="0"/>
    <n v="0"/>
  </r>
  <r>
    <x v="13"/>
    <x v="13"/>
    <x v="4"/>
    <s v="Síndria"/>
    <n v="1"/>
    <n v="0"/>
    <n v="0"/>
    <n v="1"/>
    <n v="1"/>
    <n v="0"/>
    <n v="0"/>
    <n v="1"/>
  </r>
  <r>
    <x v="13"/>
    <x v="13"/>
    <x v="4"/>
    <s v="Meló"/>
    <n v="5"/>
    <n v="0"/>
    <n v="0"/>
    <n v="5"/>
    <n v="1"/>
    <n v="0"/>
    <n v="0"/>
    <n v="1"/>
  </r>
  <r>
    <x v="13"/>
    <x v="13"/>
    <x v="4"/>
    <s v="Tomàquet"/>
    <n v="4"/>
    <n v="0"/>
    <n v="0"/>
    <n v="4"/>
    <n v="0"/>
    <n v="0"/>
    <n v="0"/>
    <n v="0"/>
  </r>
  <r>
    <x v="13"/>
    <x v="13"/>
    <x v="4"/>
    <s v="Ceba"/>
    <n v="6"/>
    <n v="0"/>
    <n v="0"/>
    <n v="6"/>
    <n v="0"/>
    <n v="0"/>
    <n v="0"/>
    <n v="0"/>
  </r>
  <r>
    <x v="13"/>
    <x v="13"/>
    <x v="2"/>
    <s v="Cigró"/>
    <n v="1"/>
    <n v="0"/>
    <n v="0"/>
    <n v="1"/>
    <n v="0"/>
    <n v="0"/>
    <n v="0"/>
    <n v="0"/>
  </r>
  <r>
    <x v="13"/>
    <x v="13"/>
    <x v="6"/>
    <s v="Patata d'estació mitjana"/>
    <n v="3"/>
    <n v="0"/>
    <n v="0"/>
    <n v="3"/>
    <n v="0"/>
    <n v="0"/>
    <n v="0"/>
    <n v="0"/>
  </r>
  <r>
    <x v="14"/>
    <x v="14"/>
    <x v="4"/>
    <s v="Bleda"/>
    <n v="0"/>
    <n v="0"/>
    <n v="0"/>
    <n v="0"/>
    <n v="1"/>
    <n v="0"/>
    <n v="0"/>
    <n v="1"/>
  </r>
  <r>
    <x v="14"/>
    <x v="14"/>
    <x v="4"/>
    <s v="Tomàquet"/>
    <n v="0"/>
    <n v="0"/>
    <n v="0"/>
    <n v="0"/>
    <n v="1"/>
    <n v="0"/>
    <n v="0"/>
    <n v="1"/>
  </r>
  <r>
    <x v="14"/>
    <x v="14"/>
    <x v="4"/>
    <s v="Fava tendra"/>
    <n v="0"/>
    <n v="0"/>
    <n v="0"/>
    <n v="0"/>
    <n v="1"/>
    <n v="0"/>
    <n v="0"/>
    <n v="1"/>
  </r>
  <r>
    <x v="14"/>
    <x v="14"/>
    <x v="2"/>
    <s v="Veça"/>
    <n v="1"/>
    <n v="0"/>
    <n v="0"/>
    <n v="1"/>
    <n v="0"/>
    <n v="0"/>
    <n v="0"/>
    <n v="0"/>
  </r>
  <r>
    <x v="15"/>
    <x v="15"/>
    <x v="0"/>
    <s v="Ordi"/>
    <n v="4"/>
    <n v="0"/>
    <n v="0"/>
    <n v="4"/>
    <n v="3"/>
    <n v="0"/>
    <n v="0"/>
    <n v="3"/>
  </r>
  <r>
    <x v="15"/>
    <x v="15"/>
    <x v="1"/>
    <s v="Alfals"/>
    <n v="2"/>
    <n v="0"/>
    <n v="0"/>
    <n v="2"/>
    <n v="6"/>
    <n v="0"/>
    <n v="0"/>
    <n v="6"/>
  </r>
  <r>
    <x v="15"/>
    <x v="15"/>
    <x v="1"/>
    <s v="Praderes polifites"/>
    <n v="76"/>
    <n v="0"/>
    <n v="0"/>
    <n v="76"/>
    <n v="6"/>
    <n v="0"/>
    <n v="0"/>
    <n v="6"/>
  </r>
  <r>
    <x v="16"/>
    <x v="16"/>
    <x v="0"/>
    <s v="Blat tou"/>
    <n v="203"/>
    <n v="0"/>
    <n v="0"/>
    <n v="203"/>
    <n v="0"/>
    <n v="0"/>
    <n v="0"/>
    <n v="0"/>
  </r>
  <r>
    <x v="16"/>
    <x v="16"/>
    <x v="0"/>
    <s v="Ordi"/>
    <n v="168"/>
    <n v="0"/>
    <n v="0"/>
    <n v="168"/>
    <n v="0"/>
    <n v="0"/>
    <n v="0"/>
    <n v="0"/>
  </r>
  <r>
    <x v="16"/>
    <x v="16"/>
    <x v="0"/>
    <s v="Civada"/>
    <n v="2"/>
    <n v="0"/>
    <n v="0"/>
    <n v="2"/>
    <n v="0"/>
    <n v="0"/>
    <n v="0"/>
    <n v="0"/>
  </r>
  <r>
    <x v="16"/>
    <x v="16"/>
    <x v="0"/>
    <s v="Triticale"/>
    <n v="0"/>
    <n v="0"/>
    <n v="0"/>
    <n v="0"/>
    <n v="1"/>
    <n v="0"/>
    <n v="0"/>
    <n v="1"/>
  </r>
  <r>
    <x v="16"/>
    <x v="16"/>
    <x v="0"/>
    <s v="Mill i melca"/>
    <n v="1"/>
    <n v="0"/>
    <n v="0"/>
    <n v="1"/>
    <n v="0"/>
    <n v="0"/>
    <n v="0"/>
    <n v="0"/>
  </r>
  <r>
    <x v="16"/>
    <x v="16"/>
    <x v="1"/>
    <s v="Cereals d'hivern per a farratge"/>
    <n v="7"/>
    <n v="0"/>
    <n v="0"/>
    <n v="7"/>
    <n v="5"/>
    <n v="0"/>
    <n v="0"/>
    <n v="5"/>
  </r>
  <r>
    <x v="16"/>
    <x v="16"/>
    <x v="1"/>
    <s v="Sorgo farratger"/>
    <n v="0"/>
    <n v="2"/>
    <n v="0"/>
    <n v="2"/>
    <n v="0"/>
    <n v="0"/>
    <n v="0"/>
    <n v="0"/>
  </r>
  <r>
    <x v="16"/>
    <x v="16"/>
    <x v="1"/>
    <s v="Raigràs"/>
    <n v="43"/>
    <n v="0"/>
    <n v="0"/>
    <n v="43"/>
    <n v="0"/>
    <n v="0"/>
    <n v="0"/>
    <n v="0"/>
  </r>
  <r>
    <x v="16"/>
    <x v="16"/>
    <x v="1"/>
    <s v="Alfals"/>
    <n v="27"/>
    <n v="0"/>
    <n v="0"/>
    <n v="27"/>
    <n v="0"/>
    <n v="0"/>
    <n v="0"/>
    <n v="0"/>
  </r>
  <r>
    <x v="16"/>
    <x v="16"/>
    <x v="1"/>
    <s v="Trepadella"/>
    <n v="1"/>
    <n v="0"/>
    <n v="0"/>
    <n v="1"/>
    <n v="0"/>
    <n v="0"/>
    <n v="0"/>
    <n v="0"/>
  </r>
  <r>
    <x v="16"/>
    <x v="16"/>
    <x v="1"/>
    <s v="Praderes polifites"/>
    <n v="22"/>
    <n v="0"/>
    <n v="0"/>
    <n v="22"/>
    <n v="0"/>
    <n v="0"/>
    <n v="0"/>
    <n v="0"/>
  </r>
  <r>
    <x v="16"/>
    <x v="16"/>
    <x v="1"/>
    <s v="Associació Veça - Civada farratgeres"/>
    <n v="17"/>
    <n v="0"/>
    <n v="0"/>
    <n v="17"/>
    <n v="0"/>
    <n v="0"/>
    <n v="0"/>
    <n v="0"/>
  </r>
  <r>
    <x v="16"/>
    <x v="16"/>
    <x v="3"/>
    <s v="Cànem per a llavor"/>
    <n v="0"/>
    <n v="0"/>
    <n v="0"/>
    <n v="0"/>
    <n v="2"/>
    <n v="0"/>
    <n v="0"/>
    <n v="2"/>
  </r>
  <r>
    <x v="16"/>
    <x v="16"/>
    <x v="3"/>
    <s v="Colza"/>
    <n v="49"/>
    <n v="0"/>
    <n v="0"/>
    <n v="49"/>
    <n v="0"/>
    <n v="0"/>
    <n v="0"/>
    <n v="0"/>
  </r>
  <r>
    <x v="16"/>
    <x v="16"/>
    <x v="4"/>
    <s v="Col de cabdell"/>
    <n v="0"/>
    <n v="0"/>
    <n v="0"/>
    <n v="0"/>
    <n v="1"/>
    <n v="0"/>
    <n v="0"/>
    <n v="1"/>
  </r>
  <r>
    <x v="16"/>
    <x v="16"/>
    <x v="4"/>
    <s v="Ceba"/>
    <n v="0"/>
    <n v="0"/>
    <n v="0"/>
    <n v="0"/>
    <n v="1"/>
    <n v="0"/>
    <n v="0"/>
    <n v="1"/>
  </r>
  <r>
    <x v="16"/>
    <x v="16"/>
    <x v="4"/>
    <s v="Fava tendra"/>
    <n v="0"/>
    <n v="0"/>
    <n v="0"/>
    <n v="0"/>
    <n v="1"/>
    <n v="0"/>
    <n v="0"/>
    <n v="1"/>
  </r>
  <r>
    <x v="16"/>
    <x v="16"/>
    <x v="2"/>
    <s v="Pèsol sec"/>
    <n v="8"/>
    <n v="0"/>
    <n v="0"/>
    <n v="8"/>
    <n v="0"/>
    <n v="0"/>
    <n v="0"/>
    <n v="0"/>
  </r>
  <r>
    <x v="16"/>
    <x v="16"/>
    <x v="6"/>
    <s v="Patata d'estació mitjana"/>
    <n v="1"/>
    <n v="0"/>
    <n v="0"/>
    <n v="1"/>
    <n v="0"/>
    <n v="0"/>
    <n v="0"/>
    <n v="0"/>
  </r>
  <r>
    <x v="17"/>
    <x v="17"/>
    <x v="0"/>
    <s v="Blat tou"/>
    <n v="212"/>
    <n v="0"/>
    <n v="0"/>
    <n v="212"/>
    <n v="0"/>
    <n v="0"/>
    <n v="0"/>
    <n v="0"/>
  </r>
  <r>
    <x v="17"/>
    <x v="17"/>
    <x v="0"/>
    <s v="Ordi"/>
    <n v="405"/>
    <n v="0"/>
    <n v="0"/>
    <n v="405"/>
    <n v="0"/>
    <n v="0"/>
    <n v="0"/>
    <n v="0"/>
  </r>
  <r>
    <x v="17"/>
    <x v="17"/>
    <x v="0"/>
    <s v="Civada"/>
    <n v="10"/>
    <n v="0"/>
    <n v="0"/>
    <n v="10"/>
    <n v="0"/>
    <n v="0"/>
    <n v="0"/>
    <n v="0"/>
  </r>
  <r>
    <x v="17"/>
    <x v="17"/>
    <x v="1"/>
    <s v="Cereals d'hivern per a farratge"/>
    <n v="41"/>
    <n v="0"/>
    <n v="0"/>
    <n v="41"/>
    <n v="0"/>
    <n v="0"/>
    <n v="0"/>
    <n v="0"/>
  </r>
  <r>
    <x v="17"/>
    <x v="17"/>
    <x v="1"/>
    <s v="Sorgo farratger"/>
    <n v="0"/>
    <n v="3"/>
    <n v="0"/>
    <n v="3"/>
    <n v="0"/>
    <n v="0"/>
    <n v="0"/>
    <n v="0"/>
  </r>
  <r>
    <x v="17"/>
    <x v="17"/>
    <x v="1"/>
    <s v="Raigràs"/>
    <n v="47"/>
    <n v="0"/>
    <n v="0"/>
    <n v="47"/>
    <n v="0"/>
    <n v="0"/>
    <n v="0"/>
    <n v="0"/>
  </r>
  <r>
    <x v="17"/>
    <x v="17"/>
    <x v="1"/>
    <s v="Alfals"/>
    <n v="7"/>
    <n v="0"/>
    <n v="0"/>
    <n v="7"/>
    <n v="0"/>
    <n v="0"/>
    <n v="0"/>
    <n v="0"/>
  </r>
  <r>
    <x v="17"/>
    <x v="17"/>
    <x v="1"/>
    <s v="Trepadella"/>
    <n v="2"/>
    <n v="0"/>
    <n v="0"/>
    <n v="2"/>
    <n v="0"/>
    <n v="0"/>
    <n v="0"/>
    <n v="0"/>
  </r>
  <r>
    <x v="17"/>
    <x v="17"/>
    <x v="1"/>
    <s v="Praderes polifites"/>
    <n v="12"/>
    <n v="0"/>
    <n v="0"/>
    <n v="12"/>
    <n v="0"/>
    <n v="0"/>
    <n v="0"/>
    <n v="0"/>
  </r>
  <r>
    <x v="17"/>
    <x v="17"/>
    <x v="1"/>
    <s v="Associació Veça - Civada farratgeres"/>
    <n v="5"/>
    <n v="0"/>
    <n v="0"/>
    <n v="5"/>
    <n v="0"/>
    <n v="0"/>
    <n v="0"/>
    <n v="0"/>
  </r>
  <r>
    <x v="17"/>
    <x v="17"/>
    <x v="3"/>
    <s v="Colza"/>
    <n v="25"/>
    <n v="0"/>
    <n v="0"/>
    <n v="25"/>
    <n v="0"/>
    <n v="0"/>
    <n v="0"/>
    <n v="0"/>
  </r>
  <r>
    <x v="17"/>
    <x v="17"/>
    <x v="4"/>
    <s v="Porro"/>
    <n v="0"/>
    <n v="0"/>
    <n v="0"/>
    <n v="0"/>
    <n v="1"/>
    <n v="0"/>
    <n v="0"/>
    <n v="1"/>
  </r>
  <r>
    <x v="17"/>
    <x v="17"/>
    <x v="2"/>
    <s v="Veça"/>
    <n v="2"/>
    <n v="0"/>
    <n v="0"/>
    <n v="2"/>
    <n v="0"/>
    <n v="0"/>
    <n v="0"/>
    <n v="0"/>
  </r>
  <r>
    <x v="18"/>
    <x v="18"/>
    <x v="0"/>
    <s v="Ordi"/>
    <n v="13"/>
    <n v="0"/>
    <n v="0"/>
    <n v="13"/>
    <n v="0"/>
    <n v="0"/>
    <n v="0"/>
    <n v="0"/>
  </r>
  <r>
    <x v="18"/>
    <x v="18"/>
    <x v="0"/>
    <s v="Civada"/>
    <n v="7"/>
    <n v="0"/>
    <n v="0"/>
    <n v="7"/>
    <n v="0"/>
    <n v="0"/>
    <n v="0"/>
    <n v="0"/>
  </r>
  <r>
    <x v="18"/>
    <x v="18"/>
    <x v="1"/>
    <s v="Cereals d'hivern per a farratge"/>
    <n v="7"/>
    <n v="0"/>
    <n v="0"/>
    <n v="7"/>
    <n v="0"/>
    <n v="0"/>
    <n v="0"/>
    <n v="0"/>
  </r>
  <r>
    <x v="18"/>
    <x v="18"/>
    <x v="1"/>
    <s v="Alfals"/>
    <n v="4"/>
    <n v="0"/>
    <n v="0"/>
    <n v="4"/>
    <n v="0"/>
    <n v="0"/>
    <n v="0"/>
    <n v="0"/>
  </r>
  <r>
    <x v="19"/>
    <x v="19"/>
    <x v="4"/>
    <s v="Col de cabdell"/>
    <n v="0"/>
    <n v="0"/>
    <n v="0"/>
    <n v="0"/>
    <n v="0"/>
    <n v="1"/>
    <n v="0"/>
    <n v="1"/>
  </r>
  <r>
    <x v="19"/>
    <x v="19"/>
    <x v="4"/>
    <s v="Api"/>
    <n v="0"/>
    <n v="0"/>
    <n v="0"/>
    <n v="0"/>
    <n v="1"/>
    <n v="0"/>
    <n v="0"/>
    <n v="1"/>
  </r>
  <r>
    <x v="19"/>
    <x v="19"/>
    <x v="4"/>
    <s v="Enciam"/>
    <n v="0"/>
    <n v="0"/>
    <n v="0"/>
    <n v="0"/>
    <n v="1"/>
    <n v="0"/>
    <n v="0"/>
    <n v="1"/>
  </r>
  <r>
    <x v="19"/>
    <x v="19"/>
    <x v="4"/>
    <s v="Espinac"/>
    <n v="0"/>
    <n v="0"/>
    <n v="0"/>
    <n v="0"/>
    <n v="0"/>
    <n v="1"/>
    <n v="0"/>
    <n v="1"/>
  </r>
  <r>
    <x v="19"/>
    <x v="19"/>
    <x v="4"/>
    <s v="Albergínia"/>
    <n v="0"/>
    <n v="0"/>
    <n v="0"/>
    <n v="0"/>
    <n v="0"/>
    <n v="1"/>
    <n v="0"/>
    <n v="1"/>
  </r>
  <r>
    <x v="19"/>
    <x v="19"/>
    <x v="4"/>
    <s v="Tomàquet"/>
    <n v="0"/>
    <n v="0"/>
    <n v="0"/>
    <n v="0"/>
    <n v="1"/>
    <n v="0"/>
    <n v="0"/>
    <n v="1"/>
  </r>
  <r>
    <x v="19"/>
    <x v="19"/>
    <x v="4"/>
    <s v="Ceba"/>
    <n v="0"/>
    <n v="0"/>
    <n v="0"/>
    <n v="0"/>
    <n v="1"/>
    <n v="0"/>
    <n v="0"/>
    <n v="1"/>
  </r>
  <r>
    <x v="19"/>
    <x v="19"/>
    <x v="4"/>
    <s v="Porro"/>
    <n v="0"/>
    <n v="0"/>
    <n v="0"/>
    <n v="0"/>
    <n v="1"/>
    <n v="0"/>
    <n v="0"/>
    <n v="1"/>
  </r>
  <r>
    <x v="19"/>
    <x v="19"/>
    <x v="4"/>
    <s v="Mongeta tendra"/>
    <n v="0"/>
    <n v="0"/>
    <n v="0"/>
    <n v="0"/>
    <n v="0"/>
    <n v="1"/>
    <n v="0"/>
    <n v="1"/>
  </r>
  <r>
    <x v="19"/>
    <x v="19"/>
    <x v="4"/>
    <s v="Pèsol verd"/>
    <n v="0"/>
    <n v="0"/>
    <n v="0"/>
    <n v="0"/>
    <n v="0"/>
    <n v="1"/>
    <n v="0"/>
    <n v="1"/>
  </r>
  <r>
    <x v="19"/>
    <x v="19"/>
    <x v="4"/>
    <s v="Fava tendra"/>
    <n v="0"/>
    <n v="0"/>
    <n v="0"/>
    <n v="0"/>
    <n v="0"/>
    <n v="1"/>
    <n v="0"/>
    <n v="1"/>
  </r>
  <r>
    <x v="19"/>
    <x v="19"/>
    <x v="4"/>
    <s v="Julivert"/>
    <n v="0"/>
    <n v="0"/>
    <n v="0"/>
    <n v="0"/>
    <n v="0"/>
    <n v="1"/>
    <n v="0"/>
    <n v="1"/>
  </r>
  <r>
    <x v="19"/>
    <x v="19"/>
    <x v="6"/>
    <s v="Patata d'estació mitjana"/>
    <n v="0"/>
    <n v="0"/>
    <n v="0"/>
    <n v="0"/>
    <n v="1"/>
    <n v="0"/>
    <n v="0"/>
    <n v="1"/>
  </r>
  <r>
    <x v="20"/>
    <x v="20"/>
    <x v="0"/>
    <s v="Ordi"/>
    <n v="33"/>
    <n v="0"/>
    <n v="0"/>
    <n v="33"/>
    <n v="1"/>
    <n v="0"/>
    <n v="0"/>
    <n v="1"/>
  </r>
  <r>
    <x v="20"/>
    <x v="20"/>
    <x v="0"/>
    <s v="Civada"/>
    <n v="14"/>
    <n v="0"/>
    <n v="0"/>
    <n v="14"/>
    <n v="0"/>
    <n v="0"/>
    <n v="0"/>
    <n v="0"/>
  </r>
  <r>
    <x v="20"/>
    <x v="20"/>
    <x v="1"/>
    <s v="Cereals d'hivern per a farratge"/>
    <n v="2"/>
    <n v="0"/>
    <n v="0"/>
    <n v="2"/>
    <n v="0"/>
    <n v="0"/>
    <n v="0"/>
    <n v="0"/>
  </r>
  <r>
    <x v="20"/>
    <x v="20"/>
    <x v="1"/>
    <s v="Raigràs"/>
    <n v="8"/>
    <n v="0"/>
    <n v="0"/>
    <n v="8"/>
    <n v="0"/>
    <n v="0"/>
    <n v="0"/>
    <n v="0"/>
  </r>
  <r>
    <x v="20"/>
    <x v="20"/>
    <x v="1"/>
    <s v="Alfals"/>
    <n v="7"/>
    <n v="0"/>
    <n v="0"/>
    <n v="7"/>
    <n v="0"/>
    <n v="0"/>
    <n v="0"/>
    <n v="0"/>
  </r>
  <r>
    <x v="20"/>
    <x v="20"/>
    <x v="1"/>
    <s v="Trepadella"/>
    <n v="4"/>
    <n v="0"/>
    <n v="0"/>
    <n v="4"/>
    <n v="0"/>
    <n v="0"/>
    <n v="0"/>
    <n v="0"/>
  </r>
  <r>
    <x v="20"/>
    <x v="20"/>
    <x v="3"/>
    <s v="Colza"/>
    <n v="6"/>
    <n v="0"/>
    <n v="0"/>
    <n v="6"/>
    <n v="0"/>
    <n v="0"/>
    <n v="0"/>
    <n v="0"/>
  </r>
  <r>
    <x v="20"/>
    <x v="20"/>
    <x v="4"/>
    <s v="Col de cabdell"/>
    <n v="0"/>
    <n v="0"/>
    <n v="0"/>
    <n v="0"/>
    <n v="1"/>
    <n v="0"/>
    <n v="0"/>
    <n v="1"/>
  </r>
  <r>
    <x v="20"/>
    <x v="20"/>
    <x v="4"/>
    <s v="Tomàquet"/>
    <n v="0"/>
    <n v="0"/>
    <n v="0"/>
    <n v="0"/>
    <n v="1"/>
    <n v="0"/>
    <n v="0"/>
    <n v="1"/>
  </r>
  <r>
    <x v="20"/>
    <x v="20"/>
    <x v="4"/>
    <s v="Ceba"/>
    <n v="0"/>
    <n v="0"/>
    <n v="0"/>
    <n v="0"/>
    <n v="1"/>
    <n v="0"/>
    <n v="0"/>
    <n v="1"/>
  </r>
  <r>
    <x v="21"/>
    <x v="21"/>
    <x v="0"/>
    <s v="Blat tou"/>
    <n v="295"/>
    <n v="0"/>
    <n v="0"/>
    <n v="295"/>
    <n v="0"/>
    <n v="0"/>
    <n v="0"/>
    <n v="0"/>
  </r>
  <r>
    <x v="21"/>
    <x v="21"/>
    <x v="0"/>
    <s v="Ordi"/>
    <n v="535"/>
    <n v="0"/>
    <n v="0"/>
    <n v="535"/>
    <n v="0"/>
    <n v="0"/>
    <n v="0"/>
    <n v="0"/>
  </r>
  <r>
    <x v="21"/>
    <x v="21"/>
    <x v="0"/>
    <s v="Civada"/>
    <n v="6"/>
    <n v="0"/>
    <n v="0"/>
    <n v="6"/>
    <n v="0"/>
    <n v="0"/>
    <n v="0"/>
    <n v="0"/>
  </r>
  <r>
    <x v="21"/>
    <x v="21"/>
    <x v="1"/>
    <s v="Cereals d'hivern per a farratge"/>
    <n v="25"/>
    <n v="0"/>
    <n v="0"/>
    <n v="25"/>
    <n v="0"/>
    <n v="0"/>
    <n v="0"/>
    <n v="0"/>
  </r>
  <r>
    <x v="21"/>
    <x v="21"/>
    <x v="1"/>
    <s v="Alfals"/>
    <n v="9"/>
    <n v="0"/>
    <n v="0"/>
    <n v="9"/>
    <n v="0"/>
    <n v="0"/>
    <n v="0"/>
    <n v="0"/>
  </r>
  <r>
    <x v="21"/>
    <x v="21"/>
    <x v="3"/>
    <s v="Colza"/>
    <n v="42"/>
    <n v="0"/>
    <n v="0"/>
    <n v="42"/>
    <n v="0"/>
    <n v="0"/>
    <n v="0"/>
    <n v="0"/>
  </r>
  <r>
    <x v="21"/>
    <x v="21"/>
    <x v="2"/>
    <s v="Pèsol sec"/>
    <n v="31"/>
    <n v="0"/>
    <n v="0"/>
    <n v="31"/>
    <n v="0"/>
    <n v="0"/>
    <n v="0"/>
    <n v="0"/>
  </r>
  <r>
    <x v="22"/>
    <x v="22"/>
    <x v="0"/>
    <s v="Blat tou"/>
    <n v="26"/>
    <n v="0"/>
    <n v="0"/>
    <n v="26"/>
    <n v="0"/>
    <n v="0"/>
    <n v="0"/>
    <n v="0"/>
  </r>
  <r>
    <x v="22"/>
    <x v="22"/>
    <x v="0"/>
    <s v="Ordi"/>
    <n v="96"/>
    <n v="0"/>
    <n v="0"/>
    <n v="96"/>
    <n v="2"/>
    <n v="0"/>
    <n v="0"/>
    <n v="2"/>
  </r>
  <r>
    <x v="22"/>
    <x v="22"/>
    <x v="0"/>
    <s v="Civada"/>
    <n v="12"/>
    <n v="0"/>
    <n v="0"/>
    <n v="12"/>
    <n v="0"/>
    <n v="0"/>
    <n v="0"/>
    <n v="0"/>
  </r>
  <r>
    <x v="22"/>
    <x v="22"/>
    <x v="0"/>
    <s v="Triticale"/>
    <n v="1"/>
    <n v="0"/>
    <n v="0"/>
    <n v="1"/>
    <n v="0"/>
    <n v="0"/>
    <n v="0"/>
    <n v="0"/>
  </r>
  <r>
    <x v="22"/>
    <x v="22"/>
    <x v="0"/>
    <s v="Mill i melca"/>
    <n v="1"/>
    <n v="0"/>
    <n v="0"/>
    <n v="1"/>
    <n v="0"/>
    <n v="0"/>
    <n v="0"/>
    <n v="0"/>
  </r>
  <r>
    <x v="22"/>
    <x v="22"/>
    <x v="1"/>
    <s v="Cereals d'hivern per a farratge"/>
    <n v="12"/>
    <n v="0"/>
    <n v="0"/>
    <n v="12"/>
    <n v="0"/>
    <n v="0"/>
    <n v="0"/>
    <n v="0"/>
  </r>
  <r>
    <x v="22"/>
    <x v="22"/>
    <x v="1"/>
    <s v="Sorgo farratger"/>
    <n v="1"/>
    <n v="0"/>
    <n v="0"/>
    <n v="1"/>
    <n v="0"/>
    <n v="0"/>
    <n v="0"/>
    <n v="0"/>
  </r>
  <r>
    <x v="22"/>
    <x v="22"/>
    <x v="1"/>
    <s v="Raigràs"/>
    <n v="13"/>
    <n v="0"/>
    <n v="0"/>
    <n v="13"/>
    <n v="8"/>
    <n v="0"/>
    <n v="0"/>
    <n v="8"/>
  </r>
  <r>
    <x v="22"/>
    <x v="22"/>
    <x v="1"/>
    <s v="Alfals"/>
    <n v="31"/>
    <n v="0"/>
    <n v="0"/>
    <n v="31"/>
    <n v="1"/>
    <n v="0"/>
    <n v="0"/>
    <n v="1"/>
  </r>
  <r>
    <x v="22"/>
    <x v="22"/>
    <x v="1"/>
    <s v="Festuca"/>
    <n v="4"/>
    <n v="0"/>
    <n v="0"/>
    <n v="4"/>
    <n v="1"/>
    <n v="0"/>
    <n v="0"/>
    <n v="1"/>
  </r>
  <r>
    <x v="22"/>
    <x v="22"/>
    <x v="1"/>
    <s v="Associació Veça - Civada farratgeres"/>
    <n v="3"/>
    <n v="0"/>
    <n v="0"/>
    <n v="3"/>
    <n v="0"/>
    <n v="0"/>
    <n v="0"/>
    <n v="0"/>
  </r>
  <r>
    <x v="22"/>
    <x v="22"/>
    <x v="3"/>
    <s v="Colza"/>
    <n v="14"/>
    <n v="0"/>
    <n v="0"/>
    <n v="14"/>
    <n v="0"/>
    <n v="0"/>
    <n v="0"/>
    <n v="0"/>
  </r>
  <r>
    <x v="22"/>
    <x v="22"/>
    <x v="2"/>
    <s v="Veça"/>
    <n v="2"/>
    <n v="0"/>
    <n v="0"/>
    <n v="2"/>
    <n v="0"/>
    <n v="0"/>
    <n v="0"/>
    <n v="0"/>
  </r>
  <r>
    <x v="23"/>
    <x v="23"/>
    <x v="0"/>
    <s v="Blat tou"/>
    <n v="2"/>
    <n v="0"/>
    <n v="0"/>
    <n v="2"/>
    <n v="13"/>
    <n v="0"/>
    <n v="0"/>
    <n v="13"/>
  </r>
  <r>
    <x v="23"/>
    <x v="23"/>
    <x v="0"/>
    <s v="Ordi"/>
    <n v="24"/>
    <n v="0"/>
    <n v="0"/>
    <n v="24"/>
    <n v="14"/>
    <n v="0"/>
    <n v="0"/>
    <n v="14"/>
  </r>
  <r>
    <x v="23"/>
    <x v="23"/>
    <x v="0"/>
    <s v="Civada"/>
    <n v="4"/>
    <n v="0"/>
    <n v="0"/>
    <n v="4"/>
    <n v="1"/>
    <n v="0"/>
    <n v="0"/>
    <n v="1"/>
  </r>
  <r>
    <x v="23"/>
    <x v="23"/>
    <x v="1"/>
    <s v="Cereals d'hivern per a farratge"/>
    <n v="36"/>
    <n v="0"/>
    <n v="0"/>
    <n v="36"/>
    <n v="10"/>
    <n v="0"/>
    <n v="0"/>
    <n v="10"/>
  </r>
  <r>
    <x v="23"/>
    <x v="23"/>
    <x v="1"/>
    <s v="Raigràs"/>
    <n v="12"/>
    <n v="0"/>
    <n v="0"/>
    <n v="12"/>
    <n v="0"/>
    <n v="0"/>
    <n v="0"/>
    <n v="0"/>
  </r>
  <r>
    <x v="23"/>
    <x v="23"/>
    <x v="1"/>
    <s v="Alfals"/>
    <n v="6"/>
    <n v="0"/>
    <n v="0"/>
    <n v="6"/>
    <n v="0"/>
    <n v="0"/>
    <n v="0"/>
    <n v="0"/>
  </r>
  <r>
    <x v="23"/>
    <x v="23"/>
    <x v="2"/>
    <s v="Mongeta seca"/>
    <n v="0"/>
    <n v="0"/>
    <n v="0"/>
    <n v="0"/>
    <n v="3"/>
    <n v="0"/>
    <n v="0"/>
    <n v="3"/>
  </r>
  <r>
    <x v="24"/>
    <x v="24"/>
    <x v="0"/>
    <s v="Ordi"/>
    <n v="15"/>
    <n v="0"/>
    <n v="0"/>
    <n v="15"/>
    <n v="0"/>
    <n v="0"/>
    <n v="0"/>
    <n v="0"/>
  </r>
  <r>
    <x v="24"/>
    <x v="24"/>
    <x v="1"/>
    <s v="Sorgo farratger"/>
    <n v="0"/>
    <n v="3"/>
    <n v="0"/>
    <n v="3"/>
    <n v="0"/>
    <n v="0"/>
    <n v="0"/>
    <n v="0"/>
  </r>
  <r>
    <x v="24"/>
    <x v="24"/>
    <x v="1"/>
    <s v="Raigràs"/>
    <n v="26"/>
    <n v="0"/>
    <n v="0"/>
    <n v="26"/>
    <n v="0"/>
    <n v="0"/>
    <n v="0"/>
    <n v="0"/>
  </r>
  <r>
    <x v="24"/>
    <x v="24"/>
    <x v="1"/>
    <s v="Alfals"/>
    <n v="16"/>
    <n v="0"/>
    <n v="0"/>
    <n v="16"/>
    <n v="0"/>
    <n v="0"/>
    <n v="0"/>
    <n v="0"/>
  </r>
  <r>
    <x v="24"/>
    <x v="24"/>
    <x v="1"/>
    <s v="Praderes polifites"/>
    <n v="119"/>
    <n v="0"/>
    <n v="0"/>
    <n v="119"/>
    <n v="0"/>
    <n v="0"/>
    <n v="0"/>
    <n v="0"/>
  </r>
  <r>
    <x v="24"/>
    <x v="24"/>
    <x v="1"/>
    <s v="Festuca"/>
    <n v="1"/>
    <n v="0"/>
    <n v="0"/>
    <n v="1"/>
    <n v="0"/>
    <n v="0"/>
    <n v="0"/>
    <n v="0"/>
  </r>
  <r>
    <x v="25"/>
    <x v="25"/>
    <x v="0"/>
    <s v="Blat tou"/>
    <n v="54"/>
    <n v="0"/>
    <n v="0"/>
    <n v="54"/>
    <n v="0"/>
    <n v="0"/>
    <n v="0"/>
    <n v="0"/>
  </r>
  <r>
    <x v="25"/>
    <x v="25"/>
    <x v="0"/>
    <s v="Ordi"/>
    <n v="72"/>
    <n v="0"/>
    <n v="0"/>
    <n v="72"/>
    <n v="0"/>
    <n v="0"/>
    <n v="0"/>
    <n v="0"/>
  </r>
  <r>
    <x v="25"/>
    <x v="25"/>
    <x v="0"/>
    <s v="Civada"/>
    <n v="4"/>
    <n v="0"/>
    <n v="0"/>
    <n v="4"/>
    <n v="0"/>
    <n v="0"/>
    <n v="0"/>
    <n v="0"/>
  </r>
  <r>
    <x v="25"/>
    <x v="25"/>
    <x v="1"/>
    <s v="Cereals d'hivern per a farratge"/>
    <n v="15"/>
    <n v="0"/>
    <n v="0"/>
    <n v="15"/>
    <n v="0"/>
    <n v="0"/>
    <n v="0"/>
    <n v="0"/>
  </r>
  <r>
    <x v="25"/>
    <x v="25"/>
    <x v="1"/>
    <s v="Raigràs"/>
    <n v="6"/>
    <n v="0"/>
    <n v="0"/>
    <n v="6"/>
    <n v="0"/>
    <n v="0"/>
    <n v="0"/>
    <n v="0"/>
  </r>
  <r>
    <x v="25"/>
    <x v="25"/>
    <x v="1"/>
    <s v="Alfals"/>
    <n v="1"/>
    <n v="0"/>
    <n v="0"/>
    <n v="1"/>
    <n v="0"/>
    <n v="0"/>
    <n v="0"/>
    <n v="0"/>
  </r>
  <r>
    <x v="25"/>
    <x v="25"/>
    <x v="1"/>
    <s v="Associació Veça - Civada farratgeres"/>
    <n v="10"/>
    <n v="0"/>
    <n v="0"/>
    <n v="10"/>
    <n v="0"/>
    <n v="0"/>
    <n v="0"/>
    <n v="0"/>
  </r>
  <r>
    <x v="25"/>
    <x v="25"/>
    <x v="4"/>
    <s v="Síndria"/>
    <n v="0"/>
    <n v="0"/>
    <n v="0"/>
    <n v="0"/>
    <n v="1"/>
    <n v="0"/>
    <n v="0"/>
    <n v="1"/>
  </r>
  <r>
    <x v="25"/>
    <x v="25"/>
    <x v="4"/>
    <s v="Meló"/>
    <n v="0"/>
    <n v="0"/>
    <n v="0"/>
    <n v="0"/>
    <n v="1"/>
    <n v="0"/>
    <n v="0"/>
    <n v="1"/>
  </r>
  <r>
    <x v="25"/>
    <x v="25"/>
    <x v="2"/>
    <s v="Erbs"/>
    <n v="1"/>
    <n v="0"/>
    <n v="0"/>
    <n v="1"/>
    <n v="0"/>
    <n v="0"/>
    <n v="0"/>
    <n v="0"/>
  </r>
  <r>
    <x v="26"/>
    <x v="26"/>
    <x v="0"/>
    <s v="Blat tou"/>
    <n v="61"/>
    <n v="0"/>
    <n v="0"/>
    <n v="61"/>
    <n v="0"/>
    <n v="0"/>
    <n v="0"/>
    <n v="0"/>
  </r>
  <r>
    <x v="26"/>
    <x v="26"/>
    <x v="0"/>
    <s v="Ordi"/>
    <n v="39"/>
    <n v="0"/>
    <n v="0"/>
    <n v="39"/>
    <n v="0"/>
    <n v="0"/>
    <n v="0"/>
    <n v="0"/>
  </r>
  <r>
    <x v="26"/>
    <x v="26"/>
    <x v="0"/>
    <s v="Civada"/>
    <n v="3"/>
    <n v="0"/>
    <n v="0"/>
    <n v="3"/>
    <n v="0"/>
    <n v="0"/>
    <n v="0"/>
    <n v="0"/>
  </r>
  <r>
    <x v="26"/>
    <x v="26"/>
    <x v="0"/>
    <s v="Triticale"/>
    <n v="1"/>
    <n v="0"/>
    <n v="0"/>
    <n v="1"/>
    <n v="0"/>
    <n v="0"/>
    <n v="0"/>
    <n v="0"/>
  </r>
  <r>
    <x v="26"/>
    <x v="26"/>
    <x v="1"/>
    <s v="Cereals d'hivern per a farratge"/>
    <n v="21"/>
    <n v="0"/>
    <n v="0"/>
    <n v="21"/>
    <n v="0"/>
    <n v="0"/>
    <n v="0"/>
    <n v="0"/>
  </r>
  <r>
    <x v="26"/>
    <x v="26"/>
    <x v="1"/>
    <s v="Sorgo farratger"/>
    <n v="3"/>
    <n v="30"/>
    <n v="0"/>
    <n v="33"/>
    <n v="0"/>
    <n v="0"/>
    <n v="0"/>
    <n v="0"/>
  </r>
  <r>
    <x v="26"/>
    <x v="26"/>
    <x v="1"/>
    <s v="Raigràs"/>
    <n v="17"/>
    <n v="0"/>
    <n v="0"/>
    <n v="17"/>
    <n v="0"/>
    <n v="0"/>
    <n v="0"/>
    <n v="0"/>
  </r>
  <r>
    <x v="26"/>
    <x v="26"/>
    <x v="1"/>
    <s v="Alfals"/>
    <n v="30"/>
    <n v="0"/>
    <n v="0"/>
    <n v="30"/>
    <n v="0"/>
    <n v="0"/>
    <n v="0"/>
    <n v="0"/>
  </r>
  <r>
    <x v="26"/>
    <x v="26"/>
    <x v="1"/>
    <s v="Trepadella"/>
    <n v="4"/>
    <n v="0"/>
    <n v="0"/>
    <n v="4"/>
    <n v="0"/>
    <n v="0"/>
    <n v="0"/>
    <n v="0"/>
  </r>
  <r>
    <x v="26"/>
    <x v="26"/>
    <x v="1"/>
    <s v="Praderes polifites"/>
    <n v="65"/>
    <n v="0"/>
    <n v="0"/>
    <n v="65"/>
    <n v="0"/>
    <n v="0"/>
    <n v="0"/>
    <n v="0"/>
  </r>
  <r>
    <x v="26"/>
    <x v="26"/>
    <x v="1"/>
    <s v="Associació Veça - Civada farratgeres"/>
    <n v="19"/>
    <n v="0"/>
    <n v="0"/>
    <n v="19"/>
    <n v="0"/>
    <n v="0"/>
    <n v="0"/>
    <n v="0"/>
  </r>
  <r>
    <x v="26"/>
    <x v="26"/>
    <x v="2"/>
    <s v="Pèsol sec"/>
    <n v="10"/>
    <n v="0"/>
    <n v="0"/>
    <n v="10"/>
    <n v="0"/>
    <n v="0"/>
    <n v="0"/>
    <n v="0"/>
  </r>
  <r>
    <x v="26"/>
    <x v="26"/>
    <x v="6"/>
    <s v="Patata d'estació mitjana"/>
    <n v="1"/>
    <n v="0"/>
    <n v="0"/>
    <n v="1"/>
    <n v="0"/>
    <n v="0"/>
    <n v="0"/>
    <n v="0"/>
  </r>
  <r>
    <x v="27"/>
    <x v="27"/>
    <x v="0"/>
    <s v="Blat tou"/>
    <n v="2"/>
    <n v="0"/>
    <n v="0"/>
    <n v="2"/>
    <n v="0"/>
    <n v="0"/>
    <n v="0"/>
    <n v="0"/>
  </r>
  <r>
    <x v="27"/>
    <x v="27"/>
    <x v="0"/>
    <s v="Ordi"/>
    <n v="4"/>
    <n v="0"/>
    <n v="0"/>
    <n v="4"/>
    <n v="0"/>
    <n v="0"/>
    <n v="0"/>
    <n v="0"/>
  </r>
  <r>
    <x v="27"/>
    <x v="27"/>
    <x v="0"/>
    <s v="Civada"/>
    <n v="1"/>
    <n v="0"/>
    <n v="0"/>
    <n v="1"/>
    <n v="0"/>
    <n v="0"/>
    <n v="0"/>
    <n v="0"/>
  </r>
  <r>
    <x v="28"/>
    <x v="28"/>
    <x v="5"/>
    <s v="Clavell"/>
    <n v="0"/>
    <n v="0"/>
    <n v="0"/>
    <n v="0"/>
    <n v="2"/>
    <n v="0"/>
    <n v="0"/>
    <n v="2"/>
  </r>
  <r>
    <x v="28"/>
    <x v="28"/>
    <x v="5"/>
    <s v="Altres flors"/>
    <n v="0"/>
    <n v="0"/>
    <n v="0"/>
    <n v="0"/>
    <n v="7"/>
    <n v="3"/>
    <n v="0"/>
    <n v="10"/>
  </r>
  <r>
    <x v="28"/>
    <x v="28"/>
    <x v="5"/>
    <s v="Plantes ornamentals"/>
    <n v="0"/>
    <n v="0"/>
    <n v="0"/>
    <n v="0"/>
    <n v="25"/>
    <n v="8"/>
    <n v="0"/>
    <n v="33"/>
  </r>
  <r>
    <x v="28"/>
    <x v="28"/>
    <x v="4"/>
    <s v="Col de cabdell"/>
    <n v="0"/>
    <n v="0"/>
    <n v="0"/>
    <n v="0"/>
    <n v="2"/>
    <n v="1"/>
    <n v="0"/>
    <n v="3"/>
  </r>
  <r>
    <x v="28"/>
    <x v="28"/>
    <x v="4"/>
    <s v="Api"/>
    <n v="0"/>
    <n v="0"/>
    <n v="0"/>
    <n v="0"/>
    <n v="4"/>
    <n v="2"/>
    <n v="0"/>
    <n v="6"/>
  </r>
  <r>
    <x v="28"/>
    <x v="28"/>
    <x v="4"/>
    <s v="Enciam"/>
    <n v="0"/>
    <n v="0"/>
    <n v="0"/>
    <n v="0"/>
    <n v="5"/>
    <n v="3"/>
    <n v="0"/>
    <n v="8"/>
  </r>
  <r>
    <x v="28"/>
    <x v="28"/>
    <x v="4"/>
    <s v="Escarola"/>
    <n v="0"/>
    <n v="0"/>
    <n v="0"/>
    <n v="0"/>
    <n v="0"/>
    <n v="4"/>
    <n v="0"/>
    <n v="4"/>
  </r>
  <r>
    <x v="28"/>
    <x v="28"/>
    <x v="4"/>
    <s v="Espinac"/>
    <n v="0"/>
    <n v="0"/>
    <n v="0"/>
    <n v="0"/>
    <n v="1"/>
    <n v="4"/>
    <n v="0"/>
    <n v="5"/>
  </r>
  <r>
    <x v="28"/>
    <x v="28"/>
    <x v="4"/>
    <s v="Bleda"/>
    <n v="0"/>
    <n v="0"/>
    <n v="0"/>
    <n v="0"/>
    <n v="1"/>
    <n v="4"/>
    <n v="0"/>
    <n v="5"/>
  </r>
  <r>
    <x v="28"/>
    <x v="28"/>
    <x v="4"/>
    <s v="Carbassa"/>
    <n v="0"/>
    <n v="0"/>
    <n v="0"/>
    <n v="0"/>
    <n v="3"/>
    <n v="0"/>
    <n v="0"/>
    <n v="3"/>
  </r>
  <r>
    <x v="28"/>
    <x v="28"/>
    <x v="4"/>
    <s v="Cogombre"/>
    <n v="0"/>
    <n v="0"/>
    <n v="0"/>
    <n v="0"/>
    <n v="2"/>
    <n v="4"/>
    <n v="0"/>
    <n v="6"/>
  </r>
  <r>
    <x v="28"/>
    <x v="28"/>
    <x v="4"/>
    <s v="Albergínia"/>
    <n v="0"/>
    <n v="0"/>
    <n v="0"/>
    <n v="0"/>
    <n v="2"/>
    <n v="0"/>
    <n v="0"/>
    <n v="2"/>
  </r>
  <r>
    <x v="28"/>
    <x v="28"/>
    <x v="4"/>
    <s v="Tomàquet"/>
    <n v="0"/>
    <n v="0"/>
    <n v="0"/>
    <n v="0"/>
    <n v="6"/>
    <n v="1"/>
    <n v="0"/>
    <n v="7"/>
  </r>
  <r>
    <x v="28"/>
    <x v="28"/>
    <x v="4"/>
    <s v="Pebrot"/>
    <n v="0"/>
    <n v="0"/>
    <n v="0"/>
    <n v="0"/>
    <n v="2"/>
    <n v="4"/>
    <n v="0"/>
    <n v="6"/>
  </r>
  <r>
    <x v="28"/>
    <x v="28"/>
    <x v="4"/>
    <s v="Carxofa"/>
    <n v="0"/>
    <n v="0"/>
    <n v="0"/>
    <n v="0"/>
    <n v="4"/>
    <n v="0"/>
    <n v="0"/>
    <n v="4"/>
  </r>
  <r>
    <x v="28"/>
    <x v="28"/>
    <x v="4"/>
    <s v="Ceba"/>
    <n v="0"/>
    <n v="0"/>
    <n v="0"/>
    <n v="0"/>
    <n v="9"/>
    <n v="3"/>
    <n v="0"/>
    <n v="12"/>
  </r>
  <r>
    <x v="28"/>
    <x v="28"/>
    <x v="4"/>
    <s v="Porro"/>
    <n v="0"/>
    <n v="0"/>
    <n v="0"/>
    <n v="0"/>
    <n v="5"/>
    <n v="2"/>
    <n v="0"/>
    <n v="7"/>
  </r>
  <r>
    <x v="28"/>
    <x v="28"/>
    <x v="4"/>
    <s v="Pastanaga"/>
    <n v="0"/>
    <n v="0"/>
    <n v="0"/>
    <n v="0"/>
    <n v="3"/>
    <n v="4"/>
    <n v="0"/>
    <n v="7"/>
  </r>
  <r>
    <x v="28"/>
    <x v="28"/>
    <x v="4"/>
    <s v="Rave"/>
    <n v="0"/>
    <n v="0"/>
    <n v="0"/>
    <n v="0"/>
    <n v="1"/>
    <n v="2"/>
    <n v="0"/>
    <n v="3"/>
  </r>
  <r>
    <x v="28"/>
    <x v="28"/>
    <x v="4"/>
    <s v="Mongeta tendra"/>
    <n v="0"/>
    <n v="0"/>
    <n v="0"/>
    <n v="0"/>
    <n v="2"/>
    <n v="1"/>
    <n v="0"/>
    <n v="3"/>
  </r>
  <r>
    <x v="28"/>
    <x v="28"/>
    <x v="4"/>
    <s v="Pèsol verd"/>
    <n v="0"/>
    <n v="0"/>
    <n v="0"/>
    <n v="0"/>
    <n v="0"/>
    <n v="1"/>
    <n v="0"/>
    <n v="1"/>
  </r>
  <r>
    <x v="28"/>
    <x v="28"/>
    <x v="4"/>
    <s v="Fava tendra"/>
    <n v="0"/>
    <n v="0"/>
    <n v="0"/>
    <n v="0"/>
    <n v="2"/>
    <n v="0"/>
    <n v="0"/>
    <n v="2"/>
  </r>
  <r>
    <x v="28"/>
    <x v="28"/>
    <x v="4"/>
    <s v="Carbassó"/>
    <n v="0"/>
    <n v="0"/>
    <n v="0"/>
    <n v="0"/>
    <n v="0"/>
    <n v="2"/>
    <n v="0"/>
    <n v="2"/>
  </r>
  <r>
    <x v="28"/>
    <x v="28"/>
    <x v="2"/>
    <s v="Mongeta seca"/>
    <n v="0"/>
    <n v="0"/>
    <n v="0"/>
    <n v="0"/>
    <n v="2"/>
    <n v="2"/>
    <n v="0"/>
    <n v="4"/>
  </r>
  <r>
    <x v="28"/>
    <x v="28"/>
    <x v="6"/>
    <s v="Patata primerenca"/>
    <n v="0"/>
    <n v="0"/>
    <n v="0"/>
    <n v="0"/>
    <n v="12"/>
    <n v="0"/>
    <n v="0"/>
    <n v="12"/>
  </r>
  <r>
    <x v="28"/>
    <x v="28"/>
    <x v="6"/>
    <s v="Patata d'estació mitjana"/>
    <n v="0"/>
    <n v="0"/>
    <n v="0"/>
    <n v="0"/>
    <n v="3"/>
    <n v="0"/>
    <n v="0"/>
    <n v="3"/>
  </r>
  <r>
    <x v="28"/>
    <x v="28"/>
    <x v="6"/>
    <s v="Patata tardana"/>
    <n v="0"/>
    <n v="0"/>
    <n v="0"/>
    <n v="0"/>
    <n v="0"/>
    <n v="2"/>
    <n v="0"/>
    <n v="2"/>
  </r>
  <r>
    <x v="29"/>
    <x v="29"/>
    <x v="0"/>
    <s v="Blat tou"/>
    <n v="18"/>
    <n v="0"/>
    <n v="0"/>
    <n v="18"/>
    <n v="0"/>
    <n v="0"/>
    <n v="0"/>
    <n v="0"/>
  </r>
  <r>
    <x v="29"/>
    <x v="29"/>
    <x v="0"/>
    <s v="Ordi"/>
    <n v="29"/>
    <n v="0"/>
    <n v="0"/>
    <n v="29"/>
    <n v="0"/>
    <n v="0"/>
    <n v="0"/>
    <n v="0"/>
  </r>
  <r>
    <x v="29"/>
    <x v="29"/>
    <x v="0"/>
    <s v="Civada"/>
    <n v="6"/>
    <n v="0"/>
    <n v="0"/>
    <n v="6"/>
    <n v="0"/>
    <n v="0"/>
    <n v="0"/>
    <n v="0"/>
  </r>
  <r>
    <x v="29"/>
    <x v="29"/>
    <x v="1"/>
    <s v="Cereals d'hivern per a farratge"/>
    <n v="23"/>
    <n v="0"/>
    <n v="0"/>
    <n v="23"/>
    <n v="0"/>
    <n v="0"/>
    <n v="0"/>
    <n v="0"/>
  </r>
  <r>
    <x v="29"/>
    <x v="29"/>
    <x v="1"/>
    <s v="Alfals"/>
    <n v="3"/>
    <n v="0"/>
    <n v="0"/>
    <n v="3"/>
    <n v="0"/>
    <n v="0"/>
    <n v="0"/>
    <n v="0"/>
  </r>
  <r>
    <x v="29"/>
    <x v="29"/>
    <x v="1"/>
    <s v="Trepadella"/>
    <n v="16"/>
    <n v="0"/>
    <n v="0"/>
    <n v="16"/>
    <n v="0"/>
    <n v="0"/>
    <n v="0"/>
    <n v="0"/>
  </r>
  <r>
    <x v="29"/>
    <x v="29"/>
    <x v="3"/>
    <s v="Gira-sol"/>
    <n v="2"/>
    <n v="0"/>
    <n v="0"/>
    <n v="2"/>
    <n v="0"/>
    <n v="0"/>
    <n v="0"/>
    <n v="0"/>
  </r>
  <r>
    <x v="29"/>
    <x v="29"/>
    <x v="2"/>
    <s v="Veça"/>
    <n v="9"/>
    <n v="0"/>
    <n v="0"/>
    <n v="9"/>
    <n v="0"/>
    <n v="0"/>
    <n v="0"/>
    <n v="0"/>
  </r>
  <r>
    <x v="30"/>
    <x v="30"/>
    <x v="0"/>
    <s v="Civada"/>
    <n v="1"/>
    <n v="0"/>
    <n v="0"/>
    <n v="1"/>
    <n v="0"/>
    <n v="0"/>
    <n v="0"/>
    <n v="0"/>
  </r>
  <r>
    <x v="30"/>
    <x v="30"/>
    <x v="1"/>
    <s v="Cereals d'hivern per a farratge"/>
    <n v="1"/>
    <n v="0"/>
    <n v="0"/>
    <n v="1"/>
    <n v="0"/>
    <n v="0"/>
    <n v="0"/>
    <n v="0"/>
  </r>
  <r>
    <x v="30"/>
    <x v="30"/>
    <x v="5"/>
    <s v="Altres flors"/>
    <n v="0"/>
    <n v="0"/>
    <n v="0"/>
    <n v="0"/>
    <n v="5"/>
    <n v="2"/>
    <n v="0"/>
    <n v="7"/>
  </r>
  <r>
    <x v="30"/>
    <x v="30"/>
    <x v="4"/>
    <s v="Col de cabdell"/>
    <n v="0"/>
    <n v="0"/>
    <n v="0"/>
    <n v="0"/>
    <n v="1"/>
    <n v="0"/>
    <n v="0"/>
    <n v="1"/>
  </r>
  <r>
    <x v="30"/>
    <x v="30"/>
    <x v="4"/>
    <s v="Enciam"/>
    <n v="0"/>
    <n v="0"/>
    <n v="0"/>
    <n v="0"/>
    <n v="1"/>
    <n v="1"/>
    <n v="0"/>
    <n v="2"/>
  </r>
  <r>
    <x v="30"/>
    <x v="30"/>
    <x v="4"/>
    <s v="Escarola"/>
    <n v="0"/>
    <n v="0"/>
    <n v="0"/>
    <n v="0"/>
    <n v="0"/>
    <n v="1"/>
    <n v="0"/>
    <n v="1"/>
  </r>
  <r>
    <x v="30"/>
    <x v="30"/>
    <x v="4"/>
    <s v="Espinac"/>
    <n v="0"/>
    <n v="0"/>
    <n v="0"/>
    <n v="0"/>
    <n v="1"/>
    <n v="0"/>
    <n v="0"/>
    <n v="1"/>
  </r>
  <r>
    <x v="30"/>
    <x v="30"/>
    <x v="4"/>
    <s v="Bleda"/>
    <n v="0"/>
    <n v="0"/>
    <n v="0"/>
    <n v="0"/>
    <n v="1"/>
    <n v="0"/>
    <n v="0"/>
    <n v="1"/>
  </r>
  <r>
    <x v="30"/>
    <x v="30"/>
    <x v="4"/>
    <s v="Cogombre"/>
    <n v="0"/>
    <n v="0"/>
    <n v="0"/>
    <n v="0"/>
    <n v="0"/>
    <n v="1"/>
    <n v="0"/>
    <n v="1"/>
  </r>
  <r>
    <x v="30"/>
    <x v="30"/>
    <x v="4"/>
    <s v="Tomàquet"/>
    <n v="0"/>
    <n v="0"/>
    <n v="0"/>
    <n v="0"/>
    <n v="1"/>
    <n v="0"/>
    <n v="0"/>
    <n v="1"/>
  </r>
  <r>
    <x v="30"/>
    <x v="30"/>
    <x v="4"/>
    <s v="Coliflor"/>
    <n v="0"/>
    <n v="0"/>
    <n v="0"/>
    <n v="0"/>
    <n v="0"/>
    <n v="1"/>
    <n v="0"/>
    <n v="1"/>
  </r>
  <r>
    <x v="30"/>
    <x v="30"/>
    <x v="4"/>
    <s v="Porro"/>
    <n v="0"/>
    <n v="0"/>
    <n v="0"/>
    <n v="0"/>
    <n v="1"/>
    <n v="0"/>
    <n v="0"/>
    <n v="1"/>
  </r>
  <r>
    <x v="30"/>
    <x v="30"/>
    <x v="4"/>
    <s v="Mongeta tendra"/>
    <n v="0"/>
    <n v="0"/>
    <n v="0"/>
    <n v="0"/>
    <n v="0"/>
    <n v="1"/>
    <n v="0"/>
    <n v="1"/>
  </r>
  <r>
    <x v="30"/>
    <x v="30"/>
    <x v="4"/>
    <s v="Carbassó"/>
    <n v="0"/>
    <n v="0"/>
    <n v="0"/>
    <n v="0"/>
    <n v="0"/>
    <n v="1"/>
    <n v="0"/>
    <n v="1"/>
  </r>
  <r>
    <x v="30"/>
    <x v="30"/>
    <x v="6"/>
    <s v="Patata primerenca"/>
    <n v="0"/>
    <n v="0"/>
    <n v="0"/>
    <n v="0"/>
    <n v="1"/>
    <n v="0"/>
    <n v="0"/>
    <n v="1"/>
  </r>
  <r>
    <x v="31"/>
    <x v="31"/>
    <x v="0"/>
    <s v="Blat tou"/>
    <n v="134"/>
    <n v="0"/>
    <n v="0"/>
    <n v="134"/>
    <n v="0"/>
    <n v="0"/>
    <n v="0"/>
    <n v="0"/>
  </r>
  <r>
    <x v="31"/>
    <x v="31"/>
    <x v="0"/>
    <s v="Ordi"/>
    <n v="301"/>
    <n v="0"/>
    <n v="0"/>
    <n v="301"/>
    <n v="0"/>
    <n v="0"/>
    <n v="0"/>
    <n v="0"/>
  </r>
  <r>
    <x v="31"/>
    <x v="31"/>
    <x v="0"/>
    <s v="Civada"/>
    <n v="2"/>
    <n v="0"/>
    <n v="0"/>
    <n v="2"/>
    <n v="0"/>
    <n v="0"/>
    <n v="0"/>
    <n v="0"/>
  </r>
  <r>
    <x v="31"/>
    <x v="31"/>
    <x v="1"/>
    <s v="Cereals d'hivern per a farratge"/>
    <n v="8"/>
    <n v="0"/>
    <n v="0"/>
    <n v="8"/>
    <n v="0"/>
    <n v="0"/>
    <n v="0"/>
    <n v="0"/>
  </r>
  <r>
    <x v="31"/>
    <x v="31"/>
    <x v="1"/>
    <s v="Alfals"/>
    <n v="4"/>
    <n v="0"/>
    <n v="0"/>
    <n v="4"/>
    <n v="0"/>
    <n v="0"/>
    <n v="0"/>
    <n v="0"/>
  </r>
  <r>
    <x v="31"/>
    <x v="31"/>
    <x v="1"/>
    <s v="Associació Veça - Civada farratgeres"/>
    <n v="4"/>
    <n v="0"/>
    <n v="0"/>
    <n v="4"/>
    <n v="0"/>
    <n v="0"/>
    <n v="0"/>
    <n v="0"/>
  </r>
  <r>
    <x v="31"/>
    <x v="31"/>
    <x v="3"/>
    <s v="Colza"/>
    <n v="37"/>
    <n v="0"/>
    <n v="0"/>
    <n v="37"/>
    <n v="0"/>
    <n v="0"/>
    <n v="0"/>
    <n v="0"/>
  </r>
  <r>
    <x v="31"/>
    <x v="31"/>
    <x v="2"/>
    <s v="Cigró"/>
    <n v="3"/>
    <n v="0"/>
    <n v="0"/>
    <n v="3"/>
    <n v="0"/>
    <n v="0"/>
    <n v="0"/>
    <n v="0"/>
  </r>
  <r>
    <x v="31"/>
    <x v="31"/>
    <x v="2"/>
    <s v="Pèsol sec"/>
    <n v="34"/>
    <n v="0"/>
    <n v="0"/>
    <n v="34"/>
    <n v="0"/>
    <n v="0"/>
    <n v="0"/>
    <n v="0"/>
  </r>
  <r>
    <x v="31"/>
    <x v="31"/>
    <x v="2"/>
    <s v="Veça"/>
    <n v="16"/>
    <n v="0"/>
    <n v="0"/>
    <n v="16"/>
    <n v="0"/>
    <n v="0"/>
    <n v="0"/>
    <n v="0"/>
  </r>
  <r>
    <x v="32"/>
    <x v="32"/>
    <x v="0"/>
    <s v="Blat tou"/>
    <n v="47"/>
    <n v="0"/>
    <n v="0"/>
    <n v="47"/>
    <n v="0"/>
    <n v="0"/>
    <n v="0"/>
    <n v="0"/>
  </r>
  <r>
    <x v="32"/>
    <x v="32"/>
    <x v="0"/>
    <s v="Ordi"/>
    <n v="380"/>
    <n v="0"/>
    <n v="0"/>
    <n v="380"/>
    <n v="4"/>
    <n v="0"/>
    <n v="0"/>
    <n v="4"/>
  </r>
  <r>
    <x v="32"/>
    <x v="32"/>
    <x v="0"/>
    <s v="Civada"/>
    <n v="3"/>
    <n v="0"/>
    <n v="0"/>
    <n v="3"/>
    <n v="0"/>
    <n v="0"/>
    <n v="0"/>
    <n v="0"/>
  </r>
  <r>
    <x v="32"/>
    <x v="32"/>
    <x v="0"/>
    <s v="Espelta"/>
    <n v="4"/>
    <n v="0"/>
    <n v="0"/>
    <n v="4"/>
    <n v="0"/>
    <n v="0"/>
    <n v="0"/>
    <n v="0"/>
  </r>
  <r>
    <x v="32"/>
    <x v="32"/>
    <x v="1"/>
    <s v="Cereals d'hivern per a farratge"/>
    <n v="13"/>
    <n v="0"/>
    <n v="0"/>
    <n v="13"/>
    <n v="0"/>
    <n v="0"/>
    <n v="0"/>
    <n v="0"/>
  </r>
  <r>
    <x v="32"/>
    <x v="32"/>
    <x v="1"/>
    <s v="Sorgo farratger"/>
    <n v="0"/>
    <n v="2"/>
    <n v="0"/>
    <n v="2"/>
    <n v="0"/>
    <n v="0"/>
    <n v="0"/>
    <n v="0"/>
  </r>
  <r>
    <x v="32"/>
    <x v="32"/>
    <x v="1"/>
    <s v="Raigràs"/>
    <n v="31"/>
    <n v="0"/>
    <n v="0"/>
    <n v="31"/>
    <n v="0"/>
    <n v="0"/>
    <n v="0"/>
    <n v="0"/>
  </r>
  <r>
    <x v="32"/>
    <x v="32"/>
    <x v="1"/>
    <s v="Alfals"/>
    <n v="4"/>
    <n v="0"/>
    <n v="0"/>
    <n v="4"/>
    <n v="0"/>
    <n v="0"/>
    <n v="0"/>
    <n v="0"/>
  </r>
  <r>
    <x v="32"/>
    <x v="32"/>
    <x v="1"/>
    <s v="Trepadella"/>
    <n v="15"/>
    <n v="0"/>
    <n v="0"/>
    <n v="15"/>
    <n v="0"/>
    <n v="0"/>
    <n v="0"/>
    <n v="0"/>
  </r>
  <r>
    <x v="32"/>
    <x v="32"/>
    <x v="1"/>
    <s v="Nap farratger"/>
    <n v="3"/>
    <n v="0"/>
    <n v="0"/>
    <n v="3"/>
    <n v="0"/>
    <n v="0"/>
    <n v="0"/>
    <n v="0"/>
  </r>
  <r>
    <x v="32"/>
    <x v="32"/>
    <x v="1"/>
    <s v="Praderes polifites"/>
    <n v="23"/>
    <n v="0"/>
    <n v="0"/>
    <n v="23"/>
    <n v="0"/>
    <n v="0"/>
    <n v="0"/>
    <n v="0"/>
  </r>
  <r>
    <x v="32"/>
    <x v="32"/>
    <x v="1"/>
    <s v="Associació Veça - Civada farratgeres"/>
    <n v="22"/>
    <n v="0"/>
    <n v="0"/>
    <n v="22"/>
    <n v="0"/>
    <n v="0"/>
    <n v="0"/>
    <n v="0"/>
  </r>
  <r>
    <x v="32"/>
    <x v="32"/>
    <x v="3"/>
    <s v="Colza"/>
    <n v="14"/>
    <n v="0"/>
    <n v="0"/>
    <n v="14"/>
    <n v="0"/>
    <n v="0"/>
    <n v="0"/>
    <n v="0"/>
  </r>
  <r>
    <x v="32"/>
    <x v="32"/>
    <x v="2"/>
    <s v="Pèsol sec"/>
    <n v="8"/>
    <n v="0"/>
    <n v="0"/>
    <n v="8"/>
    <n v="0"/>
    <n v="0"/>
    <n v="0"/>
    <n v="0"/>
  </r>
  <r>
    <x v="33"/>
    <x v="33"/>
    <x v="0"/>
    <s v="Blat tou"/>
    <n v="10"/>
    <n v="0"/>
    <n v="0"/>
    <n v="10"/>
    <n v="0"/>
    <n v="0"/>
    <n v="0"/>
    <n v="0"/>
  </r>
  <r>
    <x v="33"/>
    <x v="33"/>
    <x v="0"/>
    <s v="Ordi"/>
    <n v="58"/>
    <n v="0"/>
    <n v="0"/>
    <n v="58"/>
    <n v="21"/>
    <n v="0"/>
    <n v="0"/>
    <n v="21"/>
  </r>
  <r>
    <x v="33"/>
    <x v="33"/>
    <x v="0"/>
    <s v="Civada"/>
    <n v="11"/>
    <n v="0"/>
    <n v="0"/>
    <n v="11"/>
    <n v="2"/>
    <n v="0"/>
    <n v="0"/>
    <n v="2"/>
  </r>
  <r>
    <x v="33"/>
    <x v="33"/>
    <x v="0"/>
    <s v="Triticale"/>
    <n v="21"/>
    <n v="0"/>
    <n v="0"/>
    <n v="21"/>
    <n v="0"/>
    <n v="0"/>
    <n v="0"/>
    <n v="0"/>
  </r>
  <r>
    <x v="33"/>
    <x v="33"/>
    <x v="0"/>
    <s v="Mill i melca"/>
    <n v="7"/>
    <n v="0"/>
    <n v="0"/>
    <n v="7"/>
    <n v="0"/>
    <n v="0"/>
    <n v="0"/>
    <n v="0"/>
  </r>
  <r>
    <x v="33"/>
    <x v="33"/>
    <x v="1"/>
    <s v="Cereals d'hivern per a farratge"/>
    <n v="102"/>
    <n v="0"/>
    <n v="0"/>
    <n v="102"/>
    <n v="22"/>
    <n v="0"/>
    <n v="0"/>
    <n v="22"/>
  </r>
  <r>
    <x v="33"/>
    <x v="33"/>
    <x v="1"/>
    <s v="Sorgo farratger"/>
    <n v="0"/>
    <n v="8"/>
    <n v="0"/>
    <n v="8"/>
    <n v="0"/>
    <n v="0"/>
    <n v="0"/>
    <n v="0"/>
  </r>
  <r>
    <x v="33"/>
    <x v="33"/>
    <x v="1"/>
    <s v="Raigràs"/>
    <n v="23"/>
    <n v="0"/>
    <n v="0"/>
    <n v="23"/>
    <n v="10"/>
    <n v="0"/>
    <n v="0"/>
    <n v="10"/>
  </r>
  <r>
    <x v="33"/>
    <x v="33"/>
    <x v="1"/>
    <s v="Alfals"/>
    <n v="63"/>
    <n v="0"/>
    <n v="0"/>
    <n v="63"/>
    <n v="7"/>
    <n v="0"/>
    <n v="0"/>
    <n v="7"/>
  </r>
  <r>
    <x v="33"/>
    <x v="33"/>
    <x v="3"/>
    <s v="Colza"/>
    <n v="5"/>
    <n v="0"/>
    <n v="0"/>
    <n v="5"/>
    <n v="5"/>
    <n v="0"/>
    <n v="0"/>
    <n v="5"/>
  </r>
  <r>
    <x v="33"/>
    <x v="33"/>
    <x v="4"/>
    <s v="Enciam"/>
    <n v="0"/>
    <n v="0"/>
    <n v="0"/>
    <n v="0"/>
    <n v="4"/>
    <n v="1"/>
    <n v="0"/>
    <n v="5"/>
  </r>
  <r>
    <x v="33"/>
    <x v="33"/>
    <x v="4"/>
    <s v="Cogombre"/>
    <n v="0"/>
    <n v="0"/>
    <n v="0"/>
    <n v="0"/>
    <n v="1"/>
    <n v="0"/>
    <n v="0"/>
    <n v="1"/>
  </r>
  <r>
    <x v="33"/>
    <x v="33"/>
    <x v="4"/>
    <s v="Tomàquet"/>
    <n v="0"/>
    <n v="0"/>
    <n v="0"/>
    <n v="0"/>
    <n v="1"/>
    <n v="0"/>
    <n v="0"/>
    <n v="1"/>
  </r>
  <r>
    <x v="33"/>
    <x v="33"/>
    <x v="4"/>
    <s v="Pastanaga"/>
    <n v="0"/>
    <n v="0"/>
    <n v="0"/>
    <n v="0"/>
    <n v="1"/>
    <n v="0"/>
    <n v="0"/>
    <n v="1"/>
  </r>
  <r>
    <x v="33"/>
    <x v="33"/>
    <x v="4"/>
    <s v="Mongeta tendra"/>
    <n v="0"/>
    <n v="0"/>
    <n v="0"/>
    <n v="0"/>
    <n v="1"/>
    <n v="0"/>
    <n v="0"/>
    <n v="1"/>
  </r>
  <r>
    <x v="33"/>
    <x v="33"/>
    <x v="2"/>
    <s v="Fava seca"/>
    <n v="2"/>
    <n v="0"/>
    <n v="0"/>
    <n v="2"/>
    <n v="0"/>
    <n v="0"/>
    <n v="0"/>
    <n v="0"/>
  </r>
  <r>
    <x v="33"/>
    <x v="33"/>
    <x v="2"/>
    <s v="Cigró"/>
    <n v="1"/>
    <n v="0"/>
    <n v="0"/>
    <n v="1"/>
    <n v="0"/>
    <n v="0"/>
    <n v="0"/>
    <n v="0"/>
  </r>
  <r>
    <x v="33"/>
    <x v="33"/>
    <x v="6"/>
    <s v="Patata d'estació mitjana"/>
    <n v="2"/>
    <n v="0"/>
    <n v="0"/>
    <n v="2"/>
    <n v="2"/>
    <n v="0"/>
    <n v="0"/>
    <n v="2"/>
  </r>
  <r>
    <x v="34"/>
    <x v="34"/>
    <x v="4"/>
    <s v="Col de cabdell"/>
    <n v="0"/>
    <n v="0"/>
    <n v="0"/>
    <n v="0"/>
    <n v="1"/>
    <n v="1"/>
    <n v="0"/>
    <n v="2"/>
  </r>
  <r>
    <x v="34"/>
    <x v="34"/>
    <x v="4"/>
    <s v="Api"/>
    <n v="0"/>
    <n v="0"/>
    <n v="0"/>
    <n v="0"/>
    <n v="0"/>
    <n v="2"/>
    <n v="0"/>
    <n v="2"/>
  </r>
  <r>
    <x v="34"/>
    <x v="34"/>
    <x v="4"/>
    <s v="Enciam"/>
    <n v="0"/>
    <n v="0"/>
    <n v="0"/>
    <n v="0"/>
    <n v="1"/>
    <n v="1"/>
    <n v="0"/>
    <n v="2"/>
  </r>
  <r>
    <x v="34"/>
    <x v="34"/>
    <x v="4"/>
    <s v="Escarola"/>
    <n v="0"/>
    <n v="0"/>
    <n v="0"/>
    <n v="0"/>
    <n v="1"/>
    <n v="1"/>
    <n v="0"/>
    <n v="2"/>
  </r>
  <r>
    <x v="34"/>
    <x v="34"/>
    <x v="4"/>
    <s v="Espinac"/>
    <n v="0"/>
    <n v="0"/>
    <n v="0"/>
    <n v="0"/>
    <n v="1"/>
    <n v="1"/>
    <n v="0"/>
    <n v="2"/>
  </r>
  <r>
    <x v="34"/>
    <x v="34"/>
    <x v="4"/>
    <s v="Bleda"/>
    <n v="0"/>
    <n v="0"/>
    <n v="0"/>
    <n v="0"/>
    <n v="1"/>
    <n v="1"/>
    <n v="0"/>
    <n v="2"/>
  </r>
  <r>
    <x v="34"/>
    <x v="34"/>
    <x v="4"/>
    <s v="Carbassa"/>
    <n v="0"/>
    <n v="0"/>
    <n v="0"/>
    <n v="0"/>
    <n v="1"/>
    <n v="0"/>
    <n v="0"/>
    <n v="1"/>
  </r>
  <r>
    <x v="34"/>
    <x v="34"/>
    <x v="4"/>
    <s v="Cogombre"/>
    <n v="0"/>
    <n v="0"/>
    <n v="0"/>
    <n v="0"/>
    <n v="1"/>
    <n v="0"/>
    <n v="0"/>
    <n v="1"/>
  </r>
  <r>
    <x v="34"/>
    <x v="34"/>
    <x v="4"/>
    <s v="Albergínia"/>
    <n v="0"/>
    <n v="0"/>
    <n v="0"/>
    <n v="0"/>
    <n v="0"/>
    <n v="1"/>
    <n v="0"/>
    <n v="1"/>
  </r>
  <r>
    <x v="34"/>
    <x v="34"/>
    <x v="4"/>
    <s v="Tomàquet"/>
    <n v="0"/>
    <n v="0"/>
    <n v="0"/>
    <n v="0"/>
    <n v="3"/>
    <n v="0"/>
    <n v="0"/>
    <n v="3"/>
  </r>
  <r>
    <x v="34"/>
    <x v="34"/>
    <x v="4"/>
    <s v="Pebrot"/>
    <n v="0"/>
    <n v="0"/>
    <n v="0"/>
    <n v="0"/>
    <n v="0"/>
    <n v="3"/>
    <n v="0"/>
    <n v="3"/>
  </r>
  <r>
    <x v="34"/>
    <x v="34"/>
    <x v="4"/>
    <s v="Maduixa i maduixot"/>
    <n v="0"/>
    <n v="0"/>
    <n v="0"/>
    <n v="0"/>
    <n v="6"/>
    <n v="0"/>
    <n v="0"/>
    <n v="6"/>
  </r>
  <r>
    <x v="34"/>
    <x v="34"/>
    <x v="4"/>
    <s v="Carxofa"/>
    <n v="0"/>
    <n v="0"/>
    <n v="0"/>
    <n v="0"/>
    <n v="1"/>
    <n v="0"/>
    <n v="0"/>
    <n v="1"/>
  </r>
  <r>
    <x v="34"/>
    <x v="34"/>
    <x v="4"/>
    <s v="Coliflor"/>
    <n v="0"/>
    <n v="0"/>
    <n v="0"/>
    <n v="0"/>
    <n v="1"/>
    <n v="1"/>
    <n v="0"/>
    <n v="2"/>
  </r>
  <r>
    <x v="34"/>
    <x v="34"/>
    <x v="4"/>
    <s v="Ceba"/>
    <n v="0"/>
    <n v="0"/>
    <n v="0"/>
    <n v="0"/>
    <n v="1"/>
    <n v="1"/>
    <n v="0"/>
    <n v="2"/>
  </r>
  <r>
    <x v="34"/>
    <x v="34"/>
    <x v="4"/>
    <s v="Porro"/>
    <n v="0"/>
    <n v="0"/>
    <n v="0"/>
    <n v="0"/>
    <n v="1"/>
    <n v="1"/>
    <n v="0"/>
    <n v="2"/>
  </r>
  <r>
    <x v="34"/>
    <x v="34"/>
    <x v="4"/>
    <s v="Pastanaga"/>
    <n v="0"/>
    <n v="0"/>
    <n v="0"/>
    <n v="0"/>
    <n v="0"/>
    <n v="1"/>
    <n v="0"/>
    <n v="1"/>
  </r>
  <r>
    <x v="34"/>
    <x v="34"/>
    <x v="4"/>
    <s v="Rave"/>
    <n v="0"/>
    <n v="0"/>
    <n v="0"/>
    <n v="0"/>
    <n v="0"/>
    <n v="1"/>
    <n v="0"/>
    <n v="1"/>
  </r>
  <r>
    <x v="34"/>
    <x v="34"/>
    <x v="4"/>
    <s v="Mongeta tendra"/>
    <n v="0"/>
    <n v="0"/>
    <n v="0"/>
    <n v="0"/>
    <n v="2"/>
    <n v="1"/>
    <n v="0"/>
    <n v="3"/>
  </r>
  <r>
    <x v="34"/>
    <x v="34"/>
    <x v="4"/>
    <s v="Pèsol verd"/>
    <n v="0"/>
    <n v="0"/>
    <n v="0"/>
    <n v="0"/>
    <n v="2"/>
    <n v="1"/>
    <n v="0"/>
    <n v="3"/>
  </r>
  <r>
    <x v="34"/>
    <x v="34"/>
    <x v="4"/>
    <s v="Carbassó"/>
    <n v="0"/>
    <n v="0"/>
    <n v="0"/>
    <n v="0"/>
    <n v="0"/>
    <n v="1"/>
    <n v="0"/>
    <n v="1"/>
  </r>
  <r>
    <x v="34"/>
    <x v="34"/>
    <x v="2"/>
    <s v="Mongeta seca"/>
    <n v="0"/>
    <n v="0"/>
    <n v="0"/>
    <n v="0"/>
    <n v="0"/>
    <n v="2"/>
    <n v="0"/>
    <n v="2"/>
  </r>
  <r>
    <x v="34"/>
    <x v="34"/>
    <x v="6"/>
    <s v="Patata d'estació mitjana"/>
    <n v="0"/>
    <n v="0"/>
    <n v="0"/>
    <n v="0"/>
    <n v="3"/>
    <n v="0"/>
    <n v="0"/>
    <n v="3"/>
  </r>
  <r>
    <x v="35"/>
    <x v="35"/>
    <x v="0"/>
    <s v="Blat tou"/>
    <n v="109"/>
    <n v="0"/>
    <n v="0"/>
    <n v="109"/>
    <n v="0"/>
    <n v="0"/>
    <n v="0"/>
    <n v="0"/>
  </r>
  <r>
    <x v="35"/>
    <x v="35"/>
    <x v="0"/>
    <s v="Ordi"/>
    <n v="37"/>
    <n v="0"/>
    <n v="0"/>
    <n v="37"/>
    <n v="0"/>
    <n v="0"/>
    <n v="0"/>
    <n v="0"/>
  </r>
  <r>
    <x v="35"/>
    <x v="35"/>
    <x v="0"/>
    <s v="Civada"/>
    <n v="3"/>
    <n v="0"/>
    <n v="0"/>
    <n v="3"/>
    <n v="0"/>
    <n v="0"/>
    <n v="0"/>
    <n v="0"/>
  </r>
  <r>
    <x v="35"/>
    <x v="35"/>
    <x v="0"/>
    <s v="Blat de moro"/>
    <n v="3"/>
    <n v="1"/>
    <n v="0"/>
    <n v="4"/>
    <n v="1"/>
    <n v="0"/>
    <n v="0"/>
    <n v="1"/>
  </r>
  <r>
    <x v="35"/>
    <x v="35"/>
    <x v="0"/>
    <s v="Espelta"/>
    <n v="1"/>
    <n v="0"/>
    <n v="0"/>
    <n v="1"/>
    <n v="0"/>
    <n v="0"/>
    <n v="0"/>
    <n v="0"/>
  </r>
  <r>
    <x v="35"/>
    <x v="35"/>
    <x v="1"/>
    <s v="Cereals d'hivern per a farratge"/>
    <n v="8"/>
    <n v="0"/>
    <n v="0"/>
    <n v="8"/>
    <n v="0"/>
    <n v="0"/>
    <n v="0"/>
    <n v="0"/>
  </r>
  <r>
    <x v="35"/>
    <x v="35"/>
    <x v="1"/>
    <s v="Blat de moro farratger"/>
    <n v="23"/>
    <n v="6"/>
    <n v="0"/>
    <n v="29"/>
    <n v="5"/>
    <n v="0"/>
    <n v="0"/>
    <n v="5"/>
  </r>
  <r>
    <x v="35"/>
    <x v="35"/>
    <x v="1"/>
    <s v="Sorgo farratger"/>
    <n v="5"/>
    <n v="5"/>
    <n v="0"/>
    <n v="10"/>
    <n v="0"/>
    <n v="9"/>
    <n v="0"/>
    <n v="9"/>
  </r>
  <r>
    <x v="35"/>
    <x v="35"/>
    <x v="1"/>
    <s v="Raigràs"/>
    <n v="50"/>
    <n v="0"/>
    <n v="0"/>
    <n v="50"/>
    <n v="9"/>
    <n v="0"/>
    <n v="0"/>
    <n v="9"/>
  </r>
  <r>
    <x v="35"/>
    <x v="35"/>
    <x v="1"/>
    <s v="Alfals"/>
    <n v="8"/>
    <n v="0"/>
    <n v="0"/>
    <n v="8"/>
    <n v="0"/>
    <n v="0"/>
    <n v="0"/>
    <n v="0"/>
  </r>
  <r>
    <x v="35"/>
    <x v="35"/>
    <x v="1"/>
    <s v="Trepadella"/>
    <n v="4"/>
    <n v="0"/>
    <n v="0"/>
    <n v="4"/>
    <n v="0"/>
    <n v="0"/>
    <n v="0"/>
    <n v="0"/>
  </r>
  <r>
    <x v="35"/>
    <x v="35"/>
    <x v="1"/>
    <s v="Praderes polifites"/>
    <n v="5"/>
    <n v="0"/>
    <n v="0"/>
    <n v="5"/>
    <n v="0"/>
    <n v="0"/>
    <n v="0"/>
    <n v="0"/>
  </r>
  <r>
    <x v="35"/>
    <x v="35"/>
    <x v="1"/>
    <s v="Associació Veça - Civada farratgeres"/>
    <n v="10"/>
    <n v="0"/>
    <n v="0"/>
    <n v="10"/>
    <n v="0"/>
    <n v="0"/>
    <n v="0"/>
    <n v="0"/>
  </r>
  <r>
    <x v="35"/>
    <x v="35"/>
    <x v="3"/>
    <s v="Colza"/>
    <n v="18"/>
    <n v="0"/>
    <n v="0"/>
    <n v="18"/>
    <n v="0"/>
    <n v="0"/>
    <n v="0"/>
    <n v="0"/>
  </r>
  <r>
    <x v="35"/>
    <x v="35"/>
    <x v="4"/>
    <s v="Col de cabdell"/>
    <n v="0"/>
    <n v="0"/>
    <n v="0"/>
    <n v="0"/>
    <n v="1"/>
    <n v="0"/>
    <n v="0"/>
    <n v="1"/>
  </r>
  <r>
    <x v="35"/>
    <x v="35"/>
    <x v="4"/>
    <s v="Tomàquet"/>
    <n v="0"/>
    <n v="0"/>
    <n v="0"/>
    <n v="0"/>
    <n v="1"/>
    <n v="0"/>
    <n v="0"/>
    <n v="1"/>
  </r>
  <r>
    <x v="35"/>
    <x v="35"/>
    <x v="4"/>
    <s v="Ceba"/>
    <n v="0"/>
    <n v="0"/>
    <n v="0"/>
    <n v="0"/>
    <n v="1"/>
    <n v="0"/>
    <n v="0"/>
    <n v="1"/>
  </r>
  <r>
    <x v="35"/>
    <x v="35"/>
    <x v="2"/>
    <s v="Pèsol sec"/>
    <n v="4"/>
    <n v="0"/>
    <n v="0"/>
    <n v="4"/>
    <n v="0"/>
    <n v="0"/>
    <n v="0"/>
    <n v="0"/>
  </r>
  <r>
    <x v="35"/>
    <x v="35"/>
    <x v="2"/>
    <s v="Veça"/>
    <n v="2"/>
    <n v="0"/>
    <n v="0"/>
    <n v="2"/>
    <n v="0"/>
    <n v="0"/>
    <n v="0"/>
    <n v="0"/>
  </r>
  <r>
    <x v="36"/>
    <x v="36"/>
    <x v="0"/>
    <s v="Blat tou"/>
    <n v="72"/>
    <n v="0"/>
    <n v="0"/>
    <n v="72"/>
    <n v="0"/>
    <n v="0"/>
    <n v="0"/>
    <n v="0"/>
  </r>
  <r>
    <x v="36"/>
    <x v="36"/>
    <x v="0"/>
    <s v="Ordi"/>
    <n v="169"/>
    <n v="0"/>
    <n v="0"/>
    <n v="169"/>
    <n v="0"/>
    <n v="0"/>
    <n v="0"/>
    <n v="0"/>
  </r>
  <r>
    <x v="36"/>
    <x v="36"/>
    <x v="0"/>
    <s v="Civada"/>
    <n v="4"/>
    <n v="0"/>
    <n v="0"/>
    <n v="4"/>
    <n v="0"/>
    <n v="0"/>
    <n v="0"/>
    <n v="0"/>
  </r>
  <r>
    <x v="36"/>
    <x v="36"/>
    <x v="1"/>
    <s v="Cereals d'hivern per a farratge"/>
    <n v="18"/>
    <n v="0"/>
    <n v="0"/>
    <n v="18"/>
    <n v="0"/>
    <n v="0"/>
    <n v="0"/>
    <n v="0"/>
  </r>
  <r>
    <x v="36"/>
    <x v="36"/>
    <x v="1"/>
    <s v="Alfals"/>
    <n v="12"/>
    <n v="0"/>
    <n v="0"/>
    <n v="12"/>
    <n v="0"/>
    <n v="0"/>
    <n v="0"/>
    <n v="0"/>
  </r>
  <r>
    <x v="36"/>
    <x v="36"/>
    <x v="1"/>
    <s v="Praderes polifites"/>
    <n v="10"/>
    <n v="0"/>
    <n v="0"/>
    <n v="10"/>
    <n v="0"/>
    <n v="0"/>
    <n v="0"/>
    <n v="0"/>
  </r>
  <r>
    <x v="36"/>
    <x v="36"/>
    <x v="3"/>
    <s v="Colza"/>
    <n v="12"/>
    <n v="0"/>
    <n v="0"/>
    <n v="12"/>
    <n v="0"/>
    <n v="0"/>
    <n v="0"/>
    <n v="0"/>
  </r>
  <r>
    <x v="36"/>
    <x v="36"/>
    <x v="2"/>
    <s v="Pèsol sec"/>
    <n v="1"/>
    <n v="0"/>
    <n v="0"/>
    <n v="1"/>
    <n v="0"/>
    <n v="0"/>
    <n v="0"/>
    <n v="0"/>
  </r>
  <r>
    <x v="36"/>
    <x v="36"/>
    <x v="2"/>
    <s v="Veça"/>
    <n v="7"/>
    <n v="0"/>
    <n v="0"/>
    <n v="7"/>
    <n v="0"/>
    <n v="0"/>
    <n v="0"/>
    <n v="0"/>
  </r>
  <r>
    <x v="37"/>
    <x v="37"/>
    <x v="0"/>
    <s v="Blat tou"/>
    <n v="500"/>
    <n v="0"/>
    <n v="0"/>
    <n v="500"/>
    <n v="0"/>
    <n v="0"/>
    <n v="0"/>
    <n v="0"/>
  </r>
  <r>
    <x v="37"/>
    <x v="37"/>
    <x v="0"/>
    <s v="Ordi"/>
    <n v="819"/>
    <n v="0"/>
    <n v="0"/>
    <n v="819"/>
    <n v="0"/>
    <n v="0"/>
    <n v="0"/>
    <n v="0"/>
  </r>
  <r>
    <x v="37"/>
    <x v="37"/>
    <x v="0"/>
    <s v="Civada"/>
    <n v="4"/>
    <n v="0"/>
    <n v="0"/>
    <n v="4"/>
    <n v="0"/>
    <n v="0"/>
    <n v="0"/>
    <n v="0"/>
  </r>
  <r>
    <x v="37"/>
    <x v="37"/>
    <x v="0"/>
    <s v="Sègol"/>
    <n v="1"/>
    <n v="0"/>
    <n v="0"/>
    <n v="1"/>
    <n v="0"/>
    <n v="0"/>
    <n v="0"/>
    <n v="0"/>
  </r>
  <r>
    <x v="37"/>
    <x v="37"/>
    <x v="0"/>
    <s v="Espelta"/>
    <n v="12"/>
    <n v="0"/>
    <n v="0"/>
    <n v="12"/>
    <n v="0"/>
    <n v="0"/>
    <n v="0"/>
    <n v="0"/>
  </r>
  <r>
    <x v="37"/>
    <x v="37"/>
    <x v="1"/>
    <s v="Cereals d'hivern per a farratge"/>
    <n v="18"/>
    <n v="0"/>
    <n v="0"/>
    <n v="18"/>
    <n v="0"/>
    <n v="0"/>
    <n v="0"/>
    <n v="0"/>
  </r>
  <r>
    <x v="37"/>
    <x v="37"/>
    <x v="1"/>
    <s v="Raigràs"/>
    <n v="4"/>
    <n v="0"/>
    <n v="0"/>
    <n v="4"/>
    <n v="0"/>
    <n v="0"/>
    <n v="0"/>
    <n v="0"/>
  </r>
  <r>
    <x v="37"/>
    <x v="37"/>
    <x v="1"/>
    <s v="Alfals"/>
    <n v="1"/>
    <n v="0"/>
    <n v="0"/>
    <n v="1"/>
    <n v="0"/>
    <n v="0"/>
    <n v="0"/>
    <n v="0"/>
  </r>
  <r>
    <x v="37"/>
    <x v="37"/>
    <x v="1"/>
    <s v="Trepadella"/>
    <n v="4"/>
    <n v="0"/>
    <n v="0"/>
    <n v="4"/>
    <n v="0"/>
    <n v="0"/>
    <n v="0"/>
    <n v="0"/>
  </r>
  <r>
    <x v="37"/>
    <x v="37"/>
    <x v="1"/>
    <s v="Associació Veça - Civada farratgeres"/>
    <n v="27"/>
    <n v="0"/>
    <n v="0"/>
    <n v="27"/>
    <n v="0"/>
    <n v="0"/>
    <n v="0"/>
    <n v="0"/>
  </r>
  <r>
    <x v="37"/>
    <x v="37"/>
    <x v="3"/>
    <s v="Lli oleaginós"/>
    <n v="3"/>
    <n v="0"/>
    <n v="0"/>
    <n v="3"/>
    <n v="0"/>
    <n v="0"/>
    <n v="0"/>
    <n v="0"/>
  </r>
  <r>
    <x v="37"/>
    <x v="37"/>
    <x v="3"/>
    <s v="Colza"/>
    <n v="131"/>
    <n v="0"/>
    <n v="0"/>
    <n v="131"/>
    <n v="0"/>
    <n v="0"/>
    <n v="0"/>
    <n v="0"/>
  </r>
  <r>
    <x v="37"/>
    <x v="37"/>
    <x v="2"/>
    <s v="Llentia"/>
    <n v="5"/>
    <n v="0"/>
    <n v="0"/>
    <n v="5"/>
    <n v="0"/>
    <n v="0"/>
    <n v="0"/>
    <n v="0"/>
  </r>
  <r>
    <x v="37"/>
    <x v="37"/>
    <x v="2"/>
    <s v="Pèsol sec"/>
    <n v="118"/>
    <n v="0"/>
    <n v="0"/>
    <n v="118"/>
    <n v="0"/>
    <n v="0"/>
    <n v="0"/>
    <n v="0"/>
  </r>
  <r>
    <x v="37"/>
    <x v="37"/>
    <x v="2"/>
    <s v="Veça"/>
    <n v="38"/>
    <n v="0"/>
    <n v="0"/>
    <n v="38"/>
    <n v="0"/>
    <n v="0"/>
    <n v="0"/>
    <n v="0"/>
  </r>
  <r>
    <x v="38"/>
    <x v="38"/>
    <x v="0"/>
    <s v="Ordi"/>
    <n v="3"/>
    <n v="0"/>
    <n v="0"/>
    <n v="3"/>
    <n v="0"/>
    <n v="0"/>
    <n v="0"/>
    <n v="0"/>
  </r>
  <r>
    <x v="38"/>
    <x v="38"/>
    <x v="0"/>
    <s v="Civada"/>
    <n v="1"/>
    <n v="0"/>
    <n v="0"/>
    <n v="1"/>
    <n v="0"/>
    <n v="0"/>
    <n v="0"/>
    <n v="0"/>
  </r>
  <r>
    <x v="38"/>
    <x v="38"/>
    <x v="1"/>
    <s v="Cereals d'hivern per a farratge"/>
    <n v="8"/>
    <n v="0"/>
    <n v="0"/>
    <n v="8"/>
    <n v="2"/>
    <n v="0"/>
    <n v="0"/>
    <n v="2"/>
  </r>
  <r>
    <x v="38"/>
    <x v="38"/>
    <x v="1"/>
    <s v="Sorgo farratger"/>
    <n v="6"/>
    <n v="0"/>
    <n v="0"/>
    <n v="6"/>
    <n v="1"/>
    <n v="0"/>
    <n v="0"/>
    <n v="1"/>
  </r>
  <r>
    <x v="38"/>
    <x v="38"/>
    <x v="1"/>
    <s v="Raigràs"/>
    <n v="5"/>
    <n v="0"/>
    <n v="0"/>
    <n v="5"/>
    <n v="1"/>
    <n v="0"/>
    <n v="0"/>
    <n v="1"/>
  </r>
  <r>
    <x v="38"/>
    <x v="38"/>
    <x v="1"/>
    <s v="Alfals"/>
    <n v="12"/>
    <n v="0"/>
    <n v="0"/>
    <n v="12"/>
    <n v="1"/>
    <n v="0"/>
    <n v="0"/>
    <n v="1"/>
  </r>
  <r>
    <x v="38"/>
    <x v="38"/>
    <x v="2"/>
    <s v="Mongeta seca"/>
    <n v="0"/>
    <n v="0"/>
    <n v="0"/>
    <n v="0"/>
    <n v="1"/>
    <n v="0"/>
    <n v="0"/>
    <n v="1"/>
  </r>
  <r>
    <x v="38"/>
    <x v="38"/>
    <x v="6"/>
    <s v="Patata d'estació mitjana"/>
    <n v="1"/>
    <n v="0"/>
    <n v="0"/>
    <n v="1"/>
    <n v="0"/>
    <n v="0"/>
    <n v="0"/>
    <n v="0"/>
  </r>
  <r>
    <x v="39"/>
    <x v="39"/>
    <x v="5"/>
    <s v="Plantes ornamentals"/>
    <n v="0"/>
    <n v="0"/>
    <n v="0"/>
    <n v="0"/>
    <n v="5"/>
    <n v="0"/>
    <n v="0"/>
    <n v="5"/>
  </r>
  <r>
    <x v="39"/>
    <x v="39"/>
    <x v="4"/>
    <s v="Col de cabdell"/>
    <n v="0"/>
    <n v="0"/>
    <n v="0"/>
    <n v="0"/>
    <n v="1"/>
    <n v="1"/>
    <n v="0"/>
    <n v="2"/>
  </r>
  <r>
    <x v="39"/>
    <x v="39"/>
    <x v="4"/>
    <s v="Api"/>
    <n v="0"/>
    <n v="0"/>
    <n v="0"/>
    <n v="0"/>
    <n v="1"/>
    <n v="0"/>
    <n v="0"/>
    <n v="1"/>
  </r>
  <r>
    <x v="39"/>
    <x v="39"/>
    <x v="4"/>
    <s v="Enciam"/>
    <n v="0"/>
    <n v="0"/>
    <n v="0"/>
    <n v="0"/>
    <n v="1"/>
    <n v="1"/>
    <n v="0"/>
    <n v="2"/>
  </r>
  <r>
    <x v="39"/>
    <x v="39"/>
    <x v="4"/>
    <s v="Escarola"/>
    <n v="0"/>
    <n v="0"/>
    <n v="0"/>
    <n v="0"/>
    <n v="0"/>
    <n v="2"/>
    <n v="0"/>
    <n v="2"/>
  </r>
  <r>
    <x v="39"/>
    <x v="39"/>
    <x v="4"/>
    <s v="Espinac"/>
    <n v="0"/>
    <n v="0"/>
    <n v="0"/>
    <n v="0"/>
    <n v="1"/>
    <n v="1"/>
    <n v="0"/>
    <n v="2"/>
  </r>
  <r>
    <x v="39"/>
    <x v="39"/>
    <x v="4"/>
    <s v="Bleda"/>
    <n v="0"/>
    <n v="0"/>
    <n v="0"/>
    <n v="0"/>
    <n v="1"/>
    <n v="1"/>
    <n v="0"/>
    <n v="2"/>
  </r>
  <r>
    <x v="39"/>
    <x v="39"/>
    <x v="4"/>
    <s v="Carbassa"/>
    <n v="0"/>
    <n v="0"/>
    <n v="0"/>
    <n v="0"/>
    <n v="1"/>
    <n v="0"/>
    <n v="0"/>
    <n v="1"/>
  </r>
  <r>
    <x v="39"/>
    <x v="39"/>
    <x v="4"/>
    <s v="Tomàquet"/>
    <n v="0"/>
    <n v="0"/>
    <n v="0"/>
    <n v="0"/>
    <n v="3"/>
    <n v="0"/>
    <n v="0"/>
    <n v="3"/>
  </r>
  <r>
    <x v="39"/>
    <x v="39"/>
    <x v="4"/>
    <s v="Carxofa"/>
    <n v="0"/>
    <n v="0"/>
    <n v="0"/>
    <n v="0"/>
    <n v="1"/>
    <n v="0"/>
    <n v="0"/>
    <n v="1"/>
  </r>
  <r>
    <x v="39"/>
    <x v="39"/>
    <x v="4"/>
    <s v="Coliflor"/>
    <n v="0"/>
    <n v="0"/>
    <n v="0"/>
    <n v="0"/>
    <n v="1"/>
    <n v="0"/>
    <n v="0"/>
    <n v="1"/>
  </r>
  <r>
    <x v="39"/>
    <x v="39"/>
    <x v="4"/>
    <s v="Ceba"/>
    <n v="0"/>
    <n v="0"/>
    <n v="0"/>
    <n v="0"/>
    <n v="1"/>
    <n v="0"/>
    <n v="0"/>
    <n v="1"/>
  </r>
  <r>
    <x v="39"/>
    <x v="39"/>
    <x v="4"/>
    <s v="Mongeta tendra"/>
    <n v="0"/>
    <n v="0"/>
    <n v="0"/>
    <n v="0"/>
    <n v="4"/>
    <n v="2"/>
    <n v="0"/>
    <n v="6"/>
  </r>
  <r>
    <x v="39"/>
    <x v="39"/>
    <x v="4"/>
    <s v="Pèsol verd"/>
    <n v="0"/>
    <n v="0"/>
    <n v="0"/>
    <n v="0"/>
    <n v="2"/>
    <n v="0"/>
    <n v="0"/>
    <n v="2"/>
  </r>
  <r>
    <x v="39"/>
    <x v="39"/>
    <x v="4"/>
    <s v="Carbassó"/>
    <n v="0"/>
    <n v="0"/>
    <n v="0"/>
    <n v="0"/>
    <n v="0"/>
    <n v="1"/>
    <n v="0"/>
    <n v="1"/>
  </r>
  <r>
    <x v="39"/>
    <x v="39"/>
    <x v="2"/>
    <s v="Mongeta seca"/>
    <n v="0"/>
    <n v="0"/>
    <n v="0"/>
    <n v="0"/>
    <n v="2"/>
    <n v="1"/>
    <n v="0"/>
    <n v="3"/>
  </r>
  <r>
    <x v="39"/>
    <x v="39"/>
    <x v="6"/>
    <s v="Patata primerenca"/>
    <n v="0"/>
    <n v="0"/>
    <n v="0"/>
    <n v="0"/>
    <n v="1"/>
    <n v="0"/>
    <n v="0"/>
    <n v="1"/>
  </r>
  <r>
    <x v="39"/>
    <x v="39"/>
    <x v="6"/>
    <s v="Patata tardana"/>
    <n v="0"/>
    <n v="0"/>
    <n v="0"/>
    <n v="0"/>
    <n v="0"/>
    <n v="1"/>
    <n v="0"/>
    <n v="1"/>
  </r>
  <r>
    <x v="40"/>
    <x v="40"/>
    <x v="0"/>
    <s v="Blat tou"/>
    <n v="4"/>
    <n v="0"/>
    <n v="0"/>
    <n v="4"/>
    <n v="4"/>
    <n v="0"/>
    <n v="0"/>
    <n v="4"/>
  </r>
  <r>
    <x v="40"/>
    <x v="40"/>
    <x v="0"/>
    <s v="Ordi"/>
    <n v="40"/>
    <n v="0"/>
    <n v="0"/>
    <n v="40"/>
    <n v="5"/>
    <n v="0"/>
    <n v="0"/>
    <n v="5"/>
  </r>
  <r>
    <x v="40"/>
    <x v="40"/>
    <x v="0"/>
    <s v="Civada"/>
    <n v="3"/>
    <n v="0"/>
    <n v="0"/>
    <n v="3"/>
    <n v="0"/>
    <n v="0"/>
    <n v="0"/>
    <n v="0"/>
  </r>
  <r>
    <x v="40"/>
    <x v="40"/>
    <x v="1"/>
    <s v="Cereals d'hivern per a farratge"/>
    <n v="26"/>
    <n v="0"/>
    <n v="0"/>
    <n v="26"/>
    <n v="0"/>
    <n v="0"/>
    <n v="0"/>
    <n v="0"/>
  </r>
  <r>
    <x v="40"/>
    <x v="40"/>
    <x v="1"/>
    <s v="Raigràs"/>
    <n v="48"/>
    <n v="0"/>
    <n v="0"/>
    <n v="48"/>
    <n v="0"/>
    <n v="0"/>
    <n v="0"/>
    <n v="0"/>
  </r>
  <r>
    <x v="40"/>
    <x v="40"/>
    <x v="1"/>
    <s v="Alfals"/>
    <n v="18"/>
    <n v="0"/>
    <n v="0"/>
    <n v="18"/>
    <n v="2"/>
    <n v="0"/>
    <n v="0"/>
    <n v="2"/>
  </r>
  <r>
    <x v="40"/>
    <x v="40"/>
    <x v="3"/>
    <s v="Colza"/>
    <n v="2"/>
    <n v="0"/>
    <n v="0"/>
    <n v="2"/>
    <n v="5"/>
    <n v="0"/>
    <n v="0"/>
    <n v="5"/>
  </r>
  <r>
    <x v="40"/>
    <x v="40"/>
    <x v="4"/>
    <s v="Tomàquet"/>
    <n v="0"/>
    <n v="0"/>
    <n v="0"/>
    <n v="0"/>
    <n v="1"/>
    <n v="0"/>
    <n v="0"/>
    <n v="1"/>
  </r>
  <r>
    <x v="40"/>
    <x v="40"/>
    <x v="4"/>
    <s v="Fava tendra"/>
    <n v="3"/>
    <n v="0"/>
    <n v="0"/>
    <n v="3"/>
    <n v="0"/>
    <n v="0"/>
    <n v="0"/>
    <n v="0"/>
  </r>
  <r>
    <x v="40"/>
    <x v="40"/>
    <x v="2"/>
    <s v="Mongeta seca"/>
    <n v="0"/>
    <n v="0"/>
    <n v="0"/>
    <n v="0"/>
    <n v="1"/>
    <n v="0"/>
    <n v="0"/>
    <n v="1"/>
  </r>
  <r>
    <x v="40"/>
    <x v="40"/>
    <x v="6"/>
    <s v="Patata d'estació mitjana"/>
    <n v="0"/>
    <n v="0"/>
    <n v="0"/>
    <n v="0"/>
    <n v="4"/>
    <n v="0"/>
    <n v="0"/>
    <n v="4"/>
  </r>
  <r>
    <x v="41"/>
    <x v="41"/>
    <x v="0"/>
    <s v="Blat tou"/>
    <n v="9"/>
    <n v="0"/>
    <n v="0"/>
    <n v="9"/>
    <n v="4"/>
    <n v="0"/>
    <n v="0"/>
    <n v="4"/>
  </r>
  <r>
    <x v="41"/>
    <x v="41"/>
    <x v="0"/>
    <s v="Ordi"/>
    <n v="49"/>
    <n v="0"/>
    <n v="0"/>
    <n v="49"/>
    <n v="26"/>
    <n v="0"/>
    <n v="0"/>
    <n v="26"/>
  </r>
  <r>
    <x v="41"/>
    <x v="41"/>
    <x v="0"/>
    <s v="Civada"/>
    <n v="5"/>
    <n v="0"/>
    <n v="0"/>
    <n v="5"/>
    <n v="2"/>
    <n v="0"/>
    <n v="0"/>
    <n v="2"/>
  </r>
  <r>
    <x v="41"/>
    <x v="41"/>
    <x v="0"/>
    <s v="Blat de moro"/>
    <n v="0"/>
    <n v="0"/>
    <n v="0"/>
    <n v="0"/>
    <n v="1"/>
    <n v="0"/>
    <n v="0"/>
    <n v="1"/>
  </r>
  <r>
    <x v="41"/>
    <x v="41"/>
    <x v="1"/>
    <s v="Cereals d'hivern per a farratge"/>
    <n v="46"/>
    <n v="0"/>
    <n v="0"/>
    <n v="46"/>
    <n v="15"/>
    <n v="0"/>
    <n v="0"/>
    <n v="15"/>
  </r>
  <r>
    <x v="41"/>
    <x v="41"/>
    <x v="1"/>
    <s v="Blat de moro farratger"/>
    <n v="0"/>
    <n v="0"/>
    <n v="0"/>
    <n v="0"/>
    <n v="6"/>
    <n v="0"/>
    <n v="0"/>
    <n v="6"/>
  </r>
  <r>
    <x v="41"/>
    <x v="41"/>
    <x v="1"/>
    <s v="Raigràs"/>
    <n v="34"/>
    <n v="5"/>
    <n v="0"/>
    <n v="39"/>
    <n v="10"/>
    <n v="0"/>
    <n v="0"/>
    <n v="10"/>
  </r>
  <r>
    <x v="41"/>
    <x v="41"/>
    <x v="1"/>
    <s v="Alfals"/>
    <n v="13"/>
    <n v="0"/>
    <n v="0"/>
    <n v="13"/>
    <n v="2"/>
    <n v="0"/>
    <n v="0"/>
    <n v="2"/>
  </r>
  <r>
    <x v="41"/>
    <x v="41"/>
    <x v="1"/>
    <s v="Associació Veça - Civada farratgeres"/>
    <n v="0"/>
    <n v="0"/>
    <n v="0"/>
    <n v="0"/>
    <n v="5"/>
    <n v="0"/>
    <n v="0"/>
    <n v="5"/>
  </r>
  <r>
    <x v="41"/>
    <x v="41"/>
    <x v="3"/>
    <s v="Colza"/>
    <n v="5"/>
    <n v="0"/>
    <n v="0"/>
    <n v="5"/>
    <n v="0"/>
    <n v="0"/>
    <n v="0"/>
    <n v="0"/>
  </r>
  <r>
    <x v="42"/>
    <x v="42"/>
    <x v="0"/>
    <s v="Ordi"/>
    <n v="10"/>
    <n v="0"/>
    <n v="0"/>
    <n v="10"/>
    <n v="0"/>
    <n v="0"/>
    <n v="0"/>
    <n v="0"/>
  </r>
  <r>
    <x v="42"/>
    <x v="42"/>
    <x v="1"/>
    <s v="Raigràs"/>
    <n v="4"/>
    <n v="0"/>
    <n v="0"/>
    <n v="4"/>
    <n v="0"/>
    <n v="0"/>
    <n v="0"/>
    <n v="0"/>
  </r>
  <r>
    <x v="42"/>
    <x v="42"/>
    <x v="6"/>
    <s v="Patata primerenca"/>
    <n v="1"/>
    <n v="0"/>
    <n v="0"/>
    <n v="1"/>
    <n v="0"/>
    <n v="0"/>
    <n v="0"/>
    <n v="0"/>
  </r>
  <r>
    <x v="43"/>
    <x v="43"/>
    <x v="0"/>
    <s v="Blat tou"/>
    <n v="4"/>
    <n v="0"/>
    <n v="0"/>
    <n v="4"/>
    <n v="0"/>
    <n v="0"/>
    <n v="0"/>
    <n v="0"/>
  </r>
  <r>
    <x v="43"/>
    <x v="43"/>
    <x v="4"/>
    <s v="Tomàquet"/>
    <n v="0"/>
    <n v="0"/>
    <n v="0"/>
    <n v="0"/>
    <n v="1"/>
    <n v="0"/>
    <n v="0"/>
    <n v="1"/>
  </r>
  <r>
    <x v="43"/>
    <x v="43"/>
    <x v="4"/>
    <s v="Ceba"/>
    <n v="0"/>
    <n v="0"/>
    <n v="0"/>
    <n v="0"/>
    <n v="2"/>
    <n v="0"/>
    <n v="0"/>
    <n v="2"/>
  </r>
  <r>
    <x v="43"/>
    <x v="43"/>
    <x v="2"/>
    <s v="Erbs"/>
    <n v="2"/>
    <n v="0"/>
    <n v="0"/>
    <n v="2"/>
    <n v="0"/>
    <n v="0"/>
    <n v="0"/>
    <n v="0"/>
  </r>
  <r>
    <x v="44"/>
    <x v="44"/>
    <x v="0"/>
    <s v="Blat tou"/>
    <n v="5"/>
    <n v="0"/>
    <n v="0"/>
    <n v="5"/>
    <n v="0"/>
    <n v="0"/>
    <n v="0"/>
    <n v="0"/>
  </r>
  <r>
    <x v="44"/>
    <x v="44"/>
    <x v="0"/>
    <s v="Ordi"/>
    <n v="18"/>
    <n v="0"/>
    <n v="0"/>
    <n v="18"/>
    <n v="0"/>
    <n v="0"/>
    <n v="0"/>
    <n v="0"/>
  </r>
  <r>
    <x v="44"/>
    <x v="44"/>
    <x v="0"/>
    <s v="Triticale"/>
    <n v="3"/>
    <n v="0"/>
    <n v="0"/>
    <n v="3"/>
    <n v="0"/>
    <n v="0"/>
    <n v="0"/>
    <n v="0"/>
  </r>
  <r>
    <x v="44"/>
    <x v="44"/>
    <x v="1"/>
    <s v="Raigràs"/>
    <n v="3"/>
    <n v="0"/>
    <n v="0"/>
    <n v="3"/>
    <n v="0"/>
    <n v="0"/>
    <n v="0"/>
    <n v="0"/>
  </r>
  <r>
    <x v="44"/>
    <x v="44"/>
    <x v="1"/>
    <s v="Alfals"/>
    <n v="4"/>
    <n v="0"/>
    <n v="0"/>
    <n v="4"/>
    <n v="0"/>
    <n v="0"/>
    <n v="0"/>
    <n v="0"/>
  </r>
  <r>
    <x v="44"/>
    <x v="44"/>
    <x v="1"/>
    <s v="Trepadella"/>
    <n v="3"/>
    <n v="0"/>
    <n v="0"/>
    <n v="3"/>
    <n v="0"/>
    <n v="0"/>
    <n v="0"/>
    <n v="0"/>
  </r>
  <r>
    <x v="44"/>
    <x v="44"/>
    <x v="1"/>
    <s v="Praderes polifites"/>
    <n v="126"/>
    <n v="0"/>
    <n v="0"/>
    <n v="126"/>
    <n v="0"/>
    <n v="0"/>
    <n v="0"/>
    <n v="0"/>
  </r>
  <r>
    <x v="44"/>
    <x v="44"/>
    <x v="1"/>
    <s v="Associació Veça - Civada farratgeres"/>
    <n v="2"/>
    <n v="0"/>
    <n v="0"/>
    <n v="2"/>
    <n v="0"/>
    <n v="0"/>
    <n v="0"/>
    <n v="0"/>
  </r>
  <r>
    <x v="45"/>
    <x v="45"/>
    <x v="0"/>
    <s v="Blat tou"/>
    <n v="17"/>
    <n v="0"/>
    <n v="0"/>
    <n v="17"/>
    <n v="9"/>
    <n v="0"/>
    <n v="0"/>
    <n v="9"/>
  </r>
  <r>
    <x v="45"/>
    <x v="45"/>
    <x v="0"/>
    <s v="Ordi"/>
    <n v="92"/>
    <n v="0"/>
    <n v="0"/>
    <n v="92"/>
    <n v="88"/>
    <n v="11"/>
    <n v="0"/>
    <n v="99"/>
  </r>
  <r>
    <x v="45"/>
    <x v="45"/>
    <x v="0"/>
    <s v="Civada"/>
    <n v="2"/>
    <n v="0"/>
    <n v="0"/>
    <n v="2"/>
    <n v="1"/>
    <n v="0"/>
    <n v="0"/>
    <n v="1"/>
  </r>
  <r>
    <x v="45"/>
    <x v="45"/>
    <x v="0"/>
    <s v="Triticale"/>
    <n v="1"/>
    <n v="0"/>
    <n v="0"/>
    <n v="1"/>
    <n v="0"/>
    <n v="0"/>
    <n v="0"/>
    <n v="0"/>
  </r>
  <r>
    <x v="45"/>
    <x v="45"/>
    <x v="0"/>
    <s v="Blat de moro"/>
    <n v="0"/>
    <n v="0"/>
    <n v="0"/>
    <n v="0"/>
    <n v="5"/>
    <n v="1"/>
    <n v="0"/>
    <n v="6"/>
  </r>
  <r>
    <x v="45"/>
    <x v="45"/>
    <x v="1"/>
    <s v="Cereals d'hivern per a farratge"/>
    <n v="21"/>
    <n v="1"/>
    <n v="0"/>
    <n v="22"/>
    <n v="13"/>
    <n v="0"/>
    <n v="0"/>
    <n v="13"/>
  </r>
  <r>
    <x v="45"/>
    <x v="45"/>
    <x v="1"/>
    <s v="Blat de moro farratger"/>
    <n v="2"/>
    <n v="0"/>
    <n v="0"/>
    <n v="2"/>
    <n v="27"/>
    <n v="4"/>
    <n v="0"/>
    <n v="31"/>
  </r>
  <r>
    <x v="45"/>
    <x v="45"/>
    <x v="1"/>
    <s v="Sorgo farratger"/>
    <n v="4"/>
    <n v="26"/>
    <n v="0"/>
    <n v="30"/>
    <n v="8"/>
    <n v="4"/>
    <n v="0"/>
    <n v="12"/>
  </r>
  <r>
    <x v="45"/>
    <x v="45"/>
    <x v="1"/>
    <s v="Raigràs"/>
    <n v="22"/>
    <n v="0"/>
    <n v="0"/>
    <n v="22"/>
    <n v="18"/>
    <n v="0"/>
    <n v="0"/>
    <n v="18"/>
  </r>
  <r>
    <x v="45"/>
    <x v="45"/>
    <x v="1"/>
    <s v="Alfals"/>
    <n v="21"/>
    <n v="0"/>
    <n v="0"/>
    <n v="21"/>
    <n v="14"/>
    <n v="0"/>
    <n v="0"/>
    <n v="14"/>
  </r>
  <r>
    <x v="45"/>
    <x v="45"/>
    <x v="1"/>
    <s v="Associació Veça - Civada farratgeres"/>
    <n v="0"/>
    <n v="0"/>
    <n v="0"/>
    <n v="0"/>
    <n v="2"/>
    <n v="0"/>
    <n v="0"/>
    <n v="2"/>
  </r>
  <r>
    <x v="45"/>
    <x v="45"/>
    <x v="5"/>
    <s v="Plantes ornamentals"/>
    <n v="0"/>
    <n v="0"/>
    <n v="0"/>
    <n v="0"/>
    <n v="15"/>
    <n v="0"/>
    <n v="0"/>
    <n v="15"/>
  </r>
  <r>
    <x v="45"/>
    <x v="45"/>
    <x v="4"/>
    <s v="Tomàquet"/>
    <n v="0"/>
    <n v="0"/>
    <n v="0"/>
    <n v="0"/>
    <n v="1"/>
    <n v="0"/>
    <n v="0"/>
    <n v="1"/>
  </r>
  <r>
    <x v="45"/>
    <x v="45"/>
    <x v="4"/>
    <s v="Ceba"/>
    <n v="0"/>
    <n v="0"/>
    <n v="0"/>
    <n v="0"/>
    <n v="4"/>
    <n v="0"/>
    <n v="0"/>
    <n v="4"/>
  </r>
  <r>
    <x v="45"/>
    <x v="45"/>
    <x v="2"/>
    <s v="Fava seca"/>
    <n v="2"/>
    <n v="0"/>
    <n v="0"/>
    <n v="2"/>
    <n v="2"/>
    <n v="0"/>
    <n v="0"/>
    <n v="2"/>
  </r>
  <r>
    <x v="45"/>
    <x v="45"/>
    <x v="2"/>
    <s v="Cigró"/>
    <n v="1"/>
    <n v="0"/>
    <n v="0"/>
    <n v="1"/>
    <n v="0"/>
    <n v="0"/>
    <n v="0"/>
    <n v="0"/>
  </r>
  <r>
    <x v="45"/>
    <x v="45"/>
    <x v="2"/>
    <s v="Pèsol sec"/>
    <n v="1"/>
    <n v="0"/>
    <n v="0"/>
    <n v="1"/>
    <n v="1"/>
    <n v="0"/>
    <n v="0"/>
    <n v="1"/>
  </r>
  <r>
    <x v="45"/>
    <x v="45"/>
    <x v="2"/>
    <s v="Favó"/>
    <n v="1"/>
    <n v="0"/>
    <n v="0"/>
    <n v="1"/>
    <n v="0"/>
    <n v="0"/>
    <n v="0"/>
    <n v="0"/>
  </r>
  <r>
    <x v="45"/>
    <x v="45"/>
    <x v="6"/>
    <s v="Patata d'estació mitjana"/>
    <n v="0"/>
    <n v="0"/>
    <n v="0"/>
    <n v="0"/>
    <n v="1"/>
    <n v="0"/>
    <n v="0"/>
    <n v="1"/>
  </r>
  <r>
    <x v="46"/>
    <x v="46"/>
    <x v="0"/>
    <s v="Blat tou"/>
    <n v="587"/>
    <n v="0"/>
    <n v="0"/>
    <n v="587"/>
    <n v="20"/>
    <n v="0"/>
    <n v="0"/>
    <n v="20"/>
  </r>
  <r>
    <x v="46"/>
    <x v="46"/>
    <x v="0"/>
    <s v="Ordi"/>
    <n v="682"/>
    <n v="0"/>
    <n v="0"/>
    <n v="682"/>
    <n v="33"/>
    <n v="0"/>
    <n v="0"/>
    <n v="33"/>
  </r>
  <r>
    <x v="46"/>
    <x v="46"/>
    <x v="0"/>
    <s v="Civada"/>
    <n v="4"/>
    <n v="0"/>
    <n v="0"/>
    <n v="4"/>
    <n v="0"/>
    <n v="0"/>
    <n v="0"/>
    <n v="0"/>
  </r>
  <r>
    <x v="46"/>
    <x v="46"/>
    <x v="0"/>
    <s v="Sègol"/>
    <n v="1"/>
    <n v="0"/>
    <n v="0"/>
    <n v="1"/>
    <n v="0"/>
    <n v="0"/>
    <n v="0"/>
    <n v="0"/>
  </r>
  <r>
    <x v="46"/>
    <x v="46"/>
    <x v="0"/>
    <s v="Mill i melca"/>
    <n v="5"/>
    <n v="0"/>
    <n v="0"/>
    <n v="5"/>
    <n v="0"/>
    <n v="0"/>
    <n v="0"/>
    <n v="0"/>
  </r>
  <r>
    <x v="46"/>
    <x v="46"/>
    <x v="0"/>
    <s v="Espelta"/>
    <n v="1"/>
    <n v="0"/>
    <n v="0"/>
    <n v="1"/>
    <n v="0"/>
    <n v="0"/>
    <n v="0"/>
    <n v="0"/>
  </r>
  <r>
    <x v="46"/>
    <x v="46"/>
    <x v="1"/>
    <s v="Cereals d'hivern per a farratge"/>
    <n v="16"/>
    <n v="0"/>
    <n v="0"/>
    <n v="16"/>
    <n v="2"/>
    <n v="0"/>
    <n v="0"/>
    <n v="2"/>
  </r>
  <r>
    <x v="46"/>
    <x v="46"/>
    <x v="1"/>
    <s v="Sorgo farratger"/>
    <n v="2"/>
    <n v="1"/>
    <n v="0"/>
    <n v="3"/>
    <n v="0"/>
    <n v="0"/>
    <n v="0"/>
    <n v="0"/>
  </r>
  <r>
    <x v="46"/>
    <x v="46"/>
    <x v="1"/>
    <s v="Raigràs"/>
    <n v="95"/>
    <n v="0"/>
    <n v="0"/>
    <n v="95"/>
    <n v="4"/>
    <n v="0"/>
    <n v="0"/>
    <n v="4"/>
  </r>
  <r>
    <x v="46"/>
    <x v="46"/>
    <x v="1"/>
    <s v="Alfals"/>
    <n v="9"/>
    <n v="0"/>
    <n v="0"/>
    <n v="9"/>
    <n v="1"/>
    <n v="0"/>
    <n v="0"/>
    <n v="1"/>
  </r>
  <r>
    <x v="46"/>
    <x v="46"/>
    <x v="1"/>
    <s v="Trepadella"/>
    <n v="15"/>
    <n v="0"/>
    <n v="0"/>
    <n v="15"/>
    <n v="0"/>
    <n v="0"/>
    <n v="0"/>
    <n v="0"/>
  </r>
  <r>
    <x v="46"/>
    <x v="46"/>
    <x v="1"/>
    <s v="Praderes polifites"/>
    <n v="67"/>
    <n v="0"/>
    <n v="0"/>
    <n v="67"/>
    <n v="0"/>
    <n v="0"/>
    <n v="0"/>
    <n v="0"/>
  </r>
  <r>
    <x v="46"/>
    <x v="46"/>
    <x v="1"/>
    <s v="Associació Veça - Civada farratgeres"/>
    <n v="3"/>
    <n v="0"/>
    <n v="0"/>
    <n v="3"/>
    <n v="0"/>
    <n v="0"/>
    <n v="0"/>
    <n v="0"/>
  </r>
  <r>
    <x v="46"/>
    <x v="46"/>
    <x v="3"/>
    <s v="Colza"/>
    <n v="41"/>
    <n v="0"/>
    <n v="0"/>
    <n v="41"/>
    <n v="5"/>
    <n v="0"/>
    <n v="0"/>
    <n v="5"/>
  </r>
  <r>
    <x v="46"/>
    <x v="46"/>
    <x v="4"/>
    <s v="Col de cabdell"/>
    <n v="0"/>
    <n v="0"/>
    <n v="0"/>
    <n v="0"/>
    <n v="1"/>
    <n v="0"/>
    <n v="0"/>
    <n v="1"/>
  </r>
  <r>
    <x v="46"/>
    <x v="46"/>
    <x v="4"/>
    <s v="Enciam"/>
    <n v="0"/>
    <n v="0"/>
    <n v="0"/>
    <n v="0"/>
    <n v="1"/>
    <n v="0"/>
    <n v="0"/>
    <n v="1"/>
  </r>
  <r>
    <x v="46"/>
    <x v="46"/>
    <x v="4"/>
    <s v="Porro"/>
    <n v="0"/>
    <n v="0"/>
    <n v="0"/>
    <n v="0"/>
    <n v="1"/>
    <n v="0"/>
    <n v="0"/>
    <n v="1"/>
  </r>
  <r>
    <x v="46"/>
    <x v="46"/>
    <x v="4"/>
    <s v="Mongeta tendra"/>
    <n v="0"/>
    <n v="0"/>
    <n v="0"/>
    <n v="0"/>
    <n v="1"/>
    <n v="0"/>
    <n v="0"/>
    <n v="1"/>
  </r>
  <r>
    <x v="46"/>
    <x v="46"/>
    <x v="2"/>
    <s v="Fava seca"/>
    <n v="9"/>
    <n v="0"/>
    <n v="0"/>
    <n v="9"/>
    <n v="0"/>
    <n v="0"/>
    <n v="0"/>
    <n v="0"/>
  </r>
  <r>
    <x v="46"/>
    <x v="46"/>
    <x v="2"/>
    <s v="Pèsol sec"/>
    <n v="18"/>
    <n v="0"/>
    <n v="0"/>
    <n v="18"/>
    <n v="0"/>
    <n v="0"/>
    <n v="0"/>
    <n v="0"/>
  </r>
  <r>
    <x v="46"/>
    <x v="46"/>
    <x v="2"/>
    <s v="Veça"/>
    <n v="45"/>
    <n v="0"/>
    <n v="0"/>
    <n v="45"/>
    <n v="1"/>
    <n v="0"/>
    <n v="0"/>
    <n v="1"/>
  </r>
  <r>
    <x v="47"/>
    <x v="47"/>
    <x v="0"/>
    <s v="Blat tou"/>
    <n v="36"/>
    <n v="0"/>
    <n v="0"/>
    <n v="36"/>
    <n v="0"/>
    <n v="0"/>
    <n v="0"/>
    <n v="0"/>
  </r>
  <r>
    <x v="47"/>
    <x v="47"/>
    <x v="0"/>
    <s v="Ordi"/>
    <n v="112"/>
    <n v="0"/>
    <n v="0"/>
    <n v="112"/>
    <n v="0"/>
    <n v="0"/>
    <n v="0"/>
    <n v="0"/>
  </r>
  <r>
    <x v="47"/>
    <x v="47"/>
    <x v="0"/>
    <s v="Civada"/>
    <n v="8"/>
    <n v="0"/>
    <n v="0"/>
    <n v="8"/>
    <n v="0"/>
    <n v="0"/>
    <n v="0"/>
    <n v="0"/>
  </r>
  <r>
    <x v="47"/>
    <x v="47"/>
    <x v="1"/>
    <s v="Cereals d'hivern per a farratge"/>
    <n v="30"/>
    <n v="0"/>
    <n v="0"/>
    <n v="30"/>
    <n v="0"/>
    <n v="0"/>
    <n v="0"/>
    <n v="0"/>
  </r>
  <r>
    <x v="47"/>
    <x v="47"/>
    <x v="1"/>
    <s v="Alfals"/>
    <n v="1"/>
    <n v="0"/>
    <n v="0"/>
    <n v="1"/>
    <n v="0"/>
    <n v="0"/>
    <n v="0"/>
    <n v="0"/>
  </r>
  <r>
    <x v="47"/>
    <x v="47"/>
    <x v="1"/>
    <s v="Trepadella"/>
    <n v="2"/>
    <n v="0"/>
    <n v="0"/>
    <n v="2"/>
    <n v="0"/>
    <n v="0"/>
    <n v="0"/>
    <n v="0"/>
  </r>
  <r>
    <x v="47"/>
    <x v="47"/>
    <x v="1"/>
    <s v="Festuca"/>
    <n v="1"/>
    <n v="0"/>
    <n v="0"/>
    <n v="1"/>
    <n v="0"/>
    <n v="0"/>
    <n v="0"/>
    <n v="0"/>
  </r>
  <r>
    <x v="47"/>
    <x v="47"/>
    <x v="1"/>
    <s v="Associació Veça - Civada farratgeres"/>
    <n v="1"/>
    <n v="0"/>
    <n v="0"/>
    <n v="1"/>
    <n v="0"/>
    <n v="0"/>
    <n v="0"/>
    <n v="0"/>
  </r>
  <r>
    <x v="47"/>
    <x v="47"/>
    <x v="3"/>
    <s v="Colza"/>
    <n v="14"/>
    <n v="0"/>
    <n v="0"/>
    <n v="14"/>
    <n v="0"/>
    <n v="0"/>
    <n v="0"/>
    <n v="0"/>
  </r>
  <r>
    <x v="48"/>
    <x v="48"/>
    <x v="0"/>
    <s v="Blat tou"/>
    <n v="181"/>
    <n v="0"/>
    <n v="0"/>
    <n v="181"/>
    <n v="0"/>
    <n v="0"/>
    <n v="0"/>
    <n v="0"/>
  </r>
  <r>
    <x v="48"/>
    <x v="48"/>
    <x v="0"/>
    <s v="Ordi"/>
    <n v="383"/>
    <n v="0"/>
    <n v="0"/>
    <n v="383"/>
    <n v="0"/>
    <n v="0"/>
    <n v="0"/>
    <n v="0"/>
  </r>
  <r>
    <x v="48"/>
    <x v="48"/>
    <x v="0"/>
    <s v="Civada"/>
    <n v="10"/>
    <n v="0"/>
    <n v="0"/>
    <n v="10"/>
    <n v="0"/>
    <n v="0"/>
    <n v="0"/>
    <n v="0"/>
  </r>
  <r>
    <x v="48"/>
    <x v="48"/>
    <x v="0"/>
    <s v="Triticale"/>
    <n v="9"/>
    <n v="0"/>
    <n v="0"/>
    <n v="9"/>
    <n v="0"/>
    <n v="0"/>
    <n v="0"/>
    <n v="0"/>
  </r>
  <r>
    <x v="48"/>
    <x v="48"/>
    <x v="0"/>
    <s v="Mill i melca"/>
    <n v="1"/>
    <n v="4"/>
    <n v="0"/>
    <n v="5"/>
    <n v="0"/>
    <n v="0"/>
    <n v="0"/>
    <n v="0"/>
  </r>
  <r>
    <x v="48"/>
    <x v="48"/>
    <x v="1"/>
    <s v="Cereals d'hivern per a farratge"/>
    <n v="10"/>
    <n v="0"/>
    <n v="0"/>
    <n v="10"/>
    <n v="0"/>
    <n v="0"/>
    <n v="0"/>
    <n v="0"/>
  </r>
  <r>
    <x v="48"/>
    <x v="48"/>
    <x v="1"/>
    <s v="Blat de moro farratger"/>
    <n v="1"/>
    <n v="0"/>
    <n v="0"/>
    <n v="1"/>
    <n v="0"/>
    <n v="0"/>
    <n v="0"/>
    <n v="0"/>
  </r>
  <r>
    <x v="48"/>
    <x v="48"/>
    <x v="1"/>
    <s v="Sorgo farratger"/>
    <n v="2"/>
    <n v="0"/>
    <n v="0"/>
    <n v="2"/>
    <n v="0"/>
    <n v="0"/>
    <n v="0"/>
    <n v="0"/>
  </r>
  <r>
    <x v="48"/>
    <x v="48"/>
    <x v="1"/>
    <s v="Raigràs"/>
    <n v="127"/>
    <n v="0"/>
    <n v="0"/>
    <n v="127"/>
    <n v="0"/>
    <n v="0"/>
    <n v="0"/>
    <n v="0"/>
  </r>
  <r>
    <x v="48"/>
    <x v="48"/>
    <x v="1"/>
    <s v="Alfals"/>
    <n v="39"/>
    <n v="0"/>
    <n v="0"/>
    <n v="39"/>
    <n v="0"/>
    <n v="0"/>
    <n v="0"/>
    <n v="0"/>
  </r>
  <r>
    <x v="48"/>
    <x v="48"/>
    <x v="1"/>
    <s v="Associació Veça - Civada farratgeres"/>
    <n v="19"/>
    <n v="0"/>
    <n v="0"/>
    <n v="19"/>
    <n v="0"/>
    <n v="0"/>
    <n v="0"/>
    <n v="0"/>
  </r>
  <r>
    <x v="48"/>
    <x v="48"/>
    <x v="3"/>
    <s v="Colza"/>
    <n v="42"/>
    <n v="0"/>
    <n v="0"/>
    <n v="42"/>
    <n v="0"/>
    <n v="0"/>
    <n v="0"/>
    <n v="0"/>
  </r>
  <r>
    <x v="48"/>
    <x v="48"/>
    <x v="2"/>
    <s v="Pèsol sec"/>
    <n v="9"/>
    <n v="0"/>
    <n v="0"/>
    <n v="9"/>
    <n v="0"/>
    <n v="0"/>
    <n v="0"/>
    <n v="0"/>
  </r>
  <r>
    <x v="48"/>
    <x v="48"/>
    <x v="2"/>
    <s v="Veça"/>
    <n v="6"/>
    <n v="0"/>
    <n v="0"/>
    <n v="6"/>
    <n v="0"/>
    <n v="0"/>
    <n v="0"/>
    <n v="0"/>
  </r>
  <r>
    <x v="49"/>
    <x v="49"/>
    <x v="1"/>
    <s v="Raigràs"/>
    <n v="5"/>
    <n v="0"/>
    <n v="0"/>
    <n v="5"/>
    <n v="0"/>
    <n v="0"/>
    <n v="0"/>
    <n v="0"/>
  </r>
  <r>
    <x v="49"/>
    <x v="49"/>
    <x v="1"/>
    <s v="Praderes polifites"/>
    <n v="23"/>
    <n v="0"/>
    <n v="0"/>
    <n v="23"/>
    <n v="0"/>
    <n v="0"/>
    <n v="0"/>
    <n v="0"/>
  </r>
  <r>
    <x v="50"/>
    <x v="50"/>
    <x v="1"/>
    <s v="Sorgo farratger"/>
    <n v="4"/>
    <n v="0"/>
    <n v="0"/>
    <n v="4"/>
    <n v="0"/>
    <n v="0"/>
    <n v="0"/>
    <n v="0"/>
  </r>
  <r>
    <x v="51"/>
    <x v="51"/>
    <x v="0"/>
    <s v="Blat tou"/>
    <n v="29"/>
    <n v="0"/>
    <n v="0"/>
    <n v="29"/>
    <n v="0"/>
    <n v="0"/>
    <n v="0"/>
    <n v="0"/>
  </r>
  <r>
    <x v="51"/>
    <x v="51"/>
    <x v="0"/>
    <s v="Ordi"/>
    <n v="42"/>
    <n v="0"/>
    <n v="0"/>
    <n v="42"/>
    <n v="0"/>
    <n v="0"/>
    <n v="0"/>
    <n v="0"/>
  </r>
  <r>
    <x v="51"/>
    <x v="51"/>
    <x v="0"/>
    <s v="Civada"/>
    <n v="14"/>
    <n v="0"/>
    <n v="0"/>
    <n v="14"/>
    <n v="1"/>
    <n v="0"/>
    <n v="0"/>
    <n v="1"/>
  </r>
  <r>
    <x v="51"/>
    <x v="51"/>
    <x v="1"/>
    <s v="Cereals d'hivern per a farratge"/>
    <n v="13"/>
    <n v="0"/>
    <n v="0"/>
    <n v="13"/>
    <n v="1"/>
    <n v="0"/>
    <n v="0"/>
    <n v="1"/>
  </r>
  <r>
    <x v="51"/>
    <x v="51"/>
    <x v="1"/>
    <s v="Alfals"/>
    <n v="2"/>
    <n v="0"/>
    <n v="0"/>
    <n v="2"/>
    <n v="1"/>
    <n v="0"/>
    <n v="0"/>
    <n v="1"/>
  </r>
  <r>
    <x v="51"/>
    <x v="51"/>
    <x v="3"/>
    <s v="Colza"/>
    <n v="11"/>
    <n v="0"/>
    <n v="0"/>
    <n v="11"/>
    <n v="0"/>
    <n v="0"/>
    <n v="0"/>
    <n v="0"/>
  </r>
  <r>
    <x v="51"/>
    <x v="51"/>
    <x v="4"/>
    <s v="Enciam"/>
    <n v="0"/>
    <n v="0"/>
    <n v="0"/>
    <n v="0"/>
    <n v="1"/>
    <n v="0"/>
    <n v="0"/>
    <n v="1"/>
  </r>
  <r>
    <x v="51"/>
    <x v="51"/>
    <x v="4"/>
    <s v="Pebrot"/>
    <n v="0"/>
    <n v="0"/>
    <n v="0"/>
    <n v="0"/>
    <n v="1"/>
    <n v="0"/>
    <n v="0"/>
    <n v="1"/>
  </r>
  <r>
    <x v="51"/>
    <x v="51"/>
    <x v="4"/>
    <s v="Ceba"/>
    <n v="0"/>
    <n v="0"/>
    <n v="0"/>
    <n v="0"/>
    <n v="1"/>
    <n v="0"/>
    <n v="0"/>
    <n v="1"/>
  </r>
  <r>
    <x v="51"/>
    <x v="51"/>
    <x v="4"/>
    <s v="Mongeta tendra"/>
    <n v="0"/>
    <n v="0"/>
    <n v="0"/>
    <n v="0"/>
    <n v="1"/>
    <n v="0"/>
    <n v="0"/>
    <n v="1"/>
  </r>
  <r>
    <x v="51"/>
    <x v="51"/>
    <x v="2"/>
    <s v="Fava seca"/>
    <n v="4"/>
    <n v="0"/>
    <n v="0"/>
    <n v="4"/>
    <n v="0"/>
    <n v="0"/>
    <n v="0"/>
    <n v="0"/>
  </r>
  <r>
    <x v="51"/>
    <x v="51"/>
    <x v="2"/>
    <s v="Favó"/>
    <n v="3"/>
    <n v="0"/>
    <n v="0"/>
    <n v="3"/>
    <n v="5"/>
    <n v="0"/>
    <n v="0"/>
    <n v="5"/>
  </r>
  <r>
    <x v="52"/>
    <x v="52"/>
    <x v="0"/>
    <s v="Blat tou"/>
    <n v="2"/>
    <n v="0"/>
    <n v="0"/>
    <n v="2"/>
    <n v="0"/>
    <n v="0"/>
    <n v="0"/>
    <n v="0"/>
  </r>
  <r>
    <x v="52"/>
    <x v="52"/>
    <x v="0"/>
    <s v="Ordi"/>
    <n v="66"/>
    <n v="0"/>
    <n v="0"/>
    <n v="66"/>
    <n v="1"/>
    <n v="0"/>
    <n v="0"/>
    <n v="1"/>
  </r>
  <r>
    <x v="52"/>
    <x v="52"/>
    <x v="0"/>
    <s v="Civada"/>
    <n v="2"/>
    <n v="0"/>
    <n v="0"/>
    <n v="2"/>
    <n v="0"/>
    <n v="0"/>
    <n v="0"/>
    <n v="0"/>
  </r>
  <r>
    <x v="52"/>
    <x v="52"/>
    <x v="1"/>
    <s v="Cereals d'hivern per a farratge"/>
    <n v="7"/>
    <n v="0"/>
    <n v="0"/>
    <n v="7"/>
    <n v="0"/>
    <n v="0"/>
    <n v="0"/>
    <n v="0"/>
  </r>
  <r>
    <x v="52"/>
    <x v="52"/>
    <x v="1"/>
    <s v="Raigràs"/>
    <n v="2"/>
    <n v="0"/>
    <n v="0"/>
    <n v="2"/>
    <n v="0"/>
    <n v="0"/>
    <n v="0"/>
    <n v="0"/>
  </r>
  <r>
    <x v="52"/>
    <x v="52"/>
    <x v="1"/>
    <s v="Alfals"/>
    <n v="26"/>
    <n v="0"/>
    <n v="0"/>
    <n v="26"/>
    <n v="1"/>
    <n v="0"/>
    <n v="0"/>
    <n v="1"/>
  </r>
  <r>
    <x v="52"/>
    <x v="52"/>
    <x v="1"/>
    <s v="Praderes polifites"/>
    <n v="7"/>
    <n v="0"/>
    <n v="0"/>
    <n v="7"/>
    <n v="0"/>
    <n v="0"/>
    <n v="0"/>
    <n v="0"/>
  </r>
  <r>
    <x v="52"/>
    <x v="52"/>
    <x v="4"/>
    <s v="Enciam"/>
    <n v="0"/>
    <n v="0"/>
    <n v="0"/>
    <n v="0"/>
    <n v="1"/>
    <n v="0"/>
    <n v="0"/>
    <n v="1"/>
  </r>
  <r>
    <x v="52"/>
    <x v="52"/>
    <x v="4"/>
    <s v="Bleda"/>
    <n v="0"/>
    <n v="0"/>
    <n v="0"/>
    <n v="0"/>
    <n v="1"/>
    <n v="0"/>
    <n v="0"/>
    <n v="1"/>
  </r>
  <r>
    <x v="52"/>
    <x v="52"/>
    <x v="4"/>
    <s v="Ceba"/>
    <n v="0"/>
    <n v="0"/>
    <n v="0"/>
    <n v="0"/>
    <n v="1"/>
    <n v="0"/>
    <n v="0"/>
    <n v="1"/>
  </r>
  <r>
    <x v="52"/>
    <x v="52"/>
    <x v="2"/>
    <s v="Fava seca"/>
    <n v="4"/>
    <n v="0"/>
    <n v="0"/>
    <n v="4"/>
    <n v="0"/>
    <n v="0"/>
    <n v="0"/>
    <n v="0"/>
  </r>
  <r>
    <x v="52"/>
    <x v="52"/>
    <x v="2"/>
    <s v="Cigró"/>
    <n v="0"/>
    <n v="0"/>
    <n v="0"/>
    <n v="0"/>
    <n v="2"/>
    <n v="0"/>
    <n v="0"/>
    <n v="2"/>
  </r>
  <r>
    <x v="52"/>
    <x v="52"/>
    <x v="2"/>
    <s v="Veça"/>
    <n v="2"/>
    <n v="0"/>
    <n v="0"/>
    <n v="2"/>
    <n v="0"/>
    <n v="0"/>
    <n v="0"/>
    <n v="0"/>
  </r>
  <r>
    <x v="52"/>
    <x v="52"/>
    <x v="6"/>
    <s v="Patata d'estació mitjana"/>
    <n v="0"/>
    <n v="0"/>
    <n v="0"/>
    <n v="0"/>
    <n v="1"/>
    <n v="0"/>
    <n v="0"/>
    <n v="1"/>
  </r>
  <r>
    <x v="53"/>
    <x v="53"/>
    <x v="0"/>
    <s v="Ordi"/>
    <n v="44"/>
    <n v="0"/>
    <n v="0"/>
    <n v="44"/>
    <n v="0"/>
    <n v="0"/>
    <n v="0"/>
    <n v="0"/>
  </r>
  <r>
    <x v="53"/>
    <x v="53"/>
    <x v="0"/>
    <s v="Civada"/>
    <n v="11"/>
    <n v="0"/>
    <n v="0"/>
    <n v="11"/>
    <n v="0"/>
    <n v="0"/>
    <n v="0"/>
    <n v="0"/>
  </r>
  <r>
    <x v="53"/>
    <x v="53"/>
    <x v="1"/>
    <s v="Cereals d'hivern per a farratge"/>
    <n v="11"/>
    <n v="0"/>
    <n v="0"/>
    <n v="11"/>
    <n v="0"/>
    <n v="0"/>
    <n v="0"/>
    <n v="0"/>
  </r>
  <r>
    <x v="53"/>
    <x v="53"/>
    <x v="4"/>
    <s v="Col de cabdell"/>
    <n v="0"/>
    <n v="0"/>
    <n v="0"/>
    <n v="0"/>
    <n v="1"/>
    <n v="0"/>
    <n v="0"/>
    <n v="1"/>
  </r>
  <r>
    <x v="53"/>
    <x v="53"/>
    <x v="4"/>
    <s v="Enciam"/>
    <n v="0"/>
    <n v="0"/>
    <n v="0"/>
    <n v="0"/>
    <n v="3"/>
    <n v="0"/>
    <n v="0"/>
    <n v="3"/>
  </r>
  <r>
    <x v="53"/>
    <x v="53"/>
    <x v="4"/>
    <s v="Escarola"/>
    <n v="0"/>
    <n v="0"/>
    <n v="0"/>
    <n v="0"/>
    <n v="1"/>
    <n v="0"/>
    <n v="0"/>
    <n v="1"/>
  </r>
  <r>
    <x v="53"/>
    <x v="53"/>
    <x v="4"/>
    <s v="Espinac"/>
    <n v="0"/>
    <n v="0"/>
    <n v="0"/>
    <n v="0"/>
    <n v="1"/>
    <n v="0"/>
    <n v="0"/>
    <n v="1"/>
  </r>
  <r>
    <x v="53"/>
    <x v="53"/>
    <x v="4"/>
    <s v="Bleda"/>
    <n v="0"/>
    <n v="0"/>
    <n v="0"/>
    <n v="0"/>
    <n v="1"/>
    <n v="0"/>
    <n v="0"/>
    <n v="1"/>
  </r>
  <r>
    <x v="53"/>
    <x v="53"/>
    <x v="4"/>
    <s v="Albergínia"/>
    <n v="0"/>
    <n v="0"/>
    <n v="0"/>
    <n v="0"/>
    <n v="1"/>
    <n v="0"/>
    <n v="0"/>
    <n v="1"/>
  </r>
  <r>
    <x v="53"/>
    <x v="53"/>
    <x v="4"/>
    <s v="Tomàquet"/>
    <n v="0"/>
    <n v="0"/>
    <n v="0"/>
    <n v="0"/>
    <n v="6"/>
    <n v="0"/>
    <n v="0"/>
    <n v="6"/>
  </r>
  <r>
    <x v="53"/>
    <x v="53"/>
    <x v="4"/>
    <s v="Pebrot"/>
    <n v="0"/>
    <n v="0"/>
    <n v="0"/>
    <n v="0"/>
    <n v="1"/>
    <n v="0"/>
    <n v="0"/>
    <n v="1"/>
  </r>
  <r>
    <x v="53"/>
    <x v="53"/>
    <x v="4"/>
    <s v="Carxofa"/>
    <n v="0"/>
    <n v="0"/>
    <n v="0"/>
    <n v="0"/>
    <n v="1"/>
    <n v="0"/>
    <n v="0"/>
    <n v="1"/>
  </r>
  <r>
    <x v="53"/>
    <x v="53"/>
    <x v="4"/>
    <s v="Coliflor"/>
    <n v="0"/>
    <n v="0"/>
    <n v="0"/>
    <n v="0"/>
    <n v="2"/>
    <n v="0"/>
    <n v="0"/>
    <n v="2"/>
  </r>
  <r>
    <x v="53"/>
    <x v="53"/>
    <x v="4"/>
    <s v="Ceba"/>
    <n v="0"/>
    <n v="0"/>
    <n v="0"/>
    <n v="0"/>
    <n v="2"/>
    <n v="0"/>
    <n v="0"/>
    <n v="2"/>
  </r>
  <r>
    <x v="53"/>
    <x v="53"/>
    <x v="4"/>
    <s v="Mongeta tendra"/>
    <n v="0"/>
    <n v="0"/>
    <n v="0"/>
    <n v="0"/>
    <n v="5"/>
    <n v="0"/>
    <n v="0"/>
    <n v="5"/>
  </r>
  <r>
    <x v="53"/>
    <x v="53"/>
    <x v="4"/>
    <s v="Fava tendra"/>
    <n v="0"/>
    <n v="0"/>
    <n v="0"/>
    <n v="0"/>
    <n v="1"/>
    <n v="0"/>
    <n v="0"/>
    <n v="1"/>
  </r>
  <r>
    <x v="54"/>
    <x v="54"/>
    <x v="0"/>
    <s v="Blat tou"/>
    <n v="8"/>
    <n v="0"/>
    <n v="0"/>
    <n v="8"/>
    <n v="0"/>
    <n v="0"/>
    <n v="0"/>
    <n v="0"/>
  </r>
  <r>
    <x v="54"/>
    <x v="54"/>
    <x v="0"/>
    <s v="Ordi"/>
    <n v="48"/>
    <n v="0"/>
    <n v="0"/>
    <n v="48"/>
    <n v="0"/>
    <n v="0"/>
    <n v="0"/>
    <n v="0"/>
  </r>
  <r>
    <x v="54"/>
    <x v="54"/>
    <x v="0"/>
    <s v="Civada"/>
    <n v="5"/>
    <n v="0"/>
    <n v="0"/>
    <n v="5"/>
    <n v="0"/>
    <n v="0"/>
    <n v="0"/>
    <n v="0"/>
  </r>
  <r>
    <x v="54"/>
    <x v="54"/>
    <x v="0"/>
    <s v="Triticale"/>
    <n v="2"/>
    <n v="0"/>
    <n v="0"/>
    <n v="2"/>
    <n v="0"/>
    <n v="0"/>
    <n v="0"/>
    <n v="0"/>
  </r>
  <r>
    <x v="54"/>
    <x v="54"/>
    <x v="0"/>
    <s v="Espelta"/>
    <n v="5"/>
    <n v="0"/>
    <n v="0"/>
    <n v="5"/>
    <n v="0"/>
    <n v="0"/>
    <n v="0"/>
    <n v="0"/>
  </r>
  <r>
    <x v="54"/>
    <x v="54"/>
    <x v="1"/>
    <s v="Cereals d'hivern per a farratge"/>
    <n v="46"/>
    <n v="0"/>
    <n v="0"/>
    <n v="46"/>
    <n v="0"/>
    <n v="0"/>
    <n v="0"/>
    <n v="0"/>
  </r>
  <r>
    <x v="54"/>
    <x v="54"/>
    <x v="1"/>
    <s v="Raigràs"/>
    <n v="117"/>
    <n v="0"/>
    <n v="0"/>
    <n v="117"/>
    <n v="5"/>
    <n v="0"/>
    <n v="0"/>
    <n v="5"/>
  </r>
  <r>
    <x v="54"/>
    <x v="54"/>
    <x v="1"/>
    <s v="Alfals"/>
    <n v="6"/>
    <n v="0"/>
    <n v="0"/>
    <n v="6"/>
    <n v="0"/>
    <n v="0"/>
    <n v="0"/>
    <n v="0"/>
  </r>
  <r>
    <x v="54"/>
    <x v="54"/>
    <x v="1"/>
    <s v="Trepadella"/>
    <n v="22"/>
    <n v="0"/>
    <n v="0"/>
    <n v="22"/>
    <n v="0"/>
    <n v="0"/>
    <n v="0"/>
    <n v="0"/>
  </r>
  <r>
    <x v="54"/>
    <x v="54"/>
    <x v="1"/>
    <s v="Festuca"/>
    <n v="1"/>
    <n v="0"/>
    <n v="0"/>
    <n v="1"/>
    <n v="0"/>
    <n v="0"/>
    <n v="0"/>
    <n v="0"/>
  </r>
  <r>
    <x v="54"/>
    <x v="54"/>
    <x v="1"/>
    <s v="Associació Veça - Civada farratgeres"/>
    <n v="12"/>
    <n v="0"/>
    <n v="0"/>
    <n v="12"/>
    <n v="0"/>
    <n v="0"/>
    <n v="0"/>
    <n v="0"/>
  </r>
  <r>
    <x v="55"/>
    <x v="55"/>
    <x v="5"/>
    <s v="Plantes ornamentals"/>
    <n v="0"/>
    <n v="0"/>
    <n v="0"/>
    <n v="0"/>
    <n v="3"/>
    <n v="0"/>
    <n v="0"/>
    <n v="3"/>
  </r>
  <r>
    <x v="56"/>
    <x v="56"/>
    <x v="0"/>
    <s v="Blat tou"/>
    <n v="4"/>
    <n v="0"/>
    <n v="0"/>
    <n v="4"/>
    <n v="0"/>
    <n v="0"/>
    <n v="0"/>
    <n v="0"/>
  </r>
  <r>
    <x v="56"/>
    <x v="56"/>
    <x v="0"/>
    <s v="Ordi"/>
    <n v="51"/>
    <n v="0"/>
    <n v="0"/>
    <n v="51"/>
    <n v="0"/>
    <n v="0"/>
    <n v="0"/>
    <n v="0"/>
  </r>
  <r>
    <x v="56"/>
    <x v="56"/>
    <x v="0"/>
    <s v="Civada"/>
    <n v="26"/>
    <n v="0"/>
    <n v="0"/>
    <n v="26"/>
    <n v="0"/>
    <n v="0"/>
    <n v="0"/>
    <n v="0"/>
  </r>
  <r>
    <x v="56"/>
    <x v="56"/>
    <x v="1"/>
    <s v="Raigràs"/>
    <n v="2"/>
    <n v="0"/>
    <n v="0"/>
    <n v="2"/>
    <n v="0"/>
    <n v="0"/>
    <n v="0"/>
    <n v="0"/>
  </r>
  <r>
    <x v="56"/>
    <x v="56"/>
    <x v="1"/>
    <s v="Alfals"/>
    <n v="7"/>
    <n v="0"/>
    <n v="0"/>
    <n v="7"/>
    <n v="0"/>
    <n v="0"/>
    <n v="0"/>
    <n v="0"/>
  </r>
  <r>
    <x v="56"/>
    <x v="56"/>
    <x v="1"/>
    <s v="Trepadella"/>
    <n v="5"/>
    <n v="0"/>
    <n v="0"/>
    <n v="5"/>
    <n v="0"/>
    <n v="0"/>
    <n v="0"/>
    <n v="0"/>
  </r>
  <r>
    <x v="56"/>
    <x v="56"/>
    <x v="1"/>
    <s v="Associació Veça - Civada farratgeres"/>
    <n v="8"/>
    <n v="0"/>
    <n v="0"/>
    <n v="8"/>
    <n v="2"/>
    <n v="0"/>
    <n v="0"/>
    <n v="2"/>
  </r>
  <r>
    <x v="56"/>
    <x v="56"/>
    <x v="4"/>
    <s v="Col de cabdell"/>
    <n v="0"/>
    <n v="0"/>
    <n v="0"/>
    <n v="0"/>
    <n v="1"/>
    <n v="0"/>
    <n v="0"/>
    <n v="1"/>
  </r>
  <r>
    <x v="56"/>
    <x v="56"/>
    <x v="4"/>
    <s v="Enciam"/>
    <n v="0"/>
    <n v="0"/>
    <n v="0"/>
    <n v="0"/>
    <n v="1"/>
    <n v="0"/>
    <n v="0"/>
    <n v="1"/>
  </r>
  <r>
    <x v="56"/>
    <x v="56"/>
    <x v="4"/>
    <s v="Escarola"/>
    <n v="0"/>
    <n v="0"/>
    <n v="0"/>
    <n v="0"/>
    <n v="1"/>
    <n v="0"/>
    <n v="0"/>
    <n v="1"/>
  </r>
  <r>
    <x v="56"/>
    <x v="56"/>
    <x v="4"/>
    <s v="All"/>
    <n v="0"/>
    <n v="0"/>
    <n v="0"/>
    <n v="0"/>
    <n v="1"/>
    <n v="0"/>
    <n v="0"/>
    <n v="1"/>
  </r>
  <r>
    <x v="56"/>
    <x v="56"/>
    <x v="4"/>
    <s v="Ceba"/>
    <n v="0"/>
    <n v="0"/>
    <n v="0"/>
    <n v="0"/>
    <n v="3"/>
    <n v="0"/>
    <n v="0"/>
    <n v="3"/>
  </r>
  <r>
    <x v="56"/>
    <x v="56"/>
    <x v="4"/>
    <s v="Fava tendra"/>
    <n v="0"/>
    <n v="0"/>
    <n v="0"/>
    <n v="0"/>
    <n v="1"/>
    <n v="0"/>
    <n v="0"/>
    <n v="1"/>
  </r>
  <r>
    <x v="56"/>
    <x v="56"/>
    <x v="2"/>
    <s v="Fava seca"/>
    <n v="2"/>
    <n v="0"/>
    <n v="0"/>
    <n v="2"/>
    <n v="0"/>
    <n v="0"/>
    <n v="0"/>
    <n v="0"/>
  </r>
  <r>
    <x v="56"/>
    <x v="56"/>
    <x v="2"/>
    <s v="Pèsol sec"/>
    <n v="2"/>
    <n v="0"/>
    <n v="0"/>
    <n v="2"/>
    <n v="0"/>
    <n v="0"/>
    <n v="0"/>
    <n v="0"/>
  </r>
  <r>
    <x v="56"/>
    <x v="56"/>
    <x v="2"/>
    <s v="Veça"/>
    <n v="5"/>
    <n v="0"/>
    <n v="0"/>
    <n v="5"/>
    <n v="0"/>
    <n v="0"/>
    <n v="0"/>
    <n v="0"/>
  </r>
  <r>
    <x v="56"/>
    <x v="56"/>
    <x v="2"/>
    <s v="Erbs"/>
    <n v="1"/>
    <n v="0"/>
    <n v="0"/>
    <n v="1"/>
    <n v="0"/>
    <n v="0"/>
    <n v="0"/>
    <n v="0"/>
  </r>
  <r>
    <x v="56"/>
    <x v="56"/>
    <x v="6"/>
    <s v="Patata primerenca"/>
    <n v="1"/>
    <n v="0"/>
    <n v="0"/>
    <n v="1"/>
    <n v="0"/>
    <n v="0"/>
    <n v="0"/>
    <n v="0"/>
  </r>
  <r>
    <x v="56"/>
    <x v="56"/>
    <x v="6"/>
    <s v="Patata d'estació mitjana"/>
    <n v="4"/>
    <n v="0"/>
    <n v="0"/>
    <n v="4"/>
    <n v="0"/>
    <n v="0"/>
    <n v="0"/>
    <n v="0"/>
  </r>
  <r>
    <x v="57"/>
    <x v="57"/>
    <x v="0"/>
    <s v="Blat tou"/>
    <n v="312"/>
    <n v="0"/>
    <n v="0"/>
    <n v="312"/>
    <n v="0"/>
    <n v="0"/>
    <n v="0"/>
    <n v="0"/>
  </r>
  <r>
    <x v="57"/>
    <x v="57"/>
    <x v="0"/>
    <s v="Ordi"/>
    <n v="451"/>
    <n v="0"/>
    <n v="0"/>
    <n v="451"/>
    <n v="0"/>
    <n v="0"/>
    <n v="0"/>
    <n v="0"/>
  </r>
  <r>
    <x v="57"/>
    <x v="57"/>
    <x v="0"/>
    <s v="Civada"/>
    <n v="7"/>
    <n v="0"/>
    <n v="0"/>
    <n v="7"/>
    <n v="0"/>
    <n v="0"/>
    <n v="0"/>
    <n v="0"/>
  </r>
  <r>
    <x v="57"/>
    <x v="57"/>
    <x v="1"/>
    <s v="Cereals d'hivern per a farratge"/>
    <n v="26"/>
    <n v="0"/>
    <n v="0"/>
    <n v="26"/>
    <n v="0"/>
    <n v="0"/>
    <n v="0"/>
    <n v="0"/>
  </r>
  <r>
    <x v="57"/>
    <x v="57"/>
    <x v="1"/>
    <s v="Associació Veça - Civada farratgeres"/>
    <n v="1"/>
    <n v="0"/>
    <n v="0"/>
    <n v="1"/>
    <n v="0"/>
    <n v="0"/>
    <n v="0"/>
    <n v="0"/>
  </r>
  <r>
    <x v="57"/>
    <x v="57"/>
    <x v="3"/>
    <s v="Colza"/>
    <n v="99"/>
    <n v="0"/>
    <n v="0"/>
    <n v="99"/>
    <n v="0"/>
    <n v="0"/>
    <n v="0"/>
    <n v="0"/>
  </r>
  <r>
    <x v="57"/>
    <x v="57"/>
    <x v="2"/>
    <s v="Fava seca"/>
    <n v="10"/>
    <n v="0"/>
    <n v="0"/>
    <n v="10"/>
    <n v="0"/>
    <n v="0"/>
    <n v="0"/>
    <n v="0"/>
  </r>
  <r>
    <x v="57"/>
    <x v="57"/>
    <x v="2"/>
    <s v="Pèsol sec"/>
    <n v="83"/>
    <n v="0"/>
    <n v="0"/>
    <n v="83"/>
    <n v="0"/>
    <n v="0"/>
    <n v="0"/>
    <n v="0"/>
  </r>
  <r>
    <x v="57"/>
    <x v="57"/>
    <x v="2"/>
    <s v="Veça"/>
    <n v="28"/>
    <n v="0"/>
    <n v="0"/>
    <n v="28"/>
    <n v="0"/>
    <n v="0"/>
    <n v="0"/>
    <n v="0"/>
  </r>
  <r>
    <x v="58"/>
    <x v="58"/>
    <x v="0"/>
    <s v="Blat tou"/>
    <n v="293"/>
    <n v="0"/>
    <n v="0"/>
    <n v="293"/>
    <n v="1"/>
    <n v="0"/>
    <n v="0"/>
    <n v="1"/>
  </r>
  <r>
    <x v="58"/>
    <x v="58"/>
    <x v="0"/>
    <s v="Ordi"/>
    <n v="513"/>
    <n v="1"/>
    <n v="0"/>
    <n v="514"/>
    <n v="0"/>
    <n v="0"/>
    <n v="0"/>
    <n v="0"/>
  </r>
  <r>
    <x v="58"/>
    <x v="58"/>
    <x v="0"/>
    <s v="Civada"/>
    <n v="7"/>
    <n v="0"/>
    <n v="0"/>
    <n v="7"/>
    <n v="0"/>
    <n v="0"/>
    <n v="0"/>
    <n v="0"/>
  </r>
  <r>
    <x v="58"/>
    <x v="58"/>
    <x v="1"/>
    <s v="Cereals d'hivern per a farratge"/>
    <n v="30"/>
    <n v="0"/>
    <n v="0"/>
    <n v="30"/>
    <n v="0"/>
    <n v="0"/>
    <n v="0"/>
    <n v="0"/>
  </r>
  <r>
    <x v="58"/>
    <x v="58"/>
    <x v="1"/>
    <s v="Raigràs"/>
    <n v="2"/>
    <n v="0"/>
    <n v="0"/>
    <n v="2"/>
    <n v="0"/>
    <n v="0"/>
    <n v="0"/>
    <n v="0"/>
  </r>
  <r>
    <x v="58"/>
    <x v="58"/>
    <x v="1"/>
    <s v="Alfals"/>
    <n v="3"/>
    <n v="0"/>
    <n v="0"/>
    <n v="3"/>
    <n v="0"/>
    <n v="0"/>
    <n v="0"/>
    <n v="0"/>
  </r>
  <r>
    <x v="58"/>
    <x v="58"/>
    <x v="1"/>
    <s v="Trepadella"/>
    <n v="5"/>
    <n v="0"/>
    <n v="0"/>
    <n v="5"/>
    <n v="0"/>
    <n v="0"/>
    <n v="0"/>
    <n v="0"/>
  </r>
  <r>
    <x v="58"/>
    <x v="58"/>
    <x v="1"/>
    <s v="Praderes polifites"/>
    <n v="15"/>
    <n v="0"/>
    <n v="0"/>
    <n v="15"/>
    <n v="0"/>
    <n v="0"/>
    <n v="0"/>
    <n v="0"/>
  </r>
  <r>
    <x v="58"/>
    <x v="58"/>
    <x v="1"/>
    <s v="Associació Veça - Civada farratgeres"/>
    <n v="68"/>
    <n v="0"/>
    <n v="0"/>
    <n v="68"/>
    <n v="0"/>
    <n v="0"/>
    <n v="0"/>
    <n v="0"/>
  </r>
  <r>
    <x v="58"/>
    <x v="58"/>
    <x v="3"/>
    <s v="Colza"/>
    <n v="4"/>
    <n v="0"/>
    <n v="0"/>
    <n v="4"/>
    <n v="0"/>
    <n v="0"/>
    <n v="0"/>
    <n v="0"/>
  </r>
  <r>
    <x v="58"/>
    <x v="58"/>
    <x v="4"/>
    <s v="Bleda"/>
    <n v="0"/>
    <n v="0"/>
    <n v="0"/>
    <n v="0"/>
    <n v="1"/>
    <n v="0"/>
    <n v="0"/>
    <n v="1"/>
  </r>
  <r>
    <x v="58"/>
    <x v="58"/>
    <x v="4"/>
    <s v="Carbassa"/>
    <n v="0"/>
    <n v="0"/>
    <n v="0"/>
    <n v="0"/>
    <n v="1"/>
    <n v="0"/>
    <n v="0"/>
    <n v="1"/>
  </r>
  <r>
    <x v="58"/>
    <x v="58"/>
    <x v="4"/>
    <s v="Tomàquet"/>
    <n v="1"/>
    <n v="0"/>
    <n v="0"/>
    <n v="1"/>
    <n v="1"/>
    <n v="0"/>
    <n v="0"/>
    <n v="1"/>
  </r>
  <r>
    <x v="58"/>
    <x v="58"/>
    <x v="2"/>
    <s v="Mongeta seca"/>
    <n v="2"/>
    <n v="0"/>
    <n v="0"/>
    <n v="2"/>
    <n v="2"/>
    <n v="0"/>
    <n v="0"/>
    <n v="2"/>
  </r>
  <r>
    <x v="58"/>
    <x v="58"/>
    <x v="2"/>
    <s v="Cigró"/>
    <n v="1"/>
    <n v="0"/>
    <n v="0"/>
    <n v="1"/>
    <n v="0"/>
    <n v="0"/>
    <n v="0"/>
    <n v="0"/>
  </r>
  <r>
    <x v="58"/>
    <x v="58"/>
    <x v="2"/>
    <s v="Pèsol sec"/>
    <n v="10"/>
    <n v="0"/>
    <n v="0"/>
    <n v="10"/>
    <n v="0"/>
    <n v="0"/>
    <n v="0"/>
    <n v="0"/>
  </r>
  <r>
    <x v="58"/>
    <x v="58"/>
    <x v="2"/>
    <s v="Veça"/>
    <n v="3"/>
    <n v="0"/>
    <n v="0"/>
    <n v="3"/>
    <n v="0"/>
    <n v="0"/>
    <n v="0"/>
    <n v="0"/>
  </r>
  <r>
    <x v="58"/>
    <x v="58"/>
    <x v="2"/>
    <s v="Erbs"/>
    <n v="4"/>
    <n v="0"/>
    <n v="0"/>
    <n v="4"/>
    <n v="0"/>
    <n v="0"/>
    <n v="0"/>
    <n v="0"/>
  </r>
  <r>
    <x v="58"/>
    <x v="58"/>
    <x v="6"/>
    <s v="Patata d'estació mitjana"/>
    <n v="2"/>
    <n v="0"/>
    <n v="0"/>
    <n v="2"/>
    <n v="0"/>
    <n v="0"/>
    <n v="0"/>
    <n v="0"/>
  </r>
  <r>
    <x v="59"/>
    <x v="59"/>
    <x v="0"/>
    <s v="Blat tou"/>
    <n v="27"/>
    <n v="0"/>
    <n v="0"/>
    <n v="27"/>
    <n v="0"/>
    <n v="0"/>
    <n v="0"/>
    <n v="0"/>
  </r>
  <r>
    <x v="59"/>
    <x v="59"/>
    <x v="0"/>
    <s v="Ordi"/>
    <n v="76"/>
    <n v="0"/>
    <n v="0"/>
    <n v="76"/>
    <n v="8"/>
    <n v="0"/>
    <n v="0"/>
    <n v="8"/>
  </r>
  <r>
    <x v="59"/>
    <x v="59"/>
    <x v="0"/>
    <s v="Civada"/>
    <n v="7"/>
    <n v="0"/>
    <n v="0"/>
    <n v="7"/>
    <n v="0"/>
    <n v="0"/>
    <n v="0"/>
    <n v="0"/>
  </r>
  <r>
    <x v="59"/>
    <x v="59"/>
    <x v="0"/>
    <s v="Espelta"/>
    <n v="7"/>
    <n v="0"/>
    <n v="0"/>
    <n v="7"/>
    <n v="1"/>
    <n v="0"/>
    <n v="0"/>
    <n v="1"/>
  </r>
  <r>
    <x v="59"/>
    <x v="59"/>
    <x v="1"/>
    <s v="Cereals d'hivern per a farratge"/>
    <n v="28"/>
    <n v="0"/>
    <n v="0"/>
    <n v="28"/>
    <n v="0"/>
    <n v="0"/>
    <n v="0"/>
    <n v="0"/>
  </r>
  <r>
    <x v="59"/>
    <x v="59"/>
    <x v="1"/>
    <s v="Raigràs"/>
    <n v="2"/>
    <n v="0"/>
    <n v="0"/>
    <n v="2"/>
    <n v="0"/>
    <n v="0"/>
    <n v="0"/>
    <n v="0"/>
  </r>
  <r>
    <x v="59"/>
    <x v="59"/>
    <x v="1"/>
    <s v="Alfals"/>
    <n v="7"/>
    <n v="0"/>
    <n v="0"/>
    <n v="7"/>
    <n v="0"/>
    <n v="0"/>
    <n v="0"/>
    <n v="0"/>
  </r>
  <r>
    <x v="59"/>
    <x v="59"/>
    <x v="1"/>
    <s v="Praderes polifites"/>
    <n v="5"/>
    <n v="0"/>
    <n v="0"/>
    <n v="5"/>
    <n v="0"/>
    <n v="0"/>
    <n v="0"/>
    <n v="0"/>
  </r>
  <r>
    <x v="59"/>
    <x v="59"/>
    <x v="1"/>
    <s v="Festuca"/>
    <n v="1"/>
    <n v="0"/>
    <n v="0"/>
    <n v="1"/>
    <n v="0"/>
    <n v="0"/>
    <n v="0"/>
    <n v="0"/>
  </r>
  <r>
    <x v="59"/>
    <x v="59"/>
    <x v="1"/>
    <s v="Associació Veça - Civada farratgeres"/>
    <n v="6"/>
    <n v="0"/>
    <n v="0"/>
    <n v="6"/>
    <n v="0"/>
    <n v="0"/>
    <n v="0"/>
    <n v="0"/>
  </r>
  <r>
    <x v="59"/>
    <x v="59"/>
    <x v="3"/>
    <s v="Colza"/>
    <n v="11"/>
    <n v="0"/>
    <n v="0"/>
    <n v="11"/>
    <n v="0"/>
    <n v="0"/>
    <n v="0"/>
    <n v="0"/>
  </r>
  <r>
    <x v="59"/>
    <x v="59"/>
    <x v="4"/>
    <s v="Enciam"/>
    <n v="0"/>
    <n v="0"/>
    <n v="0"/>
    <n v="0"/>
    <n v="0"/>
    <n v="1"/>
    <n v="0"/>
    <n v="1"/>
  </r>
  <r>
    <x v="59"/>
    <x v="59"/>
    <x v="4"/>
    <s v="Bleda"/>
    <n v="0"/>
    <n v="0"/>
    <n v="0"/>
    <n v="0"/>
    <n v="0"/>
    <n v="1"/>
    <n v="0"/>
    <n v="1"/>
  </r>
  <r>
    <x v="59"/>
    <x v="59"/>
    <x v="4"/>
    <s v="Tomàquet"/>
    <n v="0"/>
    <n v="0"/>
    <n v="0"/>
    <n v="0"/>
    <n v="0"/>
    <n v="1"/>
    <n v="0"/>
    <n v="1"/>
  </r>
  <r>
    <x v="59"/>
    <x v="59"/>
    <x v="2"/>
    <s v="Pèsol sec"/>
    <n v="1"/>
    <n v="0"/>
    <n v="0"/>
    <n v="1"/>
    <n v="0"/>
    <n v="0"/>
    <n v="0"/>
    <n v="0"/>
  </r>
  <r>
    <x v="59"/>
    <x v="59"/>
    <x v="2"/>
    <s v="Favó"/>
    <n v="2"/>
    <n v="0"/>
    <n v="0"/>
    <n v="2"/>
    <n v="0"/>
    <n v="0"/>
    <n v="0"/>
    <n v="0"/>
  </r>
  <r>
    <x v="60"/>
    <x v="60"/>
    <x v="0"/>
    <s v="Blat tou"/>
    <n v="129"/>
    <n v="0"/>
    <n v="0"/>
    <n v="129"/>
    <n v="0"/>
    <n v="0"/>
    <n v="0"/>
    <n v="0"/>
  </r>
  <r>
    <x v="60"/>
    <x v="60"/>
    <x v="0"/>
    <s v="Ordi"/>
    <n v="162"/>
    <n v="0"/>
    <n v="0"/>
    <n v="162"/>
    <n v="0"/>
    <n v="0"/>
    <n v="0"/>
    <n v="0"/>
  </r>
  <r>
    <x v="60"/>
    <x v="60"/>
    <x v="0"/>
    <s v="Civada"/>
    <n v="11"/>
    <n v="0"/>
    <n v="0"/>
    <n v="11"/>
    <n v="0"/>
    <n v="0"/>
    <n v="0"/>
    <n v="0"/>
  </r>
  <r>
    <x v="60"/>
    <x v="60"/>
    <x v="1"/>
    <s v="Cereals d'hivern per a farratge"/>
    <n v="43"/>
    <n v="0"/>
    <n v="0"/>
    <n v="43"/>
    <n v="0"/>
    <n v="0"/>
    <n v="0"/>
    <n v="0"/>
  </r>
  <r>
    <x v="60"/>
    <x v="60"/>
    <x v="1"/>
    <s v="Blat de moro farratger"/>
    <n v="1"/>
    <n v="0"/>
    <n v="0"/>
    <n v="1"/>
    <n v="0"/>
    <n v="0"/>
    <n v="0"/>
    <n v="0"/>
  </r>
  <r>
    <x v="60"/>
    <x v="60"/>
    <x v="1"/>
    <s v="Raigràs"/>
    <n v="77"/>
    <n v="0"/>
    <n v="0"/>
    <n v="77"/>
    <n v="2"/>
    <n v="0"/>
    <n v="0"/>
    <n v="2"/>
  </r>
  <r>
    <x v="60"/>
    <x v="60"/>
    <x v="1"/>
    <s v="Alfals"/>
    <n v="1"/>
    <n v="0"/>
    <n v="0"/>
    <n v="1"/>
    <n v="0"/>
    <n v="0"/>
    <n v="0"/>
    <n v="0"/>
  </r>
  <r>
    <x v="60"/>
    <x v="60"/>
    <x v="1"/>
    <s v="Trepadella"/>
    <n v="5"/>
    <n v="0"/>
    <n v="0"/>
    <n v="5"/>
    <n v="0"/>
    <n v="0"/>
    <n v="0"/>
    <n v="0"/>
  </r>
  <r>
    <x v="60"/>
    <x v="60"/>
    <x v="1"/>
    <s v="Praderes polifites"/>
    <n v="10"/>
    <n v="0"/>
    <n v="0"/>
    <n v="10"/>
    <n v="0"/>
    <n v="0"/>
    <n v="0"/>
    <n v="0"/>
  </r>
  <r>
    <x v="60"/>
    <x v="60"/>
    <x v="1"/>
    <s v="Associació Veça - Civada farratgeres"/>
    <n v="14"/>
    <n v="0"/>
    <n v="0"/>
    <n v="14"/>
    <n v="0"/>
    <n v="0"/>
    <n v="0"/>
    <n v="0"/>
  </r>
  <r>
    <x v="60"/>
    <x v="60"/>
    <x v="4"/>
    <s v="Escarola"/>
    <n v="0"/>
    <n v="0"/>
    <n v="0"/>
    <n v="0"/>
    <n v="1"/>
    <n v="0"/>
    <n v="0"/>
    <n v="1"/>
  </r>
  <r>
    <x v="60"/>
    <x v="60"/>
    <x v="4"/>
    <s v="Porro"/>
    <n v="0"/>
    <n v="0"/>
    <n v="0"/>
    <n v="0"/>
    <n v="1"/>
    <n v="0"/>
    <n v="0"/>
    <n v="1"/>
  </r>
  <r>
    <x v="60"/>
    <x v="60"/>
    <x v="2"/>
    <s v="Cigró"/>
    <n v="4"/>
    <n v="0"/>
    <n v="0"/>
    <n v="4"/>
    <n v="0"/>
    <n v="0"/>
    <n v="0"/>
    <n v="0"/>
  </r>
  <r>
    <x v="60"/>
    <x v="60"/>
    <x v="6"/>
    <s v="Patata d'estació mitjana"/>
    <n v="1"/>
    <n v="0"/>
    <n v="0"/>
    <n v="1"/>
    <n v="0"/>
    <n v="0"/>
    <n v="0"/>
    <n v="0"/>
  </r>
  <r>
    <x v="61"/>
    <x v="61"/>
    <x v="0"/>
    <s v="Blat tou"/>
    <n v="28"/>
    <n v="0"/>
    <n v="0"/>
    <n v="28"/>
    <n v="0"/>
    <n v="0"/>
    <n v="0"/>
    <n v="0"/>
  </r>
  <r>
    <x v="61"/>
    <x v="61"/>
    <x v="0"/>
    <s v="Ordi"/>
    <n v="154"/>
    <n v="0"/>
    <n v="0"/>
    <n v="154"/>
    <n v="0"/>
    <n v="0"/>
    <n v="0"/>
    <n v="0"/>
  </r>
  <r>
    <x v="61"/>
    <x v="61"/>
    <x v="0"/>
    <s v="Civada"/>
    <n v="11"/>
    <n v="0"/>
    <n v="0"/>
    <n v="11"/>
    <n v="0"/>
    <n v="0"/>
    <n v="0"/>
    <n v="0"/>
  </r>
  <r>
    <x v="61"/>
    <x v="61"/>
    <x v="1"/>
    <s v="Cereals d'hivern per a farratge"/>
    <n v="43"/>
    <n v="0"/>
    <n v="0"/>
    <n v="43"/>
    <n v="0"/>
    <n v="0"/>
    <n v="0"/>
    <n v="0"/>
  </r>
  <r>
    <x v="61"/>
    <x v="61"/>
    <x v="1"/>
    <s v="Alfals"/>
    <n v="11"/>
    <n v="0"/>
    <n v="0"/>
    <n v="11"/>
    <n v="0"/>
    <n v="0"/>
    <n v="0"/>
    <n v="0"/>
  </r>
  <r>
    <x v="61"/>
    <x v="61"/>
    <x v="1"/>
    <s v="Trepadella"/>
    <n v="3"/>
    <n v="0"/>
    <n v="0"/>
    <n v="3"/>
    <n v="0"/>
    <n v="0"/>
    <n v="0"/>
    <n v="0"/>
  </r>
  <r>
    <x v="61"/>
    <x v="61"/>
    <x v="3"/>
    <s v="Colza"/>
    <n v="8"/>
    <n v="0"/>
    <n v="0"/>
    <n v="8"/>
    <n v="0"/>
    <n v="0"/>
    <n v="0"/>
    <n v="0"/>
  </r>
  <r>
    <x v="61"/>
    <x v="61"/>
    <x v="4"/>
    <s v="Síndria"/>
    <n v="0"/>
    <n v="0"/>
    <n v="0"/>
    <n v="0"/>
    <n v="1"/>
    <n v="0"/>
    <n v="0"/>
    <n v="1"/>
  </r>
  <r>
    <x v="61"/>
    <x v="61"/>
    <x v="4"/>
    <s v="Meló"/>
    <n v="0"/>
    <n v="0"/>
    <n v="0"/>
    <n v="0"/>
    <n v="1"/>
    <n v="0"/>
    <n v="0"/>
    <n v="1"/>
  </r>
  <r>
    <x v="61"/>
    <x v="61"/>
    <x v="4"/>
    <s v="Tomàquet"/>
    <n v="0"/>
    <n v="0"/>
    <n v="0"/>
    <n v="0"/>
    <n v="1"/>
    <n v="0"/>
    <n v="0"/>
    <n v="1"/>
  </r>
  <r>
    <x v="61"/>
    <x v="61"/>
    <x v="2"/>
    <s v="Erbs"/>
    <n v="16"/>
    <n v="0"/>
    <n v="0"/>
    <n v="16"/>
    <n v="0"/>
    <n v="0"/>
    <n v="0"/>
    <n v="0"/>
  </r>
  <r>
    <x v="62"/>
    <x v="62"/>
    <x v="0"/>
    <s v="Blat tou"/>
    <n v="17"/>
    <n v="0"/>
    <n v="0"/>
    <n v="17"/>
    <n v="2"/>
    <n v="0"/>
    <n v="0"/>
    <n v="2"/>
  </r>
  <r>
    <x v="62"/>
    <x v="62"/>
    <x v="0"/>
    <s v="Ordi"/>
    <n v="105"/>
    <n v="0"/>
    <n v="0"/>
    <n v="105"/>
    <n v="0"/>
    <n v="0"/>
    <n v="0"/>
    <n v="0"/>
  </r>
  <r>
    <x v="62"/>
    <x v="62"/>
    <x v="0"/>
    <s v="Civada"/>
    <n v="4"/>
    <n v="0"/>
    <n v="0"/>
    <n v="4"/>
    <n v="0"/>
    <n v="0"/>
    <n v="0"/>
    <n v="0"/>
  </r>
  <r>
    <x v="62"/>
    <x v="62"/>
    <x v="0"/>
    <s v="Mill i melca"/>
    <n v="5"/>
    <n v="0"/>
    <n v="0"/>
    <n v="5"/>
    <n v="0"/>
    <n v="0"/>
    <n v="0"/>
    <n v="0"/>
  </r>
  <r>
    <x v="62"/>
    <x v="62"/>
    <x v="0"/>
    <s v="Espelta"/>
    <n v="3"/>
    <n v="0"/>
    <n v="0"/>
    <n v="3"/>
    <n v="0"/>
    <n v="0"/>
    <n v="0"/>
    <n v="0"/>
  </r>
  <r>
    <x v="62"/>
    <x v="62"/>
    <x v="1"/>
    <s v="Cereals d'hivern per a farratge"/>
    <n v="34"/>
    <n v="0"/>
    <n v="0"/>
    <n v="34"/>
    <n v="0"/>
    <n v="0"/>
    <n v="0"/>
    <n v="0"/>
  </r>
  <r>
    <x v="62"/>
    <x v="62"/>
    <x v="1"/>
    <s v="Raigràs"/>
    <n v="27"/>
    <n v="0"/>
    <n v="0"/>
    <n v="27"/>
    <n v="3"/>
    <n v="0"/>
    <n v="0"/>
    <n v="3"/>
  </r>
  <r>
    <x v="62"/>
    <x v="62"/>
    <x v="1"/>
    <s v="Alfals"/>
    <n v="16"/>
    <n v="0"/>
    <n v="0"/>
    <n v="16"/>
    <n v="0"/>
    <n v="0"/>
    <n v="0"/>
    <n v="0"/>
  </r>
  <r>
    <x v="62"/>
    <x v="62"/>
    <x v="1"/>
    <s v="Trèvol"/>
    <n v="8"/>
    <n v="0"/>
    <n v="0"/>
    <n v="8"/>
    <n v="0"/>
    <n v="0"/>
    <n v="0"/>
    <n v="0"/>
  </r>
  <r>
    <x v="62"/>
    <x v="62"/>
    <x v="1"/>
    <s v="Trepadella"/>
    <n v="21"/>
    <n v="0"/>
    <n v="0"/>
    <n v="21"/>
    <n v="0"/>
    <n v="0"/>
    <n v="0"/>
    <n v="0"/>
  </r>
  <r>
    <x v="62"/>
    <x v="62"/>
    <x v="1"/>
    <s v="Associació Veça - Civada farratgeres"/>
    <n v="32"/>
    <n v="0"/>
    <n v="0"/>
    <n v="32"/>
    <n v="0"/>
    <n v="0"/>
    <n v="0"/>
    <n v="0"/>
  </r>
  <r>
    <x v="62"/>
    <x v="62"/>
    <x v="3"/>
    <s v="Lavanda"/>
    <n v="0"/>
    <n v="0"/>
    <n v="0"/>
    <n v="0"/>
    <n v="1"/>
    <n v="0"/>
    <n v="0"/>
    <n v="1"/>
  </r>
  <r>
    <x v="62"/>
    <x v="62"/>
    <x v="5"/>
    <s v="Plantes ornamentals"/>
    <n v="0"/>
    <n v="0"/>
    <n v="0"/>
    <n v="0"/>
    <n v="3"/>
    <n v="0"/>
    <n v="0"/>
    <n v="3"/>
  </r>
  <r>
    <x v="63"/>
    <x v="63"/>
    <x v="0"/>
    <s v="Blat tou"/>
    <n v="10"/>
    <n v="0"/>
    <n v="0"/>
    <n v="10"/>
    <n v="0"/>
    <n v="0"/>
    <n v="0"/>
    <n v="0"/>
  </r>
  <r>
    <x v="63"/>
    <x v="63"/>
    <x v="0"/>
    <s v="Ordi"/>
    <n v="53"/>
    <n v="0"/>
    <n v="0"/>
    <n v="53"/>
    <n v="3"/>
    <n v="0"/>
    <n v="0"/>
    <n v="3"/>
  </r>
  <r>
    <x v="63"/>
    <x v="63"/>
    <x v="0"/>
    <s v="Civada"/>
    <n v="4"/>
    <n v="0"/>
    <n v="0"/>
    <n v="4"/>
    <n v="0"/>
    <n v="0"/>
    <n v="0"/>
    <n v="0"/>
  </r>
  <r>
    <x v="63"/>
    <x v="63"/>
    <x v="1"/>
    <s v="Alfals"/>
    <n v="6"/>
    <n v="0"/>
    <n v="0"/>
    <n v="6"/>
    <n v="0"/>
    <n v="0"/>
    <n v="0"/>
    <n v="0"/>
  </r>
  <r>
    <x v="63"/>
    <x v="63"/>
    <x v="1"/>
    <s v="Veça per a farratge"/>
    <n v="1"/>
    <n v="0"/>
    <n v="0"/>
    <n v="1"/>
    <n v="0"/>
    <n v="0"/>
    <n v="0"/>
    <n v="0"/>
  </r>
  <r>
    <x v="63"/>
    <x v="63"/>
    <x v="4"/>
    <s v="Tomàquet"/>
    <n v="3"/>
    <n v="0"/>
    <n v="0"/>
    <n v="3"/>
    <n v="0"/>
    <n v="0"/>
    <n v="0"/>
    <n v="0"/>
  </r>
  <r>
    <x v="63"/>
    <x v="63"/>
    <x v="4"/>
    <s v="Ceba"/>
    <n v="4"/>
    <n v="0"/>
    <n v="0"/>
    <n v="4"/>
    <n v="0"/>
    <n v="0"/>
    <n v="0"/>
    <n v="0"/>
  </r>
  <r>
    <x v="63"/>
    <x v="63"/>
    <x v="2"/>
    <s v="Fava seca"/>
    <n v="2"/>
    <n v="0"/>
    <n v="0"/>
    <n v="2"/>
    <n v="0"/>
    <n v="0"/>
    <n v="0"/>
    <n v="0"/>
  </r>
  <r>
    <x v="63"/>
    <x v="63"/>
    <x v="2"/>
    <s v="Cigró"/>
    <n v="1"/>
    <n v="0"/>
    <n v="0"/>
    <n v="1"/>
    <n v="0"/>
    <n v="0"/>
    <n v="0"/>
    <n v="0"/>
  </r>
  <r>
    <x v="63"/>
    <x v="63"/>
    <x v="2"/>
    <s v="Veça"/>
    <n v="1"/>
    <n v="0"/>
    <n v="0"/>
    <n v="1"/>
    <n v="0"/>
    <n v="0"/>
    <n v="0"/>
    <n v="0"/>
  </r>
  <r>
    <x v="63"/>
    <x v="63"/>
    <x v="6"/>
    <s v="Patata d'estació mitjana"/>
    <n v="5"/>
    <n v="0"/>
    <n v="0"/>
    <n v="5"/>
    <n v="1"/>
    <n v="0"/>
    <n v="0"/>
    <n v="1"/>
  </r>
  <r>
    <x v="64"/>
    <x v="64"/>
    <x v="0"/>
    <s v="Civada"/>
    <n v="5"/>
    <n v="0"/>
    <n v="0"/>
    <n v="5"/>
    <n v="0"/>
    <n v="0"/>
    <n v="0"/>
    <n v="0"/>
  </r>
  <r>
    <x v="64"/>
    <x v="64"/>
    <x v="4"/>
    <s v="Ceba"/>
    <n v="0"/>
    <n v="0"/>
    <n v="0"/>
    <n v="0"/>
    <n v="1"/>
    <n v="0"/>
    <n v="0"/>
    <n v="1"/>
  </r>
  <r>
    <x v="65"/>
    <x v="65"/>
    <x v="0"/>
    <s v="Blat tou"/>
    <n v="106"/>
    <n v="0"/>
    <n v="0"/>
    <n v="106"/>
    <n v="0"/>
    <n v="0"/>
    <n v="0"/>
    <n v="0"/>
  </r>
  <r>
    <x v="65"/>
    <x v="65"/>
    <x v="0"/>
    <s v="Ordi"/>
    <n v="92"/>
    <n v="0"/>
    <n v="0"/>
    <n v="92"/>
    <n v="2"/>
    <n v="0"/>
    <n v="0"/>
    <n v="2"/>
  </r>
  <r>
    <x v="65"/>
    <x v="65"/>
    <x v="0"/>
    <s v="Civada"/>
    <n v="5"/>
    <n v="0"/>
    <n v="0"/>
    <n v="5"/>
    <n v="0"/>
    <n v="0"/>
    <n v="0"/>
    <n v="0"/>
  </r>
  <r>
    <x v="65"/>
    <x v="65"/>
    <x v="1"/>
    <s v="Cereals d'hivern per a farratge"/>
    <n v="19"/>
    <n v="0"/>
    <n v="0"/>
    <n v="19"/>
    <n v="0"/>
    <n v="0"/>
    <n v="0"/>
    <n v="0"/>
  </r>
  <r>
    <x v="65"/>
    <x v="65"/>
    <x v="1"/>
    <s v="Blat de moro farratger"/>
    <n v="2"/>
    <n v="0"/>
    <n v="0"/>
    <n v="2"/>
    <n v="0"/>
    <n v="0"/>
    <n v="0"/>
    <n v="0"/>
  </r>
  <r>
    <x v="65"/>
    <x v="65"/>
    <x v="1"/>
    <s v="Sorgo farratger"/>
    <n v="1"/>
    <n v="11"/>
    <n v="0"/>
    <n v="12"/>
    <n v="0"/>
    <n v="0"/>
    <n v="0"/>
    <n v="0"/>
  </r>
  <r>
    <x v="65"/>
    <x v="65"/>
    <x v="1"/>
    <s v="Raigràs"/>
    <n v="36"/>
    <n v="0"/>
    <n v="0"/>
    <n v="36"/>
    <n v="0"/>
    <n v="0"/>
    <n v="0"/>
    <n v="0"/>
  </r>
  <r>
    <x v="65"/>
    <x v="65"/>
    <x v="1"/>
    <s v="Alfals"/>
    <n v="37"/>
    <n v="0"/>
    <n v="0"/>
    <n v="37"/>
    <n v="0"/>
    <n v="0"/>
    <n v="0"/>
    <n v="0"/>
  </r>
  <r>
    <x v="65"/>
    <x v="65"/>
    <x v="1"/>
    <s v="Praderes polifites"/>
    <n v="19"/>
    <n v="0"/>
    <n v="0"/>
    <n v="19"/>
    <n v="0"/>
    <n v="0"/>
    <n v="0"/>
    <n v="0"/>
  </r>
  <r>
    <x v="65"/>
    <x v="65"/>
    <x v="1"/>
    <s v="Associació Veça - Civada farratgeres"/>
    <n v="15"/>
    <n v="0"/>
    <n v="0"/>
    <n v="15"/>
    <n v="0"/>
    <n v="0"/>
    <n v="0"/>
    <n v="0"/>
  </r>
  <r>
    <x v="65"/>
    <x v="65"/>
    <x v="3"/>
    <s v="Colza"/>
    <n v="29"/>
    <n v="0"/>
    <n v="0"/>
    <n v="29"/>
    <n v="0"/>
    <n v="0"/>
    <n v="0"/>
    <n v="0"/>
  </r>
  <r>
    <x v="65"/>
    <x v="65"/>
    <x v="2"/>
    <s v="Veça"/>
    <n v="1"/>
    <n v="0"/>
    <n v="0"/>
    <n v="1"/>
    <n v="0"/>
    <n v="0"/>
    <n v="0"/>
    <n v="0"/>
  </r>
  <r>
    <x v="65"/>
    <x v="65"/>
    <x v="6"/>
    <s v="Patata d'estació mitjana"/>
    <n v="3"/>
    <n v="0"/>
    <n v="0"/>
    <n v="3"/>
    <n v="0"/>
    <n v="0"/>
    <n v="0"/>
    <n v="0"/>
  </r>
  <r>
    <x v="66"/>
    <x v="66"/>
    <x v="1"/>
    <s v="Praderes polifites"/>
    <n v="20"/>
    <n v="0"/>
    <n v="0"/>
    <n v="20"/>
    <n v="0"/>
    <n v="0"/>
    <n v="0"/>
    <n v="0"/>
  </r>
  <r>
    <x v="67"/>
    <x v="67"/>
    <x v="0"/>
    <s v="Ordi"/>
    <n v="135"/>
    <n v="0"/>
    <n v="0"/>
    <n v="135"/>
    <n v="0"/>
    <n v="0"/>
    <n v="0"/>
    <n v="0"/>
  </r>
  <r>
    <x v="67"/>
    <x v="67"/>
    <x v="0"/>
    <s v="Civada"/>
    <n v="12"/>
    <n v="0"/>
    <n v="0"/>
    <n v="12"/>
    <n v="0"/>
    <n v="0"/>
    <n v="0"/>
    <n v="0"/>
  </r>
  <r>
    <x v="67"/>
    <x v="67"/>
    <x v="0"/>
    <s v="Triticale"/>
    <n v="5"/>
    <n v="0"/>
    <n v="0"/>
    <n v="5"/>
    <n v="0"/>
    <n v="0"/>
    <n v="0"/>
    <n v="0"/>
  </r>
  <r>
    <x v="67"/>
    <x v="67"/>
    <x v="1"/>
    <s v="Cereals d'hivern per a farratge"/>
    <n v="9"/>
    <n v="0"/>
    <n v="0"/>
    <n v="9"/>
    <n v="3"/>
    <n v="0"/>
    <n v="0"/>
    <n v="3"/>
  </r>
  <r>
    <x v="67"/>
    <x v="67"/>
    <x v="1"/>
    <s v="Sorgo farratger"/>
    <n v="1"/>
    <n v="0"/>
    <n v="0"/>
    <n v="1"/>
    <n v="0"/>
    <n v="0"/>
    <n v="0"/>
    <n v="0"/>
  </r>
  <r>
    <x v="67"/>
    <x v="67"/>
    <x v="1"/>
    <s v="Raigràs"/>
    <n v="9"/>
    <n v="0"/>
    <n v="0"/>
    <n v="9"/>
    <n v="0"/>
    <n v="0"/>
    <n v="0"/>
    <n v="0"/>
  </r>
  <r>
    <x v="67"/>
    <x v="67"/>
    <x v="1"/>
    <s v="Alfals"/>
    <n v="5"/>
    <n v="0"/>
    <n v="0"/>
    <n v="5"/>
    <n v="0"/>
    <n v="0"/>
    <n v="0"/>
    <n v="0"/>
  </r>
  <r>
    <x v="67"/>
    <x v="67"/>
    <x v="4"/>
    <s v="Enciam"/>
    <n v="0"/>
    <n v="0"/>
    <n v="0"/>
    <n v="0"/>
    <n v="1"/>
    <n v="0"/>
    <n v="0"/>
    <n v="1"/>
  </r>
  <r>
    <x v="67"/>
    <x v="67"/>
    <x v="4"/>
    <s v="Tomàquet"/>
    <n v="0"/>
    <n v="0"/>
    <n v="0"/>
    <n v="0"/>
    <n v="1"/>
    <n v="0"/>
    <n v="0"/>
    <n v="1"/>
  </r>
  <r>
    <x v="68"/>
    <x v="68"/>
    <x v="4"/>
    <s v="Tomàquet"/>
    <n v="0"/>
    <n v="0"/>
    <n v="0"/>
    <n v="0"/>
    <n v="1"/>
    <n v="0"/>
    <n v="0"/>
    <n v="1"/>
  </r>
  <r>
    <x v="68"/>
    <x v="68"/>
    <x v="4"/>
    <s v="Ceba"/>
    <n v="0"/>
    <n v="0"/>
    <n v="0"/>
    <n v="0"/>
    <n v="1"/>
    <n v="0"/>
    <n v="0"/>
    <n v="1"/>
  </r>
  <r>
    <x v="69"/>
    <x v="69"/>
    <x v="0"/>
    <s v="Blat tou"/>
    <n v="14"/>
    <n v="0"/>
    <n v="0"/>
    <n v="14"/>
    <n v="0"/>
    <n v="0"/>
    <n v="0"/>
    <n v="0"/>
  </r>
  <r>
    <x v="69"/>
    <x v="69"/>
    <x v="0"/>
    <s v="Ordi"/>
    <n v="21"/>
    <n v="0"/>
    <n v="0"/>
    <n v="21"/>
    <n v="0"/>
    <n v="0"/>
    <n v="0"/>
    <n v="0"/>
  </r>
  <r>
    <x v="69"/>
    <x v="69"/>
    <x v="0"/>
    <s v="Civada"/>
    <n v="7"/>
    <n v="0"/>
    <n v="0"/>
    <n v="7"/>
    <n v="0"/>
    <n v="0"/>
    <n v="0"/>
    <n v="0"/>
  </r>
  <r>
    <x v="69"/>
    <x v="69"/>
    <x v="1"/>
    <s v="Cereals d'hivern per a farratge"/>
    <n v="1"/>
    <n v="0"/>
    <n v="0"/>
    <n v="1"/>
    <n v="0"/>
    <n v="0"/>
    <n v="0"/>
    <n v="0"/>
  </r>
  <r>
    <x v="69"/>
    <x v="69"/>
    <x v="4"/>
    <s v="Col de cabdell"/>
    <n v="0"/>
    <n v="0"/>
    <n v="0"/>
    <n v="0"/>
    <n v="1"/>
    <n v="0"/>
    <n v="0"/>
    <n v="1"/>
  </r>
  <r>
    <x v="69"/>
    <x v="69"/>
    <x v="4"/>
    <s v="Ceba"/>
    <n v="0"/>
    <n v="0"/>
    <n v="0"/>
    <n v="0"/>
    <n v="1"/>
    <n v="0"/>
    <n v="0"/>
    <n v="1"/>
  </r>
  <r>
    <x v="70"/>
    <x v="70"/>
    <x v="0"/>
    <s v="Blat tou"/>
    <n v="95"/>
    <n v="0"/>
    <n v="0"/>
    <n v="95"/>
    <n v="0"/>
    <n v="0"/>
    <n v="0"/>
    <n v="0"/>
  </r>
  <r>
    <x v="70"/>
    <x v="70"/>
    <x v="0"/>
    <s v="Ordi"/>
    <n v="70"/>
    <n v="0"/>
    <n v="0"/>
    <n v="70"/>
    <n v="0"/>
    <n v="0"/>
    <n v="0"/>
    <n v="0"/>
  </r>
  <r>
    <x v="70"/>
    <x v="70"/>
    <x v="0"/>
    <s v="Civada"/>
    <n v="11"/>
    <n v="0"/>
    <n v="0"/>
    <n v="11"/>
    <n v="0"/>
    <n v="0"/>
    <n v="0"/>
    <n v="0"/>
  </r>
  <r>
    <x v="70"/>
    <x v="70"/>
    <x v="1"/>
    <s v="Cereals d'hivern per a farratge"/>
    <n v="37"/>
    <n v="0"/>
    <n v="0"/>
    <n v="37"/>
    <n v="0"/>
    <n v="0"/>
    <n v="0"/>
    <n v="0"/>
  </r>
  <r>
    <x v="70"/>
    <x v="70"/>
    <x v="1"/>
    <s v="Sorgo farratger"/>
    <n v="4"/>
    <n v="0"/>
    <n v="0"/>
    <n v="4"/>
    <n v="0"/>
    <n v="0"/>
    <n v="0"/>
    <n v="0"/>
  </r>
  <r>
    <x v="70"/>
    <x v="70"/>
    <x v="1"/>
    <s v="Raigràs"/>
    <n v="48"/>
    <n v="0"/>
    <n v="0"/>
    <n v="48"/>
    <n v="0"/>
    <n v="0"/>
    <n v="0"/>
    <n v="0"/>
  </r>
  <r>
    <x v="70"/>
    <x v="70"/>
    <x v="1"/>
    <s v="Alfals"/>
    <n v="30"/>
    <n v="0"/>
    <n v="0"/>
    <n v="30"/>
    <n v="0"/>
    <n v="0"/>
    <n v="0"/>
    <n v="0"/>
  </r>
  <r>
    <x v="70"/>
    <x v="70"/>
    <x v="1"/>
    <s v="Praderes polifites"/>
    <n v="75"/>
    <n v="0"/>
    <n v="0"/>
    <n v="75"/>
    <n v="0"/>
    <n v="0"/>
    <n v="0"/>
    <n v="0"/>
  </r>
  <r>
    <x v="70"/>
    <x v="70"/>
    <x v="1"/>
    <s v="Associació Veça - Civada farratgeres"/>
    <n v="2"/>
    <n v="0"/>
    <n v="0"/>
    <n v="2"/>
    <n v="0"/>
    <n v="0"/>
    <n v="0"/>
    <n v="0"/>
  </r>
  <r>
    <x v="70"/>
    <x v="70"/>
    <x v="2"/>
    <s v="Veça"/>
    <n v="2"/>
    <n v="0"/>
    <n v="0"/>
    <n v="2"/>
    <n v="0"/>
    <n v="0"/>
    <n v="0"/>
    <n v="0"/>
  </r>
  <r>
    <x v="70"/>
    <x v="70"/>
    <x v="6"/>
    <s v="Patata d'estació mitjana"/>
    <n v="1"/>
    <n v="0"/>
    <n v="0"/>
    <n v="1"/>
    <n v="0"/>
    <n v="0"/>
    <n v="0"/>
    <n v="0"/>
  </r>
  <r>
    <x v="71"/>
    <x v="71"/>
    <x v="0"/>
    <s v="Blat tou"/>
    <n v="118"/>
    <n v="0"/>
    <n v="0"/>
    <n v="118"/>
    <n v="0"/>
    <n v="0"/>
    <n v="0"/>
    <n v="0"/>
  </r>
  <r>
    <x v="71"/>
    <x v="71"/>
    <x v="0"/>
    <s v="Ordi"/>
    <n v="251"/>
    <n v="0"/>
    <n v="0"/>
    <n v="251"/>
    <n v="0"/>
    <n v="0"/>
    <n v="0"/>
    <n v="0"/>
  </r>
  <r>
    <x v="71"/>
    <x v="71"/>
    <x v="0"/>
    <s v="Civada"/>
    <n v="4"/>
    <n v="0"/>
    <n v="0"/>
    <n v="4"/>
    <n v="0"/>
    <n v="0"/>
    <n v="0"/>
    <n v="0"/>
  </r>
  <r>
    <x v="71"/>
    <x v="71"/>
    <x v="1"/>
    <s v="Cereals d'hivern per a farratge"/>
    <n v="23"/>
    <n v="0"/>
    <n v="0"/>
    <n v="23"/>
    <n v="0"/>
    <n v="0"/>
    <n v="0"/>
    <n v="0"/>
  </r>
  <r>
    <x v="71"/>
    <x v="71"/>
    <x v="1"/>
    <s v="Sorgo farratger"/>
    <n v="0"/>
    <n v="4"/>
    <n v="0"/>
    <n v="4"/>
    <n v="0"/>
    <n v="0"/>
    <n v="0"/>
    <n v="0"/>
  </r>
  <r>
    <x v="71"/>
    <x v="71"/>
    <x v="1"/>
    <s v="Alfals"/>
    <n v="1"/>
    <n v="0"/>
    <n v="0"/>
    <n v="1"/>
    <n v="0"/>
    <n v="0"/>
    <n v="0"/>
    <n v="0"/>
  </r>
  <r>
    <x v="71"/>
    <x v="71"/>
    <x v="1"/>
    <s v="Associació Veça - Civada farratgeres"/>
    <n v="5"/>
    <n v="0"/>
    <n v="0"/>
    <n v="5"/>
    <n v="0"/>
    <n v="0"/>
    <n v="0"/>
    <n v="0"/>
  </r>
  <r>
    <x v="71"/>
    <x v="71"/>
    <x v="3"/>
    <s v="Colza"/>
    <n v="21"/>
    <n v="0"/>
    <n v="0"/>
    <n v="21"/>
    <n v="0"/>
    <n v="0"/>
    <n v="0"/>
    <n v="0"/>
  </r>
  <r>
    <x v="71"/>
    <x v="71"/>
    <x v="3"/>
    <s v="Camelina"/>
    <n v="7"/>
    <n v="0"/>
    <n v="0"/>
    <n v="7"/>
    <n v="0"/>
    <n v="0"/>
    <n v="0"/>
    <n v="0"/>
  </r>
  <r>
    <x v="71"/>
    <x v="71"/>
    <x v="4"/>
    <s v="Ceba"/>
    <n v="0"/>
    <n v="0"/>
    <n v="0"/>
    <n v="0"/>
    <n v="1"/>
    <n v="0"/>
    <n v="0"/>
    <n v="1"/>
  </r>
  <r>
    <x v="71"/>
    <x v="71"/>
    <x v="2"/>
    <s v="Pèsol sec"/>
    <n v="13"/>
    <n v="0"/>
    <n v="0"/>
    <n v="13"/>
    <n v="0"/>
    <n v="0"/>
    <n v="0"/>
    <n v="0"/>
  </r>
  <r>
    <x v="71"/>
    <x v="71"/>
    <x v="2"/>
    <s v="Veça"/>
    <n v="10"/>
    <n v="0"/>
    <n v="0"/>
    <n v="10"/>
    <n v="0"/>
    <n v="0"/>
    <n v="0"/>
    <n v="0"/>
  </r>
  <r>
    <x v="72"/>
    <x v="72"/>
    <x v="5"/>
    <s v="Plantes ornamentals"/>
    <n v="0"/>
    <n v="0"/>
    <n v="0"/>
    <n v="0"/>
    <n v="4"/>
    <n v="0"/>
    <n v="0"/>
    <n v="4"/>
  </r>
  <r>
    <x v="72"/>
    <x v="72"/>
    <x v="4"/>
    <s v="Enciam"/>
    <n v="0"/>
    <n v="0"/>
    <n v="0"/>
    <n v="0"/>
    <n v="2"/>
    <n v="0"/>
    <n v="0"/>
    <n v="2"/>
  </r>
  <r>
    <x v="72"/>
    <x v="72"/>
    <x v="4"/>
    <s v="Tomàquet"/>
    <n v="0"/>
    <n v="0"/>
    <n v="0"/>
    <n v="0"/>
    <n v="1"/>
    <n v="0"/>
    <n v="0"/>
    <n v="1"/>
  </r>
  <r>
    <x v="72"/>
    <x v="72"/>
    <x v="4"/>
    <s v="Ceba"/>
    <n v="0"/>
    <n v="0"/>
    <n v="0"/>
    <n v="0"/>
    <n v="1"/>
    <n v="0"/>
    <n v="0"/>
    <n v="1"/>
  </r>
  <r>
    <x v="72"/>
    <x v="72"/>
    <x v="4"/>
    <s v="Fava tendra"/>
    <n v="0"/>
    <n v="0"/>
    <n v="0"/>
    <n v="0"/>
    <n v="5"/>
    <n v="0"/>
    <n v="0"/>
    <n v="5"/>
  </r>
  <r>
    <x v="73"/>
    <x v="73"/>
    <x v="0"/>
    <s v="Blat tou"/>
    <n v="1"/>
    <n v="0"/>
    <n v="0"/>
    <n v="1"/>
    <n v="0"/>
    <n v="0"/>
    <n v="0"/>
    <n v="0"/>
  </r>
  <r>
    <x v="73"/>
    <x v="73"/>
    <x v="0"/>
    <s v="Ordi"/>
    <n v="24"/>
    <n v="0"/>
    <n v="0"/>
    <n v="24"/>
    <n v="0"/>
    <n v="0"/>
    <n v="0"/>
    <n v="0"/>
  </r>
  <r>
    <x v="73"/>
    <x v="73"/>
    <x v="0"/>
    <s v="Civada"/>
    <n v="2"/>
    <n v="0"/>
    <n v="0"/>
    <n v="2"/>
    <n v="0"/>
    <n v="0"/>
    <n v="0"/>
    <n v="0"/>
  </r>
  <r>
    <x v="73"/>
    <x v="73"/>
    <x v="1"/>
    <s v="Cereals d'hivern per a farratge"/>
    <n v="7"/>
    <n v="0"/>
    <n v="0"/>
    <n v="7"/>
    <n v="2"/>
    <n v="0"/>
    <n v="0"/>
    <n v="2"/>
  </r>
  <r>
    <x v="73"/>
    <x v="73"/>
    <x v="1"/>
    <s v="Trepadella"/>
    <n v="2"/>
    <n v="0"/>
    <n v="0"/>
    <n v="2"/>
    <n v="0"/>
    <n v="0"/>
    <n v="0"/>
    <n v="0"/>
  </r>
  <r>
    <x v="73"/>
    <x v="73"/>
    <x v="4"/>
    <s v="Ceba"/>
    <n v="0"/>
    <n v="0"/>
    <n v="0"/>
    <n v="0"/>
    <n v="3"/>
    <n v="0"/>
    <n v="0"/>
    <n v="3"/>
  </r>
  <r>
    <x v="73"/>
    <x v="73"/>
    <x v="2"/>
    <s v="Pèsol sec"/>
    <n v="1"/>
    <n v="0"/>
    <n v="0"/>
    <n v="1"/>
    <n v="0"/>
    <n v="0"/>
    <n v="0"/>
    <n v="0"/>
  </r>
  <r>
    <x v="73"/>
    <x v="73"/>
    <x v="2"/>
    <s v="Fenigrec"/>
    <n v="1"/>
    <n v="0"/>
    <n v="0"/>
    <n v="1"/>
    <n v="0"/>
    <n v="0"/>
    <n v="0"/>
    <n v="0"/>
  </r>
  <r>
    <x v="73"/>
    <x v="73"/>
    <x v="2"/>
    <s v="Erbs"/>
    <n v="2"/>
    <n v="0"/>
    <n v="0"/>
    <n v="2"/>
    <n v="0"/>
    <n v="0"/>
    <n v="0"/>
    <n v="0"/>
  </r>
  <r>
    <x v="73"/>
    <x v="73"/>
    <x v="6"/>
    <s v="Patata d'estació mitjana"/>
    <n v="0"/>
    <n v="0"/>
    <n v="0"/>
    <n v="0"/>
    <n v="3"/>
    <n v="0"/>
    <n v="0"/>
    <n v="3"/>
  </r>
  <r>
    <x v="74"/>
    <x v="74"/>
    <x v="0"/>
    <s v="Ordi"/>
    <n v="3"/>
    <n v="0"/>
    <n v="0"/>
    <n v="3"/>
    <n v="0"/>
    <n v="0"/>
    <n v="0"/>
    <n v="0"/>
  </r>
  <r>
    <x v="74"/>
    <x v="74"/>
    <x v="0"/>
    <s v="Civada"/>
    <n v="11"/>
    <n v="0"/>
    <n v="0"/>
    <n v="11"/>
    <n v="2"/>
    <n v="0"/>
    <n v="0"/>
    <n v="2"/>
  </r>
  <r>
    <x v="74"/>
    <x v="74"/>
    <x v="1"/>
    <s v="Cereals d'hivern per a farratge"/>
    <n v="11"/>
    <n v="0"/>
    <n v="0"/>
    <n v="11"/>
    <n v="2"/>
    <n v="0"/>
    <n v="0"/>
    <n v="2"/>
  </r>
  <r>
    <x v="74"/>
    <x v="74"/>
    <x v="1"/>
    <s v="Raigràs"/>
    <n v="10"/>
    <n v="0"/>
    <n v="0"/>
    <n v="10"/>
    <n v="21"/>
    <n v="0"/>
    <n v="0"/>
    <n v="21"/>
  </r>
  <r>
    <x v="74"/>
    <x v="74"/>
    <x v="1"/>
    <s v="Alfals"/>
    <n v="5"/>
    <n v="0"/>
    <n v="0"/>
    <n v="5"/>
    <n v="2"/>
    <n v="0"/>
    <n v="0"/>
    <n v="2"/>
  </r>
  <r>
    <x v="74"/>
    <x v="74"/>
    <x v="1"/>
    <s v="Associació Veça - Civada farratgeres"/>
    <n v="9"/>
    <n v="0"/>
    <n v="0"/>
    <n v="9"/>
    <n v="1"/>
    <n v="0"/>
    <n v="0"/>
    <n v="1"/>
  </r>
  <r>
    <x v="74"/>
    <x v="74"/>
    <x v="5"/>
    <s v="Plantes ornamentals"/>
    <n v="0"/>
    <n v="0"/>
    <n v="0"/>
    <n v="0"/>
    <n v="4"/>
    <n v="0"/>
    <n v="0"/>
    <n v="4"/>
  </r>
  <r>
    <x v="74"/>
    <x v="74"/>
    <x v="4"/>
    <s v="Col de cabdell"/>
    <n v="0"/>
    <n v="0"/>
    <n v="0"/>
    <n v="0"/>
    <n v="0"/>
    <n v="1"/>
    <n v="0"/>
    <n v="1"/>
  </r>
  <r>
    <x v="74"/>
    <x v="74"/>
    <x v="4"/>
    <s v="Enciam"/>
    <n v="0"/>
    <n v="0"/>
    <n v="0"/>
    <n v="0"/>
    <n v="2"/>
    <n v="2"/>
    <n v="0"/>
    <n v="4"/>
  </r>
  <r>
    <x v="74"/>
    <x v="74"/>
    <x v="4"/>
    <s v="Escarola"/>
    <n v="0"/>
    <n v="0"/>
    <n v="0"/>
    <n v="0"/>
    <n v="0"/>
    <n v="1"/>
    <n v="0"/>
    <n v="1"/>
  </r>
  <r>
    <x v="74"/>
    <x v="74"/>
    <x v="4"/>
    <s v="Espinac"/>
    <n v="0"/>
    <n v="0"/>
    <n v="0"/>
    <n v="0"/>
    <n v="0"/>
    <n v="1"/>
    <n v="0"/>
    <n v="1"/>
  </r>
  <r>
    <x v="74"/>
    <x v="74"/>
    <x v="4"/>
    <s v="Tomàquet"/>
    <n v="0"/>
    <n v="0"/>
    <n v="0"/>
    <n v="0"/>
    <n v="2"/>
    <n v="0"/>
    <n v="0"/>
    <n v="2"/>
  </r>
  <r>
    <x v="74"/>
    <x v="74"/>
    <x v="4"/>
    <s v="Coliflor"/>
    <n v="0"/>
    <n v="0"/>
    <n v="0"/>
    <n v="0"/>
    <n v="1"/>
    <n v="0"/>
    <n v="0"/>
    <n v="1"/>
  </r>
  <r>
    <x v="74"/>
    <x v="74"/>
    <x v="4"/>
    <s v="All"/>
    <n v="0"/>
    <n v="0"/>
    <n v="0"/>
    <n v="0"/>
    <n v="1"/>
    <n v="0"/>
    <n v="0"/>
    <n v="1"/>
  </r>
  <r>
    <x v="74"/>
    <x v="74"/>
    <x v="4"/>
    <s v="Mongeta tendra"/>
    <n v="0"/>
    <n v="0"/>
    <n v="0"/>
    <n v="0"/>
    <n v="1"/>
    <n v="0"/>
    <n v="0"/>
    <n v="1"/>
  </r>
  <r>
    <x v="74"/>
    <x v="74"/>
    <x v="4"/>
    <s v="Fava tendra"/>
    <n v="0"/>
    <n v="0"/>
    <n v="0"/>
    <n v="0"/>
    <n v="1"/>
    <n v="0"/>
    <n v="0"/>
    <n v="1"/>
  </r>
  <r>
    <x v="74"/>
    <x v="74"/>
    <x v="2"/>
    <s v="Veça"/>
    <n v="2"/>
    <n v="0"/>
    <n v="0"/>
    <n v="2"/>
    <n v="0"/>
    <n v="0"/>
    <n v="0"/>
    <n v="0"/>
  </r>
  <r>
    <x v="74"/>
    <x v="74"/>
    <x v="6"/>
    <s v="Patata primerenca"/>
    <n v="0"/>
    <n v="0"/>
    <n v="0"/>
    <n v="0"/>
    <n v="2"/>
    <n v="0"/>
    <n v="0"/>
    <n v="2"/>
  </r>
  <r>
    <x v="74"/>
    <x v="74"/>
    <x v="6"/>
    <s v="Patata tardana"/>
    <n v="0"/>
    <n v="0"/>
    <n v="0"/>
    <n v="0"/>
    <n v="0"/>
    <n v="1"/>
    <n v="0"/>
    <n v="1"/>
  </r>
  <r>
    <x v="75"/>
    <x v="75"/>
    <x v="0"/>
    <s v="Blat tou"/>
    <n v="27"/>
    <n v="0"/>
    <n v="0"/>
    <n v="27"/>
    <n v="0"/>
    <n v="0"/>
    <n v="0"/>
    <n v="0"/>
  </r>
  <r>
    <x v="75"/>
    <x v="75"/>
    <x v="0"/>
    <s v="Ordi"/>
    <n v="37"/>
    <n v="0"/>
    <n v="0"/>
    <n v="37"/>
    <n v="0"/>
    <n v="0"/>
    <n v="0"/>
    <n v="0"/>
  </r>
  <r>
    <x v="75"/>
    <x v="75"/>
    <x v="0"/>
    <s v="Civada"/>
    <n v="3"/>
    <n v="0"/>
    <n v="0"/>
    <n v="3"/>
    <n v="0"/>
    <n v="0"/>
    <n v="0"/>
    <n v="0"/>
  </r>
  <r>
    <x v="75"/>
    <x v="75"/>
    <x v="1"/>
    <s v="Cereals d'hivern per a farratge"/>
    <n v="1"/>
    <n v="0"/>
    <n v="0"/>
    <n v="1"/>
    <n v="0"/>
    <n v="0"/>
    <n v="0"/>
    <n v="0"/>
  </r>
  <r>
    <x v="75"/>
    <x v="75"/>
    <x v="4"/>
    <s v="Ceba"/>
    <n v="0"/>
    <n v="0"/>
    <n v="0"/>
    <n v="0"/>
    <n v="1"/>
    <n v="0"/>
    <n v="0"/>
    <n v="1"/>
  </r>
  <r>
    <x v="75"/>
    <x v="75"/>
    <x v="4"/>
    <s v="Fava tendra"/>
    <n v="0"/>
    <n v="0"/>
    <n v="0"/>
    <n v="0"/>
    <n v="2"/>
    <n v="0"/>
    <n v="0"/>
    <n v="2"/>
  </r>
  <r>
    <x v="76"/>
    <x v="76"/>
    <x v="0"/>
    <s v="Blat tou"/>
    <n v="110"/>
    <n v="0"/>
    <n v="0"/>
    <n v="110"/>
    <n v="0"/>
    <n v="0"/>
    <n v="0"/>
    <n v="0"/>
  </r>
  <r>
    <x v="76"/>
    <x v="76"/>
    <x v="0"/>
    <s v="Ordi"/>
    <n v="350"/>
    <n v="0"/>
    <n v="0"/>
    <n v="350"/>
    <n v="0"/>
    <n v="0"/>
    <n v="0"/>
    <n v="0"/>
  </r>
  <r>
    <x v="76"/>
    <x v="76"/>
    <x v="0"/>
    <s v="Civada"/>
    <n v="49"/>
    <n v="0"/>
    <n v="0"/>
    <n v="49"/>
    <n v="0"/>
    <n v="0"/>
    <n v="0"/>
    <n v="0"/>
  </r>
  <r>
    <x v="76"/>
    <x v="76"/>
    <x v="0"/>
    <s v="Sègol"/>
    <n v="3"/>
    <n v="0"/>
    <n v="0"/>
    <n v="3"/>
    <n v="0"/>
    <n v="0"/>
    <n v="0"/>
    <n v="0"/>
  </r>
  <r>
    <x v="76"/>
    <x v="76"/>
    <x v="0"/>
    <s v="Triticale"/>
    <n v="7"/>
    <n v="0"/>
    <n v="0"/>
    <n v="7"/>
    <n v="0"/>
    <n v="0"/>
    <n v="0"/>
    <n v="0"/>
  </r>
  <r>
    <x v="76"/>
    <x v="76"/>
    <x v="0"/>
    <s v="Espelta"/>
    <n v="13"/>
    <n v="0"/>
    <n v="0"/>
    <n v="13"/>
    <n v="0"/>
    <n v="0"/>
    <n v="0"/>
    <n v="0"/>
  </r>
  <r>
    <x v="76"/>
    <x v="76"/>
    <x v="0"/>
    <s v="Fajol"/>
    <n v="2"/>
    <n v="0"/>
    <n v="0"/>
    <n v="2"/>
    <n v="0"/>
    <n v="0"/>
    <n v="0"/>
    <n v="0"/>
  </r>
  <r>
    <x v="76"/>
    <x v="76"/>
    <x v="1"/>
    <s v="Cereals d'hivern per a farratge"/>
    <n v="49"/>
    <n v="0"/>
    <n v="0"/>
    <n v="49"/>
    <n v="0"/>
    <n v="0"/>
    <n v="0"/>
    <n v="0"/>
  </r>
  <r>
    <x v="76"/>
    <x v="76"/>
    <x v="1"/>
    <s v="Sorgo farratger"/>
    <n v="8"/>
    <n v="44"/>
    <n v="0"/>
    <n v="52"/>
    <n v="0"/>
    <n v="0"/>
    <n v="0"/>
    <n v="0"/>
  </r>
  <r>
    <x v="76"/>
    <x v="76"/>
    <x v="1"/>
    <s v="Raigràs"/>
    <n v="238"/>
    <n v="0"/>
    <n v="0"/>
    <n v="238"/>
    <n v="0"/>
    <n v="0"/>
    <n v="0"/>
    <n v="0"/>
  </r>
  <r>
    <x v="76"/>
    <x v="76"/>
    <x v="1"/>
    <s v="Alfals"/>
    <n v="27"/>
    <n v="0"/>
    <n v="0"/>
    <n v="27"/>
    <n v="0"/>
    <n v="0"/>
    <n v="0"/>
    <n v="0"/>
  </r>
  <r>
    <x v="76"/>
    <x v="76"/>
    <x v="1"/>
    <s v="Trepadella"/>
    <n v="14"/>
    <n v="0"/>
    <n v="0"/>
    <n v="14"/>
    <n v="0"/>
    <n v="0"/>
    <n v="0"/>
    <n v="0"/>
  </r>
  <r>
    <x v="76"/>
    <x v="76"/>
    <x v="1"/>
    <s v="Associació Veça - Civada farratgeres"/>
    <n v="11"/>
    <n v="0"/>
    <n v="0"/>
    <n v="11"/>
    <n v="0"/>
    <n v="0"/>
    <n v="0"/>
    <n v="0"/>
  </r>
  <r>
    <x v="76"/>
    <x v="76"/>
    <x v="3"/>
    <s v="Gira-sol"/>
    <n v="9"/>
    <n v="0"/>
    <n v="0"/>
    <n v="9"/>
    <n v="0"/>
    <n v="0"/>
    <n v="0"/>
    <n v="0"/>
  </r>
  <r>
    <x v="76"/>
    <x v="76"/>
    <x v="3"/>
    <s v="Altres conreus industrials"/>
    <n v="1"/>
    <n v="0"/>
    <n v="0"/>
    <n v="1"/>
    <n v="0"/>
    <n v="0"/>
    <n v="0"/>
    <n v="0"/>
  </r>
  <r>
    <x v="76"/>
    <x v="76"/>
    <x v="3"/>
    <s v="Lavanda"/>
    <n v="1"/>
    <n v="0"/>
    <n v="0"/>
    <n v="1"/>
    <n v="0"/>
    <n v="0"/>
    <n v="0"/>
    <n v="0"/>
  </r>
  <r>
    <x v="76"/>
    <x v="76"/>
    <x v="3"/>
    <s v="Camelina"/>
    <n v="1"/>
    <n v="0"/>
    <n v="0"/>
    <n v="1"/>
    <n v="0"/>
    <n v="0"/>
    <n v="0"/>
    <n v="0"/>
  </r>
  <r>
    <x v="76"/>
    <x v="76"/>
    <x v="2"/>
    <s v="Fava seca"/>
    <n v="1"/>
    <n v="0"/>
    <n v="0"/>
    <n v="1"/>
    <n v="0"/>
    <n v="0"/>
    <n v="0"/>
    <n v="0"/>
  </r>
  <r>
    <x v="76"/>
    <x v="76"/>
    <x v="2"/>
    <s v="Veça"/>
    <n v="4"/>
    <n v="0"/>
    <n v="0"/>
    <n v="4"/>
    <n v="0"/>
    <n v="0"/>
    <n v="0"/>
    <n v="0"/>
  </r>
  <r>
    <x v="76"/>
    <x v="76"/>
    <x v="2"/>
    <s v="Erbs"/>
    <n v="6"/>
    <n v="0"/>
    <n v="0"/>
    <n v="6"/>
    <n v="0"/>
    <n v="0"/>
    <n v="0"/>
    <n v="0"/>
  </r>
  <r>
    <x v="76"/>
    <x v="76"/>
    <x v="2"/>
    <s v="Favó"/>
    <n v="1"/>
    <n v="0"/>
    <n v="0"/>
    <n v="1"/>
    <n v="0"/>
    <n v="0"/>
    <n v="0"/>
    <n v="0"/>
  </r>
  <r>
    <x v="77"/>
    <x v="77"/>
    <x v="0"/>
    <s v="Blat tou"/>
    <n v="19"/>
    <n v="0"/>
    <n v="0"/>
    <n v="19"/>
    <n v="0"/>
    <n v="0"/>
    <n v="0"/>
    <n v="0"/>
  </r>
  <r>
    <x v="77"/>
    <x v="77"/>
    <x v="0"/>
    <s v="Ordi"/>
    <n v="16"/>
    <n v="0"/>
    <n v="0"/>
    <n v="16"/>
    <n v="0"/>
    <n v="0"/>
    <n v="0"/>
    <n v="0"/>
  </r>
  <r>
    <x v="77"/>
    <x v="77"/>
    <x v="0"/>
    <s v="Civada"/>
    <n v="2"/>
    <n v="0"/>
    <n v="0"/>
    <n v="2"/>
    <n v="0"/>
    <n v="0"/>
    <n v="0"/>
    <n v="0"/>
  </r>
  <r>
    <x v="77"/>
    <x v="77"/>
    <x v="0"/>
    <s v="Blat dur"/>
    <n v="4"/>
    <n v="0"/>
    <n v="0"/>
    <n v="4"/>
    <n v="0"/>
    <n v="0"/>
    <n v="0"/>
    <n v="0"/>
  </r>
  <r>
    <x v="77"/>
    <x v="77"/>
    <x v="1"/>
    <s v="Cereals d'hivern per a farratge"/>
    <n v="9"/>
    <n v="0"/>
    <n v="0"/>
    <n v="9"/>
    <n v="0"/>
    <n v="0"/>
    <n v="0"/>
    <n v="0"/>
  </r>
  <r>
    <x v="77"/>
    <x v="77"/>
    <x v="1"/>
    <s v="Raigràs"/>
    <n v="6"/>
    <n v="0"/>
    <n v="0"/>
    <n v="6"/>
    <n v="0"/>
    <n v="0"/>
    <n v="0"/>
    <n v="0"/>
  </r>
  <r>
    <x v="77"/>
    <x v="77"/>
    <x v="1"/>
    <s v="Alfals"/>
    <n v="5"/>
    <n v="0"/>
    <n v="0"/>
    <n v="5"/>
    <n v="0"/>
    <n v="0"/>
    <n v="0"/>
    <n v="0"/>
  </r>
  <r>
    <x v="77"/>
    <x v="77"/>
    <x v="1"/>
    <s v="Trepadella"/>
    <n v="10"/>
    <n v="0"/>
    <n v="0"/>
    <n v="10"/>
    <n v="0"/>
    <n v="0"/>
    <n v="0"/>
    <n v="0"/>
  </r>
  <r>
    <x v="77"/>
    <x v="77"/>
    <x v="1"/>
    <s v="Praderes polifites"/>
    <n v="16"/>
    <n v="0"/>
    <n v="0"/>
    <n v="16"/>
    <n v="0"/>
    <n v="0"/>
    <n v="0"/>
    <n v="0"/>
  </r>
  <r>
    <x v="77"/>
    <x v="77"/>
    <x v="1"/>
    <s v="Associació Veça - Civada farratgeres"/>
    <n v="1"/>
    <n v="0"/>
    <n v="0"/>
    <n v="1"/>
    <n v="0"/>
    <n v="0"/>
    <n v="0"/>
    <n v="0"/>
  </r>
  <r>
    <x v="77"/>
    <x v="77"/>
    <x v="3"/>
    <s v="Colza"/>
    <n v="8"/>
    <n v="0"/>
    <n v="0"/>
    <n v="8"/>
    <n v="0"/>
    <n v="0"/>
    <n v="0"/>
    <n v="0"/>
  </r>
  <r>
    <x v="78"/>
    <x v="78"/>
    <x v="0"/>
    <s v="Ordi"/>
    <n v="2"/>
    <n v="0"/>
    <n v="0"/>
    <n v="2"/>
    <n v="0"/>
    <n v="0"/>
    <n v="0"/>
    <n v="0"/>
  </r>
  <r>
    <x v="78"/>
    <x v="78"/>
    <x v="0"/>
    <s v="Civada"/>
    <n v="1"/>
    <n v="0"/>
    <n v="0"/>
    <n v="1"/>
    <n v="0"/>
    <n v="0"/>
    <n v="0"/>
    <n v="0"/>
  </r>
  <r>
    <x v="78"/>
    <x v="78"/>
    <x v="1"/>
    <s v="Cereals d'hivern per a farratge"/>
    <n v="5"/>
    <n v="0"/>
    <n v="0"/>
    <n v="5"/>
    <n v="0"/>
    <n v="0"/>
    <n v="0"/>
    <n v="0"/>
  </r>
  <r>
    <x v="78"/>
    <x v="78"/>
    <x v="1"/>
    <s v="Raigràs"/>
    <n v="2"/>
    <n v="0"/>
    <n v="0"/>
    <n v="2"/>
    <n v="0"/>
    <n v="0"/>
    <n v="0"/>
    <n v="0"/>
  </r>
  <r>
    <x v="78"/>
    <x v="78"/>
    <x v="1"/>
    <s v="Alfals"/>
    <n v="11"/>
    <n v="0"/>
    <n v="0"/>
    <n v="11"/>
    <n v="0"/>
    <n v="0"/>
    <n v="0"/>
    <n v="0"/>
  </r>
  <r>
    <x v="78"/>
    <x v="78"/>
    <x v="1"/>
    <s v="Festuca"/>
    <n v="1"/>
    <n v="0"/>
    <n v="0"/>
    <n v="1"/>
    <n v="0"/>
    <n v="0"/>
    <n v="0"/>
    <n v="0"/>
  </r>
  <r>
    <x v="79"/>
    <x v="79"/>
    <x v="0"/>
    <s v="Blat tou"/>
    <n v="3"/>
    <n v="0"/>
    <n v="0"/>
    <n v="3"/>
    <n v="1"/>
    <n v="0"/>
    <n v="0"/>
    <n v="1"/>
  </r>
  <r>
    <x v="79"/>
    <x v="79"/>
    <x v="0"/>
    <s v="Ordi"/>
    <n v="28"/>
    <n v="0"/>
    <n v="0"/>
    <n v="28"/>
    <n v="20"/>
    <n v="0"/>
    <n v="0"/>
    <n v="20"/>
  </r>
  <r>
    <x v="79"/>
    <x v="79"/>
    <x v="0"/>
    <s v="Civada"/>
    <n v="3"/>
    <n v="0"/>
    <n v="0"/>
    <n v="3"/>
    <n v="1"/>
    <n v="0"/>
    <n v="0"/>
    <n v="1"/>
  </r>
  <r>
    <x v="79"/>
    <x v="79"/>
    <x v="0"/>
    <s v="Triticale"/>
    <n v="2"/>
    <n v="0"/>
    <n v="0"/>
    <n v="2"/>
    <n v="0"/>
    <n v="0"/>
    <n v="0"/>
    <n v="0"/>
  </r>
  <r>
    <x v="79"/>
    <x v="79"/>
    <x v="1"/>
    <s v="Cereals d'hivern per a farratge"/>
    <n v="15"/>
    <n v="0"/>
    <n v="0"/>
    <n v="15"/>
    <n v="10"/>
    <n v="0"/>
    <n v="0"/>
    <n v="10"/>
  </r>
  <r>
    <x v="79"/>
    <x v="79"/>
    <x v="1"/>
    <s v="Raigràs"/>
    <n v="18"/>
    <n v="0"/>
    <n v="0"/>
    <n v="18"/>
    <n v="4"/>
    <n v="0"/>
    <n v="0"/>
    <n v="4"/>
  </r>
  <r>
    <x v="79"/>
    <x v="79"/>
    <x v="1"/>
    <s v="Alfals"/>
    <n v="27"/>
    <n v="0"/>
    <n v="0"/>
    <n v="27"/>
    <n v="0"/>
    <n v="0"/>
    <n v="0"/>
    <n v="0"/>
  </r>
  <r>
    <x v="79"/>
    <x v="79"/>
    <x v="1"/>
    <s v="Associació Veça - Civada farratgeres"/>
    <n v="1"/>
    <n v="0"/>
    <n v="0"/>
    <n v="1"/>
    <n v="6"/>
    <n v="0"/>
    <n v="0"/>
    <n v="6"/>
  </r>
  <r>
    <x v="79"/>
    <x v="79"/>
    <x v="3"/>
    <s v="Colza"/>
    <n v="13"/>
    <n v="0"/>
    <n v="0"/>
    <n v="13"/>
    <n v="4"/>
    <n v="0"/>
    <n v="0"/>
    <n v="4"/>
  </r>
  <r>
    <x v="79"/>
    <x v="79"/>
    <x v="5"/>
    <s v="Plantes ornamentals"/>
    <n v="0"/>
    <n v="0"/>
    <n v="0"/>
    <n v="0"/>
    <n v="1"/>
    <n v="0"/>
    <n v="0"/>
    <n v="1"/>
  </r>
  <r>
    <x v="79"/>
    <x v="79"/>
    <x v="2"/>
    <s v="Mongeta seca"/>
    <n v="0"/>
    <n v="0"/>
    <n v="0"/>
    <n v="0"/>
    <n v="1"/>
    <n v="0"/>
    <n v="0"/>
    <n v="1"/>
  </r>
  <r>
    <x v="79"/>
    <x v="79"/>
    <x v="2"/>
    <s v="Favó"/>
    <n v="4"/>
    <n v="0"/>
    <n v="0"/>
    <n v="4"/>
    <n v="7"/>
    <n v="0"/>
    <n v="0"/>
    <n v="7"/>
  </r>
  <r>
    <x v="79"/>
    <x v="79"/>
    <x v="6"/>
    <s v="Patata d'estació mitjana"/>
    <n v="0"/>
    <n v="0"/>
    <n v="0"/>
    <n v="0"/>
    <n v="4"/>
    <n v="0"/>
    <n v="0"/>
    <n v="4"/>
  </r>
  <r>
    <x v="80"/>
    <x v="80"/>
    <x v="0"/>
    <s v="Blat tou"/>
    <n v="5"/>
    <n v="0"/>
    <n v="0"/>
    <n v="5"/>
    <n v="0"/>
    <n v="0"/>
    <n v="0"/>
    <n v="0"/>
  </r>
  <r>
    <x v="80"/>
    <x v="80"/>
    <x v="0"/>
    <s v="Ordi"/>
    <n v="9"/>
    <n v="0"/>
    <n v="0"/>
    <n v="9"/>
    <n v="4"/>
    <n v="0"/>
    <n v="0"/>
    <n v="4"/>
  </r>
  <r>
    <x v="80"/>
    <x v="80"/>
    <x v="0"/>
    <s v="Blat de moro"/>
    <n v="0"/>
    <n v="0"/>
    <n v="0"/>
    <n v="0"/>
    <n v="1"/>
    <n v="0"/>
    <n v="0"/>
    <n v="1"/>
  </r>
  <r>
    <x v="80"/>
    <x v="80"/>
    <x v="1"/>
    <s v="Cereals d'hivern per a farratge"/>
    <n v="2"/>
    <n v="0"/>
    <n v="0"/>
    <n v="2"/>
    <n v="1"/>
    <n v="0"/>
    <n v="0"/>
    <n v="1"/>
  </r>
  <r>
    <x v="80"/>
    <x v="80"/>
    <x v="1"/>
    <s v="Blat de moro farratger"/>
    <n v="0"/>
    <n v="0"/>
    <n v="0"/>
    <n v="0"/>
    <n v="3"/>
    <n v="0"/>
    <n v="0"/>
    <n v="3"/>
  </r>
  <r>
    <x v="80"/>
    <x v="80"/>
    <x v="1"/>
    <s v="Sorgo farratger"/>
    <n v="4"/>
    <n v="0"/>
    <n v="0"/>
    <n v="4"/>
    <n v="6"/>
    <n v="0"/>
    <n v="0"/>
    <n v="6"/>
  </r>
  <r>
    <x v="80"/>
    <x v="80"/>
    <x v="1"/>
    <s v="Raigràs"/>
    <n v="5"/>
    <n v="0"/>
    <n v="0"/>
    <n v="5"/>
    <n v="3"/>
    <n v="0"/>
    <n v="0"/>
    <n v="3"/>
  </r>
  <r>
    <x v="80"/>
    <x v="80"/>
    <x v="1"/>
    <s v="Alfals"/>
    <n v="1"/>
    <n v="0"/>
    <n v="0"/>
    <n v="1"/>
    <n v="0"/>
    <n v="0"/>
    <n v="0"/>
    <n v="0"/>
  </r>
  <r>
    <x v="80"/>
    <x v="80"/>
    <x v="5"/>
    <s v="Plantes ornamentals"/>
    <n v="0"/>
    <n v="0"/>
    <n v="0"/>
    <n v="0"/>
    <n v="2"/>
    <n v="0"/>
    <n v="0"/>
    <n v="2"/>
  </r>
  <r>
    <x v="81"/>
    <x v="81"/>
    <x v="0"/>
    <s v="Blat tou"/>
    <n v="198"/>
    <n v="0"/>
    <n v="0"/>
    <n v="198"/>
    <n v="7"/>
    <n v="0"/>
    <n v="0"/>
    <n v="7"/>
  </r>
  <r>
    <x v="81"/>
    <x v="81"/>
    <x v="0"/>
    <s v="Ordi"/>
    <n v="175"/>
    <n v="0"/>
    <n v="0"/>
    <n v="175"/>
    <n v="4"/>
    <n v="0"/>
    <n v="0"/>
    <n v="4"/>
  </r>
  <r>
    <x v="81"/>
    <x v="81"/>
    <x v="0"/>
    <s v="Triticale"/>
    <n v="1"/>
    <n v="0"/>
    <n v="0"/>
    <n v="1"/>
    <n v="0"/>
    <n v="0"/>
    <n v="0"/>
    <n v="0"/>
  </r>
  <r>
    <x v="81"/>
    <x v="81"/>
    <x v="0"/>
    <s v="Blat de moro"/>
    <n v="3"/>
    <n v="2"/>
    <n v="0"/>
    <n v="5"/>
    <n v="0"/>
    <n v="0"/>
    <n v="0"/>
    <n v="0"/>
  </r>
  <r>
    <x v="81"/>
    <x v="81"/>
    <x v="1"/>
    <s v="Cereals d'hivern per a farratge"/>
    <n v="7"/>
    <n v="0"/>
    <n v="0"/>
    <n v="7"/>
    <n v="0"/>
    <n v="0"/>
    <n v="0"/>
    <n v="0"/>
  </r>
  <r>
    <x v="81"/>
    <x v="81"/>
    <x v="1"/>
    <s v="Blat de moro farratger"/>
    <n v="23"/>
    <n v="16"/>
    <n v="0"/>
    <n v="39"/>
    <n v="0"/>
    <n v="0"/>
    <n v="0"/>
    <n v="0"/>
  </r>
  <r>
    <x v="81"/>
    <x v="81"/>
    <x v="1"/>
    <s v="Sorgo farratger"/>
    <n v="10"/>
    <n v="42"/>
    <n v="0"/>
    <n v="52"/>
    <n v="0"/>
    <n v="0"/>
    <n v="0"/>
    <n v="0"/>
  </r>
  <r>
    <x v="81"/>
    <x v="81"/>
    <x v="1"/>
    <s v="Raigràs"/>
    <n v="35"/>
    <n v="0"/>
    <n v="0"/>
    <n v="35"/>
    <n v="0"/>
    <n v="0"/>
    <n v="0"/>
    <n v="0"/>
  </r>
  <r>
    <x v="81"/>
    <x v="81"/>
    <x v="1"/>
    <s v="Alfals"/>
    <n v="13"/>
    <n v="0"/>
    <n v="0"/>
    <n v="13"/>
    <n v="0"/>
    <n v="0"/>
    <n v="0"/>
    <n v="0"/>
  </r>
  <r>
    <x v="81"/>
    <x v="81"/>
    <x v="1"/>
    <s v="Praderes polifites"/>
    <n v="22"/>
    <n v="0"/>
    <n v="0"/>
    <n v="22"/>
    <n v="0"/>
    <n v="0"/>
    <n v="0"/>
    <n v="0"/>
  </r>
  <r>
    <x v="81"/>
    <x v="81"/>
    <x v="1"/>
    <s v="Associació Veça - Civada farratgeres"/>
    <n v="3"/>
    <n v="0"/>
    <n v="0"/>
    <n v="3"/>
    <n v="0"/>
    <n v="0"/>
    <n v="0"/>
    <n v="0"/>
  </r>
  <r>
    <x v="81"/>
    <x v="81"/>
    <x v="3"/>
    <s v="Gira-sol"/>
    <n v="4"/>
    <n v="0"/>
    <n v="0"/>
    <n v="4"/>
    <n v="0"/>
    <n v="0"/>
    <n v="0"/>
    <n v="0"/>
  </r>
  <r>
    <x v="81"/>
    <x v="81"/>
    <x v="3"/>
    <s v="Colza"/>
    <n v="11"/>
    <n v="0"/>
    <n v="0"/>
    <n v="11"/>
    <n v="0"/>
    <n v="0"/>
    <n v="0"/>
    <n v="0"/>
  </r>
  <r>
    <x v="81"/>
    <x v="81"/>
    <x v="4"/>
    <s v="Enciam"/>
    <n v="0"/>
    <n v="0"/>
    <n v="0"/>
    <n v="0"/>
    <n v="1"/>
    <n v="0"/>
    <n v="0"/>
    <n v="1"/>
  </r>
  <r>
    <x v="81"/>
    <x v="81"/>
    <x v="2"/>
    <s v="Pèsol sec"/>
    <n v="15"/>
    <n v="0"/>
    <n v="0"/>
    <n v="15"/>
    <n v="0"/>
    <n v="0"/>
    <n v="0"/>
    <n v="0"/>
  </r>
  <r>
    <x v="81"/>
    <x v="81"/>
    <x v="2"/>
    <s v="Veça"/>
    <n v="3"/>
    <n v="0"/>
    <n v="0"/>
    <n v="3"/>
    <n v="0"/>
    <n v="0"/>
    <n v="0"/>
    <n v="0"/>
  </r>
  <r>
    <x v="81"/>
    <x v="81"/>
    <x v="6"/>
    <s v="Patata d'estació mitjana"/>
    <n v="1"/>
    <n v="0"/>
    <n v="0"/>
    <n v="1"/>
    <n v="0"/>
    <n v="0"/>
    <n v="0"/>
    <n v="0"/>
  </r>
  <r>
    <x v="82"/>
    <x v="82"/>
    <x v="0"/>
    <s v="Blat tou"/>
    <n v="283"/>
    <n v="0"/>
    <n v="0"/>
    <n v="283"/>
    <n v="0"/>
    <n v="0"/>
    <n v="0"/>
    <n v="0"/>
  </r>
  <r>
    <x v="82"/>
    <x v="82"/>
    <x v="0"/>
    <s v="Ordi"/>
    <n v="887"/>
    <n v="0"/>
    <n v="0"/>
    <n v="887"/>
    <n v="4"/>
    <n v="0"/>
    <n v="0"/>
    <n v="4"/>
  </r>
  <r>
    <x v="82"/>
    <x v="82"/>
    <x v="0"/>
    <s v="Civada"/>
    <n v="12"/>
    <n v="0"/>
    <n v="0"/>
    <n v="12"/>
    <n v="0"/>
    <n v="0"/>
    <n v="0"/>
    <n v="0"/>
  </r>
  <r>
    <x v="82"/>
    <x v="82"/>
    <x v="0"/>
    <s v="Sègol"/>
    <n v="6"/>
    <n v="0"/>
    <n v="0"/>
    <n v="6"/>
    <n v="0"/>
    <n v="0"/>
    <n v="0"/>
    <n v="0"/>
  </r>
  <r>
    <x v="82"/>
    <x v="82"/>
    <x v="0"/>
    <s v="Triticale"/>
    <n v="1"/>
    <n v="0"/>
    <n v="0"/>
    <n v="1"/>
    <n v="0"/>
    <n v="0"/>
    <n v="0"/>
    <n v="0"/>
  </r>
  <r>
    <x v="82"/>
    <x v="82"/>
    <x v="0"/>
    <s v="Blat de moro"/>
    <n v="0"/>
    <n v="7"/>
    <n v="0"/>
    <n v="7"/>
    <n v="0"/>
    <n v="0"/>
    <n v="0"/>
    <n v="0"/>
  </r>
  <r>
    <x v="82"/>
    <x v="82"/>
    <x v="0"/>
    <s v="Espelta"/>
    <n v="1"/>
    <n v="0"/>
    <n v="0"/>
    <n v="1"/>
    <n v="0"/>
    <n v="0"/>
    <n v="0"/>
    <n v="0"/>
  </r>
  <r>
    <x v="82"/>
    <x v="82"/>
    <x v="1"/>
    <s v="Cereals d'hivern per a farratge"/>
    <n v="50"/>
    <n v="0"/>
    <n v="0"/>
    <n v="50"/>
    <n v="2"/>
    <n v="0"/>
    <n v="0"/>
    <n v="2"/>
  </r>
  <r>
    <x v="82"/>
    <x v="82"/>
    <x v="1"/>
    <s v="Blat de moro farratger"/>
    <n v="0"/>
    <n v="27"/>
    <n v="0"/>
    <n v="27"/>
    <n v="0"/>
    <n v="0"/>
    <n v="0"/>
    <n v="0"/>
  </r>
  <r>
    <x v="82"/>
    <x v="82"/>
    <x v="1"/>
    <s v="Raigràs"/>
    <n v="14"/>
    <n v="0"/>
    <n v="0"/>
    <n v="14"/>
    <n v="0"/>
    <n v="0"/>
    <n v="0"/>
    <n v="0"/>
  </r>
  <r>
    <x v="82"/>
    <x v="82"/>
    <x v="1"/>
    <s v="Alfals"/>
    <n v="44"/>
    <n v="0"/>
    <n v="0"/>
    <n v="44"/>
    <n v="2"/>
    <n v="0"/>
    <n v="0"/>
    <n v="2"/>
  </r>
  <r>
    <x v="82"/>
    <x v="82"/>
    <x v="1"/>
    <s v="Praderes polifites"/>
    <n v="11"/>
    <n v="0"/>
    <n v="0"/>
    <n v="11"/>
    <n v="0"/>
    <n v="0"/>
    <n v="0"/>
    <n v="0"/>
  </r>
  <r>
    <x v="82"/>
    <x v="82"/>
    <x v="1"/>
    <s v="Associació Veça - Civada farratgeres"/>
    <n v="23"/>
    <n v="0"/>
    <n v="0"/>
    <n v="23"/>
    <n v="11"/>
    <n v="0"/>
    <n v="0"/>
    <n v="11"/>
  </r>
  <r>
    <x v="82"/>
    <x v="82"/>
    <x v="3"/>
    <s v="Colza"/>
    <n v="60"/>
    <n v="0"/>
    <n v="0"/>
    <n v="60"/>
    <n v="0"/>
    <n v="0"/>
    <n v="0"/>
    <n v="0"/>
  </r>
  <r>
    <x v="82"/>
    <x v="82"/>
    <x v="3"/>
    <s v="Camelina"/>
    <n v="11"/>
    <n v="0"/>
    <n v="0"/>
    <n v="11"/>
    <n v="0"/>
    <n v="0"/>
    <n v="0"/>
    <n v="0"/>
  </r>
  <r>
    <x v="82"/>
    <x v="82"/>
    <x v="4"/>
    <s v="Enciam"/>
    <n v="0"/>
    <n v="0"/>
    <n v="0"/>
    <n v="0"/>
    <n v="1"/>
    <n v="0"/>
    <n v="0"/>
    <n v="1"/>
  </r>
  <r>
    <x v="82"/>
    <x v="82"/>
    <x v="4"/>
    <s v="Fava tendra"/>
    <n v="0"/>
    <n v="0"/>
    <n v="0"/>
    <n v="0"/>
    <n v="1"/>
    <n v="0"/>
    <n v="0"/>
    <n v="1"/>
  </r>
  <r>
    <x v="82"/>
    <x v="82"/>
    <x v="2"/>
    <s v="Fava seca"/>
    <n v="7"/>
    <n v="0"/>
    <n v="0"/>
    <n v="7"/>
    <n v="0"/>
    <n v="0"/>
    <n v="0"/>
    <n v="0"/>
  </r>
  <r>
    <x v="82"/>
    <x v="82"/>
    <x v="2"/>
    <s v="Pèsol sec"/>
    <n v="16"/>
    <n v="0"/>
    <n v="0"/>
    <n v="16"/>
    <n v="0"/>
    <n v="0"/>
    <n v="0"/>
    <n v="0"/>
  </r>
  <r>
    <x v="82"/>
    <x v="82"/>
    <x v="2"/>
    <s v="Veça"/>
    <n v="13"/>
    <n v="0"/>
    <n v="0"/>
    <n v="13"/>
    <n v="0"/>
    <n v="0"/>
    <n v="0"/>
    <n v="0"/>
  </r>
  <r>
    <x v="82"/>
    <x v="82"/>
    <x v="2"/>
    <s v="Erbs"/>
    <n v="6"/>
    <n v="0"/>
    <n v="0"/>
    <n v="6"/>
    <n v="0"/>
    <n v="0"/>
    <n v="0"/>
    <n v="0"/>
  </r>
  <r>
    <x v="82"/>
    <x v="82"/>
    <x v="2"/>
    <s v="Favó"/>
    <n v="7"/>
    <n v="0"/>
    <n v="0"/>
    <n v="7"/>
    <n v="0"/>
    <n v="0"/>
    <n v="0"/>
    <n v="0"/>
  </r>
  <r>
    <x v="83"/>
    <x v="83"/>
    <x v="0"/>
    <s v="Blat tou"/>
    <n v="20"/>
    <n v="0"/>
    <n v="0"/>
    <n v="20"/>
    <n v="0"/>
    <n v="0"/>
    <n v="0"/>
    <n v="0"/>
  </r>
  <r>
    <x v="83"/>
    <x v="83"/>
    <x v="0"/>
    <s v="Ordi"/>
    <n v="85"/>
    <n v="0"/>
    <n v="0"/>
    <n v="85"/>
    <n v="0"/>
    <n v="0"/>
    <n v="0"/>
    <n v="0"/>
  </r>
  <r>
    <x v="83"/>
    <x v="83"/>
    <x v="0"/>
    <s v="Civada"/>
    <n v="26"/>
    <n v="0"/>
    <n v="0"/>
    <n v="26"/>
    <n v="0"/>
    <n v="0"/>
    <n v="0"/>
    <n v="0"/>
  </r>
  <r>
    <x v="83"/>
    <x v="83"/>
    <x v="0"/>
    <s v="Blat dur"/>
    <n v="8"/>
    <n v="0"/>
    <n v="0"/>
    <n v="8"/>
    <n v="0"/>
    <n v="0"/>
    <n v="0"/>
    <n v="0"/>
  </r>
  <r>
    <x v="83"/>
    <x v="83"/>
    <x v="1"/>
    <s v="Alfals"/>
    <n v="3"/>
    <n v="0"/>
    <n v="0"/>
    <n v="3"/>
    <n v="0"/>
    <n v="0"/>
    <n v="0"/>
    <n v="0"/>
  </r>
  <r>
    <x v="83"/>
    <x v="83"/>
    <x v="1"/>
    <s v="Associació Veça - Civada farratgeres"/>
    <n v="10"/>
    <n v="0"/>
    <n v="0"/>
    <n v="10"/>
    <n v="0"/>
    <n v="0"/>
    <n v="0"/>
    <n v="0"/>
  </r>
  <r>
    <x v="83"/>
    <x v="83"/>
    <x v="3"/>
    <s v="Colza"/>
    <n v="4"/>
    <n v="0"/>
    <n v="0"/>
    <n v="4"/>
    <n v="0"/>
    <n v="0"/>
    <n v="0"/>
    <n v="0"/>
  </r>
  <r>
    <x v="83"/>
    <x v="83"/>
    <x v="4"/>
    <s v="Bleda"/>
    <n v="1"/>
    <n v="0"/>
    <n v="0"/>
    <n v="1"/>
    <n v="0"/>
    <n v="0"/>
    <n v="0"/>
    <n v="0"/>
  </r>
  <r>
    <x v="83"/>
    <x v="83"/>
    <x v="4"/>
    <s v="Meló"/>
    <n v="4"/>
    <n v="0"/>
    <n v="0"/>
    <n v="4"/>
    <n v="0"/>
    <n v="0"/>
    <n v="0"/>
    <n v="0"/>
  </r>
  <r>
    <x v="83"/>
    <x v="83"/>
    <x v="4"/>
    <s v="Tomàquet"/>
    <n v="3"/>
    <n v="0"/>
    <n v="0"/>
    <n v="3"/>
    <n v="0"/>
    <n v="0"/>
    <n v="0"/>
    <n v="0"/>
  </r>
  <r>
    <x v="83"/>
    <x v="83"/>
    <x v="4"/>
    <s v="Pebrot"/>
    <n v="2"/>
    <n v="0"/>
    <n v="0"/>
    <n v="2"/>
    <n v="0"/>
    <n v="0"/>
    <n v="0"/>
    <n v="0"/>
  </r>
  <r>
    <x v="83"/>
    <x v="83"/>
    <x v="2"/>
    <s v="Fava seca"/>
    <n v="2"/>
    <n v="0"/>
    <n v="0"/>
    <n v="2"/>
    <n v="0"/>
    <n v="0"/>
    <n v="0"/>
    <n v="0"/>
  </r>
  <r>
    <x v="83"/>
    <x v="83"/>
    <x v="2"/>
    <s v="Cigró"/>
    <n v="1"/>
    <n v="0"/>
    <n v="0"/>
    <n v="1"/>
    <n v="0"/>
    <n v="0"/>
    <n v="0"/>
    <n v="0"/>
  </r>
  <r>
    <x v="83"/>
    <x v="83"/>
    <x v="2"/>
    <s v="Veça"/>
    <n v="3"/>
    <n v="0"/>
    <n v="0"/>
    <n v="3"/>
    <n v="0"/>
    <n v="0"/>
    <n v="0"/>
    <n v="0"/>
  </r>
  <r>
    <x v="83"/>
    <x v="83"/>
    <x v="6"/>
    <s v="Patata d'estació mitjana"/>
    <n v="3"/>
    <n v="0"/>
    <n v="0"/>
    <n v="3"/>
    <n v="0"/>
    <n v="0"/>
    <n v="0"/>
    <n v="0"/>
  </r>
  <r>
    <x v="84"/>
    <x v="84"/>
    <x v="0"/>
    <s v="Blat tou"/>
    <n v="146"/>
    <n v="0"/>
    <n v="0"/>
    <n v="146"/>
    <n v="50"/>
    <n v="0"/>
    <n v="0"/>
    <n v="50"/>
  </r>
  <r>
    <x v="84"/>
    <x v="84"/>
    <x v="0"/>
    <s v="Ordi"/>
    <n v="299"/>
    <n v="0"/>
    <n v="0"/>
    <n v="299"/>
    <n v="109"/>
    <n v="0"/>
    <n v="0"/>
    <n v="109"/>
  </r>
  <r>
    <x v="84"/>
    <x v="84"/>
    <x v="0"/>
    <s v="Civada"/>
    <n v="11"/>
    <n v="0"/>
    <n v="0"/>
    <n v="11"/>
    <n v="1"/>
    <n v="0"/>
    <n v="0"/>
    <n v="1"/>
  </r>
  <r>
    <x v="84"/>
    <x v="84"/>
    <x v="0"/>
    <s v="Triticale"/>
    <n v="19"/>
    <n v="0"/>
    <n v="0"/>
    <n v="19"/>
    <n v="17"/>
    <n v="0"/>
    <n v="0"/>
    <n v="17"/>
  </r>
  <r>
    <x v="84"/>
    <x v="84"/>
    <x v="1"/>
    <s v="Cereals d'hivern per a farratge"/>
    <n v="100"/>
    <n v="0"/>
    <n v="0"/>
    <n v="100"/>
    <n v="10"/>
    <n v="0"/>
    <n v="0"/>
    <n v="10"/>
  </r>
  <r>
    <x v="84"/>
    <x v="84"/>
    <x v="1"/>
    <s v="Blat de moro farratger"/>
    <n v="2"/>
    <n v="0"/>
    <n v="0"/>
    <n v="2"/>
    <n v="1"/>
    <n v="10"/>
    <n v="0"/>
    <n v="11"/>
  </r>
  <r>
    <x v="84"/>
    <x v="84"/>
    <x v="1"/>
    <s v="Sorgo farratger"/>
    <n v="2"/>
    <n v="4"/>
    <n v="0"/>
    <n v="6"/>
    <n v="0"/>
    <n v="9"/>
    <n v="0"/>
    <n v="9"/>
  </r>
  <r>
    <x v="84"/>
    <x v="84"/>
    <x v="1"/>
    <s v="Raigràs"/>
    <n v="58"/>
    <n v="0"/>
    <n v="0"/>
    <n v="58"/>
    <n v="39"/>
    <n v="0"/>
    <n v="0"/>
    <n v="39"/>
  </r>
  <r>
    <x v="84"/>
    <x v="84"/>
    <x v="1"/>
    <s v="Alfals"/>
    <n v="82"/>
    <n v="0"/>
    <n v="0"/>
    <n v="82"/>
    <n v="24"/>
    <n v="0"/>
    <n v="0"/>
    <n v="24"/>
  </r>
  <r>
    <x v="84"/>
    <x v="84"/>
    <x v="1"/>
    <s v="Trepadella"/>
    <n v="3"/>
    <n v="0"/>
    <n v="0"/>
    <n v="3"/>
    <n v="0"/>
    <n v="0"/>
    <n v="0"/>
    <n v="0"/>
  </r>
  <r>
    <x v="84"/>
    <x v="84"/>
    <x v="1"/>
    <s v="Nap farratger"/>
    <n v="0"/>
    <n v="0"/>
    <n v="0"/>
    <n v="0"/>
    <n v="1"/>
    <n v="0"/>
    <n v="0"/>
    <n v="1"/>
  </r>
  <r>
    <x v="84"/>
    <x v="84"/>
    <x v="1"/>
    <s v="Associació Veça - Civada farratgeres"/>
    <n v="5"/>
    <n v="1"/>
    <n v="0"/>
    <n v="6"/>
    <n v="2"/>
    <n v="0"/>
    <n v="0"/>
    <n v="2"/>
  </r>
  <r>
    <x v="84"/>
    <x v="84"/>
    <x v="3"/>
    <s v="Colza"/>
    <n v="15"/>
    <n v="0"/>
    <n v="0"/>
    <n v="15"/>
    <n v="14"/>
    <n v="0"/>
    <n v="0"/>
    <n v="14"/>
  </r>
  <r>
    <x v="84"/>
    <x v="84"/>
    <x v="4"/>
    <s v="Enciam"/>
    <n v="0"/>
    <n v="0"/>
    <n v="0"/>
    <n v="0"/>
    <n v="1"/>
    <n v="0"/>
    <n v="0"/>
    <n v="1"/>
  </r>
  <r>
    <x v="84"/>
    <x v="84"/>
    <x v="4"/>
    <s v="Tomàquet"/>
    <n v="0"/>
    <n v="0"/>
    <n v="0"/>
    <n v="0"/>
    <n v="1"/>
    <n v="0"/>
    <n v="0"/>
    <n v="1"/>
  </r>
  <r>
    <x v="84"/>
    <x v="84"/>
    <x v="4"/>
    <s v="Ceba"/>
    <n v="0"/>
    <n v="0"/>
    <n v="0"/>
    <n v="0"/>
    <n v="3"/>
    <n v="0"/>
    <n v="0"/>
    <n v="3"/>
  </r>
  <r>
    <x v="84"/>
    <x v="84"/>
    <x v="4"/>
    <s v="Fava tendra"/>
    <n v="0"/>
    <n v="0"/>
    <n v="0"/>
    <n v="0"/>
    <n v="1"/>
    <n v="0"/>
    <n v="0"/>
    <n v="1"/>
  </r>
  <r>
    <x v="84"/>
    <x v="84"/>
    <x v="2"/>
    <s v="Mongeta seca"/>
    <n v="1"/>
    <n v="0"/>
    <n v="0"/>
    <n v="1"/>
    <n v="4"/>
    <n v="1"/>
    <n v="0"/>
    <n v="5"/>
  </r>
  <r>
    <x v="84"/>
    <x v="84"/>
    <x v="2"/>
    <s v="Fava seca"/>
    <n v="1"/>
    <n v="0"/>
    <n v="0"/>
    <n v="1"/>
    <n v="1"/>
    <n v="0"/>
    <n v="0"/>
    <n v="1"/>
  </r>
  <r>
    <x v="84"/>
    <x v="84"/>
    <x v="2"/>
    <s v="Cigró"/>
    <n v="2"/>
    <n v="0"/>
    <n v="0"/>
    <n v="2"/>
    <n v="1"/>
    <n v="0"/>
    <n v="0"/>
    <n v="1"/>
  </r>
  <r>
    <x v="84"/>
    <x v="84"/>
    <x v="2"/>
    <s v="Pèsol sec"/>
    <n v="4"/>
    <n v="0"/>
    <n v="0"/>
    <n v="4"/>
    <n v="0"/>
    <n v="0"/>
    <n v="0"/>
    <n v="0"/>
  </r>
  <r>
    <x v="84"/>
    <x v="84"/>
    <x v="2"/>
    <s v="Favó"/>
    <n v="3"/>
    <n v="0"/>
    <n v="0"/>
    <n v="3"/>
    <n v="0"/>
    <n v="0"/>
    <n v="0"/>
    <n v="0"/>
  </r>
  <r>
    <x v="85"/>
    <x v="85"/>
    <x v="0"/>
    <s v="Blat tou"/>
    <n v="139"/>
    <n v="0"/>
    <n v="0"/>
    <n v="139"/>
    <n v="0"/>
    <n v="0"/>
    <n v="0"/>
    <n v="0"/>
  </r>
  <r>
    <x v="85"/>
    <x v="85"/>
    <x v="0"/>
    <s v="Ordi"/>
    <n v="283"/>
    <n v="0"/>
    <n v="0"/>
    <n v="283"/>
    <n v="0"/>
    <n v="0"/>
    <n v="0"/>
    <n v="0"/>
  </r>
  <r>
    <x v="85"/>
    <x v="85"/>
    <x v="0"/>
    <s v="Civada"/>
    <n v="3"/>
    <n v="0"/>
    <n v="0"/>
    <n v="3"/>
    <n v="0"/>
    <n v="0"/>
    <n v="0"/>
    <n v="0"/>
  </r>
  <r>
    <x v="85"/>
    <x v="85"/>
    <x v="1"/>
    <s v="Cereals d'hivern per a farratge"/>
    <n v="11"/>
    <n v="0"/>
    <n v="0"/>
    <n v="11"/>
    <n v="0"/>
    <n v="0"/>
    <n v="0"/>
    <n v="0"/>
  </r>
  <r>
    <x v="85"/>
    <x v="85"/>
    <x v="1"/>
    <s v="Raigràs"/>
    <n v="48"/>
    <n v="0"/>
    <n v="0"/>
    <n v="48"/>
    <n v="0"/>
    <n v="0"/>
    <n v="0"/>
    <n v="0"/>
  </r>
  <r>
    <x v="85"/>
    <x v="85"/>
    <x v="1"/>
    <s v="Alfals"/>
    <n v="4"/>
    <n v="0"/>
    <n v="0"/>
    <n v="4"/>
    <n v="0"/>
    <n v="0"/>
    <n v="0"/>
    <n v="0"/>
  </r>
  <r>
    <x v="85"/>
    <x v="85"/>
    <x v="1"/>
    <s v="Praderes polifites"/>
    <n v="23"/>
    <n v="0"/>
    <n v="0"/>
    <n v="23"/>
    <n v="0"/>
    <n v="0"/>
    <n v="0"/>
    <n v="0"/>
  </r>
  <r>
    <x v="85"/>
    <x v="85"/>
    <x v="1"/>
    <s v="Associació Veça - Civada farratgeres"/>
    <n v="8"/>
    <n v="0"/>
    <n v="0"/>
    <n v="8"/>
    <n v="0"/>
    <n v="0"/>
    <n v="0"/>
    <n v="0"/>
  </r>
  <r>
    <x v="85"/>
    <x v="85"/>
    <x v="3"/>
    <s v="Colza"/>
    <n v="17"/>
    <n v="0"/>
    <n v="0"/>
    <n v="17"/>
    <n v="0"/>
    <n v="0"/>
    <n v="0"/>
    <n v="0"/>
  </r>
  <r>
    <x v="85"/>
    <x v="85"/>
    <x v="4"/>
    <s v="Mongeta tendra"/>
    <n v="0"/>
    <n v="0"/>
    <n v="0"/>
    <n v="0"/>
    <n v="1"/>
    <n v="0"/>
    <n v="0"/>
    <n v="1"/>
  </r>
  <r>
    <x v="85"/>
    <x v="85"/>
    <x v="2"/>
    <s v="Veça"/>
    <n v="4"/>
    <n v="0"/>
    <n v="0"/>
    <n v="4"/>
    <n v="0"/>
    <n v="0"/>
    <n v="0"/>
    <n v="0"/>
  </r>
  <r>
    <x v="86"/>
    <x v="86"/>
    <x v="0"/>
    <s v="Blat tou"/>
    <n v="3"/>
    <n v="0"/>
    <n v="0"/>
    <n v="3"/>
    <n v="0"/>
    <n v="0"/>
    <n v="0"/>
    <n v="0"/>
  </r>
  <r>
    <x v="86"/>
    <x v="86"/>
    <x v="0"/>
    <s v="Ordi"/>
    <n v="20"/>
    <n v="0"/>
    <n v="0"/>
    <n v="20"/>
    <n v="0"/>
    <n v="0"/>
    <n v="0"/>
    <n v="0"/>
  </r>
  <r>
    <x v="86"/>
    <x v="86"/>
    <x v="0"/>
    <s v="Civada"/>
    <n v="3"/>
    <n v="0"/>
    <n v="0"/>
    <n v="3"/>
    <n v="1"/>
    <n v="0"/>
    <n v="0"/>
    <n v="1"/>
  </r>
  <r>
    <x v="86"/>
    <x v="86"/>
    <x v="1"/>
    <s v="Cereals d'hivern per a farratge"/>
    <n v="3"/>
    <n v="0"/>
    <n v="0"/>
    <n v="3"/>
    <n v="1"/>
    <n v="0"/>
    <n v="0"/>
    <n v="1"/>
  </r>
  <r>
    <x v="86"/>
    <x v="86"/>
    <x v="1"/>
    <s v="Sorgo farratger"/>
    <n v="1"/>
    <n v="0"/>
    <n v="0"/>
    <n v="1"/>
    <n v="0"/>
    <n v="0"/>
    <n v="0"/>
    <n v="0"/>
  </r>
  <r>
    <x v="86"/>
    <x v="86"/>
    <x v="1"/>
    <s v="Alfals"/>
    <n v="2"/>
    <n v="0"/>
    <n v="0"/>
    <n v="2"/>
    <n v="0"/>
    <n v="0"/>
    <n v="0"/>
    <n v="0"/>
  </r>
  <r>
    <x v="86"/>
    <x v="86"/>
    <x v="3"/>
    <s v="Gira-sol"/>
    <n v="2"/>
    <n v="0"/>
    <n v="0"/>
    <n v="2"/>
    <n v="0"/>
    <n v="0"/>
    <n v="0"/>
    <n v="0"/>
  </r>
  <r>
    <x v="86"/>
    <x v="86"/>
    <x v="3"/>
    <s v="Colza"/>
    <n v="5"/>
    <n v="0"/>
    <n v="0"/>
    <n v="5"/>
    <n v="0"/>
    <n v="0"/>
    <n v="0"/>
    <n v="0"/>
  </r>
  <r>
    <x v="86"/>
    <x v="86"/>
    <x v="4"/>
    <s v="Tomàquet"/>
    <n v="0"/>
    <n v="0"/>
    <n v="0"/>
    <n v="0"/>
    <n v="1"/>
    <n v="0"/>
    <n v="0"/>
    <n v="1"/>
  </r>
  <r>
    <x v="86"/>
    <x v="86"/>
    <x v="4"/>
    <s v="Mongeta tendra"/>
    <n v="0"/>
    <n v="0"/>
    <n v="0"/>
    <n v="0"/>
    <n v="1"/>
    <n v="0"/>
    <n v="0"/>
    <n v="1"/>
  </r>
  <r>
    <x v="87"/>
    <x v="87"/>
    <x v="0"/>
    <s v="Blat tou"/>
    <n v="16"/>
    <n v="0"/>
    <n v="0"/>
    <n v="16"/>
    <n v="11"/>
    <n v="0"/>
    <n v="0"/>
    <n v="11"/>
  </r>
  <r>
    <x v="87"/>
    <x v="87"/>
    <x v="0"/>
    <s v="Ordi"/>
    <n v="40"/>
    <n v="0"/>
    <n v="0"/>
    <n v="40"/>
    <n v="17"/>
    <n v="0"/>
    <n v="0"/>
    <n v="17"/>
  </r>
  <r>
    <x v="87"/>
    <x v="87"/>
    <x v="0"/>
    <s v="Civada"/>
    <n v="2"/>
    <n v="0"/>
    <n v="0"/>
    <n v="2"/>
    <n v="0"/>
    <n v="0"/>
    <n v="0"/>
    <n v="0"/>
  </r>
  <r>
    <x v="87"/>
    <x v="87"/>
    <x v="1"/>
    <s v="Cereals d'hivern per a farratge"/>
    <n v="15"/>
    <n v="0"/>
    <n v="0"/>
    <n v="15"/>
    <n v="1"/>
    <n v="0"/>
    <n v="0"/>
    <n v="1"/>
  </r>
  <r>
    <x v="87"/>
    <x v="87"/>
    <x v="1"/>
    <s v="Raigràs"/>
    <n v="4"/>
    <n v="0"/>
    <n v="0"/>
    <n v="4"/>
    <n v="0"/>
    <n v="0"/>
    <n v="0"/>
    <n v="0"/>
  </r>
  <r>
    <x v="87"/>
    <x v="87"/>
    <x v="1"/>
    <s v="Alfals"/>
    <n v="15"/>
    <n v="0"/>
    <n v="0"/>
    <n v="15"/>
    <n v="2"/>
    <n v="0"/>
    <n v="0"/>
    <n v="2"/>
  </r>
  <r>
    <x v="87"/>
    <x v="87"/>
    <x v="3"/>
    <s v="Colza"/>
    <n v="11"/>
    <n v="0"/>
    <n v="0"/>
    <n v="11"/>
    <n v="0"/>
    <n v="0"/>
    <n v="0"/>
    <n v="0"/>
  </r>
  <r>
    <x v="87"/>
    <x v="87"/>
    <x v="4"/>
    <s v="Ceba"/>
    <n v="1"/>
    <n v="0"/>
    <n v="0"/>
    <n v="1"/>
    <n v="1"/>
    <n v="0"/>
    <n v="0"/>
    <n v="1"/>
  </r>
  <r>
    <x v="87"/>
    <x v="87"/>
    <x v="2"/>
    <s v="Mongeta seca"/>
    <n v="1"/>
    <n v="0"/>
    <n v="0"/>
    <n v="1"/>
    <n v="0"/>
    <n v="0"/>
    <n v="0"/>
    <n v="0"/>
  </r>
  <r>
    <x v="87"/>
    <x v="87"/>
    <x v="2"/>
    <s v="Pèsol sec"/>
    <n v="0"/>
    <n v="0"/>
    <n v="0"/>
    <n v="0"/>
    <n v="1"/>
    <n v="0"/>
    <n v="0"/>
    <n v="1"/>
  </r>
  <r>
    <x v="88"/>
    <x v="88"/>
    <x v="0"/>
    <s v="Ordi"/>
    <n v="0"/>
    <n v="0"/>
    <n v="0"/>
    <n v="0"/>
    <n v="1"/>
    <n v="0"/>
    <n v="0"/>
    <n v="1"/>
  </r>
  <r>
    <x v="88"/>
    <x v="88"/>
    <x v="0"/>
    <s v="Civada"/>
    <n v="0"/>
    <n v="0"/>
    <n v="0"/>
    <n v="0"/>
    <n v="4"/>
    <n v="0"/>
    <n v="0"/>
    <n v="4"/>
  </r>
  <r>
    <x v="88"/>
    <x v="88"/>
    <x v="1"/>
    <s v="Cereals d'hivern per a farratge"/>
    <n v="0"/>
    <n v="0"/>
    <n v="0"/>
    <n v="0"/>
    <n v="1"/>
    <n v="0"/>
    <n v="0"/>
    <n v="1"/>
  </r>
  <r>
    <x v="88"/>
    <x v="88"/>
    <x v="4"/>
    <s v="Col de cabdell"/>
    <n v="0"/>
    <n v="0"/>
    <n v="0"/>
    <n v="0"/>
    <n v="14"/>
    <n v="0"/>
    <n v="0"/>
    <n v="14"/>
  </r>
  <r>
    <x v="88"/>
    <x v="88"/>
    <x v="4"/>
    <s v="Espàrrec"/>
    <n v="0"/>
    <n v="0"/>
    <n v="0"/>
    <n v="0"/>
    <n v="2"/>
    <n v="0"/>
    <n v="0"/>
    <n v="2"/>
  </r>
  <r>
    <x v="88"/>
    <x v="88"/>
    <x v="4"/>
    <s v="Api"/>
    <n v="0"/>
    <n v="0"/>
    <n v="0"/>
    <n v="0"/>
    <n v="7"/>
    <n v="0"/>
    <n v="0"/>
    <n v="7"/>
  </r>
  <r>
    <x v="88"/>
    <x v="88"/>
    <x v="4"/>
    <s v="Enciam"/>
    <n v="0"/>
    <n v="0"/>
    <n v="0"/>
    <n v="0"/>
    <n v="15"/>
    <n v="0"/>
    <n v="0"/>
    <n v="15"/>
  </r>
  <r>
    <x v="88"/>
    <x v="88"/>
    <x v="4"/>
    <s v="Escarola"/>
    <n v="0"/>
    <n v="0"/>
    <n v="0"/>
    <n v="0"/>
    <n v="2"/>
    <n v="0"/>
    <n v="0"/>
    <n v="2"/>
  </r>
  <r>
    <x v="88"/>
    <x v="88"/>
    <x v="4"/>
    <s v="Espinac"/>
    <n v="0"/>
    <n v="0"/>
    <n v="0"/>
    <n v="0"/>
    <n v="8"/>
    <n v="0"/>
    <n v="0"/>
    <n v="8"/>
  </r>
  <r>
    <x v="88"/>
    <x v="88"/>
    <x v="4"/>
    <s v="Bleda"/>
    <n v="0"/>
    <n v="0"/>
    <n v="0"/>
    <n v="0"/>
    <n v="16"/>
    <n v="0"/>
    <n v="0"/>
    <n v="16"/>
  </r>
  <r>
    <x v="88"/>
    <x v="88"/>
    <x v="4"/>
    <s v="Síndria"/>
    <n v="0"/>
    <n v="0"/>
    <n v="0"/>
    <n v="0"/>
    <n v="3"/>
    <n v="0"/>
    <n v="0"/>
    <n v="3"/>
  </r>
  <r>
    <x v="88"/>
    <x v="88"/>
    <x v="4"/>
    <s v="Meló"/>
    <n v="0"/>
    <n v="0"/>
    <n v="0"/>
    <n v="0"/>
    <n v="3"/>
    <n v="0"/>
    <n v="0"/>
    <n v="3"/>
  </r>
  <r>
    <x v="88"/>
    <x v="88"/>
    <x v="4"/>
    <s v="Carbassa"/>
    <n v="0"/>
    <n v="0"/>
    <n v="0"/>
    <n v="0"/>
    <n v="5"/>
    <n v="0"/>
    <n v="0"/>
    <n v="5"/>
  </r>
  <r>
    <x v="88"/>
    <x v="88"/>
    <x v="4"/>
    <s v="Cogombre"/>
    <n v="0"/>
    <n v="0"/>
    <n v="0"/>
    <n v="0"/>
    <n v="8"/>
    <n v="0"/>
    <n v="0"/>
    <n v="8"/>
  </r>
  <r>
    <x v="88"/>
    <x v="88"/>
    <x v="4"/>
    <s v="Albergínia"/>
    <n v="0"/>
    <n v="0"/>
    <n v="0"/>
    <n v="0"/>
    <n v="10"/>
    <n v="0"/>
    <n v="0"/>
    <n v="10"/>
  </r>
  <r>
    <x v="88"/>
    <x v="88"/>
    <x v="4"/>
    <s v="Tomàquet"/>
    <n v="0"/>
    <n v="0"/>
    <n v="0"/>
    <n v="0"/>
    <n v="8"/>
    <n v="0"/>
    <n v="0"/>
    <n v="8"/>
  </r>
  <r>
    <x v="88"/>
    <x v="88"/>
    <x v="4"/>
    <s v="Pebrot"/>
    <n v="0"/>
    <n v="0"/>
    <n v="0"/>
    <n v="0"/>
    <n v="6"/>
    <n v="0"/>
    <n v="0"/>
    <n v="6"/>
  </r>
  <r>
    <x v="88"/>
    <x v="88"/>
    <x v="4"/>
    <s v="Carxofa"/>
    <n v="0"/>
    <n v="0"/>
    <n v="0"/>
    <n v="0"/>
    <n v="3"/>
    <n v="0"/>
    <n v="0"/>
    <n v="3"/>
  </r>
  <r>
    <x v="88"/>
    <x v="88"/>
    <x v="4"/>
    <s v="Coliflor"/>
    <n v="0"/>
    <n v="0"/>
    <n v="0"/>
    <n v="0"/>
    <n v="4"/>
    <n v="0"/>
    <n v="0"/>
    <n v="4"/>
  </r>
  <r>
    <x v="88"/>
    <x v="88"/>
    <x v="4"/>
    <s v="All"/>
    <n v="0"/>
    <n v="0"/>
    <n v="0"/>
    <n v="0"/>
    <n v="8"/>
    <n v="0"/>
    <n v="0"/>
    <n v="8"/>
  </r>
  <r>
    <x v="88"/>
    <x v="88"/>
    <x v="4"/>
    <s v="Ceba"/>
    <n v="0"/>
    <n v="0"/>
    <n v="0"/>
    <n v="0"/>
    <n v="30"/>
    <n v="0"/>
    <n v="0"/>
    <n v="30"/>
  </r>
  <r>
    <x v="88"/>
    <x v="88"/>
    <x v="4"/>
    <s v="Pastanaga"/>
    <n v="0"/>
    <n v="0"/>
    <n v="0"/>
    <n v="0"/>
    <n v="8"/>
    <n v="0"/>
    <n v="0"/>
    <n v="8"/>
  </r>
  <r>
    <x v="88"/>
    <x v="88"/>
    <x v="4"/>
    <s v="Rave"/>
    <n v="0"/>
    <n v="0"/>
    <n v="0"/>
    <n v="0"/>
    <n v="5"/>
    <n v="0"/>
    <n v="0"/>
    <n v="5"/>
  </r>
  <r>
    <x v="88"/>
    <x v="88"/>
    <x v="4"/>
    <s v="Mongeta tendra"/>
    <n v="0"/>
    <n v="0"/>
    <n v="0"/>
    <n v="0"/>
    <n v="8"/>
    <n v="0"/>
    <n v="0"/>
    <n v="8"/>
  </r>
  <r>
    <x v="88"/>
    <x v="88"/>
    <x v="4"/>
    <s v="Pèsol verd"/>
    <n v="0"/>
    <n v="0"/>
    <n v="0"/>
    <n v="0"/>
    <n v="4"/>
    <n v="0"/>
    <n v="0"/>
    <n v="4"/>
  </r>
  <r>
    <x v="88"/>
    <x v="88"/>
    <x v="4"/>
    <s v="Fava tendra"/>
    <n v="0"/>
    <n v="0"/>
    <n v="0"/>
    <n v="0"/>
    <n v="34"/>
    <n v="0"/>
    <n v="0"/>
    <n v="34"/>
  </r>
  <r>
    <x v="88"/>
    <x v="88"/>
    <x v="4"/>
    <s v="Altres Hortalisses"/>
    <n v="0"/>
    <n v="0"/>
    <n v="0"/>
    <n v="0"/>
    <n v="8"/>
    <n v="0"/>
    <n v="0"/>
    <n v="8"/>
  </r>
  <r>
    <x v="88"/>
    <x v="88"/>
    <x v="4"/>
    <s v="Carbassó"/>
    <n v="0"/>
    <n v="0"/>
    <n v="0"/>
    <n v="0"/>
    <n v="7"/>
    <n v="0"/>
    <n v="0"/>
    <n v="7"/>
  </r>
  <r>
    <x v="88"/>
    <x v="88"/>
    <x v="4"/>
    <s v="Bròquil"/>
    <n v="0"/>
    <n v="0"/>
    <n v="0"/>
    <n v="0"/>
    <n v="5"/>
    <n v="0"/>
    <n v="0"/>
    <n v="5"/>
  </r>
  <r>
    <x v="88"/>
    <x v="88"/>
    <x v="4"/>
    <s v="Julivert"/>
    <n v="0"/>
    <n v="0"/>
    <n v="0"/>
    <n v="0"/>
    <n v="3"/>
    <n v="0"/>
    <n v="0"/>
    <n v="3"/>
  </r>
  <r>
    <x v="88"/>
    <x v="88"/>
    <x v="6"/>
    <s v="Patata d'estació mitjana"/>
    <n v="0"/>
    <n v="0"/>
    <n v="0"/>
    <n v="0"/>
    <n v="8"/>
    <n v="0"/>
    <n v="0"/>
    <n v="8"/>
  </r>
  <r>
    <x v="89"/>
    <x v="89"/>
    <x v="0"/>
    <s v="Blat tou"/>
    <n v="5"/>
    <n v="0"/>
    <n v="0"/>
    <n v="5"/>
    <n v="0"/>
    <n v="0"/>
    <n v="0"/>
    <n v="0"/>
  </r>
  <r>
    <x v="89"/>
    <x v="89"/>
    <x v="0"/>
    <s v="Ordi"/>
    <n v="18"/>
    <n v="0"/>
    <n v="0"/>
    <n v="18"/>
    <n v="0"/>
    <n v="0"/>
    <n v="0"/>
    <n v="0"/>
  </r>
  <r>
    <x v="89"/>
    <x v="89"/>
    <x v="0"/>
    <s v="Civada"/>
    <n v="3"/>
    <n v="0"/>
    <n v="0"/>
    <n v="3"/>
    <n v="1"/>
    <n v="0"/>
    <n v="0"/>
    <n v="1"/>
  </r>
  <r>
    <x v="89"/>
    <x v="89"/>
    <x v="1"/>
    <s v="Alfals"/>
    <n v="3"/>
    <n v="0"/>
    <n v="0"/>
    <n v="3"/>
    <n v="0"/>
    <n v="0"/>
    <n v="0"/>
    <n v="0"/>
  </r>
  <r>
    <x v="89"/>
    <x v="89"/>
    <x v="1"/>
    <s v="Trepadella"/>
    <n v="6"/>
    <n v="0"/>
    <n v="0"/>
    <n v="6"/>
    <n v="0"/>
    <n v="0"/>
    <n v="0"/>
    <n v="0"/>
  </r>
  <r>
    <x v="89"/>
    <x v="89"/>
    <x v="1"/>
    <s v="Veça per a farratge"/>
    <n v="4"/>
    <n v="0"/>
    <n v="0"/>
    <n v="4"/>
    <n v="0"/>
    <n v="0"/>
    <n v="0"/>
    <n v="0"/>
  </r>
  <r>
    <x v="89"/>
    <x v="89"/>
    <x v="4"/>
    <s v="Meló"/>
    <n v="4"/>
    <n v="0"/>
    <n v="0"/>
    <n v="4"/>
    <n v="0"/>
    <n v="0"/>
    <n v="0"/>
    <n v="0"/>
  </r>
  <r>
    <x v="89"/>
    <x v="89"/>
    <x v="4"/>
    <s v="Tomàquet"/>
    <n v="1"/>
    <n v="0"/>
    <n v="0"/>
    <n v="1"/>
    <n v="0"/>
    <n v="0"/>
    <n v="0"/>
    <n v="0"/>
  </r>
  <r>
    <x v="89"/>
    <x v="89"/>
    <x v="4"/>
    <s v="Ceba"/>
    <n v="3"/>
    <n v="0"/>
    <n v="0"/>
    <n v="3"/>
    <n v="0"/>
    <n v="0"/>
    <n v="0"/>
    <n v="0"/>
  </r>
  <r>
    <x v="89"/>
    <x v="89"/>
    <x v="6"/>
    <s v="Patata d'estació mitjana"/>
    <n v="2"/>
    <n v="0"/>
    <n v="0"/>
    <n v="2"/>
    <n v="0"/>
    <n v="0"/>
    <n v="0"/>
    <n v="0"/>
  </r>
  <r>
    <x v="90"/>
    <x v="90"/>
    <x v="0"/>
    <s v="Blat tou"/>
    <n v="19"/>
    <n v="0"/>
    <n v="0"/>
    <n v="19"/>
    <n v="0"/>
    <n v="0"/>
    <n v="0"/>
    <n v="0"/>
  </r>
  <r>
    <x v="90"/>
    <x v="90"/>
    <x v="0"/>
    <s v="Ordi"/>
    <n v="92"/>
    <n v="0"/>
    <n v="0"/>
    <n v="92"/>
    <n v="0"/>
    <n v="0"/>
    <n v="0"/>
    <n v="0"/>
  </r>
  <r>
    <x v="90"/>
    <x v="90"/>
    <x v="0"/>
    <s v="Civada"/>
    <n v="3"/>
    <n v="0"/>
    <n v="0"/>
    <n v="3"/>
    <n v="0"/>
    <n v="0"/>
    <n v="0"/>
    <n v="0"/>
  </r>
  <r>
    <x v="90"/>
    <x v="90"/>
    <x v="0"/>
    <s v="Espelta"/>
    <n v="3"/>
    <n v="0"/>
    <n v="0"/>
    <n v="3"/>
    <n v="0"/>
    <n v="0"/>
    <n v="0"/>
    <n v="0"/>
  </r>
  <r>
    <x v="90"/>
    <x v="90"/>
    <x v="1"/>
    <s v="Cereals d'hivern per a farratge"/>
    <n v="3"/>
    <n v="0"/>
    <n v="0"/>
    <n v="3"/>
    <n v="0"/>
    <n v="0"/>
    <n v="0"/>
    <n v="0"/>
  </r>
  <r>
    <x v="90"/>
    <x v="90"/>
    <x v="1"/>
    <s v="Sorgo farratger"/>
    <n v="3"/>
    <n v="0"/>
    <n v="0"/>
    <n v="3"/>
    <n v="0"/>
    <n v="0"/>
    <n v="0"/>
    <n v="0"/>
  </r>
  <r>
    <x v="90"/>
    <x v="90"/>
    <x v="1"/>
    <s v="Raigràs"/>
    <n v="37"/>
    <n v="0"/>
    <n v="0"/>
    <n v="37"/>
    <n v="0"/>
    <n v="0"/>
    <n v="0"/>
    <n v="0"/>
  </r>
  <r>
    <x v="90"/>
    <x v="90"/>
    <x v="1"/>
    <s v="Alfals"/>
    <n v="17"/>
    <n v="0"/>
    <n v="0"/>
    <n v="17"/>
    <n v="0"/>
    <n v="0"/>
    <n v="0"/>
    <n v="0"/>
  </r>
  <r>
    <x v="90"/>
    <x v="90"/>
    <x v="1"/>
    <s v="Trepadella"/>
    <n v="3"/>
    <n v="0"/>
    <n v="0"/>
    <n v="3"/>
    <n v="0"/>
    <n v="0"/>
    <n v="0"/>
    <n v="0"/>
  </r>
  <r>
    <x v="90"/>
    <x v="90"/>
    <x v="1"/>
    <s v="Praderes polifites"/>
    <n v="31"/>
    <n v="0"/>
    <n v="0"/>
    <n v="31"/>
    <n v="0"/>
    <n v="0"/>
    <n v="0"/>
    <n v="0"/>
  </r>
  <r>
    <x v="90"/>
    <x v="90"/>
    <x v="1"/>
    <s v="Associació Veça - Civada farratgeres"/>
    <n v="3"/>
    <n v="0"/>
    <n v="0"/>
    <n v="3"/>
    <n v="0"/>
    <n v="0"/>
    <n v="0"/>
    <n v="0"/>
  </r>
  <r>
    <x v="90"/>
    <x v="90"/>
    <x v="3"/>
    <s v="Colza"/>
    <n v="7"/>
    <n v="0"/>
    <n v="0"/>
    <n v="7"/>
    <n v="0"/>
    <n v="0"/>
    <n v="0"/>
    <n v="0"/>
  </r>
  <r>
    <x v="91"/>
    <x v="91"/>
    <x v="0"/>
    <s v="Blat tou"/>
    <n v="8"/>
    <n v="0"/>
    <n v="0"/>
    <n v="8"/>
    <n v="0"/>
    <n v="0"/>
    <n v="0"/>
    <n v="0"/>
  </r>
  <r>
    <x v="91"/>
    <x v="91"/>
    <x v="0"/>
    <s v="Ordi"/>
    <n v="12"/>
    <n v="0"/>
    <n v="0"/>
    <n v="12"/>
    <n v="0"/>
    <n v="0"/>
    <n v="0"/>
    <n v="0"/>
  </r>
  <r>
    <x v="91"/>
    <x v="91"/>
    <x v="0"/>
    <s v="Civada"/>
    <n v="5"/>
    <n v="0"/>
    <n v="0"/>
    <n v="5"/>
    <n v="0"/>
    <n v="0"/>
    <n v="0"/>
    <n v="0"/>
  </r>
  <r>
    <x v="91"/>
    <x v="91"/>
    <x v="1"/>
    <s v="Alfals"/>
    <n v="5"/>
    <n v="0"/>
    <n v="0"/>
    <n v="5"/>
    <n v="0"/>
    <n v="0"/>
    <n v="0"/>
    <n v="0"/>
  </r>
  <r>
    <x v="91"/>
    <x v="91"/>
    <x v="1"/>
    <s v="Trepadella"/>
    <n v="5"/>
    <n v="0"/>
    <n v="0"/>
    <n v="5"/>
    <n v="0"/>
    <n v="0"/>
    <n v="0"/>
    <n v="0"/>
  </r>
  <r>
    <x v="91"/>
    <x v="91"/>
    <x v="1"/>
    <s v="Associació Veça - Civada farratgeres"/>
    <n v="7"/>
    <n v="0"/>
    <n v="0"/>
    <n v="7"/>
    <n v="0"/>
    <n v="0"/>
    <n v="0"/>
    <n v="0"/>
  </r>
  <r>
    <x v="91"/>
    <x v="91"/>
    <x v="3"/>
    <s v="Colza"/>
    <n v="1"/>
    <n v="0"/>
    <n v="0"/>
    <n v="1"/>
    <n v="0"/>
    <n v="0"/>
    <n v="0"/>
    <n v="0"/>
  </r>
  <r>
    <x v="91"/>
    <x v="91"/>
    <x v="4"/>
    <s v="Meló"/>
    <n v="2"/>
    <n v="0"/>
    <n v="0"/>
    <n v="2"/>
    <n v="0"/>
    <n v="0"/>
    <n v="0"/>
    <n v="0"/>
  </r>
  <r>
    <x v="91"/>
    <x v="91"/>
    <x v="4"/>
    <s v="Tomàquet"/>
    <n v="2"/>
    <n v="0"/>
    <n v="0"/>
    <n v="2"/>
    <n v="0"/>
    <n v="0"/>
    <n v="0"/>
    <n v="0"/>
  </r>
  <r>
    <x v="91"/>
    <x v="91"/>
    <x v="4"/>
    <s v="Ceba"/>
    <n v="1"/>
    <n v="0"/>
    <n v="0"/>
    <n v="1"/>
    <n v="0"/>
    <n v="0"/>
    <n v="0"/>
    <n v="0"/>
  </r>
  <r>
    <x v="91"/>
    <x v="91"/>
    <x v="2"/>
    <s v="Pèsol sec"/>
    <n v="1"/>
    <n v="0"/>
    <n v="0"/>
    <n v="1"/>
    <n v="0"/>
    <n v="0"/>
    <n v="0"/>
    <n v="0"/>
  </r>
  <r>
    <x v="92"/>
    <x v="92"/>
    <x v="0"/>
    <s v="Blat tou"/>
    <n v="17"/>
    <n v="0"/>
    <n v="0"/>
    <n v="17"/>
    <n v="0"/>
    <n v="0"/>
    <n v="0"/>
    <n v="0"/>
  </r>
  <r>
    <x v="92"/>
    <x v="92"/>
    <x v="0"/>
    <s v="Ordi"/>
    <n v="41"/>
    <n v="0"/>
    <n v="0"/>
    <n v="41"/>
    <n v="0"/>
    <n v="0"/>
    <n v="0"/>
    <n v="0"/>
  </r>
  <r>
    <x v="92"/>
    <x v="92"/>
    <x v="0"/>
    <s v="Civada"/>
    <n v="1"/>
    <n v="0"/>
    <n v="0"/>
    <n v="1"/>
    <n v="0"/>
    <n v="0"/>
    <n v="0"/>
    <n v="0"/>
  </r>
  <r>
    <x v="92"/>
    <x v="92"/>
    <x v="1"/>
    <s v="Cereals d'hivern per a farratge"/>
    <n v="8"/>
    <n v="0"/>
    <n v="0"/>
    <n v="8"/>
    <n v="0"/>
    <n v="0"/>
    <n v="0"/>
    <n v="0"/>
  </r>
  <r>
    <x v="92"/>
    <x v="92"/>
    <x v="1"/>
    <s v="Alfals"/>
    <n v="1"/>
    <n v="0"/>
    <n v="0"/>
    <n v="1"/>
    <n v="0"/>
    <n v="0"/>
    <n v="0"/>
    <n v="0"/>
  </r>
  <r>
    <x v="92"/>
    <x v="92"/>
    <x v="1"/>
    <s v="Trepadella"/>
    <n v="10"/>
    <n v="0"/>
    <n v="0"/>
    <n v="10"/>
    <n v="0"/>
    <n v="0"/>
    <n v="0"/>
    <n v="0"/>
  </r>
  <r>
    <x v="93"/>
    <x v="93"/>
    <x v="0"/>
    <s v="Blat tou"/>
    <n v="42"/>
    <n v="0"/>
    <n v="0"/>
    <n v="42"/>
    <n v="19"/>
    <n v="0"/>
    <n v="0"/>
    <n v="19"/>
  </r>
  <r>
    <x v="93"/>
    <x v="93"/>
    <x v="0"/>
    <s v="Ordi"/>
    <n v="92"/>
    <n v="0"/>
    <n v="0"/>
    <n v="92"/>
    <n v="48"/>
    <n v="0"/>
    <n v="0"/>
    <n v="48"/>
  </r>
  <r>
    <x v="93"/>
    <x v="93"/>
    <x v="0"/>
    <s v="Civada"/>
    <n v="2"/>
    <n v="0"/>
    <n v="0"/>
    <n v="2"/>
    <n v="1"/>
    <n v="0"/>
    <n v="0"/>
    <n v="1"/>
  </r>
  <r>
    <x v="93"/>
    <x v="93"/>
    <x v="1"/>
    <s v="Cereals d'hivern per a farratge"/>
    <n v="16"/>
    <n v="0"/>
    <n v="0"/>
    <n v="16"/>
    <n v="6"/>
    <n v="0"/>
    <n v="0"/>
    <n v="6"/>
  </r>
  <r>
    <x v="93"/>
    <x v="93"/>
    <x v="1"/>
    <s v="Sorgo farratger"/>
    <n v="0"/>
    <n v="0"/>
    <n v="0"/>
    <n v="0"/>
    <n v="1"/>
    <n v="1"/>
    <n v="0"/>
    <n v="2"/>
  </r>
  <r>
    <x v="93"/>
    <x v="93"/>
    <x v="1"/>
    <s v="Raigràs"/>
    <n v="3"/>
    <n v="0"/>
    <n v="0"/>
    <n v="3"/>
    <n v="2"/>
    <n v="0"/>
    <n v="0"/>
    <n v="2"/>
  </r>
  <r>
    <x v="93"/>
    <x v="93"/>
    <x v="1"/>
    <s v="Alfals"/>
    <n v="12"/>
    <n v="0"/>
    <n v="0"/>
    <n v="12"/>
    <n v="4"/>
    <n v="0"/>
    <n v="0"/>
    <n v="4"/>
  </r>
  <r>
    <x v="93"/>
    <x v="93"/>
    <x v="1"/>
    <s v="Festuca"/>
    <n v="1"/>
    <n v="0"/>
    <n v="0"/>
    <n v="1"/>
    <n v="0"/>
    <n v="0"/>
    <n v="0"/>
    <n v="0"/>
  </r>
  <r>
    <x v="93"/>
    <x v="93"/>
    <x v="3"/>
    <s v="Colza"/>
    <n v="6"/>
    <n v="0"/>
    <n v="0"/>
    <n v="6"/>
    <n v="0"/>
    <n v="0"/>
    <n v="0"/>
    <n v="0"/>
  </r>
  <r>
    <x v="93"/>
    <x v="93"/>
    <x v="4"/>
    <s v="Enciam"/>
    <n v="0"/>
    <n v="0"/>
    <n v="0"/>
    <n v="0"/>
    <n v="1"/>
    <n v="0"/>
    <n v="0"/>
    <n v="1"/>
  </r>
  <r>
    <x v="93"/>
    <x v="93"/>
    <x v="2"/>
    <s v="Mongeta seca"/>
    <n v="0"/>
    <n v="0"/>
    <n v="0"/>
    <n v="0"/>
    <n v="1"/>
    <n v="1"/>
    <n v="0"/>
    <n v="2"/>
  </r>
  <r>
    <x v="93"/>
    <x v="93"/>
    <x v="2"/>
    <s v="Fava seca"/>
    <n v="3"/>
    <n v="0"/>
    <n v="0"/>
    <n v="3"/>
    <n v="2"/>
    <n v="0"/>
    <n v="0"/>
    <n v="2"/>
  </r>
  <r>
    <x v="93"/>
    <x v="93"/>
    <x v="2"/>
    <s v="Cigró"/>
    <n v="3"/>
    <n v="0"/>
    <n v="0"/>
    <n v="3"/>
    <n v="0"/>
    <n v="0"/>
    <n v="0"/>
    <n v="0"/>
  </r>
  <r>
    <x v="93"/>
    <x v="93"/>
    <x v="2"/>
    <s v="Pèsol sec"/>
    <n v="2"/>
    <n v="0"/>
    <n v="0"/>
    <n v="2"/>
    <n v="2"/>
    <n v="0"/>
    <n v="0"/>
    <n v="2"/>
  </r>
  <r>
    <x v="93"/>
    <x v="93"/>
    <x v="2"/>
    <s v="Favó"/>
    <n v="4"/>
    <n v="0"/>
    <n v="0"/>
    <n v="4"/>
    <n v="3"/>
    <n v="0"/>
    <n v="0"/>
    <n v="3"/>
  </r>
  <r>
    <x v="94"/>
    <x v="94"/>
    <x v="0"/>
    <s v="Ordi"/>
    <n v="4"/>
    <n v="0"/>
    <n v="0"/>
    <n v="4"/>
    <n v="2"/>
    <n v="0"/>
    <n v="0"/>
    <n v="2"/>
  </r>
  <r>
    <x v="94"/>
    <x v="94"/>
    <x v="0"/>
    <s v="Civada"/>
    <n v="2"/>
    <n v="0"/>
    <n v="0"/>
    <n v="2"/>
    <n v="1"/>
    <n v="0"/>
    <n v="0"/>
    <n v="1"/>
  </r>
  <r>
    <x v="94"/>
    <x v="94"/>
    <x v="1"/>
    <s v="Cereals d'hivern per a farratge"/>
    <n v="14"/>
    <n v="0"/>
    <n v="0"/>
    <n v="14"/>
    <n v="7"/>
    <n v="0"/>
    <n v="0"/>
    <n v="7"/>
  </r>
  <r>
    <x v="94"/>
    <x v="94"/>
    <x v="1"/>
    <s v="Raigràs"/>
    <n v="0"/>
    <n v="0"/>
    <n v="0"/>
    <n v="0"/>
    <n v="5"/>
    <n v="0"/>
    <n v="0"/>
    <n v="5"/>
  </r>
  <r>
    <x v="94"/>
    <x v="94"/>
    <x v="1"/>
    <s v="Alfals"/>
    <n v="3"/>
    <n v="0"/>
    <n v="0"/>
    <n v="3"/>
    <n v="3"/>
    <n v="0"/>
    <n v="0"/>
    <n v="3"/>
  </r>
  <r>
    <x v="95"/>
    <x v="95"/>
    <x v="1"/>
    <s v="Raigràs"/>
    <n v="3"/>
    <n v="0"/>
    <n v="0"/>
    <n v="3"/>
    <n v="0"/>
    <n v="0"/>
    <n v="0"/>
    <n v="0"/>
  </r>
  <r>
    <x v="95"/>
    <x v="95"/>
    <x v="1"/>
    <s v="Praderes polifites"/>
    <n v="9"/>
    <n v="0"/>
    <n v="0"/>
    <n v="9"/>
    <n v="0"/>
    <n v="0"/>
    <n v="0"/>
    <n v="0"/>
  </r>
  <r>
    <x v="96"/>
    <x v="96"/>
    <x v="0"/>
    <s v="Blat tou"/>
    <n v="907"/>
    <n v="0"/>
    <n v="0"/>
    <n v="907"/>
    <n v="16"/>
    <n v="0"/>
    <n v="0"/>
    <n v="16"/>
  </r>
  <r>
    <x v="96"/>
    <x v="96"/>
    <x v="0"/>
    <s v="Ordi"/>
    <n v="570"/>
    <n v="0"/>
    <n v="0"/>
    <n v="570"/>
    <n v="3"/>
    <n v="0"/>
    <n v="0"/>
    <n v="3"/>
  </r>
  <r>
    <x v="96"/>
    <x v="96"/>
    <x v="0"/>
    <s v="Civada"/>
    <n v="9"/>
    <n v="0"/>
    <n v="0"/>
    <n v="9"/>
    <n v="0"/>
    <n v="0"/>
    <n v="0"/>
    <n v="0"/>
  </r>
  <r>
    <x v="96"/>
    <x v="96"/>
    <x v="0"/>
    <s v="Triticale"/>
    <n v="1"/>
    <n v="0"/>
    <n v="0"/>
    <n v="1"/>
    <n v="0"/>
    <n v="0"/>
    <n v="0"/>
    <n v="0"/>
  </r>
  <r>
    <x v="96"/>
    <x v="96"/>
    <x v="0"/>
    <s v="Blat de moro"/>
    <n v="24"/>
    <n v="0"/>
    <n v="0"/>
    <n v="24"/>
    <n v="0"/>
    <n v="0"/>
    <n v="0"/>
    <n v="0"/>
  </r>
  <r>
    <x v="96"/>
    <x v="96"/>
    <x v="0"/>
    <s v="Blat dur"/>
    <n v="3"/>
    <n v="0"/>
    <n v="0"/>
    <n v="3"/>
    <n v="0"/>
    <n v="0"/>
    <n v="0"/>
    <n v="0"/>
  </r>
  <r>
    <x v="96"/>
    <x v="96"/>
    <x v="1"/>
    <s v="Cereals d'hivern per a farratge"/>
    <n v="35"/>
    <n v="0"/>
    <n v="0"/>
    <n v="35"/>
    <n v="1"/>
    <n v="0"/>
    <n v="0"/>
    <n v="1"/>
  </r>
  <r>
    <x v="96"/>
    <x v="96"/>
    <x v="1"/>
    <s v="Blat de moro farratger"/>
    <n v="218"/>
    <n v="2"/>
    <n v="0"/>
    <n v="220"/>
    <n v="3"/>
    <n v="92"/>
    <n v="0"/>
    <n v="95"/>
  </r>
  <r>
    <x v="96"/>
    <x v="96"/>
    <x v="1"/>
    <s v="Sorgo farratger"/>
    <n v="13"/>
    <n v="232"/>
    <n v="0"/>
    <n v="245"/>
    <n v="0"/>
    <n v="0"/>
    <n v="0"/>
    <n v="0"/>
  </r>
  <r>
    <x v="96"/>
    <x v="96"/>
    <x v="1"/>
    <s v="Raigràs"/>
    <n v="163"/>
    <n v="9"/>
    <n v="0"/>
    <n v="172"/>
    <n v="0"/>
    <n v="0"/>
    <n v="0"/>
    <n v="0"/>
  </r>
  <r>
    <x v="96"/>
    <x v="96"/>
    <x v="1"/>
    <s v="Alfals"/>
    <n v="123"/>
    <n v="0"/>
    <n v="0"/>
    <n v="123"/>
    <n v="0"/>
    <n v="0"/>
    <n v="0"/>
    <n v="0"/>
  </r>
  <r>
    <x v="96"/>
    <x v="96"/>
    <x v="1"/>
    <s v="Praderes polifites"/>
    <n v="42"/>
    <n v="0"/>
    <n v="0"/>
    <n v="42"/>
    <n v="0"/>
    <n v="0"/>
    <n v="0"/>
    <n v="0"/>
  </r>
  <r>
    <x v="96"/>
    <x v="96"/>
    <x v="3"/>
    <s v="Colza"/>
    <n v="92"/>
    <n v="0"/>
    <n v="0"/>
    <n v="92"/>
    <n v="0"/>
    <n v="0"/>
    <n v="0"/>
    <n v="0"/>
  </r>
  <r>
    <x v="96"/>
    <x v="96"/>
    <x v="2"/>
    <s v="Pèsol sec"/>
    <n v="40"/>
    <n v="0"/>
    <n v="0"/>
    <n v="40"/>
    <n v="0"/>
    <n v="0"/>
    <n v="0"/>
    <n v="0"/>
  </r>
  <r>
    <x v="96"/>
    <x v="96"/>
    <x v="2"/>
    <s v="Veça"/>
    <n v="29"/>
    <n v="0"/>
    <n v="0"/>
    <n v="29"/>
    <n v="0"/>
    <n v="0"/>
    <n v="0"/>
    <n v="0"/>
  </r>
  <r>
    <x v="96"/>
    <x v="96"/>
    <x v="6"/>
    <s v="Patata d'estació mitjana"/>
    <n v="3"/>
    <n v="0"/>
    <n v="0"/>
    <n v="3"/>
    <n v="0"/>
    <n v="0"/>
    <n v="0"/>
    <n v="0"/>
  </r>
  <r>
    <x v="97"/>
    <x v="97"/>
    <x v="0"/>
    <s v="Ordi"/>
    <n v="0"/>
    <n v="0"/>
    <n v="0"/>
    <n v="0"/>
    <n v="12"/>
    <n v="0"/>
    <n v="0"/>
    <n v="12"/>
  </r>
  <r>
    <x v="97"/>
    <x v="97"/>
    <x v="4"/>
    <s v="Col de cabdell"/>
    <n v="0"/>
    <n v="0"/>
    <n v="0"/>
    <n v="0"/>
    <n v="1"/>
    <n v="0"/>
    <n v="0"/>
    <n v="1"/>
  </r>
  <r>
    <x v="97"/>
    <x v="97"/>
    <x v="4"/>
    <s v="Tomàquet"/>
    <n v="0"/>
    <n v="0"/>
    <n v="0"/>
    <n v="0"/>
    <n v="0"/>
    <n v="1"/>
    <n v="0"/>
    <n v="1"/>
  </r>
  <r>
    <x v="97"/>
    <x v="97"/>
    <x v="4"/>
    <s v="Carxofa"/>
    <n v="0"/>
    <n v="0"/>
    <n v="0"/>
    <n v="0"/>
    <n v="4"/>
    <n v="0"/>
    <n v="0"/>
    <n v="4"/>
  </r>
  <r>
    <x v="97"/>
    <x v="97"/>
    <x v="4"/>
    <s v="Ceba"/>
    <n v="0"/>
    <n v="0"/>
    <n v="0"/>
    <n v="0"/>
    <n v="1"/>
    <n v="0"/>
    <n v="0"/>
    <n v="1"/>
  </r>
  <r>
    <x v="97"/>
    <x v="97"/>
    <x v="4"/>
    <s v="Fava tendra"/>
    <n v="0"/>
    <n v="0"/>
    <n v="0"/>
    <n v="0"/>
    <n v="1"/>
    <n v="0"/>
    <n v="0"/>
    <n v="1"/>
  </r>
  <r>
    <x v="98"/>
    <x v="98"/>
    <x v="0"/>
    <s v="Blat tou"/>
    <n v="30"/>
    <n v="0"/>
    <n v="0"/>
    <n v="30"/>
    <n v="0"/>
    <n v="0"/>
    <n v="0"/>
    <n v="0"/>
  </r>
  <r>
    <x v="98"/>
    <x v="98"/>
    <x v="0"/>
    <s v="Ordi"/>
    <n v="99"/>
    <n v="0"/>
    <n v="0"/>
    <n v="99"/>
    <n v="0"/>
    <n v="0"/>
    <n v="0"/>
    <n v="0"/>
  </r>
  <r>
    <x v="98"/>
    <x v="98"/>
    <x v="0"/>
    <s v="Civada"/>
    <n v="6"/>
    <n v="0"/>
    <n v="0"/>
    <n v="6"/>
    <n v="0"/>
    <n v="0"/>
    <n v="0"/>
    <n v="0"/>
  </r>
  <r>
    <x v="98"/>
    <x v="98"/>
    <x v="1"/>
    <s v="Cereals d'hivern per a farratge"/>
    <n v="25"/>
    <n v="0"/>
    <n v="0"/>
    <n v="25"/>
    <n v="0"/>
    <n v="0"/>
    <n v="0"/>
    <n v="0"/>
  </r>
  <r>
    <x v="98"/>
    <x v="98"/>
    <x v="1"/>
    <s v="Alfals"/>
    <n v="7"/>
    <n v="0"/>
    <n v="0"/>
    <n v="7"/>
    <n v="0"/>
    <n v="0"/>
    <n v="0"/>
    <n v="0"/>
  </r>
  <r>
    <x v="98"/>
    <x v="98"/>
    <x v="3"/>
    <s v="Colza"/>
    <n v="18"/>
    <n v="0"/>
    <n v="0"/>
    <n v="18"/>
    <n v="0"/>
    <n v="0"/>
    <n v="0"/>
    <n v="0"/>
  </r>
  <r>
    <x v="98"/>
    <x v="98"/>
    <x v="4"/>
    <s v="Meló"/>
    <n v="0"/>
    <n v="0"/>
    <n v="0"/>
    <n v="0"/>
    <n v="1"/>
    <n v="0"/>
    <n v="0"/>
    <n v="1"/>
  </r>
  <r>
    <x v="98"/>
    <x v="98"/>
    <x v="2"/>
    <s v="Veça"/>
    <n v="27"/>
    <n v="0"/>
    <n v="0"/>
    <n v="27"/>
    <n v="0"/>
    <n v="0"/>
    <n v="0"/>
    <n v="0"/>
  </r>
  <r>
    <x v="98"/>
    <x v="98"/>
    <x v="2"/>
    <s v="Erbs"/>
    <n v="10"/>
    <n v="0"/>
    <n v="0"/>
    <n v="10"/>
    <n v="0"/>
    <n v="0"/>
    <n v="0"/>
    <n v="0"/>
  </r>
  <r>
    <x v="99"/>
    <x v="99"/>
    <x v="0"/>
    <s v="Blat tou"/>
    <n v="5"/>
    <n v="0"/>
    <n v="0"/>
    <n v="5"/>
    <n v="0"/>
    <n v="0"/>
    <n v="0"/>
    <n v="0"/>
  </r>
  <r>
    <x v="99"/>
    <x v="99"/>
    <x v="0"/>
    <s v="Ordi"/>
    <n v="46"/>
    <n v="0"/>
    <n v="0"/>
    <n v="46"/>
    <n v="0"/>
    <n v="0"/>
    <n v="0"/>
    <n v="0"/>
  </r>
  <r>
    <x v="99"/>
    <x v="99"/>
    <x v="0"/>
    <s v="Civada"/>
    <n v="2"/>
    <n v="0"/>
    <n v="0"/>
    <n v="2"/>
    <n v="0"/>
    <n v="0"/>
    <n v="0"/>
    <n v="0"/>
  </r>
  <r>
    <x v="99"/>
    <x v="99"/>
    <x v="1"/>
    <s v="Cereals d'hivern per a farratge"/>
    <n v="6"/>
    <n v="0"/>
    <n v="0"/>
    <n v="6"/>
    <n v="0"/>
    <n v="0"/>
    <n v="0"/>
    <n v="0"/>
  </r>
  <r>
    <x v="100"/>
    <x v="100"/>
    <x v="0"/>
    <s v="Blat tou"/>
    <n v="137"/>
    <n v="0"/>
    <n v="0"/>
    <n v="137"/>
    <n v="0"/>
    <n v="0"/>
    <n v="0"/>
    <n v="0"/>
  </r>
  <r>
    <x v="100"/>
    <x v="100"/>
    <x v="0"/>
    <s v="Ordi"/>
    <n v="322"/>
    <n v="0"/>
    <n v="0"/>
    <n v="322"/>
    <n v="0"/>
    <n v="0"/>
    <n v="0"/>
    <n v="0"/>
  </r>
  <r>
    <x v="100"/>
    <x v="100"/>
    <x v="0"/>
    <s v="Civada"/>
    <n v="9"/>
    <n v="0"/>
    <n v="0"/>
    <n v="9"/>
    <n v="0"/>
    <n v="0"/>
    <n v="0"/>
    <n v="0"/>
  </r>
  <r>
    <x v="100"/>
    <x v="100"/>
    <x v="1"/>
    <s v="Cereals d'hivern per a farratge"/>
    <n v="34"/>
    <n v="0"/>
    <n v="0"/>
    <n v="34"/>
    <n v="0"/>
    <n v="0"/>
    <n v="0"/>
    <n v="0"/>
  </r>
  <r>
    <x v="100"/>
    <x v="100"/>
    <x v="3"/>
    <s v="Colza"/>
    <n v="50"/>
    <n v="0"/>
    <n v="0"/>
    <n v="50"/>
    <n v="0"/>
    <n v="0"/>
    <n v="0"/>
    <n v="0"/>
  </r>
  <r>
    <x v="100"/>
    <x v="100"/>
    <x v="3"/>
    <s v="Camelina"/>
    <n v="37"/>
    <n v="0"/>
    <n v="0"/>
    <n v="37"/>
    <n v="0"/>
    <n v="0"/>
    <n v="0"/>
    <n v="0"/>
  </r>
  <r>
    <x v="100"/>
    <x v="100"/>
    <x v="2"/>
    <s v="Cigró"/>
    <n v="5"/>
    <n v="0"/>
    <n v="0"/>
    <n v="5"/>
    <n v="0"/>
    <n v="0"/>
    <n v="0"/>
    <n v="0"/>
  </r>
  <r>
    <x v="100"/>
    <x v="100"/>
    <x v="2"/>
    <s v="Pèsol sec"/>
    <n v="41"/>
    <n v="0"/>
    <n v="0"/>
    <n v="41"/>
    <n v="0"/>
    <n v="0"/>
    <n v="0"/>
    <n v="0"/>
  </r>
  <r>
    <x v="100"/>
    <x v="100"/>
    <x v="2"/>
    <s v="Veça"/>
    <n v="3"/>
    <n v="0"/>
    <n v="0"/>
    <n v="3"/>
    <n v="0"/>
    <n v="0"/>
    <n v="0"/>
    <n v="0"/>
  </r>
  <r>
    <x v="101"/>
    <x v="101"/>
    <x v="0"/>
    <s v="Blat tou"/>
    <n v="108"/>
    <n v="0"/>
    <n v="0"/>
    <n v="108"/>
    <n v="0"/>
    <n v="0"/>
    <n v="0"/>
    <n v="0"/>
  </r>
  <r>
    <x v="101"/>
    <x v="101"/>
    <x v="0"/>
    <s v="Ordi"/>
    <n v="462"/>
    <n v="0"/>
    <n v="0"/>
    <n v="462"/>
    <n v="0"/>
    <n v="0"/>
    <n v="0"/>
    <n v="0"/>
  </r>
  <r>
    <x v="101"/>
    <x v="101"/>
    <x v="0"/>
    <s v="Civada"/>
    <n v="13"/>
    <n v="0"/>
    <n v="0"/>
    <n v="13"/>
    <n v="0"/>
    <n v="0"/>
    <n v="0"/>
    <n v="0"/>
  </r>
  <r>
    <x v="101"/>
    <x v="101"/>
    <x v="1"/>
    <s v="Cereals d'hivern per a farratge"/>
    <n v="53"/>
    <n v="0"/>
    <n v="0"/>
    <n v="53"/>
    <n v="0"/>
    <n v="0"/>
    <n v="0"/>
    <n v="0"/>
  </r>
  <r>
    <x v="101"/>
    <x v="101"/>
    <x v="1"/>
    <s v="Alfals"/>
    <n v="3"/>
    <n v="0"/>
    <n v="0"/>
    <n v="3"/>
    <n v="0"/>
    <n v="0"/>
    <n v="0"/>
    <n v="0"/>
  </r>
  <r>
    <x v="101"/>
    <x v="101"/>
    <x v="1"/>
    <s v="Trepadella"/>
    <n v="6"/>
    <n v="0"/>
    <n v="0"/>
    <n v="6"/>
    <n v="0"/>
    <n v="0"/>
    <n v="0"/>
    <n v="0"/>
  </r>
  <r>
    <x v="101"/>
    <x v="101"/>
    <x v="1"/>
    <s v="Festuca"/>
    <n v="2"/>
    <n v="0"/>
    <n v="0"/>
    <n v="2"/>
    <n v="0"/>
    <n v="0"/>
    <n v="0"/>
    <n v="0"/>
  </r>
  <r>
    <x v="101"/>
    <x v="101"/>
    <x v="1"/>
    <s v="Associació Veça - Civada farratgeres"/>
    <n v="2"/>
    <n v="0"/>
    <n v="0"/>
    <n v="2"/>
    <n v="0"/>
    <n v="0"/>
    <n v="0"/>
    <n v="0"/>
  </r>
  <r>
    <x v="101"/>
    <x v="101"/>
    <x v="3"/>
    <s v="Colza"/>
    <n v="91"/>
    <n v="0"/>
    <n v="0"/>
    <n v="91"/>
    <n v="0"/>
    <n v="0"/>
    <n v="0"/>
    <n v="0"/>
  </r>
  <r>
    <x v="101"/>
    <x v="101"/>
    <x v="2"/>
    <s v="Pèsol sec"/>
    <n v="3"/>
    <n v="0"/>
    <n v="0"/>
    <n v="3"/>
    <n v="0"/>
    <n v="0"/>
    <n v="0"/>
    <n v="0"/>
  </r>
  <r>
    <x v="101"/>
    <x v="101"/>
    <x v="2"/>
    <s v="Veça"/>
    <n v="3"/>
    <n v="0"/>
    <n v="0"/>
    <n v="3"/>
    <n v="0"/>
    <n v="0"/>
    <n v="0"/>
    <n v="0"/>
  </r>
  <r>
    <x v="102"/>
    <x v="102"/>
    <x v="0"/>
    <s v="Blat tou"/>
    <n v="23"/>
    <n v="0"/>
    <n v="0"/>
    <n v="23"/>
    <n v="14"/>
    <n v="0"/>
    <n v="0"/>
    <n v="14"/>
  </r>
  <r>
    <x v="102"/>
    <x v="102"/>
    <x v="0"/>
    <s v="Ordi"/>
    <n v="97"/>
    <n v="0"/>
    <n v="0"/>
    <n v="97"/>
    <n v="65"/>
    <n v="3"/>
    <n v="0"/>
    <n v="68"/>
  </r>
  <r>
    <x v="102"/>
    <x v="102"/>
    <x v="0"/>
    <s v="Civada"/>
    <n v="6"/>
    <n v="0"/>
    <n v="0"/>
    <n v="6"/>
    <n v="1"/>
    <n v="0"/>
    <n v="0"/>
    <n v="1"/>
  </r>
  <r>
    <x v="102"/>
    <x v="102"/>
    <x v="0"/>
    <s v="Triticale"/>
    <n v="12"/>
    <n v="0"/>
    <n v="0"/>
    <n v="12"/>
    <n v="0"/>
    <n v="0"/>
    <n v="0"/>
    <n v="0"/>
  </r>
  <r>
    <x v="102"/>
    <x v="102"/>
    <x v="0"/>
    <s v="Blat de moro"/>
    <n v="0"/>
    <n v="0"/>
    <n v="0"/>
    <n v="0"/>
    <n v="1"/>
    <n v="0"/>
    <n v="0"/>
    <n v="1"/>
  </r>
  <r>
    <x v="102"/>
    <x v="102"/>
    <x v="0"/>
    <s v="Mill i melca"/>
    <n v="0"/>
    <n v="0"/>
    <n v="0"/>
    <n v="0"/>
    <n v="0"/>
    <n v="3"/>
    <n v="0"/>
    <n v="3"/>
  </r>
  <r>
    <x v="102"/>
    <x v="102"/>
    <x v="0"/>
    <s v="Espelta"/>
    <n v="1"/>
    <n v="0"/>
    <n v="0"/>
    <n v="1"/>
    <n v="0"/>
    <n v="0"/>
    <n v="0"/>
    <n v="0"/>
  </r>
  <r>
    <x v="102"/>
    <x v="102"/>
    <x v="1"/>
    <s v="Cereals d'hivern per a farratge"/>
    <n v="56"/>
    <n v="0"/>
    <n v="0"/>
    <n v="56"/>
    <n v="13"/>
    <n v="0"/>
    <n v="0"/>
    <n v="13"/>
  </r>
  <r>
    <x v="102"/>
    <x v="102"/>
    <x v="1"/>
    <s v="Blat de moro farratger"/>
    <n v="0"/>
    <n v="0"/>
    <n v="0"/>
    <n v="0"/>
    <n v="4"/>
    <n v="0"/>
    <n v="0"/>
    <n v="4"/>
  </r>
  <r>
    <x v="102"/>
    <x v="102"/>
    <x v="1"/>
    <s v="Raigràs"/>
    <n v="35"/>
    <n v="0"/>
    <n v="0"/>
    <n v="35"/>
    <n v="23"/>
    <n v="0"/>
    <n v="0"/>
    <n v="23"/>
  </r>
  <r>
    <x v="102"/>
    <x v="102"/>
    <x v="1"/>
    <s v="Alfals"/>
    <n v="48"/>
    <n v="0"/>
    <n v="0"/>
    <n v="48"/>
    <n v="30"/>
    <n v="0"/>
    <n v="0"/>
    <n v="30"/>
  </r>
  <r>
    <x v="102"/>
    <x v="102"/>
    <x v="1"/>
    <s v="Trepadella"/>
    <n v="1"/>
    <n v="0"/>
    <n v="0"/>
    <n v="1"/>
    <n v="1"/>
    <n v="0"/>
    <n v="0"/>
    <n v="1"/>
  </r>
  <r>
    <x v="102"/>
    <x v="102"/>
    <x v="1"/>
    <s v="Festuca"/>
    <n v="2"/>
    <n v="0"/>
    <n v="0"/>
    <n v="2"/>
    <n v="0"/>
    <n v="0"/>
    <n v="0"/>
    <n v="0"/>
  </r>
  <r>
    <x v="102"/>
    <x v="102"/>
    <x v="5"/>
    <s v="Plantes ornamentals"/>
    <n v="0"/>
    <n v="0"/>
    <n v="0"/>
    <n v="0"/>
    <n v="2"/>
    <n v="0"/>
    <n v="0"/>
    <n v="2"/>
  </r>
  <r>
    <x v="102"/>
    <x v="102"/>
    <x v="4"/>
    <s v="Enciam"/>
    <n v="0"/>
    <n v="0"/>
    <n v="0"/>
    <n v="0"/>
    <n v="2"/>
    <n v="0"/>
    <n v="0"/>
    <n v="2"/>
  </r>
  <r>
    <x v="102"/>
    <x v="102"/>
    <x v="4"/>
    <s v="Carbassa"/>
    <n v="1"/>
    <n v="0"/>
    <n v="0"/>
    <n v="1"/>
    <n v="0"/>
    <n v="0"/>
    <n v="0"/>
    <n v="0"/>
  </r>
  <r>
    <x v="102"/>
    <x v="102"/>
    <x v="4"/>
    <s v="Ceba"/>
    <n v="0"/>
    <n v="1"/>
    <n v="0"/>
    <n v="1"/>
    <n v="0"/>
    <n v="0"/>
    <n v="0"/>
    <n v="0"/>
  </r>
  <r>
    <x v="102"/>
    <x v="102"/>
    <x v="4"/>
    <s v="Carbassó"/>
    <n v="0"/>
    <n v="0"/>
    <n v="0"/>
    <n v="0"/>
    <n v="1"/>
    <n v="0"/>
    <n v="0"/>
    <n v="1"/>
  </r>
  <r>
    <x v="102"/>
    <x v="102"/>
    <x v="2"/>
    <s v="Mongeta seca"/>
    <n v="1"/>
    <n v="0"/>
    <n v="0"/>
    <n v="1"/>
    <n v="3"/>
    <n v="1"/>
    <n v="0"/>
    <n v="4"/>
  </r>
  <r>
    <x v="102"/>
    <x v="102"/>
    <x v="2"/>
    <s v="Cigró"/>
    <n v="2"/>
    <n v="0"/>
    <n v="0"/>
    <n v="2"/>
    <n v="0"/>
    <n v="0"/>
    <n v="0"/>
    <n v="0"/>
  </r>
  <r>
    <x v="102"/>
    <x v="102"/>
    <x v="2"/>
    <s v="Pèsol sec"/>
    <n v="4"/>
    <n v="1"/>
    <n v="0"/>
    <n v="5"/>
    <n v="0"/>
    <n v="32"/>
    <n v="0"/>
    <n v="32"/>
  </r>
  <r>
    <x v="102"/>
    <x v="102"/>
    <x v="2"/>
    <s v="Favó"/>
    <n v="10"/>
    <n v="0"/>
    <n v="0"/>
    <n v="10"/>
    <n v="2"/>
    <n v="0"/>
    <n v="0"/>
    <n v="2"/>
  </r>
  <r>
    <x v="102"/>
    <x v="102"/>
    <x v="6"/>
    <s v="Patata d'estació mitjana"/>
    <n v="0"/>
    <n v="0"/>
    <n v="0"/>
    <n v="0"/>
    <n v="3"/>
    <n v="0"/>
    <n v="0"/>
    <n v="3"/>
  </r>
  <r>
    <x v="103"/>
    <x v="103"/>
    <x v="0"/>
    <s v="Blat tou"/>
    <n v="22"/>
    <n v="0"/>
    <n v="0"/>
    <n v="22"/>
    <n v="10"/>
    <n v="0"/>
    <n v="0"/>
    <n v="10"/>
  </r>
  <r>
    <x v="103"/>
    <x v="103"/>
    <x v="0"/>
    <s v="Ordi"/>
    <n v="29"/>
    <n v="0"/>
    <n v="0"/>
    <n v="29"/>
    <n v="26"/>
    <n v="1"/>
    <n v="0"/>
    <n v="27"/>
  </r>
  <r>
    <x v="103"/>
    <x v="103"/>
    <x v="0"/>
    <s v="Civada"/>
    <n v="6"/>
    <n v="0"/>
    <n v="0"/>
    <n v="6"/>
    <n v="0"/>
    <n v="1"/>
    <n v="0"/>
    <n v="1"/>
  </r>
  <r>
    <x v="103"/>
    <x v="103"/>
    <x v="0"/>
    <s v="Blat de moro"/>
    <n v="0"/>
    <n v="0"/>
    <n v="0"/>
    <n v="0"/>
    <n v="1"/>
    <n v="0"/>
    <n v="0"/>
    <n v="1"/>
  </r>
  <r>
    <x v="103"/>
    <x v="103"/>
    <x v="1"/>
    <s v="Cereals d'hivern per a farratge"/>
    <n v="60"/>
    <n v="0"/>
    <n v="0"/>
    <n v="60"/>
    <n v="3"/>
    <n v="4"/>
    <n v="0"/>
    <n v="7"/>
  </r>
  <r>
    <x v="103"/>
    <x v="103"/>
    <x v="1"/>
    <s v="Blat de moro farratger"/>
    <n v="0"/>
    <n v="0"/>
    <n v="0"/>
    <n v="0"/>
    <n v="5"/>
    <n v="0"/>
    <n v="0"/>
    <n v="5"/>
  </r>
  <r>
    <x v="103"/>
    <x v="103"/>
    <x v="1"/>
    <s v="Raigràs"/>
    <n v="8"/>
    <n v="0"/>
    <n v="0"/>
    <n v="8"/>
    <n v="0"/>
    <n v="0"/>
    <n v="0"/>
    <n v="0"/>
  </r>
  <r>
    <x v="103"/>
    <x v="103"/>
    <x v="1"/>
    <s v="Alfals"/>
    <n v="12"/>
    <n v="0"/>
    <n v="0"/>
    <n v="12"/>
    <n v="0"/>
    <n v="0"/>
    <n v="0"/>
    <n v="0"/>
  </r>
  <r>
    <x v="103"/>
    <x v="103"/>
    <x v="2"/>
    <s v="Mongeta seca"/>
    <n v="0"/>
    <n v="0"/>
    <n v="0"/>
    <n v="0"/>
    <n v="7"/>
    <n v="1"/>
    <n v="0"/>
    <n v="8"/>
  </r>
  <r>
    <x v="103"/>
    <x v="103"/>
    <x v="2"/>
    <s v="Fava seca"/>
    <n v="0"/>
    <n v="0"/>
    <n v="0"/>
    <n v="0"/>
    <n v="1"/>
    <n v="0"/>
    <n v="0"/>
    <n v="1"/>
  </r>
  <r>
    <x v="103"/>
    <x v="103"/>
    <x v="2"/>
    <s v="Favó"/>
    <n v="1"/>
    <n v="0"/>
    <n v="0"/>
    <n v="1"/>
    <n v="0"/>
    <n v="0"/>
    <n v="0"/>
    <n v="0"/>
  </r>
  <r>
    <x v="103"/>
    <x v="103"/>
    <x v="6"/>
    <s v="Patata d'estació mitjana"/>
    <n v="0"/>
    <n v="0"/>
    <n v="0"/>
    <n v="0"/>
    <n v="4"/>
    <n v="0"/>
    <n v="0"/>
    <n v="4"/>
  </r>
  <r>
    <x v="104"/>
    <x v="104"/>
    <x v="0"/>
    <s v="Blat tou"/>
    <n v="15"/>
    <n v="0"/>
    <n v="0"/>
    <n v="15"/>
    <n v="9"/>
    <n v="0"/>
    <n v="0"/>
    <n v="9"/>
  </r>
  <r>
    <x v="104"/>
    <x v="104"/>
    <x v="0"/>
    <s v="Ordi"/>
    <n v="56"/>
    <n v="0"/>
    <n v="0"/>
    <n v="56"/>
    <n v="28"/>
    <n v="0"/>
    <n v="0"/>
    <n v="28"/>
  </r>
  <r>
    <x v="104"/>
    <x v="104"/>
    <x v="0"/>
    <s v="Civada"/>
    <n v="3"/>
    <n v="0"/>
    <n v="0"/>
    <n v="3"/>
    <n v="1"/>
    <n v="0"/>
    <n v="0"/>
    <n v="1"/>
  </r>
  <r>
    <x v="104"/>
    <x v="104"/>
    <x v="0"/>
    <s v="Blat dur"/>
    <n v="1"/>
    <n v="0"/>
    <n v="0"/>
    <n v="1"/>
    <n v="0"/>
    <n v="0"/>
    <n v="0"/>
    <n v="0"/>
  </r>
  <r>
    <x v="104"/>
    <x v="104"/>
    <x v="1"/>
    <s v="Cereals d'hivern per a farratge"/>
    <n v="31"/>
    <n v="0"/>
    <n v="0"/>
    <n v="31"/>
    <n v="10"/>
    <n v="0"/>
    <n v="0"/>
    <n v="10"/>
  </r>
  <r>
    <x v="104"/>
    <x v="104"/>
    <x v="1"/>
    <s v="Raigràs"/>
    <n v="46"/>
    <n v="0"/>
    <n v="0"/>
    <n v="46"/>
    <n v="10"/>
    <n v="0"/>
    <n v="0"/>
    <n v="10"/>
  </r>
  <r>
    <x v="104"/>
    <x v="104"/>
    <x v="1"/>
    <s v="Alfals"/>
    <n v="41"/>
    <n v="0"/>
    <n v="0"/>
    <n v="41"/>
    <n v="23"/>
    <n v="0"/>
    <n v="0"/>
    <n v="23"/>
  </r>
  <r>
    <x v="104"/>
    <x v="104"/>
    <x v="1"/>
    <s v="Trepadella"/>
    <n v="1"/>
    <n v="0"/>
    <n v="0"/>
    <n v="1"/>
    <n v="2"/>
    <n v="0"/>
    <n v="0"/>
    <n v="2"/>
  </r>
  <r>
    <x v="104"/>
    <x v="104"/>
    <x v="5"/>
    <s v="Plantes ornamentals"/>
    <n v="0"/>
    <n v="0"/>
    <n v="0"/>
    <n v="0"/>
    <n v="3"/>
    <n v="0"/>
    <n v="0"/>
    <n v="3"/>
  </r>
  <r>
    <x v="104"/>
    <x v="104"/>
    <x v="2"/>
    <s v="Pèsol sec"/>
    <n v="2"/>
    <n v="0"/>
    <n v="0"/>
    <n v="2"/>
    <n v="0"/>
    <n v="0"/>
    <n v="0"/>
    <n v="0"/>
  </r>
  <r>
    <x v="105"/>
    <x v="105"/>
    <x v="0"/>
    <s v="Blat tou"/>
    <n v="82"/>
    <n v="0"/>
    <n v="0"/>
    <n v="82"/>
    <n v="0"/>
    <n v="0"/>
    <n v="0"/>
    <n v="0"/>
  </r>
  <r>
    <x v="105"/>
    <x v="105"/>
    <x v="0"/>
    <s v="Ordi"/>
    <n v="181"/>
    <n v="0"/>
    <n v="0"/>
    <n v="181"/>
    <n v="0"/>
    <n v="0"/>
    <n v="0"/>
    <n v="0"/>
  </r>
  <r>
    <x v="105"/>
    <x v="105"/>
    <x v="0"/>
    <s v="Civada"/>
    <n v="1"/>
    <n v="0"/>
    <n v="0"/>
    <n v="1"/>
    <n v="0"/>
    <n v="0"/>
    <n v="0"/>
    <n v="0"/>
  </r>
  <r>
    <x v="105"/>
    <x v="105"/>
    <x v="0"/>
    <s v="Mill i melca"/>
    <n v="1"/>
    <n v="0"/>
    <n v="0"/>
    <n v="1"/>
    <n v="0"/>
    <n v="0"/>
    <n v="0"/>
    <n v="0"/>
  </r>
  <r>
    <x v="105"/>
    <x v="105"/>
    <x v="1"/>
    <s v="Cereals d'hivern per a farratge"/>
    <n v="4"/>
    <n v="0"/>
    <n v="0"/>
    <n v="4"/>
    <n v="0"/>
    <n v="0"/>
    <n v="0"/>
    <n v="0"/>
  </r>
  <r>
    <x v="105"/>
    <x v="105"/>
    <x v="1"/>
    <s v="Sorgo farratger"/>
    <n v="7"/>
    <n v="2"/>
    <n v="0"/>
    <n v="9"/>
    <n v="0"/>
    <n v="0"/>
    <n v="0"/>
    <n v="0"/>
  </r>
  <r>
    <x v="105"/>
    <x v="105"/>
    <x v="1"/>
    <s v="Raigràs"/>
    <n v="122"/>
    <n v="2"/>
    <n v="0"/>
    <n v="124"/>
    <n v="0"/>
    <n v="0"/>
    <n v="0"/>
    <n v="0"/>
  </r>
  <r>
    <x v="105"/>
    <x v="105"/>
    <x v="1"/>
    <s v="Alfals"/>
    <n v="29"/>
    <n v="0"/>
    <n v="0"/>
    <n v="29"/>
    <n v="0"/>
    <n v="0"/>
    <n v="0"/>
    <n v="0"/>
  </r>
  <r>
    <x v="105"/>
    <x v="105"/>
    <x v="1"/>
    <s v="Trepadella"/>
    <n v="11"/>
    <n v="0"/>
    <n v="0"/>
    <n v="11"/>
    <n v="0"/>
    <n v="0"/>
    <n v="0"/>
    <n v="0"/>
  </r>
  <r>
    <x v="105"/>
    <x v="105"/>
    <x v="1"/>
    <s v="Praderes polifites"/>
    <n v="380"/>
    <n v="0"/>
    <n v="0"/>
    <n v="380"/>
    <n v="0"/>
    <n v="0"/>
    <n v="0"/>
    <n v="0"/>
  </r>
  <r>
    <x v="105"/>
    <x v="105"/>
    <x v="1"/>
    <s v="Festuca"/>
    <n v="21"/>
    <n v="0"/>
    <n v="0"/>
    <n v="21"/>
    <n v="0"/>
    <n v="0"/>
    <n v="0"/>
    <n v="0"/>
  </r>
  <r>
    <x v="105"/>
    <x v="105"/>
    <x v="3"/>
    <s v="Gira-sol"/>
    <n v="30"/>
    <n v="0"/>
    <n v="0"/>
    <n v="30"/>
    <n v="0"/>
    <n v="0"/>
    <n v="0"/>
    <n v="0"/>
  </r>
  <r>
    <x v="105"/>
    <x v="105"/>
    <x v="3"/>
    <s v="Colza"/>
    <n v="8"/>
    <n v="0"/>
    <n v="0"/>
    <n v="8"/>
    <n v="0"/>
    <n v="0"/>
    <n v="0"/>
    <n v="0"/>
  </r>
  <r>
    <x v="105"/>
    <x v="105"/>
    <x v="2"/>
    <s v="Fava seca"/>
    <n v="11"/>
    <n v="0"/>
    <n v="0"/>
    <n v="11"/>
    <n v="0"/>
    <n v="0"/>
    <n v="0"/>
    <n v="0"/>
  </r>
  <r>
    <x v="106"/>
    <x v="106"/>
    <x v="0"/>
    <s v="Civada"/>
    <n v="1"/>
    <n v="0"/>
    <n v="0"/>
    <n v="1"/>
    <n v="4"/>
    <n v="0"/>
    <n v="0"/>
    <n v="4"/>
  </r>
  <r>
    <x v="106"/>
    <x v="106"/>
    <x v="1"/>
    <s v="Cereals d'hivern per a farratge"/>
    <n v="1"/>
    <n v="0"/>
    <n v="0"/>
    <n v="1"/>
    <n v="4"/>
    <n v="0"/>
    <n v="0"/>
    <n v="4"/>
  </r>
  <r>
    <x v="106"/>
    <x v="106"/>
    <x v="1"/>
    <s v="Raigràs"/>
    <n v="0"/>
    <n v="0"/>
    <n v="0"/>
    <n v="0"/>
    <n v="3"/>
    <n v="0"/>
    <n v="0"/>
    <n v="3"/>
  </r>
  <r>
    <x v="106"/>
    <x v="106"/>
    <x v="4"/>
    <s v="Col de cabdell"/>
    <n v="0"/>
    <n v="0"/>
    <n v="0"/>
    <n v="0"/>
    <n v="15"/>
    <n v="5"/>
    <n v="0"/>
    <n v="20"/>
  </r>
  <r>
    <x v="106"/>
    <x v="106"/>
    <x v="4"/>
    <s v="Api"/>
    <n v="0"/>
    <n v="0"/>
    <n v="0"/>
    <n v="0"/>
    <n v="15"/>
    <n v="7"/>
    <n v="0"/>
    <n v="22"/>
  </r>
  <r>
    <x v="106"/>
    <x v="106"/>
    <x v="4"/>
    <s v="Enciam"/>
    <n v="0"/>
    <n v="0"/>
    <n v="0"/>
    <n v="0"/>
    <n v="12"/>
    <n v="2"/>
    <n v="0"/>
    <n v="14"/>
  </r>
  <r>
    <x v="106"/>
    <x v="106"/>
    <x v="4"/>
    <s v="Escarola"/>
    <n v="0"/>
    <n v="0"/>
    <n v="0"/>
    <n v="0"/>
    <n v="10"/>
    <n v="6"/>
    <n v="0"/>
    <n v="16"/>
  </r>
  <r>
    <x v="106"/>
    <x v="106"/>
    <x v="4"/>
    <s v="Espinac"/>
    <n v="0"/>
    <n v="0"/>
    <n v="0"/>
    <n v="0"/>
    <n v="10"/>
    <n v="1"/>
    <n v="0"/>
    <n v="11"/>
  </r>
  <r>
    <x v="106"/>
    <x v="106"/>
    <x v="4"/>
    <s v="Bleda"/>
    <n v="0"/>
    <n v="0"/>
    <n v="0"/>
    <n v="0"/>
    <n v="8"/>
    <n v="6"/>
    <n v="0"/>
    <n v="14"/>
  </r>
  <r>
    <x v="106"/>
    <x v="106"/>
    <x v="4"/>
    <s v="Carbassa"/>
    <n v="0"/>
    <n v="0"/>
    <n v="0"/>
    <n v="0"/>
    <n v="4"/>
    <n v="0"/>
    <n v="0"/>
    <n v="4"/>
  </r>
  <r>
    <x v="106"/>
    <x v="106"/>
    <x v="4"/>
    <s v="Cogombre"/>
    <n v="0"/>
    <n v="0"/>
    <n v="0"/>
    <n v="0"/>
    <n v="2"/>
    <n v="10"/>
    <n v="0"/>
    <n v="12"/>
  </r>
  <r>
    <x v="106"/>
    <x v="106"/>
    <x v="4"/>
    <s v="Albergínia"/>
    <n v="0"/>
    <n v="0"/>
    <n v="0"/>
    <n v="0"/>
    <n v="3"/>
    <n v="3"/>
    <n v="0"/>
    <n v="6"/>
  </r>
  <r>
    <x v="106"/>
    <x v="106"/>
    <x v="4"/>
    <s v="Tomàquet"/>
    <n v="0"/>
    <n v="0"/>
    <n v="0"/>
    <n v="0"/>
    <n v="10"/>
    <n v="5"/>
    <n v="0"/>
    <n v="15"/>
  </r>
  <r>
    <x v="106"/>
    <x v="106"/>
    <x v="4"/>
    <s v="Pebrot"/>
    <n v="0"/>
    <n v="0"/>
    <n v="0"/>
    <n v="0"/>
    <n v="2"/>
    <n v="9"/>
    <n v="0"/>
    <n v="11"/>
  </r>
  <r>
    <x v="106"/>
    <x v="106"/>
    <x v="4"/>
    <s v="Maduixa i maduixot"/>
    <n v="0"/>
    <n v="0"/>
    <n v="0"/>
    <n v="0"/>
    <n v="2"/>
    <n v="1"/>
    <n v="0"/>
    <n v="3"/>
  </r>
  <r>
    <x v="106"/>
    <x v="106"/>
    <x v="4"/>
    <s v="Carxofa"/>
    <n v="0"/>
    <n v="0"/>
    <n v="0"/>
    <n v="0"/>
    <n v="5"/>
    <n v="0"/>
    <n v="0"/>
    <n v="5"/>
  </r>
  <r>
    <x v="106"/>
    <x v="106"/>
    <x v="4"/>
    <s v="Coliflor"/>
    <n v="0"/>
    <n v="0"/>
    <n v="0"/>
    <n v="0"/>
    <n v="6"/>
    <n v="6"/>
    <n v="0"/>
    <n v="12"/>
  </r>
  <r>
    <x v="106"/>
    <x v="106"/>
    <x v="4"/>
    <s v="All"/>
    <n v="0"/>
    <n v="0"/>
    <n v="0"/>
    <n v="0"/>
    <n v="1"/>
    <n v="0"/>
    <n v="0"/>
    <n v="1"/>
  </r>
  <r>
    <x v="106"/>
    <x v="106"/>
    <x v="4"/>
    <s v="Ceba"/>
    <n v="0"/>
    <n v="0"/>
    <n v="0"/>
    <n v="0"/>
    <n v="13"/>
    <n v="6"/>
    <n v="0"/>
    <n v="19"/>
  </r>
  <r>
    <x v="106"/>
    <x v="106"/>
    <x v="4"/>
    <s v="Porro"/>
    <n v="0"/>
    <n v="0"/>
    <n v="0"/>
    <n v="0"/>
    <n v="8"/>
    <n v="2"/>
    <n v="0"/>
    <n v="10"/>
  </r>
  <r>
    <x v="106"/>
    <x v="106"/>
    <x v="4"/>
    <s v="Pastanaga"/>
    <n v="0"/>
    <n v="0"/>
    <n v="0"/>
    <n v="0"/>
    <n v="6"/>
    <n v="6"/>
    <n v="0"/>
    <n v="12"/>
  </r>
  <r>
    <x v="106"/>
    <x v="106"/>
    <x v="4"/>
    <s v="Mongeta tendra"/>
    <n v="0"/>
    <n v="0"/>
    <n v="0"/>
    <n v="0"/>
    <n v="1"/>
    <n v="2"/>
    <n v="0"/>
    <n v="3"/>
  </r>
  <r>
    <x v="106"/>
    <x v="106"/>
    <x v="4"/>
    <s v="Pèsol verd"/>
    <n v="0"/>
    <n v="0"/>
    <n v="0"/>
    <n v="0"/>
    <n v="0"/>
    <n v="4"/>
    <n v="0"/>
    <n v="4"/>
  </r>
  <r>
    <x v="106"/>
    <x v="106"/>
    <x v="4"/>
    <s v="Fava tendra"/>
    <n v="0"/>
    <n v="0"/>
    <n v="0"/>
    <n v="0"/>
    <n v="8"/>
    <n v="3"/>
    <n v="0"/>
    <n v="11"/>
  </r>
  <r>
    <x v="106"/>
    <x v="106"/>
    <x v="4"/>
    <s v="Carbassó"/>
    <n v="0"/>
    <n v="0"/>
    <n v="0"/>
    <n v="0"/>
    <n v="0"/>
    <n v="5"/>
    <n v="0"/>
    <n v="5"/>
  </r>
  <r>
    <x v="106"/>
    <x v="106"/>
    <x v="2"/>
    <s v="Mongeta seca"/>
    <n v="0"/>
    <n v="0"/>
    <n v="0"/>
    <n v="0"/>
    <n v="6"/>
    <n v="6"/>
    <n v="0"/>
    <n v="12"/>
  </r>
  <r>
    <x v="106"/>
    <x v="106"/>
    <x v="6"/>
    <s v="Patata primerenca"/>
    <n v="0"/>
    <n v="0"/>
    <n v="0"/>
    <n v="0"/>
    <n v="25"/>
    <n v="0"/>
    <n v="0"/>
    <n v="25"/>
  </r>
  <r>
    <x v="106"/>
    <x v="106"/>
    <x v="6"/>
    <s v="Patata d'estació mitjana"/>
    <n v="0"/>
    <n v="0"/>
    <n v="0"/>
    <n v="0"/>
    <n v="3"/>
    <n v="0"/>
    <n v="0"/>
    <n v="3"/>
  </r>
  <r>
    <x v="106"/>
    <x v="106"/>
    <x v="6"/>
    <s v="Patata tardana"/>
    <n v="0"/>
    <n v="0"/>
    <n v="0"/>
    <n v="0"/>
    <n v="0"/>
    <n v="6"/>
    <n v="0"/>
    <n v="6"/>
  </r>
  <r>
    <x v="107"/>
    <x v="107"/>
    <x v="0"/>
    <s v="Blat tou"/>
    <n v="297"/>
    <n v="0"/>
    <n v="0"/>
    <n v="297"/>
    <n v="6"/>
    <n v="0"/>
    <n v="0"/>
    <n v="6"/>
  </r>
  <r>
    <x v="107"/>
    <x v="107"/>
    <x v="0"/>
    <s v="Ordi"/>
    <n v="178"/>
    <n v="0"/>
    <n v="0"/>
    <n v="178"/>
    <n v="0"/>
    <n v="0"/>
    <n v="0"/>
    <n v="0"/>
  </r>
  <r>
    <x v="107"/>
    <x v="107"/>
    <x v="0"/>
    <s v="Civada"/>
    <n v="1"/>
    <n v="0"/>
    <n v="0"/>
    <n v="1"/>
    <n v="0"/>
    <n v="0"/>
    <n v="0"/>
    <n v="0"/>
  </r>
  <r>
    <x v="107"/>
    <x v="107"/>
    <x v="0"/>
    <s v="Blat de moro"/>
    <n v="5"/>
    <n v="0"/>
    <n v="0"/>
    <n v="5"/>
    <n v="0"/>
    <n v="0"/>
    <n v="0"/>
    <n v="0"/>
  </r>
  <r>
    <x v="107"/>
    <x v="107"/>
    <x v="1"/>
    <s v="Cereals d'hivern per a farratge"/>
    <n v="4"/>
    <n v="0"/>
    <n v="0"/>
    <n v="4"/>
    <n v="0"/>
    <n v="0"/>
    <n v="0"/>
    <n v="0"/>
  </r>
  <r>
    <x v="107"/>
    <x v="107"/>
    <x v="1"/>
    <s v="Blat de moro farratger"/>
    <n v="49"/>
    <n v="50"/>
    <n v="0"/>
    <n v="99"/>
    <n v="0"/>
    <n v="0"/>
    <n v="0"/>
    <n v="0"/>
  </r>
  <r>
    <x v="107"/>
    <x v="107"/>
    <x v="1"/>
    <s v="Sorgo farratger"/>
    <n v="0"/>
    <n v="29"/>
    <n v="0"/>
    <n v="29"/>
    <n v="0"/>
    <n v="0"/>
    <n v="0"/>
    <n v="0"/>
  </r>
  <r>
    <x v="107"/>
    <x v="107"/>
    <x v="1"/>
    <s v="Raigràs"/>
    <n v="46"/>
    <n v="0"/>
    <n v="0"/>
    <n v="46"/>
    <n v="0"/>
    <n v="0"/>
    <n v="0"/>
    <n v="0"/>
  </r>
  <r>
    <x v="107"/>
    <x v="107"/>
    <x v="1"/>
    <s v="Alfals"/>
    <n v="20"/>
    <n v="0"/>
    <n v="0"/>
    <n v="20"/>
    <n v="0"/>
    <n v="0"/>
    <n v="0"/>
    <n v="0"/>
  </r>
  <r>
    <x v="107"/>
    <x v="107"/>
    <x v="1"/>
    <s v="Praderes polifites"/>
    <n v="1"/>
    <n v="0"/>
    <n v="0"/>
    <n v="1"/>
    <n v="0"/>
    <n v="0"/>
    <n v="0"/>
    <n v="0"/>
  </r>
  <r>
    <x v="107"/>
    <x v="107"/>
    <x v="1"/>
    <s v="Associació Veça - Civada farratgeres"/>
    <n v="7"/>
    <n v="0"/>
    <n v="0"/>
    <n v="7"/>
    <n v="0"/>
    <n v="0"/>
    <n v="0"/>
    <n v="0"/>
  </r>
  <r>
    <x v="107"/>
    <x v="107"/>
    <x v="3"/>
    <s v="Gira-sol"/>
    <n v="6"/>
    <n v="0"/>
    <n v="0"/>
    <n v="6"/>
    <n v="0"/>
    <n v="7"/>
    <n v="0"/>
    <n v="7"/>
  </r>
  <r>
    <x v="107"/>
    <x v="107"/>
    <x v="3"/>
    <s v="Colza"/>
    <n v="20"/>
    <n v="0"/>
    <n v="0"/>
    <n v="20"/>
    <n v="0"/>
    <n v="0"/>
    <n v="0"/>
    <n v="0"/>
  </r>
  <r>
    <x v="107"/>
    <x v="107"/>
    <x v="4"/>
    <s v="Carxofa"/>
    <n v="1"/>
    <n v="0"/>
    <n v="0"/>
    <n v="1"/>
    <n v="0"/>
    <n v="0"/>
    <n v="0"/>
    <n v="0"/>
  </r>
  <r>
    <x v="107"/>
    <x v="107"/>
    <x v="2"/>
    <s v="Pèsol sec"/>
    <n v="8"/>
    <n v="0"/>
    <n v="0"/>
    <n v="8"/>
    <n v="0"/>
    <n v="0"/>
    <n v="0"/>
    <n v="0"/>
  </r>
  <r>
    <x v="107"/>
    <x v="107"/>
    <x v="2"/>
    <s v="Veça"/>
    <n v="22"/>
    <n v="0"/>
    <n v="0"/>
    <n v="22"/>
    <n v="0"/>
    <n v="0"/>
    <n v="0"/>
    <n v="0"/>
  </r>
  <r>
    <x v="108"/>
    <x v="108"/>
    <x v="0"/>
    <s v="Blat tou"/>
    <n v="238"/>
    <n v="0"/>
    <n v="0"/>
    <n v="238"/>
    <n v="6"/>
    <n v="0"/>
    <n v="0"/>
    <n v="6"/>
  </r>
  <r>
    <x v="108"/>
    <x v="108"/>
    <x v="0"/>
    <s v="Ordi"/>
    <n v="196"/>
    <n v="0"/>
    <n v="0"/>
    <n v="196"/>
    <n v="30"/>
    <n v="0"/>
    <n v="0"/>
    <n v="30"/>
  </r>
  <r>
    <x v="108"/>
    <x v="108"/>
    <x v="0"/>
    <s v="Civada"/>
    <n v="5"/>
    <n v="0"/>
    <n v="0"/>
    <n v="5"/>
    <n v="3"/>
    <n v="0"/>
    <n v="0"/>
    <n v="3"/>
  </r>
  <r>
    <x v="108"/>
    <x v="108"/>
    <x v="0"/>
    <s v="Triticale"/>
    <n v="1"/>
    <n v="0"/>
    <n v="0"/>
    <n v="1"/>
    <n v="0"/>
    <n v="0"/>
    <n v="0"/>
    <n v="0"/>
  </r>
  <r>
    <x v="108"/>
    <x v="108"/>
    <x v="0"/>
    <s v="Blat de moro"/>
    <n v="3"/>
    <n v="0"/>
    <n v="0"/>
    <n v="3"/>
    <n v="1"/>
    <n v="0"/>
    <n v="0"/>
    <n v="1"/>
  </r>
  <r>
    <x v="108"/>
    <x v="108"/>
    <x v="1"/>
    <s v="Cereals d'hivern per a farratge"/>
    <n v="22"/>
    <n v="0"/>
    <n v="0"/>
    <n v="22"/>
    <n v="9"/>
    <n v="0"/>
    <n v="0"/>
    <n v="9"/>
  </r>
  <r>
    <x v="108"/>
    <x v="108"/>
    <x v="1"/>
    <s v="Blat de moro farratger"/>
    <n v="26"/>
    <n v="100"/>
    <n v="0"/>
    <n v="126"/>
    <n v="11"/>
    <n v="2"/>
    <n v="0"/>
    <n v="13"/>
  </r>
  <r>
    <x v="108"/>
    <x v="108"/>
    <x v="1"/>
    <s v="Sorgo farratger"/>
    <n v="11"/>
    <n v="50"/>
    <n v="0"/>
    <n v="61"/>
    <n v="0"/>
    <n v="7"/>
    <n v="0"/>
    <n v="7"/>
  </r>
  <r>
    <x v="108"/>
    <x v="108"/>
    <x v="1"/>
    <s v="Raigràs"/>
    <n v="122"/>
    <n v="0"/>
    <n v="0"/>
    <n v="122"/>
    <n v="9"/>
    <n v="0"/>
    <n v="0"/>
    <n v="9"/>
  </r>
  <r>
    <x v="108"/>
    <x v="108"/>
    <x v="1"/>
    <s v="Alfals"/>
    <n v="20"/>
    <n v="0"/>
    <n v="0"/>
    <n v="20"/>
    <n v="12"/>
    <n v="0"/>
    <n v="0"/>
    <n v="12"/>
  </r>
  <r>
    <x v="108"/>
    <x v="108"/>
    <x v="1"/>
    <s v="Praderes polifites"/>
    <n v="45"/>
    <n v="0"/>
    <n v="0"/>
    <n v="45"/>
    <n v="0"/>
    <n v="0"/>
    <n v="0"/>
    <n v="0"/>
  </r>
  <r>
    <x v="108"/>
    <x v="108"/>
    <x v="1"/>
    <s v="Associació Veça - Civada farratgeres"/>
    <n v="5"/>
    <n v="0"/>
    <n v="0"/>
    <n v="5"/>
    <n v="0"/>
    <n v="0"/>
    <n v="0"/>
    <n v="0"/>
  </r>
  <r>
    <x v="108"/>
    <x v="108"/>
    <x v="3"/>
    <s v="Gira-sol"/>
    <n v="2"/>
    <n v="0"/>
    <n v="0"/>
    <n v="2"/>
    <n v="0"/>
    <n v="0"/>
    <n v="0"/>
    <n v="0"/>
  </r>
  <r>
    <x v="108"/>
    <x v="108"/>
    <x v="3"/>
    <s v="Colza"/>
    <n v="14"/>
    <n v="0"/>
    <n v="0"/>
    <n v="14"/>
    <n v="0"/>
    <n v="0"/>
    <n v="0"/>
    <n v="0"/>
  </r>
  <r>
    <x v="108"/>
    <x v="108"/>
    <x v="2"/>
    <s v="Pèsol sec"/>
    <n v="8"/>
    <n v="0"/>
    <n v="0"/>
    <n v="8"/>
    <n v="0"/>
    <n v="0"/>
    <n v="0"/>
    <n v="0"/>
  </r>
  <r>
    <x v="108"/>
    <x v="108"/>
    <x v="2"/>
    <s v="Veça"/>
    <n v="6"/>
    <n v="0"/>
    <n v="0"/>
    <n v="6"/>
    <n v="0"/>
    <n v="0"/>
    <n v="0"/>
    <n v="0"/>
  </r>
  <r>
    <x v="108"/>
    <x v="108"/>
    <x v="6"/>
    <s v="Patata d'estació mitjana"/>
    <n v="0"/>
    <n v="0"/>
    <n v="0"/>
    <n v="0"/>
    <n v="1"/>
    <n v="0"/>
    <n v="0"/>
    <n v="1"/>
  </r>
  <r>
    <x v="109"/>
    <x v="109"/>
    <x v="0"/>
    <s v="Blat tou"/>
    <n v="121"/>
    <n v="0"/>
    <n v="0"/>
    <n v="121"/>
    <n v="43"/>
    <n v="0"/>
    <n v="0"/>
    <n v="43"/>
  </r>
  <r>
    <x v="109"/>
    <x v="109"/>
    <x v="0"/>
    <s v="Ordi"/>
    <n v="357"/>
    <n v="0"/>
    <n v="0"/>
    <n v="357"/>
    <n v="106"/>
    <n v="0"/>
    <n v="0"/>
    <n v="106"/>
  </r>
  <r>
    <x v="109"/>
    <x v="109"/>
    <x v="0"/>
    <s v="Civada"/>
    <n v="26"/>
    <n v="0"/>
    <n v="0"/>
    <n v="26"/>
    <n v="3"/>
    <n v="0"/>
    <n v="0"/>
    <n v="3"/>
  </r>
  <r>
    <x v="109"/>
    <x v="109"/>
    <x v="0"/>
    <s v="Mill i melca"/>
    <n v="2"/>
    <n v="0"/>
    <n v="0"/>
    <n v="2"/>
    <n v="0"/>
    <n v="0"/>
    <n v="0"/>
    <n v="0"/>
  </r>
  <r>
    <x v="109"/>
    <x v="109"/>
    <x v="1"/>
    <s v="Cereals d'hivern per a farratge"/>
    <n v="105"/>
    <n v="0"/>
    <n v="0"/>
    <n v="105"/>
    <n v="11"/>
    <n v="0"/>
    <n v="0"/>
    <n v="11"/>
  </r>
  <r>
    <x v="109"/>
    <x v="109"/>
    <x v="1"/>
    <s v="Blat de moro farratger"/>
    <n v="0"/>
    <n v="0"/>
    <n v="0"/>
    <n v="0"/>
    <n v="2"/>
    <n v="0"/>
    <n v="0"/>
    <n v="2"/>
  </r>
  <r>
    <x v="109"/>
    <x v="109"/>
    <x v="1"/>
    <s v="Raigràs"/>
    <n v="3"/>
    <n v="0"/>
    <n v="0"/>
    <n v="3"/>
    <n v="9"/>
    <n v="0"/>
    <n v="0"/>
    <n v="9"/>
  </r>
  <r>
    <x v="109"/>
    <x v="109"/>
    <x v="1"/>
    <s v="Alfals"/>
    <n v="8"/>
    <n v="0"/>
    <n v="0"/>
    <n v="8"/>
    <n v="5"/>
    <n v="0"/>
    <n v="0"/>
    <n v="5"/>
  </r>
  <r>
    <x v="109"/>
    <x v="109"/>
    <x v="1"/>
    <s v="Trepadella"/>
    <n v="1"/>
    <n v="0"/>
    <n v="0"/>
    <n v="1"/>
    <n v="0"/>
    <n v="0"/>
    <n v="0"/>
    <n v="0"/>
  </r>
  <r>
    <x v="109"/>
    <x v="109"/>
    <x v="1"/>
    <s v="Praderes polifites"/>
    <n v="10"/>
    <n v="0"/>
    <n v="0"/>
    <n v="10"/>
    <n v="0"/>
    <n v="0"/>
    <n v="0"/>
    <n v="0"/>
  </r>
  <r>
    <x v="109"/>
    <x v="109"/>
    <x v="1"/>
    <s v="Associació Veça - Civada farratgeres"/>
    <n v="19"/>
    <n v="0"/>
    <n v="0"/>
    <n v="19"/>
    <n v="1"/>
    <n v="0"/>
    <n v="0"/>
    <n v="1"/>
  </r>
  <r>
    <x v="109"/>
    <x v="109"/>
    <x v="3"/>
    <s v="Colza"/>
    <n v="24"/>
    <n v="0"/>
    <n v="0"/>
    <n v="24"/>
    <n v="1"/>
    <n v="0"/>
    <n v="0"/>
    <n v="1"/>
  </r>
  <r>
    <x v="109"/>
    <x v="109"/>
    <x v="4"/>
    <s v="Col de cabdell"/>
    <n v="0"/>
    <n v="0"/>
    <n v="0"/>
    <n v="0"/>
    <n v="3"/>
    <n v="0"/>
    <n v="0"/>
    <n v="3"/>
  </r>
  <r>
    <x v="109"/>
    <x v="109"/>
    <x v="4"/>
    <s v="Enciam"/>
    <n v="0"/>
    <n v="0"/>
    <n v="0"/>
    <n v="0"/>
    <n v="3"/>
    <n v="0"/>
    <n v="0"/>
    <n v="3"/>
  </r>
  <r>
    <x v="109"/>
    <x v="109"/>
    <x v="4"/>
    <s v="Escarola"/>
    <n v="0"/>
    <n v="0"/>
    <n v="0"/>
    <n v="0"/>
    <n v="2"/>
    <n v="0"/>
    <n v="0"/>
    <n v="2"/>
  </r>
  <r>
    <x v="109"/>
    <x v="109"/>
    <x v="4"/>
    <s v="Espinac"/>
    <n v="0"/>
    <n v="0"/>
    <n v="0"/>
    <n v="0"/>
    <n v="2"/>
    <n v="0"/>
    <n v="0"/>
    <n v="2"/>
  </r>
  <r>
    <x v="109"/>
    <x v="109"/>
    <x v="4"/>
    <s v="Bleda"/>
    <n v="0"/>
    <n v="0"/>
    <n v="0"/>
    <n v="0"/>
    <n v="1"/>
    <n v="0"/>
    <n v="0"/>
    <n v="1"/>
  </r>
  <r>
    <x v="109"/>
    <x v="109"/>
    <x v="4"/>
    <s v="Carbassa"/>
    <n v="0"/>
    <n v="0"/>
    <n v="0"/>
    <n v="0"/>
    <n v="1"/>
    <n v="0"/>
    <n v="0"/>
    <n v="1"/>
  </r>
  <r>
    <x v="109"/>
    <x v="109"/>
    <x v="4"/>
    <s v="Albergínia"/>
    <n v="0"/>
    <n v="0"/>
    <n v="0"/>
    <n v="0"/>
    <n v="1"/>
    <n v="0"/>
    <n v="0"/>
    <n v="1"/>
  </r>
  <r>
    <x v="109"/>
    <x v="109"/>
    <x v="4"/>
    <s v="Tomàquet"/>
    <n v="0"/>
    <n v="0"/>
    <n v="0"/>
    <n v="0"/>
    <n v="4"/>
    <n v="0"/>
    <n v="0"/>
    <n v="4"/>
  </r>
  <r>
    <x v="109"/>
    <x v="109"/>
    <x v="4"/>
    <s v="Pebrot"/>
    <n v="0"/>
    <n v="0"/>
    <n v="0"/>
    <n v="0"/>
    <n v="2"/>
    <n v="0"/>
    <n v="0"/>
    <n v="2"/>
  </r>
  <r>
    <x v="109"/>
    <x v="109"/>
    <x v="4"/>
    <s v="Carxofa"/>
    <n v="0"/>
    <n v="0"/>
    <n v="0"/>
    <n v="0"/>
    <n v="2"/>
    <n v="0"/>
    <n v="0"/>
    <n v="2"/>
  </r>
  <r>
    <x v="109"/>
    <x v="109"/>
    <x v="4"/>
    <s v="Coliflor"/>
    <n v="0"/>
    <n v="0"/>
    <n v="0"/>
    <n v="0"/>
    <n v="1"/>
    <n v="0"/>
    <n v="0"/>
    <n v="1"/>
  </r>
  <r>
    <x v="109"/>
    <x v="109"/>
    <x v="4"/>
    <s v="All"/>
    <n v="1"/>
    <n v="0"/>
    <n v="0"/>
    <n v="1"/>
    <n v="0"/>
    <n v="0"/>
    <n v="0"/>
    <n v="0"/>
  </r>
  <r>
    <x v="109"/>
    <x v="109"/>
    <x v="4"/>
    <s v="Ceba"/>
    <n v="0"/>
    <n v="0"/>
    <n v="0"/>
    <n v="0"/>
    <n v="2"/>
    <n v="0"/>
    <n v="0"/>
    <n v="2"/>
  </r>
  <r>
    <x v="109"/>
    <x v="109"/>
    <x v="4"/>
    <s v="Porro"/>
    <n v="0"/>
    <n v="0"/>
    <n v="0"/>
    <n v="0"/>
    <n v="2"/>
    <n v="0"/>
    <n v="0"/>
    <n v="2"/>
  </r>
  <r>
    <x v="109"/>
    <x v="109"/>
    <x v="4"/>
    <s v="Pastanaga"/>
    <n v="0"/>
    <n v="0"/>
    <n v="0"/>
    <n v="0"/>
    <n v="1"/>
    <n v="0"/>
    <n v="0"/>
    <n v="1"/>
  </r>
  <r>
    <x v="109"/>
    <x v="109"/>
    <x v="4"/>
    <s v="Rave"/>
    <n v="0"/>
    <n v="0"/>
    <n v="0"/>
    <n v="0"/>
    <n v="1"/>
    <n v="0"/>
    <n v="0"/>
    <n v="1"/>
  </r>
  <r>
    <x v="109"/>
    <x v="109"/>
    <x v="4"/>
    <s v="Mongeta tendra"/>
    <n v="0"/>
    <n v="0"/>
    <n v="0"/>
    <n v="0"/>
    <n v="1"/>
    <n v="0"/>
    <n v="0"/>
    <n v="1"/>
  </r>
  <r>
    <x v="109"/>
    <x v="109"/>
    <x v="4"/>
    <s v="Pèsol verd"/>
    <n v="0"/>
    <n v="0"/>
    <n v="0"/>
    <n v="0"/>
    <n v="1"/>
    <n v="0"/>
    <n v="0"/>
    <n v="1"/>
  </r>
  <r>
    <x v="109"/>
    <x v="109"/>
    <x v="4"/>
    <s v="Fava tendra"/>
    <n v="0"/>
    <n v="0"/>
    <n v="0"/>
    <n v="0"/>
    <n v="2"/>
    <n v="0"/>
    <n v="0"/>
    <n v="2"/>
  </r>
  <r>
    <x v="109"/>
    <x v="109"/>
    <x v="4"/>
    <s v="Carbassó"/>
    <n v="0"/>
    <n v="0"/>
    <n v="0"/>
    <n v="0"/>
    <n v="1"/>
    <n v="0"/>
    <n v="0"/>
    <n v="1"/>
  </r>
  <r>
    <x v="109"/>
    <x v="109"/>
    <x v="4"/>
    <s v="Bròquil"/>
    <n v="0"/>
    <n v="0"/>
    <n v="0"/>
    <n v="0"/>
    <n v="1"/>
    <n v="0"/>
    <n v="0"/>
    <n v="1"/>
  </r>
  <r>
    <x v="109"/>
    <x v="109"/>
    <x v="2"/>
    <s v="Mongeta seca"/>
    <n v="0"/>
    <n v="0"/>
    <n v="0"/>
    <n v="0"/>
    <n v="0"/>
    <n v="3"/>
    <n v="0"/>
    <n v="3"/>
  </r>
  <r>
    <x v="109"/>
    <x v="109"/>
    <x v="2"/>
    <s v="Fava seca"/>
    <n v="1"/>
    <n v="0"/>
    <n v="0"/>
    <n v="1"/>
    <n v="0"/>
    <n v="0"/>
    <n v="0"/>
    <n v="0"/>
  </r>
  <r>
    <x v="109"/>
    <x v="109"/>
    <x v="2"/>
    <s v="Cigró"/>
    <n v="1"/>
    <n v="0"/>
    <n v="0"/>
    <n v="1"/>
    <n v="0"/>
    <n v="0"/>
    <n v="0"/>
    <n v="0"/>
  </r>
  <r>
    <x v="109"/>
    <x v="109"/>
    <x v="2"/>
    <s v="Pèsol sec"/>
    <n v="11"/>
    <n v="0"/>
    <n v="0"/>
    <n v="11"/>
    <n v="7"/>
    <n v="0"/>
    <n v="0"/>
    <n v="7"/>
  </r>
  <r>
    <x v="109"/>
    <x v="109"/>
    <x v="2"/>
    <s v="Veça"/>
    <n v="5"/>
    <n v="0"/>
    <n v="0"/>
    <n v="5"/>
    <n v="1"/>
    <n v="0"/>
    <n v="0"/>
    <n v="1"/>
  </r>
  <r>
    <x v="109"/>
    <x v="109"/>
    <x v="6"/>
    <s v="Patata d'estació mitjana"/>
    <n v="0"/>
    <n v="0"/>
    <n v="0"/>
    <n v="0"/>
    <n v="3"/>
    <n v="0"/>
    <n v="0"/>
    <n v="3"/>
  </r>
  <r>
    <x v="110"/>
    <x v="110"/>
    <x v="0"/>
    <s v="Blat tou"/>
    <n v="16"/>
    <n v="0"/>
    <n v="0"/>
    <n v="16"/>
    <n v="0"/>
    <n v="0"/>
    <n v="0"/>
    <n v="0"/>
  </r>
  <r>
    <x v="110"/>
    <x v="110"/>
    <x v="0"/>
    <s v="Ordi"/>
    <n v="23"/>
    <n v="0"/>
    <n v="0"/>
    <n v="23"/>
    <n v="0"/>
    <n v="0"/>
    <n v="0"/>
    <n v="0"/>
  </r>
  <r>
    <x v="110"/>
    <x v="110"/>
    <x v="1"/>
    <s v="Raigràs"/>
    <n v="3"/>
    <n v="0"/>
    <n v="0"/>
    <n v="3"/>
    <n v="0"/>
    <n v="0"/>
    <n v="0"/>
    <n v="0"/>
  </r>
  <r>
    <x v="110"/>
    <x v="110"/>
    <x v="1"/>
    <s v="Associació Veça - Civada farratgeres"/>
    <n v="2"/>
    <n v="0"/>
    <n v="0"/>
    <n v="2"/>
    <n v="0"/>
    <n v="0"/>
    <n v="0"/>
    <n v="0"/>
  </r>
  <r>
    <x v="110"/>
    <x v="110"/>
    <x v="3"/>
    <s v="Colza"/>
    <n v="9"/>
    <n v="0"/>
    <n v="0"/>
    <n v="9"/>
    <n v="0"/>
    <n v="0"/>
    <n v="0"/>
    <n v="0"/>
  </r>
  <r>
    <x v="111"/>
    <x v="111"/>
    <x v="0"/>
    <s v="Ordi"/>
    <n v="11"/>
    <n v="0"/>
    <n v="0"/>
    <n v="11"/>
    <n v="0"/>
    <n v="0"/>
    <n v="0"/>
    <n v="0"/>
  </r>
  <r>
    <x v="111"/>
    <x v="111"/>
    <x v="0"/>
    <s v="Civada"/>
    <n v="1"/>
    <n v="0"/>
    <n v="0"/>
    <n v="1"/>
    <n v="0"/>
    <n v="0"/>
    <n v="0"/>
    <n v="0"/>
  </r>
  <r>
    <x v="111"/>
    <x v="111"/>
    <x v="1"/>
    <s v="Raigràs"/>
    <n v="5"/>
    <n v="0"/>
    <n v="0"/>
    <n v="5"/>
    <n v="0"/>
    <n v="0"/>
    <n v="0"/>
    <n v="0"/>
  </r>
  <r>
    <x v="111"/>
    <x v="111"/>
    <x v="1"/>
    <s v="Festuca"/>
    <n v="0"/>
    <n v="0"/>
    <n v="0"/>
    <n v="0"/>
    <n v="1"/>
    <n v="0"/>
    <n v="0"/>
    <n v="1"/>
  </r>
  <r>
    <x v="111"/>
    <x v="111"/>
    <x v="4"/>
    <s v="Col de cabdell"/>
    <n v="0"/>
    <n v="0"/>
    <n v="0"/>
    <n v="0"/>
    <n v="2"/>
    <n v="0"/>
    <n v="0"/>
    <n v="2"/>
  </r>
  <r>
    <x v="111"/>
    <x v="111"/>
    <x v="4"/>
    <s v="Enciam"/>
    <n v="0"/>
    <n v="0"/>
    <n v="0"/>
    <n v="0"/>
    <n v="1"/>
    <n v="0"/>
    <n v="0"/>
    <n v="1"/>
  </r>
  <r>
    <x v="111"/>
    <x v="111"/>
    <x v="4"/>
    <s v="Bleda"/>
    <n v="0"/>
    <n v="0"/>
    <n v="0"/>
    <n v="0"/>
    <n v="2"/>
    <n v="0"/>
    <n v="0"/>
    <n v="2"/>
  </r>
  <r>
    <x v="111"/>
    <x v="111"/>
    <x v="4"/>
    <s v="Carxofa"/>
    <n v="0"/>
    <n v="0"/>
    <n v="0"/>
    <n v="0"/>
    <n v="1"/>
    <n v="0"/>
    <n v="0"/>
    <n v="1"/>
  </r>
  <r>
    <x v="111"/>
    <x v="111"/>
    <x v="4"/>
    <s v="Ceba"/>
    <n v="0"/>
    <n v="0"/>
    <n v="0"/>
    <n v="0"/>
    <n v="1"/>
    <n v="0"/>
    <n v="0"/>
    <n v="1"/>
  </r>
  <r>
    <x v="111"/>
    <x v="111"/>
    <x v="4"/>
    <s v="Fava tendra"/>
    <n v="0"/>
    <n v="0"/>
    <n v="0"/>
    <n v="0"/>
    <n v="2"/>
    <n v="0"/>
    <n v="0"/>
    <n v="2"/>
  </r>
  <r>
    <x v="112"/>
    <x v="112"/>
    <x v="0"/>
    <s v="Blat tou"/>
    <n v="96"/>
    <n v="0"/>
    <n v="0"/>
    <n v="96"/>
    <n v="21"/>
    <n v="0"/>
    <n v="0"/>
    <n v="21"/>
  </r>
  <r>
    <x v="112"/>
    <x v="112"/>
    <x v="0"/>
    <s v="Ordi"/>
    <n v="109"/>
    <n v="0"/>
    <n v="0"/>
    <n v="109"/>
    <n v="17"/>
    <n v="0"/>
    <n v="0"/>
    <n v="17"/>
  </r>
  <r>
    <x v="112"/>
    <x v="112"/>
    <x v="0"/>
    <s v="Civada"/>
    <n v="3"/>
    <n v="0"/>
    <n v="0"/>
    <n v="3"/>
    <n v="0"/>
    <n v="0"/>
    <n v="0"/>
    <n v="0"/>
  </r>
  <r>
    <x v="112"/>
    <x v="112"/>
    <x v="0"/>
    <s v="Blat de moro"/>
    <n v="1"/>
    <n v="0"/>
    <n v="0"/>
    <n v="1"/>
    <n v="0"/>
    <n v="0"/>
    <n v="0"/>
    <n v="0"/>
  </r>
  <r>
    <x v="112"/>
    <x v="112"/>
    <x v="0"/>
    <s v="Mill i melca"/>
    <n v="0"/>
    <n v="1"/>
    <n v="0"/>
    <n v="1"/>
    <n v="0"/>
    <n v="0"/>
    <n v="0"/>
    <n v="0"/>
  </r>
  <r>
    <x v="112"/>
    <x v="112"/>
    <x v="1"/>
    <s v="Cereals d'hivern per a farratge"/>
    <n v="12"/>
    <n v="0"/>
    <n v="0"/>
    <n v="12"/>
    <n v="0"/>
    <n v="0"/>
    <n v="0"/>
    <n v="0"/>
  </r>
  <r>
    <x v="112"/>
    <x v="112"/>
    <x v="1"/>
    <s v="Blat de moro farratger"/>
    <n v="12"/>
    <n v="54"/>
    <n v="0"/>
    <n v="66"/>
    <n v="0"/>
    <n v="9"/>
    <n v="0"/>
    <n v="9"/>
  </r>
  <r>
    <x v="112"/>
    <x v="112"/>
    <x v="1"/>
    <s v="Sorgo farratger"/>
    <n v="1"/>
    <n v="0"/>
    <n v="0"/>
    <n v="1"/>
    <n v="0"/>
    <n v="24"/>
    <n v="0"/>
    <n v="24"/>
  </r>
  <r>
    <x v="112"/>
    <x v="112"/>
    <x v="1"/>
    <s v="Raigràs"/>
    <n v="75"/>
    <n v="0"/>
    <n v="0"/>
    <n v="75"/>
    <n v="0"/>
    <n v="0"/>
    <n v="0"/>
    <n v="0"/>
  </r>
  <r>
    <x v="112"/>
    <x v="112"/>
    <x v="1"/>
    <s v="Alfals"/>
    <n v="8"/>
    <n v="0"/>
    <n v="0"/>
    <n v="8"/>
    <n v="0"/>
    <n v="0"/>
    <n v="0"/>
    <n v="0"/>
  </r>
  <r>
    <x v="112"/>
    <x v="112"/>
    <x v="1"/>
    <s v="Praderes polifites"/>
    <n v="34"/>
    <n v="0"/>
    <n v="0"/>
    <n v="34"/>
    <n v="0"/>
    <n v="0"/>
    <n v="0"/>
    <n v="0"/>
  </r>
  <r>
    <x v="112"/>
    <x v="112"/>
    <x v="3"/>
    <s v="Colza"/>
    <n v="9"/>
    <n v="0"/>
    <n v="0"/>
    <n v="9"/>
    <n v="0"/>
    <n v="0"/>
    <n v="0"/>
    <n v="0"/>
  </r>
  <r>
    <x v="112"/>
    <x v="112"/>
    <x v="4"/>
    <s v="Ceba"/>
    <n v="0"/>
    <n v="0"/>
    <n v="0"/>
    <n v="0"/>
    <n v="1"/>
    <n v="0"/>
    <n v="0"/>
    <n v="1"/>
  </r>
  <r>
    <x v="112"/>
    <x v="112"/>
    <x v="2"/>
    <s v="Veça"/>
    <n v="23"/>
    <n v="0"/>
    <n v="0"/>
    <n v="23"/>
    <n v="0"/>
    <n v="0"/>
    <n v="0"/>
    <n v="0"/>
  </r>
  <r>
    <x v="112"/>
    <x v="112"/>
    <x v="6"/>
    <s v="Patata d'estació mitjana"/>
    <n v="1"/>
    <n v="0"/>
    <n v="0"/>
    <n v="1"/>
    <n v="0"/>
    <n v="0"/>
    <n v="0"/>
    <n v="0"/>
  </r>
  <r>
    <x v="113"/>
    <x v="113"/>
    <x v="0"/>
    <s v="Blat tou"/>
    <n v="110"/>
    <n v="0"/>
    <n v="0"/>
    <n v="110"/>
    <n v="17"/>
    <n v="0"/>
    <n v="0"/>
    <n v="17"/>
  </r>
  <r>
    <x v="113"/>
    <x v="113"/>
    <x v="0"/>
    <s v="Ordi"/>
    <n v="118"/>
    <n v="0"/>
    <n v="0"/>
    <n v="118"/>
    <n v="25"/>
    <n v="0"/>
    <n v="0"/>
    <n v="25"/>
  </r>
  <r>
    <x v="113"/>
    <x v="113"/>
    <x v="0"/>
    <s v="Civada"/>
    <n v="1"/>
    <n v="1"/>
    <n v="0"/>
    <n v="2"/>
    <n v="0"/>
    <n v="0"/>
    <n v="0"/>
    <n v="0"/>
  </r>
  <r>
    <x v="113"/>
    <x v="113"/>
    <x v="0"/>
    <s v="Blat de moro"/>
    <n v="0"/>
    <n v="0"/>
    <n v="0"/>
    <n v="0"/>
    <n v="3"/>
    <n v="0"/>
    <n v="0"/>
    <n v="3"/>
  </r>
  <r>
    <x v="113"/>
    <x v="113"/>
    <x v="1"/>
    <s v="Cereals d'hivern per a farratge"/>
    <n v="4"/>
    <n v="6"/>
    <n v="0"/>
    <n v="10"/>
    <n v="0"/>
    <n v="0"/>
    <n v="0"/>
    <n v="0"/>
  </r>
  <r>
    <x v="113"/>
    <x v="113"/>
    <x v="1"/>
    <s v="Blat de moro farratger"/>
    <n v="4"/>
    <n v="47"/>
    <n v="0"/>
    <n v="51"/>
    <n v="24"/>
    <n v="4"/>
    <n v="0"/>
    <n v="28"/>
  </r>
  <r>
    <x v="113"/>
    <x v="113"/>
    <x v="1"/>
    <s v="Sorgo farratger"/>
    <n v="0"/>
    <n v="30"/>
    <n v="0"/>
    <n v="30"/>
    <n v="0"/>
    <n v="6"/>
    <n v="0"/>
    <n v="6"/>
  </r>
  <r>
    <x v="113"/>
    <x v="113"/>
    <x v="1"/>
    <s v="Raigràs"/>
    <n v="228"/>
    <n v="0"/>
    <n v="0"/>
    <n v="228"/>
    <n v="12"/>
    <n v="0"/>
    <n v="0"/>
    <n v="12"/>
  </r>
  <r>
    <x v="113"/>
    <x v="113"/>
    <x v="1"/>
    <s v="Alfals"/>
    <n v="44"/>
    <n v="0"/>
    <n v="0"/>
    <n v="44"/>
    <n v="0"/>
    <n v="0"/>
    <n v="0"/>
    <n v="0"/>
  </r>
  <r>
    <x v="113"/>
    <x v="113"/>
    <x v="1"/>
    <s v="Praderes polifites"/>
    <n v="37"/>
    <n v="0"/>
    <n v="0"/>
    <n v="37"/>
    <n v="0"/>
    <n v="0"/>
    <n v="0"/>
    <n v="0"/>
  </r>
  <r>
    <x v="113"/>
    <x v="113"/>
    <x v="1"/>
    <s v="Associació Veça - Civada farratgeres"/>
    <n v="3"/>
    <n v="0"/>
    <n v="0"/>
    <n v="3"/>
    <n v="0"/>
    <n v="0"/>
    <n v="0"/>
    <n v="0"/>
  </r>
  <r>
    <x v="113"/>
    <x v="113"/>
    <x v="3"/>
    <s v="Colza"/>
    <n v="15"/>
    <n v="0"/>
    <n v="0"/>
    <n v="15"/>
    <n v="1"/>
    <n v="0"/>
    <n v="0"/>
    <n v="1"/>
  </r>
  <r>
    <x v="113"/>
    <x v="113"/>
    <x v="4"/>
    <s v="Tomàquet"/>
    <n v="0"/>
    <n v="0"/>
    <n v="0"/>
    <n v="0"/>
    <n v="1"/>
    <n v="0"/>
    <n v="0"/>
    <n v="1"/>
  </r>
  <r>
    <x v="113"/>
    <x v="113"/>
    <x v="4"/>
    <s v="Fava tendra"/>
    <n v="0"/>
    <n v="0"/>
    <n v="0"/>
    <n v="0"/>
    <n v="1"/>
    <n v="0"/>
    <n v="0"/>
    <n v="1"/>
  </r>
  <r>
    <x v="113"/>
    <x v="113"/>
    <x v="2"/>
    <s v="Pèsol sec"/>
    <n v="8"/>
    <n v="0"/>
    <n v="0"/>
    <n v="8"/>
    <n v="0"/>
    <n v="0"/>
    <n v="0"/>
    <n v="0"/>
  </r>
  <r>
    <x v="113"/>
    <x v="113"/>
    <x v="6"/>
    <s v="Patata d'estació mitjana"/>
    <n v="1"/>
    <n v="0"/>
    <n v="0"/>
    <n v="1"/>
    <n v="0"/>
    <n v="0"/>
    <n v="0"/>
    <n v="0"/>
  </r>
  <r>
    <x v="114"/>
    <x v="114"/>
    <x v="5"/>
    <s v="Plantes ornamentals"/>
    <n v="0"/>
    <n v="0"/>
    <n v="0"/>
    <n v="0"/>
    <n v="5"/>
    <n v="2"/>
    <n v="0"/>
    <n v="7"/>
  </r>
  <r>
    <x v="114"/>
    <x v="114"/>
    <x v="4"/>
    <s v="Col de cabdell"/>
    <n v="0"/>
    <n v="0"/>
    <n v="0"/>
    <n v="0"/>
    <n v="0"/>
    <n v="1"/>
    <n v="0"/>
    <n v="1"/>
  </r>
  <r>
    <x v="114"/>
    <x v="114"/>
    <x v="4"/>
    <s v="Api"/>
    <n v="0"/>
    <n v="0"/>
    <n v="0"/>
    <n v="0"/>
    <n v="0"/>
    <n v="1"/>
    <n v="0"/>
    <n v="1"/>
  </r>
  <r>
    <x v="114"/>
    <x v="114"/>
    <x v="4"/>
    <s v="Enciam"/>
    <n v="0"/>
    <n v="0"/>
    <n v="0"/>
    <n v="0"/>
    <n v="0"/>
    <n v="1"/>
    <n v="0"/>
    <n v="1"/>
  </r>
  <r>
    <x v="114"/>
    <x v="114"/>
    <x v="4"/>
    <s v="Tomàquet"/>
    <n v="0"/>
    <n v="0"/>
    <n v="0"/>
    <n v="0"/>
    <n v="1"/>
    <n v="0"/>
    <n v="0"/>
    <n v="1"/>
  </r>
  <r>
    <x v="114"/>
    <x v="114"/>
    <x v="4"/>
    <s v="Ceba"/>
    <n v="0"/>
    <n v="0"/>
    <n v="0"/>
    <n v="0"/>
    <n v="1"/>
    <n v="0"/>
    <n v="0"/>
    <n v="1"/>
  </r>
  <r>
    <x v="114"/>
    <x v="114"/>
    <x v="4"/>
    <s v="Porro"/>
    <n v="0"/>
    <n v="0"/>
    <n v="0"/>
    <n v="0"/>
    <n v="0"/>
    <n v="1"/>
    <n v="0"/>
    <n v="1"/>
  </r>
  <r>
    <x v="114"/>
    <x v="114"/>
    <x v="4"/>
    <s v="Mongeta tendra"/>
    <n v="0"/>
    <n v="0"/>
    <n v="0"/>
    <n v="0"/>
    <n v="1"/>
    <n v="0"/>
    <n v="0"/>
    <n v="1"/>
  </r>
  <r>
    <x v="114"/>
    <x v="114"/>
    <x v="4"/>
    <s v="Fava tendra"/>
    <n v="0"/>
    <n v="0"/>
    <n v="0"/>
    <n v="0"/>
    <n v="1"/>
    <n v="0"/>
    <n v="0"/>
    <n v="1"/>
  </r>
  <r>
    <x v="114"/>
    <x v="114"/>
    <x v="4"/>
    <s v="Carbassó"/>
    <n v="0"/>
    <n v="0"/>
    <n v="0"/>
    <n v="0"/>
    <n v="0"/>
    <n v="1"/>
    <n v="0"/>
    <n v="1"/>
  </r>
  <r>
    <x v="114"/>
    <x v="114"/>
    <x v="2"/>
    <s v="Mongeta seca"/>
    <n v="0"/>
    <n v="0"/>
    <n v="0"/>
    <n v="0"/>
    <n v="0"/>
    <n v="1"/>
    <n v="0"/>
    <n v="1"/>
  </r>
  <r>
    <x v="115"/>
    <x v="115"/>
    <x v="0"/>
    <s v="Blat tou"/>
    <n v="6"/>
    <n v="0"/>
    <n v="0"/>
    <n v="6"/>
    <n v="0"/>
    <n v="0"/>
    <n v="0"/>
    <n v="0"/>
  </r>
  <r>
    <x v="115"/>
    <x v="115"/>
    <x v="0"/>
    <s v="Ordi"/>
    <n v="58"/>
    <n v="0"/>
    <n v="0"/>
    <n v="58"/>
    <n v="0"/>
    <n v="0"/>
    <n v="0"/>
    <n v="0"/>
  </r>
  <r>
    <x v="115"/>
    <x v="115"/>
    <x v="1"/>
    <s v="Cereals d'hivern per a farratge"/>
    <n v="1"/>
    <n v="0"/>
    <n v="0"/>
    <n v="1"/>
    <n v="0"/>
    <n v="0"/>
    <n v="0"/>
    <n v="0"/>
  </r>
  <r>
    <x v="115"/>
    <x v="115"/>
    <x v="1"/>
    <s v="Alfals"/>
    <n v="8"/>
    <n v="0"/>
    <n v="0"/>
    <n v="8"/>
    <n v="0"/>
    <n v="0"/>
    <n v="0"/>
    <n v="0"/>
  </r>
  <r>
    <x v="115"/>
    <x v="115"/>
    <x v="1"/>
    <s v="Trepadella"/>
    <n v="1"/>
    <n v="0"/>
    <n v="0"/>
    <n v="1"/>
    <n v="0"/>
    <n v="0"/>
    <n v="0"/>
    <n v="0"/>
  </r>
  <r>
    <x v="115"/>
    <x v="115"/>
    <x v="1"/>
    <s v="Associació Veça - Civada farratgeres"/>
    <n v="3"/>
    <n v="0"/>
    <n v="0"/>
    <n v="3"/>
    <n v="0"/>
    <n v="0"/>
    <n v="0"/>
    <n v="0"/>
  </r>
  <r>
    <x v="115"/>
    <x v="115"/>
    <x v="4"/>
    <s v="Enciam"/>
    <n v="0"/>
    <n v="0"/>
    <n v="0"/>
    <n v="0"/>
    <n v="1"/>
    <n v="0"/>
    <n v="0"/>
    <n v="1"/>
  </r>
  <r>
    <x v="115"/>
    <x v="115"/>
    <x v="4"/>
    <s v="Albergínia"/>
    <n v="0"/>
    <n v="0"/>
    <n v="0"/>
    <n v="0"/>
    <n v="2"/>
    <n v="0"/>
    <n v="0"/>
    <n v="2"/>
  </r>
  <r>
    <x v="115"/>
    <x v="115"/>
    <x v="4"/>
    <s v="Tomàquet"/>
    <n v="0"/>
    <n v="0"/>
    <n v="0"/>
    <n v="0"/>
    <n v="3"/>
    <n v="0"/>
    <n v="0"/>
    <n v="3"/>
  </r>
  <r>
    <x v="115"/>
    <x v="115"/>
    <x v="4"/>
    <s v="Pebrot"/>
    <n v="0"/>
    <n v="0"/>
    <n v="0"/>
    <n v="0"/>
    <n v="2"/>
    <n v="0"/>
    <n v="0"/>
    <n v="2"/>
  </r>
  <r>
    <x v="115"/>
    <x v="115"/>
    <x v="4"/>
    <s v="Bròquil"/>
    <n v="0"/>
    <n v="0"/>
    <n v="0"/>
    <n v="0"/>
    <n v="1"/>
    <n v="0"/>
    <n v="0"/>
    <n v="1"/>
  </r>
  <r>
    <x v="115"/>
    <x v="115"/>
    <x v="2"/>
    <s v="Veça"/>
    <n v="63"/>
    <n v="0"/>
    <n v="0"/>
    <n v="63"/>
    <n v="1"/>
    <n v="0"/>
    <n v="0"/>
    <n v="1"/>
  </r>
  <r>
    <x v="116"/>
    <x v="116"/>
    <x v="0"/>
    <s v="Ordi"/>
    <n v="5"/>
    <n v="0"/>
    <n v="0"/>
    <n v="5"/>
    <n v="0"/>
    <n v="0"/>
    <n v="0"/>
    <n v="0"/>
  </r>
  <r>
    <x v="116"/>
    <x v="116"/>
    <x v="0"/>
    <s v="Civada"/>
    <n v="5"/>
    <n v="0"/>
    <n v="0"/>
    <n v="5"/>
    <n v="0"/>
    <n v="0"/>
    <n v="0"/>
    <n v="0"/>
  </r>
  <r>
    <x v="117"/>
    <x v="117"/>
    <x v="1"/>
    <s v="Associació Veça - Civada farratgeres"/>
    <n v="1"/>
    <n v="0"/>
    <n v="0"/>
    <n v="1"/>
    <n v="0"/>
    <n v="0"/>
    <n v="0"/>
    <n v="0"/>
  </r>
  <r>
    <x v="117"/>
    <x v="117"/>
    <x v="5"/>
    <s v="Altres flors"/>
    <n v="0"/>
    <n v="0"/>
    <n v="0"/>
    <n v="0"/>
    <n v="2"/>
    <n v="0"/>
    <n v="0"/>
    <n v="2"/>
  </r>
  <r>
    <x v="117"/>
    <x v="117"/>
    <x v="5"/>
    <s v="Plantes ornamentals"/>
    <n v="0"/>
    <n v="0"/>
    <n v="0"/>
    <n v="0"/>
    <n v="10"/>
    <n v="6"/>
    <n v="0"/>
    <n v="16"/>
  </r>
  <r>
    <x v="117"/>
    <x v="117"/>
    <x v="4"/>
    <s v="Col de cabdell"/>
    <n v="0"/>
    <n v="0"/>
    <n v="0"/>
    <n v="0"/>
    <n v="5"/>
    <n v="0"/>
    <n v="0"/>
    <n v="5"/>
  </r>
  <r>
    <x v="117"/>
    <x v="117"/>
    <x v="4"/>
    <s v="Api"/>
    <n v="0"/>
    <n v="0"/>
    <n v="0"/>
    <n v="0"/>
    <n v="6"/>
    <n v="4"/>
    <n v="0"/>
    <n v="10"/>
  </r>
  <r>
    <x v="117"/>
    <x v="117"/>
    <x v="4"/>
    <s v="Enciam"/>
    <n v="0"/>
    <n v="0"/>
    <n v="0"/>
    <n v="0"/>
    <n v="5"/>
    <n v="1"/>
    <n v="0"/>
    <n v="6"/>
  </r>
  <r>
    <x v="117"/>
    <x v="117"/>
    <x v="4"/>
    <s v="Escarola"/>
    <n v="0"/>
    <n v="0"/>
    <n v="0"/>
    <n v="0"/>
    <n v="4"/>
    <n v="2"/>
    <n v="0"/>
    <n v="6"/>
  </r>
  <r>
    <x v="117"/>
    <x v="117"/>
    <x v="4"/>
    <s v="Espinac"/>
    <n v="0"/>
    <n v="0"/>
    <n v="0"/>
    <n v="0"/>
    <n v="6"/>
    <n v="2"/>
    <n v="0"/>
    <n v="8"/>
  </r>
  <r>
    <x v="117"/>
    <x v="117"/>
    <x v="4"/>
    <s v="Bleda"/>
    <n v="0"/>
    <n v="0"/>
    <n v="0"/>
    <n v="0"/>
    <n v="3"/>
    <n v="2"/>
    <n v="0"/>
    <n v="5"/>
  </r>
  <r>
    <x v="117"/>
    <x v="117"/>
    <x v="4"/>
    <s v="Carbassa"/>
    <n v="0"/>
    <n v="0"/>
    <n v="0"/>
    <n v="0"/>
    <n v="5"/>
    <n v="0"/>
    <n v="0"/>
    <n v="5"/>
  </r>
  <r>
    <x v="117"/>
    <x v="117"/>
    <x v="4"/>
    <s v="Cogombre"/>
    <n v="0"/>
    <n v="0"/>
    <n v="0"/>
    <n v="0"/>
    <n v="4"/>
    <n v="4"/>
    <n v="0"/>
    <n v="8"/>
  </r>
  <r>
    <x v="117"/>
    <x v="117"/>
    <x v="4"/>
    <s v="Albergínia"/>
    <n v="0"/>
    <n v="0"/>
    <n v="0"/>
    <n v="0"/>
    <n v="4"/>
    <n v="1"/>
    <n v="0"/>
    <n v="5"/>
  </r>
  <r>
    <x v="117"/>
    <x v="117"/>
    <x v="4"/>
    <s v="Tomàquet"/>
    <n v="0"/>
    <n v="0"/>
    <n v="0"/>
    <n v="0"/>
    <n v="8"/>
    <n v="3"/>
    <n v="0"/>
    <n v="11"/>
  </r>
  <r>
    <x v="117"/>
    <x v="117"/>
    <x v="4"/>
    <s v="Pebrot"/>
    <n v="0"/>
    <n v="0"/>
    <n v="0"/>
    <n v="0"/>
    <n v="4"/>
    <n v="5"/>
    <n v="0"/>
    <n v="9"/>
  </r>
  <r>
    <x v="117"/>
    <x v="117"/>
    <x v="4"/>
    <s v="Carxofa"/>
    <n v="0"/>
    <n v="0"/>
    <n v="0"/>
    <n v="0"/>
    <n v="5"/>
    <n v="0"/>
    <n v="0"/>
    <n v="5"/>
  </r>
  <r>
    <x v="117"/>
    <x v="117"/>
    <x v="4"/>
    <s v="Coliflor"/>
    <n v="0"/>
    <n v="0"/>
    <n v="0"/>
    <n v="0"/>
    <n v="7"/>
    <n v="3"/>
    <n v="0"/>
    <n v="10"/>
  </r>
  <r>
    <x v="117"/>
    <x v="117"/>
    <x v="4"/>
    <s v="All"/>
    <n v="0"/>
    <n v="0"/>
    <n v="0"/>
    <n v="0"/>
    <n v="0"/>
    <n v="1"/>
    <n v="0"/>
    <n v="1"/>
  </r>
  <r>
    <x v="117"/>
    <x v="117"/>
    <x v="4"/>
    <s v="Ceba"/>
    <n v="0"/>
    <n v="0"/>
    <n v="0"/>
    <n v="0"/>
    <n v="8"/>
    <n v="4"/>
    <n v="0"/>
    <n v="12"/>
  </r>
  <r>
    <x v="117"/>
    <x v="117"/>
    <x v="4"/>
    <s v="Pastanaga"/>
    <n v="0"/>
    <n v="0"/>
    <n v="0"/>
    <n v="0"/>
    <n v="5"/>
    <n v="4"/>
    <n v="0"/>
    <n v="9"/>
  </r>
  <r>
    <x v="117"/>
    <x v="117"/>
    <x v="4"/>
    <s v="Rave"/>
    <n v="0"/>
    <n v="0"/>
    <n v="0"/>
    <n v="0"/>
    <n v="3"/>
    <n v="2"/>
    <n v="0"/>
    <n v="5"/>
  </r>
  <r>
    <x v="117"/>
    <x v="117"/>
    <x v="4"/>
    <s v="Mongeta tendra"/>
    <n v="0"/>
    <n v="0"/>
    <n v="0"/>
    <n v="0"/>
    <n v="4"/>
    <n v="1"/>
    <n v="0"/>
    <n v="5"/>
  </r>
  <r>
    <x v="117"/>
    <x v="117"/>
    <x v="4"/>
    <s v="Pèsol verd"/>
    <n v="0"/>
    <n v="0"/>
    <n v="0"/>
    <n v="0"/>
    <n v="0"/>
    <n v="3"/>
    <n v="0"/>
    <n v="3"/>
  </r>
  <r>
    <x v="117"/>
    <x v="117"/>
    <x v="4"/>
    <s v="Fava tendra"/>
    <n v="0"/>
    <n v="0"/>
    <n v="0"/>
    <n v="0"/>
    <n v="4"/>
    <n v="4"/>
    <n v="0"/>
    <n v="8"/>
  </r>
  <r>
    <x v="117"/>
    <x v="117"/>
    <x v="4"/>
    <s v="Carbassó"/>
    <n v="0"/>
    <n v="0"/>
    <n v="0"/>
    <n v="0"/>
    <n v="5"/>
    <n v="5"/>
    <n v="0"/>
    <n v="10"/>
  </r>
  <r>
    <x v="117"/>
    <x v="117"/>
    <x v="2"/>
    <s v="Mongeta seca"/>
    <n v="0"/>
    <n v="0"/>
    <n v="0"/>
    <n v="0"/>
    <n v="1"/>
    <n v="1"/>
    <n v="0"/>
    <n v="2"/>
  </r>
  <r>
    <x v="117"/>
    <x v="117"/>
    <x v="6"/>
    <s v="Patata primerenca"/>
    <n v="0"/>
    <n v="0"/>
    <n v="0"/>
    <n v="0"/>
    <n v="10"/>
    <n v="0"/>
    <n v="0"/>
    <n v="10"/>
  </r>
  <r>
    <x v="117"/>
    <x v="117"/>
    <x v="6"/>
    <s v="Patata d'estació mitjana"/>
    <n v="0"/>
    <n v="0"/>
    <n v="0"/>
    <n v="0"/>
    <n v="1"/>
    <n v="0"/>
    <n v="0"/>
    <n v="1"/>
  </r>
  <r>
    <x v="117"/>
    <x v="117"/>
    <x v="6"/>
    <s v="Patata tardana"/>
    <n v="0"/>
    <n v="0"/>
    <n v="0"/>
    <n v="0"/>
    <n v="0"/>
    <n v="4"/>
    <n v="0"/>
    <n v="4"/>
  </r>
  <r>
    <x v="118"/>
    <x v="118"/>
    <x v="0"/>
    <s v="Blat tou"/>
    <n v="40"/>
    <n v="0"/>
    <n v="0"/>
    <n v="40"/>
    <n v="0"/>
    <n v="0"/>
    <n v="0"/>
    <n v="0"/>
  </r>
  <r>
    <x v="118"/>
    <x v="118"/>
    <x v="0"/>
    <s v="Ordi"/>
    <n v="179"/>
    <n v="0"/>
    <n v="0"/>
    <n v="179"/>
    <n v="0"/>
    <n v="0"/>
    <n v="0"/>
    <n v="0"/>
  </r>
  <r>
    <x v="118"/>
    <x v="118"/>
    <x v="0"/>
    <s v="Civada"/>
    <n v="47"/>
    <n v="0"/>
    <n v="0"/>
    <n v="47"/>
    <n v="0"/>
    <n v="0"/>
    <n v="0"/>
    <n v="0"/>
  </r>
  <r>
    <x v="118"/>
    <x v="118"/>
    <x v="1"/>
    <s v="Alfals"/>
    <n v="6"/>
    <n v="0"/>
    <n v="0"/>
    <n v="6"/>
    <n v="0"/>
    <n v="0"/>
    <n v="0"/>
    <n v="0"/>
  </r>
  <r>
    <x v="118"/>
    <x v="118"/>
    <x v="1"/>
    <s v="Trepadella"/>
    <n v="22"/>
    <n v="0"/>
    <n v="0"/>
    <n v="22"/>
    <n v="0"/>
    <n v="0"/>
    <n v="0"/>
    <n v="0"/>
  </r>
  <r>
    <x v="118"/>
    <x v="118"/>
    <x v="3"/>
    <s v="Colza"/>
    <n v="77"/>
    <n v="0"/>
    <n v="0"/>
    <n v="77"/>
    <n v="0"/>
    <n v="0"/>
    <n v="0"/>
    <n v="0"/>
  </r>
  <r>
    <x v="118"/>
    <x v="118"/>
    <x v="4"/>
    <s v="Tomàquet"/>
    <n v="6"/>
    <n v="0"/>
    <n v="0"/>
    <n v="6"/>
    <n v="0"/>
    <n v="0"/>
    <n v="0"/>
    <n v="0"/>
  </r>
  <r>
    <x v="118"/>
    <x v="118"/>
    <x v="2"/>
    <s v="Veça"/>
    <n v="4"/>
    <n v="0"/>
    <n v="0"/>
    <n v="4"/>
    <n v="0"/>
    <n v="0"/>
    <n v="0"/>
    <n v="0"/>
  </r>
  <r>
    <x v="119"/>
    <x v="119"/>
    <x v="0"/>
    <s v="Blat tou"/>
    <n v="316"/>
    <n v="0"/>
    <n v="0"/>
    <n v="316"/>
    <n v="1"/>
    <n v="0"/>
    <n v="0"/>
    <n v="1"/>
  </r>
  <r>
    <x v="119"/>
    <x v="119"/>
    <x v="0"/>
    <s v="Ordi"/>
    <n v="444"/>
    <n v="0"/>
    <n v="0"/>
    <n v="444"/>
    <n v="3"/>
    <n v="0"/>
    <n v="0"/>
    <n v="3"/>
  </r>
  <r>
    <x v="119"/>
    <x v="119"/>
    <x v="0"/>
    <s v="Civada"/>
    <n v="33"/>
    <n v="0"/>
    <n v="0"/>
    <n v="33"/>
    <n v="0"/>
    <n v="0"/>
    <n v="0"/>
    <n v="0"/>
  </r>
  <r>
    <x v="119"/>
    <x v="119"/>
    <x v="0"/>
    <s v="Triticale"/>
    <n v="8"/>
    <n v="0"/>
    <n v="0"/>
    <n v="8"/>
    <n v="0"/>
    <n v="0"/>
    <n v="0"/>
    <n v="0"/>
  </r>
  <r>
    <x v="119"/>
    <x v="119"/>
    <x v="0"/>
    <s v="Espelta"/>
    <n v="13"/>
    <n v="0"/>
    <n v="0"/>
    <n v="13"/>
    <n v="0"/>
    <n v="0"/>
    <n v="0"/>
    <n v="0"/>
  </r>
  <r>
    <x v="119"/>
    <x v="119"/>
    <x v="0"/>
    <s v="Blat dur"/>
    <n v="34"/>
    <n v="0"/>
    <n v="0"/>
    <n v="34"/>
    <n v="0"/>
    <n v="0"/>
    <n v="0"/>
    <n v="0"/>
  </r>
  <r>
    <x v="119"/>
    <x v="119"/>
    <x v="1"/>
    <s v="Cereals d'hivern per a farratge"/>
    <n v="162"/>
    <n v="0"/>
    <n v="0"/>
    <n v="162"/>
    <n v="0"/>
    <n v="0"/>
    <n v="0"/>
    <n v="0"/>
  </r>
  <r>
    <x v="119"/>
    <x v="119"/>
    <x v="1"/>
    <s v="Raigràs"/>
    <n v="110"/>
    <n v="0"/>
    <n v="0"/>
    <n v="110"/>
    <n v="1"/>
    <n v="0"/>
    <n v="0"/>
    <n v="1"/>
  </r>
  <r>
    <x v="119"/>
    <x v="119"/>
    <x v="1"/>
    <s v="Alfals"/>
    <n v="61"/>
    <n v="0"/>
    <n v="0"/>
    <n v="61"/>
    <n v="0"/>
    <n v="0"/>
    <n v="0"/>
    <n v="0"/>
  </r>
  <r>
    <x v="119"/>
    <x v="119"/>
    <x v="1"/>
    <s v="Trepadella"/>
    <n v="78"/>
    <n v="0"/>
    <n v="0"/>
    <n v="78"/>
    <n v="0"/>
    <n v="0"/>
    <n v="0"/>
    <n v="0"/>
  </r>
  <r>
    <x v="119"/>
    <x v="119"/>
    <x v="1"/>
    <s v="Remolatxa farratgera"/>
    <n v="3"/>
    <n v="0"/>
    <n v="0"/>
    <n v="3"/>
    <n v="0"/>
    <n v="0"/>
    <n v="0"/>
    <n v="0"/>
  </r>
  <r>
    <x v="119"/>
    <x v="119"/>
    <x v="1"/>
    <s v="Praderes polifites"/>
    <n v="163"/>
    <n v="0"/>
    <n v="0"/>
    <n v="163"/>
    <n v="0"/>
    <n v="0"/>
    <n v="0"/>
    <n v="0"/>
  </r>
  <r>
    <x v="119"/>
    <x v="119"/>
    <x v="1"/>
    <s v="Festuca"/>
    <n v="18"/>
    <n v="0"/>
    <n v="0"/>
    <n v="18"/>
    <n v="0"/>
    <n v="0"/>
    <n v="0"/>
    <n v="0"/>
  </r>
  <r>
    <x v="119"/>
    <x v="119"/>
    <x v="1"/>
    <s v="Associació Veça - Civada farratgeres"/>
    <n v="20"/>
    <n v="0"/>
    <n v="0"/>
    <n v="20"/>
    <n v="0"/>
    <n v="0"/>
    <n v="0"/>
    <n v="0"/>
  </r>
  <r>
    <x v="119"/>
    <x v="119"/>
    <x v="3"/>
    <s v="Colza"/>
    <n v="2"/>
    <n v="0"/>
    <n v="0"/>
    <n v="2"/>
    <n v="0"/>
    <n v="0"/>
    <n v="0"/>
    <n v="0"/>
  </r>
  <r>
    <x v="119"/>
    <x v="119"/>
    <x v="4"/>
    <s v="Ceba"/>
    <n v="0"/>
    <n v="0"/>
    <n v="0"/>
    <n v="0"/>
    <n v="1"/>
    <n v="0"/>
    <n v="0"/>
    <n v="1"/>
  </r>
  <r>
    <x v="119"/>
    <x v="119"/>
    <x v="4"/>
    <s v="Fava tendra"/>
    <n v="0"/>
    <n v="0"/>
    <n v="0"/>
    <n v="0"/>
    <n v="1"/>
    <n v="0"/>
    <n v="0"/>
    <n v="1"/>
  </r>
  <r>
    <x v="119"/>
    <x v="119"/>
    <x v="2"/>
    <s v="Fava seca"/>
    <n v="7"/>
    <n v="0"/>
    <n v="0"/>
    <n v="7"/>
    <n v="0"/>
    <n v="0"/>
    <n v="0"/>
    <n v="0"/>
  </r>
  <r>
    <x v="119"/>
    <x v="119"/>
    <x v="2"/>
    <s v="Pèsol sec"/>
    <n v="13"/>
    <n v="0"/>
    <n v="0"/>
    <n v="13"/>
    <n v="0"/>
    <n v="0"/>
    <n v="0"/>
    <n v="0"/>
  </r>
  <r>
    <x v="119"/>
    <x v="119"/>
    <x v="2"/>
    <s v="Veça"/>
    <n v="22"/>
    <n v="0"/>
    <n v="0"/>
    <n v="22"/>
    <n v="0"/>
    <n v="0"/>
    <n v="0"/>
    <n v="0"/>
  </r>
  <r>
    <x v="119"/>
    <x v="119"/>
    <x v="2"/>
    <s v="Favó"/>
    <n v="5"/>
    <n v="0"/>
    <n v="0"/>
    <n v="5"/>
    <n v="0"/>
    <n v="0"/>
    <n v="0"/>
    <n v="0"/>
  </r>
  <r>
    <x v="120"/>
    <x v="120"/>
    <x v="4"/>
    <s v="Col de cabdell"/>
    <n v="0"/>
    <n v="0"/>
    <n v="0"/>
    <n v="0"/>
    <n v="2"/>
    <n v="0"/>
    <n v="0"/>
    <n v="2"/>
  </r>
  <r>
    <x v="120"/>
    <x v="120"/>
    <x v="4"/>
    <s v="Api"/>
    <n v="0"/>
    <n v="0"/>
    <n v="0"/>
    <n v="0"/>
    <n v="1"/>
    <n v="0"/>
    <n v="0"/>
    <n v="1"/>
  </r>
  <r>
    <x v="120"/>
    <x v="120"/>
    <x v="4"/>
    <s v="Enciam"/>
    <n v="0"/>
    <n v="0"/>
    <n v="0"/>
    <n v="0"/>
    <n v="4"/>
    <n v="0"/>
    <n v="0"/>
    <n v="4"/>
  </r>
  <r>
    <x v="120"/>
    <x v="120"/>
    <x v="4"/>
    <s v="Espinac"/>
    <n v="0"/>
    <n v="0"/>
    <n v="0"/>
    <n v="0"/>
    <n v="2"/>
    <n v="0"/>
    <n v="0"/>
    <n v="2"/>
  </r>
  <r>
    <x v="120"/>
    <x v="120"/>
    <x v="4"/>
    <s v="Bleda"/>
    <n v="0"/>
    <n v="0"/>
    <n v="0"/>
    <n v="0"/>
    <n v="2"/>
    <n v="0"/>
    <n v="0"/>
    <n v="2"/>
  </r>
  <r>
    <x v="120"/>
    <x v="120"/>
    <x v="4"/>
    <s v="Síndria"/>
    <n v="0"/>
    <n v="0"/>
    <n v="0"/>
    <n v="0"/>
    <n v="1"/>
    <n v="0"/>
    <n v="0"/>
    <n v="1"/>
  </r>
  <r>
    <x v="120"/>
    <x v="120"/>
    <x v="4"/>
    <s v="Meló"/>
    <n v="0"/>
    <n v="0"/>
    <n v="0"/>
    <n v="0"/>
    <n v="1"/>
    <n v="0"/>
    <n v="0"/>
    <n v="1"/>
  </r>
  <r>
    <x v="120"/>
    <x v="120"/>
    <x v="4"/>
    <s v="Albergínia"/>
    <n v="0"/>
    <n v="0"/>
    <n v="0"/>
    <n v="0"/>
    <n v="2"/>
    <n v="0"/>
    <n v="0"/>
    <n v="2"/>
  </r>
  <r>
    <x v="120"/>
    <x v="120"/>
    <x v="4"/>
    <s v="Tomàquet"/>
    <n v="0"/>
    <n v="0"/>
    <n v="0"/>
    <n v="0"/>
    <n v="3"/>
    <n v="0"/>
    <n v="0"/>
    <n v="3"/>
  </r>
  <r>
    <x v="120"/>
    <x v="120"/>
    <x v="4"/>
    <s v="Carxofa"/>
    <n v="0"/>
    <n v="0"/>
    <n v="0"/>
    <n v="0"/>
    <n v="1"/>
    <n v="0"/>
    <n v="0"/>
    <n v="1"/>
  </r>
  <r>
    <x v="120"/>
    <x v="120"/>
    <x v="4"/>
    <s v="All"/>
    <n v="0"/>
    <n v="0"/>
    <n v="0"/>
    <n v="0"/>
    <n v="1"/>
    <n v="0"/>
    <n v="0"/>
    <n v="1"/>
  </r>
  <r>
    <x v="120"/>
    <x v="120"/>
    <x v="4"/>
    <s v="Ceba"/>
    <n v="0"/>
    <n v="0"/>
    <n v="0"/>
    <n v="0"/>
    <n v="5"/>
    <n v="0"/>
    <n v="0"/>
    <n v="5"/>
  </r>
  <r>
    <x v="120"/>
    <x v="120"/>
    <x v="4"/>
    <s v="Pastanaga"/>
    <n v="0"/>
    <n v="0"/>
    <n v="0"/>
    <n v="0"/>
    <n v="2"/>
    <n v="0"/>
    <n v="0"/>
    <n v="2"/>
  </r>
  <r>
    <x v="120"/>
    <x v="120"/>
    <x v="4"/>
    <s v="Fava tendra"/>
    <n v="0"/>
    <n v="0"/>
    <n v="0"/>
    <n v="0"/>
    <n v="4"/>
    <n v="0"/>
    <n v="0"/>
    <n v="4"/>
  </r>
  <r>
    <x v="121"/>
    <x v="121"/>
    <x v="0"/>
    <s v="Blat tou"/>
    <n v="42"/>
    <n v="0"/>
    <n v="0"/>
    <n v="42"/>
    <n v="3"/>
    <n v="0"/>
    <n v="0"/>
    <n v="3"/>
  </r>
  <r>
    <x v="121"/>
    <x v="121"/>
    <x v="0"/>
    <s v="Ordi"/>
    <n v="93"/>
    <n v="0"/>
    <n v="0"/>
    <n v="93"/>
    <n v="4"/>
    <n v="0"/>
    <n v="0"/>
    <n v="4"/>
  </r>
  <r>
    <x v="121"/>
    <x v="121"/>
    <x v="0"/>
    <s v="Civada"/>
    <n v="1"/>
    <n v="0"/>
    <n v="0"/>
    <n v="1"/>
    <n v="0"/>
    <n v="0"/>
    <n v="0"/>
    <n v="0"/>
  </r>
  <r>
    <x v="121"/>
    <x v="121"/>
    <x v="0"/>
    <s v="Sègol"/>
    <n v="5"/>
    <n v="0"/>
    <n v="0"/>
    <n v="5"/>
    <n v="0"/>
    <n v="0"/>
    <n v="0"/>
    <n v="0"/>
  </r>
  <r>
    <x v="121"/>
    <x v="121"/>
    <x v="0"/>
    <s v="Triticale"/>
    <n v="23"/>
    <n v="0"/>
    <n v="0"/>
    <n v="23"/>
    <n v="0"/>
    <n v="0"/>
    <n v="0"/>
    <n v="0"/>
  </r>
  <r>
    <x v="121"/>
    <x v="121"/>
    <x v="0"/>
    <s v="Espelta"/>
    <n v="17"/>
    <n v="0"/>
    <n v="0"/>
    <n v="17"/>
    <n v="4"/>
    <n v="0"/>
    <n v="0"/>
    <n v="4"/>
  </r>
  <r>
    <x v="121"/>
    <x v="121"/>
    <x v="0"/>
    <s v="Blat dur"/>
    <n v="0"/>
    <n v="0"/>
    <n v="0"/>
    <n v="0"/>
    <n v="1"/>
    <n v="0"/>
    <n v="0"/>
    <n v="1"/>
  </r>
  <r>
    <x v="121"/>
    <x v="121"/>
    <x v="1"/>
    <s v="Cereals d'hivern per a farratge"/>
    <n v="8"/>
    <n v="0"/>
    <n v="0"/>
    <n v="8"/>
    <n v="0"/>
    <n v="0"/>
    <n v="0"/>
    <n v="0"/>
  </r>
  <r>
    <x v="121"/>
    <x v="121"/>
    <x v="1"/>
    <s v="Sorgo farratger"/>
    <n v="0"/>
    <n v="1"/>
    <n v="0"/>
    <n v="1"/>
    <n v="0"/>
    <n v="0"/>
    <n v="0"/>
    <n v="0"/>
  </r>
  <r>
    <x v="121"/>
    <x v="121"/>
    <x v="1"/>
    <s v="Raigràs"/>
    <n v="0"/>
    <n v="0"/>
    <n v="0"/>
    <n v="0"/>
    <n v="3"/>
    <n v="0"/>
    <n v="0"/>
    <n v="3"/>
  </r>
  <r>
    <x v="121"/>
    <x v="121"/>
    <x v="1"/>
    <s v="Alfals"/>
    <n v="26"/>
    <n v="0"/>
    <n v="0"/>
    <n v="26"/>
    <n v="16"/>
    <n v="0"/>
    <n v="0"/>
    <n v="16"/>
  </r>
  <r>
    <x v="121"/>
    <x v="121"/>
    <x v="4"/>
    <s v="Col de cabdell"/>
    <n v="0"/>
    <n v="0"/>
    <n v="0"/>
    <n v="0"/>
    <n v="1"/>
    <n v="0"/>
    <n v="0"/>
    <n v="1"/>
  </r>
  <r>
    <x v="121"/>
    <x v="121"/>
    <x v="4"/>
    <s v="Enciam"/>
    <n v="0"/>
    <n v="0"/>
    <n v="0"/>
    <n v="0"/>
    <n v="1"/>
    <n v="0"/>
    <n v="0"/>
    <n v="1"/>
  </r>
  <r>
    <x v="121"/>
    <x v="121"/>
    <x v="4"/>
    <s v="Cogombre"/>
    <n v="0"/>
    <n v="0"/>
    <n v="0"/>
    <n v="0"/>
    <n v="1"/>
    <n v="0"/>
    <n v="0"/>
    <n v="1"/>
  </r>
  <r>
    <x v="121"/>
    <x v="121"/>
    <x v="4"/>
    <s v="Tomàquet"/>
    <n v="0"/>
    <n v="0"/>
    <n v="0"/>
    <n v="0"/>
    <n v="2"/>
    <n v="0"/>
    <n v="0"/>
    <n v="2"/>
  </r>
  <r>
    <x v="121"/>
    <x v="121"/>
    <x v="4"/>
    <s v="Ceba"/>
    <n v="1"/>
    <n v="0"/>
    <n v="0"/>
    <n v="1"/>
    <n v="1"/>
    <n v="0"/>
    <n v="0"/>
    <n v="1"/>
  </r>
  <r>
    <x v="121"/>
    <x v="121"/>
    <x v="4"/>
    <s v="Mongeta tendra"/>
    <n v="0"/>
    <n v="0"/>
    <n v="0"/>
    <n v="0"/>
    <n v="1"/>
    <n v="0"/>
    <n v="0"/>
    <n v="1"/>
  </r>
  <r>
    <x v="121"/>
    <x v="121"/>
    <x v="4"/>
    <s v="Carbassó"/>
    <n v="0"/>
    <n v="0"/>
    <n v="0"/>
    <n v="0"/>
    <n v="1"/>
    <n v="0"/>
    <n v="0"/>
    <n v="1"/>
  </r>
  <r>
    <x v="121"/>
    <x v="121"/>
    <x v="2"/>
    <s v="Fava seca"/>
    <n v="7"/>
    <n v="0"/>
    <n v="0"/>
    <n v="7"/>
    <n v="0"/>
    <n v="0"/>
    <n v="0"/>
    <n v="0"/>
  </r>
  <r>
    <x v="121"/>
    <x v="121"/>
    <x v="2"/>
    <s v="Llentia"/>
    <n v="11"/>
    <n v="0"/>
    <n v="0"/>
    <n v="11"/>
    <n v="2"/>
    <n v="0"/>
    <n v="0"/>
    <n v="2"/>
  </r>
  <r>
    <x v="121"/>
    <x v="121"/>
    <x v="2"/>
    <s v="Cigró"/>
    <n v="21"/>
    <n v="0"/>
    <n v="0"/>
    <n v="21"/>
    <n v="4"/>
    <n v="0"/>
    <n v="0"/>
    <n v="4"/>
  </r>
  <r>
    <x v="121"/>
    <x v="121"/>
    <x v="2"/>
    <s v="Erbs"/>
    <n v="2"/>
    <n v="0"/>
    <n v="0"/>
    <n v="2"/>
    <n v="3"/>
    <n v="0"/>
    <n v="0"/>
    <n v="3"/>
  </r>
  <r>
    <x v="121"/>
    <x v="121"/>
    <x v="2"/>
    <s v="Favó"/>
    <n v="13"/>
    <n v="0"/>
    <n v="0"/>
    <n v="13"/>
    <n v="0"/>
    <n v="0"/>
    <n v="0"/>
    <n v="0"/>
  </r>
  <r>
    <x v="121"/>
    <x v="121"/>
    <x v="6"/>
    <s v="Patata d'estació mitjana"/>
    <n v="0"/>
    <n v="0"/>
    <n v="0"/>
    <n v="0"/>
    <n v="1"/>
    <n v="0"/>
    <n v="0"/>
    <n v="1"/>
  </r>
  <r>
    <x v="122"/>
    <x v="122"/>
    <x v="0"/>
    <s v="Ordi"/>
    <n v="21"/>
    <n v="0"/>
    <n v="0"/>
    <n v="21"/>
    <n v="1"/>
    <n v="0"/>
    <n v="0"/>
    <n v="1"/>
  </r>
  <r>
    <x v="122"/>
    <x v="122"/>
    <x v="0"/>
    <s v="Civada"/>
    <n v="2"/>
    <n v="0"/>
    <n v="0"/>
    <n v="2"/>
    <n v="0"/>
    <n v="0"/>
    <n v="0"/>
    <n v="0"/>
  </r>
  <r>
    <x v="122"/>
    <x v="122"/>
    <x v="1"/>
    <s v="Cereals d'hivern per a farratge"/>
    <n v="6"/>
    <n v="0"/>
    <n v="0"/>
    <n v="6"/>
    <n v="0"/>
    <n v="0"/>
    <n v="0"/>
    <n v="0"/>
  </r>
  <r>
    <x v="122"/>
    <x v="122"/>
    <x v="1"/>
    <s v="Raigràs"/>
    <n v="4"/>
    <n v="0"/>
    <n v="0"/>
    <n v="4"/>
    <n v="0"/>
    <n v="0"/>
    <n v="0"/>
    <n v="0"/>
  </r>
  <r>
    <x v="122"/>
    <x v="122"/>
    <x v="1"/>
    <s v="Praderes polifites"/>
    <n v="6"/>
    <n v="0"/>
    <n v="0"/>
    <n v="6"/>
    <n v="0"/>
    <n v="0"/>
    <n v="0"/>
    <n v="0"/>
  </r>
  <r>
    <x v="122"/>
    <x v="122"/>
    <x v="3"/>
    <s v="Colza"/>
    <n v="10"/>
    <n v="0"/>
    <n v="0"/>
    <n v="10"/>
    <n v="0"/>
    <n v="0"/>
    <n v="0"/>
    <n v="0"/>
  </r>
  <r>
    <x v="122"/>
    <x v="122"/>
    <x v="4"/>
    <s v="Ceba"/>
    <n v="0"/>
    <n v="0"/>
    <n v="0"/>
    <n v="0"/>
    <n v="1"/>
    <n v="0"/>
    <n v="0"/>
    <n v="1"/>
  </r>
  <r>
    <x v="123"/>
    <x v="123"/>
    <x v="0"/>
    <s v="Blat tou"/>
    <n v="2"/>
    <n v="0"/>
    <n v="0"/>
    <n v="2"/>
    <n v="1"/>
    <n v="0"/>
    <n v="0"/>
    <n v="1"/>
  </r>
  <r>
    <x v="123"/>
    <x v="123"/>
    <x v="0"/>
    <s v="Ordi"/>
    <n v="15"/>
    <n v="0"/>
    <n v="0"/>
    <n v="15"/>
    <n v="0"/>
    <n v="0"/>
    <n v="0"/>
    <n v="0"/>
  </r>
  <r>
    <x v="123"/>
    <x v="123"/>
    <x v="1"/>
    <s v="Cereals d'hivern per a farratge"/>
    <n v="2"/>
    <n v="0"/>
    <n v="0"/>
    <n v="2"/>
    <n v="0"/>
    <n v="0"/>
    <n v="0"/>
    <n v="0"/>
  </r>
  <r>
    <x v="124"/>
    <x v="124"/>
    <x v="0"/>
    <s v="Blat tou"/>
    <n v="21"/>
    <n v="0"/>
    <n v="0"/>
    <n v="21"/>
    <n v="0"/>
    <n v="0"/>
    <n v="0"/>
    <n v="0"/>
  </r>
  <r>
    <x v="124"/>
    <x v="124"/>
    <x v="0"/>
    <s v="Ordi"/>
    <n v="83"/>
    <n v="0"/>
    <n v="0"/>
    <n v="83"/>
    <n v="0"/>
    <n v="0"/>
    <n v="0"/>
    <n v="0"/>
  </r>
  <r>
    <x v="124"/>
    <x v="124"/>
    <x v="0"/>
    <s v="Civada"/>
    <n v="9"/>
    <n v="0"/>
    <n v="0"/>
    <n v="9"/>
    <n v="0"/>
    <n v="0"/>
    <n v="0"/>
    <n v="0"/>
  </r>
  <r>
    <x v="124"/>
    <x v="124"/>
    <x v="0"/>
    <s v="Triticale"/>
    <n v="2"/>
    <n v="0"/>
    <n v="0"/>
    <n v="2"/>
    <n v="0"/>
    <n v="0"/>
    <n v="0"/>
    <n v="0"/>
  </r>
  <r>
    <x v="124"/>
    <x v="124"/>
    <x v="1"/>
    <s v="Cereals d'hivern per a farratge"/>
    <n v="9"/>
    <n v="0"/>
    <n v="0"/>
    <n v="9"/>
    <n v="0"/>
    <n v="0"/>
    <n v="0"/>
    <n v="0"/>
  </r>
  <r>
    <x v="124"/>
    <x v="124"/>
    <x v="1"/>
    <s v="Raigràs"/>
    <n v="1"/>
    <n v="0"/>
    <n v="0"/>
    <n v="1"/>
    <n v="0"/>
    <n v="0"/>
    <n v="0"/>
    <n v="0"/>
  </r>
  <r>
    <x v="124"/>
    <x v="124"/>
    <x v="1"/>
    <s v="Alfals"/>
    <n v="10"/>
    <n v="0"/>
    <n v="0"/>
    <n v="10"/>
    <n v="0"/>
    <n v="0"/>
    <n v="0"/>
    <n v="0"/>
  </r>
  <r>
    <x v="124"/>
    <x v="124"/>
    <x v="3"/>
    <s v="Colza"/>
    <n v="0"/>
    <n v="0"/>
    <n v="0"/>
    <n v="0"/>
    <n v="6"/>
    <n v="0"/>
    <n v="0"/>
    <n v="6"/>
  </r>
  <r>
    <x v="124"/>
    <x v="124"/>
    <x v="2"/>
    <s v="Veça"/>
    <n v="46"/>
    <n v="0"/>
    <n v="0"/>
    <n v="46"/>
    <n v="0"/>
    <n v="0"/>
    <n v="0"/>
    <n v="0"/>
  </r>
  <r>
    <x v="124"/>
    <x v="124"/>
    <x v="2"/>
    <s v="Favó"/>
    <n v="1"/>
    <n v="0"/>
    <n v="0"/>
    <n v="1"/>
    <n v="0"/>
    <n v="0"/>
    <n v="0"/>
    <n v="0"/>
  </r>
  <r>
    <x v="125"/>
    <x v="125"/>
    <x v="0"/>
    <s v="Blat tou"/>
    <n v="146"/>
    <n v="0"/>
    <n v="0"/>
    <n v="146"/>
    <n v="0"/>
    <n v="0"/>
    <n v="0"/>
    <n v="0"/>
  </r>
  <r>
    <x v="125"/>
    <x v="125"/>
    <x v="0"/>
    <s v="Ordi"/>
    <n v="334"/>
    <n v="0"/>
    <n v="0"/>
    <n v="334"/>
    <n v="0"/>
    <n v="0"/>
    <n v="0"/>
    <n v="0"/>
  </r>
  <r>
    <x v="125"/>
    <x v="125"/>
    <x v="0"/>
    <s v="Civada"/>
    <n v="10"/>
    <n v="0"/>
    <n v="0"/>
    <n v="10"/>
    <n v="0"/>
    <n v="0"/>
    <n v="0"/>
    <n v="0"/>
  </r>
  <r>
    <x v="125"/>
    <x v="125"/>
    <x v="0"/>
    <s v="Mill i melca"/>
    <n v="3"/>
    <n v="0"/>
    <n v="0"/>
    <n v="3"/>
    <n v="0"/>
    <n v="0"/>
    <n v="0"/>
    <n v="0"/>
  </r>
  <r>
    <x v="125"/>
    <x v="125"/>
    <x v="1"/>
    <s v="Cereals d'hivern per a farratge"/>
    <n v="10"/>
    <n v="0"/>
    <n v="0"/>
    <n v="10"/>
    <n v="0"/>
    <n v="0"/>
    <n v="0"/>
    <n v="0"/>
  </r>
  <r>
    <x v="125"/>
    <x v="125"/>
    <x v="1"/>
    <s v="Raigràs"/>
    <n v="62"/>
    <n v="0"/>
    <n v="0"/>
    <n v="62"/>
    <n v="0"/>
    <n v="0"/>
    <n v="0"/>
    <n v="0"/>
  </r>
  <r>
    <x v="125"/>
    <x v="125"/>
    <x v="1"/>
    <s v="Alfals"/>
    <n v="25"/>
    <n v="0"/>
    <n v="0"/>
    <n v="25"/>
    <n v="0"/>
    <n v="0"/>
    <n v="0"/>
    <n v="0"/>
  </r>
  <r>
    <x v="125"/>
    <x v="125"/>
    <x v="1"/>
    <s v="Trepadella"/>
    <n v="6"/>
    <n v="0"/>
    <n v="0"/>
    <n v="6"/>
    <n v="0"/>
    <n v="0"/>
    <n v="0"/>
    <n v="0"/>
  </r>
  <r>
    <x v="125"/>
    <x v="125"/>
    <x v="3"/>
    <s v="Colza"/>
    <n v="11"/>
    <n v="0"/>
    <n v="0"/>
    <n v="11"/>
    <n v="0"/>
    <n v="0"/>
    <n v="0"/>
    <n v="0"/>
  </r>
  <r>
    <x v="125"/>
    <x v="125"/>
    <x v="2"/>
    <s v="Pèsol sec"/>
    <n v="10"/>
    <n v="0"/>
    <n v="0"/>
    <n v="10"/>
    <n v="0"/>
    <n v="0"/>
    <n v="0"/>
    <n v="0"/>
  </r>
  <r>
    <x v="125"/>
    <x v="125"/>
    <x v="2"/>
    <s v="Veça"/>
    <n v="3"/>
    <n v="0"/>
    <n v="0"/>
    <n v="3"/>
    <n v="0"/>
    <n v="0"/>
    <n v="0"/>
    <n v="0"/>
  </r>
  <r>
    <x v="126"/>
    <x v="126"/>
    <x v="1"/>
    <s v="Raigràs"/>
    <n v="10"/>
    <n v="0"/>
    <n v="0"/>
    <n v="10"/>
    <n v="0"/>
    <n v="0"/>
    <n v="0"/>
    <n v="0"/>
  </r>
  <r>
    <x v="126"/>
    <x v="126"/>
    <x v="1"/>
    <s v="Alfals"/>
    <n v="4"/>
    <n v="0"/>
    <n v="0"/>
    <n v="4"/>
    <n v="0"/>
    <n v="0"/>
    <n v="0"/>
    <n v="0"/>
  </r>
  <r>
    <x v="126"/>
    <x v="126"/>
    <x v="1"/>
    <s v="Praderes polifites"/>
    <n v="20"/>
    <n v="0"/>
    <n v="0"/>
    <n v="20"/>
    <n v="0"/>
    <n v="0"/>
    <n v="0"/>
    <n v="0"/>
  </r>
  <r>
    <x v="127"/>
    <x v="127"/>
    <x v="5"/>
    <s v="Plantes ornamentals"/>
    <n v="0"/>
    <n v="0"/>
    <n v="0"/>
    <n v="0"/>
    <n v="1"/>
    <n v="0"/>
    <n v="0"/>
    <n v="1"/>
  </r>
  <r>
    <x v="127"/>
    <x v="127"/>
    <x v="4"/>
    <s v="Col de cabdell"/>
    <n v="0"/>
    <n v="0"/>
    <n v="0"/>
    <n v="0"/>
    <n v="0"/>
    <n v="1"/>
    <n v="0"/>
    <n v="1"/>
  </r>
  <r>
    <x v="127"/>
    <x v="127"/>
    <x v="4"/>
    <s v="Api"/>
    <n v="0"/>
    <n v="0"/>
    <n v="0"/>
    <n v="0"/>
    <n v="0"/>
    <n v="1"/>
    <n v="0"/>
    <n v="1"/>
  </r>
  <r>
    <x v="127"/>
    <x v="127"/>
    <x v="4"/>
    <s v="Tomàquet"/>
    <n v="0"/>
    <n v="0"/>
    <n v="0"/>
    <n v="0"/>
    <n v="1"/>
    <n v="0"/>
    <n v="0"/>
    <n v="1"/>
  </r>
  <r>
    <x v="127"/>
    <x v="127"/>
    <x v="4"/>
    <s v="Ceba"/>
    <n v="0"/>
    <n v="0"/>
    <n v="0"/>
    <n v="0"/>
    <n v="1"/>
    <n v="0"/>
    <n v="0"/>
    <n v="1"/>
  </r>
  <r>
    <x v="127"/>
    <x v="127"/>
    <x v="4"/>
    <s v="Pèsol verd"/>
    <n v="0"/>
    <n v="0"/>
    <n v="0"/>
    <n v="0"/>
    <n v="1"/>
    <n v="0"/>
    <n v="0"/>
    <n v="1"/>
  </r>
  <r>
    <x v="127"/>
    <x v="127"/>
    <x v="6"/>
    <s v="Patata primerenca"/>
    <n v="0"/>
    <n v="0"/>
    <n v="0"/>
    <n v="0"/>
    <n v="1"/>
    <n v="0"/>
    <n v="0"/>
    <n v="1"/>
  </r>
  <r>
    <x v="128"/>
    <x v="128"/>
    <x v="0"/>
    <s v="Blat tou"/>
    <n v="440"/>
    <n v="0"/>
    <n v="0"/>
    <n v="440"/>
    <n v="4"/>
    <n v="0"/>
    <n v="0"/>
    <n v="4"/>
  </r>
  <r>
    <x v="128"/>
    <x v="128"/>
    <x v="0"/>
    <s v="Ordi"/>
    <n v="699"/>
    <n v="0"/>
    <n v="0"/>
    <n v="699"/>
    <n v="6"/>
    <n v="0"/>
    <n v="0"/>
    <n v="6"/>
  </r>
  <r>
    <x v="128"/>
    <x v="128"/>
    <x v="0"/>
    <s v="Civada"/>
    <n v="22"/>
    <n v="0"/>
    <n v="0"/>
    <n v="22"/>
    <n v="0"/>
    <n v="0"/>
    <n v="0"/>
    <n v="0"/>
  </r>
  <r>
    <x v="128"/>
    <x v="128"/>
    <x v="0"/>
    <s v="Triticale"/>
    <n v="12"/>
    <n v="0"/>
    <n v="0"/>
    <n v="12"/>
    <n v="1"/>
    <n v="0"/>
    <n v="0"/>
    <n v="1"/>
  </r>
  <r>
    <x v="128"/>
    <x v="128"/>
    <x v="0"/>
    <s v="Espelta"/>
    <n v="3"/>
    <n v="0"/>
    <n v="0"/>
    <n v="3"/>
    <n v="0"/>
    <n v="0"/>
    <n v="0"/>
    <n v="0"/>
  </r>
  <r>
    <x v="128"/>
    <x v="128"/>
    <x v="1"/>
    <s v="Cereals d'hivern per a farratge"/>
    <n v="22"/>
    <n v="0"/>
    <n v="0"/>
    <n v="22"/>
    <n v="0"/>
    <n v="0"/>
    <n v="0"/>
    <n v="0"/>
  </r>
  <r>
    <x v="128"/>
    <x v="128"/>
    <x v="1"/>
    <s v="Sorgo farratger"/>
    <n v="2"/>
    <n v="1"/>
    <n v="0"/>
    <n v="3"/>
    <n v="0"/>
    <n v="0"/>
    <n v="0"/>
    <n v="0"/>
  </r>
  <r>
    <x v="128"/>
    <x v="128"/>
    <x v="1"/>
    <s v="Raigràs"/>
    <n v="140"/>
    <n v="0"/>
    <n v="0"/>
    <n v="140"/>
    <n v="0"/>
    <n v="0"/>
    <n v="0"/>
    <n v="0"/>
  </r>
  <r>
    <x v="128"/>
    <x v="128"/>
    <x v="1"/>
    <s v="Alfals"/>
    <n v="59"/>
    <n v="0"/>
    <n v="0"/>
    <n v="59"/>
    <n v="0"/>
    <n v="0"/>
    <n v="0"/>
    <n v="0"/>
  </r>
  <r>
    <x v="128"/>
    <x v="128"/>
    <x v="1"/>
    <s v="Trepadella"/>
    <n v="15"/>
    <n v="0"/>
    <n v="0"/>
    <n v="15"/>
    <n v="0"/>
    <n v="0"/>
    <n v="0"/>
    <n v="0"/>
  </r>
  <r>
    <x v="128"/>
    <x v="128"/>
    <x v="1"/>
    <s v="Associació Veça - Civada farratgeres"/>
    <n v="17"/>
    <n v="0"/>
    <n v="0"/>
    <n v="17"/>
    <n v="0"/>
    <n v="0"/>
    <n v="0"/>
    <n v="0"/>
  </r>
  <r>
    <x v="128"/>
    <x v="128"/>
    <x v="3"/>
    <s v="Colza"/>
    <n v="90"/>
    <n v="0"/>
    <n v="0"/>
    <n v="90"/>
    <n v="0"/>
    <n v="0"/>
    <n v="0"/>
    <n v="0"/>
  </r>
  <r>
    <x v="128"/>
    <x v="128"/>
    <x v="2"/>
    <s v="Pèsol sec"/>
    <n v="29"/>
    <n v="0"/>
    <n v="0"/>
    <n v="29"/>
    <n v="0"/>
    <n v="0"/>
    <n v="0"/>
    <n v="0"/>
  </r>
  <r>
    <x v="128"/>
    <x v="128"/>
    <x v="2"/>
    <s v="Veça"/>
    <n v="26"/>
    <n v="0"/>
    <n v="0"/>
    <n v="26"/>
    <n v="0"/>
    <n v="0"/>
    <n v="0"/>
    <n v="0"/>
  </r>
  <r>
    <x v="129"/>
    <x v="129"/>
    <x v="0"/>
    <s v="Blat tou"/>
    <n v="239"/>
    <n v="0"/>
    <n v="0"/>
    <n v="239"/>
    <n v="0"/>
    <n v="0"/>
    <n v="0"/>
    <n v="0"/>
  </r>
  <r>
    <x v="129"/>
    <x v="129"/>
    <x v="0"/>
    <s v="Ordi"/>
    <n v="457"/>
    <n v="0"/>
    <n v="0"/>
    <n v="457"/>
    <n v="0"/>
    <n v="0"/>
    <n v="0"/>
    <n v="0"/>
  </r>
  <r>
    <x v="129"/>
    <x v="129"/>
    <x v="0"/>
    <s v="Civada"/>
    <n v="3"/>
    <n v="0"/>
    <n v="0"/>
    <n v="3"/>
    <n v="0"/>
    <n v="0"/>
    <n v="0"/>
    <n v="0"/>
  </r>
  <r>
    <x v="129"/>
    <x v="129"/>
    <x v="1"/>
    <s v="Cereals d'hivern per a farratge"/>
    <n v="11"/>
    <n v="0"/>
    <n v="0"/>
    <n v="11"/>
    <n v="0"/>
    <n v="0"/>
    <n v="0"/>
    <n v="0"/>
  </r>
  <r>
    <x v="129"/>
    <x v="129"/>
    <x v="3"/>
    <s v="Colza"/>
    <n v="6"/>
    <n v="0"/>
    <n v="0"/>
    <n v="6"/>
    <n v="0"/>
    <n v="0"/>
    <n v="0"/>
    <n v="0"/>
  </r>
  <r>
    <x v="129"/>
    <x v="129"/>
    <x v="2"/>
    <s v="Pèsol sec"/>
    <n v="58"/>
    <n v="0"/>
    <n v="0"/>
    <n v="58"/>
    <n v="0"/>
    <n v="0"/>
    <n v="0"/>
    <n v="0"/>
  </r>
  <r>
    <x v="130"/>
    <x v="130"/>
    <x v="0"/>
    <s v="Blat tou"/>
    <n v="0"/>
    <n v="0"/>
    <n v="0"/>
    <n v="0"/>
    <n v="1"/>
    <n v="0"/>
    <n v="0"/>
    <n v="1"/>
  </r>
  <r>
    <x v="130"/>
    <x v="130"/>
    <x v="0"/>
    <s v="Ordi"/>
    <n v="13"/>
    <n v="0"/>
    <n v="0"/>
    <n v="13"/>
    <n v="7"/>
    <n v="0"/>
    <n v="0"/>
    <n v="7"/>
  </r>
  <r>
    <x v="130"/>
    <x v="130"/>
    <x v="1"/>
    <s v="Cereals d'hivern per a farratge"/>
    <n v="0"/>
    <n v="0"/>
    <n v="0"/>
    <n v="0"/>
    <n v="2"/>
    <n v="0"/>
    <n v="0"/>
    <n v="2"/>
  </r>
  <r>
    <x v="131"/>
    <x v="131"/>
    <x v="0"/>
    <s v="Ordi"/>
    <n v="9"/>
    <n v="0"/>
    <n v="0"/>
    <n v="9"/>
    <n v="34"/>
    <n v="0"/>
    <n v="0"/>
    <n v="34"/>
  </r>
  <r>
    <x v="131"/>
    <x v="131"/>
    <x v="1"/>
    <s v="Cereals d'hivern per a farratge"/>
    <n v="0"/>
    <n v="0"/>
    <n v="0"/>
    <n v="0"/>
    <n v="3"/>
    <n v="0"/>
    <n v="0"/>
    <n v="3"/>
  </r>
  <r>
    <x v="131"/>
    <x v="131"/>
    <x v="1"/>
    <s v="Blat de moro farratger"/>
    <n v="0"/>
    <n v="0"/>
    <n v="0"/>
    <n v="0"/>
    <n v="2"/>
    <n v="0"/>
    <n v="0"/>
    <n v="2"/>
  </r>
  <r>
    <x v="131"/>
    <x v="131"/>
    <x v="5"/>
    <s v="Plantes ornamentals"/>
    <n v="0"/>
    <n v="0"/>
    <n v="0"/>
    <n v="0"/>
    <n v="8"/>
    <n v="0"/>
    <n v="0"/>
    <n v="8"/>
  </r>
  <r>
    <x v="131"/>
    <x v="131"/>
    <x v="2"/>
    <s v="Mongeta seca"/>
    <n v="0"/>
    <n v="0"/>
    <n v="0"/>
    <n v="0"/>
    <n v="1"/>
    <n v="0"/>
    <n v="0"/>
    <n v="1"/>
  </r>
  <r>
    <x v="131"/>
    <x v="131"/>
    <x v="6"/>
    <s v="Patata d'estació mitjana"/>
    <n v="3"/>
    <n v="0"/>
    <n v="0"/>
    <n v="3"/>
    <n v="0"/>
    <n v="0"/>
    <n v="0"/>
    <n v="0"/>
  </r>
  <r>
    <x v="132"/>
    <x v="132"/>
    <x v="0"/>
    <s v="Blat tou"/>
    <n v="1"/>
    <n v="0"/>
    <n v="0"/>
    <n v="1"/>
    <n v="0"/>
    <n v="0"/>
    <n v="0"/>
    <n v="0"/>
  </r>
  <r>
    <x v="132"/>
    <x v="132"/>
    <x v="0"/>
    <s v="Ordi"/>
    <n v="4"/>
    <n v="0"/>
    <n v="0"/>
    <n v="4"/>
    <n v="3"/>
    <n v="0"/>
    <n v="0"/>
    <n v="3"/>
  </r>
  <r>
    <x v="132"/>
    <x v="132"/>
    <x v="0"/>
    <s v="Civada"/>
    <n v="1"/>
    <n v="0"/>
    <n v="0"/>
    <n v="1"/>
    <n v="0"/>
    <n v="0"/>
    <n v="0"/>
    <n v="0"/>
  </r>
  <r>
    <x v="132"/>
    <x v="132"/>
    <x v="1"/>
    <s v="Cereals d'hivern per a farratge"/>
    <n v="8"/>
    <n v="0"/>
    <n v="0"/>
    <n v="8"/>
    <n v="4"/>
    <n v="0"/>
    <n v="0"/>
    <n v="4"/>
  </r>
  <r>
    <x v="132"/>
    <x v="132"/>
    <x v="1"/>
    <s v="Sorgo farratger"/>
    <n v="0"/>
    <n v="2"/>
    <n v="0"/>
    <n v="2"/>
    <n v="0"/>
    <n v="0"/>
    <n v="0"/>
    <n v="0"/>
  </r>
  <r>
    <x v="132"/>
    <x v="132"/>
    <x v="1"/>
    <s v="Raigràs"/>
    <n v="2"/>
    <n v="0"/>
    <n v="0"/>
    <n v="2"/>
    <n v="0"/>
    <n v="0"/>
    <n v="0"/>
    <n v="0"/>
  </r>
  <r>
    <x v="132"/>
    <x v="132"/>
    <x v="1"/>
    <s v="Alfals"/>
    <n v="3"/>
    <n v="0"/>
    <n v="0"/>
    <n v="3"/>
    <n v="2"/>
    <n v="0"/>
    <n v="0"/>
    <n v="2"/>
  </r>
  <r>
    <x v="132"/>
    <x v="132"/>
    <x v="2"/>
    <s v="Mongeta seca"/>
    <n v="0"/>
    <n v="0"/>
    <n v="0"/>
    <n v="0"/>
    <n v="1"/>
    <n v="0"/>
    <n v="0"/>
    <n v="1"/>
  </r>
  <r>
    <x v="133"/>
    <x v="133"/>
    <x v="0"/>
    <s v="Blat tou"/>
    <n v="98"/>
    <n v="0"/>
    <n v="0"/>
    <n v="98"/>
    <n v="0"/>
    <n v="0"/>
    <n v="0"/>
    <n v="0"/>
  </r>
  <r>
    <x v="133"/>
    <x v="133"/>
    <x v="0"/>
    <s v="Ordi"/>
    <n v="67"/>
    <n v="0"/>
    <n v="0"/>
    <n v="67"/>
    <n v="0"/>
    <n v="0"/>
    <n v="0"/>
    <n v="0"/>
  </r>
  <r>
    <x v="133"/>
    <x v="133"/>
    <x v="0"/>
    <s v="Civada"/>
    <n v="2"/>
    <n v="0"/>
    <n v="0"/>
    <n v="2"/>
    <n v="0"/>
    <n v="0"/>
    <n v="0"/>
    <n v="0"/>
  </r>
  <r>
    <x v="133"/>
    <x v="133"/>
    <x v="0"/>
    <s v="Blat de moro"/>
    <n v="1"/>
    <n v="0"/>
    <n v="0"/>
    <n v="1"/>
    <n v="0"/>
    <n v="0"/>
    <n v="0"/>
    <n v="0"/>
  </r>
  <r>
    <x v="133"/>
    <x v="133"/>
    <x v="1"/>
    <s v="Cereals d'hivern per a farratge"/>
    <n v="6"/>
    <n v="0"/>
    <n v="0"/>
    <n v="6"/>
    <n v="0"/>
    <n v="0"/>
    <n v="0"/>
    <n v="0"/>
  </r>
  <r>
    <x v="133"/>
    <x v="133"/>
    <x v="1"/>
    <s v="Blat de moro farratger"/>
    <n v="7"/>
    <n v="0"/>
    <n v="0"/>
    <n v="7"/>
    <n v="0"/>
    <n v="0"/>
    <n v="0"/>
    <n v="0"/>
  </r>
  <r>
    <x v="133"/>
    <x v="133"/>
    <x v="1"/>
    <s v="Sorgo farratger"/>
    <n v="1"/>
    <n v="3"/>
    <n v="0"/>
    <n v="4"/>
    <n v="0"/>
    <n v="0"/>
    <n v="0"/>
    <n v="0"/>
  </r>
  <r>
    <x v="133"/>
    <x v="133"/>
    <x v="1"/>
    <s v="Raigràs"/>
    <n v="86"/>
    <n v="0"/>
    <n v="0"/>
    <n v="86"/>
    <n v="0"/>
    <n v="0"/>
    <n v="0"/>
    <n v="0"/>
  </r>
  <r>
    <x v="133"/>
    <x v="133"/>
    <x v="1"/>
    <s v="Alfals"/>
    <n v="38"/>
    <n v="0"/>
    <n v="0"/>
    <n v="38"/>
    <n v="5"/>
    <n v="0"/>
    <n v="0"/>
    <n v="5"/>
  </r>
  <r>
    <x v="133"/>
    <x v="133"/>
    <x v="1"/>
    <s v="Trepadella"/>
    <n v="1"/>
    <n v="0"/>
    <n v="0"/>
    <n v="1"/>
    <n v="0"/>
    <n v="0"/>
    <n v="0"/>
    <n v="0"/>
  </r>
  <r>
    <x v="133"/>
    <x v="133"/>
    <x v="1"/>
    <s v="Praderes polifites"/>
    <n v="122"/>
    <n v="0"/>
    <n v="0"/>
    <n v="122"/>
    <n v="0"/>
    <n v="0"/>
    <n v="0"/>
    <n v="0"/>
  </r>
  <r>
    <x v="133"/>
    <x v="133"/>
    <x v="1"/>
    <s v="Associació Veça - Civada farratgeres"/>
    <n v="6"/>
    <n v="0"/>
    <n v="0"/>
    <n v="6"/>
    <n v="0"/>
    <n v="0"/>
    <n v="0"/>
    <n v="0"/>
  </r>
  <r>
    <x v="133"/>
    <x v="133"/>
    <x v="3"/>
    <s v="Colza"/>
    <n v="14"/>
    <n v="0"/>
    <n v="0"/>
    <n v="14"/>
    <n v="0"/>
    <n v="0"/>
    <n v="0"/>
    <n v="0"/>
  </r>
  <r>
    <x v="133"/>
    <x v="133"/>
    <x v="2"/>
    <s v="Pèsol sec"/>
    <n v="6"/>
    <n v="0"/>
    <n v="0"/>
    <n v="6"/>
    <n v="0"/>
    <n v="0"/>
    <n v="0"/>
    <n v="0"/>
  </r>
  <r>
    <x v="134"/>
    <x v="134"/>
    <x v="1"/>
    <s v="Cereals d'hivern per a farratge"/>
    <n v="2"/>
    <n v="0"/>
    <n v="0"/>
    <n v="2"/>
    <n v="0"/>
    <n v="0"/>
    <n v="0"/>
    <n v="0"/>
  </r>
  <r>
    <x v="134"/>
    <x v="134"/>
    <x v="1"/>
    <s v="Praderes polifites"/>
    <n v="8"/>
    <n v="0"/>
    <n v="0"/>
    <n v="8"/>
    <n v="0"/>
    <n v="0"/>
    <n v="0"/>
    <n v="0"/>
  </r>
  <r>
    <x v="134"/>
    <x v="134"/>
    <x v="4"/>
    <s v="Tomàquet"/>
    <n v="0"/>
    <n v="0"/>
    <n v="0"/>
    <n v="0"/>
    <n v="1"/>
    <n v="0"/>
    <n v="0"/>
    <n v="1"/>
  </r>
  <r>
    <x v="134"/>
    <x v="134"/>
    <x v="4"/>
    <s v="Fava tendra"/>
    <n v="0"/>
    <n v="0"/>
    <n v="0"/>
    <n v="0"/>
    <n v="1"/>
    <n v="0"/>
    <n v="0"/>
    <n v="1"/>
  </r>
  <r>
    <x v="135"/>
    <x v="135"/>
    <x v="0"/>
    <s v="Blat tou"/>
    <n v="11"/>
    <n v="0"/>
    <n v="0"/>
    <n v="11"/>
    <n v="0"/>
    <n v="0"/>
    <n v="0"/>
    <n v="0"/>
  </r>
  <r>
    <x v="135"/>
    <x v="135"/>
    <x v="0"/>
    <s v="Ordi"/>
    <n v="62"/>
    <n v="0"/>
    <n v="0"/>
    <n v="62"/>
    <n v="2"/>
    <n v="0"/>
    <n v="0"/>
    <n v="2"/>
  </r>
  <r>
    <x v="135"/>
    <x v="135"/>
    <x v="0"/>
    <s v="Civada"/>
    <n v="1"/>
    <n v="0"/>
    <n v="0"/>
    <n v="1"/>
    <n v="0"/>
    <n v="0"/>
    <n v="0"/>
    <n v="0"/>
  </r>
  <r>
    <x v="135"/>
    <x v="135"/>
    <x v="1"/>
    <s v="Cereals d'hivern per a farratge"/>
    <n v="5"/>
    <n v="0"/>
    <n v="0"/>
    <n v="5"/>
    <n v="0"/>
    <n v="0"/>
    <n v="0"/>
    <n v="0"/>
  </r>
  <r>
    <x v="135"/>
    <x v="135"/>
    <x v="1"/>
    <s v="Alfals"/>
    <n v="1"/>
    <n v="0"/>
    <n v="0"/>
    <n v="1"/>
    <n v="0"/>
    <n v="0"/>
    <n v="0"/>
    <n v="0"/>
  </r>
  <r>
    <x v="135"/>
    <x v="135"/>
    <x v="1"/>
    <s v="Associació Veça - Civada farratgeres"/>
    <n v="1"/>
    <n v="0"/>
    <n v="0"/>
    <n v="1"/>
    <n v="0"/>
    <n v="0"/>
    <n v="0"/>
    <n v="0"/>
  </r>
  <r>
    <x v="135"/>
    <x v="135"/>
    <x v="3"/>
    <s v="Colza"/>
    <n v="1"/>
    <n v="0"/>
    <n v="0"/>
    <n v="1"/>
    <n v="0"/>
    <n v="0"/>
    <n v="0"/>
    <n v="0"/>
  </r>
  <r>
    <x v="135"/>
    <x v="135"/>
    <x v="4"/>
    <s v="Col de cabdell"/>
    <n v="0"/>
    <n v="0"/>
    <n v="0"/>
    <n v="0"/>
    <n v="1"/>
    <n v="0"/>
    <n v="0"/>
    <n v="1"/>
  </r>
  <r>
    <x v="135"/>
    <x v="135"/>
    <x v="4"/>
    <s v="Enciam"/>
    <n v="0"/>
    <n v="0"/>
    <n v="0"/>
    <n v="0"/>
    <n v="1"/>
    <n v="0"/>
    <n v="0"/>
    <n v="1"/>
  </r>
  <r>
    <x v="135"/>
    <x v="135"/>
    <x v="4"/>
    <s v="Bleda"/>
    <n v="0"/>
    <n v="0"/>
    <n v="0"/>
    <n v="0"/>
    <n v="1"/>
    <n v="0"/>
    <n v="0"/>
    <n v="1"/>
  </r>
  <r>
    <x v="135"/>
    <x v="135"/>
    <x v="4"/>
    <s v="Tomàquet"/>
    <n v="0"/>
    <n v="0"/>
    <n v="0"/>
    <n v="0"/>
    <n v="1"/>
    <n v="0"/>
    <n v="0"/>
    <n v="1"/>
  </r>
  <r>
    <x v="135"/>
    <x v="135"/>
    <x v="4"/>
    <s v="Mongeta tendra"/>
    <n v="0"/>
    <n v="0"/>
    <n v="0"/>
    <n v="0"/>
    <n v="1"/>
    <n v="0"/>
    <n v="0"/>
    <n v="1"/>
  </r>
  <r>
    <x v="136"/>
    <x v="136"/>
    <x v="0"/>
    <s v="Blat tou"/>
    <n v="437"/>
    <n v="0"/>
    <n v="0"/>
    <n v="437"/>
    <n v="3"/>
    <n v="0"/>
    <n v="0"/>
    <n v="3"/>
  </r>
  <r>
    <x v="136"/>
    <x v="136"/>
    <x v="0"/>
    <s v="Ordi"/>
    <n v="655"/>
    <n v="0"/>
    <n v="0"/>
    <n v="655"/>
    <n v="3"/>
    <n v="0"/>
    <n v="0"/>
    <n v="3"/>
  </r>
  <r>
    <x v="136"/>
    <x v="136"/>
    <x v="0"/>
    <s v="Civada"/>
    <n v="12"/>
    <n v="0"/>
    <n v="0"/>
    <n v="12"/>
    <n v="0"/>
    <n v="0"/>
    <n v="0"/>
    <n v="0"/>
  </r>
  <r>
    <x v="136"/>
    <x v="136"/>
    <x v="1"/>
    <s v="Cereals d'hivern per a farratge"/>
    <n v="49"/>
    <n v="0"/>
    <n v="0"/>
    <n v="49"/>
    <n v="0"/>
    <n v="0"/>
    <n v="0"/>
    <n v="0"/>
  </r>
  <r>
    <x v="136"/>
    <x v="136"/>
    <x v="1"/>
    <s v="Sorgo farratger"/>
    <n v="2"/>
    <n v="0"/>
    <n v="0"/>
    <n v="2"/>
    <n v="0"/>
    <n v="0"/>
    <n v="0"/>
    <n v="0"/>
  </r>
  <r>
    <x v="136"/>
    <x v="136"/>
    <x v="1"/>
    <s v="Raigràs"/>
    <n v="70"/>
    <n v="0"/>
    <n v="0"/>
    <n v="70"/>
    <n v="1"/>
    <n v="0"/>
    <n v="0"/>
    <n v="1"/>
  </r>
  <r>
    <x v="136"/>
    <x v="136"/>
    <x v="1"/>
    <s v="Alfals"/>
    <n v="1"/>
    <n v="0"/>
    <n v="0"/>
    <n v="1"/>
    <n v="0"/>
    <n v="0"/>
    <n v="0"/>
    <n v="0"/>
  </r>
  <r>
    <x v="136"/>
    <x v="136"/>
    <x v="1"/>
    <s v="Praderes polifites"/>
    <n v="8"/>
    <n v="0"/>
    <n v="0"/>
    <n v="8"/>
    <n v="0"/>
    <n v="0"/>
    <n v="0"/>
    <n v="0"/>
  </r>
  <r>
    <x v="136"/>
    <x v="136"/>
    <x v="1"/>
    <s v="Associació Veça - Civada farratgeres"/>
    <n v="9"/>
    <n v="0"/>
    <n v="0"/>
    <n v="9"/>
    <n v="0"/>
    <n v="0"/>
    <n v="0"/>
    <n v="0"/>
  </r>
  <r>
    <x v="136"/>
    <x v="136"/>
    <x v="3"/>
    <s v="Colza"/>
    <n v="6"/>
    <n v="0"/>
    <n v="0"/>
    <n v="6"/>
    <n v="0"/>
    <n v="0"/>
    <n v="0"/>
    <n v="0"/>
  </r>
  <r>
    <x v="136"/>
    <x v="136"/>
    <x v="4"/>
    <s v="Enciam"/>
    <n v="0"/>
    <n v="0"/>
    <n v="0"/>
    <n v="0"/>
    <n v="1"/>
    <n v="0"/>
    <n v="0"/>
    <n v="1"/>
  </r>
  <r>
    <x v="136"/>
    <x v="136"/>
    <x v="4"/>
    <s v="Fava tendra"/>
    <n v="0"/>
    <n v="0"/>
    <n v="0"/>
    <n v="0"/>
    <n v="1"/>
    <n v="0"/>
    <n v="0"/>
    <n v="1"/>
  </r>
  <r>
    <x v="136"/>
    <x v="136"/>
    <x v="2"/>
    <s v="Fava seca"/>
    <n v="3"/>
    <n v="0"/>
    <n v="0"/>
    <n v="3"/>
    <n v="0"/>
    <n v="0"/>
    <n v="0"/>
    <n v="0"/>
  </r>
  <r>
    <x v="136"/>
    <x v="136"/>
    <x v="2"/>
    <s v="Veça"/>
    <n v="4"/>
    <n v="0"/>
    <n v="0"/>
    <n v="4"/>
    <n v="0"/>
    <n v="0"/>
    <n v="0"/>
    <n v="0"/>
  </r>
  <r>
    <x v="137"/>
    <x v="137"/>
    <x v="1"/>
    <s v="Raigràs"/>
    <n v="10"/>
    <n v="0"/>
    <n v="0"/>
    <n v="10"/>
    <n v="0"/>
    <n v="0"/>
    <n v="0"/>
    <n v="0"/>
  </r>
  <r>
    <x v="137"/>
    <x v="137"/>
    <x v="1"/>
    <s v="Trepadella"/>
    <n v="1"/>
    <n v="0"/>
    <n v="0"/>
    <n v="1"/>
    <n v="0"/>
    <n v="0"/>
    <n v="0"/>
    <n v="0"/>
  </r>
  <r>
    <x v="137"/>
    <x v="137"/>
    <x v="1"/>
    <s v="Festuca"/>
    <n v="1"/>
    <n v="0"/>
    <n v="0"/>
    <n v="1"/>
    <n v="0"/>
    <n v="0"/>
    <n v="0"/>
    <n v="0"/>
  </r>
  <r>
    <x v="137"/>
    <x v="137"/>
    <x v="1"/>
    <s v="Dàctil"/>
    <n v="19"/>
    <n v="0"/>
    <n v="0"/>
    <n v="19"/>
    <n v="0"/>
    <n v="0"/>
    <n v="0"/>
    <n v="0"/>
  </r>
  <r>
    <x v="138"/>
    <x v="138"/>
    <x v="0"/>
    <s v="Blat tou"/>
    <n v="368"/>
    <n v="0"/>
    <n v="0"/>
    <n v="368"/>
    <n v="0"/>
    <n v="0"/>
    <n v="0"/>
    <n v="0"/>
  </r>
  <r>
    <x v="138"/>
    <x v="138"/>
    <x v="0"/>
    <s v="Ordi"/>
    <n v="871"/>
    <n v="0"/>
    <n v="0"/>
    <n v="871"/>
    <n v="0"/>
    <n v="0"/>
    <n v="0"/>
    <n v="0"/>
  </r>
  <r>
    <x v="138"/>
    <x v="138"/>
    <x v="0"/>
    <s v="Civada"/>
    <n v="33"/>
    <n v="0"/>
    <n v="0"/>
    <n v="33"/>
    <n v="0"/>
    <n v="0"/>
    <n v="0"/>
    <n v="0"/>
  </r>
  <r>
    <x v="138"/>
    <x v="138"/>
    <x v="1"/>
    <s v="Cereals d'hivern per a farratge"/>
    <n v="132"/>
    <n v="0"/>
    <n v="0"/>
    <n v="132"/>
    <n v="0"/>
    <n v="0"/>
    <n v="0"/>
    <n v="0"/>
  </r>
  <r>
    <x v="138"/>
    <x v="138"/>
    <x v="1"/>
    <s v="Raigràs"/>
    <n v="15"/>
    <n v="0"/>
    <n v="0"/>
    <n v="15"/>
    <n v="0"/>
    <n v="0"/>
    <n v="0"/>
    <n v="0"/>
  </r>
  <r>
    <x v="138"/>
    <x v="138"/>
    <x v="1"/>
    <s v="Alfals"/>
    <n v="6"/>
    <n v="0"/>
    <n v="0"/>
    <n v="6"/>
    <n v="0"/>
    <n v="0"/>
    <n v="0"/>
    <n v="0"/>
  </r>
  <r>
    <x v="138"/>
    <x v="138"/>
    <x v="3"/>
    <s v="Càrtam"/>
    <n v="2"/>
    <n v="0"/>
    <n v="0"/>
    <n v="2"/>
    <n v="0"/>
    <n v="0"/>
    <n v="0"/>
    <n v="0"/>
  </r>
  <r>
    <x v="138"/>
    <x v="138"/>
    <x v="3"/>
    <s v="Colza"/>
    <n v="81"/>
    <n v="0"/>
    <n v="0"/>
    <n v="81"/>
    <n v="0"/>
    <n v="0"/>
    <n v="0"/>
    <n v="0"/>
  </r>
  <r>
    <x v="138"/>
    <x v="138"/>
    <x v="3"/>
    <s v="Camelina"/>
    <n v="30"/>
    <n v="0"/>
    <n v="0"/>
    <n v="30"/>
    <n v="0"/>
    <n v="0"/>
    <n v="0"/>
    <n v="0"/>
  </r>
  <r>
    <x v="138"/>
    <x v="138"/>
    <x v="4"/>
    <s v="Enciam"/>
    <n v="0"/>
    <n v="0"/>
    <n v="0"/>
    <n v="0"/>
    <n v="1"/>
    <n v="0"/>
    <n v="0"/>
    <n v="1"/>
  </r>
  <r>
    <x v="138"/>
    <x v="138"/>
    <x v="4"/>
    <s v="Tomàquet"/>
    <n v="0"/>
    <n v="0"/>
    <n v="0"/>
    <n v="0"/>
    <n v="2"/>
    <n v="0"/>
    <n v="0"/>
    <n v="2"/>
  </r>
  <r>
    <x v="138"/>
    <x v="138"/>
    <x v="4"/>
    <s v="Ceba"/>
    <n v="1"/>
    <n v="0"/>
    <n v="0"/>
    <n v="1"/>
    <n v="1"/>
    <n v="0"/>
    <n v="0"/>
    <n v="1"/>
  </r>
  <r>
    <x v="138"/>
    <x v="138"/>
    <x v="2"/>
    <s v="Mongeta seca"/>
    <n v="1"/>
    <n v="0"/>
    <n v="0"/>
    <n v="1"/>
    <n v="0"/>
    <n v="0"/>
    <n v="0"/>
    <n v="0"/>
  </r>
  <r>
    <x v="138"/>
    <x v="138"/>
    <x v="2"/>
    <s v="Cigró"/>
    <n v="1"/>
    <n v="0"/>
    <n v="0"/>
    <n v="1"/>
    <n v="0"/>
    <n v="0"/>
    <n v="0"/>
    <n v="0"/>
  </r>
  <r>
    <x v="138"/>
    <x v="138"/>
    <x v="2"/>
    <s v="Pèsol sec"/>
    <n v="66"/>
    <n v="0"/>
    <n v="0"/>
    <n v="66"/>
    <n v="0"/>
    <n v="0"/>
    <n v="0"/>
    <n v="0"/>
  </r>
  <r>
    <x v="138"/>
    <x v="138"/>
    <x v="2"/>
    <s v="Veça"/>
    <n v="2"/>
    <n v="0"/>
    <n v="0"/>
    <n v="2"/>
    <n v="0"/>
    <n v="0"/>
    <n v="0"/>
    <n v="0"/>
  </r>
  <r>
    <x v="138"/>
    <x v="138"/>
    <x v="2"/>
    <s v="Erbs"/>
    <n v="25"/>
    <n v="0"/>
    <n v="0"/>
    <n v="25"/>
    <n v="0"/>
    <n v="0"/>
    <n v="0"/>
    <n v="0"/>
  </r>
  <r>
    <x v="139"/>
    <x v="139"/>
    <x v="0"/>
    <s v="Blat tou"/>
    <n v="1"/>
    <n v="0"/>
    <n v="0"/>
    <n v="1"/>
    <n v="0"/>
    <n v="0"/>
    <n v="0"/>
    <n v="0"/>
  </r>
  <r>
    <x v="139"/>
    <x v="139"/>
    <x v="0"/>
    <s v="Ordi"/>
    <n v="19"/>
    <n v="0"/>
    <n v="0"/>
    <n v="19"/>
    <n v="0"/>
    <n v="0"/>
    <n v="0"/>
    <n v="0"/>
  </r>
  <r>
    <x v="139"/>
    <x v="139"/>
    <x v="0"/>
    <s v="Civada"/>
    <n v="11"/>
    <n v="0"/>
    <n v="0"/>
    <n v="11"/>
    <n v="0"/>
    <n v="0"/>
    <n v="0"/>
    <n v="0"/>
  </r>
  <r>
    <x v="139"/>
    <x v="139"/>
    <x v="1"/>
    <s v="Alfals"/>
    <n v="5"/>
    <n v="0"/>
    <n v="0"/>
    <n v="5"/>
    <n v="0"/>
    <n v="0"/>
    <n v="0"/>
    <n v="0"/>
  </r>
  <r>
    <x v="139"/>
    <x v="139"/>
    <x v="1"/>
    <s v="Trepadella"/>
    <n v="7"/>
    <n v="0"/>
    <n v="0"/>
    <n v="7"/>
    <n v="0"/>
    <n v="0"/>
    <n v="0"/>
    <n v="0"/>
  </r>
  <r>
    <x v="139"/>
    <x v="139"/>
    <x v="1"/>
    <s v="Associació Veça - Civada farratgeres"/>
    <n v="10"/>
    <n v="0"/>
    <n v="0"/>
    <n v="10"/>
    <n v="0"/>
    <n v="0"/>
    <n v="0"/>
    <n v="0"/>
  </r>
  <r>
    <x v="139"/>
    <x v="139"/>
    <x v="3"/>
    <s v="Colza"/>
    <n v="3"/>
    <n v="0"/>
    <n v="0"/>
    <n v="3"/>
    <n v="0"/>
    <n v="0"/>
    <n v="0"/>
    <n v="0"/>
  </r>
  <r>
    <x v="139"/>
    <x v="139"/>
    <x v="4"/>
    <s v="Meló"/>
    <n v="3"/>
    <n v="0"/>
    <n v="0"/>
    <n v="3"/>
    <n v="0"/>
    <n v="0"/>
    <n v="0"/>
    <n v="0"/>
  </r>
  <r>
    <x v="139"/>
    <x v="139"/>
    <x v="4"/>
    <s v="Tomàquet"/>
    <n v="7"/>
    <n v="0"/>
    <n v="0"/>
    <n v="7"/>
    <n v="0"/>
    <n v="0"/>
    <n v="0"/>
    <n v="0"/>
  </r>
  <r>
    <x v="139"/>
    <x v="139"/>
    <x v="4"/>
    <s v="Ceba"/>
    <n v="3"/>
    <n v="0"/>
    <n v="0"/>
    <n v="3"/>
    <n v="0"/>
    <n v="0"/>
    <n v="0"/>
    <n v="0"/>
  </r>
  <r>
    <x v="139"/>
    <x v="139"/>
    <x v="2"/>
    <s v="Veça"/>
    <n v="6"/>
    <n v="0"/>
    <n v="0"/>
    <n v="6"/>
    <n v="0"/>
    <n v="0"/>
    <n v="0"/>
    <n v="0"/>
  </r>
  <r>
    <x v="139"/>
    <x v="139"/>
    <x v="6"/>
    <s v="Patata d'estació mitjana"/>
    <n v="1"/>
    <n v="0"/>
    <n v="0"/>
    <n v="1"/>
    <n v="0"/>
    <n v="0"/>
    <n v="0"/>
    <n v="0"/>
  </r>
  <r>
    <x v="140"/>
    <x v="140"/>
    <x v="0"/>
    <s v="Ordi"/>
    <n v="4"/>
    <n v="0"/>
    <n v="0"/>
    <n v="4"/>
    <n v="0"/>
    <n v="0"/>
    <n v="0"/>
    <n v="0"/>
  </r>
  <r>
    <x v="141"/>
    <x v="141"/>
    <x v="4"/>
    <s v="Enciam"/>
    <n v="0"/>
    <n v="0"/>
    <n v="0"/>
    <n v="0"/>
    <n v="1"/>
    <n v="0"/>
    <n v="0"/>
    <n v="1"/>
  </r>
  <r>
    <x v="141"/>
    <x v="141"/>
    <x v="4"/>
    <s v="Tomàquet"/>
    <n v="0"/>
    <n v="0"/>
    <n v="0"/>
    <n v="0"/>
    <n v="1"/>
    <n v="0"/>
    <n v="0"/>
    <n v="1"/>
  </r>
  <r>
    <x v="141"/>
    <x v="141"/>
    <x v="4"/>
    <s v="Ceba"/>
    <n v="0"/>
    <n v="0"/>
    <n v="0"/>
    <n v="0"/>
    <n v="1"/>
    <n v="0"/>
    <n v="0"/>
    <n v="1"/>
  </r>
  <r>
    <x v="141"/>
    <x v="141"/>
    <x v="4"/>
    <s v="Fava tendra"/>
    <n v="0"/>
    <n v="0"/>
    <n v="0"/>
    <n v="0"/>
    <n v="2"/>
    <n v="0"/>
    <n v="0"/>
    <n v="2"/>
  </r>
  <r>
    <x v="142"/>
    <x v="142"/>
    <x v="0"/>
    <s v="Ordi"/>
    <n v="3"/>
    <n v="0"/>
    <n v="0"/>
    <n v="3"/>
    <n v="0"/>
    <n v="0"/>
    <n v="0"/>
    <n v="0"/>
  </r>
  <r>
    <x v="142"/>
    <x v="142"/>
    <x v="1"/>
    <s v="Trèvol"/>
    <n v="3"/>
    <n v="0"/>
    <n v="0"/>
    <n v="3"/>
    <n v="0"/>
    <n v="0"/>
    <n v="0"/>
    <n v="0"/>
  </r>
  <r>
    <x v="143"/>
    <x v="143"/>
    <x v="0"/>
    <s v="Blat tou"/>
    <n v="194"/>
    <n v="0"/>
    <n v="0"/>
    <n v="194"/>
    <n v="0"/>
    <n v="0"/>
    <n v="0"/>
    <n v="0"/>
  </r>
  <r>
    <x v="143"/>
    <x v="143"/>
    <x v="0"/>
    <s v="Ordi"/>
    <n v="308"/>
    <n v="0"/>
    <n v="0"/>
    <n v="308"/>
    <n v="0"/>
    <n v="0"/>
    <n v="0"/>
    <n v="0"/>
  </r>
  <r>
    <x v="143"/>
    <x v="143"/>
    <x v="0"/>
    <s v="Civada"/>
    <n v="6"/>
    <n v="0"/>
    <n v="0"/>
    <n v="6"/>
    <n v="0"/>
    <n v="0"/>
    <n v="0"/>
    <n v="0"/>
  </r>
  <r>
    <x v="143"/>
    <x v="143"/>
    <x v="0"/>
    <s v="Mill i melca"/>
    <n v="2"/>
    <n v="0"/>
    <n v="0"/>
    <n v="2"/>
    <n v="0"/>
    <n v="0"/>
    <n v="0"/>
    <n v="0"/>
  </r>
  <r>
    <x v="143"/>
    <x v="143"/>
    <x v="1"/>
    <s v="Cereals d'hivern per a farratge"/>
    <n v="17"/>
    <n v="0"/>
    <n v="0"/>
    <n v="17"/>
    <n v="0"/>
    <n v="0"/>
    <n v="0"/>
    <n v="0"/>
  </r>
  <r>
    <x v="143"/>
    <x v="143"/>
    <x v="1"/>
    <s v="Sorgo farratger"/>
    <n v="12"/>
    <n v="12"/>
    <n v="0"/>
    <n v="24"/>
    <n v="0"/>
    <n v="0"/>
    <n v="0"/>
    <n v="0"/>
  </r>
  <r>
    <x v="143"/>
    <x v="143"/>
    <x v="1"/>
    <s v="Raigràs"/>
    <n v="159"/>
    <n v="0"/>
    <n v="0"/>
    <n v="159"/>
    <n v="0"/>
    <n v="0"/>
    <n v="0"/>
    <n v="0"/>
  </r>
  <r>
    <x v="143"/>
    <x v="143"/>
    <x v="1"/>
    <s v="Alfals"/>
    <n v="20"/>
    <n v="0"/>
    <n v="0"/>
    <n v="20"/>
    <n v="0"/>
    <n v="0"/>
    <n v="0"/>
    <n v="0"/>
  </r>
  <r>
    <x v="143"/>
    <x v="143"/>
    <x v="1"/>
    <s v="Trepadella"/>
    <n v="5"/>
    <n v="0"/>
    <n v="0"/>
    <n v="5"/>
    <n v="0"/>
    <n v="0"/>
    <n v="0"/>
    <n v="0"/>
  </r>
  <r>
    <x v="143"/>
    <x v="143"/>
    <x v="1"/>
    <s v="Praderes polifites"/>
    <n v="206"/>
    <n v="0"/>
    <n v="0"/>
    <n v="206"/>
    <n v="0"/>
    <n v="0"/>
    <n v="0"/>
    <n v="0"/>
  </r>
  <r>
    <x v="143"/>
    <x v="143"/>
    <x v="1"/>
    <s v="Festuca"/>
    <n v="5"/>
    <n v="0"/>
    <n v="0"/>
    <n v="5"/>
    <n v="0"/>
    <n v="0"/>
    <n v="0"/>
    <n v="0"/>
  </r>
  <r>
    <x v="143"/>
    <x v="143"/>
    <x v="1"/>
    <s v="Associació Veça - Civada farratgeres"/>
    <n v="3"/>
    <n v="0"/>
    <n v="0"/>
    <n v="3"/>
    <n v="0"/>
    <n v="0"/>
    <n v="0"/>
    <n v="0"/>
  </r>
  <r>
    <x v="143"/>
    <x v="143"/>
    <x v="3"/>
    <s v="Gira-sol"/>
    <n v="24"/>
    <n v="0"/>
    <n v="0"/>
    <n v="24"/>
    <n v="0"/>
    <n v="0"/>
    <n v="0"/>
    <n v="0"/>
  </r>
  <r>
    <x v="143"/>
    <x v="143"/>
    <x v="3"/>
    <s v="Colza"/>
    <n v="76"/>
    <n v="0"/>
    <n v="0"/>
    <n v="76"/>
    <n v="0"/>
    <n v="0"/>
    <n v="0"/>
    <n v="0"/>
  </r>
  <r>
    <x v="143"/>
    <x v="143"/>
    <x v="2"/>
    <s v="Veça"/>
    <n v="8"/>
    <n v="0"/>
    <n v="0"/>
    <n v="8"/>
    <n v="0"/>
    <n v="0"/>
    <n v="0"/>
    <n v="0"/>
  </r>
  <r>
    <x v="144"/>
    <x v="144"/>
    <x v="0"/>
    <s v="Blat tou"/>
    <n v="62"/>
    <n v="0"/>
    <n v="0"/>
    <n v="62"/>
    <n v="0"/>
    <n v="0"/>
    <n v="0"/>
    <n v="0"/>
  </r>
  <r>
    <x v="144"/>
    <x v="144"/>
    <x v="0"/>
    <s v="Ordi"/>
    <n v="137"/>
    <n v="0"/>
    <n v="0"/>
    <n v="137"/>
    <n v="0"/>
    <n v="0"/>
    <n v="0"/>
    <n v="0"/>
  </r>
  <r>
    <x v="144"/>
    <x v="144"/>
    <x v="0"/>
    <s v="Civada"/>
    <n v="13"/>
    <n v="0"/>
    <n v="0"/>
    <n v="13"/>
    <n v="0"/>
    <n v="0"/>
    <n v="0"/>
    <n v="0"/>
  </r>
  <r>
    <x v="144"/>
    <x v="144"/>
    <x v="0"/>
    <s v="Mill i melca"/>
    <n v="3"/>
    <n v="0"/>
    <n v="0"/>
    <n v="3"/>
    <n v="0"/>
    <n v="0"/>
    <n v="0"/>
    <n v="0"/>
  </r>
  <r>
    <x v="144"/>
    <x v="144"/>
    <x v="0"/>
    <s v="Espelta"/>
    <n v="3"/>
    <n v="0"/>
    <n v="0"/>
    <n v="3"/>
    <n v="0"/>
    <n v="0"/>
    <n v="0"/>
    <n v="0"/>
  </r>
  <r>
    <x v="144"/>
    <x v="144"/>
    <x v="1"/>
    <s v="Cereals d'hivern per a farratge"/>
    <n v="13"/>
    <n v="0"/>
    <n v="0"/>
    <n v="13"/>
    <n v="0"/>
    <n v="0"/>
    <n v="0"/>
    <n v="0"/>
  </r>
  <r>
    <x v="144"/>
    <x v="144"/>
    <x v="1"/>
    <s v="Sorgo farratger"/>
    <n v="0"/>
    <n v="4"/>
    <n v="0"/>
    <n v="4"/>
    <n v="0"/>
    <n v="0"/>
    <n v="0"/>
    <n v="0"/>
  </r>
  <r>
    <x v="144"/>
    <x v="144"/>
    <x v="1"/>
    <s v="Raigràs"/>
    <n v="121"/>
    <n v="0"/>
    <n v="0"/>
    <n v="121"/>
    <n v="0"/>
    <n v="0"/>
    <n v="0"/>
    <n v="0"/>
  </r>
  <r>
    <x v="144"/>
    <x v="144"/>
    <x v="1"/>
    <s v="Alfals"/>
    <n v="49"/>
    <n v="0"/>
    <n v="0"/>
    <n v="49"/>
    <n v="0"/>
    <n v="0"/>
    <n v="0"/>
    <n v="0"/>
  </r>
  <r>
    <x v="144"/>
    <x v="144"/>
    <x v="1"/>
    <s v="Trepadella"/>
    <n v="24"/>
    <n v="0"/>
    <n v="0"/>
    <n v="24"/>
    <n v="0"/>
    <n v="0"/>
    <n v="0"/>
    <n v="0"/>
  </r>
  <r>
    <x v="144"/>
    <x v="144"/>
    <x v="1"/>
    <s v="Praderes polifites"/>
    <n v="75"/>
    <n v="0"/>
    <n v="0"/>
    <n v="75"/>
    <n v="0"/>
    <n v="0"/>
    <n v="0"/>
    <n v="0"/>
  </r>
  <r>
    <x v="144"/>
    <x v="144"/>
    <x v="1"/>
    <s v="Festuca"/>
    <n v="5"/>
    <n v="0"/>
    <n v="0"/>
    <n v="5"/>
    <n v="0"/>
    <n v="0"/>
    <n v="0"/>
    <n v="0"/>
  </r>
  <r>
    <x v="144"/>
    <x v="144"/>
    <x v="1"/>
    <s v="Associació Veça - Civada farratgeres"/>
    <n v="14"/>
    <n v="2"/>
    <n v="0"/>
    <n v="16"/>
    <n v="0"/>
    <n v="0"/>
    <n v="0"/>
    <n v="0"/>
  </r>
  <r>
    <x v="144"/>
    <x v="144"/>
    <x v="3"/>
    <s v="Colza"/>
    <n v="33"/>
    <n v="0"/>
    <n v="0"/>
    <n v="33"/>
    <n v="0"/>
    <n v="0"/>
    <n v="0"/>
    <n v="0"/>
  </r>
  <r>
    <x v="144"/>
    <x v="144"/>
    <x v="2"/>
    <s v="Veça"/>
    <n v="2"/>
    <n v="0"/>
    <n v="0"/>
    <n v="2"/>
    <n v="0"/>
    <n v="0"/>
    <n v="0"/>
    <n v="0"/>
  </r>
  <r>
    <x v="145"/>
    <x v="145"/>
    <x v="0"/>
    <s v="Blat tou"/>
    <n v="73"/>
    <n v="0"/>
    <n v="0"/>
    <n v="73"/>
    <n v="6"/>
    <n v="0"/>
    <n v="0"/>
    <n v="6"/>
  </r>
  <r>
    <x v="145"/>
    <x v="145"/>
    <x v="0"/>
    <s v="Ordi"/>
    <n v="67"/>
    <n v="0"/>
    <n v="0"/>
    <n v="67"/>
    <n v="12"/>
    <n v="0"/>
    <n v="0"/>
    <n v="12"/>
  </r>
  <r>
    <x v="145"/>
    <x v="145"/>
    <x v="0"/>
    <s v="Civada"/>
    <n v="11"/>
    <n v="0"/>
    <n v="0"/>
    <n v="11"/>
    <n v="1"/>
    <n v="0"/>
    <n v="0"/>
    <n v="1"/>
  </r>
  <r>
    <x v="145"/>
    <x v="145"/>
    <x v="1"/>
    <s v="Cereals d'hivern per a farratge"/>
    <n v="44"/>
    <n v="0"/>
    <n v="0"/>
    <n v="44"/>
    <n v="3"/>
    <n v="0"/>
    <n v="0"/>
    <n v="3"/>
  </r>
  <r>
    <x v="145"/>
    <x v="145"/>
    <x v="1"/>
    <s v="Blat de moro farratger"/>
    <n v="2"/>
    <n v="15"/>
    <n v="0"/>
    <n v="17"/>
    <n v="0"/>
    <n v="9"/>
    <n v="0"/>
    <n v="9"/>
  </r>
  <r>
    <x v="145"/>
    <x v="145"/>
    <x v="1"/>
    <s v="Sorgo farratger"/>
    <n v="5"/>
    <n v="62"/>
    <n v="0"/>
    <n v="67"/>
    <n v="0"/>
    <n v="0"/>
    <n v="0"/>
    <n v="0"/>
  </r>
  <r>
    <x v="145"/>
    <x v="145"/>
    <x v="1"/>
    <s v="Raigràs"/>
    <n v="107"/>
    <n v="1"/>
    <n v="0"/>
    <n v="108"/>
    <n v="1"/>
    <n v="0"/>
    <n v="0"/>
    <n v="1"/>
  </r>
  <r>
    <x v="145"/>
    <x v="145"/>
    <x v="1"/>
    <s v="Alfals"/>
    <n v="30"/>
    <n v="0"/>
    <n v="0"/>
    <n v="30"/>
    <n v="0"/>
    <n v="0"/>
    <n v="0"/>
    <n v="0"/>
  </r>
  <r>
    <x v="145"/>
    <x v="145"/>
    <x v="1"/>
    <s v="Trepadella"/>
    <n v="3"/>
    <n v="0"/>
    <n v="0"/>
    <n v="3"/>
    <n v="0"/>
    <n v="0"/>
    <n v="0"/>
    <n v="0"/>
  </r>
  <r>
    <x v="145"/>
    <x v="145"/>
    <x v="1"/>
    <s v="Praderes polifites"/>
    <n v="28"/>
    <n v="0"/>
    <n v="0"/>
    <n v="28"/>
    <n v="0"/>
    <n v="0"/>
    <n v="0"/>
    <n v="0"/>
  </r>
  <r>
    <x v="145"/>
    <x v="145"/>
    <x v="3"/>
    <s v="Colza"/>
    <n v="8"/>
    <n v="0"/>
    <n v="0"/>
    <n v="8"/>
    <n v="0"/>
    <n v="0"/>
    <n v="0"/>
    <n v="0"/>
  </r>
  <r>
    <x v="145"/>
    <x v="145"/>
    <x v="4"/>
    <s v="Ceba"/>
    <n v="0"/>
    <n v="0"/>
    <n v="0"/>
    <n v="0"/>
    <n v="1"/>
    <n v="0"/>
    <n v="0"/>
    <n v="1"/>
  </r>
  <r>
    <x v="145"/>
    <x v="145"/>
    <x v="6"/>
    <s v="Patata d'estació mitjana"/>
    <n v="2"/>
    <n v="0"/>
    <n v="0"/>
    <n v="2"/>
    <n v="0"/>
    <n v="0"/>
    <n v="0"/>
    <n v="0"/>
  </r>
  <r>
    <x v="146"/>
    <x v="146"/>
    <x v="0"/>
    <s v="Blat tou"/>
    <n v="502"/>
    <n v="0"/>
    <n v="0"/>
    <n v="502"/>
    <n v="0"/>
    <n v="0"/>
    <n v="0"/>
    <n v="0"/>
  </r>
  <r>
    <x v="146"/>
    <x v="146"/>
    <x v="0"/>
    <s v="Ordi"/>
    <n v="731"/>
    <n v="0"/>
    <n v="0"/>
    <n v="731"/>
    <n v="0"/>
    <n v="0"/>
    <n v="0"/>
    <n v="0"/>
  </r>
  <r>
    <x v="146"/>
    <x v="146"/>
    <x v="0"/>
    <s v="Civada"/>
    <n v="8"/>
    <n v="0"/>
    <n v="0"/>
    <n v="8"/>
    <n v="0"/>
    <n v="0"/>
    <n v="0"/>
    <n v="0"/>
  </r>
  <r>
    <x v="146"/>
    <x v="146"/>
    <x v="0"/>
    <s v="Triticale"/>
    <n v="2"/>
    <n v="0"/>
    <n v="0"/>
    <n v="2"/>
    <n v="0"/>
    <n v="0"/>
    <n v="0"/>
    <n v="0"/>
  </r>
  <r>
    <x v="146"/>
    <x v="146"/>
    <x v="0"/>
    <s v="Mestall i altres mescles"/>
    <n v="11"/>
    <n v="0"/>
    <n v="0"/>
    <n v="11"/>
    <n v="0"/>
    <n v="0"/>
    <n v="0"/>
    <n v="0"/>
  </r>
  <r>
    <x v="146"/>
    <x v="146"/>
    <x v="0"/>
    <s v="Mill i melca"/>
    <n v="4"/>
    <n v="1"/>
    <n v="0"/>
    <n v="5"/>
    <n v="0"/>
    <n v="0"/>
    <n v="0"/>
    <n v="0"/>
  </r>
  <r>
    <x v="146"/>
    <x v="146"/>
    <x v="0"/>
    <s v="Blat dur"/>
    <n v="1"/>
    <n v="0"/>
    <n v="0"/>
    <n v="1"/>
    <n v="0"/>
    <n v="0"/>
    <n v="0"/>
    <n v="0"/>
  </r>
  <r>
    <x v="146"/>
    <x v="146"/>
    <x v="1"/>
    <s v="Cereals d'hivern per a farratge"/>
    <n v="11"/>
    <n v="0"/>
    <n v="0"/>
    <n v="11"/>
    <n v="0"/>
    <n v="0"/>
    <n v="0"/>
    <n v="0"/>
  </r>
  <r>
    <x v="146"/>
    <x v="146"/>
    <x v="1"/>
    <s v="Sorgo farratger"/>
    <n v="1"/>
    <n v="7"/>
    <n v="0"/>
    <n v="8"/>
    <n v="0"/>
    <n v="0"/>
    <n v="0"/>
    <n v="0"/>
  </r>
  <r>
    <x v="146"/>
    <x v="146"/>
    <x v="1"/>
    <s v="Raigràs"/>
    <n v="199"/>
    <n v="0"/>
    <n v="0"/>
    <n v="199"/>
    <n v="0"/>
    <n v="0"/>
    <n v="0"/>
    <n v="0"/>
  </r>
  <r>
    <x v="146"/>
    <x v="146"/>
    <x v="1"/>
    <s v="Alfals"/>
    <n v="63"/>
    <n v="0"/>
    <n v="0"/>
    <n v="63"/>
    <n v="0"/>
    <n v="0"/>
    <n v="0"/>
    <n v="0"/>
  </r>
  <r>
    <x v="146"/>
    <x v="146"/>
    <x v="1"/>
    <s v="Praderes polifites"/>
    <n v="95"/>
    <n v="0"/>
    <n v="0"/>
    <n v="95"/>
    <n v="0"/>
    <n v="0"/>
    <n v="0"/>
    <n v="0"/>
  </r>
  <r>
    <x v="146"/>
    <x v="146"/>
    <x v="1"/>
    <s v="Festuca"/>
    <n v="8"/>
    <n v="0"/>
    <n v="0"/>
    <n v="8"/>
    <n v="0"/>
    <n v="0"/>
    <n v="0"/>
    <n v="0"/>
  </r>
  <r>
    <x v="146"/>
    <x v="146"/>
    <x v="1"/>
    <s v="Associació Veça - Civada farratgeres"/>
    <n v="2"/>
    <n v="0"/>
    <n v="0"/>
    <n v="2"/>
    <n v="0"/>
    <n v="0"/>
    <n v="0"/>
    <n v="0"/>
  </r>
  <r>
    <x v="146"/>
    <x v="146"/>
    <x v="3"/>
    <s v="Gira-sol"/>
    <n v="51"/>
    <n v="0"/>
    <n v="0"/>
    <n v="51"/>
    <n v="0"/>
    <n v="0"/>
    <n v="0"/>
    <n v="0"/>
  </r>
  <r>
    <x v="146"/>
    <x v="146"/>
    <x v="3"/>
    <s v="Colza"/>
    <n v="171"/>
    <n v="0"/>
    <n v="0"/>
    <n v="171"/>
    <n v="0"/>
    <n v="0"/>
    <n v="0"/>
    <n v="0"/>
  </r>
  <r>
    <x v="146"/>
    <x v="146"/>
    <x v="4"/>
    <s v="Col de cabdell"/>
    <n v="0"/>
    <n v="0"/>
    <n v="0"/>
    <n v="0"/>
    <n v="1"/>
    <n v="0"/>
    <n v="0"/>
    <n v="1"/>
  </r>
  <r>
    <x v="146"/>
    <x v="146"/>
    <x v="4"/>
    <s v="Ceba"/>
    <n v="0"/>
    <n v="0"/>
    <n v="0"/>
    <n v="0"/>
    <n v="1"/>
    <n v="0"/>
    <n v="0"/>
    <n v="1"/>
  </r>
  <r>
    <x v="146"/>
    <x v="146"/>
    <x v="4"/>
    <s v="Fava tendra"/>
    <n v="0"/>
    <n v="0"/>
    <n v="0"/>
    <n v="0"/>
    <n v="1"/>
    <n v="0"/>
    <n v="0"/>
    <n v="1"/>
  </r>
  <r>
    <x v="146"/>
    <x v="146"/>
    <x v="2"/>
    <s v="Fava seca"/>
    <n v="7"/>
    <n v="0"/>
    <n v="0"/>
    <n v="7"/>
    <n v="0"/>
    <n v="0"/>
    <n v="0"/>
    <n v="0"/>
  </r>
  <r>
    <x v="146"/>
    <x v="146"/>
    <x v="2"/>
    <s v="Cigró"/>
    <n v="1"/>
    <n v="0"/>
    <n v="0"/>
    <n v="1"/>
    <n v="0"/>
    <n v="0"/>
    <n v="0"/>
    <n v="0"/>
  </r>
  <r>
    <x v="146"/>
    <x v="146"/>
    <x v="2"/>
    <s v="Pèsol sec"/>
    <n v="16"/>
    <n v="0"/>
    <n v="0"/>
    <n v="16"/>
    <n v="0"/>
    <n v="0"/>
    <n v="0"/>
    <n v="0"/>
  </r>
  <r>
    <x v="146"/>
    <x v="146"/>
    <x v="2"/>
    <s v="Veça"/>
    <n v="22"/>
    <n v="0"/>
    <n v="0"/>
    <n v="22"/>
    <n v="0"/>
    <n v="0"/>
    <n v="0"/>
    <n v="0"/>
  </r>
  <r>
    <x v="146"/>
    <x v="146"/>
    <x v="6"/>
    <s v="Patata d'estació mitjana"/>
    <n v="1"/>
    <n v="0"/>
    <n v="0"/>
    <n v="1"/>
    <n v="0"/>
    <n v="0"/>
    <n v="0"/>
    <n v="0"/>
  </r>
  <r>
    <x v="147"/>
    <x v="147"/>
    <x v="0"/>
    <s v="Blat tou"/>
    <n v="35"/>
    <n v="0"/>
    <n v="0"/>
    <n v="35"/>
    <n v="0"/>
    <n v="0"/>
    <n v="0"/>
    <n v="0"/>
  </r>
  <r>
    <x v="147"/>
    <x v="147"/>
    <x v="0"/>
    <s v="Ordi"/>
    <n v="142"/>
    <n v="0"/>
    <n v="0"/>
    <n v="142"/>
    <n v="0"/>
    <n v="0"/>
    <n v="0"/>
    <n v="0"/>
  </r>
  <r>
    <x v="147"/>
    <x v="147"/>
    <x v="0"/>
    <s v="Civada"/>
    <n v="4"/>
    <n v="0"/>
    <n v="0"/>
    <n v="4"/>
    <n v="0"/>
    <n v="0"/>
    <n v="0"/>
    <n v="0"/>
  </r>
  <r>
    <x v="147"/>
    <x v="147"/>
    <x v="1"/>
    <s v="Cereals d'hivern per a farratge"/>
    <n v="17"/>
    <n v="0"/>
    <n v="0"/>
    <n v="17"/>
    <n v="0"/>
    <n v="0"/>
    <n v="0"/>
    <n v="0"/>
  </r>
  <r>
    <x v="147"/>
    <x v="147"/>
    <x v="1"/>
    <s v="Alfals"/>
    <n v="7"/>
    <n v="0"/>
    <n v="0"/>
    <n v="7"/>
    <n v="0"/>
    <n v="0"/>
    <n v="0"/>
    <n v="0"/>
  </r>
  <r>
    <x v="147"/>
    <x v="147"/>
    <x v="1"/>
    <s v="Trepadella"/>
    <n v="8"/>
    <n v="0"/>
    <n v="0"/>
    <n v="8"/>
    <n v="0"/>
    <n v="0"/>
    <n v="0"/>
    <n v="0"/>
  </r>
  <r>
    <x v="147"/>
    <x v="147"/>
    <x v="3"/>
    <s v="Colza"/>
    <n v="63"/>
    <n v="0"/>
    <n v="0"/>
    <n v="63"/>
    <n v="0"/>
    <n v="0"/>
    <n v="0"/>
    <n v="0"/>
  </r>
  <r>
    <x v="147"/>
    <x v="147"/>
    <x v="4"/>
    <s v="Tomàquet"/>
    <n v="0"/>
    <n v="0"/>
    <n v="0"/>
    <n v="0"/>
    <n v="1"/>
    <n v="0"/>
    <n v="0"/>
    <n v="1"/>
  </r>
  <r>
    <x v="147"/>
    <x v="147"/>
    <x v="2"/>
    <s v="Veça"/>
    <n v="8"/>
    <n v="0"/>
    <n v="0"/>
    <n v="8"/>
    <n v="0"/>
    <n v="0"/>
    <n v="0"/>
    <n v="0"/>
  </r>
  <r>
    <x v="148"/>
    <x v="148"/>
    <x v="1"/>
    <s v="Alfals"/>
    <n v="2"/>
    <n v="0"/>
    <n v="0"/>
    <n v="2"/>
    <n v="0"/>
    <n v="0"/>
    <n v="0"/>
    <n v="0"/>
  </r>
  <r>
    <x v="148"/>
    <x v="148"/>
    <x v="4"/>
    <s v="Escarola"/>
    <n v="0"/>
    <n v="0"/>
    <n v="0"/>
    <n v="0"/>
    <n v="1"/>
    <n v="0"/>
    <n v="0"/>
    <n v="1"/>
  </r>
  <r>
    <x v="148"/>
    <x v="148"/>
    <x v="4"/>
    <s v="Espinac"/>
    <n v="0"/>
    <n v="0"/>
    <n v="0"/>
    <n v="0"/>
    <n v="1"/>
    <n v="0"/>
    <n v="0"/>
    <n v="1"/>
  </r>
  <r>
    <x v="148"/>
    <x v="148"/>
    <x v="4"/>
    <s v="Pèsol verd"/>
    <n v="0"/>
    <n v="0"/>
    <n v="0"/>
    <n v="0"/>
    <n v="0"/>
    <n v="1"/>
    <n v="0"/>
    <n v="1"/>
  </r>
  <r>
    <x v="148"/>
    <x v="148"/>
    <x v="4"/>
    <s v="Fava tendra"/>
    <n v="0"/>
    <n v="0"/>
    <n v="0"/>
    <n v="0"/>
    <n v="0"/>
    <n v="1"/>
    <n v="0"/>
    <n v="1"/>
  </r>
  <r>
    <x v="149"/>
    <x v="149"/>
    <x v="0"/>
    <s v="Ordi"/>
    <n v="6"/>
    <n v="0"/>
    <n v="0"/>
    <n v="6"/>
    <n v="0"/>
    <n v="0"/>
    <n v="0"/>
    <n v="0"/>
  </r>
  <r>
    <x v="149"/>
    <x v="149"/>
    <x v="0"/>
    <s v="Civada"/>
    <n v="12"/>
    <n v="0"/>
    <n v="0"/>
    <n v="12"/>
    <n v="0"/>
    <n v="0"/>
    <n v="0"/>
    <n v="0"/>
  </r>
  <r>
    <x v="149"/>
    <x v="149"/>
    <x v="4"/>
    <s v="Meló"/>
    <n v="1"/>
    <n v="0"/>
    <n v="0"/>
    <n v="1"/>
    <n v="0"/>
    <n v="0"/>
    <n v="0"/>
    <n v="0"/>
  </r>
  <r>
    <x v="149"/>
    <x v="149"/>
    <x v="2"/>
    <s v="Veça"/>
    <n v="2"/>
    <n v="0"/>
    <n v="0"/>
    <n v="2"/>
    <n v="0"/>
    <n v="0"/>
    <n v="0"/>
    <n v="0"/>
  </r>
  <r>
    <x v="149"/>
    <x v="149"/>
    <x v="6"/>
    <s v="Patata d'estació mitjana"/>
    <n v="1"/>
    <n v="0"/>
    <n v="0"/>
    <n v="1"/>
    <n v="0"/>
    <n v="0"/>
    <n v="0"/>
    <n v="0"/>
  </r>
  <r>
    <x v="150"/>
    <x v="150"/>
    <x v="0"/>
    <s v="Blat tou"/>
    <n v="5"/>
    <n v="0"/>
    <n v="0"/>
    <n v="5"/>
    <n v="8"/>
    <n v="0"/>
    <n v="0"/>
    <n v="8"/>
  </r>
  <r>
    <x v="150"/>
    <x v="150"/>
    <x v="0"/>
    <s v="Ordi"/>
    <n v="18"/>
    <n v="0"/>
    <n v="0"/>
    <n v="18"/>
    <n v="18"/>
    <n v="0"/>
    <n v="0"/>
    <n v="18"/>
  </r>
  <r>
    <x v="150"/>
    <x v="150"/>
    <x v="0"/>
    <s v="Civada"/>
    <n v="11"/>
    <n v="0"/>
    <n v="0"/>
    <n v="11"/>
    <n v="9"/>
    <n v="0"/>
    <n v="0"/>
    <n v="9"/>
  </r>
  <r>
    <x v="150"/>
    <x v="150"/>
    <x v="1"/>
    <s v="Cereals d'hivern per a farratge"/>
    <n v="11"/>
    <n v="0"/>
    <n v="0"/>
    <n v="11"/>
    <n v="9"/>
    <n v="0"/>
    <n v="0"/>
    <n v="9"/>
  </r>
  <r>
    <x v="150"/>
    <x v="150"/>
    <x v="1"/>
    <s v="Blat de moro farratger"/>
    <n v="0"/>
    <n v="0"/>
    <n v="0"/>
    <n v="0"/>
    <n v="1"/>
    <n v="0"/>
    <n v="0"/>
    <n v="1"/>
  </r>
  <r>
    <x v="150"/>
    <x v="150"/>
    <x v="1"/>
    <s v="Raigràs"/>
    <n v="7"/>
    <n v="0"/>
    <n v="0"/>
    <n v="7"/>
    <n v="10"/>
    <n v="0"/>
    <n v="0"/>
    <n v="10"/>
  </r>
  <r>
    <x v="150"/>
    <x v="150"/>
    <x v="1"/>
    <s v="Alfals"/>
    <n v="1"/>
    <n v="0"/>
    <n v="0"/>
    <n v="1"/>
    <n v="0"/>
    <n v="0"/>
    <n v="0"/>
    <n v="0"/>
  </r>
  <r>
    <x v="150"/>
    <x v="150"/>
    <x v="3"/>
    <s v="Colza"/>
    <n v="2"/>
    <n v="0"/>
    <n v="0"/>
    <n v="2"/>
    <n v="1"/>
    <n v="0"/>
    <n v="0"/>
    <n v="1"/>
  </r>
  <r>
    <x v="150"/>
    <x v="150"/>
    <x v="5"/>
    <s v="Altres flors"/>
    <n v="0"/>
    <n v="0"/>
    <n v="0"/>
    <n v="0"/>
    <n v="4"/>
    <n v="0"/>
    <n v="0"/>
    <n v="4"/>
  </r>
  <r>
    <x v="150"/>
    <x v="150"/>
    <x v="5"/>
    <s v="Plantes ornamentals"/>
    <n v="0"/>
    <n v="0"/>
    <n v="0"/>
    <n v="0"/>
    <n v="5"/>
    <n v="3"/>
    <n v="0"/>
    <n v="8"/>
  </r>
  <r>
    <x v="150"/>
    <x v="150"/>
    <x v="4"/>
    <s v="Col de cabdell"/>
    <n v="0"/>
    <n v="0"/>
    <n v="0"/>
    <n v="0"/>
    <n v="2"/>
    <n v="1"/>
    <n v="0"/>
    <n v="3"/>
  </r>
  <r>
    <x v="150"/>
    <x v="150"/>
    <x v="4"/>
    <s v="Api"/>
    <n v="0"/>
    <n v="0"/>
    <n v="0"/>
    <n v="0"/>
    <n v="8"/>
    <n v="2"/>
    <n v="0"/>
    <n v="10"/>
  </r>
  <r>
    <x v="150"/>
    <x v="150"/>
    <x v="4"/>
    <s v="Enciam"/>
    <n v="0"/>
    <n v="0"/>
    <n v="0"/>
    <n v="0"/>
    <n v="9"/>
    <n v="2"/>
    <n v="0"/>
    <n v="11"/>
  </r>
  <r>
    <x v="150"/>
    <x v="150"/>
    <x v="4"/>
    <s v="Escarola"/>
    <n v="0"/>
    <n v="0"/>
    <n v="0"/>
    <n v="0"/>
    <n v="12"/>
    <n v="2"/>
    <n v="0"/>
    <n v="14"/>
  </r>
  <r>
    <x v="150"/>
    <x v="150"/>
    <x v="4"/>
    <s v="Espinac"/>
    <n v="0"/>
    <n v="0"/>
    <n v="0"/>
    <n v="0"/>
    <n v="5"/>
    <n v="3"/>
    <n v="0"/>
    <n v="8"/>
  </r>
  <r>
    <x v="150"/>
    <x v="150"/>
    <x v="4"/>
    <s v="Bleda"/>
    <n v="0"/>
    <n v="0"/>
    <n v="0"/>
    <n v="0"/>
    <n v="5"/>
    <n v="2"/>
    <n v="0"/>
    <n v="7"/>
  </r>
  <r>
    <x v="150"/>
    <x v="150"/>
    <x v="4"/>
    <s v="Carbassa"/>
    <n v="0"/>
    <n v="0"/>
    <n v="0"/>
    <n v="0"/>
    <n v="4"/>
    <n v="0"/>
    <n v="0"/>
    <n v="4"/>
  </r>
  <r>
    <x v="150"/>
    <x v="150"/>
    <x v="4"/>
    <s v="Cogombre"/>
    <n v="0"/>
    <n v="0"/>
    <n v="0"/>
    <n v="0"/>
    <n v="3"/>
    <n v="3"/>
    <n v="0"/>
    <n v="6"/>
  </r>
  <r>
    <x v="150"/>
    <x v="150"/>
    <x v="4"/>
    <s v="Albergínia"/>
    <n v="0"/>
    <n v="0"/>
    <n v="0"/>
    <n v="0"/>
    <n v="2"/>
    <n v="1"/>
    <n v="0"/>
    <n v="3"/>
  </r>
  <r>
    <x v="150"/>
    <x v="150"/>
    <x v="4"/>
    <s v="Tomàquet"/>
    <n v="0"/>
    <n v="0"/>
    <n v="0"/>
    <n v="0"/>
    <n v="7"/>
    <n v="2"/>
    <n v="0"/>
    <n v="9"/>
  </r>
  <r>
    <x v="150"/>
    <x v="150"/>
    <x v="4"/>
    <s v="Pebrot"/>
    <n v="0"/>
    <n v="0"/>
    <n v="0"/>
    <n v="0"/>
    <n v="4"/>
    <n v="0"/>
    <n v="0"/>
    <n v="4"/>
  </r>
  <r>
    <x v="150"/>
    <x v="150"/>
    <x v="4"/>
    <s v="Maduixa i maduixot"/>
    <n v="0"/>
    <n v="0"/>
    <n v="0"/>
    <n v="0"/>
    <n v="1"/>
    <n v="0"/>
    <n v="0"/>
    <n v="1"/>
  </r>
  <r>
    <x v="150"/>
    <x v="150"/>
    <x v="4"/>
    <s v="Carxofa"/>
    <n v="0"/>
    <n v="0"/>
    <n v="0"/>
    <n v="0"/>
    <n v="4"/>
    <n v="0"/>
    <n v="0"/>
    <n v="4"/>
  </r>
  <r>
    <x v="150"/>
    <x v="150"/>
    <x v="4"/>
    <s v="Coliflor"/>
    <n v="0"/>
    <n v="0"/>
    <n v="0"/>
    <n v="0"/>
    <n v="3"/>
    <n v="3"/>
    <n v="0"/>
    <n v="6"/>
  </r>
  <r>
    <x v="150"/>
    <x v="150"/>
    <x v="4"/>
    <s v="All"/>
    <n v="0"/>
    <n v="0"/>
    <n v="0"/>
    <n v="0"/>
    <n v="1"/>
    <n v="0"/>
    <n v="0"/>
    <n v="1"/>
  </r>
  <r>
    <x v="150"/>
    <x v="150"/>
    <x v="4"/>
    <s v="Ceba"/>
    <n v="0"/>
    <n v="0"/>
    <n v="0"/>
    <n v="0"/>
    <n v="8"/>
    <n v="2"/>
    <n v="0"/>
    <n v="10"/>
  </r>
  <r>
    <x v="150"/>
    <x v="150"/>
    <x v="4"/>
    <s v="Porro"/>
    <n v="0"/>
    <n v="0"/>
    <n v="0"/>
    <n v="0"/>
    <n v="8"/>
    <n v="3"/>
    <n v="0"/>
    <n v="11"/>
  </r>
  <r>
    <x v="150"/>
    <x v="150"/>
    <x v="4"/>
    <s v="Pastanaga"/>
    <n v="0"/>
    <n v="0"/>
    <n v="0"/>
    <n v="0"/>
    <n v="0"/>
    <n v="2"/>
    <n v="0"/>
    <n v="2"/>
  </r>
  <r>
    <x v="150"/>
    <x v="150"/>
    <x v="4"/>
    <s v="Rave"/>
    <n v="0"/>
    <n v="0"/>
    <n v="0"/>
    <n v="0"/>
    <n v="3"/>
    <n v="1"/>
    <n v="0"/>
    <n v="4"/>
  </r>
  <r>
    <x v="150"/>
    <x v="150"/>
    <x v="4"/>
    <s v="Mongeta tendra"/>
    <n v="0"/>
    <n v="0"/>
    <n v="0"/>
    <n v="0"/>
    <n v="4"/>
    <n v="1"/>
    <n v="0"/>
    <n v="5"/>
  </r>
  <r>
    <x v="150"/>
    <x v="150"/>
    <x v="4"/>
    <s v="Pèsol verd"/>
    <n v="0"/>
    <n v="0"/>
    <n v="0"/>
    <n v="0"/>
    <n v="2"/>
    <n v="0"/>
    <n v="0"/>
    <n v="2"/>
  </r>
  <r>
    <x v="150"/>
    <x v="150"/>
    <x v="4"/>
    <s v="Fava tendra"/>
    <n v="0"/>
    <n v="0"/>
    <n v="0"/>
    <n v="0"/>
    <n v="6"/>
    <n v="3"/>
    <n v="0"/>
    <n v="9"/>
  </r>
  <r>
    <x v="150"/>
    <x v="150"/>
    <x v="4"/>
    <s v="Carbassó"/>
    <n v="0"/>
    <n v="0"/>
    <n v="0"/>
    <n v="0"/>
    <n v="0"/>
    <n v="3"/>
    <n v="0"/>
    <n v="3"/>
  </r>
  <r>
    <x v="150"/>
    <x v="150"/>
    <x v="2"/>
    <s v="Mongeta seca"/>
    <n v="0"/>
    <n v="0"/>
    <n v="0"/>
    <n v="0"/>
    <n v="5"/>
    <n v="0"/>
    <n v="0"/>
    <n v="5"/>
  </r>
  <r>
    <x v="150"/>
    <x v="150"/>
    <x v="2"/>
    <s v="Pèsol sec"/>
    <n v="1"/>
    <n v="0"/>
    <n v="0"/>
    <n v="1"/>
    <n v="2"/>
    <n v="0"/>
    <n v="0"/>
    <n v="2"/>
  </r>
  <r>
    <x v="150"/>
    <x v="150"/>
    <x v="2"/>
    <s v="Veça"/>
    <n v="2"/>
    <n v="0"/>
    <n v="0"/>
    <n v="2"/>
    <n v="1"/>
    <n v="0"/>
    <n v="0"/>
    <n v="1"/>
  </r>
  <r>
    <x v="150"/>
    <x v="150"/>
    <x v="2"/>
    <s v="Favó"/>
    <n v="2"/>
    <n v="0"/>
    <n v="0"/>
    <n v="2"/>
    <n v="0"/>
    <n v="0"/>
    <n v="0"/>
    <n v="0"/>
  </r>
  <r>
    <x v="150"/>
    <x v="150"/>
    <x v="6"/>
    <s v="Patata primerenca"/>
    <n v="0"/>
    <n v="0"/>
    <n v="0"/>
    <n v="0"/>
    <n v="8"/>
    <n v="0"/>
    <n v="0"/>
    <n v="8"/>
  </r>
  <r>
    <x v="150"/>
    <x v="150"/>
    <x v="6"/>
    <s v="Patata tardana"/>
    <n v="0"/>
    <n v="0"/>
    <n v="0"/>
    <n v="0"/>
    <n v="0"/>
    <n v="6"/>
    <n v="0"/>
    <n v="6"/>
  </r>
  <r>
    <x v="151"/>
    <x v="151"/>
    <x v="0"/>
    <s v="Blat tou"/>
    <n v="44"/>
    <n v="0"/>
    <n v="0"/>
    <n v="44"/>
    <n v="0"/>
    <n v="0"/>
    <n v="0"/>
    <n v="0"/>
  </r>
  <r>
    <x v="151"/>
    <x v="151"/>
    <x v="0"/>
    <s v="Ordi"/>
    <n v="233"/>
    <n v="0"/>
    <n v="0"/>
    <n v="233"/>
    <n v="0"/>
    <n v="0"/>
    <n v="0"/>
    <n v="0"/>
  </r>
  <r>
    <x v="151"/>
    <x v="151"/>
    <x v="0"/>
    <s v="Civada"/>
    <n v="15"/>
    <n v="0"/>
    <n v="0"/>
    <n v="15"/>
    <n v="0"/>
    <n v="0"/>
    <n v="0"/>
    <n v="0"/>
  </r>
  <r>
    <x v="151"/>
    <x v="151"/>
    <x v="0"/>
    <s v="Triticale"/>
    <n v="21"/>
    <n v="0"/>
    <n v="0"/>
    <n v="21"/>
    <n v="0"/>
    <n v="0"/>
    <n v="0"/>
    <n v="0"/>
  </r>
  <r>
    <x v="151"/>
    <x v="151"/>
    <x v="1"/>
    <s v="Cereals d'hivern per a farratge"/>
    <n v="13"/>
    <n v="0"/>
    <n v="0"/>
    <n v="13"/>
    <n v="2"/>
    <n v="0"/>
    <n v="0"/>
    <n v="2"/>
  </r>
  <r>
    <x v="151"/>
    <x v="151"/>
    <x v="1"/>
    <s v="Raigràs"/>
    <n v="8"/>
    <n v="0"/>
    <n v="0"/>
    <n v="8"/>
    <n v="4"/>
    <n v="0"/>
    <n v="0"/>
    <n v="4"/>
  </r>
  <r>
    <x v="151"/>
    <x v="151"/>
    <x v="1"/>
    <s v="Alfals"/>
    <n v="40"/>
    <n v="0"/>
    <n v="0"/>
    <n v="40"/>
    <n v="4"/>
    <n v="0"/>
    <n v="0"/>
    <n v="4"/>
  </r>
  <r>
    <x v="151"/>
    <x v="151"/>
    <x v="3"/>
    <s v="Colza"/>
    <n v="7"/>
    <n v="0"/>
    <n v="0"/>
    <n v="7"/>
    <n v="0"/>
    <n v="0"/>
    <n v="0"/>
    <n v="0"/>
  </r>
  <r>
    <x v="151"/>
    <x v="151"/>
    <x v="4"/>
    <s v="Fava tendra"/>
    <n v="4"/>
    <n v="0"/>
    <n v="0"/>
    <n v="4"/>
    <n v="0"/>
    <n v="0"/>
    <n v="0"/>
    <n v="0"/>
  </r>
  <r>
    <x v="151"/>
    <x v="151"/>
    <x v="2"/>
    <s v="Mongeta seca"/>
    <n v="0"/>
    <n v="0"/>
    <n v="0"/>
    <n v="0"/>
    <n v="2"/>
    <n v="0"/>
    <n v="0"/>
    <n v="2"/>
  </r>
  <r>
    <x v="151"/>
    <x v="151"/>
    <x v="2"/>
    <s v="Favó"/>
    <n v="9"/>
    <n v="0"/>
    <n v="0"/>
    <n v="9"/>
    <n v="0"/>
    <n v="0"/>
    <n v="0"/>
    <n v="0"/>
  </r>
  <r>
    <x v="152"/>
    <x v="152"/>
    <x v="4"/>
    <s v="Tomàquet"/>
    <n v="0"/>
    <n v="0"/>
    <n v="0"/>
    <n v="0"/>
    <n v="1"/>
    <n v="0"/>
    <n v="0"/>
    <n v="1"/>
  </r>
  <r>
    <x v="152"/>
    <x v="152"/>
    <x v="4"/>
    <s v="Ceba"/>
    <n v="0"/>
    <n v="0"/>
    <n v="0"/>
    <n v="0"/>
    <n v="1"/>
    <n v="0"/>
    <n v="0"/>
    <n v="1"/>
  </r>
  <r>
    <x v="152"/>
    <x v="152"/>
    <x v="4"/>
    <s v="Fava tendra"/>
    <n v="0"/>
    <n v="0"/>
    <n v="0"/>
    <n v="0"/>
    <n v="1"/>
    <n v="0"/>
    <n v="0"/>
    <n v="1"/>
  </r>
  <r>
    <x v="153"/>
    <x v="153"/>
    <x v="5"/>
    <s v="Plantes ornamentals"/>
    <n v="0"/>
    <n v="0"/>
    <n v="0"/>
    <n v="0"/>
    <n v="2"/>
    <n v="0"/>
    <n v="0"/>
    <n v="2"/>
  </r>
  <r>
    <x v="153"/>
    <x v="153"/>
    <x v="4"/>
    <s v="Tomàquet"/>
    <n v="0"/>
    <n v="0"/>
    <n v="0"/>
    <n v="0"/>
    <n v="1"/>
    <n v="0"/>
    <n v="0"/>
    <n v="1"/>
  </r>
  <r>
    <x v="153"/>
    <x v="153"/>
    <x v="4"/>
    <s v="Carxofa"/>
    <n v="0"/>
    <n v="0"/>
    <n v="0"/>
    <n v="0"/>
    <n v="1"/>
    <n v="0"/>
    <n v="0"/>
    <n v="1"/>
  </r>
  <r>
    <x v="153"/>
    <x v="153"/>
    <x v="4"/>
    <s v="Ceba"/>
    <n v="0"/>
    <n v="0"/>
    <n v="0"/>
    <n v="0"/>
    <n v="1"/>
    <n v="0"/>
    <n v="0"/>
    <n v="1"/>
  </r>
  <r>
    <x v="154"/>
    <x v="154"/>
    <x v="1"/>
    <s v="Raigràs"/>
    <n v="0"/>
    <n v="0"/>
    <n v="0"/>
    <n v="0"/>
    <n v="1"/>
    <n v="0"/>
    <n v="0"/>
    <n v="1"/>
  </r>
  <r>
    <x v="154"/>
    <x v="154"/>
    <x v="1"/>
    <s v="Associació Veça - Civada farratgeres"/>
    <n v="6"/>
    <n v="0"/>
    <n v="0"/>
    <n v="6"/>
    <n v="0"/>
    <n v="0"/>
    <n v="0"/>
    <n v="0"/>
  </r>
  <r>
    <x v="154"/>
    <x v="154"/>
    <x v="4"/>
    <s v="Col de cabdell"/>
    <n v="0"/>
    <n v="0"/>
    <n v="0"/>
    <n v="0"/>
    <n v="1"/>
    <n v="0"/>
    <n v="0"/>
    <n v="1"/>
  </r>
  <r>
    <x v="154"/>
    <x v="154"/>
    <x v="4"/>
    <s v="Tomàquet"/>
    <n v="0"/>
    <n v="0"/>
    <n v="0"/>
    <n v="0"/>
    <n v="1"/>
    <n v="0"/>
    <n v="0"/>
    <n v="1"/>
  </r>
  <r>
    <x v="154"/>
    <x v="154"/>
    <x v="4"/>
    <s v="Coliflor"/>
    <n v="0"/>
    <n v="0"/>
    <n v="0"/>
    <n v="0"/>
    <n v="1"/>
    <n v="0"/>
    <n v="0"/>
    <n v="1"/>
  </r>
  <r>
    <x v="154"/>
    <x v="154"/>
    <x v="4"/>
    <s v="Ceba"/>
    <n v="0"/>
    <n v="0"/>
    <n v="0"/>
    <n v="0"/>
    <n v="3"/>
    <n v="0"/>
    <n v="0"/>
    <n v="3"/>
  </r>
  <r>
    <x v="154"/>
    <x v="154"/>
    <x v="4"/>
    <s v="Pastanaga"/>
    <n v="0"/>
    <n v="0"/>
    <n v="0"/>
    <n v="0"/>
    <n v="2"/>
    <n v="0"/>
    <n v="0"/>
    <n v="2"/>
  </r>
  <r>
    <x v="154"/>
    <x v="154"/>
    <x v="4"/>
    <s v="Fava tendra"/>
    <n v="0"/>
    <n v="0"/>
    <n v="0"/>
    <n v="0"/>
    <n v="2"/>
    <n v="0"/>
    <n v="0"/>
    <n v="2"/>
  </r>
  <r>
    <x v="155"/>
    <x v="155"/>
    <x v="0"/>
    <s v="Blat tou"/>
    <n v="17"/>
    <n v="0"/>
    <n v="0"/>
    <n v="17"/>
    <n v="14"/>
    <n v="0"/>
    <n v="0"/>
    <n v="14"/>
  </r>
  <r>
    <x v="155"/>
    <x v="155"/>
    <x v="0"/>
    <s v="Ordi"/>
    <n v="37"/>
    <n v="0"/>
    <n v="0"/>
    <n v="37"/>
    <n v="69"/>
    <n v="0"/>
    <n v="0"/>
    <n v="69"/>
  </r>
  <r>
    <x v="155"/>
    <x v="155"/>
    <x v="0"/>
    <s v="Civada"/>
    <n v="0"/>
    <n v="0"/>
    <n v="0"/>
    <n v="0"/>
    <n v="1"/>
    <n v="0"/>
    <n v="0"/>
    <n v="1"/>
  </r>
  <r>
    <x v="155"/>
    <x v="155"/>
    <x v="0"/>
    <s v="Sègol"/>
    <n v="0"/>
    <n v="0"/>
    <n v="0"/>
    <n v="0"/>
    <n v="2"/>
    <n v="0"/>
    <n v="0"/>
    <n v="2"/>
  </r>
  <r>
    <x v="155"/>
    <x v="155"/>
    <x v="0"/>
    <s v="Espelta"/>
    <n v="1"/>
    <n v="0"/>
    <n v="0"/>
    <n v="1"/>
    <n v="2"/>
    <n v="0"/>
    <n v="0"/>
    <n v="2"/>
  </r>
  <r>
    <x v="155"/>
    <x v="155"/>
    <x v="1"/>
    <s v="Cereals d'hivern per a farratge"/>
    <n v="1"/>
    <n v="0"/>
    <n v="0"/>
    <n v="1"/>
    <n v="6"/>
    <n v="0"/>
    <n v="0"/>
    <n v="6"/>
  </r>
  <r>
    <x v="155"/>
    <x v="155"/>
    <x v="1"/>
    <s v="Raigràs"/>
    <n v="6"/>
    <n v="0"/>
    <n v="0"/>
    <n v="6"/>
    <n v="5"/>
    <n v="0"/>
    <n v="0"/>
    <n v="5"/>
  </r>
  <r>
    <x v="155"/>
    <x v="155"/>
    <x v="1"/>
    <s v="Alfals"/>
    <n v="1"/>
    <n v="0"/>
    <n v="0"/>
    <n v="1"/>
    <n v="7"/>
    <n v="0"/>
    <n v="0"/>
    <n v="7"/>
  </r>
  <r>
    <x v="155"/>
    <x v="155"/>
    <x v="4"/>
    <s v="Tomàquet"/>
    <n v="0"/>
    <n v="0"/>
    <n v="0"/>
    <n v="0"/>
    <n v="1"/>
    <n v="0"/>
    <n v="0"/>
    <n v="1"/>
  </r>
  <r>
    <x v="155"/>
    <x v="155"/>
    <x v="2"/>
    <s v="Cigró"/>
    <n v="0"/>
    <n v="0"/>
    <n v="0"/>
    <n v="0"/>
    <n v="6"/>
    <n v="0"/>
    <n v="0"/>
    <n v="6"/>
  </r>
  <r>
    <x v="155"/>
    <x v="155"/>
    <x v="2"/>
    <s v="Erbs"/>
    <n v="0"/>
    <n v="0"/>
    <n v="0"/>
    <n v="0"/>
    <n v="3"/>
    <n v="0"/>
    <n v="0"/>
    <n v="3"/>
  </r>
  <r>
    <x v="155"/>
    <x v="155"/>
    <x v="2"/>
    <s v="Favó"/>
    <n v="0"/>
    <n v="0"/>
    <n v="0"/>
    <n v="0"/>
    <n v="4"/>
    <n v="0"/>
    <n v="0"/>
    <n v="4"/>
  </r>
  <r>
    <x v="156"/>
    <x v="156"/>
    <x v="0"/>
    <s v="Blat tou"/>
    <n v="64"/>
    <n v="0"/>
    <n v="0"/>
    <n v="64"/>
    <n v="0"/>
    <n v="0"/>
    <n v="0"/>
    <n v="0"/>
  </r>
  <r>
    <x v="156"/>
    <x v="156"/>
    <x v="0"/>
    <s v="Ordi"/>
    <n v="57"/>
    <n v="0"/>
    <n v="0"/>
    <n v="57"/>
    <n v="0"/>
    <n v="0"/>
    <n v="0"/>
    <n v="0"/>
  </r>
  <r>
    <x v="156"/>
    <x v="156"/>
    <x v="0"/>
    <s v="Mill i melca"/>
    <n v="2"/>
    <n v="0"/>
    <n v="0"/>
    <n v="2"/>
    <n v="0"/>
    <n v="0"/>
    <n v="0"/>
    <n v="0"/>
  </r>
  <r>
    <x v="156"/>
    <x v="156"/>
    <x v="1"/>
    <s v="Raigràs"/>
    <n v="231"/>
    <n v="8"/>
    <n v="0"/>
    <n v="239"/>
    <n v="11"/>
    <n v="0"/>
    <n v="0"/>
    <n v="11"/>
  </r>
  <r>
    <x v="156"/>
    <x v="156"/>
    <x v="1"/>
    <s v="Alfals"/>
    <n v="6"/>
    <n v="0"/>
    <n v="0"/>
    <n v="6"/>
    <n v="0"/>
    <n v="0"/>
    <n v="0"/>
    <n v="0"/>
  </r>
  <r>
    <x v="156"/>
    <x v="156"/>
    <x v="1"/>
    <s v="Trepadella"/>
    <n v="2"/>
    <n v="0"/>
    <n v="0"/>
    <n v="2"/>
    <n v="0"/>
    <n v="0"/>
    <n v="0"/>
    <n v="0"/>
  </r>
  <r>
    <x v="156"/>
    <x v="156"/>
    <x v="1"/>
    <s v="Praderes polifites"/>
    <n v="23"/>
    <n v="0"/>
    <n v="0"/>
    <n v="23"/>
    <n v="0"/>
    <n v="0"/>
    <n v="0"/>
    <n v="0"/>
  </r>
  <r>
    <x v="156"/>
    <x v="156"/>
    <x v="3"/>
    <s v="Gira-sol"/>
    <n v="3"/>
    <n v="0"/>
    <n v="0"/>
    <n v="3"/>
    <n v="0"/>
    <n v="0"/>
    <n v="0"/>
    <n v="0"/>
  </r>
  <r>
    <x v="156"/>
    <x v="156"/>
    <x v="3"/>
    <s v="Colza"/>
    <n v="12"/>
    <n v="0"/>
    <n v="0"/>
    <n v="12"/>
    <n v="0"/>
    <n v="0"/>
    <n v="0"/>
    <n v="0"/>
  </r>
  <r>
    <x v="157"/>
    <x v="157"/>
    <x v="0"/>
    <s v="Blat tou"/>
    <n v="63"/>
    <n v="0"/>
    <n v="0"/>
    <n v="63"/>
    <n v="0"/>
    <n v="0"/>
    <n v="0"/>
    <n v="0"/>
  </r>
  <r>
    <x v="157"/>
    <x v="157"/>
    <x v="0"/>
    <s v="Ordi"/>
    <n v="278"/>
    <n v="0"/>
    <n v="0"/>
    <n v="278"/>
    <n v="0"/>
    <n v="0"/>
    <n v="0"/>
    <n v="0"/>
  </r>
  <r>
    <x v="157"/>
    <x v="157"/>
    <x v="0"/>
    <s v="Civada"/>
    <n v="4"/>
    <n v="0"/>
    <n v="0"/>
    <n v="4"/>
    <n v="1"/>
    <n v="0"/>
    <n v="0"/>
    <n v="1"/>
  </r>
  <r>
    <x v="157"/>
    <x v="157"/>
    <x v="1"/>
    <s v="Cereals d'hivern per a farratge"/>
    <n v="15"/>
    <n v="0"/>
    <n v="0"/>
    <n v="15"/>
    <n v="2"/>
    <n v="0"/>
    <n v="0"/>
    <n v="2"/>
  </r>
  <r>
    <x v="157"/>
    <x v="157"/>
    <x v="1"/>
    <s v="Raigràs"/>
    <n v="4"/>
    <n v="0"/>
    <n v="0"/>
    <n v="4"/>
    <n v="0"/>
    <n v="0"/>
    <n v="0"/>
    <n v="0"/>
  </r>
  <r>
    <x v="157"/>
    <x v="157"/>
    <x v="1"/>
    <s v="Trepadella"/>
    <n v="5"/>
    <n v="0"/>
    <n v="0"/>
    <n v="5"/>
    <n v="0"/>
    <n v="0"/>
    <n v="0"/>
    <n v="0"/>
  </r>
  <r>
    <x v="157"/>
    <x v="157"/>
    <x v="3"/>
    <s v="Colza"/>
    <n v="14"/>
    <n v="0"/>
    <n v="0"/>
    <n v="14"/>
    <n v="0"/>
    <n v="0"/>
    <n v="0"/>
    <n v="0"/>
  </r>
  <r>
    <x v="157"/>
    <x v="157"/>
    <x v="4"/>
    <s v="Col de cabdell"/>
    <n v="0"/>
    <n v="0"/>
    <n v="0"/>
    <n v="0"/>
    <n v="2"/>
    <n v="0"/>
    <n v="0"/>
    <n v="2"/>
  </r>
  <r>
    <x v="157"/>
    <x v="157"/>
    <x v="4"/>
    <s v="Enciam"/>
    <n v="0"/>
    <n v="0"/>
    <n v="0"/>
    <n v="0"/>
    <n v="1"/>
    <n v="0"/>
    <n v="0"/>
    <n v="1"/>
  </r>
  <r>
    <x v="157"/>
    <x v="157"/>
    <x v="4"/>
    <s v="Espinac"/>
    <n v="0"/>
    <n v="0"/>
    <n v="0"/>
    <n v="0"/>
    <n v="1"/>
    <n v="0"/>
    <n v="0"/>
    <n v="1"/>
  </r>
  <r>
    <x v="157"/>
    <x v="157"/>
    <x v="4"/>
    <s v="Albergínia"/>
    <n v="0"/>
    <n v="0"/>
    <n v="0"/>
    <n v="0"/>
    <n v="1"/>
    <n v="0"/>
    <n v="0"/>
    <n v="1"/>
  </r>
  <r>
    <x v="157"/>
    <x v="157"/>
    <x v="4"/>
    <s v="Tomàquet"/>
    <n v="0"/>
    <n v="0"/>
    <n v="0"/>
    <n v="0"/>
    <n v="2"/>
    <n v="0"/>
    <n v="0"/>
    <n v="2"/>
  </r>
  <r>
    <x v="157"/>
    <x v="157"/>
    <x v="4"/>
    <s v="Ceba"/>
    <n v="0"/>
    <n v="0"/>
    <n v="0"/>
    <n v="0"/>
    <n v="3"/>
    <n v="0"/>
    <n v="0"/>
    <n v="3"/>
  </r>
  <r>
    <x v="158"/>
    <x v="158"/>
    <x v="0"/>
    <s v="Civada"/>
    <n v="0"/>
    <n v="0"/>
    <n v="0"/>
    <n v="0"/>
    <n v="1"/>
    <n v="0"/>
    <n v="0"/>
    <n v="1"/>
  </r>
  <r>
    <x v="158"/>
    <x v="158"/>
    <x v="1"/>
    <s v="Cereals d'hivern per a farratge"/>
    <n v="0"/>
    <n v="0"/>
    <n v="0"/>
    <n v="0"/>
    <n v="1"/>
    <n v="0"/>
    <n v="0"/>
    <n v="1"/>
  </r>
  <r>
    <x v="158"/>
    <x v="158"/>
    <x v="5"/>
    <s v="Plantes ornamentals"/>
    <n v="0"/>
    <n v="0"/>
    <n v="0"/>
    <n v="0"/>
    <n v="2"/>
    <n v="0"/>
    <n v="0"/>
    <n v="2"/>
  </r>
  <r>
    <x v="158"/>
    <x v="158"/>
    <x v="4"/>
    <s v="Col de cabdell"/>
    <n v="0"/>
    <n v="0"/>
    <n v="0"/>
    <n v="0"/>
    <n v="5"/>
    <n v="1"/>
    <n v="0"/>
    <n v="6"/>
  </r>
  <r>
    <x v="158"/>
    <x v="158"/>
    <x v="4"/>
    <s v="Api"/>
    <n v="0"/>
    <n v="0"/>
    <n v="0"/>
    <n v="0"/>
    <n v="7"/>
    <n v="0"/>
    <n v="0"/>
    <n v="7"/>
  </r>
  <r>
    <x v="158"/>
    <x v="158"/>
    <x v="4"/>
    <s v="Enciam"/>
    <n v="0"/>
    <n v="0"/>
    <n v="0"/>
    <n v="0"/>
    <n v="3"/>
    <n v="2"/>
    <n v="0"/>
    <n v="5"/>
  </r>
  <r>
    <x v="158"/>
    <x v="158"/>
    <x v="4"/>
    <s v="Escarola"/>
    <n v="0"/>
    <n v="0"/>
    <n v="0"/>
    <n v="0"/>
    <n v="3"/>
    <n v="2"/>
    <n v="0"/>
    <n v="5"/>
  </r>
  <r>
    <x v="158"/>
    <x v="158"/>
    <x v="4"/>
    <s v="Espinac"/>
    <n v="0"/>
    <n v="0"/>
    <n v="0"/>
    <n v="0"/>
    <n v="2"/>
    <n v="1"/>
    <n v="0"/>
    <n v="3"/>
  </r>
  <r>
    <x v="158"/>
    <x v="158"/>
    <x v="4"/>
    <s v="Bleda"/>
    <n v="0"/>
    <n v="0"/>
    <n v="0"/>
    <n v="0"/>
    <n v="4"/>
    <n v="1"/>
    <n v="0"/>
    <n v="5"/>
  </r>
  <r>
    <x v="158"/>
    <x v="158"/>
    <x v="4"/>
    <s v="Carbassa"/>
    <n v="0"/>
    <n v="0"/>
    <n v="0"/>
    <n v="0"/>
    <n v="3"/>
    <n v="0"/>
    <n v="0"/>
    <n v="3"/>
  </r>
  <r>
    <x v="158"/>
    <x v="158"/>
    <x v="4"/>
    <s v="Albergínia"/>
    <n v="0"/>
    <n v="0"/>
    <n v="0"/>
    <n v="0"/>
    <n v="2"/>
    <n v="1"/>
    <n v="0"/>
    <n v="3"/>
  </r>
  <r>
    <x v="158"/>
    <x v="158"/>
    <x v="4"/>
    <s v="Tomàquet"/>
    <n v="0"/>
    <n v="0"/>
    <n v="0"/>
    <n v="0"/>
    <n v="5"/>
    <n v="2"/>
    <n v="0"/>
    <n v="7"/>
  </r>
  <r>
    <x v="158"/>
    <x v="158"/>
    <x v="4"/>
    <s v="Pebrot"/>
    <n v="0"/>
    <n v="0"/>
    <n v="0"/>
    <n v="0"/>
    <n v="2"/>
    <n v="3"/>
    <n v="0"/>
    <n v="5"/>
  </r>
  <r>
    <x v="158"/>
    <x v="158"/>
    <x v="4"/>
    <s v="Maduixa i maduixot"/>
    <n v="0"/>
    <n v="0"/>
    <n v="0"/>
    <n v="0"/>
    <n v="4"/>
    <n v="0"/>
    <n v="0"/>
    <n v="4"/>
  </r>
  <r>
    <x v="158"/>
    <x v="158"/>
    <x v="4"/>
    <s v="Carxofa"/>
    <n v="0"/>
    <n v="0"/>
    <n v="0"/>
    <n v="0"/>
    <n v="4"/>
    <n v="0"/>
    <n v="0"/>
    <n v="4"/>
  </r>
  <r>
    <x v="158"/>
    <x v="158"/>
    <x v="4"/>
    <s v="Coliflor"/>
    <n v="0"/>
    <n v="0"/>
    <n v="0"/>
    <n v="0"/>
    <n v="7"/>
    <n v="2"/>
    <n v="0"/>
    <n v="9"/>
  </r>
  <r>
    <x v="158"/>
    <x v="158"/>
    <x v="4"/>
    <s v="All"/>
    <n v="0"/>
    <n v="0"/>
    <n v="0"/>
    <n v="0"/>
    <n v="0"/>
    <n v="1"/>
    <n v="0"/>
    <n v="1"/>
  </r>
  <r>
    <x v="158"/>
    <x v="158"/>
    <x v="4"/>
    <s v="Ceba"/>
    <n v="0"/>
    <n v="0"/>
    <n v="0"/>
    <n v="0"/>
    <n v="5"/>
    <n v="2"/>
    <n v="0"/>
    <n v="7"/>
  </r>
  <r>
    <x v="158"/>
    <x v="158"/>
    <x v="4"/>
    <s v="Porro"/>
    <n v="0"/>
    <n v="0"/>
    <n v="0"/>
    <n v="0"/>
    <n v="6"/>
    <n v="2"/>
    <n v="0"/>
    <n v="8"/>
  </r>
  <r>
    <x v="158"/>
    <x v="158"/>
    <x v="4"/>
    <s v="Pastanaga"/>
    <n v="0"/>
    <n v="0"/>
    <n v="0"/>
    <n v="0"/>
    <n v="0"/>
    <n v="2"/>
    <n v="0"/>
    <n v="2"/>
  </r>
  <r>
    <x v="158"/>
    <x v="158"/>
    <x v="4"/>
    <s v="Rave"/>
    <n v="0"/>
    <n v="0"/>
    <n v="0"/>
    <n v="0"/>
    <n v="0"/>
    <n v="1"/>
    <n v="0"/>
    <n v="1"/>
  </r>
  <r>
    <x v="158"/>
    <x v="158"/>
    <x v="4"/>
    <s v="Mongeta tendra"/>
    <n v="0"/>
    <n v="0"/>
    <n v="0"/>
    <n v="0"/>
    <n v="4"/>
    <n v="1"/>
    <n v="0"/>
    <n v="5"/>
  </r>
  <r>
    <x v="158"/>
    <x v="158"/>
    <x v="4"/>
    <s v="Pèsol verd"/>
    <n v="0"/>
    <n v="0"/>
    <n v="0"/>
    <n v="0"/>
    <n v="2"/>
    <n v="0"/>
    <n v="0"/>
    <n v="2"/>
  </r>
  <r>
    <x v="158"/>
    <x v="158"/>
    <x v="4"/>
    <s v="Fava tendra"/>
    <n v="0"/>
    <n v="0"/>
    <n v="0"/>
    <n v="0"/>
    <n v="4"/>
    <n v="1"/>
    <n v="0"/>
    <n v="5"/>
  </r>
  <r>
    <x v="158"/>
    <x v="158"/>
    <x v="4"/>
    <s v="Carbassó"/>
    <n v="0"/>
    <n v="0"/>
    <n v="0"/>
    <n v="0"/>
    <n v="0"/>
    <n v="4"/>
    <n v="0"/>
    <n v="4"/>
  </r>
  <r>
    <x v="158"/>
    <x v="158"/>
    <x v="2"/>
    <s v="Mongeta seca"/>
    <n v="0"/>
    <n v="0"/>
    <n v="0"/>
    <n v="0"/>
    <n v="3"/>
    <n v="0"/>
    <n v="0"/>
    <n v="3"/>
  </r>
  <r>
    <x v="158"/>
    <x v="158"/>
    <x v="6"/>
    <s v="Patata primerenca"/>
    <n v="0"/>
    <n v="0"/>
    <n v="0"/>
    <n v="0"/>
    <n v="6"/>
    <n v="0"/>
    <n v="0"/>
    <n v="6"/>
  </r>
  <r>
    <x v="158"/>
    <x v="158"/>
    <x v="6"/>
    <s v="Patata d'estació mitjana"/>
    <n v="0"/>
    <n v="0"/>
    <n v="0"/>
    <n v="0"/>
    <n v="2"/>
    <n v="0"/>
    <n v="0"/>
    <n v="2"/>
  </r>
  <r>
    <x v="158"/>
    <x v="158"/>
    <x v="6"/>
    <s v="Patata tardana"/>
    <n v="0"/>
    <n v="0"/>
    <n v="0"/>
    <n v="0"/>
    <n v="0"/>
    <n v="2"/>
    <n v="0"/>
    <n v="2"/>
  </r>
  <r>
    <x v="159"/>
    <x v="159"/>
    <x v="0"/>
    <s v="Blat tou"/>
    <n v="4"/>
    <n v="0"/>
    <n v="0"/>
    <n v="4"/>
    <n v="0"/>
    <n v="0"/>
    <n v="0"/>
    <n v="0"/>
  </r>
  <r>
    <x v="159"/>
    <x v="159"/>
    <x v="0"/>
    <s v="Ordi"/>
    <n v="12"/>
    <n v="0"/>
    <n v="0"/>
    <n v="12"/>
    <n v="0"/>
    <n v="0"/>
    <n v="0"/>
    <n v="0"/>
  </r>
  <r>
    <x v="159"/>
    <x v="159"/>
    <x v="0"/>
    <s v="Civada"/>
    <n v="1"/>
    <n v="0"/>
    <n v="0"/>
    <n v="1"/>
    <n v="0"/>
    <n v="0"/>
    <n v="0"/>
    <n v="0"/>
  </r>
  <r>
    <x v="159"/>
    <x v="159"/>
    <x v="1"/>
    <s v="Associació Veça - Civada farratgeres"/>
    <n v="10"/>
    <n v="0"/>
    <n v="0"/>
    <n v="10"/>
    <n v="0"/>
    <n v="0"/>
    <n v="0"/>
    <n v="0"/>
  </r>
  <r>
    <x v="159"/>
    <x v="159"/>
    <x v="4"/>
    <s v="Meló"/>
    <n v="3"/>
    <n v="0"/>
    <n v="0"/>
    <n v="3"/>
    <n v="0"/>
    <n v="0"/>
    <n v="0"/>
    <n v="0"/>
  </r>
  <r>
    <x v="159"/>
    <x v="159"/>
    <x v="4"/>
    <s v="Tomàquet"/>
    <n v="1"/>
    <n v="0"/>
    <n v="0"/>
    <n v="1"/>
    <n v="0"/>
    <n v="0"/>
    <n v="0"/>
    <n v="0"/>
  </r>
  <r>
    <x v="159"/>
    <x v="159"/>
    <x v="6"/>
    <s v="Patata d'estació mitjana"/>
    <n v="1"/>
    <n v="0"/>
    <n v="0"/>
    <n v="1"/>
    <n v="0"/>
    <n v="0"/>
    <n v="0"/>
    <n v="0"/>
  </r>
  <r>
    <x v="160"/>
    <x v="160"/>
    <x v="0"/>
    <s v="Blat tou"/>
    <n v="12"/>
    <n v="0"/>
    <n v="0"/>
    <n v="12"/>
    <n v="0"/>
    <n v="0"/>
    <n v="0"/>
    <n v="0"/>
  </r>
  <r>
    <x v="160"/>
    <x v="160"/>
    <x v="0"/>
    <s v="Ordi"/>
    <n v="53"/>
    <n v="0"/>
    <n v="0"/>
    <n v="53"/>
    <n v="0"/>
    <n v="0"/>
    <n v="0"/>
    <n v="0"/>
  </r>
  <r>
    <x v="160"/>
    <x v="160"/>
    <x v="0"/>
    <s v="Civada"/>
    <n v="6"/>
    <n v="0"/>
    <n v="0"/>
    <n v="6"/>
    <n v="0"/>
    <n v="0"/>
    <n v="0"/>
    <n v="0"/>
  </r>
  <r>
    <x v="160"/>
    <x v="160"/>
    <x v="1"/>
    <s v="Cereals d'hivern per a farratge"/>
    <n v="25"/>
    <n v="0"/>
    <n v="0"/>
    <n v="25"/>
    <n v="0"/>
    <n v="0"/>
    <n v="0"/>
    <n v="0"/>
  </r>
  <r>
    <x v="160"/>
    <x v="160"/>
    <x v="3"/>
    <s v="Colza"/>
    <n v="18"/>
    <n v="0"/>
    <n v="0"/>
    <n v="18"/>
    <n v="1"/>
    <n v="0"/>
    <n v="0"/>
    <n v="1"/>
  </r>
  <r>
    <x v="160"/>
    <x v="160"/>
    <x v="2"/>
    <s v="Erbs"/>
    <n v="13"/>
    <n v="0"/>
    <n v="0"/>
    <n v="13"/>
    <n v="0"/>
    <n v="0"/>
    <n v="0"/>
    <n v="0"/>
  </r>
  <r>
    <x v="161"/>
    <x v="161"/>
    <x v="0"/>
    <s v="Blat tou"/>
    <n v="4"/>
    <n v="0"/>
    <n v="0"/>
    <n v="4"/>
    <n v="0"/>
    <n v="0"/>
    <n v="0"/>
    <n v="0"/>
  </r>
  <r>
    <x v="161"/>
    <x v="161"/>
    <x v="0"/>
    <s v="Ordi"/>
    <n v="1"/>
    <n v="0"/>
    <n v="0"/>
    <n v="1"/>
    <n v="1"/>
    <n v="0"/>
    <n v="0"/>
    <n v="1"/>
  </r>
  <r>
    <x v="161"/>
    <x v="161"/>
    <x v="1"/>
    <s v="Alfals"/>
    <n v="0"/>
    <n v="0"/>
    <n v="0"/>
    <n v="0"/>
    <n v="1"/>
    <n v="0"/>
    <n v="0"/>
    <n v="1"/>
  </r>
  <r>
    <x v="161"/>
    <x v="161"/>
    <x v="1"/>
    <s v="Praderes polifites"/>
    <n v="51"/>
    <n v="0"/>
    <n v="0"/>
    <n v="51"/>
    <n v="0"/>
    <n v="0"/>
    <n v="0"/>
    <n v="0"/>
  </r>
  <r>
    <x v="161"/>
    <x v="161"/>
    <x v="4"/>
    <s v="Carbassó"/>
    <n v="0"/>
    <n v="0"/>
    <n v="0"/>
    <n v="0"/>
    <n v="8"/>
    <n v="0"/>
    <n v="0"/>
    <n v="8"/>
  </r>
  <r>
    <x v="161"/>
    <x v="161"/>
    <x v="2"/>
    <s v="Veça"/>
    <n v="0"/>
    <n v="0"/>
    <n v="0"/>
    <n v="0"/>
    <n v="0"/>
    <n v="8"/>
    <n v="0"/>
    <n v="8"/>
  </r>
  <r>
    <x v="162"/>
    <x v="162"/>
    <x v="0"/>
    <s v="Blat tou"/>
    <n v="17"/>
    <n v="0"/>
    <n v="0"/>
    <n v="17"/>
    <n v="0"/>
    <n v="0"/>
    <n v="0"/>
    <n v="0"/>
  </r>
  <r>
    <x v="162"/>
    <x v="162"/>
    <x v="0"/>
    <s v="Ordi"/>
    <n v="99"/>
    <n v="0"/>
    <n v="0"/>
    <n v="99"/>
    <n v="0"/>
    <n v="0"/>
    <n v="0"/>
    <n v="0"/>
  </r>
  <r>
    <x v="162"/>
    <x v="162"/>
    <x v="0"/>
    <s v="Civada"/>
    <n v="30"/>
    <n v="0"/>
    <n v="0"/>
    <n v="30"/>
    <n v="4"/>
    <n v="0"/>
    <n v="0"/>
    <n v="4"/>
  </r>
  <r>
    <x v="162"/>
    <x v="162"/>
    <x v="0"/>
    <s v="Triticale"/>
    <n v="5"/>
    <n v="0"/>
    <n v="0"/>
    <n v="5"/>
    <n v="0"/>
    <n v="0"/>
    <n v="0"/>
    <n v="0"/>
  </r>
  <r>
    <x v="162"/>
    <x v="162"/>
    <x v="1"/>
    <s v="Cereals d'hivern per a farratge"/>
    <n v="26"/>
    <n v="0"/>
    <n v="0"/>
    <n v="26"/>
    <n v="4"/>
    <n v="0"/>
    <n v="0"/>
    <n v="4"/>
  </r>
  <r>
    <x v="162"/>
    <x v="162"/>
    <x v="1"/>
    <s v="Raigràs"/>
    <n v="38"/>
    <n v="0"/>
    <n v="0"/>
    <n v="38"/>
    <n v="0"/>
    <n v="0"/>
    <n v="0"/>
    <n v="0"/>
  </r>
  <r>
    <x v="162"/>
    <x v="162"/>
    <x v="1"/>
    <s v="Alfals"/>
    <n v="22"/>
    <n v="0"/>
    <n v="0"/>
    <n v="22"/>
    <n v="5"/>
    <n v="0"/>
    <n v="0"/>
    <n v="5"/>
  </r>
  <r>
    <x v="163"/>
    <x v="163"/>
    <x v="0"/>
    <s v="Ordi"/>
    <n v="21"/>
    <n v="0"/>
    <n v="0"/>
    <n v="21"/>
    <n v="0"/>
    <n v="0"/>
    <n v="0"/>
    <n v="0"/>
  </r>
  <r>
    <x v="163"/>
    <x v="163"/>
    <x v="1"/>
    <s v="Cereals d'hivern per a farratge"/>
    <n v="2"/>
    <n v="0"/>
    <n v="0"/>
    <n v="2"/>
    <n v="0"/>
    <n v="0"/>
    <n v="0"/>
    <n v="0"/>
  </r>
  <r>
    <x v="163"/>
    <x v="163"/>
    <x v="1"/>
    <s v="Alfals"/>
    <n v="3"/>
    <n v="0"/>
    <n v="0"/>
    <n v="3"/>
    <n v="0"/>
    <n v="0"/>
    <n v="0"/>
    <n v="0"/>
  </r>
  <r>
    <x v="163"/>
    <x v="163"/>
    <x v="1"/>
    <s v="Praderes polifites"/>
    <n v="25"/>
    <n v="0"/>
    <n v="0"/>
    <n v="25"/>
    <n v="0"/>
    <n v="0"/>
    <n v="0"/>
    <n v="0"/>
  </r>
  <r>
    <x v="163"/>
    <x v="163"/>
    <x v="4"/>
    <s v="Carbassa"/>
    <n v="0"/>
    <n v="0"/>
    <n v="0"/>
    <n v="0"/>
    <n v="1"/>
    <n v="0"/>
    <n v="0"/>
    <n v="1"/>
  </r>
  <r>
    <x v="164"/>
    <x v="164"/>
    <x v="0"/>
    <s v="Blat tou"/>
    <n v="33"/>
    <n v="0"/>
    <n v="0"/>
    <n v="33"/>
    <n v="0"/>
    <n v="0"/>
    <n v="0"/>
    <n v="0"/>
  </r>
  <r>
    <x v="164"/>
    <x v="164"/>
    <x v="0"/>
    <s v="Ordi"/>
    <n v="54"/>
    <n v="0"/>
    <n v="0"/>
    <n v="54"/>
    <n v="0"/>
    <n v="0"/>
    <n v="0"/>
    <n v="0"/>
  </r>
  <r>
    <x v="164"/>
    <x v="164"/>
    <x v="1"/>
    <s v="Alfals"/>
    <n v="7"/>
    <n v="0"/>
    <n v="0"/>
    <n v="7"/>
    <n v="0"/>
    <n v="0"/>
    <n v="0"/>
    <n v="0"/>
  </r>
  <r>
    <x v="164"/>
    <x v="164"/>
    <x v="3"/>
    <s v="Colza"/>
    <n v="22"/>
    <n v="0"/>
    <n v="0"/>
    <n v="22"/>
    <n v="0"/>
    <n v="0"/>
    <n v="0"/>
    <n v="0"/>
  </r>
  <r>
    <x v="164"/>
    <x v="164"/>
    <x v="4"/>
    <s v="Ceba"/>
    <n v="1"/>
    <n v="0"/>
    <n v="0"/>
    <n v="1"/>
    <n v="0"/>
    <n v="0"/>
    <n v="0"/>
    <n v="0"/>
  </r>
  <r>
    <x v="164"/>
    <x v="164"/>
    <x v="2"/>
    <s v="Mongeta seca"/>
    <n v="1"/>
    <n v="0"/>
    <n v="0"/>
    <n v="1"/>
    <n v="0"/>
    <n v="0"/>
    <n v="0"/>
    <n v="0"/>
  </r>
  <r>
    <x v="164"/>
    <x v="164"/>
    <x v="6"/>
    <s v="Patata d'estació mitjana"/>
    <n v="1"/>
    <n v="0"/>
    <n v="0"/>
    <n v="1"/>
    <n v="1"/>
    <n v="0"/>
    <n v="0"/>
    <n v="1"/>
  </r>
  <r>
    <x v="165"/>
    <x v="165"/>
    <x v="0"/>
    <s v="Blat tou"/>
    <n v="0"/>
    <n v="0"/>
    <n v="0"/>
    <n v="0"/>
    <n v="5"/>
    <n v="0"/>
    <n v="0"/>
    <n v="5"/>
  </r>
  <r>
    <x v="165"/>
    <x v="165"/>
    <x v="0"/>
    <s v="Ordi"/>
    <n v="0"/>
    <n v="0"/>
    <n v="0"/>
    <n v="0"/>
    <n v="5"/>
    <n v="0"/>
    <n v="0"/>
    <n v="5"/>
  </r>
  <r>
    <x v="165"/>
    <x v="165"/>
    <x v="0"/>
    <s v="Civada"/>
    <n v="3"/>
    <n v="0"/>
    <n v="0"/>
    <n v="3"/>
    <n v="6"/>
    <n v="0"/>
    <n v="0"/>
    <n v="6"/>
  </r>
  <r>
    <x v="165"/>
    <x v="165"/>
    <x v="1"/>
    <s v="Cereals d'hivern per a farratge"/>
    <n v="1"/>
    <n v="0"/>
    <n v="0"/>
    <n v="1"/>
    <n v="1"/>
    <n v="0"/>
    <n v="0"/>
    <n v="1"/>
  </r>
  <r>
    <x v="165"/>
    <x v="165"/>
    <x v="1"/>
    <s v="Raigràs"/>
    <n v="0"/>
    <n v="0"/>
    <n v="0"/>
    <n v="0"/>
    <n v="2"/>
    <n v="0"/>
    <n v="0"/>
    <n v="2"/>
  </r>
  <r>
    <x v="165"/>
    <x v="165"/>
    <x v="1"/>
    <s v="Trepadella"/>
    <n v="3"/>
    <n v="0"/>
    <n v="0"/>
    <n v="3"/>
    <n v="0"/>
    <n v="0"/>
    <n v="0"/>
    <n v="0"/>
  </r>
  <r>
    <x v="165"/>
    <x v="165"/>
    <x v="4"/>
    <s v="Col de cabdell"/>
    <n v="0"/>
    <n v="0"/>
    <n v="0"/>
    <n v="0"/>
    <n v="13"/>
    <n v="10"/>
    <n v="0"/>
    <n v="23"/>
  </r>
  <r>
    <x v="165"/>
    <x v="165"/>
    <x v="4"/>
    <s v="Api"/>
    <n v="0"/>
    <n v="0"/>
    <n v="0"/>
    <n v="0"/>
    <n v="10"/>
    <n v="0"/>
    <n v="0"/>
    <n v="10"/>
  </r>
  <r>
    <x v="165"/>
    <x v="165"/>
    <x v="4"/>
    <s v="Enciam"/>
    <n v="0"/>
    <n v="0"/>
    <n v="0"/>
    <n v="0"/>
    <n v="18"/>
    <n v="15"/>
    <n v="0"/>
    <n v="33"/>
  </r>
  <r>
    <x v="165"/>
    <x v="165"/>
    <x v="4"/>
    <s v="Escarola"/>
    <n v="0"/>
    <n v="0"/>
    <n v="0"/>
    <n v="0"/>
    <n v="5"/>
    <n v="0"/>
    <n v="0"/>
    <n v="5"/>
  </r>
  <r>
    <x v="165"/>
    <x v="165"/>
    <x v="4"/>
    <s v="Espinac"/>
    <n v="0"/>
    <n v="0"/>
    <n v="0"/>
    <n v="0"/>
    <n v="5"/>
    <n v="0"/>
    <n v="0"/>
    <n v="5"/>
  </r>
  <r>
    <x v="165"/>
    <x v="165"/>
    <x v="4"/>
    <s v="Bleda"/>
    <n v="0"/>
    <n v="0"/>
    <n v="0"/>
    <n v="0"/>
    <n v="4"/>
    <n v="0"/>
    <n v="0"/>
    <n v="4"/>
  </r>
  <r>
    <x v="165"/>
    <x v="165"/>
    <x v="4"/>
    <s v="Carbassa"/>
    <n v="0"/>
    <n v="0"/>
    <n v="0"/>
    <n v="0"/>
    <n v="2"/>
    <n v="0"/>
    <n v="0"/>
    <n v="2"/>
  </r>
  <r>
    <x v="165"/>
    <x v="165"/>
    <x v="4"/>
    <s v="Tomàquet"/>
    <n v="0"/>
    <n v="0"/>
    <n v="0"/>
    <n v="0"/>
    <n v="5"/>
    <n v="0"/>
    <n v="0"/>
    <n v="5"/>
  </r>
  <r>
    <x v="165"/>
    <x v="165"/>
    <x v="4"/>
    <s v="Carxofa"/>
    <n v="0"/>
    <n v="0"/>
    <n v="0"/>
    <n v="0"/>
    <n v="70"/>
    <n v="0"/>
    <n v="0"/>
    <n v="70"/>
  </r>
  <r>
    <x v="165"/>
    <x v="165"/>
    <x v="4"/>
    <s v="All"/>
    <n v="0"/>
    <n v="0"/>
    <n v="0"/>
    <n v="0"/>
    <n v="5"/>
    <n v="0"/>
    <n v="0"/>
    <n v="5"/>
  </r>
  <r>
    <x v="165"/>
    <x v="165"/>
    <x v="4"/>
    <s v="Ceba"/>
    <n v="0"/>
    <n v="0"/>
    <n v="0"/>
    <n v="0"/>
    <n v="12"/>
    <n v="0"/>
    <n v="0"/>
    <n v="12"/>
  </r>
  <r>
    <x v="165"/>
    <x v="165"/>
    <x v="4"/>
    <s v="Porro"/>
    <n v="0"/>
    <n v="0"/>
    <n v="0"/>
    <n v="0"/>
    <n v="9"/>
    <n v="0"/>
    <n v="0"/>
    <n v="9"/>
  </r>
  <r>
    <x v="165"/>
    <x v="165"/>
    <x v="4"/>
    <s v="Mongeta tendra"/>
    <n v="0"/>
    <n v="0"/>
    <n v="0"/>
    <n v="0"/>
    <n v="1"/>
    <n v="0"/>
    <n v="0"/>
    <n v="1"/>
  </r>
  <r>
    <x v="165"/>
    <x v="165"/>
    <x v="4"/>
    <s v="Fava tendra"/>
    <n v="0"/>
    <n v="0"/>
    <n v="0"/>
    <n v="0"/>
    <n v="24"/>
    <n v="14"/>
    <n v="0"/>
    <n v="38"/>
  </r>
  <r>
    <x v="165"/>
    <x v="165"/>
    <x v="4"/>
    <s v="Altres Hortalisses"/>
    <n v="0"/>
    <n v="0"/>
    <n v="0"/>
    <n v="0"/>
    <n v="5"/>
    <n v="0"/>
    <n v="0"/>
    <n v="5"/>
  </r>
  <r>
    <x v="165"/>
    <x v="165"/>
    <x v="4"/>
    <s v="Carbassó"/>
    <n v="0"/>
    <n v="0"/>
    <n v="0"/>
    <n v="0"/>
    <n v="5"/>
    <n v="0"/>
    <n v="0"/>
    <n v="5"/>
  </r>
  <r>
    <x v="165"/>
    <x v="165"/>
    <x v="4"/>
    <s v="Julivert"/>
    <n v="0"/>
    <n v="0"/>
    <n v="0"/>
    <n v="0"/>
    <n v="1"/>
    <n v="0"/>
    <n v="0"/>
    <n v="1"/>
  </r>
  <r>
    <x v="166"/>
    <x v="166"/>
    <x v="0"/>
    <s v="Blat tou"/>
    <n v="84"/>
    <n v="0"/>
    <n v="0"/>
    <n v="84"/>
    <n v="0"/>
    <n v="0"/>
    <n v="0"/>
    <n v="0"/>
  </r>
  <r>
    <x v="166"/>
    <x v="166"/>
    <x v="0"/>
    <s v="Ordi"/>
    <n v="116"/>
    <n v="0"/>
    <n v="0"/>
    <n v="116"/>
    <n v="0"/>
    <n v="0"/>
    <n v="0"/>
    <n v="0"/>
  </r>
  <r>
    <x v="166"/>
    <x v="166"/>
    <x v="0"/>
    <s v="Civada"/>
    <n v="8"/>
    <n v="0"/>
    <n v="0"/>
    <n v="8"/>
    <n v="0"/>
    <n v="0"/>
    <n v="0"/>
    <n v="0"/>
  </r>
  <r>
    <x v="166"/>
    <x v="166"/>
    <x v="0"/>
    <s v="Mill i melca"/>
    <n v="0"/>
    <n v="2"/>
    <n v="0"/>
    <n v="2"/>
    <n v="0"/>
    <n v="0"/>
    <n v="0"/>
    <n v="0"/>
  </r>
  <r>
    <x v="166"/>
    <x v="166"/>
    <x v="1"/>
    <s v="Cereals d'hivern per a farratge"/>
    <n v="24"/>
    <n v="0"/>
    <n v="0"/>
    <n v="24"/>
    <n v="0"/>
    <n v="0"/>
    <n v="0"/>
    <n v="0"/>
  </r>
  <r>
    <x v="166"/>
    <x v="166"/>
    <x v="1"/>
    <s v="Sorgo farratger"/>
    <n v="4"/>
    <n v="0"/>
    <n v="0"/>
    <n v="4"/>
    <n v="0"/>
    <n v="0"/>
    <n v="0"/>
    <n v="0"/>
  </r>
  <r>
    <x v="166"/>
    <x v="166"/>
    <x v="1"/>
    <s v="Raigràs"/>
    <n v="54"/>
    <n v="0"/>
    <n v="0"/>
    <n v="54"/>
    <n v="0"/>
    <n v="0"/>
    <n v="0"/>
    <n v="0"/>
  </r>
  <r>
    <x v="166"/>
    <x v="166"/>
    <x v="1"/>
    <s v="Alfals"/>
    <n v="6"/>
    <n v="0"/>
    <n v="0"/>
    <n v="6"/>
    <n v="0"/>
    <n v="0"/>
    <n v="0"/>
    <n v="0"/>
  </r>
  <r>
    <x v="166"/>
    <x v="166"/>
    <x v="1"/>
    <s v="Praderes polifites"/>
    <n v="59"/>
    <n v="0"/>
    <n v="0"/>
    <n v="59"/>
    <n v="0"/>
    <n v="0"/>
    <n v="0"/>
    <n v="0"/>
  </r>
  <r>
    <x v="166"/>
    <x v="166"/>
    <x v="1"/>
    <s v="Associació Veça - Civada farratgeres"/>
    <n v="3"/>
    <n v="1"/>
    <n v="0"/>
    <n v="4"/>
    <n v="0"/>
    <n v="0"/>
    <n v="0"/>
    <n v="0"/>
  </r>
  <r>
    <x v="166"/>
    <x v="166"/>
    <x v="3"/>
    <s v="Gira-sol"/>
    <n v="1"/>
    <n v="0"/>
    <n v="0"/>
    <n v="1"/>
    <n v="0"/>
    <n v="0"/>
    <n v="0"/>
    <n v="0"/>
  </r>
  <r>
    <x v="166"/>
    <x v="166"/>
    <x v="3"/>
    <s v="Colza"/>
    <n v="33"/>
    <n v="0"/>
    <n v="0"/>
    <n v="33"/>
    <n v="0"/>
    <n v="0"/>
    <n v="0"/>
    <n v="0"/>
  </r>
  <r>
    <x v="166"/>
    <x v="166"/>
    <x v="4"/>
    <s v="Col de cabdell"/>
    <n v="0"/>
    <n v="0"/>
    <n v="0"/>
    <n v="0"/>
    <n v="1"/>
    <n v="0"/>
    <n v="0"/>
    <n v="1"/>
  </r>
  <r>
    <x v="166"/>
    <x v="166"/>
    <x v="4"/>
    <s v="Fava tendra"/>
    <n v="0"/>
    <n v="0"/>
    <n v="0"/>
    <n v="0"/>
    <n v="1"/>
    <n v="0"/>
    <n v="0"/>
    <n v="1"/>
  </r>
  <r>
    <x v="166"/>
    <x v="166"/>
    <x v="2"/>
    <s v="Pèsol sec"/>
    <n v="13"/>
    <n v="0"/>
    <n v="0"/>
    <n v="13"/>
    <n v="0"/>
    <n v="0"/>
    <n v="0"/>
    <n v="0"/>
  </r>
  <r>
    <x v="167"/>
    <x v="167"/>
    <x v="0"/>
    <s v="Blat tou"/>
    <n v="578"/>
    <n v="0"/>
    <n v="0"/>
    <n v="578"/>
    <n v="0"/>
    <n v="0"/>
    <n v="0"/>
    <n v="0"/>
  </r>
  <r>
    <x v="167"/>
    <x v="167"/>
    <x v="0"/>
    <s v="Ordi"/>
    <n v="753"/>
    <n v="0"/>
    <n v="0"/>
    <n v="753"/>
    <n v="0"/>
    <n v="0"/>
    <n v="0"/>
    <n v="0"/>
  </r>
  <r>
    <x v="167"/>
    <x v="167"/>
    <x v="0"/>
    <s v="Civada"/>
    <n v="5"/>
    <n v="0"/>
    <n v="0"/>
    <n v="5"/>
    <n v="0"/>
    <n v="0"/>
    <n v="0"/>
    <n v="0"/>
  </r>
  <r>
    <x v="167"/>
    <x v="167"/>
    <x v="0"/>
    <s v="Espelta"/>
    <n v="7"/>
    <n v="0"/>
    <n v="0"/>
    <n v="7"/>
    <n v="0"/>
    <n v="0"/>
    <n v="0"/>
    <n v="0"/>
  </r>
  <r>
    <x v="167"/>
    <x v="167"/>
    <x v="0"/>
    <s v="Blat dur"/>
    <n v="4"/>
    <n v="0"/>
    <n v="0"/>
    <n v="4"/>
    <n v="0"/>
    <n v="0"/>
    <n v="0"/>
    <n v="0"/>
  </r>
  <r>
    <x v="167"/>
    <x v="167"/>
    <x v="1"/>
    <s v="Cereals d'hivern per a farratge"/>
    <n v="21"/>
    <n v="0"/>
    <n v="0"/>
    <n v="21"/>
    <n v="0"/>
    <n v="0"/>
    <n v="0"/>
    <n v="0"/>
  </r>
  <r>
    <x v="167"/>
    <x v="167"/>
    <x v="1"/>
    <s v="Alfals"/>
    <n v="3"/>
    <n v="0"/>
    <n v="0"/>
    <n v="3"/>
    <n v="0"/>
    <n v="0"/>
    <n v="0"/>
    <n v="0"/>
  </r>
  <r>
    <x v="167"/>
    <x v="167"/>
    <x v="1"/>
    <s v="Associació Veça - Civada farratgeres"/>
    <n v="64"/>
    <n v="0"/>
    <n v="0"/>
    <n v="64"/>
    <n v="0"/>
    <n v="0"/>
    <n v="0"/>
    <n v="0"/>
  </r>
  <r>
    <x v="167"/>
    <x v="167"/>
    <x v="3"/>
    <s v="Colza"/>
    <n v="63"/>
    <n v="0"/>
    <n v="0"/>
    <n v="63"/>
    <n v="0"/>
    <n v="0"/>
    <n v="0"/>
    <n v="0"/>
  </r>
  <r>
    <x v="167"/>
    <x v="167"/>
    <x v="3"/>
    <s v="Lavanda"/>
    <n v="2"/>
    <n v="0"/>
    <n v="0"/>
    <n v="2"/>
    <n v="0"/>
    <n v="0"/>
    <n v="0"/>
    <n v="0"/>
  </r>
  <r>
    <x v="167"/>
    <x v="167"/>
    <x v="3"/>
    <s v="Camelina"/>
    <n v="11"/>
    <n v="0"/>
    <n v="0"/>
    <n v="11"/>
    <n v="0"/>
    <n v="0"/>
    <n v="0"/>
    <n v="0"/>
  </r>
  <r>
    <x v="167"/>
    <x v="167"/>
    <x v="2"/>
    <s v="Llentia"/>
    <n v="5"/>
    <n v="0"/>
    <n v="0"/>
    <n v="5"/>
    <n v="0"/>
    <n v="0"/>
    <n v="0"/>
    <n v="0"/>
  </r>
  <r>
    <x v="167"/>
    <x v="167"/>
    <x v="2"/>
    <s v="Pèsol sec"/>
    <n v="67"/>
    <n v="0"/>
    <n v="0"/>
    <n v="67"/>
    <n v="0"/>
    <n v="0"/>
    <n v="0"/>
    <n v="0"/>
  </r>
  <r>
    <x v="167"/>
    <x v="167"/>
    <x v="2"/>
    <s v="Veça"/>
    <n v="29"/>
    <n v="0"/>
    <n v="0"/>
    <n v="29"/>
    <n v="0"/>
    <n v="0"/>
    <n v="0"/>
    <n v="0"/>
  </r>
  <r>
    <x v="168"/>
    <x v="168"/>
    <x v="1"/>
    <s v="Raigràs"/>
    <n v="3"/>
    <n v="0"/>
    <n v="0"/>
    <n v="3"/>
    <n v="0"/>
    <n v="0"/>
    <n v="0"/>
    <n v="0"/>
  </r>
  <r>
    <x v="168"/>
    <x v="168"/>
    <x v="5"/>
    <s v="Altres flors"/>
    <n v="0"/>
    <n v="0"/>
    <n v="0"/>
    <n v="0"/>
    <n v="2"/>
    <n v="0"/>
    <n v="0"/>
    <n v="2"/>
  </r>
  <r>
    <x v="168"/>
    <x v="168"/>
    <x v="5"/>
    <s v="Plantes ornamentals"/>
    <n v="0"/>
    <n v="0"/>
    <n v="0"/>
    <n v="0"/>
    <n v="14"/>
    <n v="0"/>
    <n v="0"/>
    <n v="14"/>
  </r>
  <r>
    <x v="168"/>
    <x v="168"/>
    <x v="4"/>
    <s v="Col de cabdell"/>
    <n v="0"/>
    <n v="0"/>
    <n v="0"/>
    <n v="0"/>
    <n v="1"/>
    <n v="0"/>
    <n v="0"/>
    <n v="1"/>
  </r>
  <r>
    <x v="168"/>
    <x v="168"/>
    <x v="4"/>
    <s v="Enciam"/>
    <n v="0"/>
    <n v="0"/>
    <n v="0"/>
    <n v="0"/>
    <n v="0"/>
    <n v="1"/>
    <n v="0"/>
    <n v="1"/>
  </r>
  <r>
    <x v="168"/>
    <x v="168"/>
    <x v="4"/>
    <s v="Bleda"/>
    <n v="0"/>
    <n v="0"/>
    <n v="0"/>
    <n v="0"/>
    <n v="1"/>
    <n v="0"/>
    <n v="0"/>
    <n v="1"/>
  </r>
  <r>
    <x v="168"/>
    <x v="168"/>
    <x v="4"/>
    <s v="Tomàquet"/>
    <n v="0"/>
    <n v="0"/>
    <n v="0"/>
    <n v="0"/>
    <n v="1"/>
    <n v="0"/>
    <n v="0"/>
    <n v="1"/>
  </r>
  <r>
    <x v="168"/>
    <x v="168"/>
    <x v="4"/>
    <s v="Carxofa"/>
    <n v="0"/>
    <n v="0"/>
    <n v="0"/>
    <n v="0"/>
    <n v="1"/>
    <n v="0"/>
    <n v="0"/>
    <n v="1"/>
  </r>
  <r>
    <x v="168"/>
    <x v="168"/>
    <x v="4"/>
    <s v="Coliflor"/>
    <n v="0"/>
    <n v="0"/>
    <n v="0"/>
    <n v="0"/>
    <n v="1"/>
    <n v="1"/>
    <n v="0"/>
    <n v="2"/>
  </r>
  <r>
    <x v="168"/>
    <x v="168"/>
    <x v="4"/>
    <s v="Ceba"/>
    <n v="0"/>
    <n v="0"/>
    <n v="0"/>
    <n v="0"/>
    <n v="1"/>
    <n v="0"/>
    <n v="0"/>
    <n v="1"/>
  </r>
  <r>
    <x v="168"/>
    <x v="168"/>
    <x v="4"/>
    <s v="Porro"/>
    <n v="0"/>
    <n v="0"/>
    <n v="0"/>
    <n v="0"/>
    <n v="1"/>
    <n v="1"/>
    <n v="0"/>
    <n v="2"/>
  </r>
  <r>
    <x v="168"/>
    <x v="168"/>
    <x v="4"/>
    <s v="Mongeta tendra"/>
    <n v="0"/>
    <n v="0"/>
    <n v="0"/>
    <n v="0"/>
    <n v="1"/>
    <n v="1"/>
    <n v="0"/>
    <n v="2"/>
  </r>
  <r>
    <x v="168"/>
    <x v="168"/>
    <x v="4"/>
    <s v="Pèsol verd"/>
    <n v="0"/>
    <n v="0"/>
    <n v="0"/>
    <n v="0"/>
    <n v="1"/>
    <n v="0"/>
    <n v="0"/>
    <n v="1"/>
  </r>
  <r>
    <x v="168"/>
    <x v="168"/>
    <x v="4"/>
    <s v="Fava tendra"/>
    <n v="0"/>
    <n v="0"/>
    <n v="0"/>
    <n v="0"/>
    <n v="1"/>
    <n v="0"/>
    <n v="0"/>
    <n v="1"/>
  </r>
  <r>
    <x v="168"/>
    <x v="168"/>
    <x v="4"/>
    <s v="Carbassó"/>
    <n v="0"/>
    <n v="0"/>
    <n v="0"/>
    <n v="0"/>
    <n v="0"/>
    <n v="1"/>
    <n v="0"/>
    <n v="1"/>
  </r>
  <r>
    <x v="168"/>
    <x v="168"/>
    <x v="6"/>
    <s v="Patata primerenca"/>
    <n v="0"/>
    <n v="0"/>
    <n v="0"/>
    <n v="0"/>
    <n v="1"/>
    <n v="0"/>
    <n v="0"/>
    <n v="1"/>
  </r>
  <r>
    <x v="169"/>
    <x v="169"/>
    <x v="5"/>
    <s v="Plantes ornamentals"/>
    <n v="0"/>
    <n v="0"/>
    <n v="0"/>
    <n v="0"/>
    <n v="2"/>
    <n v="0"/>
    <n v="0"/>
    <n v="2"/>
  </r>
  <r>
    <x v="169"/>
    <x v="169"/>
    <x v="4"/>
    <s v="Enciam"/>
    <n v="0"/>
    <n v="0"/>
    <n v="0"/>
    <n v="0"/>
    <n v="1"/>
    <n v="0"/>
    <n v="0"/>
    <n v="1"/>
  </r>
  <r>
    <x v="169"/>
    <x v="169"/>
    <x v="4"/>
    <s v="Cogombre"/>
    <n v="0"/>
    <n v="0"/>
    <n v="0"/>
    <n v="0"/>
    <n v="0"/>
    <n v="1"/>
    <n v="0"/>
    <n v="1"/>
  </r>
  <r>
    <x v="169"/>
    <x v="169"/>
    <x v="4"/>
    <s v="Tomàquet"/>
    <n v="0"/>
    <n v="0"/>
    <n v="0"/>
    <n v="0"/>
    <n v="1"/>
    <n v="0"/>
    <n v="0"/>
    <n v="1"/>
  </r>
  <r>
    <x v="169"/>
    <x v="169"/>
    <x v="4"/>
    <s v="Coliflor"/>
    <n v="0"/>
    <n v="0"/>
    <n v="0"/>
    <n v="0"/>
    <n v="0"/>
    <n v="1"/>
    <n v="0"/>
    <n v="1"/>
  </r>
  <r>
    <x v="169"/>
    <x v="169"/>
    <x v="4"/>
    <s v="Ceba"/>
    <n v="0"/>
    <n v="0"/>
    <n v="0"/>
    <n v="0"/>
    <n v="0"/>
    <n v="1"/>
    <n v="0"/>
    <n v="1"/>
  </r>
  <r>
    <x v="169"/>
    <x v="169"/>
    <x v="4"/>
    <s v="Porro"/>
    <n v="0"/>
    <n v="0"/>
    <n v="0"/>
    <n v="0"/>
    <n v="0"/>
    <n v="1"/>
    <n v="0"/>
    <n v="1"/>
  </r>
  <r>
    <x v="169"/>
    <x v="169"/>
    <x v="4"/>
    <s v="Fava tendra"/>
    <n v="0"/>
    <n v="0"/>
    <n v="0"/>
    <n v="0"/>
    <n v="1"/>
    <n v="0"/>
    <n v="0"/>
    <n v="1"/>
  </r>
  <r>
    <x v="169"/>
    <x v="169"/>
    <x v="6"/>
    <s v="Patata primerenca"/>
    <n v="0"/>
    <n v="0"/>
    <n v="0"/>
    <n v="0"/>
    <n v="1"/>
    <n v="0"/>
    <n v="0"/>
    <n v="1"/>
  </r>
  <r>
    <x v="170"/>
    <x v="170"/>
    <x v="0"/>
    <s v="Ordi"/>
    <n v="1"/>
    <n v="0"/>
    <n v="0"/>
    <n v="1"/>
    <n v="0"/>
    <n v="0"/>
    <n v="0"/>
    <n v="0"/>
  </r>
  <r>
    <x v="171"/>
    <x v="171"/>
    <x v="0"/>
    <s v="Blat tou"/>
    <n v="154"/>
    <n v="0"/>
    <n v="0"/>
    <n v="154"/>
    <n v="0"/>
    <n v="0"/>
    <n v="0"/>
    <n v="0"/>
  </r>
  <r>
    <x v="171"/>
    <x v="171"/>
    <x v="0"/>
    <s v="Ordi"/>
    <n v="271"/>
    <n v="0"/>
    <n v="0"/>
    <n v="271"/>
    <n v="0"/>
    <n v="0"/>
    <n v="0"/>
    <n v="0"/>
  </r>
  <r>
    <x v="171"/>
    <x v="171"/>
    <x v="0"/>
    <s v="Civada"/>
    <n v="16"/>
    <n v="0"/>
    <n v="0"/>
    <n v="16"/>
    <n v="0"/>
    <n v="0"/>
    <n v="0"/>
    <n v="0"/>
  </r>
  <r>
    <x v="171"/>
    <x v="171"/>
    <x v="0"/>
    <s v="Triticale"/>
    <n v="62"/>
    <n v="0"/>
    <n v="0"/>
    <n v="62"/>
    <n v="0"/>
    <n v="0"/>
    <n v="0"/>
    <n v="0"/>
  </r>
  <r>
    <x v="171"/>
    <x v="171"/>
    <x v="1"/>
    <s v="Cereals d'hivern per a farratge"/>
    <n v="16"/>
    <n v="0"/>
    <n v="0"/>
    <n v="16"/>
    <n v="0"/>
    <n v="0"/>
    <n v="0"/>
    <n v="0"/>
  </r>
  <r>
    <x v="171"/>
    <x v="171"/>
    <x v="1"/>
    <s v="Raigràs"/>
    <n v="61"/>
    <n v="0"/>
    <n v="0"/>
    <n v="61"/>
    <n v="0"/>
    <n v="0"/>
    <n v="0"/>
    <n v="0"/>
  </r>
  <r>
    <x v="171"/>
    <x v="171"/>
    <x v="1"/>
    <s v="Alfals"/>
    <n v="10"/>
    <n v="0"/>
    <n v="0"/>
    <n v="10"/>
    <n v="0"/>
    <n v="0"/>
    <n v="0"/>
    <n v="0"/>
  </r>
  <r>
    <x v="171"/>
    <x v="171"/>
    <x v="1"/>
    <s v="Trepadella"/>
    <n v="12"/>
    <n v="0"/>
    <n v="0"/>
    <n v="12"/>
    <n v="0"/>
    <n v="0"/>
    <n v="0"/>
    <n v="0"/>
  </r>
  <r>
    <x v="171"/>
    <x v="171"/>
    <x v="1"/>
    <s v="Associació Veça - Civada farratgeres"/>
    <n v="3"/>
    <n v="0"/>
    <n v="0"/>
    <n v="3"/>
    <n v="0"/>
    <n v="0"/>
    <n v="0"/>
    <n v="0"/>
  </r>
  <r>
    <x v="171"/>
    <x v="171"/>
    <x v="3"/>
    <s v="Colza"/>
    <n v="51"/>
    <n v="0"/>
    <n v="0"/>
    <n v="51"/>
    <n v="0"/>
    <n v="0"/>
    <n v="0"/>
    <n v="0"/>
  </r>
  <r>
    <x v="171"/>
    <x v="171"/>
    <x v="2"/>
    <s v="Pèsol sec"/>
    <n v="10"/>
    <n v="0"/>
    <n v="0"/>
    <n v="10"/>
    <n v="0"/>
    <n v="0"/>
    <n v="0"/>
    <n v="0"/>
  </r>
  <r>
    <x v="172"/>
    <x v="172"/>
    <x v="0"/>
    <s v="Blat tou"/>
    <n v="547"/>
    <n v="0"/>
    <n v="0"/>
    <n v="547"/>
    <n v="0"/>
    <n v="0"/>
    <n v="0"/>
    <n v="0"/>
  </r>
  <r>
    <x v="172"/>
    <x v="172"/>
    <x v="0"/>
    <s v="Ordi"/>
    <n v="836"/>
    <n v="0"/>
    <n v="0"/>
    <n v="836"/>
    <n v="0"/>
    <n v="0"/>
    <n v="0"/>
    <n v="0"/>
  </r>
  <r>
    <x v="172"/>
    <x v="172"/>
    <x v="0"/>
    <s v="Civada"/>
    <n v="9"/>
    <n v="0"/>
    <n v="0"/>
    <n v="9"/>
    <n v="0"/>
    <n v="0"/>
    <n v="0"/>
    <n v="0"/>
  </r>
  <r>
    <x v="172"/>
    <x v="172"/>
    <x v="0"/>
    <s v="Mill i melca"/>
    <n v="0"/>
    <n v="4"/>
    <n v="0"/>
    <n v="4"/>
    <n v="0"/>
    <n v="0"/>
    <n v="0"/>
    <n v="0"/>
  </r>
  <r>
    <x v="172"/>
    <x v="172"/>
    <x v="1"/>
    <s v="Cereals d'hivern per a farratge"/>
    <n v="37"/>
    <n v="0"/>
    <n v="0"/>
    <n v="37"/>
    <n v="0"/>
    <n v="0"/>
    <n v="0"/>
    <n v="0"/>
  </r>
  <r>
    <x v="172"/>
    <x v="172"/>
    <x v="1"/>
    <s v="Raigràs"/>
    <n v="9"/>
    <n v="0"/>
    <n v="0"/>
    <n v="9"/>
    <n v="0"/>
    <n v="0"/>
    <n v="0"/>
    <n v="0"/>
  </r>
  <r>
    <x v="172"/>
    <x v="172"/>
    <x v="1"/>
    <s v="Trepadella"/>
    <n v="3"/>
    <n v="0"/>
    <n v="0"/>
    <n v="3"/>
    <n v="0"/>
    <n v="0"/>
    <n v="0"/>
    <n v="0"/>
  </r>
  <r>
    <x v="172"/>
    <x v="172"/>
    <x v="1"/>
    <s v="Associació Veça - Civada farratgeres"/>
    <n v="8"/>
    <n v="0"/>
    <n v="0"/>
    <n v="8"/>
    <n v="0"/>
    <n v="0"/>
    <n v="0"/>
    <n v="0"/>
  </r>
  <r>
    <x v="172"/>
    <x v="172"/>
    <x v="3"/>
    <s v="Colza"/>
    <n v="296"/>
    <n v="0"/>
    <n v="0"/>
    <n v="296"/>
    <n v="0"/>
    <n v="0"/>
    <n v="0"/>
    <n v="0"/>
  </r>
  <r>
    <x v="172"/>
    <x v="172"/>
    <x v="2"/>
    <s v="Llentia"/>
    <n v="4"/>
    <n v="0"/>
    <n v="0"/>
    <n v="4"/>
    <n v="0"/>
    <n v="0"/>
    <n v="0"/>
    <n v="0"/>
  </r>
  <r>
    <x v="172"/>
    <x v="172"/>
    <x v="2"/>
    <s v="Cigró"/>
    <n v="23"/>
    <n v="0"/>
    <n v="0"/>
    <n v="23"/>
    <n v="0"/>
    <n v="0"/>
    <n v="0"/>
    <n v="0"/>
  </r>
  <r>
    <x v="172"/>
    <x v="172"/>
    <x v="2"/>
    <s v="Pèsol sec"/>
    <n v="163"/>
    <n v="0"/>
    <n v="0"/>
    <n v="163"/>
    <n v="0"/>
    <n v="0"/>
    <n v="0"/>
    <n v="0"/>
  </r>
  <r>
    <x v="172"/>
    <x v="172"/>
    <x v="2"/>
    <s v="Veça"/>
    <n v="25"/>
    <n v="0"/>
    <n v="0"/>
    <n v="25"/>
    <n v="0"/>
    <n v="0"/>
    <n v="0"/>
    <n v="0"/>
  </r>
  <r>
    <x v="172"/>
    <x v="172"/>
    <x v="2"/>
    <s v="Erbs"/>
    <n v="1"/>
    <n v="0"/>
    <n v="0"/>
    <n v="1"/>
    <n v="0"/>
    <n v="0"/>
    <n v="0"/>
    <n v="0"/>
  </r>
  <r>
    <x v="173"/>
    <x v="173"/>
    <x v="0"/>
    <s v="Ordi"/>
    <n v="31"/>
    <n v="0"/>
    <n v="0"/>
    <n v="31"/>
    <n v="0"/>
    <n v="0"/>
    <n v="0"/>
    <n v="0"/>
  </r>
  <r>
    <x v="173"/>
    <x v="173"/>
    <x v="0"/>
    <s v="Civada"/>
    <n v="1"/>
    <n v="0"/>
    <n v="0"/>
    <n v="1"/>
    <n v="0"/>
    <n v="0"/>
    <n v="0"/>
    <n v="0"/>
  </r>
  <r>
    <x v="173"/>
    <x v="173"/>
    <x v="1"/>
    <s v="Cereals d'hivern per a farratge"/>
    <n v="1"/>
    <n v="0"/>
    <n v="0"/>
    <n v="1"/>
    <n v="0"/>
    <n v="0"/>
    <n v="0"/>
    <n v="0"/>
  </r>
  <r>
    <x v="173"/>
    <x v="173"/>
    <x v="1"/>
    <s v="Raigràs"/>
    <n v="4"/>
    <n v="0"/>
    <n v="0"/>
    <n v="4"/>
    <n v="0"/>
    <n v="0"/>
    <n v="0"/>
    <n v="0"/>
  </r>
  <r>
    <x v="173"/>
    <x v="173"/>
    <x v="1"/>
    <s v="Alfals"/>
    <n v="7"/>
    <n v="0"/>
    <n v="0"/>
    <n v="7"/>
    <n v="0"/>
    <n v="0"/>
    <n v="0"/>
    <n v="0"/>
  </r>
  <r>
    <x v="173"/>
    <x v="173"/>
    <x v="1"/>
    <s v="Trepadella"/>
    <n v="3"/>
    <n v="0"/>
    <n v="0"/>
    <n v="3"/>
    <n v="0"/>
    <n v="0"/>
    <n v="0"/>
    <n v="0"/>
  </r>
  <r>
    <x v="173"/>
    <x v="173"/>
    <x v="1"/>
    <s v="Praderes polifites"/>
    <n v="30"/>
    <n v="0"/>
    <n v="0"/>
    <n v="30"/>
    <n v="0"/>
    <n v="0"/>
    <n v="0"/>
    <n v="0"/>
  </r>
  <r>
    <x v="173"/>
    <x v="173"/>
    <x v="1"/>
    <s v="Associació Veça - Civada farratgeres"/>
    <n v="7"/>
    <n v="0"/>
    <n v="0"/>
    <n v="7"/>
    <n v="0"/>
    <n v="0"/>
    <n v="0"/>
    <n v="0"/>
  </r>
  <r>
    <x v="173"/>
    <x v="173"/>
    <x v="3"/>
    <s v="Gira-sol"/>
    <n v="3"/>
    <n v="0"/>
    <n v="0"/>
    <n v="3"/>
    <n v="0"/>
    <n v="0"/>
    <n v="0"/>
    <n v="0"/>
  </r>
  <r>
    <x v="174"/>
    <x v="174"/>
    <x v="0"/>
    <s v="Blat tou"/>
    <n v="206"/>
    <n v="0"/>
    <n v="0"/>
    <n v="206"/>
    <n v="0"/>
    <n v="0"/>
    <n v="0"/>
    <n v="0"/>
  </r>
  <r>
    <x v="174"/>
    <x v="174"/>
    <x v="0"/>
    <s v="Ordi"/>
    <n v="442"/>
    <n v="0"/>
    <n v="0"/>
    <n v="442"/>
    <n v="0"/>
    <n v="0"/>
    <n v="0"/>
    <n v="0"/>
  </r>
  <r>
    <x v="174"/>
    <x v="174"/>
    <x v="0"/>
    <s v="Civada"/>
    <n v="14"/>
    <n v="0"/>
    <n v="0"/>
    <n v="14"/>
    <n v="0"/>
    <n v="0"/>
    <n v="0"/>
    <n v="0"/>
  </r>
  <r>
    <x v="174"/>
    <x v="174"/>
    <x v="1"/>
    <s v="Cereals d'hivern per a farratge"/>
    <n v="57"/>
    <n v="0"/>
    <n v="0"/>
    <n v="57"/>
    <n v="0"/>
    <n v="0"/>
    <n v="0"/>
    <n v="0"/>
  </r>
  <r>
    <x v="174"/>
    <x v="174"/>
    <x v="1"/>
    <s v="Praderes polifites"/>
    <n v="13"/>
    <n v="0"/>
    <n v="0"/>
    <n v="13"/>
    <n v="0"/>
    <n v="0"/>
    <n v="0"/>
    <n v="0"/>
  </r>
  <r>
    <x v="174"/>
    <x v="174"/>
    <x v="3"/>
    <s v="Colza"/>
    <n v="45"/>
    <n v="0"/>
    <n v="0"/>
    <n v="45"/>
    <n v="0"/>
    <n v="0"/>
    <n v="0"/>
    <n v="0"/>
  </r>
  <r>
    <x v="174"/>
    <x v="174"/>
    <x v="3"/>
    <s v="Camelina"/>
    <n v="19"/>
    <n v="0"/>
    <n v="0"/>
    <n v="19"/>
    <n v="0"/>
    <n v="0"/>
    <n v="0"/>
    <n v="0"/>
  </r>
  <r>
    <x v="174"/>
    <x v="174"/>
    <x v="4"/>
    <s v="Tomàquet"/>
    <n v="0"/>
    <n v="0"/>
    <n v="0"/>
    <n v="0"/>
    <n v="1"/>
    <n v="0"/>
    <n v="0"/>
    <n v="1"/>
  </r>
  <r>
    <x v="175"/>
    <x v="175"/>
    <x v="0"/>
    <s v="Ordi"/>
    <n v="2"/>
    <n v="0"/>
    <n v="0"/>
    <n v="2"/>
    <n v="0"/>
    <n v="0"/>
    <n v="0"/>
    <n v="0"/>
  </r>
  <r>
    <x v="175"/>
    <x v="175"/>
    <x v="4"/>
    <s v="Tomàquet"/>
    <n v="0"/>
    <n v="0"/>
    <n v="0"/>
    <n v="0"/>
    <n v="1"/>
    <n v="0"/>
    <n v="0"/>
    <n v="1"/>
  </r>
  <r>
    <x v="176"/>
    <x v="176"/>
    <x v="0"/>
    <s v="Ordi"/>
    <n v="3"/>
    <n v="0"/>
    <n v="0"/>
    <n v="3"/>
    <n v="0"/>
    <n v="0"/>
    <n v="0"/>
    <n v="0"/>
  </r>
  <r>
    <x v="176"/>
    <x v="176"/>
    <x v="0"/>
    <s v="Civada"/>
    <n v="1"/>
    <n v="0"/>
    <n v="0"/>
    <n v="1"/>
    <n v="0"/>
    <n v="0"/>
    <n v="0"/>
    <n v="0"/>
  </r>
  <r>
    <x v="176"/>
    <x v="176"/>
    <x v="1"/>
    <s v="Cereals d'hivern per a farratge"/>
    <n v="1"/>
    <n v="0"/>
    <n v="0"/>
    <n v="1"/>
    <n v="0"/>
    <n v="0"/>
    <n v="0"/>
    <n v="0"/>
  </r>
  <r>
    <x v="177"/>
    <x v="177"/>
    <x v="0"/>
    <s v="Blat tou"/>
    <n v="58"/>
    <n v="0"/>
    <n v="0"/>
    <n v="58"/>
    <n v="5"/>
    <n v="0"/>
    <n v="0"/>
    <n v="5"/>
  </r>
  <r>
    <x v="177"/>
    <x v="177"/>
    <x v="0"/>
    <s v="Ordi"/>
    <n v="171"/>
    <n v="0"/>
    <n v="0"/>
    <n v="171"/>
    <n v="54"/>
    <n v="0"/>
    <n v="0"/>
    <n v="54"/>
  </r>
  <r>
    <x v="177"/>
    <x v="177"/>
    <x v="0"/>
    <s v="Civada"/>
    <n v="6"/>
    <n v="0"/>
    <n v="0"/>
    <n v="6"/>
    <n v="2"/>
    <n v="1"/>
    <n v="0"/>
    <n v="3"/>
  </r>
  <r>
    <x v="177"/>
    <x v="177"/>
    <x v="0"/>
    <s v="Triticale"/>
    <n v="0"/>
    <n v="0"/>
    <n v="0"/>
    <n v="0"/>
    <n v="2"/>
    <n v="0"/>
    <n v="0"/>
    <n v="2"/>
  </r>
  <r>
    <x v="177"/>
    <x v="177"/>
    <x v="0"/>
    <s v="Blat de moro"/>
    <n v="0"/>
    <n v="0"/>
    <n v="0"/>
    <n v="0"/>
    <n v="1"/>
    <n v="0"/>
    <n v="0"/>
    <n v="1"/>
  </r>
  <r>
    <x v="177"/>
    <x v="177"/>
    <x v="1"/>
    <s v="Cereals d'hivern per a farratge"/>
    <n v="55"/>
    <n v="0"/>
    <n v="0"/>
    <n v="55"/>
    <n v="21"/>
    <n v="6"/>
    <n v="0"/>
    <n v="27"/>
  </r>
  <r>
    <x v="177"/>
    <x v="177"/>
    <x v="1"/>
    <s v="Blat de moro farratger"/>
    <n v="0"/>
    <n v="0"/>
    <n v="0"/>
    <n v="0"/>
    <n v="5"/>
    <n v="0"/>
    <n v="0"/>
    <n v="5"/>
  </r>
  <r>
    <x v="177"/>
    <x v="177"/>
    <x v="1"/>
    <s v="Sorgo farratger"/>
    <n v="6"/>
    <n v="1"/>
    <n v="0"/>
    <n v="7"/>
    <n v="0"/>
    <n v="0"/>
    <n v="0"/>
    <n v="0"/>
  </r>
  <r>
    <x v="177"/>
    <x v="177"/>
    <x v="1"/>
    <s v="Raigràs"/>
    <n v="115"/>
    <n v="0"/>
    <n v="0"/>
    <n v="115"/>
    <n v="36"/>
    <n v="0"/>
    <n v="0"/>
    <n v="36"/>
  </r>
  <r>
    <x v="177"/>
    <x v="177"/>
    <x v="1"/>
    <s v="Alfals"/>
    <n v="52"/>
    <n v="0"/>
    <n v="0"/>
    <n v="52"/>
    <n v="10"/>
    <n v="0"/>
    <n v="0"/>
    <n v="10"/>
  </r>
  <r>
    <x v="177"/>
    <x v="177"/>
    <x v="1"/>
    <s v="Festuca"/>
    <n v="6"/>
    <n v="0"/>
    <n v="0"/>
    <n v="6"/>
    <n v="1"/>
    <n v="0"/>
    <n v="0"/>
    <n v="1"/>
  </r>
  <r>
    <x v="177"/>
    <x v="177"/>
    <x v="1"/>
    <s v="Associació Veça - Civada farratgeres"/>
    <n v="2"/>
    <n v="0"/>
    <n v="0"/>
    <n v="2"/>
    <n v="0"/>
    <n v="0"/>
    <n v="0"/>
    <n v="0"/>
  </r>
  <r>
    <x v="177"/>
    <x v="177"/>
    <x v="3"/>
    <s v="Gira-sol"/>
    <n v="1"/>
    <n v="0"/>
    <n v="0"/>
    <n v="1"/>
    <n v="1"/>
    <n v="0"/>
    <n v="0"/>
    <n v="1"/>
  </r>
  <r>
    <x v="177"/>
    <x v="177"/>
    <x v="3"/>
    <s v="Colza"/>
    <n v="5"/>
    <n v="0"/>
    <n v="0"/>
    <n v="5"/>
    <n v="8"/>
    <n v="0"/>
    <n v="0"/>
    <n v="8"/>
  </r>
  <r>
    <x v="177"/>
    <x v="177"/>
    <x v="5"/>
    <s v="Plantes ornamentals"/>
    <n v="0"/>
    <n v="0"/>
    <n v="0"/>
    <n v="0"/>
    <n v="36"/>
    <n v="0"/>
    <n v="0"/>
    <n v="36"/>
  </r>
  <r>
    <x v="177"/>
    <x v="177"/>
    <x v="4"/>
    <s v="Escarola"/>
    <n v="0"/>
    <n v="0"/>
    <n v="0"/>
    <n v="0"/>
    <n v="2"/>
    <n v="0"/>
    <n v="0"/>
    <n v="2"/>
  </r>
  <r>
    <x v="177"/>
    <x v="177"/>
    <x v="4"/>
    <s v="Bleda"/>
    <n v="0"/>
    <n v="0"/>
    <n v="0"/>
    <n v="0"/>
    <n v="3"/>
    <n v="0"/>
    <n v="0"/>
    <n v="3"/>
  </r>
  <r>
    <x v="177"/>
    <x v="177"/>
    <x v="4"/>
    <s v="Ceba"/>
    <n v="0"/>
    <n v="1"/>
    <n v="0"/>
    <n v="1"/>
    <n v="0"/>
    <n v="1"/>
    <n v="0"/>
    <n v="1"/>
  </r>
  <r>
    <x v="177"/>
    <x v="177"/>
    <x v="4"/>
    <s v="Fava tendra"/>
    <n v="1"/>
    <n v="0"/>
    <n v="0"/>
    <n v="1"/>
    <n v="0"/>
    <n v="0"/>
    <n v="0"/>
    <n v="0"/>
  </r>
  <r>
    <x v="177"/>
    <x v="177"/>
    <x v="2"/>
    <s v="Mongeta seca"/>
    <n v="1"/>
    <n v="0"/>
    <n v="0"/>
    <n v="1"/>
    <n v="14"/>
    <n v="5"/>
    <n v="0"/>
    <n v="19"/>
  </r>
  <r>
    <x v="177"/>
    <x v="177"/>
    <x v="2"/>
    <s v="Fava seca"/>
    <n v="10"/>
    <n v="0"/>
    <n v="0"/>
    <n v="10"/>
    <n v="0"/>
    <n v="0"/>
    <n v="0"/>
    <n v="0"/>
  </r>
  <r>
    <x v="177"/>
    <x v="177"/>
    <x v="2"/>
    <s v="Cigró"/>
    <n v="2"/>
    <n v="0"/>
    <n v="0"/>
    <n v="2"/>
    <n v="0"/>
    <n v="0"/>
    <n v="0"/>
    <n v="0"/>
  </r>
  <r>
    <x v="177"/>
    <x v="177"/>
    <x v="2"/>
    <s v="Pèsol sec"/>
    <n v="3"/>
    <n v="0"/>
    <n v="0"/>
    <n v="3"/>
    <n v="0"/>
    <n v="0"/>
    <n v="0"/>
    <n v="0"/>
  </r>
  <r>
    <x v="177"/>
    <x v="177"/>
    <x v="2"/>
    <s v="Veça"/>
    <n v="4"/>
    <n v="0"/>
    <n v="0"/>
    <n v="4"/>
    <n v="0"/>
    <n v="0"/>
    <n v="0"/>
    <n v="0"/>
  </r>
  <r>
    <x v="177"/>
    <x v="177"/>
    <x v="2"/>
    <s v="Favó"/>
    <n v="10"/>
    <n v="0"/>
    <n v="0"/>
    <n v="10"/>
    <n v="2"/>
    <n v="0"/>
    <n v="0"/>
    <n v="2"/>
  </r>
  <r>
    <x v="177"/>
    <x v="177"/>
    <x v="6"/>
    <s v="Patata d'estació mitjana"/>
    <n v="0"/>
    <n v="0"/>
    <n v="0"/>
    <n v="0"/>
    <n v="3"/>
    <n v="0"/>
    <n v="0"/>
    <n v="3"/>
  </r>
  <r>
    <x v="178"/>
    <x v="178"/>
    <x v="0"/>
    <s v="Blat tou"/>
    <n v="1"/>
    <n v="0"/>
    <n v="0"/>
    <n v="1"/>
    <n v="0"/>
    <n v="0"/>
    <n v="0"/>
    <n v="0"/>
  </r>
  <r>
    <x v="178"/>
    <x v="178"/>
    <x v="0"/>
    <s v="Ordi"/>
    <n v="17"/>
    <n v="0"/>
    <n v="0"/>
    <n v="17"/>
    <n v="0"/>
    <n v="0"/>
    <n v="0"/>
    <n v="0"/>
  </r>
  <r>
    <x v="178"/>
    <x v="178"/>
    <x v="0"/>
    <s v="Civada"/>
    <n v="1"/>
    <n v="0"/>
    <n v="0"/>
    <n v="1"/>
    <n v="0"/>
    <n v="0"/>
    <n v="0"/>
    <n v="0"/>
  </r>
  <r>
    <x v="178"/>
    <x v="178"/>
    <x v="1"/>
    <s v="Cereals d'hivern per a farratge"/>
    <n v="2"/>
    <n v="0"/>
    <n v="0"/>
    <n v="2"/>
    <n v="0"/>
    <n v="0"/>
    <n v="0"/>
    <n v="0"/>
  </r>
  <r>
    <x v="178"/>
    <x v="178"/>
    <x v="1"/>
    <s v="Sorgo farratger"/>
    <n v="1"/>
    <n v="7"/>
    <n v="0"/>
    <n v="8"/>
    <n v="0"/>
    <n v="0"/>
    <n v="0"/>
    <n v="0"/>
  </r>
  <r>
    <x v="178"/>
    <x v="178"/>
    <x v="1"/>
    <s v="Raigràs"/>
    <n v="10"/>
    <n v="0"/>
    <n v="0"/>
    <n v="10"/>
    <n v="0"/>
    <n v="0"/>
    <n v="0"/>
    <n v="0"/>
  </r>
  <r>
    <x v="178"/>
    <x v="178"/>
    <x v="1"/>
    <s v="Alfals"/>
    <n v="3"/>
    <n v="0"/>
    <n v="0"/>
    <n v="3"/>
    <n v="0"/>
    <n v="0"/>
    <n v="0"/>
    <n v="0"/>
  </r>
  <r>
    <x v="178"/>
    <x v="178"/>
    <x v="1"/>
    <s v="Praderes polifites"/>
    <n v="4"/>
    <n v="0"/>
    <n v="0"/>
    <n v="4"/>
    <n v="0"/>
    <n v="0"/>
    <n v="0"/>
    <n v="0"/>
  </r>
  <r>
    <x v="178"/>
    <x v="178"/>
    <x v="3"/>
    <s v="Colza"/>
    <n v="2"/>
    <n v="0"/>
    <n v="0"/>
    <n v="2"/>
    <n v="0"/>
    <n v="0"/>
    <n v="0"/>
    <n v="0"/>
  </r>
  <r>
    <x v="179"/>
    <x v="179"/>
    <x v="0"/>
    <s v="Blat tou"/>
    <n v="35"/>
    <n v="0"/>
    <n v="0"/>
    <n v="35"/>
    <n v="0"/>
    <n v="0"/>
    <n v="0"/>
    <n v="0"/>
  </r>
  <r>
    <x v="179"/>
    <x v="179"/>
    <x v="0"/>
    <s v="Ordi"/>
    <n v="64"/>
    <n v="0"/>
    <n v="0"/>
    <n v="64"/>
    <n v="0"/>
    <n v="0"/>
    <n v="0"/>
    <n v="0"/>
  </r>
  <r>
    <x v="179"/>
    <x v="179"/>
    <x v="0"/>
    <s v="Civada"/>
    <n v="35"/>
    <n v="0"/>
    <n v="0"/>
    <n v="35"/>
    <n v="1"/>
    <n v="0"/>
    <n v="0"/>
    <n v="1"/>
  </r>
  <r>
    <x v="179"/>
    <x v="179"/>
    <x v="0"/>
    <s v="Triticale"/>
    <n v="31"/>
    <n v="0"/>
    <n v="0"/>
    <n v="31"/>
    <n v="0"/>
    <n v="0"/>
    <n v="0"/>
    <n v="0"/>
  </r>
  <r>
    <x v="179"/>
    <x v="179"/>
    <x v="0"/>
    <s v="Fajol"/>
    <n v="5"/>
    <n v="0"/>
    <n v="0"/>
    <n v="5"/>
    <n v="0"/>
    <n v="0"/>
    <n v="0"/>
    <n v="0"/>
  </r>
  <r>
    <x v="179"/>
    <x v="179"/>
    <x v="1"/>
    <s v="Cereals d'hivern per a farratge"/>
    <n v="35"/>
    <n v="0"/>
    <n v="0"/>
    <n v="35"/>
    <n v="1"/>
    <n v="0"/>
    <n v="0"/>
    <n v="1"/>
  </r>
  <r>
    <x v="179"/>
    <x v="179"/>
    <x v="1"/>
    <s v="Alfals"/>
    <n v="9"/>
    <n v="0"/>
    <n v="0"/>
    <n v="9"/>
    <n v="0"/>
    <n v="0"/>
    <n v="0"/>
    <n v="0"/>
  </r>
  <r>
    <x v="179"/>
    <x v="179"/>
    <x v="1"/>
    <s v="Trepadella"/>
    <n v="1"/>
    <n v="0"/>
    <n v="0"/>
    <n v="1"/>
    <n v="0"/>
    <n v="0"/>
    <n v="0"/>
    <n v="0"/>
  </r>
  <r>
    <x v="179"/>
    <x v="179"/>
    <x v="5"/>
    <s v="Plantes ornamentals"/>
    <n v="0"/>
    <n v="0"/>
    <n v="0"/>
    <n v="0"/>
    <n v="1"/>
    <n v="0"/>
    <n v="0"/>
    <n v="1"/>
  </r>
  <r>
    <x v="179"/>
    <x v="179"/>
    <x v="2"/>
    <s v="Favó"/>
    <n v="16"/>
    <n v="0"/>
    <n v="0"/>
    <n v="16"/>
    <n v="0"/>
    <n v="0"/>
    <n v="0"/>
    <n v="0"/>
  </r>
  <r>
    <x v="180"/>
    <x v="180"/>
    <x v="0"/>
    <s v="Blat tou"/>
    <n v="195"/>
    <n v="0"/>
    <n v="0"/>
    <n v="195"/>
    <n v="0"/>
    <n v="0"/>
    <n v="0"/>
    <n v="0"/>
  </r>
  <r>
    <x v="180"/>
    <x v="180"/>
    <x v="0"/>
    <s v="Ordi"/>
    <n v="403"/>
    <n v="0"/>
    <n v="0"/>
    <n v="403"/>
    <n v="12"/>
    <n v="0"/>
    <n v="0"/>
    <n v="12"/>
  </r>
  <r>
    <x v="180"/>
    <x v="180"/>
    <x v="0"/>
    <s v="Civada"/>
    <n v="12"/>
    <n v="0"/>
    <n v="0"/>
    <n v="12"/>
    <n v="0"/>
    <n v="0"/>
    <n v="0"/>
    <n v="0"/>
  </r>
  <r>
    <x v="180"/>
    <x v="180"/>
    <x v="1"/>
    <s v="Cereals d'hivern per a farratge"/>
    <n v="66"/>
    <n v="0"/>
    <n v="0"/>
    <n v="66"/>
    <n v="0"/>
    <n v="0"/>
    <n v="0"/>
    <n v="0"/>
  </r>
  <r>
    <x v="180"/>
    <x v="180"/>
    <x v="1"/>
    <s v="Raigràs"/>
    <n v="4"/>
    <n v="0"/>
    <n v="0"/>
    <n v="4"/>
    <n v="0"/>
    <n v="0"/>
    <n v="0"/>
    <n v="0"/>
  </r>
  <r>
    <x v="180"/>
    <x v="180"/>
    <x v="1"/>
    <s v="Alfals"/>
    <n v="35"/>
    <n v="0"/>
    <n v="0"/>
    <n v="35"/>
    <n v="0"/>
    <n v="0"/>
    <n v="0"/>
    <n v="0"/>
  </r>
  <r>
    <x v="180"/>
    <x v="180"/>
    <x v="3"/>
    <s v="Colza"/>
    <n v="42"/>
    <n v="0"/>
    <n v="0"/>
    <n v="42"/>
    <n v="0"/>
    <n v="0"/>
    <n v="0"/>
    <n v="0"/>
  </r>
  <r>
    <x v="180"/>
    <x v="180"/>
    <x v="3"/>
    <s v="Camelina"/>
    <n v="41"/>
    <n v="0"/>
    <n v="0"/>
    <n v="41"/>
    <n v="0"/>
    <n v="0"/>
    <n v="0"/>
    <n v="0"/>
  </r>
  <r>
    <x v="180"/>
    <x v="180"/>
    <x v="4"/>
    <s v="Albergínia"/>
    <n v="0"/>
    <n v="0"/>
    <n v="0"/>
    <n v="0"/>
    <n v="1"/>
    <n v="0"/>
    <n v="0"/>
    <n v="1"/>
  </r>
  <r>
    <x v="180"/>
    <x v="180"/>
    <x v="4"/>
    <s v="Tomàquet"/>
    <n v="0"/>
    <n v="0"/>
    <n v="0"/>
    <n v="0"/>
    <n v="2"/>
    <n v="0"/>
    <n v="0"/>
    <n v="2"/>
  </r>
  <r>
    <x v="180"/>
    <x v="180"/>
    <x v="4"/>
    <s v="Pebrot"/>
    <n v="0"/>
    <n v="0"/>
    <n v="0"/>
    <n v="0"/>
    <n v="1"/>
    <n v="0"/>
    <n v="0"/>
    <n v="1"/>
  </r>
  <r>
    <x v="180"/>
    <x v="180"/>
    <x v="4"/>
    <s v="Mongeta tendra"/>
    <n v="0"/>
    <n v="0"/>
    <n v="0"/>
    <n v="0"/>
    <n v="1"/>
    <n v="0"/>
    <n v="0"/>
    <n v="1"/>
  </r>
  <r>
    <x v="180"/>
    <x v="180"/>
    <x v="2"/>
    <s v="Cigró"/>
    <n v="5"/>
    <n v="0"/>
    <n v="0"/>
    <n v="5"/>
    <n v="0"/>
    <n v="0"/>
    <n v="0"/>
    <n v="0"/>
  </r>
  <r>
    <x v="180"/>
    <x v="180"/>
    <x v="2"/>
    <s v="Pèsol sec"/>
    <n v="21"/>
    <n v="0"/>
    <n v="0"/>
    <n v="21"/>
    <n v="0"/>
    <n v="0"/>
    <n v="0"/>
    <n v="0"/>
  </r>
  <r>
    <x v="180"/>
    <x v="180"/>
    <x v="2"/>
    <s v="Veça"/>
    <n v="11"/>
    <n v="0"/>
    <n v="0"/>
    <n v="11"/>
    <n v="0"/>
    <n v="0"/>
    <n v="0"/>
    <n v="0"/>
  </r>
  <r>
    <x v="180"/>
    <x v="180"/>
    <x v="2"/>
    <s v="Erbs"/>
    <n v="8"/>
    <n v="0"/>
    <n v="0"/>
    <n v="8"/>
    <n v="0"/>
    <n v="0"/>
    <n v="0"/>
    <n v="0"/>
  </r>
  <r>
    <x v="180"/>
    <x v="180"/>
    <x v="6"/>
    <s v="Patata d'estació mitjana"/>
    <n v="1"/>
    <n v="0"/>
    <n v="0"/>
    <n v="1"/>
    <n v="0"/>
    <n v="0"/>
    <n v="0"/>
    <n v="0"/>
  </r>
  <r>
    <x v="181"/>
    <x v="181"/>
    <x v="0"/>
    <s v="Civada"/>
    <n v="1"/>
    <n v="0"/>
    <n v="0"/>
    <n v="1"/>
    <n v="0"/>
    <n v="0"/>
    <n v="0"/>
    <n v="0"/>
  </r>
  <r>
    <x v="181"/>
    <x v="181"/>
    <x v="1"/>
    <s v="Cereals d'hivern per a farratge"/>
    <n v="4"/>
    <n v="0"/>
    <n v="0"/>
    <n v="4"/>
    <n v="0"/>
    <n v="0"/>
    <n v="0"/>
    <n v="0"/>
  </r>
  <r>
    <x v="181"/>
    <x v="181"/>
    <x v="1"/>
    <s v="Raigràs"/>
    <n v="134"/>
    <n v="0"/>
    <n v="0"/>
    <n v="134"/>
    <n v="0"/>
    <n v="0"/>
    <n v="0"/>
    <n v="0"/>
  </r>
  <r>
    <x v="181"/>
    <x v="181"/>
    <x v="1"/>
    <s v="Praderes polifites"/>
    <n v="127"/>
    <n v="0"/>
    <n v="0"/>
    <n v="127"/>
    <n v="0"/>
    <n v="0"/>
    <n v="0"/>
    <n v="0"/>
  </r>
  <r>
    <x v="182"/>
    <x v="182"/>
    <x v="0"/>
    <s v="Blat tou"/>
    <n v="23"/>
    <n v="0"/>
    <n v="0"/>
    <n v="23"/>
    <n v="4"/>
    <n v="0"/>
    <n v="0"/>
    <n v="4"/>
  </r>
  <r>
    <x v="182"/>
    <x v="182"/>
    <x v="0"/>
    <s v="Ordi"/>
    <n v="196"/>
    <n v="0"/>
    <n v="0"/>
    <n v="196"/>
    <n v="0"/>
    <n v="0"/>
    <n v="0"/>
    <n v="0"/>
  </r>
  <r>
    <x v="182"/>
    <x v="182"/>
    <x v="0"/>
    <s v="Civada"/>
    <n v="47"/>
    <n v="0"/>
    <n v="0"/>
    <n v="47"/>
    <n v="1"/>
    <n v="0"/>
    <n v="0"/>
    <n v="1"/>
  </r>
  <r>
    <x v="182"/>
    <x v="182"/>
    <x v="0"/>
    <s v="Triticale"/>
    <n v="73"/>
    <n v="0"/>
    <n v="0"/>
    <n v="73"/>
    <n v="0"/>
    <n v="0"/>
    <n v="0"/>
    <n v="0"/>
  </r>
  <r>
    <x v="182"/>
    <x v="182"/>
    <x v="1"/>
    <s v="Cereals d'hivern per a farratge"/>
    <n v="47"/>
    <n v="0"/>
    <n v="0"/>
    <n v="47"/>
    <n v="1"/>
    <n v="0"/>
    <n v="0"/>
    <n v="1"/>
  </r>
  <r>
    <x v="182"/>
    <x v="182"/>
    <x v="1"/>
    <s v="Raigràs"/>
    <n v="4"/>
    <n v="0"/>
    <n v="0"/>
    <n v="4"/>
    <n v="0"/>
    <n v="0"/>
    <n v="0"/>
    <n v="0"/>
  </r>
  <r>
    <x v="182"/>
    <x v="182"/>
    <x v="1"/>
    <s v="Alfals"/>
    <n v="40"/>
    <n v="0"/>
    <n v="0"/>
    <n v="40"/>
    <n v="1"/>
    <n v="0"/>
    <n v="0"/>
    <n v="1"/>
  </r>
  <r>
    <x v="182"/>
    <x v="182"/>
    <x v="1"/>
    <s v="Trepadella"/>
    <n v="0"/>
    <n v="0"/>
    <n v="0"/>
    <n v="0"/>
    <n v="1"/>
    <n v="0"/>
    <n v="0"/>
    <n v="1"/>
  </r>
  <r>
    <x v="182"/>
    <x v="182"/>
    <x v="3"/>
    <s v="Colza"/>
    <n v="28"/>
    <n v="0"/>
    <n v="0"/>
    <n v="28"/>
    <n v="0"/>
    <n v="0"/>
    <n v="0"/>
    <n v="0"/>
  </r>
  <r>
    <x v="182"/>
    <x v="182"/>
    <x v="4"/>
    <s v="Col de cabdell"/>
    <n v="0"/>
    <n v="0"/>
    <n v="0"/>
    <n v="0"/>
    <n v="1"/>
    <n v="0"/>
    <n v="0"/>
    <n v="1"/>
  </r>
  <r>
    <x v="182"/>
    <x v="182"/>
    <x v="4"/>
    <s v="Enciam"/>
    <n v="0"/>
    <n v="0"/>
    <n v="0"/>
    <n v="0"/>
    <n v="1"/>
    <n v="0"/>
    <n v="0"/>
    <n v="1"/>
  </r>
  <r>
    <x v="182"/>
    <x v="182"/>
    <x v="4"/>
    <s v="Tomàquet"/>
    <n v="0"/>
    <n v="0"/>
    <n v="0"/>
    <n v="0"/>
    <n v="2"/>
    <n v="0"/>
    <n v="0"/>
    <n v="2"/>
  </r>
  <r>
    <x v="182"/>
    <x v="182"/>
    <x v="4"/>
    <s v="Pebrot"/>
    <n v="0"/>
    <n v="0"/>
    <n v="0"/>
    <n v="0"/>
    <n v="1"/>
    <n v="0"/>
    <n v="0"/>
    <n v="1"/>
  </r>
  <r>
    <x v="182"/>
    <x v="182"/>
    <x v="4"/>
    <s v="Mongeta tendra"/>
    <n v="0"/>
    <n v="0"/>
    <n v="0"/>
    <n v="0"/>
    <n v="2"/>
    <n v="0"/>
    <n v="0"/>
    <n v="2"/>
  </r>
  <r>
    <x v="182"/>
    <x v="182"/>
    <x v="2"/>
    <s v="Veça"/>
    <n v="4"/>
    <n v="0"/>
    <n v="0"/>
    <n v="4"/>
    <n v="0"/>
    <n v="0"/>
    <n v="0"/>
    <n v="0"/>
  </r>
  <r>
    <x v="183"/>
    <x v="183"/>
    <x v="0"/>
    <s v="Blat tou"/>
    <n v="147"/>
    <n v="0"/>
    <n v="0"/>
    <n v="147"/>
    <n v="0"/>
    <n v="0"/>
    <n v="0"/>
    <n v="0"/>
  </r>
  <r>
    <x v="183"/>
    <x v="183"/>
    <x v="0"/>
    <s v="Ordi"/>
    <n v="358"/>
    <n v="0"/>
    <n v="0"/>
    <n v="358"/>
    <n v="0"/>
    <n v="0"/>
    <n v="0"/>
    <n v="0"/>
  </r>
  <r>
    <x v="183"/>
    <x v="183"/>
    <x v="0"/>
    <s v="Civada"/>
    <n v="31"/>
    <n v="0"/>
    <n v="0"/>
    <n v="31"/>
    <n v="0"/>
    <n v="0"/>
    <n v="0"/>
    <n v="0"/>
  </r>
  <r>
    <x v="183"/>
    <x v="183"/>
    <x v="0"/>
    <s v="Triticale"/>
    <n v="30"/>
    <n v="0"/>
    <n v="0"/>
    <n v="30"/>
    <n v="0"/>
    <n v="0"/>
    <n v="0"/>
    <n v="0"/>
  </r>
  <r>
    <x v="183"/>
    <x v="183"/>
    <x v="0"/>
    <s v="Mill i melca"/>
    <n v="4"/>
    <n v="0"/>
    <n v="0"/>
    <n v="4"/>
    <n v="0"/>
    <n v="0"/>
    <n v="0"/>
    <n v="0"/>
  </r>
  <r>
    <x v="183"/>
    <x v="183"/>
    <x v="1"/>
    <s v="Cereals d'hivern per a farratge"/>
    <n v="31"/>
    <n v="0"/>
    <n v="0"/>
    <n v="31"/>
    <n v="0"/>
    <n v="0"/>
    <n v="0"/>
    <n v="0"/>
  </r>
  <r>
    <x v="183"/>
    <x v="183"/>
    <x v="1"/>
    <s v="Sorgo farratger"/>
    <n v="1"/>
    <n v="0"/>
    <n v="0"/>
    <n v="1"/>
    <n v="0"/>
    <n v="0"/>
    <n v="0"/>
    <n v="0"/>
  </r>
  <r>
    <x v="183"/>
    <x v="183"/>
    <x v="1"/>
    <s v="Raigràs"/>
    <n v="91"/>
    <n v="0"/>
    <n v="0"/>
    <n v="91"/>
    <n v="0"/>
    <n v="0"/>
    <n v="0"/>
    <n v="0"/>
  </r>
  <r>
    <x v="183"/>
    <x v="183"/>
    <x v="1"/>
    <s v="Alfals"/>
    <n v="35"/>
    <n v="0"/>
    <n v="0"/>
    <n v="35"/>
    <n v="0"/>
    <n v="0"/>
    <n v="0"/>
    <n v="0"/>
  </r>
  <r>
    <x v="183"/>
    <x v="183"/>
    <x v="1"/>
    <s v="Trepadella"/>
    <n v="7"/>
    <n v="0"/>
    <n v="0"/>
    <n v="7"/>
    <n v="0"/>
    <n v="0"/>
    <n v="0"/>
    <n v="0"/>
  </r>
  <r>
    <x v="183"/>
    <x v="183"/>
    <x v="1"/>
    <s v="Praderes polifites"/>
    <n v="110"/>
    <n v="0"/>
    <n v="0"/>
    <n v="110"/>
    <n v="0"/>
    <n v="0"/>
    <n v="0"/>
    <n v="0"/>
  </r>
  <r>
    <x v="183"/>
    <x v="183"/>
    <x v="1"/>
    <s v="Associació Veça - Civada farratgeres"/>
    <n v="5"/>
    <n v="0"/>
    <n v="0"/>
    <n v="5"/>
    <n v="0"/>
    <n v="0"/>
    <n v="0"/>
    <n v="0"/>
  </r>
  <r>
    <x v="183"/>
    <x v="183"/>
    <x v="3"/>
    <s v="Gira-sol"/>
    <n v="3"/>
    <n v="0"/>
    <n v="0"/>
    <n v="3"/>
    <n v="0"/>
    <n v="0"/>
    <n v="0"/>
    <n v="0"/>
  </r>
  <r>
    <x v="183"/>
    <x v="183"/>
    <x v="3"/>
    <s v="Colza"/>
    <n v="69"/>
    <n v="0"/>
    <n v="0"/>
    <n v="69"/>
    <n v="0"/>
    <n v="0"/>
    <n v="0"/>
    <n v="0"/>
  </r>
  <r>
    <x v="183"/>
    <x v="183"/>
    <x v="2"/>
    <s v="Pèsol sec"/>
    <n v="4"/>
    <n v="0"/>
    <n v="0"/>
    <n v="4"/>
    <n v="0"/>
    <n v="0"/>
    <n v="0"/>
    <n v="0"/>
  </r>
  <r>
    <x v="183"/>
    <x v="183"/>
    <x v="2"/>
    <s v="Veça"/>
    <n v="2"/>
    <n v="0"/>
    <n v="0"/>
    <n v="2"/>
    <n v="0"/>
    <n v="0"/>
    <n v="0"/>
    <n v="0"/>
  </r>
  <r>
    <x v="184"/>
    <x v="184"/>
    <x v="1"/>
    <s v="Praderes polifites"/>
    <n v="10"/>
    <n v="0"/>
    <n v="0"/>
    <n v="10"/>
    <n v="0"/>
    <n v="0"/>
    <n v="0"/>
    <n v="0"/>
  </r>
  <r>
    <x v="185"/>
    <x v="185"/>
    <x v="0"/>
    <s v="Blat tou"/>
    <n v="446"/>
    <n v="0"/>
    <n v="0"/>
    <n v="446"/>
    <n v="3"/>
    <n v="0"/>
    <n v="0"/>
    <n v="3"/>
  </r>
  <r>
    <x v="185"/>
    <x v="185"/>
    <x v="0"/>
    <s v="Ordi"/>
    <n v="975"/>
    <n v="0"/>
    <n v="0"/>
    <n v="975"/>
    <n v="1"/>
    <n v="0"/>
    <n v="0"/>
    <n v="1"/>
  </r>
  <r>
    <x v="185"/>
    <x v="185"/>
    <x v="0"/>
    <s v="Civada"/>
    <n v="9"/>
    <n v="0"/>
    <n v="0"/>
    <n v="9"/>
    <n v="1"/>
    <n v="0"/>
    <n v="0"/>
    <n v="1"/>
  </r>
  <r>
    <x v="185"/>
    <x v="185"/>
    <x v="1"/>
    <s v="Cereals d'hivern per a farratge"/>
    <n v="38"/>
    <n v="0"/>
    <n v="0"/>
    <n v="38"/>
    <n v="3"/>
    <n v="0"/>
    <n v="0"/>
    <n v="3"/>
  </r>
  <r>
    <x v="185"/>
    <x v="185"/>
    <x v="1"/>
    <s v="Blat de moro farratger"/>
    <n v="0"/>
    <n v="6"/>
    <n v="0"/>
    <n v="6"/>
    <n v="0"/>
    <n v="0"/>
    <n v="0"/>
    <n v="0"/>
  </r>
  <r>
    <x v="185"/>
    <x v="185"/>
    <x v="1"/>
    <s v="Raigràs"/>
    <n v="83"/>
    <n v="0"/>
    <n v="0"/>
    <n v="83"/>
    <n v="6"/>
    <n v="0"/>
    <n v="0"/>
    <n v="6"/>
  </r>
  <r>
    <x v="185"/>
    <x v="185"/>
    <x v="1"/>
    <s v="Alfals"/>
    <n v="13"/>
    <n v="0"/>
    <n v="0"/>
    <n v="13"/>
    <n v="0"/>
    <n v="0"/>
    <n v="0"/>
    <n v="0"/>
  </r>
  <r>
    <x v="185"/>
    <x v="185"/>
    <x v="1"/>
    <s v="Trepadella"/>
    <n v="1"/>
    <n v="0"/>
    <n v="0"/>
    <n v="1"/>
    <n v="0"/>
    <n v="0"/>
    <n v="0"/>
    <n v="0"/>
  </r>
  <r>
    <x v="185"/>
    <x v="185"/>
    <x v="1"/>
    <s v="Praderes polifites"/>
    <n v="7"/>
    <n v="0"/>
    <n v="0"/>
    <n v="7"/>
    <n v="0"/>
    <n v="0"/>
    <n v="0"/>
    <n v="0"/>
  </r>
  <r>
    <x v="185"/>
    <x v="185"/>
    <x v="1"/>
    <s v="Associació Veça - Civada farratgeres"/>
    <n v="44"/>
    <n v="0"/>
    <n v="0"/>
    <n v="44"/>
    <n v="0"/>
    <n v="0"/>
    <n v="0"/>
    <n v="0"/>
  </r>
  <r>
    <x v="185"/>
    <x v="185"/>
    <x v="3"/>
    <s v="Colza"/>
    <n v="31"/>
    <n v="0"/>
    <n v="0"/>
    <n v="31"/>
    <n v="0"/>
    <n v="0"/>
    <n v="0"/>
    <n v="0"/>
  </r>
  <r>
    <x v="185"/>
    <x v="185"/>
    <x v="3"/>
    <s v="Camelina"/>
    <n v="12"/>
    <n v="0"/>
    <n v="0"/>
    <n v="12"/>
    <n v="0"/>
    <n v="0"/>
    <n v="0"/>
    <n v="0"/>
  </r>
  <r>
    <x v="185"/>
    <x v="185"/>
    <x v="4"/>
    <s v="Enciam"/>
    <n v="0"/>
    <n v="0"/>
    <n v="0"/>
    <n v="0"/>
    <n v="1"/>
    <n v="0"/>
    <n v="0"/>
    <n v="1"/>
  </r>
  <r>
    <x v="185"/>
    <x v="185"/>
    <x v="4"/>
    <s v="Bleda"/>
    <n v="0"/>
    <n v="0"/>
    <n v="0"/>
    <n v="0"/>
    <n v="1"/>
    <n v="0"/>
    <n v="0"/>
    <n v="1"/>
  </r>
  <r>
    <x v="185"/>
    <x v="185"/>
    <x v="4"/>
    <s v="Carbassa"/>
    <n v="0"/>
    <n v="0"/>
    <n v="0"/>
    <n v="0"/>
    <n v="1"/>
    <n v="0"/>
    <n v="0"/>
    <n v="1"/>
  </r>
  <r>
    <x v="185"/>
    <x v="185"/>
    <x v="4"/>
    <s v="Tomàquet"/>
    <n v="0"/>
    <n v="0"/>
    <n v="0"/>
    <n v="0"/>
    <n v="1"/>
    <n v="0"/>
    <n v="0"/>
    <n v="1"/>
  </r>
  <r>
    <x v="185"/>
    <x v="185"/>
    <x v="4"/>
    <s v="Pebrot"/>
    <n v="0"/>
    <n v="0"/>
    <n v="0"/>
    <n v="0"/>
    <n v="1"/>
    <n v="0"/>
    <n v="0"/>
    <n v="1"/>
  </r>
  <r>
    <x v="185"/>
    <x v="185"/>
    <x v="4"/>
    <s v="Coliflor"/>
    <n v="0"/>
    <n v="0"/>
    <n v="0"/>
    <n v="0"/>
    <n v="1"/>
    <n v="0"/>
    <n v="0"/>
    <n v="1"/>
  </r>
  <r>
    <x v="185"/>
    <x v="185"/>
    <x v="4"/>
    <s v="Ceba"/>
    <n v="0"/>
    <n v="0"/>
    <n v="0"/>
    <n v="0"/>
    <n v="2"/>
    <n v="0"/>
    <n v="0"/>
    <n v="2"/>
  </r>
  <r>
    <x v="185"/>
    <x v="185"/>
    <x v="4"/>
    <s v="Fava tendra"/>
    <n v="0"/>
    <n v="0"/>
    <n v="0"/>
    <n v="0"/>
    <n v="1"/>
    <n v="0"/>
    <n v="0"/>
    <n v="1"/>
  </r>
  <r>
    <x v="185"/>
    <x v="185"/>
    <x v="2"/>
    <s v="Fava seca"/>
    <n v="8"/>
    <n v="0"/>
    <n v="0"/>
    <n v="8"/>
    <n v="0"/>
    <n v="0"/>
    <n v="0"/>
    <n v="0"/>
  </r>
  <r>
    <x v="185"/>
    <x v="185"/>
    <x v="2"/>
    <s v="Pèsol sec"/>
    <n v="15"/>
    <n v="0"/>
    <n v="0"/>
    <n v="15"/>
    <n v="1"/>
    <n v="0"/>
    <n v="0"/>
    <n v="1"/>
  </r>
  <r>
    <x v="185"/>
    <x v="185"/>
    <x v="2"/>
    <s v="Veça"/>
    <n v="4"/>
    <n v="0"/>
    <n v="0"/>
    <n v="4"/>
    <n v="0"/>
    <n v="0"/>
    <n v="0"/>
    <n v="0"/>
  </r>
  <r>
    <x v="185"/>
    <x v="185"/>
    <x v="2"/>
    <s v="Favó"/>
    <n v="3"/>
    <n v="0"/>
    <n v="0"/>
    <n v="3"/>
    <n v="0"/>
    <n v="0"/>
    <n v="0"/>
    <n v="0"/>
  </r>
  <r>
    <x v="185"/>
    <x v="185"/>
    <x v="6"/>
    <s v="Patata d'estació mitjana"/>
    <n v="0"/>
    <n v="0"/>
    <n v="0"/>
    <n v="0"/>
    <n v="1"/>
    <n v="0"/>
    <n v="0"/>
    <n v="1"/>
  </r>
  <r>
    <x v="186"/>
    <x v="186"/>
    <x v="0"/>
    <s v="Blat tou"/>
    <n v="84"/>
    <n v="0"/>
    <n v="0"/>
    <n v="84"/>
    <n v="0"/>
    <n v="0"/>
    <n v="0"/>
    <n v="0"/>
  </r>
  <r>
    <x v="186"/>
    <x v="186"/>
    <x v="0"/>
    <s v="Ordi"/>
    <n v="38"/>
    <n v="0"/>
    <n v="0"/>
    <n v="38"/>
    <n v="0"/>
    <n v="0"/>
    <n v="0"/>
    <n v="0"/>
  </r>
  <r>
    <x v="186"/>
    <x v="186"/>
    <x v="1"/>
    <s v="Cereals d'hivern per a farratge"/>
    <n v="1"/>
    <n v="0"/>
    <n v="0"/>
    <n v="1"/>
    <n v="0"/>
    <n v="0"/>
    <n v="0"/>
    <n v="0"/>
  </r>
  <r>
    <x v="186"/>
    <x v="186"/>
    <x v="1"/>
    <s v="Sorgo farratger"/>
    <n v="0"/>
    <n v="15"/>
    <n v="0"/>
    <n v="15"/>
    <n v="0"/>
    <n v="0"/>
    <n v="0"/>
    <n v="0"/>
  </r>
  <r>
    <x v="186"/>
    <x v="186"/>
    <x v="1"/>
    <s v="Raigràs"/>
    <n v="70"/>
    <n v="0"/>
    <n v="0"/>
    <n v="70"/>
    <n v="0"/>
    <n v="0"/>
    <n v="0"/>
    <n v="0"/>
  </r>
  <r>
    <x v="186"/>
    <x v="186"/>
    <x v="1"/>
    <s v="Alfals"/>
    <n v="15"/>
    <n v="0"/>
    <n v="0"/>
    <n v="15"/>
    <n v="0"/>
    <n v="0"/>
    <n v="0"/>
    <n v="0"/>
  </r>
  <r>
    <x v="186"/>
    <x v="186"/>
    <x v="1"/>
    <s v="Praderes polifites"/>
    <n v="40"/>
    <n v="0"/>
    <n v="0"/>
    <n v="40"/>
    <n v="0"/>
    <n v="0"/>
    <n v="0"/>
    <n v="0"/>
  </r>
  <r>
    <x v="186"/>
    <x v="186"/>
    <x v="1"/>
    <s v="Festuca"/>
    <n v="2"/>
    <n v="0"/>
    <n v="0"/>
    <n v="2"/>
    <n v="0"/>
    <n v="0"/>
    <n v="0"/>
    <n v="0"/>
  </r>
  <r>
    <x v="186"/>
    <x v="186"/>
    <x v="3"/>
    <s v="Colza"/>
    <n v="14"/>
    <n v="0"/>
    <n v="0"/>
    <n v="14"/>
    <n v="0"/>
    <n v="0"/>
    <n v="0"/>
    <n v="0"/>
  </r>
  <r>
    <x v="187"/>
    <x v="187"/>
    <x v="5"/>
    <s v="Altres flors"/>
    <n v="0"/>
    <n v="0"/>
    <n v="0"/>
    <n v="0"/>
    <n v="10"/>
    <n v="0"/>
    <n v="0"/>
    <n v="10"/>
  </r>
  <r>
    <x v="187"/>
    <x v="187"/>
    <x v="5"/>
    <s v="Plantes ornamentals"/>
    <n v="0"/>
    <n v="0"/>
    <n v="0"/>
    <n v="0"/>
    <n v="14"/>
    <n v="0"/>
    <n v="0"/>
    <n v="14"/>
  </r>
  <r>
    <x v="187"/>
    <x v="187"/>
    <x v="4"/>
    <s v="Col de cabdell"/>
    <n v="0"/>
    <n v="0"/>
    <n v="0"/>
    <n v="0"/>
    <n v="0"/>
    <n v="1"/>
    <n v="0"/>
    <n v="1"/>
  </r>
  <r>
    <x v="187"/>
    <x v="187"/>
    <x v="4"/>
    <s v="Api"/>
    <n v="0"/>
    <n v="0"/>
    <n v="0"/>
    <n v="0"/>
    <n v="2"/>
    <n v="1"/>
    <n v="0"/>
    <n v="3"/>
  </r>
  <r>
    <x v="187"/>
    <x v="187"/>
    <x v="4"/>
    <s v="Enciam"/>
    <n v="0"/>
    <n v="0"/>
    <n v="0"/>
    <n v="0"/>
    <n v="1"/>
    <n v="1"/>
    <n v="0"/>
    <n v="2"/>
  </r>
  <r>
    <x v="187"/>
    <x v="187"/>
    <x v="4"/>
    <s v="Escarola"/>
    <n v="0"/>
    <n v="0"/>
    <n v="0"/>
    <n v="0"/>
    <n v="0"/>
    <n v="1"/>
    <n v="0"/>
    <n v="1"/>
  </r>
  <r>
    <x v="187"/>
    <x v="187"/>
    <x v="4"/>
    <s v="Tomàquet"/>
    <n v="0"/>
    <n v="0"/>
    <n v="0"/>
    <n v="0"/>
    <n v="3"/>
    <n v="1"/>
    <n v="0"/>
    <n v="4"/>
  </r>
  <r>
    <x v="187"/>
    <x v="187"/>
    <x v="4"/>
    <s v="Pebrot"/>
    <n v="0"/>
    <n v="0"/>
    <n v="0"/>
    <n v="0"/>
    <n v="1"/>
    <n v="0"/>
    <n v="0"/>
    <n v="1"/>
  </r>
  <r>
    <x v="187"/>
    <x v="187"/>
    <x v="4"/>
    <s v="Carxofa"/>
    <n v="0"/>
    <n v="0"/>
    <n v="0"/>
    <n v="0"/>
    <n v="1"/>
    <n v="0"/>
    <n v="0"/>
    <n v="1"/>
  </r>
  <r>
    <x v="187"/>
    <x v="187"/>
    <x v="4"/>
    <s v="Coliflor"/>
    <n v="0"/>
    <n v="0"/>
    <n v="0"/>
    <n v="0"/>
    <n v="2"/>
    <n v="2"/>
    <n v="0"/>
    <n v="4"/>
  </r>
  <r>
    <x v="187"/>
    <x v="187"/>
    <x v="4"/>
    <s v="Ceba"/>
    <n v="0"/>
    <n v="0"/>
    <n v="0"/>
    <n v="0"/>
    <n v="1"/>
    <n v="2"/>
    <n v="0"/>
    <n v="3"/>
  </r>
  <r>
    <x v="187"/>
    <x v="187"/>
    <x v="4"/>
    <s v="Porro"/>
    <n v="0"/>
    <n v="0"/>
    <n v="0"/>
    <n v="0"/>
    <n v="2"/>
    <n v="1"/>
    <n v="0"/>
    <n v="3"/>
  </r>
  <r>
    <x v="187"/>
    <x v="187"/>
    <x v="4"/>
    <s v="Pastanaga"/>
    <n v="0"/>
    <n v="0"/>
    <n v="0"/>
    <n v="0"/>
    <n v="0"/>
    <n v="2"/>
    <n v="0"/>
    <n v="2"/>
  </r>
  <r>
    <x v="187"/>
    <x v="187"/>
    <x v="4"/>
    <s v="Mongeta tendra"/>
    <n v="0"/>
    <n v="0"/>
    <n v="0"/>
    <n v="0"/>
    <n v="0"/>
    <n v="2"/>
    <n v="0"/>
    <n v="2"/>
  </r>
  <r>
    <x v="187"/>
    <x v="187"/>
    <x v="4"/>
    <s v="Pèsol verd"/>
    <n v="0"/>
    <n v="0"/>
    <n v="0"/>
    <n v="0"/>
    <n v="2"/>
    <n v="2"/>
    <n v="0"/>
    <n v="4"/>
  </r>
  <r>
    <x v="187"/>
    <x v="187"/>
    <x v="2"/>
    <s v="Mongeta seca"/>
    <n v="0"/>
    <n v="0"/>
    <n v="0"/>
    <n v="0"/>
    <n v="0"/>
    <n v="2"/>
    <n v="0"/>
    <n v="2"/>
  </r>
  <r>
    <x v="187"/>
    <x v="187"/>
    <x v="6"/>
    <s v="Patata primerenca"/>
    <n v="0"/>
    <n v="0"/>
    <n v="0"/>
    <n v="0"/>
    <n v="1"/>
    <n v="0"/>
    <n v="0"/>
    <n v="1"/>
  </r>
  <r>
    <x v="187"/>
    <x v="187"/>
    <x v="6"/>
    <s v="Patata tardana"/>
    <n v="0"/>
    <n v="0"/>
    <n v="0"/>
    <n v="0"/>
    <n v="0"/>
    <n v="1"/>
    <n v="0"/>
    <n v="1"/>
  </r>
  <r>
    <x v="188"/>
    <x v="188"/>
    <x v="0"/>
    <s v="Blat tou"/>
    <n v="92"/>
    <n v="0"/>
    <n v="0"/>
    <n v="92"/>
    <n v="29"/>
    <n v="1"/>
    <n v="0"/>
    <n v="30"/>
  </r>
  <r>
    <x v="188"/>
    <x v="188"/>
    <x v="0"/>
    <s v="Ordi"/>
    <n v="126"/>
    <n v="11"/>
    <n v="0"/>
    <n v="137"/>
    <n v="23"/>
    <n v="2"/>
    <n v="0"/>
    <n v="25"/>
  </r>
  <r>
    <x v="188"/>
    <x v="188"/>
    <x v="0"/>
    <s v="Civada"/>
    <n v="3"/>
    <n v="0"/>
    <n v="0"/>
    <n v="3"/>
    <n v="0"/>
    <n v="0"/>
    <n v="0"/>
    <n v="0"/>
  </r>
  <r>
    <x v="188"/>
    <x v="188"/>
    <x v="0"/>
    <s v="Blat de moro"/>
    <n v="2"/>
    <n v="0"/>
    <n v="0"/>
    <n v="2"/>
    <n v="1"/>
    <n v="0"/>
    <n v="0"/>
    <n v="1"/>
  </r>
  <r>
    <x v="188"/>
    <x v="188"/>
    <x v="1"/>
    <s v="Cereals d'hivern per a farratge"/>
    <n v="26"/>
    <n v="1"/>
    <n v="0"/>
    <n v="27"/>
    <n v="3"/>
    <n v="0"/>
    <n v="0"/>
    <n v="3"/>
  </r>
  <r>
    <x v="188"/>
    <x v="188"/>
    <x v="1"/>
    <s v="Blat de moro farratger"/>
    <n v="11"/>
    <n v="2"/>
    <n v="0"/>
    <n v="13"/>
    <n v="5"/>
    <n v="7"/>
    <n v="0"/>
    <n v="12"/>
  </r>
  <r>
    <x v="188"/>
    <x v="188"/>
    <x v="1"/>
    <s v="Sorgo farratger"/>
    <n v="3"/>
    <n v="0"/>
    <n v="0"/>
    <n v="3"/>
    <n v="0"/>
    <n v="0"/>
    <n v="0"/>
    <n v="0"/>
  </r>
  <r>
    <x v="188"/>
    <x v="188"/>
    <x v="1"/>
    <s v="Raigràs"/>
    <n v="85"/>
    <n v="2"/>
    <n v="0"/>
    <n v="87"/>
    <n v="15"/>
    <n v="1"/>
    <n v="0"/>
    <n v="16"/>
  </r>
  <r>
    <x v="188"/>
    <x v="188"/>
    <x v="1"/>
    <s v="Alfals"/>
    <n v="40"/>
    <n v="0"/>
    <n v="0"/>
    <n v="40"/>
    <n v="17"/>
    <n v="0"/>
    <n v="0"/>
    <n v="17"/>
  </r>
  <r>
    <x v="188"/>
    <x v="188"/>
    <x v="3"/>
    <s v="Colza"/>
    <n v="8"/>
    <n v="0"/>
    <n v="0"/>
    <n v="8"/>
    <n v="6"/>
    <n v="0"/>
    <n v="0"/>
    <n v="6"/>
  </r>
  <r>
    <x v="188"/>
    <x v="188"/>
    <x v="4"/>
    <s v="Ceba"/>
    <n v="0"/>
    <n v="0"/>
    <n v="0"/>
    <n v="0"/>
    <n v="1"/>
    <n v="0"/>
    <n v="0"/>
    <n v="1"/>
  </r>
  <r>
    <x v="188"/>
    <x v="188"/>
    <x v="2"/>
    <s v="Mongeta seca"/>
    <n v="1"/>
    <n v="0"/>
    <n v="0"/>
    <n v="1"/>
    <n v="0"/>
    <n v="0"/>
    <n v="0"/>
    <n v="0"/>
  </r>
  <r>
    <x v="188"/>
    <x v="188"/>
    <x v="2"/>
    <s v="Pèsol sec"/>
    <n v="1"/>
    <n v="0"/>
    <n v="0"/>
    <n v="1"/>
    <n v="0"/>
    <n v="0"/>
    <n v="0"/>
    <n v="0"/>
  </r>
  <r>
    <x v="188"/>
    <x v="188"/>
    <x v="2"/>
    <s v="Favó"/>
    <n v="2"/>
    <n v="0"/>
    <n v="0"/>
    <n v="2"/>
    <n v="0"/>
    <n v="0"/>
    <n v="0"/>
    <n v="0"/>
  </r>
  <r>
    <x v="189"/>
    <x v="189"/>
    <x v="0"/>
    <s v="Blat tou"/>
    <n v="137"/>
    <n v="0"/>
    <n v="0"/>
    <n v="137"/>
    <n v="11"/>
    <n v="0"/>
    <n v="0"/>
    <n v="11"/>
  </r>
  <r>
    <x v="189"/>
    <x v="189"/>
    <x v="0"/>
    <s v="Ordi"/>
    <n v="214"/>
    <n v="0"/>
    <n v="0"/>
    <n v="214"/>
    <n v="0"/>
    <n v="0"/>
    <n v="0"/>
    <n v="0"/>
  </r>
  <r>
    <x v="189"/>
    <x v="189"/>
    <x v="0"/>
    <s v="Civada"/>
    <n v="13"/>
    <n v="0"/>
    <n v="0"/>
    <n v="13"/>
    <n v="0"/>
    <n v="0"/>
    <n v="0"/>
    <n v="0"/>
  </r>
  <r>
    <x v="189"/>
    <x v="189"/>
    <x v="1"/>
    <s v="Cereals d'hivern per a farratge"/>
    <n v="38"/>
    <n v="0"/>
    <n v="0"/>
    <n v="38"/>
    <n v="0"/>
    <n v="0"/>
    <n v="0"/>
    <n v="0"/>
  </r>
  <r>
    <x v="189"/>
    <x v="189"/>
    <x v="1"/>
    <s v="Sorgo farratger"/>
    <n v="0"/>
    <n v="42"/>
    <n v="0"/>
    <n v="42"/>
    <n v="0"/>
    <n v="13"/>
    <n v="0"/>
    <n v="13"/>
  </r>
  <r>
    <x v="189"/>
    <x v="189"/>
    <x v="1"/>
    <s v="Raigràs"/>
    <n v="190"/>
    <n v="0"/>
    <n v="0"/>
    <n v="190"/>
    <n v="2"/>
    <n v="0"/>
    <n v="0"/>
    <n v="2"/>
  </r>
  <r>
    <x v="189"/>
    <x v="189"/>
    <x v="1"/>
    <s v="Alfals"/>
    <n v="19"/>
    <n v="0"/>
    <n v="0"/>
    <n v="19"/>
    <n v="0"/>
    <n v="0"/>
    <n v="0"/>
    <n v="0"/>
  </r>
  <r>
    <x v="189"/>
    <x v="189"/>
    <x v="1"/>
    <s v="Praderes polifites"/>
    <n v="133"/>
    <n v="0"/>
    <n v="0"/>
    <n v="133"/>
    <n v="0"/>
    <n v="0"/>
    <n v="0"/>
    <n v="0"/>
  </r>
  <r>
    <x v="189"/>
    <x v="189"/>
    <x v="1"/>
    <s v="Festuca"/>
    <n v="6"/>
    <n v="0"/>
    <n v="0"/>
    <n v="6"/>
    <n v="0"/>
    <n v="0"/>
    <n v="0"/>
    <n v="0"/>
  </r>
  <r>
    <x v="189"/>
    <x v="189"/>
    <x v="1"/>
    <s v="Associació Veça - Civada farratgeres"/>
    <n v="2"/>
    <n v="0"/>
    <n v="0"/>
    <n v="2"/>
    <n v="0"/>
    <n v="0"/>
    <n v="0"/>
    <n v="0"/>
  </r>
  <r>
    <x v="189"/>
    <x v="189"/>
    <x v="2"/>
    <s v="Pèsol sec"/>
    <n v="4"/>
    <n v="0"/>
    <n v="0"/>
    <n v="4"/>
    <n v="0"/>
    <n v="0"/>
    <n v="0"/>
    <n v="0"/>
  </r>
  <r>
    <x v="189"/>
    <x v="189"/>
    <x v="2"/>
    <s v="Veça"/>
    <n v="14"/>
    <n v="0"/>
    <n v="0"/>
    <n v="14"/>
    <n v="0"/>
    <n v="0"/>
    <n v="0"/>
    <n v="0"/>
  </r>
  <r>
    <x v="190"/>
    <x v="190"/>
    <x v="0"/>
    <s v="Blat tou"/>
    <n v="0"/>
    <n v="0"/>
    <n v="0"/>
    <n v="0"/>
    <n v="2"/>
    <n v="0"/>
    <n v="0"/>
    <n v="2"/>
  </r>
  <r>
    <x v="190"/>
    <x v="190"/>
    <x v="0"/>
    <s v="Ordi"/>
    <n v="0"/>
    <n v="0"/>
    <n v="0"/>
    <n v="0"/>
    <n v="6"/>
    <n v="0"/>
    <n v="0"/>
    <n v="6"/>
  </r>
  <r>
    <x v="190"/>
    <x v="190"/>
    <x v="0"/>
    <s v="Civada"/>
    <n v="0"/>
    <n v="0"/>
    <n v="0"/>
    <n v="0"/>
    <n v="8"/>
    <n v="0"/>
    <n v="0"/>
    <n v="8"/>
  </r>
  <r>
    <x v="190"/>
    <x v="190"/>
    <x v="1"/>
    <s v="Cereals d'hivern per a farratge"/>
    <n v="0"/>
    <n v="0"/>
    <n v="0"/>
    <n v="0"/>
    <n v="1"/>
    <n v="0"/>
    <n v="0"/>
    <n v="1"/>
  </r>
  <r>
    <x v="190"/>
    <x v="190"/>
    <x v="1"/>
    <s v="Raigràs"/>
    <n v="0"/>
    <n v="0"/>
    <n v="0"/>
    <n v="0"/>
    <n v="2"/>
    <n v="0"/>
    <n v="0"/>
    <n v="2"/>
  </r>
  <r>
    <x v="190"/>
    <x v="190"/>
    <x v="1"/>
    <s v="Alfals"/>
    <n v="0"/>
    <n v="0"/>
    <n v="0"/>
    <n v="0"/>
    <n v="32"/>
    <n v="0"/>
    <n v="0"/>
    <n v="32"/>
  </r>
  <r>
    <x v="190"/>
    <x v="190"/>
    <x v="4"/>
    <s v="Col de cabdell"/>
    <n v="0"/>
    <n v="0"/>
    <n v="0"/>
    <n v="0"/>
    <n v="27"/>
    <n v="20"/>
    <n v="0"/>
    <n v="47"/>
  </r>
  <r>
    <x v="190"/>
    <x v="190"/>
    <x v="4"/>
    <s v="Api"/>
    <n v="0"/>
    <n v="0"/>
    <n v="0"/>
    <n v="0"/>
    <n v="17"/>
    <n v="0"/>
    <n v="0"/>
    <n v="17"/>
  </r>
  <r>
    <x v="190"/>
    <x v="190"/>
    <x v="4"/>
    <s v="Enciam"/>
    <n v="0"/>
    <n v="0"/>
    <n v="0"/>
    <n v="0"/>
    <n v="34"/>
    <n v="32"/>
    <n v="0"/>
    <n v="66"/>
  </r>
  <r>
    <x v="190"/>
    <x v="190"/>
    <x v="4"/>
    <s v="Escarola"/>
    <n v="0"/>
    <n v="0"/>
    <n v="0"/>
    <n v="0"/>
    <n v="9"/>
    <n v="0"/>
    <n v="0"/>
    <n v="9"/>
  </r>
  <r>
    <x v="190"/>
    <x v="190"/>
    <x v="4"/>
    <s v="Espinac"/>
    <n v="0"/>
    <n v="0"/>
    <n v="0"/>
    <n v="0"/>
    <n v="6"/>
    <n v="0"/>
    <n v="0"/>
    <n v="6"/>
  </r>
  <r>
    <x v="190"/>
    <x v="190"/>
    <x v="4"/>
    <s v="Bleda"/>
    <n v="0"/>
    <n v="0"/>
    <n v="0"/>
    <n v="0"/>
    <n v="10"/>
    <n v="0"/>
    <n v="0"/>
    <n v="10"/>
  </r>
  <r>
    <x v="190"/>
    <x v="190"/>
    <x v="4"/>
    <s v="Carbassa"/>
    <n v="0"/>
    <n v="0"/>
    <n v="0"/>
    <n v="0"/>
    <n v="3"/>
    <n v="0"/>
    <n v="0"/>
    <n v="3"/>
  </r>
  <r>
    <x v="190"/>
    <x v="190"/>
    <x v="4"/>
    <s v="Cogombre"/>
    <n v="0"/>
    <n v="0"/>
    <n v="0"/>
    <n v="0"/>
    <n v="4"/>
    <n v="0"/>
    <n v="0"/>
    <n v="4"/>
  </r>
  <r>
    <x v="190"/>
    <x v="190"/>
    <x v="4"/>
    <s v="Tomàquet"/>
    <n v="0"/>
    <n v="0"/>
    <n v="0"/>
    <n v="0"/>
    <n v="8"/>
    <n v="0"/>
    <n v="0"/>
    <n v="8"/>
  </r>
  <r>
    <x v="190"/>
    <x v="190"/>
    <x v="4"/>
    <s v="Pebrot"/>
    <n v="0"/>
    <n v="0"/>
    <n v="0"/>
    <n v="0"/>
    <n v="2"/>
    <n v="0"/>
    <n v="0"/>
    <n v="2"/>
  </r>
  <r>
    <x v="190"/>
    <x v="190"/>
    <x v="4"/>
    <s v="Carxofa"/>
    <n v="2"/>
    <n v="0"/>
    <n v="0"/>
    <n v="2"/>
    <n v="165"/>
    <n v="0"/>
    <n v="0"/>
    <n v="165"/>
  </r>
  <r>
    <x v="190"/>
    <x v="190"/>
    <x v="4"/>
    <s v="Coliflor"/>
    <n v="0"/>
    <n v="0"/>
    <n v="0"/>
    <n v="0"/>
    <n v="2"/>
    <n v="0"/>
    <n v="0"/>
    <n v="2"/>
  </r>
  <r>
    <x v="190"/>
    <x v="190"/>
    <x v="4"/>
    <s v="All"/>
    <n v="0"/>
    <n v="0"/>
    <n v="0"/>
    <n v="0"/>
    <n v="9"/>
    <n v="0"/>
    <n v="0"/>
    <n v="9"/>
  </r>
  <r>
    <x v="190"/>
    <x v="190"/>
    <x v="4"/>
    <s v="Ceba"/>
    <n v="0"/>
    <n v="0"/>
    <n v="0"/>
    <n v="0"/>
    <n v="16"/>
    <n v="0"/>
    <n v="0"/>
    <n v="16"/>
  </r>
  <r>
    <x v="190"/>
    <x v="190"/>
    <x v="4"/>
    <s v="Porro"/>
    <n v="0"/>
    <n v="0"/>
    <n v="0"/>
    <n v="0"/>
    <n v="14"/>
    <n v="0"/>
    <n v="0"/>
    <n v="14"/>
  </r>
  <r>
    <x v="190"/>
    <x v="190"/>
    <x v="4"/>
    <s v="Pastanaga"/>
    <n v="0"/>
    <n v="0"/>
    <n v="0"/>
    <n v="0"/>
    <n v="2"/>
    <n v="0"/>
    <n v="0"/>
    <n v="2"/>
  </r>
  <r>
    <x v="190"/>
    <x v="190"/>
    <x v="4"/>
    <s v="Mongeta tendra"/>
    <n v="0"/>
    <n v="0"/>
    <n v="0"/>
    <n v="0"/>
    <n v="5"/>
    <n v="0"/>
    <n v="0"/>
    <n v="5"/>
  </r>
  <r>
    <x v="190"/>
    <x v="190"/>
    <x v="4"/>
    <s v="Fava tendra"/>
    <n v="0"/>
    <n v="0"/>
    <n v="0"/>
    <n v="0"/>
    <n v="47"/>
    <n v="35"/>
    <n v="0"/>
    <n v="82"/>
  </r>
  <r>
    <x v="190"/>
    <x v="190"/>
    <x v="4"/>
    <s v="Altres Hortalisses"/>
    <n v="0"/>
    <n v="0"/>
    <n v="0"/>
    <n v="0"/>
    <n v="8"/>
    <n v="0"/>
    <n v="0"/>
    <n v="8"/>
  </r>
  <r>
    <x v="190"/>
    <x v="190"/>
    <x v="4"/>
    <s v="Carbassó"/>
    <n v="0"/>
    <n v="0"/>
    <n v="0"/>
    <n v="0"/>
    <n v="6"/>
    <n v="0"/>
    <n v="0"/>
    <n v="6"/>
  </r>
  <r>
    <x v="190"/>
    <x v="190"/>
    <x v="4"/>
    <s v="Bròquil"/>
    <n v="0"/>
    <n v="0"/>
    <n v="0"/>
    <n v="0"/>
    <n v="3"/>
    <n v="0"/>
    <n v="0"/>
    <n v="3"/>
  </r>
  <r>
    <x v="190"/>
    <x v="190"/>
    <x v="4"/>
    <s v="Julivert"/>
    <n v="0"/>
    <n v="0"/>
    <n v="0"/>
    <n v="0"/>
    <n v="3"/>
    <n v="0"/>
    <n v="0"/>
    <n v="3"/>
  </r>
  <r>
    <x v="190"/>
    <x v="190"/>
    <x v="2"/>
    <s v="Fava seca"/>
    <n v="0"/>
    <n v="0"/>
    <n v="0"/>
    <n v="0"/>
    <n v="1"/>
    <n v="0"/>
    <n v="0"/>
    <n v="1"/>
  </r>
  <r>
    <x v="190"/>
    <x v="190"/>
    <x v="2"/>
    <s v="Favó"/>
    <n v="0"/>
    <n v="0"/>
    <n v="0"/>
    <n v="0"/>
    <n v="1"/>
    <n v="0"/>
    <n v="0"/>
    <n v="1"/>
  </r>
  <r>
    <x v="190"/>
    <x v="190"/>
    <x v="6"/>
    <s v="Patata d'estació mitjana"/>
    <n v="0"/>
    <n v="0"/>
    <n v="0"/>
    <n v="0"/>
    <n v="5"/>
    <n v="0"/>
    <n v="0"/>
    <n v="5"/>
  </r>
  <r>
    <x v="191"/>
    <x v="191"/>
    <x v="0"/>
    <s v="Blat tou"/>
    <n v="124"/>
    <n v="0"/>
    <n v="0"/>
    <n v="124"/>
    <n v="0"/>
    <n v="0"/>
    <n v="0"/>
    <n v="0"/>
  </r>
  <r>
    <x v="191"/>
    <x v="191"/>
    <x v="0"/>
    <s v="Ordi"/>
    <n v="111"/>
    <n v="0"/>
    <n v="0"/>
    <n v="111"/>
    <n v="0"/>
    <n v="0"/>
    <n v="0"/>
    <n v="0"/>
  </r>
  <r>
    <x v="191"/>
    <x v="191"/>
    <x v="0"/>
    <s v="Civada"/>
    <n v="1"/>
    <n v="0"/>
    <n v="0"/>
    <n v="1"/>
    <n v="0"/>
    <n v="0"/>
    <n v="0"/>
    <n v="0"/>
  </r>
  <r>
    <x v="191"/>
    <x v="191"/>
    <x v="1"/>
    <s v="Cereals d'hivern per a farratge"/>
    <n v="4"/>
    <n v="0"/>
    <n v="0"/>
    <n v="4"/>
    <n v="0"/>
    <n v="0"/>
    <n v="0"/>
    <n v="0"/>
  </r>
  <r>
    <x v="191"/>
    <x v="191"/>
    <x v="1"/>
    <s v="Sorgo farratger"/>
    <n v="15"/>
    <n v="0"/>
    <n v="0"/>
    <n v="15"/>
    <n v="0"/>
    <n v="0"/>
    <n v="0"/>
    <n v="0"/>
  </r>
  <r>
    <x v="191"/>
    <x v="191"/>
    <x v="1"/>
    <s v="Raigràs"/>
    <n v="109"/>
    <n v="5"/>
    <n v="0"/>
    <n v="114"/>
    <n v="0"/>
    <n v="0"/>
    <n v="0"/>
    <n v="0"/>
  </r>
  <r>
    <x v="191"/>
    <x v="191"/>
    <x v="1"/>
    <s v="Alfals"/>
    <n v="13"/>
    <n v="0"/>
    <n v="0"/>
    <n v="13"/>
    <n v="0"/>
    <n v="0"/>
    <n v="0"/>
    <n v="0"/>
  </r>
  <r>
    <x v="191"/>
    <x v="191"/>
    <x v="1"/>
    <s v="Praderes polifites"/>
    <n v="157"/>
    <n v="0"/>
    <n v="0"/>
    <n v="157"/>
    <n v="0"/>
    <n v="0"/>
    <n v="0"/>
    <n v="0"/>
  </r>
  <r>
    <x v="191"/>
    <x v="191"/>
    <x v="1"/>
    <s v="Festuca"/>
    <n v="11"/>
    <n v="0"/>
    <n v="0"/>
    <n v="11"/>
    <n v="0"/>
    <n v="0"/>
    <n v="0"/>
    <n v="0"/>
  </r>
  <r>
    <x v="191"/>
    <x v="191"/>
    <x v="1"/>
    <s v="Dàctil"/>
    <n v="2"/>
    <n v="0"/>
    <n v="0"/>
    <n v="2"/>
    <n v="0"/>
    <n v="0"/>
    <n v="0"/>
    <n v="0"/>
  </r>
  <r>
    <x v="191"/>
    <x v="191"/>
    <x v="3"/>
    <s v="Gira-sol"/>
    <n v="3"/>
    <n v="0"/>
    <n v="0"/>
    <n v="3"/>
    <n v="0"/>
    <n v="0"/>
    <n v="0"/>
    <n v="0"/>
  </r>
  <r>
    <x v="191"/>
    <x v="191"/>
    <x v="3"/>
    <s v="Colza"/>
    <n v="30"/>
    <n v="0"/>
    <n v="0"/>
    <n v="30"/>
    <n v="0"/>
    <n v="0"/>
    <n v="0"/>
    <n v="0"/>
  </r>
  <r>
    <x v="192"/>
    <x v="192"/>
    <x v="0"/>
    <s v="Civada"/>
    <n v="1"/>
    <n v="0"/>
    <n v="0"/>
    <n v="1"/>
    <n v="0"/>
    <n v="0"/>
    <n v="0"/>
    <n v="0"/>
  </r>
  <r>
    <x v="192"/>
    <x v="192"/>
    <x v="1"/>
    <s v="Cereals d'hivern per a farratge"/>
    <n v="1"/>
    <n v="0"/>
    <n v="0"/>
    <n v="1"/>
    <n v="0"/>
    <n v="0"/>
    <n v="0"/>
    <n v="0"/>
  </r>
  <r>
    <x v="192"/>
    <x v="192"/>
    <x v="1"/>
    <s v="Raigràs"/>
    <n v="5"/>
    <n v="0"/>
    <n v="0"/>
    <n v="5"/>
    <n v="0"/>
    <n v="0"/>
    <n v="0"/>
    <n v="0"/>
  </r>
  <r>
    <x v="192"/>
    <x v="192"/>
    <x v="4"/>
    <s v="Col de cabdell"/>
    <n v="0"/>
    <n v="0"/>
    <n v="0"/>
    <n v="0"/>
    <n v="1"/>
    <n v="0"/>
    <n v="0"/>
    <n v="1"/>
  </r>
  <r>
    <x v="192"/>
    <x v="192"/>
    <x v="4"/>
    <s v="Enciam"/>
    <n v="0"/>
    <n v="0"/>
    <n v="0"/>
    <n v="0"/>
    <n v="3"/>
    <n v="1"/>
    <n v="0"/>
    <n v="4"/>
  </r>
  <r>
    <x v="192"/>
    <x v="192"/>
    <x v="4"/>
    <s v="Escarola"/>
    <n v="0"/>
    <n v="0"/>
    <n v="0"/>
    <n v="0"/>
    <n v="0"/>
    <n v="1"/>
    <n v="0"/>
    <n v="1"/>
  </r>
  <r>
    <x v="192"/>
    <x v="192"/>
    <x v="4"/>
    <s v="Espinac"/>
    <n v="0"/>
    <n v="0"/>
    <n v="0"/>
    <n v="0"/>
    <n v="1"/>
    <n v="1"/>
    <n v="0"/>
    <n v="2"/>
  </r>
  <r>
    <x v="192"/>
    <x v="192"/>
    <x v="4"/>
    <s v="Bleda"/>
    <n v="0"/>
    <n v="0"/>
    <n v="0"/>
    <n v="0"/>
    <n v="1"/>
    <n v="1"/>
    <n v="0"/>
    <n v="2"/>
  </r>
  <r>
    <x v="192"/>
    <x v="192"/>
    <x v="4"/>
    <s v="Carbassa"/>
    <n v="0"/>
    <n v="0"/>
    <n v="0"/>
    <n v="0"/>
    <n v="0"/>
    <n v="2"/>
    <n v="0"/>
    <n v="2"/>
  </r>
  <r>
    <x v="192"/>
    <x v="192"/>
    <x v="4"/>
    <s v="Cogombre"/>
    <n v="0"/>
    <n v="0"/>
    <n v="0"/>
    <n v="0"/>
    <n v="1"/>
    <n v="0"/>
    <n v="0"/>
    <n v="1"/>
  </r>
  <r>
    <x v="192"/>
    <x v="192"/>
    <x v="4"/>
    <s v="Tomàquet"/>
    <n v="0"/>
    <n v="0"/>
    <n v="0"/>
    <n v="0"/>
    <n v="3"/>
    <n v="0"/>
    <n v="0"/>
    <n v="3"/>
  </r>
  <r>
    <x v="192"/>
    <x v="192"/>
    <x v="4"/>
    <s v="Pebrot"/>
    <n v="0"/>
    <n v="0"/>
    <n v="0"/>
    <n v="0"/>
    <n v="0"/>
    <n v="1"/>
    <n v="0"/>
    <n v="1"/>
  </r>
  <r>
    <x v="192"/>
    <x v="192"/>
    <x v="4"/>
    <s v="Maduixa i maduixot"/>
    <n v="0"/>
    <n v="0"/>
    <n v="0"/>
    <n v="0"/>
    <n v="17"/>
    <n v="0"/>
    <n v="0"/>
    <n v="17"/>
  </r>
  <r>
    <x v="192"/>
    <x v="192"/>
    <x v="4"/>
    <s v="Carxofa"/>
    <n v="0"/>
    <n v="0"/>
    <n v="0"/>
    <n v="0"/>
    <n v="1"/>
    <n v="0"/>
    <n v="0"/>
    <n v="1"/>
  </r>
  <r>
    <x v="192"/>
    <x v="192"/>
    <x v="4"/>
    <s v="Coliflor"/>
    <n v="0"/>
    <n v="0"/>
    <n v="0"/>
    <n v="0"/>
    <n v="0"/>
    <n v="1"/>
    <n v="0"/>
    <n v="1"/>
  </r>
  <r>
    <x v="192"/>
    <x v="192"/>
    <x v="4"/>
    <s v="Ceba"/>
    <n v="0"/>
    <n v="0"/>
    <n v="0"/>
    <n v="0"/>
    <n v="2"/>
    <n v="1"/>
    <n v="0"/>
    <n v="3"/>
  </r>
  <r>
    <x v="192"/>
    <x v="192"/>
    <x v="4"/>
    <s v="Mongeta tendra"/>
    <n v="0"/>
    <n v="0"/>
    <n v="0"/>
    <n v="0"/>
    <n v="2"/>
    <n v="0"/>
    <n v="0"/>
    <n v="2"/>
  </r>
  <r>
    <x v="192"/>
    <x v="192"/>
    <x v="6"/>
    <s v="Patata primerenca"/>
    <n v="0"/>
    <n v="0"/>
    <n v="0"/>
    <n v="0"/>
    <n v="4"/>
    <n v="0"/>
    <n v="0"/>
    <n v="4"/>
  </r>
  <r>
    <x v="192"/>
    <x v="192"/>
    <x v="6"/>
    <s v="Patata d'estació mitjana"/>
    <n v="0"/>
    <n v="0"/>
    <n v="0"/>
    <n v="0"/>
    <n v="2"/>
    <n v="0"/>
    <n v="0"/>
    <n v="2"/>
  </r>
  <r>
    <x v="192"/>
    <x v="192"/>
    <x v="6"/>
    <s v="Patata tardana"/>
    <n v="0"/>
    <n v="0"/>
    <n v="0"/>
    <n v="0"/>
    <n v="0"/>
    <n v="2"/>
    <n v="0"/>
    <n v="2"/>
  </r>
  <r>
    <x v="193"/>
    <x v="193"/>
    <x v="0"/>
    <s v="Blat tou"/>
    <n v="5"/>
    <n v="0"/>
    <n v="0"/>
    <n v="5"/>
    <n v="9"/>
    <n v="0"/>
    <n v="0"/>
    <n v="9"/>
  </r>
  <r>
    <x v="193"/>
    <x v="193"/>
    <x v="0"/>
    <s v="Ordi"/>
    <n v="13"/>
    <n v="0"/>
    <n v="0"/>
    <n v="13"/>
    <n v="18"/>
    <n v="0"/>
    <n v="0"/>
    <n v="18"/>
  </r>
  <r>
    <x v="193"/>
    <x v="193"/>
    <x v="0"/>
    <s v="Civada"/>
    <n v="2"/>
    <n v="0"/>
    <n v="0"/>
    <n v="2"/>
    <n v="1"/>
    <n v="0"/>
    <n v="0"/>
    <n v="1"/>
  </r>
  <r>
    <x v="193"/>
    <x v="193"/>
    <x v="0"/>
    <s v="Triticale"/>
    <n v="1"/>
    <n v="0"/>
    <n v="0"/>
    <n v="1"/>
    <n v="0"/>
    <n v="0"/>
    <n v="0"/>
    <n v="0"/>
  </r>
  <r>
    <x v="193"/>
    <x v="193"/>
    <x v="1"/>
    <s v="Cereals d'hivern per a farratge"/>
    <n v="19"/>
    <n v="0"/>
    <n v="0"/>
    <n v="19"/>
    <n v="5"/>
    <n v="0"/>
    <n v="0"/>
    <n v="5"/>
  </r>
  <r>
    <x v="193"/>
    <x v="193"/>
    <x v="1"/>
    <s v="Sorgo farratger"/>
    <n v="3"/>
    <n v="0"/>
    <n v="0"/>
    <n v="3"/>
    <n v="5"/>
    <n v="0"/>
    <n v="0"/>
    <n v="5"/>
  </r>
  <r>
    <x v="193"/>
    <x v="193"/>
    <x v="1"/>
    <s v="Raigràs"/>
    <n v="0"/>
    <n v="0"/>
    <n v="0"/>
    <n v="0"/>
    <n v="1"/>
    <n v="0"/>
    <n v="0"/>
    <n v="1"/>
  </r>
  <r>
    <x v="193"/>
    <x v="193"/>
    <x v="1"/>
    <s v="Alfals"/>
    <n v="3"/>
    <n v="0"/>
    <n v="0"/>
    <n v="3"/>
    <n v="0"/>
    <n v="0"/>
    <n v="0"/>
    <n v="0"/>
  </r>
  <r>
    <x v="193"/>
    <x v="193"/>
    <x v="3"/>
    <s v="Colza"/>
    <n v="4"/>
    <n v="0"/>
    <n v="0"/>
    <n v="4"/>
    <n v="0"/>
    <n v="0"/>
    <n v="0"/>
    <n v="0"/>
  </r>
  <r>
    <x v="193"/>
    <x v="193"/>
    <x v="5"/>
    <s v="Plantes ornamentals"/>
    <n v="0"/>
    <n v="0"/>
    <n v="0"/>
    <n v="0"/>
    <n v="17"/>
    <n v="0"/>
    <n v="0"/>
    <n v="17"/>
  </r>
  <r>
    <x v="193"/>
    <x v="193"/>
    <x v="2"/>
    <s v="Favó"/>
    <n v="3"/>
    <n v="0"/>
    <n v="0"/>
    <n v="3"/>
    <n v="3"/>
    <n v="0"/>
    <n v="0"/>
    <n v="3"/>
  </r>
  <r>
    <x v="194"/>
    <x v="194"/>
    <x v="1"/>
    <s v="Associació Veça - Civada farratgeres"/>
    <n v="1"/>
    <n v="0"/>
    <n v="0"/>
    <n v="1"/>
    <n v="0"/>
    <n v="0"/>
    <n v="0"/>
    <n v="0"/>
  </r>
  <r>
    <x v="194"/>
    <x v="194"/>
    <x v="4"/>
    <s v="Carbassa"/>
    <n v="0"/>
    <n v="0"/>
    <n v="0"/>
    <n v="0"/>
    <n v="1"/>
    <n v="0"/>
    <n v="0"/>
    <n v="1"/>
  </r>
  <r>
    <x v="194"/>
    <x v="194"/>
    <x v="4"/>
    <s v="Ceba"/>
    <n v="0"/>
    <n v="0"/>
    <n v="0"/>
    <n v="0"/>
    <n v="1"/>
    <n v="0"/>
    <n v="0"/>
    <n v="1"/>
  </r>
  <r>
    <x v="194"/>
    <x v="194"/>
    <x v="4"/>
    <s v="Carbassó"/>
    <n v="0"/>
    <n v="0"/>
    <n v="0"/>
    <n v="0"/>
    <n v="1"/>
    <n v="0"/>
    <n v="0"/>
    <n v="1"/>
  </r>
  <r>
    <x v="194"/>
    <x v="194"/>
    <x v="2"/>
    <s v="Mongeta seca"/>
    <n v="0"/>
    <n v="0"/>
    <n v="0"/>
    <n v="0"/>
    <n v="0"/>
    <n v="1"/>
    <n v="0"/>
    <n v="1"/>
  </r>
  <r>
    <x v="195"/>
    <x v="195"/>
    <x v="0"/>
    <s v="Blat tou"/>
    <n v="6"/>
    <n v="0"/>
    <n v="0"/>
    <n v="6"/>
    <n v="0"/>
    <n v="0"/>
    <n v="0"/>
    <n v="0"/>
  </r>
  <r>
    <x v="195"/>
    <x v="195"/>
    <x v="0"/>
    <s v="Ordi"/>
    <n v="2"/>
    <n v="0"/>
    <n v="0"/>
    <n v="2"/>
    <n v="0"/>
    <n v="0"/>
    <n v="0"/>
    <n v="0"/>
  </r>
  <r>
    <x v="195"/>
    <x v="195"/>
    <x v="0"/>
    <s v="Civada"/>
    <n v="1"/>
    <n v="0"/>
    <n v="0"/>
    <n v="1"/>
    <n v="1"/>
    <n v="0"/>
    <n v="0"/>
    <n v="1"/>
  </r>
  <r>
    <x v="195"/>
    <x v="195"/>
    <x v="0"/>
    <s v="Triticale"/>
    <n v="1"/>
    <n v="0"/>
    <n v="0"/>
    <n v="1"/>
    <n v="0"/>
    <n v="0"/>
    <n v="0"/>
    <n v="0"/>
  </r>
  <r>
    <x v="195"/>
    <x v="195"/>
    <x v="1"/>
    <s v="Cereals d'hivern per a farratge"/>
    <n v="1"/>
    <n v="0"/>
    <n v="0"/>
    <n v="1"/>
    <n v="1"/>
    <n v="0"/>
    <n v="0"/>
    <n v="1"/>
  </r>
  <r>
    <x v="195"/>
    <x v="195"/>
    <x v="1"/>
    <s v="Sorgo farratger"/>
    <n v="2"/>
    <n v="0"/>
    <n v="0"/>
    <n v="2"/>
    <n v="0"/>
    <n v="0"/>
    <n v="0"/>
    <n v="0"/>
  </r>
  <r>
    <x v="195"/>
    <x v="195"/>
    <x v="1"/>
    <s v="Raigràs"/>
    <n v="8"/>
    <n v="0"/>
    <n v="0"/>
    <n v="8"/>
    <n v="0"/>
    <n v="0"/>
    <n v="0"/>
    <n v="0"/>
  </r>
  <r>
    <x v="195"/>
    <x v="195"/>
    <x v="1"/>
    <s v="Alfals"/>
    <n v="9"/>
    <n v="0"/>
    <n v="0"/>
    <n v="9"/>
    <n v="0"/>
    <n v="0"/>
    <n v="0"/>
    <n v="0"/>
  </r>
  <r>
    <x v="195"/>
    <x v="195"/>
    <x v="1"/>
    <s v="Associació Veça - Civada farratgeres"/>
    <n v="13"/>
    <n v="0"/>
    <n v="0"/>
    <n v="13"/>
    <n v="0"/>
    <n v="0"/>
    <n v="0"/>
    <n v="0"/>
  </r>
  <r>
    <x v="195"/>
    <x v="195"/>
    <x v="4"/>
    <s v="Tomàquet"/>
    <n v="0"/>
    <n v="0"/>
    <n v="0"/>
    <n v="0"/>
    <n v="1"/>
    <n v="0"/>
    <n v="0"/>
    <n v="1"/>
  </r>
  <r>
    <x v="195"/>
    <x v="195"/>
    <x v="4"/>
    <s v="Ceba"/>
    <n v="0"/>
    <n v="0"/>
    <n v="0"/>
    <n v="0"/>
    <n v="1"/>
    <n v="0"/>
    <n v="0"/>
    <n v="1"/>
  </r>
  <r>
    <x v="195"/>
    <x v="195"/>
    <x v="2"/>
    <s v="Fava seca"/>
    <n v="11"/>
    <n v="0"/>
    <n v="0"/>
    <n v="11"/>
    <n v="0"/>
    <n v="0"/>
    <n v="0"/>
    <n v="0"/>
  </r>
  <r>
    <x v="196"/>
    <x v="196"/>
    <x v="0"/>
    <s v="Blat tou"/>
    <n v="2"/>
    <n v="0"/>
    <n v="0"/>
    <n v="2"/>
    <n v="0"/>
    <n v="0"/>
    <n v="0"/>
    <n v="0"/>
  </r>
  <r>
    <x v="196"/>
    <x v="196"/>
    <x v="0"/>
    <s v="Ordi"/>
    <n v="8"/>
    <n v="0"/>
    <n v="0"/>
    <n v="8"/>
    <n v="0"/>
    <n v="0"/>
    <n v="0"/>
    <n v="0"/>
  </r>
  <r>
    <x v="196"/>
    <x v="196"/>
    <x v="0"/>
    <s v="Civada"/>
    <n v="2"/>
    <n v="0"/>
    <n v="0"/>
    <n v="2"/>
    <n v="0"/>
    <n v="0"/>
    <n v="0"/>
    <n v="0"/>
  </r>
  <r>
    <x v="196"/>
    <x v="196"/>
    <x v="1"/>
    <s v="Alfals"/>
    <n v="8"/>
    <n v="0"/>
    <n v="0"/>
    <n v="8"/>
    <n v="0"/>
    <n v="0"/>
    <n v="0"/>
    <n v="0"/>
  </r>
  <r>
    <x v="196"/>
    <x v="196"/>
    <x v="1"/>
    <s v="Trepadella"/>
    <n v="3"/>
    <n v="0"/>
    <n v="0"/>
    <n v="3"/>
    <n v="0"/>
    <n v="0"/>
    <n v="0"/>
    <n v="0"/>
  </r>
  <r>
    <x v="196"/>
    <x v="196"/>
    <x v="3"/>
    <s v="Colza"/>
    <n v="2"/>
    <n v="0"/>
    <n v="0"/>
    <n v="2"/>
    <n v="0"/>
    <n v="0"/>
    <n v="0"/>
    <n v="0"/>
  </r>
  <r>
    <x v="196"/>
    <x v="196"/>
    <x v="4"/>
    <s v="Meló"/>
    <n v="2"/>
    <n v="0"/>
    <n v="0"/>
    <n v="2"/>
    <n v="0"/>
    <n v="0"/>
    <n v="0"/>
    <n v="0"/>
  </r>
  <r>
    <x v="196"/>
    <x v="196"/>
    <x v="4"/>
    <s v="Tomàquet"/>
    <n v="2"/>
    <n v="0"/>
    <n v="0"/>
    <n v="2"/>
    <n v="0"/>
    <n v="0"/>
    <n v="0"/>
    <n v="0"/>
  </r>
  <r>
    <x v="196"/>
    <x v="196"/>
    <x v="2"/>
    <s v="Cigró"/>
    <n v="1"/>
    <n v="0"/>
    <n v="0"/>
    <n v="1"/>
    <n v="0"/>
    <n v="0"/>
    <n v="0"/>
    <n v="0"/>
  </r>
  <r>
    <x v="196"/>
    <x v="196"/>
    <x v="2"/>
    <s v="Veça"/>
    <n v="1"/>
    <n v="0"/>
    <n v="0"/>
    <n v="1"/>
    <n v="0"/>
    <n v="0"/>
    <n v="0"/>
    <n v="0"/>
  </r>
  <r>
    <x v="197"/>
    <x v="197"/>
    <x v="0"/>
    <s v="Blat tou"/>
    <n v="0"/>
    <n v="0"/>
    <n v="0"/>
    <n v="0"/>
    <n v="4"/>
    <n v="0"/>
    <n v="0"/>
    <n v="4"/>
  </r>
  <r>
    <x v="197"/>
    <x v="197"/>
    <x v="0"/>
    <s v="Ordi"/>
    <n v="3"/>
    <n v="0"/>
    <n v="0"/>
    <n v="3"/>
    <n v="33"/>
    <n v="0"/>
    <n v="0"/>
    <n v="33"/>
  </r>
  <r>
    <x v="197"/>
    <x v="197"/>
    <x v="0"/>
    <s v="Civada"/>
    <n v="1"/>
    <n v="0"/>
    <n v="0"/>
    <n v="1"/>
    <n v="1"/>
    <n v="0"/>
    <n v="0"/>
    <n v="1"/>
  </r>
  <r>
    <x v="197"/>
    <x v="197"/>
    <x v="0"/>
    <s v="Blat de moro"/>
    <n v="0"/>
    <n v="0"/>
    <n v="0"/>
    <n v="0"/>
    <n v="1"/>
    <n v="0"/>
    <n v="0"/>
    <n v="1"/>
  </r>
  <r>
    <x v="197"/>
    <x v="197"/>
    <x v="1"/>
    <s v="Cereals d'hivern per a farratge"/>
    <n v="7"/>
    <n v="0"/>
    <n v="0"/>
    <n v="7"/>
    <n v="13"/>
    <n v="0"/>
    <n v="0"/>
    <n v="13"/>
  </r>
  <r>
    <x v="197"/>
    <x v="197"/>
    <x v="1"/>
    <s v="Blat de moro farratger"/>
    <n v="0"/>
    <n v="0"/>
    <n v="0"/>
    <n v="0"/>
    <n v="5"/>
    <n v="0"/>
    <n v="0"/>
    <n v="5"/>
  </r>
  <r>
    <x v="197"/>
    <x v="197"/>
    <x v="1"/>
    <s v="Sorgo farratger"/>
    <n v="1"/>
    <n v="0"/>
    <n v="0"/>
    <n v="1"/>
    <n v="3"/>
    <n v="0"/>
    <n v="0"/>
    <n v="3"/>
  </r>
  <r>
    <x v="197"/>
    <x v="197"/>
    <x v="1"/>
    <s v="Raigràs"/>
    <n v="14"/>
    <n v="0"/>
    <n v="0"/>
    <n v="14"/>
    <n v="1"/>
    <n v="0"/>
    <n v="0"/>
    <n v="1"/>
  </r>
  <r>
    <x v="197"/>
    <x v="197"/>
    <x v="1"/>
    <s v="Alfals"/>
    <n v="6"/>
    <n v="0"/>
    <n v="0"/>
    <n v="6"/>
    <n v="13"/>
    <n v="0"/>
    <n v="0"/>
    <n v="13"/>
  </r>
  <r>
    <x v="197"/>
    <x v="197"/>
    <x v="3"/>
    <s v="Colza"/>
    <n v="7"/>
    <n v="0"/>
    <n v="0"/>
    <n v="7"/>
    <n v="9"/>
    <n v="0"/>
    <n v="0"/>
    <n v="9"/>
  </r>
  <r>
    <x v="197"/>
    <x v="197"/>
    <x v="2"/>
    <s v="Mongeta seca"/>
    <n v="0"/>
    <n v="0"/>
    <n v="0"/>
    <n v="0"/>
    <n v="1"/>
    <n v="0"/>
    <n v="0"/>
    <n v="1"/>
  </r>
  <r>
    <x v="197"/>
    <x v="197"/>
    <x v="6"/>
    <s v="Patata d'estació mitjana"/>
    <n v="0"/>
    <n v="0"/>
    <n v="0"/>
    <n v="0"/>
    <n v="1"/>
    <n v="0"/>
    <n v="0"/>
    <n v="1"/>
  </r>
  <r>
    <x v="198"/>
    <x v="198"/>
    <x v="0"/>
    <s v="Blat tou"/>
    <n v="20"/>
    <n v="0"/>
    <n v="0"/>
    <n v="20"/>
    <n v="0"/>
    <n v="0"/>
    <n v="0"/>
    <n v="0"/>
  </r>
  <r>
    <x v="198"/>
    <x v="198"/>
    <x v="0"/>
    <s v="Ordi"/>
    <n v="79"/>
    <n v="0"/>
    <n v="0"/>
    <n v="79"/>
    <n v="0"/>
    <n v="0"/>
    <n v="0"/>
    <n v="0"/>
  </r>
  <r>
    <x v="198"/>
    <x v="198"/>
    <x v="0"/>
    <s v="Civada"/>
    <n v="13"/>
    <n v="0"/>
    <n v="0"/>
    <n v="13"/>
    <n v="0"/>
    <n v="0"/>
    <n v="0"/>
    <n v="0"/>
  </r>
  <r>
    <x v="198"/>
    <x v="198"/>
    <x v="1"/>
    <s v="Cereals d'hivern per a farratge"/>
    <n v="2"/>
    <n v="0"/>
    <n v="0"/>
    <n v="2"/>
    <n v="0"/>
    <n v="0"/>
    <n v="0"/>
    <n v="0"/>
  </r>
  <r>
    <x v="198"/>
    <x v="198"/>
    <x v="1"/>
    <s v="Alfals"/>
    <n v="0"/>
    <n v="0"/>
    <n v="0"/>
    <n v="0"/>
    <n v="1"/>
    <n v="0"/>
    <n v="0"/>
    <n v="1"/>
  </r>
  <r>
    <x v="198"/>
    <x v="198"/>
    <x v="1"/>
    <s v="Festuca"/>
    <n v="1"/>
    <n v="0"/>
    <n v="0"/>
    <n v="1"/>
    <n v="0"/>
    <n v="0"/>
    <n v="0"/>
    <n v="0"/>
  </r>
  <r>
    <x v="198"/>
    <x v="198"/>
    <x v="4"/>
    <s v="Col de cabdell"/>
    <n v="0"/>
    <n v="0"/>
    <n v="0"/>
    <n v="0"/>
    <n v="1"/>
    <n v="0"/>
    <n v="0"/>
    <n v="1"/>
  </r>
  <r>
    <x v="198"/>
    <x v="198"/>
    <x v="4"/>
    <s v="Enciam"/>
    <n v="0"/>
    <n v="0"/>
    <n v="0"/>
    <n v="0"/>
    <n v="2"/>
    <n v="0"/>
    <n v="0"/>
    <n v="2"/>
  </r>
  <r>
    <x v="198"/>
    <x v="198"/>
    <x v="4"/>
    <s v="Tomàquet"/>
    <n v="0"/>
    <n v="0"/>
    <n v="0"/>
    <n v="0"/>
    <n v="1"/>
    <n v="0"/>
    <n v="0"/>
    <n v="1"/>
  </r>
  <r>
    <x v="198"/>
    <x v="198"/>
    <x v="4"/>
    <s v="Carxofa"/>
    <n v="0"/>
    <n v="0"/>
    <n v="0"/>
    <n v="0"/>
    <n v="2"/>
    <n v="0"/>
    <n v="0"/>
    <n v="2"/>
  </r>
  <r>
    <x v="198"/>
    <x v="198"/>
    <x v="4"/>
    <s v="Ceba"/>
    <n v="0"/>
    <n v="0"/>
    <n v="0"/>
    <n v="0"/>
    <n v="2"/>
    <n v="0"/>
    <n v="0"/>
    <n v="2"/>
  </r>
  <r>
    <x v="198"/>
    <x v="198"/>
    <x v="4"/>
    <s v="Fava tendra"/>
    <n v="0"/>
    <n v="0"/>
    <n v="0"/>
    <n v="0"/>
    <n v="1"/>
    <n v="0"/>
    <n v="0"/>
    <n v="1"/>
  </r>
  <r>
    <x v="199"/>
    <x v="199"/>
    <x v="0"/>
    <s v="Ordi"/>
    <n v="1"/>
    <n v="0"/>
    <n v="0"/>
    <n v="1"/>
    <n v="0"/>
    <n v="0"/>
    <n v="0"/>
    <n v="0"/>
  </r>
  <r>
    <x v="199"/>
    <x v="199"/>
    <x v="0"/>
    <s v="Civada"/>
    <n v="1"/>
    <n v="0"/>
    <n v="0"/>
    <n v="1"/>
    <n v="0"/>
    <n v="0"/>
    <n v="0"/>
    <n v="0"/>
  </r>
  <r>
    <x v="199"/>
    <x v="199"/>
    <x v="0"/>
    <s v="Triticale"/>
    <n v="10"/>
    <n v="0"/>
    <n v="0"/>
    <n v="10"/>
    <n v="0"/>
    <n v="0"/>
    <n v="0"/>
    <n v="0"/>
  </r>
  <r>
    <x v="199"/>
    <x v="199"/>
    <x v="1"/>
    <s v="Cereals d'hivern per a farratge"/>
    <n v="8"/>
    <n v="0"/>
    <n v="0"/>
    <n v="8"/>
    <n v="1"/>
    <n v="0"/>
    <n v="0"/>
    <n v="1"/>
  </r>
  <r>
    <x v="199"/>
    <x v="199"/>
    <x v="1"/>
    <s v="Raigràs"/>
    <n v="27"/>
    <n v="0"/>
    <n v="0"/>
    <n v="27"/>
    <n v="0"/>
    <n v="0"/>
    <n v="0"/>
    <n v="0"/>
  </r>
  <r>
    <x v="199"/>
    <x v="199"/>
    <x v="1"/>
    <s v="Alfals"/>
    <n v="4"/>
    <n v="0"/>
    <n v="0"/>
    <n v="4"/>
    <n v="1"/>
    <n v="0"/>
    <n v="0"/>
    <n v="1"/>
  </r>
  <r>
    <x v="200"/>
    <x v="200"/>
    <x v="4"/>
    <s v="Col de cabdell"/>
    <n v="0"/>
    <n v="0"/>
    <n v="0"/>
    <n v="0"/>
    <n v="4"/>
    <n v="0"/>
    <n v="0"/>
    <n v="4"/>
  </r>
  <r>
    <x v="200"/>
    <x v="200"/>
    <x v="4"/>
    <s v="Enciam"/>
    <n v="0"/>
    <n v="0"/>
    <n v="0"/>
    <n v="0"/>
    <n v="5"/>
    <n v="0"/>
    <n v="0"/>
    <n v="5"/>
  </r>
  <r>
    <x v="200"/>
    <x v="200"/>
    <x v="4"/>
    <s v="Espinac"/>
    <n v="0"/>
    <n v="0"/>
    <n v="0"/>
    <n v="0"/>
    <n v="3"/>
    <n v="0"/>
    <n v="0"/>
    <n v="3"/>
  </r>
  <r>
    <x v="200"/>
    <x v="200"/>
    <x v="4"/>
    <s v="Bleda"/>
    <n v="0"/>
    <n v="0"/>
    <n v="0"/>
    <n v="0"/>
    <n v="2"/>
    <n v="0"/>
    <n v="0"/>
    <n v="2"/>
  </r>
  <r>
    <x v="200"/>
    <x v="200"/>
    <x v="4"/>
    <s v="Carbassa"/>
    <n v="0"/>
    <n v="0"/>
    <n v="0"/>
    <n v="0"/>
    <n v="2"/>
    <n v="0"/>
    <n v="0"/>
    <n v="2"/>
  </r>
  <r>
    <x v="200"/>
    <x v="200"/>
    <x v="4"/>
    <s v="Tomàquet"/>
    <n v="0"/>
    <n v="0"/>
    <n v="0"/>
    <n v="0"/>
    <n v="3"/>
    <n v="0"/>
    <n v="0"/>
    <n v="3"/>
  </r>
  <r>
    <x v="200"/>
    <x v="200"/>
    <x v="4"/>
    <s v="Pebrot"/>
    <n v="0"/>
    <n v="0"/>
    <n v="0"/>
    <n v="0"/>
    <n v="2"/>
    <n v="0"/>
    <n v="0"/>
    <n v="2"/>
  </r>
  <r>
    <x v="200"/>
    <x v="200"/>
    <x v="4"/>
    <s v="Carxofa"/>
    <n v="0"/>
    <n v="0"/>
    <n v="0"/>
    <n v="0"/>
    <n v="2"/>
    <n v="0"/>
    <n v="0"/>
    <n v="2"/>
  </r>
  <r>
    <x v="200"/>
    <x v="200"/>
    <x v="4"/>
    <s v="Coliflor"/>
    <n v="0"/>
    <n v="0"/>
    <n v="0"/>
    <n v="0"/>
    <n v="1"/>
    <n v="0"/>
    <n v="0"/>
    <n v="1"/>
  </r>
  <r>
    <x v="200"/>
    <x v="200"/>
    <x v="4"/>
    <s v="All"/>
    <n v="0"/>
    <n v="0"/>
    <n v="0"/>
    <n v="0"/>
    <n v="2"/>
    <n v="0"/>
    <n v="0"/>
    <n v="2"/>
  </r>
  <r>
    <x v="200"/>
    <x v="200"/>
    <x v="4"/>
    <s v="Ceba"/>
    <n v="0"/>
    <n v="0"/>
    <n v="0"/>
    <n v="0"/>
    <n v="3"/>
    <n v="0"/>
    <n v="0"/>
    <n v="3"/>
  </r>
  <r>
    <x v="200"/>
    <x v="200"/>
    <x v="4"/>
    <s v="Pastanaga"/>
    <n v="0"/>
    <n v="0"/>
    <n v="0"/>
    <n v="0"/>
    <n v="4"/>
    <n v="0"/>
    <n v="0"/>
    <n v="4"/>
  </r>
  <r>
    <x v="200"/>
    <x v="200"/>
    <x v="4"/>
    <s v="Mongeta tendra"/>
    <n v="0"/>
    <n v="0"/>
    <n v="0"/>
    <n v="0"/>
    <n v="1"/>
    <n v="0"/>
    <n v="0"/>
    <n v="1"/>
  </r>
  <r>
    <x v="200"/>
    <x v="200"/>
    <x v="4"/>
    <s v="Fava tendra"/>
    <n v="0"/>
    <n v="0"/>
    <n v="0"/>
    <n v="0"/>
    <n v="5"/>
    <n v="0"/>
    <n v="0"/>
    <n v="5"/>
  </r>
  <r>
    <x v="200"/>
    <x v="200"/>
    <x v="4"/>
    <s v="Carbassó"/>
    <n v="0"/>
    <n v="0"/>
    <n v="0"/>
    <n v="0"/>
    <n v="3"/>
    <n v="0"/>
    <n v="0"/>
    <n v="3"/>
  </r>
  <r>
    <x v="200"/>
    <x v="200"/>
    <x v="4"/>
    <s v="Bròquil"/>
    <n v="0"/>
    <n v="0"/>
    <n v="0"/>
    <n v="0"/>
    <n v="1"/>
    <n v="0"/>
    <n v="0"/>
    <n v="1"/>
  </r>
  <r>
    <x v="201"/>
    <x v="201"/>
    <x v="0"/>
    <s v="Blat tou"/>
    <n v="86"/>
    <n v="0"/>
    <n v="0"/>
    <n v="86"/>
    <n v="0"/>
    <n v="0"/>
    <n v="0"/>
    <n v="0"/>
  </r>
  <r>
    <x v="201"/>
    <x v="201"/>
    <x v="0"/>
    <s v="Ordi"/>
    <n v="261"/>
    <n v="0"/>
    <n v="0"/>
    <n v="261"/>
    <n v="0"/>
    <n v="0"/>
    <n v="0"/>
    <n v="0"/>
  </r>
  <r>
    <x v="201"/>
    <x v="201"/>
    <x v="0"/>
    <s v="Civada"/>
    <n v="2"/>
    <n v="0"/>
    <n v="0"/>
    <n v="2"/>
    <n v="0"/>
    <n v="0"/>
    <n v="0"/>
    <n v="0"/>
  </r>
  <r>
    <x v="201"/>
    <x v="201"/>
    <x v="0"/>
    <s v="Mill i melca"/>
    <n v="20"/>
    <n v="0"/>
    <n v="0"/>
    <n v="20"/>
    <n v="0"/>
    <n v="0"/>
    <n v="0"/>
    <n v="0"/>
  </r>
  <r>
    <x v="201"/>
    <x v="201"/>
    <x v="1"/>
    <s v="Cereals d'hivern per a farratge"/>
    <n v="7"/>
    <n v="0"/>
    <n v="0"/>
    <n v="7"/>
    <n v="0"/>
    <n v="0"/>
    <n v="0"/>
    <n v="0"/>
  </r>
  <r>
    <x v="201"/>
    <x v="201"/>
    <x v="1"/>
    <s v="Raigràs"/>
    <n v="111"/>
    <n v="0"/>
    <n v="0"/>
    <n v="111"/>
    <n v="0"/>
    <n v="0"/>
    <n v="0"/>
    <n v="0"/>
  </r>
  <r>
    <x v="201"/>
    <x v="201"/>
    <x v="1"/>
    <s v="Alfals"/>
    <n v="12"/>
    <n v="0"/>
    <n v="0"/>
    <n v="12"/>
    <n v="0"/>
    <n v="0"/>
    <n v="0"/>
    <n v="0"/>
  </r>
  <r>
    <x v="201"/>
    <x v="201"/>
    <x v="1"/>
    <s v="Trepadella"/>
    <n v="2"/>
    <n v="0"/>
    <n v="0"/>
    <n v="2"/>
    <n v="0"/>
    <n v="0"/>
    <n v="0"/>
    <n v="0"/>
  </r>
  <r>
    <x v="201"/>
    <x v="201"/>
    <x v="1"/>
    <s v="Praderes polifites"/>
    <n v="35"/>
    <n v="0"/>
    <n v="0"/>
    <n v="35"/>
    <n v="0"/>
    <n v="0"/>
    <n v="0"/>
    <n v="0"/>
  </r>
  <r>
    <x v="201"/>
    <x v="201"/>
    <x v="1"/>
    <s v="Festuca"/>
    <n v="1"/>
    <n v="0"/>
    <n v="0"/>
    <n v="1"/>
    <n v="0"/>
    <n v="0"/>
    <n v="0"/>
    <n v="0"/>
  </r>
  <r>
    <x v="201"/>
    <x v="201"/>
    <x v="1"/>
    <s v="Associació Veça - Civada farratgeres"/>
    <n v="1"/>
    <n v="0"/>
    <n v="0"/>
    <n v="1"/>
    <n v="0"/>
    <n v="0"/>
    <n v="0"/>
    <n v="0"/>
  </r>
  <r>
    <x v="201"/>
    <x v="201"/>
    <x v="3"/>
    <s v="Colza"/>
    <n v="3"/>
    <n v="0"/>
    <n v="0"/>
    <n v="3"/>
    <n v="0"/>
    <n v="0"/>
    <n v="0"/>
    <n v="0"/>
  </r>
  <r>
    <x v="201"/>
    <x v="201"/>
    <x v="4"/>
    <s v="Ceba"/>
    <n v="0"/>
    <n v="0"/>
    <n v="0"/>
    <n v="0"/>
    <n v="1"/>
    <n v="0"/>
    <n v="0"/>
    <n v="1"/>
  </r>
  <r>
    <x v="201"/>
    <x v="201"/>
    <x v="4"/>
    <s v="Fava tendra"/>
    <n v="0"/>
    <n v="0"/>
    <n v="0"/>
    <n v="0"/>
    <n v="1"/>
    <n v="0"/>
    <n v="0"/>
    <n v="1"/>
  </r>
  <r>
    <x v="201"/>
    <x v="201"/>
    <x v="2"/>
    <s v="Pèsol sec"/>
    <n v="4"/>
    <n v="0"/>
    <n v="0"/>
    <n v="4"/>
    <n v="0"/>
    <n v="0"/>
    <n v="0"/>
    <n v="0"/>
  </r>
  <r>
    <x v="202"/>
    <x v="202"/>
    <x v="1"/>
    <s v="Cereals d'hivern per a farratge"/>
    <n v="0"/>
    <n v="0"/>
    <n v="0"/>
    <n v="0"/>
    <n v="1"/>
    <n v="0"/>
    <n v="0"/>
    <n v="1"/>
  </r>
  <r>
    <x v="203"/>
    <x v="203"/>
    <x v="0"/>
    <s v="Blat tou"/>
    <n v="233"/>
    <n v="0"/>
    <n v="0"/>
    <n v="233"/>
    <n v="4"/>
    <n v="0"/>
    <n v="0"/>
    <n v="4"/>
  </r>
  <r>
    <x v="203"/>
    <x v="203"/>
    <x v="0"/>
    <s v="Ordi"/>
    <n v="491"/>
    <n v="0"/>
    <n v="0"/>
    <n v="491"/>
    <n v="3"/>
    <n v="0"/>
    <n v="0"/>
    <n v="3"/>
  </r>
  <r>
    <x v="203"/>
    <x v="203"/>
    <x v="0"/>
    <s v="Civada"/>
    <n v="9"/>
    <n v="0"/>
    <n v="0"/>
    <n v="9"/>
    <n v="0"/>
    <n v="0"/>
    <n v="0"/>
    <n v="0"/>
  </r>
  <r>
    <x v="203"/>
    <x v="203"/>
    <x v="0"/>
    <s v="Mill i melca"/>
    <n v="22"/>
    <n v="3"/>
    <n v="0"/>
    <n v="25"/>
    <n v="0"/>
    <n v="0"/>
    <n v="0"/>
    <n v="0"/>
  </r>
  <r>
    <x v="203"/>
    <x v="203"/>
    <x v="0"/>
    <s v="Espelta"/>
    <n v="7"/>
    <n v="0"/>
    <n v="0"/>
    <n v="7"/>
    <n v="0"/>
    <n v="0"/>
    <n v="0"/>
    <n v="0"/>
  </r>
  <r>
    <x v="203"/>
    <x v="203"/>
    <x v="1"/>
    <s v="Cereals d'hivern per a farratge"/>
    <n v="39"/>
    <n v="0"/>
    <n v="0"/>
    <n v="39"/>
    <n v="0"/>
    <n v="0"/>
    <n v="0"/>
    <n v="0"/>
  </r>
  <r>
    <x v="203"/>
    <x v="203"/>
    <x v="1"/>
    <s v="Raigràs"/>
    <n v="1"/>
    <n v="0"/>
    <n v="0"/>
    <n v="1"/>
    <n v="0"/>
    <n v="0"/>
    <n v="0"/>
    <n v="0"/>
  </r>
  <r>
    <x v="203"/>
    <x v="203"/>
    <x v="1"/>
    <s v="Alfals"/>
    <n v="5"/>
    <n v="0"/>
    <n v="0"/>
    <n v="5"/>
    <n v="0"/>
    <n v="0"/>
    <n v="0"/>
    <n v="0"/>
  </r>
  <r>
    <x v="203"/>
    <x v="203"/>
    <x v="1"/>
    <s v="Praderes polifites"/>
    <n v="12"/>
    <n v="0"/>
    <n v="0"/>
    <n v="12"/>
    <n v="0"/>
    <n v="0"/>
    <n v="0"/>
    <n v="0"/>
  </r>
  <r>
    <x v="203"/>
    <x v="203"/>
    <x v="1"/>
    <s v="Associació Veça - Civada farratgeres"/>
    <n v="9"/>
    <n v="0"/>
    <n v="0"/>
    <n v="9"/>
    <n v="5"/>
    <n v="0"/>
    <n v="0"/>
    <n v="5"/>
  </r>
  <r>
    <x v="203"/>
    <x v="203"/>
    <x v="3"/>
    <s v="Colza"/>
    <n v="48"/>
    <n v="0"/>
    <n v="0"/>
    <n v="48"/>
    <n v="4"/>
    <n v="0"/>
    <n v="0"/>
    <n v="4"/>
  </r>
  <r>
    <x v="203"/>
    <x v="203"/>
    <x v="4"/>
    <s v="Col de cabdell"/>
    <n v="0"/>
    <n v="0"/>
    <n v="0"/>
    <n v="0"/>
    <n v="1"/>
    <n v="0"/>
    <n v="0"/>
    <n v="1"/>
  </r>
  <r>
    <x v="203"/>
    <x v="203"/>
    <x v="4"/>
    <s v="Enciam"/>
    <n v="0"/>
    <n v="0"/>
    <n v="0"/>
    <n v="0"/>
    <n v="1"/>
    <n v="0"/>
    <n v="0"/>
    <n v="1"/>
  </r>
  <r>
    <x v="203"/>
    <x v="203"/>
    <x v="4"/>
    <s v="Bleda"/>
    <n v="0"/>
    <n v="0"/>
    <n v="0"/>
    <n v="0"/>
    <n v="1"/>
    <n v="0"/>
    <n v="0"/>
    <n v="1"/>
  </r>
  <r>
    <x v="203"/>
    <x v="203"/>
    <x v="4"/>
    <s v="Tomàquet"/>
    <n v="0"/>
    <n v="0"/>
    <n v="0"/>
    <n v="0"/>
    <n v="1"/>
    <n v="0"/>
    <n v="0"/>
    <n v="1"/>
  </r>
  <r>
    <x v="203"/>
    <x v="203"/>
    <x v="4"/>
    <s v="Fava tendra"/>
    <n v="1"/>
    <n v="0"/>
    <n v="0"/>
    <n v="1"/>
    <n v="0"/>
    <n v="0"/>
    <n v="0"/>
    <n v="0"/>
  </r>
  <r>
    <x v="203"/>
    <x v="203"/>
    <x v="2"/>
    <s v="Fava seca"/>
    <n v="4"/>
    <n v="0"/>
    <n v="0"/>
    <n v="4"/>
    <n v="0"/>
    <n v="0"/>
    <n v="0"/>
    <n v="0"/>
  </r>
  <r>
    <x v="203"/>
    <x v="203"/>
    <x v="2"/>
    <s v="Pèsol sec"/>
    <n v="10"/>
    <n v="0"/>
    <n v="0"/>
    <n v="10"/>
    <n v="0"/>
    <n v="0"/>
    <n v="0"/>
    <n v="0"/>
  </r>
  <r>
    <x v="203"/>
    <x v="203"/>
    <x v="2"/>
    <s v="Veça"/>
    <n v="8"/>
    <n v="0"/>
    <n v="0"/>
    <n v="8"/>
    <n v="0"/>
    <n v="0"/>
    <n v="0"/>
    <n v="0"/>
  </r>
  <r>
    <x v="204"/>
    <x v="204"/>
    <x v="0"/>
    <s v="Ordi"/>
    <n v="6"/>
    <n v="0"/>
    <n v="0"/>
    <n v="6"/>
    <n v="0"/>
    <n v="0"/>
    <n v="0"/>
    <n v="0"/>
  </r>
  <r>
    <x v="204"/>
    <x v="204"/>
    <x v="1"/>
    <s v="Blat de moro farratger"/>
    <n v="0"/>
    <n v="5"/>
    <n v="0"/>
    <n v="5"/>
    <n v="0"/>
    <n v="0"/>
    <n v="0"/>
    <n v="0"/>
  </r>
  <r>
    <x v="204"/>
    <x v="204"/>
    <x v="1"/>
    <s v="Raigràs"/>
    <n v="1"/>
    <n v="0"/>
    <n v="0"/>
    <n v="1"/>
    <n v="0"/>
    <n v="0"/>
    <n v="0"/>
    <n v="0"/>
  </r>
  <r>
    <x v="204"/>
    <x v="204"/>
    <x v="1"/>
    <s v="Alfals"/>
    <n v="1"/>
    <n v="0"/>
    <n v="0"/>
    <n v="1"/>
    <n v="0"/>
    <n v="0"/>
    <n v="0"/>
    <n v="0"/>
  </r>
  <r>
    <x v="204"/>
    <x v="204"/>
    <x v="1"/>
    <s v="Praderes polifites"/>
    <n v="1"/>
    <n v="0"/>
    <n v="0"/>
    <n v="1"/>
    <n v="0"/>
    <n v="0"/>
    <n v="0"/>
    <n v="0"/>
  </r>
  <r>
    <x v="205"/>
    <x v="205"/>
    <x v="5"/>
    <s v="Altres flors"/>
    <n v="0"/>
    <n v="0"/>
    <n v="0"/>
    <n v="0"/>
    <n v="1"/>
    <n v="0"/>
    <n v="0"/>
    <n v="1"/>
  </r>
  <r>
    <x v="205"/>
    <x v="205"/>
    <x v="5"/>
    <s v="Plantes ornamentals"/>
    <n v="0"/>
    <n v="0"/>
    <n v="0"/>
    <n v="0"/>
    <n v="2"/>
    <n v="0"/>
    <n v="0"/>
    <n v="2"/>
  </r>
  <r>
    <x v="205"/>
    <x v="205"/>
    <x v="4"/>
    <s v="Col de cabdell"/>
    <n v="0"/>
    <n v="0"/>
    <n v="0"/>
    <n v="0"/>
    <n v="1"/>
    <n v="1"/>
    <n v="0"/>
    <n v="2"/>
  </r>
  <r>
    <x v="205"/>
    <x v="205"/>
    <x v="4"/>
    <s v="Enciam"/>
    <n v="0"/>
    <n v="0"/>
    <n v="0"/>
    <n v="0"/>
    <n v="1"/>
    <n v="0"/>
    <n v="0"/>
    <n v="1"/>
  </r>
  <r>
    <x v="205"/>
    <x v="205"/>
    <x v="4"/>
    <s v="Escarola"/>
    <n v="0"/>
    <n v="0"/>
    <n v="0"/>
    <n v="0"/>
    <n v="0"/>
    <n v="1"/>
    <n v="0"/>
    <n v="1"/>
  </r>
  <r>
    <x v="205"/>
    <x v="205"/>
    <x v="4"/>
    <s v="Bleda"/>
    <n v="0"/>
    <n v="0"/>
    <n v="0"/>
    <n v="0"/>
    <n v="1"/>
    <n v="0"/>
    <n v="0"/>
    <n v="1"/>
  </r>
  <r>
    <x v="205"/>
    <x v="205"/>
    <x v="4"/>
    <s v="Carbassa"/>
    <n v="0"/>
    <n v="0"/>
    <n v="0"/>
    <n v="0"/>
    <n v="0"/>
    <n v="1"/>
    <n v="0"/>
    <n v="1"/>
  </r>
  <r>
    <x v="205"/>
    <x v="205"/>
    <x v="4"/>
    <s v="Tomàquet"/>
    <n v="0"/>
    <n v="0"/>
    <n v="0"/>
    <n v="0"/>
    <n v="2"/>
    <n v="2"/>
    <n v="0"/>
    <n v="4"/>
  </r>
  <r>
    <x v="205"/>
    <x v="205"/>
    <x v="4"/>
    <s v="Maduixa i maduixot"/>
    <n v="0"/>
    <n v="0"/>
    <n v="0"/>
    <n v="0"/>
    <n v="10"/>
    <n v="0"/>
    <n v="0"/>
    <n v="10"/>
  </r>
  <r>
    <x v="205"/>
    <x v="205"/>
    <x v="4"/>
    <s v="Coliflor"/>
    <n v="0"/>
    <n v="0"/>
    <n v="0"/>
    <n v="0"/>
    <n v="2"/>
    <n v="0"/>
    <n v="0"/>
    <n v="2"/>
  </r>
  <r>
    <x v="205"/>
    <x v="205"/>
    <x v="4"/>
    <s v="Ceba"/>
    <n v="0"/>
    <n v="0"/>
    <n v="0"/>
    <n v="0"/>
    <n v="1"/>
    <n v="1"/>
    <n v="0"/>
    <n v="2"/>
  </r>
  <r>
    <x v="205"/>
    <x v="205"/>
    <x v="4"/>
    <s v="Pastanaga"/>
    <n v="0"/>
    <n v="0"/>
    <n v="0"/>
    <n v="0"/>
    <n v="0"/>
    <n v="1"/>
    <n v="0"/>
    <n v="1"/>
  </r>
  <r>
    <x v="205"/>
    <x v="205"/>
    <x v="4"/>
    <s v="Mongeta tendra"/>
    <n v="0"/>
    <n v="0"/>
    <n v="0"/>
    <n v="0"/>
    <n v="2"/>
    <n v="0"/>
    <n v="0"/>
    <n v="2"/>
  </r>
  <r>
    <x v="205"/>
    <x v="205"/>
    <x v="4"/>
    <s v="Pèsol verd"/>
    <n v="0"/>
    <n v="0"/>
    <n v="0"/>
    <n v="0"/>
    <n v="2"/>
    <n v="0"/>
    <n v="0"/>
    <n v="2"/>
  </r>
  <r>
    <x v="205"/>
    <x v="205"/>
    <x v="4"/>
    <s v="Fava tendra"/>
    <n v="0"/>
    <n v="0"/>
    <n v="0"/>
    <n v="0"/>
    <n v="0"/>
    <n v="1"/>
    <n v="0"/>
    <n v="1"/>
  </r>
  <r>
    <x v="205"/>
    <x v="205"/>
    <x v="4"/>
    <s v="Carbassó"/>
    <n v="0"/>
    <n v="0"/>
    <n v="0"/>
    <n v="0"/>
    <n v="0"/>
    <n v="1"/>
    <n v="0"/>
    <n v="1"/>
  </r>
  <r>
    <x v="205"/>
    <x v="205"/>
    <x v="2"/>
    <s v="Mongeta seca"/>
    <n v="0"/>
    <n v="0"/>
    <n v="0"/>
    <n v="0"/>
    <n v="1"/>
    <n v="0"/>
    <n v="0"/>
    <n v="1"/>
  </r>
  <r>
    <x v="206"/>
    <x v="206"/>
    <x v="1"/>
    <s v="Praderes polifites"/>
    <n v="9"/>
    <n v="0"/>
    <n v="0"/>
    <n v="9"/>
    <n v="0"/>
    <n v="0"/>
    <n v="0"/>
    <n v="0"/>
  </r>
  <r>
    <x v="207"/>
    <x v="207"/>
    <x v="0"/>
    <s v="Blat tou"/>
    <n v="167"/>
    <n v="0"/>
    <n v="0"/>
    <n v="167"/>
    <n v="0"/>
    <n v="0"/>
    <n v="0"/>
    <n v="0"/>
  </r>
  <r>
    <x v="207"/>
    <x v="207"/>
    <x v="0"/>
    <s v="Ordi"/>
    <n v="384"/>
    <n v="0"/>
    <n v="0"/>
    <n v="384"/>
    <n v="0"/>
    <n v="0"/>
    <n v="0"/>
    <n v="0"/>
  </r>
  <r>
    <x v="207"/>
    <x v="207"/>
    <x v="0"/>
    <s v="Civada"/>
    <n v="9"/>
    <n v="0"/>
    <n v="0"/>
    <n v="9"/>
    <n v="0"/>
    <n v="0"/>
    <n v="0"/>
    <n v="0"/>
  </r>
  <r>
    <x v="207"/>
    <x v="207"/>
    <x v="0"/>
    <s v="Blat de moro"/>
    <n v="1"/>
    <n v="0"/>
    <n v="0"/>
    <n v="1"/>
    <n v="0"/>
    <n v="0"/>
    <n v="0"/>
    <n v="0"/>
  </r>
  <r>
    <x v="207"/>
    <x v="207"/>
    <x v="1"/>
    <s v="Cereals d'hivern per a farratge"/>
    <n v="37"/>
    <n v="0"/>
    <n v="0"/>
    <n v="37"/>
    <n v="0"/>
    <n v="0"/>
    <n v="0"/>
    <n v="0"/>
  </r>
  <r>
    <x v="207"/>
    <x v="207"/>
    <x v="1"/>
    <s v="Blat de moro farratger"/>
    <n v="2"/>
    <n v="0"/>
    <n v="0"/>
    <n v="2"/>
    <n v="0"/>
    <n v="0"/>
    <n v="0"/>
    <n v="0"/>
  </r>
  <r>
    <x v="207"/>
    <x v="207"/>
    <x v="1"/>
    <s v="Sorgo farratger"/>
    <n v="5"/>
    <n v="0"/>
    <n v="0"/>
    <n v="5"/>
    <n v="0"/>
    <n v="0"/>
    <n v="0"/>
    <n v="0"/>
  </r>
  <r>
    <x v="207"/>
    <x v="207"/>
    <x v="1"/>
    <s v="Raigràs"/>
    <n v="18"/>
    <n v="0"/>
    <n v="0"/>
    <n v="18"/>
    <n v="1"/>
    <n v="0"/>
    <n v="0"/>
    <n v="1"/>
  </r>
  <r>
    <x v="207"/>
    <x v="207"/>
    <x v="1"/>
    <s v="Alfals"/>
    <n v="3"/>
    <n v="0"/>
    <n v="0"/>
    <n v="3"/>
    <n v="0"/>
    <n v="0"/>
    <n v="0"/>
    <n v="0"/>
  </r>
  <r>
    <x v="207"/>
    <x v="207"/>
    <x v="1"/>
    <s v="Trepadella"/>
    <n v="1"/>
    <n v="0"/>
    <n v="0"/>
    <n v="1"/>
    <n v="0"/>
    <n v="0"/>
    <n v="0"/>
    <n v="0"/>
  </r>
  <r>
    <x v="207"/>
    <x v="207"/>
    <x v="1"/>
    <s v="Associació Veça - Civada farratgeres"/>
    <n v="9"/>
    <n v="0"/>
    <n v="0"/>
    <n v="9"/>
    <n v="0"/>
    <n v="0"/>
    <n v="0"/>
    <n v="0"/>
  </r>
  <r>
    <x v="207"/>
    <x v="207"/>
    <x v="3"/>
    <s v="Colza"/>
    <n v="18"/>
    <n v="0"/>
    <n v="0"/>
    <n v="18"/>
    <n v="0"/>
    <n v="0"/>
    <n v="0"/>
    <n v="0"/>
  </r>
  <r>
    <x v="207"/>
    <x v="207"/>
    <x v="3"/>
    <s v="Camelina"/>
    <n v="3"/>
    <n v="0"/>
    <n v="0"/>
    <n v="3"/>
    <n v="0"/>
    <n v="0"/>
    <n v="0"/>
    <n v="0"/>
  </r>
  <r>
    <x v="207"/>
    <x v="207"/>
    <x v="4"/>
    <s v="Bleda"/>
    <n v="0"/>
    <n v="0"/>
    <n v="0"/>
    <n v="0"/>
    <n v="1"/>
    <n v="0"/>
    <n v="0"/>
    <n v="1"/>
  </r>
  <r>
    <x v="207"/>
    <x v="207"/>
    <x v="4"/>
    <s v="Tomàquet"/>
    <n v="0"/>
    <n v="0"/>
    <n v="0"/>
    <n v="0"/>
    <n v="1"/>
    <n v="0"/>
    <n v="0"/>
    <n v="1"/>
  </r>
  <r>
    <x v="207"/>
    <x v="207"/>
    <x v="2"/>
    <s v="Pèsol sec"/>
    <n v="25"/>
    <n v="0"/>
    <n v="0"/>
    <n v="25"/>
    <n v="0"/>
    <n v="0"/>
    <n v="0"/>
    <n v="0"/>
  </r>
  <r>
    <x v="208"/>
    <x v="208"/>
    <x v="1"/>
    <s v="Alfals"/>
    <n v="0"/>
    <n v="0"/>
    <n v="0"/>
    <n v="0"/>
    <n v="3"/>
    <n v="0"/>
    <n v="0"/>
    <n v="3"/>
  </r>
  <r>
    <x v="208"/>
    <x v="208"/>
    <x v="4"/>
    <s v="Col de cabdell"/>
    <n v="0"/>
    <n v="0"/>
    <n v="0"/>
    <n v="0"/>
    <n v="2"/>
    <n v="0"/>
    <n v="0"/>
    <n v="2"/>
  </r>
  <r>
    <x v="208"/>
    <x v="208"/>
    <x v="4"/>
    <s v="Api"/>
    <n v="0"/>
    <n v="0"/>
    <n v="0"/>
    <n v="0"/>
    <n v="1"/>
    <n v="0"/>
    <n v="0"/>
    <n v="1"/>
  </r>
  <r>
    <x v="208"/>
    <x v="208"/>
    <x v="4"/>
    <s v="Enciam"/>
    <n v="0"/>
    <n v="0"/>
    <n v="0"/>
    <n v="0"/>
    <n v="3"/>
    <n v="0"/>
    <n v="0"/>
    <n v="3"/>
  </r>
  <r>
    <x v="208"/>
    <x v="208"/>
    <x v="4"/>
    <s v="Escarola"/>
    <n v="0"/>
    <n v="0"/>
    <n v="0"/>
    <n v="0"/>
    <n v="1"/>
    <n v="0"/>
    <n v="0"/>
    <n v="1"/>
  </r>
  <r>
    <x v="208"/>
    <x v="208"/>
    <x v="4"/>
    <s v="Carbassa"/>
    <n v="0"/>
    <n v="0"/>
    <n v="0"/>
    <n v="0"/>
    <n v="1"/>
    <n v="0"/>
    <n v="0"/>
    <n v="1"/>
  </r>
  <r>
    <x v="208"/>
    <x v="208"/>
    <x v="4"/>
    <s v="Cogombre"/>
    <n v="0"/>
    <n v="0"/>
    <n v="0"/>
    <n v="0"/>
    <n v="1"/>
    <n v="0"/>
    <n v="0"/>
    <n v="1"/>
  </r>
  <r>
    <x v="208"/>
    <x v="208"/>
    <x v="4"/>
    <s v="Albergínia"/>
    <n v="0"/>
    <n v="0"/>
    <n v="0"/>
    <n v="0"/>
    <n v="3"/>
    <n v="0"/>
    <n v="0"/>
    <n v="3"/>
  </r>
  <r>
    <x v="208"/>
    <x v="208"/>
    <x v="4"/>
    <s v="Tomàquet"/>
    <n v="0"/>
    <n v="0"/>
    <n v="0"/>
    <n v="0"/>
    <n v="1"/>
    <n v="0"/>
    <n v="0"/>
    <n v="1"/>
  </r>
  <r>
    <x v="208"/>
    <x v="208"/>
    <x v="4"/>
    <s v="Carxofa"/>
    <n v="0"/>
    <n v="0"/>
    <n v="0"/>
    <n v="0"/>
    <n v="6"/>
    <n v="0"/>
    <n v="0"/>
    <n v="6"/>
  </r>
  <r>
    <x v="208"/>
    <x v="208"/>
    <x v="4"/>
    <s v="Ceba"/>
    <n v="0"/>
    <n v="0"/>
    <n v="0"/>
    <n v="0"/>
    <n v="2"/>
    <n v="0"/>
    <n v="0"/>
    <n v="2"/>
  </r>
  <r>
    <x v="208"/>
    <x v="208"/>
    <x v="4"/>
    <s v="Fava tendra"/>
    <n v="0"/>
    <n v="0"/>
    <n v="0"/>
    <n v="0"/>
    <n v="4"/>
    <n v="0"/>
    <n v="0"/>
    <n v="4"/>
  </r>
  <r>
    <x v="208"/>
    <x v="208"/>
    <x v="4"/>
    <s v="Carbassó"/>
    <n v="0"/>
    <n v="0"/>
    <n v="0"/>
    <n v="0"/>
    <n v="2"/>
    <n v="0"/>
    <n v="0"/>
    <n v="2"/>
  </r>
  <r>
    <x v="209"/>
    <x v="209"/>
    <x v="1"/>
    <s v="Alfals"/>
    <n v="1"/>
    <n v="0"/>
    <n v="0"/>
    <n v="1"/>
    <n v="0"/>
    <n v="0"/>
    <n v="0"/>
    <n v="0"/>
  </r>
  <r>
    <x v="209"/>
    <x v="209"/>
    <x v="1"/>
    <s v="Praderes polifites"/>
    <n v="2"/>
    <n v="0"/>
    <n v="0"/>
    <n v="2"/>
    <n v="0"/>
    <n v="0"/>
    <n v="0"/>
    <n v="0"/>
  </r>
  <r>
    <x v="210"/>
    <x v="210"/>
    <x v="0"/>
    <s v="Blat tou"/>
    <n v="59"/>
    <n v="0"/>
    <n v="0"/>
    <n v="59"/>
    <n v="0"/>
    <n v="0"/>
    <n v="0"/>
    <n v="0"/>
  </r>
  <r>
    <x v="210"/>
    <x v="210"/>
    <x v="0"/>
    <s v="Ordi"/>
    <n v="63"/>
    <n v="0"/>
    <n v="0"/>
    <n v="63"/>
    <n v="1"/>
    <n v="0"/>
    <n v="0"/>
    <n v="1"/>
  </r>
  <r>
    <x v="210"/>
    <x v="210"/>
    <x v="0"/>
    <s v="Civada"/>
    <n v="5"/>
    <n v="0"/>
    <n v="0"/>
    <n v="5"/>
    <n v="0"/>
    <n v="0"/>
    <n v="0"/>
    <n v="0"/>
  </r>
  <r>
    <x v="210"/>
    <x v="210"/>
    <x v="1"/>
    <s v="Cereals d'hivern per a farratge"/>
    <n v="14"/>
    <n v="0"/>
    <n v="0"/>
    <n v="14"/>
    <n v="0"/>
    <n v="0"/>
    <n v="0"/>
    <n v="0"/>
  </r>
  <r>
    <x v="210"/>
    <x v="210"/>
    <x v="1"/>
    <s v="Blat de moro farratger"/>
    <n v="3"/>
    <n v="39"/>
    <n v="0"/>
    <n v="42"/>
    <n v="0"/>
    <n v="18"/>
    <n v="0"/>
    <n v="18"/>
  </r>
  <r>
    <x v="210"/>
    <x v="210"/>
    <x v="1"/>
    <s v="Sorgo farratger"/>
    <n v="4"/>
    <n v="17"/>
    <n v="0"/>
    <n v="21"/>
    <n v="0"/>
    <n v="0"/>
    <n v="0"/>
    <n v="0"/>
  </r>
  <r>
    <x v="210"/>
    <x v="210"/>
    <x v="1"/>
    <s v="Raigràs"/>
    <n v="80"/>
    <n v="0"/>
    <n v="0"/>
    <n v="80"/>
    <n v="18"/>
    <n v="0"/>
    <n v="0"/>
    <n v="18"/>
  </r>
  <r>
    <x v="210"/>
    <x v="210"/>
    <x v="1"/>
    <s v="Alfals"/>
    <n v="32"/>
    <n v="0"/>
    <n v="0"/>
    <n v="32"/>
    <n v="2"/>
    <n v="0"/>
    <n v="0"/>
    <n v="2"/>
  </r>
  <r>
    <x v="210"/>
    <x v="210"/>
    <x v="1"/>
    <s v="Praderes polifites"/>
    <n v="20"/>
    <n v="0"/>
    <n v="0"/>
    <n v="20"/>
    <n v="0"/>
    <n v="0"/>
    <n v="0"/>
    <n v="0"/>
  </r>
  <r>
    <x v="210"/>
    <x v="210"/>
    <x v="3"/>
    <s v="Colza"/>
    <n v="3"/>
    <n v="0"/>
    <n v="0"/>
    <n v="3"/>
    <n v="0"/>
    <n v="0"/>
    <n v="0"/>
    <n v="0"/>
  </r>
  <r>
    <x v="210"/>
    <x v="210"/>
    <x v="2"/>
    <s v="Pèsol sec"/>
    <n v="3"/>
    <n v="0"/>
    <n v="0"/>
    <n v="3"/>
    <n v="0"/>
    <n v="0"/>
    <n v="0"/>
    <n v="0"/>
  </r>
  <r>
    <x v="210"/>
    <x v="210"/>
    <x v="2"/>
    <s v="Veça"/>
    <n v="2"/>
    <n v="0"/>
    <n v="0"/>
    <n v="2"/>
    <n v="0"/>
    <n v="0"/>
    <n v="0"/>
    <n v="0"/>
  </r>
  <r>
    <x v="211"/>
    <x v="211"/>
    <x v="4"/>
    <s v="Col de cabdell"/>
    <n v="0"/>
    <n v="0"/>
    <n v="0"/>
    <n v="0"/>
    <n v="1"/>
    <n v="0"/>
    <n v="0"/>
    <n v="1"/>
  </r>
  <r>
    <x v="211"/>
    <x v="211"/>
    <x v="4"/>
    <s v="Enciam"/>
    <n v="0"/>
    <n v="0"/>
    <n v="0"/>
    <n v="0"/>
    <n v="1"/>
    <n v="0"/>
    <n v="0"/>
    <n v="1"/>
  </r>
  <r>
    <x v="211"/>
    <x v="211"/>
    <x v="4"/>
    <s v="Tomàquet"/>
    <n v="0"/>
    <n v="0"/>
    <n v="0"/>
    <n v="0"/>
    <n v="1"/>
    <n v="0"/>
    <n v="0"/>
    <n v="1"/>
  </r>
  <r>
    <x v="211"/>
    <x v="211"/>
    <x v="4"/>
    <s v="Carxofa"/>
    <n v="0"/>
    <n v="0"/>
    <n v="0"/>
    <n v="0"/>
    <n v="1"/>
    <n v="0"/>
    <n v="0"/>
    <n v="1"/>
  </r>
  <r>
    <x v="211"/>
    <x v="211"/>
    <x v="4"/>
    <s v="Ceba"/>
    <n v="0"/>
    <n v="0"/>
    <n v="0"/>
    <n v="0"/>
    <n v="1"/>
    <n v="0"/>
    <n v="0"/>
    <n v="1"/>
  </r>
  <r>
    <x v="211"/>
    <x v="211"/>
    <x v="4"/>
    <s v="Fava tendra"/>
    <n v="0"/>
    <n v="0"/>
    <n v="0"/>
    <n v="0"/>
    <n v="2"/>
    <n v="0"/>
    <n v="0"/>
    <n v="2"/>
  </r>
  <r>
    <x v="212"/>
    <x v="212"/>
    <x v="0"/>
    <s v="Blat tou"/>
    <n v="30"/>
    <n v="0"/>
    <n v="0"/>
    <n v="30"/>
    <n v="0"/>
    <n v="0"/>
    <n v="0"/>
    <n v="0"/>
  </r>
  <r>
    <x v="212"/>
    <x v="212"/>
    <x v="0"/>
    <s v="Ordi"/>
    <n v="56"/>
    <n v="0"/>
    <n v="0"/>
    <n v="56"/>
    <n v="0"/>
    <n v="0"/>
    <n v="0"/>
    <n v="0"/>
  </r>
  <r>
    <x v="212"/>
    <x v="212"/>
    <x v="0"/>
    <s v="Civada"/>
    <n v="14"/>
    <n v="0"/>
    <n v="0"/>
    <n v="14"/>
    <n v="0"/>
    <n v="0"/>
    <n v="0"/>
    <n v="0"/>
  </r>
  <r>
    <x v="212"/>
    <x v="212"/>
    <x v="1"/>
    <s v="Alfals"/>
    <n v="5"/>
    <n v="0"/>
    <n v="0"/>
    <n v="5"/>
    <n v="0"/>
    <n v="0"/>
    <n v="0"/>
    <n v="0"/>
  </r>
  <r>
    <x v="212"/>
    <x v="212"/>
    <x v="1"/>
    <s v="Trepadella"/>
    <n v="2"/>
    <n v="0"/>
    <n v="0"/>
    <n v="2"/>
    <n v="0"/>
    <n v="0"/>
    <n v="0"/>
    <n v="0"/>
  </r>
  <r>
    <x v="212"/>
    <x v="212"/>
    <x v="4"/>
    <s v="Meló"/>
    <n v="2"/>
    <n v="0"/>
    <n v="0"/>
    <n v="2"/>
    <n v="0"/>
    <n v="0"/>
    <n v="0"/>
    <n v="0"/>
  </r>
  <r>
    <x v="212"/>
    <x v="212"/>
    <x v="4"/>
    <s v="Tomàquet"/>
    <n v="2"/>
    <n v="0"/>
    <n v="0"/>
    <n v="2"/>
    <n v="0"/>
    <n v="0"/>
    <n v="0"/>
    <n v="0"/>
  </r>
  <r>
    <x v="212"/>
    <x v="212"/>
    <x v="2"/>
    <s v="Veça"/>
    <n v="2"/>
    <n v="0"/>
    <n v="0"/>
    <n v="2"/>
    <n v="1"/>
    <n v="0"/>
    <n v="0"/>
    <n v="1"/>
  </r>
  <r>
    <x v="212"/>
    <x v="212"/>
    <x v="6"/>
    <s v="Patata d'estació mitjana"/>
    <n v="1"/>
    <n v="0"/>
    <n v="0"/>
    <n v="1"/>
    <n v="0"/>
    <n v="0"/>
    <n v="0"/>
    <n v="0"/>
  </r>
  <r>
    <x v="213"/>
    <x v="213"/>
    <x v="0"/>
    <s v="Ordi"/>
    <n v="19"/>
    <n v="0"/>
    <n v="0"/>
    <n v="19"/>
    <n v="0"/>
    <n v="0"/>
    <n v="0"/>
    <n v="0"/>
  </r>
  <r>
    <x v="213"/>
    <x v="213"/>
    <x v="0"/>
    <s v="Civada"/>
    <n v="15"/>
    <n v="0"/>
    <n v="0"/>
    <n v="15"/>
    <n v="0"/>
    <n v="0"/>
    <n v="0"/>
    <n v="0"/>
  </r>
  <r>
    <x v="213"/>
    <x v="213"/>
    <x v="1"/>
    <s v="Cereals d'hivern per a farratge"/>
    <n v="15"/>
    <n v="0"/>
    <n v="0"/>
    <n v="15"/>
    <n v="0"/>
    <n v="0"/>
    <n v="0"/>
    <n v="0"/>
  </r>
  <r>
    <x v="213"/>
    <x v="213"/>
    <x v="1"/>
    <s v="Raigràs"/>
    <n v="2"/>
    <n v="0"/>
    <n v="0"/>
    <n v="2"/>
    <n v="0"/>
    <n v="0"/>
    <n v="0"/>
    <n v="0"/>
  </r>
  <r>
    <x v="213"/>
    <x v="213"/>
    <x v="1"/>
    <s v="Alfals"/>
    <n v="2"/>
    <n v="0"/>
    <n v="0"/>
    <n v="2"/>
    <n v="0"/>
    <n v="0"/>
    <n v="0"/>
    <n v="0"/>
  </r>
  <r>
    <x v="213"/>
    <x v="213"/>
    <x v="1"/>
    <s v="Trepadella"/>
    <n v="5"/>
    <n v="0"/>
    <n v="0"/>
    <n v="5"/>
    <n v="0"/>
    <n v="0"/>
    <n v="0"/>
    <n v="0"/>
  </r>
  <r>
    <x v="213"/>
    <x v="213"/>
    <x v="3"/>
    <s v="Gira-sol"/>
    <n v="1"/>
    <n v="0"/>
    <n v="0"/>
    <n v="1"/>
    <n v="0"/>
    <n v="0"/>
    <n v="0"/>
    <n v="0"/>
  </r>
  <r>
    <x v="213"/>
    <x v="213"/>
    <x v="2"/>
    <s v="Pèsol sec"/>
    <n v="2"/>
    <n v="0"/>
    <n v="0"/>
    <n v="2"/>
    <n v="0"/>
    <n v="0"/>
    <n v="0"/>
    <n v="0"/>
  </r>
  <r>
    <x v="213"/>
    <x v="213"/>
    <x v="2"/>
    <s v="Veça"/>
    <n v="2"/>
    <n v="0"/>
    <n v="0"/>
    <n v="2"/>
    <n v="0"/>
    <n v="0"/>
    <n v="0"/>
    <n v="0"/>
  </r>
  <r>
    <x v="214"/>
    <x v="214"/>
    <x v="0"/>
    <s v="Blat tou"/>
    <n v="96"/>
    <n v="0"/>
    <n v="0"/>
    <n v="96"/>
    <n v="0"/>
    <n v="0"/>
    <n v="0"/>
    <n v="0"/>
  </r>
  <r>
    <x v="214"/>
    <x v="214"/>
    <x v="0"/>
    <s v="Ordi"/>
    <n v="139"/>
    <n v="0"/>
    <n v="0"/>
    <n v="139"/>
    <n v="0"/>
    <n v="0"/>
    <n v="0"/>
    <n v="0"/>
  </r>
  <r>
    <x v="214"/>
    <x v="214"/>
    <x v="0"/>
    <s v="Civada"/>
    <n v="2"/>
    <n v="0"/>
    <n v="0"/>
    <n v="2"/>
    <n v="0"/>
    <n v="0"/>
    <n v="0"/>
    <n v="0"/>
  </r>
  <r>
    <x v="214"/>
    <x v="214"/>
    <x v="0"/>
    <s v="Mill i melca"/>
    <n v="1"/>
    <n v="0"/>
    <n v="0"/>
    <n v="1"/>
    <n v="0"/>
    <n v="0"/>
    <n v="0"/>
    <n v="0"/>
  </r>
  <r>
    <x v="214"/>
    <x v="214"/>
    <x v="1"/>
    <s v="Cereals d'hivern per a farratge"/>
    <n v="6"/>
    <n v="0"/>
    <n v="0"/>
    <n v="6"/>
    <n v="0"/>
    <n v="0"/>
    <n v="0"/>
    <n v="0"/>
  </r>
  <r>
    <x v="214"/>
    <x v="214"/>
    <x v="1"/>
    <s v="Raigràs"/>
    <n v="82"/>
    <n v="0"/>
    <n v="0"/>
    <n v="82"/>
    <n v="0"/>
    <n v="0"/>
    <n v="0"/>
    <n v="0"/>
  </r>
  <r>
    <x v="214"/>
    <x v="214"/>
    <x v="1"/>
    <s v="Alfals"/>
    <n v="7"/>
    <n v="0"/>
    <n v="0"/>
    <n v="7"/>
    <n v="0"/>
    <n v="0"/>
    <n v="0"/>
    <n v="0"/>
  </r>
  <r>
    <x v="214"/>
    <x v="214"/>
    <x v="1"/>
    <s v="Praderes polifites"/>
    <n v="125"/>
    <n v="0"/>
    <n v="0"/>
    <n v="125"/>
    <n v="0"/>
    <n v="0"/>
    <n v="0"/>
    <n v="0"/>
  </r>
  <r>
    <x v="214"/>
    <x v="214"/>
    <x v="1"/>
    <s v="Festuca"/>
    <n v="13"/>
    <n v="0"/>
    <n v="0"/>
    <n v="13"/>
    <n v="0"/>
    <n v="0"/>
    <n v="0"/>
    <n v="0"/>
  </r>
  <r>
    <x v="214"/>
    <x v="214"/>
    <x v="3"/>
    <s v="Gira-sol"/>
    <n v="22"/>
    <n v="0"/>
    <n v="0"/>
    <n v="22"/>
    <n v="0"/>
    <n v="0"/>
    <n v="0"/>
    <n v="0"/>
  </r>
  <r>
    <x v="214"/>
    <x v="214"/>
    <x v="3"/>
    <s v="Colza"/>
    <n v="28"/>
    <n v="0"/>
    <n v="0"/>
    <n v="28"/>
    <n v="0"/>
    <n v="0"/>
    <n v="0"/>
    <n v="0"/>
  </r>
  <r>
    <x v="214"/>
    <x v="214"/>
    <x v="2"/>
    <s v="Veça"/>
    <n v="3"/>
    <n v="0"/>
    <n v="0"/>
    <n v="3"/>
    <n v="0"/>
    <n v="0"/>
    <n v="0"/>
    <n v="0"/>
  </r>
  <r>
    <x v="215"/>
    <x v="215"/>
    <x v="0"/>
    <s v="Blat tou"/>
    <n v="66"/>
    <n v="0"/>
    <n v="0"/>
    <n v="66"/>
    <n v="0"/>
    <n v="0"/>
    <n v="0"/>
    <n v="0"/>
  </r>
  <r>
    <x v="215"/>
    <x v="215"/>
    <x v="0"/>
    <s v="Ordi"/>
    <n v="65"/>
    <n v="0"/>
    <n v="0"/>
    <n v="65"/>
    <n v="19"/>
    <n v="0"/>
    <n v="0"/>
    <n v="19"/>
  </r>
  <r>
    <x v="215"/>
    <x v="215"/>
    <x v="0"/>
    <s v="Civada"/>
    <n v="5"/>
    <n v="0"/>
    <n v="0"/>
    <n v="5"/>
    <n v="0"/>
    <n v="0"/>
    <n v="0"/>
    <n v="0"/>
  </r>
  <r>
    <x v="215"/>
    <x v="215"/>
    <x v="0"/>
    <s v="Triticale"/>
    <n v="3"/>
    <n v="0"/>
    <n v="0"/>
    <n v="3"/>
    <n v="0"/>
    <n v="0"/>
    <n v="0"/>
    <n v="0"/>
  </r>
  <r>
    <x v="215"/>
    <x v="215"/>
    <x v="1"/>
    <s v="Cereals d'hivern per a farratge"/>
    <n v="41"/>
    <n v="0"/>
    <n v="0"/>
    <n v="41"/>
    <n v="0"/>
    <n v="0"/>
    <n v="0"/>
    <n v="0"/>
  </r>
  <r>
    <x v="215"/>
    <x v="215"/>
    <x v="1"/>
    <s v="Sorgo farratger"/>
    <n v="0"/>
    <n v="9"/>
    <n v="0"/>
    <n v="9"/>
    <n v="0"/>
    <n v="0"/>
    <n v="0"/>
    <n v="0"/>
  </r>
  <r>
    <x v="215"/>
    <x v="215"/>
    <x v="1"/>
    <s v="Raigràs"/>
    <n v="46"/>
    <n v="0"/>
    <n v="0"/>
    <n v="46"/>
    <n v="0"/>
    <n v="0"/>
    <n v="0"/>
    <n v="0"/>
  </r>
  <r>
    <x v="215"/>
    <x v="215"/>
    <x v="1"/>
    <s v="Alfals"/>
    <n v="19"/>
    <n v="0"/>
    <n v="0"/>
    <n v="19"/>
    <n v="0"/>
    <n v="0"/>
    <n v="0"/>
    <n v="0"/>
  </r>
  <r>
    <x v="215"/>
    <x v="215"/>
    <x v="1"/>
    <s v="Trepadella"/>
    <n v="0"/>
    <n v="0"/>
    <n v="0"/>
    <n v="0"/>
    <n v="3"/>
    <n v="0"/>
    <n v="0"/>
    <n v="3"/>
  </r>
  <r>
    <x v="215"/>
    <x v="215"/>
    <x v="1"/>
    <s v="Praderes polifites"/>
    <n v="51"/>
    <n v="0"/>
    <n v="0"/>
    <n v="51"/>
    <n v="0"/>
    <n v="0"/>
    <n v="0"/>
    <n v="0"/>
  </r>
  <r>
    <x v="215"/>
    <x v="215"/>
    <x v="1"/>
    <s v="Festuca"/>
    <n v="4"/>
    <n v="0"/>
    <n v="0"/>
    <n v="4"/>
    <n v="0"/>
    <n v="0"/>
    <n v="0"/>
    <n v="0"/>
  </r>
  <r>
    <x v="215"/>
    <x v="215"/>
    <x v="1"/>
    <s v="Associació Veça - Civada farratgeres"/>
    <n v="2"/>
    <n v="0"/>
    <n v="0"/>
    <n v="2"/>
    <n v="0"/>
    <n v="0"/>
    <n v="0"/>
    <n v="0"/>
  </r>
  <r>
    <x v="215"/>
    <x v="215"/>
    <x v="3"/>
    <s v="Colza"/>
    <n v="1"/>
    <n v="0"/>
    <n v="0"/>
    <n v="1"/>
    <n v="5"/>
    <n v="0"/>
    <n v="0"/>
    <n v="5"/>
  </r>
  <r>
    <x v="215"/>
    <x v="215"/>
    <x v="4"/>
    <s v="Enciam"/>
    <n v="0"/>
    <n v="0"/>
    <n v="0"/>
    <n v="0"/>
    <n v="1"/>
    <n v="0"/>
    <n v="0"/>
    <n v="1"/>
  </r>
  <r>
    <x v="215"/>
    <x v="215"/>
    <x v="2"/>
    <s v="Pèsol sec"/>
    <n v="2"/>
    <n v="0"/>
    <n v="0"/>
    <n v="2"/>
    <n v="0"/>
    <n v="0"/>
    <n v="0"/>
    <n v="0"/>
  </r>
  <r>
    <x v="215"/>
    <x v="215"/>
    <x v="2"/>
    <s v="Veça"/>
    <n v="6"/>
    <n v="0"/>
    <n v="0"/>
    <n v="6"/>
    <n v="0"/>
    <n v="0"/>
    <n v="0"/>
    <n v="0"/>
  </r>
  <r>
    <x v="216"/>
    <x v="216"/>
    <x v="0"/>
    <s v="Blat tou"/>
    <n v="277"/>
    <n v="0"/>
    <n v="0"/>
    <n v="277"/>
    <n v="0"/>
    <n v="0"/>
    <n v="0"/>
    <n v="0"/>
  </r>
  <r>
    <x v="216"/>
    <x v="216"/>
    <x v="0"/>
    <s v="Ordi"/>
    <n v="672"/>
    <n v="0"/>
    <n v="0"/>
    <n v="672"/>
    <n v="5"/>
    <n v="0"/>
    <n v="0"/>
    <n v="5"/>
  </r>
  <r>
    <x v="216"/>
    <x v="216"/>
    <x v="0"/>
    <s v="Civada"/>
    <n v="5"/>
    <n v="0"/>
    <n v="0"/>
    <n v="5"/>
    <n v="0"/>
    <n v="0"/>
    <n v="0"/>
    <n v="0"/>
  </r>
  <r>
    <x v="216"/>
    <x v="216"/>
    <x v="1"/>
    <s v="Cereals d'hivern per a farratge"/>
    <n v="19"/>
    <n v="0"/>
    <n v="0"/>
    <n v="19"/>
    <n v="0"/>
    <n v="0"/>
    <n v="0"/>
    <n v="0"/>
  </r>
  <r>
    <x v="216"/>
    <x v="216"/>
    <x v="1"/>
    <s v="Alfals"/>
    <n v="2"/>
    <n v="0"/>
    <n v="0"/>
    <n v="2"/>
    <n v="0"/>
    <n v="0"/>
    <n v="0"/>
    <n v="0"/>
  </r>
  <r>
    <x v="216"/>
    <x v="216"/>
    <x v="1"/>
    <s v="Trepadella"/>
    <n v="4"/>
    <n v="0"/>
    <n v="0"/>
    <n v="4"/>
    <n v="0"/>
    <n v="0"/>
    <n v="0"/>
    <n v="0"/>
  </r>
  <r>
    <x v="216"/>
    <x v="216"/>
    <x v="3"/>
    <s v="Gira-sol"/>
    <n v="7"/>
    <n v="0"/>
    <n v="0"/>
    <n v="7"/>
    <n v="0"/>
    <n v="0"/>
    <n v="0"/>
    <n v="0"/>
  </r>
  <r>
    <x v="216"/>
    <x v="216"/>
    <x v="3"/>
    <s v="Colza"/>
    <n v="13"/>
    <n v="0"/>
    <n v="0"/>
    <n v="13"/>
    <n v="0"/>
    <n v="0"/>
    <n v="0"/>
    <n v="0"/>
  </r>
  <r>
    <x v="216"/>
    <x v="216"/>
    <x v="4"/>
    <s v="Col de cabdell"/>
    <n v="0"/>
    <n v="0"/>
    <n v="0"/>
    <n v="0"/>
    <n v="2"/>
    <n v="0"/>
    <n v="0"/>
    <n v="2"/>
  </r>
  <r>
    <x v="216"/>
    <x v="216"/>
    <x v="4"/>
    <s v="Espinac"/>
    <n v="0"/>
    <n v="0"/>
    <n v="0"/>
    <n v="0"/>
    <n v="1"/>
    <n v="0"/>
    <n v="0"/>
    <n v="1"/>
  </r>
  <r>
    <x v="216"/>
    <x v="216"/>
    <x v="4"/>
    <s v="Bleda"/>
    <n v="0"/>
    <n v="0"/>
    <n v="0"/>
    <n v="0"/>
    <n v="1"/>
    <n v="0"/>
    <n v="0"/>
    <n v="1"/>
  </r>
  <r>
    <x v="216"/>
    <x v="216"/>
    <x v="4"/>
    <s v="Tomàquet"/>
    <n v="5"/>
    <n v="0"/>
    <n v="0"/>
    <n v="5"/>
    <n v="2"/>
    <n v="0"/>
    <n v="0"/>
    <n v="2"/>
  </r>
  <r>
    <x v="216"/>
    <x v="216"/>
    <x v="4"/>
    <s v="Ceba"/>
    <n v="1"/>
    <n v="0"/>
    <n v="0"/>
    <n v="1"/>
    <n v="0"/>
    <n v="0"/>
    <n v="0"/>
    <n v="0"/>
  </r>
  <r>
    <x v="216"/>
    <x v="216"/>
    <x v="2"/>
    <s v="Pèsol sec"/>
    <n v="62"/>
    <n v="0"/>
    <n v="0"/>
    <n v="62"/>
    <n v="0"/>
    <n v="0"/>
    <n v="0"/>
    <n v="0"/>
  </r>
  <r>
    <x v="216"/>
    <x v="216"/>
    <x v="2"/>
    <s v="Veça"/>
    <n v="1"/>
    <n v="0"/>
    <n v="0"/>
    <n v="1"/>
    <n v="0"/>
    <n v="0"/>
    <n v="0"/>
    <n v="0"/>
  </r>
  <r>
    <x v="216"/>
    <x v="216"/>
    <x v="2"/>
    <s v="Erbs"/>
    <n v="6"/>
    <n v="0"/>
    <n v="0"/>
    <n v="6"/>
    <n v="0"/>
    <n v="0"/>
    <n v="0"/>
    <n v="0"/>
  </r>
  <r>
    <x v="217"/>
    <x v="217"/>
    <x v="0"/>
    <s v="Blat tou"/>
    <n v="9"/>
    <n v="0"/>
    <n v="0"/>
    <n v="9"/>
    <n v="0"/>
    <n v="0"/>
    <n v="0"/>
    <n v="0"/>
  </r>
  <r>
    <x v="217"/>
    <x v="217"/>
    <x v="0"/>
    <s v="Ordi"/>
    <n v="51"/>
    <n v="0"/>
    <n v="0"/>
    <n v="51"/>
    <n v="1"/>
    <n v="0"/>
    <n v="0"/>
    <n v="1"/>
  </r>
  <r>
    <x v="217"/>
    <x v="217"/>
    <x v="0"/>
    <s v="Civada"/>
    <n v="15"/>
    <n v="0"/>
    <n v="0"/>
    <n v="15"/>
    <n v="1"/>
    <n v="0"/>
    <n v="0"/>
    <n v="1"/>
  </r>
  <r>
    <x v="217"/>
    <x v="217"/>
    <x v="1"/>
    <s v="Raigràs"/>
    <n v="3"/>
    <n v="0"/>
    <n v="0"/>
    <n v="3"/>
    <n v="0"/>
    <n v="0"/>
    <n v="0"/>
    <n v="0"/>
  </r>
  <r>
    <x v="217"/>
    <x v="217"/>
    <x v="1"/>
    <s v="Alfals"/>
    <n v="7"/>
    <n v="0"/>
    <n v="0"/>
    <n v="7"/>
    <n v="0"/>
    <n v="0"/>
    <n v="0"/>
    <n v="0"/>
  </r>
  <r>
    <x v="217"/>
    <x v="217"/>
    <x v="1"/>
    <s v="Trepadella"/>
    <n v="4"/>
    <n v="0"/>
    <n v="0"/>
    <n v="4"/>
    <n v="0"/>
    <n v="0"/>
    <n v="0"/>
    <n v="0"/>
  </r>
  <r>
    <x v="217"/>
    <x v="217"/>
    <x v="1"/>
    <s v="Associació Veça - Civada farratgeres"/>
    <n v="5"/>
    <n v="0"/>
    <n v="0"/>
    <n v="5"/>
    <n v="0"/>
    <n v="0"/>
    <n v="0"/>
    <n v="0"/>
  </r>
  <r>
    <x v="217"/>
    <x v="217"/>
    <x v="4"/>
    <s v="Bleda"/>
    <n v="0"/>
    <n v="0"/>
    <n v="0"/>
    <n v="0"/>
    <n v="1"/>
    <n v="0"/>
    <n v="0"/>
    <n v="1"/>
  </r>
  <r>
    <x v="217"/>
    <x v="217"/>
    <x v="4"/>
    <s v="Síndria"/>
    <n v="0"/>
    <n v="0"/>
    <n v="0"/>
    <n v="0"/>
    <n v="3"/>
    <n v="0"/>
    <n v="0"/>
    <n v="3"/>
  </r>
  <r>
    <x v="217"/>
    <x v="217"/>
    <x v="4"/>
    <s v="Meló"/>
    <n v="3"/>
    <n v="0"/>
    <n v="0"/>
    <n v="3"/>
    <n v="0"/>
    <n v="0"/>
    <n v="0"/>
    <n v="0"/>
  </r>
  <r>
    <x v="217"/>
    <x v="217"/>
    <x v="4"/>
    <s v="Carbassa"/>
    <n v="1"/>
    <n v="0"/>
    <n v="0"/>
    <n v="1"/>
    <n v="0"/>
    <n v="0"/>
    <n v="0"/>
    <n v="0"/>
  </r>
  <r>
    <x v="217"/>
    <x v="217"/>
    <x v="4"/>
    <s v="Tomàquet"/>
    <n v="4"/>
    <n v="0"/>
    <n v="0"/>
    <n v="4"/>
    <n v="1"/>
    <n v="0"/>
    <n v="0"/>
    <n v="1"/>
  </r>
  <r>
    <x v="217"/>
    <x v="217"/>
    <x v="4"/>
    <s v="Ceba"/>
    <n v="2"/>
    <n v="0"/>
    <n v="0"/>
    <n v="2"/>
    <n v="1"/>
    <n v="0"/>
    <n v="0"/>
    <n v="1"/>
  </r>
  <r>
    <x v="217"/>
    <x v="217"/>
    <x v="4"/>
    <s v="Fava tendra"/>
    <n v="2"/>
    <n v="0"/>
    <n v="0"/>
    <n v="2"/>
    <n v="0"/>
    <n v="0"/>
    <n v="0"/>
    <n v="0"/>
  </r>
  <r>
    <x v="217"/>
    <x v="217"/>
    <x v="4"/>
    <s v="Carbassó"/>
    <n v="0"/>
    <n v="0"/>
    <n v="0"/>
    <n v="0"/>
    <n v="1"/>
    <n v="0"/>
    <n v="0"/>
    <n v="1"/>
  </r>
  <r>
    <x v="217"/>
    <x v="217"/>
    <x v="6"/>
    <s v="Patata d'estació mitjana"/>
    <n v="2"/>
    <n v="0"/>
    <n v="0"/>
    <n v="2"/>
    <n v="0"/>
    <n v="0"/>
    <n v="0"/>
    <n v="0"/>
  </r>
  <r>
    <x v="217"/>
    <x v="217"/>
    <x v="6"/>
    <s v="Patata tardana"/>
    <n v="2"/>
    <n v="0"/>
    <n v="0"/>
    <n v="2"/>
    <n v="0"/>
    <n v="0"/>
    <n v="0"/>
    <n v="0"/>
  </r>
  <r>
    <x v="218"/>
    <x v="218"/>
    <x v="0"/>
    <s v="Blat tou"/>
    <n v="49"/>
    <n v="0"/>
    <n v="0"/>
    <n v="49"/>
    <n v="0"/>
    <n v="0"/>
    <n v="0"/>
    <n v="0"/>
  </r>
  <r>
    <x v="218"/>
    <x v="218"/>
    <x v="0"/>
    <s v="Ordi"/>
    <n v="129"/>
    <n v="0"/>
    <n v="0"/>
    <n v="129"/>
    <n v="0"/>
    <n v="0"/>
    <n v="0"/>
    <n v="0"/>
  </r>
  <r>
    <x v="218"/>
    <x v="218"/>
    <x v="1"/>
    <s v="Alfals"/>
    <n v="3"/>
    <n v="0"/>
    <n v="0"/>
    <n v="3"/>
    <n v="0"/>
    <n v="0"/>
    <n v="0"/>
    <n v="0"/>
  </r>
  <r>
    <x v="218"/>
    <x v="218"/>
    <x v="1"/>
    <s v="Associació Veça - Civada farratgeres"/>
    <n v="2"/>
    <n v="0"/>
    <n v="0"/>
    <n v="2"/>
    <n v="0"/>
    <n v="0"/>
    <n v="0"/>
    <n v="0"/>
  </r>
  <r>
    <x v="218"/>
    <x v="218"/>
    <x v="3"/>
    <s v="Colza"/>
    <n v="4"/>
    <n v="0"/>
    <n v="0"/>
    <n v="4"/>
    <n v="0"/>
    <n v="0"/>
    <n v="0"/>
    <n v="0"/>
  </r>
  <r>
    <x v="218"/>
    <x v="218"/>
    <x v="2"/>
    <s v="Cigró"/>
    <n v="6"/>
    <n v="0"/>
    <n v="0"/>
    <n v="6"/>
    <n v="0"/>
    <n v="0"/>
    <n v="0"/>
    <n v="0"/>
  </r>
  <r>
    <x v="218"/>
    <x v="218"/>
    <x v="2"/>
    <s v="Pèsol sec"/>
    <n v="59"/>
    <n v="0"/>
    <n v="0"/>
    <n v="59"/>
    <n v="0"/>
    <n v="0"/>
    <n v="0"/>
    <n v="0"/>
  </r>
  <r>
    <x v="219"/>
    <x v="219"/>
    <x v="0"/>
    <s v="Blat tou"/>
    <n v="278"/>
    <n v="0"/>
    <n v="0"/>
    <n v="278"/>
    <n v="0"/>
    <n v="0"/>
    <n v="0"/>
    <n v="0"/>
  </r>
  <r>
    <x v="219"/>
    <x v="219"/>
    <x v="0"/>
    <s v="Ordi"/>
    <n v="684"/>
    <n v="0"/>
    <n v="0"/>
    <n v="684"/>
    <n v="0"/>
    <n v="0"/>
    <n v="0"/>
    <n v="0"/>
  </r>
  <r>
    <x v="219"/>
    <x v="219"/>
    <x v="0"/>
    <s v="Civada"/>
    <n v="7"/>
    <n v="0"/>
    <n v="0"/>
    <n v="7"/>
    <n v="0"/>
    <n v="0"/>
    <n v="0"/>
    <n v="0"/>
  </r>
  <r>
    <x v="219"/>
    <x v="219"/>
    <x v="0"/>
    <s v="Sègol"/>
    <n v="33"/>
    <n v="0"/>
    <n v="0"/>
    <n v="33"/>
    <n v="0"/>
    <n v="0"/>
    <n v="0"/>
    <n v="0"/>
  </r>
  <r>
    <x v="219"/>
    <x v="219"/>
    <x v="0"/>
    <s v="Triticale"/>
    <n v="1"/>
    <n v="0"/>
    <n v="0"/>
    <n v="1"/>
    <n v="0"/>
    <n v="0"/>
    <n v="0"/>
    <n v="0"/>
  </r>
  <r>
    <x v="219"/>
    <x v="219"/>
    <x v="1"/>
    <s v="Cereals d'hivern per a farratge"/>
    <n v="32"/>
    <n v="0"/>
    <n v="0"/>
    <n v="32"/>
    <n v="0"/>
    <n v="0"/>
    <n v="0"/>
    <n v="0"/>
  </r>
  <r>
    <x v="219"/>
    <x v="219"/>
    <x v="1"/>
    <s v="Sorgo farratger"/>
    <n v="1"/>
    <n v="0"/>
    <n v="0"/>
    <n v="1"/>
    <n v="0"/>
    <n v="0"/>
    <n v="0"/>
    <n v="0"/>
  </r>
  <r>
    <x v="219"/>
    <x v="219"/>
    <x v="1"/>
    <s v="Raigràs"/>
    <n v="23"/>
    <n v="0"/>
    <n v="0"/>
    <n v="23"/>
    <n v="0"/>
    <n v="0"/>
    <n v="0"/>
    <n v="0"/>
  </r>
  <r>
    <x v="219"/>
    <x v="219"/>
    <x v="1"/>
    <s v="Alfals"/>
    <n v="14"/>
    <n v="0"/>
    <n v="0"/>
    <n v="14"/>
    <n v="0"/>
    <n v="0"/>
    <n v="0"/>
    <n v="0"/>
  </r>
  <r>
    <x v="219"/>
    <x v="219"/>
    <x v="1"/>
    <s v="Trepadella"/>
    <n v="7"/>
    <n v="0"/>
    <n v="0"/>
    <n v="7"/>
    <n v="0"/>
    <n v="0"/>
    <n v="0"/>
    <n v="0"/>
  </r>
  <r>
    <x v="219"/>
    <x v="219"/>
    <x v="1"/>
    <s v="Praderes polifites"/>
    <n v="41"/>
    <n v="0"/>
    <n v="0"/>
    <n v="41"/>
    <n v="0"/>
    <n v="0"/>
    <n v="0"/>
    <n v="0"/>
  </r>
  <r>
    <x v="219"/>
    <x v="219"/>
    <x v="1"/>
    <s v="Associació Veça - Civada farratgeres"/>
    <n v="6"/>
    <n v="0"/>
    <n v="0"/>
    <n v="6"/>
    <n v="0"/>
    <n v="0"/>
    <n v="0"/>
    <n v="0"/>
  </r>
  <r>
    <x v="219"/>
    <x v="219"/>
    <x v="3"/>
    <s v="Colza"/>
    <n v="107"/>
    <n v="0"/>
    <n v="0"/>
    <n v="107"/>
    <n v="0"/>
    <n v="0"/>
    <n v="0"/>
    <n v="0"/>
  </r>
  <r>
    <x v="219"/>
    <x v="219"/>
    <x v="4"/>
    <s v="Bleda"/>
    <n v="0"/>
    <n v="0"/>
    <n v="0"/>
    <n v="0"/>
    <n v="1"/>
    <n v="0"/>
    <n v="0"/>
    <n v="1"/>
  </r>
  <r>
    <x v="219"/>
    <x v="219"/>
    <x v="4"/>
    <s v="Tomàquet"/>
    <n v="0"/>
    <n v="0"/>
    <n v="0"/>
    <n v="0"/>
    <n v="1"/>
    <n v="0"/>
    <n v="0"/>
    <n v="1"/>
  </r>
  <r>
    <x v="219"/>
    <x v="219"/>
    <x v="2"/>
    <s v="Pèsol sec"/>
    <n v="8"/>
    <n v="0"/>
    <n v="0"/>
    <n v="8"/>
    <n v="0"/>
    <n v="0"/>
    <n v="0"/>
    <n v="0"/>
  </r>
  <r>
    <x v="219"/>
    <x v="219"/>
    <x v="2"/>
    <s v="Veça"/>
    <n v="48"/>
    <n v="0"/>
    <n v="0"/>
    <n v="48"/>
    <n v="0"/>
    <n v="0"/>
    <n v="0"/>
    <n v="0"/>
  </r>
  <r>
    <x v="219"/>
    <x v="219"/>
    <x v="2"/>
    <s v="Erbs"/>
    <n v="9"/>
    <n v="0"/>
    <n v="0"/>
    <n v="9"/>
    <n v="0"/>
    <n v="0"/>
    <n v="0"/>
    <n v="0"/>
  </r>
  <r>
    <x v="219"/>
    <x v="219"/>
    <x v="2"/>
    <s v="Favó"/>
    <n v="1"/>
    <n v="0"/>
    <n v="0"/>
    <n v="1"/>
    <n v="0"/>
    <n v="0"/>
    <n v="0"/>
    <n v="0"/>
  </r>
  <r>
    <x v="220"/>
    <x v="220"/>
    <x v="0"/>
    <s v="Blat tou"/>
    <n v="7"/>
    <n v="0"/>
    <n v="0"/>
    <n v="7"/>
    <n v="0"/>
    <n v="0"/>
    <n v="0"/>
    <n v="0"/>
  </r>
  <r>
    <x v="220"/>
    <x v="220"/>
    <x v="0"/>
    <s v="Ordi"/>
    <n v="36"/>
    <n v="0"/>
    <n v="0"/>
    <n v="36"/>
    <n v="0"/>
    <n v="0"/>
    <n v="0"/>
    <n v="0"/>
  </r>
  <r>
    <x v="220"/>
    <x v="220"/>
    <x v="0"/>
    <s v="Civada"/>
    <n v="6"/>
    <n v="0"/>
    <n v="0"/>
    <n v="6"/>
    <n v="0"/>
    <n v="0"/>
    <n v="0"/>
    <n v="0"/>
  </r>
  <r>
    <x v="220"/>
    <x v="220"/>
    <x v="1"/>
    <s v="Cereals d'hivern per a farratge"/>
    <n v="25"/>
    <n v="0"/>
    <n v="0"/>
    <n v="25"/>
    <n v="0"/>
    <n v="0"/>
    <n v="0"/>
    <n v="0"/>
  </r>
  <r>
    <x v="220"/>
    <x v="220"/>
    <x v="1"/>
    <s v="Raigràs"/>
    <n v="15"/>
    <n v="0"/>
    <n v="0"/>
    <n v="15"/>
    <n v="0"/>
    <n v="0"/>
    <n v="0"/>
    <n v="0"/>
  </r>
  <r>
    <x v="220"/>
    <x v="220"/>
    <x v="1"/>
    <s v="Alfals"/>
    <n v="23"/>
    <n v="0"/>
    <n v="0"/>
    <n v="23"/>
    <n v="0"/>
    <n v="0"/>
    <n v="0"/>
    <n v="0"/>
  </r>
  <r>
    <x v="220"/>
    <x v="220"/>
    <x v="1"/>
    <s v="Associació Veça - Civada farratgeres"/>
    <n v="2"/>
    <n v="0"/>
    <n v="0"/>
    <n v="2"/>
    <n v="0"/>
    <n v="0"/>
    <n v="0"/>
    <n v="0"/>
  </r>
  <r>
    <x v="220"/>
    <x v="220"/>
    <x v="4"/>
    <s v="Escarola"/>
    <n v="0"/>
    <n v="0"/>
    <n v="0"/>
    <n v="0"/>
    <n v="1"/>
    <n v="0"/>
    <n v="0"/>
    <n v="1"/>
  </r>
  <r>
    <x v="220"/>
    <x v="220"/>
    <x v="4"/>
    <s v="Bleda"/>
    <n v="0"/>
    <n v="0"/>
    <n v="0"/>
    <n v="0"/>
    <n v="1"/>
    <n v="0"/>
    <n v="0"/>
    <n v="1"/>
  </r>
  <r>
    <x v="220"/>
    <x v="220"/>
    <x v="4"/>
    <s v="Meló"/>
    <n v="1"/>
    <n v="0"/>
    <n v="0"/>
    <n v="1"/>
    <n v="0"/>
    <n v="0"/>
    <n v="0"/>
    <n v="0"/>
  </r>
  <r>
    <x v="220"/>
    <x v="220"/>
    <x v="4"/>
    <s v="Tomàquet"/>
    <n v="0"/>
    <n v="0"/>
    <n v="0"/>
    <n v="0"/>
    <n v="2"/>
    <n v="0"/>
    <n v="0"/>
    <n v="2"/>
  </r>
  <r>
    <x v="220"/>
    <x v="220"/>
    <x v="4"/>
    <s v="Carxofa"/>
    <n v="0"/>
    <n v="0"/>
    <n v="0"/>
    <n v="0"/>
    <n v="1"/>
    <n v="0"/>
    <n v="0"/>
    <n v="1"/>
  </r>
  <r>
    <x v="220"/>
    <x v="220"/>
    <x v="4"/>
    <s v="Carbassó"/>
    <n v="0"/>
    <n v="0"/>
    <n v="0"/>
    <n v="0"/>
    <n v="1"/>
    <n v="0"/>
    <n v="0"/>
    <n v="1"/>
  </r>
  <r>
    <x v="221"/>
    <x v="221"/>
    <x v="0"/>
    <s v="Ordi"/>
    <n v="17"/>
    <n v="0"/>
    <n v="0"/>
    <n v="17"/>
    <n v="0"/>
    <n v="0"/>
    <n v="0"/>
    <n v="0"/>
  </r>
  <r>
    <x v="221"/>
    <x v="221"/>
    <x v="0"/>
    <s v="Civada"/>
    <n v="7"/>
    <n v="0"/>
    <n v="0"/>
    <n v="7"/>
    <n v="0"/>
    <n v="0"/>
    <n v="0"/>
    <n v="0"/>
  </r>
  <r>
    <x v="221"/>
    <x v="221"/>
    <x v="1"/>
    <s v="Associació Veça - Civada farratgeres"/>
    <n v="4"/>
    <n v="0"/>
    <n v="0"/>
    <n v="4"/>
    <n v="2"/>
    <n v="0"/>
    <n v="0"/>
    <n v="2"/>
  </r>
  <r>
    <x v="221"/>
    <x v="221"/>
    <x v="4"/>
    <s v="Col de cabdell"/>
    <n v="0"/>
    <n v="0"/>
    <n v="0"/>
    <n v="0"/>
    <n v="1"/>
    <n v="0"/>
    <n v="0"/>
    <n v="1"/>
  </r>
  <r>
    <x v="221"/>
    <x v="221"/>
    <x v="4"/>
    <s v="Tomàquet"/>
    <n v="1"/>
    <n v="0"/>
    <n v="0"/>
    <n v="1"/>
    <n v="1"/>
    <n v="0"/>
    <n v="0"/>
    <n v="1"/>
  </r>
  <r>
    <x v="221"/>
    <x v="221"/>
    <x v="4"/>
    <s v="Ceba"/>
    <n v="1"/>
    <n v="0"/>
    <n v="0"/>
    <n v="1"/>
    <n v="0"/>
    <n v="0"/>
    <n v="0"/>
    <n v="0"/>
  </r>
  <r>
    <x v="221"/>
    <x v="221"/>
    <x v="2"/>
    <s v="Cigró"/>
    <n v="1"/>
    <n v="0"/>
    <n v="0"/>
    <n v="1"/>
    <n v="0"/>
    <n v="0"/>
    <n v="0"/>
    <n v="0"/>
  </r>
  <r>
    <x v="221"/>
    <x v="221"/>
    <x v="6"/>
    <s v="Patata tardana"/>
    <n v="2"/>
    <n v="0"/>
    <n v="0"/>
    <n v="2"/>
    <n v="0"/>
    <n v="0"/>
    <n v="0"/>
    <n v="0"/>
  </r>
  <r>
    <x v="222"/>
    <x v="222"/>
    <x v="0"/>
    <s v="Blat tou"/>
    <n v="20"/>
    <n v="0"/>
    <n v="0"/>
    <n v="20"/>
    <n v="0"/>
    <n v="0"/>
    <n v="0"/>
    <n v="0"/>
  </r>
  <r>
    <x v="222"/>
    <x v="222"/>
    <x v="0"/>
    <s v="Ordi"/>
    <n v="63"/>
    <n v="0"/>
    <n v="0"/>
    <n v="63"/>
    <n v="11"/>
    <n v="0"/>
    <n v="0"/>
    <n v="11"/>
  </r>
  <r>
    <x v="222"/>
    <x v="222"/>
    <x v="0"/>
    <s v="Civada"/>
    <n v="5"/>
    <n v="0"/>
    <n v="0"/>
    <n v="5"/>
    <n v="0"/>
    <n v="0"/>
    <n v="0"/>
    <n v="0"/>
  </r>
  <r>
    <x v="222"/>
    <x v="222"/>
    <x v="1"/>
    <s v="Cereals d'hivern per a farratge"/>
    <n v="16"/>
    <n v="0"/>
    <n v="0"/>
    <n v="16"/>
    <n v="1"/>
    <n v="0"/>
    <n v="0"/>
    <n v="1"/>
  </r>
  <r>
    <x v="222"/>
    <x v="222"/>
    <x v="1"/>
    <s v="Blat de moro farratger"/>
    <n v="0"/>
    <n v="6"/>
    <n v="0"/>
    <n v="6"/>
    <n v="0"/>
    <n v="8"/>
    <n v="0"/>
    <n v="8"/>
  </r>
  <r>
    <x v="222"/>
    <x v="222"/>
    <x v="1"/>
    <s v="Sorgo farratger"/>
    <n v="0"/>
    <n v="19"/>
    <n v="0"/>
    <n v="19"/>
    <n v="0"/>
    <n v="0"/>
    <n v="0"/>
    <n v="0"/>
  </r>
  <r>
    <x v="222"/>
    <x v="222"/>
    <x v="1"/>
    <s v="Raigràs"/>
    <n v="223"/>
    <n v="4"/>
    <n v="0"/>
    <n v="227"/>
    <n v="10"/>
    <n v="0"/>
    <n v="0"/>
    <n v="10"/>
  </r>
  <r>
    <x v="222"/>
    <x v="222"/>
    <x v="1"/>
    <s v="Alfals"/>
    <n v="32"/>
    <n v="0"/>
    <n v="0"/>
    <n v="32"/>
    <n v="0"/>
    <n v="0"/>
    <n v="0"/>
    <n v="0"/>
  </r>
  <r>
    <x v="222"/>
    <x v="222"/>
    <x v="1"/>
    <s v="Trepadella"/>
    <n v="2"/>
    <n v="0"/>
    <n v="0"/>
    <n v="2"/>
    <n v="0"/>
    <n v="0"/>
    <n v="0"/>
    <n v="0"/>
  </r>
  <r>
    <x v="222"/>
    <x v="222"/>
    <x v="1"/>
    <s v="Praderes polifites"/>
    <n v="47"/>
    <n v="0"/>
    <n v="0"/>
    <n v="47"/>
    <n v="0"/>
    <n v="0"/>
    <n v="0"/>
    <n v="0"/>
  </r>
  <r>
    <x v="222"/>
    <x v="222"/>
    <x v="3"/>
    <s v="Altres conreus industrials"/>
    <n v="2"/>
    <n v="0"/>
    <n v="0"/>
    <n v="2"/>
    <n v="0"/>
    <n v="0"/>
    <n v="0"/>
    <n v="0"/>
  </r>
  <r>
    <x v="222"/>
    <x v="222"/>
    <x v="2"/>
    <s v="Favó"/>
    <n v="2"/>
    <n v="0"/>
    <n v="0"/>
    <n v="2"/>
    <n v="0"/>
    <n v="0"/>
    <n v="0"/>
    <n v="0"/>
  </r>
  <r>
    <x v="222"/>
    <x v="222"/>
    <x v="6"/>
    <s v="Patata d'estació mitjana"/>
    <n v="2"/>
    <n v="0"/>
    <n v="0"/>
    <n v="2"/>
    <n v="0"/>
    <n v="0"/>
    <n v="0"/>
    <n v="0"/>
  </r>
  <r>
    <x v="223"/>
    <x v="223"/>
    <x v="0"/>
    <s v="Blat tou"/>
    <n v="24"/>
    <n v="0"/>
    <n v="0"/>
    <n v="24"/>
    <n v="17"/>
    <n v="0"/>
    <n v="0"/>
    <n v="17"/>
  </r>
  <r>
    <x v="223"/>
    <x v="223"/>
    <x v="0"/>
    <s v="Ordi"/>
    <n v="55"/>
    <n v="0"/>
    <n v="0"/>
    <n v="55"/>
    <n v="13"/>
    <n v="0"/>
    <n v="0"/>
    <n v="13"/>
  </r>
  <r>
    <x v="223"/>
    <x v="223"/>
    <x v="0"/>
    <s v="Civada"/>
    <n v="1"/>
    <n v="0"/>
    <n v="0"/>
    <n v="1"/>
    <n v="0"/>
    <n v="0"/>
    <n v="0"/>
    <n v="0"/>
  </r>
  <r>
    <x v="223"/>
    <x v="223"/>
    <x v="0"/>
    <s v="Triticale"/>
    <n v="3"/>
    <n v="0"/>
    <n v="0"/>
    <n v="3"/>
    <n v="0"/>
    <n v="0"/>
    <n v="0"/>
    <n v="0"/>
  </r>
  <r>
    <x v="223"/>
    <x v="223"/>
    <x v="0"/>
    <s v="Blat de moro"/>
    <n v="0"/>
    <n v="0"/>
    <n v="0"/>
    <n v="0"/>
    <n v="2"/>
    <n v="0"/>
    <n v="0"/>
    <n v="2"/>
  </r>
  <r>
    <x v="223"/>
    <x v="223"/>
    <x v="1"/>
    <s v="Cereals d'hivern per a farratge"/>
    <n v="12"/>
    <n v="0"/>
    <n v="0"/>
    <n v="12"/>
    <n v="1"/>
    <n v="0"/>
    <n v="0"/>
    <n v="1"/>
  </r>
  <r>
    <x v="223"/>
    <x v="223"/>
    <x v="1"/>
    <s v="Blat de moro farratger"/>
    <n v="0"/>
    <n v="0"/>
    <n v="0"/>
    <n v="0"/>
    <n v="14"/>
    <n v="5"/>
    <n v="0"/>
    <n v="19"/>
  </r>
  <r>
    <x v="223"/>
    <x v="223"/>
    <x v="1"/>
    <s v="Sorgo farratger"/>
    <n v="1"/>
    <n v="0"/>
    <n v="0"/>
    <n v="1"/>
    <n v="5"/>
    <n v="0"/>
    <n v="0"/>
    <n v="5"/>
  </r>
  <r>
    <x v="223"/>
    <x v="223"/>
    <x v="1"/>
    <s v="Raigràs"/>
    <n v="64"/>
    <n v="0"/>
    <n v="0"/>
    <n v="64"/>
    <n v="26"/>
    <n v="0"/>
    <n v="0"/>
    <n v="26"/>
  </r>
  <r>
    <x v="223"/>
    <x v="223"/>
    <x v="1"/>
    <s v="Alfals"/>
    <n v="34"/>
    <n v="0"/>
    <n v="0"/>
    <n v="34"/>
    <n v="3"/>
    <n v="0"/>
    <n v="0"/>
    <n v="3"/>
  </r>
  <r>
    <x v="223"/>
    <x v="223"/>
    <x v="3"/>
    <s v="Colza"/>
    <n v="0"/>
    <n v="0"/>
    <n v="0"/>
    <n v="0"/>
    <n v="2"/>
    <n v="0"/>
    <n v="0"/>
    <n v="2"/>
  </r>
  <r>
    <x v="223"/>
    <x v="223"/>
    <x v="4"/>
    <s v="Ceba"/>
    <n v="1"/>
    <n v="0"/>
    <n v="0"/>
    <n v="1"/>
    <n v="0"/>
    <n v="0"/>
    <n v="0"/>
    <n v="0"/>
  </r>
  <r>
    <x v="223"/>
    <x v="223"/>
    <x v="2"/>
    <s v="Mongeta seca"/>
    <n v="1"/>
    <n v="0"/>
    <n v="0"/>
    <n v="1"/>
    <n v="0"/>
    <n v="1"/>
    <n v="0"/>
    <n v="1"/>
  </r>
  <r>
    <x v="223"/>
    <x v="223"/>
    <x v="2"/>
    <s v="Pèsol sec"/>
    <n v="1"/>
    <n v="0"/>
    <n v="0"/>
    <n v="1"/>
    <n v="0"/>
    <n v="0"/>
    <n v="0"/>
    <n v="0"/>
  </r>
  <r>
    <x v="224"/>
    <x v="224"/>
    <x v="0"/>
    <s v="Blat tou"/>
    <n v="287"/>
    <n v="0"/>
    <n v="0"/>
    <n v="287"/>
    <n v="0"/>
    <n v="0"/>
    <n v="0"/>
    <n v="0"/>
  </r>
  <r>
    <x v="224"/>
    <x v="224"/>
    <x v="0"/>
    <s v="Ordi"/>
    <n v="451"/>
    <n v="0"/>
    <n v="0"/>
    <n v="451"/>
    <n v="0"/>
    <n v="0"/>
    <n v="0"/>
    <n v="0"/>
  </r>
  <r>
    <x v="224"/>
    <x v="224"/>
    <x v="0"/>
    <s v="Civada"/>
    <n v="5"/>
    <n v="0"/>
    <n v="0"/>
    <n v="5"/>
    <n v="0"/>
    <n v="0"/>
    <n v="0"/>
    <n v="0"/>
  </r>
  <r>
    <x v="224"/>
    <x v="224"/>
    <x v="0"/>
    <s v="Espelta"/>
    <n v="5"/>
    <n v="0"/>
    <n v="0"/>
    <n v="5"/>
    <n v="0"/>
    <n v="0"/>
    <n v="0"/>
    <n v="0"/>
  </r>
  <r>
    <x v="224"/>
    <x v="224"/>
    <x v="1"/>
    <s v="Cereals d'hivern per a farratge"/>
    <n v="21"/>
    <n v="0"/>
    <n v="0"/>
    <n v="21"/>
    <n v="0"/>
    <n v="0"/>
    <n v="0"/>
    <n v="0"/>
  </r>
  <r>
    <x v="224"/>
    <x v="224"/>
    <x v="1"/>
    <s v="Alfals"/>
    <n v="2"/>
    <n v="0"/>
    <n v="0"/>
    <n v="2"/>
    <n v="0"/>
    <n v="0"/>
    <n v="0"/>
    <n v="0"/>
  </r>
  <r>
    <x v="224"/>
    <x v="224"/>
    <x v="3"/>
    <s v="Colza"/>
    <n v="63"/>
    <n v="0"/>
    <n v="0"/>
    <n v="63"/>
    <n v="0"/>
    <n v="0"/>
    <n v="0"/>
    <n v="0"/>
  </r>
  <r>
    <x v="224"/>
    <x v="224"/>
    <x v="2"/>
    <s v="Llentia"/>
    <n v="7"/>
    <n v="0"/>
    <n v="0"/>
    <n v="7"/>
    <n v="0"/>
    <n v="0"/>
    <n v="0"/>
    <n v="0"/>
  </r>
  <r>
    <x v="224"/>
    <x v="224"/>
    <x v="2"/>
    <s v="Cigró"/>
    <n v="9"/>
    <n v="0"/>
    <n v="0"/>
    <n v="9"/>
    <n v="0"/>
    <n v="0"/>
    <n v="0"/>
    <n v="0"/>
  </r>
  <r>
    <x v="224"/>
    <x v="224"/>
    <x v="2"/>
    <s v="Pèsol sec"/>
    <n v="58"/>
    <n v="0"/>
    <n v="0"/>
    <n v="58"/>
    <n v="0"/>
    <n v="0"/>
    <n v="0"/>
    <n v="0"/>
  </r>
  <r>
    <x v="224"/>
    <x v="224"/>
    <x v="2"/>
    <s v="Veça"/>
    <n v="2"/>
    <n v="0"/>
    <n v="0"/>
    <n v="2"/>
    <n v="0"/>
    <n v="0"/>
    <n v="0"/>
    <n v="0"/>
  </r>
  <r>
    <x v="225"/>
    <x v="225"/>
    <x v="4"/>
    <s v="Col de cabdell"/>
    <n v="0"/>
    <n v="0"/>
    <n v="0"/>
    <n v="0"/>
    <n v="1"/>
    <n v="0"/>
    <n v="0"/>
    <n v="1"/>
  </r>
  <r>
    <x v="225"/>
    <x v="225"/>
    <x v="4"/>
    <s v="Api"/>
    <n v="0"/>
    <n v="0"/>
    <n v="0"/>
    <n v="0"/>
    <n v="1"/>
    <n v="1"/>
    <n v="0"/>
    <n v="2"/>
  </r>
  <r>
    <x v="225"/>
    <x v="225"/>
    <x v="4"/>
    <s v="Enciam"/>
    <n v="0"/>
    <n v="0"/>
    <n v="0"/>
    <n v="0"/>
    <n v="2"/>
    <n v="0"/>
    <n v="0"/>
    <n v="2"/>
  </r>
  <r>
    <x v="225"/>
    <x v="225"/>
    <x v="4"/>
    <s v="Escarola"/>
    <n v="0"/>
    <n v="0"/>
    <n v="0"/>
    <n v="0"/>
    <n v="1"/>
    <n v="1"/>
    <n v="0"/>
    <n v="2"/>
  </r>
  <r>
    <x v="225"/>
    <x v="225"/>
    <x v="4"/>
    <s v="Espinac"/>
    <n v="0"/>
    <n v="0"/>
    <n v="0"/>
    <n v="0"/>
    <n v="1"/>
    <n v="1"/>
    <n v="0"/>
    <n v="2"/>
  </r>
  <r>
    <x v="225"/>
    <x v="225"/>
    <x v="4"/>
    <s v="Bleda"/>
    <n v="0"/>
    <n v="0"/>
    <n v="0"/>
    <n v="0"/>
    <n v="0"/>
    <n v="1"/>
    <n v="0"/>
    <n v="1"/>
  </r>
  <r>
    <x v="225"/>
    <x v="225"/>
    <x v="4"/>
    <s v="Carbassa"/>
    <n v="0"/>
    <n v="0"/>
    <n v="0"/>
    <n v="0"/>
    <n v="0"/>
    <n v="1"/>
    <n v="0"/>
    <n v="1"/>
  </r>
  <r>
    <x v="225"/>
    <x v="225"/>
    <x v="4"/>
    <s v="Albergínia"/>
    <n v="0"/>
    <n v="0"/>
    <n v="0"/>
    <n v="0"/>
    <n v="1"/>
    <n v="0"/>
    <n v="0"/>
    <n v="1"/>
  </r>
  <r>
    <x v="225"/>
    <x v="225"/>
    <x v="4"/>
    <s v="Tomàquet"/>
    <n v="0"/>
    <n v="0"/>
    <n v="0"/>
    <n v="0"/>
    <n v="4"/>
    <n v="1"/>
    <n v="0"/>
    <n v="5"/>
  </r>
  <r>
    <x v="225"/>
    <x v="225"/>
    <x v="4"/>
    <s v="Maduixa i maduixot"/>
    <n v="0"/>
    <n v="0"/>
    <n v="0"/>
    <n v="0"/>
    <n v="8"/>
    <n v="0"/>
    <n v="0"/>
    <n v="8"/>
  </r>
  <r>
    <x v="225"/>
    <x v="225"/>
    <x v="4"/>
    <s v="Carxofa"/>
    <n v="0"/>
    <n v="0"/>
    <n v="0"/>
    <n v="0"/>
    <n v="1"/>
    <n v="0"/>
    <n v="0"/>
    <n v="1"/>
  </r>
  <r>
    <x v="225"/>
    <x v="225"/>
    <x v="4"/>
    <s v="Coliflor"/>
    <n v="0"/>
    <n v="0"/>
    <n v="0"/>
    <n v="0"/>
    <n v="3"/>
    <n v="2"/>
    <n v="0"/>
    <n v="5"/>
  </r>
  <r>
    <x v="225"/>
    <x v="225"/>
    <x v="4"/>
    <s v="Ceba"/>
    <n v="0"/>
    <n v="0"/>
    <n v="0"/>
    <n v="0"/>
    <n v="1"/>
    <n v="1"/>
    <n v="0"/>
    <n v="2"/>
  </r>
  <r>
    <x v="225"/>
    <x v="225"/>
    <x v="4"/>
    <s v="Porro"/>
    <n v="0"/>
    <n v="0"/>
    <n v="0"/>
    <n v="0"/>
    <n v="0"/>
    <n v="1"/>
    <n v="0"/>
    <n v="1"/>
  </r>
  <r>
    <x v="225"/>
    <x v="225"/>
    <x v="4"/>
    <s v="Pastanaga"/>
    <n v="0"/>
    <n v="0"/>
    <n v="0"/>
    <n v="0"/>
    <n v="0"/>
    <n v="1"/>
    <n v="0"/>
    <n v="1"/>
  </r>
  <r>
    <x v="225"/>
    <x v="225"/>
    <x v="4"/>
    <s v="Rave"/>
    <n v="0"/>
    <n v="0"/>
    <n v="0"/>
    <n v="0"/>
    <n v="3"/>
    <n v="2"/>
    <n v="0"/>
    <n v="5"/>
  </r>
  <r>
    <x v="225"/>
    <x v="225"/>
    <x v="4"/>
    <s v="Mongeta tendra"/>
    <n v="0"/>
    <n v="0"/>
    <n v="0"/>
    <n v="0"/>
    <n v="1"/>
    <n v="1"/>
    <n v="0"/>
    <n v="2"/>
  </r>
  <r>
    <x v="225"/>
    <x v="225"/>
    <x v="4"/>
    <s v="Pèsol verd"/>
    <n v="0"/>
    <n v="0"/>
    <n v="0"/>
    <n v="0"/>
    <n v="3"/>
    <n v="0"/>
    <n v="0"/>
    <n v="3"/>
  </r>
  <r>
    <x v="225"/>
    <x v="225"/>
    <x v="4"/>
    <s v="Fava tendra"/>
    <n v="0"/>
    <n v="0"/>
    <n v="0"/>
    <n v="0"/>
    <n v="1"/>
    <n v="3"/>
    <n v="0"/>
    <n v="4"/>
  </r>
  <r>
    <x v="225"/>
    <x v="225"/>
    <x v="4"/>
    <s v="Carbassó"/>
    <n v="0"/>
    <n v="0"/>
    <n v="0"/>
    <n v="0"/>
    <n v="0"/>
    <n v="1"/>
    <n v="0"/>
    <n v="1"/>
  </r>
  <r>
    <x v="225"/>
    <x v="225"/>
    <x v="2"/>
    <s v="Mongeta seca"/>
    <n v="0"/>
    <n v="0"/>
    <n v="0"/>
    <n v="0"/>
    <n v="0"/>
    <n v="1"/>
    <n v="0"/>
    <n v="1"/>
  </r>
  <r>
    <x v="225"/>
    <x v="225"/>
    <x v="6"/>
    <s v="Patata primerenca"/>
    <n v="0"/>
    <n v="0"/>
    <n v="0"/>
    <n v="0"/>
    <n v="3"/>
    <n v="0"/>
    <n v="0"/>
    <n v="3"/>
  </r>
  <r>
    <x v="225"/>
    <x v="225"/>
    <x v="6"/>
    <s v="Patata tardana"/>
    <n v="0"/>
    <n v="0"/>
    <n v="0"/>
    <n v="0"/>
    <n v="0"/>
    <n v="2"/>
    <n v="0"/>
    <n v="2"/>
  </r>
  <r>
    <x v="226"/>
    <x v="226"/>
    <x v="0"/>
    <s v="Blat tou"/>
    <n v="5"/>
    <n v="0"/>
    <n v="0"/>
    <n v="5"/>
    <n v="0"/>
    <n v="0"/>
    <n v="0"/>
    <n v="0"/>
  </r>
  <r>
    <x v="226"/>
    <x v="226"/>
    <x v="0"/>
    <s v="Ordi"/>
    <n v="45"/>
    <n v="0"/>
    <n v="0"/>
    <n v="45"/>
    <n v="1"/>
    <n v="0"/>
    <n v="0"/>
    <n v="1"/>
  </r>
  <r>
    <x v="226"/>
    <x v="226"/>
    <x v="0"/>
    <s v="Civada"/>
    <n v="1"/>
    <n v="0"/>
    <n v="0"/>
    <n v="1"/>
    <n v="0"/>
    <n v="0"/>
    <n v="0"/>
    <n v="0"/>
  </r>
  <r>
    <x v="226"/>
    <x v="226"/>
    <x v="1"/>
    <s v="Associació Veça - Civada farratgeres"/>
    <n v="3"/>
    <n v="0"/>
    <n v="0"/>
    <n v="3"/>
    <n v="0"/>
    <n v="0"/>
    <n v="0"/>
    <n v="0"/>
  </r>
  <r>
    <x v="226"/>
    <x v="226"/>
    <x v="4"/>
    <s v="Meló"/>
    <n v="3"/>
    <n v="0"/>
    <n v="0"/>
    <n v="3"/>
    <n v="0"/>
    <n v="0"/>
    <n v="0"/>
    <n v="0"/>
  </r>
  <r>
    <x v="226"/>
    <x v="226"/>
    <x v="4"/>
    <s v="Tomàquet"/>
    <n v="1"/>
    <n v="0"/>
    <n v="0"/>
    <n v="1"/>
    <n v="0"/>
    <n v="0"/>
    <n v="0"/>
    <n v="0"/>
  </r>
  <r>
    <x v="226"/>
    <x v="226"/>
    <x v="2"/>
    <s v="Veça"/>
    <n v="2"/>
    <n v="0"/>
    <n v="0"/>
    <n v="2"/>
    <n v="0"/>
    <n v="0"/>
    <n v="0"/>
    <n v="0"/>
  </r>
  <r>
    <x v="226"/>
    <x v="226"/>
    <x v="6"/>
    <s v="Patata d'estació mitjana"/>
    <n v="1"/>
    <n v="0"/>
    <n v="0"/>
    <n v="1"/>
    <n v="0"/>
    <n v="0"/>
    <n v="0"/>
    <n v="0"/>
  </r>
  <r>
    <x v="227"/>
    <x v="227"/>
    <x v="0"/>
    <s v="Blat tou"/>
    <n v="2"/>
    <n v="0"/>
    <n v="0"/>
    <n v="2"/>
    <n v="0"/>
    <n v="0"/>
    <n v="0"/>
    <n v="0"/>
  </r>
  <r>
    <x v="227"/>
    <x v="227"/>
    <x v="0"/>
    <s v="Ordi"/>
    <n v="6"/>
    <n v="0"/>
    <n v="0"/>
    <n v="6"/>
    <n v="0"/>
    <n v="0"/>
    <n v="0"/>
    <n v="0"/>
  </r>
  <r>
    <x v="227"/>
    <x v="227"/>
    <x v="0"/>
    <s v="Civada"/>
    <n v="1"/>
    <n v="0"/>
    <n v="0"/>
    <n v="1"/>
    <n v="0"/>
    <n v="0"/>
    <n v="0"/>
    <n v="0"/>
  </r>
  <r>
    <x v="227"/>
    <x v="227"/>
    <x v="0"/>
    <s v="Triticale"/>
    <n v="0"/>
    <n v="0"/>
    <n v="0"/>
    <n v="0"/>
    <n v="1"/>
    <n v="0"/>
    <n v="0"/>
    <n v="1"/>
  </r>
  <r>
    <x v="227"/>
    <x v="227"/>
    <x v="1"/>
    <s v="Cereals d'hivern per a farratge"/>
    <n v="3"/>
    <n v="0"/>
    <n v="0"/>
    <n v="3"/>
    <n v="9"/>
    <n v="0"/>
    <n v="0"/>
    <n v="9"/>
  </r>
  <r>
    <x v="227"/>
    <x v="227"/>
    <x v="1"/>
    <s v="Blat de moro farratger"/>
    <n v="0"/>
    <n v="0"/>
    <n v="0"/>
    <n v="0"/>
    <n v="0"/>
    <n v="10"/>
    <n v="0"/>
    <n v="10"/>
  </r>
  <r>
    <x v="227"/>
    <x v="227"/>
    <x v="1"/>
    <s v="Raigràs"/>
    <n v="11"/>
    <n v="0"/>
    <n v="0"/>
    <n v="11"/>
    <n v="2"/>
    <n v="0"/>
    <n v="0"/>
    <n v="2"/>
  </r>
  <r>
    <x v="227"/>
    <x v="227"/>
    <x v="1"/>
    <s v="Alfals"/>
    <n v="8"/>
    <n v="0"/>
    <n v="0"/>
    <n v="8"/>
    <n v="0"/>
    <n v="0"/>
    <n v="0"/>
    <n v="0"/>
  </r>
  <r>
    <x v="227"/>
    <x v="227"/>
    <x v="1"/>
    <s v="Praderes polifites"/>
    <n v="6"/>
    <n v="0"/>
    <n v="0"/>
    <n v="6"/>
    <n v="0"/>
    <n v="0"/>
    <n v="0"/>
    <n v="0"/>
  </r>
  <r>
    <x v="227"/>
    <x v="227"/>
    <x v="1"/>
    <s v="Associació Veça - Civada farratgeres"/>
    <n v="5"/>
    <n v="0"/>
    <n v="0"/>
    <n v="5"/>
    <n v="0"/>
    <n v="0"/>
    <n v="0"/>
    <n v="0"/>
  </r>
  <r>
    <x v="228"/>
    <x v="228"/>
    <x v="0"/>
    <s v="Ordi"/>
    <n v="30"/>
    <n v="0"/>
    <n v="0"/>
    <n v="30"/>
    <n v="0"/>
    <n v="0"/>
    <n v="0"/>
    <n v="0"/>
  </r>
  <r>
    <x v="228"/>
    <x v="228"/>
    <x v="0"/>
    <s v="Civada"/>
    <n v="19"/>
    <n v="0"/>
    <n v="0"/>
    <n v="19"/>
    <n v="0"/>
    <n v="0"/>
    <n v="0"/>
    <n v="0"/>
  </r>
  <r>
    <x v="228"/>
    <x v="228"/>
    <x v="1"/>
    <s v="Cereals d'hivern per a farratge"/>
    <n v="19"/>
    <n v="0"/>
    <n v="0"/>
    <n v="19"/>
    <n v="0"/>
    <n v="0"/>
    <n v="0"/>
    <n v="0"/>
  </r>
  <r>
    <x v="228"/>
    <x v="228"/>
    <x v="1"/>
    <s v="Raigràs"/>
    <n v="11"/>
    <n v="0"/>
    <n v="0"/>
    <n v="11"/>
    <n v="0"/>
    <n v="0"/>
    <n v="0"/>
    <n v="0"/>
  </r>
  <r>
    <x v="228"/>
    <x v="228"/>
    <x v="1"/>
    <s v="Alfals"/>
    <n v="3"/>
    <n v="0"/>
    <n v="0"/>
    <n v="3"/>
    <n v="0"/>
    <n v="0"/>
    <n v="0"/>
    <n v="0"/>
  </r>
  <r>
    <x v="229"/>
    <x v="229"/>
    <x v="0"/>
    <s v="Blat tou"/>
    <n v="5"/>
    <n v="0"/>
    <n v="0"/>
    <n v="5"/>
    <n v="0"/>
    <n v="0"/>
    <n v="0"/>
    <n v="0"/>
  </r>
  <r>
    <x v="229"/>
    <x v="229"/>
    <x v="0"/>
    <s v="Ordi"/>
    <n v="46"/>
    <n v="0"/>
    <n v="0"/>
    <n v="46"/>
    <n v="0"/>
    <n v="0"/>
    <n v="0"/>
    <n v="0"/>
  </r>
  <r>
    <x v="229"/>
    <x v="229"/>
    <x v="0"/>
    <s v="Civada"/>
    <n v="3"/>
    <n v="0"/>
    <n v="0"/>
    <n v="3"/>
    <n v="0"/>
    <n v="0"/>
    <n v="0"/>
    <n v="0"/>
  </r>
  <r>
    <x v="229"/>
    <x v="229"/>
    <x v="1"/>
    <s v="Cereals d'hivern per a farratge"/>
    <n v="23"/>
    <n v="0"/>
    <n v="0"/>
    <n v="23"/>
    <n v="0"/>
    <n v="0"/>
    <n v="0"/>
    <n v="0"/>
  </r>
  <r>
    <x v="229"/>
    <x v="229"/>
    <x v="1"/>
    <s v="Raigràs"/>
    <n v="8"/>
    <n v="0"/>
    <n v="0"/>
    <n v="8"/>
    <n v="0"/>
    <n v="0"/>
    <n v="0"/>
    <n v="0"/>
  </r>
  <r>
    <x v="229"/>
    <x v="229"/>
    <x v="1"/>
    <s v="Alfals"/>
    <n v="10"/>
    <n v="0"/>
    <n v="0"/>
    <n v="10"/>
    <n v="0"/>
    <n v="0"/>
    <n v="0"/>
    <n v="0"/>
  </r>
  <r>
    <x v="229"/>
    <x v="229"/>
    <x v="3"/>
    <s v="Colza"/>
    <n v="9"/>
    <n v="0"/>
    <n v="0"/>
    <n v="9"/>
    <n v="0"/>
    <n v="0"/>
    <n v="0"/>
    <n v="0"/>
  </r>
  <r>
    <x v="229"/>
    <x v="229"/>
    <x v="2"/>
    <s v="Pèsol sec"/>
    <n v="2"/>
    <n v="0"/>
    <n v="0"/>
    <n v="2"/>
    <n v="0"/>
    <n v="0"/>
    <n v="0"/>
    <n v="0"/>
  </r>
  <r>
    <x v="230"/>
    <x v="230"/>
    <x v="0"/>
    <s v="Blat tou"/>
    <n v="6"/>
    <n v="0"/>
    <n v="0"/>
    <n v="6"/>
    <n v="0"/>
    <n v="0"/>
    <n v="0"/>
    <n v="0"/>
  </r>
  <r>
    <x v="230"/>
    <x v="230"/>
    <x v="0"/>
    <s v="Ordi"/>
    <n v="43"/>
    <n v="0"/>
    <n v="0"/>
    <n v="43"/>
    <n v="0"/>
    <n v="0"/>
    <n v="0"/>
    <n v="0"/>
  </r>
  <r>
    <x v="230"/>
    <x v="230"/>
    <x v="0"/>
    <s v="Civada"/>
    <n v="7"/>
    <n v="0"/>
    <n v="0"/>
    <n v="7"/>
    <n v="0"/>
    <n v="0"/>
    <n v="0"/>
    <n v="0"/>
  </r>
  <r>
    <x v="230"/>
    <x v="230"/>
    <x v="1"/>
    <s v="Trepadella"/>
    <n v="2"/>
    <n v="0"/>
    <n v="0"/>
    <n v="2"/>
    <n v="0"/>
    <n v="0"/>
    <n v="0"/>
    <n v="0"/>
  </r>
  <r>
    <x v="230"/>
    <x v="230"/>
    <x v="4"/>
    <s v="Meló"/>
    <n v="2"/>
    <n v="0"/>
    <n v="0"/>
    <n v="2"/>
    <n v="0"/>
    <n v="0"/>
    <n v="0"/>
    <n v="0"/>
  </r>
  <r>
    <x v="230"/>
    <x v="230"/>
    <x v="4"/>
    <s v="Tomàquet"/>
    <n v="1"/>
    <n v="0"/>
    <n v="0"/>
    <n v="1"/>
    <n v="1"/>
    <n v="0"/>
    <n v="0"/>
    <n v="1"/>
  </r>
  <r>
    <x v="230"/>
    <x v="230"/>
    <x v="4"/>
    <s v="Ceba"/>
    <n v="1"/>
    <n v="0"/>
    <n v="0"/>
    <n v="1"/>
    <n v="1"/>
    <n v="0"/>
    <n v="0"/>
    <n v="1"/>
  </r>
  <r>
    <x v="230"/>
    <x v="230"/>
    <x v="2"/>
    <s v="Cigró"/>
    <n v="1"/>
    <n v="0"/>
    <n v="0"/>
    <n v="1"/>
    <n v="0"/>
    <n v="0"/>
    <n v="0"/>
    <n v="0"/>
  </r>
  <r>
    <x v="230"/>
    <x v="230"/>
    <x v="6"/>
    <s v="Patata d'estació mitjana"/>
    <n v="1"/>
    <n v="0"/>
    <n v="0"/>
    <n v="1"/>
    <n v="0"/>
    <n v="0"/>
    <n v="0"/>
    <n v="0"/>
  </r>
  <r>
    <x v="231"/>
    <x v="231"/>
    <x v="0"/>
    <s v="Ordi"/>
    <n v="9"/>
    <n v="0"/>
    <n v="0"/>
    <n v="9"/>
    <n v="0"/>
    <n v="0"/>
    <n v="0"/>
    <n v="0"/>
  </r>
  <r>
    <x v="231"/>
    <x v="231"/>
    <x v="0"/>
    <s v="Civada"/>
    <n v="5"/>
    <n v="0"/>
    <n v="0"/>
    <n v="5"/>
    <n v="0"/>
    <n v="0"/>
    <n v="0"/>
    <n v="0"/>
  </r>
  <r>
    <x v="231"/>
    <x v="231"/>
    <x v="1"/>
    <s v="Cereals d'hivern per a farratge"/>
    <n v="14"/>
    <n v="0"/>
    <n v="0"/>
    <n v="14"/>
    <n v="0"/>
    <n v="0"/>
    <n v="0"/>
    <n v="0"/>
  </r>
  <r>
    <x v="231"/>
    <x v="231"/>
    <x v="1"/>
    <s v="Blat de moro farratger"/>
    <n v="7"/>
    <n v="0"/>
    <n v="0"/>
    <n v="7"/>
    <n v="0"/>
    <n v="0"/>
    <n v="0"/>
    <n v="0"/>
  </r>
  <r>
    <x v="231"/>
    <x v="231"/>
    <x v="1"/>
    <s v="Sorgo farratger"/>
    <n v="0"/>
    <n v="10"/>
    <n v="0"/>
    <n v="10"/>
    <n v="0"/>
    <n v="0"/>
    <n v="0"/>
    <n v="0"/>
  </r>
  <r>
    <x v="231"/>
    <x v="231"/>
    <x v="1"/>
    <s v="Raigràs"/>
    <n v="14"/>
    <n v="0"/>
    <n v="0"/>
    <n v="14"/>
    <n v="0"/>
    <n v="0"/>
    <n v="0"/>
    <n v="0"/>
  </r>
  <r>
    <x v="231"/>
    <x v="231"/>
    <x v="1"/>
    <s v="Alfals"/>
    <n v="1"/>
    <n v="0"/>
    <n v="0"/>
    <n v="1"/>
    <n v="0"/>
    <n v="0"/>
    <n v="0"/>
    <n v="0"/>
  </r>
  <r>
    <x v="231"/>
    <x v="231"/>
    <x v="1"/>
    <s v="Praderes polifites"/>
    <n v="67"/>
    <n v="0"/>
    <n v="0"/>
    <n v="67"/>
    <n v="0"/>
    <n v="0"/>
    <n v="0"/>
    <n v="0"/>
  </r>
  <r>
    <x v="232"/>
    <x v="232"/>
    <x v="0"/>
    <s v="Blat tou"/>
    <n v="90"/>
    <n v="0"/>
    <n v="0"/>
    <n v="90"/>
    <n v="0"/>
    <n v="0"/>
    <n v="0"/>
    <n v="0"/>
  </r>
  <r>
    <x v="232"/>
    <x v="232"/>
    <x v="0"/>
    <s v="Ordi"/>
    <n v="203"/>
    <n v="0"/>
    <n v="0"/>
    <n v="203"/>
    <n v="0"/>
    <n v="0"/>
    <n v="0"/>
    <n v="0"/>
  </r>
  <r>
    <x v="232"/>
    <x v="232"/>
    <x v="0"/>
    <s v="Civada"/>
    <n v="11"/>
    <n v="0"/>
    <n v="0"/>
    <n v="11"/>
    <n v="0"/>
    <n v="0"/>
    <n v="0"/>
    <n v="0"/>
  </r>
  <r>
    <x v="232"/>
    <x v="232"/>
    <x v="1"/>
    <s v="Cereals d'hivern per a farratge"/>
    <n v="44"/>
    <n v="0"/>
    <n v="0"/>
    <n v="44"/>
    <n v="1"/>
    <n v="0"/>
    <n v="0"/>
    <n v="1"/>
  </r>
  <r>
    <x v="232"/>
    <x v="232"/>
    <x v="1"/>
    <s v="Sorgo farratger"/>
    <n v="0"/>
    <n v="4"/>
    <n v="0"/>
    <n v="4"/>
    <n v="0"/>
    <n v="0"/>
    <n v="0"/>
    <n v="0"/>
  </r>
  <r>
    <x v="232"/>
    <x v="232"/>
    <x v="1"/>
    <s v="Raigràs"/>
    <n v="18"/>
    <n v="0"/>
    <n v="0"/>
    <n v="18"/>
    <n v="0"/>
    <n v="0"/>
    <n v="0"/>
    <n v="0"/>
  </r>
  <r>
    <x v="232"/>
    <x v="232"/>
    <x v="1"/>
    <s v="Alfals"/>
    <n v="26"/>
    <n v="0"/>
    <n v="0"/>
    <n v="26"/>
    <n v="1"/>
    <n v="0"/>
    <n v="0"/>
    <n v="1"/>
  </r>
  <r>
    <x v="232"/>
    <x v="232"/>
    <x v="1"/>
    <s v="Praderes polifites"/>
    <n v="2"/>
    <n v="0"/>
    <n v="0"/>
    <n v="2"/>
    <n v="0"/>
    <n v="0"/>
    <n v="0"/>
    <n v="0"/>
  </r>
  <r>
    <x v="232"/>
    <x v="232"/>
    <x v="1"/>
    <s v="Associació Veça - Civada farratgeres"/>
    <n v="13"/>
    <n v="0"/>
    <n v="0"/>
    <n v="13"/>
    <n v="0"/>
    <n v="0"/>
    <n v="0"/>
    <n v="0"/>
  </r>
  <r>
    <x v="232"/>
    <x v="232"/>
    <x v="3"/>
    <s v="Colza"/>
    <n v="23"/>
    <n v="0"/>
    <n v="0"/>
    <n v="23"/>
    <n v="0"/>
    <n v="0"/>
    <n v="0"/>
    <n v="0"/>
  </r>
  <r>
    <x v="232"/>
    <x v="232"/>
    <x v="4"/>
    <s v="Col de cabdell"/>
    <n v="0"/>
    <n v="0"/>
    <n v="0"/>
    <n v="0"/>
    <n v="1"/>
    <n v="0"/>
    <n v="0"/>
    <n v="1"/>
  </r>
  <r>
    <x v="232"/>
    <x v="232"/>
    <x v="4"/>
    <s v="Tomàquet"/>
    <n v="0"/>
    <n v="0"/>
    <n v="0"/>
    <n v="0"/>
    <n v="1"/>
    <n v="0"/>
    <n v="0"/>
    <n v="1"/>
  </r>
  <r>
    <x v="232"/>
    <x v="232"/>
    <x v="4"/>
    <s v="Ceba"/>
    <n v="0"/>
    <n v="0"/>
    <n v="0"/>
    <n v="0"/>
    <n v="1"/>
    <n v="0"/>
    <n v="0"/>
    <n v="1"/>
  </r>
  <r>
    <x v="232"/>
    <x v="232"/>
    <x v="4"/>
    <s v="Porro"/>
    <n v="0"/>
    <n v="0"/>
    <n v="0"/>
    <n v="0"/>
    <n v="1"/>
    <n v="0"/>
    <n v="0"/>
    <n v="1"/>
  </r>
  <r>
    <x v="232"/>
    <x v="232"/>
    <x v="2"/>
    <s v="Veça"/>
    <n v="17"/>
    <n v="0"/>
    <n v="0"/>
    <n v="17"/>
    <n v="0"/>
    <n v="0"/>
    <n v="0"/>
    <n v="0"/>
  </r>
  <r>
    <x v="233"/>
    <x v="233"/>
    <x v="0"/>
    <s v="Blat tou"/>
    <n v="14"/>
    <n v="0"/>
    <n v="0"/>
    <n v="14"/>
    <n v="0"/>
    <n v="0"/>
    <n v="0"/>
    <n v="0"/>
  </r>
  <r>
    <x v="233"/>
    <x v="233"/>
    <x v="0"/>
    <s v="Ordi"/>
    <n v="26"/>
    <n v="0"/>
    <n v="0"/>
    <n v="26"/>
    <n v="0"/>
    <n v="0"/>
    <n v="0"/>
    <n v="0"/>
  </r>
  <r>
    <x v="233"/>
    <x v="233"/>
    <x v="0"/>
    <s v="Civada"/>
    <n v="4"/>
    <n v="0"/>
    <n v="0"/>
    <n v="4"/>
    <n v="0"/>
    <n v="0"/>
    <n v="0"/>
    <n v="0"/>
  </r>
  <r>
    <x v="233"/>
    <x v="233"/>
    <x v="0"/>
    <s v="Triticale"/>
    <n v="1"/>
    <n v="0"/>
    <n v="0"/>
    <n v="1"/>
    <n v="0"/>
    <n v="0"/>
    <n v="0"/>
    <n v="0"/>
  </r>
  <r>
    <x v="233"/>
    <x v="233"/>
    <x v="0"/>
    <s v="Espelta"/>
    <n v="1"/>
    <n v="0"/>
    <n v="0"/>
    <n v="1"/>
    <n v="0"/>
    <n v="0"/>
    <n v="0"/>
    <n v="0"/>
  </r>
  <r>
    <x v="233"/>
    <x v="233"/>
    <x v="0"/>
    <s v="Blat dur"/>
    <n v="2"/>
    <n v="0"/>
    <n v="0"/>
    <n v="2"/>
    <n v="0"/>
    <n v="0"/>
    <n v="0"/>
    <n v="0"/>
  </r>
  <r>
    <x v="233"/>
    <x v="233"/>
    <x v="1"/>
    <s v="Cereals d'hivern per a farratge"/>
    <n v="20"/>
    <n v="0"/>
    <n v="0"/>
    <n v="20"/>
    <n v="0"/>
    <n v="0"/>
    <n v="0"/>
    <n v="0"/>
  </r>
  <r>
    <x v="233"/>
    <x v="233"/>
    <x v="1"/>
    <s v="Raigràs"/>
    <n v="2"/>
    <n v="0"/>
    <n v="0"/>
    <n v="2"/>
    <n v="0"/>
    <n v="0"/>
    <n v="0"/>
    <n v="0"/>
  </r>
  <r>
    <x v="233"/>
    <x v="233"/>
    <x v="1"/>
    <s v="Alfals"/>
    <n v="9"/>
    <n v="0"/>
    <n v="0"/>
    <n v="9"/>
    <n v="0"/>
    <n v="0"/>
    <n v="0"/>
    <n v="0"/>
  </r>
  <r>
    <x v="233"/>
    <x v="233"/>
    <x v="1"/>
    <s v="Trepadella"/>
    <n v="4"/>
    <n v="0"/>
    <n v="0"/>
    <n v="4"/>
    <n v="0"/>
    <n v="0"/>
    <n v="0"/>
    <n v="0"/>
  </r>
  <r>
    <x v="233"/>
    <x v="233"/>
    <x v="1"/>
    <s v="Praderes polifites"/>
    <n v="4"/>
    <n v="0"/>
    <n v="0"/>
    <n v="4"/>
    <n v="0"/>
    <n v="0"/>
    <n v="0"/>
    <n v="0"/>
  </r>
  <r>
    <x v="233"/>
    <x v="233"/>
    <x v="1"/>
    <s v="Festuca"/>
    <n v="4"/>
    <n v="0"/>
    <n v="0"/>
    <n v="4"/>
    <n v="0"/>
    <n v="0"/>
    <n v="0"/>
    <n v="0"/>
  </r>
  <r>
    <x v="233"/>
    <x v="233"/>
    <x v="1"/>
    <s v="Associació Veça - Civada farratgeres"/>
    <n v="8"/>
    <n v="0"/>
    <n v="0"/>
    <n v="8"/>
    <n v="0"/>
    <n v="0"/>
    <n v="0"/>
    <n v="0"/>
  </r>
  <r>
    <x v="233"/>
    <x v="233"/>
    <x v="4"/>
    <s v="Enciam"/>
    <n v="0"/>
    <n v="0"/>
    <n v="0"/>
    <n v="0"/>
    <n v="1"/>
    <n v="0"/>
    <n v="0"/>
    <n v="1"/>
  </r>
  <r>
    <x v="233"/>
    <x v="233"/>
    <x v="4"/>
    <s v="Tomàquet"/>
    <n v="0"/>
    <n v="0"/>
    <n v="0"/>
    <n v="0"/>
    <n v="1"/>
    <n v="0"/>
    <n v="0"/>
    <n v="1"/>
  </r>
  <r>
    <x v="233"/>
    <x v="233"/>
    <x v="4"/>
    <s v="Ceba"/>
    <n v="0"/>
    <n v="0"/>
    <n v="0"/>
    <n v="0"/>
    <n v="1"/>
    <n v="0"/>
    <n v="0"/>
    <n v="1"/>
  </r>
  <r>
    <x v="233"/>
    <x v="233"/>
    <x v="4"/>
    <s v="Fava tendra"/>
    <n v="0"/>
    <n v="0"/>
    <n v="0"/>
    <n v="0"/>
    <n v="1"/>
    <n v="0"/>
    <n v="0"/>
    <n v="1"/>
  </r>
  <r>
    <x v="233"/>
    <x v="233"/>
    <x v="2"/>
    <s v="Cigró"/>
    <n v="1"/>
    <n v="0"/>
    <n v="0"/>
    <n v="1"/>
    <n v="0"/>
    <n v="0"/>
    <n v="0"/>
    <n v="0"/>
  </r>
  <r>
    <x v="233"/>
    <x v="233"/>
    <x v="2"/>
    <s v="Pèsol sec"/>
    <n v="1"/>
    <n v="0"/>
    <n v="0"/>
    <n v="1"/>
    <n v="0"/>
    <n v="0"/>
    <n v="0"/>
    <n v="0"/>
  </r>
  <r>
    <x v="233"/>
    <x v="233"/>
    <x v="2"/>
    <s v="Erbs"/>
    <n v="1"/>
    <n v="0"/>
    <n v="0"/>
    <n v="1"/>
    <n v="0"/>
    <n v="0"/>
    <n v="0"/>
    <n v="0"/>
  </r>
  <r>
    <x v="234"/>
    <x v="234"/>
    <x v="5"/>
    <s v="Altres flors"/>
    <n v="0"/>
    <n v="0"/>
    <n v="0"/>
    <n v="0"/>
    <n v="1"/>
    <n v="0"/>
    <n v="0"/>
    <n v="1"/>
  </r>
  <r>
    <x v="234"/>
    <x v="234"/>
    <x v="5"/>
    <s v="Plantes ornamentals"/>
    <n v="0"/>
    <n v="0"/>
    <n v="0"/>
    <n v="0"/>
    <n v="11"/>
    <n v="2"/>
    <n v="0"/>
    <n v="13"/>
  </r>
  <r>
    <x v="234"/>
    <x v="234"/>
    <x v="4"/>
    <s v="Tomàquet"/>
    <n v="0"/>
    <n v="0"/>
    <n v="0"/>
    <n v="0"/>
    <n v="1"/>
    <n v="0"/>
    <n v="0"/>
    <n v="1"/>
  </r>
  <r>
    <x v="234"/>
    <x v="234"/>
    <x v="4"/>
    <s v="Maduixa i maduixot"/>
    <n v="0"/>
    <n v="0"/>
    <n v="0"/>
    <n v="0"/>
    <n v="1"/>
    <n v="0"/>
    <n v="0"/>
    <n v="1"/>
  </r>
  <r>
    <x v="234"/>
    <x v="234"/>
    <x v="4"/>
    <s v="Coliflor"/>
    <n v="0"/>
    <n v="0"/>
    <n v="0"/>
    <n v="0"/>
    <n v="1"/>
    <n v="0"/>
    <n v="0"/>
    <n v="1"/>
  </r>
  <r>
    <x v="234"/>
    <x v="234"/>
    <x v="4"/>
    <s v="Ceba"/>
    <n v="0"/>
    <n v="0"/>
    <n v="0"/>
    <n v="0"/>
    <n v="1"/>
    <n v="0"/>
    <n v="0"/>
    <n v="1"/>
  </r>
  <r>
    <x v="234"/>
    <x v="234"/>
    <x v="4"/>
    <s v="Mongeta tendra"/>
    <n v="0"/>
    <n v="0"/>
    <n v="0"/>
    <n v="0"/>
    <n v="1"/>
    <n v="0"/>
    <n v="0"/>
    <n v="1"/>
  </r>
  <r>
    <x v="234"/>
    <x v="234"/>
    <x v="4"/>
    <s v="Pèsol verd"/>
    <n v="0"/>
    <n v="0"/>
    <n v="0"/>
    <n v="0"/>
    <n v="1"/>
    <n v="0"/>
    <n v="0"/>
    <n v="1"/>
  </r>
  <r>
    <x v="235"/>
    <x v="235"/>
    <x v="0"/>
    <s v="Blat tou"/>
    <n v="44"/>
    <n v="0"/>
    <n v="0"/>
    <n v="44"/>
    <n v="0"/>
    <n v="0"/>
    <n v="0"/>
    <n v="0"/>
  </r>
  <r>
    <x v="235"/>
    <x v="235"/>
    <x v="0"/>
    <s v="Ordi"/>
    <n v="39"/>
    <n v="0"/>
    <n v="0"/>
    <n v="39"/>
    <n v="0"/>
    <n v="0"/>
    <n v="0"/>
    <n v="0"/>
  </r>
  <r>
    <x v="235"/>
    <x v="235"/>
    <x v="0"/>
    <s v="Civada"/>
    <n v="1"/>
    <n v="0"/>
    <n v="0"/>
    <n v="1"/>
    <n v="0"/>
    <n v="0"/>
    <n v="0"/>
    <n v="0"/>
  </r>
  <r>
    <x v="235"/>
    <x v="235"/>
    <x v="1"/>
    <s v="Cereals d'hivern per a farratge"/>
    <n v="3"/>
    <n v="0"/>
    <n v="0"/>
    <n v="3"/>
    <n v="0"/>
    <n v="0"/>
    <n v="0"/>
    <n v="0"/>
  </r>
  <r>
    <x v="235"/>
    <x v="235"/>
    <x v="1"/>
    <s v="Blat de moro farratger"/>
    <n v="2"/>
    <n v="22"/>
    <n v="0"/>
    <n v="24"/>
    <n v="0"/>
    <n v="0"/>
    <n v="0"/>
    <n v="0"/>
  </r>
  <r>
    <x v="235"/>
    <x v="235"/>
    <x v="1"/>
    <s v="Sorgo farratger"/>
    <n v="4"/>
    <n v="17"/>
    <n v="0"/>
    <n v="21"/>
    <n v="0"/>
    <n v="0"/>
    <n v="0"/>
    <n v="0"/>
  </r>
  <r>
    <x v="235"/>
    <x v="235"/>
    <x v="1"/>
    <s v="Raigràs"/>
    <n v="55"/>
    <n v="0"/>
    <n v="0"/>
    <n v="55"/>
    <n v="0"/>
    <n v="0"/>
    <n v="0"/>
    <n v="0"/>
  </r>
  <r>
    <x v="235"/>
    <x v="235"/>
    <x v="1"/>
    <s v="Alfals"/>
    <n v="5"/>
    <n v="0"/>
    <n v="0"/>
    <n v="5"/>
    <n v="0"/>
    <n v="0"/>
    <n v="0"/>
    <n v="0"/>
  </r>
  <r>
    <x v="235"/>
    <x v="235"/>
    <x v="1"/>
    <s v="Praderes polifites"/>
    <n v="28"/>
    <n v="0"/>
    <n v="0"/>
    <n v="28"/>
    <n v="0"/>
    <n v="0"/>
    <n v="0"/>
    <n v="0"/>
  </r>
  <r>
    <x v="235"/>
    <x v="235"/>
    <x v="6"/>
    <s v="Patata d'estació mitjana"/>
    <n v="3"/>
    <n v="0"/>
    <n v="0"/>
    <n v="3"/>
    <n v="0"/>
    <n v="0"/>
    <n v="0"/>
    <n v="0"/>
  </r>
  <r>
    <x v="236"/>
    <x v="236"/>
    <x v="5"/>
    <s v="Plantes ornamentals"/>
    <n v="0"/>
    <n v="0"/>
    <n v="0"/>
    <n v="0"/>
    <n v="3"/>
    <n v="0"/>
    <n v="0"/>
    <n v="3"/>
  </r>
  <r>
    <x v="236"/>
    <x v="236"/>
    <x v="4"/>
    <s v="Col de cabdell"/>
    <n v="0"/>
    <n v="0"/>
    <n v="0"/>
    <n v="0"/>
    <n v="2"/>
    <n v="0"/>
    <n v="0"/>
    <n v="2"/>
  </r>
  <r>
    <x v="236"/>
    <x v="236"/>
    <x v="4"/>
    <s v="Api"/>
    <n v="0"/>
    <n v="0"/>
    <n v="0"/>
    <n v="0"/>
    <n v="2"/>
    <n v="0"/>
    <n v="0"/>
    <n v="2"/>
  </r>
  <r>
    <x v="236"/>
    <x v="236"/>
    <x v="4"/>
    <s v="Enciam"/>
    <n v="0"/>
    <n v="0"/>
    <n v="0"/>
    <n v="0"/>
    <n v="4"/>
    <n v="0"/>
    <n v="0"/>
    <n v="4"/>
  </r>
  <r>
    <x v="236"/>
    <x v="236"/>
    <x v="4"/>
    <s v="Espinac"/>
    <n v="0"/>
    <n v="0"/>
    <n v="0"/>
    <n v="0"/>
    <n v="2"/>
    <n v="0"/>
    <n v="0"/>
    <n v="2"/>
  </r>
  <r>
    <x v="236"/>
    <x v="236"/>
    <x v="4"/>
    <s v="Bleda"/>
    <n v="0"/>
    <n v="0"/>
    <n v="0"/>
    <n v="0"/>
    <n v="2"/>
    <n v="0"/>
    <n v="0"/>
    <n v="2"/>
  </r>
  <r>
    <x v="236"/>
    <x v="236"/>
    <x v="4"/>
    <s v="Carbassa"/>
    <n v="0"/>
    <n v="0"/>
    <n v="0"/>
    <n v="0"/>
    <n v="1"/>
    <n v="0"/>
    <n v="0"/>
    <n v="1"/>
  </r>
  <r>
    <x v="236"/>
    <x v="236"/>
    <x v="4"/>
    <s v="Cogombre"/>
    <n v="0"/>
    <n v="0"/>
    <n v="0"/>
    <n v="0"/>
    <n v="2"/>
    <n v="0"/>
    <n v="0"/>
    <n v="2"/>
  </r>
  <r>
    <x v="236"/>
    <x v="236"/>
    <x v="4"/>
    <s v="Albergínia"/>
    <n v="0"/>
    <n v="0"/>
    <n v="0"/>
    <n v="0"/>
    <n v="1"/>
    <n v="0"/>
    <n v="0"/>
    <n v="1"/>
  </r>
  <r>
    <x v="236"/>
    <x v="236"/>
    <x v="4"/>
    <s v="Tomàquet"/>
    <n v="0"/>
    <n v="0"/>
    <n v="0"/>
    <n v="0"/>
    <n v="2"/>
    <n v="0"/>
    <n v="0"/>
    <n v="2"/>
  </r>
  <r>
    <x v="236"/>
    <x v="236"/>
    <x v="4"/>
    <s v="Carxofa"/>
    <n v="0"/>
    <n v="0"/>
    <n v="0"/>
    <n v="0"/>
    <n v="5"/>
    <n v="0"/>
    <n v="0"/>
    <n v="5"/>
  </r>
  <r>
    <x v="236"/>
    <x v="236"/>
    <x v="4"/>
    <s v="Ceba"/>
    <n v="0"/>
    <n v="0"/>
    <n v="0"/>
    <n v="0"/>
    <n v="3"/>
    <n v="0"/>
    <n v="0"/>
    <n v="3"/>
  </r>
  <r>
    <x v="236"/>
    <x v="236"/>
    <x v="4"/>
    <s v="Pastanaga"/>
    <n v="0"/>
    <n v="0"/>
    <n v="0"/>
    <n v="0"/>
    <n v="2"/>
    <n v="0"/>
    <n v="0"/>
    <n v="2"/>
  </r>
  <r>
    <x v="236"/>
    <x v="236"/>
    <x v="4"/>
    <s v="Mongeta tendra"/>
    <n v="0"/>
    <n v="0"/>
    <n v="0"/>
    <n v="0"/>
    <n v="1"/>
    <n v="0"/>
    <n v="0"/>
    <n v="1"/>
  </r>
  <r>
    <x v="236"/>
    <x v="236"/>
    <x v="4"/>
    <s v="Fava tendra"/>
    <n v="0"/>
    <n v="0"/>
    <n v="0"/>
    <n v="0"/>
    <n v="4"/>
    <n v="0"/>
    <n v="0"/>
    <n v="4"/>
  </r>
  <r>
    <x v="236"/>
    <x v="236"/>
    <x v="4"/>
    <s v="Carbassó"/>
    <n v="0"/>
    <n v="0"/>
    <n v="0"/>
    <n v="0"/>
    <n v="1"/>
    <n v="0"/>
    <n v="0"/>
    <n v="1"/>
  </r>
  <r>
    <x v="237"/>
    <x v="237"/>
    <x v="0"/>
    <s v="Blat tou"/>
    <n v="100"/>
    <n v="0"/>
    <n v="0"/>
    <n v="100"/>
    <n v="0"/>
    <n v="0"/>
    <n v="0"/>
    <n v="0"/>
  </r>
  <r>
    <x v="237"/>
    <x v="237"/>
    <x v="0"/>
    <s v="Ordi"/>
    <n v="109"/>
    <n v="0"/>
    <n v="0"/>
    <n v="109"/>
    <n v="4"/>
    <n v="0"/>
    <n v="0"/>
    <n v="4"/>
  </r>
  <r>
    <x v="237"/>
    <x v="237"/>
    <x v="0"/>
    <s v="Civada"/>
    <n v="2"/>
    <n v="0"/>
    <n v="0"/>
    <n v="2"/>
    <n v="0"/>
    <n v="0"/>
    <n v="0"/>
    <n v="0"/>
  </r>
  <r>
    <x v="237"/>
    <x v="237"/>
    <x v="0"/>
    <s v="Blat de moro"/>
    <n v="1"/>
    <n v="0"/>
    <n v="0"/>
    <n v="1"/>
    <n v="0"/>
    <n v="0"/>
    <n v="0"/>
    <n v="0"/>
  </r>
  <r>
    <x v="237"/>
    <x v="237"/>
    <x v="1"/>
    <s v="Cereals d'hivern per a farratge"/>
    <n v="6"/>
    <n v="0"/>
    <n v="0"/>
    <n v="6"/>
    <n v="0"/>
    <n v="0"/>
    <n v="0"/>
    <n v="0"/>
  </r>
  <r>
    <x v="237"/>
    <x v="237"/>
    <x v="1"/>
    <s v="Blat de moro farratger"/>
    <n v="13"/>
    <n v="18"/>
    <n v="0"/>
    <n v="31"/>
    <n v="0"/>
    <n v="0"/>
    <n v="0"/>
    <n v="0"/>
  </r>
  <r>
    <x v="237"/>
    <x v="237"/>
    <x v="1"/>
    <s v="Sorgo farratger"/>
    <n v="0"/>
    <n v="24"/>
    <n v="0"/>
    <n v="24"/>
    <n v="0"/>
    <n v="0"/>
    <n v="0"/>
    <n v="0"/>
  </r>
  <r>
    <x v="237"/>
    <x v="237"/>
    <x v="1"/>
    <s v="Raigràs"/>
    <n v="57"/>
    <n v="0"/>
    <n v="0"/>
    <n v="57"/>
    <n v="0"/>
    <n v="0"/>
    <n v="0"/>
    <n v="0"/>
  </r>
  <r>
    <x v="237"/>
    <x v="237"/>
    <x v="1"/>
    <s v="Alfals"/>
    <n v="13"/>
    <n v="0"/>
    <n v="0"/>
    <n v="13"/>
    <n v="0"/>
    <n v="0"/>
    <n v="0"/>
    <n v="0"/>
  </r>
  <r>
    <x v="237"/>
    <x v="237"/>
    <x v="1"/>
    <s v="Praderes polifites"/>
    <n v="19"/>
    <n v="0"/>
    <n v="0"/>
    <n v="19"/>
    <n v="0"/>
    <n v="0"/>
    <n v="0"/>
    <n v="0"/>
  </r>
  <r>
    <x v="237"/>
    <x v="237"/>
    <x v="1"/>
    <s v="Festuca"/>
    <n v="1"/>
    <n v="0"/>
    <n v="0"/>
    <n v="1"/>
    <n v="0"/>
    <n v="0"/>
    <n v="0"/>
    <n v="0"/>
  </r>
  <r>
    <x v="237"/>
    <x v="237"/>
    <x v="1"/>
    <s v="Associació Veça - Civada farratgeres"/>
    <n v="1"/>
    <n v="0"/>
    <n v="0"/>
    <n v="1"/>
    <n v="0"/>
    <n v="0"/>
    <n v="0"/>
    <n v="0"/>
  </r>
  <r>
    <x v="237"/>
    <x v="237"/>
    <x v="2"/>
    <s v="Pèsol sec"/>
    <n v="2"/>
    <n v="0"/>
    <n v="0"/>
    <n v="2"/>
    <n v="0"/>
    <n v="0"/>
    <n v="0"/>
    <n v="0"/>
  </r>
  <r>
    <x v="237"/>
    <x v="237"/>
    <x v="2"/>
    <s v="Veça"/>
    <n v="8"/>
    <n v="0"/>
    <n v="0"/>
    <n v="8"/>
    <n v="0"/>
    <n v="0"/>
    <n v="0"/>
    <n v="0"/>
  </r>
  <r>
    <x v="238"/>
    <x v="238"/>
    <x v="0"/>
    <s v="Civada"/>
    <n v="14"/>
    <n v="0"/>
    <n v="0"/>
    <n v="14"/>
    <n v="0"/>
    <n v="0"/>
    <n v="0"/>
    <n v="0"/>
  </r>
  <r>
    <x v="238"/>
    <x v="238"/>
    <x v="1"/>
    <s v="Cereals d'hivern per a farratge"/>
    <n v="3"/>
    <n v="0"/>
    <n v="0"/>
    <n v="3"/>
    <n v="0"/>
    <n v="0"/>
    <n v="0"/>
    <n v="0"/>
  </r>
  <r>
    <x v="238"/>
    <x v="238"/>
    <x v="4"/>
    <s v="Col de cabdell"/>
    <n v="0"/>
    <n v="0"/>
    <n v="0"/>
    <n v="0"/>
    <n v="4"/>
    <n v="0"/>
    <n v="0"/>
    <n v="4"/>
  </r>
  <r>
    <x v="238"/>
    <x v="238"/>
    <x v="4"/>
    <s v="Api"/>
    <n v="0"/>
    <n v="0"/>
    <n v="0"/>
    <n v="0"/>
    <n v="2"/>
    <n v="0"/>
    <n v="0"/>
    <n v="2"/>
  </r>
  <r>
    <x v="238"/>
    <x v="238"/>
    <x v="4"/>
    <s v="Enciam"/>
    <n v="0"/>
    <n v="0"/>
    <n v="0"/>
    <n v="0"/>
    <n v="2"/>
    <n v="0"/>
    <n v="0"/>
    <n v="2"/>
  </r>
  <r>
    <x v="238"/>
    <x v="238"/>
    <x v="4"/>
    <s v="Escarola"/>
    <n v="0"/>
    <n v="0"/>
    <n v="0"/>
    <n v="0"/>
    <n v="1"/>
    <n v="0"/>
    <n v="0"/>
    <n v="1"/>
  </r>
  <r>
    <x v="238"/>
    <x v="238"/>
    <x v="4"/>
    <s v="Espinac"/>
    <n v="0"/>
    <n v="0"/>
    <n v="0"/>
    <n v="0"/>
    <n v="2"/>
    <n v="0"/>
    <n v="0"/>
    <n v="2"/>
  </r>
  <r>
    <x v="238"/>
    <x v="238"/>
    <x v="4"/>
    <s v="Bleda"/>
    <n v="0"/>
    <n v="0"/>
    <n v="0"/>
    <n v="0"/>
    <n v="4"/>
    <n v="0"/>
    <n v="0"/>
    <n v="4"/>
  </r>
  <r>
    <x v="238"/>
    <x v="238"/>
    <x v="4"/>
    <s v="Carbassa"/>
    <n v="0"/>
    <n v="0"/>
    <n v="0"/>
    <n v="0"/>
    <n v="1"/>
    <n v="0"/>
    <n v="0"/>
    <n v="1"/>
  </r>
  <r>
    <x v="238"/>
    <x v="238"/>
    <x v="4"/>
    <s v="Cogombre"/>
    <n v="0"/>
    <n v="0"/>
    <n v="0"/>
    <n v="0"/>
    <n v="1"/>
    <n v="0"/>
    <n v="0"/>
    <n v="1"/>
  </r>
  <r>
    <x v="238"/>
    <x v="238"/>
    <x v="4"/>
    <s v="Tomàquet"/>
    <n v="0"/>
    <n v="0"/>
    <n v="0"/>
    <n v="0"/>
    <n v="4"/>
    <n v="0"/>
    <n v="0"/>
    <n v="4"/>
  </r>
  <r>
    <x v="238"/>
    <x v="238"/>
    <x v="4"/>
    <s v="Pebrot"/>
    <n v="0"/>
    <n v="0"/>
    <n v="0"/>
    <n v="0"/>
    <n v="1"/>
    <n v="0"/>
    <n v="0"/>
    <n v="1"/>
  </r>
  <r>
    <x v="238"/>
    <x v="238"/>
    <x v="4"/>
    <s v="Carxofa"/>
    <n v="0"/>
    <n v="0"/>
    <n v="0"/>
    <n v="0"/>
    <n v="14"/>
    <n v="0"/>
    <n v="0"/>
    <n v="14"/>
  </r>
  <r>
    <x v="238"/>
    <x v="238"/>
    <x v="4"/>
    <s v="Coliflor"/>
    <n v="0"/>
    <n v="0"/>
    <n v="0"/>
    <n v="0"/>
    <n v="2"/>
    <n v="0"/>
    <n v="0"/>
    <n v="2"/>
  </r>
  <r>
    <x v="238"/>
    <x v="238"/>
    <x v="4"/>
    <s v="All"/>
    <n v="0"/>
    <n v="0"/>
    <n v="0"/>
    <n v="0"/>
    <n v="2"/>
    <n v="0"/>
    <n v="0"/>
    <n v="2"/>
  </r>
  <r>
    <x v="238"/>
    <x v="238"/>
    <x v="4"/>
    <s v="Ceba"/>
    <n v="0"/>
    <n v="0"/>
    <n v="0"/>
    <n v="0"/>
    <n v="4"/>
    <n v="0"/>
    <n v="0"/>
    <n v="4"/>
  </r>
  <r>
    <x v="238"/>
    <x v="238"/>
    <x v="4"/>
    <s v="Porro"/>
    <n v="0"/>
    <n v="0"/>
    <n v="0"/>
    <n v="0"/>
    <n v="4"/>
    <n v="0"/>
    <n v="0"/>
    <n v="4"/>
  </r>
  <r>
    <x v="238"/>
    <x v="238"/>
    <x v="4"/>
    <s v="Pèsol verd"/>
    <n v="0"/>
    <n v="0"/>
    <n v="0"/>
    <n v="0"/>
    <n v="1"/>
    <n v="0"/>
    <n v="0"/>
    <n v="1"/>
  </r>
  <r>
    <x v="238"/>
    <x v="238"/>
    <x v="4"/>
    <s v="Fava tendra"/>
    <n v="0"/>
    <n v="0"/>
    <n v="0"/>
    <n v="0"/>
    <n v="8"/>
    <n v="0"/>
    <n v="0"/>
    <n v="8"/>
  </r>
  <r>
    <x v="238"/>
    <x v="238"/>
    <x v="4"/>
    <s v="Carbassó"/>
    <n v="0"/>
    <n v="0"/>
    <n v="0"/>
    <n v="0"/>
    <n v="2"/>
    <n v="0"/>
    <n v="0"/>
    <n v="2"/>
  </r>
  <r>
    <x v="238"/>
    <x v="238"/>
    <x v="4"/>
    <s v="Bròquil"/>
    <n v="0"/>
    <n v="0"/>
    <n v="0"/>
    <n v="0"/>
    <n v="3"/>
    <n v="0"/>
    <n v="0"/>
    <n v="3"/>
  </r>
  <r>
    <x v="239"/>
    <x v="239"/>
    <x v="0"/>
    <s v="Blat tou"/>
    <n v="122"/>
    <n v="0"/>
    <n v="0"/>
    <n v="122"/>
    <n v="0"/>
    <n v="0"/>
    <n v="0"/>
    <n v="0"/>
  </r>
  <r>
    <x v="239"/>
    <x v="239"/>
    <x v="0"/>
    <s v="Ordi"/>
    <n v="94"/>
    <n v="0"/>
    <n v="0"/>
    <n v="94"/>
    <n v="0"/>
    <n v="0"/>
    <n v="0"/>
    <n v="0"/>
  </r>
  <r>
    <x v="239"/>
    <x v="239"/>
    <x v="0"/>
    <s v="Civada"/>
    <n v="1"/>
    <n v="0"/>
    <n v="0"/>
    <n v="1"/>
    <n v="0"/>
    <n v="0"/>
    <n v="0"/>
    <n v="0"/>
  </r>
  <r>
    <x v="239"/>
    <x v="239"/>
    <x v="0"/>
    <s v="Blat de moro"/>
    <n v="5"/>
    <n v="0"/>
    <n v="0"/>
    <n v="5"/>
    <n v="0"/>
    <n v="0"/>
    <n v="0"/>
    <n v="0"/>
  </r>
  <r>
    <x v="239"/>
    <x v="239"/>
    <x v="0"/>
    <s v="Mill i melca"/>
    <n v="0"/>
    <n v="5"/>
    <n v="0"/>
    <n v="5"/>
    <n v="0"/>
    <n v="0"/>
    <n v="0"/>
    <n v="0"/>
  </r>
  <r>
    <x v="239"/>
    <x v="239"/>
    <x v="1"/>
    <s v="Cereals d'hivern per a farratge"/>
    <n v="3"/>
    <n v="0"/>
    <n v="0"/>
    <n v="3"/>
    <n v="0"/>
    <n v="0"/>
    <n v="0"/>
    <n v="0"/>
  </r>
  <r>
    <x v="239"/>
    <x v="239"/>
    <x v="1"/>
    <s v="Blat de moro farratger"/>
    <n v="48"/>
    <n v="26"/>
    <n v="0"/>
    <n v="74"/>
    <n v="0"/>
    <n v="0"/>
    <n v="0"/>
    <n v="0"/>
  </r>
  <r>
    <x v="239"/>
    <x v="239"/>
    <x v="1"/>
    <s v="Sorgo farratger"/>
    <n v="0"/>
    <n v="30"/>
    <n v="0"/>
    <n v="30"/>
    <n v="0"/>
    <n v="0"/>
    <n v="0"/>
    <n v="0"/>
  </r>
  <r>
    <x v="239"/>
    <x v="239"/>
    <x v="1"/>
    <s v="Raigràs"/>
    <n v="78"/>
    <n v="0"/>
    <n v="0"/>
    <n v="78"/>
    <n v="0"/>
    <n v="0"/>
    <n v="0"/>
    <n v="0"/>
  </r>
  <r>
    <x v="239"/>
    <x v="239"/>
    <x v="1"/>
    <s v="Alfals"/>
    <n v="41"/>
    <n v="0"/>
    <n v="0"/>
    <n v="41"/>
    <n v="0"/>
    <n v="0"/>
    <n v="0"/>
    <n v="0"/>
  </r>
  <r>
    <x v="239"/>
    <x v="239"/>
    <x v="1"/>
    <s v="Praderes polifites"/>
    <n v="22"/>
    <n v="0"/>
    <n v="0"/>
    <n v="22"/>
    <n v="0"/>
    <n v="0"/>
    <n v="0"/>
    <n v="0"/>
  </r>
  <r>
    <x v="239"/>
    <x v="239"/>
    <x v="3"/>
    <s v="Colza"/>
    <n v="2"/>
    <n v="0"/>
    <n v="0"/>
    <n v="2"/>
    <n v="0"/>
    <n v="0"/>
    <n v="0"/>
    <n v="0"/>
  </r>
  <r>
    <x v="239"/>
    <x v="239"/>
    <x v="2"/>
    <s v="Veça"/>
    <n v="1"/>
    <n v="0"/>
    <n v="0"/>
    <n v="1"/>
    <n v="0"/>
    <n v="0"/>
    <n v="0"/>
    <n v="0"/>
  </r>
  <r>
    <x v="240"/>
    <x v="240"/>
    <x v="0"/>
    <s v="Blat tou"/>
    <n v="73"/>
    <n v="0"/>
    <n v="0"/>
    <n v="73"/>
    <n v="0"/>
    <n v="0"/>
    <n v="0"/>
    <n v="0"/>
  </r>
  <r>
    <x v="240"/>
    <x v="240"/>
    <x v="0"/>
    <s v="Ordi"/>
    <n v="57"/>
    <n v="0"/>
    <n v="0"/>
    <n v="57"/>
    <n v="0"/>
    <n v="0"/>
    <n v="0"/>
    <n v="0"/>
  </r>
  <r>
    <x v="240"/>
    <x v="240"/>
    <x v="0"/>
    <s v="Civada"/>
    <n v="2"/>
    <n v="0"/>
    <n v="0"/>
    <n v="2"/>
    <n v="0"/>
    <n v="0"/>
    <n v="0"/>
    <n v="0"/>
  </r>
  <r>
    <x v="240"/>
    <x v="240"/>
    <x v="0"/>
    <s v="Triticale"/>
    <n v="1"/>
    <n v="0"/>
    <n v="0"/>
    <n v="1"/>
    <n v="0"/>
    <n v="0"/>
    <n v="0"/>
    <n v="0"/>
  </r>
  <r>
    <x v="240"/>
    <x v="240"/>
    <x v="1"/>
    <s v="Cereals d'hivern per a farratge"/>
    <n v="14"/>
    <n v="0"/>
    <n v="0"/>
    <n v="14"/>
    <n v="0"/>
    <n v="0"/>
    <n v="0"/>
    <n v="0"/>
  </r>
  <r>
    <x v="240"/>
    <x v="240"/>
    <x v="1"/>
    <s v="Sorgo farratger"/>
    <n v="26"/>
    <n v="9"/>
    <n v="0"/>
    <n v="35"/>
    <n v="0"/>
    <n v="13"/>
    <n v="0"/>
    <n v="13"/>
  </r>
  <r>
    <x v="240"/>
    <x v="240"/>
    <x v="1"/>
    <s v="Raigràs"/>
    <n v="73"/>
    <n v="0"/>
    <n v="0"/>
    <n v="73"/>
    <n v="6"/>
    <n v="0"/>
    <n v="0"/>
    <n v="6"/>
  </r>
  <r>
    <x v="240"/>
    <x v="240"/>
    <x v="1"/>
    <s v="Alfals"/>
    <n v="34"/>
    <n v="0"/>
    <n v="0"/>
    <n v="34"/>
    <n v="0"/>
    <n v="0"/>
    <n v="0"/>
    <n v="0"/>
  </r>
  <r>
    <x v="240"/>
    <x v="240"/>
    <x v="1"/>
    <s v="Praderes polifites"/>
    <n v="30"/>
    <n v="0"/>
    <n v="0"/>
    <n v="30"/>
    <n v="0"/>
    <n v="0"/>
    <n v="0"/>
    <n v="0"/>
  </r>
  <r>
    <x v="240"/>
    <x v="240"/>
    <x v="1"/>
    <s v="Associació Veça - Civada farratgeres"/>
    <n v="4"/>
    <n v="0"/>
    <n v="0"/>
    <n v="4"/>
    <n v="8"/>
    <n v="0"/>
    <n v="0"/>
    <n v="8"/>
  </r>
  <r>
    <x v="240"/>
    <x v="240"/>
    <x v="3"/>
    <s v="Colza"/>
    <n v="14"/>
    <n v="0"/>
    <n v="0"/>
    <n v="14"/>
    <n v="0"/>
    <n v="0"/>
    <n v="0"/>
    <n v="0"/>
  </r>
  <r>
    <x v="240"/>
    <x v="240"/>
    <x v="2"/>
    <s v="Pèsol sec"/>
    <n v="4"/>
    <n v="0"/>
    <n v="0"/>
    <n v="4"/>
    <n v="0"/>
    <n v="0"/>
    <n v="0"/>
    <n v="0"/>
  </r>
  <r>
    <x v="240"/>
    <x v="240"/>
    <x v="2"/>
    <s v="Veça"/>
    <n v="4"/>
    <n v="0"/>
    <n v="0"/>
    <n v="4"/>
    <n v="0"/>
    <n v="0"/>
    <n v="0"/>
    <n v="0"/>
  </r>
  <r>
    <x v="241"/>
    <x v="241"/>
    <x v="0"/>
    <s v="Blat tou"/>
    <n v="8"/>
    <n v="0"/>
    <n v="0"/>
    <n v="8"/>
    <n v="9"/>
    <n v="0"/>
    <n v="0"/>
    <n v="9"/>
  </r>
  <r>
    <x v="241"/>
    <x v="241"/>
    <x v="0"/>
    <s v="Ordi"/>
    <n v="38"/>
    <n v="0"/>
    <n v="0"/>
    <n v="38"/>
    <n v="52"/>
    <n v="0"/>
    <n v="0"/>
    <n v="52"/>
  </r>
  <r>
    <x v="241"/>
    <x v="241"/>
    <x v="0"/>
    <s v="Civada"/>
    <n v="6"/>
    <n v="0"/>
    <n v="0"/>
    <n v="6"/>
    <n v="1"/>
    <n v="0"/>
    <n v="0"/>
    <n v="1"/>
  </r>
  <r>
    <x v="241"/>
    <x v="241"/>
    <x v="0"/>
    <s v="Triticale"/>
    <n v="18"/>
    <n v="0"/>
    <n v="0"/>
    <n v="18"/>
    <n v="5"/>
    <n v="0"/>
    <n v="0"/>
    <n v="5"/>
  </r>
  <r>
    <x v="241"/>
    <x v="241"/>
    <x v="1"/>
    <s v="Cereals d'hivern per a farratge"/>
    <n v="58"/>
    <n v="0"/>
    <n v="0"/>
    <n v="58"/>
    <n v="11"/>
    <n v="0"/>
    <n v="0"/>
    <n v="11"/>
  </r>
  <r>
    <x v="241"/>
    <x v="241"/>
    <x v="1"/>
    <s v="Sorgo farratger"/>
    <n v="0"/>
    <n v="3"/>
    <n v="0"/>
    <n v="3"/>
    <n v="0"/>
    <n v="0"/>
    <n v="0"/>
    <n v="0"/>
  </r>
  <r>
    <x v="241"/>
    <x v="241"/>
    <x v="1"/>
    <s v="Raigràs"/>
    <n v="21"/>
    <n v="0"/>
    <n v="0"/>
    <n v="21"/>
    <n v="9"/>
    <n v="0"/>
    <n v="0"/>
    <n v="9"/>
  </r>
  <r>
    <x v="241"/>
    <x v="241"/>
    <x v="1"/>
    <s v="Alfals"/>
    <n v="7"/>
    <n v="0"/>
    <n v="0"/>
    <n v="7"/>
    <n v="2"/>
    <n v="0"/>
    <n v="0"/>
    <n v="2"/>
  </r>
  <r>
    <x v="241"/>
    <x v="241"/>
    <x v="3"/>
    <s v="Lavanda"/>
    <n v="0"/>
    <n v="0"/>
    <n v="0"/>
    <n v="0"/>
    <n v="2"/>
    <n v="0"/>
    <n v="0"/>
    <n v="2"/>
  </r>
  <r>
    <x v="241"/>
    <x v="241"/>
    <x v="5"/>
    <s v="Plantes ornamentals"/>
    <n v="0"/>
    <n v="0"/>
    <n v="0"/>
    <n v="0"/>
    <n v="6"/>
    <n v="0"/>
    <n v="0"/>
    <n v="6"/>
  </r>
  <r>
    <x v="241"/>
    <x v="241"/>
    <x v="4"/>
    <s v="Fava tendra"/>
    <n v="1"/>
    <n v="0"/>
    <n v="0"/>
    <n v="1"/>
    <n v="7"/>
    <n v="0"/>
    <n v="0"/>
    <n v="7"/>
  </r>
  <r>
    <x v="241"/>
    <x v="241"/>
    <x v="2"/>
    <s v="Fava seca"/>
    <n v="1"/>
    <n v="0"/>
    <n v="0"/>
    <n v="1"/>
    <n v="0"/>
    <n v="0"/>
    <n v="0"/>
    <n v="0"/>
  </r>
  <r>
    <x v="241"/>
    <x v="241"/>
    <x v="6"/>
    <s v="Patata tardana"/>
    <n v="0"/>
    <n v="0"/>
    <n v="0"/>
    <n v="0"/>
    <n v="1"/>
    <n v="0"/>
    <n v="0"/>
    <n v="1"/>
  </r>
  <r>
    <x v="242"/>
    <x v="242"/>
    <x v="0"/>
    <s v="Blat tou"/>
    <n v="2"/>
    <n v="0"/>
    <n v="0"/>
    <n v="2"/>
    <n v="0"/>
    <n v="0"/>
    <n v="0"/>
    <n v="0"/>
  </r>
  <r>
    <x v="242"/>
    <x v="242"/>
    <x v="0"/>
    <s v="Ordi"/>
    <n v="6"/>
    <n v="0"/>
    <n v="0"/>
    <n v="6"/>
    <n v="0"/>
    <n v="0"/>
    <n v="0"/>
    <n v="0"/>
  </r>
  <r>
    <x v="242"/>
    <x v="242"/>
    <x v="0"/>
    <s v="Civada"/>
    <n v="5"/>
    <n v="0"/>
    <n v="0"/>
    <n v="5"/>
    <n v="0"/>
    <n v="0"/>
    <n v="0"/>
    <n v="0"/>
  </r>
  <r>
    <x v="242"/>
    <x v="242"/>
    <x v="1"/>
    <s v="Associació Veça - Civada farratgeres"/>
    <n v="2"/>
    <n v="0"/>
    <n v="0"/>
    <n v="2"/>
    <n v="0"/>
    <n v="0"/>
    <n v="0"/>
    <n v="0"/>
  </r>
  <r>
    <x v="242"/>
    <x v="242"/>
    <x v="4"/>
    <s v="Tomàquet"/>
    <n v="1"/>
    <n v="0"/>
    <n v="0"/>
    <n v="1"/>
    <n v="0"/>
    <n v="0"/>
    <n v="0"/>
    <n v="0"/>
  </r>
  <r>
    <x v="242"/>
    <x v="242"/>
    <x v="2"/>
    <s v="Pèsol sec"/>
    <n v="5"/>
    <n v="0"/>
    <n v="0"/>
    <n v="5"/>
    <n v="0"/>
    <n v="0"/>
    <n v="0"/>
    <n v="0"/>
  </r>
  <r>
    <x v="242"/>
    <x v="242"/>
    <x v="6"/>
    <s v="Patata d'estació mitjana"/>
    <n v="1"/>
    <n v="0"/>
    <n v="0"/>
    <n v="1"/>
    <n v="0"/>
    <n v="0"/>
    <n v="0"/>
    <n v="0"/>
  </r>
  <r>
    <x v="243"/>
    <x v="243"/>
    <x v="0"/>
    <s v="Blat tou"/>
    <n v="157"/>
    <n v="0"/>
    <n v="0"/>
    <n v="157"/>
    <n v="4"/>
    <n v="0"/>
    <n v="0"/>
    <n v="4"/>
  </r>
  <r>
    <x v="243"/>
    <x v="243"/>
    <x v="0"/>
    <s v="Ordi"/>
    <n v="518"/>
    <n v="0"/>
    <n v="0"/>
    <n v="518"/>
    <n v="0"/>
    <n v="0"/>
    <n v="0"/>
    <n v="0"/>
  </r>
  <r>
    <x v="243"/>
    <x v="243"/>
    <x v="0"/>
    <s v="Civada"/>
    <n v="6"/>
    <n v="0"/>
    <n v="0"/>
    <n v="6"/>
    <n v="0"/>
    <n v="0"/>
    <n v="0"/>
    <n v="0"/>
  </r>
  <r>
    <x v="243"/>
    <x v="243"/>
    <x v="0"/>
    <s v="Espelta"/>
    <n v="1"/>
    <n v="0"/>
    <n v="0"/>
    <n v="1"/>
    <n v="0"/>
    <n v="0"/>
    <n v="0"/>
    <n v="0"/>
  </r>
  <r>
    <x v="243"/>
    <x v="243"/>
    <x v="1"/>
    <s v="Cereals d'hivern per a farratge"/>
    <n v="25"/>
    <n v="0"/>
    <n v="0"/>
    <n v="25"/>
    <n v="0"/>
    <n v="0"/>
    <n v="0"/>
    <n v="0"/>
  </r>
  <r>
    <x v="243"/>
    <x v="243"/>
    <x v="1"/>
    <s v="Alfals"/>
    <n v="4"/>
    <n v="0"/>
    <n v="0"/>
    <n v="4"/>
    <n v="0"/>
    <n v="0"/>
    <n v="0"/>
    <n v="0"/>
  </r>
  <r>
    <x v="243"/>
    <x v="243"/>
    <x v="1"/>
    <s v="Trepadella"/>
    <n v="8"/>
    <n v="0"/>
    <n v="0"/>
    <n v="8"/>
    <n v="0"/>
    <n v="0"/>
    <n v="0"/>
    <n v="0"/>
  </r>
  <r>
    <x v="243"/>
    <x v="243"/>
    <x v="1"/>
    <s v="Associació Veça - Civada farratgeres"/>
    <n v="9"/>
    <n v="0"/>
    <n v="0"/>
    <n v="9"/>
    <n v="0"/>
    <n v="0"/>
    <n v="0"/>
    <n v="0"/>
  </r>
  <r>
    <x v="243"/>
    <x v="243"/>
    <x v="3"/>
    <s v="Colza"/>
    <n v="143"/>
    <n v="0"/>
    <n v="0"/>
    <n v="143"/>
    <n v="0"/>
    <n v="0"/>
    <n v="0"/>
    <n v="0"/>
  </r>
  <r>
    <x v="243"/>
    <x v="243"/>
    <x v="3"/>
    <s v="Camelina"/>
    <n v="13"/>
    <n v="0"/>
    <n v="0"/>
    <n v="13"/>
    <n v="0"/>
    <n v="0"/>
    <n v="0"/>
    <n v="0"/>
  </r>
  <r>
    <x v="243"/>
    <x v="243"/>
    <x v="2"/>
    <s v="Pèsol sec"/>
    <n v="24"/>
    <n v="0"/>
    <n v="0"/>
    <n v="24"/>
    <n v="0"/>
    <n v="0"/>
    <n v="0"/>
    <n v="0"/>
  </r>
  <r>
    <x v="243"/>
    <x v="243"/>
    <x v="2"/>
    <s v="Veça"/>
    <n v="4"/>
    <n v="0"/>
    <n v="0"/>
    <n v="4"/>
    <n v="0"/>
    <n v="0"/>
    <n v="0"/>
    <n v="0"/>
  </r>
  <r>
    <x v="243"/>
    <x v="243"/>
    <x v="2"/>
    <s v="Erbs"/>
    <n v="4"/>
    <n v="0"/>
    <n v="0"/>
    <n v="4"/>
    <n v="0"/>
    <n v="0"/>
    <n v="0"/>
    <n v="0"/>
  </r>
  <r>
    <x v="244"/>
    <x v="244"/>
    <x v="0"/>
    <s v="Blat tou"/>
    <n v="5"/>
    <n v="0"/>
    <n v="0"/>
    <n v="5"/>
    <n v="0"/>
    <n v="0"/>
    <n v="0"/>
    <n v="0"/>
  </r>
  <r>
    <x v="244"/>
    <x v="244"/>
    <x v="0"/>
    <s v="Ordi"/>
    <n v="18"/>
    <n v="0"/>
    <n v="0"/>
    <n v="18"/>
    <n v="0"/>
    <n v="0"/>
    <n v="0"/>
    <n v="0"/>
  </r>
  <r>
    <x v="244"/>
    <x v="244"/>
    <x v="0"/>
    <s v="Civada"/>
    <n v="11"/>
    <n v="0"/>
    <n v="0"/>
    <n v="11"/>
    <n v="0"/>
    <n v="0"/>
    <n v="0"/>
    <n v="0"/>
  </r>
  <r>
    <x v="244"/>
    <x v="244"/>
    <x v="1"/>
    <s v="Raigràs"/>
    <n v="2"/>
    <n v="0"/>
    <n v="0"/>
    <n v="2"/>
    <n v="0"/>
    <n v="0"/>
    <n v="0"/>
    <n v="0"/>
  </r>
  <r>
    <x v="244"/>
    <x v="244"/>
    <x v="1"/>
    <s v="Alfals"/>
    <n v="2"/>
    <n v="0"/>
    <n v="0"/>
    <n v="2"/>
    <n v="0"/>
    <n v="0"/>
    <n v="0"/>
    <n v="0"/>
  </r>
  <r>
    <x v="244"/>
    <x v="244"/>
    <x v="1"/>
    <s v="Trepadella"/>
    <n v="3"/>
    <n v="0"/>
    <n v="0"/>
    <n v="3"/>
    <n v="0"/>
    <n v="0"/>
    <n v="0"/>
    <n v="0"/>
  </r>
  <r>
    <x v="244"/>
    <x v="244"/>
    <x v="1"/>
    <s v="Associació Veça - Civada farratgeres"/>
    <n v="6"/>
    <n v="0"/>
    <n v="0"/>
    <n v="6"/>
    <n v="0"/>
    <n v="0"/>
    <n v="0"/>
    <n v="0"/>
  </r>
  <r>
    <x v="244"/>
    <x v="244"/>
    <x v="4"/>
    <s v="Meló"/>
    <n v="2"/>
    <n v="0"/>
    <n v="0"/>
    <n v="2"/>
    <n v="0"/>
    <n v="0"/>
    <n v="0"/>
    <n v="0"/>
  </r>
  <r>
    <x v="244"/>
    <x v="244"/>
    <x v="4"/>
    <s v="Tomàquet"/>
    <n v="1"/>
    <n v="0"/>
    <n v="0"/>
    <n v="1"/>
    <n v="1"/>
    <n v="0"/>
    <n v="0"/>
    <n v="1"/>
  </r>
  <r>
    <x v="244"/>
    <x v="244"/>
    <x v="4"/>
    <s v="Ceba"/>
    <n v="1"/>
    <n v="0"/>
    <n v="0"/>
    <n v="1"/>
    <n v="1"/>
    <n v="0"/>
    <n v="0"/>
    <n v="1"/>
  </r>
  <r>
    <x v="244"/>
    <x v="244"/>
    <x v="4"/>
    <s v="Fava tendra"/>
    <n v="1"/>
    <n v="0"/>
    <n v="0"/>
    <n v="1"/>
    <n v="1"/>
    <n v="0"/>
    <n v="0"/>
    <n v="1"/>
  </r>
  <r>
    <x v="245"/>
    <x v="245"/>
    <x v="1"/>
    <s v="Raigràs"/>
    <n v="22"/>
    <n v="0"/>
    <n v="0"/>
    <n v="22"/>
    <n v="0"/>
    <n v="0"/>
    <n v="0"/>
    <n v="0"/>
  </r>
  <r>
    <x v="245"/>
    <x v="245"/>
    <x v="1"/>
    <s v="Alfals"/>
    <n v="3"/>
    <n v="0"/>
    <n v="0"/>
    <n v="3"/>
    <n v="0"/>
    <n v="0"/>
    <n v="0"/>
    <n v="0"/>
  </r>
  <r>
    <x v="245"/>
    <x v="245"/>
    <x v="1"/>
    <s v="Praderes polifites"/>
    <n v="109"/>
    <n v="0"/>
    <n v="0"/>
    <n v="109"/>
    <n v="0"/>
    <n v="0"/>
    <n v="0"/>
    <n v="0"/>
  </r>
  <r>
    <x v="246"/>
    <x v="246"/>
    <x v="0"/>
    <s v="Blat tou"/>
    <n v="190"/>
    <n v="0"/>
    <n v="0"/>
    <n v="190"/>
    <n v="0"/>
    <n v="0"/>
    <n v="0"/>
    <n v="0"/>
  </r>
  <r>
    <x v="246"/>
    <x v="246"/>
    <x v="0"/>
    <s v="Ordi"/>
    <n v="205"/>
    <n v="0"/>
    <n v="0"/>
    <n v="205"/>
    <n v="0"/>
    <n v="0"/>
    <n v="0"/>
    <n v="0"/>
  </r>
  <r>
    <x v="246"/>
    <x v="246"/>
    <x v="0"/>
    <s v="Civada"/>
    <n v="11"/>
    <n v="0"/>
    <n v="0"/>
    <n v="11"/>
    <n v="0"/>
    <n v="0"/>
    <n v="0"/>
    <n v="0"/>
  </r>
  <r>
    <x v="246"/>
    <x v="246"/>
    <x v="0"/>
    <s v="Triticale"/>
    <n v="1"/>
    <n v="0"/>
    <n v="0"/>
    <n v="1"/>
    <n v="0"/>
    <n v="0"/>
    <n v="0"/>
    <n v="0"/>
  </r>
  <r>
    <x v="246"/>
    <x v="246"/>
    <x v="0"/>
    <s v="Blat de moro"/>
    <n v="1"/>
    <n v="0"/>
    <n v="0"/>
    <n v="1"/>
    <n v="0"/>
    <n v="0"/>
    <n v="0"/>
    <n v="0"/>
  </r>
  <r>
    <x v="246"/>
    <x v="246"/>
    <x v="1"/>
    <s v="Cereals d'hivern per a farratge"/>
    <n v="39"/>
    <n v="0"/>
    <n v="0"/>
    <n v="39"/>
    <n v="0"/>
    <n v="0"/>
    <n v="0"/>
    <n v="0"/>
  </r>
  <r>
    <x v="246"/>
    <x v="246"/>
    <x v="1"/>
    <s v="Blat de moro farratger"/>
    <n v="9"/>
    <n v="139"/>
    <n v="0"/>
    <n v="148"/>
    <n v="0"/>
    <n v="0"/>
    <n v="0"/>
    <n v="0"/>
  </r>
  <r>
    <x v="246"/>
    <x v="246"/>
    <x v="1"/>
    <s v="Sorgo farratger"/>
    <n v="1"/>
    <n v="57"/>
    <n v="0"/>
    <n v="58"/>
    <n v="0"/>
    <n v="0"/>
    <n v="0"/>
    <n v="0"/>
  </r>
  <r>
    <x v="246"/>
    <x v="246"/>
    <x v="1"/>
    <s v="Raigràs"/>
    <n v="461"/>
    <n v="0"/>
    <n v="0"/>
    <n v="461"/>
    <n v="0"/>
    <n v="0"/>
    <n v="0"/>
    <n v="0"/>
  </r>
  <r>
    <x v="246"/>
    <x v="246"/>
    <x v="1"/>
    <s v="Alfals"/>
    <n v="57"/>
    <n v="0"/>
    <n v="0"/>
    <n v="57"/>
    <n v="0"/>
    <n v="0"/>
    <n v="0"/>
    <n v="0"/>
  </r>
  <r>
    <x v="246"/>
    <x v="246"/>
    <x v="1"/>
    <s v="Trepadella"/>
    <n v="2"/>
    <n v="0"/>
    <n v="0"/>
    <n v="2"/>
    <n v="0"/>
    <n v="0"/>
    <n v="0"/>
    <n v="0"/>
  </r>
  <r>
    <x v="246"/>
    <x v="246"/>
    <x v="1"/>
    <s v="Praderes polifites"/>
    <n v="350"/>
    <n v="0"/>
    <n v="0"/>
    <n v="350"/>
    <n v="0"/>
    <n v="0"/>
    <n v="0"/>
    <n v="0"/>
  </r>
  <r>
    <x v="246"/>
    <x v="246"/>
    <x v="1"/>
    <s v="Associació Veça - Civada farratgeres"/>
    <n v="9"/>
    <n v="0"/>
    <n v="0"/>
    <n v="9"/>
    <n v="0"/>
    <n v="0"/>
    <n v="0"/>
    <n v="0"/>
  </r>
  <r>
    <x v="246"/>
    <x v="246"/>
    <x v="3"/>
    <s v="Colza"/>
    <n v="3"/>
    <n v="0"/>
    <n v="0"/>
    <n v="3"/>
    <n v="0"/>
    <n v="0"/>
    <n v="0"/>
    <n v="0"/>
  </r>
  <r>
    <x v="246"/>
    <x v="246"/>
    <x v="4"/>
    <s v="Col de cabdell"/>
    <n v="0"/>
    <n v="0"/>
    <n v="0"/>
    <n v="0"/>
    <n v="1"/>
    <n v="0"/>
    <n v="0"/>
    <n v="1"/>
  </r>
  <r>
    <x v="246"/>
    <x v="246"/>
    <x v="4"/>
    <s v="Ceba"/>
    <n v="1"/>
    <n v="0"/>
    <n v="0"/>
    <n v="1"/>
    <n v="0"/>
    <n v="0"/>
    <n v="0"/>
    <n v="0"/>
  </r>
  <r>
    <x v="246"/>
    <x v="246"/>
    <x v="2"/>
    <s v="Pèsol sec"/>
    <n v="5"/>
    <n v="0"/>
    <n v="0"/>
    <n v="5"/>
    <n v="0"/>
    <n v="0"/>
    <n v="0"/>
    <n v="0"/>
  </r>
  <r>
    <x v="246"/>
    <x v="246"/>
    <x v="2"/>
    <s v="Veça"/>
    <n v="6"/>
    <n v="0"/>
    <n v="0"/>
    <n v="6"/>
    <n v="0"/>
    <n v="0"/>
    <n v="0"/>
    <n v="0"/>
  </r>
  <r>
    <x v="247"/>
    <x v="247"/>
    <x v="0"/>
    <s v="Blat tou"/>
    <n v="164"/>
    <n v="0"/>
    <n v="0"/>
    <n v="164"/>
    <n v="0"/>
    <n v="0"/>
    <n v="0"/>
    <n v="0"/>
  </r>
  <r>
    <x v="247"/>
    <x v="247"/>
    <x v="0"/>
    <s v="Ordi"/>
    <n v="359"/>
    <n v="0"/>
    <n v="0"/>
    <n v="359"/>
    <n v="0"/>
    <n v="0"/>
    <n v="0"/>
    <n v="0"/>
  </r>
  <r>
    <x v="247"/>
    <x v="247"/>
    <x v="0"/>
    <s v="Civada"/>
    <n v="7"/>
    <n v="0"/>
    <n v="0"/>
    <n v="7"/>
    <n v="0"/>
    <n v="0"/>
    <n v="0"/>
    <n v="0"/>
  </r>
  <r>
    <x v="247"/>
    <x v="247"/>
    <x v="0"/>
    <s v="Triticale"/>
    <n v="4"/>
    <n v="0"/>
    <n v="0"/>
    <n v="4"/>
    <n v="0"/>
    <n v="0"/>
    <n v="0"/>
    <n v="0"/>
  </r>
  <r>
    <x v="247"/>
    <x v="247"/>
    <x v="0"/>
    <s v="Mill i melca"/>
    <n v="7"/>
    <n v="7"/>
    <n v="0"/>
    <n v="14"/>
    <n v="0"/>
    <n v="0"/>
    <n v="0"/>
    <n v="0"/>
  </r>
  <r>
    <x v="247"/>
    <x v="247"/>
    <x v="1"/>
    <s v="Cereals d'hivern per a farratge"/>
    <n v="7"/>
    <n v="0"/>
    <n v="0"/>
    <n v="7"/>
    <n v="0"/>
    <n v="0"/>
    <n v="0"/>
    <n v="0"/>
  </r>
  <r>
    <x v="247"/>
    <x v="247"/>
    <x v="1"/>
    <s v="Sorgo farratger"/>
    <n v="9"/>
    <n v="0"/>
    <n v="0"/>
    <n v="9"/>
    <n v="0"/>
    <n v="0"/>
    <n v="0"/>
    <n v="0"/>
  </r>
  <r>
    <x v="247"/>
    <x v="247"/>
    <x v="1"/>
    <s v="Raigràs"/>
    <n v="151"/>
    <n v="0"/>
    <n v="0"/>
    <n v="151"/>
    <n v="0"/>
    <n v="0"/>
    <n v="0"/>
    <n v="0"/>
  </r>
  <r>
    <x v="247"/>
    <x v="247"/>
    <x v="1"/>
    <s v="Alfals"/>
    <n v="29"/>
    <n v="0"/>
    <n v="0"/>
    <n v="29"/>
    <n v="0"/>
    <n v="0"/>
    <n v="0"/>
    <n v="0"/>
  </r>
  <r>
    <x v="247"/>
    <x v="247"/>
    <x v="1"/>
    <s v="Trepadella"/>
    <n v="5"/>
    <n v="0"/>
    <n v="0"/>
    <n v="5"/>
    <n v="0"/>
    <n v="0"/>
    <n v="0"/>
    <n v="0"/>
  </r>
  <r>
    <x v="247"/>
    <x v="247"/>
    <x v="1"/>
    <s v="Associació Veça - Civada farratgeres"/>
    <n v="7"/>
    <n v="0"/>
    <n v="0"/>
    <n v="7"/>
    <n v="0"/>
    <n v="0"/>
    <n v="0"/>
    <n v="0"/>
  </r>
  <r>
    <x v="247"/>
    <x v="247"/>
    <x v="3"/>
    <s v="Colza"/>
    <n v="45"/>
    <n v="0"/>
    <n v="0"/>
    <n v="45"/>
    <n v="0"/>
    <n v="0"/>
    <n v="0"/>
    <n v="0"/>
  </r>
  <r>
    <x v="247"/>
    <x v="247"/>
    <x v="2"/>
    <s v="Pèsol sec"/>
    <n v="10"/>
    <n v="0"/>
    <n v="0"/>
    <n v="10"/>
    <n v="0"/>
    <n v="0"/>
    <n v="0"/>
    <n v="0"/>
  </r>
  <r>
    <x v="247"/>
    <x v="247"/>
    <x v="2"/>
    <s v="Veça"/>
    <n v="3"/>
    <n v="0"/>
    <n v="0"/>
    <n v="3"/>
    <n v="0"/>
    <n v="0"/>
    <n v="0"/>
    <n v="0"/>
  </r>
  <r>
    <x v="247"/>
    <x v="247"/>
    <x v="6"/>
    <s v="Patata d'estació mitjana"/>
    <n v="1"/>
    <n v="0"/>
    <n v="0"/>
    <n v="1"/>
    <n v="0"/>
    <n v="0"/>
    <n v="0"/>
    <n v="0"/>
  </r>
  <r>
    <x v="248"/>
    <x v="248"/>
    <x v="0"/>
    <s v="Blat tou"/>
    <n v="81"/>
    <n v="0"/>
    <n v="0"/>
    <n v="81"/>
    <n v="0"/>
    <n v="0"/>
    <n v="0"/>
    <n v="0"/>
  </r>
  <r>
    <x v="248"/>
    <x v="248"/>
    <x v="0"/>
    <s v="Ordi"/>
    <n v="216"/>
    <n v="0"/>
    <n v="0"/>
    <n v="216"/>
    <n v="0"/>
    <n v="0"/>
    <n v="0"/>
    <n v="0"/>
  </r>
  <r>
    <x v="248"/>
    <x v="248"/>
    <x v="0"/>
    <s v="Civada"/>
    <n v="9"/>
    <n v="0"/>
    <n v="0"/>
    <n v="9"/>
    <n v="0"/>
    <n v="0"/>
    <n v="0"/>
    <n v="0"/>
  </r>
  <r>
    <x v="248"/>
    <x v="248"/>
    <x v="1"/>
    <s v="Cereals d'hivern per a farratge"/>
    <n v="36"/>
    <n v="0"/>
    <n v="0"/>
    <n v="36"/>
    <n v="0"/>
    <n v="0"/>
    <n v="0"/>
    <n v="0"/>
  </r>
  <r>
    <x v="248"/>
    <x v="248"/>
    <x v="1"/>
    <s v="Raigràs"/>
    <n v="2"/>
    <n v="0"/>
    <n v="0"/>
    <n v="2"/>
    <n v="0"/>
    <n v="0"/>
    <n v="0"/>
    <n v="0"/>
  </r>
  <r>
    <x v="248"/>
    <x v="248"/>
    <x v="1"/>
    <s v="Alfals"/>
    <n v="13"/>
    <n v="0"/>
    <n v="0"/>
    <n v="13"/>
    <n v="0"/>
    <n v="0"/>
    <n v="0"/>
    <n v="0"/>
  </r>
  <r>
    <x v="248"/>
    <x v="248"/>
    <x v="1"/>
    <s v="Trepadella"/>
    <n v="1"/>
    <n v="0"/>
    <n v="0"/>
    <n v="1"/>
    <n v="0"/>
    <n v="0"/>
    <n v="0"/>
    <n v="0"/>
  </r>
  <r>
    <x v="248"/>
    <x v="248"/>
    <x v="1"/>
    <s v="Associació Veça - Civada farratgeres"/>
    <n v="2"/>
    <n v="0"/>
    <n v="0"/>
    <n v="2"/>
    <n v="0"/>
    <n v="0"/>
    <n v="0"/>
    <n v="0"/>
  </r>
  <r>
    <x v="248"/>
    <x v="248"/>
    <x v="3"/>
    <s v="Colza"/>
    <n v="34"/>
    <n v="0"/>
    <n v="0"/>
    <n v="34"/>
    <n v="0"/>
    <n v="0"/>
    <n v="0"/>
    <n v="0"/>
  </r>
  <r>
    <x v="248"/>
    <x v="248"/>
    <x v="2"/>
    <s v="Pèsol sec"/>
    <n v="14"/>
    <n v="0"/>
    <n v="0"/>
    <n v="14"/>
    <n v="0"/>
    <n v="0"/>
    <n v="0"/>
    <n v="0"/>
  </r>
  <r>
    <x v="248"/>
    <x v="248"/>
    <x v="2"/>
    <s v="Veça"/>
    <n v="2"/>
    <n v="0"/>
    <n v="0"/>
    <n v="2"/>
    <n v="0"/>
    <n v="0"/>
    <n v="0"/>
    <n v="0"/>
  </r>
  <r>
    <x v="249"/>
    <x v="249"/>
    <x v="0"/>
    <s v="Blat tou"/>
    <n v="26"/>
    <n v="0"/>
    <n v="0"/>
    <n v="26"/>
    <n v="11"/>
    <n v="0"/>
    <n v="0"/>
    <n v="11"/>
  </r>
  <r>
    <x v="249"/>
    <x v="249"/>
    <x v="0"/>
    <s v="Ordi"/>
    <n v="33"/>
    <n v="0"/>
    <n v="0"/>
    <n v="33"/>
    <n v="29"/>
    <n v="0"/>
    <n v="0"/>
    <n v="29"/>
  </r>
  <r>
    <x v="249"/>
    <x v="249"/>
    <x v="0"/>
    <s v="Civada"/>
    <n v="5"/>
    <n v="0"/>
    <n v="0"/>
    <n v="5"/>
    <n v="2"/>
    <n v="0"/>
    <n v="0"/>
    <n v="2"/>
  </r>
  <r>
    <x v="249"/>
    <x v="249"/>
    <x v="1"/>
    <s v="Cereals d'hivern per a farratge"/>
    <n v="44"/>
    <n v="0"/>
    <n v="0"/>
    <n v="44"/>
    <n v="18"/>
    <n v="0"/>
    <n v="0"/>
    <n v="18"/>
  </r>
  <r>
    <x v="249"/>
    <x v="249"/>
    <x v="1"/>
    <s v="Blat de moro farratger"/>
    <n v="1"/>
    <n v="0"/>
    <n v="0"/>
    <n v="1"/>
    <n v="0"/>
    <n v="0"/>
    <n v="0"/>
    <n v="0"/>
  </r>
  <r>
    <x v="249"/>
    <x v="249"/>
    <x v="1"/>
    <s v="Sorgo farratger"/>
    <n v="6"/>
    <n v="9"/>
    <n v="0"/>
    <n v="15"/>
    <n v="5"/>
    <n v="14"/>
    <n v="0"/>
    <n v="19"/>
  </r>
  <r>
    <x v="249"/>
    <x v="249"/>
    <x v="1"/>
    <s v="Raigràs"/>
    <n v="30"/>
    <n v="0"/>
    <n v="0"/>
    <n v="30"/>
    <n v="34"/>
    <n v="0"/>
    <n v="0"/>
    <n v="34"/>
  </r>
  <r>
    <x v="249"/>
    <x v="249"/>
    <x v="1"/>
    <s v="Alfals"/>
    <n v="20"/>
    <n v="0"/>
    <n v="0"/>
    <n v="20"/>
    <n v="5"/>
    <n v="0"/>
    <n v="0"/>
    <n v="5"/>
  </r>
  <r>
    <x v="249"/>
    <x v="249"/>
    <x v="2"/>
    <s v="Mongeta seca"/>
    <n v="0"/>
    <n v="0"/>
    <n v="0"/>
    <n v="0"/>
    <n v="3"/>
    <n v="0"/>
    <n v="0"/>
    <n v="3"/>
  </r>
  <r>
    <x v="249"/>
    <x v="249"/>
    <x v="2"/>
    <s v="Pèsol sec"/>
    <n v="17"/>
    <n v="0"/>
    <n v="0"/>
    <n v="17"/>
    <n v="0"/>
    <n v="0"/>
    <n v="0"/>
    <n v="0"/>
  </r>
  <r>
    <x v="250"/>
    <x v="250"/>
    <x v="0"/>
    <s v="Blat tou"/>
    <n v="182"/>
    <n v="0"/>
    <n v="0"/>
    <n v="182"/>
    <n v="0"/>
    <n v="0"/>
    <n v="0"/>
    <n v="0"/>
  </r>
  <r>
    <x v="250"/>
    <x v="250"/>
    <x v="0"/>
    <s v="Ordi"/>
    <n v="332"/>
    <n v="0"/>
    <n v="0"/>
    <n v="332"/>
    <n v="6"/>
    <n v="0"/>
    <n v="0"/>
    <n v="6"/>
  </r>
  <r>
    <x v="250"/>
    <x v="250"/>
    <x v="0"/>
    <s v="Civada"/>
    <n v="13"/>
    <n v="0"/>
    <n v="0"/>
    <n v="13"/>
    <n v="0"/>
    <n v="0"/>
    <n v="0"/>
    <n v="0"/>
  </r>
  <r>
    <x v="250"/>
    <x v="250"/>
    <x v="0"/>
    <s v="Mill i melca"/>
    <n v="0"/>
    <n v="11"/>
    <n v="0"/>
    <n v="11"/>
    <n v="0"/>
    <n v="0"/>
    <n v="0"/>
    <n v="0"/>
  </r>
  <r>
    <x v="250"/>
    <x v="250"/>
    <x v="1"/>
    <s v="Cereals d'hivern per a farratge"/>
    <n v="51"/>
    <n v="0"/>
    <n v="0"/>
    <n v="51"/>
    <n v="1"/>
    <n v="0"/>
    <n v="0"/>
    <n v="1"/>
  </r>
  <r>
    <x v="250"/>
    <x v="250"/>
    <x v="1"/>
    <s v="Sorgo farratger"/>
    <n v="0"/>
    <n v="13"/>
    <n v="0"/>
    <n v="13"/>
    <n v="0"/>
    <n v="0"/>
    <n v="0"/>
    <n v="0"/>
  </r>
  <r>
    <x v="250"/>
    <x v="250"/>
    <x v="1"/>
    <s v="Raigràs"/>
    <n v="55"/>
    <n v="0"/>
    <n v="0"/>
    <n v="55"/>
    <n v="0"/>
    <n v="0"/>
    <n v="0"/>
    <n v="0"/>
  </r>
  <r>
    <x v="250"/>
    <x v="250"/>
    <x v="1"/>
    <s v="Alfals"/>
    <n v="15"/>
    <n v="0"/>
    <n v="0"/>
    <n v="15"/>
    <n v="0"/>
    <n v="0"/>
    <n v="0"/>
    <n v="0"/>
  </r>
  <r>
    <x v="250"/>
    <x v="250"/>
    <x v="1"/>
    <s v="Trepadella"/>
    <n v="11"/>
    <n v="0"/>
    <n v="0"/>
    <n v="11"/>
    <n v="0"/>
    <n v="0"/>
    <n v="0"/>
    <n v="0"/>
  </r>
  <r>
    <x v="250"/>
    <x v="250"/>
    <x v="1"/>
    <s v="Praderes polifites"/>
    <n v="15"/>
    <n v="0"/>
    <n v="0"/>
    <n v="15"/>
    <n v="0"/>
    <n v="0"/>
    <n v="0"/>
    <n v="0"/>
  </r>
  <r>
    <x v="250"/>
    <x v="250"/>
    <x v="1"/>
    <s v="Festuca"/>
    <n v="12"/>
    <n v="0"/>
    <n v="0"/>
    <n v="12"/>
    <n v="0"/>
    <n v="0"/>
    <n v="0"/>
    <n v="0"/>
  </r>
  <r>
    <x v="250"/>
    <x v="250"/>
    <x v="1"/>
    <s v="Associació Veça - Civada farratgeres"/>
    <n v="73"/>
    <n v="0"/>
    <n v="0"/>
    <n v="73"/>
    <n v="0"/>
    <n v="0"/>
    <n v="0"/>
    <n v="0"/>
  </r>
  <r>
    <x v="250"/>
    <x v="250"/>
    <x v="3"/>
    <s v="Gira-sol"/>
    <n v="11"/>
    <n v="0"/>
    <n v="0"/>
    <n v="11"/>
    <n v="0"/>
    <n v="0"/>
    <n v="0"/>
    <n v="0"/>
  </r>
  <r>
    <x v="250"/>
    <x v="250"/>
    <x v="3"/>
    <s v="Colza"/>
    <n v="25"/>
    <n v="0"/>
    <n v="0"/>
    <n v="25"/>
    <n v="0"/>
    <n v="0"/>
    <n v="0"/>
    <n v="0"/>
  </r>
  <r>
    <x v="250"/>
    <x v="250"/>
    <x v="4"/>
    <s v="Ceba"/>
    <n v="0"/>
    <n v="0"/>
    <n v="0"/>
    <n v="0"/>
    <n v="1"/>
    <n v="0"/>
    <n v="0"/>
    <n v="1"/>
  </r>
  <r>
    <x v="250"/>
    <x v="250"/>
    <x v="4"/>
    <s v="Fava tendra"/>
    <n v="0"/>
    <n v="0"/>
    <n v="0"/>
    <n v="0"/>
    <n v="1"/>
    <n v="0"/>
    <n v="0"/>
    <n v="1"/>
  </r>
  <r>
    <x v="250"/>
    <x v="250"/>
    <x v="2"/>
    <s v="Cigró"/>
    <n v="2"/>
    <n v="0"/>
    <n v="0"/>
    <n v="2"/>
    <n v="0"/>
    <n v="0"/>
    <n v="0"/>
    <n v="0"/>
  </r>
  <r>
    <x v="250"/>
    <x v="250"/>
    <x v="2"/>
    <s v="Pèsol sec"/>
    <n v="1"/>
    <n v="0"/>
    <n v="0"/>
    <n v="1"/>
    <n v="0"/>
    <n v="0"/>
    <n v="0"/>
    <n v="0"/>
  </r>
  <r>
    <x v="250"/>
    <x v="250"/>
    <x v="2"/>
    <s v="Veça"/>
    <n v="11"/>
    <n v="0"/>
    <n v="0"/>
    <n v="11"/>
    <n v="0"/>
    <n v="0"/>
    <n v="0"/>
    <n v="0"/>
  </r>
  <r>
    <x v="250"/>
    <x v="250"/>
    <x v="6"/>
    <s v="Patata d'estació mitjana"/>
    <n v="0"/>
    <n v="0"/>
    <n v="0"/>
    <n v="0"/>
    <n v="1"/>
    <n v="0"/>
    <n v="0"/>
    <n v="1"/>
  </r>
  <r>
    <x v="251"/>
    <x v="251"/>
    <x v="0"/>
    <s v="Blat tou"/>
    <n v="39"/>
    <n v="0"/>
    <n v="0"/>
    <n v="39"/>
    <n v="0"/>
    <n v="0"/>
    <n v="0"/>
    <n v="0"/>
  </r>
  <r>
    <x v="251"/>
    <x v="251"/>
    <x v="0"/>
    <s v="Ordi"/>
    <n v="235"/>
    <n v="0"/>
    <n v="0"/>
    <n v="235"/>
    <n v="0"/>
    <n v="0"/>
    <n v="0"/>
    <n v="0"/>
  </r>
  <r>
    <x v="251"/>
    <x v="251"/>
    <x v="0"/>
    <s v="Civada"/>
    <n v="41"/>
    <n v="0"/>
    <n v="0"/>
    <n v="41"/>
    <n v="2"/>
    <n v="0"/>
    <n v="0"/>
    <n v="2"/>
  </r>
  <r>
    <x v="251"/>
    <x v="251"/>
    <x v="0"/>
    <s v="Triticale"/>
    <n v="20"/>
    <n v="0"/>
    <n v="0"/>
    <n v="20"/>
    <n v="0"/>
    <n v="0"/>
    <n v="0"/>
    <n v="0"/>
  </r>
  <r>
    <x v="251"/>
    <x v="251"/>
    <x v="1"/>
    <s v="Cereals d'hivern per a farratge"/>
    <n v="41"/>
    <n v="0"/>
    <n v="0"/>
    <n v="41"/>
    <n v="2"/>
    <n v="0"/>
    <n v="0"/>
    <n v="2"/>
  </r>
  <r>
    <x v="251"/>
    <x v="251"/>
    <x v="1"/>
    <s v="Raigràs"/>
    <n v="8"/>
    <n v="0"/>
    <n v="0"/>
    <n v="8"/>
    <n v="0"/>
    <n v="0"/>
    <n v="0"/>
    <n v="0"/>
  </r>
  <r>
    <x v="251"/>
    <x v="251"/>
    <x v="1"/>
    <s v="Alfals"/>
    <n v="16"/>
    <n v="0"/>
    <n v="0"/>
    <n v="16"/>
    <n v="1"/>
    <n v="0"/>
    <n v="0"/>
    <n v="1"/>
  </r>
  <r>
    <x v="251"/>
    <x v="251"/>
    <x v="4"/>
    <s v="Albergínia"/>
    <n v="0"/>
    <n v="0"/>
    <n v="0"/>
    <n v="0"/>
    <n v="1"/>
    <n v="0"/>
    <n v="0"/>
    <n v="1"/>
  </r>
  <r>
    <x v="251"/>
    <x v="251"/>
    <x v="4"/>
    <s v="Tomàquet"/>
    <n v="0"/>
    <n v="0"/>
    <n v="0"/>
    <n v="0"/>
    <n v="1"/>
    <n v="0"/>
    <n v="0"/>
    <n v="1"/>
  </r>
  <r>
    <x v="251"/>
    <x v="251"/>
    <x v="4"/>
    <s v="Mongeta tendra"/>
    <n v="0"/>
    <n v="0"/>
    <n v="0"/>
    <n v="0"/>
    <n v="1"/>
    <n v="0"/>
    <n v="0"/>
    <n v="1"/>
  </r>
  <r>
    <x v="251"/>
    <x v="251"/>
    <x v="4"/>
    <s v="Fava tendra"/>
    <n v="0"/>
    <n v="0"/>
    <n v="0"/>
    <n v="0"/>
    <n v="1"/>
    <n v="0"/>
    <n v="0"/>
    <n v="1"/>
  </r>
  <r>
    <x v="251"/>
    <x v="251"/>
    <x v="2"/>
    <s v="Fava seca"/>
    <n v="5"/>
    <n v="0"/>
    <n v="0"/>
    <n v="5"/>
    <n v="0"/>
    <n v="0"/>
    <n v="0"/>
    <n v="0"/>
  </r>
  <r>
    <x v="251"/>
    <x v="251"/>
    <x v="2"/>
    <s v="Favó"/>
    <n v="25"/>
    <n v="0"/>
    <n v="0"/>
    <n v="25"/>
    <n v="3"/>
    <n v="0"/>
    <n v="0"/>
    <n v="3"/>
  </r>
  <r>
    <x v="252"/>
    <x v="252"/>
    <x v="0"/>
    <s v="Ordi"/>
    <n v="0"/>
    <n v="0"/>
    <n v="0"/>
    <n v="0"/>
    <n v="1"/>
    <n v="0"/>
    <n v="0"/>
    <n v="1"/>
  </r>
  <r>
    <x v="252"/>
    <x v="252"/>
    <x v="0"/>
    <s v="Civada"/>
    <n v="1"/>
    <n v="0"/>
    <n v="0"/>
    <n v="1"/>
    <n v="0"/>
    <n v="0"/>
    <n v="0"/>
    <n v="0"/>
  </r>
  <r>
    <x v="252"/>
    <x v="252"/>
    <x v="1"/>
    <s v="Cereals d'hivern per a farratge"/>
    <n v="1"/>
    <n v="0"/>
    <n v="0"/>
    <n v="1"/>
    <n v="0"/>
    <n v="0"/>
    <n v="0"/>
    <n v="0"/>
  </r>
  <r>
    <x v="252"/>
    <x v="252"/>
    <x v="1"/>
    <s v="Raigràs"/>
    <n v="1"/>
    <n v="0"/>
    <n v="0"/>
    <n v="1"/>
    <n v="1"/>
    <n v="0"/>
    <n v="0"/>
    <n v="1"/>
  </r>
  <r>
    <x v="252"/>
    <x v="252"/>
    <x v="5"/>
    <s v="Clavell"/>
    <n v="0"/>
    <n v="0"/>
    <n v="0"/>
    <n v="0"/>
    <n v="1"/>
    <n v="0"/>
    <n v="0"/>
    <n v="1"/>
  </r>
  <r>
    <x v="252"/>
    <x v="252"/>
    <x v="5"/>
    <s v="Rosa"/>
    <n v="0"/>
    <n v="0"/>
    <n v="0"/>
    <n v="0"/>
    <n v="1"/>
    <n v="0"/>
    <n v="0"/>
    <n v="1"/>
  </r>
  <r>
    <x v="252"/>
    <x v="252"/>
    <x v="5"/>
    <s v="Plantes ornamentals"/>
    <n v="0"/>
    <n v="0"/>
    <n v="0"/>
    <n v="0"/>
    <n v="2"/>
    <n v="0"/>
    <n v="0"/>
    <n v="2"/>
  </r>
  <r>
    <x v="252"/>
    <x v="252"/>
    <x v="4"/>
    <s v="Col de cabdell"/>
    <n v="0"/>
    <n v="0"/>
    <n v="0"/>
    <n v="0"/>
    <n v="4"/>
    <n v="2"/>
    <n v="0"/>
    <n v="6"/>
  </r>
  <r>
    <x v="252"/>
    <x v="252"/>
    <x v="4"/>
    <s v="Enciam"/>
    <n v="0"/>
    <n v="0"/>
    <n v="0"/>
    <n v="0"/>
    <n v="4"/>
    <n v="1"/>
    <n v="0"/>
    <n v="5"/>
  </r>
  <r>
    <x v="252"/>
    <x v="252"/>
    <x v="4"/>
    <s v="Escarola"/>
    <n v="0"/>
    <n v="0"/>
    <n v="0"/>
    <n v="0"/>
    <n v="2"/>
    <n v="1"/>
    <n v="0"/>
    <n v="3"/>
  </r>
  <r>
    <x v="252"/>
    <x v="252"/>
    <x v="4"/>
    <s v="Espinac"/>
    <n v="0"/>
    <n v="0"/>
    <n v="0"/>
    <n v="0"/>
    <n v="1"/>
    <n v="2"/>
    <n v="0"/>
    <n v="3"/>
  </r>
  <r>
    <x v="252"/>
    <x v="252"/>
    <x v="4"/>
    <s v="Bleda"/>
    <n v="0"/>
    <n v="0"/>
    <n v="0"/>
    <n v="0"/>
    <n v="1"/>
    <n v="3"/>
    <n v="0"/>
    <n v="4"/>
  </r>
  <r>
    <x v="252"/>
    <x v="252"/>
    <x v="4"/>
    <s v="Carbassa"/>
    <n v="0"/>
    <n v="0"/>
    <n v="0"/>
    <n v="0"/>
    <n v="1"/>
    <n v="0"/>
    <n v="0"/>
    <n v="1"/>
  </r>
  <r>
    <x v="252"/>
    <x v="252"/>
    <x v="4"/>
    <s v="Cogombre"/>
    <n v="0"/>
    <n v="0"/>
    <n v="0"/>
    <n v="0"/>
    <n v="1"/>
    <n v="0"/>
    <n v="0"/>
    <n v="1"/>
  </r>
  <r>
    <x v="252"/>
    <x v="252"/>
    <x v="4"/>
    <s v="Albergínia"/>
    <n v="0"/>
    <n v="0"/>
    <n v="0"/>
    <n v="0"/>
    <n v="1"/>
    <n v="1"/>
    <n v="0"/>
    <n v="2"/>
  </r>
  <r>
    <x v="252"/>
    <x v="252"/>
    <x v="4"/>
    <s v="Tomàquet"/>
    <n v="0"/>
    <n v="0"/>
    <n v="0"/>
    <n v="0"/>
    <n v="6"/>
    <n v="1"/>
    <n v="0"/>
    <n v="7"/>
  </r>
  <r>
    <x v="252"/>
    <x v="252"/>
    <x v="4"/>
    <s v="Pebrot"/>
    <n v="0"/>
    <n v="0"/>
    <n v="0"/>
    <n v="0"/>
    <n v="1"/>
    <n v="3"/>
    <n v="0"/>
    <n v="4"/>
  </r>
  <r>
    <x v="252"/>
    <x v="252"/>
    <x v="4"/>
    <s v="Carxofa"/>
    <n v="0"/>
    <n v="0"/>
    <n v="0"/>
    <n v="0"/>
    <n v="1"/>
    <n v="0"/>
    <n v="0"/>
    <n v="1"/>
  </r>
  <r>
    <x v="252"/>
    <x v="252"/>
    <x v="4"/>
    <s v="Coliflor"/>
    <n v="0"/>
    <n v="0"/>
    <n v="0"/>
    <n v="0"/>
    <n v="3"/>
    <n v="2"/>
    <n v="0"/>
    <n v="5"/>
  </r>
  <r>
    <x v="252"/>
    <x v="252"/>
    <x v="4"/>
    <s v="All"/>
    <n v="0"/>
    <n v="0"/>
    <n v="0"/>
    <n v="0"/>
    <n v="0"/>
    <n v="1"/>
    <n v="0"/>
    <n v="1"/>
  </r>
  <r>
    <x v="252"/>
    <x v="252"/>
    <x v="4"/>
    <s v="Ceba"/>
    <n v="0"/>
    <n v="0"/>
    <n v="0"/>
    <n v="0"/>
    <n v="2"/>
    <n v="2"/>
    <n v="0"/>
    <n v="4"/>
  </r>
  <r>
    <x v="252"/>
    <x v="252"/>
    <x v="4"/>
    <s v="Mongeta tendra"/>
    <n v="0"/>
    <n v="0"/>
    <n v="0"/>
    <n v="0"/>
    <n v="1"/>
    <n v="0"/>
    <n v="0"/>
    <n v="1"/>
  </r>
  <r>
    <x v="252"/>
    <x v="252"/>
    <x v="4"/>
    <s v="Carbassó"/>
    <n v="0"/>
    <n v="0"/>
    <n v="0"/>
    <n v="0"/>
    <n v="0"/>
    <n v="4"/>
    <n v="0"/>
    <n v="4"/>
  </r>
  <r>
    <x v="252"/>
    <x v="252"/>
    <x v="2"/>
    <s v="Mongeta seca"/>
    <n v="0"/>
    <n v="0"/>
    <n v="0"/>
    <n v="0"/>
    <n v="0"/>
    <n v="3"/>
    <n v="0"/>
    <n v="3"/>
  </r>
  <r>
    <x v="252"/>
    <x v="252"/>
    <x v="6"/>
    <s v="Patata primerenca"/>
    <n v="0"/>
    <n v="0"/>
    <n v="0"/>
    <n v="0"/>
    <n v="4"/>
    <n v="0"/>
    <n v="0"/>
    <n v="4"/>
  </r>
  <r>
    <x v="252"/>
    <x v="252"/>
    <x v="6"/>
    <s v="Patata d'estació mitjana"/>
    <n v="0"/>
    <n v="0"/>
    <n v="0"/>
    <n v="0"/>
    <n v="3"/>
    <n v="0"/>
    <n v="0"/>
    <n v="3"/>
  </r>
  <r>
    <x v="252"/>
    <x v="252"/>
    <x v="6"/>
    <s v="Patata tardana"/>
    <n v="0"/>
    <n v="0"/>
    <n v="0"/>
    <n v="0"/>
    <n v="0"/>
    <n v="4"/>
    <n v="0"/>
    <n v="4"/>
  </r>
  <r>
    <x v="253"/>
    <x v="253"/>
    <x v="0"/>
    <s v="Blat tou"/>
    <n v="214"/>
    <n v="0"/>
    <n v="0"/>
    <n v="214"/>
    <n v="2"/>
    <n v="0"/>
    <n v="0"/>
    <n v="2"/>
  </r>
  <r>
    <x v="253"/>
    <x v="253"/>
    <x v="0"/>
    <s v="Ordi"/>
    <n v="437"/>
    <n v="0"/>
    <n v="0"/>
    <n v="437"/>
    <n v="0"/>
    <n v="0"/>
    <n v="0"/>
    <n v="0"/>
  </r>
  <r>
    <x v="253"/>
    <x v="253"/>
    <x v="0"/>
    <s v="Civada"/>
    <n v="11"/>
    <n v="0"/>
    <n v="0"/>
    <n v="11"/>
    <n v="0"/>
    <n v="0"/>
    <n v="0"/>
    <n v="0"/>
  </r>
  <r>
    <x v="253"/>
    <x v="253"/>
    <x v="1"/>
    <s v="Cereals d'hivern per a farratge"/>
    <n v="43"/>
    <n v="0"/>
    <n v="0"/>
    <n v="43"/>
    <n v="0"/>
    <n v="0"/>
    <n v="0"/>
    <n v="0"/>
  </r>
  <r>
    <x v="253"/>
    <x v="253"/>
    <x v="1"/>
    <s v="Raigràs"/>
    <n v="15"/>
    <n v="0"/>
    <n v="0"/>
    <n v="15"/>
    <n v="0"/>
    <n v="0"/>
    <n v="0"/>
    <n v="0"/>
  </r>
  <r>
    <x v="253"/>
    <x v="253"/>
    <x v="1"/>
    <s v="Alfals"/>
    <n v="5"/>
    <n v="0"/>
    <n v="0"/>
    <n v="5"/>
    <n v="0"/>
    <n v="0"/>
    <n v="0"/>
    <n v="0"/>
  </r>
  <r>
    <x v="253"/>
    <x v="253"/>
    <x v="1"/>
    <s v="Praderes polifites"/>
    <n v="3"/>
    <n v="0"/>
    <n v="0"/>
    <n v="3"/>
    <n v="0"/>
    <n v="0"/>
    <n v="0"/>
    <n v="0"/>
  </r>
  <r>
    <x v="253"/>
    <x v="253"/>
    <x v="1"/>
    <s v="Festuca"/>
    <n v="4"/>
    <n v="0"/>
    <n v="0"/>
    <n v="4"/>
    <n v="0"/>
    <n v="0"/>
    <n v="0"/>
    <n v="0"/>
  </r>
  <r>
    <x v="253"/>
    <x v="253"/>
    <x v="1"/>
    <s v="Associació Veça - Civada farratgeres"/>
    <n v="7"/>
    <n v="0"/>
    <n v="0"/>
    <n v="7"/>
    <n v="0"/>
    <n v="0"/>
    <n v="0"/>
    <n v="0"/>
  </r>
  <r>
    <x v="253"/>
    <x v="253"/>
    <x v="3"/>
    <s v="Colza"/>
    <n v="37"/>
    <n v="0"/>
    <n v="0"/>
    <n v="37"/>
    <n v="0"/>
    <n v="0"/>
    <n v="0"/>
    <n v="0"/>
  </r>
  <r>
    <x v="253"/>
    <x v="253"/>
    <x v="3"/>
    <s v="Camelina"/>
    <n v="7"/>
    <n v="0"/>
    <n v="0"/>
    <n v="7"/>
    <n v="0"/>
    <n v="0"/>
    <n v="0"/>
    <n v="0"/>
  </r>
  <r>
    <x v="253"/>
    <x v="253"/>
    <x v="4"/>
    <s v="Enciam"/>
    <n v="0"/>
    <n v="0"/>
    <n v="0"/>
    <n v="0"/>
    <n v="1"/>
    <n v="0"/>
    <n v="0"/>
    <n v="1"/>
  </r>
  <r>
    <x v="253"/>
    <x v="253"/>
    <x v="4"/>
    <s v="Carbassa"/>
    <n v="0"/>
    <n v="0"/>
    <n v="0"/>
    <n v="0"/>
    <n v="1"/>
    <n v="0"/>
    <n v="0"/>
    <n v="1"/>
  </r>
  <r>
    <x v="253"/>
    <x v="253"/>
    <x v="4"/>
    <s v="Tomàquet"/>
    <n v="0"/>
    <n v="0"/>
    <n v="0"/>
    <n v="0"/>
    <n v="1"/>
    <n v="0"/>
    <n v="0"/>
    <n v="1"/>
  </r>
  <r>
    <x v="253"/>
    <x v="253"/>
    <x v="4"/>
    <s v="Ceba"/>
    <n v="0"/>
    <n v="0"/>
    <n v="0"/>
    <n v="0"/>
    <n v="1"/>
    <n v="0"/>
    <n v="0"/>
    <n v="1"/>
  </r>
  <r>
    <x v="253"/>
    <x v="253"/>
    <x v="4"/>
    <s v="Mongeta tendra"/>
    <n v="0"/>
    <n v="0"/>
    <n v="0"/>
    <n v="0"/>
    <n v="1"/>
    <n v="0"/>
    <n v="0"/>
    <n v="1"/>
  </r>
  <r>
    <x v="253"/>
    <x v="253"/>
    <x v="2"/>
    <s v="Pèsol sec"/>
    <n v="5"/>
    <n v="0"/>
    <n v="0"/>
    <n v="5"/>
    <n v="0"/>
    <n v="0"/>
    <n v="0"/>
    <n v="0"/>
  </r>
  <r>
    <x v="253"/>
    <x v="253"/>
    <x v="2"/>
    <s v="Veça"/>
    <n v="21"/>
    <n v="0"/>
    <n v="0"/>
    <n v="21"/>
    <n v="0"/>
    <n v="0"/>
    <n v="0"/>
    <n v="0"/>
  </r>
  <r>
    <x v="254"/>
    <x v="254"/>
    <x v="0"/>
    <s v="Blat tou"/>
    <n v="25"/>
    <n v="0"/>
    <n v="0"/>
    <n v="25"/>
    <n v="0"/>
    <n v="0"/>
    <n v="0"/>
    <n v="0"/>
  </r>
  <r>
    <x v="254"/>
    <x v="254"/>
    <x v="0"/>
    <s v="Ordi"/>
    <n v="211"/>
    <n v="0"/>
    <n v="0"/>
    <n v="211"/>
    <n v="0"/>
    <n v="0"/>
    <n v="0"/>
    <n v="0"/>
  </r>
  <r>
    <x v="254"/>
    <x v="254"/>
    <x v="0"/>
    <s v="Civada"/>
    <n v="38"/>
    <n v="0"/>
    <n v="0"/>
    <n v="38"/>
    <n v="0"/>
    <n v="2"/>
    <n v="0"/>
    <n v="2"/>
  </r>
  <r>
    <x v="254"/>
    <x v="254"/>
    <x v="0"/>
    <s v="Espelta"/>
    <n v="8"/>
    <n v="0"/>
    <n v="0"/>
    <n v="8"/>
    <n v="0"/>
    <n v="0"/>
    <n v="0"/>
    <n v="0"/>
  </r>
  <r>
    <x v="254"/>
    <x v="254"/>
    <x v="1"/>
    <s v="Cereals d'hivern per a farratge"/>
    <n v="38"/>
    <n v="0"/>
    <n v="0"/>
    <n v="38"/>
    <n v="0"/>
    <n v="0"/>
    <n v="0"/>
    <n v="0"/>
  </r>
  <r>
    <x v="254"/>
    <x v="254"/>
    <x v="1"/>
    <s v="Raigràs"/>
    <n v="25"/>
    <n v="0"/>
    <n v="0"/>
    <n v="25"/>
    <n v="0"/>
    <n v="0"/>
    <n v="0"/>
    <n v="0"/>
  </r>
  <r>
    <x v="254"/>
    <x v="254"/>
    <x v="1"/>
    <s v="Alfals"/>
    <n v="84"/>
    <n v="0"/>
    <n v="0"/>
    <n v="84"/>
    <n v="4"/>
    <n v="0"/>
    <n v="0"/>
    <n v="4"/>
  </r>
  <r>
    <x v="254"/>
    <x v="254"/>
    <x v="1"/>
    <s v="Associació Veça - Civada farratgeres"/>
    <n v="0"/>
    <n v="0"/>
    <n v="0"/>
    <n v="0"/>
    <n v="1"/>
    <n v="0"/>
    <n v="0"/>
    <n v="1"/>
  </r>
  <r>
    <x v="254"/>
    <x v="254"/>
    <x v="3"/>
    <s v="Colza"/>
    <n v="15"/>
    <n v="0"/>
    <n v="0"/>
    <n v="15"/>
    <n v="0"/>
    <n v="0"/>
    <n v="0"/>
    <n v="0"/>
  </r>
  <r>
    <x v="254"/>
    <x v="254"/>
    <x v="4"/>
    <s v="Fava tendra"/>
    <n v="2"/>
    <n v="0"/>
    <n v="0"/>
    <n v="2"/>
    <n v="0"/>
    <n v="0"/>
    <n v="0"/>
    <n v="0"/>
  </r>
  <r>
    <x v="254"/>
    <x v="254"/>
    <x v="2"/>
    <s v="Mongeta seca"/>
    <n v="0"/>
    <n v="0"/>
    <n v="0"/>
    <n v="0"/>
    <n v="3"/>
    <n v="0"/>
    <n v="0"/>
    <n v="3"/>
  </r>
  <r>
    <x v="254"/>
    <x v="254"/>
    <x v="2"/>
    <s v="Cigró"/>
    <n v="7"/>
    <n v="0"/>
    <n v="0"/>
    <n v="7"/>
    <n v="0"/>
    <n v="0"/>
    <n v="0"/>
    <n v="0"/>
  </r>
  <r>
    <x v="255"/>
    <x v="255"/>
    <x v="0"/>
    <s v="Blat tou"/>
    <n v="126"/>
    <n v="0"/>
    <n v="0"/>
    <n v="126"/>
    <n v="14"/>
    <n v="0"/>
    <n v="0"/>
    <n v="14"/>
  </r>
  <r>
    <x v="255"/>
    <x v="255"/>
    <x v="0"/>
    <s v="Ordi"/>
    <n v="126"/>
    <n v="0"/>
    <n v="0"/>
    <n v="126"/>
    <n v="0"/>
    <n v="0"/>
    <n v="0"/>
    <n v="0"/>
  </r>
  <r>
    <x v="255"/>
    <x v="255"/>
    <x v="0"/>
    <s v="Civada"/>
    <n v="4"/>
    <n v="0"/>
    <n v="0"/>
    <n v="4"/>
    <n v="0"/>
    <n v="0"/>
    <n v="0"/>
    <n v="0"/>
  </r>
  <r>
    <x v="255"/>
    <x v="255"/>
    <x v="1"/>
    <s v="Cereals d'hivern per a farratge"/>
    <n v="37"/>
    <n v="0"/>
    <n v="0"/>
    <n v="37"/>
    <n v="2"/>
    <n v="0"/>
    <n v="0"/>
    <n v="2"/>
  </r>
  <r>
    <x v="255"/>
    <x v="255"/>
    <x v="1"/>
    <s v="Blat de moro farratger"/>
    <n v="0"/>
    <n v="0"/>
    <n v="0"/>
    <n v="0"/>
    <n v="0"/>
    <n v="5"/>
    <n v="0"/>
    <n v="5"/>
  </r>
  <r>
    <x v="255"/>
    <x v="255"/>
    <x v="1"/>
    <s v="Sorgo farratger"/>
    <n v="0"/>
    <n v="29"/>
    <n v="0"/>
    <n v="29"/>
    <n v="0"/>
    <n v="0"/>
    <n v="0"/>
    <n v="0"/>
  </r>
  <r>
    <x v="255"/>
    <x v="255"/>
    <x v="1"/>
    <s v="Raigràs"/>
    <n v="57"/>
    <n v="0"/>
    <n v="0"/>
    <n v="57"/>
    <n v="5"/>
    <n v="0"/>
    <n v="0"/>
    <n v="5"/>
  </r>
  <r>
    <x v="255"/>
    <x v="255"/>
    <x v="1"/>
    <s v="Alfals"/>
    <n v="53"/>
    <n v="0"/>
    <n v="0"/>
    <n v="53"/>
    <n v="0"/>
    <n v="0"/>
    <n v="0"/>
    <n v="0"/>
  </r>
  <r>
    <x v="255"/>
    <x v="255"/>
    <x v="1"/>
    <s v="Trepadella"/>
    <n v="1"/>
    <n v="0"/>
    <n v="0"/>
    <n v="1"/>
    <n v="0"/>
    <n v="0"/>
    <n v="0"/>
    <n v="0"/>
  </r>
  <r>
    <x v="255"/>
    <x v="255"/>
    <x v="1"/>
    <s v="Praderes polifites"/>
    <n v="79"/>
    <n v="0"/>
    <n v="0"/>
    <n v="79"/>
    <n v="0"/>
    <n v="0"/>
    <n v="0"/>
    <n v="0"/>
  </r>
  <r>
    <x v="255"/>
    <x v="255"/>
    <x v="1"/>
    <s v="Associació Veça - Civada farratgeres"/>
    <n v="11"/>
    <n v="0"/>
    <n v="0"/>
    <n v="11"/>
    <n v="0"/>
    <n v="0"/>
    <n v="0"/>
    <n v="0"/>
  </r>
  <r>
    <x v="255"/>
    <x v="255"/>
    <x v="3"/>
    <s v="Colza"/>
    <n v="7"/>
    <n v="0"/>
    <n v="0"/>
    <n v="7"/>
    <n v="0"/>
    <n v="0"/>
    <n v="0"/>
    <n v="0"/>
  </r>
  <r>
    <x v="255"/>
    <x v="255"/>
    <x v="2"/>
    <s v="Pèsol sec"/>
    <n v="15"/>
    <n v="0"/>
    <n v="0"/>
    <n v="15"/>
    <n v="1"/>
    <n v="0"/>
    <n v="0"/>
    <n v="1"/>
  </r>
  <r>
    <x v="255"/>
    <x v="255"/>
    <x v="6"/>
    <s v="Patata d'estació mitjana"/>
    <n v="1"/>
    <n v="0"/>
    <n v="0"/>
    <n v="1"/>
    <n v="0"/>
    <n v="0"/>
    <n v="0"/>
    <n v="0"/>
  </r>
  <r>
    <x v="256"/>
    <x v="256"/>
    <x v="0"/>
    <s v="Blat tou"/>
    <n v="4"/>
    <n v="0"/>
    <n v="0"/>
    <n v="4"/>
    <n v="0"/>
    <n v="0"/>
    <n v="0"/>
    <n v="0"/>
  </r>
  <r>
    <x v="256"/>
    <x v="256"/>
    <x v="0"/>
    <s v="Ordi"/>
    <n v="18"/>
    <n v="0"/>
    <n v="0"/>
    <n v="18"/>
    <n v="0"/>
    <n v="0"/>
    <n v="0"/>
    <n v="0"/>
  </r>
  <r>
    <x v="256"/>
    <x v="256"/>
    <x v="0"/>
    <s v="Civada"/>
    <n v="2"/>
    <n v="0"/>
    <n v="0"/>
    <n v="2"/>
    <n v="0"/>
    <n v="0"/>
    <n v="0"/>
    <n v="0"/>
  </r>
  <r>
    <x v="256"/>
    <x v="256"/>
    <x v="1"/>
    <s v="Cereals d'hivern per a farratge"/>
    <n v="8"/>
    <n v="0"/>
    <n v="0"/>
    <n v="8"/>
    <n v="0"/>
    <n v="0"/>
    <n v="0"/>
    <n v="0"/>
  </r>
  <r>
    <x v="256"/>
    <x v="256"/>
    <x v="1"/>
    <s v="Trèvol"/>
    <n v="3"/>
    <n v="0"/>
    <n v="0"/>
    <n v="3"/>
    <n v="0"/>
    <n v="0"/>
    <n v="0"/>
    <n v="0"/>
  </r>
  <r>
    <x v="256"/>
    <x v="256"/>
    <x v="5"/>
    <s v="Plantes ornamentals"/>
    <n v="0"/>
    <n v="0"/>
    <n v="0"/>
    <n v="0"/>
    <n v="1"/>
    <n v="0"/>
    <n v="0"/>
    <n v="1"/>
  </r>
  <r>
    <x v="257"/>
    <x v="257"/>
    <x v="0"/>
    <s v="Blat tou"/>
    <n v="3"/>
    <n v="0"/>
    <n v="0"/>
    <n v="3"/>
    <n v="0"/>
    <n v="0"/>
    <n v="0"/>
    <n v="0"/>
  </r>
  <r>
    <x v="257"/>
    <x v="257"/>
    <x v="0"/>
    <s v="Ordi"/>
    <n v="7"/>
    <n v="0"/>
    <n v="0"/>
    <n v="7"/>
    <n v="0"/>
    <n v="0"/>
    <n v="0"/>
    <n v="0"/>
  </r>
  <r>
    <x v="257"/>
    <x v="257"/>
    <x v="0"/>
    <s v="Civada"/>
    <n v="2"/>
    <n v="0"/>
    <n v="0"/>
    <n v="2"/>
    <n v="0"/>
    <n v="0"/>
    <n v="0"/>
    <n v="0"/>
  </r>
  <r>
    <x v="257"/>
    <x v="257"/>
    <x v="1"/>
    <s v="Cereals d'hivern per a farratge"/>
    <n v="6"/>
    <n v="0"/>
    <n v="0"/>
    <n v="6"/>
    <n v="0"/>
    <n v="0"/>
    <n v="0"/>
    <n v="0"/>
  </r>
  <r>
    <x v="257"/>
    <x v="257"/>
    <x v="1"/>
    <s v="Sorgo farratger"/>
    <n v="0"/>
    <n v="1"/>
    <n v="0"/>
    <n v="1"/>
    <n v="0"/>
    <n v="0"/>
    <n v="0"/>
    <n v="0"/>
  </r>
  <r>
    <x v="257"/>
    <x v="257"/>
    <x v="1"/>
    <s v="Raigràs"/>
    <n v="26"/>
    <n v="0"/>
    <n v="0"/>
    <n v="26"/>
    <n v="0"/>
    <n v="0"/>
    <n v="0"/>
    <n v="0"/>
  </r>
  <r>
    <x v="257"/>
    <x v="257"/>
    <x v="1"/>
    <s v="Alfals"/>
    <n v="11"/>
    <n v="0"/>
    <n v="0"/>
    <n v="11"/>
    <n v="0"/>
    <n v="0"/>
    <n v="0"/>
    <n v="0"/>
  </r>
  <r>
    <x v="257"/>
    <x v="257"/>
    <x v="1"/>
    <s v="Praderes polifites"/>
    <n v="33"/>
    <n v="0"/>
    <n v="0"/>
    <n v="33"/>
    <n v="0"/>
    <n v="0"/>
    <n v="0"/>
    <n v="0"/>
  </r>
  <r>
    <x v="257"/>
    <x v="257"/>
    <x v="1"/>
    <s v="Festuca"/>
    <n v="27"/>
    <n v="0"/>
    <n v="0"/>
    <n v="27"/>
    <n v="0"/>
    <n v="0"/>
    <n v="0"/>
    <n v="0"/>
  </r>
  <r>
    <x v="258"/>
    <x v="258"/>
    <x v="0"/>
    <s v="Blat tou"/>
    <n v="6"/>
    <n v="0"/>
    <n v="0"/>
    <n v="6"/>
    <n v="0"/>
    <n v="0"/>
    <n v="0"/>
    <n v="0"/>
  </r>
  <r>
    <x v="258"/>
    <x v="258"/>
    <x v="0"/>
    <s v="Civada"/>
    <n v="2"/>
    <n v="0"/>
    <n v="0"/>
    <n v="2"/>
    <n v="0"/>
    <n v="0"/>
    <n v="0"/>
    <n v="0"/>
  </r>
  <r>
    <x v="258"/>
    <x v="258"/>
    <x v="1"/>
    <s v="Cereals d'hivern per a farratge"/>
    <n v="7"/>
    <n v="0"/>
    <n v="0"/>
    <n v="7"/>
    <n v="0"/>
    <n v="0"/>
    <n v="0"/>
    <n v="0"/>
  </r>
  <r>
    <x v="258"/>
    <x v="258"/>
    <x v="1"/>
    <s v="Sorgo farratger"/>
    <n v="0"/>
    <n v="10"/>
    <n v="0"/>
    <n v="10"/>
    <n v="0"/>
    <n v="0"/>
    <n v="0"/>
    <n v="0"/>
  </r>
  <r>
    <x v="258"/>
    <x v="258"/>
    <x v="1"/>
    <s v="Raigràs"/>
    <n v="154"/>
    <n v="0"/>
    <n v="0"/>
    <n v="154"/>
    <n v="0"/>
    <n v="0"/>
    <n v="0"/>
    <n v="0"/>
  </r>
  <r>
    <x v="258"/>
    <x v="258"/>
    <x v="1"/>
    <s v="Alfals"/>
    <n v="4"/>
    <n v="0"/>
    <n v="0"/>
    <n v="4"/>
    <n v="0"/>
    <n v="0"/>
    <n v="0"/>
    <n v="0"/>
  </r>
  <r>
    <x v="258"/>
    <x v="258"/>
    <x v="1"/>
    <s v="Praderes polifites"/>
    <n v="244"/>
    <n v="0"/>
    <n v="0"/>
    <n v="244"/>
    <n v="0"/>
    <n v="0"/>
    <n v="0"/>
    <n v="0"/>
  </r>
  <r>
    <x v="258"/>
    <x v="258"/>
    <x v="1"/>
    <s v="Associació Veça - Civada farratgeres"/>
    <n v="9"/>
    <n v="0"/>
    <n v="0"/>
    <n v="9"/>
    <n v="0"/>
    <n v="0"/>
    <n v="0"/>
    <n v="0"/>
  </r>
  <r>
    <x v="259"/>
    <x v="259"/>
    <x v="0"/>
    <s v="Blat tou"/>
    <n v="11"/>
    <n v="0"/>
    <n v="0"/>
    <n v="11"/>
    <n v="0"/>
    <n v="0"/>
    <n v="0"/>
    <n v="0"/>
  </r>
  <r>
    <x v="259"/>
    <x v="259"/>
    <x v="0"/>
    <s v="Ordi"/>
    <n v="27"/>
    <n v="0"/>
    <n v="0"/>
    <n v="27"/>
    <n v="0"/>
    <n v="0"/>
    <n v="0"/>
    <n v="0"/>
  </r>
  <r>
    <x v="259"/>
    <x v="259"/>
    <x v="0"/>
    <s v="Civada"/>
    <n v="9"/>
    <n v="0"/>
    <n v="0"/>
    <n v="9"/>
    <n v="0"/>
    <n v="0"/>
    <n v="0"/>
    <n v="0"/>
  </r>
  <r>
    <x v="259"/>
    <x v="259"/>
    <x v="1"/>
    <s v="Alfals"/>
    <n v="2"/>
    <n v="0"/>
    <n v="0"/>
    <n v="2"/>
    <n v="0"/>
    <n v="0"/>
    <n v="0"/>
    <n v="0"/>
  </r>
  <r>
    <x v="259"/>
    <x v="259"/>
    <x v="1"/>
    <s v="Trepadella"/>
    <n v="20"/>
    <n v="0"/>
    <n v="0"/>
    <n v="20"/>
    <n v="0"/>
    <n v="0"/>
    <n v="0"/>
    <n v="0"/>
  </r>
  <r>
    <x v="259"/>
    <x v="259"/>
    <x v="1"/>
    <s v="Associació Veça - Civada farratgeres"/>
    <n v="23"/>
    <n v="0"/>
    <n v="0"/>
    <n v="23"/>
    <n v="0"/>
    <n v="0"/>
    <n v="0"/>
    <n v="0"/>
  </r>
  <r>
    <x v="259"/>
    <x v="259"/>
    <x v="4"/>
    <s v="Meló"/>
    <n v="2"/>
    <n v="0"/>
    <n v="0"/>
    <n v="2"/>
    <n v="1"/>
    <n v="0"/>
    <n v="0"/>
    <n v="1"/>
  </r>
  <r>
    <x v="259"/>
    <x v="259"/>
    <x v="4"/>
    <s v="Tomàquet"/>
    <n v="2"/>
    <n v="0"/>
    <n v="0"/>
    <n v="2"/>
    <n v="1"/>
    <n v="0"/>
    <n v="0"/>
    <n v="1"/>
  </r>
  <r>
    <x v="259"/>
    <x v="259"/>
    <x v="4"/>
    <s v="Ceba"/>
    <n v="1"/>
    <n v="0"/>
    <n v="0"/>
    <n v="1"/>
    <n v="2"/>
    <n v="0"/>
    <n v="0"/>
    <n v="2"/>
  </r>
  <r>
    <x v="259"/>
    <x v="259"/>
    <x v="2"/>
    <s v="Cigró"/>
    <n v="1"/>
    <n v="0"/>
    <n v="0"/>
    <n v="1"/>
    <n v="0"/>
    <n v="0"/>
    <n v="0"/>
    <n v="0"/>
  </r>
  <r>
    <x v="259"/>
    <x v="259"/>
    <x v="6"/>
    <s v="Patata d'estació mitjana"/>
    <n v="1"/>
    <n v="0"/>
    <n v="0"/>
    <n v="1"/>
    <n v="0"/>
    <n v="0"/>
    <n v="0"/>
    <n v="0"/>
  </r>
  <r>
    <x v="260"/>
    <x v="260"/>
    <x v="0"/>
    <s v="Blat tou"/>
    <n v="12"/>
    <n v="0"/>
    <n v="0"/>
    <n v="12"/>
    <n v="0"/>
    <n v="0"/>
    <n v="0"/>
    <n v="0"/>
  </r>
  <r>
    <x v="260"/>
    <x v="260"/>
    <x v="0"/>
    <s v="Ordi"/>
    <n v="111"/>
    <n v="0"/>
    <n v="0"/>
    <n v="111"/>
    <n v="5"/>
    <n v="0"/>
    <n v="0"/>
    <n v="5"/>
  </r>
  <r>
    <x v="260"/>
    <x v="260"/>
    <x v="0"/>
    <s v="Civada"/>
    <n v="4"/>
    <n v="0"/>
    <n v="0"/>
    <n v="4"/>
    <n v="0"/>
    <n v="0"/>
    <n v="0"/>
    <n v="0"/>
  </r>
  <r>
    <x v="260"/>
    <x v="260"/>
    <x v="1"/>
    <s v="Cereals d'hivern per a farratge"/>
    <n v="16"/>
    <n v="0"/>
    <n v="0"/>
    <n v="16"/>
    <n v="0"/>
    <n v="0"/>
    <n v="0"/>
    <n v="0"/>
  </r>
  <r>
    <x v="260"/>
    <x v="260"/>
    <x v="1"/>
    <s v="Raigràs"/>
    <n v="5"/>
    <n v="0"/>
    <n v="0"/>
    <n v="5"/>
    <n v="0"/>
    <n v="0"/>
    <n v="0"/>
    <n v="0"/>
  </r>
  <r>
    <x v="260"/>
    <x v="260"/>
    <x v="1"/>
    <s v="Alfals"/>
    <n v="4"/>
    <n v="0"/>
    <n v="0"/>
    <n v="4"/>
    <n v="1"/>
    <n v="0"/>
    <n v="0"/>
    <n v="1"/>
  </r>
  <r>
    <x v="260"/>
    <x v="260"/>
    <x v="1"/>
    <s v="Praderes polifites"/>
    <n v="22"/>
    <n v="0"/>
    <n v="0"/>
    <n v="22"/>
    <n v="0"/>
    <n v="0"/>
    <n v="0"/>
    <n v="0"/>
  </r>
  <r>
    <x v="260"/>
    <x v="260"/>
    <x v="1"/>
    <s v="Associació Veça - Civada farratgeres"/>
    <n v="2"/>
    <n v="0"/>
    <n v="0"/>
    <n v="2"/>
    <n v="0"/>
    <n v="0"/>
    <n v="0"/>
    <n v="0"/>
  </r>
  <r>
    <x v="260"/>
    <x v="260"/>
    <x v="3"/>
    <s v="Colza"/>
    <n v="3"/>
    <n v="0"/>
    <n v="0"/>
    <n v="3"/>
    <n v="0"/>
    <n v="0"/>
    <n v="0"/>
    <n v="0"/>
  </r>
  <r>
    <x v="260"/>
    <x v="260"/>
    <x v="4"/>
    <s v="Col de cabdell"/>
    <n v="0"/>
    <n v="0"/>
    <n v="0"/>
    <n v="0"/>
    <n v="2"/>
    <n v="0"/>
    <n v="0"/>
    <n v="2"/>
  </r>
  <r>
    <x v="260"/>
    <x v="260"/>
    <x v="4"/>
    <s v="Enciam"/>
    <n v="0"/>
    <n v="0"/>
    <n v="0"/>
    <n v="0"/>
    <n v="2"/>
    <n v="0"/>
    <n v="0"/>
    <n v="2"/>
  </r>
  <r>
    <x v="260"/>
    <x v="260"/>
    <x v="4"/>
    <s v="Espinac"/>
    <n v="0"/>
    <n v="0"/>
    <n v="0"/>
    <n v="0"/>
    <n v="1"/>
    <n v="0"/>
    <n v="0"/>
    <n v="1"/>
  </r>
  <r>
    <x v="260"/>
    <x v="260"/>
    <x v="4"/>
    <s v="Bleda"/>
    <n v="0"/>
    <n v="0"/>
    <n v="0"/>
    <n v="0"/>
    <n v="1"/>
    <n v="0"/>
    <n v="0"/>
    <n v="1"/>
  </r>
  <r>
    <x v="260"/>
    <x v="260"/>
    <x v="4"/>
    <s v="Carbassa"/>
    <n v="0"/>
    <n v="0"/>
    <n v="0"/>
    <n v="0"/>
    <n v="1"/>
    <n v="0"/>
    <n v="0"/>
    <n v="1"/>
  </r>
  <r>
    <x v="260"/>
    <x v="260"/>
    <x v="4"/>
    <s v="Albergínia"/>
    <n v="0"/>
    <n v="0"/>
    <n v="0"/>
    <n v="0"/>
    <n v="1"/>
    <n v="0"/>
    <n v="0"/>
    <n v="1"/>
  </r>
  <r>
    <x v="260"/>
    <x v="260"/>
    <x v="4"/>
    <s v="Tomàquet"/>
    <n v="0"/>
    <n v="0"/>
    <n v="0"/>
    <n v="0"/>
    <n v="1"/>
    <n v="0"/>
    <n v="0"/>
    <n v="1"/>
  </r>
  <r>
    <x v="260"/>
    <x v="260"/>
    <x v="4"/>
    <s v="Ceba"/>
    <n v="0"/>
    <n v="0"/>
    <n v="0"/>
    <n v="0"/>
    <n v="1"/>
    <n v="0"/>
    <n v="0"/>
    <n v="1"/>
  </r>
  <r>
    <x v="260"/>
    <x v="260"/>
    <x v="4"/>
    <s v="Mongeta tendra"/>
    <n v="0"/>
    <n v="0"/>
    <n v="0"/>
    <n v="0"/>
    <n v="1"/>
    <n v="0"/>
    <n v="0"/>
    <n v="1"/>
  </r>
  <r>
    <x v="260"/>
    <x v="260"/>
    <x v="4"/>
    <s v="Fava tendra"/>
    <n v="0"/>
    <n v="0"/>
    <n v="0"/>
    <n v="0"/>
    <n v="1"/>
    <n v="0"/>
    <n v="0"/>
    <n v="1"/>
  </r>
  <r>
    <x v="260"/>
    <x v="260"/>
    <x v="4"/>
    <s v="Carbassó"/>
    <n v="0"/>
    <n v="0"/>
    <n v="0"/>
    <n v="0"/>
    <n v="1"/>
    <n v="0"/>
    <n v="0"/>
    <n v="1"/>
  </r>
  <r>
    <x v="261"/>
    <x v="261"/>
    <x v="1"/>
    <s v="Alfals"/>
    <n v="3"/>
    <n v="0"/>
    <n v="0"/>
    <n v="3"/>
    <n v="0"/>
    <n v="0"/>
    <n v="0"/>
    <n v="0"/>
  </r>
  <r>
    <x v="262"/>
    <x v="262"/>
    <x v="0"/>
    <s v="Blat tou"/>
    <n v="21"/>
    <n v="0"/>
    <n v="0"/>
    <n v="21"/>
    <n v="0"/>
    <n v="0"/>
    <n v="0"/>
    <n v="0"/>
  </r>
  <r>
    <x v="262"/>
    <x v="262"/>
    <x v="0"/>
    <s v="Ordi"/>
    <n v="40"/>
    <n v="0"/>
    <n v="0"/>
    <n v="40"/>
    <n v="0"/>
    <n v="0"/>
    <n v="0"/>
    <n v="0"/>
  </r>
  <r>
    <x v="262"/>
    <x v="262"/>
    <x v="0"/>
    <s v="Civada"/>
    <n v="1"/>
    <n v="0"/>
    <n v="0"/>
    <n v="1"/>
    <n v="0"/>
    <n v="0"/>
    <n v="0"/>
    <n v="0"/>
  </r>
  <r>
    <x v="262"/>
    <x v="262"/>
    <x v="0"/>
    <s v="Mill i melca"/>
    <n v="8"/>
    <n v="0"/>
    <n v="0"/>
    <n v="8"/>
    <n v="0"/>
    <n v="0"/>
    <n v="0"/>
    <n v="0"/>
  </r>
  <r>
    <x v="262"/>
    <x v="262"/>
    <x v="1"/>
    <s v="Cereals d'hivern per a farratge"/>
    <n v="4"/>
    <n v="0"/>
    <n v="0"/>
    <n v="4"/>
    <n v="0"/>
    <n v="0"/>
    <n v="0"/>
    <n v="0"/>
  </r>
  <r>
    <x v="262"/>
    <x v="262"/>
    <x v="3"/>
    <s v="Colza"/>
    <n v="15"/>
    <n v="0"/>
    <n v="0"/>
    <n v="15"/>
    <n v="0"/>
    <n v="0"/>
    <n v="0"/>
    <n v="0"/>
  </r>
  <r>
    <x v="263"/>
    <x v="263"/>
    <x v="0"/>
    <s v="Blat tou"/>
    <n v="246"/>
    <n v="0"/>
    <n v="0"/>
    <n v="246"/>
    <n v="0"/>
    <n v="0"/>
    <n v="0"/>
    <n v="0"/>
  </r>
  <r>
    <x v="263"/>
    <x v="263"/>
    <x v="0"/>
    <s v="Ordi"/>
    <n v="203"/>
    <n v="0"/>
    <n v="0"/>
    <n v="203"/>
    <n v="0"/>
    <n v="0"/>
    <n v="0"/>
    <n v="0"/>
  </r>
  <r>
    <x v="263"/>
    <x v="263"/>
    <x v="0"/>
    <s v="Civada"/>
    <n v="5"/>
    <n v="0"/>
    <n v="0"/>
    <n v="5"/>
    <n v="0"/>
    <n v="0"/>
    <n v="0"/>
    <n v="0"/>
  </r>
  <r>
    <x v="263"/>
    <x v="263"/>
    <x v="0"/>
    <s v="Sègol"/>
    <n v="1"/>
    <n v="0"/>
    <n v="0"/>
    <n v="1"/>
    <n v="0"/>
    <n v="0"/>
    <n v="0"/>
    <n v="0"/>
  </r>
  <r>
    <x v="263"/>
    <x v="263"/>
    <x v="0"/>
    <s v="Triticale"/>
    <n v="4"/>
    <n v="0"/>
    <n v="0"/>
    <n v="4"/>
    <n v="0"/>
    <n v="0"/>
    <n v="0"/>
    <n v="0"/>
  </r>
  <r>
    <x v="263"/>
    <x v="263"/>
    <x v="0"/>
    <s v="Blat de moro"/>
    <n v="5"/>
    <n v="0"/>
    <n v="0"/>
    <n v="5"/>
    <n v="0"/>
    <n v="0"/>
    <n v="0"/>
    <n v="0"/>
  </r>
  <r>
    <x v="263"/>
    <x v="263"/>
    <x v="0"/>
    <s v="Mill i melca"/>
    <n v="1"/>
    <n v="0"/>
    <n v="0"/>
    <n v="1"/>
    <n v="0"/>
    <n v="0"/>
    <n v="0"/>
    <n v="0"/>
  </r>
  <r>
    <x v="263"/>
    <x v="263"/>
    <x v="0"/>
    <s v="Espelta"/>
    <n v="2"/>
    <n v="0"/>
    <n v="0"/>
    <n v="2"/>
    <n v="0"/>
    <n v="0"/>
    <n v="0"/>
    <n v="0"/>
  </r>
  <r>
    <x v="263"/>
    <x v="263"/>
    <x v="1"/>
    <s v="Cereals d'hivern per a farratge"/>
    <n v="47"/>
    <n v="0"/>
    <n v="0"/>
    <n v="47"/>
    <n v="0"/>
    <n v="0"/>
    <n v="0"/>
    <n v="0"/>
  </r>
  <r>
    <x v="263"/>
    <x v="263"/>
    <x v="1"/>
    <s v="Blat de moro farratger"/>
    <n v="43"/>
    <n v="0"/>
    <n v="0"/>
    <n v="43"/>
    <n v="0"/>
    <n v="0"/>
    <n v="0"/>
    <n v="0"/>
  </r>
  <r>
    <x v="263"/>
    <x v="263"/>
    <x v="1"/>
    <s v="Sorgo farratger"/>
    <n v="2"/>
    <n v="54"/>
    <n v="0"/>
    <n v="56"/>
    <n v="0"/>
    <n v="0"/>
    <n v="0"/>
    <n v="0"/>
  </r>
  <r>
    <x v="263"/>
    <x v="263"/>
    <x v="1"/>
    <s v="Raigràs"/>
    <n v="79"/>
    <n v="0"/>
    <n v="0"/>
    <n v="79"/>
    <n v="0"/>
    <n v="0"/>
    <n v="0"/>
    <n v="0"/>
  </r>
  <r>
    <x v="263"/>
    <x v="263"/>
    <x v="1"/>
    <s v="Alfals"/>
    <n v="78"/>
    <n v="0"/>
    <n v="0"/>
    <n v="78"/>
    <n v="0"/>
    <n v="0"/>
    <n v="0"/>
    <n v="0"/>
  </r>
  <r>
    <x v="263"/>
    <x v="263"/>
    <x v="1"/>
    <s v="Praderes polifites"/>
    <n v="53"/>
    <n v="0"/>
    <n v="0"/>
    <n v="53"/>
    <n v="0"/>
    <n v="0"/>
    <n v="0"/>
    <n v="0"/>
  </r>
  <r>
    <x v="263"/>
    <x v="263"/>
    <x v="1"/>
    <s v="Associació Veça - Civada farratgeres"/>
    <n v="4"/>
    <n v="0"/>
    <n v="0"/>
    <n v="4"/>
    <n v="0"/>
    <n v="0"/>
    <n v="0"/>
    <n v="0"/>
  </r>
  <r>
    <x v="263"/>
    <x v="263"/>
    <x v="3"/>
    <s v="Altres conreus industrials"/>
    <n v="0"/>
    <n v="0"/>
    <n v="0"/>
    <n v="0"/>
    <n v="1"/>
    <n v="0"/>
    <n v="0"/>
    <n v="1"/>
  </r>
  <r>
    <x v="263"/>
    <x v="263"/>
    <x v="4"/>
    <s v="Enciam"/>
    <n v="0"/>
    <n v="0"/>
    <n v="0"/>
    <n v="0"/>
    <n v="1"/>
    <n v="0"/>
    <n v="0"/>
    <n v="1"/>
  </r>
  <r>
    <x v="263"/>
    <x v="263"/>
    <x v="4"/>
    <s v="Tomàquet"/>
    <n v="0"/>
    <n v="0"/>
    <n v="0"/>
    <n v="0"/>
    <n v="1"/>
    <n v="0"/>
    <n v="0"/>
    <n v="1"/>
  </r>
  <r>
    <x v="263"/>
    <x v="263"/>
    <x v="4"/>
    <s v="Fava tendra"/>
    <n v="0"/>
    <n v="0"/>
    <n v="0"/>
    <n v="0"/>
    <n v="1"/>
    <n v="0"/>
    <n v="0"/>
    <n v="1"/>
  </r>
  <r>
    <x v="263"/>
    <x v="263"/>
    <x v="2"/>
    <s v="Pèsol sec"/>
    <n v="7"/>
    <n v="0"/>
    <n v="0"/>
    <n v="7"/>
    <n v="0"/>
    <n v="0"/>
    <n v="0"/>
    <n v="0"/>
  </r>
  <r>
    <x v="263"/>
    <x v="263"/>
    <x v="2"/>
    <s v="Veça"/>
    <n v="10"/>
    <n v="0"/>
    <n v="0"/>
    <n v="10"/>
    <n v="0"/>
    <n v="0"/>
    <n v="0"/>
    <n v="0"/>
  </r>
  <r>
    <x v="264"/>
    <x v="264"/>
    <x v="0"/>
    <s v="Blat tou"/>
    <n v="44"/>
    <n v="0"/>
    <n v="0"/>
    <n v="44"/>
    <n v="0"/>
    <n v="0"/>
    <n v="0"/>
    <n v="0"/>
  </r>
  <r>
    <x v="264"/>
    <x v="264"/>
    <x v="0"/>
    <s v="Ordi"/>
    <n v="79"/>
    <n v="0"/>
    <n v="0"/>
    <n v="79"/>
    <n v="3"/>
    <n v="0"/>
    <n v="0"/>
    <n v="3"/>
  </r>
  <r>
    <x v="264"/>
    <x v="264"/>
    <x v="0"/>
    <s v="Civada"/>
    <n v="1"/>
    <n v="0"/>
    <n v="0"/>
    <n v="1"/>
    <n v="0"/>
    <n v="0"/>
    <n v="0"/>
    <n v="0"/>
  </r>
  <r>
    <x v="264"/>
    <x v="264"/>
    <x v="1"/>
    <s v="Cereals d'hivern per a farratge"/>
    <n v="2"/>
    <n v="0"/>
    <n v="0"/>
    <n v="2"/>
    <n v="0"/>
    <n v="0"/>
    <n v="0"/>
    <n v="0"/>
  </r>
  <r>
    <x v="264"/>
    <x v="264"/>
    <x v="1"/>
    <s v="Blat de moro farratger"/>
    <n v="2"/>
    <n v="0"/>
    <n v="0"/>
    <n v="2"/>
    <n v="0"/>
    <n v="3"/>
    <n v="0"/>
    <n v="3"/>
  </r>
  <r>
    <x v="264"/>
    <x v="264"/>
    <x v="1"/>
    <s v="Sorgo farratger"/>
    <n v="1"/>
    <n v="7"/>
    <n v="0"/>
    <n v="8"/>
    <n v="0"/>
    <n v="0"/>
    <n v="0"/>
    <n v="0"/>
  </r>
  <r>
    <x v="264"/>
    <x v="264"/>
    <x v="1"/>
    <s v="Raigràs"/>
    <n v="65"/>
    <n v="0"/>
    <n v="0"/>
    <n v="65"/>
    <n v="0"/>
    <n v="0"/>
    <n v="0"/>
    <n v="0"/>
  </r>
  <r>
    <x v="264"/>
    <x v="264"/>
    <x v="1"/>
    <s v="Alfals"/>
    <n v="22"/>
    <n v="0"/>
    <n v="0"/>
    <n v="22"/>
    <n v="0"/>
    <n v="0"/>
    <n v="0"/>
    <n v="0"/>
  </r>
  <r>
    <x v="264"/>
    <x v="264"/>
    <x v="1"/>
    <s v="Praderes polifites"/>
    <n v="57"/>
    <n v="0"/>
    <n v="0"/>
    <n v="57"/>
    <n v="0"/>
    <n v="0"/>
    <n v="0"/>
    <n v="0"/>
  </r>
  <r>
    <x v="264"/>
    <x v="264"/>
    <x v="3"/>
    <s v="Colza"/>
    <n v="34"/>
    <n v="0"/>
    <n v="0"/>
    <n v="34"/>
    <n v="0"/>
    <n v="0"/>
    <n v="0"/>
    <n v="0"/>
  </r>
  <r>
    <x v="264"/>
    <x v="264"/>
    <x v="2"/>
    <s v="Veça"/>
    <n v="2"/>
    <n v="0"/>
    <n v="0"/>
    <n v="2"/>
    <n v="0"/>
    <n v="0"/>
    <n v="0"/>
    <n v="0"/>
  </r>
  <r>
    <x v="264"/>
    <x v="264"/>
    <x v="6"/>
    <s v="Patata d'estació mitjana"/>
    <n v="2"/>
    <n v="0"/>
    <n v="0"/>
    <n v="2"/>
    <n v="0"/>
    <n v="0"/>
    <n v="0"/>
    <n v="0"/>
  </r>
  <r>
    <x v="265"/>
    <x v="265"/>
    <x v="0"/>
    <s v="Civada"/>
    <n v="1"/>
    <n v="0"/>
    <n v="0"/>
    <n v="1"/>
    <n v="0"/>
    <n v="0"/>
    <n v="0"/>
    <n v="0"/>
  </r>
  <r>
    <x v="265"/>
    <x v="265"/>
    <x v="1"/>
    <s v="Cereals d'hivern per a farratge"/>
    <n v="3"/>
    <n v="0"/>
    <n v="0"/>
    <n v="3"/>
    <n v="0"/>
    <n v="0"/>
    <n v="0"/>
    <n v="0"/>
  </r>
  <r>
    <x v="265"/>
    <x v="265"/>
    <x v="1"/>
    <s v="Raigràs"/>
    <n v="27"/>
    <n v="0"/>
    <n v="0"/>
    <n v="27"/>
    <n v="0"/>
    <n v="0"/>
    <n v="0"/>
    <n v="0"/>
  </r>
  <r>
    <x v="265"/>
    <x v="265"/>
    <x v="1"/>
    <s v="Alfals"/>
    <n v="2"/>
    <n v="0"/>
    <n v="0"/>
    <n v="2"/>
    <n v="0"/>
    <n v="0"/>
    <n v="0"/>
    <n v="0"/>
  </r>
  <r>
    <x v="265"/>
    <x v="265"/>
    <x v="1"/>
    <s v="Praderes polifites"/>
    <n v="116"/>
    <n v="0"/>
    <n v="0"/>
    <n v="116"/>
    <n v="0"/>
    <n v="0"/>
    <n v="0"/>
    <n v="0"/>
  </r>
  <r>
    <x v="266"/>
    <x v="266"/>
    <x v="5"/>
    <s v="Plantes ornamentals"/>
    <n v="0"/>
    <n v="0"/>
    <n v="0"/>
    <n v="0"/>
    <n v="4"/>
    <n v="2"/>
    <n v="0"/>
    <n v="6"/>
  </r>
  <r>
    <x v="266"/>
    <x v="266"/>
    <x v="4"/>
    <s v="Col de cabdell"/>
    <n v="0"/>
    <n v="0"/>
    <n v="0"/>
    <n v="0"/>
    <n v="1"/>
    <n v="0"/>
    <n v="0"/>
    <n v="1"/>
  </r>
  <r>
    <x v="266"/>
    <x v="266"/>
    <x v="4"/>
    <s v="Api"/>
    <n v="0"/>
    <n v="0"/>
    <n v="0"/>
    <n v="0"/>
    <n v="1"/>
    <n v="0"/>
    <n v="0"/>
    <n v="1"/>
  </r>
  <r>
    <x v="266"/>
    <x v="266"/>
    <x v="4"/>
    <s v="Enciam"/>
    <n v="0"/>
    <n v="0"/>
    <n v="0"/>
    <n v="0"/>
    <n v="1"/>
    <n v="1"/>
    <n v="0"/>
    <n v="2"/>
  </r>
  <r>
    <x v="266"/>
    <x v="266"/>
    <x v="4"/>
    <s v="Espinac"/>
    <n v="0"/>
    <n v="0"/>
    <n v="0"/>
    <n v="0"/>
    <n v="1"/>
    <n v="0"/>
    <n v="0"/>
    <n v="1"/>
  </r>
  <r>
    <x v="266"/>
    <x v="266"/>
    <x v="4"/>
    <s v="Bleda"/>
    <n v="0"/>
    <n v="0"/>
    <n v="0"/>
    <n v="0"/>
    <n v="0"/>
    <n v="1"/>
    <n v="0"/>
    <n v="1"/>
  </r>
  <r>
    <x v="266"/>
    <x v="266"/>
    <x v="4"/>
    <s v="Cogombre"/>
    <n v="0"/>
    <n v="0"/>
    <n v="0"/>
    <n v="0"/>
    <n v="1"/>
    <n v="0"/>
    <n v="0"/>
    <n v="1"/>
  </r>
  <r>
    <x v="266"/>
    <x v="266"/>
    <x v="4"/>
    <s v="Tomàquet"/>
    <n v="0"/>
    <n v="0"/>
    <n v="0"/>
    <n v="0"/>
    <n v="1"/>
    <n v="0"/>
    <n v="0"/>
    <n v="1"/>
  </r>
  <r>
    <x v="266"/>
    <x v="266"/>
    <x v="4"/>
    <s v="Ceba"/>
    <n v="0"/>
    <n v="0"/>
    <n v="0"/>
    <n v="0"/>
    <n v="1"/>
    <n v="1"/>
    <n v="0"/>
    <n v="2"/>
  </r>
  <r>
    <x v="266"/>
    <x v="266"/>
    <x v="4"/>
    <s v="Porro"/>
    <n v="0"/>
    <n v="0"/>
    <n v="0"/>
    <n v="0"/>
    <n v="1"/>
    <n v="0"/>
    <n v="0"/>
    <n v="1"/>
  </r>
  <r>
    <x v="266"/>
    <x v="266"/>
    <x v="4"/>
    <s v="Mongeta tendra"/>
    <n v="0"/>
    <n v="0"/>
    <n v="0"/>
    <n v="0"/>
    <n v="1"/>
    <n v="0"/>
    <n v="0"/>
    <n v="1"/>
  </r>
  <r>
    <x v="266"/>
    <x v="266"/>
    <x v="4"/>
    <s v="Pèsol verd"/>
    <n v="0"/>
    <n v="0"/>
    <n v="0"/>
    <n v="0"/>
    <n v="1"/>
    <n v="0"/>
    <n v="0"/>
    <n v="1"/>
  </r>
  <r>
    <x v="266"/>
    <x v="266"/>
    <x v="6"/>
    <s v="Patata primerenca"/>
    <n v="0"/>
    <n v="0"/>
    <n v="0"/>
    <n v="0"/>
    <n v="1"/>
    <n v="0"/>
    <n v="0"/>
    <n v="1"/>
  </r>
  <r>
    <x v="266"/>
    <x v="266"/>
    <x v="6"/>
    <s v="Patata d'estació mitjana"/>
    <n v="0"/>
    <n v="0"/>
    <n v="0"/>
    <n v="0"/>
    <n v="0"/>
    <n v="1"/>
    <n v="0"/>
    <n v="1"/>
  </r>
  <r>
    <x v="266"/>
    <x v="266"/>
    <x v="6"/>
    <s v="Patata tardana"/>
    <n v="0"/>
    <n v="0"/>
    <n v="0"/>
    <n v="0"/>
    <n v="0"/>
    <n v="1"/>
    <n v="0"/>
    <n v="1"/>
  </r>
  <r>
    <x v="267"/>
    <x v="267"/>
    <x v="0"/>
    <s v="Blat tou"/>
    <n v="66"/>
    <n v="0"/>
    <n v="0"/>
    <n v="66"/>
    <n v="0"/>
    <n v="0"/>
    <n v="0"/>
    <n v="0"/>
  </r>
  <r>
    <x v="267"/>
    <x v="267"/>
    <x v="0"/>
    <s v="Ordi"/>
    <n v="189"/>
    <n v="0"/>
    <n v="0"/>
    <n v="189"/>
    <n v="0"/>
    <n v="0"/>
    <n v="0"/>
    <n v="0"/>
  </r>
  <r>
    <x v="267"/>
    <x v="267"/>
    <x v="0"/>
    <s v="Civada"/>
    <n v="75"/>
    <n v="0"/>
    <n v="0"/>
    <n v="75"/>
    <n v="1"/>
    <n v="0"/>
    <n v="0"/>
    <n v="1"/>
  </r>
  <r>
    <x v="267"/>
    <x v="267"/>
    <x v="0"/>
    <s v="Mill i melca"/>
    <n v="4"/>
    <n v="0"/>
    <n v="0"/>
    <n v="4"/>
    <n v="0"/>
    <n v="0"/>
    <n v="0"/>
    <n v="0"/>
  </r>
  <r>
    <x v="267"/>
    <x v="267"/>
    <x v="0"/>
    <s v="Espelta"/>
    <n v="2"/>
    <n v="0"/>
    <n v="0"/>
    <n v="2"/>
    <n v="0"/>
    <n v="0"/>
    <n v="0"/>
    <n v="0"/>
  </r>
  <r>
    <x v="267"/>
    <x v="267"/>
    <x v="1"/>
    <s v="Cereals d'hivern per a farratge"/>
    <n v="75"/>
    <n v="0"/>
    <n v="0"/>
    <n v="75"/>
    <n v="1"/>
    <n v="0"/>
    <n v="0"/>
    <n v="1"/>
  </r>
  <r>
    <x v="267"/>
    <x v="267"/>
    <x v="1"/>
    <s v="Raigràs"/>
    <n v="9"/>
    <n v="0"/>
    <n v="0"/>
    <n v="9"/>
    <n v="0"/>
    <n v="0"/>
    <n v="0"/>
    <n v="0"/>
  </r>
  <r>
    <x v="267"/>
    <x v="267"/>
    <x v="1"/>
    <s v="Alfals"/>
    <n v="1"/>
    <n v="0"/>
    <n v="0"/>
    <n v="1"/>
    <n v="0"/>
    <n v="0"/>
    <n v="0"/>
    <n v="0"/>
  </r>
  <r>
    <x v="267"/>
    <x v="267"/>
    <x v="1"/>
    <s v="Trepadella"/>
    <n v="5"/>
    <n v="0"/>
    <n v="0"/>
    <n v="5"/>
    <n v="0"/>
    <n v="0"/>
    <n v="0"/>
    <n v="0"/>
  </r>
  <r>
    <x v="267"/>
    <x v="267"/>
    <x v="3"/>
    <s v="Colza"/>
    <n v="24"/>
    <n v="0"/>
    <n v="0"/>
    <n v="24"/>
    <n v="0"/>
    <n v="0"/>
    <n v="0"/>
    <n v="0"/>
  </r>
  <r>
    <x v="267"/>
    <x v="267"/>
    <x v="2"/>
    <s v="Cigró"/>
    <n v="15"/>
    <n v="0"/>
    <n v="0"/>
    <n v="15"/>
    <n v="0"/>
    <n v="0"/>
    <n v="0"/>
    <n v="0"/>
  </r>
  <r>
    <x v="267"/>
    <x v="267"/>
    <x v="2"/>
    <s v="Pèsol sec"/>
    <n v="4"/>
    <n v="0"/>
    <n v="0"/>
    <n v="4"/>
    <n v="0"/>
    <n v="0"/>
    <n v="0"/>
    <n v="0"/>
  </r>
  <r>
    <x v="268"/>
    <x v="268"/>
    <x v="5"/>
    <s v="Altres flors"/>
    <n v="0"/>
    <n v="0"/>
    <n v="0"/>
    <n v="0"/>
    <n v="0"/>
    <n v="2"/>
    <n v="0"/>
    <n v="2"/>
  </r>
  <r>
    <x v="268"/>
    <x v="268"/>
    <x v="5"/>
    <s v="Plantes ornamentals"/>
    <n v="0"/>
    <n v="0"/>
    <n v="0"/>
    <n v="0"/>
    <n v="4"/>
    <n v="2"/>
    <n v="0"/>
    <n v="6"/>
  </r>
  <r>
    <x v="268"/>
    <x v="268"/>
    <x v="4"/>
    <s v="Api"/>
    <n v="0"/>
    <n v="0"/>
    <n v="0"/>
    <n v="0"/>
    <n v="0"/>
    <n v="1"/>
    <n v="0"/>
    <n v="1"/>
  </r>
  <r>
    <x v="268"/>
    <x v="268"/>
    <x v="4"/>
    <s v="Enciam"/>
    <n v="0"/>
    <n v="0"/>
    <n v="0"/>
    <n v="0"/>
    <n v="2"/>
    <n v="0"/>
    <n v="0"/>
    <n v="2"/>
  </r>
  <r>
    <x v="268"/>
    <x v="268"/>
    <x v="4"/>
    <s v="Escarola"/>
    <n v="0"/>
    <n v="0"/>
    <n v="0"/>
    <n v="0"/>
    <n v="0"/>
    <n v="1"/>
    <n v="0"/>
    <n v="1"/>
  </r>
  <r>
    <x v="268"/>
    <x v="268"/>
    <x v="4"/>
    <s v="Espinac"/>
    <n v="0"/>
    <n v="0"/>
    <n v="0"/>
    <n v="0"/>
    <n v="2"/>
    <n v="0"/>
    <n v="0"/>
    <n v="2"/>
  </r>
  <r>
    <x v="268"/>
    <x v="268"/>
    <x v="4"/>
    <s v="Bleda"/>
    <n v="0"/>
    <n v="0"/>
    <n v="0"/>
    <n v="0"/>
    <n v="0"/>
    <n v="1"/>
    <n v="0"/>
    <n v="1"/>
  </r>
  <r>
    <x v="268"/>
    <x v="268"/>
    <x v="4"/>
    <s v="Cogombre"/>
    <n v="0"/>
    <n v="0"/>
    <n v="0"/>
    <n v="0"/>
    <n v="1"/>
    <n v="0"/>
    <n v="0"/>
    <n v="1"/>
  </r>
  <r>
    <x v="268"/>
    <x v="268"/>
    <x v="4"/>
    <s v="Albergínia"/>
    <n v="0"/>
    <n v="0"/>
    <n v="0"/>
    <n v="0"/>
    <n v="0"/>
    <n v="1"/>
    <n v="0"/>
    <n v="1"/>
  </r>
  <r>
    <x v="268"/>
    <x v="268"/>
    <x v="4"/>
    <s v="Tomàquet"/>
    <n v="0"/>
    <n v="0"/>
    <n v="0"/>
    <n v="0"/>
    <n v="2"/>
    <n v="0"/>
    <n v="0"/>
    <n v="2"/>
  </r>
  <r>
    <x v="268"/>
    <x v="268"/>
    <x v="4"/>
    <s v="Ceba"/>
    <n v="0"/>
    <n v="0"/>
    <n v="0"/>
    <n v="0"/>
    <n v="1"/>
    <n v="0"/>
    <n v="0"/>
    <n v="1"/>
  </r>
  <r>
    <x v="268"/>
    <x v="268"/>
    <x v="4"/>
    <s v="Porro"/>
    <n v="0"/>
    <n v="0"/>
    <n v="0"/>
    <n v="0"/>
    <n v="1"/>
    <n v="1"/>
    <n v="0"/>
    <n v="2"/>
  </r>
  <r>
    <x v="268"/>
    <x v="268"/>
    <x v="4"/>
    <s v="Pastanaga"/>
    <n v="0"/>
    <n v="0"/>
    <n v="0"/>
    <n v="0"/>
    <n v="1"/>
    <n v="0"/>
    <n v="0"/>
    <n v="1"/>
  </r>
  <r>
    <x v="268"/>
    <x v="268"/>
    <x v="4"/>
    <s v="Mongeta tendra"/>
    <n v="0"/>
    <n v="0"/>
    <n v="0"/>
    <n v="0"/>
    <n v="2"/>
    <n v="0"/>
    <n v="0"/>
    <n v="2"/>
  </r>
  <r>
    <x v="268"/>
    <x v="268"/>
    <x v="4"/>
    <s v="Pèsol verd"/>
    <n v="0"/>
    <n v="0"/>
    <n v="0"/>
    <n v="0"/>
    <n v="1"/>
    <n v="0"/>
    <n v="0"/>
    <n v="1"/>
  </r>
  <r>
    <x v="268"/>
    <x v="268"/>
    <x v="4"/>
    <s v="Fava tendra"/>
    <n v="0"/>
    <n v="0"/>
    <n v="0"/>
    <n v="0"/>
    <n v="1"/>
    <n v="0"/>
    <n v="0"/>
    <n v="1"/>
  </r>
  <r>
    <x v="268"/>
    <x v="268"/>
    <x v="4"/>
    <s v="Carbassó"/>
    <n v="0"/>
    <n v="0"/>
    <n v="0"/>
    <n v="0"/>
    <n v="0"/>
    <n v="2"/>
    <n v="0"/>
    <n v="2"/>
  </r>
  <r>
    <x v="268"/>
    <x v="268"/>
    <x v="2"/>
    <s v="Mongeta seca"/>
    <n v="0"/>
    <n v="0"/>
    <n v="0"/>
    <n v="0"/>
    <n v="0"/>
    <n v="1"/>
    <n v="0"/>
    <n v="1"/>
  </r>
  <r>
    <x v="268"/>
    <x v="268"/>
    <x v="6"/>
    <s v="Patata d'estació mitjana"/>
    <n v="0"/>
    <n v="0"/>
    <n v="0"/>
    <n v="0"/>
    <n v="0"/>
    <n v="1"/>
    <n v="0"/>
    <n v="1"/>
  </r>
  <r>
    <x v="269"/>
    <x v="269"/>
    <x v="0"/>
    <s v="Blat tou"/>
    <n v="187"/>
    <n v="0"/>
    <n v="0"/>
    <n v="187"/>
    <n v="3"/>
    <n v="0"/>
    <n v="0"/>
    <n v="3"/>
  </r>
  <r>
    <x v="269"/>
    <x v="269"/>
    <x v="0"/>
    <s v="Ordi"/>
    <n v="178"/>
    <n v="0"/>
    <n v="0"/>
    <n v="178"/>
    <n v="1"/>
    <n v="0"/>
    <n v="0"/>
    <n v="1"/>
  </r>
  <r>
    <x v="269"/>
    <x v="269"/>
    <x v="0"/>
    <s v="Civada"/>
    <n v="3"/>
    <n v="0"/>
    <n v="0"/>
    <n v="3"/>
    <n v="0"/>
    <n v="0"/>
    <n v="0"/>
    <n v="0"/>
  </r>
  <r>
    <x v="269"/>
    <x v="269"/>
    <x v="0"/>
    <s v="Blat de moro"/>
    <n v="4"/>
    <n v="0"/>
    <n v="0"/>
    <n v="4"/>
    <n v="0"/>
    <n v="0"/>
    <n v="0"/>
    <n v="0"/>
  </r>
  <r>
    <x v="269"/>
    <x v="269"/>
    <x v="1"/>
    <s v="Cereals d'hivern per a farratge"/>
    <n v="10"/>
    <n v="0"/>
    <n v="0"/>
    <n v="10"/>
    <n v="3"/>
    <n v="0"/>
    <n v="0"/>
    <n v="3"/>
  </r>
  <r>
    <x v="269"/>
    <x v="269"/>
    <x v="1"/>
    <s v="Blat de moro farratger"/>
    <n v="39"/>
    <n v="0"/>
    <n v="0"/>
    <n v="39"/>
    <n v="0"/>
    <n v="0"/>
    <n v="0"/>
    <n v="0"/>
  </r>
  <r>
    <x v="269"/>
    <x v="269"/>
    <x v="1"/>
    <s v="Sorgo farratger"/>
    <n v="2"/>
    <n v="18"/>
    <n v="0"/>
    <n v="20"/>
    <n v="0"/>
    <n v="4"/>
    <n v="0"/>
    <n v="4"/>
  </r>
  <r>
    <x v="269"/>
    <x v="269"/>
    <x v="1"/>
    <s v="Raigràs"/>
    <n v="40"/>
    <n v="0"/>
    <n v="0"/>
    <n v="40"/>
    <n v="2"/>
    <n v="0"/>
    <n v="0"/>
    <n v="2"/>
  </r>
  <r>
    <x v="269"/>
    <x v="269"/>
    <x v="1"/>
    <s v="Alfals"/>
    <n v="19"/>
    <n v="0"/>
    <n v="0"/>
    <n v="19"/>
    <n v="10"/>
    <n v="0"/>
    <n v="0"/>
    <n v="10"/>
  </r>
  <r>
    <x v="269"/>
    <x v="269"/>
    <x v="1"/>
    <s v="Praderes polifites"/>
    <n v="38"/>
    <n v="0"/>
    <n v="0"/>
    <n v="38"/>
    <n v="0"/>
    <n v="0"/>
    <n v="0"/>
    <n v="0"/>
  </r>
  <r>
    <x v="269"/>
    <x v="269"/>
    <x v="1"/>
    <s v="Associació Veça - Civada farratgeres"/>
    <n v="12"/>
    <n v="0"/>
    <n v="0"/>
    <n v="12"/>
    <n v="1"/>
    <n v="0"/>
    <n v="0"/>
    <n v="1"/>
  </r>
  <r>
    <x v="269"/>
    <x v="269"/>
    <x v="5"/>
    <s v="Plantes ornamentals"/>
    <n v="0"/>
    <n v="0"/>
    <n v="0"/>
    <n v="0"/>
    <n v="5"/>
    <n v="0"/>
    <n v="0"/>
    <n v="5"/>
  </r>
  <r>
    <x v="269"/>
    <x v="269"/>
    <x v="2"/>
    <s v="Pèsol sec"/>
    <n v="10"/>
    <n v="0"/>
    <n v="0"/>
    <n v="10"/>
    <n v="0"/>
    <n v="0"/>
    <n v="0"/>
    <n v="0"/>
  </r>
  <r>
    <x v="269"/>
    <x v="269"/>
    <x v="2"/>
    <s v="Veça"/>
    <n v="10"/>
    <n v="0"/>
    <n v="0"/>
    <n v="10"/>
    <n v="0"/>
    <n v="0"/>
    <n v="0"/>
    <n v="0"/>
  </r>
  <r>
    <x v="269"/>
    <x v="269"/>
    <x v="2"/>
    <s v="Favó"/>
    <n v="0"/>
    <n v="0"/>
    <n v="0"/>
    <n v="0"/>
    <n v="3"/>
    <n v="0"/>
    <n v="0"/>
    <n v="3"/>
  </r>
  <r>
    <x v="269"/>
    <x v="269"/>
    <x v="6"/>
    <s v="Patata d'estació mitjana"/>
    <n v="2"/>
    <n v="0"/>
    <n v="0"/>
    <n v="2"/>
    <n v="0"/>
    <n v="0"/>
    <n v="0"/>
    <n v="0"/>
  </r>
  <r>
    <x v="270"/>
    <x v="270"/>
    <x v="0"/>
    <s v="Blat tou"/>
    <n v="6"/>
    <n v="0"/>
    <n v="0"/>
    <n v="6"/>
    <n v="18"/>
    <n v="0"/>
    <n v="0"/>
    <n v="18"/>
  </r>
  <r>
    <x v="270"/>
    <x v="270"/>
    <x v="0"/>
    <s v="Ordi"/>
    <n v="29"/>
    <n v="0"/>
    <n v="0"/>
    <n v="29"/>
    <n v="141"/>
    <n v="0"/>
    <n v="0"/>
    <n v="141"/>
  </r>
  <r>
    <x v="270"/>
    <x v="270"/>
    <x v="0"/>
    <s v="Civada"/>
    <n v="15"/>
    <n v="0"/>
    <n v="0"/>
    <n v="15"/>
    <n v="45"/>
    <n v="0"/>
    <n v="0"/>
    <n v="45"/>
  </r>
  <r>
    <x v="270"/>
    <x v="270"/>
    <x v="0"/>
    <s v="Triticale"/>
    <n v="5"/>
    <n v="0"/>
    <n v="0"/>
    <n v="5"/>
    <n v="12"/>
    <n v="0"/>
    <n v="0"/>
    <n v="12"/>
  </r>
  <r>
    <x v="270"/>
    <x v="270"/>
    <x v="0"/>
    <s v="Blat de moro"/>
    <n v="1"/>
    <n v="0"/>
    <n v="0"/>
    <n v="1"/>
    <n v="11"/>
    <n v="0"/>
    <n v="0"/>
    <n v="11"/>
  </r>
  <r>
    <x v="270"/>
    <x v="270"/>
    <x v="1"/>
    <s v="Cereals d'hivern per a farratge"/>
    <n v="16"/>
    <n v="0"/>
    <n v="0"/>
    <n v="16"/>
    <n v="48"/>
    <n v="0"/>
    <n v="0"/>
    <n v="48"/>
  </r>
  <r>
    <x v="270"/>
    <x v="270"/>
    <x v="1"/>
    <s v="Blat de moro farratger"/>
    <n v="12"/>
    <n v="1"/>
    <n v="0"/>
    <n v="13"/>
    <n v="101"/>
    <n v="5"/>
    <n v="0"/>
    <n v="106"/>
  </r>
  <r>
    <x v="270"/>
    <x v="270"/>
    <x v="1"/>
    <s v="Sorgo farratger"/>
    <n v="2"/>
    <n v="0"/>
    <n v="0"/>
    <n v="2"/>
    <n v="20"/>
    <n v="7"/>
    <n v="0"/>
    <n v="27"/>
  </r>
  <r>
    <x v="270"/>
    <x v="270"/>
    <x v="1"/>
    <s v="Raigràs"/>
    <n v="61"/>
    <n v="0"/>
    <n v="0"/>
    <n v="61"/>
    <n v="92"/>
    <n v="0"/>
    <n v="0"/>
    <n v="92"/>
  </r>
  <r>
    <x v="270"/>
    <x v="270"/>
    <x v="1"/>
    <s v="Alfals"/>
    <n v="9"/>
    <n v="0"/>
    <n v="0"/>
    <n v="9"/>
    <n v="19"/>
    <n v="0"/>
    <n v="0"/>
    <n v="19"/>
  </r>
  <r>
    <x v="270"/>
    <x v="270"/>
    <x v="3"/>
    <s v="Colza"/>
    <n v="16"/>
    <n v="0"/>
    <n v="0"/>
    <n v="16"/>
    <n v="32"/>
    <n v="0"/>
    <n v="0"/>
    <n v="32"/>
  </r>
  <r>
    <x v="270"/>
    <x v="270"/>
    <x v="5"/>
    <s v="Plantes ornamentals"/>
    <n v="0"/>
    <n v="0"/>
    <n v="0"/>
    <n v="0"/>
    <n v="3"/>
    <n v="0"/>
    <n v="0"/>
    <n v="3"/>
  </r>
  <r>
    <x v="270"/>
    <x v="270"/>
    <x v="4"/>
    <s v="Col de cabdell"/>
    <n v="0"/>
    <n v="0"/>
    <n v="0"/>
    <n v="0"/>
    <n v="0"/>
    <n v="1"/>
    <n v="0"/>
    <n v="1"/>
  </r>
  <r>
    <x v="270"/>
    <x v="270"/>
    <x v="4"/>
    <s v="Api"/>
    <n v="0"/>
    <n v="0"/>
    <n v="0"/>
    <n v="0"/>
    <n v="2"/>
    <n v="3"/>
    <n v="0"/>
    <n v="5"/>
  </r>
  <r>
    <x v="270"/>
    <x v="270"/>
    <x v="4"/>
    <s v="Enciam"/>
    <n v="0"/>
    <n v="0"/>
    <n v="0"/>
    <n v="0"/>
    <n v="2"/>
    <n v="2"/>
    <n v="0"/>
    <n v="4"/>
  </r>
  <r>
    <x v="270"/>
    <x v="270"/>
    <x v="4"/>
    <s v="Escarola"/>
    <n v="0"/>
    <n v="0"/>
    <n v="0"/>
    <n v="0"/>
    <n v="1"/>
    <n v="2"/>
    <n v="0"/>
    <n v="3"/>
  </r>
  <r>
    <x v="270"/>
    <x v="270"/>
    <x v="4"/>
    <s v="Espinac"/>
    <n v="0"/>
    <n v="0"/>
    <n v="0"/>
    <n v="0"/>
    <n v="2"/>
    <n v="1"/>
    <n v="0"/>
    <n v="3"/>
  </r>
  <r>
    <x v="270"/>
    <x v="270"/>
    <x v="4"/>
    <s v="Bleda"/>
    <n v="0"/>
    <n v="0"/>
    <n v="0"/>
    <n v="0"/>
    <n v="0"/>
    <n v="2"/>
    <n v="0"/>
    <n v="2"/>
  </r>
  <r>
    <x v="270"/>
    <x v="270"/>
    <x v="4"/>
    <s v="Card"/>
    <n v="0"/>
    <n v="0"/>
    <n v="0"/>
    <n v="0"/>
    <n v="1"/>
    <n v="5"/>
    <n v="0"/>
    <n v="6"/>
  </r>
  <r>
    <x v="270"/>
    <x v="270"/>
    <x v="4"/>
    <s v="Carbassa"/>
    <n v="0"/>
    <n v="0"/>
    <n v="0"/>
    <n v="0"/>
    <n v="1"/>
    <n v="0"/>
    <n v="0"/>
    <n v="1"/>
  </r>
  <r>
    <x v="270"/>
    <x v="270"/>
    <x v="4"/>
    <s v="Cogombre"/>
    <n v="0"/>
    <n v="0"/>
    <n v="0"/>
    <n v="0"/>
    <n v="2"/>
    <n v="4"/>
    <n v="0"/>
    <n v="6"/>
  </r>
  <r>
    <x v="270"/>
    <x v="270"/>
    <x v="4"/>
    <s v="Albergínia"/>
    <n v="0"/>
    <n v="0"/>
    <n v="0"/>
    <n v="0"/>
    <n v="0"/>
    <n v="1"/>
    <n v="0"/>
    <n v="1"/>
  </r>
  <r>
    <x v="270"/>
    <x v="270"/>
    <x v="4"/>
    <s v="Tomàquet"/>
    <n v="0"/>
    <n v="0"/>
    <n v="0"/>
    <n v="0"/>
    <n v="5"/>
    <n v="0"/>
    <n v="0"/>
    <n v="5"/>
  </r>
  <r>
    <x v="270"/>
    <x v="270"/>
    <x v="4"/>
    <s v="Coliflor"/>
    <n v="0"/>
    <n v="0"/>
    <n v="0"/>
    <n v="0"/>
    <n v="5"/>
    <n v="1"/>
    <n v="0"/>
    <n v="6"/>
  </r>
  <r>
    <x v="270"/>
    <x v="270"/>
    <x v="4"/>
    <s v="Ceba"/>
    <n v="0"/>
    <n v="0"/>
    <n v="0"/>
    <n v="0"/>
    <n v="1"/>
    <n v="2"/>
    <n v="0"/>
    <n v="3"/>
  </r>
  <r>
    <x v="270"/>
    <x v="270"/>
    <x v="4"/>
    <s v="Porro"/>
    <n v="0"/>
    <n v="0"/>
    <n v="0"/>
    <n v="0"/>
    <n v="0"/>
    <n v="2"/>
    <n v="0"/>
    <n v="2"/>
  </r>
  <r>
    <x v="270"/>
    <x v="270"/>
    <x v="4"/>
    <s v="Pastanaga"/>
    <n v="0"/>
    <n v="0"/>
    <n v="0"/>
    <n v="0"/>
    <n v="1"/>
    <n v="2"/>
    <n v="0"/>
    <n v="3"/>
  </r>
  <r>
    <x v="270"/>
    <x v="270"/>
    <x v="4"/>
    <s v="Mongeta tendra"/>
    <n v="0"/>
    <n v="0"/>
    <n v="0"/>
    <n v="0"/>
    <n v="3"/>
    <n v="1"/>
    <n v="0"/>
    <n v="4"/>
  </r>
  <r>
    <x v="270"/>
    <x v="270"/>
    <x v="4"/>
    <s v="Fava tendra"/>
    <n v="0"/>
    <n v="0"/>
    <n v="0"/>
    <n v="0"/>
    <n v="23"/>
    <n v="0"/>
    <n v="0"/>
    <n v="23"/>
  </r>
  <r>
    <x v="270"/>
    <x v="270"/>
    <x v="4"/>
    <s v="Carbassó"/>
    <n v="0"/>
    <n v="0"/>
    <n v="0"/>
    <n v="0"/>
    <n v="0"/>
    <n v="2"/>
    <n v="0"/>
    <n v="2"/>
  </r>
  <r>
    <x v="270"/>
    <x v="270"/>
    <x v="2"/>
    <s v="Mongeta seca"/>
    <n v="0"/>
    <n v="0"/>
    <n v="0"/>
    <n v="0"/>
    <n v="4"/>
    <n v="0"/>
    <n v="0"/>
    <n v="4"/>
  </r>
  <r>
    <x v="270"/>
    <x v="270"/>
    <x v="2"/>
    <s v="Cigró"/>
    <n v="0"/>
    <n v="0"/>
    <n v="0"/>
    <n v="0"/>
    <n v="1"/>
    <n v="0"/>
    <n v="0"/>
    <n v="1"/>
  </r>
  <r>
    <x v="270"/>
    <x v="270"/>
    <x v="2"/>
    <s v="Pèsol sec"/>
    <n v="0"/>
    <n v="0"/>
    <n v="0"/>
    <n v="0"/>
    <n v="1"/>
    <n v="0"/>
    <n v="0"/>
    <n v="1"/>
  </r>
  <r>
    <x v="270"/>
    <x v="270"/>
    <x v="2"/>
    <s v="Favó"/>
    <n v="0"/>
    <n v="0"/>
    <n v="0"/>
    <n v="0"/>
    <n v="3"/>
    <n v="0"/>
    <n v="0"/>
    <n v="3"/>
  </r>
  <r>
    <x v="270"/>
    <x v="270"/>
    <x v="6"/>
    <s v="Patata primerenca"/>
    <n v="0"/>
    <n v="0"/>
    <n v="0"/>
    <n v="0"/>
    <n v="4"/>
    <n v="0"/>
    <n v="0"/>
    <n v="4"/>
  </r>
  <r>
    <x v="270"/>
    <x v="270"/>
    <x v="6"/>
    <s v="Patata d'estació mitjana"/>
    <n v="0"/>
    <n v="0"/>
    <n v="0"/>
    <n v="0"/>
    <n v="12"/>
    <n v="0"/>
    <n v="0"/>
    <n v="12"/>
  </r>
  <r>
    <x v="270"/>
    <x v="270"/>
    <x v="6"/>
    <s v="Patata tardana"/>
    <n v="0"/>
    <n v="0"/>
    <n v="0"/>
    <n v="0"/>
    <n v="2"/>
    <n v="4"/>
    <n v="0"/>
    <n v="6"/>
  </r>
  <r>
    <x v="271"/>
    <x v="271"/>
    <x v="0"/>
    <s v="Blat tou"/>
    <n v="104"/>
    <n v="0"/>
    <n v="0"/>
    <n v="104"/>
    <n v="3"/>
    <n v="0"/>
    <n v="0"/>
    <n v="3"/>
  </r>
  <r>
    <x v="271"/>
    <x v="271"/>
    <x v="0"/>
    <s v="Ordi"/>
    <n v="125"/>
    <n v="0"/>
    <n v="0"/>
    <n v="125"/>
    <n v="7"/>
    <n v="0"/>
    <n v="0"/>
    <n v="7"/>
  </r>
  <r>
    <x v="271"/>
    <x v="271"/>
    <x v="0"/>
    <s v="Civada"/>
    <n v="4"/>
    <n v="0"/>
    <n v="0"/>
    <n v="4"/>
    <n v="0"/>
    <n v="0"/>
    <n v="0"/>
    <n v="0"/>
  </r>
  <r>
    <x v="271"/>
    <x v="271"/>
    <x v="0"/>
    <s v="Triticale"/>
    <n v="3"/>
    <n v="0"/>
    <n v="0"/>
    <n v="3"/>
    <n v="0"/>
    <n v="0"/>
    <n v="0"/>
    <n v="0"/>
  </r>
  <r>
    <x v="271"/>
    <x v="271"/>
    <x v="0"/>
    <s v="Blat de moro"/>
    <n v="2"/>
    <n v="0"/>
    <n v="0"/>
    <n v="2"/>
    <n v="2"/>
    <n v="0"/>
    <n v="0"/>
    <n v="2"/>
  </r>
  <r>
    <x v="271"/>
    <x v="271"/>
    <x v="1"/>
    <s v="Cereals d'hivern per a farratge"/>
    <n v="44"/>
    <n v="0"/>
    <n v="0"/>
    <n v="44"/>
    <n v="0"/>
    <n v="0"/>
    <n v="0"/>
    <n v="0"/>
  </r>
  <r>
    <x v="271"/>
    <x v="271"/>
    <x v="1"/>
    <s v="Blat de moro farratger"/>
    <n v="22"/>
    <n v="79"/>
    <n v="0"/>
    <n v="101"/>
    <n v="14"/>
    <n v="10"/>
    <n v="0"/>
    <n v="24"/>
  </r>
  <r>
    <x v="271"/>
    <x v="271"/>
    <x v="1"/>
    <s v="Sorgo farratger"/>
    <n v="0"/>
    <n v="7"/>
    <n v="0"/>
    <n v="7"/>
    <n v="0"/>
    <n v="61"/>
    <n v="0"/>
    <n v="61"/>
  </r>
  <r>
    <x v="271"/>
    <x v="271"/>
    <x v="1"/>
    <s v="Raigràs"/>
    <n v="123"/>
    <n v="16"/>
    <n v="0"/>
    <n v="139"/>
    <n v="10"/>
    <n v="0"/>
    <n v="0"/>
    <n v="10"/>
  </r>
  <r>
    <x v="271"/>
    <x v="271"/>
    <x v="1"/>
    <s v="Alfals"/>
    <n v="30"/>
    <n v="0"/>
    <n v="0"/>
    <n v="30"/>
    <n v="0"/>
    <n v="0"/>
    <n v="0"/>
    <n v="0"/>
  </r>
  <r>
    <x v="271"/>
    <x v="271"/>
    <x v="1"/>
    <s v="Trepadella"/>
    <n v="3"/>
    <n v="0"/>
    <n v="0"/>
    <n v="3"/>
    <n v="0"/>
    <n v="0"/>
    <n v="0"/>
    <n v="0"/>
  </r>
  <r>
    <x v="271"/>
    <x v="271"/>
    <x v="1"/>
    <s v="Praderes polifites"/>
    <n v="6"/>
    <n v="0"/>
    <n v="0"/>
    <n v="6"/>
    <n v="0"/>
    <n v="0"/>
    <n v="0"/>
    <n v="0"/>
  </r>
  <r>
    <x v="271"/>
    <x v="271"/>
    <x v="4"/>
    <s v="Tomàquet"/>
    <n v="0"/>
    <n v="0"/>
    <n v="0"/>
    <n v="0"/>
    <n v="1"/>
    <n v="0"/>
    <n v="0"/>
    <n v="1"/>
  </r>
  <r>
    <x v="271"/>
    <x v="271"/>
    <x v="4"/>
    <s v="Coliflor"/>
    <n v="0"/>
    <n v="0"/>
    <n v="0"/>
    <n v="0"/>
    <n v="1"/>
    <n v="0"/>
    <n v="0"/>
    <n v="1"/>
  </r>
  <r>
    <x v="271"/>
    <x v="271"/>
    <x v="2"/>
    <s v="Pèsol sec"/>
    <n v="8"/>
    <n v="0"/>
    <n v="0"/>
    <n v="8"/>
    <n v="0"/>
    <n v="0"/>
    <n v="0"/>
    <n v="0"/>
  </r>
  <r>
    <x v="271"/>
    <x v="271"/>
    <x v="6"/>
    <s v="Patata d'estació mitjana"/>
    <n v="2"/>
    <n v="0"/>
    <n v="0"/>
    <n v="2"/>
    <n v="0"/>
    <n v="0"/>
    <n v="0"/>
    <n v="0"/>
  </r>
  <r>
    <x v="272"/>
    <x v="272"/>
    <x v="0"/>
    <s v="Blat tou"/>
    <n v="48"/>
    <n v="0"/>
    <n v="0"/>
    <n v="48"/>
    <n v="0"/>
    <n v="0"/>
    <n v="0"/>
    <n v="0"/>
  </r>
  <r>
    <x v="272"/>
    <x v="272"/>
    <x v="0"/>
    <s v="Ordi"/>
    <n v="129"/>
    <n v="0"/>
    <n v="0"/>
    <n v="129"/>
    <n v="0"/>
    <n v="0"/>
    <n v="0"/>
    <n v="0"/>
  </r>
  <r>
    <x v="272"/>
    <x v="272"/>
    <x v="0"/>
    <s v="Civada"/>
    <n v="5"/>
    <n v="0"/>
    <n v="0"/>
    <n v="5"/>
    <n v="0"/>
    <n v="0"/>
    <n v="0"/>
    <n v="0"/>
  </r>
  <r>
    <x v="272"/>
    <x v="272"/>
    <x v="1"/>
    <s v="Cereals d'hivern per a farratge"/>
    <n v="20"/>
    <n v="0"/>
    <n v="0"/>
    <n v="20"/>
    <n v="0"/>
    <n v="0"/>
    <n v="0"/>
    <n v="0"/>
  </r>
  <r>
    <x v="272"/>
    <x v="272"/>
    <x v="1"/>
    <s v="Sorgo farratger"/>
    <n v="3"/>
    <n v="0"/>
    <n v="0"/>
    <n v="3"/>
    <n v="0"/>
    <n v="0"/>
    <n v="0"/>
    <n v="0"/>
  </r>
  <r>
    <x v="272"/>
    <x v="272"/>
    <x v="1"/>
    <s v="Alfals"/>
    <n v="10"/>
    <n v="0"/>
    <n v="0"/>
    <n v="10"/>
    <n v="0"/>
    <n v="0"/>
    <n v="0"/>
    <n v="0"/>
  </r>
  <r>
    <x v="272"/>
    <x v="272"/>
    <x v="1"/>
    <s v="Trepadella"/>
    <n v="5"/>
    <n v="0"/>
    <n v="0"/>
    <n v="5"/>
    <n v="0"/>
    <n v="0"/>
    <n v="0"/>
    <n v="0"/>
  </r>
  <r>
    <x v="272"/>
    <x v="272"/>
    <x v="1"/>
    <s v="Associació Veça - Civada farratgeres"/>
    <n v="11"/>
    <n v="0"/>
    <n v="0"/>
    <n v="11"/>
    <n v="0"/>
    <n v="0"/>
    <n v="0"/>
    <n v="0"/>
  </r>
  <r>
    <x v="272"/>
    <x v="272"/>
    <x v="2"/>
    <s v="Pèsol sec"/>
    <n v="1"/>
    <n v="0"/>
    <n v="0"/>
    <n v="1"/>
    <n v="0"/>
    <n v="0"/>
    <n v="0"/>
    <n v="0"/>
  </r>
  <r>
    <x v="272"/>
    <x v="272"/>
    <x v="2"/>
    <s v="Erbs"/>
    <n v="3"/>
    <n v="0"/>
    <n v="0"/>
    <n v="3"/>
    <n v="0"/>
    <n v="0"/>
    <n v="0"/>
    <n v="0"/>
  </r>
  <r>
    <x v="273"/>
    <x v="273"/>
    <x v="0"/>
    <s v="Blat tou"/>
    <n v="5"/>
    <n v="0"/>
    <n v="0"/>
    <n v="5"/>
    <n v="0"/>
    <n v="0"/>
    <n v="0"/>
    <n v="0"/>
  </r>
  <r>
    <x v="273"/>
    <x v="273"/>
    <x v="0"/>
    <s v="Ordi"/>
    <n v="52"/>
    <n v="0"/>
    <n v="0"/>
    <n v="52"/>
    <n v="0"/>
    <n v="0"/>
    <n v="0"/>
    <n v="0"/>
  </r>
  <r>
    <x v="273"/>
    <x v="273"/>
    <x v="0"/>
    <s v="Civada"/>
    <n v="24"/>
    <n v="0"/>
    <n v="0"/>
    <n v="24"/>
    <n v="0"/>
    <n v="0"/>
    <n v="0"/>
    <n v="0"/>
  </r>
  <r>
    <x v="273"/>
    <x v="273"/>
    <x v="1"/>
    <s v="Associació Veça - Civada farratgeres"/>
    <n v="13"/>
    <n v="0"/>
    <n v="0"/>
    <n v="13"/>
    <n v="0"/>
    <n v="0"/>
    <n v="0"/>
    <n v="0"/>
  </r>
  <r>
    <x v="273"/>
    <x v="273"/>
    <x v="3"/>
    <s v="Colza"/>
    <n v="12"/>
    <n v="0"/>
    <n v="0"/>
    <n v="12"/>
    <n v="0"/>
    <n v="0"/>
    <n v="0"/>
    <n v="0"/>
  </r>
  <r>
    <x v="273"/>
    <x v="273"/>
    <x v="5"/>
    <s v="Plantes ornamentals"/>
    <n v="0"/>
    <n v="0"/>
    <n v="0"/>
    <n v="0"/>
    <n v="18"/>
    <n v="0"/>
    <n v="0"/>
    <n v="18"/>
  </r>
  <r>
    <x v="273"/>
    <x v="273"/>
    <x v="4"/>
    <s v="Meló"/>
    <n v="1"/>
    <n v="0"/>
    <n v="0"/>
    <n v="1"/>
    <n v="1"/>
    <n v="0"/>
    <n v="0"/>
    <n v="1"/>
  </r>
  <r>
    <x v="273"/>
    <x v="273"/>
    <x v="4"/>
    <s v="Tomàquet"/>
    <n v="1"/>
    <n v="0"/>
    <n v="0"/>
    <n v="1"/>
    <n v="1"/>
    <n v="0"/>
    <n v="0"/>
    <n v="1"/>
  </r>
  <r>
    <x v="273"/>
    <x v="273"/>
    <x v="4"/>
    <s v="Ceba"/>
    <n v="1"/>
    <n v="0"/>
    <n v="0"/>
    <n v="1"/>
    <n v="1"/>
    <n v="0"/>
    <n v="0"/>
    <n v="1"/>
  </r>
  <r>
    <x v="273"/>
    <x v="273"/>
    <x v="2"/>
    <s v="Mongeta seca"/>
    <n v="0"/>
    <n v="0"/>
    <n v="0"/>
    <n v="0"/>
    <n v="1"/>
    <n v="0"/>
    <n v="0"/>
    <n v="1"/>
  </r>
  <r>
    <x v="273"/>
    <x v="273"/>
    <x v="2"/>
    <s v="Pèsol sec"/>
    <n v="2"/>
    <n v="0"/>
    <n v="0"/>
    <n v="2"/>
    <n v="0"/>
    <n v="0"/>
    <n v="0"/>
    <n v="0"/>
  </r>
  <r>
    <x v="273"/>
    <x v="273"/>
    <x v="6"/>
    <s v="Patata d'estació mitjana"/>
    <n v="1"/>
    <n v="0"/>
    <n v="0"/>
    <n v="1"/>
    <n v="0"/>
    <n v="0"/>
    <n v="0"/>
    <n v="0"/>
  </r>
  <r>
    <x v="274"/>
    <x v="274"/>
    <x v="0"/>
    <s v="Blat tou"/>
    <n v="22"/>
    <n v="0"/>
    <n v="0"/>
    <n v="22"/>
    <n v="0"/>
    <n v="0"/>
    <n v="0"/>
    <n v="0"/>
  </r>
  <r>
    <x v="274"/>
    <x v="274"/>
    <x v="0"/>
    <s v="Ordi"/>
    <n v="79"/>
    <n v="0"/>
    <n v="0"/>
    <n v="79"/>
    <n v="0"/>
    <n v="0"/>
    <n v="0"/>
    <n v="0"/>
  </r>
  <r>
    <x v="274"/>
    <x v="274"/>
    <x v="0"/>
    <s v="Civada"/>
    <n v="14"/>
    <n v="0"/>
    <n v="0"/>
    <n v="14"/>
    <n v="0"/>
    <n v="0"/>
    <n v="0"/>
    <n v="0"/>
  </r>
  <r>
    <x v="274"/>
    <x v="274"/>
    <x v="1"/>
    <s v="Cereals d'hivern per a farratge"/>
    <n v="0"/>
    <n v="2"/>
    <n v="0"/>
    <n v="2"/>
    <n v="0"/>
    <n v="0"/>
    <n v="0"/>
    <n v="0"/>
  </r>
  <r>
    <x v="274"/>
    <x v="274"/>
    <x v="1"/>
    <s v="Raigràs"/>
    <n v="18"/>
    <n v="0"/>
    <n v="0"/>
    <n v="18"/>
    <n v="0"/>
    <n v="0"/>
    <n v="0"/>
    <n v="0"/>
  </r>
  <r>
    <x v="274"/>
    <x v="274"/>
    <x v="1"/>
    <s v="Alfals"/>
    <n v="12"/>
    <n v="0"/>
    <n v="0"/>
    <n v="12"/>
    <n v="0"/>
    <n v="0"/>
    <n v="0"/>
    <n v="0"/>
  </r>
  <r>
    <x v="274"/>
    <x v="274"/>
    <x v="1"/>
    <s v="Trepadella"/>
    <n v="3"/>
    <n v="0"/>
    <n v="0"/>
    <n v="3"/>
    <n v="0"/>
    <n v="0"/>
    <n v="0"/>
    <n v="0"/>
  </r>
  <r>
    <x v="274"/>
    <x v="274"/>
    <x v="1"/>
    <s v="Agrostis"/>
    <n v="0"/>
    <n v="1"/>
    <n v="0"/>
    <n v="1"/>
    <n v="0"/>
    <n v="0"/>
    <n v="0"/>
    <n v="0"/>
  </r>
  <r>
    <x v="274"/>
    <x v="274"/>
    <x v="4"/>
    <s v="Tomàquet"/>
    <n v="1"/>
    <n v="0"/>
    <n v="0"/>
    <n v="1"/>
    <n v="2"/>
    <n v="0"/>
    <n v="0"/>
    <n v="2"/>
  </r>
  <r>
    <x v="274"/>
    <x v="274"/>
    <x v="4"/>
    <s v="Ceba"/>
    <n v="1"/>
    <n v="0"/>
    <n v="0"/>
    <n v="1"/>
    <n v="1"/>
    <n v="0"/>
    <n v="0"/>
    <n v="1"/>
  </r>
  <r>
    <x v="274"/>
    <x v="274"/>
    <x v="4"/>
    <s v="Fava tendra"/>
    <n v="0"/>
    <n v="0"/>
    <n v="0"/>
    <n v="0"/>
    <n v="1"/>
    <n v="0"/>
    <n v="0"/>
    <n v="1"/>
  </r>
  <r>
    <x v="274"/>
    <x v="274"/>
    <x v="2"/>
    <s v="Mongeta seca"/>
    <n v="0"/>
    <n v="0"/>
    <n v="0"/>
    <n v="0"/>
    <n v="1"/>
    <n v="0"/>
    <n v="0"/>
    <n v="1"/>
  </r>
  <r>
    <x v="274"/>
    <x v="274"/>
    <x v="6"/>
    <s v="Patata d'estació mitjana"/>
    <n v="1"/>
    <n v="0"/>
    <n v="0"/>
    <n v="1"/>
    <n v="0"/>
    <n v="0"/>
    <n v="0"/>
    <n v="0"/>
  </r>
  <r>
    <x v="275"/>
    <x v="275"/>
    <x v="4"/>
    <s v="Col de cabdell"/>
    <n v="0"/>
    <n v="0"/>
    <n v="0"/>
    <n v="0"/>
    <n v="1"/>
    <n v="0"/>
    <n v="0"/>
    <n v="1"/>
  </r>
  <r>
    <x v="275"/>
    <x v="275"/>
    <x v="4"/>
    <s v="Enciam"/>
    <n v="0"/>
    <n v="0"/>
    <n v="0"/>
    <n v="0"/>
    <n v="2"/>
    <n v="0"/>
    <n v="0"/>
    <n v="2"/>
  </r>
  <r>
    <x v="275"/>
    <x v="275"/>
    <x v="4"/>
    <s v="Espinac"/>
    <n v="0"/>
    <n v="0"/>
    <n v="0"/>
    <n v="0"/>
    <n v="1"/>
    <n v="0"/>
    <n v="0"/>
    <n v="1"/>
  </r>
  <r>
    <x v="275"/>
    <x v="275"/>
    <x v="4"/>
    <s v="Bleda"/>
    <n v="0"/>
    <n v="0"/>
    <n v="0"/>
    <n v="0"/>
    <n v="2"/>
    <n v="0"/>
    <n v="0"/>
    <n v="2"/>
  </r>
  <r>
    <x v="275"/>
    <x v="275"/>
    <x v="4"/>
    <s v="Carbassa"/>
    <n v="0"/>
    <n v="0"/>
    <n v="0"/>
    <n v="0"/>
    <n v="1"/>
    <n v="0"/>
    <n v="0"/>
    <n v="1"/>
  </r>
  <r>
    <x v="275"/>
    <x v="275"/>
    <x v="4"/>
    <s v="Tomàquet"/>
    <n v="0"/>
    <n v="0"/>
    <n v="0"/>
    <n v="0"/>
    <n v="1"/>
    <n v="0"/>
    <n v="0"/>
    <n v="1"/>
  </r>
  <r>
    <x v="275"/>
    <x v="275"/>
    <x v="4"/>
    <s v="Carxofa"/>
    <n v="0"/>
    <n v="0"/>
    <n v="0"/>
    <n v="0"/>
    <n v="2"/>
    <n v="0"/>
    <n v="0"/>
    <n v="2"/>
  </r>
  <r>
    <x v="275"/>
    <x v="275"/>
    <x v="4"/>
    <s v="Ceba"/>
    <n v="0"/>
    <n v="0"/>
    <n v="0"/>
    <n v="0"/>
    <n v="3"/>
    <n v="0"/>
    <n v="0"/>
    <n v="3"/>
  </r>
  <r>
    <x v="275"/>
    <x v="275"/>
    <x v="4"/>
    <s v="Fava tendra"/>
    <n v="0"/>
    <n v="0"/>
    <n v="0"/>
    <n v="0"/>
    <n v="2"/>
    <n v="0"/>
    <n v="0"/>
    <n v="2"/>
  </r>
  <r>
    <x v="275"/>
    <x v="275"/>
    <x v="4"/>
    <s v="Carbassó"/>
    <n v="0"/>
    <n v="0"/>
    <n v="0"/>
    <n v="0"/>
    <n v="1"/>
    <n v="0"/>
    <n v="0"/>
    <n v="1"/>
  </r>
  <r>
    <x v="276"/>
    <x v="276"/>
    <x v="0"/>
    <s v="Ordi"/>
    <n v="10"/>
    <n v="0"/>
    <n v="0"/>
    <n v="10"/>
    <n v="0"/>
    <n v="0"/>
    <n v="0"/>
    <n v="0"/>
  </r>
  <r>
    <x v="276"/>
    <x v="276"/>
    <x v="5"/>
    <s v="Altres flors"/>
    <n v="2"/>
    <n v="0"/>
    <n v="0"/>
    <n v="2"/>
    <n v="0"/>
    <n v="0"/>
    <n v="0"/>
    <n v="0"/>
  </r>
  <r>
    <x v="276"/>
    <x v="276"/>
    <x v="4"/>
    <s v="Enciam"/>
    <n v="0"/>
    <n v="0"/>
    <n v="0"/>
    <n v="0"/>
    <n v="1"/>
    <n v="0"/>
    <n v="0"/>
    <n v="1"/>
  </r>
  <r>
    <x v="276"/>
    <x v="276"/>
    <x v="4"/>
    <s v="Tomàquet"/>
    <n v="0"/>
    <n v="0"/>
    <n v="0"/>
    <n v="0"/>
    <n v="1"/>
    <n v="0"/>
    <n v="0"/>
    <n v="1"/>
  </r>
  <r>
    <x v="276"/>
    <x v="276"/>
    <x v="4"/>
    <s v="Mongeta tendra"/>
    <n v="0"/>
    <n v="0"/>
    <n v="0"/>
    <n v="0"/>
    <n v="1"/>
    <n v="0"/>
    <n v="0"/>
    <n v="1"/>
  </r>
  <r>
    <x v="277"/>
    <x v="277"/>
    <x v="0"/>
    <s v="Blat tou"/>
    <n v="9"/>
    <n v="0"/>
    <n v="0"/>
    <n v="9"/>
    <n v="0"/>
    <n v="0"/>
    <n v="0"/>
    <n v="0"/>
  </r>
  <r>
    <x v="277"/>
    <x v="277"/>
    <x v="0"/>
    <s v="Ordi"/>
    <n v="70"/>
    <n v="0"/>
    <n v="0"/>
    <n v="70"/>
    <n v="0"/>
    <n v="0"/>
    <n v="0"/>
    <n v="0"/>
  </r>
  <r>
    <x v="277"/>
    <x v="277"/>
    <x v="0"/>
    <s v="Civada"/>
    <n v="6"/>
    <n v="0"/>
    <n v="0"/>
    <n v="6"/>
    <n v="0"/>
    <n v="0"/>
    <n v="0"/>
    <n v="0"/>
  </r>
  <r>
    <x v="277"/>
    <x v="277"/>
    <x v="1"/>
    <s v="Cereals d'hivern per a farratge"/>
    <n v="6"/>
    <n v="0"/>
    <n v="0"/>
    <n v="6"/>
    <n v="0"/>
    <n v="0"/>
    <n v="0"/>
    <n v="0"/>
  </r>
  <r>
    <x v="277"/>
    <x v="277"/>
    <x v="1"/>
    <s v="Alfals"/>
    <n v="8"/>
    <n v="0"/>
    <n v="0"/>
    <n v="8"/>
    <n v="0"/>
    <n v="0"/>
    <n v="0"/>
    <n v="0"/>
  </r>
  <r>
    <x v="278"/>
    <x v="278"/>
    <x v="0"/>
    <s v="Ordi"/>
    <n v="2"/>
    <n v="0"/>
    <n v="0"/>
    <n v="2"/>
    <n v="0"/>
    <n v="0"/>
    <n v="0"/>
    <n v="0"/>
  </r>
  <r>
    <x v="278"/>
    <x v="278"/>
    <x v="0"/>
    <s v="Civada"/>
    <n v="4"/>
    <n v="0"/>
    <n v="0"/>
    <n v="4"/>
    <n v="0"/>
    <n v="0"/>
    <n v="0"/>
    <n v="0"/>
  </r>
  <r>
    <x v="278"/>
    <x v="278"/>
    <x v="1"/>
    <s v="Cereals d'hivern per a farratge"/>
    <n v="15"/>
    <n v="0"/>
    <n v="0"/>
    <n v="15"/>
    <n v="0"/>
    <n v="0"/>
    <n v="0"/>
    <n v="0"/>
  </r>
  <r>
    <x v="279"/>
    <x v="279"/>
    <x v="1"/>
    <s v="Alfals"/>
    <n v="3"/>
    <n v="0"/>
    <n v="0"/>
    <n v="3"/>
    <n v="0"/>
    <n v="0"/>
    <n v="0"/>
    <n v="0"/>
  </r>
  <r>
    <x v="279"/>
    <x v="279"/>
    <x v="1"/>
    <s v="Trepadella"/>
    <n v="1"/>
    <n v="0"/>
    <n v="0"/>
    <n v="1"/>
    <n v="0"/>
    <n v="0"/>
    <n v="0"/>
    <n v="0"/>
  </r>
  <r>
    <x v="279"/>
    <x v="279"/>
    <x v="1"/>
    <s v="Praderes polifites"/>
    <n v="7"/>
    <n v="0"/>
    <n v="0"/>
    <n v="7"/>
    <n v="0"/>
    <n v="0"/>
    <n v="0"/>
    <n v="0"/>
  </r>
  <r>
    <x v="280"/>
    <x v="280"/>
    <x v="0"/>
    <s v="Blat tou"/>
    <n v="1"/>
    <n v="0"/>
    <n v="0"/>
    <n v="1"/>
    <n v="0"/>
    <n v="0"/>
    <n v="0"/>
    <n v="0"/>
  </r>
  <r>
    <x v="280"/>
    <x v="280"/>
    <x v="0"/>
    <s v="Ordi"/>
    <n v="0"/>
    <n v="0"/>
    <n v="0"/>
    <n v="0"/>
    <n v="2"/>
    <n v="0"/>
    <n v="0"/>
    <n v="2"/>
  </r>
  <r>
    <x v="280"/>
    <x v="280"/>
    <x v="0"/>
    <s v="Civada"/>
    <n v="1"/>
    <n v="0"/>
    <n v="0"/>
    <n v="1"/>
    <n v="0"/>
    <n v="0"/>
    <n v="0"/>
    <n v="0"/>
  </r>
  <r>
    <x v="280"/>
    <x v="280"/>
    <x v="1"/>
    <s v="Cereals d'hivern per a farratge"/>
    <n v="8"/>
    <n v="0"/>
    <n v="0"/>
    <n v="8"/>
    <n v="0"/>
    <n v="0"/>
    <n v="0"/>
    <n v="0"/>
  </r>
  <r>
    <x v="280"/>
    <x v="280"/>
    <x v="1"/>
    <s v="Raigràs"/>
    <n v="3"/>
    <n v="0"/>
    <n v="0"/>
    <n v="3"/>
    <n v="0"/>
    <n v="0"/>
    <n v="0"/>
    <n v="0"/>
  </r>
  <r>
    <x v="280"/>
    <x v="280"/>
    <x v="1"/>
    <s v="Alfals"/>
    <n v="1"/>
    <n v="0"/>
    <n v="0"/>
    <n v="1"/>
    <n v="0"/>
    <n v="0"/>
    <n v="0"/>
    <n v="0"/>
  </r>
  <r>
    <x v="281"/>
    <x v="281"/>
    <x v="1"/>
    <s v="Cereals d'hivern per a farratge"/>
    <n v="0"/>
    <n v="0"/>
    <n v="0"/>
    <n v="0"/>
    <n v="1"/>
    <n v="0"/>
    <n v="0"/>
    <n v="1"/>
  </r>
  <r>
    <x v="281"/>
    <x v="281"/>
    <x v="1"/>
    <s v="Raigràs"/>
    <n v="1"/>
    <n v="0"/>
    <n v="0"/>
    <n v="1"/>
    <n v="0"/>
    <n v="0"/>
    <n v="0"/>
    <n v="0"/>
  </r>
  <r>
    <x v="281"/>
    <x v="281"/>
    <x v="1"/>
    <s v="Alfals"/>
    <n v="2"/>
    <n v="0"/>
    <n v="0"/>
    <n v="2"/>
    <n v="0"/>
    <n v="0"/>
    <n v="0"/>
    <n v="0"/>
  </r>
  <r>
    <x v="282"/>
    <x v="282"/>
    <x v="0"/>
    <s v="Blat tou"/>
    <n v="483"/>
    <n v="0"/>
    <n v="0"/>
    <n v="483"/>
    <n v="0"/>
    <n v="0"/>
    <n v="0"/>
    <n v="0"/>
  </r>
  <r>
    <x v="282"/>
    <x v="282"/>
    <x v="0"/>
    <s v="Ordi"/>
    <n v="788"/>
    <n v="0"/>
    <n v="0"/>
    <n v="788"/>
    <n v="0"/>
    <n v="0"/>
    <n v="0"/>
    <n v="0"/>
  </r>
  <r>
    <x v="282"/>
    <x v="282"/>
    <x v="0"/>
    <s v="Civada"/>
    <n v="10"/>
    <n v="0"/>
    <n v="0"/>
    <n v="10"/>
    <n v="0"/>
    <n v="0"/>
    <n v="0"/>
    <n v="0"/>
  </r>
  <r>
    <x v="282"/>
    <x v="282"/>
    <x v="0"/>
    <s v="Mill i melca"/>
    <n v="1"/>
    <n v="0"/>
    <n v="0"/>
    <n v="1"/>
    <n v="0"/>
    <n v="0"/>
    <n v="0"/>
    <n v="0"/>
  </r>
  <r>
    <x v="282"/>
    <x v="282"/>
    <x v="1"/>
    <s v="Cereals d'hivern per a farratge"/>
    <n v="41"/>
    <n v="0"/>
    <n v="0"/>
    <n v="41"/>
    <n v="0"/>
    <n v="0"/>
    <n v="0"/>
    <n v="0"/>
  </r>
  <r>
    <x v="282"/>
    <x v="282"/>
    <x v="1"/>
    <s v="Alfals"/>
    <n v="6"/>
    <n v="0"/>
    <n v="0"/>
    <n v="6"/>
    <n v="0"/>
    <n v="0"/>
    <n v="0"/>
    <n v="0"/>
  </r>
  <r>
    <x v="282"/>
    <x v="282"/>
    <x v="1"/>
    <s v="Trepadella"/>
    <n v="3"/>
    <n v="0"/>
    <n v="0"/>
    <n v="3"/>
    <n v="0"/>
    <n v="0"/>
    <n v="0"/>
    <n v="0"/>
  </r>
  <r>
    <x v="282"/>
    <x v="282"/>
    <x v="1"/>
    <s v="Associació Veça - Civada farratgeres"/>
    <n v="19"/>
    <n v="0"/>
    <n v="0"/>
    <n v="19"/>
    <n v="0"/>
    <n v="0"/>
    <n v="0"/>
    <n v="0"/>
  </r>
  <r>
    <x v="282"/>
    <x v="282"/>
    <x v="3"/>
    <s v="Colza"/>
    <n v="45"/>
    <n v="0"/>
    <n v="0"/>
    <n v="45"/>
    <n v="0"/>
    <n v="0"/>
    <n v="0"/>
    <n v="0"/>
  </r>
  <r>
    <x v="282"/>
    <x v="282"/>
    <x v="2"/>
    <s v="Cigró"/>
    <n v="8"/>
    <n v="0"/>
    <n v="0"/>
    <n v="8"/>
    <n v="0"/>
    <n v="0"/>
    <n v="0"/>
    <n v="0"/>
  </r>
  <r>
    <x v="282"/>
    <x v="282"/>
    <x v="2"/>
    <s v="Pèsol sec"/>
    <n v="88"/>
    <n v="0"/>
    <n v="0"/>
    <n v="88"/>
    <n v="0"/>
    <n v="0"/>
    <n v="0"/>
    <n v="0"/>
  </r>
  <r>
    <x v="282"/>
    <x v="282"/>
    <x v="2"/>
    <s v="Veça"/>
    <n v="27"/>
    <n v="0"/>
    <n v="0"/>
    <n v="27"/>
    <n v="0"/>
    <n v="0"/>
    <n v="0"/>
    <n v="0"/>
  </r>
  <r>
    <x v="282"/>
    <x v="282"/>
    <x v="2"/>
    <s v="Erbs"/>
    <n v="1"/>
    <n v="0"/>
    <n v="0"/>
    <n v="1"/>
    <n v="0"/>
    <n v="0"/>
    <n v="0"/>
    <n v="0"/>
  </r>
  <r>
    <x v="283"/>
    <x v="283"/>
    <x v="0"/>
    <s v="Blat tou"/>
    <n v="561"/>
    <n v="0"/>
    <n v="0"/>
    <n v="561"/>
    <n v="13"/>
    <n v="0"/>
    <n v="0"/>
    <n v="13"/>
  </r>
  <r>
    <x v="283"/>
    <x v="283"/>
    <x v="0"/>
    <s v="Ordi"/>
    <n v="292"/>
    <n v="0"/>
    <n v="0"/>
    <n v="292"/>
    <n v="6"/>
    <n v="0"/>
    <n v="0"/>
    <n v="6"/>
  </r>
  <r>
    <x v="283"/>
    <x v="283"/>
    <x v="0"/>
    <s v="Civada"/>
    <n v="5"/>
    <n v="0"/>
    <n v="0"/>
    <n v="5"/>
    <n v="0"/>
    <n v="0"/>
    <n v="0"/>
    <n v="0"/>
  </r>
  <r>
    <x v="283"/>
    <x v="283"/>
    <x v="0"/>
    <s v="Triticale"/>
    <n v="1"/>
    <n v="0"/>
    <n v="0"/>
    <n v="1"/>
    <n v="0"/>
    <n v="0"/>
    <n v="0"/>
    <n v="0"/>
  </r>
  <r>
    <x v="283"/>
    <x v="283"/>
    <x v="0"/>
    <s v="Blat de moro"/>
    <n v="9"/>
    <n v="0"/>
    <n v="0"/>
    <n v="9"/>
    <n v="0"/>
    <n v="0"/>
    <n v="0"/>
    <n v="0"/>
  </r>
  <r>
    <x v="283"/>
    <x v="283"/>
    <x v="1"/>
    <s v="Cereals d'hivern per a farratge"/>
    <n v="29"/>
    <n v="0"/>
    <n v="0"/>
    <n v="29"/>
    <n v="2"/>
    <n v="0"/>
    <n v="0"/>
    <n v="2"/>
  </r>
  <r>
    <x v="283"/>
    <x v="283"/>
    <x v="1"/>
    <s v="Blat de moro farratger"/>
    <n v="77"/>
    <n v="31"/>
    <n v="0"/>
    <n v="108"/>
    <n v="1"/>
    <n v="2"/>
    <n v="0"/>
    <n v="3"/>
  </r>
  <r>
    <x v="283"/>
    <x v="283"/>
    <x v="1"/>
    <s v="Sorgo farratger"/>
    <n v="20"/>
    <n v="71"/>
    <n v="0"/>
    <n v="91"/>
    <n v="0"/>
    <n v="4"/>
    <n v="0"/>
    <n v="4"/>
  </r>
  <r>
    <x v="283"/>
    <x v="283"/>
    <x v="1"/>
    <s v="Raigràs"/>
    <n v="102"/>
    <n v="0"/>
    <n v="0"/>
    <n v="102"/>
    <n v="1"/>
    <n v="0"/>
    <n v="0"/>
    <n v="1"/>
  </r>
  <r>
    <x v="283"/>
    <x v="283"/>
    <x v="1"/>
    <s v="Alfals"/>
    <n v="65"/>
    <n v="0"/>
    <n v="0"/>
    <n v="65"/>
    <n v="1"/>
    <n v="0"/>
    <n v="0"/>
    <n v="1"/>
  </r>
  <r>
    <x v="283"/>
    <x v="283"/>
    <x v="1"/>
    <s v="Praderes polifites"/>
    <n v="53"/>
    <n v="0"/>
    <n v="0"/>
    <n v="53"/>
    <n v="0"/>
    <n v="0"/>
    <n v="0"/>
    <n v="0"/>
  </r>
  <r>
    <x v="283"/>
    <x v="283"/>
    <x v="1"/>
    <s v="Festuca"/>
    <n v="5"/>
    <n v="0"/>
    <n v="0"/>
    <n v="5"/>
    <n v="0"/>
    <n v="0"/>
    <n v="0"/>
    <n v="0"/>
  </r>
  <r>
    <x v="283"/>
    <x v="283"/>
    <x v="3"/>
    <s v="Colza"/>
    <n v="36"/>
    <n v="0"/>
    <n v="0"/>
    <n v="36"/>
    <n v="0"/>
    <n v="0"/>
    <n v="0"/>
    <n v="0"/>
  </r>
  <r>
    <x v="283"/>
    <x v="283"/>
    <x v="2"/>
    <s v="Pèsol sec"/>
    <n v="12"/>
    <n v="0"/>
    <n v="0"/>
    <n v="12"/>
    <n v="0"/>
    <n v="0"/>
    <n v="0"/>
    <n v="0"/>
  </r>
  <r>
    <x v="283"/>
    <x v="283"/>
    <x v="2"/>
    <s v="Veça"/>
    <n v="21"/>
    <n v="0"/>
    <n v="0"/>
    <n v="21"/>
    <n v="0"/>
    <n v="0"/>
    <n v="0"/>
    <n v="0"/>
  </r>
  <r>
    <x v="283"/>
    <x v="283"/>
    <x v="6"/>
    <s v="Patata d'estació mitjana"/>
    <n v="3"/>
    <n v="0"/>
    <n v="0"/>
    <n v="3"/>
    <n v="0"/>
    <n v="0"/>
    <n v="0"/>
    <n v="0"/>
  </r>
  <r>
    <x v="284"/>
    <x v="284"/>
    <x v="0"/>
    <s v="Ordi"/>
    <n v="7"/>
    <n v="0"/>
    <n v="0"/>
    <n v="7"/>
    <n v="0"/>
    <n v="0"/>
    <n v="0"/>
    <n v="0"/>
  </r>
  <r>
    <x v="284"/>
    <x v="284"/>
    <x v="0"/>
    <s v="Triticale"/>
    <n v="2"/>
    <n v="0"/>
    <n v="0"/>
    <n v="2"/>
    <n v="0"/>
    <n v="0"/>
    <n v="0"/>
    <n v="0"/>
  </r>
  <r>
    <x v="284"/>
    <x v="284"/>
    <x v="1"/>
    <s v="Sorgo farratger"/>
    <n v="0"/>
    <n v="6"/>
    <n v="0"/>
    <n v="6"/>
    <n v="0"/>
    <n v="0"/>
    <n v="0"/>
    <n v="0"/>
  </r>
  <r>
    <x v="284"/>
    <x v="284"/>
    <x v="1"/>
    <s v="Raigràs"/>
    <n v="2"/>
    <n v="0"/>
    <n v="0"/>
    <n v="2"/>
    <n v="0"/>
    <n v="0"/>
    <n v="0"/>
    <n v="0"/>
  </r>
  <r>
    <x v="284"/>
    <x v="284"/>
    <x v="1"/>
    <s v="Praderes polifites"/>
    <n v="10"/>
    <n v="0"/>
    <n v="0"/>
    <n v="10"/>
    <n v="0"/>
    <n v="0"/>
    <n v="0"/>
    <n v="0"/>
  </r>
  <r>
    <x v="285"/>
    <x v="285"/>
    <x v="0"/>
    <s v="Ordi"/>
    <n v="2"/>
    <n v="0"/>
    <n v="0"/>
    <n v="2"/>
    <n v="5"/>
    <n v="0"/>
    <n v="0"/>
    <n v="5"/>
  </r>
  <r>
    <x v="285"/>
    <x v="285"/>
    <x v="0"/>
    <s v="Civada"/>
    <n v="0"/>
    <n v="0"/>
    <n v="0"/>
    <n v="0"/>
    <n v="11"/>
    <n v="0"/>
    <n v="0"/>
    <n v="11"/>
  </r>
  <r>
    <x v="285"/>
    <x v="285"/>
    <x v="1"/>
    <s v="Cereals d'hivern per a farratge"/>
    <n v="0"/>
    <n v="0"/>
    <n v="0"/>
    <n v="0"/>
    <n v="2"/>
    <n v="0"/>
    <n v="0"/>
    <n v="2"/>
  </r>
  <r>
    <x v="285"/>
    <x v="285"/>
    <x v="1"/>
    <s v="Raigràs"/>
    <n v="0"/>
    <n v="0"/>
    <n v="0"/>
    <n v="0"/>
    <n v="2"/>
    <n v="0"/>
    <n v="0"/>
    <n v="2"/>
  </r>
  <r>
    <x v="285"/>
    <x v="285"/>
    <x v="1"/>
    <s v="Alfals"/>
    <n v="0"/>
    <n v="0"/>
    <n v="0"/>
    <n v="0"/>
    <n v="2"/>
    <n v="0"/>
    <n v="0"/>
    <n v="2"/>
  </r>
  <r>
    <x v="285"/>
    <x v="285"/>
    <x v="1"/>
    <s v="Trepadella"/>
    <n v="2"/>
    <n v="0"/>
    <n v="0"/>
    <n v="2"/>
    <n v="0"/>
    <n v="0"/>
    <n v="0"/>
    <n v="0"/>
  </r>
  <r>
    <x v="285"/>
    <x v="285"/>
    <x v="4"/>
    <s v="Col de cabdell"/>
    <n v="0"/>
    <n v="0"/>
    <n v="0"/>
    <n v="0"/>
    <n v="13"/>
    <n v="0"/>
    <n v="0"/>
    <n v="13"/>
  </r>
  <r>
    <x v="285"/>
    <x v="285"/>
    <x v="4"/>
    <s v="Api"/>
    <n v="0"/>
    <n v="0"/>
    <n v="0"/>
    <n v="0"/>
    <n v="13"/>
    <n v="0"/>
    <n v="0"/>
    <n v="13"/>
  </r>
  <r>
    <x v="285"/>
    <x v="285"/>
    <x v="4"/>
    <s v="Enciam"/>
    <n v="0"/>
    <n v="0"/>
    <n v="0"/>
    <n v="0"/>
    <n v="14"/>
    <n v="0"/>
    <n v="0"/>
    <n v="14"/>
  </r>
  <r>
    <x v="285"/>
    <x v="285"/>
    <x v="4"/>
    <s v="Escarola"/>
    <n v="0"/>
    <n v="0"/>
    <n v="0"/>
    <n v="0"/>
    <n v="3"/>
    <n v="0"/>
    <n v="0"/>
    <n v="3"/>
  </r>
  <r>
    <x v="285"/>
    <x v="285"/>
    <x v="4"/>
    <s v="Espinac"/>
    <n v="0"/>
    <n v="0"/>
    <n v="0"/>
    <n v="0"/>
    <n v="6"/>
    <n v="0"/>
    <n v="0"/>
    <n v="6"/>
  </r>
  <r>
    <x v="285"/>
    <x v="285"/>
    <x v="4"/>
    <s v="Bleda"/>
    <n v="0"/>
    <n v="0"/>
    <n v="0"/>
    <n v="0"/>
    <n v="6"/>
    <n v="0"/>
    <n v="0"/>
    <n v="6"/>
  </r>
  <r>
    <x v="285"/>
    <x v="285"/>
    <x v="4"/>
    <s v="Meló"/>
    <n v="0"/>
    <n v="0"/>
    <n v="0"/>
    <n v="0"/>
    <n v="8"/>
    <n v="0"/>
    <n v="0"/>
    <n v="8"/>
  </r>
  <r>
    <x v="285"/>
    <x v="285"/>
    <x v="4"/>
    <s v="Carbassa"/>
    <n v="0"/>
    <n v="0"/>
    <n v="0"/>
    <n v="0"/>
    <n v="6"/>
    <n v="0"/>
    <n v="0"/>
    <n v="6"/>
  </r>
  <r>
    <x v="285"/>
    <x v="285"/>
    <x v="4"/>
    <s v="Cogombre"/>
    <n v="0"/>
    <n v="0"/>
    <n v="0"/>
    <n v="0"/>
    <n v="10"/>
    <n v="0"/>
    <n v="0"/>
    <n v="10"/>
  </r>
  <r>
    <x v="285"/>
    <x v="285"/>
    <x v="4"/>
    <s v="Tomàquet"/>
    <n v="0"/>
    <n v="0"/>
    <n v="0"/>
    <n v="0"/>
    <n v="6"/>
    <n v="0"/>
    <n v="0"/>
    <n v="6"/>
  </r>
  <r>
    <x v="285"/>
    <x v="285"/>
    <x v="4"/>
    <s v="Pebrot"/>
    <n v="0"/>
    <n v="0"/>
    <n v="0"/>
    <n v="0"/>
    <n v="8"/>
    <n v="0"/>
    <n v="0"/>
    <n v="8"/>
  </r>
  <r>
    <x v="285"/>
    <x v="285"/>
    <x v="4"/>
    <s v="Carxofa"/>
    <n v="0"/>
    <n v="0"/>
    <n v="0"/>
    <n v="0"/>
    <n v="34"/>
    <n v="0"/>
    <n v="0"/>
    <n v="34"/>
  </r>
  <r>
    <x v="285"/>
    <x v="285"/>
    <x v="4"/>
    <s v="All"/>
    <n v="0"/>
    <n v="0"/>
    <n v="0"/>
    <n v="0"/>
    <n v="2"/>
    <n v="0"/>
    <n v="0"/>
    <n v="2"/>
  </r>
  <r>
    <x v="285"/>
    <x v="285"/>
    <x v="4"/>
    <s v="Ceba"/>
    <n v="0"/>
    <n v="0"/>
    <n v="0"/>
    <n v="0"/>
    <n v="14"/>
    <n v="0"/>
    <n v="0"/>
    <n v="14"/>
  </r>
  <r>
    <x v="285"/>
    <x v="285"/>
    <x v="4"/>
    <s v="Porro"/>
    <n v="0"/>
    <n v="0"/>
    <n v="0"/>
    <n v="0"/>
    <n v="6"/>
    <n v="0"/>
    <n v="0"/>
    <n v="6"/>
  </r>
  <r>
    <x v="285"/>
    <x v="285"/>
    <x v="4"/>
    <s v="Mongeta tendra"/>
    <n v="0"/>
    <n v="0"/>
    <n v="0"/>
    <n v="0"/>
    <n v="4"/>
    <n v="0"/>
    <n v="0"/>
    <n v="4"/>
  </r>
  <r>
    <x v="285"/>
    <x v="285"/>
    <x v="4"/>
    <s v="Fava tendra"/>
    <n v="0"/>
    <n v="0"/>
    <n v="0"/>
    <n v="0"/>
    <n v="24"/>
    <n v="0"/>
    <n v="0"/>
    <n v="24"/>
  </r>
  <r>
    <x v="285"/>
    <x v="285"/>
    <x v="4"/>
    <s v="Altres Hortalisses"/>
    <n v="0"/>
    <n v="0"/>
    <n v="0"/>
    <n v="0"/>
    <n v="3"/>
    <n v="0"/>
    <n v="0"/>
    <n v="3"/>
  </r>
  <r>
    <x v="285"/>
    <x v="285"/>
    <x v="4"/>
    <s v="Carbassó"/>
    <n v="0"/>
    <n v="0"/>
    <n v="0"/>
    <n v="0"/>
    <n v="8"/>
    <n v="0"/>
    <n v="0"/>
    <n v="8"/>
  </r>
  <r>
    <x v="286"/>
    <x v="286"/>
    <x v="0"/>
    <s v="Ordi"/>
    <n v="11"/>
    <n v="0"/>
    <n v="0"/>
    <n v="11"/>
    <n v="0"/>
    <n v="0"/>
    <n v="0"/>
    <n v="0"/>
  </r>
  <r>
    <x v="286"/>
    <x v="286"/>
    <x v="0"/>
    <s v="Civada"/>
    <n v="2"/>
    <n v="0"/>
    <n v="0"/>
    <n v="2"/>
    <n v="0"/>
    <n v="0"/>
    <n v="0"/>
    <n v="0"/>
  </r>
  <r>
    <x v="286"/>
    <x v="286"/>
    <x v="1"/>
    <s v="Cereals d'hivern per a farratge"/>
    <n v="2"/>
    <n v="0"/>
    <n v="0"/>
    <n v="2"/>
    <n v="0"/>
    <n v="0"/>
    <n v="0"/>
    <n v="0"/>
  </r>
  <r>
    <x v="287"/>
    <x v="287"/>
    <x v="0"/>
    <s v="Blat tou"/>
    <n v="11"/>
    <n v="0"/>
    <n v="0"/>
    <n v="11"/>
    <n v="0"/>
    <n v="0"/>
    <n v="0"/>
    <n v="0"/>
  </r>
  <r>
    <x v="287"/>
    <x v="287"/>
    <x v="0"/>
    <s v="Ordi"/>
    <n v="66"/>
    <n v="0"/>
    <n v="0"/>
    <n v="66"/>
    <n v="1"/>
    <n v="0"/>
    <n v="0"/>
    <n v="1"/>
  </r>
  <r>
    <x v="287"/>
    <x v="287"/>
    <x v="0"/>
    <s v="Civada"/>
    <n v="29"/>
    <n v="0"/>
    <n v="0"/>
    <n v="29"/>
    <n v="1"/>
    <n v="0"/>
    <n v="0"/>
    <n v="1"/>
  </r>
  <r>
    <x v="287"/>
    <x v="287"/>
    <x v="1"/>
    <s v="Alfals"/>
    <n v="9"/>
    <n v="0"/>
    <n v="0"/>
    <n v="9"/>
    <n v="0"/>
    <n v="0"/>
    <n v="0"/>
    <n v="0"/>
  </r>
  <r>
    <x v="287"/>
    <x v="287"/>
    <x v="1"/>
    <s v="Trepadella"/>
    <n v="18"/>
    <n v="0"/>
    <n v="0"/>
    <n v="18"/>
    <n v="0"/>
    <n v="0"/>
    <n v="0"/>
    <n v="0"/>
  </r>
  <r>
    <x v="287"/>
    <x v="287"/>
    <x v="1"/>
    <s v="Associació Veça - Civada farratgeres"/>
    <n v="2"/>
    <n v="0"/>
    <n v="0"/>
    <n v="2"/>
    <n v="0"/>
    <n v="0"/>
    <n v="0"/>
    <n v="0"/>
  </r>
  <r>
    <x v="287"/>
    <x v="287"/>
    <x v="4"/>
    <s v="Enciam"/>
    <n v="0"/>
    <n v="0"/>
    <n v="0"/>
    <n v="0"/>
    <n v="1"/>
    <n v="0"/>
    <n v="0"/>
    <n v="1"/>
  </r>
  <r>
    <x v="287"/>
    <x v="287"/>
    <x v="4"/>
    <s v="Carbassa"/>
    <n v="2"/>
    <n v="0"/>
    <n v="0"/>
    <n v="2"/>
    <n v="0"/>
    <n v="0"/>
    <n v="0"/>
    <n v="0"/>
  </r>
  <r>
    <x v="287"/>
    <x v="287"/>
    <x v="4"/>
    <s v="Tomàquet"/>
    <n v="4"/>
    <n v="0"/>
    <n v="0"/>
    <n v="4"/>
    <n v="1"/>
    <n v="0"/>
    <n v="0"/>
    <n v="1"/>
  </r>
  <r>
    <x v="287"/>
    <x v="287"/>
    <x v="4"/>
    <s v="Ceba"/>
    <n v="2"/>
    <n v="0"/>
    <n v="0"/>
    <n v="2"/>
    <n v="1"/>
    <n v="0"/>
    <n v="0"/>
    <n v="1"/>
  </r>
  <r>
    <x v="287"/>
    <x v="287"/>
    <x v="2"/>
    <s v="Veça"/>
    <n v="7"/>
    <n v="0"/>
    <n v="0"/>
    <n v="7"/>
    <n v="0"/>
    <n v="0"/>
    <n v="0"/>
    <n v="0"/>
  </r>
  <r>
    <x v="287"/>
    <x v="287"/>
    <x v="6"/>
    <s v="Patata d'estació mitjana"/>
    <n v="2"/>
    <n v="0"/>
    <n v="0"/>
    <n v="2"/>
    <n v="0"/>
    <n v="0"/>
    <n v="0"/>
    <n v="0"/>
  </r>
  <r>
    <x v="288"/>
    <x v="288"/>
    <x v="0"/>
    <s v="Blat tou"/>
    <n v="4"/>
    <n v="0"/>
    <n v="0"/>
    <n v="4"/>
    <n v="0"/>
    <n v="0"/>
    <n v="0"/>
    <n v="0"/>
  </r>
  <r>
    <x v="288"/>
    <x v="288"/>
    <x v="0"/>
    <s v="Ordi"/>
    <n v="11"/>
    <n v="0"/>
    <n v="0"/>
    <n v="11"/>
    <n v="2"/>
    <n v="0"/>
    <n v="0"/>
    <n v="2"/>
  </r>
  <r>
    <x v="288"/>
    <x v="288"/>
    <x v="0"/>
    <s v="Civada"/>
    <n v="1"/>
    <n v="0"/>
    <n v="0"/>
    <n v="1"/>
    <n v="0"/>
    <n v="0"/>
    <n v="0"/>
    <n v="0"/>
  </r>
  <r>
    <x v="288"/>
    <x v="288"/>
    <x v="1"/>
    <s v="Cereals d'hivern per a farratge"/>
    <n v="6"/>
    <n v="0"/>
    <n v="0"/>
    <n v="6"/>
    <n v="0"/>
    <n v="0"/>
    <n v="0"/>
    <n v="0"/>
  </r>
  <r>
    <x v="288"/>
    <x v="288"/>
    <x v="1"/>
    <s v="Raigràs"/>
    <n v="5"/>
    <n v="0"/>
    <n v="0"/>
    <n v="5"/>
    <n v="0"/>
    <n v="0"/>
    <n v="0"/>
    <n v="0"/>
  </r>
  <r>
    <x v="289"/>
    <x v="289"/>
    <x v="0"/>
    <s v="Blat tou"/>
    <n v="13"/>
    <n v="0"/>
    <n v="0"/>
    <n v="13"/>
    <n v="0"/>
    <n v="0"/>
    <n v="0"/>
    <n v="0"/>
  </r>
  <r>
    <x v="289"/>
    <x v="289"/>
    <x v="0"/>
    <s v="Ordi"/>
    <n v="5"/>
    <n v="0"/>
    <n v="0"/>
    <n v="5"/>
    <n v="0"/>
    <n v="0"/>
    <n v="0"/>
    <n v="0"/>
  </r>
  <r>
    <x v="289"/>
    <x v="289"/>
    <x v="0"/>
    <s v="Civada"/>
    <n v="1"/>
    <n v="0"/>
    <n v="0"/>
    <n v="1"/>
    <n v="0"/>
    <n v="0"/>
    <n v="0"/>
    <n v="0"/>
  </r>
  <r>
    <x v="289"/>
    <x v="289"/>
    <x v="1"/>
    <s v="Cereals d'hivern per a farratge"/>
    <n v="3"/>
    <n v="0"/>
    <n v="0"/>
    <n v="3"/>
    <n v="0"/>
    <n v="0"/>
    <n v="0"/>
    <n v="0"/>
  </r>
  <r>
    <x v="289"/>
    <x v="289"/>
    <x v="1"/>
    <s v="Raigràs"/>
    <n v="13"/>
    <n v="0"/>
    <n v="0"/>
    <n v="13"/>
    <n v="5"/>
    <n v="0"/>
    <n v="0"/>
    <n v="5"/>
  </r>
  <r>
    <x v="289"/>
    <x v="289"/>
    <x v="1"/>
    <s v="Alfals"/>
    <n v="6"/>
    <n v="0"/>
    <n v="0"/>
    <n v="6"/>
    <n v="0"/>
    <n v="0"/>
    <n v="0"/>
    <n v="0"/>
  </r>
  <r>
    <x v="289"/>
    <x v="289"/>
    <x v="1"/>
    <s v="Praderes polifites"/>
    <n v="33"/>
    <n v="0"/>
    <n v="0"/>
    <n v="33"/>
    <n v="0"/>
    <n v="0"/>
    <n v="0"/>
    <n v="0"/>
  </r>
  <r>
    <x v="289"/>
    <x v="289"/>
    <x v="1"/>
    <s v="Associació Veça - Civada farratgeres"/>
    <n v="3"/>
    <n v="0"/>
    <n v="0"/>
    <n v="3"/>
    <n v="0"/>
    <n v="0"/>
    <n v="0"/>
    <n v="0"/>
  </r>
  <r>
    <x v="290"/>
    <x v="290"/>
    <x v="0"/>
    <s v="Blat tou"/>
    <n v="38"/>
    <n v="0"/>
    <n v="0"/>
    <n v="38"/>
    <n v="0"/>
    <n v="0"/>
    <n v="0"/>
    <n v="0"/>
  </r>
  <r>
    <x v="290"/>
    <x v="290"/>
    <x v="0"/>
    <s v="Ordi"/>
    <n v="137"/>
    <n v="0"/>
    <n v="0"/>
    <n v="137"/>
    <n v="0"/>
    <n v="0"/>
    <n v="0"/>
    <n v="0"/>
  </r>
  <r>
    <x v="290"/>
    <x v="290"/>
    <x v="0"/>
    <s v="Civada"/>
    <n v="5"/>
    <n v="0"/>
    <n v="0"/>
    <n v="5"/>
    <n v="0"/>
    <n v="0"/>
    <n v="0"/>
    <n v="0"/>
  </r>
  <r>
    <x v="290"/>
    <x v="290"/>
    <x v="1"/>
    <s v="Cereals d'hivern per a farratge"/>
    <n v="19"/>
    <n v="0"/>
    <n v="0"/>
    <n v="19"/>
    <n v="0"/>
    <n v="0"/>
    <n v="0"/>
    <n v="0"/>
  </r>
  <r>
    <x v="290"/>
    <x v="290"/>
    <x v="3"/>
    <s v="Colza"/>
    <n v="3"/>
    <n v="0"/>
    <n v="0"/>
    <n v="3"/>
    <n v="0"/>
    <n v="0"/>
    <n v="0"/>
    <n v="0"/>
  </r>
  <r>
    <x v="290"/>
    <x v="290"/>
    <x v="4"/>
    <s v="Espinac"/>
    <n v="0"/>
    <n v="0"/>
    <n v="0"/>
    <n v="0"/>
    <n v="1"/>
    <n v="0"/>
    <n v="0"/>
    <n v="1"/>
  </r>
  <r>
    <x v="290"/>
    <x v="290"/>
    <x v="2"/>
    <s v="Veça"/>
    <n v="3"/>
    <n v="0"/>
    <n v="0"/>
    <n v="3"/>
    <n v="0"/>
    <n v="0"/>
    <n v="0"/>
    <n v="0"/>
  </r>
  <r>
    <x v="291"/>
    <x v="291"/>
    <x v="0"/>
    <s v="Blat tou"/>
    <n v="25"/>
    <n v="0"/>
    <n v="0"/>
    <n v="25"/>
    <n v="7"/>
    <n v="0"/>
    <n v="0"/>
    <n v="7"/>
  </r>
  <r>
    <x v="291"/>
    <x v="291"/>
    <x v="0"/>
    <s v="Ordi"/>
    <n v="71"/>
    <n v="0"/>
    <n v="0"/>
    <n v="71"/>
    <n v="40"/>
    <n v="0"/>
    <n v="0"/>
    <n v="40"/>
  </r>
  <r>
    <x v="291"/>
    <x v="291"/>
    <x v="0"/>
    <s v="Civada"/>
    <n v="2"/>
    <n v="0"/>
    <n v="0"/>
    <n v="2"/>
    <n v="1"/>
    <n v="0"/>
    <n v="0"/>
    <n v="1"/>
  </r>
  <r>
    <x v="291"/>
    <x v="291"/>
    <x v="0"/>
    <s v="Blat de moro"/>
    <n v="0"/>
    <n v="0"/>
    <n v="0"/>
    <n v="0"/>
    <n v="1"/>
    <n v="0"/>
    <n v="0"/>
    <n v="1"/>
  </r>
  <r>
    <x v="291"/>
    <x v="291"/>
    <x v="1"/>
    <s v="Cereals d'hivern per a farratge"/>
    <n v="14"/>
    <n v="0"/>
    <n v="0"/>
    <n v="14"/>
    <n v="11"/>
    <n v="0"/>
    <n v="0"/>
    <n v="11"/>
  </r>
  <r>
    <x v="291"/>
    <x v="291"/>
    <x v="1"/>
    <s v="Blat de moro farratger"/>
    <n v="0"/>
    <n v="0"/>
    <n v="0"/>
    <n v="0"/>
    <n v="4"/>
    <n v="0"/>
    <n v="0"/>
    <n v="4"/>
  </r>
  <r>
    <x v="291"/>
    <x v="291"/>
    <x v="1"/>
    <s v="Raigràs"/>
    <n v="2"/>
    <n v="0"/>
    <n v="0"/>
    <n v="2"/>
    <n v="1"/>
    <n v="0"/>
    <n v="0"/>
    <n v="1"/>
  </r>
  <r>
    <x v="291"/>
    <x v="291"/>
    <x v="1"/>
    <s v="Alfals"/>
    <n v="11"/>
    <n v="0"/>
    <n v="0"/>
    <n v="11"/>
    <n v="6"/>
    <n v="0"/>
    <n v="0"/>
    <n v="6"/>
  </r>
  <r>
    <x v="291"/>
    <x v="291"/>
    <x v="3"/>
    <s v="Colza"/>
    <n v="3"/>
    <n v="0"/>
    <n v="0"/>
    <n v="3"/>
    <n v="0"/>
    <n v="0"/>
    <n v="0"/>
    <n v="0"/>
  </r>
  <r>
    <x v="291"/>
    <x v="291"/>
    <x v="4"/>
    <s v="Enciam"/>
    <n v="0"/>
    <n v="0"/>
    <n v="0"/>
    <n v="0"/>
    <n v="3"/>
    <n v="0"/>
    <n v="0"/>
    <n v="3"/>
  </r>
  <r>
    <x v="291"/>
    <x v="291"/>
    <x v="2"/>
    <s v="Mongeta seca"/>
    <n v="0"/>
    <n v="0"/>
    <n v="0"/>
    <n v="0"/>
    <n v="4"/>
    <n v="0"/>
    <n v="0"/>
    <n v="4"/>
  </r>
  <r>
    <x v="291"/>
    <x v="291"/>
    <x v="2"/>
    <s v="Fava seca"/>
    <n v="9"/>
    <n v="0"/>
    <n v="0"/>
    <n v="9"/>
    <n v="0"/>
    <n v="0"/>
    <n v="0"/>
    <n v="0"/>
  </r>
  <r>
    <x v="291"/>
    <x v="291"/>
    <x v="2"/>
    <s v="Favó"/>
    <n v="1"/>
    <n v="0"/>
    <n v="0"/>
    <n v="1"/>
    <n v="1"/>
    <n v="0"/>
    <n v="0"/>
    <n v="1"/>
  </r>
  <r>
    <x v="291"/>
    <x v="291"/>
    <x v="6"/>
    <s v="Patata d'estació mitjana"/>
    <n v="0"/>
    <n v="0"/>
    <n v="0"/>
    <n v="0"/>
    <n v="1"/>
    <n v="0"/>
    <n v="0"/>
    <n v="1"/>
  </r>
  <r>
    <x v="292"/>
    <x v="292"/>
    <x v="0"/>
    <s v="Blat tou"/>
    <n v="15"/>
    <n v="0"/>
    <n v="0"/>
    <n v="15"/>
    <n v="0"/>
    <n v="0"/>
    <n v="0"/>
    <n v="0"/>
  </r>
  <r>
    <x v="292"/>
    <x v="292"/>
    <x v="0"/>
    <s v="Ordi"/>
    <n v="76"/>
    <n v="0"/>
    <n v="0"/>
    <n v="76"/>
    <n v="0"/>
    <n v="0"/>
    <n v="0"/>
    <n v="0"/>
  </r>
  <r>
    <x v="292"/>
    <x v="292"/>
    <x v="0"/>
    <s v="Civada"/>
    <n v="12"/>
    <n v="0"/>
    <n v="0"/>
    <n v="12"/>
    <n v="0"/>
    <n v="0"/>
    <n v="0"/>
    <n v="0"/>
  </r>
  <r>
    <x v="292"/>
    <x v="292"/>
    <x v="1"/>
    <s v="Cereals d'hivern per a farratge"/>
    <n v="24"/>
    <n v="0"/>
    <n v="0"/>
    <n v="24"/>
    <n v="1"/>
    <n v="0"/>
    <n v="0"/>
    <n v="1"/>
  </r>
  <r>
    <x v="292"/>
    <x v="292"/>
    <x v="1"/>
    <s v="Trepadella"/>
    <n v="1"/>
    <n v="0"/>
    <n v="0"/>
    <n v="1"/>
    <n v="0"/>
    <n v="0"/>
    <n v="0"/>
    <n v="0"/>
  </r>
  <r>
    <x v="292"/>
    <x v="292"/>
    <x v="4"/>
    <s v="Col de cabdell"/>
    <n v="0"/>
    <n v="0"/>
    <n v="0"/>
    <n v="0"/>
    <n v="1"/>
    <n v="0"/>
    <n v="0"/>
    <n v="1"/>
  </r>
  <r>
    <x v="292"/>
    <x v="292"/>
    <x v="4"/>
    <s v="Enciam"/>
    <n v="0"/>
    <n v="0"/>
    <n v="0"/>
    <n v="0"/>
    <n v="3"/>
    <n v="0"/>
    <n v="0"/>
    <n v="3"/>
  </r>
  <r>
    <x v="292"/>
    <x v="292"/>
    <x v="4"/>
    <s v="Escarola"/>
    <n v="0"/>
    <n v="0"/>
    <n v="0"/>
    <n v="0"/>
    <n v="3"/>
    <n v="0"/>
    <n v="0"/>
    <n v="3"/>
  </r>
  <r>
    <x v="292"/>
    <x v="292"/>
    <x v="4"/>
    <s v="Espinac"/>
    <n v="0"/>
    <n v="0"/>
    <n v="0"/>
    <n v="0"/>
    <n v="3"/>
    <n v="0"/>
    <n v="0"/>
    <n v="3"/>
  </r>
  <r>
    <x v="292"/>
    <x v="292"/>
    <x v="4"/>
    <s v="Bleda"/>
    <n v="0"/>
    <n v="0"/>
    <n v="0"/>
    <n v="0"/>
    <n v="2"/>
    <n v="0"/>
    <n v="0"/>
    <n v="2"/>
  </r>
  <r>
    <x v="292"/>
    <x v="292"/>
    <x v="4"/>
    <s v="Síndria"/>
    <n v="0"/>
    <n v="0"/>
    <n v="0"/>
    <n v="0"/>
    <n v="2"/>
    <n v="0"/>
    <n v="0"/>
    <n v="2"/>
  </r>
  <r>
    <x v="292"/>
    <x v="292"/>
    <x v="4"/>
    <s v="Meló"/>
    <n v="0"/>
    <n v="0"/>
    <n v="0"/>
    <n v="0"/>
    <n v="3"/>
    <n v="0"/>
    <n v="0"/>
    <n v="3"/>
  </r>
  <r>
    <x v="292"/>
    <x v="292"/>
    <x v="4"/>
    <s v="Carbassa"/>
    <n v="1"/>
    <n v="0"/>
    <n v="0"/>
    <n v="1"/>
    <n v="1"/>
    <n v="0"/>
    <n v="0"/>
    <n v="1"/>
  </r>
  <r>
    <x v="292"/>
    <x v="292"/>
    <x v="4"/>
    <s v="Cogombre"/>
    <n v="0"/>
    <n v="0"/>
    <n v="0"/>
    <n v="0"/>
    <n v="3"/>
    <n v="0"/>
    <n v="0"/>
    <n v="3"/>
  </r>
  <r>
    <x v="292"/>
    <x v="292"/>
    <x v="4"/>
    <s v="Albergínia"/>
    <n v="0"/>
    <n v="0"/>
    <n v="0"/>
    <n v="0"/>
    <n v="3"/>
    <n v="0"/>
    <n v="0"/>
    <n v="3"/>
  </r>
  <r>
    <x v="292"/>
    <x v="292"/>
    <x v="4"/>
    <s v="Tomàquet"/>
    <n v="0"/>
    <n v="0"/>
    <n v="0"/>
    <n v="0"/>
    <n v="5"/>
    <n v="0"/>
    <n v="0"/>
    <n v="5"/>
  </r>
  <r>
    <x v="292"/>
    <x v="292"/>
    <x v="4"/>
    <s v="Pebrot"/>
    <n v="1"/>
    <n v="0"/>
    <n v="0"/>
    <n v="1"/>
    <n v="0"/>
    <n v="0"/>
    <n v="0"/>
    <n v="0"/>
  </r>
  <r>
    <x v="292"/>
    <x v="292"/>
    <x v="4"/>
    <s v="Carxofa"/>
    <n v="0"/>
    <n v="0"/>
    <n v="0"/>
    <n v="0"/>
    <n v="2"/>
    <n v="0"/>
    <n v="0"/>
    <n v="2"/>
  </r>
  <r>
    <x v="292"/>
    <x v="292"/>
    <x v="4"/>
    <s v="All"/>
    <n v="0"/>
    <n v="0"/>
    <n v="0"/>
    <n v="0"/>
    <n v="2"/>
    <n v="0"/>
    <n v="0"/>
    <n v="2"/>
  </r>
  <r>
    <x v="292"/>
    <x v="292"/>
    <x v="4"/>
    <s v="Ceba"/>
    <n v="0"/>
    <n v="0"/>
    <n v="0"/>
    <n v="0"/>
    <n v="2"/>
    <n v="0"/>
    <n v="0"/>
    <n v="2"/>
  </r>
  <r>
    <x v="292"/>
    <x v="292"/>
    <x v="4"/>
    <s v="Pastanaga"/>
    <n v="0"/>
    <n v="0"/>
    <n v="0"/>
    <n v="0"/>
    <n v="2"/>
    <n v="0"/>
    <n v="0"/>
    <n v="2"/>
  </r>
  <r>
    <x v="292"/>
    <x v="292"/>
    <x v="4"/>
    <s v="Mongeta tendra"/>
    <n v="0"/>
    <n v="0"/>
    <n v="0"/>
    <n v="0"/>
    <n v="1"/>
    <n v="0"/>
    <n v="0"/>
    <n v="1"/>
  </r>
  <r>
    <x v="292"/>
    <x v="292"/>
    <x v="4"/>
    <s v="Pèsol verd"/>
    <n v="0"/>
    <n v="0"/>
    <n v="0"/>
    <n v="0"/>
    <n v="1"/>
    <n v="0"/>
    <n v="0"/>
    <n v="1"/>
  </r>
  <r>
    <x v="292"/>
    <x v="292"/>
    <x v="4"/>
    <s v="Fava tendra"/>
    <n v="4"/>
    <n v="0"/>
    <n v="0"/>
    <n v="4"/>
    <n v="1"/>
    <n v="0"/>
    <n v="0"/>
    <n v="1"/>
  </r>
  <r>
    <x v="292"/>
    <x v="292"/>
    <x v="6"/>
    <s v="Patata d'estació mitjana"/>
    <n v="1"/>
    <n v="0"/>
    <n v="0"/>
    <n v="1"/>
    <n v="6"/>
    <n v="0"/>
    <n v="0"/>
    <n v="6"/>
  </r>
  <r>
    <x v="293"/>
    <x v="293"/>
    <x v="1"/>
    <s v="Cereals d'hivern per a farratge"/>
    <n v="2"/>
    <n v="0"/>
    <n v="0"/>
    <n v="2"/>
    <n v="0"/>
    <n v="0"/>
    <n v="0"/>
    <n v="0"/>
  </r>
  <r>
    <x v="293"/>
    <x v="293"/>
    <x v="5"/>
    <s v="Clavell"/>
    <n v="0"/>
    <n v="0"/>
    <n v="0"/>
    <n v="0"/>
    <n v="1"/>
    <n v="0"/>
    <n v="0"/>
    <n v="1"/>
  </r>
  <r>
    <x v="293"/>
    <x v="293"/>
    <x v="5"/>
    <s v="Altres flors"/>
    <n v="0"/>
    <n v="0"/>
    <n v="0"/>
    <n v="0"/>
    <n v="1"/>
    <n v="18"/>
    <n v="0"/>
    <n v="19"/>
  </r>
  <r>
    <x v="293"/>
    <x v="293"/>
    <x v="5"/>
    <s v="Plantes ornamentals"/>
    <n v="0"/>
    <n v="0"/>
    <n v="0"/>
    <n v="0"/>
    <n v="21"/>
    <n v="0"/>
    <n v="0"/>
    <n v="21"/>
  </r>
  <r>
    <x v="293"/>
    <x v="293"/>
    <x v="4"/>
    <s v="Col de cabdell"/>
    <n v="0"/>
    <n v="0"/>
    <n v="0"/>
    <n v="0"/>
    <n v="2"/>
    <n v="0"/>
    <n v="0"/>
    <n v="2"/>
  </r>
  <r>
    <x v="293"/>
    <x v="293"/>
    <x v="4"/>
    <s v="Api"/>
    <n v="0"/>
    <n v="0"/>
    <n v="0"/>
    <n v="0"/>
    <n v="2"/>
    <n v="0"/>
    <n v="0"/>
    <n v="2"/>
  </r>
  <r>
    <x v="293"/>
    <x v="293"/>
    <x v="4"/>
    <s v="Enciam"/>
    <n v="0"/>
    <n v="0"/>
    <n v="0"/>
    <n v="0"/>
    <n v="3"/>
    <n v="0"/>
    <n v="0"/>
    <n v="3"/>
  </r>
  <r>
    <x v="293"/>
    <x v="293"/>
    <x v="4"/>
    <s v="Escarola"/>
    <n v="0"/>
    <n v="0"/>
    <n v="0"/>
    <n v="0"/>
    <n v="0"/>
    <n v="1"/>
    <n v="0"/>
    <n v="1"/>
  </r>
  <r>
    <x v="293"/>
    <x v="293"/>
    <x v="4"/>
    <s v="Espinac"/>
    <n v="0"/>
    <n v="0"/>
    <n v="0"/>
    <n v="0"/>
    <n v="1"/>
    <n v="0"/>
    <n v="0"/>
    <n v="1"/>
  </r>
  <r>
    <x v="293"/>
    <x v="293"/>
    <x v="4"/>
    <s v="Bleda"/>
    <n v="0"/>
    <n v="0"/>
    <n v="0"/>
    <n v="0"/>
    <n v="1"/>
    <n v="1"/>
    <n v="0"/>
    <n v="2"/>
  </r>
  <r>
    <x v="293"/>
    <x v="293"/>
    <x v="4"/>
    <s v="Tomàquet"/>
    <n v="0"/>
    <n v="0"/>
    <n v="0"/>
    <n v="0"/>
    <n v="2"/>
    <n v="0"/>
    <n v="0"/>
    <n v="2"/>
  </r>
  <r>
    <x v="293"/>
    <x v="293"/>
    <x v="4"/>
    <s v="Coliflor"/>
    <n v="0"/>
    <n v="0"/>
    <n v="0"/>
    <n v="0"/>
    <n v="0"/>
    <n v="1"/>
    <n v="0"/>
    <n v="1"/>
  </r>
  <r>
    <x v="293"/>
    <x v="293"/>
    <x v="4"/>
    <s v="Mongeta tendra"/>
    <n v="0"/>
    <n v="0"/>
    <n v="0"/>
    <n v="0"/>
    <n v="2"/>
    <n v="1"/>
    <n v="0"/>
    <n v="3"/>
  </r>
  <r>
    <x v="293"/>
    <x v="293"/>
    <x v="4"/>
    <s v="Pèsol verd"/>
    <n v="0"/>
    <n v="0"/>
    <n v="0"/>
    <n v="0"/>
    <n v="0"/>
    <n v="1"/>
    <n v="0"/>
    <n v="1"/>
  </r>
  <r>
    <x v="293"/>
    <x v="293"/>
    <x v="4"/>
    <s v="Fava tendra"/>
    <n v="0"/>
    <n v="0"/>
    <n v="0"/>
    <n v="0"/>
    <n v="0"/>
    <n v="1"/>
    <n v="0"/>
    <n v="1"/>
  </r>
  <r>
    <x v="293"/>
    <x v="293"/>
    <x v="2"/>
    <s v="Mongeta seca"/>
    <n v="0"/>
    <n v="0"/>
    <n v="0"/>
    <n v="0"/>
    <n v="1"/>
    <n v="0"/>
    <n v="0"/>
    <n v="1"/>
  </r>
  <r>
    <x v="293"/>
    <x v="293"/>
    <x v="6"/>
    <s v="Patata primerenca"/>
    <n v="0"/>
    <n v="0"/>
    <n v="0"/>
    <n v="0"/>
    <n v="1"/>
    <n v="0"/>
    <n v="0"/>
    <n v="1"/>
  </r>
  <r>
    <x v="293"/>
    <x v="293"/>
    <x v="6"/>
    <s v="Patata tardana"/>
    <n v="0"/>
    <n v="0"/>
    <n v="0"/>
    <n v="0"/>
    <n v="0"/>
    <n v="1"/>
    <n v="0"/>
    <n v="1"/>
  </r>
  <r>
    <x v="294"/>
    <x v="294"/>
    <x v="5"/>
    <s v="Clavell"/>
    <n v="0"/>
    <n v="0"/>
    <n v="0"/>
    <n v="0"/>
    <n v="1"/>
    <n v="0"/>
    <n v="0"/>
    <n v="1"/>
  </r>
  <r>
    <x v="294"/>
    <x v="294"/>
    <x v="5"/>
    <s v="Rosa"/>
    <n v="0"/>
    <n v="0"/>
    <n v="0"/>
    <n v="0"/>
    <n v="1"/>
    <n v="0"/>
    <n v="0"/>
    <n v="1"/>
  </r>
  <r>
    <x v="294"/>
    <x v="294"/>
    <x v="5"/>
    <s v="Altres flors"/>
    <n v="0"/>
    <n v="0"/>
    <n v="0"/>
    <n v="0"/>
    <n v="16"/>
    <n v="0"/>
    <n v="0"/>
    <n v="16"/>
  </r>
  <r>
    <x v="294"/>
    <x v="294"/>
    <x v="5"/>
    <s v="Plantes ornamentals"/>
    <n v="0"/>
    <n v="0"/>
    <n v="0"/>
    <n v="0"/>
    <n v="53"/>
    <n v="38"/>
    <n v="0"/>
    <n v="91"/>
  </r>
  <r>
    <x v="294"/>
    <x v="294"/>
    <x v="4"/>
    <s v="Col de cabdell"/>
    <n v="0"/>
    <n v="0"/>
    <n v="0"/>
    <n v="0"/>
    <n v="2"/>
    <n v="2"/>
    <n v="0"/>
    <n v="4"/>
  </r>
  <r>
    <x v="294"/>
    <x v="294"/>
    <x v="4"/>
    <s v="Api"/>
    <n v="0"/>
    <n v="0"/>
    <n v="0"/>
    <n v="0"/>
    <n v="3"/>
    <n v="1"/>
    <n v="0"/>
    <n v="4"/>
  </r>
  <r>
    <x v="294"/>
    <x v="294"/>
    <x v="4"/>
    <s v="Enciam"/>
    <n v="0"/>
    <n v="0"/>
    <n v="0"/>
    <n v="0"/>
    <n v="3"/>
    <n v="1"/>
    <n v="0"/>
    <n v="4"/>
  </r>
  <r>
    <x v="294"/>
    <x v="294"/>
    <x v="4"/>
    <s v="Escarola"/>
    <n v="0"/>
    <n v="0"/>
    <n v="0"/>
    <n v="0"/>
    <n v="1"/>
    <n v="1"/>
    <n v="0"/>
    <n v="2"/>
  </r>
  <r>
    <x v="294"/>
    <x v="294"/>
    <x v="4"/>
    <s v="Espinac"/>
    <n v="0"/>
    <n v="0"/>
    <n v="0"/>
    <n v="0"/>
    <n v="2"/>
    <n v="0"/>
    <n v="0"/>
    <n v="2"/>
  </r>
  <r>
    <x v="294"/>
    <x v="294"/>
    <x v="4"/>
    <s v="Bleda"/>
    <n v="0"/>
    <n v="0"/>
    <n v="0"/>
    <n v="0"/>
    <n v="3"/>
    <n v="0"/>
    <n v="0"/>
    <n v="3"/>
  </r>
  <r>
    <x v="294"/>
    <x v="294"/>
    <x v="4"/>
    <s v="Síndria"/>
    <n v="0"/>
    <n v="0"/>
    <n v="0"/>
    <n v="0"/>
    <n v="1"/>
    <n v="0"/>
    <n v="0"/>
    <n v="1"/>
  </r>
  <r>
    <x v="294"/>
    <x v="294"/>
    <x v="4"/>
    <s v="Meló"/>
    <n v="0"/>
    <n v="0"/>
    <n v="0"/>
    <n v="0"/>
    <n v="1"/>
    <n v="0"/>
    <n v="0"/>
    <n v="1"/>
  </r>
  <r>
    <x v="294"/>
    <x v="294"/>
    <x v="4"/>
    <s v="Carbassa"/>
    <n v="0"/>
    <n v="0"/>
    <n v="0"/>
    <n v="0"/>
    <n v="1"/>
    <n v="0"/>
    <n v="0"/>
    <n v="1"/>
  </r>
  <r>
    <x v="294"/>
    <x v="294"/>
    <x v="4"/>
    <s v="Cogombre"/>
    <n v="0"/>
    <n v="0"/>
    <n v="0"/>
    <n v="0"/>
    <n v="2"/>
    <n v="2"/>
    <n v="0"/>
    <n v="4"/>
  </r>
  <r>
    <x v="294"/>
    <x v="294"/>
    <x v="4"/>
    <s v="Albergínia"/>
    <n v="0"/>
    <n v="0"/>
    <n v="0"/>
    <n v="0"/>
    <n v="0"/>
    <n v="1"/>
    <n v="0"/>
    <n v="1"/>
  </r>
  <r>
    <x v="294"/>
    <x v="294"/>
    <x v="4"/>
    <s v="Tomàquet"/>
    <n v="0"/>
    <n v="0"/>
    <n v="0"/>
    <n v="0"/>
    <n v="4"/>
    <n v="1"/>
    <n v="0"/>
    <n v="5"/>
  </r>
  <r>
    <x v="294"/>
    <x v="294"/>
    <x v="4"/>
    <s v="Pebrot"/>
    <n v="0"/>
    <n v="0"/>
    <n v="0"/>
    <n v="0"/>
    <n v="2"/>
    <n v="1"/>
    <n v="0"/>
    <n v="3"/>
  </r>
  <r>
    <x v="294"/>
    <x v="294"/>
    <x v="4"/>
    <s v="Carxofa"/>
    <n v="0"/>
    <n v="0"/>
    <n v="0"/>
    <n v="0"/>
    <n v="1"/>
    <n v="0"/>
    <n v="0"/>
    <n v="1"/>
  </r>
  <r>
    <x v="294"/>
    <x v="294"/>
    <x v="4"/>
    <s v="Coliflor"/>
    <n v="0"/>
    <n v="0"/>
    <n v="0"/>
    <n v="0"/>
    <n v="2"/>
    <n v="1"/>
    <n v="0"/>
    <n v="3"/>
  </r>
  <r>
    <x v="294"/>
    <x v="294"/>
    <x v="4"/>
    <s v="All"/>
    <n v="0"/>
    <n v="0"/>
    <n v="0"/>
    <n v="0"/>
    <n v="1"/>
    <n v="0"/>
    <n v="0"/>
    <n v="1"/>
  </r>
  <r>
    <x v="294"/>
    <x v="294"/>
    <x v="4"/>
    <s v="Ceba"/>
    <n v="0"/>
    <n v="0"/>
    <n v="0"/>
    <n v="0"/>
    <n v="1"/>
    <n v="1"/>
    <n v="0"/>
    <n v="2"/>
  </r>
  <r>
    <x v="294"/>
    <x v="294"/>
    <x v="4"/>
    <s v="Porro"/>
    <n v="0"/>
    <n v="0"/>
    <n v="0"/>
    <n v="0"/>
    <n v="2"/>
    <n v="1"/>
    <n v="0"/>
    <n v="3"/>
  </r>
  <r>
    <x v="294"/>
    <x v="294"/>
    <x v="4"/>
    <s v="Pastanaga"/>
    <n v="0"/>
    <n v="0"/>
    <n v="0"/>
    <n v="0"/>
    <n v="2"/>
    <n v="1"/>
    <n v="0"/>
    <n v="3"/>
  </r>
  <r>
    <x v="294"/>
    <x v="294"/>
    <x v="4"/>
    <s v="Rave"/>
    <n v="0"/>
    <n v="0"/>
    <n v="0"/>
    <n v="0"/>
    <n v="1"/>
    <n v="1"/>
    <n v="0"/>
    <n v="2"/>
  </r>
  <r>
    <x v="294"/>
    <x v="294"/>
    <x v="4"/>
    <s v="Nap i altres"/>
    <n v="0"/>
    <n v="0"/>
    <n v="0"/>
    <n v="0"/>
    <n v="1"/>
    <n v="0"/>
    <n v="0"/>
    <n v="1"/>
  </r>
  <r>
    <x v="294"/>
    <x v="294"/>
    <x v="4"/>
    <s v="Mongeta tendra"/>
    <n v="0"/>
    <n v="0"/>
    <n v="0"/>
    <n v="0"/>
    <n v="2"/>
    <n v="0"/>
    <n v="0"/>
    <n v="2"/>
  </r>
  <r>
    <x v="294"/>
    <x v="294"/>
    <x v="4"/>
    <s v="Pèsol verd"/>
    <n v="0"/>
    <n v="0"/>
    <n v="0"/>
    <n v="0"/>
    <n v="1"/>
    <n v="1"/>
    <n v="0"/>
    <n v="2"/>
  </r>
  <r>
    <x v="294"/>
    <x v="294"/>
    <x v="4"/>
    <s v="Fava tendra"/>
    <n v="0"/>
    <n v="0"/>
    <n v="0"/>
    <n v="0"/>
    <n v="1"/>
    <n v="1"/>
    <n v="0"/>
    <n v="2"/>
  </r>
  <r>
    <x v="294"/>
    <x v="294"/>
    <x v="4"/>
    <s v="Carbassó"/>
    <n v="0"/>
    <n v="0"/>
    <n v="0"/>
    <n v="0"/>
    <n v="0"/>
    <n v="2"/>
    <n v="0"/>
    <n v="2"/>
  </r>
  <r>
    <x v="294"/>
    <x v="294"/>
    <x v="2"/>
    <s v="Mongeta seca"/>
    <n v="0"/>
    <n v="0"/>
    <n v="0"/>
    <n v="0"/>
    <n v="1"/>
    <n v="0"/>
    <n v="0"/>
    <n v="1"/>
  </r>
  <r>
    <x v="294"/>
    <x v="294"/>
    <x v="6"/>
    <s v="Patata primerenca"/>
    <n v="0"/>
    <n v="0"/>
    <n v="0"/>
    <n v="0"/>
    <n v="3"/>
    <n v="0"/>
    <n v="0"/>
    <n v="3"/>
  </r>
  <r>
    <x v="294"/>
    <x v="294"/>
    <x v="6"/>
    <s v="Patata d'estació mitjana"/>
    <n v="0"/>
    <n v="0"/>
    <n v="0"/>
    <n v="0"/>
    <n v="1"/>
    <n v="1"/>
    <n v="0"/>
    <n v="2"/>
  </r>
  <r>
    <x v="294"/>
    <x v="294"/>
    <x v="6"/>
    <s v="Patata tardana"/>
    <n v="0"/>
    <n v="0"/>
    <n v="0"/>
    <n v="0"/>
    <n v="1"/>
    <n v="1"/>
    <n v="0"/>
    <n v="2"/>
  </r>
  <r>
    <x v="295"/>
    <x v="295"/>
    <x v="0"/>
    <s v="Blat tou"/>
    <n v="8"/>
    <n v="0"/>
    <n v="0"/>
    <n v="8"/>
    <n v="0"/>
    <n v="0"/>
    <n v="0"/>
    <n v="0"/>
  </r>
  <r>
    <x v="295"/>
    <x v="295"/>
    <x v="0"/>
    <s v="Ordi"/>
    <n v="14"/>
    <n v="0"/>
    <n v="0"/>
    <n v="14"/>
    <n v="0"/>
    <n v="0"/>
    <n v="0"/>
    <n v="0"/>
  </r>
  <r>
    <x v="295"/>
    <x v="295"/>
    <x v="0"/>
    <s v="Civada"/>
    <n v="5"/>
    <n v="0"/>
    <n v="0"/>
    <n v="5"/>
    <n v="1"/>
    <n v="0"/>
    <n v="0"/>
    <n v="1"/>
  </r>
  <r>
    <x v="295"/>
    <x v="295"/>
    <x v="1"/>
    <s v="Associació Veça - Civada farratgeres"/>
    <n v="13"/>
    <n v="0"/>
    <n v="0"/>
    <n v="13"/>
    <n v="0"/>
    <n v="0"/>
    <n v="0"/>
    <n v="0"/>
  </r>
  <r>
    <x v="295"/>
    <x v="295"/>
    <x v="4"/>
    <s v="Meló"/>
    <n v="1"/>
    <n v="0"/>
    <n v="0"/>
    <n v="1"/>
    <n v="0"/>
    <n v="0"/>
    <n v="0"/>
    <n v="0"/>
  </r>
  <r>
    <x v="295"/>
    <x v="295"/>
    <x v="4"/>
    <s v="Carbassa"/>
    <n v="0"/>
    <n v="1"/>
    <n v="0"/>
    <n v="1"/>
    <n v="0"/>
    <n v="0"/>
    <n v="0"/>
    <n v="0"/>
  </r>
  <r>
    <x v="295"/>
    <x v="295"/>
    <x v="4"/>
    <s v="Tomàquet"/>
    <n v="1"/>
    <n v="0"/>
    <n v="0"/>
    <n v="1"/>
    <n v="0"/>
    <n v="0"/>
    <n v="0"/>
    <n v="0"/>
  </r>
  <r>
    <x v="295"/>
    <x v="295"/>
    <x v="6"/>
    <s v="Patata tardana"/>
    <n v="1"/>
    <n v="0"/>
    <n v="0"/>
    <n v="1"/>
    <n v="0"/>
    <n v="0"/>
    <n v="0"/>
    <n v="0"/>
  </r>
  <r>
    <x v="296"/>
    <x v="296"/>
    <x v="0"/>
    <s v="Blat tou"/>
    <n v="238"/>
    <n v="0"/>
    <n v="0"/>
    <n v="238"/>
    <n v="0"/>
    <n v="0"/>
    <n v="0"/>
    <n v="0"/>
  </r>
  <r>
    <x v="296"/>
    <x v="296"/>
    <x v="0"/>
    <s v="Ordi"/>
    <n v="457"/>
    <n v="0"/>
    <n v="0"/>
    <n v="457"/>
    <n v="0"/>
    <n v="0"/>
    <n v="0"/>
    <n v="0"/>
  </r>
  <r>
    <x v="296"/>
    <x v="296"/>
    <x v="0"/>
    <s v="Civada"/>
    <n v="19"/>
    <n v="0"/>
    <n v="0"/>
    <n v="19"/>
    <n v="0"/>
    <n v="0"/>
    <n v="0"/>
    <n v="0"/>
  </r>
  <r>
    <x v="296"/>
    <x v="296"/>
    <x v="1"/>
    <s v="Cereals d'hivern per a farratge"/>
    <n v="19"/>
    <n v="0"/>
    <n v="0"/>
    <n v="19"/>
    <n v="0"/>
    <n v="0"/>
    <n v="0"/>
    <n v="0"/>
  </r>
  <r>
    <x v="296"/>
    <x v="296"/>
    <x v="1"/>
    <s v="Sorgo farratger"/>
    <n v="2"/>
    <n v="0"/>
    <n v="0"/>
    <n v="2"/>
    <n v="0"/>
    <n v="0"/>
    <n v="0"/>
    <n v="0"/>
  </r>
  <r>
    <x v="296"/>
    <x v="296"/>
    <x v="1"/>
    <s v="Raigràs"/>
    <n v="50"/>
    <n v="0"/>
    <n v="0"/>
    <n v="50"/>
    <n v="0"/>
    <n v="0"/>
    <n v="0"/>
    <n v="0"/>
  </r>
  <r>
    <x v="296"/>
    <x v="296"/>
    <x v="1"/>
    <s v="Alfals"/>
    <n v="9"/>
    <n v="0"/>
    <n v="0"/>
    <n v="9"/>
    <n v="0"/>
    <n v="0"/>
    <n v="0"/>
    <n v="0"/>
  </r>
  <r>
    <x v="296"/>
    <x v="296"/>
    <x v="1"/>
    <s v="Trepadella"/>
    <n v="14"/>
    <n v="0"/>
    <n v="0"/>
    <n v="14"/>
    <n v="0"/>
    <n v="0"/>
    <n v="0"/>
    <n v="0"/>
  </r>
  <r>
    <x v="296"/>
    <x v="296"/>
    <x v="3"/>
    <s v="Colza"/>
    <n v="5"/>
    <n v="0"/>
    <n v="0"/>
    <n v="5"/>
    <n v="0"/>
    <n v="0"/>
    <n v="0"/>
    <n v="0"/>
  </r>
  <r>
    <x v="296"/>
    <x v="296"/>
    <x v="3"/>
    <s v="Lavanda"/>
    <n v="1"/>
    <n v="0"/>
    <n v="0"/>
    <n v="1"/>
    <n v="0"/>
    <n v="0"/>
    <n v="0"/>
    <n v="0"/>
  </r>
  <r>
    <x v="296"/>
    <x v="296"/>
    <x v="2"/>
    <s v="Fava seca"/>
    <n v="6"/>
    <n v="0"/>
    <n v="0"/>
    <n v="6"/>
    <n v="0"/>
    <n v="0"/>
    <n v="0"/>
    <n v="0"/>
  </r>
  <r>
    <x v="296"/>
    <x v="296"/>
    <x v="2"/>
    <s v="Pèsol sec"/>
    <n v="24"/>
    <n v="0"/>
    <n v="0"/>
    <n v="24"/>
    <n v="0"/>
    <n v="0"/>
    <n v="0"/>
    <n v="0"/>
  </r>
  <r>
    <x v="296"/>
    <x v="296"/>
    <x v="2"/>
    <s v="Favó"/>
    <n v="3"/>
    <n v="0"/>
    <n v="0"/>
    <n v="3"/>
    <n v="0"/>
    <n v="0"/>
    <n v="0"/>
    <n v="0"/>
  </r>
</pivotCacheRecords>
</file>

<file path=xl/pivotCache/pivotCacheRecords2.xml><?xml version="1.0" encoding="utf-8"?>
<pivotCacheRecords xmlns="http://schemas.openxmlformats.org/spreadsheetml/2006/main" xmlns:r="http://schemas.openxmlformats.org/officeDocument/2006/relationships" count="311">
  <r>
    <n v="8001"/>
    <s v="Abrera"/>
    <n v="9.2628056326483801"/>
    <n v="1.15175597054832"/>
    <n v="22.753559407038292"/>
    <n v="2.4393949999999998"/>
    <n v="1.682226"/>
    <n v="19.440036876899999"/>
    <s v=""/>
    <n v="54.34451137488319"/>
    <n v="3.1673289190078808"/>
    <n v="41.801508972083937"/>
    <n v="16.555124173246554"/>
    <n v="1.9295132219999998"/>
    <n v="22.041401953950015"/>
    <s v=""/>
    <n v="45.08170574223481"/>
    <n v="2.0155729484595608"/>
    <n v="19.047949565045645"/>
    <n v="14.115729173246555"/>
    <n v="0.24728722199999975"/>
    <n v="2.6013650770500156"/>
    <s v=""/>
    <n v="83.109609728036588"/>
    <n v="12216"/>
    <x v="0"/>
  </r>
  <r>
    <n v="8002"/>
    <s v="Aguilar de Segarra"/>
    <n v="0.19884425241180834"/>
    <n v="4.6887764114199815"/>
    <n v="0.37952098940896001"/>
    <n v="8.0194887499999989"/>
    <n v="2.0868119999999997"/>
    <n v="0"/>
    <s v=""/>
    <n v="1.0771299107973273"/>
    <n v="12.894135131404951"/>
    <n v="0.5489053456101376"/>
    <n v="35.300114478516711"/>
    <n v="2.3935733639999999"/>
    <n v="0"/>
    <s v=""/>
    <n v="0.87828565838551897"/>
    <n v="8.2053587199849698"/>
    <n v="0.16938435620117759"/>
    <n v="27.280625728516711"/>
    <n v="0.3067613640000002"/>
    <n v="0"/>
    <s v=""/>
    <n v="36.840415827088378"/>
    <n v="253"/>
    <x v="1"/>
  </r>
  <r>
    <n v="8003"/>
    <s v="Alella"/>
    <n v="18.691645245332928"/>
    <n v="0.12390445268681297"/>
    <n v="23.423590520720428"/>
    <n v="0.38972062500000004"/>
    <n v="1.2168E-2"/>
    <n v="0"/>
    <s v=""/>
    <n v="109.88994576479493"/>
    <n v="0.34073724488873569"/>
    <n v="43.032450958307663"/>
    <n v="6.1920894255235126"/>
    <n v="1.3956695999999998E-2"/>
    <n v="0"/>
    <s v=""/>
    <n v="91.198300519462009"/>
    <n v="0.21683279220192272"/>
    <n v="19.608860437587236"/>
    <n v="5.8023688005235128"/>
    <n v="1.7886959999999976E-3"/>
    <n v="0"/>
    <s v=""/>
    <n v="116.82815124577469"/>
    <n v="9632"/>
    <x v="0"/>
  </r>
  <r>
    <n v="8004"/>
    <s v="Alpens"/>
    <n v="1.8271500741289245E-2"/>
    <n v="0.12522764013712559"/>
    <n v="0.68025698759274678"/>
    <n v="1.0908899999999999"/>
    <n v="1.8373679999999997"/>
    <n v="0"/>
    <s v=""/>
    <n v="0.10719093139728403"/>
    <n v="0.34437601037709531"/>
    <n v="0.98386309927103177"/>
    <n v="5.1184526209147263"/>
    <n v="2.1074610959999993"/>
    <n v="0"/>
    <s v=""/>
    <n v="8.891943065599478E-2"/>
    <n v="0.21914837023996972"/>
    <n v="0.303606111678285"/>
    <n v="4.0275626209147264"/>
    <n v="0.27009309599999964"/>
    <n v="0"/>
    <s v=""/>
    <n v="4.9093296294889761"/>
    <n v="294"/>
    <x v="1"/>
  </r>
  <r>
    <n v="8005"/>
    <s v="l'Ametlla del Vallès"/>
    <n v="1.912770227560435"/>
    <n v="0.18710363482691855"/>
    <n v="23.798589138614723"/>
    <n v="2.5716706249999994"/>
    <n v="4.3470179999999994"/>
    <n v="4.818047084999999E-2"/>
    <s v=""/>
    <n v="10.724371264200965"/>
    <n v="0.51453499577402595"/>
    <n v="43.721376493429801"/>
    <n v="14.830545732767479"/>
    <n v="4.9860296459999986"/>
    <n v="5.5490573099999996E-2"/>
    <s v=""/>
    <n v="8.8116010366405302"/>
    <n v="0.3274313609471074"/>
    <n v="19.922787354815078"/>
    <n v="12.25887510776748"/>
    <n v="0.63901164599999927"/>
    <n v="7.3101022500000057E-3"/>
    <s v=""/>
    <n v="41.967016608420195"/>
    <n v="8337"/>
    <x v="0"/>
  </r>
  <r>
    <n v="8006"/>
    <s v="Arenys de Mar"/>
    <n v="41.236447803110792"/>
    <n v="8.1798394089779097E-2"/>
    <n v="26.935815879154241"/>
    <n v="0.50833125000000001"/>
    <n v="0.67836599999999991"/>
    <n v="0"/>
    <n v="47.33850000000001"/>
    <n v="243.83992365297098"/>
    <n v="0.22494558374689252"/>
    <n v="49.484906031650489"/>
    <n v="23.797888468074142"/>
    <n v="0.77808580199999988"/>
    <n v="0"/>
    <n v="54.635626244343889"/>
    <n v="202.60347584986019"/>
    <n v="0.14314718965711343"/>
    <n v="22.549090152496248"/>
    <n v="23.28955721807414"/>
    <n v="9.9719801999999969E-2"/>
    <n v="0"/>
    <n v="7.2971262443438789"/>
    <n v="255.98211645643156"/>
    <n v="15253"/>
    <x v="0"/>
  </r>
  <r>
    <n v="8007"/>
    <s v="Arenys de Munt"/>
    <n v="10.199389700256713"/>
    <n v="0.48837664143438608"/>
    <n v="17.656913791998296"/>
    <n v="0.90870437500000001"/>
    <n v="0.11559599999999999"/>
    <n v="0"/>
    <s v=""/>
    <n v="59.865217303903506"/>
    <n v="1.3430357639445616"/>
    <n v="32.438249642261212"/>
    <n v="9.5947048954924323"/>
    <n v="0.13258861199999999"/>
    <n v="0"/>
    <s v=""/>
    <n v="49.66582760364679"/>
    <n v="0.85465912251017551"/>
    <n v="14.781335850262916"/>
    <n v="8.6860005204924331"/>
    <n v="1.6992612000000004E-2"/>
    <n v="0"/>
    <s v=""/>
    <n v="74.004815708912304"/>
    <n v="8638"/>
    <x v="0"/>
  </r>
  <r>
    <n v="8008"/>
    <s v="Argençola"/>
    <n v="4.9857665112551894E-2"/>
    <n v="4.9172093167939694"/>
    <n v="0.18962557278645328"/>
    <n v="10.067559999999999"/>
    <n v="1.5301260000000001"/>
    <n v="0"/>
    <s v=""/>
    <n v="0.28503548356070613"/>
    <n v="13.522325621183418"/>
    <n v="0.27425753376372047"/>
    <n v="44.125741897309467"/>
    <n v="1.7550545219999998"/>
    <n v="0"/>
    <s v=""/>
    <n v="0.23517781844815422"/>
    <n v="8.6051163043894476"/>
    <n v="8.463196097726719E-2"/>
    <n v="34.058181897309467"/>
    <n v="0.22492852199999969"/>
    <n v="0"/>
    <s v=""/>
    <n v="43.208036503124333"/>
    <n v="227"/>
    <x v="1"/>
  </r>
  <r>
    <n v="8009"/>
    <s v="Argentona"/>
    <n v="16.13152542793976"/>
    <n v="0.56829769533194074"/>
    <n v="29.757437297449922"/>
    <n v="1.861111875"/>
    <n v="1.067742"/>
    <n v="0"/>
    <s v=""/>
    <n v="94.932086355851027"/>
    <n v="1.562818662162837"/>
    <n v="54.668623924870595"/>
    <n v="22.10276759255246"/>
    <n v="1.2247000739999998"/>
    <n v="18.49855333755"/>
    <s v=""/>
    <n v="78.800560927911263"/>
    <n v="0.9945209668308963"/>
    <n v="24.911186627420673"/>
    <n v="20.241655717552462"/>
    <n v="0.15695807399999984"/>
    <n v="18.49855333755"/>
    <s v=""/>
    <n v="143.6034356512653"/>
    <n v="12051"/>
    <x v="0"/>
  </r>
  <r>
    <n v="8010"/>
    <s v="Artés"/>
    <n v="4.5846851300552025"/>
    <n v="1.1726069926411364"/>
    <n v="9.6160150625809084"/>
    <n v="4.8017693750000001"/>
    <n v="9.9351719999999997"/>
    <n v="16.259473825499999"/>
    <s v=""/>
    <n v="22.414577425370485"/>
    <n v="3.2246692297631259"/>
    <n v="13.907747446427924"/>
    <n v="28.934269378362686"/>
    <n v="11.395642283999999"/>
    <n v="17.789906340000002"/>
    <s v=""/>
    <n v="17.829892295315283"/>
    <n v="2.0520622371219894"/>
    <n v="4.2917323838470161"/>
    <n v="24.132500003362686"/>
    <n v="1.4604702839999995"/>
    <n v="1.5304325145000028"/>
    <s v=""/>
    <n v="51.297089718146978"/>
    <n v="5596"/>
    <x v="0"/>
  </r>
  <r>
    <n v="8011"/>
    <s v="Avià"/>
    <n v="0.40704202265250022"/>
    <n v="1.0253901930797644"/>
    <n v="4.6936014287407994"/>
    <n v="9.0934343749999993"/>
    <n v="16.703621999999999"/>
    <n v="0.74382700034999982"/>
    <s v=""/>
    <n v="2.1588944473653884"/>
    <n v="2.8198230309693519"/>
    <n v="6.7884069295124467"/>
    <n v="44.659341686304053"/>
    <n v="19.159054433999998"/>
    <n v="1.3128524731499998"/>
    <s v=""/>
    <n v="1.7518524247128882"/>
    <n v="1.7944328378895875"/>
    <n v="2.0948055007716473"/>
    <n v="35.565907311304052"/>
    <n v="2.4554324339999987"/>
    <n v="0.56902547279999993"/>
    <s v=""/>
    <n v="44.23145598147817"/>
    <n v="2257"/>
    <x v="2"/>
  </r>
  <r>
    <n v="8012"/>
    <s v="Avinyó"/>
    <n v="3.1130153806615626"/>
    <n v="7.565792441252178"/>
    <n v="19.533033179358721"/>
    <n v="8.7593324999999993"/>
    <n v="18.112067999999997"/>
    <n v="3.2909929445999997"/>
    <s v=""/>
    <n v="16.664708477469535"/>
    <n v="20.805929213443491"/>
    <n v="28.25083889254072"/>
    <n v="40.149707144787442"/>
    <n v="20.774541996"/>
    <n v="4.0018050374999996"/>
    <s v=""/>
    <n v="13.551693096807973"/>
    <n v="13.240136772191313"/>
    <n v="8.717805713181999"/>
    <n v="31.390374644787443"/>
    <n v="2.6624739960000028"/>
    <n v="0.71081209289999991"/>
    <s v=""/>
    <n v="70.273296315868734"/>
    <n v="2212"/>
    <x v="2"/>
  </r>
  <r>
    <n v="8013"/>
    <s v="Avinyonet del Penedès"/>
    <n v="0.31272716184648752"/>
    <n v="1.5409891809060741"/>
    <n v="5.0003158086617594"/>
    <n v="0.46881874999999995"/>
    <n v="0.27378000000000002"/>
    <n v="0"/>
    <s v=""/>
    <n v="1.7994812825436464"/>
    <n v="4.237720247491704"/>
    <n v="9.1862878418210006"/>
    <n v="3.4069686306841889"/>
    <n v="0.31402566000000004"/>
    <n v="0"/>
    <s v=""/>
    <n v="1.4867541206971588"/>
    <n v="2.6967310665856301"/>
    <n v="4.1859720331592412"/>
    <n v="2.9381498806841888"/>
    <n v="4.0245660000000016E-2"/>
    <n v="0"/>
    <s v=""/>
    <n v="11.347852761126219"/>
    <n v="1665"/>
    <x v="2"/>
  </r>
  <r>
    <n v="8014"/>
    <s v="Aiguafreda"/>
    <n v="0.93636836483646313"/>
    <n v="0.2099583133481219"/>
    <n v="4.092122058581567"/>
    <n v="6.2408749999999992E-2"/>
    <n v="0.81153210033821199"/>
    <n v="24.626850923549995"/>
    <s v=""/>
    <n v="5.3956120122686553"/>
    <n v="0.57738536170733534"/>
    <n v="5.9184807573953737"/>
    <n v="0.99183809980485171"/>
    <n v="0.93082731908792904"/>
    <n v="31.474065674549998"/>
    <s v=""/>
    <n v="4.4592436474321921"/>
    <n v="0.36742704835921347"/>
    <n v="1.8263586988138067"/>
    <n v="0.9294293498048517"/>
    <n v="0.11929521874971705"/>
    <n v="6.8472147510000028"/>
    <s v=""/>
    <n v="14.548968714159784"/>
    <n v="2467"/>
    <x v="2"/>
  </r>
  <r>
    <n v="8015"/>
    <s v="Badalona"/>
    <n v="472.98007748131079"/>
    <n v="1.8405800536957413"/>
    <n v="420.49591193248386"/>
    <n v="5.7963125000000004E-2"/>
    <n v="3.042E-3"/>
    <n v="0"/>
    <n v="42.966678082191791"/>
    <n v="2785.7650078096626"/>
    <n v="5.0615951476632901"/>
    <n v="772.51050356249698"/>
    <n v="1.8441230800080941"/>
    <n v="3.4891739999999994E-3"/>
    <n v="0"/>
    <n v="49.58989753920536"/>
    <n v="2312.7849303283519"/>
    <n v="3.2210150939675488"/>
    <n v="352.01459163001311"/>
    <n v="1.786159955008094"/>
    <n v="4.471739999999994E-4"/>
    <n v="0"/>
    <n v="6.623219457013569"/>
    <n v="2676.4303636383543"/>
    <n v="215634"/>
    <x v="3"/>
  </r>
  <r>
    <n v="8016"/>
    <s v="Bagà"/>
    <n v="0.24836789865356143"/>
    <n v="3.2640353889822467"/>
    <n v="1.9609603314958932"/>
    <n v="0.83882562499999991"/>
    <n v="0.51409799999999994"/>
    <n v="3.2217106382999994"/>
    <s v=""/>
    <n v="1.3409204502047778"/>
    <n v="8.9760973197011786"/>
    <n v="2.8361583114646867"/>
    <n v="9.0972469868515144"/>
    <n v="0.58967040599999998"/>
    <n v="3.8987672497499997"/>
    <s v=""/>
    <n v="1.0925525515512164"/>
    <n v="5.7120619307189315"/>
    <n v="0.87519797996879345"/>
    <n v="8.2584213618515143"/>
    <n v="7.5572406000000036E-2"/>
    <n v="0.67705661145000029"/>
    <s v=""/>
    <n v="16.690862841540458"/>
    <n v="2162"/>
    <x v="2"/>
  </r>
  <r>
    <n v="8017"/>
    <s v="Balenyà"/>
    <n v="1.6755379104447492"/>
    <n v="9.4124589051904614E-2"/>
    <n v="4.9035578101048536"/>
    <n v="4.1150181249999997"/>
    <n v="12.490451999999998"/>
    <n v="0"/>
    <s v=""/>
    <n v="9.7982124850802048"/>
    <n v="0.25884261989273766"/>
    <n v="7.0920691334268247"/>
    <n v="22.967309691351389"/>
    <n v="14.326548443999998"/>
    <n v="0"/>
    <s v=""/>
    <n v="8.1226745746354556"/>
    <n v="0.16471803084083303"/>
    <n v="2.1885113233219711"/>
    <n v="18.85229156635139"/>
    <n v="1.8360964440000007"/>
    <n v="0"/>
    <s v=""/>
    <n v="31.164291939149649"/>
    <n v="3705"/>
    <x v="2"/>
  </r>
  <r>
    <n v="8018"/>
    <s v="Balsareny"/>
    <n v="4.1916645755416972"/>
    <n v="4.0793510870755032"/>
    <n v="6.4170982261956269"/>
    <n v="5.5141743749999996"/>
    <n v="13.016717999999999"/>
    <n v="28.7431269054"/>
    <s v=""/>
    <n v="22.159948662855971"/>
    <n v="11.218215489457636"/>
    <n v="9.2811191421840054"/>
    <n v="25.996171775406864"/>
    <n v="14.930175545999997"/>
    <n v="32.794375237800004"/>
    <s v=""/>
    <n v="17.968284087314274"/>
    <n v="7.1388644023821328"/>
    <n v="2.8640209159883785"/>
    <n v="20.481997400406865"/>
    <n v="1.9134575459999983"/>
    <n v="4.0512483324000037"/>
    <s v=""/>
    <n v="54.417872684491641"/>
    <n v="3285"/>
    <x v="2"/>
  </r>
  <r>
    <n v="8019"/>
    <s v="Barcelona"/>
    <n v="2157.6794509136507"/>
    <n v="4.45834561679019"/>
    <n v="4487.2156251274428"/>
    <n v="0.22027687500000001"/>
    <n v="2.1293999999999997E-2"/>
    <n v="5.1653674392000006"/>
    <n v="35.183076923076925"/>
    <n v="12769.206532382193"/>
    <n v="12.260450446173023"/>
    <n v="8243.6501849209053"/>
    <n v="26.348188537893314"/>
    <n v="2.4424217999999998E-2"/>
    <n v="61.131925794300003"/>
    <n v="40.606471284371743"/>
    <n v="10611.527081468543"/>
    <n v="7.8021048293828326"/>
    <n v="3756.4345597934625"/>
    <n v="26.127911662893315"/>
    <n v="3.1302180000000006E-3"/>
    <n v="55.966558355100005"/>
    <n v="5.4233943612948181"/>
    <n v="14463.284740688676"/>
    <n v="1608746"/>
    <x v="3"/>
  </r>
  <r>
    <n v="8020"/>
    <s v="Begues"/>
    <n v="1.4228700930934697"/>
    <n v="5.4524750216552365"/>
    <n v="17.6236459865552"/>
    <n v="0.59539749999999991"/>
    <n v="1.2168E-2"/>
    <n v="0"/>
    <s v=""/>
    <n v="8.357613749236501"/>
    <n v="14.994306309551902"/>
    <n v="32.377131975225751"/>
    <n v="3.2540093434897135"/>
    <n v="1.3956695999999998E-2"/>
    <n v="0"/>
    <s v=""/>
    <n v="6.9347436561430316"/>
    <n v="9.5418312878966667"/>
    <n v="14.753485988670551"/>
    <n v="2.6586118434897137"/>
    <n v="1.7886959999999976E-3"/>
    <n v="0"/>
    <s v=""/>
    <n v="33.890461472199959"/>
    <n v="6736"/>
    <x v="0"/>
  </r>
  <r>
    <n v="8021"/>
    <s v="Bellprat"/>
    <n v="4.7716078781680139E-2"/>
    <n v="3.0571351804815228"/>
    <n v="2.571489616096E-2"/>
    <n v="6.7235899999999997"/>
    <n v="3.2610239999999995"/>
    <n v="2.9774942999999999E-3"/>
    <s v=""/>
    <n v="0.28163441086807472"/>
    <n v="8.4071217463241865"/>
    <n v="3.7191734735257595E-2"/>
    <n v="29.429278229436605"/>
    <n v="3.7403945279999995"/>
    <n v="3.4734413999999996E-3"/>
    <s v=""/>
    <n v="0.23391833208639459"/>
    <n v="5.3499865658426637"/>
    <n v="1.1476838574297595E-2"/>
    <n v="22.705688229436603"/>
    <n v="0.47937052800000002"/>
    <n v="4.9594709999999965E-4"/>
    <s v=""/>
    <n v="28.780936441039959"/>
    <n v="75"/>
    <x v="1"/>
  </r>
  <r>
    <n v="8022"/>
    <s v="Berga"/>
    <n v="1.4105979163257891"/>
    <n v="1.2734087596369636"/>
    <n v="27.818312954981131"/>
    <n v="1.7434125"/>
    <n v="3.5043839999999999"/>
    <n v="1.3337088641999999"/>
    <s v=""/>
    <n v="7.3466974506532301"/>
    <n v="3.50187408900165"/>
    <n v="40.233929381942069"/>
    <n v="10.907883159030234"/>
    <n v="4.019528448"/>
    <n v="1.3730540994"/>
    <s v=""/>
    <n v="5.9360995343274414"/>
    <n v="2.2284653293646866"/>
    <n v="12.415616426960938"/>
    <n v="9.1644706590302345"/>
    <n v="0.51514444800000003"/>
    <n v="3.9345235200000106E-2"/>
    <s v=""/>
    <n v="30.299141632883302"/>
    <n v="16175"/>
    <x v="0"/>
  </r>
  <r>
    <n v="8023"/>
    <s v="Bigues i Riells"/>
    <n v="1.8655233091881105"/>
    <n v="0.59787839011468102"/>
    <n v="23.602087661921601"/>
    <n v="1.2936393750000001"/>
    <n v="12.365729999999997"/>
    <n v="14.769205012050001"/>
    <s v=""/>
    <n v="10.388736634323088"/>
    <n v="1.6441655728153728"/>
    <n v="43.360375469630668"/>
    <n v="13.627524806512671"/>
    <n v="14.183492309999998"/>
    <n v="17.957043150899995"/>
    <s v=""/>
    <n v="8.5232133251349769"/>
    <n v="1.0462871827006919"/>
    <n v="19.758287807709067"/>
    <n v="12.333885431512671"/>
    <n v="1.8177623100000009"/>
    <n v="3.1878381388499939"/>
    <s v=""/>
    <n v="46.667274195907396"/>
    <n v="8915"/>
    <x v="0"/>
  </r>
  <r>
    <n v="8024"/>
    <s v="Borredà"/>
    <n v="6.1391499208235563E-2"/>
    <n v="3.460229180437941"/>
    <n v="0.76481831308800008"/>
    <n v="1.2833999999999999"/>
    <n v="5.1470639999999994"/>
    <n v="0"/>
    <s v=""/>
    <n v="0.30620364485860313"/>
    <n v="9.5156302462043403"/>
    <n v="1.1061650664652802"/>
    <n v="6.6755190952295704"/>
    <n v="5.9036824079999999"/>
    <n v="0"/>
    <s v=""/>
    <n v="0.24481214565036757"/>
    <n v="6.0554010657663992"/>
    <n v="0.34134675337728015"/>
    <n v="5.392119095229571"/>
    <n v="0.75661840800000046"/>
    <n v="0"/>
    <s v=""/>
    <n v="12.790297468023621"/>
    <n v="495"/>
    <x v="1"/>
  </r>
  <r>
    <n v="8025"/>
    <s v="el Bruc"/>
    <n v="0.50123520899650698"/>
    <n v="6.5838357429299217"/>
    <n v="3.5600196379878395"/>
    <n v="1.1960787500000001"/>
    <n v="1.2168E-2"/>
    <n v="0"/>
    <s v=""/>
    <n v="2.8806346462555612"/>
    <n v="18.105548293057286"/>
    <n v="5.1488952239816692"/>
    <n v="6.3826778897414531"/>
    <n v="1.3956695999999998E-2"/>
    <n v="0"/>
    <s v=""/>
    <n v="2.3793994372590541"/>
    <n v="11.521712550127365"/>
    <n v="1.5888755859938297"/>
    <n v="5.1865991397414533"/>
    <n v="1.7886959999999976E-3"/>
    <n v="0"/>
    <s v=""/>
    <n v="20.678375409121699"/>
    <n v="2014"/>
    <x v="2"/>
  </r>
  <r>
    <n v="8026"/>
    <s v="el Brull"/>
    <n v="2.3677182749819021E-2"/>
    <n v="0.40026248512666363"/>
    <n v="3.0774166827844271"/>
    <n v="2.1675199999999997"/>
    <n v="6.6498119999999998"/>
    <n v="0"/>
    <s v=""/>
    <n v="0.13922779998207963"/>
    <n v="1.1007218340983251"/>
    <n v="4.4509013071473325"/>
    <n v="9.7877159403043699"/>
    <n v="7.6273343640000011"/>
    <n v="0"/>
    <s v=""/>
    <n v="0.11555061723226061"/>
    <n v="0.70045934897166151"/>
    <n v="1.3734846243629053"/>
    <n v="7.6201959403043702"/>
    <n v="0.97752236400000125"/>
    <n v="0"/>
    <s v=""/>
    <n v="10.7872128948712"/>
    <n v="263"/>
    <x v="1"/>
  </r>
  <r>
    <n v="8027"/>
    <s v="les Cabanyes"/>
    <n v="0.12798807875149412"/>
    <n v="8.7184677844756656E-3"/>
    <n v="1.7905627219585067"/>
    <n v="4.9909999999999996E-2"/>
    <n v="0"/>
    <n v="0"/>
    <s v=""/>
    <n v="0.72438526993312835"/>
    <n v="2.3975786407308085E-2"/>
    <n v="3.2895171409478454"/>
    <n v="0.92845052611550349"/>
    <n v="0"/>
    <n v="0"/>
    <s v=""/>
    <n v="0.59639719118163426"/>
    <n v="1.525731862283242E-2"/>
    <n v="1.4989544189893387"/>
    <n v="0.87854052611550348"/>
    <n v="0"/>
    <n v="0"/>
    <s v=""/>
    <n v="2.9891494549093087"/>
    <n v="943"/>
    <x v="1"/>
  </r>
  <r>
    <n v="8028"/>
    <s v="Cabrera d'Anoia"/>
    <n v="3.9821496312809505E-2"/>
    <n v="1.8815683263320573"/>
    <n v="3.0773227157276799"/>
    <n v="0.75578000000000001"/>
    <n v="1.521E-2"/>
    <n v="1.4240315874"/>
    <s v=""/>
    <n v="0.20916417203671403"/>
    <n v="5.1743128974131576"/>
    <n v="4.4507654015684608"/>
    <n v="4.0085579815280177"/>
    <n v="1.7445869999999999E-2"/>
    <n v="2.3939908043999996"/>
    <s v=""/>
    <n v="0.16934267572390452"/>
    <n v="3.2927445710811005"/>
    <n v="1.3734426858407809"/>
    <n v="3.2527779815280176"/>
    <n v="2.2358699999999992E-3"/>
    <n v="0.96995921699999954"/>
    <s v=""/>
    <n v="9.060503001173803"/>
    <n v="1351"/>
    <x v="2"/>
  </r>
  <r>
    <n v="8029"/>
    <s v="Cabrera de Mar"/>
    <n v="6.2221962587729269"/>
    <n v="8.7162223210420359E-2"/>
    <n v="22.71805836349052"/>
    <n v="2.7449887500000001"/>
    <n v="0.219024"/>
    <n v="0"/>
    <n v="4.4550000000000001"/>
    <n v="36.264921557528169"/>
    <n v="0.23969611382865599"/>
    <n v="41.736288530577042"/>
    <n v="22.706535842374475"/>
    <n v="0.251220528"/>
    <n v="51.717494397599992"/>
    <n v="5.1417285067873291"/>
    <n v="30.042725298755244"/>
    <n v="0.15253389061823563"/>
    <n v="19.018230167086521"/>
    <n v="19.961547092374474"/>
    <n v="3.2196528000000002E-2"/>
    <n v="51.717494397599992"/>
    <n v="0.686728506787329"/>
    <n v="121.6114558812218"/>
    <n v="4553"/>
    <x v="2"/>
  </r>
  <r>
    <n v="8030"/>
    <s v="Cabrils"/>
    <n v="6.3816538668697254"/>
    <n v="0.10432647639647236"/>
    <n v="24.918826021735363"/>
    <n v="0.3531475"/>
    <n v="0"/>
    <n v="0"/>
    <s v=""/>
    <n v="37.166992200861877"/>
    <n v="0.28689781009029902"/>
    <n v="45.779410196330005"/>
    <n v="2.8606767691957327"/>
    <n v="0"/>
    <n v="0"/>
    <s v=""/>
    <n v="30.785338333992151"/>
    <n v="0.18257133369382667"/>
    <n v="20.860584174594642"/>
    <n v="2.5075292691957327"/>
    <n v="0"/>
    <n v="0"/>
    <s v=""/>
    <n v="54.336023111476358"/>
    <n v="7287"/>
    <x v="0"/>
  </r>
  <r>
    <n v="8031"/>
    <s v="Calaf"/>
    <n v="1.1214076749796373"/>
    <n v="0.12565834165310749"/>
    <n v="6.3864000442696529"/>
    <n v="3.8715899999999999"/>
    <n v="3.4405019999999995"/>
    <n v="0"/>
    <s v=""/>
    <n v="6.5156073874971705"/>
    <n v="0.34556043954604559"/>
    <n v="9.2367200269047132"/>
    <n v="18.709984026828309"/>
    <n v="3.9462557939999998"/>
    <n v="0"/>
    <s v=""/>
    <n v="5.3941997125175334"/>
    <n v="0.2199020978929381"/>
    <n v="2.8503199826350603"/>
    <n v="14.838394026828309"/>
    <n v="0.50575379400000031"/>
    <n v="0"/>
    <s v=""/>
    <n v="23.808569613873843"/>
    <n v="3424"/>
    <x v="2"/>
  </r>
  <r>
    <n v="8032"/>
    <s v="Caldes d'Estrac"/>
    <n v="9.4760114330970584"/>
    <n v="7.7775522249298153E-3"/>
    <n v="10.976840298196908"/>
    <n v="0"/>
    <n v="0"/>
    <n v="0"/>
    <n v="14.118499999999999"/>
    <n v="56.207090763644381"/>
    <n v="2.1388268618556996E-2"/>
    <n v="20.166009194512057"/>
    <n v="1.4089016883516616"/>
    <n v="0"/>
    <n v="0"/>
    <n v="16.294835897435899"/>
    <n v="46.731079330547324"/>
    <n v="1.3610716393627181E-2"/>
    <n v="9.1891688963151488"/>
    <n v="1.4089016883516616"/>
    <n v="0"/>
    <n v="0"/>
    <n v="2.1763358974358997"/>
    <n v="59.519096529043658"/>
    <n v="2766"/>
    <x v="2"/>
  </r>
  <r>
    <n v="8033"/>
    <s v="Caldes de Montbui"/>
    <n v="4.6323489357326579"/>
    <n v="0.74018685504004089"/>
    <n v="31.131686179272215"/>
    <n v="3.5533512499999995"/>
    <n v="32.470307999999996"/>
    <n v="0.89524097339999986"/>
    <s v=""/>
    <n v="26.247816778171032"/>
    <n v="2.0355138513601125"/>
    <n v="57.193313620039852"/>
    <n v="26.581145577055654"/>
    <n v="37.243443276000001"/>
    <n v="1.6990265922000003"/>
    <s v=""/>
    <n v="21.615467842438374"/>
    <n v="1.2953269963200715"/>
    <n v="26.061627440767637"/>
    <n v="23.027794327055656"/>
    <n v="4.773135276000005"/>
    <n v="0.80378561880000043"/>
    <s v=""/>
    <n v="77.577137501381756"/>
    <n v="17137"/>
    <x v="0"/>
  </r>
  <r>
    <n v="8034"/>
    <s v="Calders"/>
    <n v="1.0537944386959626"/>
    <n v="3.957135710377695"/>
    <n v="3.6020366598054405"/>
    <n v="4.1247474999999989"/>
    <n v="6.7136939999999994"/>
    <n v="0"/>
    <s v=""/>
    <n v="5.4553368095743515"/>
    <n v="10.88212320353866"/>
    <n v="5.2096649008267271"/>
    <n v="19.376576415366948"/>
    <n v="7.7006070179999995"/>
    <n v="0"/>
    <s v=""/>
    <n v="4.4015423708783885"/>
    <n v="6.9249874931609643"/>
    <n v="1.6076282410212865"/>
    <n v="15.25182891536695"/>
    <n v="0.98691301800000009"/>
    <n v="0"/>
    <s v=""/>
    <n v="29.172900038427588"/>
    <n v="953"/>
    <x v="1"/>
  </r>
  <r>
    <n v="8035"/>
    <s v="Calella"/>
    <n v="7.5827210255471282"/>
    <n v="0.11451775172569076"/>
    <n v="52.95789681288354"/>
    <n v="0.81333"/>
    <n v="2.4336E-2"/>
    <n v="0"/>
    <n v="8.7130807860262021"/>
    <n v="44.838412801418748"/>
    <n v="0.31492381724564966"/>
    <n v="97.291151646440113"/>
    <n v="7.7240576489186346"/>
    <n v="2.7913391999999995E-2"/>
    <n v="0"/>
    <n v="10.056183133434761"/>
    <n v="37.255691775871618"/>
    <n v="0.2004060655199589"/>
    <n v="44.333254833556573"/>
    <n v="6.9107276489186349"/>
    <n v="3.5773919999999952E-3"/>
    <n v="0"/>
    <n v="1.3431023474085588"/>
    <n v="90.046760063275343"/>
    <n v="18317"/>
    <x v="0"/>
  </r>
  <r>
    <n v="8036"/>
    <s v="Calonge de Segarra"/>
    <n v="0.1893285722973454"/>
    <n v="2.4470308637710403"/>
    <n v="0.24335606825578668"/>
    <n v="12.014049999999999"/>
    <n v="12.742938000000001"/>
    <n v="0"/>
    <s v=""/>
    <n v="1.1240987163440304"/>
    <n v="6.7293348753703617"/>
    <n v="0.35196853528521393"/>
    <n v="52.615452799001062"/>
    <n v="14.616149885999999"/>
    <n v="0"/>
    <s v=""/>
    <n v="0.9347701440466849"/>
    <n v="4.2823040115993214"/>
    <n v="0.10861246702942726"/>
    <n v="40.601402799001065"/>
    <n v="1.8732118859999982"/>
    <n v="0"/>
    <s v=""/>
    <n v="47.800301307676499"/>
    <n v="191"/>
    <x v="1"/>
  </r>
  <r>
    <n v="8037"/>
    <s v="Calldetenes"/>
    <n v="0.67501694550078384"/>
    <n v="8.8533029306246923E-3"/>
    <n v="4.4638954650329605"/>
    <n v="2.6107581250000003"/>
    <n v="18.446687999999998"/>
    <n v="0"/>
    <s v=""/>
    <n v="3.8836708455260287"/>
    <n v="2.4346583059217899E-2"/>
    <n v="6.4561806892875788"/>
    <n v="15.688435605869737"/>
    <n v="21.158351136"/>
    <n v="0"/>
    <s v=""/>
    <n v="3.208653900025245"/>
    <n v="1.5493280128593207E-2"/>
    <n v="1.9922852242546183"/>
    <n v="13.077677480869736"/>
    <n v="2.7116631360000021"/>
    <n v="0"/>
    <s v=""/>
    <n v="21.005773021278195"/>
    <n v="2418"/>
    <x v="2"/>
  </r>
  <r>
    <n v="8038"/>
    <s v="Callús"/>
    <n v="2.481426945590341"/>
    <n v="1.1907741432313514"/>
    <n v="3.0661664756086395"/>
    <n v="2.1746500000000002"/>
    <n v="2.5218179999999997"/>
    <n v="11.8198300476"/>
    <s v=""/>
    <n v="13.016260367045584"/>
    <n v="3.2746288938862165"/>
    <n v="4.4346300098269182"/>
    <n v="10.658523352633875"/>
    <n v="2.8925252459999995"/>
    <n v="14.493231575999987"/>
    <s v=""/>
    <n v="10.534833421455243"/>
    <n v="2.083854750654865"/>
    <n v="1.3684635342182787"/>
    <n v="8.483873352633875"/>
    <n v="0.37070724599999982"/>
    <n v="2.673401528399987"/>
    <s v=""/>
    <n v="25.515133833362249"/>
    <n v="2057"/>
    <x v="2"/>
  </r>
  <r>
    <n v="8039"/>
    <s v="Campins"/>
    <n v="0.10474091723063353"/>
    <n v="0.18771309292081731"/>
    <n v="1.0794063587434664"/>
    <n v="0.35834625000000003"/>
    <n v="1.8251999999999997E-2"/>
    <n v="0"/>
    <s v=""/>
    <n v="0.59367074160046174"/>
    <n v="0.51621100553224752"/>
    <n v="1.5611571874392745"/>
    <n v="1.9943452579830649"/>
    <n v="2.0935044E-2"/>
    <n v="0"/>
    <s v=""/>
    <n v="0.48892982436982824"/>
    <n v="0.32849791261143024"/>
    <n v="0.4817508286958081"/>
    <n v="1.6359990079830649"/>
    <n v="2.6830440000000025E-3"/>
    <n v="0"/>
    <s v=""/>
    <n v="2.9378606176601312"/>
    <n v="470"/>
    <x v="1"/>
  </r>
  <r>
    <n v="8040"/>
    <s v="Canet de Mar"/>
    <n v="38.792887347833833"/>
    <n v="0.12980466471951832"/>
    <n v="33.450938925495464"/>
    <n v="0.62694187500000009"/>
    <n v="0"/>
    <n v="0"/>
    <n v="8.3391288209606973"/>
    <n v="229.40591432769213"/>
    <n v="0.35696282797867529"/>
    <n v="61.45410916176035"/>
    <n v="9.0399935106247806"/>
    <n v="0"/>
    <n v="0"/>
    <n v="9.624587290798079"/>
    <n v="190.61302697985829"/>
    <n v="0.22715816325915697"/>
    <n v="28.003170236264886"/>
    <n v="8.4130516356247806"/>
    <n v="0"/>
    <n v="0"/>
    <n v="1.2854584698373817"/>
    <n v="228.54186548484449"/>
    <n v="14284"/>
    <x v="0"/>
  </r>
  <r>
    <n v="8041"/>
    <s v="Canovelles"/>
    <n v="2.7613547694778862"/>
    <n v="3.0472904694937874E-3"/>
    <n v="27.443308918256001"/>
    <n v="1.3994962500000001"/>
    <n v="0.40762799999999993"/>
    <n v="22.828770349499997"/>
    <s v=""/>
    <n v="15.388968236992683"/>
    <n v="8.3800487911079163E-3"/>
    <n v="50.417242570641399"/>
    <n v="7.9576391911214266"/>
    <n v="0.46754931599999994"/>
    <n v="45.541229012399995"/>
    <s v=""/>
    <n v="12.627613467514797"/>
    <n v="5.3327583216141294E-3"/>
    <n v="22.973933652385398"/>
    <n v="6.5581429411214263"/>
    <n v="5.9921316000000002E-2"/>
    <n v="22.712458662899998"/>
    <s v=""/>
    <n v="64.937402798243227"/>
    <n v="15937"/>
    <x v="0"/>
  </r>
  <r>
    <n v="8042"/>
    <s v="Cànoves i Samalús"/>
    <n v="0.38717767064597897"/>
    <n v="0.67375592280507646"/>
    <n v="7.7858251103188261"/>
    <n v="2.386630625"/>
    <n v="1.752192"/>
    <n v="2.2600303526999999"/>
    <s v=""/>
    <n v="2.1104960438683555"/>
    <n v="1.8528287877139602"/>
    <n v="14.303662665780349"/>
    <n v="14.825647111839295"/>
    <n v="2.009764224"/>
    <n v="2.4420553862999999"/>
    <s v=""/>
    <n v="1.7233183732223765"/>
    <n v="1.1790728649088837"/>
    <n v="6.5178375554615231"/>
    <n v="12.439016486839295"/>
    <n v="0.25757222400000002"/>
    <n v="0.1820250336"/>
    <s v=""/>
    <n v="22.298842538032076"/>
    <n v="2873"/>
    <x v="2"/>
  </r>
  <r>
    <n v="8043"/>
    <s v="Canyelles"/>
    <n v="2.3503921286869431"/>
    <n v="1.8553810444790055"/>
    <n v="13.206640535860053"/>
    <n v="0.10695"/>
    <n v="1.2168E-2"/>
    <n v="0"/>
    <s v=""/>
    <n v="12.674717942080758"/>
    <n v="5.1022978723172647"/>
    <n v="24.26246781767582"/>
    <n v="1.5760024106736019"/>
    <n v="1.3956695999999998E-2"/>
    <n v="0"/>
    <s v=""/>
    <n v="10.324325813393814"/>
    <n v="3.246916827838259"/>
    <n v="11.055827281815766"/>
    <n v="1.4690524106736018"/>
    <n v="1.7886959999999976E-3"/>
    <n v="0"/>
    <s v=""/>
    <n v="26.097911029721441"/>
    <n v="4407"/>
    <x v="2"/>
  </r>
  <r>
    <n v="8044"/>
    <s v="Capellades"/>
    <n v="0.93566459935385249"/>
    <n v="0.25297008253849274"/>
    <n v="20.362366872596475"/>
    <n v="9.3613124999999991E-2"/>
    <n v="5.8419878753151497"/>
    <n v="2.2080936948000001"/>
    <s v=""/>
    <n v="5.498827980929609"/>
    <n v="0.69566772698085499"/>
    <n v="29.450313256848585"/>
    <n v="4.995174698718472"/>
    <n v="6.700760092986477"/>
    <n v="3.0460783857000004"/>
    <s v=""/>
    <n v="4.5631633815757562"/>
    <n v="0.44269764444236226"/>
    <n v="9.0879463842521098"/>
    <n v="4.9015615737184719"/>
    <n v="0.85877221767132728"/>
    <n v="0.83798469090000038"/>
    <s v=""/>
    <n v="20.692125892560028"/>
    <n v="5227"/>
    <x v="0"/>
  </r>
  <r>
    <n v="8045"/>
    <s v="Capolat"/>
    <n v="0"/>
    <n v="2.578282561299841"/>
    <n v="0.11307814051925333"/>
    <n v="1.1693199999999999"/>
    <n v="6.5342159999999989"/>
    <n v="0"/>
    <s v=""/>
    <n v="0"/>
    <n v="7.0902770435745621"/>
    <n v="0.16354614773568857"/>
    <n v="5.3115189800205851"/>
    <n v="7.4947457519999983"/>
    <n v="0"/>
    <s v=""/>
    <n v="0"/>
    <n v="4.5119944822747211"/>
    <n v="5.046800721643524E-2"/>
    <n v="4.1421989800205852"/>
    <n v="0.96052975199999935"/>
    <n v="0"/>
    <s v=""/>
    <n v="9.6651912215117406"/>
    <n v="93"/>
    <x v="1"/>
  </r>
  <r>
    <n v="8046"/>
    <s v="Cardedeu"/>
    <n v="2.9196626065400917"/>
    <n v="8.5019404098876664E-2"/>
    <n v="29.094353891538873"/>
    <n v="5.4060818749999999"/>
    <n v="2.1263579999999997"/>
    <n v="58.211028132449989"/>
    <s v=""/>
    <n v="16.174486012725925"/>
    <n v="0.23380336127191084"/>
    <n v="53.450445861140636"/>
    <n v="56.348068937620269"/>
    <n v="2.4389326259999993"/>
    <n v="70.929536819100008"/>
    <s v=""/>
    <n v="13.254823406185833"/>
    <n v="0.14878395717303416"/>
    <n v="24.356091969601763"/>
    <n v="50.941987062620271"/>
    <n v="0.31257462599999952"/>
    <n v="12.718508686650019"/>
    <s v=""/>
    <n v="101.73276970823093"/>
    <n v="18158"/>
    <x v="0"/>
  </r>
  <r>
    <n v="8047"/>
    <s v="Cardona"/>
    <n v="3.5591258483849204"/>
    <n v="7.0339903967022543"/>
    <n v="28.398093841994662"/>
    <n v="12.601236249999999"/>
    <n v="32.756256"/>
    <n v="4.5427337998499997"/>
    <s v=""/>
    <n v="19.166642412281576"/>
    <n v="19.3434735909312"/>
    <n v="41.072472801266343"/>
    <n v="71.813576954454135"/>
    <n v="37.571425632"/>
    <n v="5.9036440700999977"/>
    <s v=""/>
    <n v="15.607516563896656"/>
    <n v="12.309483194228946"/>
    <n v="12.674378959271682"/>
    <n v="59.212340704454135"/>
    <n v="4.8151696319999999"/>
    <n v="1.360910270249998"/>
    <s v=""/>
    <n v="105.97979932410141"/>
    <n v="4775"/>
    <x v="2"/>
  </r>
  <r>
    <n v="8048"/>
    <s v="Carme"/>
    <n v="0.10317502115724075"/>
    <n v="1.1788736526140215"/>
    <n v="0.69731381176522667"/>
    <n v="1.4616499999999999"/>
    <n v="0.24944399999999997"/>
    <n v="1.7025912212999996"/>
    <s v=""/>
    <n v="0.60162306445672886"/>
    <n v="3.2419025446885588"/>
    <n v="1.0085325700741803"/>
    <n v="6.801871990380886"/>
    <n v="0.286112268"/>
    <n v="2.3960874703500004"/>
    <s v=""/>
    <n v="0.49844804329948811"/>
    <n v="2.063028892074537"/>
    <n v="0.31121875830895362"/>
    <n v="5.3402219903808863"/>
    <n v="3.6668268000000032E-2"/>
    <n v="0.69349624905000073"/>
    <s v=""/>
    <n v="8.9430822011138638"/>
    <n v="791"/>
    <x v="1"/>
  </r>
  <r>
    <n v="8049"/>
    <s v="Casserres"/>
    <n v="0.16694037310020438"/>
    <n v="1.6093443553842151"/>
    <n v="2.9687402707423995"/>
    <n v="6.0105900000000005"/>
    <n v="3.3522839999999996"/>
    <n v="1.9862177828999998"/>
    <s v=""/>
    <n v="0.89613324371549508"/>
    <n v="4.4256969773065915"/>
    <n v="4.2937214273085438"/>
    <n v="29.562611373027515"/>
    <n v="3.8450697479999998"/>
    <n v="2.0347949964000001"/>
    <s v=""/>
    <n v="0.7291928706152907"/>
    <n v="2.8163526219223765"/>
    <n v="1.3249811565661442"/>
    <n v="23.552021373027515"/>
    <n v="0.49278574800000019"/>
    <n v="4.8577213500000216E-2"/>
    <s v=""/>
    <n v="28.963910983631326"/>
    <n v="1528"/>
    <x v="2"/>
  </r>
  <r>
    <n v="8050"/>
    <s v="Castellar del Riu"/>
    <n v="1.6840588607372642E-2"/>
    <n v="2.6967391901032789"/>
    <n v="0.16552306629066665"/>
    <n v="2.8519999999999997E-2"/>
    <n v="0.54451799999999995"/>
    <n v="0"/>
    <s v=""/>
    <n v="7.894740706083668E-2"/>
    <n v="7.4160327727840167"/>
    <n v="0.23939781578410665"/>
    <n v="0.50351918613702029"/>
    <n v="0.62456214599999993"/>
    <n v="0"/>
    <s v=""/>
    <n v="6.2106818453464038E-2"/>
    <n v="4.7192935826807378"/>
    <n v="7.3874749493440001E-2"/>
    <n v="0.4749991861370203"/>
    <n v="8.0044145999999983E-2"/>
    <n v="0"/>
    <s v=""/>
    <n v="5.4103184827646613"/>
    <n v="176"/>
    <x v="1"/>
  </r>
  <r>
    <n v="8051"/>
    <s v="Castellar del Vallès"/>
    <n v="6.2591727124183381"/>
    <n v="4.0660142510085953"/>
    <n v="55.838281966715726"/>
    <n v="1.0446724999999999"/>
    <n v="2.2602059999999997"/>
    <n v="0.60938581439999995"/>
    <s v=""/>
    <n v="36.675416047377595"/>
    <n v="11.181539190273638"/>
    <n v="102.58282683875001"/>
    <n v="6.533038175528123"/>
    <n v="2.5924562820000001"/>
    <n v="0.73005589680000005"/>
    <s v=""/>
    <n v="30.416243334959258"/>
    <n v="7.1155249392650424"/>
    <n v="46.744544872034282"/>
    <n v="5.4883656755281232"/>
    <n v="0.3322502820000004"/>
    <n v="0.1206700824000001"/>
    <s v=""/>
    <n v="90.217599186186717"/>
    <n v="23633"/>
    <x v="4"/>
  </r>
  <r>
    <n v="8052"/>
    <s v="Castellar de n'Hug"/>
    <n v="2.8454405972992199E-2"/>
    <n v="3.8183753940858374"/>
    <n v="0.40817073131519993"/>
    <n v="0"/>
    <n v="0.98256599999999983"/>
    <n v="1.2215648863500002"/>
    <s v=""/>
    <n v="0.15988552471422299"/>
    <n v="10.500532333736055"/>
    <n v="0.59034177975091184"/>
    <n v="0.33795374439151582"/>
    <n v="1.1270032019999998"/>
    <n v="1.3184483104500002"/>
    <s v=""/>
    <n v="0.13143111874123078"/>
    <n v="6.6821569396502181"/>
    <n v="0.18217104843571191"/>
    <n v="0.33795374439151582"/>
    <n v="0.14443720199999999"/>
    <n v="9.688342410000006E-2"/>
    <s v=""/>
    <n v="7.5750334773186765"/>
    <n v="157"/>
    <x v="1"/>
  </r>
  <r>
    <n v="8053"/>
    <s v="Castellbell i el Vilar"/>
    <n v="3.603708451233457"/>
    <n v="3.5079116230560201"/>
    <n v="8.1376896765565867"/>
    <n v="0.97689499999999996"/>
    <n v="3.1515119999999994"/>
    <n v="12.760801340549998"/>
    <s v=""/>
    <n v="18.405054968057822"/>
    <n v="9.6467569634040551"/>
    <n v="11.769629319671262"/>
    <n v="6.6928423542333775"/>
    <n v="3.6147842639999994"/>
    <n v="20.1922814112"/>
    <s v=""/>
    <n v="14.801346516824365"/>
    <n v="6.138845340348035"/>
    <n v="3.6319396431146753"/>
    <n v="5.7159473542333776"/>
    <n v="0.46327226399999999"/>
    <n v="7.4314800706500019"/>
    <s v=""/>
    <n v="38.182831189170457"/>
    <n v="3584"/>
    <x v="2"/>
  </r>
  <r>
    <n v="8054"/>
    <s v="Castellbisbal"/>
    <n v="2.8865897326983432"/>
    <n v="1.9080002148745834"/>
    <n v="202.97652530751137"/>
    <n v="0.91113374999999996"/>
    <n v="2.1476519999999999"/>
    <n v="62.073440346450006"/>
    <s v=""/>
    <n v="16.862588473264278"/>
    <n v="5.2470005909051034"/>
    <n v="372.89660452596269"/>
    <n v="7.5998404581588801"/>
    <n v="2.4633568439999998"/>
    <n v="73.966250673450006"/>
    <s v=""/>
    <n v="13.975998740565934"/>
    <n v="3.33900037603052"/>
    <n v="169.92007921845132"/>
    <n v="6.6887067081588798"/>
    <n v="0.31570484399999987"/>
    <n v="11.892810326999999"/>
    <s v=""/>
    <n v="206.13230021420668"/>
    <n v="12277"/>
    <x v="0"/>
  </r>
  <r>
    <n v="8055"/>
    <s v="Castellcir"/>
    <n v="0.31015352467420843"/>
    <n v="0.86085955763199484"/>
    <n v="2.5730484969847462"/>
    <n v="2.0240818750000003"/>
    <n v="1.8008639999999998"/>
    <n v="0"/>
    <s v=""/>
    <n v="1.7954139424025308"/>
    <n v="2.3673637834879857"/>
    <n v="3.7214280999545513"/>
    <n v="9.9745402376844723"/>
    <n v="2.0655910079999997"/>
    <n v="0"/>
    <s v=""/>
    <n v="1.4852604177283224"/>
    <n v="1.5065042258559909"/>
    <n v="1.148379602969805"/>
    <n v="7.950458362684472"/>
    <n v="0.26472700799999993"/>
    <n v="0"/>
    <s v=""/>
    <n v="12.35532961723859"/>
    <n v="726"/>
    <x v="1"/>
  </r>
  <r>
    <n v="8056"/>
    <s v="Castelldefels"/>
    <n v="61.679664415314001"/>
    <n v="0.70101471504724777"/>
    <n v="179.14212954537985"/>
    <n v="5.0833125E-2"/>
    <n v="3.0306198676381468"/>
    <n v="23.536581674999994"/>
    <s v="guanya sorra"/>
    <n v="362.92623674542966"/>
    <n v="1.927790466379931"/>
    <n v="329.10944619737393"/>
    <n v="2.6760011954010099"/>
    <n v="3.4761209881809543"/>
    <n v="0"/>
    <s v="No hi ha pèrdua"/>
    <n v="301.24657233011567"/>
    <n v="1.2267757513326831"/>
    <n v="149.96731665199408"/>
    <n v="2.6251680704010099"/>
    <n v="0.44550112054280744"/>
    <n v="-23.536581674999994"/>
    <s v=""/>
    <n v="431.97475224938626"/>
    <n v="64892"/>
    <x v="3"/>
  </r>
  <r>
    <n v="8057"/>
    <s v="Castell de l'Areny"/>
    <n v="1.378373928357223E-2"/>
    <n v="2.0637365799349054"/>
    <n v="3.7822916453333341E-2"/>
    <n v="0.19963999999999998"/>
    <n v="0.40154399999999996"/>
    <n v="0"/>
    <s v=""/>
    <n v="7.4039750495441647E-2"/>
    <n v="5.675275594820989"/>
    <n v="5.4703696520533342E-2"/>
    <n v="1.0211935085175303"/>
    <n v="0.46057096800000003"/>
    <n v="0"/>
    <s v=""/>
    <n v="6.0256011211869416E-2"/>
    <n v="3.6115390148860835"/>
    <n v="1.6880780067200001E-2"/>
    <n v="0.82155350851753028"/>
    <n v="5.9026968000000068E-2"/>
    <n v="0"/>
    <s v=""/>
    <n v="4.5692562826826837"/>
    <n v="69"/>
    <x v="1"/>
  </r>
  <r>
    <n v="8058"/>
    <s v="Castellet i la Gornal"/>
    <n v="0.44554950888954115"/>
    <n v="2.6013728251929278"/>
    <n v="10.632500623620798"/>
    <n v="1.0107837499999999"/>
    <n v="0.25857000000000002"/>
    <n v="0"/>
    <s v=""/>
    <n v="2.5315299901894917"/>
    <n v="7.1537752692805512"/>
    <n v="15.37790159800525"/>
    <n v="6.5879513887327175"/>
    <n v="0.29657979000000001"/>
    <n v="0.33393763500000001"/>
    <s v=""/>
    <n v="2.0859804812999503"/>
    <n v="4.5524024440876234"/>
    <n v="4.7454009743844523"/>
    <n v="5.5771676387327176"/>
    <n v="3.8009789999999988E-2"/>
    <n v="0.33393763500000001"/>
    <s v=""/>
    <n v="17.332898963504746"/>
    <n v="2193"/>
    <x v="2"/>
  </r>
  <r>
    <n v="8059"/>
    <s v="Castellfollit del Boix"/>
    <n v="0.27322190805266133"/>
    <n v="7.2619055586522219"/>
    <n v="1.2845786268671999"/>
    <n v="6.9749862499999997"/>
    <n v="3.683862"/>
    <n v="0"/>
    <s v=""/>
    <n v="1.3834181508682357"/>
    <n v="19.970240286293613"/>
    <n v="1.8579000762040316"/>
    <n v="31.050784032854953"/>
    <n v="4.2253897140000003"/>
    <n v="0"/>
    <s v=""/>
    <n v="1.1101962428155745"/>
    <n v="12.708334727641391"/>
    <n v="0.57332144933683171"/>
    <n v="24.075797782854952"/>
    <n v="0.54152771400000033"/>
    <n v="0"/>
    <s v=""/>
    <n v="39.009177916648746"/>
    <n v="448"/>
    <x v="1"/>
  </r>
  <r>
    <n v="8060"/>
    <s v="Castellfollit de Riubregós"/>
    <n v="0.1889622483196963"/>
    <n v="2.1213112150123274"/>
    <n v="0.47922460167722669"/>
    <n v="7.2512100000000004"/>
    <n v="4.2861779999999996"/>
    <n v="0"/>
    <s v=""/>
    <n v="1.1235169539097642"/>
    <n v="5.8336058412839007"/>
    <n v="0.69310776728890022"/>
    <n v="31.782568099129556"/>
    <n v="4.9162461659999988"/>
    <n v="0"/>
    <s v=""/>
    <n v="0.93455470559006792"/>
    <n v="3.7122946262715733"/>
    <n v="0.21388316561167353"/>
    <n v="24.531358099129555"/>
    <n v="0.63006816599999915"/>
    <n v="0"/>
    <s v=""/>
    <n v="30.022158762602871"/>
    <n v="165"/>
    <x v="1"/>
  </r>
  <r>
    <n v="8061"/>
    <s v="Castellgalí"/>
    <n v="1.3342625983595076"/>
    <n v="1.8811258656595138"/>
    <n v="6.2345249568119465"/>
    <n v="1.4867325"/>
    <n v="1.107288"/>
    <n v="20.076884864700002"/>
    <s v=""/>
    <n v="6.8659616874601115"/>
    <n v="5.1730961305636631"/>
    <n v="9.0170614317361846"/>
    <n v="8.2381270787714449"/>
    <n v="1.2700593359999999"/>
    <n v="25.480466272650002"/>
    <s v=""/>
    <n v="5.5316990891006039"/>
    <n v="3.2919702649041493"/>
    <n v="2.7825364749242381"/>
    <n v="6.7513945787714444"/>
    <n v="0.16277133599999982"/>
    <n v="5.40358140795"/>
    <s v=""/>
    <n v="23.923953151650437"/>
    <n v="1995"/>
    <x v="2"/>
  </r>
  <r>
    <n v="8062"/>
    <s v="Castellnou de Bages"/>
    <n v="0.22043407748615548"/>
    <n v="3.752342376451637"/>
    <n v="4.0583565082624"/>
    <n v="3.3333175000000002"/>
    <n v="2.8260179999999999"/>
    <n v="0"/>
    <s v=""/>
    <n v="0.7328450897081441"/>
    <n v="10.318941535242002"/>
    <n v="5.8696452737597449"/>
    <n v="15.498921981222816"/>
    <n v="3.2414426459999999"/>
    <n v="0"/>
    <s v=""/>
    <n v="0.51241101222198859"/>
    <n v="6.5665991587903658"/>
    <n v="1.8112887654973449"/>
    <n v="12.165604481222816"/>
    <n v="0.41542464599999995"/>
    <n v="0"/>
    <s v=""/>
    <n v="21.471328063732514"/>
    <n v="1287"/>
    <x v="2"/>
  </r>
  <r>
    <n v="8063"/>
    <s v="Castellolí"/>
    <n v="0.38134821689203624"/>
    <n v="3.1199643513080768"/>
    <n v="0.96346916641493352"/>
    <n v="2.0044531249999995"/>
    <n v="9.7344E-2"/>
    <n v="0"/>
    <s v=""/>
    <n v="2.252471149032091"/>
    <n v="8.5799019660972107"/>
    <n v="1.3934759618942296"/>
    <n v="9.2161719522431778"/>
    <n v="0.11165356799999998"/>
    <n v="0"/>
    <s v=""/>
    <n v="1.8711229321400547"/>
    <n v="5.4599376147891334"/>
    <n v="0.4300067954792961"/>
    <n v="7.2117188272431783"/>
    <n v="1.4309567999999981E-2"/>
    <n v="0"/>
    <s v=""/>
    <n v="14.987095737651662"/>
    <n v="573"/>
    <x v="1"/>
  </r>
  <r>
    <n v="8064"/>
    <s v="Castellterçol"/>
    <n v="1.0816533216378288"/>
    <n v="0.74902399740157288"/>
    <n v="6.2585433755985074"/>
    <n v="2.0918593749999999"/>
    <n v="5.6794139999999995"/>
    <n v="0"/>
    <s v=""/>
    <n v="6.2777884691299581"/>
    <n v="2.0598159928543254"/>
    <n v="9.0517995327449761"/>
    <n v="12.420707599453213"/>
    <n v="6.5142878579999994"/>
    <n v="0"/>
    <s v=""/>
    <n v="5.1961351474921296"/>
    <n v="1.3107919954527525"/>
    <n v="2.7932561571464687"/>
    <n v="10.328848224453212"/>
    <n v="0.83487385799999991"/>
    <n v="0"/>
    <s v=""/>
    <n v="20.463905382544567"/>
    <n v="2351"/>
    <x v="2"/>
  </r>
  <r>
    <n v="8065"/>
    <s v="Castellví de la Marca"/>
    <n v="0.20867024651588736"/>
    <n v="0.95903145629232345"/>
    <n v="3.2398769248332804"/>
    <n v="0.70947749999999998"/>
    <n v="10.339758"/>
    <n v="0"/>
    <s v=""/>
    <n v="1.1521445467819265"/>
    <n v="2.6373365048038893"/>
    <n v="4.6858693268307983"/>
    <n v="4.4721115523531214"/>
    <n v="11.859702425999998"/>
    <n v="8.5090372050000003"/>
    <s v=""/>
    <n v="0.94347430026603907"/>
    <n v="1.6783050485115658"/>
    <n v="1.4459924019975179"/>
    <n v="3.7626340523531212"/>
    <n v="1.5199444259999986"/>
    <n v="8.5090372050000003"/>
    <s v=""/>
    <n v="17.859387434128244"/>
    <n v="1545"/>
    <x v="2"/>
  </r>
  <r>
    <n v="8066"/>
    <s v="Castellví de Rosanes"/>
    <n v="1.6502788346284072"/>
    <n v="1.7307468097969347"/>
    <n v="6.587889214972801"/>
    <n v="5.2594374999999999E-2"/>
    <n v="3.9545999999999998E-2"/>
    <n v="5.0406577650000006E-2"/>
    <s v=""/>
    <n v="9.7193869391096861"/>
    <n v="4.7595537269415713"/>
    <n v="12.102884880578152"/>
    <n v="0.37964412802509551"/>
    <n v="4.535926199999999E-2"/>
    <n v="6.0698913E-2"/>
    <s v=""/>
    <n v="8.0691081044812787"/>
    <n v="3.0288069171446366"/>
    <n v="5.5149956656053511"/>
    <n v="0.32704975302509554"/>
    <n v="5.8132619999999927E-3"/>
    <n v="1.0292335349999994E-2"/>
    <s v=""/>
    <n v="16.956066037606366"/>
    <n v="1807"/>
    <x v="2"/>
  </r>
  <r>
    <n v="8067"/>
    <s v="Centelles"/>
    <n v="3.6452070708894979"/>
    <n v="8.4339359497003649E-2"/>
    <n v="18.476544781146668"/>
    <n v="2.7147687499999997"/>
    <n v="4.733352"/>
    <n v="2.5090669147500004"/>
    <s v=""/>
    <n v="21.36121247016041"/>
    <n v="0.23193323861676002"/>
    <n v="26.722828201335467"/>
    <n v="14.562017408042983"/>
    <n v="5.4291547439999999"/>
    <n v="2.7716644899"/>
    <s v=""/>
    <n v="17.716005399270912"/>
    <n v="0.14759387911975635"/>
    <n v="8.2462834201887993"/>
    <n v="11.847248658042984"/>
    <n v="0.69580274399999986"/>
    <n v="0.2625975751499996"/>
    <s v=""/>
    <n v="38.915531675772449"/>
    <n v="7410"/>
    <x v="0"/>
  </r>
  <r>
    <n v="8068"/>
    <s v="Cervelló"/>
    <n v="10.124412353288498"/>
    <n v="2.3732398701244297"/>
    <n v="22.385636806018834"/>
    <n v="3.3888750000000002E-2"/>
    <n v="3.042E-3"/>
    <n v="5.6238014496000002"/>
    <s v=""/>
    <n v="59.852596502463165"/>
    <n v="6.5264096428421823"/>
    <n v="41.125583081438876"/>
    <n v="0.72560029787160973"/>
    <n v="3.4891739999999994E-3"/>
    <n v="6.2013394879499995"/>
    <s v=""/>
    <n v="49.728184149174666"/>
    <n v="4.153169772717753"/>
    <n v="18.739946275420042"/>
    <n v="0.69171154787160971"/>
    <n v="4.471739999999994E-4"/>
    <n v="0.57753803834999928"/>
    <s v=""/>
    <n v="73.890996957534071"/>
    <n v="8861"/>
    <x v="0"/>
  </r>
  <r>
    <n v="8069"/>
    <s v="Collbató"/>
    <n v="1.5475087449008098"/>
    <n v="1.4879441997894511"/>
    <n v="10.201369504593918"/>
    <n v="0.34047874999999994"/>
    <n v="0"/>
    <n v="2.1504675000000001E-2"/>
    <s v=""/>
    <n v="9.1287675260577306"/>
    <n v="4.0918465494209899"/>
    <n v="18.741359593256387"/>
    <n v="1.8301820551955679"/>
    <n v="0"/>
    <n v="0.66171129000000006"/>
    <s v=""/>
    <n v="7.5812587811569205"/>
    <n v="2.6039023496315385"/>
    <n v="8.5399900886624689"/>
    <n v="1.4897033051955679"/>
    <n v="0"/>
    <n v="0.64020661500000009"/>
    <s v=""/>
    <n v="20.855061139646498"/>
    <n v="4396"/>
    <x v="2"/>
  </r>
  <r>
    <n v="8070"/>
    <s v="Collsuspina"/>
    <n v="8.5300343987391915E-4"/>
    <n v="0.10705507096373802"/>
    <n v="1.04778274157088"/>
    <n v="2.6737500000000001"/>
    <n v="10.129860000000001"/>
    <n v="0"/>
    <s v=""/>
    <n v="1.3555929419992363E-3"/>
    <n v="0.29440144515027961"/>
    <n v="1.5154196050710529"/>
    <n v="12.104740206988733"/>
    <n v="11.61894942"/>
    <n v="0"/>
    <s v=""/>
    <n v="5.0258950212531714E-4"/>
    <n v="0.1873463741865416"/>
    <n v="0.46763686350017286"/>
    <n v="9.4309902069887332"/>
    <n v="1.4890894199999991"/>
    <n v="0"/>
    <s v=""/>
    <n v="11.575565454177571"/>
    <n v="349"/>
    <x v="1"/>
  </r>
  <r>
    <n v="8071"/>
    <s v="Copons"/>
    <n v="0.23752369012672056"/>
    <n v="1.8170857562732254"/>
    <n v="0.76448340843424012"/>
    <n v="3.275354375"/>
    <n v="1.009944"/>
    <n v="1.0255324375500003"/>
    <s v=""/>
    <n v="1.406493893472299"/>
    <n v="4.9969858297513703"/>
    <n v="1.1056806902124545"/>
    <n v="14.525532096687254"/>
    <n v="1.1584057679999997"/>
    <n v="1.5151519938"/>
    <s v=""/>
    <n v="1.1689702033455784"/>
    <n v="3.1799000734781449"/>
    <n v="0.3411972817782144"/>
    <n v="11.250177721687255"/>
    <n v="0.14846176799999977"/>
    <n v="0.48961955624999964"/>
    <s v=""/>
    <n v="16.578326604539189"/>
    <n v="300"/>
    <x v="1"/>
  </r>
  <r>
    <n v="8072"/>
    <s v="Corbera de Llobregat"/>
    <n v="16.949642233821404"/>
    <n v="1.5962715181004825"/>
    <n v="44.010497706814405"/>
    <n v="8.5559999999999997E-2"/>
    <n v="0.47624026491456589"/>
    <n v="3.1637743870500006"/>
    <s v=""/>
    <n v="100.26861764156394"/>
    <n v="4.389746674776327"/>
    <n v="80.853513151362677"/>
    <n v="0.73518580337108907"/>
    <n v="0.54624758385700711"/>
    <n v="3.7255405700999997"/>
    <s v=""/>
    <n v="83.318975407742528"/>
    <n v="2.7934751566758447"/>
    <n v="36.843015444548271"/>
    <n v="0.64962580337108911"/>
    <n v="7.0007318942441221E-2"/>
    <n v="0.56176618304999915"/>
    <s v=""/>
    <n v="124.23686531433017"/>
    <n v="14168"/>
    <x v="0"/>
  </r>
  <r>
    <n v="8073"/>
    <s v="Cornellà de Llobregat"/>
    <n v="101.1723677303043"/>
    <n v="0.11953359261906886"/>
    <n v="188.20020554697854"/>
    <n v="0.22027687500000001"/>
    <n v="6.692831102649623"/>
    <n v="1.7854598400000004"/>
    <s v=""/>
    <n v="597.54820804340477"/>
    <n v="0.32871737970243942"/>
    <n v="345.75041381378651"/>
    <n v="6.7119455456645971"/>
    <n v="7.6766772747391165"/>
    <n v="2.0029703099999998"/>
    <s v=""/>
    <n v="496.37584031310047"/>
    <n v="0.20918378708337054"/>
    <n v="157.55020826680797"/>
    <n v="6.4916686706645974"/>
    <n v="0.98384617208949354"/>
    <n v="0.21751046999999946"/>
    <s v=""/>
    <n v="661.82825767974578"/>
    <n v="86072"/>
    <x v="3"/>
  </r>
  <r>
    <n v="8074"/>
    <s v="Cubelles"/>
    <n v="8.7192861137642108"/>
    <n v="1.1834735057376371"/>
    <n v="35.61973072486785"/>
    <n v="0.42075499999999999"/>
    <n v="35.104680000000002"/>
    <n v="0"/>
    <n v="0.1520721649484536"/>
    <n v="47.583497577244323"/>
    <n v="3.2545521407785025"/>
    <n v="65.438486649179026"/>
    <n v="3.1913860010791382"/>
    <n v="40.265067959999996"/>
    <n v="49.641381196950007"/>
    <n v="0.17551375658907498"/>
    <n v="38.86421146348011"/>
    <n v="2.0710786350408652"/>
    <n v="29.818755924311176"/>
    <n v="2.7706310010791384"/>
    <n v="5.1603879599999942"/>
    <n v="49.641381196950007"/>
    <n v="2.3441591640621373E-2"/>
    <n v="128.34988777250192"/>
    <n v="14608"/>
    <x v="0"/>
  </r>
  <r>
    <n v="8075"/>
    <s v="Dosrius"/>
    <n v="0.8066944261868455"/>
    <n v="0.92633328913474444"/>
    <n v="17.910337420669865"/>
    <n v="1.17696"/>
    <n v="8.0369639999999993"/>
    <n v="0"/>
    <s v=""/>
    <n v="4.7207328065066347"/>
    <n v="2.5474165451205475"/>
    <n v="32.903824715512222"/>
    <n v="12.295202556149327"/>
    <n v="9.2183977080000012"/>
    <n v="6.2619440164500011"/>
    <s v=""/>
    <n v="3.9140383803197891"/>
    <n v="1.6210832559858031"/>
    <n v="14.993487294842357"/>
    <n v="11.118242556149328"/>
    <n v="1.1814337080000019"/>
    <n v="6.2619440164500011"/>
    <s v=""/>
    <n v="39.090229211747278"/>
    <n v="5154"/>
    <x v="0"/>
  </r>
  <r>
    <n v="8076"/>
    <s v="Esparreguera"/>
    <n v="19.26893795075922"/>
    <n v="1.9984522516000578"/>
    <n v="38.04633373318763"/>
    <n v="0.53567312499999997"/>
    <n v="0.11559599999999999"/>
    <n v="12.9856578132"/>
    <s v=""/>
    <n v="113.41792290628744"/>
    <n v="5.4957436919001603"/>
    <n v="69.896499815795437"/>
    <n v="3.3080963520303901"/>
    <n v="0.13258861199999999"/>
    <n v="16.6765876941"/>
    <s v=""/>
    <n v="94.148984955528221"/>
    <n v="3.4972914403001027"/>
    <n v="31.850166082607807"/>
    <n v="2.7724232270303899"/>
    <n v="1.6992612000000004E-2"/>
    <n v="3.6909298809000006"/>
    <s v=""/>
    <n v="135.97678819836653"/>
    <n v="21766"/>
    <x v="4"/>
  </r>
  <r>
    <n v="8077"/>
    <s v="Esplugues de Llobregat"/>
    <n v="55.194442523817351"/>
    <n v="0.12077873420885087"/>
    <n v="110.61194528523167"/>
    <n v="0"/>
    <n v="3.0102459525615886"/>
    <n v="0"/>
    <s v=""/>
    <n v="326.12641950284677"/>
    <n v="0.33214151907433981"/>
    <n v="203.20979854387173"/>
    <n v="2.2830049385190168"/>
    <n v="3.4527521075881418"/>
    <n v="0"/>
    <s v=""/>
    <n v="270.9319769790294"/>
    <n v="0.21136278486548893"/>
    <n v="92.597853258640058"/>
    <n v="2.2830049385190168"/>
    <n v="0.44250615502655322"/>
    <n v="0"/>
    <s v=""/>
    <n v="366.46670411608051"/>
    <n v="45733"/>
    <x v="4"/>
  </r>
  <r>
    <n v="8078"/>
    <s v="l'Espunyola"/>
    <n v="1.8868965261483201E-2"/>
    <n v="2.1803423239132895"/>
    <n v="0.14192705495018668"/>
    <n v="6.7663699999999993"/>
    <n v="16.308161999999996"/>
    <n v="0"/>
    <s v=""/>
    <n v="8.2203889454696921E-2"/>
    <n v="5.9959413907615478"/>
    <n v="0.20527064727087788"/>
    <n v="29.628255626427723"/>
    <n v="18.705461813999996"/>
    <n v="0"/>
    <s v=""/>
    <n v="6.3334924193213724E-2"/>
    <n v="3.8155990668482582"/>
    <n v="6.33435923206912E-2"/>
    <n v="22.861885626427725"/>
    <n v="2.3972998140000001"/>
    <n v="0"/>
    <s v=""/>
    <n v="29.201463023789888"/>
    <n v="247"/>
    <x v="1"/>
  </r>
  <r>
    <n v="8079"/>
    <s v="l'Estany"/>
    <n v="6.8927136751682133E-2"/>
    <n v="1.1891225840867863"/>
    <n v="1.06570779834816"/>
    <n v="0.68447999999999998"/>
    <n v="6.1874279999999988"/>
    <n v="0"/>
    <s v=""/>
    <n v="0.38059439826236202"/>
    <n v="3.2700871062386621"/>
    <n v="1.5413448101584897"/>
    <n v="3.0120712491546611"/>
    <n v="7.0969799159999987"/>
    <n v="0"/>
    <s v=""/>
    <n v="0.31166726151067992"/>
    <n v="2.0809645221518758"/>
    <n v="0.47563701181032969"/>
    <n v="2.3275912491546613"/>
    <n v="0.90955191599999985"/>
    <n v="0"/>
    <s v=""/>
    <n v="6.1054119606275465"/>
    <n v="404"/>
    <x v="1"/>
  </r>
  <r>
    <n v="8080"/>
    <s v="Fígols"/>
    <n v="1.1427474107665104E-3"/>
    <n v="2.422808235995328"/>
    <n v="2.1766014671466671E-2"/>
    <n v="0"/>
    <n v="0.11353054736526508"/>
    <n v="0"/>
    <s v=""/>
    <n v="1.8346379683719745E-3"/>
    <n v="6.6627226489871525"/>
    <n v="3.1480424374954671E-2"/>
    <n v="8.6102864813125068E-2"/>
    <n v="0.13021953782795903"/>
    <n v="0"/>
    <s v=""/>
    <n v="6.918905576054641E-4"/>
    <n v="4.2399144129918245"/>
    <n v="9.7144097034880007E-3"/>
    <n v="8.6102864813125068E-2"/>
    <n v="1.6688990462693953E-2"/>
    <n v="0"/>
    <s v=""/>
    <n v="4.3531125685287373"/>
    <n v="40"/>
    <x v="1"/>
  </r>
  <r>
    <n v="8081"/>
    <s v="Fogars de Montclús"/>
    <n v="5.6175566511814219E-2"/>
    <n v="1.11347993755303"/>
    <n v="0.4496967478186667"/>
    <n v="0.5242675"/>
    <n v="0.81829799999999997"/>
    <n v="8.6495953500000007E-3"/>
    <s v=""/>
    <n v="0.30287054812641145"/>
    <n v="3.0620698282708325"/>
    <n v="0.65040131025578674"/>
    <n v="3.4425570245459918"/>
    <n v="0.93858780600000002"/>
    <n v="9.0320373000000002E-3"/>
    <s v=""/>
    <n v="0.24669498161459724"/>
    <n v="1.9485898907178025"/>
    <n v="0.20070456243712004"/>
    <n v="2.9182895245459917"/>
    <n v="0.12028980600000005"/>
    <n v="3.8244194999999953E-4"/>
    <s v=""/>
    <n v="5.4349512072655113"/>
    <n v="462"/>
    <x v="1"/>
  </r>
  <r>
    <n v="8082"/>
    <s v="Fogars de la Selva"/>
    <n v="0.41462667114398799"/>
    <n v="0.748790545241519"/>
    <n v="30.002986441464003"/>
    <n v="1.8125381249999999"/>
    <n v="1.0951200000000001"/>
    <n v="67.837946723249999"/>
    <s v=""/>
    <n v="2.4356068256352024"/>
    <n v="2.0591739994141776"/>
    <n v="43.39364646902785"/>
    <n v="10.978038344551683"/>
    <n v="1.2561026400000002"/>
    <n v="92.043501041249996"/>
    <s v=""/>
    <n v="2.0209801544912143"/>
    <n v="1.3103834541726584"/>
    <n v="13.390660027563847"/>
    <n v="9.1655002195516833"/>
    <n v="0.16098264000000007"/>
    <n v="24.205554317999997"/>
    <s v=""/>
    <n v="50.254060813779397"/>
    <n v="1452"/>
    <x v="2"/>
  </r>
  <r>
    <n v="8083"/>
    <s v="Folgueroles"/>
    <n v="0.62412248635682432"/>
    <n v="3.5296720894464229E-2"/>
    <n v="4.8347520227323724"/>
    <n v="4.3672525000000002"/>
    <n v="21.257496"/>
    <n v="0"/>
    <s v=""/>
    <n v="3.5865636850780866"/>
    <n v="9.7065982459776642E-2"/>
    <n v="6.9925545728316747"/>
    <n v="22.446868186921336"/>
    <n v="24.382347911999997"/>
    <n v="0"/>
    <s v=""/>
    <n v="2.9624411987212622"/>
    <n v="6.1769261565312414E-2"/>
    <n v="2.1578025500993023"/>
    <n v="18.079615686921336"/>
    <n v="3.1248519119999969"/>
    <n v="0"/>
    <s v=""/>
    <n v="26.38648060930721"/>
    <n v="2298"/>
    <x v="2"/>
  </r>
  <r>
    <n v="8084"/>
    <s v="Fonollosa"/>
    <n v="1.4720375126825413"/>
    <n v="5.095059960982967"/>
    <n v="4.8547659429619197"/>
    <n v="10.951011874999999"/>
    <n v="10.412766"/>
    <n v="0"/>
    <s v=""/>
    <n v="8.0319247865321373"/>
    <n v="14.011414892703161"/>
    <n v="7.0215009239089143"/>
    <n v="49.741534856713862"/>
    <n v="11.943442601999999"/>
    <n v="0"/>
    <s v=""/>
    <n v="6.5598872738495961"/>
    <n v="8.9163549317201944"/>
    <n v="2.1667349809469947"/>
    <n v="38.790522981713863"/>
    <n v="1.5306766019999998"/>
    <n v="0"/>
    <s v=""/>
    <n v="57.964176770230651"/>
    <n v="1401"/>
    <x v="2"/>
  </r>
  <r>
    <n v="8085"/>
    <s v="Font-rubí"/>
    <n v="0.53748797844781893"/>
    <n v="1.3284765286594797"/>
    <n v="3.0203013695244794"/>
    <n v="1.2477499999999999"/>
    <n v="8.3807100000000005"/>
    <n v="0"/>
    <s v=""/>
    <n v="3.0814320084888518"/>
    <n v="3.6533104538135697"/>
    <n v="4.3682948067442693"/>
    <n v="6.480798234955687"/>
    <n v="9.6126743700000006"/>
    <n v="0"/>
    <s v=""/>
    <n v="2.543944030041033"/>
    <n v="2.3248339251540902"/>
    <n v="1.3479934372197899"/>
    <n v="5.2330482349556871"/>
    <n v="1.23196437"/>
    <n v="0"/>
    <s v=""/>
    <n v="12.6817839973706"/>
    <n v="1363"/>
    <x v="2"/>
  </r>
  <r>
    <n v="8086"/>
    <s v="les Franqueses del Vallès"/>
    <n v="2.7712573321642786"/>
    <n v="0.27425614225444089"/>
    <n v="25.711958629446023"/>
    <n v="10.487852500000001"/>
    <n v="13.129272"/>
    <n v="3.9304048641000002"/>
    <s v=""/>
    <n v="15.190902398204612"/>
    <n v="0.7542043911997125"/>
    <n v="47.236507049801382"/>
    <n v="67.243978712001876"/>
    <n v="15.059274984"/>
    <n v="8.2686799984500006"/>
    <s v=""/>
    <n v="12.419645066040333"/>
    <n v="0.4799482489452716"/>
    <n v="21.524548420355359"/>
    <n v="56.756126212001874"/>
    <n v="1.9300029839999997"/>
    <n v="4.3382751343500008"/>
    <s v=""/>
    <n v="97.448546065692838"/>
    <n v="19417"/>
    <x v="0"/>
  </r>
  <r>
    <n v="8087"/>
    <s v="Gallifa"/>
    <n v="1.8341435713591207E-2"/>
    <n v="1.8087124293983512"/>
    <n v="0.31129911154986661"/>
    <n v="0.34584750000000003"/>
    <n v="6.0591783286321607E-3"/>
    <n v="0"/>
    <s v=""/>
    <n v="0.10730119069999593"/>
    <n v="4.9739591808454655"/>
    <n v="0.45023529971165854"/>
    <n v="1.7234871101989271"/>
    <n v="6.9498775429410881E-3"/>
    <n v="0"/>
    <s v=""/>
    <n v="8.8959754986404724E-2"/>
    <n v="3.1652467514471141"/>
    <n v="0.13893618816179193"/>
    <n v="1.377639610198927"/>
    <n v="8.9069921430892738E-4"/>
    <n v="0"/>
    <s v=""/>
    <n v="4.7716730040085462"/>
    <n v="187"/>
    <x v="1"/>
  </r>
  <r>
    <n v="8088"/>
    <s v="la Garriga"/>
    <n v="4.016682261867774"/>
    <n v="0.36567485633925445"/>
    <n v="32.685311666620912"/>
    <n v="1.307814375"/>
    <n v="0.16122600000000001"/>
    <n v="71.513712658650007"/>
    <s v=""/>
    <n v="22.66434886571497"/>
    <n v="1.0056058549329498"/>
    <n v="60.047543526969299"/>
    <n v="10.425874991575427"/>
    <n v="0.184926222"/>
    <n v="149.15279904675"/>
    <s v=""/>
    <n v="18.647666603847195"/>
    <n v="0.6399309985936954"/>
    <n v="27.362231860348388"/>
    <n v="9.118060616575427"/>
    <n v="2.3700221999999993E-2"/>
    <n v="77.639086388099997"/>
    <s v=""/>
    <n v="133.43067668946469"/>
    <n v="15912"/>
    <x v="0"/>
  </r>
  <r>
    <n v="8089"/>
    <s v="Gavà"/>
    <n v="41.146188997702616"/>
    <n v="2.0868573044745777"/>
    <n v="123.774479587344"/>
    <n v="4.2022049999999993"/>
    <n v="0.95518799999999993"/>
    <n v="156.8265383028"/>
    <s v="guanya sorra"/>
    <n v="241.77815639622835"/>
    <n v="5.7388575873050884"/>
    <n v="227.39123696773936"/>
    <n v="40.051612436079616"/>
    <n v="1.0956006359999999"/>
    <n v="0"/>
    <s v="No hi ha pèrdua"/>
    <n v="200.63196739852575"/>
    <n v="3.6520002828305107"/>
    <n v="103.61675738039536"/>
    <n v="35.849407436079616"/>
    <n v="0.14041263599999998"/>
    <n v="-156.8265383028"/>
    <s v=""/>
    <n v="187.06400683103121"/>
    <n v="46266"/>
    <x v="4"/>
  </r>
  <r>
    <n v="8090"/>
    <s v="Gaià"/>
    <n v="5.9799737197191047E-2"/>
    <n v="5.3593094241133636"/>
    <n v="1.75938419814112"/>
    <n v="3.8671443749999996"/>
    <n v="11.240189999999998"/>
    <n v="4.4315822999999997E-2"/>
    <s v=""/>
    <n v="0.28547946433823074"/>
    <n v="14.738100916311749"/>
    <n v="2.544616551631667"/>
    <n v="17.045496981314418"/>
    <n v="12.892497929999998"/>
    <n v="4.9831501800000004E-2"/>
    <s v=""/>
    <n v="0.22567972714103968"/>
    <n v="9.3787914921983848"/>
    <n v="0.78523235349054699"/>
    <n v="13.178352606314419"/>
    <n v="1.6523079299999992"/>
    <n v="5.5156788000000068E-3"/>
    <s v=""/>
    <n v="25.22587978794439"/>
    <n v="160"/>
    <x v="1"/>
  </r>
  <r>
    <n v="8091"/>
    <s v="Gelida"/>
    <n v="1.3546517117135033"/>
    <n v="1.6990114094996958"/>
    <n v="23.223809431704645"/>
    <n v="0.36631437499999997"/>
    <n v="1.2168E-2"/>
    <n v="18.7275834609"/>
    <s v=""/>
    <n v="7.5396900874291939"/>
    <n v="4.6722813761241628"/>
    <n v="42.665424822503915"/>
    <n v="3.9632957656868619"/>
    <n v="1.3956695999999998E-2"/>
    <n v="20.952084200399998"/>
    <s v=""/>
    <n v="6.1850383757156902"/>
    <n v="2.9732699666244669"/>
    <n v="19.441615390799271"/>
    <n v="3.596981390686862"/>
    <n v="1.7886959999999976E-3"/>
    <n v="2.224500739499998"/>
    <s v=""/>
    <n v="34.423194559326291"/>
    <n v="7238"/>
    <x v="0"/>
  </r>
  <r>
    <n v="8092"/>
    <s v="Gironella"/>
    <n v="0.55014887464063278"/>
    <n v="0.20822454281854419"/>
    <n v="6.2098158026219741"/>
    <n v="1.5757299999999999"/>
    <n v="8.8278839999999992"/>
    <n v="21.101229089850001"/>
    <s v=""/>
    <n v="2.9674489178024381"/>
    <n v="0.5726174927509966"/>
    <n v="8.9813243125810533"/>
    <n v="8.8426825979996657"/>
    <n v="10.125582948"/>
    <n v="25.069786771350003"/>
    <s v=""/>
    <n v="2.4173000431618052"/>
    <n v="0.36439294993245241"/>
    <n v="2.7715085099590793"/>
    <n v="7.2669525979996656"/>
    <n v="1.2976989480000007"/>
    <n v="3.9685576815000019"/>
    <s v=""/>
    <n v="18.086410730553006"/>
    <n v="4829"/>
    <x v="2"/>
  </r>
  <r>
    <n v="8093"/>
    <s v="Gisclareny"/>
    <n v="0"/>
    <n v="3.1511314146539693"/>
    <n v="1.0608467760426668E-2"/>
    <n v="0"/>
    <n v="8.2309646839817174E-2"/>
    <n v="0"/>
    <s v=""/>
    <n v="0"/>
    <n v="8.665611390298416"/>
    <n v="1.5343142605892269E-2"/>
    <n v="6.2424576989515666E-2"/>
    <n v="9.4409164925270295E-2"/>
    <n v="0"/>
    <s v=""/>
    <n v="0"/>
    <n v="5.5144799756444467"/>
    <n v="4.7346748454656015E-3"/>
    <n v="6.2424576989515666E-2"/>
    <n v="1.209951808545312E-2"/>
    <n v="0"/>
    <s v=""/>
    <n v="5.593738745564881"/>
    <n v="29"/>
    <x v="1"/>
  </r>
  <r>
    <n v="8094"/>
    <s v="la Granada"/>
    <n v="0.24335468005766092"/>
    <n v="3.8143296557081048E-2"/>
    <n v="3.1676160316844792"/>
    <n v="0.34936999999999996"/>
    <n v="0.40154399999999996"/>
    <n v="0"/>
    <s v=""/>
    <n v="1.3635757615908499"/>
    <n v="0.10489406553197288"/>
    <n v="5.819358967090543"/>
    <n v="3.1021432028934846"/>
    <n v="0.46057096800000003"/>
    <n v="0"/>
    <s v=""/>
    <n v="1.120221081533189"/>
    <n v="6.6750768974891822E-2"/>
    <n v="2.6517429354060638"/>
    <n v="2.7527732028934846"/>
    <n v="5.9026968000000068E-2"/>
    <n v="0"/>
    <s v=""/>
    <n v="6.6505149568076298"/>
    <n v="2091"/>
    <x v="2"/>
  </r>
  <r>
    <n v="8095"/>
    <s v="Granera"/>
    <n v="9.6895946220038737E-4"/>
    <n v="0.65821474141065817"/>
    <n v="5.5620203820800011E-2"/>
    <n v="0.55613999999999997"/>
    <n v="3.0419999999999999E-2"/>
    <n v="0"/>
    <s v=""/>
    <n v="1.5368400411569687E-3"/>
    <n v="1.8100905388793098"/>
    <n v="8.0444107317248006E-2"/>
    <n v="2.5254470711771591"/>
    <n v="3.4891739999999997E-2"/>
    <n v="0"/>
    <s v=""/>
    <n v="5.6788057895658134E-4"/>
    <n v="1.1518757974686515"/>
    <n v="2.4823903496447995E-2"/>
    <n v="1.969307071177159"/>
    <n v="4.4717399999999984E-3"/>
    <n v="0"/>
    <s v=""/>
    <n v="3.1510463927212151"/>
    <n v="79"/>
    <x v="1"/>
  </r>
  <r>
    <n v="8096"/>
    <s v="Granollers"/>
    <n v="12.050997081779023"/>
    <n v="3.9919505150368621E-2"/>
    <n v="107.63945035713878"/>
    <n v="2.8850625000000001"/>
    <n v="2.1567779999999996"/>
    <n v="115.98024287189999"/>
    <s v=""/>
    <n v="67.853777138438701"/>
    <n v="0.10977863916351371"/>
    <n v="197.74890465982676"/>
    <n v="37.220967780021233"/>
    <n v="2.4738243659999992"/>
    <n v="191.79488427314999"/>
    <s v=""/>
    <n v="55.802780056659678"/>
    <n v="6.9859134013145086E-2"/>
    <n v="90.109454302687979"/>
    <n v="34.335905280021237"/>
    <n v="0.31704636599999958"/>
    <n v="75.81464140125"/>
    <s v=""/>
    <n v="256.44968654063206"/>
    <n v="60174"/>
    <x v="3"/>
  </r>
  <r>
    <n v="8097"/>
    <s v="Gualba"/>
    <n v="0.12076595312953915"/>
    <n v="0.62286617196453009"/>
    <n v="3.8207439128138661"/>
    <n v="0.46898874999999995"/>
    <n v="7.300799999999999E-2"/>
    <n v="2.57580315"/>
    <s v=""/>
    <n v="0.61908761174948646"/>
    <n v="1.7128819729024578"/>
    <n v="5.5259835858274986"/>
    <n v="3.3378626608450426"/>
    <n v="8.3740176E-2"/>
    <n v="5.8888360659000005"/>
    <s v=""/>
    <n v="0.49832165861994732"/>
    <n v="1.0900158009379277"/>
    <n v="1.7052396730136326"/>
    <n v="2.8688739108450427"/>
    <n v="1.073217600000001E-2"/>
    <n v="3.3130329159000005"/>
    <s v=""/>
    <n v="9.4862161353165515"/>
    <n v="1426"/>
    <x v="2"/>
  </r>
  <r>
    <n v="8098"/>
    <s v="Sant Salvador de Guardiola"/>
    <n v="1.8057095439585029"/>
    <n v="4.2610225929776524"/>
    <n v="9.6567546342348791"/>
    <n v="3.3172962499999996"/>
    <n v="2.6465399999999999"/>
    <n v="0.36894193919999996"/>
    <s v=""/>
    <n v="9.0400080064221626"/>
    <n v="11.717812130688545"/>
    <n v="13.96666953317089"/>
    <n v="16.571391680754843"/>
    <n v="3.03558138"/>
    <n v="0.47630674590000005"/>
    <s v=""/>
    <n v="7.2342984624636593"/>
    <n v="7.4567895377108924"/>
    <n v="4.309914898936011"/>
    <n v="13.254095430754843"/>
    <n v="0.3890413800000001"/>
    <n v="0.10736480670000009"/>
    <s v=""/>
    <n v="32.751504516565404"/>
    <n v="3141"/>
    <x v="2"/>
  </r>
  <r>
    <n v="8099"/>
    <s v="Guardiola de Berguedà"/>
    <n v="8.5559985877541433E-2"/>
    <n v="5.0399593786212957"/>
    <n v="0.74706592128568883"/>
    <n v="8.5559999999999997E-2"/>
    <n v="1.9042919999999997"/>
    <n v="6.9084117404999992"/>
    <s v=""/>
    <n v="0.45142171604240777"/>
    <n v="13.859888291208565"/>
    <n v="1.08048958861403"/>
    <n v="2.3048564863121386"/>
    <n v="2.1842229239999997"/>
    <n v="9.6197545624499998"/>
    <s v=""/>
    <n v="0.36586173016486634"/>
    <n v="8.8199289125872689"/>
    <n v="0.33342366732834117"/>
    <n v="2.2192964863121385"/>
    <n v="0.27993092400000008"/>
    <n v="2.7113428219500006"/>
    <s v=""/>
    <n v="14.729784542342617"/>
    <n v="897"/>
    <x v="1"/>
  </r>
  <r>
    <n v="8100"/>
    <s v="Gurb"/>
    <n v="0.57917348186993622"/>
    <n v="0.21178032536678537"/>
    <n v="33.725034539999996"/>
    <n v="19.880553124999999"/>
    <n v="66.412943999999996"/>
    <n v="5.5588353760500002"/>
    <s v=""/>
    <n v="3.2989050403023605"/>
    <n v="0.58239589475865972"/>
    <n v="48.776885222400004"/>
    <n v="95.902694620421002"/>
    <n v="76.175646767999993"/>
    <n v="96.552591951599737"/>
    <s v=""/>
    <n v="2.7197315584324242"/>
    <n v="0.37061556939187434"/>
    <n v="15.051850682400008"/>
    <n v="76.02214149542101"/>
    <n v="9.7627027679999969"/>
    <n v="90.993756575549739"/>
    <s v=""/>
    <n v="194.92079864919504"/>
    <n v="2559"/>
    <x v="2"/>
  </r>
  <r>
    <n v="8101"/>
    <s v="l'Hospitalet de Llobregat"/>
    <n v="292.73278146562711"/>
    <n v="0.23501717499781274"/>
    <n v="495.39984412069202"/>
    <n v="0.33888750000000001"/>
    <n v="9.1259999999999987E-3"/>
    <n v="1.036001715"/>
    <s v=""/>
    <n v="1728.382802458382"/>
    <n v="0.64629723124398497"/>
    <n v="910.11962824481895"/>
    <n v="4.6075668950147426"/>
    <n v="1.0467522E-2"/>
    <n v="1.0658612700000001"/>
    <s v=""/>
    <n v="1435.6500209927549"/>
    <n v="0.41128005624617225"/>
    <n v="414.71978412412693"/>
    <n v="4.2686793950147424"/>
    <n v="1.3415220000000012E-3"/>
    <n v="2.9859555000000038E-2"/>
    <s v=""/>
    <n v="1855.0809656451427"/>
    <n v="254804"/>
    <x v="3"/>
  </r>
  <r>
    <n v="8102"/>
    <s v="Igualada"/>
    <n v="16.786765304484849"/>
    <n v="0.29595846257771369"/>
    <n v="117.1905144073888"/>
    <n v="0.42066999999999999"/>
    <n v="2.7225899999999994"/>
    <n v="32.215904193900002"/>
    <s v=""/>
    <n v="98.297127770181717"/>
    <n v="0.81388577208871271"/>
    <n v="169.49391893501132"/>
    <n v="30.054951860577148"/>
    <n v="3.1228107299999994"/>
    <n v="41.9227912287"/>
    <s v=""/>
    <n v="81.510362465696872"/>
    <n v="0.51792730951099908"/>
    <n v="52.303404527622519"/>
    <n v="29.634281860577147"/>
    <n v="0.40022073000000002"/>
    <n v="9.7068870347999976"/>
    <s v=""/>
    <n v="174.07308392820752"/>
    <n v="38987"/>
    <x v="4"/>
  </r>
  <r>
    <n v="8103"/>
    <s v="Jorba"/>
    <n v="0.38498327790101594"/>
    <n v="3.1861003205991856"/>
    <n v="1.4917119890333865"/>
    <n v="4.5489399999999991"/>
    <n v="2.564406"/>
    <n v="2.8112436235500002"/>
    <s v=""/>
    <n v="2.258244022418268"/>
    <n v="8.7617758816477611"/>
    <n v="2.1574793166678692"/>
    <n v="20.317899655642503"/>
    <n v="2.9413736819999996"/>
    <n v="3.0186448618499999"/>
    <s v=""/>
    <n v="1.873260744517252"/>
    <n v="5.5756755610485751"/>
    <n v="0.66576732763448265"/>
    <n v="15.768959655642504"/>
    <n v="0.37696768199999964"/>
    <n v="0.20740123829999968"/>
    <s v=""/>
    <n v="24.468032209142812"/>
    <n v="831"/>
    <x v="1"/>
  </r>
  <r>
    <n v="8104"/>
    <s v="la Llacuna"/>
    <n v="0.80549531763500104"/>
    <n v="6.2134743148997114"/>
    <n v="1.4687087559680001"/>
    <n v="5.3189799999999989"/>
    <n v="4.3956899999999992"/>
    <n v="9.6647908500000004E-3"/>
    <s v=""/>
    <n v="4.7787676670261492"/>
    <n v="17.087054365974204"/>
    <n v="2.1242094898380799"/>
    <n v="23.705289374873956"/>
    <n v="5.0418564299999993"/>
    <n v="1.145572395E-2"/>
    <s v=""/>
    <n v="3.9732723493911482"/>
    <n v="10.873580051074493"/>
    <n v="0.65550073387007979"/>
    <n v="18.386309374873957"/>
    <n v="0.64616643000000007"/>
    <n v="1.7909330999999994E-3"/>
    <s v=""/>
    <n v="34.536619872309679"/>
    <n v="872"/>
    <x v="1"/>
  </r>
  <r>
    <n v="8105"/>
    <s v="la Llagosta"/>
    <n v="2.2077352777748978"/>
    <n v="0"/>
    <n v="18.372572193044483"/>
    <n v="0"/>
    <n v="3.050524230023691"/>
    <n v="52.101753166199998"/>
    <s v=""/>
    <n v="12.266281306343231"/>
    <n v="0"/>
    <n v="33.753015413063025"/>
    <n v="2.3135524445401678"/>
    <n v="3.4989512918371739"/>
    <n v="159.55744066080001"/>
    <s v=""/>
    <n v="10.058546028568333"/>
    <n v="0"/>
    <n v="15.380443220018542"/>
    <n v="2.3135524445401678"/>
    <n v="0.44842706181348291"/>
    <n v="107.45568749460001"/>
    <s v=""/>
    <n v="135.65665624954053"/>
    <n v="13247"/>
    <x v="0"/>
  </r>
  <r>
    <n v="8106"/>
    <s v="Llinars del Vallès"/>
    <n v="2.3422883355958843"/>
    <n v="0.51682046362614631"/>
    <n v="29.783206573581975"/>
    <n v="2.8546962499999999"/>
    <n v="4.6268819999999993"/>
    <n v="94.174929786749999"/>
    <s v=""/>
    <n v="13.334780310918482"/>
    <n v="1.4212562749719024"/>
    <n v="54.715965732284914"/>
    <n v="21.01902527548345"/>
    <n v="5.3070336539999996"/>
    <n v="121.42635546690002"/>
    <s v=""/>
    <n v="10.992491975322597"/>
    <n v="0.90443581134575612"/>
    <n v="24.93275915870294"/>
    <n v="18.16432902548345"/>
    <n v="0.68015165400000033"/>
    <n v="27.251425680150021"/>
    <s v=""/>
    <n v="82.925593305004767"/>
    <n v="9717"/>
    <x v="0"/>
  </r>
  <r>
    <n v="8107"/>
    <s v="Lliçà d'Amunt"/>
    <n v="2.5460811751606651"/>
    <n v="0.23860284376136356"/>
    <n v="33.876058871017918"/>
    <n v="5.6027824999999991"/>
    <n v="2.047266"/>
    <n v="59.682417441450006"/>
    <s v=""/>
    <n v="13.944777893827759"/>
    <n v="0.6561578203437497"/>
    <n v="62.235114669473219"/>
    <n v="37.645845100089261"/>
    <n v="2.348214102"/>
    <n v="67.7302755873"/>
    <s v=""/>
    <n v="11.398696718667093"/>
    <n v="0.41755497658238616"/>
    <n v="28.359055798455302"/>
    <n v="32.043062600089264"/>
    <n v="0.300948102"/>
    <n v="8.0478581458499932"/>
    <s v=""/>
    <n v="80.567176341644057"/>
    <n v="14759"/>
    <x v="0"/>
  </r>
  <r>
    <n v="8108"/>
    <s v="Lliçà de Vall"/>
    <n v="1.1933417040973935"/>
    <n v="7.9839010300737243E-2"/>
    <n v="15.147857540189866"/>
    <n v="2.0683799999999999"/>
    <n v="0.42892200000000003"/>
    <n v="48.216419195249998"/>
    <s v=""/>
    <n v="6.5852831447715161"/>
    <n v="0.21955727832702743"/>
    <n v="27.828758197639583"/>
    <n v="15.943092326870886"/>
    <n v="0.49197353400000005"/>
    <n v="56.349541089900001"/>
    <s v=""/>
    <n v="5.3919414406741222"/>
    <n v="0.13971826802629017"/>
    <n v="12.680900657449717"/>
    <n v="13.874712326870887"/>
    <n v="6.305153400000002E-2"/>
    <n v="8.133121894650003"/>
    <s v=""/>
    <n v="40.28344612167102"/>
    <n v="6370"/>
    <x v="0"/>
  </r>
  <r>
    <n v="8109"/>
    <s v="Lluçà"/>
    <n v="5.2642927741833236E-4"/>
    <n v="0.46270156895317466"/>
    <n v="0.73742265590442657"/>
    <n v="6.3599600000000001"/>
    <n v="11.191517999999999"/>
    <n v="0"/>
    <s v=""/>
    <n v="8.366013307467185E-4"/>
    <n v="1.2724293146212304"/>
    <n v="1.0665424287345322"/>
    <n v="28.133938886510201"/>
    <n v="12.836671145999997"/>
    <n v="0"/>
    <s v=""/>
    <n v="3.1017205332838614E-4"/>
    <n v="0.80972774566805583"/>
    <n v="0.32911977283010563"/>
    <n v="21.7739788865102"/>
    <n v="1.6451531459999984"/>
    <n v="0"/>
    <s v=""/>
    <n v="24.558289723061687"/>
    <n v="280"/>
    <x v="1"/>
  </r>
  <r>
    <n v="8110"/>
    <s v="Malgrat de Mar"/>
    <n v="6.3008856782570666"/>
    <n v="0.10539924222060061"/>
    <n v="63.5500978530048"/>
    <n v="4.8772956250000004"/>
    <n v="0.22206599999999999"/>
    <n v="184.73240247929999"/>
    <n v="16.969940174672487"/>
    <n v="37.148190917696979"/>
    <n v="0.28984791610665173"/>
    <n v="116.75052408536429"/>
    <n v="44.572802035055645"/>
    <n v="0.25470970199999998"/>
    <n v="192.79915161884998"/>
    <n v="19.585819338852765"/>
    <n v="30.847305239439912"/>
    <n v="0.18444867388605113"/>
    <n v="53.20042623235949"/>
    <n v="39.695506410055643"/>
    <n v="3.2643701999999997E-2"/>
    <n v="8.0667491395499837"/>
    <n v="2.6158791641802779"/>
    <n v="134.64295856147135"/>
    <n v="18295"/>
    <x v="0"/>
  </r>
  <r>
    <n v="8111"/>
    <s v="Malla"/>
    <n v="0.10221024972030988"/>
    <n v="2.0269404078009159E-2"/>
    <n v="0.5168807540474667"/>
    <n v="5.5249968749999994"/>
    <n v="17.21772"/>
    <n v="0.11477052674999999"/>
    <s v=""/>
    <n v="0.59488390074667075"/>
    <n v="5.5740861214525192E-2"/>
    <n v="0.74757027109751462"/>
    <n v="25.141827086740854"/>
    <n v="19.748724839999998"/>
    <n v="0.29129643105000003"/>
    <s v=""/>
    <n v="0.49267365102636085"/>
    <n v="3.5471457136516032E-2"/>
    <n v="0.23068951705004792"/>
    <n v="19.616830211740854"/>
    <n v="2.5310048399999978"/>
    <n v="0.17652590430000004"/>
    <s v=""/>
    <n v="23.083195581253776"/>
    <n v="267"/>
    <x v="1"/>
  </r>
  <r>
    <n v="8112"/>
    <s v="Manlleu"/>
    <n v="8.6474390135846804"/>
    <n v="2.155080318638905E-2"/>
    <n v="28.895482765352423"/>
    <n v="7.7735581249999992"/>
    <n v="27.225899999999996"/>
    <n v="100.96460620380002"/>
    <s v=""/>
    <n v="50.5008766970452"/>
    <n v="5.9264708762569888E-2"/>
    <n v="41.791851825081416"/>
    <n v="47.725624492758726"/>
    <n v="31.228107299999994"/>
    <n v="122.20302394680002"/>
    <s v=""/>
    <n v="41.85343768346052"/>
    <n v="3.7713905576180838E-2"/>
    <n v="12.896369059728993"/>
    <n v="39.952066367758725"/>
    <n v="4.0022072999999985"/>
    <n v="21.238417742999999"/>
    <s v=""/>
    <n v="119.9802120595244"/>
    <n v="20104"/>
    <x v="4"/>
  </r>
  <r>
    <n v="8113"/>
    <s v="Manresa"/>
    <n v="74.390861982869239"/>
    <n v="1.9752647368997174"/>
    <n v="140.94793599125757"/>
    <n v="8.8356118749999997"/>
    <n v="16.341623999999996"/>
    <n v="45.439979500650004"/>
    <s v=""/>
    <n v="379.2436607623489"/>
    <n v="5.4319780264742237"/>
    <n v="203.85453684341144"/>
    <n v="59.656998047972479"/>
    <n v="18.743842727999997"/>
    <n v="71.264428661550014"/>
    <s v=""/>
    <n v="304.85279877947966"/>
    <n v="3.4567132895745063"/>
    <n v="62.906600852153872"/>
    <n v="50.821386172972481"/>
    <n v="2.4022187280000011"/>
    <n v="25.824449160900009"/>
    <s v=""/>
    <n v="450.26416698308054"/>
    <n v="74752"/>
    <x v="3"/>
  </r>
  <r>
    <n v="8114"/>
    <s v="Martorell"/>
    <n v="23.023624912937088"/>
    <n v="0.55408800745297548"/>
    <n v="159.21116675452322"/>
    <n v="0.29065374999999993"/>
    <n v="3.042E-3"/>
    <n v="62.9160018249"/>
    <s v=""/>
    <n v="135.35298447035819"/>
    <n v="1.5237420204956826"/>
    <n v="292.49344669504762"/>
    <n v="6.6189365830001403"/>
    <n v="3.4891739999999994E-3"/>
    <n v="108.90370647555001"/>
    <s v=""/>
    <n v="112.3293595574211"/>
    <n v="0.96965401304270715"/>
    <n v="133.2822799405244"/>
    <n v="6.3282828330001406"/>
    <n v="4.471739999999994E-4"/>
    <n v="45.987704650650009"/>
    <s v=""/>
    <n v="298.89772816863837"/>
    <n v="27645"/>
    <x v="4"/>
  </r>
  <r>
    <n v="8115"/>
    <s v="Martorelles"/>
    <n v="1.3626313620526456"/>
    <n v="3.809113086867235E-2"/>
    <n v="47.202265229536536"/>
    <n v="7.843E-2"/>
    <n v="3.9545999999999998E-2"/>
    <n v="174.09983191920003"/>
    <s v=""/>
    <n v="7.8261908331110241"/>
    <n v="0.10475060988884896"/>
    <n v="86.717241825681825"/>
    <n v="1.5216415366740756"/>
    <n v="4.535926199999999E-2"/>
    <n v="203.22722035859999"/>
    <s v=""/>
    <n v="6.4635594710583781"/>
    <n v="6.6659479020176604E-2"/>
    <n v="39.514976596145289"/>
    <n v="1.4432115366740756"/>
    <n v="5.8132619999999927E-3"/>
    <n v="29.127388439399965"/>
    <s v=""/>
    <n v="76.621608784297877"/>
    <n v="4725"/>
    <x v="2"/>
  </r>
  <r>
    <n v="8116"/>
    <s v="les Masies de Roda"/>
    <n v="0.25625125065655902"/>
    <n v="8.8649520134281456E-2"/>
    <n v="1.3080524444437331"/>
    <n v="4.3500649999999998"/>
    <n v="14.300441999999999"/>
    <n v="8.2221652413000008"/>
    <s v=""/>
    <n v="1.4883629171652542"/>
    <n v="0.24378618036927402"/>
    <n v="1.891850514543957"/>
    <n v="23.593116881769983"/>
    <n v="16.402606973999998"/>
    <n v="8.8412253887999999"/>
    <s v=""/>
    <n v="1.2321116665086951"/>
    <n v="0.15513666023499256"/>
    <n v="0.58379807010022389"/>
    <n v="19.243051881769983"/>
    <n v="2.102164973999999"/>
    <n v="0.61906014749999905"/>
    <s v=""/>
    <n v="23.935323400113894"/>
    <n v="714"/>
    <x v="1"/>
  </r>
  <r>
    <n v="8117"/>
    <s v="les Masies de Voltregà"/>
    <n v="1.3730580561362633"/>
    <n v="0.12149993364002043"/>
    <n v="20.246826038993493"/>
    <n v="6.2771812499999999"/>
    <n v="38.107133999999995"/>
    <n v="36.246266566050004"/>
    <s v=""/>
    <n v="8.02015738433313"/>
    <n v="0.33412481751005624"/>
    <n v="29.283205289250546"/>
    <n v="36.079545937953647"/>
    <n v="43.708882697999996"/>
    <n v="38.446538940449997"/>
    <s v=""/>
    <n v="6.6470993281968669"/>
    <n v="0.21262488387003581"/>
    <n v="9.0363792502570526"/>
    <n v="29.802364687953649"/>
    <n v="5.6017486980000015"/>
    <n v="2.2002723743999937"/>
    <s v=""/>
    <n v="53.500489222677601"/>
    <n v="3170"/>
    <x v="2"/>
  </r>
  <r>
    <n v="8118"/>
    <s v="el Masnou"/>
    <n v="43.329165579770759"/>
    <n v="0"/>
    <n v="49.38230530203252"/>
    <n v="0.28805437499999997"/>
    <n v="0"/>
    <n v="0"/>
    <n v="34.412671232876718"/>
    <n v="254.5506556022938"/>
    <n v="0"/>
    <n v="90.722283982811518"/>
    <n v="5.7825555319086828"/>
    <n v="0"/>
    <n v="0"/>
    <n v="39.717309241926493"/>
    <n v="211.22149002252303"/>
    <n v="0"/>
    <n v="41.339978680778998"/>
    <n v="5.494501156908683"/>
    <n v="0"/>
    <n v="0"/>
    <n v="5.3046380090497749"/>
    <n v="263.36060786926043"/>
    <n v="23119"/>
    <x v="4"/>
  </r>
  <r>
    <n v="8119"/>
    <s v="Masquefa"/>
    <n v="2.9643754471755948"/>
    <n v="1.0317211209413037"/>
    <n v="21.710634987069447"/>
    <n v="1.1676437499999999"/>
    <n v="3.2275619999999998"/>
    <n v="0"/>
    <s v=""/>
    <n v="17.264972010528997"/>
    <n v="2.8372330825885848"/>
    <n v="39.885509206128731"/>
    <n v="8.6725688229324973"/>
    <n v="3.7020136140000002"/>
    <n v="0"/>
    <s v=""/>
    <n v="14.300596563353402"/>
    <n v="1.805511961647281"/>
    <n v="18.174874219059284"/>
    <n v="7.5049250729324974"/>
    <n v="0.47445161400000035"/>
    <n v="0"/>
    <s v=""/>
    <n v="42.260359430992466"/>
    <n v="8386"/>
    <x v="0"/>
  </r>
  <r>
    <n v="8120"/>
    <s v="Matadepera"/>
    <n v="2.454823568140581"/>
    <n v="2.4247751947026837"/>
    <n v="35.347149804258571"/>
    <n v="7.1300000000000002E-2"/>
    <n v="0.14721474620278965"/>
    <n v="1.5706267037999999"/>
    <s v=""/>
    <n v="14.394556941337973"/>
    <n v="6.6681317854323794"/>
    <n v="51.122968218057117"/>
    <n v="0.42331579863109409"/>
    <n v="0.16885531389459976"/>
    <n v="2.3171544909000001"/>
    <s v=""/>
    <n v="11.939733373197392"/>
    <n v="4.2433565907296957"/>
    <n v="15.775818413798547"/>
    <n v="0.35201579863109411"/>
    <n v="2.1640567691810109E-2"/>
    <n v="0.74652778710000023"/>
    <s v=""/>
    <n v="33.07909253114854"/>
    <n v="8984"/>
    <x v="0"/>
  </r>
  <r>
    <n v="8121"/>
    <s v="Mataró"/>
    <n v="231.28644155636974"/>
    <n v="0.24754071391759386"/>
    <n v="300.91859706019858"/>
    <n v="3.0740618750000004"/>
    <n v="0.85784400000000005"/>
    <n v="0"/>
    <n v="15.776844827586206"/>
    <n v="1358.2689924662341"/>
    <n v="0.68073696327338296"/>
    <n v="552.83005220659356"/>
    <n v="36.636818102620502"/>
    <n v="0.98394706800000009"/>
    <n v="13.056251633699997"/>
    <n v="18.208810953346855"/>
    <n v="1126.9825509098644"/>
    <n v="0.4331962493557891"/>
    <n v="251.91145514639499"/>
    <n v="33.562756227620504"/>
    <n v="0.12610306800000004"/>
    <n v="13.056251633699997"/>
    <n v="2.4319661257606491"/>
    <n v="1428.5042793606963"/>
    <n v="125517"/>
    <x v="3"/>
  </r>
  <r>
    <n v="8122"/>
    <s v="Mediona"/>
    <n v="0.50631968578602204"/>
    <n v="3.3042992903162784"/>
    <n v="8.4573331603193598"/>
    <n v="2.7165300000000001"/>
    <n v="2.8959839999999994"/>
    <n v="0.57294216585000002"/>
    <s v=""/>
    <n v="2.9199017214272396"/>
    <n v="9.0868230483697658"/>
    <n v="12.231933175908761"/>
    <n v="13.593333946163392"/>
    <n v="3.3216936479999992"/>
    <n v="1.1028123264000003"/>
    <s v=""/>
    <n v="2.4135820356412174"/>
    <n v="5.7825237580534878"/>
    <n v="3.7746000155894013"/>
    <n v="10.876803946163392"/>
    <n v="0.42570964799999977"/>
    <n v="0.52987016055000025"/>
    <s v=""/>
    <n v="23.803089563997499"/>
    <n v="2282"/>
    <x v="2"/>
  </r>
  <r>
    <n v="8123"/>
    <s v="Molins de Rei"/>
    <n v="21.727396681531591"/>
    <n v="1.1480205457789743"/>
    <n v="41.584909402324485"/>
    <n v="0.52527562499999991"/>
    <n v="6.9966E-2"/>
    <n v="2.9164123800000001"/>
    <s v=""/>
    <n v="127.56956375096085"/>
    <n v="3.1570565008921787"/>
    <n v="76.397364139294055"/>
    <n v="5.545147117009952"/>
    <n v="8.0251002000000002E-2"/>
    <n v="3.18162192"/>
    <s v=""/>
    <n v="105.84216706942927"/>
    <n v="2.0090359551132044"/>
    <n v="34.81245473696957"/>
    <n v="5.0198714920099521"/>
    <n v="1.0285002000000001E-2"/>
    <n v="0.26520953999999985"/>
    <s v=""/>
    <n v="147.95902379552197"/>
    <n v="25359"/>
    <x v="4"/>
  </r>
  <r>
    <n v="8124"/>
    <s v="Mollet del Vallès"/>
    <n v="8.2731037640905321"/>
    <n v="4.9366105605799362E-2"/>
    <n v="73.103744507572486"/>
    <n v="2.7625043749999998"/>
    <n v="0.69661799999999996"/>
    <n v="386.06544064215007"/>
    <s v=""/>
    <n v="45.82886245904124"/>
    <n v="0.13575679041594826"/>
    <n v="134.30192513005096"/>
    <n v="26.234706265964732"/>
    <n v="0.7990208459999999"/>
    <n v="473.5838615115"/>
    <s v=""/>
    <n v="37.555758694950711"/>
    <n v="8.6390684810148902E-2"/>
    <n v="61.198180622478475"/>
    <n v="23.472201890964733"/>
    <n v="0.10240284599999994"/>
    <n v="87.518420869349939"/>
    <s v=""/>
    <n v="209.933355608554"/>
    <n v="51491"/>
    <x v="3"/>
  </r>
  <r>
    <n v="8125"/>
    <s v="Montcada i Reixac"/>
    <n v="10.034165721663902"/>
    <n v="1.3122735020171903"/>
    <n v="98.144232184975976"/>
    <n v="1.3993262499999997"/>
    <n v="2.244996"/>
    <n v="440.14338650249999"/>
    <s v=""/>
    <n v="58.909663938384249"/>
    <n v="3.6087521305472725"/>
    <n v="180.30484500677835"/>
    <n v="7.5357423252322979"/>
    <n v="2.5750104120000001"/>
    <n v="562.08763893164996"/>
    <s v=""/>
    <n v="48.875498216720345"/>
    <n v="2.2964786285300822"/>
    <n v="82.160612821802374"/>
    <n v="6.1364160752322983"/>
    <n v="0.33001441200000015"/>
    <n v="121.94425242914997"/>
    <s v=""/>
    <n v="261.74327258343504"/>
    <n v="34802"/>
    <x v="4"/>
  </r>
  <r>
    <n v="8126"/>
    <s v="Montgat"/>
    <n v="13.774150094322462"/>
    <n v="0"/>
    <n v="23.796333563351041"/>
    <n v="0.118610625"/>
    <n v="1.4254709999999999"/>
    <n v="0"/>
    <n v="19.664383561643834"/>
    <n v="79.918302077209489"/>
    <n v="0"/>
    <n v="43.717232682435878"/>
    <n v="1.9620305425506341"/>
    <n v="1.635015237"/>
    <n v="0"/>
    <n v="22.69560528110085"/>
    <n v="66.144151982887024"/>
    <n v="0"/>
    <n v="19.920899119084837"/>
    <n v="1.8434199175506341"/>
    <n v="0.20954423700000002"/>
    <n v="0"/>
    <n v="3.0312217194570152"/>
    <n v="91.149236975979505"/>
    <n v="11621"/>
    <x v="0"/>
  </r>
  <r>
    <n v="8127"/>
    <s v="Monistrol de Montserrat"/>
    <n v="3.1194121577668308"/>
    <n v="1.6499075854204159"/>
    <n v="9.8572629442867203"/>
    <n v="0.15241437499999999"/>
    <n v="1.1012039999999998"/>
    <n v="4.1504898086999997"/>
    <s v=""/>
    <n v="16.142895886138891"/>
    <n v="4.537245859906144"/>
    <n v="14.256666888516406"/>
    <n v="2.3246167525475205"/>
    <n v="1.263080988"/>
    <n v="4.7045114199000029"/>
    <s v=""/>
    <n v="13.02348372837206"/>
    <n v="2.8873382744857281"/>
    <n v="4.3994039442296859"/>
    <n v="2.1722023775475208"/>
    <n v="0.16187698800000017"/>
    <n v="0.55402161120000315"/>
    <s v=""/>
    <n v="23.198326923834998"/>
    <n v="2867"/>
    <x v="2"/>
  </r>
  <r>
    <n v="8128"/>
    <s v="Monistrol de Calders"/>
    <n v="0.91554457977279935"/>
    <n v="3.1990700630223685"/>
    <n v="1.4336794471805865"/>
    <n v="0.38325874999999998"/>
    <n v="1.8343259999999999"/>
    <n v="0"/>
    <s v=""/>
    <n v="4.8570309141054269"/>
    <n v="8.7974426733115134"/>
    <n v="2.0735462185487017"/>
    <n v="2.6145539524391821"/>
    <n v="2.1039719219999999"/>
    <n v="0"/>
    <s v=""/>
    <n v="3.9414863343326276"/>
    <n v="5.5983726102891449"/>
    <n v="0.63986677136811521"/>
    <n v="2.2312952024391821"/>
    <n v="0.26964592200000004"/>
    <n v="0"/>
    <s v=""/>
    <n v="12.680666840429071"/>
    <n v="699"/>
    <x v="1"/>
  </r>
  <r>
    <n v="8129"/>
    <s v="Muntanyola"/>
    <n v="8.5935633102245959E-2"/>
    <n v="0.37230468639837522"/>
    <n v="2.2759322952170664"/>
    <n v="3.3502618749999997"/>
    <n v="11.462255999999998"/>
    <n v="0"/>
    <s v=""/>
    <n v="0.50910231916036541"/>
    <n v="1.0238378875955318"/>
    <n v="3.2917056973236902"/>
    <n v="15.622521281966048"/>
    <n v="13.147207631999997"/>
    <n v="0"/>
    <s v=""/>
    <n v="0.42316668605811947"/>
    <n v="0.65153320119715663"/>
    <n v="1.0157734021066238"/>
    <n v="12.272259406966048"/>
    <n v="1.6849516319999989"/>
    <n v="0"/>
    <s v=""/>
    <n v="16.047684328327946"/>
    <n v="604"/>
    <x v="1"/>
  </r>
  <r>
    <n v="8130"/>
    <s v="Montclar"/>
    <n v="2.13604454508667E-2"/>
    <n v="1.3492950374641663"/>
    <n v="0.13663393751392"/>
    <n v="4.4205999999999994"/>
    <n v="9.1990079999999992"/>
    <n v="0"/>
    <s v=""/>
    <n v="0.11994567637574861"/>
    <n v="3.7105613530264576"/>
    <n v="0.19761515380203523"/>
    <n v="19.579476071505887"/>
    <n v="10.551262175999998"/>
    <n v="0"/>
    <s v=""/>
    <n v="9.8585230924881917E-2"/>
    <n v="2.3612663155622915"/>
    <n v="6.0981216288115231E-2"/>
    <n v="15.158876071505887"/>
    <n v="1.3522541759999989"/>
    <n v="0"/>
    <s v=""/>
    <n v="19.031963010281174"/>
    <n v="119"/>
    <x v="1"/>
  </r>
  <r>
    <n v="8131"/>
    <s v="Montesquiu"/>
    <n v="0.51012699994130439"/>
    <n v="4.2868624716709033E-2"/>
    <n v="1.3212280789523201"/>
    <n v="0.24242"/>
    <n v="1.4612038223020503"/>
    <n v="18.765847186049999"/>
    <s v=""/>
    <n v="3.0198430069510835"/>
    <n v="0.11788871797094982"/>
    <n v="1.9109065784123396"/>
    <n v="2.1678596190255215"/>
    <n v="1.6760007841804518"/>
    <n v="23.834789608949993"/>
    <s v=""/>
    <n v="2.509716007009779"/>
    <n v="7.5020093254240791E-2"/>
    <n v="0.58967849946001949"/>
    <n v="1.9254396190255214"/>
    <n v="0.21479696187840158"/>
    <n v="5.068942422899994"/>
    <s v=""/>
    <n v="10.383593603527956"/>
    <n v="931"/>
    <x v="1"/>
  </r>
  <r>
    <n v="8132"/>
    <s v="Montmajor"/>
    <n v="2.6891342918976609E-2"/>
    <n v="5.3934783802065578"/>
    <n v="0.70346536957824002"/>
    <n v="11.430398125"/>
    <n v="32.071806000000002"/>
    <n v="0"/>
    <s v=""/>
    <n v="0.12882532414266901"/>
    <n v="14.832065545568033"/>
    <n v="1.0174296352210943"/>
    <n v="51.547990414660568"/>
    <n v="36.786361482000004"/>
    <n v="0"/>
    <s v=""/>
    <n v="0.1019339812236924"/>
    <n v="9.4385871653614757"/>
    <n v="0.31396426564285429"/>
    <n v="40.117592289660564"/>
    <n v="4.7145554820000015"/>
    <n v="0"/>
    <s v=""/>
    <n v="54.686633183888588"/>
    <n v="471"/>
    <x v="1"/>
  </r>
  <r>
    <n v="8133"/>
    <s v="Montmaneu"/>
    <n v="0.18876499694711601"/>
    <n v="0.57372953360037238"/>
    <n v="0.5841787125386666"/>
    <n v="5.5186200000000003"/>
    <n v="4.3531019999999998"/>
    <n v="0"/>
    <s v=""/>
    <n v="1.1232036972143904"/>
    <n v="1.5777562174010245"/>
    <n v="0.84490404233898664"/>
    <n v="24.201768709106684"/>
    <n v="4.9930079940000001"/>
    <n v="0"/>
    <s v=""/>
    <n v="0.93443870026727438"/>
    <n v="1.0040266838006522"/>
    <n v="0.26072532980032004"/>
    <n v="18.683148709106682"/>
    <n v="0.63990599400000026"/>
    <n v="0"/>
    <s v=""/>
    <n v="21.522245416974929"/>
    <n v="151"/>
    <x v="1"/>
  </r>
  <r>
    <n v="8134"/>
    <s v="Figaró - Montmany"/>
    <n v="0.52435411355955319"/>
    <n v="0.4202213557431933"/>
    <n v="2.475501190251876"/>
    <n v="0.15686"/>
    <n v="0.35921891105363901"/>
    <n v="7.3443467680500003"/>
    <s v=""/>
    <n v="3.0475931819608313"/>
    <n v="1.1556087282937817"/>
    <n v="3.5803443664858685"/>
    <n v="0.95810192340876843"/>
    <n v="0.41202409097852394"/>
    <n v="0"/>
    <s v=""/>
    <n v="2.5232390684012782"/>
    <n v="0.73538737255058839"/>
    <n v="1.1048431762339925"/>
    <n v="0.80124192340876843"/>
    <n v="5.2805179924884926E-2"/>
    <n v="-7.3443467680500003"/>
    <s v=""/>
    <n v="-2.126830047530488"/>
    <n v="1092"/>
    <x v="2"/>
  </r>
  <r>
    <n v="8135"/>
    <s v="Montmeló"/>
    <n v="2.1329238392635843"/>
    <n v="0"/>
    <n v="21.102027557904005"/>
    <n v="0.26213375"/>
    <n v="3.5986653026060731"/>
    <n v="112.7951430108"/>
    <s v=""/>
    <n v="12.147624934507354"/>
    <n v="0"/>
    <n v="38.767411221737476"/>
    <n v="4.3929167768941557"/>
    <n v="4.1276691020891665"/>
    <n v="152.4322840314"/>
    <s v=""/>
    <n v="10.014701095243769"/>
    <n v="0"/>
    <n v="17.66538366383347"/>
    <n v="4.1307830268941554"/>
    <n v="0.5290037994830934"/>
    <n v="39.637141020599998"/>
    <s v=""/>
    <n v="71.977012606054487"/>
    <n v="8784"/>
    <x v="0"/>
  </r>
  <r>
    <n v="8136"/>
    <s v="Montornès del Vallès"/>
    <n v="1.9911650572264139"/>
    <n v="0.22519476569559094"/>
    <n v="33.081707529175048"/>
    <n v="0.89888999999999997"/>
    <n v="8.5175999999999988E-2"/>
    <n v="139.84982470919994"/>
    <s v=""/>
    <n v="10.747039095268706"/>
    <n v="0.61928560566287505"/>
    <n v="60.775778828911925"/>
    <n v="8.0511606417964448"/>
    <n v="9.769687199999999E-2"/>
    <n v="202.68091558440003"/>
    <s v=""/>
    <n v="8.7558740380422915"/>
    <n v="0.39409083996728411"/>
    <n v="27.694071299736876"/>
    <n v="7.152270641796445"/>
    <n v="1.2520872000000002E-2"/>
    <n v="62.83109087520009"/>
    <s v=""/>
    <n v="106.83991856674299"/>
    <n v="16218"/>
    <x v="0"/>
  </r>
  <r>
    <n v="8137"/>
    <s v="Montseny"/>
    <n v="0.21326024847898997"/>
    <n v="0.77766852781481466"/>
    <n v="0.63177429001312013"/>
    <n v="0.31917374999999998"/>
    <n v="0.31332599999999999"/>
    <n v="0"/>
    <s v=""/>
    <n v="1.2506877914170937"/>
    <n v="2.1385884514907403"/>
    <n v="0.91374204506398748"/>
    <n v="1.9928156850008922"/>
    <n v="0.35938492199999994"/>
    <n v="0"/>
    <s v=""/>
    <n v="1.0374275429381037"/>
    <n v="1.3609199236759255"/>
    <n v="0.28196775505086735"/>
    <n v="1.6736419350008922"/>
    <n v="4.6058921999999947E-2"/>
    <n v="0"/>
    <s v=""/>
    <n v="4.4000160786657894"/>
    <n v="320"/>
    <x v="1"/>
  </r>
  <r>
    <n v="8138"/>
    <s v="Moià"/>
    <n v="0.42542250279646165"/>
    <n v="8.4394672287270538"/>
    <n v="12.594511075743997"/>
    <n v="10.899170625"/>
    <n v="35.408880000000003"/>
    <n v="0"/>
    <s v=""/>
    <n v="2.0664139986358672"/>
    <n v="23.208534878999398"/>
    <n v="18.215578710384634"/>
    <n v="54.22489464515467"/>
    <n v="40.613985360000001"/>
    <n v="0"/>
    <s v=""/>
    <n v="1.6409914958394056"/>
    <n v="14.769067650272344"/>
    <n v="5.621067634640637"/>
    <n v="43.325724020154667"/>
    <n v="5.2051053599999975"/>
    <n v="0"/>
    <s v=""/>
    <n v="70.561956160907044"/>
    <n v="5957"/>
    <x v="0"/>
  </r>
  <r>
    <n v="8139"/>
    <s v="Mura"/>
    <n v="2.7103563110919961E-2"/>
    <n v="8.4411187878716198"/>
    <n v="0.53775107605824002"/>
    <n v="0.10518875"/>
    <n v="0.194688"/>
    <n v="0"/>
    <s v=""/>
    <n v="0.12137946431525483"/>
    <n v="23.213076666646952"/>
    <n v="0.77775524540989449"/>
    <n v="0.68608542670790285"/>
    <n v="0.22330713599999996"/>
    <n v="0"/>
    <s v=""/>
    <n v="9.4275901204334864E-2"/>
    <n v="14.771957878775332"/>
    <n v="0.24000416935165447"/>
    <n v="0.5808966767079029"/>
    <n v="2.8619135999999962E-2"/>
    <n v="0"/>
    <s v=""/>
    <n v="15.715753762039226"/>
    <n v="219"/>
    <x v="1"/>
  </r>
  <r>
    <n v="8140"/>
    <s v="Navarcles"/>
    <n v="6.0361273335901631"/>
    <n v="0.38646483982820556"/>
    <n v="11.844313813659948"/>
    <n v="0.70327062499999993"/>
    <n v="5.7797999999999995E-2"/>
    <n v="5.5839538565999982"/>
    <s v=""/>
    <n v="30.76642845302332"/>
    <n v="1.0627783095275656"/>
    <n v="17.130560229427068"/>
    <n v="4.2511244522156684"/>
    <n v="6.6294305999999997E-2"/>
    <n v="6.8077673063999997"/>
    <s v=""/>
    <n v="24.730301119433157"/>
    <n v="0.67631346969936001"/>
    <n v="5.2862464157671205"/>
    <n v="3.5478538272156683"/>
    <n v="8.4963060000000021E-3"/>
    <n v="1.2238134498000015"/>
    <s v=""/>
    <n v="35.473024587915305"/>
    <n v="5988"/>
    <x v="0"/>
  </r>
  <r>
    <n v="8141"/>
    <s v="Navàs"/>
    <n v="5.6197302177776436"/>
    <n v="10.672375192178908"/>
    <n v="10.966278909796266"/>
    <n v="9.1077793749999998"/>
    <n v="20.405736000000001"/>
    <n v="2.36931336"/>
    <s v=""/>
    <n v="28.216163806534052"/>
    <n v="29.349031778492002"/>
    <n v="15.860648773110444"/>
    <n v="45.431645761633007"/>
    <n v="23.405379191999998"/>
    <n v="3.0957976722000002"/>
    <s v=""/>
    <n v="22.596433588756408"/>
    <n v="18.676656586313094"/>
    <n v="4.8943698633141786"/>
    <n v="36.323866386633007"/>
    <n v="2.9996431919999971"/>
    <n v="0.7264843122000002"/>
    <s v=""/>
    <n v="86.217453929216688"/>
    <n v="6045"/>
    <x v="0"/>
  </r>
  <r>
    <n v="8142"/>
    <s v="la Nou de Berguedà"/>
    <n v="1.6126371475643574E-2"/>
    <n v="2.066512907172485"/>
    <n v="0.14117117160959999"/>
    <n v="0.22103"/>
    <n v="0.60839999999999994"/>
    <n v="0"/>
    <s v=""/>
    <n v="7.7800758330604194E-2"/>
    <n v="5.6829104947243341"/>
    <n v="0.204177404952576"/>
    <n v="1.2912043171038892"/>
    <n v="0.69783479999999998"/>
    <n v="0"/>
    <s v=""/>
    <n v="6.1674386854960621E-2"/>
    <n v="3.616397587551849"/>
    <n v="6.3006233342976004E-2"/>
    <n v="1.0701743171038891"/>
    <n v="8.9434800000000036E-2"/>
    <n v="0"/>
    <s v=""/>
    <n v="4.9006873248536751"/>
    <n v="151"/>
    <x v="1"/>
  </r>
  <r>
    <n v="8143"/>
    <s v="Òdena"/>
    <n v="1.4972610322069364"/>
    <n v="4.0309873282931061"/>
    <n v="8.2791455197354651"/>
    <n v="11.718197499999999"/>
    <n v="11.361869999999998"/>
    <n v="0"/>
    <s v=""/>
    <n v="8.7593521000152741"/>
    <n v="11.08521515280604"/>
    <n v="11.974218448218792"/>
    <n v="53.311668093836865"/>
    <n v="13.032064889999999"/>
    <n v="0"/>
    <s v=""/>
    <n v="7.2620910678083375"/>
    <n v="7.0542278245129335"/>
    <n v="3.6950729284833272"/>
    <n v="41.593470593836869"/>
    <n v="1.6701948900000012"/>
    <n v="0"/>
    <s v=""/>
    <n v="61.275057304641464"/>
    <n v="3607"/>
    <x v="2"/>
  </r>
  <r>
    <n v="8144"/>
    <s v="Olvan"/>
    <n v="0.16617622590513412"/>
    <n v="2.4237336784078543"/>
    <n v="0.60838046553087999"/>
    <n v="3.9927999999999995"/>
    <n v="10.172447999999999"/>
    <n v="5.1258976723499998"/>
    <s v=""/>
    <n v="0.88971538657395066"/>
    <n v="6.6652676156216"/>
    <n v="0.87990730160865294"/>
    <n v="19.293770069678342"/>
    <n v="11.667797856"/>
    <n v="5.62679308365"/>
    <s v=""/>
    <n v="0.72353916066881652"/>
    <n v="4.2415339372137453"/>
    <n v="0.27152683607777295"/>
    <n v="15.300970069678343"/>
    <n v="1.4953498560000007"/>
    <n v="0.50089541130000015"/>
    <s v=""/>
    <n v="22.533815270938678"/>
    <n v="855"/>
    <x v="1"/>
  </r>
  <r>
    <n v="8145"/>
    <s v="Olèrdola"/>
    <n v="0.33222321570946217"/>
    <n v="1.6619579214156743"/>
    <n v="10.8843494982368"/>
    <n v="0.54187999999999992"/>
    <n v="0.37112400000000001"/>
    <n v="0"/>
    <s v=""/>
    <n v="1.83038705471263"/>
    <n v="4.5703842838931035"/>
    <n v="19.996090504640101"/>
    <n v="5.02676924745455"/>
    <n v="0.42567922799999997"/>
    <n v="0"/>
    <s v=""/>
    <n v="1.4981638390031677"/>
    <n v="2.9084263624774289"/>
    <n v="9.1117410064033013"/>
    <n v="4.4848892474545501"/>
    <n v="5.4555227999999956E-2"/>
    <n v="0"/>
    <s v=""/>
    <n v="18.057775683338452"/>
    <n v="3529"/>
    <x v="2"/>
  </r>
  <r>
    <n v="8146"/>
    <s v="Olesa de Bonesvalls"/>
    <n v="0.19520879871561439"/>
    <n v="2.935944026422181"/>
    <n v="6.9959998338559997"/>
    <n v="2.8519999999999997E-2"/>
    <n v="0"/>
    <n v="0"/>
    <s v=""/>
    <n v="1.0916929428364581"/>
    <n v="8.0738460726609986"/>
    <n v="10.118390850191361"/>
    <n v="1.4224601634190517"/>
    <n v="0"/>
    <n v="0"/>
    <s v=""/>
    <n v="0.89648414412084376"/>
    <n v="5.1379020462388176"/>
    <n v="3.122391016335361"/>
    <n v="1.3939401634190516"/>
    <n v="0"/>
    <n v="0"/>
    <s v=""/>
    <n v="10.550717370114073"/>
    <n v="1723"/>
    <x v="2"/>
  </r>
  <r>
    <n v="8147"/>
    <s v="Olesa de Montserrat"/>
    <n v="5.1111337109689057"/>
    <n v="1.1430399794198463"/>
    <n v="56.981385618969185"/>
    <n v="8.4721875000000002E-2"/>
    <n v="9.1259999999999987E-3"/>
    <n v="4.2594748300500003"/>
    <s v=""/>
    <n v="30.225477725354505"/>
    <n v="3.1433599434045774"/>
    <n v="104.68287003291127"/>
    <n v="1.35740729444355"/>
    <n v="1.0467522E-2"/>
    <n v="6.2362140514500002"/>
    <s v=""/>
    <n v="25.114344014385601"/>
    <n v="2.0003199639847313"/>
    <n v="47.701484413942083"/>
    <n v="1.27268541944355"/>
    <n v="1.3415220000000012E-3"/>
    <n v="1.9767392213999999"/>
    <s v=""/>
    <n v="78.066914555155961"/>
    <n v="23645"/>
    <x v="4"/>
  </r>
  <r>
    <n v="8148"/>
    <s v="Olivella"/>
    <n v="1.8282157124537559"/>
    <n v="6.6427222580112533"/>
    <n v="10.117423939489065"/>
    <n v="4.2779999999999999E-2"/>
    <n v="9.1259999999999987E-3"/>
    <n v="0"/>
    <s v=""/>
    <n v="9.8131271069403745"/>
    <n v="18.267486209530947"/>
    <n v="18.587139709231923"/>
    <n v="1.0847185577970753"/>
    <n v="1.0467522E-2"/>
    <n v="0"/>
    <s v=""/>
    <n v="7.9849113944866188"/>
    <n v="11.624763951519693"/>
    <n v="8.4697157697428587"/>
    <n v="1.0419385577970752"/>
    <n v="1.3415220000000012E-3"/>
    <n v="0"/>
    <s v=""/>
    <n v="29.122671195546246"/>
    <n v="3569"/>
    <x v="2"/>
  </r>
  <r>
    <n v="8149"/>
    <s v="Olost"/>
    <n v="0.41066676842159999"/>
    <n v="0.15679665453448466"/>
    <n v="6.1190784213196814"/>
    <n v="7.5364100000000001"/>
    <n v="18.440604"/>
    <n v="0"/>
    <s v=""/>
    <n v="2.3824371156734259"/>
    <n v="0.43119079996983284"/>
    <n v="8.8500898485239823"/>
    <n v="34.353680551068173"/>
    <n v="21.151372788"/>
    <n v="0"/>
    <s v=""/>
    <n v="1.9717703472518258"/>
    <n v="0.27439414543534818"/>
    <n v="2.7310114272043009"/>
    <n v="26.817270551068173"/>
    <n v="2.7107687879999993"/>
    <n v="0"/>
    <s v=""/>
    <n v="34.505215258959652"/>
    <n v="1185"/>
    <x v="2"/>
  </r>
  <r>
    <n v="8150"/>
    <s v="Orís"/>
    <n v="5.7018529105709065E-2"/>
    <n v="0.21411014192747604"/>
    <n v="1.5519130738026667"/>
    <n v="3.8247043749999996"/>
    <n v="15.544619999999997"/>
    <n v="9.3881862978000026"/>
    <s v=""/>
    <n v="0.33028569106301714"/>
    <n v="0.58880289030055921"/>
    <n v="2.2445488020548265"/>
    <n v="18.796313552945936"/>
    <n v="17.829679139999996"/>
    <n v="16.853790728850001"/>
    <s v=""/>
    <n v="0.27326716195730805"/>
    <n v="0.3746927483730832"/>
    <n v="0.6926357282521598"/>
    <n v="14.971609177945936"/>
    <n v="2.2850591399999995"/>
    <n v="7.4656044310499983"/>
    <s v=""/>
    <n v="26.062868387578483"/>
    <n v="310"/>
    <x v="1"/>
  </r>
  <r>
    <n v="8151"/>
    <s v="Oristà"/>
    <n v="0.30266711272288199"/>
    <n v="0.53178062997765407"/>
    <n v="2.6648401458009601"/>
    <n v="13.704783124999999"/>
    <n v="50.916995999999997"/>
    <n v="0"/>
    <s v=""/>
    <n v="1.7783526917918684"/>
    <n v="1.4623967324385492"/>
    <n v="3.8541873626136578"/>
    <n v="60.712778505802085"/>
    <n v="58.401794412000001"/>
    <n v="0"/>
    <s v=""/>
    <n v="1.4756855790689865"/>
    <n v="0.9306161024608951"/>
    <n v="1.1893472168126977"/>
    <n v="47.007995380802086"/>
    <n v="7.4847984120000035"/>
    <n v="0"/>
    <s v=""/>
    <n v="58.088442691144671"/>
    <n v="547"/>
    <x v="1"/>
  </r>
  <r>
    <n v="8152"/>
    <s v="Orpí"/>
    <n v="4.8617799342047192E-2"/>
    <n v="1.8022051631827258"/>
    <n v="0.24744514239103998"/>
    <n v="2.0418643749999998"/>
    <n v="2.3453819999999999"/>
    <n v="0.8666780383499999"/>
    <s v=""/>
    <n v="0.28306644147549853"/>
    <n v="4.9560641987524967"/>
    <n v="0.35788260779786252"/>
    <n v="9.0496996076057208"/>
    <n v="2.6901531539999999"/>
    <n v="1.10782283145"/>
    <s v=""/>
    <n v="0.23444864213345135"/>
    <n v="3.1538590355697709"/>
    <n v="0.11043746540682253"/>
    <n v="7.0078352326057214"/>
    <n v="0.34477115400000002"/>
    <n v="0.24114479310000014"/>
    <s v=""/>
    <n v="11.092496322815766"/>
    <n v="139"/>
    <x v="1"/>
  </r>
  <r>
    <n v="8153"/>
    <s v="Òrrius"/>
    <n v="0.65294347153047161"/>
    <n v="0.12873189889539008"/>
    <n v="1.787304645568"/>
    <n v="8.2037500000000013E-2"/>
    <n v="0.47147726559816078"/>
    <n v="0"/>
    <s v=""/>
    <n v="3.8094822149039431"/>
    <n v="0.35401272196232275"/>
    <n v="3.283531593498624"/>
    <n v="0.92329963359193135"/>
    <n v="0.54078442364109036"/>
    <n v="0"/>
    <s v=""/>
    <n v="3.1565387433734715"/>
    <n v="0.22528082306693267"/>
    <n v="1.4962269479306241"/>
    <n v="0.84126213359193136"/>
    <n v="6.9307158042929584E-2"/>
    <n v="0"/>
    <s v=""/>
    <n v="5.7886158060058888"/>
    <n v="702"/>
    <x v="1"/>
  </r>
  <r>
    <n v="8154"/>
    <s v="Pacs del Penedès"/>
    <n v="0.12747557518964556"/>
    <n v="0.10462161341370801"/>
    <n v="7.296675946118401"/>
    <n v="0.15686"/>
    <n v="0.69661799999999996"/>
    <n v="0"/>
    <s v=""/>
    <n v="0.72357283278920104"/>
    <n v="0.28770943688769701"/>
    <n v="13.405026421216055"/>
    <n v="1.3590425520485006"/>
    <n v="0.7990208459999999"/>
    <n v="2.1558830701500002"/>
    <s v=""/>
    <n v="0.59609725759955545"/>
    <n v="0.183087823473989"/>
    <n v="6.1083504750976543"/>
    <n v="1.2021825520485006"/>
    <n v="0.10240284599999994"/>
    <n v="2.1558830701500002"/>
    <s v=""/>
    <n v="10.3480040243697"/>
    <n v="894"/>
    <x v="1"/>
  </r>
  <r>
    <n v="8155"/>
    <s v="Palafolls"/>
    <n v="2.198237297732812"/>
    <n v="0.20167997493611114"/>
    <n v="51.391221397725865"/>
    <n v="4.2741731249999999"/>
    <n v="0.748332"/>
    <n v="117.20347940580002"/>
    <s v=""/>
    <n v="12.861383024122802"/>
    <n v="0.55461993107430552"/>
    <n v="94.412947175152027"/>
    <n v="39.940291022816751"/>
    <n v="0.8583368039999999"/>
    <n v="140.85756971730001"/>
    <s v=""/>
    <n v="10.66314572638999"/>
    <n v="0.3529399561381944"/>
    <n v="43.021725777426163"/>
    <n v="35.666117897816754"/>
    <n v="0.1100048039999999"/>
    <n v="23.654090311499985"/>
    <s v=""/>
    <n v="113.46802447327109"/>
    <n v="9133"/>
    <x v="0"/>
  </r>
  <r>
    <n v="8156"/>
    <s v="Palau-solità i Plegamans"/>
    <n v="3.1812198126808462"/>
    <n v="0.50720507279424665"/>
    <n v="36.562347707544966"/>
    <n v="3.0125525"/>
    <n v="4.4686979999999989"/>
    <n v="7.6236960200999997"/>
    <s v=""/>
    <n v="18.732406599872917"/>
    <n v="1.3948139501841781"/>
    <n v="67.170207456185068"/>
    <n v="15.63855526171775"/>
    <n v="5.1255966059999993"/>
    <n v="27.409093065600004"/>
    <s v=""/>
    <n v="15.551186787192071"/>
    <n v="0.88760887738993144"/>
    <n v="30.607859748640102"/>
    <n v="12.62600276171775"/>
    <n v="0.65689860600000038"/>
    <n v="19.785397045500005"/>
    <s v=""/>
    <n v="80.114953826439859"/>
    <n v="14494"/>
    <x v="0"/>
  </r>
  <r>
    <n v="8157"/>
    <s v="Pallejà"/>
    <n v="15.810507196341359"/>
    <n v="0.61260966217272794"/>
    <n v="27.994028179948799"/>
    <n v="5.0833125E-2"/>
    <n v="0.58829679783564026"/>
    <n v="7.4054723243999998"/>
    <s v=""/>
    <n v="93.612379673721506"/>
    <n v="1.6846765709750022"/>
    <n v="51.428991798396517"/>
    <n v="0.82371546271087726"/>
    <n v="0.67477642711747943"/>
    <n v="37.623837208799998"/>
    <s v=""/>
    <n v="77.801872477380144"/>
    <n v="1.0720669088022743"/>
    <n v="23.434963618447718"/>
    <n v="0.77288233771087722"/>
    <n v="8.6479629281839165E-2"/>
    <n v="30.218364884399996"/>
    <s v=""/>
    <n v="133.38662985602286"/>
    <n v="11348"/>
    <x v="0"/>
  </r>
  <r>
    <n v="8158"/>
    <s v="el Papiol"/>
    <n v="3.4709641765148955"/>
    <n v="0.5042823438616969"/>
    <n v="14.587690764749439"/>
    <n v="0.229168125"/>
    <n v="6.0839999999999998E-2"/>
    <n v="13.872337771799998"/>
    <s v=""/>
    <n v="20.376679156716172"/>
    <n v="1.3867764456196665"/>
    <n v="26.799652550010965"/>
    <n v="1.7922471732787342"/>
    <n v="6.9783479999999995E-2"/>
    <n v="23.586339492299999"/>
    <s v=""/>
    <n v="16.905714980201274"/>
    <n v="0.88249410175796961"/>
    <n v="12.211961785261526"/>
    <n v="1.5630790482787342"/>
    <n v="8.9434799999999967E-3"/>
    <n v="9.7140017205000007"/>
    <s v=""/>
    <n v="41.286195115999504"/>
    <n v="4075"/>
    <x v="2"/>
  </r>
  <r>
    <n v="8159"/>
    <s v="Parets del Vallès"/>
    <n v="2.9068287800498798"/>
    <n v="3.1996549929684773E-2"/>
    <n v="62.406663007386875"/>
    <n v="2.4825150000000002"/>
    <n v="5.1713999999999996E-2"/>
    <n v="60.535733238900001"/>
    <s v=""/>
    <n v="16.047244621335956"/>
    <n v="8.7990512306633115E-2"/>
    <n v="114.64987244211832"/>
    <n v="28.12694914786276"/>
    <n v="5.9315957999999995E-2"/>
    <n v="91.4737722789"/>
    <s v=""/>
    <n v="13.140415841286076"/>
    <n v="5.5993962376948342E-2"/>
    <n v="52.243209434731448"/>
    <n v="25.644434147862761"/>
    <n v="7.6019579999999989E-3"/>
    <n v="30.93803904"/>
    <s v=""/>
    <n v="122.02969438425723"/>
    <n v="18837"/>
    <x v="0"/>
  </r>
  <r>
    <n v="8160"/>
    <s v="Perafita"/>
    <n v="7.7272297506762375E-4"/>
    <n v="0.12639254841747091"/>
    <n v="1.46808531164064"/>
    <n v="3.0954281250000002"/>
    <n v="13.871519999999999"/>
    <n v="0"/>
    <s v=""/>
    <n v="1.228011239060362E-3"/>
    <n v="0.34757950814804506"/>
    <n v="2.1233077955088384"/>
    <n v="14.589544959338401"/>
    <n v="15.91063344"/>
    <n v="0"/>
    <s v=""/>
    <n v="4.5528826399273824E-4"/>
    <n v="0.22118695973057415"/>
    <n v="0.65522248386819837"/>
    <n v="11.494116834338401"/>
    <n v="2.0391134400000013"/>
    <n v="0"/>
    <s v=""/>
    <n v="14.410095006201168"/>
    <n v="411"/>
    <x v="1"/>
  </r>
  <r>
    <n v="8161"/>
    <s v="Piera"/>
    <n v="6.7436673457197829"/>
    <n v="3.9483173666792202"/>
    <n v="49.577063622741008"/>
    <n v="2.951066875"/>
    <n v="2.7043379999999999"/>
    <n v="0.92452128329999994"/>
    <s v=""/>
    <n v="39.529529549093176"/>
    <n v="10.857872758367852"/>
    <n v="91.080082582355715"/>
    <n v="19.052366063015565"/>
    <n v="3.1018756859999996"/>
    <n v="0.94006518329999988"/>
    <s v=""/>
    <n v="32.785862203373391"/>
    <n v="6.9095553916886328"/>
    <n v="41.503018959614707"/>
    <n v="16.101299188015567"/>
    <n v="0.39753768599999972"/>
    <n v="1.5543899999999944E-2"/>
    <s v=""/>
    <n v="97.712817328692282"/>
    <n v="15001"/>
    <x v="0"/>
  </r>
  <r>
    <n v="8162"/>
    <s v="els Hostalets de Pierola"/>
    <n v="0.79724800854463829"/>
    <n v="3.4489907985313448"/>
    <n v="11.966227645336321"/>
    <n v="1.5998043749999999"/>
    <n v="2.1293999999999997E-2"/>
    <n v="0"/>
    <s v=""/>
    <n v="4.6015063368047793"/>
    <n v="9.4847246959611979"/>
    <n v="21.983653780506867"/>
    <n v="8.5532426204775724"/>
    <n v="2.4424217999999998E-2"/>
    <n v="0"/>
    <s v=""/>
    <n v="3.8042583282601408"/>
    <n v="6.0357338974298536"/>
    <n v="10.017426135170545"/>
    <n v="6.9534382454775727"/>
    <n v="3.1302180000000006E-3"/>
    <n v="0"/>
    <s v=""/>
    <n v="26.813986824338112"/>
    <n v="2891"/>
    <x v="2"/>
  </r>
  <r>
    <n v="8163"/>
    <s v="Pineda de Mar"/>
    <n v="7.2810329723266154"/>
    <n v="0.16493774545971851"/>
    <n v="57.292028128522666"/>
    <n v="1.9994362499999998"/>
    <n v="0"/>
    <n v="0"/>
    <n v="10.882002183406113"/>
    <n v="42.743704720845535"/>
    <n v="0.4535788000142259"/>
    <n v="105.25356428860621"/>
    <n v="19.381788574424974"/>
    <n v="0"/>
    <n v="195.58359211110002"/>
    <n v="12.55943902072754"/>
    <n v="35.462671748518922"/>
    <n v="0.28864105455450739"/>
    <n v="47.961536160083547"/>
    <n v="17.382352324424975"/>
    <n v="0"/>
    <n v="195.58359211110002"/>
    <n v="1.6774368373214266"/>
    <n v="298.35623023600334"/>
    <n v="26240"/>
    <x v="4"/>
  </r>
  <r>
    <n v="8164"/>
    <s v="el Pla del Penedès"/>
    <n v="0.16076169822441375"/>
    <n v="0.14603433538996743"/>
    <n v="2.1670991726783995"/>
    <n v="0.22815999999999997"/>
    <n v="1.24722"/>
    <n v="0"/>
    <s v=""/>
    <n v="0.90671267839470815"/>
    <n v="0.40159442232241038"/>
    <n v="3.9812678926221303"/>
    <n v="1.941114051517518"/>
    <n v="1.4305613400000001"/>
    <n v="0"/>
    <s v=""/>
    <n v="0.74595098017029438"/>
    <n v="0.25556008693244292"/>
    <n v="1.8141687199437309"/>
    <n v="1.7129540515175181"/>
    <n v="0.18334134000000013"/>
    <n v="0"/>
    <s v=""/>
    <n v="4.7119751785639865"/>
    <n v="1253"/>
    <x v="2"/>
  </r>
  <r>
    <n v="8165"/>
    <s v="la Pobla de Claramunt"/>
    <n v="0.91694710452863226"/>
    <n v="2.0287208580047751"/>
    <n v="83.844052108381874"/>
    <n v="0.92245437499999994"/>
    <n v="1.8251999999999997E-2"/>
    <n v="25.503397917299999"/>
    <s v=""/>
    <n v="5.3674774075223111"/>
    <n v="5.5789823595131312"/>
    <n v="121.2645668730416"/>
    <n v="5.2104852641970654"/>
    <n v="2.0935044E-2"/>
    <n v="32.410203289199998"/>
    <s v=""/>
    <n v="4.4505303029936787"/>
    <n v="3.5502615015083561"/>
    <n v="37.420514764659728"/>
    <n v="4.2880308891970653"/>
    <n v="2.6830440000000025E-3"/>
    <n v="6.9068053718999991"/>
    <s v=""/>
    <n v="56.618825874258832"/>
    <n v="2159"/>
    <x v="2"/>
  </r>
  <r>
    <n v="8166"/>
    <s v="la Pobla de Lillet"/>
    <n v="0.26796124064877064"/>
    <n v="3.9312793684141147"/>
    <n v="1.8634301931059198"/>
    <n v="0.70427874999999995"/>
    <n v="2.3636339999999998"/>
    <n v="5.0992270834499998"/>
    <s v=""/>
    <n v="1.4684112036223222"/>
    <n v="10.811018263138816"/>
    <n v="2.6950994087575553"/>
    <n v="6.3999533128384867"/>
    <n v="2.7110881979999997"/>
    <n v="5.9588298761999985"/>
    <s v=""/>
    <n v="1.2004499629735517"/>
    <n v="6.8797388947247011"/>
    <n v="0.83166921565163543"/>
    <n v="5.6956745628384864"/>
    <n v="0.34745419799999988"/>
    <n v="0.85960279274999873"/>
    <s v=""/>
    <n v="15.814589626938371"/>
    <n v="1110"/>
    <x v="2"/>
  </r>
  <r>
    <n v="8167"/>
    <s v="Polinyà"/>
    <n v="1.0501257034118276"/>
    <n v="0.27991978074022095"/>
    <n v="15.689637403712426"/>
    <n v="1.910086875"/>
    <n v="0.86392800000000003"/>
    <n v="19.883975200499997"/>
    <s v=""/>
    <n v="6.0975134385915002"/>
    <n v="0.76977939703560783"/>
    <n v="28.824084485751118"/>
    <n v="9.4809185803406155"/>
    <n v="0.99092541600000006"/>
    <n v="23.847498745950002"/>
    <s v=""/>
    <n v="5.0473877351796723"/>
    <n v="0.48985961629538688"/>
    <n v="13.134447082038692"/>
    <n v="7.5708317053406153"/>
    <n v="0.12699741600000003"/>
    <n v="3.9635235454500055"/>
    <s v=""/>
    <n v="30.333047100304373"/>
    <n v="8300"/>
    <x v="0"/>
  </r>
  <r>
    <n v="8168"/>
    <s v="Pontons"/>
    <n v="0.14546523834325895"/>
    <n v="2.1349347987234792"/>
    <n v="0.46306024674517338"/>
    <n v="0.86541437499999996"/>
    <n v="0.13080600000000001"/>
    <n v="0"/>
    <s v=""/>
    <n v="0.82509984856599405"/>
    <n v="5.8710706964895678"/>
    <n v="0.66972908448044388"/>
    <n v="4.1758864152682138"/>
    <n v="0.15003448200000002"/>
    <n v="0.85767878790000007"/>
    <s v=""/>
    <n v="0.67963461022273508"/>
    <n v="3.7361358977660886"/>
    <n v="0.20666883773527051"/>
    <n v="3.310472040268214"/>
    <n v="1.9228482000000019E-2"/>
    <n v="0.85767878790000007"/>
    <s v=""/>
    <n v="8.8098186558923075"/>
    <n v="453"/>
    <x v="1"/>
  </r>
  <r>
    <n v="8169"/>
    <s v="el Prat de Llobregat"/>
    <n v="71.457556601007553"/>
    <n v="1.1119114396752972"/>
    <n v="242.03077790064711"/>
    <n v="4.3198924999999999"/>
    <n v="0.84567599999999987"/>
    <n v="629.02633603079994"/>
    <s v="guanya sorra"/>
    <n v="421.75174126324868"/>
    <n v="3.0577564591070674"/>
    <n v="444.64479393957203"/>
    <n v="39.27344131018581"/>
    <n v="0.96999037199999982"/>
    <n v="1269.3229899743999"/>
    <s v="No hi ha pèrdua"/>
    <n v="350.29418466224115"/>
    <n v="1.9458450194317702"/>
    <n v="202.61401603892492"/>
    <n v="34.953548810185808"/>
    <n v="0.12431437199999995"/>
    <n v="640.29665394359995"/>
    <s v=""/>
    <n v="1230.2285628463835"/>
    <n v="63457"/>
    <x v="3"/>
  </r>
  <r>
    <n v="8170"/>
    <s v="els Prats de Rei"/>
    <n v="0.10085657030931833"/>
    <n v="1.2913048004089072"/>
    <n v="0.50943512367658661"/>
    <n v="11.493559999999999"/>
    <n v="18.671796000000001"/>
    <n v="0"/>
    <s v=""/>
    <n v="0.57188338085893309"/>
    <n v="3.5510882011244944"/>
    <n v="0.73680157469846175"/>
    <n v="50.519772073711955"/>
    <n v="21.416550012000002"/>
    <n v="0"/>
    <s v=""/>
    <n v="0.47102681054961476"/>
    <n v="2.2597834007155875"/>
    <n v="0.22736645102187514"/>
    <n v="39.02621207371196"/>
    <n v="2.7447540120000014"/>
    <n v="0"/>
    <s v=""/>
    <n v="44.729142747999042"/>
    <n v="535"/>
    <x v="1"/>
  </r>
  <r>
    <n v="8171"/>
    <s v="Prats de Lluçanès"/>
    <n v="0.20563496820206434"/>
    <n v="6.6749244463788798E-2"/>
    <n v="6.5326795877745072"/>
    <n v="2.9429287499999996"/>
    <n v="5.7585059999999997"/>
    <n v="0"/>
    <s v=""/>
    <n v="1.2125388657620189"/>
    <n v="0.18356042227541916"/>
    <n v="9.4482857258355377"/>
    <n v="16.020874227506596"/>
    <n v="6.6050063819999991"/>
    <n v="0"/>
    <s v=""/>
    <n v="1.0069038975599545"/>
    <n v="0.11681117781163036"/>
    <n v="2.9156061380610305"/>
    <n v="13.077945477506596"/>
    <n v="0.84650038199999944"/>
    <n v="0"/>
    <s v=""/>
    <n v="17.963767072939209"/>
    <n v="2565"/>
    <x v="2"/>
  </r>
  <r>
    <n v="8172"/>
    <s v="Premià de Mar"/>
    <n v="60.325818940141964"/>
    <n v="0"/>
    <n v="43.607170057172269"/>
    <n v="0.16944375"/>
    <n v="0"/>
    <n v="0"/>
    <n v="47.160535714285707"/>
    <n v="355.41680216276734"/>
    <n v="0"/>
    <n v="80.112543175474357"/>
    <n v="3.0257484893580489"/>
    <n v="0"/>
    <n v="0"/>
    <n v="54.430229153199733"/>
    <n v="295.09098322262537"/>
    <n v="0"/>
    <n v="36.505373118302089"/>
    <n v="2.8563047393580487"/>
    <n v="0"/>
    <n v="0"/>
    <n v="7.2696934389140253"/>
    <n v="341.72235451919954"/>
    <n v="27866"/>
    <x v="4"/>
  </r>
  <r>
    <n v="8174"/>
    <s v="Puigdàlber"/>
    <n v="7.9183264258499461E-2"/>
    <n v="1.0898084730594582E-3"/>
    <n v="1.0768993741228798"/>
    <n v="7.1299999999999992E-3"/>
    <n v="0"/>
    <n v="0"/>
    <s v=""/>
    <n v="0.45145788913654472"/>
    <n v="2.9969733009135107E-3"/>
    <n v="1.5575313082441726"/>
    <n v="0.41681395471132532"/>
    <n v="0"/>
    <n v="0"/>
    <s v=""/>
    <n v="0.37227462487804525"/>
    <n v="1.9071648278540525E-3"/>
    <n v="0.48063193412129279"/>
    <n v="0.40968395471132529"/>
    <n v="0"/>
    <n v="0"/>
    <s v=""/>
    <n v="1.2644976785385174"/>
    <n v="512"/>
    <x v="1"/>
  </r>
  <r>
    <n v="8175"/>
    <s v="Puig-reig"/>
    <n v="0.55204940415061698"/>
    <n v="3.460229180437941"/>
    <n v="7.5802030443886919"/>
    <n v="4.7485800000000005"/>
    <n v="19.277153999999996"/>
    <n v="11.06405926455"/>
    <s v=""/>
    <n v="3.0276016697244676"/>
    <n v="9.5156302462043403"/>
    <n v="10.963330324246252"/>
    <n v="29.632038520331307"/>
    <n v="22.110895637999995"/>
    <n v="13.474368382649999"/>
    <s v=""/>
    <n v="2.4755522655738504"/>
    <n v="6.0554010657663992"/>
    <n v="3.3831272798575602"/>
    <n v="24.883458520331306"/>
    <n v="2.8337416379999993"/>
    <n v="2.4103091180999989"/>
    <s v=""/>
    <n v="42.041589887629115"/>
    <n v="4123"/>
    <x v="2"/>
  </r>
  <r>
    <n v="8176"/>
    <s v="Pujalt"/>
    <n v="0.14276782298363555"/>
    <n v="1.4797923128885686"/>
    <n v="0.24129443834879999"/>
    <n v="14.010450000000001"/>
    <n v="16.137810000000002"/>
    <n v="0"/>
    <s v=""/>
    <n v="0.84429909469171727"/>
    <n v="4.0694288604435629"/>
    <n v="0.34898677746892803"/>
    <n v="61.345765764523577"/>
    <n v="18.510068069999999"/>
    <n v="0"/>
    <s v=""/>
    <n v="0.70153127170808172"/>
    <n v="2.5896365475549943"/>
    <n v="0.10769233912012804"/>
    <n v="47.335315764523578"/>
    <n v="2.3722580699999973"/>
    <n v="0"/>
    <s v=""/>
    <n v="53.106433992906773"/>
    <n v="198"/>
    <x v="1"/>
  </r>
  <r>
    <n v="8177"/>
    <s v="la Quar"/>
    <n v="1.3355209004534789E-2"/>
    <n v="3.1131882757403679"/>
    <n v="1.1006952200960001E-2"/>
    <n v="0.62031000000000003"/>
    <n v="7.7327640000000004"/>
    <n v="0"/>
    <s v=""/>
    <n v="7.3351761257302153E-2"/>
    <n v="8.5612677582860108"/>
    <n v="1.5919474997657602E-2"/>
    <n v="2.827737003361841"/>
    <n v="8.869480308"/>
    <n v="0"/>
    <s v=""/>
    <n v="5.9996552252767364E-2"/>
    <n v="5.4480794825456424"/>
    <n v="4.912522796697601E-3"/>
    <n v="2.2074270033618411"/>
    <n v="1.1367163079999996"/>
    <n v="0"/>
    <s v=""/>
    <n v="8.857131868956948"/>
    <n v="54"/>
    <x v="1"/>
  </r>
  <r>
    <n v="8178"/>
    <s v="Rajadell"/>
    <n v="0.17677709708051009"/>
    <n v="5.3114142089209802"/>
    <n v="1.9095547758095999"/>
    <n v="5.6924243749999999"/>
    <n v="5.7128759999999996"/>
    <n v="0"/>
    <s v=""/>
    <n v="0.75619430672493226"/>
    <n v="14.606389074532695"/>
    <n v="2.7618098957045762"/>
    <n v="25.233178976915074"/>
    <n v="6.5526687719999996"/>
    <n v="0"/>
    <s v=""/>
    <n v="0.57941720964442212"/>
    <n v="9.2949748656117137"/>
    <n v="0.85225511989497638"/>
    <n v="19.540754601915076"/>
    <n v="0.83979277200000002"/>
    <n v="0"/>
    <s v=""/>
    <n v="31.107194569066188"/>
    <n v="533"/>
    <x v="1"/>
  </r>
  <r>
    <n v="8179"/>
    <s v="Rellinars"/>
    <n v="0.10871999610121091"/>
    <n v="1.8900566391861076"/>
    <n v="2.438745405953707"/>
    <n v="3.1204374999999996E-2"/>
    <n v="2.3426662735834505E-2"/>
    <n v="0"/>
    <s v=""/>
    <n v="0.6416975848989146"/>
    <n v="5.1976557577617957"/>
    <n v="3.5271840748382894"/>
    <n v="0.20594848820871797"/>
    <n v="2.6870382158002179E-2"/>
    <n v="0"/>
    <s v=""/>
    <n v="0.53297758879770374"/>
    <n v="3.3075991185756881"/>
    <n v="1.0884386688845824"/>
    <n v="0.17474411320871797"/>
    <n v="3.4437194221676737E-3"/>
    <n v="0"/>
    <s v=""/>
    <n v="5.1072032088888593"/>
    <n v="723"/>
    <x v="1"/>
  </r>
  <r>
    <n v="8180"/>
    <s v="Ripollet"/>
    <n v="8.8910986412908066"/>
    <n v="8.2540448166988231E-2"/>
    <n v="49.06014760273343"/>
    <n v="3.5650000000000001E-2"/>
    <n v="0.71333324176311086"/>
    <n v="3.6232034012999992"/>
    <s v=""/>
    <n v="51.945333340103737"/>
    <n v="0.2269862324592177"/>
    <n v="90.130434693793859"/>
    <n v="0.6968333103846146"/>
    <n v="0.81819322830228813"/>
    <n v="3.9666468021000005"/>
    <s v=""/>
    <n v="43.054234698812934"/>
    <n v="0.14444578429222948"/>
    <n v="41.070287091060429"/>
    <n v="0.66118331038461464"/>
    <n v="0.10485998653917727"/>
    <n v="0.34344340080000135"/>
    <s v=""/>
    <n v="85.378454271889396"/>
    <n v="37648"/>
    <x v="4"/>
  </r>
  <r>
    <n v="8181"/>
    <s v="la Roca del Vallès"/>
    <n v="1.7274666898457118"/>
    <n v="0.53236164502056471"/>
    <n v="20.450945050189123"/>
    <n v="7.3471181249999997"/>
    <n v="6.1570079999999994"/>
    <n v="129.38128243530002"/>
    <s v=""/>
    <n v="9.5805922664325429"/>
    <n v="1.4639945238065528"/>
    <n v="37.571280506496862"/>
    <n v="65.067730689248194"/>
    <n v="7.0620881759999996"/>
    <n v="145.94974103640001"/>
    <s v=""/>
    <n v="7.8531255765868311"/>
    <n v="0.93163287878598811"/>
    <n v="17.120335456307739"/>
    <n v="57.720612564248192"/>
    <n v="0.90508017600000024"/>
    <n v="16.568458601099991"/>
    <s v=""/>
    <n v="101.09924525302874"/>
    <n v="10599"/>
    <x v="0"/>
  </r>
  <r>
    <n v="8182"/>
    <s v="el Pont de Vilomara i Rocafort"/>
    <n v="2.9566307051878886"/>
    <n v="3.9918184524135598"/>
    <n v="8.8243744255194674"/>
    <n v="0.38057437499999996"/>
    <n v="9.4301999999999997E-2"/>
    <n v="1.8147687025499999"/>
    <s v=""/>
    <n v="14.39691678321633"/>
    <n v="10.977500744137291"/>
    <n v="12.762788960305834"/>
    <n v="3.8021929331324906"/>
    <n v="0.10816439399999998"/>
    <n v="2.3595752776499999"/>
    <s v=""/>
    <n v="11.440286078028441"/>
    <n v="6.985682291723732"/>
    <n v="3.9384145347863662"/>
    <n v="3.4216185581324905"/>
    <n v="1.3862393999999986E-2"/>
    <n v="0.54480657509999997"/>
    <s v=""/>
    <n v="26.344670431771029"/>
    <n v="3724"/>
    <x v="2"/>
  </r>
  <r>
    <n v="8183"/>
    <s v="Roda de Ter"/>
    <n v="2.742620621870469"/>
    <n v="1.7473624205180311E-3"/>
    <n v="7.2371440782442678"/>
    <n v="0.34223999999999999"/>
    <n v="1.426698"/>
    <n v="13.9004018577"/>
    <s v=""/>
    <n v="16.034759735830104"/>
    <n v="4.8052466564245857E-3"/>
    <n v="10.467160400497322"/>
    <n v="1.9550934715112394"/>
    <n v="1.636422606"/>
    <n v="15.8767634655"/>
    <s v=""/>
    <n v="13.292139113959635"/>
    <n v="3.0578842359065546E-3"/>
    <n v="3.2300163222530545"/>
    <n v="1.6128534715112393"/>
    <n v="0.20972460599999998"/>
    <n v="1.9763616077999995"/>
    <s v=""/>
    <n v="20.32415300575984"/>
    <n v="6116"/>
    <x v="0"/>
  </r>
  <r>
    <n v="8184"/>
    <s v="Rubí"/>
    <n v="22.584071581024382"/>
    <n v="1.4749619215927028"/>
    <n v="204.18560015847427"/>
    <n v="1.697863125"/>
    <n v="0.73312199999999994"/>
    <n v="12.799739090699999"/>
    <s v=""/>
    <n v="132.70671385068468"/>
    <n v="4.0561452843799328"/>
    <n v="375.11784614914427"/>
    <n v="9.4687243553304867"/>
    <n v="0.84089093399999981"/>
    <n v="22.572782203200003"/>
    <s v=""/>
    <n v="110.1226422696603"/>
    <n v="2.5811833627872298"/>
    <n v="170.93224599067"/>
    <n v="7.7708612303304871"/>
    <n v="0.10776893399999987"/>
    <n v="9.7730431125000035"/>
    <s v=""/>
    <n v="301.28774489994794"/>
    <n v="75167"/>
    <x v="3"/>
  </r>
  <r>
    <n v="8185"/>
    <s v="Rubió"/>
    <n v="9.6573397647574818E-2"/>
    <n v="6.0332537985814385"/>
    <n v="0.16594104806784002"/>
    <n v="6.3057743750000004"/>
    <n v="2.0746439999999997"/>
    <n v="0"/>
    <s v=""/>
    <n v="0.56508123547367017"/>
    <n v="16.591447946098953"/>
    <n v="0.24000234738647044"/>
    <n v="28.564592960643878"/>
    <n v="2.3796166679999997"/>
    <n v="0"/>
    <s v=""/>
    <n v="0.46850783782609534"/>
    <n v="10.558194147517515"/>
    <n v="7.4061299318630425E-2"/>
    <n v="22.25881858564388"/>
    <n v="0.304972668"/>
    <n v="0"/>
    <s v=""/>
    <n v="33.66455453830612"/>
    <n v="231"/>
    <x v="1"/>
  </r>
  <r>
    <n v="8187"/>
    <s v="Sabadell"/>
    <n v="77.930782240205176"/>
    <n v="1.0861844483423959"/>
    <n v="340.22241124729567"/>
    <n v="3.5482256250000002"/>
    <n v="3.2032259999999999"/>
    <n v="28.774701649199997"/>
    <s v=""/>
    <n v="459.83377761084898"/>
    <n v="2.9870072329415889"/>
    <n v="625.03672158909217"/>
    <n v="20.325150882721019"/>
    <n v="3.6741002220000007"/>
    <n v="35.027511287399996"/>
    <s v=""/>
    <n v="381.90299537064379"/>
    <n v="1.900822784599193"/>
    <n v="284.8143103417965"/>
    <n v="16.776925257721018"/>
    <n v="0.47087422200000084"/>
    <n v="6.2528096381999987"/>
    <s v=""/>
    <n v="692.11873761496054"/>
    <n v="208246"/>
    <x v="3"/>
  </r>
  <r>
    <n v="8188"/>
    <s v="Sagàs"/>
    <n v="8.8852170885020051E-3"/>
    <n v="3.0622889430513904"/>
    <n v="1.7354490481408"/>
    <n v="6.6166399999999994"/>
    <n v="14.136174"/>
    <n v="0"/>
    <s v=""/>
    <n v="4.2815643353897426E-2"/>
    <n v="8.4212945933913232"/>
    <n v="2.5099988831764484"/>
    <n v="29.249837668840502"/>
    <n v="16.214191577999998"/>
    <n v="0"/>
    <s v=""/>
    <n v="3.3930426265395421E-2"/>
    <n v="5.3590056503399328"/>
    <n v="0.77454983503564834"/>
    <n v="22.633197668840502"/>
    <n v="2.0780175779999972"/>
    <n v="0"/>
    <s v=""/>
    <n v="30.878701158481476"/>
    <n v="152"/>
    <x v="1"/>
  </r>
  <r>
    <n v="8189"/>
    <s v="Sant Pere Sallavinera"/>
    <n v="2.2261226334061622E-3"/>
    <n v="1.5922234606834542"/>
    <n v="0.50567257330240012"/>
    <n v="6.4882999999999997"/>
    <n v="3.7081979999999999"/>
    <n v="0"/>
    <s v=""/>
    <n v="3.5353255620774312E-3"/>
    <n v="4.3786145168794999"/>
    <n v="0.73135975706214407"/>
    <n v="28.444084760095468"/>
    <n v="4.2533031060000006"/>
    <n v="0"/>
    <s v=""/>
    <n v="1.309202928671269E-3"/>
    <n v="2.7863910561960457"/>
    <n v="0.22568718375974395"/>
    <n v="21.955784760095469"/>
    <n v="0.54510510600000073"/>
    <n v="0"/>
    <s v=""/>
    <n v="25.514277308979931"/>
    <n v="158"/>
    <x v="1"/>
  </r>
  <r>
    <n v="8190"/>
    <s v="Saldes"/>
    <n v="0"/>
    <n v="5.1269509653988221"/>
    <n v="0.79528047095487997"/>
    <n v="7.1300000000000002E-2"/>
    <n v="1.4753699999999998"/>
    <n v="0"/>
    <s v=""/>
    <n v="0"/>
    <n v="14.099115154846757"/>
    <n v="1.1502228175740927"/>
    <n v="0.90577621960873766"/>
    <n v="1.6922493899999997"/>
    <n v="0"/>
    <s v=""/>
    <n v="0"/>
    <n v="8.972164189447934"/>
    <n v="0.35494234661921276"/>
    <n v="0.83447621960873763"/>
    <n v="0.21687938999999989"/>
    <n v="0"/>
    <s v=""/>
    <n v="10.378462145675883"/>
    <n v="276"/>
    <x v="1"/>
  </r>
  <r>
    <n v="8191"/>
    <s v="Sallent"/>
    <n v="8.4735264813838267"/>
    <n v="6.5732053953686256"/>
    <n v="46.886932295017182"/>
    <n v="12.508959375"/>
    <n v="18.391931999999997"/>
    <n v="40.262113421400002"/>
    <s v=""/>
    <n v="44.841056694610849"/>
    <n v="18.076314837263723"/>
    <n v="67.81308147429678"/>
    <n v="63.277219154885756"/>
    <n v="21.095546003999999"/>
    <n v="52.269044584350006"/>
    <s v=""/>
    <n v="36.36753021322702"/>
    <n v="11.503109441895099"/>
    <n v="20.926149179279598"/>
    <n v="50.768259779885753"/>
    <n v="2.7036140040000021"/>
    <n v="12.006931162950004"/>
    <s v=""/>
    <n v="134.27559378123749"/>
    <n v="6592"/>
    <x v="0"/>
  </r>
  <r>
    <n v="8192"/>
    <s v="Santpedor"/>
    <n v="1.9857678458747536"/>
    <n v="0.61438000177817298"/>
    <n v="16.160686540398721"/>
    <n v="5.8867806249999992"/>
    <n v="15.517242"/>
    <n v="0"/>
    <s v=""/>
    <n v="5.0698303008910015"/>
    <n v="1.6895450048899761"/>
    <n v="23.373377173603128"/>
    <n v="31.301936477565722"/>
    <n v="17.798276573999999"/>
    <n v="0"/>
    <s v=""/>
    <n v="3.0840624550162481"/>
    <n v="1.075165003111803"/>
    <n v="7.2126906332044065"/>
    <n v="25.415155852565722"/>
    <n v="2.2810345739999995"/>
    <n v="0"/>
    <s v=""/>
    <n v="39.068108517898182"/>
    <n v="7520"/>
    <x v="0"/>
  </r>
  <r>
    <n v="8193"/>
    <s v="Sant Iscle de Vallalta"/>
    <n v="20.626043914127301"/>
    <n v="0.3465033611934249"/>
    <n v="2.5683381565088004"/>
    <n v="0.59305312499999996"/>
    <n v="0.24031799999999998"/>
    <n v="0"/>
    <s v=""/>
    <n v="123.55716552230179"/>
    <n v="0.95288424328191856"/>
    <n v="4.7184006938025993"/>
    <n v="5.0627839044922691"/>
    <n v="0.275644746"/>
    <n v="0"/>
    <s v=""/>
    <n v="102.93112160817449"/>
    <n v="0.60638088208849372"/>
    <n v="2.1500625372937989"/>
    <n v="4.4697307794922692"/>
    <n v="3.532674600000002E-2"/>
    <n v="0"/>
    <s v=""/>
    <n v="110.19262255304905"/>
    <n v="1292"/>
    <x v="2"/>
  </r>
  <r>
    <n v="8194"/>
    <s v="Sant Adrià de Besòs"/>
    <n v="43.524372166329925"/>
    <n v="8.6095400741772993E-2"/>
    <n v="86.067090202737916"/>
    <n v="0"/>
    <n v="0"/>
    <n v="49.978217109600003"/>
    <n v="6.8825342465753421"/>
    <n v="257.13375754352802"/>
    <n v="0.2367623520398757"/>
    <n v="158.11742589153019"/>
    <n v="0.32240191717187627"/>
    <n v="0"/>
    <n v="311.99204896259999"/>
    <n v="7.9434618483852963"/>
    <n v="213.60938537719809"/>
    <n v="0.1506669512981027"/>
    <n v="72.050335688792273"/>
    <n v="0.32240191717187627"/>
    <n v="0"/>
    <n v="262.013831853"/>
    <n v="1.0609276018099543"/>
    <n v="549.2075493892703"/>
    <n v="36496"/>
    <x v="4"/>
  </r>
  <r>
    <n v="8195"/>
    <s v="Sant Agustí de Lluçanès"/>
    <n v="1.1985469619723164E-2"/>
    <n v="9.4940024848146343E-2"/>
    <n v="0.25571616001301334"/>
    <n v="1.9892700000000003"/>
    <n v="8.7122879999999991"/>
    <n v="0"/>
    <s v=""/>
    <n v="7.1149883294388205E-2"/>
    <n v="0.26108506833240247"/>
    <n v="0.36984507077891415"/>
    <n v="8.805004031189636"/>
    <n v="9.9929943359999989"/>
    <n v="0"/>
    <s v=""/>
    <n v="5.9164413674665045E-2"/>
    <n v="0.16614504348425613"/>
    <n v="0.11412891076590082"/>
    <n v="6.8157340311896357"/>
    <n v="1.2807063359999997"/>
    <n v="0"/>
    <s v=""/>
    <n v="8.4358787351144571"/>
    <n v="92"/>
    <x v="1"/>
  </r>
  <r>
    <n v="8196"/>
    <s v="Sant Andreu de la Barca"/>
    <n v="24.76172318024113"/>
    <n v="0.24778317636661154"/>
    <n v="49.666148661390721"/>
    <n v="0"/>
    <n v="1.7776240904297702"/>
    <n v="13.3596547152"/>
    <s v=""/>
    <n v="145.80285927644445"/>
    <n v="0.68140373500818174"/>
    <n v="91.243744406678573"/>
    <n v="1.3481704290069996"/>
    <n v="2.0389348317229463"/>
    <n v="14.383328100899996"/>
    <s v=""/>
    <n v="121.04113609620332"/>
    <n v="0.43362055864157023"/>
    <n v="41.577595745287852"/>
    <n v="1.3481704290069996"/>
    <n v="0.26131074129317611"/>
    <n v="1.0236733856999969"/>
    <s v=""/>
    <n v="165.68550695613294"/>
    <n v="27434"/>
    <x v="4"/>
  </r>
  <r>
    <n v="8197"/>
    <s v="Sant Andreu de Llavaneres"/>
    <n v="21.85611209390418"/>
    <n v="0.25665922342268399"/>
    <n v="36.834452851322872"/>
    <n v="0.9997181249999999"/>
    <n v="1.8251999999999997E-2"/>
    <n v="0"/>
    <n v="5.1490999999999998"/>
    <n v="128.63484658586054"/>
    <n v="0.70581286441238089"/>
    <n v="67.67010311670596"/>
    <n v="20.131591787212486"/>
    <n v="2.0935044E-2"/>
    <n v="0"/>
    <n v="5.9428225037707394"/>
    <n v="106.77873449195636"/>
    <n v="0.4491536409896969"/>
    <n v="30.835650265383087"/>
    <n v="19.131873662212485"/>
    <n v="2.6830440000000025E-3"/>
    <n v="0"/>
    <n v="0.79372250377073961"/>
    <n v="157.99181760831237"/>
    <n v="10663"/>
    <x v="0"/>
  </r>
  <r>
    <n v="8198"/>
    <s v="Sant Antoni de Vilamajor"/>
    <n v="1.0426716767148376"/>
    <n v="0.13316659351687851"/>
    <n v="13.213785133625814"/>
    <n v="4.8469056249999989"/>
    <n v="11.915514"/>
    <n v="3.666098043449999"/>
    <s v=""/>
    <n v="5.8223073931104414"/>
    <n v="0.36620813217141596"/>
    <n v="24.275593454955896"/>
    <n v="30.444320451638415"/>
    <n v="13.667094557999999"/>
    <n v="4.3981207060499994"/>
    <s v=""/>
    <n v="4.779635716395604"/>
    <n v="0.23304153865453744"/>
    <n v="11.061808321330082"/>
    <n v="25.597414826638417"/>
    <n v="1.7515805579999988"/>
    <n v="0.73202266260000037"/>
    <s v=""/>
    <n v="44.155503623618642"/>
    <n v="5862"/>
    <x v="0"/>
  </r>
  <r>
    <n v="8199"/>
    <s v="Sant Bartomeu del Grau"/>
    <n v="0.16032976268637975"/>
    <n v="0.26909381275977678"/>
    <n v="2.4237128025892258"/>
    <n v="6.2301137499999992"/>
    <n v="46.040669999999992"/>
    <n v="0"/>
    <s v=""/>
    <n v="0.90347311567292177"/>
    <n v="0.74000798508938614"/>
    <n v="3.5054422566636205"/>
    <n v="29.591145066720049"/>
    <n v="52.808648489999996"/>
    <n v="0"/>
    <s v=""/>
    <n v="0.74314335298654199"/>
    <n v="0.47091417232960936"/>
    <n v="1.0817294540743947"/>
    <n v="23.361031316720052"/>
    <n v="6.7679784900000044"/>
    <n v="0"/>
    <s v=""/>
    <n v="32.424796786110605"/>
    <n v="850"/>
    <x v="1"/>
  </r>
  <r>
    <n v="8200"/>
    <s v="Sant Boi de Llobregat"/>
    <n v="97.125644870719157"/>
    <n v="0.57027484812014106"/>
    <n v="180.37041099789852"/>
    <n v="9.2489443749999989"/>
    <n v="0.559728"/>
    <n v="36.400130709599999"/>
    <s v=""/>
    <n v="573.67234172312305"/>
    <n v="1.5682558323303881"/>
    <n v="331.36597306594911"/>
    <n v="73.087487960493306"/>
    <n v="0.64200801600000001"/>
    <n v="127.04528962379999"/>
    <s v=""/>
    <n v="476.5466968524039"/>
    <n v="0.99798098421024706"/>
    <n v="150.99556206805059"/>
    <n v="63.838543585493305"/>
    <n v="8.2280016000000011E-2"/>
    <n v="90.645158914199982"/>
    <s v=""/>
    <n v="783.10622242035811"/>
    <n v="82402"/>
    <x v="3"/>
  </r>
  <r>
    <n v="8201"/>
    <s v="Sant Boi de Lluçanès"/>
    <n v="0.10139706510428377"/>
    <n v="0.14398266345068578"/>
    <n v="2.4923067328426667"/>
    <n v="4.1710500000000001"/>
    <n v="15.158285999999999"/>
    <n v="0"/>
    <s v=""/>
    <n v="0.60401210321894105"/>
    <n v="0.39595232448938589"/>
    <n v="3.6046504059972273"/>
    <n v="18.859789366280769"/>
    <n v="17.386554042"/>
    <n v="0"/>
    <s v=""/>
    <n v="0.50261503811465724"/>
    <n v="0.25196966103870011"/>
    <n v="1.1123436731545606"/>
    <n v="14.688739366280767"/>
    <n v="2.2282680420000016"/>
    <n v="0"/>
    <s v=""/>
    <n v="18.783935780588685"/>
    <n v="527"/>
    <x v="1"/>
  </r>
  <r>
    <n v="8202"/>
    <s v="Sant Celoni"/>
    <n v="3.5873408260113018"/>
    <n v="1.6878941910526088"/>
    <n v="37.767418565243737"/>
    <n v="1.3776081249999999"/>
    <n v="1.7369819999999998"/>
    <n v="31.346970148499999"/>
    <s v=""/>
    <n v="20.226280441855536"/>
    <n v="4.6417090253946744"/>
    <n v="54.62342931979196"/>
    <n v="15.385719984922815"/>
    <n v="1.9923183539999998"/>
    <n v="50.6674491084"/>
    <s v=""/>
    <n v="16.638939615844233"/>
    <n v="2.9538148343420656"/>
    <n v="16.856010754548223"/>
    <n v="14.008111859922815"/>
    <n v="0.25533635399999999"/>
    <n v="19.320478959900001"/>
    <s v=""/>
    <n v="70.032692378557329"/>
    <n v="17540"/>
    <x v="0"/>
  </r>
  <r>
    <n v="8203"/>
    <s v="Sant Cebrià de Vallalta"/>
    <n v="1.8444393934828209"/>
    <n v="0.30198357949210253"/>
    <n v="11.589270285625172"/>
    <n v="0.88018437500000002"/>
    <n v="4.2587999999999994E-2"/>
    <n v="0"/>
    <s v=""/>
    <n v="10.553635496317987"/>
    <n v="0.83045484360328203"/>
    <n v="21.291129759443844"/>
    <n v="8.0803996108175724"/>
    <n v="4.8848435999999995E-2"/>
    <n v="12.7996060605"/>
    <s v=""/>
    <n v="8.7091961028351665"/>
    <n v="0.52847126411117951"/>
    <n v="9.7018594738186721"/>
    <n v="7.2002152358175726"/>
    <n v="6.2604360000000012E-3"/>
    <n v="12.7996060605"/>
    <s v=""/>
    <n v="38.945608573082595"/>
    <n v="3329"/>
    <x v="2"/>
  </r>
  <r>
    <n v="8204"/>
    <s v="Sant Climent de Llobregat"/>
    <n v="3.6161621217904143"/>
    <n v="0.99984869659491993"/>
    <n v="8.4318650736074652"/>
    <n v="7.4907499999999988E-2"/>
    <n v="0.12776399999999999"/>
    <n v="0"/>
    <s v=""/>
    <n v="21.253487540276289"/>
    <n v="2.7495839156360296"/>
    <n v="15.490529513231973"/>
    <n v="0.75271204542696502"/>
    <n v="0.14654530799999999"/>
    <n v="0"/>
    <s v=""/>
    <n v="17.637325418485876"/>
    <n v="1.7497352190411095"/>
    <n v="7.0586644396245077"/>
    <n v="0.677804545426965"/>
    <n v="1.8781307999999997E-2"/>
    <n v="0"/>
    <s v=""/>
    <n v="27.142310930578461"/>
    <n v="4024"/>
    <x v="2"/>
  </r>
  <r>
    <n v="8205"/>
    <s v="Sant Cugat del Vallès"/>
    <n v="22.879645799769438"/>
    <n v="3.083902541659358"/>
    <n v="297.19742077226044"/>
    <n v="0.45279750000000002"/>
    <n v="0.58102199999999993"/>
    <n v="20.510301326700002"/>
    <s v=""/>
    <n v="133.96823530228338"/>
    <n v="8.4807319895632336"/>
    <n v="545.99372470264973"/>
    <n v="5.810910459083984"/>
    <n v="0.66643223399999996"/>
    <n v="29.149381896299996"/>
    <s v=""/>
    <n v="111.08858950251394"/>
    <n v="5.3968294479038761"/>
    <n v="248.79630393038929"/>
    <n v="5.358112959083984"/>
    <n v="8.5410234000000029E-2"/>
    <n v="8.6390805695999937"/>
    <s v=""/>
    <n v="379.3643266434911"/>
    <n v="88921"/>
    <x v="3"/>
  </r>
  <r>
    <n v="8206"/>
    <s v="Sant Cugat Sesgarrigues"/>
    <n v="0.17259873144242183"/>
    <n v="7.8466210060281025E-2"/>
    <n v="3.1326130329760002"/>
    <n v="0.22103"/>
    <n v="9.1259999999999987E-3"/>
    <n v="0"/>
    <s v=""/>
    <n v="0.99066393042941014"/>
    <n v="0.21578207766577279"/>
    <n v="5.755053504442369"/>
    <n v="1.6990465339104692"/>
    <n v="1.0467522E-2"/>
    <n v="0"/>
    <s v=""/>
    <n v="0.81806519898698826"/>
    <n v="0.13731586760549175"/>
    <n v="2.6224404714663687"/>
    <n v="1.4780165339104692"/>
    <n v="1.3415220000000012E-3"/>
    <n v="0"/>
    <s v=""/>
    <n v="5.0571795939693178"/>
    <n v="973"/>
    <x v="1"/>
  </r>
  <r>
    <n v="8207"/>
    <s v="Sant Esteve de Palautordera"/>
    <n v="0.28572222102641809"/>
    <n v="0.22428057855474276"/>
    <n v="7.1188759174655996"/>
    <n v="1.7183418749999999"/>
    <n v="1.256346"/>
    <n v="0.5579595933"/>
    <s v=""/>
    <n v="1.5220362923821285"/>
    <n v="0.61677159102554246"/>
    <n v="10.296107869863937"/>
    <n v="12.560998836183023"/>
    <n v="1.441028862"/>
    <n v="21.132917994450001"/>
    <s v=""/>
    <n v="1.2363140713557104"/>
    <n v="0.39249101247079971"/>
    <n v="3.177231952398337"/>
    <n v="10.842656961183023"/>
    <n v="0.18468286200000006"/>
    <n v="20.574958401149999"/>
    <s v=""/>
    <n v="36.40833526055787"/>
    <n v="2599"/>
    <x v="2"/>
  </r>
  <r>
    <n v="8208"/>
    <s v="Sant Esteve Sesrovires"/>
    <n v="6.7447219092554205"/>
    <n v="0.89401166146345279"/>
    <n v="50.813920000429221"/>
    <n v="0.98939375000000007"/>
    <n v="0.13689000000000001"/>
    <n v="1.3207711950000001"/>
    <s v=""/>
    <n v="39.697222042780531"/>
    <n v="2.4585320690244949"/>
    <n v="93.352362802087853"/>
    <n v="6.0446834419370594"/>
    <n v="0.15701283000000002"/>
    <n v="1.3737048599999999"/>
    <s v=""/>
    <n v="32.952500133525113"/>
    <n v="1.5645204075610422"/>
    <n v="42.538442801658633"/>
    <n v="5.0552896919370589"/>
    <n v="2.0122830000000008E-2"/>
    <n v="5.2933664999999852E-2"/>
    <s v=""/>
    <n v="82.183809529681852"/>
    <n v="7644"/>
    <x v="0"/>
  </r>
  <r>
    <n v="8209"/>
    <s v="Sant Fost de Campsentelles"/>
    <n v="2.4696964022233607"/>
    <n v="0.27486560034833962"/>
    <n v="25.738998841694723"/>
    <n v="1.6944375000000001E-2"/>
    <n v="1.8946615334912771"/>
    <n v="63.750406003199998"/>
    <s v=""/>
    <n v="14.178174818817009"/>
    <n v="0.75588040095793396"/>
    <n v="47.286183746739248"/>
    <n v="1.5627811125369246"/>
    <n v="2.1731767789144949"/>
    <n v="85.316221081800009"/>
    <s v=""/>
    <n v="11.708478416593648"/>
    <n v="0.48101480060959434"/>
    <n v="21.547184905044524"/>
    <n v="1.5458367375369246"/>
    <n v="0.27851524542321782"/>
    <n v="21.565815078600011"/>
    <s v=""/>
    <n v="57.126845183807916"/>
    <n v="8650"/>
    <x v="0"/>
  </r>
  <r>
    <n v="8210"/>
    <s v="Sant Feliu de Codines"/>
    <n v="1.3623114466331625"/>
    <n v="0.2322035337754266"/>
    <n v="10.491643029819521"/>
    <n v="0.39751875000000003"/>
    <n v="3.2762339999999996"/>
    <n v="0"/>
    <s v=""/>
    <n v="7.6353741849287919"/>
    <n v="0.63855971788242316"/>
    <n v="15.174177724056371"/>
    <n v="2.5816702051023013"/>
    <n v="3.7578403979999995"/>
    <n v="0"/>
    <s v=""/>
    <n v="6.2730627382956294"/>
    <n v="0.40635618410699659"/>
    <n v="4.6825346942368498"/>
    <n v="2.1841514551023011"/>
    <n v="0.48160639799999982"/>
    <n v="0"/>
    <s v=""/>
    <n v="14.027711469741776"/>
    <n v="5968"/>
    <x v="0"/>
  </r>
  <r>
    <n v="8211"/>
    <s v="Sant Feliu de Llobregat"/>
    <n v="46.071751168303237"/>
    <n v="0.58895197196687055"/>
    <n v="91.256779617264627"/>
    <n v="0.72860812500000005"/>
    <n v="0.25857000000000002"/>
    <n v="0.4516842450000001"/>
    <s v=""/>
    <n v="271.571787301347"/>
    <n v="1.6196179229088941"/>
    <n v="167.65161984962199"/>
    <n v="7.5859986542396092"/>
    <n v="0.29657979000000001"/>
    <n v="0.67251165000000002"/>
    <s v=""/>
    <n v="225.50003613304375"/>
    <n v="1.0306659509420235"/>
    <n v="76.394840232357367"/>
    <n v="6.8573905292396091"/>
    <n v="3.8009789999999988E-2"/>
    <n v="0.22082740499999992"/>
    <s v=""/>
    <n v="310.04177004058278"/>
    <n v="44086"/>
    <x v="4"/>
  </r>
  <r>
    <n v="8212"/>
    <s v="Sant Feliu Sasserra"/>
    <n v="0.23627922915425575"/>
    <n v="2.5813869429550653"/>
    <n v="2.8339779207308795"/>
    <n v="3.9197387499999996"/>
    <n v="9.5640479999999997"/>
    <n v="0"/>
    <s v=""/>
    <n v="1.1372303573437328"/>
    <n v="7.098814093126431"/>
    <n v="4.0988131709206517"/>
    <n v="17.580468994577288"/>
    <n v="10.969963055999999"/>
    <n v="0"/>
    <s v=""/>
    <n v="0.90095112818947709"/>
    <n v="4.5174271501713656"/>
    <n v="1.2648352501897722"/>
    <n v="13.660730244577287"/>
    <n v="1.4059150559999996"/>
    <n v="0"/>
    <s v=""/>
    <n v="21.749858829127902"/>
    <n v="612"/>
    <x v="1"/>
  </r>
  <r>
    <n v="8213"/>
    <s v="Sant Fruitós de Bages"/>
    <n v="5.8478903343053927"/>
    <n v="0.70356419558468197"/>
    <n v="20.031862657945599"/>
    <n v="6.7701474999999993"/>
    <n v="13.987115999999999"/>
    <n v="1.8027093034499999"/>
    <s v=""/>
    <n v="27.453413441133353"/>
    <n v="1.9348015378578751"/>
    <n v="28.972301407092736"/>
    <n v="35.911331985031467"/>
    <n v="16.043222051999997"/>
    <n v="2.1664909389"/>
    <s v=""/>
    <n v="21.60552310682796"/>
    <n v="1.231237342273193"/>
    <n v="8.9404387491471375"/>
    <n v="29.141184485031467"/>
    <n v="2.0561060519999987"/>
    <n v="0.36378163545000008"/>
    <s v=""/>
    <n v="63.338271370729757"/>
    <n v="8387"/>
    <x v="0"/>
  </r>
  <r>
    <n v="8214"/>
    <s v="Vilassar de Dalt"/>
    <n v="18.416334452238967"/>
    <n v="0.13838679131254433"/>
    <n v="21.603884716739838"/>
    <n v="1.081755625"/>
    <n v="0.32549400000000001"/>
    <n v="0"/>
    <s v=""/>
    <n v="108.39739262948598"/>
    <n v="0.38056367610949698"/>
    <n v="39.689393851026303"/>
    <n v="24.577406673435341"/>
    <n v="0.37334161799999999"/>
    <n v="0"/>
    <s v=""/>
    <n v="89.981058177247007"/>
    <n v="0.24217688479695265"/>
    <n v="18.085509134286465"/>
    <n v="23.495651048435342"/>
    <n v="4.7847617999999981E-2"/>
    <n v="0"/>
    <s v=""/>
    <n v="131.85224286276576"/>
    <n v="8953"/>
    <x v="0"/>
  </r>
  <r>
    <n v="8215"/>
    <s v="Sant Hipòlit de Voltregà"/>
    <n v="1.7207678025532314"/>
    <n v="0"/>
    <n v="5.717386869283839"/>
    <n v="9.9819999999999992E-2"/>
    <n v="5.4336064799244879"/>
    <n v="0"/>
    <s v=""/>
    <n v="10.086317516423122"/>
    <n v="0"/>
    <n v="8.2691189764194295"/>
    <n v="4.5572422956323297"/>
    <n v="6.232346632473388"/>
    <n v="0"/>
    <s v=""/>
    <n v="8.3655497138698909"/>
    <n v="0"/>
    <n v="2.5517321071355905"/>
    <n v="4.4574222956323295"/>
    <n v="0.79874015254890018"/>
    <n v="0"/>
    <s v=""/>
    <n v="16.17344426918671"/>
    <n v="3462"/>
    <x v="2"/>
  </r>
  <r>
    <n v="8216"/>
    <s v="Sant Jaume de Frontanyà"/>
    <n v="0"/>
    <n v="1.7842529713517923"/>
    <n v="3.0748815760000006E-2"/>
    <n v="6.4169999999999991E-2"/>
    <n v="1.5179579999999999"/>
    <n v="0"/>
    <s v=""/>
    <n v="0"/>
    <n v="4.9066956712174292"/>
    <n v="4.4472347545599998E-2"/>
    <n v="0.33861924090721679"/>
    <n v="1.7410978260000001"/>
    <n v="0"/>
    <s v=""/>
    <n v="0"/>
    <n v="3.1224426998656369"/>
    <n v="1.3723531785599992E-2"/>
    <n v="0.27444924090721678"/>
    <n v="0.22313982600000015"/>
    <n v="0"/>
    <s v=""/>
    <n v="3.6337552985584538"/>
    <n v="27"/>
    <x v="1"/>
  </r>
  <r>
    <n v="8217"/>
    <s v="Sant Joan Despí"/>
    <n v="26.911449752540385"/>
    <n v="7.7198778566481996E-2"/>
    <n v="84.496419366871663"/>
    <n v="0.50833125000000001"/>
    <n v="0"/>
    <n v="18.862604372699998"/>
    <s v=""/>
    <n v="157.7764418425289"/>
    <n v="0.2122966410578255"/>
    <n v="155.23188126692324"/>
    <n v="6.054586454074518"/>
    <n v="0"/>
    <n v="20.989725595199999"/>
    <s v=""/>
    <n v="130.8649920899885"/>
    <n v="0.13509786249134351"/>
    <n v="70.735461900051575"/>
    <n v="5.5462552040745177"/>
    <n v="0"/>
    <n v="2.1271212225000014"/>
    <s v=""/>
    <n v="209.40892827910594"/>
    <n v="33502"/>
    <x v="4"/>
  </r>
  <r>
    <n v="8218"/>
    <s v="Sant Joan de Vilatorrada"/>
    <n v="9.4612052163980938"/>
    <n v="0.93313091667921433"/>
    <n v="24.297455834637766"/>
    <n v="4.9134931249999996"/>
    <n v="2.9111939999999996"/>
    <n v="35.133898823399996"/>
    <s v=""/>
    <n v="47.109360494931394"/>
    <n v="2.5661100208678396"/>
    <n v="35.141675334291875"/>
    <n v="24.387763500362944"/>
    <n v="3.3391395179999996"/>
    <n v="46.981075632150002"/>
    <s v=""/>
    <n v="37.648155278533302"/>
    <n v="1.6329791041886252"/>
    <n v="10.844219499654109"/>
    <n v="19.474270375362945"/>
    <n v="0.42794551800000002"/>
    <n v="11.847176808750007"/>
    <s v=""/>
    <n v="81.874746584488989"/>
    <n v="10759"/>
    <x v="0"/>
  </r>
  <r>
    <n v="8219"/>
    <s v="Vilassar de Mar"/>
    <n v="36.501671278861529"/>
    <n v="0"/>
    <n v="38.148147535753601"/>
    <n v="2.9822099999999998"/>
    <n v="0.22510799999999997"/>
    <n v="0"/>
    <n v="11.682"/>
    <n v="214.15841390930538"/>
    <n v="0"/>
    <n v="70.083546180951259"/>
    <n v="65.481871212701648"/>
    <n v="0.25819887599999997"/>
    <n v="0"/>
    <n v="13.482754751131221"/>
    <n v="177.65674263044386"/>
    <n v="0"/>
    <n v="31.935398645197658"/>
    <n v="62.499661212701646"/>
    <n v="3.3090875999999991E-2"/>
    <n v="0"/>
    <n v="1.8007547511312207"/>
    <n v="273.92564811547436"/>
    <n v="20678"/>
    <x v="4"/>
  </r>
  <r>
    <n v="8220"/>
    <s v="Sant Julià de Vilatorta"/>
    <n v="1.1760810786678826"/>
    <n v="0.13070270905474873"/>
    <n v="5.776175329325012"/>
    <n v="3.1135506249999998"/>
    <n v="16.393338"/>
    <n v="0"/>
    <s v=""/>
    <n v="6.8422188268703588"/>
    <n v="0.35943244990055895"/>
    <n v="8.3541453672576331"/>
    <n v="19.334889193715071"/>
    <n v="18.803158685999996"/>
    <n v="0"/>
    <s v=""/>
    <n v="5.666137748202476"/>
    <n v="0.22872974084581021"/>
    <n v="2.5779700379326211"/>
    <n v="16.221338568715073"/>
    <n v="2.4098206859999962"/>
    <n v="0"/>
    <s v=""/>
    <n v="27.103996781695976"/>
    <n v="3113"/>
    <x v="2"/>
  </r>
  <r>
    <n v="8221"/>
    <s v="Sant Just Desvern"/>
    <n v="18.000856967084083"/>
    <n v="0.47439894570692959"/>
    <n v="53.531759569983038"/>
    <n v="0.118610625"/>
    <n v="2.2971589248820243"/>
    <n v="0"/>
    <s v=""/>
    <n v="106.1396164995668"/>
    <n v="1.3045971006940564"/>
    <n v="98.345418750786862"/>
    <n v="2.6231286284593933"/>
    <n v="2.6348412868396816"/>
    <n v="0"/>
    <s v=""/>
    <n v="88.138759532482709"/>
    <n v="0.8301981549871269"/>
    <n v="44.813659180803825"/>
    <n v="2.5045180034593932"/>
    <n v="0.33768236195765722"/>
    <n v="0"/>
    <s v=""/>
    <n v="136.62481723369072"/>
    <n v="16927"/>
    <x v="0"/>
  </r>
  <r>
    <n v="8222"/>
    <s v="Sant Llorenç d'Hortons"/>
    <n v="0.41098704205719755"/>
    <n v="0.60375389407493985"/>
    <n v="6.7093384559573348"/>
    <n v="0.829764375"/>
    <n v="1.5301260000000001"/>
    <n v="0"/>
    <s v=""/>
    <n v="2.2577127872331584"/>
    <n v="1.6603232087060849"/>
    <n v="9.703789373330773"/>
    <n v="5.6085886884351606"/>
    <n v="1.7550545219999998"/>
    <n v="0"/>
    <s v=""/>
    <n v="1.8467257451759609"/>
    <n v="1.056569314631145"/>
    <n v="2.9944509173734382"/>
    <n v="4.7788243134351607"/>
    <n v="0.22492852199999969"/>
    <n v="0"/>
    <s v=""/>
    <n v="10.901498812615703"/>
    <n v="2562"/>
    <x v="2"/>
  </r>
  <r>
    <n v="8223"/>
    <s v="Sant Llorenç Savall"/>
    <n v="0.45087719154962103"/>
    <n v="4.4643616312927552"/>
    <n v="3.8163115705560533"/>
    <n v="0.44918999999999998"/>
    <n v="0.35287199999999996"/>
    <n v="0"/>
    <s v=""/>
    <n v="2.6703694006015524"/>
    <n v="12.276994486055077"/>
    <n v="5.5195730408858976"/>
    <n v="2.0218620538208603"/>
    <n v="0.40474418400000001"/>
    <n v="0"/>
    <s v=""/>
    <n v="2.2194922090519311"/>
    <n v="7.8126328547623221"/>
    <n v="1.7032614703298443"/>
    <n v="1.5726720538208603"/>
    <n v="5.1872184000000043E-2"/>
    <n v="0"/>
    <s v=""/>
    <n v="13.359930771964956"/>
    <n v="2375"/>
    <x v="2"/>
  </r>
  <r>
    <n v="8224"/>
    <s v="Sant Martí de Centelles"/>
    <n v="0.60577116174602119"/>
    <n v="0.22948693122803479"/>
    <n v="2.2106927083648"/>
    <n v="2.7560424999999995"/>
    <n v="3.4405019999999995"/>
    <n v="7.2947888134500003"/>
    <s v=""/>
    <n v="3.5573997626882563"/>
    <n v="0.63108906087709571"/>
    <n v="3.1973489714298879"/>
    <n v="14.832620629691801"/>
    <n v="3.9462557939999998"/>
    <n v="8.9760594772500024"/>
    <s v=""/>
    <n v="2.951628600942235"/>
    <n v="0.40160212964906095"/>
    <n v="0.98665626306508791"/>
    <n v="12.076578129691802"/>
    <n v="0.50575379400000031"/>
    <n v="1.6812706638000021"/>
    <s v=""/>
    <n v="18.603489581148189"/>
    <n v="1122"/>
    <x v="2"/>
  </r>
  <r>
    <n v="8225"/>
    <s v="Sant Martí d'Albars"/>
    <n v="6.1093012927184989E-3"/>
    <n v="8.2824978732554691E-2"/>
    <n v="1.5567123109823999"/>
    <n v="3.7361200000000001"/>
    <n v="12.317057999999999"/>
    <n v="0"/>
    <s v=""/>
    <n v="3.5760189084716579E-2"/>
    <n v="0.22776869151452536"/>
    <n v="2.251489991122944"/>
    <n v="16.459877333950232"/>
    <n v="14.127665525999998"/>
    <n v="0"/>
    <s v=""/>
    <n v="2.9650887791998079E-2"/>
    <n v="0.14494371278197066"/>
    <n v="0.69477768014054408"/>
    <n v="12.723757333950232"/>
    <n v="1.8106075259999983"/>
    <n v="0"/>
    <s v=""/>
    <n v="15.403737140664743"/>
    <n v="108"/>
    <x v="1"/>
  </r>
  <r>
    <n v="8226"/>
    <s v="Sant Martí de Tous"/>
    <n v="0.39004136666932487"/>
    <n v="3.5581151478616757"/>
    <n v="0.90482105583456007"/>
    <n v="7.8440081250000002"/>
    <n v="0.10342799999999999"/>
    <n v="0"/>
    <s v=""/>
    <n v="2.2662768191067855"/>
    <n v="9.7848166566196078"/>
    <n v="1.3086525600116734"/>
    <n v="35.478197349372095"/>
    <n v="0.11863191599999999"/>
    <n v="0"/>
    <s v=""/>
    <n v="1.8762354524374607"/>
    <n v="6.226701508757932"/>
    <n v="0.40383150417711333"/>
    <n v="27.634189224372093"/>
    <n v="1.5203915999999998E-2"/>
    <n v="0"/>
    <s v=""/>
    <n v="36.156161605744593"/>
    <n v="1190"/>
    <x v="2"/>
  </r>
  <r>
    <n v="8227"/>
    <s v="Sant Martí Sarroca"/>
    <n v="0.70687852966196441"/>
    <n v="1.1235925357243015"/>
    <n v="6.11558578447712"/>
    <n v="0.93679937499999999"/>
    <n v="10.288043999999999"/>
    <n v="0"/>
    <s v=""/>
    <n v="4.0409355059722918"/>
    <n v="3.0898794732418291"/>
    <n v="11.235196633028446"/>
    <n v="6.8951850434666255"/>
    <n v="11.800386467999999"/>
    <n v="1.4083302474000001"/>
    <s v=""/>
    <n v="3.3340569763103272"/>
    <n v="1.9662869375175276"/>
    <n v="5.1196108485513259"/>
    <n v="5.9583856684666259"/>
    <n v="1.5123424679999999"/>
    <n v="1.4083302474000001"/>
    <s v=""/>
    <n v="19.299013146245805"/>
    <n v="3099"/>
    <x v="2"/>
  </r>
  <r>
    <n v="8228"/>
    <s v="Sant Martí Sesgueioles"/>
    <n v="0.19186466137337774"/>
    <n v="2.6454387716443685E-2"/>
    <n v="0.35632255646655997"/>
    <n v="1.7967599999999999"/>
    <n v="2.3453819999999999"/>
    <n v="0"/>
    <s v=""/>
    <n v="1.1281263024274097"/>
    <n v="7.2749566220220122E-2"/>
    <n v="0.51535319906959354"/>
    <n v="8.0475664142355114"/>
    <n v="2.6901531539999999"/>
    <n v="0"/>
    <s v=""/>
    <n v="0.93626164105403198"/>
    <n v="4.6295178503776437E-2"/>
    <n v="0.15903064260303357"/>
    <n v="6.2508064142355115"/>
    <n v="0.34477115400000002"/>
    <n v="0"/>
    <s v=""/>
    <n v="7.7371650303963531"/>
    <n v="371"/>
    <x v="1"/>
  </r>
  <r>
    <n v="8229"/>
    <s v="Sant Mateu de Bages"/>
    <n v="0.53871425836165032"/>
    <n v="14.067980793404509"/>
    <n v="1.9776401026166399"/>
    <n v="9.3028887499999993"/>
    <n v="22.644648"/>
    <n v="3.9450510893999993"/>
    <s v=""/>
    <n v="2.9490910716314156"/>
    <n v="38.686947181862401"/>
    <n v="2.8602824463273988"/>
    <n v="41.114648415747396"/>
    <n v="25.973411255999999"/>
    <n v="5.6906314134000002"/>
    <s v=""/>
    <n v="2.4103768132697652"/>
    <n v="24.618966388457892"/>
    <n v="0.88264234371075889"/>
    <n v="31.811759665747395"/>
    <n v="3.3287632559999984"/>
    <n v="1.745580324000001"/>
    <s v=""/>
    <n v="64.798088791185819"/>
    <n v="618"/>
    <x v="1"/>
  </r>
  <r>
    <n v="8230"/>
    <s v="Premià de Dalt"/>
    <n v="39.012980738756845"/>
    <n v="8.4480308650099742E-2"/>
    <n v="23.574395432649599"/>
    <n v="0.56361000000000006"/>
    <n v="0"/>
    <n v="0"/>
    <s v=""/>
    <n v="232.46814966792957"/>
    <n v="0.23232084878777431"/>
    <n v="43.309500925140163"/>
    <n v="14.763734701665207"/>
    <n v="0"/>
    <n v="0"/>
    <s v=""/>
    <n v="193.45516892917271"/>
    <n v="0.14784054013767456"/>
    <n v="19.735105492490565"/>
    <n v="14.200124701665207"/>
    <n v="0"/>
    <n v="0"/>
    <s v=""/>
    <n v="227.53823966346616"/>
    <n v="10446"/>
    <x v="0"/>
  </r>
  <r>
    <n v="8231"/>
    <s v="Sant Pere de Ribes"/>
    <n v="18.221605475215735"/>
    <n v="4.611729015906664"/>
    <n v="71.283333384389763"/>
    <n v="0.92161624999999991"/>
    <n v="0.52322400000000002"/>
    <n v="0"/>
    <s v=""/>
    <n v="99.662403761646019"/>
    <n v="12.682254793743326"/>
    <n v="130.95757225157047"/>
    <n v="6.284234096193841"/>
    <n v="0.6001379280000001"/>
    <n v="36.418756993800002"/>
    <s v=""/>
    <n v="81.44079828643028"/>
    <n v="8.0705257778366608"/>
    <n v="59.674238867180705"/>
    <n v="5.3626178461938414"/>
    <n v="7.6913928000000076E-2"/>
    <n v="36.418756993800002"/>
    <s v=""/>
    <n v="191.04385169944149"/>
    <n v="29842"/>
    <x v="4"/>
  </r>
  <r>
    <n v="8232"/>
    <s v="Sant Pere de Riudebitlles"/>
    <n v="0.35850133572615517"/>
    <n v="0.13404644218631337"/>
    <n v="3.3532228531691728"/>
    <n v="0.30306749999999999"/>
    <n v="0.64490400000000003"/>
    <n v="0.1307664093"/>
    <s v=""/>
    <n v="2.0284923107191628"/>
    <n v="0.36862771601236177"/>
    <n v="4.8498027790058833"/>
    <n v="3.3162639123642323"/>
    <n v="0.739704888"/>
    <n v="0.16621167420000005"/>
    <s v=""/>
    <n v="1.6699909749930075"/>
    <n v="0.2345812738260484"/>
    <n v="1.4965799258367105"/>
    <n v="3.0131964123642323"/>
    <n v="9.4800887999999972E-2"/>
    <n v="3.5445264900000051E-2"/>
    <s v=""/>
    <n v="6.5445947399199991"/>
    <n v="2369"/>
    <x v="2"/>
  </r>
  <r>
    <n v="8233"/>
    <s v="Sant Pere de Torelló"/>
    <n v="0.70020861335340612"/>
    <n v="0.52770345099644533"/>
    <n v="5.0016416798249601"/>
    <n v="3.6669212499999997"/>
    <n v="12.782484"/>
    <n v="2.9883004799999995E-2"/>
    <s v=""/>
    <n v="4.108669587774008"/>
    <n v="1.4511844902402249"/>
    <n v="7.233928903795098"/>
    <n v="20.471189967181907"/>
    <n v="14.661509148"/>
    <n v="4.823044709999999E-2"/>
    <s v=""/>
    <n v="3.4084609744206018"/>
    <n v="0.92348103924377956"/>
    <n v="2.2322872239701379"/>
    <n v="16.804268717181905"/>
    <n v="1.8790251480000002"/>
    <n v="1.8347442299999996E-2"/>
    <s v=""/>
    <n v="25.265870545116428"/>
    <n v="2427"/>
    <x v="2"/>
  </r>
  <r>
    <n v="8234"/>
    <s v="Sant Pere de Vilamajor"/>
    <n v="0.72518022000171678"/>
    <n v="0.81941640724687959"/>
    <n v="11.949931426379514"/>
    <n v="2.9126593750000001"/>
    <n v="17.461079999999999"/>
    <n v="2.5860729967500005"/>
    <s v=""/>
    <n v="4.0361107648790764"/>
    <n v="2.2533951199289186"/>
    <n v="21.953715319857803"/>
    <n v="18.402364637366997"/>
    <n v="20.027858760000001"/>
    <n v="3.5024972350499999"/>
    <s v=""/>
    <n v="3.3109305448773596"/>
    <n v="1.4339787126820389"/>
    <n v="10.003783893478289"/>
    <n v="15.489705262366996"/>
    <n v="2.5667787600000018"/>
    <n v="0.91642423829999942"/>
    <s v=""/>
    <n v="33.721601411704683"/>
    <n v="4257"/>
    <x v="2"/>
  </r>
  <r>
    <n v="8235"/>
    <s v="Sant Pol de Mar"/>
    <n v="8.6353922391137168"/>
    <n v="0.18263838155783466"/>
    <n v="15.241087357161815"/>
    <n v="0.94888499999999998"/>
    <n v="2.308878"/>
    <n v="0"/>
    <n v="14.621521834061133"/>
    <n v="50.650715957900708"/>
    <n v="0.50225554928404537"/>
    <n v="28.000034566356334"/>
    <n v="9.7354205904050737"/>
    <n v="2.6482830659999999"/>
    <n v="57.94937022405"/>
    <n v="16.875397447094389"/>
    <n v="42.015323718786988"/>
    <n v="0.31961716772621074"/>
    <n v="12.758947209194519"/>
    <n v="8.786535590405073"/>
    <n v="0.33940506599999987"/>
    <n v="57.94937022405"/>
    <n v="2.2538756130332569"/>
    <n v="124.42307458919605"/>
    <n v="4951"/>
    <x v="2"/>
  </r>
  <r>
    <n v="8236"/>
    <s v="Sant Quintí de Mediona"/>
    <n v="0.38867117267841916"/>
    <n v="0.63644814826672369"/>
    <n v="3.1446226256949332"/>
    <n v="0.45187437499999999"/>
    <n v="0.88217999999999985"/>
    <n v="9.401706014999997E-2"/>
    <s v=""/>
    <n v="2.2223369527375874"/>
    <n v="1.7502324077334905"/>
    <n v="4.54810199525103"/>
    <n v="3.624587616746445"/>
    <n v="1.0118604599999999"/>
    <n v="0.11081226825"/>
    <s v=""/>
    <n v="1.8336657800591682"/>
    <n v="1.1137842594667668"/>
    <n v="1.4034793695560968"/>
    <n v="3.172713241746445"/>
    <n v="0.12968046"/>
    <n v="1.6795208100000028E-2"/>
    <s v=""/>
    <n v="7.6701183189284778"/>
    <n v="2121"/>
    <x v="2"/>
  </r>
  <r>
    <n v="8237"/>
    <s v="Sant Quirze de Besora"/>
    <n v="0.74114655263187124"/>
    <n v="5.6847524080853279E-2"/>
    <n v="2.2501215850666663"/>
    <n v="0.67223624999999998"/>
    <n v="3.2245199999999996"/>
    <n v="19.150017520950001"/>
    <s v=""/>
    <n v="4.3534820445983371"/>
    <n v="0.1563306912223465"/>
    <n v="3.2543753857706665"/>
    <n v="6.6071015258033512"/>
    <n v="3.698524439999999"/>
    <n v="28.238636951399993"/>
    <s v=""/>
    <n v="3.6123354919664656"/>
    <n v="9.9483167141493217E-2"/>
    <n v="1.0042538007040003"/>
    <n v="5.9348652758033511"/>
    <n v="0.47400443999999942"/>
    <n v="9.0886194304499917"/>
    <s v=""/>
    <n v="20.213561606065305"/>
    <n v="2125"/>
    <x v="2"/>
  </r>
  <r>
    <n v="8238"/>
    <s v="Sant Quirze del Vallès"/>
    <n v="5.7319290342738629"/>
    <n v="0.91751483687072433"/>
    <n v="36.170228563724159"/>
    <n v="0.58465999999999996"/>
    <n v="0.139932"/>
    <n v="10.3178818635"/>
    <s v=""/>
    <n v="33.659680152990866"/>
    <n v="2.5231658013944918"/>
    <n v="66.44982909184526"/>
    <n v="3.1338814425948684"/>
    <n v="0.160502004"/>
    <n v="13.603435621199999"/>
    <s v=""/>
    <n v="27.927751118717005"/>
    <n v="1.6056509645237673"/>
    <n v="30.279600528121101"/>
    <n v="2.5492214425948685"/>
    <n v="2.0570004000000003E-2"/>
    <n v="3.2855537576999989"/>
    <s v=""/>
    <n v="65.668347815656745"/>
    <n v="19664"/>
    <x v="0"/>
  </r>
  <r>
    <n v="8239"/>
    <s v="Sant Quirze Safaja"/>
    <n v="6.0969252245843611E-2"/>
    <n v="0.69843897560797608"/>
    <n v="2.2879020569158399"/>
    <n v="0.75578000000000001"/>
    <n v="0.389376"/>
    <n v="0"/>
    <s v=""/>
    <n v="0.33132948868629097"/>
    <n v="1.9207071829219342"/>
    <n v="3.309017694197351"/>
    <n v="4.0652321037026571"/>
    <n v="0.44661427199999992"/>
    <n v="0"/>
    <s v=""/>
    <n v="0.27036023644044738"/>
    <n v="1.2222682073139581"/>
    <n v="1.0211156372815111"/>
    <n v="3.309452103702657"/>
    <n v="5.7238271999999923E-2"/>
    <n v="0"/>
    <s v=""/>
    <n v="5.8804344567385742"/>
    <n v="637"/>
    <x v="1"/>
  </r>
  <r>
    <n v="8240"/>
    <s v="Sant Sadurní d'Anoia"/>
    <n v="2.6497760168586169"/>
    <n v="0.45553994173885359"/>
    <n v="24.908645432523517"/>
    <n v="0.49020874999999997"/>
    <n v="1.5392519999999998"/>
    <n v="34.4342635581"/>
    <s v=""/>
    <n v="14.870286635303815"/>
    <n v="1.2527348397818474"/>
    <n v="45.760707013075596"/>
    <n v="5.2452853432199289"/>
    <n v="1.7655220439999999"/>
    <n v="50.03438657025"/>
    <s v=""/>
    <n v="12.220510618445198"/>
    <n v="0.79719489804299382"/>
    <n v="20.852061580552078"/>
    <n v="4.755076593219929"/>
    <n v="0.22627004400000006"/>
    <n v="15.60012301215"/>
    <s v=""/>
    <n v="54.451236746410196"/>
    <n v="12654"/>
    <x v="0"/>
  </r>
  <r>
    <n v="8241"/>
    <s v="Sant Sadurní d'Osormort"/>
    <n v="9.9292139429306328E-2"/>
    <n v="0.32407748359207744"/>
    <n v="5.5075184437333334E-3"/>
    <n v="0.90550999999999993"/>
    <n v="3.5165519999999999"/>
    <n v="0"/>
    <s v=""/>
    <n v="0.59024644029862794"/>
    <n v="0.89121307987821319"/>
    <n v="7.9655839839573341E-3"/>
    <n v="4.053390040483392"/>
    <n v="4.0334851440000001"/>
    <n v="0"/>
    <s v=""/>
    <n v="0.49095430086932162"/>
    <n v="0.56713559628613575"/>
    <n v="2.4580655402240007E-3"/>
    <n v="3.147880040483392"/>
    <n v="0.51693314400000023"/>
    <n v="0"/>
    <s v=""/>
    <n v="4.7253611471790737"/>
    <n v="80"/>
    <x v="1"/>
  </r>
  <r>
    <n v="8242"/>
    <s v="Marganell"/>
    <n v="0.82813868719179595"/>
    <n v="1.7473495749497501"/>
    <n v="0.6216839914165333"/>
    <n v="0.37789"/>
    <n v="4.8672E-2"/>
    <n v="0"/>
    <s v=""/>
    <n v="4.7167040424995745"/>
    <n v="4.8052113311118125"/>
    <n v="0.89914833617032541"/>
    <n v="1.8070567701914171"/>
    <n v="5.582678399999999E-2"/>
    <n v="0"/>
    <s v=""/>
    <n v="3.8885653553077786"/>
    <n v="3.0578617561620627"/>
    <n v="0.27746434475379211"/>
    <n v="1.429166770191417"/>
    <n v="7.1547839999999904E-3"/>
    <n v="0"/>
    <s v=""/>
    <n v="8.6602130104150508"/>
    <n v="277"/>
    <x v="1"/>
  </r>
  <r>
    <n v="8243"/>
    <s v="Santa Cecília de Voltregà"/>
    <n v="2.855690819538233E-3"/>
    <n v="4.1587225608329143E-2"/>
    <n v="0.85274914077162656"/>
    <n v="2.7343974999999996"/>
    <n v="13.202279999999998"/>
    <n v="0"/>
    <s v=""/>
    <n v="4.5382634331113956E-3"/>
    <n v="0.11436487042290515"/>
    <n v="1.2333403814185644"/>
    <n v="12.377547607808244"/>
    <n v="15.143015160000001"/>
    <n v="0"/>
    <s v=""/>
    <n v="1.6825726135731626E-3"/>
    <n v="7.2777644814576006E-2"/>
    <n v="0.38059124064693783"/>
    <n v="9.6431501078082444"/>
    <n v="1.9407351600000027"/>
    <n v="0"/>
    <s v=""/>
    <n v="12.038936725883334"/>
    <n v="183"/>
    <x v="1"/>
  </r>
  <r>
    <n v="8244"/>
    <s v="Santa Coloma de Cervelló"/>
    <n v="5.5479076892391435"/>
    <n v="0.26646030021334099"/>
    <n v="18.993687451158717"/>
    <n v="1.1717612500000001"/>
    <n v="0"/>
    <n v="10.363612905"/>
    <s v=""/>
    <n v="32.473060174008026"/>
    <n v="0.7327658255866879"/>
    <n v="34.894092049482794"/>
    <n v="10.455113203096801"/>
    <n v="0"/>
    <n v="17.630332799999998"/>
    <s v=""/>
    <n v="26.925152484768883"/>
    <n v="0.46630552537334691"/>
    <n v="15.900404598324076"/>
    <n v="9.2833519530968012"/>
    <n v="0"/>
    <n v="7.2667198949999978"/>
    <s v=""/>
    <n v="59.841934456563095"/>
    <n v="8073"/>
    <x v="0"/>
  </r>
  <r>
    <n v="8245"/>
    <s v="Santa Coloma de Gramenet"/>
    <n v="121.99455283940843"/>
    <n v="0.60732161063791212"/>
    <n v="223.88258403714141"/>
    <n v="0"/>
    <n v="0.64816988282955523"/>
    <n v="17.891229497099999"/>
    <s v=""/>
    <n v="719.08717847563958"/>
    <n v="1.6701344292542586"/>
    <n v="411.30399327443359"/>
    <n v="0.49157944793180208"/>
    <n v="0.74345085560549995"/>
    <n v="107.79644965980002"/>
    <s v=""/>
    <n v="597.09262563623111"/>
    <n v="1.0628128186163464"/>
    <n v="187.42140923729218"/>
    <n v="0.49157944793180208"/>
    <n v="9.5280972775944717E-2"/>
    <n v="89.905220162700019"/>
    <s v=""/>
    <n v="876.06892827554748"/>
    <n v="117153"/>
    <x v="3"/>
  </r>
  <r>
    <n v="8246"/>
    <s v="Santa Eugènia de Berga"/>
    <n v="0.72135478322777524"/>
    <n v="7.3389221661757306E-3"/>
    <n v="20.997385125646506"/>
    <n v="3.4081399999999999"/>
    <n v="9.305477999999999"/>
    <n v="0.19058432250000004"/>
    <s v=""/>
    <n v="4.1735366238839795"/>
    <n v="2.0182035956983261E-2"/>
    <n v="30.368747081027855"/>
    <n v="17.571129042503756"/>
    <n v="10.673383266"/>
    <n v="0.20075809215000004"/>
    <s v=""/>
    <n v="3.4521818406562041"/>
    <n v="1.284311379080753E-2"/>
    <n v="9.3713619553813494"/>
    <n v="14.162989042503757"/>
    <n v="1.3679052660000011"/>
    <n v="1.0173769649999997E-2"/>
    <s v=""/>
    <n v="28.377454987982116"/>
    <n v="2246"/>
    <x v="2"/>
  </r>
  <r>
    <n v="8247"/>
    <s v="Santa Eulàlia de Riuprimer"/>
    <n v="7.2197401088482452E-2"/>
    <n v="9.5405988160284491E-2"/>
    <n v="1.986763200894293"/>
    <n v="2.9173481250000002"/>
    <n v="8.259030000000001"/>
    <n v="1.1716133820000001"/>
    <s v=""/>
    <n v="0.41953617310765334"/>
    <n v="0.26236646744078235"/>
    <n v="2.873477282852591"/>
    <n v="15.657345582799261"/>
    <n v="9.473107409999999"/>
    <n v="1.4855814359999999"/>
    <s v=""/>
    <n v="0.3473387720191709"/>
    <n v="0.16696047928049784"/>
    <n v="0.88671408195829793"/>
    <n v="12.739997457799261"/>
    <n v="1.214077409999998"/>
    <n v="0.31396805399999983"/>
    <s v=""/>
    <n v="15.669056255057225"/>
    <n v="1266"/>
    <x v="2"/>
  </r>
  <r>
    <n v="8248"/>
    <s v="Santa Eulàlia de Ronçana"/>
    <n v="1.7978469461825004"/>
    <n v="0.23951703090221169"/>
    <n v="9.3552738517305585"/>
    <n v="2.927089375"/>
    <n v="4.2222959999999992"/>
    <n v="43.136448673350003"/>
    <s v=""/>
    <n v="10.151048216247164"/>
    <n v="0.65867183498108228"/>
    <n v="17.186962129909681"/>
    <n v="23.141234771870124"/>
    <n v="4.8429735120000004"/>
    <n v="54.647747420850003"/>
    <s v=""/>
    <n v="8.3532012700646625"/>
    <n v="0.41915480407887062"/>
    <n v="7.8316882781791222"/>
    <n v="20.214145396870123"/>
    <n v="0.62067751200000121"/>
    <n v="11.5112987475"/>
    <s v=""/>
    <n v="48.950166008692776"/>
    <n v="7049"/>
    <x v="0"/>
  </r>
  <r>
    <n v="8249"/>
    <s v="Santa Fe del Penedès"/>
    <n v="3.3443011880232035E-2"/>
    <n v="4.1412721976259427E-2"/>
    <n v="0.65543382886869339"/>
    <n v="0.15686"/>
    <n v="0"/>
    <n v="0"/>
    <s v=""/>
    <n v="0.18338855085364797"/>
    <n v="0.1138849854347134"/>
    <n v="1.2041247080484043"/>
    <n v="0.96736950336650018"/>
    <n v="0"/>
    <n v="0"/>
    <s v=""/>
    <n v="0.14994553897341595"/>
    <n v="7.2472263458453978E-2"/>
    <n v="0.54869087917971093"/>
    <n v="0.81050950336650018"/>
    <n v="0"/>
    <n v="0"/>
    <s v=""/>
    <n v="1.581618184978081"/>
    <n v="374"/>
    <x v="1"/>
  </r>
  <r>
    <n v="8250"/>
    <s v="Santa Margarida de Montbui"/>
    <n v="3.1682724422763706"/>
    <n v="2.1047772226895503"/>
    <n v="12.026931479123839"/>
    <n v="6.5988574999999994"/>
    <n v="1.7491499999999998"/>
    <n v="1.75730222115"/>
    <s v=""/>
    <n v="18.412206971374218"/>
    <n v="5.7881373623962649"/>
    <n v="17.394682150409828"/>
    <n v="30.236799635416041"/>
    <n v="2.0062750499999997"/>
    <n v="2.19589526115"/>
    <s v=""/>
    <n v="15.243934529097848"/>
    <n v="3.6833601397067146"/>
    <n v="5.3677506712859895"/>
    <n v="23.63794213541604"/>
    <n v="0.25712504999999997"/>
    <n v="0.43859303999999999"/>
    <s v=""/>
    <n v="48.628705565506593"/>
    <n v="9611"/>
    <x v="0"/>
  </r>
  <r>
    <n v="8251"/>
    <s v="Santa Margarida i els Monjos"/>
    <n v="0.62330825184092997"/>
    <n v="0.62119082964389127"/>
    <n v="21.227620043908157"/>
    <n v="0.42159312500000001"/>
    <n v="0.78179399999999988"/>
    <n v="0"/>
    <s v=""/>
    <n v="3.4000001250878311"/>
    <n v="1.7082747815207013"/>
    <n v="38.998142393797757"/>
    <n v="4.9008719992779239"/>
    <n v="0.89671771799999989"/>
    <n v="18.034913041500001"/>
    <s v=""/>
    <n v="2.776691873246901"/>
    <n v="1.0870839518768101"/>
    <n v="17.7705223498896"/>
    <n v="4.4792788742779237"/>
    <n v="0.11492371800000001"/>
    <n v="18.034913041500001"/>
    <s v=""/>
    <n v="44.263413808791235"/>
    <n v="7360"/>
    <x v="0"/>
  </r>
  <r>
    <n v="8252"/>
    <s v="Barberà del Vallès"/>
    <n v="9.7033349498209649"/>
    <n v="0.16986584985090333"/>
    <n v="74.744171133747415"/>
    <n v="0.22103"/>
    <n v="0.15818399999999999"/>
    <n v="4.5766378046999998"/>
    <s v=""/>
    <n v="56.998002704586845"/>
    <n v="0.46713108708998413"/>
    <n v="137.31562101408417"/>
    <n v="2.4212383765105168"/>
    <n v="0.18143704799999996"/>
    <n v="7.1148084972000003"/>
    <s v=""/>
    <n v="47.294667754765882"/>
    <n v="0.29726523723908083"/>
    <n v="62.571449880336758"/>
    <n v="2.2002083765105169"/>
    <n v="2.3253047999999971E-2"/>
    <n v="2.5381706925000005"/>
    <s v=""/>
    <n v="114.92501498935223"/>
    <n v="32832"/>
    <x v="4"/>
  </r>
  <r>
    <n v="8253"/>
    <s v="Santa Maria de Besora"/>
    <n v="3.2777879018596211E-2"/>
    <n v="0.22517677059075694"/>
    <n v="0.24298051365888002"/>
    <n v="0.95541999999999994"/>
    <n v="4.9128299999999996"/>
    <n v="0.18658034669999998"/>
    <s v=""/>
    <n v="0.19016242887084897"/>
    <n v="0.61923611912458154"/>
    <n v="0.35142536657633283"/>
    <n v="4.3524987379347007"/>
    <n v="5.6350160100000002"/>
    <n v="0.81091201740000007"/>
    <s v=""/>
    <n v="0.15738454985225275"/>
    <n v="0.39405934853382463"/>
    <n v="0.10844485291745282"/>
    <n v="3.3970787379347005"/>
    <n v="0.7221860100000006"/>
    <n v="0.62433167070000006"/>
    <s v=""/>
    <n v="5.4034851699382314"/>
    <n v="148"/>
    <x v="1"/>
  </r>
  <r>
    <n v="8254"/>
    <s v="l'Esquirol"/>
    <n v="0.69796865677799103"/>
    <n v="0.43451078856881714"/>
    <n v="13.58925794277717"/>
    <n v="11.047054375"/>
    <n v="59.699249999999992"/>
    <n v="0"/>
    <s v=""/>
    <n v="4.1051098491116802"/>
    <n v="1.194904668564247"/>
    <n v="19.654291951762364"/>
    <n v="50.921275510153535"/>
    <n v="68.475039749999993"/>
    <n v="0"/>
    <s v=""/>
    <n v="3.4071411923336892"/>
    <n v="0.76039387999542996"/>
    <n v="6.0650340089851937"/>
    <n v="39.874221135153533"/>
    <n v="8.7757897500000013"/>
    <n v="0"/>
    <s v=""/>
    <n v="58.882579966467844"/>
    <n v="2168"/>
    <x v="2"/>
  </r>
  <r>
    <n v="8255"/>
    <s v="Santa Maria de Merlès"/>
    <n v="1.5790624287851034E-2"/>
    <n v="3.6860371290944962"/>
    <n v="1.4738104719359999"/>
    <n v="5.8109499999999992"/>
    <n v="24.725376000000001"/>
    <n v="0"/>
    <s v=""/>
    <n v="8.2452776427590399E-2"/>
    <n v="10.136602105009866"/>
    <n v="2.1315881572761599"/>
    <n v="25.783973618869659"/>
    <n v="28.360006271999996"/>
    <n v="0"/>
    <s v=""/>
    <n v="6.6662152139739361E-2"/>
    <n v="6.4505649759153698"/>
    <n v="0.65777768534016001"/>
    <n v="19.973023618869661"/>
    <n v="3.6346302719999954"/>
    <n v="0"/>
    <s v=""/>
    <n v="30.782658704264925"/>
    <n v="178"/>
    <x v="1"/>
  </r>
  <r>
    <n v="8256"/>
    <s v="Santa Maria de Martorelles"/>
    <n v="0.28080446486292643"/>
    <n v="0.11122610213652324"/>
    <n v="1.5493498448544001"/>
    <n v="0.14083875000000001"/>
    <n v="0"/>
    <n v="0"/>
    <s v=""/>
    <n v="1.6211223851446754"/>
    <n v="0.30587178087543887"/>
    <n v="2.8463749465300991"/>
    <n v="0.93400106980433617"/>
    <n v="0"/>
    <n v="0"/>
    <s v=""/>
    <n v="1.340317920281749"/>
    <n v="0.19464567873891564"/>
    <n v="1.2970251016756991"/>
    <n v="0.79316231980433616"/>
    <n v="0"/>
    <n v="0"/>
    <s v=""/>
    <n v="3.6251510205007"/>
    <n v="861"/>
    <x v="1"/>
  </r>
  <r>
    <n v="8257"/>
    <s v="Santa Maria de Miralles"/>
    <n v="1.8597986557570461E-3"/>
    <n v="2.6371717754829795"/>
    <n v="0.3408491982963201"/>
    <n v="2.9232999999999998"/>
    <n v="2.1050639999999996"/>
    <n v="0"/>
    <s v=""/>
    <n v="2.9535631278115246E-3"/>
    <n v="7.2522223825781955"/>
    <n v="0.49297391241297922"/>
    <n v="12.847196460513306"/>
    <n v="2.4145084079999997"/>
    <n v="0"/>
    <s v=""/>
    <n v="1.0937644720544785E-3"/>
    <n v="4.615050607095216"/>
    <n v="0.15212471411665912"/>
    <n v="9.9238964605133066"/>
    <n v="0.30944440800000006"/>
    <n v="0"/>
    <s v=""/>
    <n v="15.001609954197235"/>
    <n v="132"/>
    <x v="1"/>
  </r>
  <r>
    <n v="8258"/>
    <s v="Santa Maria d'Oló"/>
    <n v="0.45483158909899596"/>
    <n v="8.4741499707629178"/>
    <n v="1.3338811360520533"/>
    <n v="6.108733749999999"/>
    <n v="19.815587999999998"/>
    <n v="0"/>
    <s v=""/>
    <n v="2.246000893203095"/>
    <n v="23.303912419598024"/>
    <n v="1.9292068328756562"/>
    <n v="28.480410576212726"/>
    <n v="22.728479435999997"/>
    <n v="0"/>
    <s v=""/>
    <n v="1.791169304104099"/>
    <n v="14.829762448835107"/>
    <n v="0.59532569682360292"/>
    <n v="22.371676826212727"/>
    <n v="2.9128914359999989"/>
    <n v="0"/>
    <s v=""/>
    <n v="42.500825711975537"/>
    <n v="1054"/>
    <x v="2"/>
  </r>
  <r>
    <n v="8259"/>
    <s v="Santa Maria de Palautordera"/>
    <n v="1.8492090011030731"/>
    <n v="0.27059939369104835"/>
    <n v="14.948074691360853"/>
    <n v="3.4120993749999999"/>
    <n v="3.166722"/>
    <n v="5.7610471951500006"/>
    <s v=""/>
    <n v="10.415000475052436"/>
    <n v="0.74414833265038305"/>
    <n v="27.461728828809871"/>
    <n v="22.520715012037531"/>
    <n v="3.6322301340000003"/>
    <n v="6.8548402649999991"/>
    <s v=""/>
    <n v="8.5657914739493624"/>
    <n v="0.4735489389593347"/>
    <n v="12.513654137449018"/>
    <n v="19.108615637037531"/>
    <n v="0.46550813400000024"/>
    <n v="1.0937930698499985"/>
    <s v=""/>
    <n v="42.220911391245245"/>
    <n v="9194"/>
    <x v="0"/>
  </r>
  <r>
    <n v="8260"/>
    <s v="Santa Perpètua de Mogoda"/>
    <n v="7.4424695077249199"/>
    <n v="0.18182823364322051"/>
    <n v="46.671777285990402"/>
    <n v="3.2692324999999998"/>
    <n v="3.7538279999999995"/>
    <n v="62.039601890099995"/>
    <s v=""/>
    <n v="43.703622761891495"/>
    <n v="0.50002764251885634"/>
    <n v="85.742660392727345"/>
    <n v="17.812028990351177"/>
    <n v="4.3056407159999992"/>
    <n v="89.03397494730001"/>
    <s v=""/>
    <n v="36.261153254166572"/>
    <n v="0.3181994088756358"/>
    <n v="39.070883106736943"/>
    <n v="14.542796490351177"/>
    <n v="0.5518127159999997"/>
    <n v="26.994373057200015"/>
    <s v=""/>
    <n v="117.73921803333036"/>
    <n v="25556"/>
    <x v="4"/>
  </r>
  <r>
    <n v="8261"/>
    <s v="Santa Susanna"/>
    <n v="0.68618933158503603"/>
    <n v="0.24646794809346559"/>
    <n v="23.852917047114772"/>
    <n v="1.241385"/>
    <n v="0.47455199999999986"/>
    <n v="0"/>
    <n v="7.852991266375545"/>
    <n v="3.9977798685163761"/>
    <n v="0.67778685725703036"/>
    <n v="43.821184550445139"/>
    <n v="10.847184269506869"/>
    <n v="0.54431114399999991"/>
    <n v="68.018112059850012"/>
    <n v="9.0635126953703917"/>
    <n v="3.3115905369313401"/>
    <n v="0.43131890916356475"/>
    <n v="19.968267503330367"/>
    <n v="9.6057992695068695"/>
    <n v="6.9759144000000051E-2"/>
    <n v="68.018112059850012"/>
    <n v="1.2105214289948467"/>
    <n v="102.61536885177701"/>
    <n v="3323"/>
    <x v="2"/>
  </r>
  <r>
    <n v="8262"/>
    <s v="Sant Vicenç de Castellet"/>
    <n v="8.3053099304941327"/>
    <n v="1.9967350057790623"/>
    <n v="16.252129432565976"/>
    <n v="0.79503750000000006"/>
    <n v="0.27378000000000002"/>
    <n v="28.63131541125"/>
    <s v=""/>
    <n v="41.542015092777341"/>
    <n v="5.4910212658924218"/>
    <n v="23.505632025717698"/>
    <n v="4.0995246602046027"/>
    <n v="0.31402566000000004"/>
    <n v="52.192983007949998"/>
    <s v=""/>
    <n v="33.236705162283208"/>
    <n v="3.4942862601133595"/>
    <n v="7.2535025931517225"/>
    <n v="3.3044871602046024"/>
    <n v="4.0245660000000016E-2"/>
    <n v="23.561667596699998"/>
    <s v=""/>
    <n v="70.890894432452882"/>
    <n v="9235"/>
    <x v="0"/>
  </r>
  <r>
    <n v="8263"/>
    <s v="Sant Vicenç dels Horts"/>
    <n v="26.650808239510187"/>
    <n v="0.39470988396088369"/>
    <n v="56.931096534095992"/>
    <n v="0.62694187500000009"/>
    <n v="0"/>
    <n v="20.118411917100001"/>
    <s v=""/>
    <n v="157.0842070652717"/>
    <n v="1.08545218089243"/>
    <n v="104.59048186651853"/>
    <n v="7.7861225106247804"/>
    <n v="0"/>
    <n v="34.433319482550004"/>
    <s v=""/>
    <n v="130.43339882576151"/>
    <n v="0.69074229693154632"/>
    <n v="47.659385332422538"/>
    <n v="7.1591806356247805"/>
    <n v="0"/>
    <n v="14.314907565450003"/>
    <s v=""/>
    <n v="200.25761465619038"/>
    <n v="27961"/>
    <x v="4"/>
  </r>
  <r>
    <n v="8264"/>
    <s v="Sant Vicenç de Montalt"/>
    <n v="11.092885255569785"/>
    <n v="0.13677764257635197"/>
    <n v="40.668027144198931"/>
    <n v="0.33888750000000001"/>
    <n v="3.042E-3"/>
    <n v="0"/>
    <n v="20.546569999999999"/>
    <n v="65.106848418600734"/>
    <n v="0.37613851708496787"/>
    <n v="74.712921663558859"/>
    <n v="8.7492942287160993"/>
    <n v="3.4891739999999994E-3"/>
    <n v="0"/>
    <n v="23.713778829562596"/>
    <n v="54.013963163030951"/>
    <n v="0.2393608745086159"/>
    <n v="34.044894519359929"/>
    <n v="8.4104067287160991"/>
    <n v="4.471739999999994E-4"/>
    <n v="0"/>
    <n v="3.1672088295625969"/>
    <n v="99.876281289178181"/>
    <n v="6182"/>
    <x v="0"/>
  </r>
  <r>
    <n v="8265"/>
    <s v="Sant Vicenç de Torelló"/>
    <n v="0.91354106626119291"/>
    <n v="2.9588670320771997E-2"/>
    <n v="7.415109738427093"/>
    <n v="1.58999"/>
    <n v="3.8815919999999995"/>
    <n v="15.87368355555"/>
    <s v=""/>
    <n v="5.3438618104507665"/>
    <n v="8.1368843382122982E-2"/>
    <n v="10.724554075512563"/>
    <n v="9.3260529593922623"/>
    <n v="4.4521860239999995"/>
    <n v="23.772058229099997"/>
    <s v=""/>
    <n v="4.430320744189574"/>
    <n v="5.1780173061350986E-2"/>
    <n v="3.3094443370854698"/>
    <n v="7.7360629593922621"/>
    <n v="0.57059402400000003"/>
    <n v="7.8983746735499967"/>
    <s v=""/>
    <n v="23.996576911278652"/>
    <n v="1996"/>
    <x v="2"/>
  </r>
  <r>
    <n v="8266"/>
    <s v="Cerdanyola del Vallès"/>
    <n v="17.9915388155625"/>
    <n v="2.058726250657779"/>
    <n v="156.76599583488158"/>
    <n v="1.3396018750000001"/>
    <n v="0.41066999999999992"/>
    <n v="114.04420636979999"/>
    <s v=""/>
    <n v="105.8074825134028"/>
    <n v="5.6614971893088928"/>
    <n v="288.00132164739199"/>
    <n v="7.6204749036382262"/>
    <n v="0.47103848999999987"/>
    <n v="132.42271288950002"/>
    <s v=""/>
    <n v="87.815943697840311"/>
    <n v="3.6027709386511138"/>
    <n v="131.23532581251041"/>
    <n v="6.2808730286382257"/>
    <n v="6.0368489999999941E-2"/>
    <n v="18.378506519700025"/>
    <s v=""/>
    <n v="247.37378848734011"/>
    <n v="57543"/>
    <x v="3"/>
  </r>
  <r>
    <n v="8267"/>
    <s v="Sentmenat"/>
    <n v="1.5839081168292648"/>
    <n v="2.4714284914927203"/>
    <n v="22.859873452774401"/>
    <n v="3.3993337499999998"/>
    <n v="4.8063599999999997"/>
    <n v="8.4236811282000001"/>
    <s v=""/>
    <n v="9.2904131826200054"/>
    <n v="6.7964283516049813"/>
    <n v="41.996822920868674"/>
    <n v="20.101202282995366"/>
    <n v="5.5128949199999999"/>
    <n v="10.6526533173"/>
    <s v=""/>
    <n v="7.7065050657907408"/>
    <n v="4.3249998601122606"/>
    <n v="19.136949468094272"/>
    <n v="16.701868532995366"/>
    <n v="0.70653492000000018"/>
    <n v="2.2289721891000003"/>
    <s v=""/>
    <n v="50.805830036092644"/>
    <n v="8700"/>
    <x v="0"/>
  </r>
  <r>
    <n v="8268"/>
    <s v="Cercs"/>
    <n v="0.11604134007038074"/>
    <n v="3.9905076828158341"/>
    <n v="1.7544958900186669"/>
    <n v="0.1426"/>
    <n v="3.7507859999999993"/>
    <n v="0"/>
    <s v=""/>
    <n v="0.61456142985303064"/>
    <n v="10.973896127743542"/>
    <n v="2.5375465382877866"/>
    <n v="3.1698251316445232"/>
    <n v="4.3021515419999989"/>
    <n v="0"/>
    <s v=""/>
    <n v="0.49852008978264989"/>
    <n v="6.9833884449277077"/>
    <n v="0.78305064826911974"/>
    <n v="3.0272251316445233"/>
    <n v="0.55136554199999965"/>
    <n v="0"/>
    <s v=""/>
    <n v="11.843549856624001"/>
    <n v="1183"/>
    <x v="2"/>
  </r>
  <r>
    <n v="8269"/>
    <s v="Seva"/>
    <n v="1.1812774996673701"/>
    <n v="0.2052568389968514"/>
    <n v="9.7506616133973321"/>
    <n v="4.3504781249999995"/>
    <n v="8.0825940000000003"/>
    <n v="4.7484596099999991E-2"/>
    <s v=""/>
    <n v="6.8504769783633979"/>
    <n v="0.56445630724134133"/>
    <n v="14.102488221177172"/>
    <n v="23.31289083407221"/>
    <n v="9.2707353179999998"/>
    <n v="4.7504460899999996E-2"/>
    <s v=""/>
    <n v="5.6691994786960276"/>
    <n v="0.35919946824448989"/>
    <n v="4.3518266077798398"/>
    <n v="18.962412709072211"/>
    <n v="1.1881413179999996"/>
    <n v="1.9864800000005123E-5"/>
    <s v=""/>
    <n v="30.530799446592567"/>
    <n v="3446"/>
    <x v="2"/>
  </r>
  <r>
    <n v="8270"/>
    <s v="Sitges"/>
    <n v="20.609233390798"/>
    <n v="6.2743184086445387"/>
    <n v="146.51500904104589"/>
    <n v="0.26649437499999995"/>
    <n v="0.15209999999999999"/>
    <n v="0"/>
    <n v="0.38630412371134026"/>
    <n v="114.43003508726476"/>
    <n v="17.254375623772479"/>
    <n v="269.16880807139779"/>
    <n v="10.451530249325682"/>
    <n v="0.17445869999999999"/>
    <n v="28.198271635349997"/>
    <n v="0.4458520595232543"/>
    <n v="93.820801696466759"/>
    <n v="10.980057215127939"/>
    <n v="122.65379903035191"/>
    <n v="10.185035874325681"/>
    <n v="2.2358700000000009E-2"/>
    <n v="28.198271635349997"/>
    <n v="5.9547935811914032E-2"/>
    <n v="265.91987208743421"/>
    <n v="28478"/>
    <x v="4"/>
  </r>
  <r>
    <n v="8271"/>
    <s v="Sobremunt"/>
    <n v="1.5604867866329138E-4"/>
    <n v="0.12499465848105648"/>
    <n v="0.11820871045461336"/>
    <n v="0.82707999999999993"/>
    <n v="0.58710599999999991"/>
    <n v="0"/>
    <s v=""/>
    <n v="2.4799253732849159E-4"/>
    <n v="0.34373531082290532"/>
    <n v="0.17096654698141014"/>
    <n v="3.7141279214088967"/>
    <n v="0.67341058199999981"/>
    <n v="0"/>
    <s v=""/>
    <n v="9.1943858665200206E-5"/>
    <n v="0.21874065234184883"/>
    <n v="5.2757836526796789E-2"/>
    <n v="2.8870479214088967"/>
    <n v="8.6304581999999908E-2"/>
    <n v="0"/>
    <s v=""/>
    <n v="3.2449429361362072"/>
    <n v="83"/>
    <x v="1"/>
  </r>
  <r>
    <n v="8272"/>
    <s v="Sora"/>
    <n v="6.2615897622573732E-3"/>
    <n v="0.27293801008491647"/>
    <n v="0.25672636250069336"/>
    <n v="3.1086799999999997"/>
    <n v="15.657173999999999"/>
    <n v="2.6390453999999997E-3"/>
    <s v=""/>
    <n v="3.6002205898254036E-2"/>
    <n v="0.75057952773352032"/>
    <n v="0.37130613765297499"/>
    <n v="13.8136289740607"/>
    <n v="17.958778578"/>
    <n v="6.3368364000000003E-3"/>
    <s v=""/>
    <n v="2.9740616135996663E-2"/>
    <n v="0.47764151764860385"/>
    <n v="0.11457977515228163"/>
    <n v="10.7049489740607"/>
    <n v="2.301604578000001"/>
    <n v="3.6977910000000006E-3"/>
    <s v=""/>
    <n v="13.632213251997584"/>
    <n v="189"/>
    <x v="1"/>
  </r>
  <r>
    <n v="8273"/>
    <s v="Subirats"/>
    <n v="0.78281964872967269"/>
    <n v="2.9424828772605385"/>
    <n v="8.49436921374976"/>
    <n v="0.77364749999999993"/>
    <n v="4.5173699999999997"/>
    <n v="7.954647197099999"/>
    <s v=""/>
    <n v="4.4533567030982741"/>
    <n v="8.0918279124664796"/>
    <n v="15.605358464966985"/>
    <n v="5.8462830262158318"/>
    <n v="5.1814233899999991"/>
    <n v="13.163483250899999"/>
    <s v=""/>
    <n v="3.6705370543686016"/>
    <n v="5.1493450352059416"/>
    <n v="7.1109892512172248"/>
    <n v="5.0726355262158318"/>
    <n v="0.66405338999999941"/>
    <n v="5.2088360537999998"/>
    <s v=""/>
    <n v="26.8763963108076"/>
    <n v="2997"/>
    <x v="2"/>
  </r>
  <r>
    <n v="8274"/>
    <s v="Súria"/>
    <n v="4.1478924433381428"/>
    <n v="2.9265628041691474"/>
    <n v="71.937389575708167"/>
    <n v="1.598213125"/>
    <n v="4.8246120000000001"/>
    <n v="39.021571296449999"/>
    <s v=""/>
    <n v="22.196090626927681"/>
    <n v="8.0480477114651556"/>
    <n v="104.04383101140009"/>
    <n v="9.9544173277076222"/>
    <n v="5.5338299640000006"/>
    <n v="44.117723024700005"/>
    <s v=""/>
    <n v="18.048198183589538"/>
    <n v="5.1214849072960078"/>
    <n v="32.10644143569192"/>
    <n v="8.3562042027076231"/>
    <n v="0.70921796400000048"/>
    <n v="5.0961517282500068"/>
    <s v=""/>
    <n v="69.437698421535089"/>
    <n v="5873"/>
    <x v="0"/>
  </r>
  <r>
    <n v="8275"/>
    <s v="Tavèrnoles"/>
    <n v="0.20104984798149264"/>
    <n v="0.15982541606338257"/>
    <n v="1.1627021345942401"/>
    <n v="2.36900625"/>
    <n v="5.7311279999999991"/>
    <n v="0"/>
    <s v=""/>
    <n v="1.1844111626870459"/>
    <n v="0.43951989417430204"/>
    <n v="1.6816287763820543"/>
    <n v="11.044605807607411"/>
    <n v="6.5736038159999985"/>
    <n v="0"/>
    <s v=""/>
    <n v="0.98336131470555332"/>
    <n v="0.27969447811091946"/>
    <n v="0.51892664178781422"/>
    <n v="8.675599557607411"/>
    <n v="0.84247581599999943"/>
    <n v="0"/>
    <s v=""/>
    <n v="11.300057808211697"/>
    <n v="318"/>
    <x v="1"/>
  </r>
  <r>
    <n v="8276"/>
    <s v="Tagamanent"/>
    <n v="2.9512603393362112E-2"/>
    <n v="1.2250107687365026"/>
    <n v="0.81577877541909327"/>
    <n v="2.1389999999999999E-2"/>
    <n v="0.47759399999999996"/>
    <n v="13.933587091649997"/>
    <s v=""/>
    <n v="0.15369514222499139"/>
    <n v="3.3687796140253825"/>
    <n v="1.1798697388520794"/>
    <n v="0.17233664825604555"/>
    <n v="0.54780031799999995"/>
    <n v="16.980744766500003"/>
    <s v=""/>
    <n v="0.12418253883162927"/>
    <n v="2.1437688452888799"/>
    <n v="0.36409096343298608"/>
    <n v="0.15094664825604556"/>
    <n v="7.020631799999999E-2"/>
    <n v="3.0471576748500055"/>
    <s v=""/>
    <n v="5.9003529886595469"/>
    <n v="316"/>
    <x v="1"/>
  </r>
  <r>
    <n v="8277"/>
    <s v="Talamanca"/>
    <n v="0.12416549708546598"/>
    <n v="4.4212238300004545"/>
    <n v="0.61541058831744"/>
    <n v="0.63456999999999997"/>
    <n v="0.13743228830257739"/>
    <n v="1.7230814999999997E-2"/>
    <s v=""/>
    <n v="0.57569398250874015"/>
    <n v="12.158365532501252"/>
    <n v="0.89007504485744648"/>
    <n v="2.8780616446884593"/>
    <n v="0.15763483468305625"/>
    <n v="1.6762559999999999E-2"/>
    <s v=""/>
    <n v="0.45152848542327417"/>
    <n v="7.7371417025007974"/>
    <n v="0.27466445654000649"/>
    <n v="2.2434916446884592"/>
    <n v="2.0202546380478859E-2"/>
    <n v="-4.6825499999999728E-4"/>
    <s v=""/>
    <n v="10.726560580533016"/>
    <n v="186"/>
    <x v="1"/>
  </r>
  <r>
    <n v="8278"/>
    <s v="Taradell"/>
    <n v="2.5497321197830662"/>
    <n v="0.18755023313560201"/>
    <n v="12.920485426606083"/>
    <n v="6.0854974999999998"/>
    <n v="22.796748000000001"/>
    <n v="5.2436607504000001"/>
    <s v=""/>
    <n v="14.86331858284534"/>
    <n v="0.51576314112290556"/>
    <n v="18.687038968745167"/>
    <n v="34.536131928149175"/>
    <n v="26.147869955999997"/>
    <n v="6.0340984041000008"/>
    <s v=""/>
    <n v="12.313586463062274"/>
    <n v="0.32821290798730351"/>
    <n v="5.7665535421390839"/>
    <n v="28.450634428149176"/>
    <n v="3.3511219559999965"/>
    <n v="0.79043765370000063"/>
    <s v=""/>
    <n v="51.00054695103784"/>
    <n v="6321"/>
    <x v="0"/>
  </r>
  <r>
    <n v="8279"/>
    <s v="Terrassa"/>
    <n v="73.365364978235746"/>
    <n v="4.086350303455534"/>
    <n v="399.75890033869058"/>
    <n v="3.3778587499999997"/>
    <n v="1.670058"/>
    <n v="35.8080785832"/>
    <s v=""/>
    <n v="432.18538654859378"/>
    <n v="11.237463334502717"/>
    <n v="578.17565687964293"/>
    <n v="19.210469362761074"/>
    <n v="1.915556526"/>
    <n v="38.458040364299997"/>
    <s v=""/>
    <n v="358.82002157035805"/>
    <n v="7.1511130310471831"/>
    <n v="178.41675654095235"/>
    <n v="15.832610612761075"/>
    <n v="0.24549852599999999"/>
    <n v="2.6499617810999965"/>
    <s v=""/>
    <n v="563.11596206221873"/>
    <n v="215121"/>
    <x v="3"/>
  </r>
  <r>
    <n v="8280"/>
    <s v="Tavertet"/>
    <n v="1.7477452010288637E-3"/>
    <n v="0.29938142804875595"/>
    <n v="0.23752056244394673"/>
    <n v="1.0623699999999998"/>
    <n v="5.8345559999999992"/>
    <n v="0"/>
    <s v=""/>
    <n v="2.7775164180791059E-3"/>
    <n v="0.82329892713407893"/>
    <n v="0.34352857959410349"/>
    <n v="4.7771466737700052"/>
    <n v="6.6922357319999994"/>
    <n v="0"/>
    <s v=""/>
    <n v="1.0297712170502422E-3"/>
    <n v="0.52391749908532304"/>
    <n v="0.10600801715015676"/>
    <n v="3.7147766737700056"/>
    <n v="0.85767973200000025"/>
    <n v="0"/>
    <s v=""/>
    <n v="5.2034116932225363"/>
    <n v="112"/>
    <x v="1"/>
  </r>
  <r>
    <n v="8281"/>
    <s v="Teià"/>
    <n v="12.77113592600832"/>
    <n v="9.8962647275831123E-2"/>
    <n v="16.423964617846721"/>
    <n v="0.37277624999999998"/>
    <n v="1.8251999999999997E-2"/>
    <n v="0"/>
    <s v=""/>
    <n v="75.159459308869117"/>
    <n v="0.27214728000853561"/>
    <n v="30.173147508417575"/>
    <n v="5.9724477765877069"/>
    <n v="2.0935044E-2"/>
    <n v="0"/>
    <s v=""/>
    <n v="62.388323382860797"/>
    <n v="0.17318463273270449"/>
    <n v="13.749182890570854"/>
    <n v="5.5996715265877066"/>
    <n v="2.6830440000000025E-3"/>
    <n v="0"/>
    <s v=""/>
    <n v="81.91304547675206"/>
    <n v="6254"/>
    <x v="0"/>
  </r>
  <r>
    <n v="8282"/>
    <s v="Tiana"/>
    <n v="11.218969616469327"/>
    <n v="0.12444083559887704"/>
    <n v="20.603029921322559"/>
    <n v="0.52527562499999991"/>
    <n v="6.084E-3"/>
    <n v="0"/>
    <s v=""/>
    <n v="65.307054350217101"/>
    <n v="0.34221229789691193"/>
    <n v="37.850681939541936"/>
    <n v="6.8854068670099515"/>
    <n v="6.9783479999999988E-3"/>
    <n v="0"/>
    <s v=""/>
    <n v="54.088084733747777"/>
    <n v="0.2177714622980349"/>
    <n v="17.247652018219377"/>
    <n v="6.3601312420099516"/>
    <n v="8.943479999999988E-4"/>
    <n v="0"/>
    <s v=""/>
    <n v="77.914533804275138"/>
    <n v="8553"/>
    <x v="0"/>
  </r>
  <r>
    <n v="8283"/>
    <s v="Tona"/>
    <n v="3.1144086794051828"/>
    <n v="6.5817317839512501E-2"/>
    <n v="14.849937783309443"/>
    <n v="4.6205799999999995"/>
    <n v="13.047137999999999"/>
    <n v="0"/>
    <s v=""/>
    <n v="18.139185116429879"/>
    <n v="0.18099762405865943"/>
    <n v="21.477626952676971"/>
    <n v="27.371000593121352"/>
    <n v="14.965067286"/>
    <n v="0"/>
    <s v=""/>
    <n v="15.024776437024695"/>
    <n v="0.11518030621914693"/>
    <n v="6.6276891693675282"/>
    <n v="22.750420593121351"/>
    <n v="1.9179292860000015"/>
    <n v="0"/>
    <s v=""/>
    <n v="46.435995791732722"/>
    <n v="7951"/>
    <x v="0"/>
  </r>
  <r>
    <n v="8284"/>
    <s v="Tordera"/>
    <n v="5.6633716006074621"/>
    <n v="1.745658187312696"/>
    <n v="34.990718975718835"/>
    <n v="12.501499374999998"/>
    <n v="16.028297999999999"/>
    <n v="318.7171570173"/>
    <s v=""/>
    <n v="33.389267744267215"/>
    <n v="4.8005600151099133"/>
    <n v="50.60745842390741"/>
    <n v="101.27894016879868"/>
    <n v="18.384457806"/>
    <n v="327.46995639405009"/>
    <s v=""/>
    <n v="27.725896143659753"/>
    <n v="3.0549018277972175"/>
    <n v="15.616739448188575"/>
    <n v="88.777440793798689"/>
    <n v="2.3561598060000009"/>
    <n v="8.7527993767500902"/>
    <s v=""/>
    <n v="146.28393739619432"/>
    <n v="16453"/>
    <x v="0"/>
  </r>
  <r>
    <n v="8285"/>
    <s v="Torelló"/>
    <n v="3.1900837206449184"/>
    <n v="3.0870069429151881E-2"/>
    <n v="25.779252739745917"/>
    <n v="5.9680768749999995"/>
    <n v="11.261483999999999"/>
    <n v="24.674817895800004"/>
    <s v=""/>
    <n v="18.611140273811252"/>
    <n v="8.4892690930167672E-2"/>
    <n v="37.284814356955955"/>
    <n v="36.552261432617236"/>
    <n v="12.916922147999999"/>
    <n v="35.6488217271"/>
    <s v=""/>
    <n v="15.421056553166334"/>
    <n v="5.4022621501015791E-2"/>
    <n v="11.505561617210038"/>
    <n v="30.584184557617235"/>
    <n v="1.655438148"/>
    <n v="10.974003831299996"/>
    <s v=""/>
    <n v="70.194267328794623"/>
    <n v="13877"/>
    <x v="0"/>
  </r>
  <r>
    <n v="8286"/>
    <s v="la Torre de Claramunt"/>
    <n v="0.56569381133884633"/>
    <n v="1.2764242073184078"/>
    <n v="11.201517482354241"/>
    <n v="1.6755500000000001"/>
    <n v="0.155142"/>
    <n v="0.31097494320000002"/>
    <s v=""/>
    <n v="3.1628002800129882"/>
    <n v="3.5101665701256217"/>
    <n v="16.200876885847656"/>
    <n v="9.2661408522983439"/>
    <n v="0.17794787399999998"/>
    <n v="0.52741195485000003"/>
    <s v=""/>
    <n v="2.5971064686741419"/>
    <n v="2.2337423628072139"/>
    <n v="4.9993594034934148"/>
    <n v="7.5905908522983436"/>
    <n v="2.2805873999999976E-2"/>
    <n v="0.21643701165000001"/>
    <s v=""/>
    <n v="17.660041972923114"/>
    <n v="3722"/>
    <x v="2"/>
  </r>
  <r>
    <n v="8287"/>
    <s v="Torrelavit"/>
    <n v="0.51977341546714295"/>
    <n v="0.76613535656079945"/>
    <n v="2.8846460624035202"/>
    <n v="1.1713362499999997"/>
    <n v="1.1894219999999998"/>
    <n v="0.24323252279999996"/>
    <s v=""/>
    <n v="3.0038083404997864"/>
    <n v="2.1068722305421979"/>
    <n v="4.1720950567514112"/>
    <n v="7.3236197315004699"/>
    <n v="1.3642670339999996"/>
    <n v="0.30682696859999997"/>
    <s v=""/>
    <n v="2.4840349250326437"/>
    <n v="1.3407368739813985"/>
    <n v="1.2874489943478911"/>
    <n v="6.1522834815004703"/>
    <n v="0.17484503399999984"/>
    <n v="6.359444580000001E-2"/>
    <s v=""/>
    <n v="11.502943754662404"/>
    <n v="1413"/>
    <x v="2"/>
  </r>
  <r>
    <n v="8288"/>
    <s v="Torrelles de Foix"/>
    <n v="0.54902602756082064"/>
    <n v="2.3311003238741814"/>
    <n v="5.432392261021441"/>
    <n v="1.1827418750000001"/>
    <n v="4.027607999999999"/>
    <n v="0"/>
    <s v=""/>
    <n v="3.1518719401081032"/>
    <n v="6.4105258906540001"/>
    <n v="9.9800734371574595"/>
    <n v="7.0867356118976144"/>
    <n v="4.6196663759999996"/>
    <n v="7.9620821550000012E-2"/>
    <s v=""/>
    <n v="2.6028459125472825"/>
    <n v="4.0794255667798183"/>
    <n v="4.5476811761360185"/>
    <n v="5.9039937368976148"/>
    <n v="0.59205837600000066"/>
    <n v="7.9620821550000012E-2"/>
    <s v=""/>
    <n v="17.805625589910736"/>
    <n v="2201"/>
    <x v="2"/>
  </r>
  <r>
    <n v="8289"/>
    <s v="Torrelles de Llobregat"/>
    <n v="4.8284996390289647"/>
    <n v="1.07580233357162"/>
    <n v="13.86363775840587"/>
    <n v="0.27111000000000002"/>
    <n v="7.300799999999999E-2"/>
    <n v="0"/>
    <s v=""/>
    <n v="28.372490227442039"/>
    <n v="2.9584564173219547"/>
    <n v="25.469464701178271"/>
    <n v="3.4797108829728778"/>
    <n v="8.3740176E-2"/>
    <n v="0"/>
    <s v=""/>
    <n v="23.543990588413074"/>
    <n v="1.8826540837503347"/>
    <n v="11.605826942772401"/>
    <n v="3.2086008829728776"/>
    <n v="1.073217600000001E-2"/>
    <n v="0"/>
    <s v=""/>
    <n v="40.251804673908687"/>
    <n v="5933"/>
    <x v="0"/>
  </r>
  <r>
    <n v="8290"/>
    <s v="Ullastrell"/>
    <n v="0.48082419726212555"/>
    <n v="0.58735304420277146"/>
    <n v="4.4640876331525332"/>
    <n v="0.136393125"/>
    <n v="2.9507399999999997"/>
    <n v="2.3937045000000001E-3"/>
    <s v=""/>
    <n v="2.8430051014556597"/>
    <n v="1.6152208715576215"/>
    <n v="8.2011607903277053"/>
    <n v="0.80165070765132962"/>
    <n v="3.3844987799999995"/>
    <n v="2.6442108E-3"/>
    <s v=""/>
    <n v="2.3621809041935342"/>
    <n v="1.02786782735485"/>
    <n v="3.7370731571751721"/>
    <n v="0.66525758265132962"/>
    <n v="0.43375877999999979"/>
    <n v="2.5050629999999983E-4"/>
    <s v=""/>
    <n v="8.2263887576748846"/>
    <n v="2039"/>
    <x v="2"/>
  </r>
  <r>
    <n v="8291"/>
    <s v="Vacarisses"/>
    <n v="0.82266597814962295"/>
    <n v="4.0648180126293632"/>
    <n v="12.361820643042666"/>
    <n v="0.70587"/>
    <n v="6.6923999999999997E-2"/>
    <n v="3.39663225E-2"/>
    <s v=""/>
    <n v="4.808632951551469"/>
    <n v="11.178249534730751"/>
    <n v="17.879036000109224"/>
    <n v="3.2761187137737444"/>
    <n v="7.6761828000000004E-2"/>
    <n v="3.735256545E-2"/>
    <s v=""/>
    <n v="3.9859669734018461"/>
    <n v="7.1134315221013882"/>
    <n v="5.5172153570665579"/>
    <n v="2.5702487137737444"/>
    <n v="9.8378280000000068E-3"/>
    <n v="3.3862429499999999E-3"/>
    <s v=""/>
    <n v="19.200086637293534"/>
    <n v="6192"/>
    <x v="0"/>
  </r>
  <r>
    <n v="8292"/>
    <s v="Vallbona d'Anoia"/>
    <n v="0.48648795986309806"/>
    <n v="0.7159218675762572"/>
    <n v="3.6203734954538662"/>
    <n v="0.14973"/>
    <n v="3.0419999999999999E-2"/>
    <n v="0.36559971014999992"/>
    <s v=""/>
    <n v="2.8311566752762869"/>
    <n v="1.9687851358347075"/>
    <n v="5.2361856661858983"/>
    <n v="1.391220307685018"/>
    <n v="3.4891739999999997E-2"/>
    <n v="0.40295097480000003"/>
    <s v=""/>
    <n v="2.3446687154131887"/>
    <n v="1.2528632682584502"/>
    <n v="1.6158121707320321"/>
    <n v="1.2414903076850181"/>
    <n v="4.4717399999999984E-3"/>
    <n v="3.7351264650000104E-2"/>
    <s v=""/>
    <n v="6.4966574667386885"/>
    <n v="1412"/>
    <x v="2"/>
  </r>
  <r>
    <n v="8293"/>
    <s v="Vallcebre"/>
    <n v="0"/>
    <n v="1.7444589476131371"/>
    <n v="6.1066128801599985E-2"/>
    <n v="7.843E-2"/>
    <n v="0.24031799999999998"/>
    <n v="0"/>
    <s v=""/>
    <n v="0"/>
    <n v="4.7972621059361273"/>
    <n v="8.8320608004095996E-2"/>
    <n v="0.88958628920133631"/>
    <n v="0.275644746"/>
    <n v="0"/>
    <s v=""/>
    <n v="0"/>
    <n v="3.0528031583229902"/>
    <n v="2.7254479202496011E-2"/>
    <n v="0.81115628920133631"/>
    <n v="3.532674600000002E-2"/>
    <n v="0"/>
    <s v=""/>
    <n v="3.9265406727268224"/>
    <n v="254"/>
    <x v="1"/>
  </r>
  <r>
    <n v="8294"/>
    <s v="Vallgorguina"/>
    <n v="0.36126902407088535"/>
    <n v="0.56679602732584455"/>
    <n v="5.4350620893491195"/>
    <n v="0.13370874999999999"/>
    <n v="1.1133719999999998"/>
    <n v="0.33626515544999996"/>
    <s v=""/>
    <n v="1.9625170387584687"/>
    <n v="1.5586890751460722"/>
    <n v="9.9849782896597414"/>
    <n v="1.37959694879689"/>
    <n v="1.277037684"/>
    <n v="0.47104069919999997"/>
    <s v=""/>
    <n v="1.6012480146875834"/>
    <n v="0.99189304782022769"/>
    <n v="4.5499162003106219"/>
    <n v="1.2458881987968899"/>
    <n v="0.16366568400000014"/>
    <n v="0.13477554375"/>
    <s v=""/>
    <n v="8.6873866893653222"/>
    <n v="2772"/>
    <x v="2"/>
  </r>
  <r>
    <n v="8295"/>
    <s v="Vallirana"/>
    <n v="14.950207439198399"/>
    <n v="2.0221099418059154"/>
    <n v="28.882598493188162"/>
    <n v="0.10074312499999999"/>
    <n v="0.52208157383682363"/>
    <n v="0.93330786374999997"/>
    <s v=""/>
    <n v="88.220762984019785"/>
    <n v="5.5608023399662674"/>
    <n v="53.061421224348805"/>
    <n v="0.99166359664721859"/>
    <n v="0.59882756519083669"/>
    <n v="1.0263662612999997"/>
    <s v=""/>
    <n v="73.270555544821391"/>
    <n v="3.538692398160352"/>
    <n v="24.178822731160643"/>
    <n v="0.89092047164721855"/>
    <n v="7.6745991354013054E-2"/>
    <n v="9.3058397549999783E-2"/>
    <s v=""/>
    <n v="102.04879553469362"/>
    <n v="14676"/>
    <x v="0"/>
  </r>
  <r>
    <n v="8296"/>
    <s v="Vallromanes"/>
    <n v="0.30869741437733961"/>
    <n v="0.26755210322155459"/>
    <n v="13.182168259499946"/>
    <n v="3.8334375000000004E-2"/>
    <n v="0.83061149304985216"/>
    <n v="0"/>
    <s v=""/>
    <n v="1.665362627747162"/>
    <n v="0.73576828385927506"/>
    <n v="24.217508782408657"/>
    <n v="0.84929333514543948"/>
    <n v="0.95271138252818055"/>
    <n v="0"/>
    <s v=""/>
    <n v="1.3566652133698225"/>
    <n v="0.46821618063772047"/>
    <n v="11.035340522908712"/>
    <n v="0.81095896014543944"/>
    <n v="0.12209988947832839"/>
    <n v="0"/>
    <s v=""/>
    <n v="13.793280766540022"/>
    <n v="2525"/>
    <x v="2"/>
  </r>
  <r>
    <n v="8297"/>
    <s v="Veciana"/>
    <n v="0.18907496338974217"/>
    <n v="3.040601188158746"/>
    <n v="0.26873989301952"/>
    <n v="10.8376"/>
    <n v="13.104935999999999"/>
    <n v="0"/>
    <s v=""/>
    <n v="1.1236959577356924"/>
    <n v="8.3616532674365516"/>
    <n v="0.38868143784837123"/>
    <n v="47.463564710041879"/>
    <n v="15.031361591999998"/>
    <n v="0"/>
    <s v=""/>
    <n v="0.93462099434595025"/>
    <n v="5.3210520792778055"/>
    <n v="0.11994154482885122"/>
    <n v="36.625964710041877"/>
    <n v="1.9264255919999993"/>
    <n v="0"/>
    <s v=""/>
    <n v="44.928004920494487"/>
    <n v="173"/>
    <x v="1"/>
  </r>
  <r>
    <n v="8298"/>
    <s v="Vic"/>
    <n v="16.068356665329791"/>
    <n v="5.9177340641543993E-2"/>
    <n v="119.24413108325535"/>
    <n v="10.440421249999998"/>
    <n v="42.226002000000001"/>
    <n v="22.016402657399997"/>
    <s v=""/>
    <n v="93.430697796333831"/>
    <n v="0.16273768676424596"/>
    <n v="172.4640871277449"/>
    <n v="58.919705287139912"/>
    <n v="48.433224293999999"/>
    <n v="217.22587991039987"/>
    <s v=""/>
    <n v="77.362341131004044"/>
    <n v="0.10356034612270197"/>
    <n v="53.21995604448955"/>
    <n v="48.479284037139912"/>
    <n v="6.2072222939999975"/>
    <n v="195.20947725299987"/>
    <s v=""/>
    <n v="380.5818411057561"/>
    <n v="43287"/>
    <x v="4"/>
  </r>
  <r>
    <n v="8299"/>
    <s v="Vilada"/>
    <n v="5.2234619066157E-2"/>
    <n v="1.7435335052006102"/>
    <n v="0.31143043543392002"/>
    <n v="0.19250999999999999"/>
    <n v="9.4301999999999997E-2"/>
    <n v="0"/>
    <s v=""/>
    <n v="0.28371604698799929"/>
    <n v="4.7947171393016781"/>
    <n v="0.45042523487723518"/>
    <n v="1.7671052182161662"/>
    <n v="0.10816439399999998"/>
    <n v="0"/>
    <s v=""/>
    <n v="0.23148142792184229"/>
    <n v="3.0511836341010676"/>
    <n v="0.13899479944331516"/>
    <n v="1.5745952182161662"/>
    <n v="1.3862393999999986E-2"/>
    <n v="0"/>
    <s v=""/>
    <n v="5.0101174736823921"/>
    <n v="430"/>
    <x v="1"/>
  </r>
  <r>
    <n v="8300"/>
    <s v="Viladecavalls"/>
    <n v="0.728858010870854"/>
    <n v="1.7465080336783019"/>
    <n v="18.127428363637119"/>
    <n v="0.10695"/>
    <n v="8.5175999999999988E-2"/>
    <n v="0"/>
    <s v=""/>
    <n v="4.2218840319298305"/>
    <n v="4.8028970926153303"/>
    <n v="26.217897319621429"/>
    <n v="0.66810541451169436"/>
    <n v="9.769687199999999E-2"/>
    <n v="0"/>
    <s v=""/>
    <n v="3.4930260210589763"/>
    <n v="3.0563890589370284"/>
    <n v="8.0904689559843099"/>
    <n v="0.56115541451169437"/>
    <n v="1.2520872000000002E-2"/>
    <n v="0"/>
    <s v=""/>
    <n v="15.213560322492008"/>
    <n v="7354"/>
    <x v="0"/>
  </r>
  <r>
    <n v="8301"/>
    <s v="Viladecans"/>
    <n v="60.823025151404494"/>
    <n v="0.59268739673621651"/>
    <n v="137.89624500744799"/>
    <n v="3.5868387500000001"/>
    <n v="0.41066999999999992"/>
    <n v="944.36469567810002"/>
    <s v="guanya sorra"/>
    <n v="357.68864485880567"/>
    <n v="1.6298903410245955"/>
    <n v="253.33491871660647"/>
    <n v="35.171906857478305"/>
    <n v="0.47103848999999987"/>
    <n v="0"/>
    <s v="No hi ha pèrdua"/>
    <n v="296.86561970740115"/>
    <n v="1.037202944288379"/>
    <n v="115.43867370915848"/>
    <n v="31.585068107478307"/>
    <n v="6.0368489999999941E-2"/>
    <n v="-944.36469567810002"/>
    <s v=""/>
    <n v="-499.37776271977373"/>
    <n v="65779"/>
    <x v="3"/>
  </r>
  <r>
    <n v="8302"/>
    <s v="Vilanova del Camí"/>
    <n v="4.3275195380249176"/>
    <n v="0.8134724222806432"/>
    <n v="18.449300851226241"/>
    <n v="1.4785943750000001"/>
    <n v="0.40762799999999993"/>
    <n v="13.267930653899999"/>
    <s v=""/>
    <n v="25.193763559492524"/>
    <n v="2.2370491612717691"/>
    <n v="26.683425008399976"/>
    <n v="6.8432876730983896"/>
    <n v="0.46754931599999994"/>
    <n v="19.026431242499999"/>
    <s v=""/>
    <n v="20.866244021467608"/>
    <n v="1.4235767389911258"/>
    <n v="8.2341241571737349"/>
    <n v="5.3646932980983895"/>
    <n v="5.9921316000000002E-2"/>
    <n v="5.7585005886000005"/>
    <s v=""/>
    <n v="41.707060120330858"/>
    <n v="12409"/>
    <x v="0"/>
  </r>
  <r>
    <n v="8303"/>
    <s v="Vilanova de Sau"/>
    <n v="5.3843779170695702E-2"/>
    <n v="0.59701549367699402"/>
    <n v="0.41184816597045337"/>
    <n v="0.63373187500000006"/>
    <n v="1.2046319999999997"/>
    <n v="0"/>
    <s v=""/>
    <n v="0.30179421940345036"/>
    <n v="1.6417926076117335"/>
    <n v="0.5956604935947607"/>
    <n v="3.3968832201851038"/>
    <n v="1.3817129039999996"/>
    <n v="0"/>
    <s v=""/>
    <n v="0.24795044023275464"/>
    <n v="1.0447771139347395"/>
    <n v="0.18381232762430733"/>
    <n v="2.7631513451851037"/>
    <n v="0.17708090399999987"/>
    <n v="0"/>
    <s v=""/>
    <n v="4.4167721309769057"/>
    <n v="309"/>
    <x v="1"/>
  </r>
  <r>
    <n v="8304"/>
    <s v="Vilobí del Penedès"/>
    <n v="0.26421368367768522"/>
    <n v="5.6670040599091843E-2"/>
    <n v="2.6196828505356797"/>
    <n v="0.33066437499999995"/>
    <n v="0.69357599999999986"/>
    <n v="0"/>
    <s v=""/>
    <n v="1.5139783762786179"/>
    <n v="0.15584261164750254"/>
    <n v="4.8127281636124266"/>
    <n v="2.3279793331344019"/>
    <n v="0.79553167199999986"/>
    <n v="0"/>
    <s v=""/>
    <n v="1.2497646926009327"/>
    <n v="9.9172571048410707E-2"/>
    <n v="2.1930453130767469"/>
    <n v="1.9973149581344019"/>
    <n v="0.101955672"/>
    <n v="0"/>
    <s v=""/>
    <n v="5.6412532068604921"/>
    <n v="1103"/>
    <x v="2"/>
  </r>
  <r>
    <n v="8305"/>
    <s v="Vilafranca del Penedès"/>
    <n v="4.398447376778968"/>
    <n v="9.4813337156172892E-2"/>
    <n v="73.714065106202142"/>
    <n v="1.1684818749999999"/>
    <n v="1.3658579999999998"/>
    <n v="0"/>
    <s v=""/>
    <n v="24.57299797287126"/>
    <n v="0.26073667717947546"/>
    <n v="135.42317044921506"/>
    <n v="10.080928321131283"/>
    <n v="1.5666391259999999"/>
    <n v="2.0389011197999998"/>
    <s v=""/>
    <n v="20.174550596092292"/>
    <n v="0.16592334002330256"/>
    <n v="61.709105343012922"/>
    <n v="8.912446446131284"/>
    <n v="0.20078112600000009"/>
    <n v="2.0389011197999998"/>
    <s v=""/>
    <n v="93.201707971059804"/>
    <n v="39365"/>
    <x v="4"/>
  </r>
  <r>
    <n v="8306"/>
    <s v="Vilalba Sasserra"/>
    <n v="0.27783748645904965"/>
    <n v="0.15266925252163877"/>
    <n v="1.0759899688581336"/>
    <n v="0.22639875000000001"/>
    <n v="0.264654"/>
    <n v="0"/>
    <s v=""/>
    <n v="1.6164165420313101"/>
    <n v="0.41984044443450652"/>
    <n v="1.5562160254928217"/>
    <n v="1.2638422743309528"/>
    <n v="0.30355813799999998"/>
    <n v="0"/>
    <s v=""/>
    <n v="1.3385790555722605"/>
    <n v="0.26717119191286776"/>
    <n v="0.48022605663468809"/>
    <n v="1.0374435243309528"/>
    <n v="3.8904137999999977E-2"/>
    <n v="0"/>
    <s v=""/>
    <n v="3.1623239664507694"/>
    <n v="684"/>
    <x v="1"/>
  </r>
  <r>
    <n v="8307"/>
    <s v="Vilanova i la Geltrú"/>
    <n v="52.567972949565473"/>
    <n v="2.4795678773438556"/>
    <n v="147.95421217604314"/>
    <n v="1.7589356250000001"/>
    <n v="3.2823180000000001"/>
    <n v="0"/>
    <n v="0.17529123711340211"/>
    <n v="294.0364002098824"/>
    <n v="6.8188116626956043"/>
    <n v="271.81282792271082"/>
    <n v="46.227921107358185"/>
    <n v="3.764818746"/>
    <n v="0"/>
    <n v="0.20231199794747404"/>
    <n v="241.46842726031693"/>
    <n v="4.3392437853517487"/>
    <n v="123.85861574666768"/>
    <n v="44.468985482358185"/>
    <n v="0.48250074599999992"/>
    <n v="0"/>
    <n v="2.7020760834071927E-2"/>
    <n v="414.64479378152862"/>
    <n v="65972"/>
    <x v="3"/>
  </r>
  <r>
    <n v="8308"/>
    <s v="Viver i Serrateix"/>
    <n v="4.1526719857482401E-2"/>
    <n v="4.9020684591547941"/>
    <n v="0.2677467833712"/>
    <n v="6.03911"/>
    <n v="18.017765999999998"/>
    <n v="0"/>
    <s v=""/>
    <n v="0.23797415607454858"/>
    <n v="13.480688262675683"/>
    <n v="0.38724509253427197"/>
    <n v="26.746865120618565"/>
    <n v="20.666377601999997"/>
    <n v="0"/>
    <s v=""/>
    <n v="0.19644743621706617"/>
    <n v="8.5786198035208887"/>
    <n v="0.11949830916307197"/>
    <n v="20.707755120618565"/>
    <n v="2.648611601999999"/>
    <n v="0"/>
    <s v=""/>
    <n v="32.250932271519588"/>
    <n v="162"/>
    <x v="1"/>
  </r>
  <r>
    <n v="8901"/>
    <s v="Rupit i Pruit"/>
    <n v="0.21974562923316579"/>
    <n v="0.43136553621188461"/>
    <n v="0.39156966392064002"/>
    <n v="1.8965799999999997"/>
    <n v="3.4252919999999998"/>
    <n v="0"/>
    <s v=""/>
    <n v="1.3079071336272761"/>
    <n v="1.1862552245826827"/>
    <n v="0.5663314749456384"/>
    <n v="8.6200479878209535"/>
    <n v="3.9288099240000003"/>
    <n v="0"/>
    <s v=""/>
    <n v="1.0881615043941102"/>
    <n v="0.75488968837079806"/>
    <n v="0.17476181102499838"/>
    <n v="6.7234679878209533"/>
    <n v="0.50351792400000051"/>
    <n v="0"/>
    <s v=""/>
    <n v="9.2447989156108612"/>
    <n v="277"/>
    <x v="1"/>
  </r>
  <r>
    <n v="8902"/>
    <s v="Vilanova del Vallès"/>
    <n v="0.91078168126003201"/>
    <n v="0.24987781849849056"/>
    <n v="8.7973233258265608"/>
    <n v="2.3394900000000001"/>
    <n v="2.1537359999999999"/>
    <n v="43.624610219850005"/>
    <s v=""/>
    <n v="5.078690231765127"/>
    <n v="0.68716400087084906"/>
    <n v="16.161928046348208"/>
    <n v="15.247545957959202"/>
    <n v="2.4703351919999998"/>
    <n v="50.956073250299994"/>
    <s v=""/>
    <n v="4.1679085505050946"/>
    <n v="0.4372861823723585"/>
    <n v="7.3646047205216476"/>
    <n v="12.908055957959203"/>
    <n v="0.31659919199999997"/>
    <n v="7.3314630304499886"/>
    <s v=""/>
    <n v="32.525917633808291"/>
    <n v="5217"/>
    <x v="0"/>
  </r>
  <r>
    <n v="8903"/>
    <s v="Sant Julià de Cerdanyola"/>
    <n v="7.1707400025598543E-3"/>
    <n v="0.86806498295019763"/>
    <n v="0.16525743903679999"/>
    <n v="2.1389999999999999E-2"/>
    <n v="9.7344E-2"/>
    <n v="3.9097444799999992E-2"/>
    <s v=""/>
    <n v="1.1512353251534142E-2"/>
    <n v="2.3871787031130438"/>
    <n v="0.23901363619020796"/>
    <n v="0.63379541242181214"/>
    <n v="0.11165356799999998"/>
    <n v="1.25144555145"/>
    <s v=""/>
    <n v="4.3416132489742876E-3"/>
    <n v="1.5191137201628462"/>
    <n v="7.3756197153407976E-2"/>
    <n v="0.61240541242181212"/>
    <n v="1.4309567999999981E-2"/>
    <n v="1.2123481066499999"/>
    <s v=""/>
    <n v="3.4362746176370402"/>
    <n v="251"/>
    <x v="1"/>
  </r>
  <r>
    <n v="8904"/>
    <s v="Badia del Vallès"/>
    <n v="4.4678172162367895"/>
    <n v="0"/>
    <n v="19.75238921103541"/>
    <n v="0"/>
    <n v="9.0961957003349692E-2"/>
    <n v="16.652351197799998"/>
    <s v=""/>
    <n v="26.305103276170808"/>
    <n v="0"/>
    <n v="36.287934562439744"/>
    <n v="6.898658791627528E-2"/>
    <n v="0.1043333646828421"/>
    <n v="19.2263285481"/>
    <s v=""/>
    <n v="21.837286059934019"/>
    <n v="0"/>
    <n v="16.535545351404334"/>
    <n v="6.898658791627528E-2"/>
    <n v="1.3371407679492409E-2"/>
    <n v="2.5739773503000016"/>
    <s v=""/>
    <n v="41.029166757234123"/>
    <n v="13482"/>
    <x v="0"/>
  </r>
  <r>
    <n v="8905"/>
    <s v="la Palma de Cervelló"/>
    <n v="1.9457660750609975"/>
    <n v="0.52420460929820833"/>
    <n v="5.8213809061987192"/>
    <n v="8.4721875000000002E-2"/>
    <n v="0"/>
    <n v="1.3933451994000003"/>
    <s v=""/>
    <n v="11.37196324284951"/>
    <n v="1.441562675570073"/>
    <n v="10.694700632425512"/>
    <n v="0.79187951538771828"/>
    <n v="0"/>
    <n v="1.8571704226500001"/>
    <s v=""/>
    <n v="9.4261971677885121"/>
    <n v="0.91735806627186467"/>
    <n v="4.8733197262267929"/>
    <n v="0.70715764038771822"/>
    <n v="0"/>
    <n v="0.46382522324999975"/>
    <s v=""/>
    <n v="16.38785782392489"/>
    <n v="3000"/>
    <x v="2"/>
  </r>
</pivotCacheRecords>
</file>

<file path=xl/pivotCache/pivotCacheRecords3.xml><?xml version="1.0" encoding="utf-8"?>
<pivotCacheRecords xmlns="http://schemas.openxmlformats.org/spreadsheetml/2006/main" xmlns:r="http://schemas.openxmlformats.org/officeDocument/2006/relationships" count="311">
  <r>
    <x v="0"/>
    <n v="6803.3406784574809"/>
  </r>
  <r>
    <x v="1"/>
    <n v="145614.29180667343"/>
  </r>
  <r>
    <x v="0"/>
    <n v="12129.168526347039"/>
  </r>
  <r>
    <x v="1"/>
    <n v="16698.400100302639"/>
  </r>
  <r>
    <x v="0"/>
    <n v="5033.8271090824273"/>
  </r>
  <r>
    <x v="0"/>
    <n v="16782.411096599459"/>
  </r>
  <r>
    <x v="0"/>
    <n v="8567.3553726455539"/>
  </r>
  <r>
    <x v="1"/>
    <n v="190343.7731415169"/>
  </r>
  <r>
    <x v="0"/>
    <n v="11916.308659137439"/>
  </r>
  <r>
    <x v="0"/>
    <n v="9166.7422655730843"/>
  </r>
  <r>
    <x v="2"/>
    <n v="19597.455020592897"/>
  </r>
  <r>
    <x v="2"/>
    <n v="31769.121300121489"/>
  </r>
  <r>
    <x v="2"/>
    <n v="6815.5271838595918"/>
  </r>
  <r>
    <x v="2"/>
    <n v="5897.4336093067632"/>
  </r>
  <r>
    <x v="3"/>
    <n v="12411.912609506639"/>
  </r>
  <r>
    <x v="2"/>
    <n v="7720.1030719428572"/>
  </r>
  <r>
    <x v="2"/>
    <n v="8411.4148283804716"/>
  </r>
  <r>
    <x v="2"/>
    <n v="16565.562461032463"/>
  </r>
  <r>
    <x v="3"/>
    <n v="8990.4091389745026"/>
  </r>
  <r>
    <x v="0"/>
    <n v="5031.2442803147214"/>
  </r>
  <r>
    <x v="1"/>
    <n v="383745.81921386608"/>
  </r>
  <r>
    <x v="0"/>
    <n v="1873.2081380453355"/>
  </r>
  <r>
    <x v="0"/>
    <n v="5234.6914409318451"/>
  </r>
  <r>
    <x v="1"/>
    <n v="25838.984783886102"/>
  </r>
  <r>
    <x v="2"/>
    <n v="10267.316489136892"/>
  </r>
  <r>
    <x v="1"/>
    <n v="41016.018611677566"/>
  </r>
  <r>
    <x v="1"/>
    <n v="3169.8297506991612"/>
  </r>
  <r>
    <x v="2"/>
    <n v="6706.5159150065165"/>
  </r>
  <r>
    <x v="2"/>
    <n v="26710.181392756818"/>
  </r>
  <r>
    <x v="0"/>
    <n v="7456.5696598705026"/>
  </r>
  <r>
    <x v="2"/>
    <n v="6953.43738722951"/>
  </r>
  <r>
    <x v="2"/>
    <n v="21518.111543399733"/>
  </r>
  <r>
    <x v="0"/>
    <n v="4526.87970481308"/>
  </r>
  <r>
    <x v="1"/>
    <n v="30611.647469493797"/>
  </r>
  <r>
    <x v="0"/>
    <n v="4916.0211859625124"/>
  </r>
  <r>
    <x v="1"/>
    <n v="250263.35763181414"/>
  </r>
  <r>
    <x v="2"/>
    <n v="8687.2510427122397"/>
  </r>
  <r>
    <x v="2"/>
    <n v="12404.051450346256"/>
  </r>
  <r>
    <x v="1"/>
    <n v="6250.767271617301"/>
  </r>
  <r>
    <x v="0"/>
    <n v="15999.850566007037"/>
  </r>
  <r>
    <x v="0"/>
    <n v="4074.6315365654277"/>
  </r>
  <r>
    <x v="2"/>
    <n v="7761.5184608534901"/>
  </r>
  <r>
    <x v="2"/>
    <n v="5921.9221760202954"/>
  </r>
  <r>
    <x v="0"/>
    <n v="3958.7001898909562"/>
  </r>
  <r>
    <x v="1"/>
    <n v="103926.78732808323"/>
  </r>
  <r>
    <x v="0"/>
    <n v="5602.6417947037626"/>
  </r>
  <r>
    <x v="2"/>
    <n v="22194.722371539559"/>
  </r>
  <r>
    <x v="1"/>
    <n v="11306.045766262785"/>
  </r>
  <r>
    <x v="2"/>
    <n v="18955.439125413173"/>
  </r>
  <r>
    <x v="1"/>
    <n v="30740.445924799213"/>
  </r>
  <r>
    <x v="4"/>
    <n v="3817.4416784236751"/>
  </r>
  <r>
    <x v="1"/>
    <n v="48248.620874641252"/>
  </r>
  <r>
    <x v="2"/>
    <n v="10653.691738049793"/>
  </r>
  <r>
    <x v="0"/>
    <n v="16790.119753539682"/>
  </r>
  <r>
    <x v="1"/>
    <n v="17018.360354323126"/>
  </r>
  <r>
    <x v="3"/>
    <n v="7420.290474351018"/>
  </r>
  <r>
    <x v="1"/>
    <n v="66221.105546125851"/>
  </r>
  <r>
    <x v="2"/>
    <n v="7903.7386974485844"/>
  </r>
  <r>
    <x v="1"/>
    <n v="87074.057849662378"/>
  </r>
  <r>
    <x v="1"/>
    <n v="181952.47734910829"/>
  </r>
  <r>
    <x v="2"/>
    <n v="11991.9564669927"/>
  </r>
  <r>
    <x v="2"/>
    <n v="16683.238588758752"/>
  </r>
  <r>
    <x v="1"/>
    <n v="26155.489943545661"/>
  </r>
  <r>
    <x v="2"/>
    <n v="8704.3408687981992"/>
  </r>
  <r>
    <x v="2"/>
    <n v="11559.474067396921"/>
  </r>
  <r>
    <x v="2"/>
    <n v="9383.5451231911265"/>
  </r>
  <r>
    <x v="0"/>
    <n v="5251.7586606980367"/>
  </r>
  <r>
    <x v="0"/>
    <n v="8338.9004579092743"/>
  </r>
  <r>
    <x v="2"/>
    <n v="4744.0994403199493"/>
  </r>
  <r>
    <x v="1"/>
    <n v="33167.809324291033"/>
  </r>
  <r>
    <x v="1"/>
    <n v="55261.088681797301"/>
  </r>
  <r>
    <x v="0"/>
    <n v="8768.835778820594"/>
  </r>
  <r>
    <x v="3"/>
    <n v="7689.2399116988772"/>
  </r>
  <r>
    <x v="0"/>
    <n v="8786.2738069894513"/>
  </r>
  <r>
    <x v="0"/>
    <n v="7584.4449382513158"/>
  </r>
  <r>
    <x v="4"/>
    <n v="6247.2107046938581"/>
  </r>
  <r>
    <x v="4"/>
    <n v="8013.1787574854161"/>
  </r>
  <r>
    <x v="1"/>
    <n v="118224.54665501979"/>
  </r>
  <r>
    <x v="1"/>
    <n v="15112.405843137491"/>
  </r>
  <r>
    <x v="1"/>
    <n v="108827.81421321843"/>
  </r>
  <r>
    <x v="1"/>
    <n v="11763.963652089851"/>
  </r>
  <r>
    <x v="2"/>
    <n v="34610.234720233748"/>
  </r>
  <r>
    <x v="2"/>
    <n v="11482.36754103882"/>
  </r>
  <r>
    <x v="2"/>
    <n v="41373.430956624303"/>
  </r>
  <r>
    <x v="2"/>
    <n v="9304.3169459798955"/>
  </r>
  <r>
    <x v="0"/>
    <n v="5018.7230810986684"/>
  </r>
  <r>
    <x v="1"/>
    <n v="25516.967935874582"/>
  </r>
  <r>
    <x v="0"/>
    <n v="8385.5377507205067"/>
  </r>
  <r>
    <x v="4"/>
    <n v="12815.792827634359"/>
  </r>
  <r>
    <x v="1"/>
    <n v="157661.74867465245"/>
  </r>
  <r>
    <x v="0"/>
    <n v="4755.8986680472908"/>
  </r>
  <r>
    <x v="2"/>
    <n v="3745.3739346765387"/>
  </r>
  <r>
    <x v="1"/>
    <n v="192887.54295051313"/>
  </r>
  <r>
    <x v="2"/>
    <n v="3180.5427818305261"/>
  </r>
  <r>
    <x v="1"/>
    <n v="39886.663199002724"/>
  </r>
  <r>
    <x v="3"/>
    <n v="4261.8022159177062"/>
  </r>
  <r>
    <x v="2"/>
    <n v="6652.3254805866418"/>
  </r>
  <r>
    <x v="2"/>
    <n v="10427.094720332825"/>
  </r>
  <r>
    <x v="1"/>
    <n v="16421.164484216966"/>
  </r>
  <r>
    <x v="2"/>
    <n v="76170.691148571728"/>
  </r>
  <r>
    <x v="3"/>
    <n v="7280.4232494197213"/>
  </r>
  <r>
    <x v="4"/>
    <n v="4464.900708651795"/>
  </r>
  <r>
    <x v="1"/>
    <n v="29444.082080797609"/>
  </r>
  <r>
    <x v="1"/>
    <n v="39606.215449896416"/>
  </r>
  <r>
    <x v="0"/>
    <n v="10240.556824151923"/>
  </r>
  <r>
    <x v="0"/>
    <n v="8534.0736137701715"/>
  </r>
  <r>
    <x v="0"/>
    <n v="5458.8506227823063"/>
  </r>
  <r>
    <x v="0"/>
    <n v="6323.9318872324993"/>
  </r>
  <r>
    <x v="1"/>
    <n v="87708.177582363176"/>
  </r>
  <r>
    <x v="0"/>
    <n v="7359.5495250872555"/>
  </r>
  <r>
    <x v="1"/>
    <n v="86453.916034658338"/>
  </r>
  <r>
    <x v="4"/>
    <n v="5967.9771219421209"/>
  </r>
  <r>
    <x v="3"/>
    <n v="6023.4397338275976"/>
  </r>
  <r>
    <x v="4"/>
    <n v="10811.999572025261"/>
  </r>
  <r>
    <x v="2"/>
    <n v="16216.213499322303"/>
  </r>
  <r>
    <x v="1"/>
    <n v="33522.861904921425"/>
  </r>
  <r>
    <x v="2"/>
    <n v="16877.125937753186"/>
  </r>
  <r>
    <x v="4"/>
    <n v="11391.522465040029"/>
  </r>
  <r>
    <x v="0"/>
    <n v="5039.3941606239532"/>
  </r>
  <r>
    <x v="0"/>
    <n v="3682.0005043575843"/>
  </r>
  <r>
    <x v="3"/>
    <n v="11380.962573680827"/>
  </r>
  <r>
    <x v="2"/>
    <n v="10430.801737071648"/>
  </r>
  <r>
    <x v="4"/>
    <n v="5834.5764342254024"/>
  </r>
  <r>
    <x v="3"/>
    <n v="4077.0883379338916"/>
  </r>
  <r>
    <x v="4"/>
    <n v="7520.9261704337405"/>
  </r>
  <r>
    <x v="0"/>
    <n v="7843.4934150227609"/>
  </r>
  <r>
    <x v="2"/>
    <n v="8091.4987526456216"/>
  </r>
  <r>
    <x v="1"/>
    <n v="18141.154278153179"/>
  </r>
  <r>
    <x v="1"/>
    <n v="26569.013788622429"/>
  </r>
  <r>
    <x v="1"/>
    <n v="159932.46227127037"/>
  </r>
  <r>
    <x v="1"/>
    <n v="11153.16176533615"/>
  </r>
  <r>
    <x v="1"/>
    <n v="116107.50145199276"/>
  </r>
  <r>
    <x v="1"/>
    <n v="142531.42660248297"/>
  </r>
  <r>
    <x v="2"/>
    <n v="-1947.6465636726082"/>
  </r>
  <r>
    <x v="0"/>
    <n v="8194.1043495052927"/>
  </r>
  <r>
    <x v="0"/>
    <n v="6587.7369938798247"/>
  </r>
  <r>
    <x v="1"/>
    <n v="13750.050245830591"/>
  </r>
  <r>
    <x v="0"/>
    <n v="11845.216746836839"/>
  </r>
  <r>
    <x v="1"/>
    <n v="71761.432703375453"/>
  </r>
  <r>
    <x v="0"/>
    <n v="5924.0188022570646"/>
  </r>
  <r>
    <x v="0"/>
    <n v="14262.60610905156"/>
  </r>
  <r>
    <x v="1"/>
    <n v="32454.882946050831"/>
  </r>
  <r>
    <x v="2"/>
    <n v="16987.817384153441"/>
  </r>
  <r>
    <x v="1"/>
    <n v="26355.339498173893"/>
  </r>
  <r>
    <x v="2"/>
    <n v="5116.9667564008078"/>
  </r>
  <r>
    <x v="2"/>
    <n v="6123.4575566535541"/>
  </r>
  <r>
    <x v="4"/>
    <n v="3301.6246375621045"/>
  </r>
  <r>
    <x v="2"/>
    <n v="8159.8966644847987"/>
  </r>
  <r>
    <x v="2"/>
    <n v="29118.325113046118"/>
  </r>
  <r>
    <x v="1"/>
    <n v="84073.768992188663"/>
  </r>
  <r>
    <x v="1"/>
    <n v="106194.59358527361"/>
  </r>
  <r>
    <x v="1"/>
    <n v="79802.131818818467"/>
  </r>
  <r>
    <x v="1"/>
    <n v="8245.8914615468493"/>
  </r>
  <r>
    <x v="1"/>
    <n v="11574.94857312047"/>
  </r>
  <r>
    <x v="0"/>
    <n v="12423.959758378527"/>
  </r>
  <r>
    <x v="0"/>
    <n v="5527.456452769412"/>
  </r>
  <r>
    <x v="0"/>
    <n v="11754.197202680902"/>
  </r>
  <r>
    <x v="2"/>
    <n v="10131.581623558161"/>
  </r>
  <r>
    <x v="0"/>
    <n v="6478.1915583297359"/>
  </r>
  <r>
    <x v="1"/>
    <n v="35061.058409248588"/>
  </r>
  <r>
    <x v="0"/>
    <n v="6513.7535716747079"/>
  </r>
  <r>
    <x v="2"/>
    <n v="9274.9867949976178"/>
  </r>
  <r>
    <x v="4"/>
    <n v="11370.283164481834"/>
  </r>
  <r>
    <x v="2"/>
    <n v="3760.55481130406"/>
  </r>
  <r>
    <x v="2"/>
    <n v="26224.560386409834"/>
  </r>
  <r>
    <x v="2"/>
    <n v="14247.37804228682"/>
  </r>
  <r>
    <x v="0"/>
    <n v="3654.5839879884788"/>
  </r>
  <r>
    <x v="1"/>
    <n v="19447.723302190523"/>
  </r>
  <r>
    <x v="3"/>
    <n v="19386.806228570269"/>
  </r>
  <r>
    <x v="1"/>
    <n v="83605.87429532531"/>
  </r>
  <r>
    <x v="2"/>
    <n v="7003.4179621595358"/>
  </r>
  <r>
    <x v="4"/>
    <n v="12263.057292729474"/>
  </r>
  <r>
    <x v="1"/>
    <n v="2469.7220283955417"/>
  </r>
  <r>
    <x v="2"/>
    <n v="10196.844503426901"/>
  </r>
  <r>
    <x v="1"/>
    <n v="268214.31309548876"/>
  </r>
  <r>
    <x v="1"/>
    <n v="164020.96053623979"/>
  </r>
  <r>
    <x v="1"/>
    <n v="58362.466358473153"/>
  </r>
  <r>
    <x v="1"/>
    <n v="7063.904853234937"/>
  </r>
  <r>
    <x v="4"/>
    <n v="2267.8084963846522"/>
  </r>
  <r>
    <x v="0"/>
    <n v="9538.5645110886635"/>
  </r>
  <r>
    <x v="2"/>
    <n v="7074.2938860824461"/>
  </r>
  <r>
    <x v="0"/>
    <n v="3323.1120022498103"/>
  </r>
  <r>
    <x v="3"/>
    <n v="4008.244906673779"/>
  </r>
  <r>
    <x v="1"/>
    <n v="145734.0023303295"/>
  </r>
  <r>
    <x v="3"/>
    <n v="3323.5631782361274"/>
  </r>
  <r>
    <x v="1"/>
    <n v="203149.3497268518"/>
  </r>
  <r>
    <x v="1"/>
    <n v="161482.767778354"/>
  </r>
  <r>
    <x v="1"/>
    <n v="37603.123716216964"/>
  </r>
  <r>
    <x v="0"/>
    <n v="20369.477211959569"/>
  </r>
  <r>
    <x v="0"/>
    <n v="5195.2271965290129"/>
  </r>
  <r>
    <x v="2"/>
    <n v="85288.407548799572"/>
  </r>
  <r>
    <x v="4"/>
    <n v="15048.431318206662"/>
  </r>
  <r>
    <x v="1"/>
    <n v="91694.334077331048"/>
  </r>
  <r>
    <x v="4"/>
    <n v="6039.4221388107071"/>
  </r>
  <r>
    <x v="0"/>
    <n v="14816.826184780302"/>
  </r>
  <r>
    <x v="0"/>
    <n v="7532.4980593003484"/>
  </r>
  <r>
    <x v="1"/>
    <n v="38146.819748365422"/>
  </r>
  <r>
    <x v="3"/>
    <n v="9503.4856243823942"/>
  </r>
  <r>
    <x v="1"/>
    <n v="35643.141898650261"/>
  </r>
  <r>
    <x v="0"/>
    <n v="3992.7418687889012"/>
  </r>
  <r>
    <x v="2"/>
    <n v="11698.891130394291"/>
  </r>
  <r>
    <x v="2"/>
    <n v="6745.1070901039911"/>
  </r>
  <r>
    <x v="3"/>
    <n v="4266.3074711653162"/>
  </r>
  <r>
    <x v="1"/>
    <n v="5197.5124295676442"/>
  </r>
  <r>
    <x v="2"/>
    <n v="14008.593790133848"/>
  </r>
  <r>
    <x v="0"/>
    <n v="10751.414119529283"/>
  </r>
  <r>
    <x v="0"/>
    <n v="6604.2595588217246"/>
  </r>
  <r>
    <x v="0"/>
    <n v="2350.4878468065981"/>
  </r>
  <r>
    <x v="4"/>
    <n v="7032.6582144123477"/>
  </r>
  <r>
    <x v="1"/>
    <n v="35538.98501491487"/>
  </r>
  <r>
    <x v="0"/>
    <n v="7551.9579552557243"/>
  </r>
  <r>
    <x v="0"/>
    <n v="14727.157697170307"/>
  </r>
  <r>
    <x v="2"/>
    <n v="4671.7054503716672"/>
  </r>
  <r>
    <x v="1"/>
    <n v="134583.52957623903"/>
  </r>
  <r>
    <x v="4"/>
    <n v="6250.6396119367782"/>
  </r>
  <r>
    <x v="0"/>
    <n v="7609.8844301969502"/>
  </r>
  <r>
    <x v="4"/>
    <n v="13247.202249515154"/>
  </r>
  <r>
    <x v="2"/>
    <n v="8706.7127470915439"/>
  </r>
  <r>
    <x v="0"/>
    <n v="8071.4135543032262"/>
  </r>
  <r>
    <x v="2"/>
    <n v="4255.0736973519533"/>
  </r>
  <r>
    <x v="2"/>
    <n v="5625.2340092484028"/>
  </r>
  <r>
    <x v="2"/>
    <n v="16580.65025057771"/>
  </r>
  <r>
    <x v="1"/>
    <n v="142627.19574689577"/>
  </r>
  <r>
    <x v="2"/>
    <n v="30383.329080457643"/>
  </r>
  <r>
    <x v="2"/>
    <n v="6227.4969816862867"/>
  </r>
  <r>
    <x v="1"/>
    <n v="20854.892265219281"/>
  </r>
  <r>
    <x v="1"/>
    <n v="104851.2763611421"/>
  </r>
  <r>
    <x v="0"/>
    <n v="21782.331960890882"/>
  </r>
  <r>
    <x v="4"/>
    <n v="6401.8447724496182"/>
  </r>
  <r>
    <x v="2"/>
    <n v="2762.5980328915148"/>
  </r>
  <r>
    <x v="2"/>
    <n v="10410.329849656542"/>
  </r>
  <r>
    <x v="2"/>
    <n v="7921.447360043383"/>
  </r>
  <r>
    <x v="2"/>
    <n v="25130.897715450625"/>
  </r>
  <r>
    <x v="2"/>
    <n v="3616.274549235492"/>
  </r>
  <r>
    <x v="2"/>
    <n v="9512.2642852072022"/>
  </r>
  <r>
    <x v="0"/>
    <n v="3339.5213494536588"/>
  </r>
  <r>
    <x v="1"/>
    <n v="9231.4512664655795"/>
  </r>
  <r>
    <x v="0"/>
    <n v="4303.0849333341394"/>
  </r>
  <r>
    <x v="1"/>
    <n v="59067.014339738424"/>
  </r>
  <r>
    <x v="1"/>
    <n v="31264.306896805239"/>
  </r>
  <r>
    <x v="1"/>
    <n v="65786.539485701272"/>
  </r>
  <r>
    <x v="0"/>
    <n v="7412.6018155039137"/>
  </r>
  <r>
    <x v="3"/>
    <n v="7477.9897081214094"/>
  </r>
  <r>
    <x v="2"/>
    <n v="12634.663841488031"/>
  </r>
  <r>
    <x v="2"/>
    <n v="12376.821686459103"/>
  </r>
  <r>
    <x v="0"/>
    <n v="6944.270961653111"/>
  </r>
  <r>
    <x v="1"/>
    <n v="4228.9256282836395"/>
  </r>
  <r>
    <x v="0"/>
    <n v="5059.6925986376646"/>
  </r>
  <r>
    <x v="0"/>
    <n v="6014.0507892379392"/>
  </r>
  <r>
    <x v="4"/>
    <n v="3500.3964117127266"/>
  </r>
  <r>
    <x v="1"/>
    <n v="36510.034932015078"/>
  </r>
  <r>
    <x v="2"/>
    <n v="27159.861608149375"/>
  </r>
  <r>
    <x v="1"/>
    <n v="172936.28485542093"/>
  </r>
  <r>
    <x v="1"/>
    <n v="4210.396074913705"/>
  </r>
  <r>
    <x v="1"/>
    <n v="113648.56025906997"/>
  </r>
  <r>
    <x v="2"/>
    <n v="40323.364053107718"/>
  </r>
  <r>
    <x v="0"/>
    <n v="4592.2244280231944"/>
  </r>
  <r>
    <x v="4"/>
    <n v="4607.1066690143361"/>
  </r>
  <r>
    <x v="2"/>
    <n v="30880.339708629854"/>
  </r>
  <r>
    <x v="0"/>
    <n v="7676.3285795834208"/>
  </r>
  <r>
    <x v="4"/>
    <n v="7162.0333556092555"/>
  </r>
  <r>
    <x v="0"/>
    <n v="16155.982091423193"/>
  </r>
  <r>
    <x v="2"/>
    <n v="12022.333121883092"/>
  </r>
  <r>
    <x v="3"/>
    <n v="4298.9379852864831"/>
  </r>
  <r>
    <x v="0"/>
    <n v="5839.7505788612234"/>
  </r>
  <r>
    <x v="2"/>
    <n v="10011.453809487744"/>
  </r>
  <r>
    <x v="2"/>
    <n v="8859.7792938457824"/>
  </r>
  <r>
    <x v="4"/>
    <n v="9337.7298998326496"/>
  </r>
  <r>
    <x v="1"/>
    <n v="39095.698025737438"/>
  </r>
  <r>
    <x v="1"/>
    <n v="72128.112444431667"/>
  </r>
  <r>
    <x v="2"/>
    <n v="8967.7665368060061"/>
  </r>
  <r>
    <x v="0"/>
    <n v="11823.20763179552"/>
  </r>
  <r>
    <x v="1"/>
    <n v="35534.772981797789"/>
  </r>
  <r>
    <x v="1"/>
    <n v="18672.00312866945"/>
  </r>
  <r>
    <x v="1"/>
    <n v="57669.680540500085"/>
  </r>
  <r>
    <x v="0"/>
    <n v="8068.4301457107795"/>
  </r>
  <r>
    <x v="3"/>
    <n v="2617.6708088109426"/>
  </r>
  <r>
    <x v="1"/>
    <n v="46459.032975201219"/>
  </r>
  <r>
    <x v="0"/>
    <n v="13097.704745243373"/>
  </r>
  <r>
    <x v="0"/>
    <n v="9109.6146152548972"/>
  </r>
  <r>
    <x v="0"/>
    <n v="5840.2711346664219"/>
  </r>
  <r>
    <x v="0"/>
    <n v="8891.0191087457788"/>
  </r>
  <r>
    <x v="0"/>
    <n v="5058.3171671683094"/>
  </r>
  <r>
    <x v="2"/>
    <n v="4744.7721582275963"/>
  </r>
  <r>
    <x v="2"/>
    <n v="8140.7952970009937"/>
  </r>
  <r>
    <x v="2"/>
    <n v="8089.7890004137826"/>
  </r>
  <r>
    <x v="0"/>
    <n v="6784.3931693761488"/>
  </r>
  <r>
    <x v="2"/>
    <n v="4034.5212151421701"/>
  </r>
  <r>
    <x v="0"/>
    <n v="3100.7891856094207"/>
  </r>
  <r>
    <x v="2"/>
    <n v="4601.0322002398643"/>
  </r>
  <r>
    <x v="1"/>
    <n v="15458.821546168592"/>
  </r>
  <r>
    <x v="2"/>
    <n v="3133.9778821664222"/>
  </r>
  <r>
    <x v="0"/>
    <n v="6953.4475016825854"/>
  </r>
  <r>
    <x v="2"/>
    <n v="5462.6854520950583"/>
  </r>
  <r>
    <x v="1"/>
    <n v="259699.4504074826"/>
  </r>
  <r>
    <x v="4"/>
    <n v="8792.0586112633373"/>
  </r>
  <r>
    <x v="1"/>
    <n v="11651.435985307889"/>
  </r>
  <r>
    <x v="0"/>
    <n v="2068.7463043910807"/>
  </r>
  <r>
    <x v="3"/>
    <n v="14364.098355283239"/>
  </r>
  <r>
    <x v="0"/>
    <n v="1827.7563766484695"/>
  </r>
  <r>
    <x v="1"/>
    <n v="14293.760941672836"/>
  </r>
  <r>
    <x v="2"/>
    <n v="5114.4634695018058"/>
  </r>
  <r>
    <x v="4"/>
    <n v="2315.8340366127218"/>
  </r>
  <r>
    <x v="1"/>
    <n v="4623.2806527058037"/>
  </r>
  <r>
    <x v="3"/>
    <n v="6285.1633083964198"/>
  </r>
  <r>
    <x v="1"/>
    <n v="199079.82883654066"/>
  </r>
  <r>
    <x v="1"/>
    <n v="33374.725327115018"/>
  </r>
  <r>
    <x v="0"/>
    <n v="-3532.7114465193986"/>
  </r>
  <r>
    <x v="1"/>
    <n v="13690.33712205992"/>
  </r>
  <r>
    <x v="0"/>
    <n v="3043.2552111878149"/>
  </r>
  <r>
    <x v="2"/>
    <n v="5462.6192746416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ula dinàmica1" cacheId="0" applyNumberFormats="0" applyBorderFormats="0" applyFontFormats="0" applyPatternFormats="0" applyAlignmentFormats="0" applyWidthHeightFormats="1" dataCaption="Valors" updatedVersion="4" minRefreshableVersion="3" useAutoFormatting="1" itemPrintTitles="1" createdVersion="4" indent="0" outline="1" outlineData="1" multipleFieldFilters="0">
  <location ref="A3:Q303" firstHeaderRow="1" firstDataRow="3" firstDataCol="1"/>
  <pivotFields count="12">
    <pivotField showAll="0">
      <items count="298">
        <item x="0"/>
        <item x="1"/>
        <item x="3"/>
        <item x="4"/>
        <item x="5"/>
        <item x="6"/>
        <item x="7"/>
        <item x="8"/>
        <item x="9"/>
        <item x="10"/>
        <item x="11"/>
        <item x="12"/>
        <item x="13"/>
        <item x="2"/>
        <item x="14"/>
        <item x="15"/>
        <item x="16"/>
        <item x="17"/>
        <item x="19"/>
        <item x="20"/>
        <item x="21"/>
        <item x="22"/>
        <item x="23"/>
        <item x="24"/>
        <item x="25"/>
        <item x="26"/>
        <item x="27"/>
        <item x="29"/>
        <item x="28"/>
        <item x="30"/>
        <item x="31"/>
        <item x="33"/>
        <item x="32"/>
        <item x="34"/>
        <item x="37"/>
        <item x="35"/>
        <item x="36"/>
        <item x="38"/>
        <item x="39"/>
        <item x="40"/>
        <item x="41"/>
        <item x="42"/>
        <item x="43"/>
        <item x="44"/>
        <item x="45"/>
        <item x="46"/>
        <item x="47"/>
        <item x="48"/>
        <item x="50"/>
        <item x="51"/>
        <item x="52"/>
        <item x="53"/>
        <item x="54"/>
        <item x="55"/>
        <item x="49"/>
        <item x="56"/>
        <item x="58"/>
        <item x="57"/>
        <item x="59"/>
        <item x="60"/>
        <item x="61"/>
        <item x="62"/>
        <item x="63"/>
        <item x="64"/>
        <item x="65"/>
        <item x="68"/>
        <item x="69"/>
        <item x="70"/>
        <item x="71"/>
        <item x="72"/>
        <item x="73"/>
        <item x="74"/>
        <item x="75"/>
        <item x="76"/>
        <item x="77"/>
        <item x="80"/>
        <item x="79"/>
        <item x="81"/>
        <item x="82"/>
        <item x="83"/>
        <item x="84"/>
        <item x="86"/>
        <item x="87"/>
        <item x="88"/>
        <item x="85"/>
        <item x="89"/>
        <item x="90"/>
        <item x="91"/>
        <item x="92"/>
        <item x="93"/>
        <item x="94"/>
        <item x="232"/>
        <item x="95"/>
        <item x="96"/>
        <item x="97"/>
        <item x="99"/>
        <item x="100"/>
        <item x="101"/>
        <item x="104"/>
        <item x="102"/>
        <item x="103"/>
        <item x="105"/>
        <item x="106"/>
        <item x="107"/>
        <item x="108"/>
        <item x="109"/>
        <item x="111"/>
        <item x="112"/>
        <item x="113"/>
        <item x="114"/>
        <item x="115"/>
        <item x="116"/>
        <item x="117"/>
        <item x="118"/>
        <item x="120"/>
        <item x="121"/>
        <item x="124"/>
        <item x="127"/>
        <item x="123"/>
        <item x="122"/>
        <item x="133"/>
        <item x="125"/>
        <item x="126"/>
        <item x="128"/>
        <item x="129"/>
        <item x="78"/>
        <item x="130"/>
        <item x="131"/>
        <item x="132"/>
        <item x="119"/>
        <item x="134"/>
        <item x="135"/>
        <item x="136"/>
        <item x="137"/>
        <item x="138"/>
        <item x="144"/>
        <item x="139"/>
        <item x="140"/>
        <item x="141"/>
        <item x="142"/>
        <item x="143"/>
        <item x="145"/>
        <item x="146"/>
        <item x="147"/>
        <item x="148"/>
        <item x="149"/>
        <item x="150"/>
        <item x="151"/>
        <item x="152"/>
        <item x="154"/>
        <item x="155"/>
        <item x="156"/>
        <item x="157"/>
        <item x="98"/>
        <item x="158"/>
        <item x="159"/>
        <item x="160"/>
        <item x="161"/>
        <item x="162"/>
        <item x="164"/>
        <item x="165"/>
        <item x="167"/>
        <item x="166"/>
        <item x="169"/>
        <item x="170"/>
        <item x="171"/>
        <item x="172"/>
        <item x="173"/>
        <item x="174"/>
        <item x="175"/>
        <item x="176"/>
        <item x="177"/>
        <item x="163"/>
        <item x="178"/>
        <item x="179"/>
        <item x="180"/>
        <item x="182"/>
        <item x="183"/>
        <item x="224"/>
        <item x="184"/>
        <item x="185"/>
        <item x="253"/>
        <item x="205"/>
        <item x="186"/>
        <item x="187"/>
        <item x="188"/>
        <item x="189"/>
        <item x="190"/>
        <item x="191"/>
        <item x="193"/>
        <item x="192"/>
        <item x="194"/>
        <item x="195"/>
        <item x="196"/>
        <item x="197"/>
        <item x="198"/>
        <item x="202"/>
        <item x="199"/>
        <item x="200"/>
        <item x="201"/>
        <item x="203"/>
        <item x="293"/>
        <item x="204"/>
        <item x="206"/>
        <item x="208"/>
        <item x="207"/>
        <item x="294"/>
        <item x="210"/>
        <item x="211"/>
        <item x="212"/>
        <item x="213"/>
        <item x="215"/>
        <item x="214"/>
        <item x="216"/>
        <item x="217"/>
        <item x="218"/>
        <item x="219"/>
        <item x="168"/>
        <item x="220"/>
        <item x="221"/>
        <item x="222"/>
        <item x="223"/>
        <item x="225"/>
        <item x="226"/>
        <item x="227"/>
        <item x="228"/>
        <item x="229"/>
        <item x="230"/>
        <item x="231"/>
        <item x="110"/>
        <item x="237"/>
        <item x="238"/>
        <item x="239"/>
        <item x="240"/>
        <item x="241"/>
        <item x="242"/>
        <item x="243"/>
        <item x="244"/>
        <item x="18"/>
        <item x="245"/>
        <item x="246"/>
        <item x="247"/>
        <item x="248"/>
        <item x="250"/>
        <item x="249"/>
        <item x="251"/>
        <item x="252"/>
        <item x="233"/>
        <item x="236"/>
        <item x="234"/>
        <item x="235"/>
        <item x="67"/>
        <item x="254"/>
        <item x="66"/>
        <item x="255"/>
        <item x="256"/>
        <item x="257"/>
        <item x="258"/>
        <item x="259"/>
        <item x="260"/>
        <item x="264"/>
        <item x="261"/>
        <item x="262"/>
        <item x="263"/>
        <item x="267"/>
        <item x="265"/>
        <item x="266"/>
        <item x="268"/>
        <item x="269"/>
        <item x="270"/>
        <item x="271"/>
        <item x="272"/>
        <item x="273"/>
        <item x="274"/>
        <item x="275"/>
        <item x="276"/>
        <item x="277"/>
        <item x="278"/>
        <item x="279"/>
        <item x="280"/>
        <item x="281"/>
        <item x="282"/>
        <item x="283"/>
        <item x="284"/>
        <item x="286"/>
        <item x="285"/>
        <item x="290"/>
        <item x="289"/>
        <item x="295"/>
        <item x="287"/>
        <item x="288"/>
        <item x="292"/>
        <item x="296"/>
        <item x="181"/>
        <item x="291"/>
        <item x="209"/>
        <item x="153"/>
        <item t="default"/>
      </items>
    </pivotField>
    <pivotField axis="axisRow" showAll="0">
      <items count="2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t="default"/>
      </items>
    </pivotField>
    <pivotField axis="axisCol" showAll="0">
      <items count="8">
        <item x="0"/>
        <item x="1"/>
        <item x="3"/>
        <item x="5"/>
        <item x="4"/>
        <item x="2"/>
        <item x="6"/>
        <item t="default"/>
      </items>
    </pivotField>
    <pivotField showAll="0"/>
    <pivotField showAll="0"/>
    <pivotField showAll="0"/>
    <pivotField showAll="0"/>
    <pivotField dataField="1" showAll="0"/>
    <pivotField showAll="0"/>
    <pivotField showAll="0"/>
    <pivotField showAll="0"/>
    <pivotField dataField="1" showAll="0"/>
  </pivotFields>
  <rowFields count="1">
    <field x="1"/>
  </rowFields>
  <rowItems count="2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t="grand">
      <x/>
    </i>
  </rowItems>
  <colFields count="2">
    <field x="2"/>
    <field x="-2"/>
  </colFields>
  <colItems count="16">
    <i>
      <x/>
      <x/>
    </i>
    <i r="1" i="1">
      <x v="1"/>
    </i>
    <i>
      <x v="1"/>
      <x/>
    </i>
    <i r="1" i="1">
      <x v="1"/>
    </i>
    <i>
      <x v="2"/>
      <x/>
    </i>
    <i r="1" i="1">
      <x v="1"/>
    </i>
    <i>
      <x v="3"/>
      <x/>
    </i>
    <i r="1" i="1">
      <x v="1"/>
    </i>
    <i>
      <x v="4"/>
      <x/>
    </i>
    <i r="1" i="1">
      <x v="1"/>
    </i>
    <i>
      <x v="5"/>
      <x/>
    </i>
    <i r="1" i="1">
      <x v="1"/>
    </i>
    <i>
      <x v="6"/>
      <x/>
    </i>
    <i r="1" i="1">
      <x v="1"/>
    </i>
    <i t="grand">
      <x/>
    </i>
    <i t="grand" i="1">
      <x/>
    </i>
  </colItems>
  <dataFields count="2">
    <dataField name="secà" fld="7" baseField="0" baseItem="0"/>
    <dataField name="Regadiu" fld="11" baseField="0" baseItem="0"/>
  </dataFields>
  <formats count="21">
    <format dxfId="23">
      <pivotArea collapsedLevelsAreSubtotals="1" fieldPosition="0">
        <references count="1">
          <reference field="1" count="0"/>
        </references>
      </pivotArea>
    </format>
    <format dxfId="22">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1">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0">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9">
      <pivotArea dataOnly="0" labelOnly="1" fieldPosition="0">
        <references count="1">
          <reference field="1"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8">
      <pivotArea dataOnly="0" labelOnly="1" fieldPosition="0">
        <references count="1">
          <reference field="1"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7">
      <pivotArea dataOnly="0" labelOnly="1" fieldPosition="0">
        <references count="1">
          <reference field="1" count="47">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reference>
        </references>
      </pivotArea>
    </format>
    <format dxfId="16">
      <pivotArea outline="0" collapsedLevelsAreSubtotals="1" fieldPosition="0"/>
    </format>
    <format dxfId="15">
      <pivotArea field="2" type="button" dataOnly="0" labelOnly="1" outline="0" axis="axisCol" fieldPosition="0"/>
    </format>
    <format dxfId="14">
      <pivotArea field="-2" type="button" dataOnly="0" labelOnly="1" outline="0" axis="axisCol" fieldPosition="1"/>
    </format>
    <format dxfId="13">
      <pivotArea type="topRight" dataOnly="0" labelOnly="1" outline="0" fieldPosition="0"/>
    </format>
    <format dxfId="12">
      <pivotArea dataOnly="0" labelOnly="1" fieldPosition="0">
        <references count="1">
          <reference field="2" count="0"/>
        </references>
      </pivotArea>
    </format>
    <format dxfId="11">
      <pivotArea field="2" dataOnly="0" labelOnly="1" grandCol="1" outline="0" axis="axisCol" fieldPosition="0">
        <references count="1">
          <reference field="4294967294" count="1" selected="0">
            <x v="0"/>
          </reference>
        </references>
      </pivotArea>
    </format>
    <format dxfId="10">
      <pivotArea field="2" dataOnly="0" labelOnly="1" grandCol="1" outline="0" axis="axisCol" fieldPosition="0">
        <references count="1">
          <reference field="4294967294" count="1" selected="0">
            <x v="1"/>
          </reference>
        </references>
      </pivotArea>
    </format>
    <format dxfId="9">
      <pivotArea dataOnly="0" labelOnly="1" outline="0" fieldPosition="0">
        <references count="2">
          <reference field="4294967294" count="2">
            <x v="0"/>
            <x v="1"/>
          </reference>
          <reference field="2" count="1" selected="0">
            <x v="0"/>
          </reference>
        </references>
      </pivotArea>
    </format>
    <format dxfId="8">
      <pivotArea dataOnly="0" labelOnly="1" outline="0" fieldPosition="0">
        <references count="2">
          <reference field="4294967294" count="2">
            <x v="0"/>
            <x v="1"/>
          </reference>
          <reference field="2" count="1" selected="0">
            <x v="1"/>
          </reference>
        </references>
      </pivotArea>
    </format>
    <format dxfId="7">
      <pivotArea dataOnly="0" labelOnly="1" outline="0" fieldPosition="0">
        <references count="2">
          <reference field="4294967294" count="2">
            <x v="0"/>
            <x v="1"/>
          </reference>
          <reference field="2" count="1" selected="0">
            <x v="2"/>
          </reference>
        </references>
      </pivotArea>
    </format>
    <format dxfId="6">
      <pivotArea dataOnly="0" labelOnly="1" outline="0" fieldPosition="0">
        <references count="2">
          <reference field="4294967294" count="2">
            <x v="0"/>
            <x v="1"/>
          </reference>
          <reference field="2" count="1" selected="0">
            <x v="3"/>
          </reference>
        </references>
      </pivotArea>
    </format>
    <format dxfId="5">
      <pivotArea dataOnly="0" labelOnly="1" outline="0" fieldPosition="0">
        <references count="2">
          <reference field="4294967294" count="2">
            <x v="0"/>
            <x v="1"/>
          </reference>
          <reference field="2" count="1" selected="0">
            <x v="4"/>
          </reference>
        </references>
      </pivotArea>
    </format>
    <format dxfId="4">
      <pivotArea dataOnly="0" labelOnly="1" outline="0" fieldPosition="0">
        <references count="2">
          <reference field="4294967294" count="2">
            <x v="0"/>
            <x v="1"/>
          </reference>
          <reference field="2" count="1" selected="0">
            <x v="5"/>
          </reference>
        </references>
      </pivotArea>
    </format>
    <format dxfId="3">
      <pivotArea dataOnly="0" labelOnly="1" outline="0" fieldPosition="0">
        <references count="2">
          <reference field="4294967294" count="2">
            <x v="0"/>
            <x v="1"/>
          </reference>
          <reference field="2" count="1" selected="0">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ula dinàmica5" cacheId="17" applyNumberFormats="0" applyBorderFormats="0" applyFontFormats="0" applyPatternFormats="0" applyAlignmentFormats="0" applyWidthHeightFormats="1" dataCaption="Valors" updatedVersion="4" minRefreshableVersion="3" useAutoFormatting="1" itemPrintTitles="1" createdVersion="4" indent="0" outline="1" outlineData="1" multipleFieldFilters="0">
  <location ref="A1:B7" firstHeaderRow="1" firstDataRow="1" firstDataCol="1"/>
  <pivotFields count="2">
    <pivotField axis="axisRow" showAll="0">
      <items count="6">
        <item x="1"/>
        <item x="2"/>
        <item x="0"/>
        <item x="4"/>
        <item x="3"/>
        <item t="default"/>
      </items>
    </pivotField>
    <pivotField dataField="1" showAll="0"/>
  </pivotFields>
  <rowFields count="1">
    <field x="0"/>
  </rowFields>
  <rowItems count="6">
    <i>
      <x/>
    </i>
    <i>
      <x v="1"/>
    </i>
    <i>
      <x v="2"/>
    </i>
    <i>
      <x v="3"/>
    </i>
    <i>
      <x v="4"/>
    </i>
    <i t="grand">
      <x/>
    </i>
  </rowItems>
  <colItems count="1">
    <i/>
  </colItems>
  <dataFields count="1">
    <dataField name="Mitjana de €/hab" fld="1" subtotal="average" baseField="0" baseItem="0" numFmtId="3"/>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ula dinàmica1" cacheId="1" applyNumberFormats="0" applyBorderFormats="0" applyFontFormats="0" applyPatternFormats="0" applyAlignmentFormats="0" applyWidthHeightFormats="1" dataCaption="Valors" updatedVersion="4" minRefreshableVersion="3" useAutoFormatting="1" itemPrintTitles="1" createdVersion="4" indent="0" outline="1" outlineData="1" multipleFieldFilters="0">
  <location ref="A31:C32" firstHeaderRow="0" firstDataRow="1" firstDataCol="0"/>
  <pivotFields count="26">
    <pivotField showAll="0"/>
    <pivotField dataField="1" showAll="0"/>
    <pivotField numFmtId="4" showAll="0"/>
    <pivotField numFmtId="2" showAll="0"/>
    <pivotField numFmtId="4" showAll="0"/>
    <pivotField showAll="0"/>
    <pivotField showAll="0"/>
    <pivotField showAll="0"/>
    <pivotField showAll="0"/>
    <pivotField numFmtId="4" showAll="0"/>
    <pivotField numFmtId="4" showAll="0"/>
    <pivotField numFmtId="4" showAll="0"/>
    <pivotField numFmtId="2" showAll="0"/>
    <pivotField numFmtId="2" showAll="0"/>
    <pivotField showAll="0"/>
    <pivotField showAll="0"/>
    <pivotField numFmtId="4" showAll="0"/>
    <pivotField showAll="0"/>
    <pivotField numFmtId="4" showAll="0"/>
    <pivotField showAll="0"/>
    <pivotField showAll="0"/>
    <pivotField showAll="0"/>
    <pivotField showAll="0"/>
    <pivotField dataField="1" numFmtId="4" showAll="0"/>
    <pivotField dataField="1" showAll="0"/>
    <pivotField showAll="0"/>
  </pivotFields>
  <rowItems count="1">
    <i/>
  </rowItems>
  <colFields count="1">
    <field x="-2"/>
  </colFields>
  <colItems count="3">
    <i>
      <x/>
    </i>
    <i i="1">
      <x v="1"/>
    </i>
    <i i="2">
      <x v="2"/>
    </i>
  </colItems>
  <dataFields count="3">
    <dataField name="Suma de població" fld="24" baseField="0" baseItem="0"/>
    <dataField name="Suma de TOTAL" fld="23" baseField="0" baseItem="0"/>
    <dataField name="Recompte de Municipi"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catsalut.gencat.cat/web/.content/minisite/catsalut/proveidors_professionals/registres_catalegs/registres/cmbd/informes_anuals/cmbd_ap_2014.pdf" TargetMode="External"/><Relationship Id="rId2" Type="http://schemas.openxmlformats.org/officeDocument/2006/relationships/hyperlink" Target="http://catsalut.gencat.cat/web/.content/minisite/catsalut/proveidors_professionals/registres_catalegs/registres/cmbd/informes_anuals/cmbd_2014.pdf" TargetMode="External"/><Relationship Id="rId1" Type="http://schemas.openxmlformats.org/officeDocument/2006/relationships/hyperlink" Target="http://www.idescat.cat/pub/?id=def&amp;n=274&amp;t=201400&amp;col=3&amp;by=mun" TargetMode="External"/><Relationship Id="rId5" Type="http://schemas.openxmlformats.org/officeDocument/2006/relationships/drawing" Target="../drawings/drawing3.xml"/><Relationship Id="rId4"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ca.wikipedia.org/wiki/Estad%C3%ADsti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hyperlink" Target="https://www.datosmacro.com/pib/espana-comunidades-autonomas/cataluna?anio=2008" TargetMode="External"/><Relationship Id="rId2" Type="http://schemas.openxmlformats.org/officeDocument/2006/relationships/hyperlink" Target="https://www.idescat.cat/pub/?id=aec&amp;n=358&amp;t=2008" TargetMode="External"/><Relationship Id="rId1" Type="http://schemas.openxmlformats.org/officeDocument/2006/relationships/hyperlink" Target="http://empresa.gencat.cat/web/.content/20_-_turisme/coneixement_i_planificacio/recerca_i_estudis/documents/arxius/doc_13290732_1.pdf" TargetMode="External"/><Relationship Id="rId4"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idescat.cat/pub/aec/430" TargetMode="Externa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drawing" Target="../drawings/drawing9.xml"/></Relationships>
</file>

<file path=xl/worksheets/_rels/sheet43.xml.rels><?xml version="1.0" encoding="UTF-8" standalone="yes"?>
<Relationships xmlns="http://schemas.openxmlformats.org/package/2006/relationships"><Relationship Id="rId3" Type="http://schemas.openxmlformats.org/officeDocument/2006/relationships/hyperlink" Target="http://catsalut.gencat.cat/web/.content/minisite/catsalut/proveidors_professionals/registres_catalegs/registres/cmbd/informes_anuals/cmbd_2014.pdf" TargetMode="External"/><Relationship Id="rId2" Type="http://schemas.openxmlformats.org/officeDocument/2006/relationships/hyperlink" Target="http://www.idescat.cat/pub/?id=def&amp;n=274&amp;t=201400&amp;col=3&amp;by=mun" TargetMode="External"/><Relationship Id="rId1" Type="http://schemas.openxmlformats.org/officeDocument/2006/relationships/hyperlink" Target="http://catsalut.gencat.cat/web/.content/minisite/catsalut/proveidors_professionals/registres_catalegs/registres/cmbd/informes_anuals/cmbd_2014.pdf" TargetMode="External"/><Relationship Id="rId5" Type="http://schemas.openxmlformats.org/officeDocument/2006/relationships/printerSettings" Target="../printerSettings/printerSettings33.bin"/><Relationship Id="rId4" Type="http://schemas.openxmlformats.org/officeDocument/2006/relationships/hyperlink" Target="http://catsalut.gencat.cat/web/.content/minisite/catsalut/proveidors_professionals/registres_catalegs/registres/cmbd/informes_anuals/cmbd_ap_2014.pdf"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hyperlink" Target="https://ca.wikipedia.org/wiki/Delta_del_Llobregat" TargetMode="Externa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catsalut.gencat.cat/web/.content/minisite/catsalut/proveidors_professionals/registres_catalegs/registres/cmbd/informes_anuals/cmbd_201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Q39"/>
  <sheetViews>
    <sheetView zoomScaleNormal="100" workbookViewId="0">
      <selection activeCell="H26" sqref="H26"/>
    </sheetView>
  </sheetViews>
  <sheetFormatPr defaultColWidth="11.42578125" defaultRowHeight="15.75"/>
  <cols>
    <col min="1" max="1" width="2.28515625" style="500" customWidth="1"/>
    <col min="2" max="2" width="36.7109375" style="500" customWidth="1"/>
    <col min="3" max="3" width="3.42578125" style="500" customWidth="1"/>
    <col min="4" max="4" width="28.7109375" style="501" customWidth="1"/>
    <col min="5" max="5" width="12.7109375" style="500" customWidth="1"/>
    <col min="6" max="7" width="33.7109375" style="500" customWidth="1"/>
    <col min="8" max="8" width="46.7109375" style="500" customWidth="1"/>
    <col min="9" max="9" width="11.42578125" style="500" customWidth="1"/>
    <col min="10" max="16384" width="11.42578125" style="500"/>
  </cols>
  <sheetData>
    <row r="1" spans="2:9" ht="12.75" customHeight="1"/>
    <row r="2" spans="2:9" ht="33" customHeight="1">
      <c r="B2" s="1118" t="s">
        <v>2377</v>
      </c>
      <c r="C2" s="1118"/>
      <c r="D2" s="1118"/>
      <c r="E2" s="1118"/>
      <c r="F2" s="1118"/>
      <c r="G2" s="1118"/>
      <c r="H2" s="1118"/>
    </row>
    <row r="3" spans="2:9" ht="14.25" customHeight="1">
      <c r="C3" s="502"/>
    </row>
    <row r="4" spans="2:9" ht="21.75" customHeight="1">
      <c r="C4" s="503"/>
      <c r="D4" s="677" t="s">
        <v>2188</v>
      </c>
      <c r="E4" s="671"/>
      <c r="F4" s="671"/>
      <c r="G4" s="671"/>
      <c r="H4" s="671"/>
      <c r="I4" s="669"/>
    </row>
    <row r="5" spans="2:9" ht="21.75" customHeight="1">
      <c r="C5" s="502"/>
      <c r="D5" s="678" t="s">
        <v>2198</v>
      </c>
      <c r="E5" s="507"/>
      <c r="F5" s="507"/>
      <c r="G5" s="507"/>
      <c r="H5" s="673"/>
      <c r="I5" s="669"/>
    </row>
    <row r="6" spans="2:9" ht="21.75" customHeight="1">
      <c r="C6" s="504"/>
      <c r="D6" s="678" t="s">
        <v>2373</v>
      </c>
      <c r="E6" s="674"/>
      <c r="F6" s="507"/>
      <c r="G6" s="507"/>
      <c r="H6" s="673"/>
      <c r="I6" s="669"/>
    </row>
    <row r="7" spans="2:9" ht="21.75" customHeight="1">
      <c r="C7" s="502"/>
      <c r="D7" s="678"/>
      <c r="E7" s="674"/>
      <c r="F7" s="507"/>
      <c r="G7" s="507"/>
      <c r="H7" s="673"/>
      <c r="I7" s="669"/>
    </row>
    <row r="8" spans="2:9" ht="21.75" customHeight="1">
      <c r="C8" s="503"/>
      <c r="D8" s="678" t="s">
        <v>2189</v>
      </c>
      <c r="E8" s="674"/>
      <c r="F8" s="507"/>
      <c r="G8" s="507"/>
      <c r="H8" s="673"/>
      <c r="I8" s="669"/>
    </row>
    <row r="9" spans="2:9" ht="21.75" customHeight="1">
      <c r="C9" s="503"/>
      <c r="D9" s="678" t="s">
        <v>2190</v>
      </c>
      <c r="E9" s="674"/>
      <c r="F9" s="507"/>
      <c r="G9" s="507"/>
      <c r="H9" s="673"/>
      <c r="I9" s="669"/>
    </row>
    <row r="10" spans="2:9" ht="21.75" customHeight="1">
      <c r="C10" s="503"/>
      <c r="D10" s="679" t="s">
        <v>2191</v>
      </c>
      <c r="E10" s="675"/>
      <c r="F10" s="507"/>
      <c r="G10" s="507"/>
      <c r="H10" s="673"/>
      <c r="I10" s="669"/>
    </row>
    <row r="11" spans="2:9" ht="6" customHeight="1">
      <c r="C11" s="503"/>
      <c r="D11" s="680"/>
      <c r="E11" s="503"/>
      <c r="F11" s="502"/>
      <c r="G11" s="502"/>
      <c r="H11" s="672"/>
      <c r="I11" s="669"/>
    </row>
    <row r="12" spans="2:9" ht="21.75" customHeight="1">
      <c r="C12" s="503"/>
      <c r="D12" s="677" t="s">
        <v>2199</v>
      </c>
      <c r="E12" s="671"/>
      <c r="F12" s="671"/>
      <c r="G12" s="671"/>
      <c r="H12" s="671"/>
      <c r="I12" s="669"/>
    </row>
    <row r="13" spans="2:9" ht="21.75" customHeight="1">
      <c r="C13" s="503"/>
      <c r="D13" s="681" t="s">
        <v>2376</v>
      </c>
      <c r="E13" s="507"/>
      <c r="F13" s="507"/>
      <c r="G13" s="507"/>
      <c r="H13" s="676"/>
      <c r="I13" s="669"/>
    </row>
    <row r="14" spans="2:9" ht="21.75" customHeight="1">
      <c r="C14" s="503"/>
      <c r="D14" s="682" t="s">
        <v>2206</v>
      </c>
      <c r="E14" s="507"/>
      <c r="F14" s="507"/>
      <c r="G14" s="507"/>
      <c r="H14" s="676"/>
      <c r="I14" s="670"/>
    </row>
    <row r="15" spans="2:9" ht="21.75" customHeight="1">
      <c r="B15" s="509"/>
      <c r="C15" s="503"/>
      <c r="D15" s="682" t="s">
        <v>2213</v>
      </c>
      <c r="E15" s="668"/>
      <c r="F15" s="507"/>
      <c r="G15" s="507"/>
      <c r="H15" s="676"/>
      <c r="I15" s="669"/>
    </row>
    <row r="16" spans="2:9" ht="21.75" customHeight="1">
      <c r="C16" s="503"/>
      <c r="D16" s="682" t="s">
        <v>2214</v>
      </c>
      <c r="E16" s="506"/>
      <c r="F16" s="507"/>
      <c r="G16" s="507"/>
      <c r="H16" s="676"/>
      <c r="I16" s="669"/>
    </row>
    <row r="17" spans="2:17" ht="21.75" customHeight="1">
      <c r="C17" s="505"/>
      <c r="D17" s="682"/>
      <c r="E17" s="507"/>
      <c r="F17" s="507"/>
      <c r="G17" s="507"/>
      <c r="H17" s="676"/>
      <c r="I17" s="502"/>
    </row>
    <row r="18" spans="2:17" ht="6" customHeight="1">
      <c r="D18" s="683"/>
      <c r="E18" s="502"/>
      <c r="F18" s="502"/>
      <c r="G18" s="508"/>
      <c r="H18" s="672"/>
      <c r="I18" s="502"/>
    </row>
    <row r="19" spans="2:17" ht="21.75" customHeight="1">
      <c r="D19" s="677" t="s">
        <v>2192</v>
      </c>
      <c r="E19" s="671"/>
      <c r="F19" s="671"/>
      <c r="G19" s="671"/>
      <c r="H19" s="671"/>
      <c r="I19" s="502"/>
    </row>
    <row r="20" spans="2:17" s="509" customFormat="1" ht="21.75" customHeight="1">
      <c r="B20" s="500"/>
      <c r="D20" s="666"/>
      <c r="E20" s="542" t="s">
        <v>2193</v>
      </c>
      <c r="F20" s="510"/>
      <c r="G20" s="510"/>
      <c r="H20" s="500"/>
    </row>
    <row r="21" spans="2:17" ht="21.75" customHeight="1" thickBot="1">
      <c r="D21" s="667"/>
      <c r="E21" s="511" t="s">
        <v>2194</v>
      </c>
    </row>
    <row r="22" spans="2:17" ht="21.75" customHeight="1" thickTop="1">
      <c r="D22" s="512" t="s">
        <v>2195</v>
      </c>
      <c r="E22" s="513" t="s">
        <v>2196</v>
      </c>
    </row>
    <row r="23" spans="2:17" ht="21.75" customHeight="1">
      <c r="D23" s="512"/>
      <c r="E23" s="513" t="s">
        <v>2197</v>
      </c>
    </row>
    <row r="29" spans="2:17">
      <c r="D29" s="514"/>
    </row>
    <row r="30" spans="2:17">
      <c r="D30" s="515"/>
    </row>
    <row r="31" spans="2:17">
      <c r="D31" s="515"/>
    </row>
    <row r="32" spans="2:17">
      <c r="D32" s="516"/>
      <c r="E32" s="509"/>
      <c r="F32" s="509"/>
      <c r="G32" s="509"/>
      <c r="H32" s="509"/>
      <c r="I32" s="509"/>
      <c r="J32" s="509"/>
      <c r="K32" s="509"/>
      <c r="L32" s="509"/>
      <c r="M32" s="509"/>
      <c r="N32" s="509"/>
      <c r="O32" s="509"/>
      <c r="P32" s="509"/>
      <c r="Q32" s="509"/>
    </row>
    <row r="39" spans="8:10">
      <c r="H39" s="517"/>
      <c r="I39" s="517"/>
      <c r="J39" s="517"/>
    </row>
  </sheetData>
  <mergeCells count="1">
    <mergeCell ref="B2:H2"/>
  </mergeCells>
  <pageMargins left="0.7" right="0.7" top="0.75" bottom="0.75" header="0.3" footer="0.3"/>
  <pageSetup paperSize="9" orientation="portrait"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B2:E57"/>
  <sheetViews>
    <sheetView workbookViewId="0">
      <selection activeCell="C12" sqref="C12"/>
    </sheetView>
  </sheetViews>
  <sheetFormatPr defaultColWidth="11.42578125" defaultRowHeight="15"/>
  <cols>
    <col min="1" max="1" width="6.28515625" customWidth="1"/>
    <col min="2" max="2" width="77.5703125" customWidth="1"/>
    <col min="3" max="3" width="17.85546875" customWidth="1"/>
  </cols>
  <sheetData>
    <row r="2" spans="2:4" ht="15.75">
      <c r="B2" s="731" t="s">
        <v>2520</v>
      </c>
    </row>
    <row r="3" spans="2:4" ht="15.75">
      <c r="B3" s="737"/>
    </row>
    <row r="4" spans="2:4" ht="15.75">
      <c r="B4" s="731"/>
    </row>
    <row r="5" spans="2:4" ht="15.75">
      <c r="B5" s="731" t="s">
        <v>2566</v>
      </c>
    </row>
    <row r="6" spans="2:4">
      <c r="B6" t="s">
        <v>2521</v>
      </c>
    </row>
    <row r="9" spans="2:4" ht="45">
      <c r="B9" s="736" t="s">
        <v>2522</v>
      </c>
      <c r="C9" s="736" t="s">
        <v>2565</v>
      </c>
      <c r="D9" s="736" t="s">
        <v>2569</v>
      </c>
    </row>
    <row r="10" spans="2:4">
      <c r="B10" s="732" t="s">
        <v>2498</v>
      </c>
      <c r="C10" s="733"/>
      <c r="D10" s="733"/>
    </row>
    <row r="11" spans="2:4">
      <c r="B11" s="1" t="s">
        <v>2499</v>
      </c>
      <c r="C11" s="1" t="s">
        <v>2523</v>
      </c>
      <c r="D11" s="1"/>
    </row>
    <row r="12" spans="2:4">
      <c r="B12" s="1" t="s">
        <v>2500</v>
      </c>
      <c r="C12" s="1"/>
      <c r="D12" s="1"/>
    </row>
    <row r="13" spans="2:4">
      <c r="B13" s="1" t="s">
        <v>2501</v>
      </c>
      <c r="C13" s="1" t="s">
        <v>2378</v>
      </c>
      <c r="D13" s="1"/>
    </row>
    <row r="14" spans="2:4">
      <c r="B14" s="1" t="s">
        <v>649</v>
      </c>
      <c r="C14" s="1"/>
      <c r="D14" s="1"/>
    </row>
    <row r="15" spans="2:4">
      <c r="B15" s="1" t="s">
        <v>2502</v>
      </c>
      <c r="C15" s="1" t="s">
        <v>27</v>
      </c>
      <c r="D15" s="1"/>
    </row>
    <row r="16" spans="2:4">
      <c r="B16" s="732" t="s">
        <v>2503</v>
      </c>
      <c r="C16" s="733"/>
      <c r="D16" s="733"/>
    </row>
    <row r="17" spans="2:4">
      <c r="B17" s="1" t="s">
        <v>2504</v>
      </c>
      <c r="C17" s="1" t="s">
        <v>2379</v>
      </c>
      <c r="D17" s="1"/>
    </row>
    <row r="18" spans="2:4">
      <c r="B18" s="1" t="s">
        <v>2505</v>
      </c>
      <c r="C18" s="1"/>
      <c r="D18" s="1"/>
    </row>
    <row r="19" spans="2:4">
      <c r="B19" s="1" t="s">
        <v>2506</v>
      </c>
      <c r="C19" s="1" t="s">
        <v>2524</v>
      </c>
      <c r="D19" s="1"/>
    </row>
    <row r="20" spans="2:4">
      <c r="B20" s="1" t="s">
        <v>2507</v>
      </c>
      <c r="C20" s="1"/>
      <c r="D20" s="1"/>
    </row>
    <row r="21" spans="2:4">
      <c r="B21" s="732" t="s">
        <v>2508</v>
      </c>
      <c r="C21" s="733"/>
      <c r="D21" s="733"/>
    </row>
    <row r="22" spans="2:4">
      <c r="B22" s="1" t="s">
        <v>1779</v>
      </c>
      <c r="C22" s="1" t="s">
        <v>2525</v>
      </c>
      <c r="D22" s="1"/>
    </row>
    <row r="23" spans="2:4">
      <c r="B23" s="1" t="s">
        <v>2509</v>
      </c>
      <c r="C23" s="1"/>
      <c r="D23" s="1"/>
    </row>
    <row r="24" spans="2:4">
      <c r="B24" s="1" t="s">
        <v>2510</v>
      </c>
      <c r="C24" s="1"/>
      <c r="D24" s="1"/>
    </row>
    <row r="25" spans="2:4">
      <c r="B25" s="732" t="s">
        <v>2511</v>
      </c>
      <c r="C25" s="733"/>
      <c r="D25" s="733"/>
    </row>
    <row r="26" spans="2:4">
      <c r="B26" s="1" t="s">
        <v>2512</v>
      </c>
      <c r="C26" s="1"/>
      <c r="D26" s="1"/>
    </row>
    <row r="27" spans="2:4">
      <c r="B27" s="1" t="s">
        <v>2513</v>
      </c>
      <c r="C27" s="1"/>
      <c r="D27" s="1"/>
    </row>
    <row r="28" spans="2:4">
      <c r="B28" s="1" t="s">
        <v>2514</v>
      </c>
      <c r="C28" s="1"/>
      <c r="D28" s="1"/>
    </row>
    <row r="29" spans="2:4">
      <c r="B29" s="732" t="s">
        <v>2515</v>
      </c>
      <c r="C29" s="733"/>
      <c r="D29" s="733"/>
    </row>
    <row r="30" spans="2:4">
      <c r="B30" s="1" t="s">
        <v>2516</v>
      </c>
      <c r="C30" s="1" t="s">
        <v>1777</v>
      </c>
      <c r="D30" s="1"/>
    </row>
    <row r="31" spans="2:4">
      <c r="B31" s="732" t="s">
        <v>2517</v>
      </c>
      <c r="C31" s="733"/>
      <c r="D31" s="733"/>
    </row>
    <row r="32" spans="2:4">
      <c r="B32" s="1" t="s">
        <v>2518</v>
      </c>
      <c r="C32" s="1" t="s">
        <v>1780</v>
      </c>
      <c r="D32" s="1"/>
    </row>
    <row r="33" spans="2:5">
      <c r="B33" s="1" t="s">
        <v>2519</v>
      </c>
      <c r="C33" s="1" t="s">
        <v>2526</v>
      </c>
      <c r="D33" s="1"/>
    </row>
    <row r="36" spans="2:5" ht="15.75">
      <c r="B36" s="731" t="s">
        <v>2567</v>
      </c>
    </row>
    <row r="37" spans="2:5">
      <c r="B37" t="s">
        <v>2568</v>
      </c>
    </row>
    <row r="39" spans="2:5" ht="45">
      <c r="B39" s="736" t="s">
        <v>2527</v>
      </c>
      <c r="C39" s="736" t="s">
        <v>2565</v>
      </c>
      <c r="D39" s="736" t="s">
        <v>2528</v>
      </c>
      <c r="E39" s="736" t="s">
        <v>2569</v>
      </c>
    </row>
    <row r="40" spans="2:5">
      <c r="B40" s="80" t="s">
        <v>2529</v>
      </c>
      <c r="C40" s="53"/>
      <c r="D40" s="44" t="s">
        <v>2530</v>
      </c>
      <c r="E40" s="1"/>
    </row>
    <row r="41" spans="2:5">
      <c r="B41" s="80" t="s">
        <v>2531</v>
      </c>
      <c r="C41" s="80"/>
      <c r="D41" s="730" t="s">
        <v>2532</v>
      </c>
      <c r="E41" s="1"/>
    </row>
    <row r="42" spans="2:5">
      <c r="B42" s="734" t="s">
        <v>2533</v>
      </c>
      <c r="C42" s="734" t="s">
        <v>27</v>
      </c>
      <c r="D42" s="735" t="s">
        <v>2534</v>
      </c>
      <c r="E42" s="735"/>
    </row>
    <row r="43" spans="2:5">
      <c r="B43" s="734" t="s">
        <v>2535</v>
      </c>
      <c r="C43" s="734" t="s">
        <v>2525</v>
      </c>
      <c r="D43" s="735" t="s">
        <v>2536</v>
      </c>
      <c r="E43" s="735"/>
    </row>
    <row r="44" spans="2:5" ht="26.25">
      <c r="B44" s="80" t="s">
        <v>2537</v>
      </c>
      <c r="C44" s="80"/>
      <c r="D44" s="730" t="s">
        <v>2538</v>
      </c>
      <c r="E44" s="1"/>
    </row>
    <row r="45" spans="2:5" ht="26.25">
      <c r="B45" s="80" t="s">
        <v>2539</v>
      </c>
      <c r="C45" s="80"/>
      <c r="D45" s="730" t="s">
        <v>2540</v>
      </c>
      <c r="E45" s="1"/>
    </row>
    <row r="46" spans="2:5">
      <c r="B46" s="80" t="s">
        <v>2541</v>
      </c>
      <c r="C46" s="80"/>
      <c r="D46" s="730" t="s">
        <v>2542</v>
      </c>
      <c r="E46" s="1"/>
    </row>
    <row r="47" spans="2:5">
      <c r="B47" s="80" t="s">
        <v>2543</v>
      </c>
      <c r="C47" s="80"/>
      <c r="D47" s="730" t="s">
        <v>2544</v>
      </c>
      <c r="E47" s="1"/>
    </row>
    <row r="48" spans="2:5">
      <c r="B48" s="734" t="s">
        <v>2545</v>
      </c>
      <c r="C48" s="734" t="s">
        <v>2379</v>
      </c>
      <c r="D48" s="735" t="s">
        <v>2546</v>
      </c>
      <c r="E48" s="735"/>
    </row>
    <row r="49" spans="2:5">
      <c r="B49" s="80" t="s">
        <v>2547</v>
      </c>
      <c r="C49" s="80"/>
      <c r="D49" s="730" t="s">
        <v>2548</v>
      </c>
      <c r="E49" s="730"/>
    </row>
    <row r="50" spans="2:5">
      <c r="B50" s="734" t="s">
        <v>2549</v>
      </c>
      <c r="C50" s="734" t="s">
        <v>2524</v>
      </c>
      <c r="D50" s="735" t="s">
        <v>2550</v>
      </c>
      <c r="E50" s="735"/>
    </row>
    <row r="51" spans="2:5">
      <c r="B51" s="734" t="s">
        <v>2551</v>
      </c>
      <c r="C51" s="734" t="s">
        <v>2523</v>
      </c>
      <c r="D51" s="735" t="s">
        <v>2552</v>
      </c>
      <c r="E51" s="735"/>
    </row>
    <row r="52" spans="2:5" ht="26.25">
      <c r="B52" s="80" t="s">
        <v>2553</v>
      </c>
      <c r="C52" s="80"/>
      <c r="D52" s="730" t="s">
        <v>2554</v>
      </c>
      <c r="E52" s="730"/>
    </row>
    <row r="53" spans="2:5">
      <c r="B53" s="734" t="s">
        <v>2555</v>
      </c>
      <c r="C53" s="734" t="s">
        <v>2378</v>
      </c>
      <c r="D53" s="735" t="s">
        <v>2556</v>
      </c>
      <c r="E53" s="735"/>
    </row>
    <row r="54" spans="2:5">
      <c r="B54" s="80" t="s">
        <v>2557</v>
      </c>
      <c r="C54" s="80"/>
      <c r="D54" s="730" t="s">
        <v>2558</v>
      </c>
      <c r="E54" s="730"/>
    </row>
    <row r="55" spans="2:5">
      <c r="B55" s="80" t="s">
        <v>2559</v>
      </c>
      <c r="C55" s="80"/>
      <c r="D55" s="730" t="s">
        <v>2560</v>
      </c>
      <c r="E55" s="730"/>
    </row>
    <row r="56" spans="2:5">
      <c r="B56" s="734" t="s">
        <v>2561</v>
      </c>
      <c r="C56" s="734" t="s">
        <v>2526</v>
      </c>
      <c r="D56" s="735" t="s">
        <v>2562</v>
      </c>
      <c r="E56" s="735"/>
    </row>
    <row r="57" spans="2:5">
      <c r="B57" s="80" t="s">
        <v>2563</v>
      </c>
      <c r="C57" s="80"/>
      <c r="D57" s="730" t="s">
        <v>2564</v>
      </c>
      <c r="E57" s="730"/>
    </row>
  </sheetData>
  <sheetProtection algorithmName="SHA-512" hashValue="r+fcgj8XaJ5bWwYaz9e++3a8oJbbDCBdc5vOG93Uat0dM6qYtIPrjhlZn1o6DjRkiodM7vdYSLXt3MgVW4HJqQ==" saltValue="UoeIif7kLkDYWW5rOizTKw==" spinCount="100000" sheet="1" objects="1" scenarios="1"/>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2:AD146"/>
  <sheetViews>
    <sheetView topLeftCell="A34" zoomScaleNormal="100" workbookViewId="0">
      <selection activeCell="B103" sqref="B103:B104"/>
    </sheetView>
  </sheetViews>
  <sheetFormatPr defaultColWidth="11.5703125" defaultRowHeight="12.75"/>
  <cols>
    <col min="1" max="1" width="8.28515625" style="3" customWidth="1"/>
    <col min="2" max="2" width="27.7109375" style="3" customWidth="1"/>
    <col min="3" max="3" width="19.7109375" style="3" customWidth="1"/>
    <col min="4" max="4" width="17.42578125" style="3" customWidth="1"/>
    <col min="5" max="5" width="13.42578125" style="3" customWidth="1"/>
    <col min="6" max="6" width="14" style="3" customWidth="1"/>
    <col min="7" max="16384" width="11.5703125" style="3"/>
  </cols>
  <sheetData>
    <row r="2" spans="1:20" ht="21.4" customHeight="1">
      <c r="B2" s="1130" t="s">
        <v>2425</v>
      </c>
      <c r="C2" s="1130"/>
      <c r="D2" s="1130"/>
      <c r="E2" s="1130"/>
      <c r="F2" s="1130"/>
      <c r="G2" s="1130"/>
      <c r="H2" s="1130"/>
    </row>
    <row r="4" spans="1:20">
      <c r="B4" s="4" t="s">
        <v>72</v>
      </c>
    </row>
    <row r="6" spans="1:20">
      <c r="A6" s="53" t="s">
        <v>197</v>
      </c>
      <c r="B6" s="4" t="s">
        <v>1763</v>
      </c>
    </row>
    <row r="7" spans="1:20">
      <c r="A7" s="53"/>
      <c r="B7" s="4"/>
      <c r="F7" s="3" t="s">
        <v>2621</v>
      </c>
    </row>
    <row r="8" spans="1:20">
      <c r="A8" s="53"/>
      <c r="B8" s="6" t="s">
        <v>66</v>
      </c>
      <c r="C8" s="44" t="str">
        <f>'A. Dades de partida'!D7</f>
        <v>Vilalba Sasserra</v>
      </c>
      <c r="F8" s="6" t="s">
        <v>2619</v>
      </c>
      <c r="G8" s="6">
        <v>2004</v>
      </c>
      <c r="H8" s="6">
        <v>2005</v>
      </c>
      <c r="I8" s="6">
        <v>2006</v>
      </c>
      <c r="J8" s="6">
        <v>2007</v>
      </c>
      <c r="K8" s="6">
        <v>2008</v>
      </c>
      <c r="L8" s="6">
        <v>2009</v>
      </c>
      <c r="M8" s="6">
        <v>2010</v>
      </c>
      <c r="N8" s="6">
        <v>2011</v>
      </c>
      <c r="O8" s="6">
        <v>2012</v>
      </c>
      <c r="P8" s="6">
        <v>2013</v>
      </c>
      <c r="Q8" s="6">
        <v>2014</v>
      </c>
      <c r="R8" s="6">
        <v>2015</v>
      </c>
      <c r="S8" s="6">
        <v>2016</v>
      </c>
      <c r="T8" s="6">
        <v>2017</v>
      </c>
    </row>
    <row r="9" spans="1:20">
      <c r="A9" s="53"/>
      <c r="B9" s="6" t="s">
        <v>1760</v>
      </c>
      <c r="C9" s="347">
        <f>'A. Dades de partida'!D8</f>
        <v>8306</v>
      </c>
      <c r="F9" s="6" t="s">
        <v>2637</v>
      </c>
      <c r="G9" s="6">
        <f>VLOOKUP($C$9,'temperatures màximes'!$A$4:$T$314,'temperatures màximes'!G1,FALSE)</f>
        <v>1</v>
      </c>
      <c r="H9" s="6">
        <f>VLOOKUP($C$9,'temperatures màximes'!$A$4:$T$314,'temperatures màximes'!H1,FALSE)</f>
        <v>7</v>
      </c>
      <c r="I9" s="6">
        <f>VLOOKUP($C$9,'temperatures màximes'!$A$4:$T$314,'temperatures màximes'!I1,FALSE)</f>
        <v>11</v>
      </c>
      <c r="J9" s="6">
        <f>VLOOKUP($C$9,'temperatures màximes'!$A$4:$T$314,'temperatures màximes'!J1,FALSE)</f>
        <v>2</v>
      </c>
      <c r="K9" s="6">
        <f>VLOOKUP($C$9,'temperatures màximes'!$A$4:$T$314,'temperatures màximes'!K1,FALSE)</f>
        <v>2</v>
      </c>
      <c r="L9" s="6">
        <f>VLOOKUP($C$9,'temperatures màximes'!$A$4:$T$314,'temperatures màximes'!L1,FALSE)</f>
        <v>5</v>
      </c>
      <c r="M9" s="6">
        <f>VLOOKUP($C$9,'temperatures màximes'!$A$4:$T$314,'temperatures màximes'!M1,FALSE)</f>
        <v>4</v>
      </c>
      <c r="N9" s="6">
        <f>VLOOKUP($C$9,'temperatures màximes'!$A$4:$T$314,'temperatures màximes'!N1,FALSE)</f>
        <v>0</v>
      </c>
      <c r="O9" s="6">
        <f>VLOOKUP($C$9,'temperatures màximes'!$A$4:$T$314,'temperatures màximes'!O1,FALSE)</f>
        <v>7</v>
      </c>
      <c r="P9" s="6">
        <f>VLOOKUP($C$9,'temperatures màximes'!$A$4:$T$314,'temperatures màximes'!P1,FALSE)</f>
        <v>0</v>
      </c>
      <c r="Q9" s="6">
        <f>VLOOKUP($C$9,'temperatures màximes'!$A$4:$T$314,'temperatures màximes'!Q1,FALSE)</f>
        <v>0</v>
      </c>
      <c r="R9" s="6">
        <f>VLOOKUP($C$9,'temperatures màximes'!$A$4:$T$314,'temperatures màximes'!R1,FALSE)</f>
        <v>0</v>
      </c>
      <c r="S9" s="1078">
        <f>VLOOKUP($C$9,'temperatures màximes'!$A$4:$T$314,'temperatures màximes'!S1,FALSE)</f>
        <v>0</v>
      </c>
      <c r="T9" s="1078">
        <f>VLOOKUP($C$9,'temperatures màximes'!$A$4:$T$314,'temperatures màximes'!T1,FALSE)</f>
        <v>0</v>
      </c>
    </row>
    <row r="10" spans="1:20">
      <c r="A10" s="53"/>
      <c r="B10" s="6" t="s">
        <v>153</v>
      </c>
      <c r="C10" s="44" t="str">
        <f>VLOOKUP(C8,'BD ASVICC'!A6:GS316,92,FALSE)</f>
        <v>Vallès Oriental</v>
      </c>
      <c r="D10" s="3" t="s">
        <v>83</v>
      </c>
      <c r="F10" s="6" t="s">
        <v>2636</v>
      </c>
      <c r="G10" s="6">
        <f>VLOOKUP($C$9,'nits tropicals'!$A$4:$T$314,'nits tropicals'!G1,FALSE)</f>
        <v>0</v>
      </c>
      <c r="H10" s="6">
        <f>VLOOKUP($C$9,'nits tropicals'!$A$4:$T$314,'nits tropicals'!H1,FALSE)</f>
        <v>0</v>
      </c>
      <c r="I10" s="6">
        <f>VLOOKUP($C$9,'nits tropicals'!$A$4:$T$314,'nits tropicals'!I1,FALSE)</f>
        <v>2</v>
      </c>
      <c r="J10" s="6">
        <f>VLOOKUP($C$9,'nits tropicals'!$A$4:$T$314,'nits tropicals'!J1,FALSE)</f>
        <v>0</v>
      </c>
      <c r="K10" s="6">
        <f>VLOOKUP($C$9,'nits tropicals'!$A$4:$T$314,'nits tropicals'!K1,FALSE)</f>
        <v>0</v>
      </c>
      <c r="L10" s="6">
        <f>VLOOKUP($C$9,'nits tropicals'!$A$4:$T$314,'nits tropicals'!L1,FALSE)</f>
        <v>0</v>
      </c>
      <c r="M10" s="6">
        <f>VLOOKUP($C$9,'nits tropicals'!$A$4:$T$314,'nits tropicals'!M1,FALSE)</f>
        <v>0</v>
      </c>
      <c r="N10" s="6">
        <f>VLOOKUP($C$9,'nits tropicals'!$A$4:$T$314,'nits tropicals'!N1,FALSE)</f>
        <v>0</v>
      </c>
      <c r="O10" s="6">
        <f>VLOOKUP($C$9,'nits tropicals'!$A$4:$T$314,'nits tropicals'!O1,FALSE)</f>
        <v>0</v>
      </c>
      <c r="P10" s="6">
        <f>VLOOKUP($C$9,'nits tropicals'!$A$4:$T$314,'nits tropicals'!P1,FALSE)</f>
        <v>0</v>
      </c>
      <c r="Q10" s="6">
        <f>VLOOKUP($C$9,'nits tropicals'!$A$4:$T$314,'nits tropicals'!Q1,FALSE)</f>
        <v>0</v>
      </c>
      <c r="R10" s="6">
        <f>VLOOKUP($C$9,'nits tropicals'!$A$4:$T$314,'nits tropicals'!R1,FALSE)</f>
        <v>0</v>
      </c>
      <c r="S10" s="1078">
        <f>VLOOKUP($C$9,'nits tropicals'!$A$4:$T$314,'nits tropicals'!S1,FALSE)</f>
        <v>0</v>
      </c>
      <c r="T10" s="1078">
        <f>VLOOKUP($C$9,'nits tropicals'!$A$4:$T$314,'nits tropicals'!T1,FALSE)</f>
        <v>0</v>
      </c>
    </row>
    <row r="11" spans="1:20">
      <c r="A11" s="53"/>
      <c r="B11" s="6" t="s">
        <v>1761</v>
      </c>
      <c r="C11" s="44" t="str">
        <f>VLOOKUP(C8,'BD ASVICC'!A2:GS317,198,FALSE)</f>
        <v>41</v>
      </c>
      <c r="F11" s="3" t="s">
        <v>2622</v>
      </c>
    </row>
    <row r="12" spans="1:20">
      <c r="A12" s="53"/>
      <c r="B12" s="6" t="s">
        <v>135</v>
      </c>
      <c r="C12" s="347">
        <f>'A. Dades de partida'!D10</f>
        <v>15</v>
      </c>
    </row>
    <row r="13" spans="1:20" ht="15" customHeight="1">
      <c r="A13" s="53"/>
      <c r="B13" s="6" t="s">
        <v>124</v>
      </c>
      <c r="C13" s="347">
        <f>'A. Dades de partida'!D11</f>
        <v>0</v>
      </c>
      <c r="F13" s="1152" t="s">
        <v>14</v>
      </c>
      <c r="G13" s="806"/>
    </row>
    <row r="14" spans="1:20">
      <c r="A14" s="53"/>
      <c r="B14" s="6" t="s">
        <v>125</v>
      </c>
      <c r="C14" s="347">
        <f>'A. Dades de partida'!D12</f>
        <v>15</v>
      </c>
      <c r="F14" s="1153"/>
      <c r="G14" s="807"/>
    </row>
    <row r="15" spans="1:20">
      <c r="A15" s="53"/>
      <c r="B15" s="6" t="s">
        <v>1769</v>
      </c>
      <c r="C15" s="348">
        <f>'A. Dades de partida'!D14</f>
        <v>684</v>
      </c>
      <c r="F15" s="808" t="s">
        <v>2617</v>
      </c>
      <c r="G15" s="810">
        <v>0.5</v>
      </c>
    </row>
    <row r="16" spans="1:20">
      <c r="A16" s="53"/>
      <c r="B16" s="6" t="s">
        <v>1771</v>
      </c>
      <c r="C16" s="348">
        <f>'A. Dades de partida'!D15</f>
        <v>587</v>
      </c>
      <c r="F16" s="808" t="s">
        <v>2616</v>
      </c>
      <c r="G16" s="810">
        <v>1.5</v>
      </c>
    </row>
    <row r="17" spans="1:9">
      <c r="A17" s="53"/>
      <c r="B17" s="6" t="s">
        <v>1768</v>
      </c>
      <c r="C17" s="348">
        <f>'A. Dades de partida'!D18</f>
        <v>889241.73</v>
      </c>
      <c r="F17" s="809" t="s">
        <v>2615</v>
      </c>
      <c r="G17" s="811">
        <v>1</v>
      </c>
    </row>
    <row r="18" spans="1:9">
      <c r="A18" s="53"/>
      <c r="B18" s="24" t="s">
        <v>564</v>
      </c>
      <c r="C18" s="24" t="str">
        <f>VLOOKUP(C9,'temperatures màximes'!A4:F314,'temperatures màximes'!F1,FALSE)</f>
        <v>Interior</v>
      </c>
      <c r="D18" s="53"/>
      <c r="E18" s="53"/>
    </row>
    <row r="21" spans="1:9">
      <c r="A21" s="3" t="s">
        <v>41</v>
      </c>
      <c r="B21" s="3" t="s">
        <v>2294</v>
      </c>
    </row>
    <row r="22" spans="1:9">
      <c r="B22" s="138" t="s">
        <v>2355</v>
      </c>
    </row>
    <row r="23" spans="1:9">
      <c r="B23" s="5"/>
      <c r="E23" s="724" t="s">
        <v>2466</v>
      </c>
    </row>
    <row r="24" spans="1:9">
      <c r="C24" s="598" t="s">
        <v>2295</v>
      </c>
      <c r="D24" s="59" t="s">
        <v>79</v>
      </c>
      <c r="E24" s="723" t="s">
        <v>2465</v>
      </c>
    </row>
    <row r="25" spans="1:9" ht="15">
      <c r="B25" s="24" t="s">
        <v>12</v>
      </c>
      <c r="C25" s="632">
        <f>+'A. Dades de partida'!D71</f>
        <v>12.061038158919416</v>
      </c>
      <c r="D25" s="653">
        <f>C25/30</f>
        <v>0.40203460529731389</v>
      </c>
      <c r="E25" s="621">
        <f>D25*4</f>
        <v>1.6081384211892555</v>
      </c>
      <c r="F25" s="12" t="s">
        <v>2282</v>
      </c>
      <c r="I25" s="548" t="s">
        <v>2283</v>
      </c>
    </row>
    <row r="26" spans="1:9" ht="15">
      <c r="B26" s="24" t="s">
        <v>18</v>
      </c>
      <c r="C26" s="632">
        <f>'A. Dades de partida'!D72</f>
        <v>2.7115652746737577</v>
      </c>
      <c r="D26" s="572">
        <f>C26/30</f>
        <v>9.0385509155791924E-2</v>
      </c>
      <c r="E26" s="621">
        <f>D26*4</f>
        <v>0.3615420366231677</v>
      </c>
      <c r="F26" s="12" t="s">
        <v>2285</v>
      </c>
      <c r="I26" s="548" t="s">
        <v>2284</v>
      </c>
    </row>
    <row r="27" spans="1:9" ht="15">
      <c r="B27" s="24" t="s">
        <v>2140</v>
      </c>
      <c r="C27" s="632">
        <f>'A. Dades de partida'!D73</f>
        <v>0.27499999999999997</v>
      </c>
      <c r="D27" s="572">
        <f>C27/30</f>
        <v>9.166666666666665E-3</v>
      </c>
      <c r="E27" s="621">
        <f>D27*4</f>
        <v>3.666666666666666E-2</v>
      </c>
      <c r="F27" s="12" t="s">
        <v>2289</v>
      </c>
      <c r="I27" s="548" t="s">
        <v>2288</v>
      </c>
    </row>
    <row r="28" spans="1:9">
      <c r="F28" s="3" t="s">
        <v>2464</v>
      </c>
    </row>
    <row r="30" spans="1:9">
      <c r="A30" s="21" t="s">
        <v>42</v>
      </c>
      <c r="B30" s="4" t="s">
        <v>120</v>
      </c>
    </row>
    <row r="31" spans="1:9">
      <c r="A31" s="21"/>
      <c r="B31" s="4"/>
    </row>
    <row r="32" spans="1:9">
      <c r="B32" s="6" t="s">
        <v>17</v>
      </c>
      <c r="C32" s="62">
        <v>430</v>
      </c>
      <c r="D32" s="6" t="s">
        <v>53</v>
      </c>
      <c r="E32" s="9" t="s">
        <v>1936</v>
      </c>
    </row>
    <row r="33" spans="1:6">
      <c r="B33" s="6" t="s">
        <v>15</v>
      </c>
      <c r="C33" s="62">
        <v>150</v>
      </c>
      <c r="D33" s="6" t="s">
        <v>54</v>
      </c>
      <c r="E33" s="9" t="s">
        <v>1936</v>
      </c>
    </row>
    <row r="34" spans="1:6">
      <c r="B34" s="6" t="s">
        <v>16</v>
      </c>
      <c r="C34" s="64">
        <f>2700000*0.7</f>
        <v>1889999.9999999998</v>
      </c>
      <c r="D34" s="6" t="s">
        <v>55</v>
      </c>
      <c r="E34" s="12" t="s">
        <v>2463</v>
      </c>
    </row>
    <row r="37" spans="1:6">
      <c r="A37" s="3" t="s">
        <v>43</v>
      </c>
      <c r="B37" s="4" t="s">
        <v>122</v>
      </c>
    </row>
    <row r="38" spans="1:6">
      <c r="B38" s="4"/>
    </row>
    <row r="39" spans="1:6" ht="26.25" customHeight="1">
      <c r="B39" s="6"/>
      <c r="C39" s="62"/>
      <c r="D39" s="34"/>
      <c r="E39" s="1079" t="s">
        <v>2679</v>
      </c>
      <c r="F39" s="1079" t="s">
        <v>2680</v>
      </c>
    </row>
    <row r="40" spans="1:6">
      <c r="B40" s="6" t="s">
        <v>12</v>
      </c>
      <c r="C40" s="65">
        <f>11.2%*0.5</f>
        <v>5.5999999999999994E-2</v>
      </c>
      <c r="D40" s="853" t="s">
        <v>2677</v>
      </c>
      <c r="E40" s="588">
        <f t="shared" ref="E40:F42" si="0">0.5</f>
        <v>0.5</v>
      </c>
      <c r="F40" s="588">
        <f t="shared" si="0"/>
        <v>0.5</v>
      </c>
    </row>
    <row r="41" spans="1:6">
      <c r="B41" s="6" t="s">
        <v>18</v>
      </c>
      <c r="C41" s="65">
        <v>7.4999999999999997E-2</v>
      </c>
      <c r="D41" s="853" t="s">
        <v>2678</v>
      </c>
      <c r="E41" s="588">
        <f t="shared" si="0"/>
        <v>0.5</v>
      </c>
      <c r="F41" s="588">
        <f t="shared" si="0"/>
        <v>0.5</v>
      </c>
    </row>
    <row r="42" spans="1:6">
      <c r="B42" s="6" t="s">
        <v>13</v>
      </c>
      <c r="C42" s="66">
        <f>40*0.1%</f>
        <v>0.04</v>
      </c>
      <c r="D42" s="853" t="s">
        <v>720</v>
      </c>
      <c r="E42" s="588">
        <f t="shared" si="0"/>
        <v>0.5</v>
      </c>
      <c r="F42" s="588">
        <f t="shared" si="0"/>
        <v>0.5</v>
      </c>
    </row>
    <row r="43" spans="1:6">
      <c r="B43" s="9" t="s">
        <v>2467</v>
      </c>
    </row>
    <row r="44" spans="1:6">
      <c r="B44" s="9"/>
    </row>
    <row r="46" spans="1:6">
      <c r="A46" s="3" t="s">
        <v>47</v>
      </c>
      <c r="B46" s="4" t="s">
        <v>123</v>
      </c>
    </row>
    <row r="47" spans="1:6">
      <c r="B47" s="4"/>
    </row>
    <row r="48" spans="1:6">
      <c r="B48" s="4" t="s">
        <v>57</v>
      </c>
    </row>
    <row r="49" spans="2:30">
      <c r="C49" s="539" t="s">
        <v>37</v>
      </c>
    </row>
    <row r="50" spans="2:30">
      <c r="B50" s="6" t="s">
        <v>12</v>
      </c>
      <c r="C50" s="11">
        <f>C32*D25</f>
        <v>172.87488027784497</v>
      </c>
    </row>
    <row r="51" spans="2:30">
      <c r="B51" s="6" t="s">
        <v>18</v>
      </c>
      <c r="C51" s="11">
        <f>C33*D26</f>
        <v>13.557826373368789</v>
      </c>
    </row>
    <row r="52" spans="2:30">
      <c r="B52" s="6" t="s">
        <v>13</v>
      </c>
      <c r="C52" s="11">
        <f>C34*D27</f>
        <v>17324.999999999996</v>
      </c>
    </row>
    <row r="54" spans="2:30">
      <c r="B54" s="4" t="s">
        <v>21</v>
      </c>
    </row>
    <row r="57" spans="2:30">
      <c r="B57" s="4" t="s">
        <v>1949</v>
      </c>
    </row>
    <row r="58" spans="2:30">
      <c r="B58" s="5" t="s">
        <v>154</v>
      </c>
      <c r="C58" s="8"/>
    </row>
    <row r="59" spans="2:30">
      <c r="B59" s="5"/>
      <c r="C59" s="8"/>
    </row>
    <row r="60" spans="2:30">
      <c r="C60" s="6">
        <v>1</v>
      </c>
      <c r="D60" s="6">
        <v>2</v>
      </c>
      <c r="E60" s="6">
        <v>3</v>
      </c>
      <c r="F60" s="6">
        <v>4</v>
      </c>
      <c r="G60" s="6">
        <v>5</v>
      </c>
      <c r="H60" s="6">
        <v>6</v>
      </c>
      <c r="I60" s="6">
        <v>7</v>
      </c>
      <c r="J60" s="6">
        <v>8</v>
      </c>
      <c r="K60" s="6">
        <v>9</v>
      </c>
      <c r="L60" s="6">
        <v>10</v>
      </c>
      <c r="M60" s="6">
        <v>11</v>
      </c>
      <c r="N60" s="6">
        <v>12</v>
      </c>
      <c r="O60" s="6">
        <v>13</v>
      </c>
      <c r="P60" s="6">
        <v>14</v>
      </c>
      <c r="Q60" s="6">
        <v>15</v>
      </c>
    </row>
    <row r="61" spans="2:30">
      <c r="B61" s="6" t="s">
        <v>59</v>
      </c>
      <c r="C61" s="6">
        <f>'A. Dades de partida'!$D$11+C60</f>
        <v>1</v>
      </c>
      <c r="D61" s="6">
        <f>'A. Dades de partida'!$D$11+D60</f>
        <v>2</v>
      </c>
      <c r="E61" s="6">
        <f>'A. Dades de partida'!$D$11+E60</f>
        <v>3</v>
      </c>
      <c r="F61" s="6">
        <f>'A. Dades de partida'!$D$11+F60</f>
        <v>4</v>
      </c>
      <c r="G61" s="6">
        <f>'A. Dades de partida'!$D$11+G60</f>
        <v>5</v>
      </c>
      <c r="H61" s="6">
        <f>'A. Dades de partida'!$D$11+H60</f>
        <v>6</v>
      </c>
      <c r="I61" s="6">
        <f>'A. Dades de partida'!$D$11+I60</f>
        <v>7</v>
      </c>
      <c r="J61" s="6">
        <f>'A. Dades de partida'!$D$11+J60</f>
        <v>8</v>
      </c>
      <c r="K61" s="6">
        <f>'A. Dades de partida'!$D$11+K60</f>
        <v>9</v>
      </c>
      <c r="L61" s="6">
        <f>'A. Dades de partida'!$D$11+L60</f>
        <v>10</v>
      </c>
      <c r="M61" s="6">
        <f>'A. Dades de partida'!$D$11+M60</f>
        <v>11</v>
      </c>
      <c r="N61" s="6">
        <f>'A. Dades de partida'!$D$11+N60</f>
        <v>12</v>
      </c>
      <c r="O61" s="6">
        <f>'A. Dades de partida'!$D$11+O60</f>
        <v>13</v>
      </c>
      <c r="P61" s="6">
        <f>'A. Dades de partida'!$D$11+P60</f>
        <v>14</v>
      </c>
      <c r="Q61" s="6">
        <f>'A. Dades de partida'!$D$11+Q60</f>
        <v>15</v>
      </c>
    </row>
    <row r="62" spans="2:30">
      <c r="B62" s="6" t="s">
        <v>61</v>
      </c>
      <c r="C62" s="62">
        <v>4</v>
      </c>
      <c r="D62" s="62">
        <v>1</v>
      </c>
      <c r="E62" s="62">
        <v>2</v>
      </c>
      <c r="F62" s="62">
        <v>1</v>
      </c>
      <c r="G62" s="62">
        <v>4</v>
      </c>
      <c r="H62" s="62">
        <v>1</v>
      </c>
      <c r="I62" s="62">
        <v>2</v>
      </c>
      <c r="J62" s="62">
        <v>1</v>
      </c>
      <c r="K62" s="62">
        <v>4</v>
      </c>
      <c r="L62" s="62">
        <v>1</v>
      </c>
      <c r="M62" s="62">
        <v>2</v>
      </c>
      <c r="N62" s="62">
        <v>1</v>
      </c>
      <c r="O62" s="62">
        <v>4</v>
      </c>
      <c r="P62" s="62">
        <v>1</v>
      </c>
      <c r="Q62" s="62">
        <v>2</v>
      </c>
      <c r="R62" s="24">
        <v>0</v>
      </c>
      <c r="S62" s="24">
        <v>4</v>
      </c>
      <c r="T62" s="24">
        <v>0</v>
      </c>
      <c r="U62" s="24">
        <v>2</v>
      </c>
      <c r="V62" s="24">
        <v>0</v>
      </c>
      <c r="W62" s="24">
        <v>4</v>
      </c>
      <c r="X62" s="24">
        <v>0</v>
      </c>
      <c r="Y62" s="24">
        <v>2</v>
      </c>
      <c r="Z62" s="24">
        <v>0</v>
      </c>
      <c r="AA62" s="24">
        <v>4</v>
      </c>
      <c r="AB62" s="24">
        <v>0</v>
      </c>
      <c r="AC62" s="24">
        <v>2</v>
      </c>
      <c r="AD62" s="24">
        <v>0</v>
      </c>
    </row>
    <row r="63" spans="2:30">
      <c r="B63" s="67" t="s">
        <v>1939</v>
      </c>
      <c r="C63" s="13"/>
      <c r="D63" s="13"/>
      <c r="E63" s="13"/>
      <c r="F63" s="13"/>
      <c r="G63" s="13"/>
      <c r="H63" s="13"/>
      <c r="I63" s="13"/>
      <c r="J63" s="13"/>
      <c r="K63" s="13"/>
      <c r="L63" s="13"/>
      <c r="M63" s="13"/>
      <c r="N63" s="13"/>
      <c r="O63" s="13"/>
      <c r="P63" s="13"/>
      <c r="Q63" s="13"/>
    </row>
    <row r="65" spans="2:20">
      <c r="B65" s="4" t="s">
        <v>126</v>
      </c>
    </row>
    <row r="67" spans="2:20">
      <c r="B67" s="6" t="s">
        <v>12</v>
      </c>
      <c r="C67" s="11">
        <f>C$62*$C50</f>
        <v>691.49952111137986</v>
      </c>
      <c r="D67" s="11">
        <f t="shared" ref="D67:Q67" si="1">D$62*$C50</f>
        <v>172.87488027784497</v>
      </c>
      <c r="E67" s="11">
        <f t="shared" si="1"/>
        <v>345.74976055568993</v>
      </c>
      <c r="F67" s="11">
        <f t="shared" si="1"/>
        <v>172.87488027784497</v>
      </c>
      <c r="G67" s="11">
        <f t="shared" si="1"/>
        <v>691.49952111137986</v>
      </c>
      <c r="H67" s="11">
        <f t="shared" si="1"/>
        <v>172.87488027784497</v>
      </c>
      <c r="I67" s="11">
        <f t="shared" si="1"/>
        <v>345.74976055568993</v>
      </c>
      <c r="J67" s="11">
        <f t="shared" si="1"/>
        <v>172.87488027784497</v>
      </c>
      <c r="K67" s="11">
        <f t="shared" si="1"/>
        <v>691.49952111137986</v>
      </c>
      <c r="L67" s="11">
        <f t="shared" si="1"/>
        <v>172.87488027784497</v>
      </c>
      <c r="M67" s="11">
        <f t="shared" si="1"/>
        <v>345.74976055568993</v>
      </c>
      <c r="N67" s="11">
        <f t="shared" si="1"/>
        <v>172.87488027784497</v>
      </c>
      <c r="O67" s="11">
        <f t="shared" si="1"/>
        <v>691.49952111137986</v>
      </c>
      <c r="P67" s="11">
        <f t="shared" si="1"/>
        <v>172.87488027784497</v>
      </c>
      <c r="Q67" s="11">
        <f t="shared" si="1"/>
        <v>345.74976055568993</v>
      </c>
    </row>
    <row r="68" spans="2:20">
      <c r="B68" s="6" t="s">
        <v>18</v>
      </c>
      <c r="C68" s="11">
        <f>C$62*$C51</f>
        <v>54.231305493475155</v>
      </c>
      <c r="D68" s="11">
        <f t="shared" ref="D68:Q68" si="2">D$62*$C51</f>
        <v>13.557826373368789</v>
      </c>
      <c r="E68" s="11">
        <f t="shared" si="2"/>
        <v>27.115652746737577</v>
      </c>
      <c r="F68" s="11">
        <f t="shared" si="2"/>
        <v>13.557826373368789</v>
      </c>
      <c r="G68" s="11">
        <f t="shared" si="2"/>
        <v>54.231305493475155</v>
      </c>
      <c r="H68" s="11">
        <f t="shared" si="2"/>
        <v>13.557826373368789</v>
      </c>
      <c r="I68" s="11">
        <f t="shared" si="2"/>
        <v>27.115652746737577</v>
      </c>
      <c r="J68" s="11">
        <f t="shared" si="2"/>
        <v>13.557826373368789</v>
      </c>
      <c r="K68" s="11">
        <f t="shared" si="2"/>
        <v>54.231305493475155</v>
      </c>
      <c r="L68" s="11">
        <f t="shared" si="2"/>
        <v>13.557826373368789</v>
      </c>
      <c r="M68" s="11">
        <f t="shared" si="2"/>
        <v>27.115652746737577</v>
      </c>
      <c r="N68" s="11">
        <f t="shared" si="2"/>
        <v>13.557826373368789</v>
      </c>
      <c r="O68" s="11">
        <f t="shared" si="2"/>
        <v>54.231305493475155</v>
      </c>
      <c r="P68" s="11">
        <f t="shared" si="2"/>
        <v>13.557826373368789</v>
      </c>
      <c r="Q68" s="11">
        <f t="shared" si="2"/>
        <v>27.115652746737577</v>
      </c>
    </row>
    <row r="69" spans="2:20">
      <c r="B69" s="6" t="s">
        <v>13</v>
      </c>
      <c r="C69" s="11">
        <f>C$62*$C52</f>
        <v>69299.999999999985</v>
      </c>
      <c r="D69" s="11">
        <f t="shared" ref="D69:Q69" si="3">D$62*$C52</f>
        <v>17324.999999999996</v>
      </c>
      <c r="E69" s="11">
        <f t="shared" si="3"/>
        <v>34649.999999999993</v>
      </c>
      <c r="F69" s="11">
        <f t="shared" si="3"/>
        <v>17324.999999999996</v>
      </c>
      <c r="G69" s="11">
        <f t="shared" si="3"/>
        <v>69299.999999999985</v>
      </c>
      <c r="H69" s="11">
        <f t="shared" si="3"/>
        <v>17324.999999999996</v>
      </c>
      <c r="I69" s="11">
        <f t="shared" si="3"/>
        <v>34649.999999999993</v>
      </c>
      <c r="J69" s="11">
        <f t="shared" si="3"/>
        <v>17324.999999999996</v>
      </c>
      <c r="K69" s="11">
        <f t="shared" si="3"/>
        <v>69299.999999999985</v>
      </c>
      <c r="L69" s="11">
        <f t="shared" si="3"/>
        <v>17324.999999999996</v>
      </c>
      <c r="M69" s="11">
        <f t="shared" si="3"/>
        <v>34649.999999999993</v>
      </c>
      <c r="N69" s="11">
        <f t="shared" si="3"/>
        <v>17324.999999999996</v>
      </c>
      <c r="O69" s="11">
        <f t="shared" si="3"/>
        <v>69299.999999999985</v>
      </c>
      <c r="P69" s="11">
        <f t="shared" si="3"/>
        <v>17324.999999999996</v>
      </c>
      <c r="Q69" s="11">
        <f t="shared" si="3"/>
        <v>34649.999999999993</v>
      </c>
    </row>
    <row r="70" spans="2:20">
      <c r="L70" s="20"/>
    </row>
    <row r="71" spans="2:20">
      <c r="B71" s="4" t="s">
        <v>128</v>
      </c>
      <c r="L71" s="20"/>
    </row>
    <row r="72" spans="2:20">
      <c r="B72" s="3" t="s">
        <v>129</v>
      </c>
      <c r="L72" s="20"/>
    </row>
    <row r="73" spans="2:20">
      <c r="L73" s="20"/>
    </row>
    <row r="74" spans="2:20">
      <c r="B74" s="3" t="s">
        <v>22</v>
      </c>
      <c r="E74" s="66">
        <v>0.25</v>
      </c>
      <c r="L74" s="20"/>
    </row>
    <row r="75" spans="2:20">
      <c r="B75" s="67" t="s">
        <v>127</v>
      </c>
      <c r="L75" s="20"/>
      <c r="S75" s="22"/>
      <c r="T75" s="15"/>
    </row>
    <row r="76" spans="2:20">
      <c r="L76" s="20"/>
      <c r="S76" s="22"/>
      <c r="T76" s="15"/>
    </row>
    <row r="77" spans="2:20">
      <c r="C77" s="59" t="s">
        <v>130</v>
      </c>
      <c r="D77" s="69" t="s">
        <v>131</v>
      </c>
      <c r="L77" s="20"/>
      <c r="S77" s="22"/>
      <c r="T77" s="15"/>
    </row>
    <row r="78" spans="2:20">
      <c r="B78" s="6" t="s">
        <v>12</v>
      </c>
      <c r="C78" s="11">
        <f>SUM(C67:Q67)</f>
        <v>5359.1212886131943</v>
      </c>
      <c r="D78" s="11">
        <f>C78</f>
        <v>5359.1212886131943</v>
      </c>
      <c r="L78" s="20"/>
      <c r="S78" s="22"/>
      <c r="T78" s="15"/>
    </row>
    <row r="79" spans="2:20">
      <c r="B79" s="6" t="s">
        <v>18</v>
      </c>
      <c r="C79" s="11">
        <f>SUM(C68:Q68)</f>
        <v>420.29261757443243</v>
      </c>
      <c r="D79" s="11">
        <f>C79</f>
        <v>420.29261757443243</v>
      </c>
      <c r="L79" s="20"/>
      <c r="S79" s="22"/>
      <c r="T79" s="15"/>
    </row>
    <row r="80" spans="2:20">
      <c r="B80" s="23" t="s">
        <v>13</v>
      </c>
      <c r="C80" s="11">
        <f>SUM(C69:Q69)</f>
        <v>537074.99999999988</v>
      </c>
      <c r="D80" s="11">
        <f>C80*(1-E74)</f>
        <v>402806.24999999988</v>
      </c>
      <c r="L80" s="20"/>
      <c r="S80" s="22"/>
      <c r="T80" s="15"/>
    </row>
    <row r="81" spans="1:20">
      <c r="B81" s="48" t="s">
        <v>38</v>
      </c>
      <c r="C81" s="68">
        <f>C78+C79+C80</f>
        <v>542854.41390618752</v>
      </c>
      <c r="D81" s="68">
        <f>D78+D79+D80</f>
        <v>408585.66390618752</v>
      </c>
      <c r="L81" s="20"/>
      <c r="S81" s="22"/>
      <c r="T81" s="15"/>
    </row>
    <row r="82" spans="1:20">
      <c r="B82" s="22"/>
      <c r="C82" s="15"/>
      <c r="L82" s="20"/>
      <c r="S82" s="22"/>
      <c r="T82" s="15"/>
    </row>
    <row r="83" spans="1:20">
      <c r="A83" s="3" t="s">
        <v>48</v>
      </c>
      <c r="B83" s="70" t="s">
        <v>1945</v>
      </c>
      <c r="C83" s="439">
        <f>D81/1000000</f>
        <v>0.4085856639061875</v>
      </c>
      <c r="D83" s="3">
        <f>VLOOKUP($C$8,'1b.Cops de calor'!$B$4:$Z$314,'1b.Cops de calor'!P1,FALSE)/1000000</f>
        <v>5.8499999999999999E-6</v>
      </c>
      <c r="L83" s="20"/>
    </row>
    <row r="84" spans="1:20">
      <c r="B84" s="22"/>
      <c r="C84" s="15"/>
      <c r="L84" s="20"/>
    </row>
    <row r="85" spans="1:20">
      <c r="B85" s="22"/>
      <c r="C85" s="15"/>
      <c r="L85" s="20"/>
    </row>
    <row r="86" spans="1:20">
      <c r="A86" s="3" t="s">
        <v>44</v>
      </c>
      <c r="B86" s="71" t="s">
        <v>132</v>
      </c>
      <c r="C86" s="8"/>
      <c r="D86" s="8"/>
      <c r="L86" s="20"/>
    </row>
    <row r="87" spans="1:20">
      <c r="B87" s="111" t="s">
        <v>2007</v>
      </c>
      <c r="C87" s="8"/>
      <c r="D87" s="8"/>
      <c r="L87" s="20"/>
    </row>
    <row r="88" spans="1:20">
      <c r="B88" s="12"/>
      <c r="C88" s="8"/>
      <c r="D88" s="8"/>
      <c r="L88" s="20"/>
    </row>
    <row r="89" spans="1:20">
      <c r="B89" s="108" t="s">
        <v>194</v>
      </c>
      <c r="C89" s="8"/>
      <c r="D89" s="8"/>
      <c r="L89" s="20"/>
    </row>
    <row r="90" spans="1:20">
      <c r="B90" s="3" t="s">
        <v>193</v>
      </c>
      <c r="C90" s="8"/>
      <c r="D90" s="8"/>
      <c r="L90" s="20"/>
    </row>
    <row r="91" spans="1:20">
      <c r="B91" s="17"/>
      <c r="C91" s="8"/>
      <c r="D91" s="8"/>
      <c r="L91" s="20"/>
    </row>
    <row r="92" spans="1:20">
      <c r="B92" s="6" t="s">
        <v>134</v>
      </c>
      <c r="C92" s="62">
        <f>VLOOKUP(C18,F15:G17,2,FALSE)*(6+19)/2</f>
        <v>18.75</v>
      </c>
      <c r="D92" s="6" t="s">
        <v>133</v>
      </c>
      <c r="L92" s="20"/>
    </row>
    <row r="93" spans="1:20">
      <c r="L93" s="20"/>
    </row>
    <row r="94" spans="1:20">
      <c r="A94" s="8"/>
      <c r="B94" s="71" t="s">
        <v>136</v>
      </c>
      <c r="C94" s="77"/>
      <c r="D94" s="77"/>
      <c r="E94" s="1149" t="s">
        <v>115</v>
      </c>
      <c r="F94" s="1150"/>
      <c r="G94" s="1151"/>
      <c r="L94" s="20"/>
    </row>
    <row r="95" spans="1:20">
      <c r="B95" s="77"/>
      <c r="C95" s="77"/>
      <c r="D95" s="77"/>
      <c r="E95" s="44" t="s">
        <v>39</v>
      </c>
      <c r="F95" s="44" t="s">
        <v>40</v>
      </c>
      <c r="G95" s="46" t="s">
        <v>119</v>
      </c>
      <c r="L95" s="20"/>
    </row>
    <row r="96" spans="1:20">
      <c r="B96" s="7" t="s">
        <v>137</v>
      </c>
      <c r="C96" s="7">
        <v>1</v>
      </c>
      <c r="D96" s="7">
        <f>2040-2015</f>
        <v>25</v>
      </c>
      <c r="E96" s="6"/>
      <c r="F96" s="6"/>
      <c r="G96" s="7">
        <f>'A. Dades de partida'!D10</f>
        <v>15</v>
      </c>
      <c r="L96" s="20"/>
    </row>
    <row r="97" spans="1:27">
      <c r="B97" s="7" t="s">
        <v>59</v>
      </c>
      <c r="C97" s="7">
        <f>'A. Dades de partida'!D11</f>
        <v>0</v>
      </c>
      <c r="D97" s="78">
        <v>2040</v>
      </c>
      <c r="E97" s="6">
        <f>(D98-C98)/(D97-C97)</f>
        <v>9.1911764705882356E-3</v>
      </c>
      <c r="F97" s="6"/>
      <c r="G97" s="7">
        <f>'A. Dades de partida'!D12</f>
        <v>15</v>
      </c>
      <c r="L97" s="20"/>
    </row>
    <row r="98" spans="1:27">
      <c r="B98" s="7" t="s">
        <v>20</v>
      </c>
      <c r="C98" s="7">
        <f>C39</f>
        <v>0</v>
      </c>
      <c r="D98" s="7">
        <f>C98+C92</f>
        <v>18.75</v>
      </c>
      <c r="E98" s="6"/>
      <c r="F98" s="6"/>
      <c r="G98" s="7">
        <f>C98+(D98-C98)*15/25</f>
        <v>11.25</v>
      </c>
      <c r="L98" s="20"/>
    </row>
    <row r="99" spans="1:27">
      <c r="L99" s="20"/>
    </row>
    <row r="100" spans="1:27">
      <c r="L100" s="20"/>
    </row>
    <row r="101" spans="1:27">
      <c r="A101" s="3" t="s">
        <v>49</v>
      </c>
      <c r="B101" s="4" t="s">
        <v>138</v>
      </c>
      <c r="L101" s="20"/>
    </row>
    <row r="102" spans="1:27">
      <c r="L102" s="20"/>
    </row>
    <row r="103" spans="1:27">
      <c r="B103" s="4" t="s">
        <v>139</v>
      </c>
      <c r="L103" s="20"/>
    </row>
    <row r="104" spans="1:27">
      <c r="B104" s="5" t="s">
        <v>155</v>
      </c>
      <c r="L104" s="20"/>
    </row>
    <row r="105" spans="1:27">
      <c r="B105" s="4"/>
      <c r="L105" s="20"/>
    </row>
    <row r="106" spans="1:27">
      <c r="C106" s="6">
        <f>C60</f>
        <v>1</v>
      </c>
      <c r="D106" s="6">
        <f t="shared" ref="D106:Q106" si="4">D60</f>
        <v>2</v>
      </c>
      <c r="E106" s="6">
        <f t="shared" si="4"/>
        <v>3</v>
      </c>
      <c r="F106" s="6">
        <f t="shared" si="4"/>
        <v>4</v>
      </c>
      <c r="G106" s="6">
        <f t="shared" si="4"/>
        <v>5</v>
      </c>
      <c r="H106" s="6">
        <f t="shared" si="4"/>
        <v>6</v>
      </c>
      <c r="I106" s="6">
        <f t="shared" si="4"/>
        <v>7</v>
      </c>
      <c r="J106" s="6">
        <f t="shared" si="4"/>
        <v>8</v>
      </c>
      <c r="K106" s="6">
        <f t="shared" si="4"/>
        <v>9</v>
      </c>
      <c r="L106" s="6">
        <f t="shared" si="4"/>
        <v>10</v>
      </c>
      <c r="M106" s="6">
        <f t="shared" si="4"/>
        <v>11</v>
      </c>
      <c r="N106" s="6">
        <f t="shared" si="4"/>
        <v>12</v>
      </c>
      <c r="O106" s="6">
        <f t="shared" si="4"/>
        <v>13</v>
      </c>
      <c r="P106" s="6">
        <f t="shared" si="4"/>
        <v>14</v>
      </c>
      <c r="Q106" s="6">
        <f t="shared" si="4"/>
        <v>15</v>
      </c>
      <c r="R106" s="6">
        <v>16</v>
      </c>
      <c r="S106" s="6">
        <v>17</v>
      </c>
      <c r="T106" s="6">
        <v>18</v>
      </c>
      <c r="U106" s="6">
        <v>19</v>
      </c>
      <c r="V106" s="6">
        <v>20</v>
      </c>
      <c r="W106" s="6">
        <v>21</v>
      </c>
      <c r="X106" s="6">
        <v>22</v>
      </c>
      <c r="Y106" s="6">
        <v>23</v>
      </c>
      <c r="Z106" s="6">
        <v>24</v>
      </c>
      <c r="AA106" s="6">
        <v>25</v>
      </c>
    </row>
    <row r="107" spans="1:27">
      <c r="B107" s="6" t="s">
        <v>59</v>
      </c>
      <c r="C107" s="6">
        <f>C61</f>
        <v>1</v>
      </c>
      <c r="D107" s="6">
        <f t="shared" ref="D107:Q107" si="5">D61</f>
        <v>2</v>
      </c>
      <c r="E107" s="6">
        <f t="shared" si="5"/>
        <v>3</v>
      </c>
      <c r="F107" s="6">
        <f t="shared" si="5"/>
        <v>4</v>
      </c>
      <c r="G107" s="6">
        <f t="shared" si="5"/>
        <v>5</v>
      </c>
      <c r="H107" s="6">
        <f t="shared" si="5"/>
        <v>6</v>
      </c>
      <c r="I107" s="6">
        <f t="shared" si="5"/>
        <v>7</v>
      </c>
      <c r="J107" s="6">
        <f t="shared" si="5"/>
        <v>8</v>
      </c>
      <c r="K107" s="6">
        <f t="shared" si="5"/>
        <v>9</v>
      </c>
      <c r="L107" s="6">
        <f t="shared" si="5"/>
        <v>10</v>
      </c>
      <c r="M107" s="6">
        <f t="shared" si="5"/>
        <v>11</v>
      </c>
      <c r="N107" s="6">
        <f t="shared" si="5"/>
        <v>12</v>
      </c>
      <c r="O107" s="6">
        <f t="shared" si="5"/>
        <v>13</v>
      </c>
      <c r="P107" s="6">
        <f t="shared" si="5"/>
        <v>14</v>
      </c>
      <c r="Q107" s="6">
        <f t="shared" si="5"/>
        <v>15</v>
      </c>
      <c r="R107" s="6">
        <v>2031</v>
      </c>
      <c r="S107" s="6">
        <v>2032</v>
      </c>
      <c r="T107" s="6">
        <v>2033</v>
      </c>
      <c r="U107" s="6">
        <v>2034</v>
      </c>
      <c r="V107" s="6">
        <v>2035</v>
      </c>
      <c r="W107" s="6">
        <v>2036</v>
      </c>
      <c r="X107" s="6">
        <v>2037</v>
      </c>
      <c r="Y107" s="6">
        <v>2038</v>
      </c>
      <c r="Z107" s="6">
        <v>2039</v>
      </c>
      <c r="AA107" s="6">
        <v>2040</v>
      </c>
    </row>
    <row r="108" spans="1:27">
      <c r="B108" s="6" t="s">
        <v>60</v>
      </c>
      <c r="C108" s="24">
        <v>0</v>
      </c>
      <c r="D108" s="24">
        <v>0</v>
      </c>
      <c r="E108" s="24">
        <v>0</v>
      </c>
      <c r="F108" s="24">
        <v>0</v>
      </c>
      <c r="G108" s="24">
        <f>C108+$E$97</f>
        <v>9.1911764705882356E-3</v>
      </c>
      <c r="H108" s="24">
        <f t="shared" ref="H108:Q108" si="6">D108+$E$97</f>
        <v>9.1911764705882356E-3</v>
      </c>
      <c r="I108" s="24">
        <f t="shared" si="6"/>
        <v>9.1911764705882356E-3</v>
      </c>
      <c r="J108" s="24">
        <f t="shared" si="6"/>
        <v>9.1911764705882356E-3</v>
      </c>
      <c r="K108" s="24">
        <f t="shared" si="6"/>
        <v>1.8382352941176471E-2</v>
      </c>
      <c r="L108" s="24">
        <f t="shared" si="6"/>
        <v>1.8382352941176471E-2</v>
      </c>
      <c r="M108" s="24">
        <f t="shared" si="6"/>
        <v>1.8382352941176471E-2</v>
      </c>
      <c r="N108" s="24">
        <f t="shared" si="6"/>
        <v>1.8382352941176471E-2</v>
      </c>
      <c r="O108" s="24">
        <f t="shared" si="6"/>
        <v>2.7573529411764705E-2</v>
      </c>
      <c r="P108" s="24">
        <f t="shared" si="6"/>
        <v>2.7573529411764705E-2</v>
      </c>
      <c r="Q108" s="24">
        <f t="shared" si="6"/>
        <v>2.7573529411764705E-2</v>
      </c>
      <c r="R108" s="24">
        <v>1.5</v>
      </c>
      <c r="S108" s="24">
        <v>2</v>
      </c>
      <c r="T108" s="24">
        <v>2</v>
      </c>
      <c r="U108" s="24">
        <v>2</v>
      </c>
      <c r="V108" s="24">
        <v>2</v>
      </c>
      <c r="W108" s="6">
        <v>2.5</v>
      </c>
      <c r="X108" s="6">
        <v>2.5</v>
      </c>
      <c r="Y108" s="6">
        <v>2.5</v>
      </c>
      <c r="Z108" s="6">
        <v>2.5</v>
      </c>
      <c r="AA108" s="6">
        <v>3</v>
      </c>
    </row>
    <row r="109" spans="1:27">
      <c r="B109" s="6" t="s">
        <v>58</v>
      </c>
      <c r="C109" s="6">
        <f t="shared" ref="C109:AA109" si="7">C62*(1+C108)</f>
        <v>4</v>
      </c>
      <c r="D109" s="6">
        <f t="shared" si="7"/>
        <v>1</v>
      </c>
      <c r="E109" s="6">
        <f t="shared" si="7"/>
        <v>2</v>
      </c>
      <c r="F109" s="6">
        <f t="shared" si="7"/>
        <v>1</v>
      </c>
      <c r="G109" s="6">
        <f t="shared" si="7"/>
        <v>4.0367647058823533</v>
      </c>
      <c r="H109" s="6">
        <f t="shared" si="7"/>
        <v>1.0091911764705883</v>
      </c>
      <c r="I109" s="6">
        <f t="shared" si="7"/>
        <v>2.0183823529411766</v>
      </c>
      <c r="J109" s="6">
        <f t="shared" si="7"/>
        <v>1.0091911764705883</v>
      </c>
      <c r="K109" s="6">
        <f t="shared" si="7"/>
        <v>4.0735294117647056</v>
      </c>
      <c r="L109" s="6">
        <f t="shared" si="7"/>
        <v>1.0183823529411764</v>
      </c>
      <c r="M109" s="6">
        <f t="shared" si="7"/>
        <v>2.0367647058823528</v>
      </c>
      <c r="N109" s="6">
        <f t="shared" si="7"/>
        <v>1.0183823529411764</v>
      </c>
      <c r="O109" s="6">
        <f t="shared" si="7"/>
        <v>4.1102941176470589</v>
      </c>
      <c r="P109" s="6">
        <f t="shared" si="7"/>
        <v>1.0275735294117647</v>
      </c>
      <c r="Q109" s="6">
        <f t="shared" si="7"/>
        <v>2.0551470588235294</v>
      </c>
      <c r="R109" s="6">
        <f t="shared" si="7"/>
        <v>0</v>
      </c>
      <c r="S109" s="6">
        <f t="shared" si="7"/>
        <v>12</v>
      </c>
      <c r="T109" s="6">
        <f t="shared" si="7"/>
        <v>0</v>
      </c>
      <c r="U109" s="6">
        <f t="shared" si="7"/>
        <v>6</v>
      </c>
      <c r="V109" s="6">
        <f t="shared" si="7"/>
        <v>0</v>
      </c>
      <c r="W109" s="6">
        <f t="shared" si="7"/>
        <v>14</v>
      </c>
      <c r="X109" s="6">
        <f t="shared" si="7"/>
        <v>0</v>
      </c>
      <c r="Y109" s="6">
        <f t="shared" si="7"/>
        <v>7</v>
      </c>
      <c r="Z109" s="6">
        <f t="shared" si="7"/>
        <v>0</v>
      </c>
      <c r="AA109" s="6">
        <f t="shared" si="7"/>
        <v>16</v>
      </c>
    </row>
    <row r="110" spans="1:27">
      <c r="B110" s="67" t="s">
        <v>127</v>
      </c>
      <c r="C110" s="13"/>
      <c r="D110" s="13"/>
      <c r="E110" s="13"/>
      <c r="F110" s="13"/>
      <c r="G110" s="13"/>
      <c r="H110" s="13"/>
      <c r="I110" s="13"/>
      <c r="J110" s="13"/>
      <c r="K110" s="13"/>
      <c r="L110" s="13"/>
      <c r="M110" s="13"/>
      <c r="N110" s="13"/>
      <c r="O110" s="13"/>
      <c r="P110" s="13"/>
      <c r="Q110" s="13"/>
    </row>
    <row r="111" spans="1:27">
      <c r="B111" s="13"/>
      <c r="C111" s="13"/>
      <c r="D111" s="13"/>
      <c r="E111" s="13"/>
      <c r="F111" s="13"/>
      <c r="G111" s="13"/>
      <c r="H111" s="13"/>
      <c r="I111" s="13"/>
      <c r="J111" s="13"/>
      <c r="K111" s="13"/>
      <c r="L111" s="13"/>
      <c r="M111" s="13"/>
      <c r="N111" s="13"/>
      <c r="O111" s="13"/>
      <c r="P111" s="13"/>
      <c r="Q111" s="13"/>
    </row>
    <row r="112" spans="1:27">
      <c r="B112" s="4" t="s">
        <v>140</v>
      </c>
    </row>
    <row r="113" spans="1:17">
      <c r="B113" s="4"/>
    </row>
    <row r="114" spans="1:17">
      <c r="B114" s="6" t="s">
        <v>12</v>
      </c>
      <c r="C114" s="11">
        <f>$D25*(1+$C40)*C$109*$C50</f>
        <v>293.57511430715971</v>
      </c>
      <c r="D114" s="11">
        <f t="shared" ref="D114:Q114" si="8">D$109*$C50</f>
        <v>172.87488027784497</v>
      </c>
      <c r="E114" s="11">
        <f t="shared" si="8"/>
        <v>345.74976055568993</v>
      </c>
      <c r="F114" s="11">
        <f t="shared" si="8"/>
        <v>172.87488027784497</v>
      </c>
      <c r="G114" s="11">
        <f t="shared" si="8"/>
        <v>697.85521523924183</v>
      </c>
      <c r="H114" s="11">
        <f t="shared" si="8"/>
        <v>174.46380380981046</v>
      </c>
      <c r="I114" s="11">
        <f t="shared" si="8"/>
        <v>348.92760761962091</v>
      </c>
      <c r="J114" s="11">
        <f t="shared" si="8"/>
        <v>174.46380380981046</v>
      </c>
      <c r="K114" s="11">
        <f t="shared" si="8"/>
        <v>704.21090936710368</v>
      </c>
      <c r="L114" s="11">
        <f t="shared" si="8"/>
        <v>176.05272734177592</v>
      </c>
      <c r="M114" s="11">
        <f t="shared" si="8"/>
        <v>352.10545468355184</v>
      </c>
      <c r="N114" s="11">
        <f t="shared" si="8"/>
        <v>176.05272734177592</v>
      </c>
      <c r="O114" s="11">
        <f t="shared" si="8"/>
        <v>710.56660349496576</v>
      </c>
      <c r="P114" s="11">
        <f t="shared" si="8"/>
        <v>177.64165087374144</v>
      </c>
      <c r="Q114" s="11">
        <f t="shared" si="8"/>
        <v>355.28330174748288</v>
      </c>
    </row>
    <row r="115" spans="1:17">
      <c r="B115" s="6" t="s">
        <v>18</v>
      </c>
      <c r="C115" s="11">
        <f>$D26*(1+$C41)*C$109*$C51</f>
        <v>5.2693534711518755</v>
      </c>
      <c r="D115" s="11">
        <f t="shared" ref="D115:Q115" si="9">D$109*$C51</f>
        <v>13.557826373368789</v>
      </c>
      <c r="E115" s="11">
        <f t="shared" si="9"/>
        <v>27.115652746737577</v>
      </c>
      <c r="F115" s="11">
        <f t="shared" si="9"/>
        <v>13.557826373368789</v>
      </c>
      <c r="G115" s="11">
        <f t="shared" si="9"/>
        <v>54.729754992496069</v>
      </c>
      <c r="H115" s="11">
        <f t="shared" si="9"/>
        <v>13.682438748124017</v>
      </c>
      <c r="I115" s="11">
        <f t="shared" si="9"/>
        <v>27.364877496248035</v>
      </c>
      <c r="J115" s="11">
        <f t="shared" si="9"/>
        <v>13.682438748124017</v>
      </c>
      <c r="K115" s="11">
        <f t="shared" si="9"/>
        <v>55.228204491516976</v>
      </c>
      <c r="L115" s="11">
        <f t="shared" si="9"/>
        <v>13.807051122879244</v>
      </c>
      <c r="M115" s="11">
        <f t="shared" si="9"/>
        <v>27.614102245758488</v>
      </c>
      <c r="N115" s="11">
        <f t="shared" si="9"/>
        <v>13.807051122879244</v>
      </c>
      <c r="O115" s="11">
        <f t="shared" si="9"/>
        <v>55.726653990537891</v>
      </c>
      <c r="P115" s="11">
        <f t="shared" si="9"/>
        <v>13.931663497634473</v>
      </c>
      <c r="Q115" s="11">
        <f t="shared" si="9"/>
        <v>27.863326995268945</v>
      </c>
    </row>
    <row r="116" spans="1:17">
      <c r="B116" s="6" t="s">
        <v>13</v>
      </c>
      <c r="C116" s="11">
        <f>$D27*(1+$C42)*C$109*$C52</f>
        <v>660.65999999999974</v>
      </c>
      <c r="D116" s="11">
        <f t="shared" ref="D116:Q116" si="10">D$109*$C52</f>
        <v>17324.999999999996</v>
      </c>
      <c r="E116" s="11">
        <f t="shared" si="10"/>
        <v>34649.999999999993</v>
      </c>
      <c r="F116" s="11">
        <f t="shared" si="10"/>
        <v>17324.999999999996</v>
      </c>
      <c r="G116" s="11">
        <f t="shared" si="10"/>
        <v>69936.948529411762</v>
      </c>
      <c r="H116" s="11">
        <f t="shared" si="10"/>
        <v>17484.237132352941</v>
      </c>
      <c r="I116" s="11">
        <f t="shared" si="10"/>
        <v>34968.474264705881</v>
      </c>
      <c r="J116" s="11">
        <f t="shared" si="10"/>
        <v>17484.237132352941</v>
      </c>
      <c r="K116" s="11">
        <f t="shared" si="10"/>
        <v>70573.89705882351</v>
      </c>
      <c r="L116" s="11">
        <f t="shared" si="10"/>
        <v>17643.474264705877</v>
      </c>
      <c r="M116" s="11">
        <f t="shared" si="10"/>
        <v>35286.948529411755</v>
      </c>
      <c r="N116" s="11">
        <f t="shared" si="10"/>
        <v>17643.474264705877</v>
      </c>
      <c r="O116" s="11">
        <f t="shared" si="10"/>
        <v>71210.845588235286</v>
      </c>
      <c r="P116" s="11">
        <f t="shared" si="10"/>
        <v>17802.711397058822</v>
      </c>
      <c r="Q116" s="11">
        <f t="shared" si="10"/>
        <v>35605.422794117643</v>
      </c>
    </row>
    <row r="117" spans="1:17">
      <c r="L117" s="20"/>
    </row>
    <row r="118" spans="1:17">
      <c r="F118" s="8"/>
    </row>
    <row r="119" spans="1:17">
      <c r="B119" s="4" t="s">
        <v>63</v>
      </c>
    </row>
    <row r="121" spans="1:17">
      <c r="C121" s="59" t="s">
        <v>130</v>
      </c>
      <c r="D121" s="69" t="s">
        <v>131</v>
      </c>
    </row>
    <row r="122" spans="1:17">
      <c r="B122" s="6" t="s">
        <v>12</v>
      </c>
      <c r="C122" s="11">
        <f>SUM(C114:Q114)</f>
        <v>5032.698440747421</v>
      </c>
      <c r="D122" s="11">
        <f>C122</f>
        <v>5032.698440747421</v>
      </c>
    </row>
    <row r="123" spans="1:17">
      <c r="B123" s="6" t="s">
        <v>18</v>
      </c>
      <c r="C123" s="11">
        <f>SUM(C115:Q115)</f>
        <v>376.93822241609445</v>
      </c>
      <c r="D123" s="11">
        <f>C123</f>
        <v>376.93822241609445</v>
      </c>
    </row>
    <row r="124" spans="1:17">
      <c r="B124" s="23" t="s">
        <v>13</v>
      </c>
      <c r="C124" s="11">
        <f>SUM(C116:Q116)</f>
        <v>475601.33095588232</v>
      </c>
      <c r="D124" s="11">
        <f>C124*(1-E74)</f>
        <v>356700.99821691174</v>
      </c>
    </row>
    <row r="125" spans="1:17">
      <c r="B125" s="24" t="s">
        <v>38</v>
      </c>
      <c r="C125" s="68">
        <f>C122+C123+C124</f>
        <v>481010.96761904581</v>
      </c>
      <c r="D125" s="68">
        <f>D122+D123+D124</f>
        <v>362110.63488007523</v>
      </c>
    </row>
    <row r="126" spans="1:17">
      <c r="B126" s="22"/>
      <c r="C126" s="15"/>
      <c r="D126" s="15"/>
      <c r="E126" s="15"/>
    </row>
    <row r="127" spans="1:17">
      <c r="A127" s="3" t="s">
        <v>50</v>
      </c>
      <c r="B127" s="70" t="s">
        <v>2008</v>
      </c>
      <c r="C127" s="439">
        <f>D125/1000000</f>
        <v>0.36211063488007522</v>
      </c>
      <c r="D127" s="3" t="e">
        <f>VLOOKUP($C$8,'1b.Cops de calor'!$B$4:$Z$314,'1b.Cops de calor'!Z1,FALSE)/1000000</f>
        <v>#REF!</v>
      </c>
    </row>
    <row r="129" spans="1:17">
      <c r="C129" s="8"/>
      <c r="D129" s="8"/>
      <c r="E129" s="8"/>
    </row>
    <row r="130" spans="1:17">
      <c r="A130" s="3" t="s">
        <v>70</v>
      </c>
      <c r="B130" s="34" t="s">
        <v>2009</v>
      </c>
      <c r="C130" s="470">
        <f>C127-C83</f>
        <v>-4.647502902611228E-2</v>
      </c>
      <c r="D130" s="8" t="e">
        <f>D127-D83</f>
        <v>#REF!</v>
      </c>
    </row>
    <row r="131" spans="1:17">
      <c r="B131" s="8"/>
      <c r="C131" s="8"/>
      <c r="D131" s="8"/>
      <c r="E131" s="8"/>
    </row>
    <row r="132" spans="1:17">
      <c r="B132" s="8"/>
      <c r="C132" s="8"/>
      <c r="D132" s="8"/>
      <c r="E132" s="8"/>
    </row>
    <row r="133" spans="1:17">
      <c r="B133" s="8"/>
      <c r="C133" s="8"/>
      <c r="D133" s="8"/>
      <c r="E133" s="8"/>
    </row>
    <row r="134" spans="1:17">
      <c r="A134" s="3" t="s">
        <v>2624</v>
      </c>
      <c r="B134" s="8"/>
      <c r="C134" s="828">
        <f>'A. Dades de partida'!D91</f>
        <v>996553</v>
      </c>
      <c r="D134" s="8"/>
      <c r="E134" s="8" t="s">
        <v>2626</v>
      </c>
      <c r="F134" s="3">
        <f>0.21</f>
        <v>0.21</v>
      </c>
      <c r="G134" s="3" t="s">
        <v>209</v>
      </c>
      <c r="H134" s="3" t="s">
        <v>2627</v>
      </c>
      <c r="I134" s="3">
        <f>C134/365</f>
        <v>2730.2821917808219</v>
      </c>
    </row>
    <row r="135" spans="1:17">
      <c r="B135" s="8"/>
      <c r="C135" s="8"/>
      <c r="D135" s="8"/>
      <c r="E135" s="8"/>
    </row>
    <row r="136" spans="1:17">
      <c r="B136" s="3" t="s">
        <v>59</v>
      </c>
      <c r="C136" s="3">
        <v>1</v>
      </c>
      <c r="D136" s="3">
        <v>2</v>
      </c>
      <c r="E136" s="3">
        <v>3</v>
      </c>
      <c r="F136" s="3">
        <v>4</v>
      </c>
      <c r="G136" s="3">
        <v>5</v>
      </c>
      <c r="H136" s="3">
        <v>6</v>
      </c>
      <c r="I136" s="3">
        <v>7</v>
      </c>
      <c r="J136" s="3">
        <v>8</v>
      </c>
      <c r="K136" s="3">
        <v>9</v>
      </c>
      <c r="L136" s="3">
        <v>10</v>
      </c>
      <c r="M136" s="3">
        <v>11</v>
      </c>
      <c r="N136" s="3">
        <v>12</v>
      </c>
      <c r="O136" s="3">
        <v>13</v>
      </c>
      <c r="P136" s="3">
        <v>14</v>
      </c>
      <c r="Q136" s="3">
        <v>15</v>
      </c>
    </row>
    <row r="137" spans="1:17">
      <c r="B137" s="3" t="s">
        <v>2625</v>
      </c>
      <c r="C137" s="3">
        <f>ROUND(C109,0)</f>
        <v>4</v>
      </c>
      <c r="D137" s="3">
        <f t="shared" ref="D137:Q137" si="11">ROUND(D109,0)</f>
        <v>1</v>
      </c>
      <c r="E137" s="3">
        <f t="shared" si="11"/>
        <v>2</v>
      </c>
      <c r="F137" s="3">
        <f t="shared" si="11"/>
        <v>1</v>
      </c>
      <c r="G137" s="3">
        <f t="shared" si="11"/>
        <v>4</v>
      </c>
      <c r="H137" s="3">
        <f t="shared" si="11"/>
        <v>1</v>
      </c>
      <c r="I137" s="3">
        <f t="shared" si="11"/>
        <v>2</v>
      </c>
      <c r="J137" s="3">
        <f t="shared" si="11"/>
        <v>1</v>
      </c>
      <c r="K137" s="3">
        <f t="shared" si="11"/>
        <v>4</v>
      </c>
      <c r="L137" s="3">
        <f t="shared" si="11"/>
        <v>1</v>
      </c>
      <c r="M137" s="3">
        <f t="shared" si="11"/>
        <v>2</v>
      </c>
      <c r="N137" s="3">
        <f t="shared" si="11"/>
        <v>1</v>
      </c>
      <c r="O137" s="3">
        <f t="shared" si="11"/>
        <v>4</v>
      </c>
      <c r="P137" s="3">
        <f t="shared" si="11"/>
        <v>1</v>
      </c>
      <c r="Q137" s="3">
        <f t="shared" si="11"/>
        <v>2</v>
      </c>
    </row>
    <row r="138" spans="1:17">
      <c r="A138" s="829">
        <v>0.1</v>
      </c>
      <c r="B138" s="3" t="s">
        <v>2628</v>
      </c>
      <c r="C138" s="3">
        <f>($A$138*(C137*$I$134))</f>
        <v>1092.1128767123289</v>
      </c>
      <c r="D138" s="3">
        <f t="shared" ref="D138:Q138" si="12">($A$138*(D137*$I$134))</f>
        <v>273.02821917808222</v>
      </c>
      <c r="E138" s="3">
        <f t="shared" si="12"/>
        <v>546.05643835616445</v>
      </c>
      <c r="F138" s="3">
        <f t="shared" si="12"/>
        <v>273.02821917808222</v>
      </c>
      <c r="G138" s="3">
        <f t="shared" si="12"/>
        <v>1092.1128767123289</v>
      </c>
      <c r="H138" s="3">
        <f t="shared" si="12"/>
        <v>273.02821917808222</v>
      </c>
      <c r="I138" s="3">
        <f t="shared" si="12"/>
        <v>546.05643835616445</v>
      </c>
      <c r="J138" s="3">
        <f t="shared" si="12"/>
        <v>273.02821917808222</v>
      </c>
      <c r="K138" s="3">
        <f t="shared" si="12"/>
        <v>1092.1128767123289</v>
      </c>
      <c r="L138" s="3">
        <f t="shared" si="12"/>
        <v>273.02821917808222</v>
      </c>
      <c r="M138" s="3">
        <f t="shared" si="12"/>
        <v>546.05643835616445</v>
      </c>
      <c r="N138" s="3">
        <f t="shared" si="12"/>
        <v>273.02821917808222</v>
      </c>
      <c r="O138" s="3">
        <f t="shared" si="12"/>
        <v>1092.1128767123289</v>
      </c>
      <c r="P138" s="3">
        <f t="shared" si="12"/>
        <v>273.02821917808222</v>
      </c>
      <c r="Q138" s="3">
        <f t="shared" si="12"/>
        <v>546.05643835616445</v>
      </c>
    </row>
    <row r="139" spans="1:17">
      <c r="B139" s="3" t="s">
        <v>2629</v>
      </c>
      <c r="C139" s="3">
        <f>C140*C138</f>
        <v>232.78385967123288</v>
      </c>
      <c r="D139" s="3">
        <f t="shared" ref="D139:Q139" si="13">D140*D138</f>
        <v>59.068904391575344</v>
      </c>
      <c r="E139" s="3">
        <f t="shared" si="13"/>
        <v>119.90987591489795</v>
      </c>
      <c r="F139" s="3">
        <f t="shared" si="13"/>
        <v>60.854262026810716</v>
      </c>
      <c r="G139" s="3">
        <f t="shared" si="13"/>
        <v>247.0683038288515</v>
      </c>
      <c r="H139" s="3">
        <f t="shared" si="13"/>
        <v>62.69358209657107</v>
      </c>
      <c r="I139" s="3">
        <f t="shared" si="13"/>
        <v>127.26797165603928</v>
      </c>
      <c r="J139" s="3">
        <f t="shared" si="13"/>
        <v>64.588495615439925</v>
      </c>
      <c r="K139" s="3">
        <f t="shared" si="13"/>
        <v>262.22929219868615</v>
      </c>
      <c r="L139" s="3">
        <f t="shared" si="13"/>
        <v>66.540682895416609</v>
      </c>
      <c r="M139" s="3">
        <f t="shared" si="13"/>
        <v>135.0775862776957</v>
      </c>
      <c r="N139" s="3">
        <f t="shared" si="13"/>
        <v>68.551875035930578</v>
      </c>
      <c r="O139" s="3">
        <f t="shared" si="13"/>
        <v>278.32061264587816</v>
      </c>
      <c r="P139" s="3">
        <f t="shared" si="13"/>
        <v>70.623855458891583</v>
      </c>
      <c r="Q139" s="3">
        <f t="shared" si="13"/>
        <v>143.36642658154989</v>
      </c>
    </row>
    <row r="140" spans="1:17">
      <c r="A140" s="830">
        <v>1.4999999999999999E-2</v>
      </c>
      <c r="B140" s="3" t="s">
        <v>2631</v>
      </c>
      <c r="C140" s="3">
        <f>$F$134*$A$140+$F$134</f>
        <v>0.21314999999999998</v>
      </c>
      <c r="D140" s="3">
        <f>C140*$A$140+C140</f>
        <v>0.21634724999999999</v>
      </c>
      <c r="E140" s="3">
        <f t="shared" ref="E140:Q140" si="14">D140*$A$140+D140</f>
        <v>0.21959245875</v>
      </c>
      <c r="F140" s="3">
        <f t="shared" si="14"/>
        <v>0.22288634563125001</v>
      </c>
      <c r="G140" s="3">
        <f t="shared" si="14"/>
        <v>0.22622964081571875</v>
      </c>
      <c r="H140" s="3">
        <f t="shared" si="14"/>
        <v>0.22962308542795454</v>
      </c>
      <c r="I140" s="3">
        <f t="shared" si="14"/>
        <v>0.23306743170937386</v>
      </c>
      <c r="J140" s="3">
        <f t="shared" si="14"/>
        <v>0.23656344318501446</v>
      </c>
      <c r="K140" s="3">
        <f t="shared" si="14"/>
        <v>0.24011189483278969</v>
      </c>
      <c r="L140" s="3">
        <f t="shared" si="14"/>
        <v>0.24371357325528153</v>
      </c>
      <c r="M140" s="3">
        <f t="shared" si="14"/>
        <v>0.24736927685411075</v>
      </c>
      <c r="N140" s="3">
        <f t="shared" si="14"/>
        <v>0.25107981600692242</v>
      </c>
      <c r="O140" s="3">
        <f t="shared" si="14"/>
        <v>0.25484601324702627</v>
      </c>
      <c r="P140" s="3">
        <f t="shared" si="14"/>
        <v>0.25866870344573167</v>
      </c>
      <c r="Q140" s="3">
        <f t="shared" si="14"/>
        <v>0.26254873399741763</v>
      </c>
    </row>
    <row r="144" spans="1:17">
      <c r="B144" s="4" t="s">
        <v>2630</v>
      </c>
      <c r="C144" s="831">
        <f>SUM(C139:Q139)/1000000</f>
        <v>1.9989455862954673E-3</v>
      </c>
    </row>
    <row r="146" spans="2:3">
      <c r="B146" s="34" t="s">
        <v>2632</v>
      </c>
      <c r="C146" s="470">
        <f>C127+C144</f>
        <v>0.36410958046637071</v>
      </c>
    </row>
  </sheetData>
  <mergeCells count="3">
    <mergeCell ref="E94:G94"/>
    <mergeCell ref="B2:H2"/>
    <mergeCell ref="F13:F14"/>
  </mergeCells>
  <hyperlinks>
    <hyperlink ref="I27" r:id="rId1"/>
    <hyperlink ref="I26" r:id="rId2"/>
    <hyperlink ref="I25" r:id="rId3"/>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15"/>
  <sheetViews>
    <sheetView topLeftCell="A256" workbookViewId="0">
      <selection activeCell="U7" sqref="U7"/>
    </sheetView>
  </sheetViews>
  <sheetFormatPr defaultRowHeight="15"/>
  <cols>
    <col min="2" max="3" width="21.28515625" customWidth="1"/>
    <col min="4" max="4" width="18.42578125" customWidth="1"/>
    <col min="5" max="5" width="15.42578125" customWidth="1"/>
    <col min="6" max="6" width="13.140625" customWidth="1"/>
    <col min="7" max="7" width="7.85546875" customWidth="1"/>
    <col min="10" max="10" width="12.7109375" style="846" bestFit="1" customWidth="1"/>
    <col min="15" max="15" width="15.5703125" style="846" customWidth="1"/>
    <col min="16" max="16" width="15" customWidth="1"/>
  </cols>
  <sheetData>
    <row r="1" spans="1:50">
      <c r="A1">
        <v>1</v>
      </c>
      <c r="B1">
        <v>2</v>
      </c>
      <c r="C1">
        <v>3</v>
      </c>
      <c r="D1">
        <v>4</v>
      </c>
      <c r="E1">
        <v>5</v>
      </c>
      <c r="F1">
        <v>6</v>
      </c>
      <c r="G1">
        <v>7</v>
      </c>
      <c r="H1">
        <v>8</v>
      </c>
      <c r="I1">
        <v>9</v>
      </c>
      <c r="J1" s="846">
        <v>10</v>
      </c>
      <c r="K1">
        <v>11</v>
      </c>
      <c r="L1">
        <v>12</v>
      </c>
      <c r="M1">
        <v>13</v>
      </c>
      <c r="N1">
        <v>14</v>
      </c>
      <c r="O1" s="846">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row>
    <row r="2" spans="1:50">
      <c r="A2">
        <v>1997</v>
      </c>
      <c r="B2">
        <v>2013</v>
      </c>
      <c r="C2">
        <f>B2-A2</f>
        <v>16</v>
      </c>
      <c r="E2" s="1154" t="s">
        <v>2714</v>
      </c>
      <c r="F2" s="1154"/>
      <c r="G2" s="1154"/>
      <c r="I2" s="1155" t="s">
        <v>2685</v>
      </c>
      <c r="J2" s="1155"/>
      <c r="O2"/>
    </row>
    <row r="3" spans="1:50">
      <c r="A3" s="2" t="s">
        <v>2579</v>
      </c>
      <c r="B3" s="2" t="s">
        <v>2600</v>
      </c>
      <c r="C3" s="2" t="s">
        <v>2643</v>
      </c>
      <c r="D3" s="2" t="s">
        <v>2673</v>
      </c>
      <c r="E3" s="2" t="s">
        <v>2674</v>
      </c>
      <c r="F3" s="2" t="s">
        <v>2675</v>
      </c>
      <c r="G3" s="2" t="s">
        <v>2676</v>
      </c>
      <c r="H3" s="2" t="s">
        <v>2717</v>
      </c>
      <c r="I3" s="2" t="s">
        <v>2686</v>
      </c>
      <c r="J3" s="847" t="s">
        <v>2662</v>
      </c>
      <c r="K3" s="845" t="s">
        <v>2681</v>
      </c>
      <c r="L3" s="2" t="s">
        <v>2688</v>
      </c>
      <c r="M3" s="2" t="s">
        <v>2689</v>
      </c>
      <c r="N3" s="2" t="s">
        <v>2690</v>
      </c>
      <c r="O3" s="847" t="s">
        <v>2691</v>
      </c>
      <c r="P3" s="2" t="s">
        <v>2671</v>
      </c>
      <c r="Q3" s="2" t="s">
        <v>2716</v>
      </c>
      <c r="R3" s="2" t="s">
        <v>2717</v>
      </c>
    </row>
    <row r="4" spans="1:50">
      <c r="A4">
        <v>8001</v>
      </c>
      <c r="B4" t="s">
        <v>672</v>
      </c>
      <c r="C4" t="s">
        <v>90</v>
      </c>
      <c r="D4">
        <f>IFERROR(+VLOOKUP(B4,'BD ASVICC'!$A$6:$GQ$316,5,FALSE),"")</f>
        <v>925</v>
      </c>
      <c r="E4">
        <f>IFERROR(+VLOOKUP($B4,'BD ASVICC'!$A$6:$GQ$316,113,FALSE),"")</f>
        <v>2</v>
      </c>
      <c r="F4">
        <f>IFERROR(+VLOOKUP($B4,'BD ASVICC'!$A$6:$GQ$316,114,FALSE),"")</f>
        <v>2.23</v>
      </c>
      <c r="G4">
        <f>IFERROR(+VLOOKUP($B4,'BD ASVICC'!$A$6:$GQ$316,115,FALSE),"")</f>
        <v>4.2300000000000004</v>
      </c>
      <c r="H4">
        <f>R4</f>
        <v>7.6899079989872812</v>
      </c>
      <c r="I4">
        <f>H4*15</f>
        <v>115.34861998480922</v>
      </c>
      <c r="J4" s="846">
        <f>I4*'2. Incendis forestals'!$C$52</f>
        <v>1151755.9705483201</v>
      </c>
      <c r="K4" t="str">
        <f>VLOOKUP(B4,'BD ASVICC'!$A$6:$BG$316,59,FALSE)</f>
        <v>LITORAL</v>
      </c>
      <c r="L4">
        <f>VLOOKUP(K4,'2. Incendis forestals'!$F$9:$G$11,2,FALSE)</f>
        <v>0.75</v>
      </c>
      <c r="M4">
        <f t="shared" ref="M4:M67" si="0">H4+(1+L4)*H4</f>
        <v>21.147246997215024</v>
      </c>
      <c r="N4">
        <f>M4*15</f>
        <v>317.20870495822538</v>
      </c>
      <c r="O4" s="846">
        <f>N4*'2. Incendis forestals'!$C$52</f>
        <v>3167328.9190078806</v>
      </c>
      <c r="P4" s="846">
        <f>O4-J4</f>
        <v>2015572.9484595605</v>
      </c>
      <c r="Q4" s="854">
        <f>D4/VLOOKUP(C4,'BD Comarcal'!$A$5:$AX$17,21,FALSE)</f>
        <v>3.5587873191751308E-2</v>
      </c>
      <c r="R4">
        <f>VLOOKUP(C4,'BD Comarcal'!$A$5:$AX$17,50,FALSE)*Q4</f>
        <v>7.6899079989872812</v>
      </c>
    </row>
    <row r="5" spans="1:50">
      <c r="A5">
        <v>8002</v>
      </c>
      <c r="B5" t="s">
        <v>694</v>
      </c>
      <c r="C5" t="s">
        <v>82</v>
      </c>
      <c r="D5">
        <f>IFERROR(+VLOOKUP(B5,'BD ASVICC'!$A$6:$GQ$316,5,FALSE),"")</f>
        <v>2839</v>
      </c>
      <c r="E5">
        <f>IFERROR(+VLOOKUP($B5,'BD ASVICC'!$A$6:$GQ$316,113,FALSE),"")</f>
        <v>7962.02</v>
      </c>
      <c r="F5">
        <f>IFERROR(+VLOOKUP($B5,'BD ASVICC'!$A$6:$GQ$316,114,FALSE),"")</f>
        <v>2581.9499999999998</v>
      </c>
      <c r="G5">
        <f>IFERROR(+VLOOKUP($B5,'BD ASVICC'!$A$6:$GQ$316,115,FALSE),"")</f>
        <v>10544</v>
      </c>
      <c r="H5">
        <f t="shared" ref="H5:H68" si="1">R5</f>
        <v>31.305467610882868</v>
      </c>
      <c r="I5">
        <f t="shared" ref="I5:I68" si="2">H5*15</f>
        <v>469.582014163243</v>
      </c>
      <c r="J5" s="846">
        <f>I5*'2. Incendis forestals'!$C$52</f>
        <v>4688776.4114199812</v>
      </c>
      <c r="K5" t="str">
        <f>VLOOKUP(B5,'BD ASVICC'!$A$6:$BG$316,59,FALSE)</f>
        <v>CENTRAL</v>
      </c>
      <c r="L5">
        <f>VLOOKUP(K5,'2. Incendis forestals'!$F$9:$G$11,2,FALSE)</f>
        <v>0.75</v>
      </c>
      <c r="M5">
        <f t="shared" si="0"/>
        <v>86.090035929927893</v>
      </c>
      <c r="N5">
        <f t="shared" ref="N5:N68" si="3">M5*15</f>
        <v>1291.3505389489185</v>
      </c>
      <c r="O5" s="846">
        <f>N5*'2. Incendis forestals'!$C$52</f>
        <v>12894135.131404951</v>
      </c>
      <c r="P5" s="846">
        <f t="shared" ref="P5:P67" si="4">O5-J5</f>
        <v>8205358.7199849701</v>
      </c>
      <c r="Q5" s="854">
        <f>D5/VLOOKUP(C5,'BD Comarcal'!$A$5:$AX$17,21,FALSE)</f>
        <v>3.5057173198982487E-2</v>
      </c>
      <c r="R5">
        <f>VLOOKUP(C5,'BD Comarcal'!$A$5:$AX$17,50,FALSE)*Q5</f>
        <v>31.305467610882868</v>
      </c>
    </row>
    <row r="6" spans="1:50">
      <c r="A6">
        <v>8003</v>
      </c>
      <c r="B6" t="s">
        <v>707</v>
      </c>
      <c r="C6" t="s">
        <v>86</v>
      </c>
      <c r="D6">
        <f>IFERROR(+VLOOKUP(B6,'BD ASVICC'!$A$6:$GQ$316,5,FALSE),"")</f>
        <v>462</v>
      </c>
      <c r="E6">
        <f>IFERROR(+VLOOKUP($B6,'BD ASVICC'!$A$6:$GQ$316,113,FALSE),"")</f>
        <v>0</v>
      </c>
      <c r="F6">
        <f>IFERROR(+VLOOKUP($B6,'BD ASVICC'!$A$6:$GQ$316,114,FALSE),"")</f>
        <v>0</v>
      </c>
      <c r="G6">
        <f>IFERROR(+VLOOKUP($B6,'BD ASVICC'!$A$6:$GQ$316,115,FALSE),"")</f>
        <v>0</v>
      </c>
      <c r="H6">
        <f t="shared" si="1"/>
        <v>0.82727059046444973</v>
      </c>
      <c r="I6">
        <f t="shared" si="2"/>
        <v>12.409058856966746</v>
      </c>
      <c r="J6" s="846">
        <f>I6*'2. Incendis forestals'!$C$52</f>
        <v>123904.45268681296</v>
      </c>
      <c r="K6" t="str">
        <f>VLOOKUP(B6,'BD ASVICC'!$A$6:$BG$316,59,FALSE)</f>
        <v>LITORAL</v>
      </c>
      <c r="L6">
        <f>VLOOKUP(K6,'2. Incendis forestals'!$F$9:$G$11,2,FALSE)</f>
        <v>0.75</v>
      </c>
      <c r="M6">
        <f t="shared" si="0"/>
        <v>2.2749941237772369</v>
      </c>
      <c r="N6">
        <f t="shared" si="3"/>
        <v>34.124911856658557</v>
      </c>
      <c r="O6" s="846">
        <f>N6*'2. Incendis forestals'!$C$52</f>
        <v>340737.2448887357</v>
      </c>
      <c r="P6" s="846">
        <f t="shared" si="4"/>
        <v>216832.79220192274</v>
      </c>
      <c r="Q6" s="854">
        <f>D6/VLOOKUP(C6,'BD Comarcal'!$A$5:$AX$17,21,FALSE)</f>
        <v>1.717535967879847E-2</v>
      </c>
      <c r="R6">
        <f>VLOOKUP(C6,'BD Comarcal'!$A$5:$AX$17,50,FALSE)*Q6</f>
        <v>0.82727059046444973</v>
      </c>
    </row>
    <row r="7" spans="1:50">
      <c r="A7">
        <v>8004</v>
      </c>
      <c r="B7" t="s">
        <v>716</v>
      </c>
      <c r="C7" t="s">
        <v>88</v>
      </c>
      <c r="D7">
        <f>IFERROR(+VLOOKUP(B7,'BD ASVICC'!$A$6:$GQ$316,5,FALSE),"")</f>
        <v>1075</v>
      </c>
      <c r="E7">
        <f>IFERROR(+VLOOKUP($B7,'BD ASVICC'!$A$6:$GQ$316,113,FALSE),"")</f>
        <v>0</v>
      </c>
      <c r="F7">
        <f>IFERROR(+VLOOKUP($B7,'BD ASVICC'!$A$6:$GQ$316,114,FALSE),"")</f>
        <v>0</v>
      </c>
      <c r="G7">
        <f>IFERROR(+VLOOKUP($B7,'BD ASVICC'!$A$6:$GQ$316,115,FALSE),"")</f>
        <v>0</v>
      </c>
      <c r="H7">
        <f t="shared" si="1"/>
        <v>0.83610509188533177</v>
      </c>
      <c r="I7">
        <f t="shared" si="2"/>
        <v>12.541576378279977</v>
      </c>
      <c r="J7" s="846">
        <f>I7*'2. Incendis forestals'!$C$52</f>
        <v>125227.64013712558</v>
      </c>
      <c r="K7" t="str">
        <f>VLOOKUP(B7,'BD ASVICC'!$A$6:$BG$316,59,FALSE)</f>
        <v>PREPIRINEU-PIRINEU</v>
      </c>
      <c r="L7">
        <f>VLOOKUP(K7,'2. Incendis forestals'!$F$9:$G$11,2,FALSE)</f>
        <v>0.75</v>
      </c>
      <c r="M7">
        <f t="shared" si="0"/>
        <v>2.2992890026846622</v>
      </c>
      <c r="N7">
        <f t="shared" si="3"/>
        <v>34.489335040269935</v>
      </c>
      <c r="O7" s="846">
        <f>N7*'2. Incendis forestals'!$C$52</f>
        <v>344376.01037709531</v>
      </c>
      <c r="P7" s="846">
        <f t="shared" si="4"/>
        <v>219148.37023996975</v>
      </c>
      <c r="Q7" s="854">
        <f>D7/VLOOKUP(C7,'BD Comarcal'!$A$5:$AX$17,21,FALSE)</f>
        <v>1.1502493098504141E-2</v>
      </c>
      <c r="R7">
        <f>VLOOKUP(C7,'BD Comarcal'!$A$5:$AX$17,50,FALSE)*Q7</f>
        <v>0.83610509188533177</v>
      </c>
    </row>
    <row r="8" spans="1:50">
      <c r="A8">
        <v>8005</v>
      </c>
      <c r="B8" t="s">
        <v>725</v>
      </c>
      <c r="C8" t="s">
        <v>24</v>
      </c>
      <c r="D8">
        <f>IFERROR(+VLOOKUP(B8,'BD ASVICC'!$A$6:$GQ$316,5,FALSE),"")</f>
        <v>614</v>
      </c>
      <c r="E8">
        <f>IFERROR(+VLOOKUP($B8,'BD ASVICC'!$A$6:$GQ$316,113,FALSE),"")</f>
        <v>2.41</v>
      </c>
      <c r="F8">
        <f>IFERROR(+VLOOKUP($B8,'BD ASVICC'!$A$6:$GQ$316,114,FALSE),"")</f>
        <v>0</v>
      </c>
      <c r="G8">
        <f>IFERROR(+VLOOKUP($B8,'BD ASVICC'!$A$6:$GQ$316,115,FALSE),"")</f>
        <v>2.41</v>
      </c>
      <c r="H8">
        <f t="shared" si="1"/>
        <v>1.2492314126317379</v>
      </c>
      <c r="I8">
        <f t="shared" si="2"/>
        <v>18.738471189476069</v>
      </c>
      <c r="J8" s="846">
        <f>I8*'2. Incendis forestals'!$C$52</f>
        <v>187103.63482691854</v>
      </c>
      <c r="K8" t="str">
        <f>VLOOKUP(B8,'BD ASVICC'!$A$6:$BG$316,59,FALSE)</f>
        <v>CENTRAL</v>
      </c>
      <c r="L8">
        <f>VLOOKUP(K8,'2. Incendis forestals'!$F$9:$G$11,2,FALSE)</f>
        <v>0.75</v>
      </c>
      <c r="M8">
        <f t="shared" si="0"/>
        <v>3.4353863847372788</v>
      </c>
      <c r="N8">
        <f t="shared" si="3"/>
        <v>51.530795771059182</v>
      </c>
      <c r="O8" s="846">
        <f>N8*'2. Incendis forestals'!$C$52</f>
        <v>514534.99577402591</v>
      </c>
      <c r="P8" s="846">
        <f t="shared" si="4"/>
        <v>327431.36094710737</v>
      </c>
      <c r="Q8" s="854">
        <f>D8/VLOOKUP(C8,'BD Comarcal'!$A$5:$AX$17,21,FALSE)</f>
        <v>1.2079242981645059E-2</v>
      </c>
      <c r="R8">
        <f>VLOOKUP(C8,'BD Comarcal'!$A$5:$AX$17,50,FALSE)*Q8</f>
        <v>1.2492314126317379</v>
      </c>
    </row>
    <row r="9" spans="1:50">
      <c r="A9">
        <v>8006</v>
      </c>
      <c r="B9" t="s">
        <v>334</v>
      </c>
      <c r="C9" t="s">
        <v>86</v>
      </c>
      <c r="D9">
        <f>IFERROR(+VLOOKUP(B9,'BD ASVICC'!$A$6:$GQ$316,5,FALSE),"")</f>
        <v>305</v>
      </c>
      <c r="E9">
        <f>IFERROR(+VLOOKUP($B9,'BD ASVICC'!$A$6:$GQ$316,113,FALSE),"")</f>
        <v>1.4</v>
      </c>
      <c r="F9">
        <f>IFERROR(+VLOOKUP($B9,'BD ASVICC'!$A$6:$GQ$316,114,FALSE),"")</f>
        <v>0</v>
      </c>
      <c r="G9">
        <f>IFERROR(+VLOOKUP($B9,'BD ASVICC'!$A$6:$GQ$316,115,FALSE),"")</f>
        <v>1.4</v>
      </c>
      <c r="H9">
        <f t="shared" si="1"/>
        <v>0.54614184002523192</v>
      </c>
      <c r="I9">
        <f t="shared" si="2"/>
        <v>8.1921276003784786</v>
      </c>
      <c r="J9" s="846">
        <f>I9*'2. Incendis forestals'!$C$52</f>
        <v>81798.394089779104</v>
      </c>
      <c r="K9" t="str">
        <f>VLOOKUP(B9,'BD ASVICC'!$A$6:$BG$316,59,FALSE)</f>
        <v>LITORAL</v>
      </c>
      <c r="L9">
        <f>VLOOKUP(K9,'2. Incendis forestals'!$F$9:$G$11,2,FALSE)</f>
        <v>0.75</v>
      </c>
      <c r="M9">
        <f t="shared" si="0"/>
        <v>1.5018900600693876</v>
      </c>
      <c r="N9">
        <f t="shared" si="3"/>
        <v>22.528350901040813</v>
      </c>
      <c r="O9" s="846">
        <f>N9*'2. Incendis forestals'!$C$52</f>
        <v>224945.58374689252</v>
      </c>
      <c r="P9" s="846">
        <f t="shared" si="4"/>
        <v>143147.1896571134</v>
      </c>
      <c r="Q9" s="854">
        <f>D9/VLOOKUP(C9,'BD Comarcal'!$A$5:$AX$17,21,FALSE)</f>
        <v>1.1338711476263058E-2</v>
      </c>
      <c r="R9">
        <f>VLOOKUP(C9,'BD Comarcal'!$A$5:$AX$17,50,FALSE)*Q9</f>
        <v>0.54614184002523192</v>
      </c>
    </row>
    <row r="10" spans="1:50">
      <c r="A10">
        <v>8007</v>
      </c>
      <c r="B10" t="s">
        <v>742</v>
      </c>
      <c r="C10" t="s">
        <v>86</v>
      </c>
      <c r="D10">
        <f>IFERROR(+VLOOKUP(B10,'BD ASVICC'!$A$6:$GQ$316,5,FALSE),"")</f>
        <v>1821</v>
      </c>
      <c r="E10">
        <f>IFERROR(+VLOOKUP($B10,'BD ASVICC'!$A$6:$GQ$316,113,FALSE),"")</f>
        <v>0</v>
      </c>
      <c r="F10">
        <f>IFERROR(+VLOOKUP($B10,'BD ASVICC'!$A$6:$GQ$316,114,FALSE),"")</f>
        <v>0</v>
      </c>
      <c r="G10">
        <f>IFERROR(+VLOOKUP($B10,'BD ASVICC'!$A$6:$GQ$316,115,FALSE),"")</f>
        <v>0</v>
      </c>
      <c r="H10">
        <f t="shared" si="1"/>
        <v>3.2607353792981879</v>
      </c>
      <c r="I10">
        <f t="shared" si="2"/>
        <v>48.911030689472817</v>
      </c>
      <c r="J10" s="846">
        <f>I10*'2. Incendis forestals'!$C$52</f>
        <v>488376.64143438608</v>
      </c>
      <c r="K10" t="str">
        <f>VLOOKUP(B10,'BD ASVICC'!$A$6:$BG$316,59,FALSE)</f>
        <v>LITORAL</v>
      </c>
      <c r="L10">
        <f>VLOOKUP(K10,'2. Incendis forestals'!$F$9:$G$11,2,FALSE)</f>
        <v>0.75</v>
      </c>
      <c r="M10">
        <f t="shared" si="0"/>
        <v>8.9670222930700163</v>
      </c>
      <c r="N10">
        <f t="shared" si="3"/>
        <v>134.50533439605024</v>
      </c>
      <c r="O10" s="846">
        <f>N10*'2. Incendis forestals'!$C$52</f>
        <v>1343035.7639445616</v>
      </c>
      <c r="P10" s="846">
        <f t="shared" si="4"/>
        <v>854659.12251017545</v>
      </c>
      <c r="Q10" s="854">
        <f>D10/VLOOKUP(C10,'BD Comarcal'!$A$5:$AX$17,21,FALSE)</f>
        <v>6.7697683928770583E-2</v>
      </c>
      <c r="R10">
        <f>VLOOKUP(C10,'BD Comarcal'!$A$5:$AX$17,50,FALSE)*Q10</f>
        <v>3.2607353792981879</v>
      </c>
    </row>
    <row r="11" spans="1:50">
      <c r="A11">
        <v>8008</v>
      </c>
      <c r="B11" t="s">
        <v>751</v>
      </c>
      <c r="C11" t="s">
        <v>81</v>
      </c>
      <c r="D11">
        <f>IFERROR(+VLOOKUP(B11,'BD ASVICC'!$A$6:$GQ$316,5,FALSE),"")</f>
        <v>2974</v>
      </c>
      <c r="E11">
        <f>IFERROR(+VLOOKUP($B11,'BD ASVICC'!$A$6:$GQ$316,113,FALSE),"")</f>
        <v>23.98</v>
      </c>
      <c r="F11">
        <f>IFERROR(+VLOOKUP($B11,'BD ASVICC'!$A$6:$GQ$316,114,FALSE),"")</f>
        <v>6.16</v>
      </c>
      <c r="G11">
        <f>IFERROR(+VLOOKUP($B11,'BD ASVICC'!$A$6:$GQ$316,115,FALSE),"")</f>
        <v>30.14</v>
      </c>
      <c r="H11">
        <f t="shared" si="1"/>
        <v>32.830641407404237</v>
      </c>
      <c r="I11">
        <f t="shared" si="2"/>
        <v>492.45962111106354</v>
      </c>
      <c r="J11" s="846">
        <f>I11*'2. Incendis forestals'!$C$52</f>
        <v>4917209.3167939698</v>
      </c>
      <c r="K11" t="str">
        <f>VLOOKUP(B11,'BD ASVICC'!$A$6:$BG$316,59,FALSE)</f>
        <v>PREPIRINEU-PIRINEU</v>
      </c>
      <c r="L11">
        <f>VLOOKUP(K11,'2. Incendis forestals'!$F$9:$G$11,2,FALSE)</f>
        <v>0.75</v>
      </c>
      <c r="M11">
        <f t="shared" si="0"/>
        <v>90.284263870361656</v>
      </c>
      <c r="N11">
        <f t="shared" si="3"/>
        <v>1354.2639580554248</v>
      </c>
      <c r="O11" s="846">
        <f>N11*'2. Incendis forestals'!$C$52</f>
        <v>13522325.621183418</v>
      </c>
      <c r="P11" s="846">
        <f t="shared" si="4"/>
        <v>8605116.304389447</v>
      </c>
      <c r="Q11" s="854">
        <f>D11/VLOOKUP(C11,'BD Comarcal'!$A$5:$AX$17,21,FALSE)</f>
        <v>5.7015778071739423E-2</v>
      </c>
      <c r="R11">
        <f>VLOOKUP(C11,'BD Comarcal'!$A$5:$AX$17,50,FALSE)*Q11</f>
        <v>32.830641407404237</v>
      </c>
    </row>
    <row r="12" spans="1:50">
      <c r="A12">
        <v>8009</v>
      </c>
      <c r="B12" t="s">
        <v>761</v>
      </c>
      <c r="C12" t="s">
        <v>86</v>
      </c>
      <c r="D12">
        <f>IFERROR(+VLOOKUP(B12,'BD ASVICC'!$A$6:$GQ$316,5,FALSE),"")</f>
        <v>2119</v>
      </c>
      <c r="E12">
        <f>IFERROR(+VLOOKUP($B12,'BD ASVICC'!$A$6:$GQ$316,113,FALSE),"")</f>
        <v>3.08</v>
      </c>
      <c r="F12">
        <f>IFERROR(+VLOOKUP($B12,'BD ASVICC'!$A$6:$GQ$316,114,FALSE),"")</f>
        <v>2.1</v>
      </c>
      <c r="G12">
        <f>IFERROR(+VLOOKUP($B12,'BD ASVICC'!$A$6:$GQ$316,115,FALSE),"")</f>
        <v>5.18</v>
      </c>
      <c r="H12">
        <f t="shared" si="1"/>
        <v>3.7943428164375947</v>
      </c>
      <c r="I12">
        <f t="shared" si="2"/>
        <v>56.915142246563924</v>
      </c>
      <c r="J12" s="846">
        <f>I12*'2. Incendis forestals'!$C$52</f>
        <v>568297.69533194078</v>
      </c>
      <c r="K12" t="str">
        <f>VLOOKUP(B12,'BD ASVICC'!$A$6:$BG$316,59,FALSE)</f>
        <v>LITORAL</v>
      </c>
      <c r="L12">
        <f>VLOOKUP(K12,'2. Incendis forestals'!$F$9:$G$11,2,FALSE)</f>
        <v>0.75</v>
      </c>
      <c r="M12">
        <f t="shared" si="0"/>
        <v>10.434442745203386</v>
      </c>
      <c r="N12">
        <f t="shared" si="3"/>
        <v>156.51664117805078</v>
      </c>
      <c r="O12" s="846">
        <f>N12*'2. Incendis forestals'!$C$52</f>
        <v>1562818.6621628371</v>
      </c>
      <c r="P12" s="846">
        <f t="shared" si="4"/>
        <v>994520.96683089633</v>
      </c>
      <c r="Q12" s="854">
        <f>D12/VLOOKUP(C12,'BD Comarcal'!$A$5:$AX$17,21,FALSE)</f>
        <v>7.8776162682627604E-2</v>
      </c>
      <c r="R12">
        <f>VLOOKUP(C12,'BD Comarcal'!$A$5:$AX$17,50,FALSE)*Q12</f>
        <v>3.7943428164375947</v>
      </c>
    </row>
    <row r="13" spans="1:50">
      <c r="A13">
        <v>8010</v>
      </c>
      <c r="B13" t="s">
        <v>767</v>
      </c>
      <c r="C13" t="s">
        <v>82</v>
      </c>
      <c r="D13">
        <f>IFERROR(+VLOOKUP(B13,'BD ASVICC'!$A$6:$GQ$316,5,FALSE),"")</f>
        <v>710</v>
      </c>
      <c r="E13">
        <f>IFERROR(+VLOOKUP($B13,'BD ASVICC'!$A$6:$GQ$316,113,FALSE),"")</f>
        <v>4</v>
      </c>
      <c r="F13">
        <f>IFERROR(+VLOOKUP($B13,'BD ASVICC'!$A$6:$GQ$316,114,FALSE),"")</f>
        <v>1</v>
      </c>
      <c r="G13">
        <f>IFERROR(+VLOOKUP($B13,'BD ASVICC'!$A$6:$GQ$316,115,FALSE),"")</f>
        <v>5</v>
      </c>
      <c r="H13">
        <f t="shared" si="1"/>
        <v>7.8291236363955043</v>
      </c>
      <c r="I13">
        <f t="shared" si="2"/>
        <v>117.43685454593256</v>
      </c>
      <c r="J13" s="846">
        <f>I13*'2. Incendis forestals'!$C$52</f>
        <v>1172606.9926411365</v>
      </c>
      <c r="K13" t="str">
        <f>VLOOKUP(B13,'BD ASVICC'!$A$6:$BG$316,59,FALSE)</f>
        <v>CENTRAL</v>
      </c>
      <c r="L13">
        <f>VLOOKUP(K13,'2. Incendis forestals'!$F$9:$G$11,2,FALSE)</f>
        <v>0.75</v>
      </c>
      <c r="M13">
        <f t="shared" si="0"/>
        <v>21.530090000087636</v>
      </c>
      <c r="N13">
        <f t="shared" si="3"/>
        <v>322.95135000131455</v>
      </c>
      <c r="O13" s="846">
        <f>N13*'2. Incendis forestals'!$C$52</f>
        <v>3224669.229763126</v>
      </c>
      <c r="P13" s="846">
        <f t="shared" si="4"/>
        <v>2052062.2371219895</v>
      </c>
      <c r="Q13" s="854">
        <f>D13/VLOOKUP(C13,'BD Comarcal'!$A$5:$AX$17,21,FALSE)</f>
        <v>8.7673804055222147E-3</v>
      </c>
      <c r="R13">
        <f>VLOOKUP(C13,'BD Comarcal'!$A$5:$AX$17,50,FALSE)*Q13</f>
        <v>7.8291236363955043</v>
      </c>
    </row>
    <row r="14" spans="1:50">
      <c r="A14">
        <v>8011</v>
      </c>
      <c r="B14" t="s">
        <v>774</v>
      </c>
      <c r="C14" t="s">
        <v>84</v>
      </c>
      <c r="D14">
        <f>IFERROR(+VLOOKUP(B14,'BD ASVICC'!$A$6:$GQ$316,5,FALSE),"")</f>
        <v>1108</v>
      </c>
      <c r="E14">
        <f>IFERROR(+VLOOKUP($B14,'BD ASVICC'!$A$6:$GQ$316,113,FALSE),"")</f>
        <v>0</v>
      </c>
      <c r="F14">
        <f>IFERROR(+VLOOKUP($B14,'BD ASVICC'!$A$6:$GQ$316,114,FALSE),"")</f>
        <v>4</v>
      </c>
      <c r="G14">
        <f>IFERROR(+VLOOKUP($B14,'BD ASVICC'!$A$6:$GQ$316,115,FALSE),"")</f>
        <v>4</v>
      </c>
      <c r="H14">
        <f t="shared" si="1"/>
        <v>6.8462039264213947</v>
      </c>
      <c r="I14">
        <f t="shared" si="2"/>
        <v>102.69305889632092</v>
      </c>
      <c r="J14" s="846">
        <f>I14*'2. Incendis forestals'!$C$52</f>
        <v>1025390.1930797644</v>
      </c>
      <c r="K14" t="str">
        <f>VLOOKUP(B14,'BD ASVICC'!$A$6:$BG$316,59,FALSE)</f>
        <v>PREPIRINEU-PIRINEU</v>
      </c>
      <c r="L14">
        <f>VLOOKUP(K14,'2. Incendis forestals'!$F$9:$G$11,2,FALSE)</f>
        <v>0.75</v>
      </c>
      <c r="M14">
        <f t="shared" si="0"/>
        <v>18.827060797658834</v>
      </c>
      <c r="N14">
        <f t="shared" si="3"/>
        <v>282.40591196488253</v>
      </c>
      <c r="O14" s="846">
        <f>N14*'2. Incendis forestals'!$C$52</f>
        <v>2819823.030969352</v>
      </c>
      <c r="P14" s="846">
        <f t="shared" si="4"/>
        <v>1794432.8378895875</v>
      </c>
      <c r="Q14" s="854">
        <f>D14/VLOOKUP(C14,'BD Comarcal'!$A$5:$AX$17,21,FALSE)</f>
        <v>1.0479325086066658E-2</v>
      </c>
      <c r="R14">
        <f>VLOOKUP(C14,'BD Comarcal'!$A$5:$AX$17,50,FALSE)*Q14</f>
        <v>6.8462039264213947</v>
      </c>
    </row>
    <row r="15" spans="1:50">
      <c r="A15">
        <v>8012</v>
      </c>
      <c r="B15" t="s">
        <v>781</v>
      </c>
      <c r="C15" t="s">
        <v>82</v>
      </c>
      <c r="D15">
        <f>IFERROR(+VLOOKUP(B15,'BD ASVICC'!$A$6:$GQ$316,5,FALSE),"")</f>
        <v>4581</v>
      </c>
      <c r="E15">
        <f>IFERROR(+VLOOKUP($B15,'BD ASVICC'!$A$6:$GQ$316,113,FALSE),"")</f>
        <v>1.85</v>
      </c>
      <c r="F15">
        <f>IFERROR(+VLOOKUP($B15,'BD ASVICC'!$A$6:$GQ$316,114,FALSE),"")</f>
        <v>3.14</v>
      </c>
      <c r="G15">
        <f>IFERROR(+VLOOKUP($B15,'BD ASVICC'!$A$6:$GQ$316,115,FALSE),"")</f>
        <v>4.99</v>
      </c>
      <c r="H15">
        <f t="shared" si="1"/>
        <v>50.514387856799722</v>
      </c>
      <c r="I15">
        <f t="shared" si="2"/>
        <v>757.71581785199578</v>
      </c>
      <c r="J15" s="846">
        <f>I15*'2. Incendis forestals'!$C$52</f>
        <v>7565792.4412521776</v>
      </c>
      <c r="K15" t="str">
        <f>VLOOKUP(B15,'BD ASVICC'!$A$6:$BG$316,59,FALSE)</f>
        <v>CENTRAL</v>
      </c>
      <c r="L15">
        <f>VLOOKUP(K15,'2. Incendis forestals'!$F$9:$G$11,2,FALSE)</f>
        <v>0.75</v>
      </c>
      <c r="M15">
        <f t="shared" si="0"/>
        <v>138.91456660619923</v>
      </c>
      <c r="N15">
        <f t="shared" si="3"/>
        <v>2083.7184990929886</v>
      </c>
      <c r="O15" s="846">
        <f>N15*'2. Incendis forestals'!$C$52</f>
        <v>20805929.213443492</v>
      </c>
      <c r="P15" s="846">
        <f t="shared" si="4"/>
        <v>13240136.772191314</v>
      </c>
      <c r="Q15" s="854">
        <f>D15/VLOOKUP(C15,'BD Comarcal'!$A$5:$AX$17,21,FALSE)</f>
        <v>5.6568126250277836E-2</v>
      </c>
      <c r="R15">
        <f>VLOOKUP(C15,'BD Comarcal'!$A$5:$AX$17,50,FALSE)*Q15</f>
        <v>50.514387856799722</v>
      </c>
    </row>
    <row r="16" spans="1:50">
      <c r="A16">
        <v>8013</v>
      </c>
      <c r="B16" t="s">
        <v>787</v>
      </c>
      <c r="C16" t="s">
        <v>791</v>
      </c>
      <c r="D16">
        <f>IFERROR(+VLOOKUP(B16,'BD ASVICC'!$A$6:$GQ$316,5,FALSE),"")</f>
        <v>1414</v>
      </c>
      <c r="E16">
        <f>IFERROR(+VLOOKUP($B16,'BD ASVICC'!$A$6:$GQ$316,113,FALSE),"")</f>
        <v>2.0499999999999998</v>
      </c>
      <c r="F16">
        <f>IFERROR(+VLOOKUP($B16,'BD ASVICC'!$A$6:$GQ$316,114,FALSE),"")</f>
        <v>74.290000000000006</v>
      </c>
      <c r="G16">
        <f>IFERROR(+VLOOKUP($B16,'BD ASVICC'!$A$6:$GQ$316,115,FALSE),"")</f>
        <v>76.34</v>
      </c>
      <c r="H16">
        <f t="shared" si="1"/>
        <v>10.288694247411613</v>
      </c>
      <c r="I16">
        <f t="shared" si="2"/>
        <v>154.33041371117417</v>
      </c>
      <c r="J16" s="846">
        <f>I16*'2. Incendis forestals'!$C$52</f>
        <v>1540989.1809060741</v>
      </c>
      <c r="K16" t="str">
        <f>VLOOKUP(B16,'BD ASVICC'!$A$6:$BG$316,59,FALSE)</f>
        <v>CENTRAL</v>
      </c>
      <c r="L16">
        <f>VLOOKUP(K16,'2. Incendis forestals'!$F$9:$G$11,2,FALSE)</f>
        <v>0.75</v>
      </c>
      <c r="M16">
        <f t="shared" si="0"/>
        <v>28.293909180381934</v>
      </c>
      <c r="N16">
        <f t="shared" si="3"/>
        <v>424.40863770572901</v>
      </c>
      <c r="O16" s="846">
        <f>N16*'2. Incendis forestals'!$C$52</f>
        <v>4237720.2474917043</v>
      </c>
      <c r="P16" s="846">
        <f t="shared" si="4"/>
        <v>2696731.0665856302</v>
      </c>
      <c r="Q16" s="854">
        <f>D16/VLOOKUP(C16,'BD Comarcal'!$A$5:$AX$17,21,FALSE)</f>
        <v>4.6042134739995438E-2</v>
      </c>
      <c r="R16">
        <f>VLOOKUP(C16,'BD Comarcal'!$A$5:$AX$17,50,FALSE)*Q16</f>
        <v>10.288694247411613</v>
      </c>
    </row>
    <row r="17" spans="1:18">
      <c r="A17">
        <v>8014</v>
      </c>
      <c r="B17" t="s">
        <v>797</v>
      </c>
      <c r="C17" t="s">
        <v>24</v>
      </c>
      <c r="D17">
        <f>IFERROR(+VLOOKUP(B17,'BD ASVICC'!$A$6:$GQ$316,5,FALSE),"")</f>
        <v>689</v>
      </c>
      <c r="E17">
        <f>IFERROR(+VLOOKUP($B17,'BD ASVICC'!$A$6:$GQ$316,113,FALSE),"")</f>
        <v>0</v>
      </c>
      <c r="F17">
        <f>IFERROR(+VLOOKUP($B17,'BD ASVICC'!$A$6:$GQ$316,114,FALSE),"")</f>
        <v>0</v>
      </c>
      <c r="G17">
        <f>IFERROR(+VLOOKUP($B17,'BD ASVICC'!$A$6:$GQ$316,115,FALSE),"")</f>
        <v>0</v>
      </c>
      <c r="H17">
        <f t="shared" si="1"/>
        <v>1.4018248262268198</v>
      </c>
      <c r="I17">
        <f t="shared" si="2"/>
        <v>21.027372393402295</v>
      </c>
      <c r="J17" s="846">
        <f>I17*'2. Incendis forestals'!$C$52</f>
        <v>209958.31334812191</v>
      </c>
      <c r="K17" t="str">
        <f>VLOOKUP(B17,'BD ASVICC'!$A$6:$BG$316,59,FALSE)</f>
        <v>CENTRAL</v>
      </c>
      <c r="L17">
        <f>VLOOKUP(K17,'2. Incendis forestals'!$F$9:$G$11,2,FALSE)</f>
        <v>0.75</v>
      </c>
      <c r="M17">
        <f t="shared" si="0"/>
        <v>3.8550182721237545</v>
      </c>
      <c r="N17">
        <f t="shared" si="3"/>
        <v>57.825274081856314</v>
      </c>
      <c r="O17" s="846">
        <f>N17*'2. Incendis forestals'!$C$52</f>
        <v>577385.36170733534</v>
      </c>
      <c r="P17" s="846">
        <f t="shared" si="4"/>
        <v>367427.0483592134</v>
      </c>
      <c r="Q17" s="854">
        <f>D17/VLOOKUP(C17,'BD Comarcal'!$A$5:$AX$17,21,FALSE)</f>
        <v>1.3554720544549585E-2</v>
      </c>
      <c r="R17">
        <f>VLOOKUP(C17,'BD Comarcal'!$A$5:$AX$17,50,FALSE)*Q17</f>
        <v>1.4018248262268198</v>
      </c>
    </row>
    <row r="18" spans="1:18">
      <c r="A18">
        <v>8015</v>
      </c>
      <c r="B18" t="s">
        <v>335</v>
      </c>
      <c r="C18" t="s">
        <v>83</v>
      </c>
      <c r="D18">
        <f>IFERROR(+VLOOKUP(B18,'BD ASVICC'!$A$6:$GQ$316,5,FALSE),"")</f>
        <v>791</v>
      </c>
      <c r="E18">
        <f>IFERROR(+VLOOKUP($B18,'BD ASVICC'!$A$6:$GQ$316,113,FALSE),"")</f>
        <v>13.94</v>
      </c>
      <c r="F18">
        <f>IFERROR(+VLOOKUP($B18,'BD ASVICC'!$A$6:$GQ$316,114,FALSE),"")</f>
        <v>147.94</v>
      </c>
      <c r="G18">
        <f>IFERROR(+VLOOKUP($B18,'BD ASVICC'!$A$6:$GQ$316,115,FALSE),"")</f>
        <v>161.88</v>
      </c>
      <c r="H18">
        <f t="shared" si="1"/>
        <v>12.28896714201797</v>
      </c>
      <c r="I18">
        <f t="shared" si="2"/>
        <v>184.33450713026954</v>
      </c>
      <c r="J18" s="846">
        <f>I18*'2. Incendis forestals'!$C$52</f>
        <v>1840580.0536957413</v>
      </c>
      <c r="K18" t="str">
        <f>VLOOKUP(B18,'BD ASVICC'!$A$6:$BG$316,59,FALSE)</f>
        <v>LITORAL</v>
      </c>
      <c r="L18">
        <f>VLOOKUP(K18,'2. Incendis forestals'!$F$9:$G$11,2,FALSE)</f>
        <v>0.75</v>
      </c>
      <c r="M18">
        <f t="shared" si="0"/>
        <v>33.794659640549419</v>
      </c>
      <c r="N18">
        <f t="shared" si="3"/>
        <v>506.91989460824129</v>
      </c>
      <c r="O18" s="846">
        <f>N18*'2. Incendis forestals'!$C$52</f>
        <v>5061595.1476632897</v>
      </c>
      <c r="P18" s="846">
        <f t="shared" si="4"/>
        <v>3221015.0939675486</v>
      </c>
      <c r="Q18" s="854">
        <f>D18/VLOOKUP(C18,'BD Comarcal'!$A$5:$AX$17,21,FALSE)</f>
        <v>0.30647036032545527</v>
      </c>
      <c r="R18">
        <f>VLOOKUP(C18,'BD Comarcal'!$A$5:$AX$17,50,FALSE)*Q18</f>
        <v>12.28896714201797</v>
      </c>
    </row>
    <row r="19" spans="1:18">
      <c r="A19">
        <v>8016</v>
      </c>
      <c r="B19" t="s">
        <v>807</v>
      </c>
      <c r="C19" t="s">
        <v>84</v>
      </c>
      <c r="D19">
        <f>IFERROR(+VLOOKUP(B19,'BD ASVICC'!$A$6:$GQ$316,5,FALSE),"")</f>
        <v>3527</v>
      </c>
      <c r="E19">
        <f>IFERROR(+VLOOKUP($B19,'BD ASVICC'!$A$6:$GQ$316,113,FALSE),"")</f>
        <v>0</v>
      </c>
      <c r="F19">
        <f>IFERROR(+VLOOKUP($B19,'BD ASVICC'!$A$6:$GQ$316,114,FALSE),"")</f>
        <v>0</v>
      </c>
      <c r="G19">
        <f>IFERROR(+VLOOKUP($B19,'BD ASVICC'!$A$6:$GQ$316,115,FALSE),"")</f>
        <v>0</v>
      </c>
      <c r="H19">
        <f t="shared" si="1"/>
        <v>21.79292531452009</v>
      </c>
      <c r="I19">
        <f t="shared" si="2"/>
        <v>326.89387971780138</v>
      </c>
      <c r="J19" s="846">
        <f>I19*'2. Incendis forestals'!$C$52</f>
        <v>3264035.3889822466</v>
      </c>
      <c r="K19" t="str">
        <f>VLOOKUP(B19,'BD ASVICC'!$A$6:$BG$316,59,FALSE)</f>
        <v>PREPIRINEU-PIRINEU</v>
      </c>
      <c r="L19">
        <f>VLOOKUP(K19,'2. Incendis forestals'!$F$9:$G$11,2,FALSE)</f>
        <v>0.75</v>
      </c>
      <c r="M19">
        <f t="shared" si="0"/>
        <v>59.930544614930248</v>
      </c>
      <c r="N19">
        <f t="shared" si="3"/>
        <v>898.95816922395375</v>
      </c>
      <c r="O19" s="846">
        <f>N19*'2. Incendis forestals'!$C$52</f>
        <v>8976097.319701178</v>
      </c>
      <c r="P19" s="846">
        <f t="shared" si="4"/>
        <v>5712061.9307189314</v>
      </c>
      <c r="Q19" s="854">
        <f>D19/VLOOKUP(C19,'BD Comarcal'!$A$5:$AX$17,21,FALSE)</f>
        <v>3.3357923807362008E-2</v>
      </c>
      <c r="R19">
        <f>VLOOKUP(C19,'BD Comarcal'!$A$5:$AX$17,50,FALSE)*Q19</f>
        <v>21.79292531452009</v>
      </c>
    </row>
    <row r="20" spans="1:18">
      <c r="A20">
        <v>8017</v>
      </c>
      <c r="B20" t="s">
        <v>812</v>
      </c>
      <c r="C20" t="s">
        <v>88</v>
      </c>
      <c r="D20">
        <f>IFERROR(+VLOOKUP(B20,'BD ASVICC'!$A$6:$GQ$316,5,FALSE),"")</f>
        <v>808</v>
      </c>
      <c r="E20">
        <f>IFERROR(+VLOOKUP($B20,'BD ASVICC'!$A$6:$GQ$316,113,FALSE),"")</f>
        <v>0.8</v>
      </c>
      <c r="F20">
        <f>IFERROR(+VLOOKUP($B20,'BD ASVICC'!$A$6:$GQ$316,114,FALSE),"")</f>
        <v>0.2</v>
      </c>
      <c r="G20">
        <f>IFERROR(+VLOOKUP($B20,'BD ASVICC'!$A$6:$GQ$316,115,FALSE),"")</f>
        <v>1</v>
      </c>
      <c r="H20">
        <f t="shared" si="1"/>
        <v>0.6284399202263703</v>
      </c>
      <c r="I20">
        <f t="shared" si="2"/>
        <v>9.4265988033955548</v>
      </c>
      <c r="J20" s="846">
        <f>I20*'2. Incendis forestals'!$C$52</f>
        <v>94124.589051904608</v>
      </c>
      <c r="K20" t="str">
        <f>VLOOKUP(B20,'BD ASVICC'!$A$6:$BG$316,59,FALSE)</f>
        <v>PREPIRINEU-PIRINEU</v>
      </c>
      <c r="L20">
        <f>VLOOKUP(K20,'2. Incendis forestals'!$F$9:$G$11,2,FALSE)</f>
        <v>0.75</v>
      </c>
      <c r="M20">
        <f t="shared" si="0"/>
        <v>1.7282097806225183</v>
      </c>
      <c r="N20">
        <f t="shared" si="3"/>
        <v>25.923146709337775</v>
      </c>
      <c r="O20" s="846">
        <f>N20*'2. Incendis forestals'!$C$52</f>
        <v>258842.61989273768</v>
      </c>
      <c r="P20" s="846">
        <f t="shared" si="4"/>
        <v>164718.03084083309</v>
      </c>
      <c r="Q20" s="854">
        <f>D20/VLOOKUP(C20,'BD Comarcal'!$A$5:$AX$17,21,FALSE)</f>
        <v>8.645594812643112E-3</v>
      </c>
      <c r="R20">
        <f>VLOOKUP(C20,'BD Comarcal'!$A$5:$AX$17,50,FALSE)*Q20</f>
        <v>0.6284399202263703</v>
      </c>
    </row>
    <row r="21" spans="1:18">
      <c r="A21">
        <v>8018</v>
      </c>
      <c r="B21" t="s">
        <v>817</v>
      </c>
      <c r="C21" t="s">
        <v>82</v>
      </c>
      <c r="D21">
        <f>IFERROR(+VLOOKUP(B21,'BD ASVICC'!$A$6:$GQ$316,5,FALSE),"")</f>
        <v>2470</v>
      </c>
      <c r="E21">
        <f>IFERROR(+VLOOKUP($B21,'BD ASVICC'!$A$6:$GQ$316,113,FALSE),"")</f>
        <v>16.96</v>
      </c>
      <c r="F21">
        <f>IFERROR(+VLOOKUP($B21,'BD ASVICC'!$A$6:$GQ$316,114,FALSE),"")</f>
        <v>1.6</v>
      </c>
      <c r="G21">
        <f>IFERROR(+VLOOKUP($B21,'BD ASVICC'!$A$6:$GQ$316,115,FALSE),"")</f>
        <v>18.559999999999999</v>
      </c>
      <c r="H21">
        <f t="shared" si="1"/>
        <v>27.236528706897037</v>
      </c>
      <c r="I21">
        <f t="shared" si="2"/>
        <v>408.54793060345554</v>
      </c>
      <c r="J21" s="846">
        <f>I21*'2. Incendis forestals'!$C$52</f>
        <v>4079351.0870755035</v>
      </c>
      <c r="K21" t="str">
        <f>VLOOKUP(B21,'BD ASVICC'!$A$6:$BG$316,59,FALSE)</f>
        <v>CENTRAL</v>
      </c>
      <c r="L21">
        <f>VLOOKUP(K21,'2. Incendis forestals'!$F$9:$G$11,2,FALSE)</f>
        <v>0.75</v>
      </c>
      <c r="M21">
        <f t="shared" si="0"/>
        <v>74.900453943966852</v>
      </c>
      <c r="N21">
        <f t="shared" si="3"/>
        <v>1123.5068091595028</v>
      </c>
      <c r="O21" s="846">
        <f>N21*'2. Incendis forestals'!$C$52</f>
        <v>11218215.489457635</v>
      </c>
      <c r="P21" s="846">
        <f t="shared" si="4"/>
        <v>7138864.4023821317</v>
      </c>
      <c r="Q21" s="854">
        <f>D21/VLOOKUP(C21,'BD Comarcal'!$A$5:$AX$17,21,FALSE)</f>
        <v>3.0500605072732213E-2</v>
      </c>
      <c r="R21">
        <f>VLOOKUP(C21,'BD Comarcal'!$A$5:$AX$17,50,FALSE)*Q21</f>
        <v>27.236528706897037</v>
      </c>
    </row>
    <row r="22" spans="1:18">
      <c r="A22">
        <v>8019</v>
      </c>
      <c r="B22" t="s">
        <v>331</v>
      </c>
      <c r="C22" t="s">
        <v>83</v>
      </c>
      <c r="D22">
        <f>IFERROR(+VLOOKUP(B22,'BD ASVICC'!$A$6:$GQ$316,5,FALSE),"")</f>
        <v>1916</v>
      </c>
      <c r="E22">
        <f>IFERROR(+VLOOKUP($B22,'BD ASVICC'!$A$6:$GQ$316,113,FALSE),"")</f>
        <v>21.81</v>
      </c>
      <c r="F22">
        <f>IFERROR(+VLOOKUP($B22,'BD ASVICC'!$A$6:$GQ$316,114,FALSE),"")</f>
        <v>95.287000000000006</v>
      </c>
      <c r="G22">
        <f>IFERROR(+VLOOKUP($B22,'BD ASVICC'!$A$6:$GQ$316,115,FALSE),"")</f>
        <v>117.09699999999997</v>
      </c>
      <c r="H22">
        <f t="shared" si="1"/>
        <v>29.766954543750227</v>
      </c>
      <c r="I22">
        <f t="shared" si="2"/>
        <v>446.50431815625342</v>
      </c>
      <c r="J22" s="846">
        <f>I22*'2. Incendis forestals'!$C$52</f>
        <v>4458345.6167901903</v>
      </c>
      <c r="K22" t="str">
        <f>VLOOKUP(B22,'BD ASVICC'!$A$6:$BG$316,59,FALSE)</f>
        <v>LITORAL</v>
      </c>
      <c r="L22">
        <f>VLOOKUP(K22,'2. Incendis forestals'!$F$9:$G$11,2,FALSE)</f>
        <v>0.75</v>
      </c>
      <c r="M22">
        <f t="shared" si="0"/>
        <v>81.859124995313124</v>
      </c>
      <c r="N22">
        <f t="shared" si="3"/>
        <v>1227.8868749296969</v>
      </c>
      <c r="O22" s="846">
        <f>N22*'2. Incendis forestals'!$C$52</f>
        <v>12260450.446173023</v>
      </c>
      <c r="P22" s="846">
        <f t="shared" si="4"/>
        <v>7802104.8293828331</v>
      </c>
      <c r="Q22" s="854">
        <f>D22/VLOOKUP(C22,'BD Comarcal'!$A$5:$AX$17,21,FALSE)</f>
        <v>0.74234792716001552</v>
      </c>
      <c r="R22">
        <f>VLOOKUP(C22,'BD Comarcal'!$A$5:$AX$17,50,FALSE)*Q22</f>
        <v>29.766954543750227</v>
      </c>
    </row>
    <row r="23" spans="1:18">
      <c r="A23">
        <v>8020</v>
      </c>
      <c r="B23" t="s">
        <v>825</v>
      </c>
      <c r="C23" t="s">
        <v>90</v>
      </c>
      <c r="D23">
        <f>IFERROR(+VLOOKUP(B23,'BD ASVICC'!$A$6:$GQ$316,5,FALSE),"")</f>
        <v>4379</v>
      </c>
      <c r="E23">
        <f>IFERROR(+VLOOKUP($B23,'BD ASVICC'!$A$6:$GQ$316,113,FALSE),"")</f>
        <v>0</v>
      </c>
      <c r="F23">
        <f>IFERROR(+VLOOKUP($B23,'BD ASVICC'!$A$6:$GQ$316,114,FALSE),"")</f>
        <v>0</v>
      </c>
      <c r="G23">
        <f>IFERROR(+VLOOKUP($B23,'BD ASVICC'!$A$6:$GQ$316,115,FALSE),"")</f>
        <v>0</v>
      </c>
      <c r="H23">
        <f t="shared" si="1"/>
        <v>36.404440137908438</v>
      </c>
      <c r="I23">
        <f t="shared" si="2"/>
        <v>546.06660206862659</v>
      </c>
      <c r="J23" s="846">
        <f>I23*'2. Incendis forestals'!$C$52</f>
        <v>5452475.0216552364</v>
      </c>
      <c r="K23" t="str">
        <f>VLOOKUP(B23,'BD ASVICC'!$A$6:$BG$316,59,FALSE)</f>
        <v>LITORAL</v>
      </c>
      <c r="L23">
        <f>VLOOKUP(K23,'2. Incendis forestals'!$F$9:$G$11,2,FALSE)</f>
        <v>0.75</v>
      </c>
      <c r="M23">
        <f t="shared" si="0"/>
        <v>100.11221037924821</v>
      </c>
      <c r="N23">
        <f t="shared" si="3"/>
        <v>1501.6831556887232</v>
      </c>
      <c r="O23" s="846">
        <f>N23*'2. Incendis forestals'!$C$52</f>
        <v>14994306.309551902</v>
      </c>
      <c r="P23" s="846">
        <f t="shared" si="4"/>
        <v>9541831.2878966667</v>
      </c>
      <c r="Q23" s="854">
        <f>D23/VLOOKUP(C23,'BD Comarcal'!$A$5:$AX$17,21,FALSE)</f>
        <v>0.16847491535857187</v>
      </c>
      <c r="R23">
        <f>VLOOKUP(C23,'BD Comarcal'!$A$5:$AX$17,50,FALSE)*Q23</f>
        <v>36.404440137908438</v>
      </c>
    </row>
    <row r="24" spans="1:18">
      <c r="A24">
        <v>8021</v>
      </c>
      <c r="B24" t="s">
        <v>829</v>
      </c>
      <c r="C24" t="s">
        <v>81</v>
      </c>
      <c r="D24">
        <f>IFERROR(+VLOOKUP(B24,'BD ASVICC'!$A$6:$GQ$316,5,FALSE),"")</f>
        <v>1849</v>
      </c>
      <c r="E24">
        <f>IFERROR(+VLOOKUP($B24,'BD ASVICC'!$A$6:$GQ$316,113,FALSE),"")</f>
        <v>2.15</v>
      </c>
      <c r="F24">
        <f>IFERROR(+VLOOKUP($B24,'BD ASVICC'!$A$6:$GQ$316,114,FALSE),"")</f>
        <v>0.52</v>
      </c>
      <c r="G24">
        <f>IFERROR(+VLOOKUP($B24,'BD ASVICC'!$A$6:$GQ$316,115,FALSE),"")</f>
        <v>2.67</v>
      </c>
      <c r="H24">
        <f t="shared" si="1"/>
        <v>20.411518480931548</v>
      </c>
      <c r="I24">
        <f t="shared" si="2"/>
        <v>306.17277721397323</v>
      </c>
      <c r="J24" s="846">
        <f>I24*'2. Incendis forestals'!$C$52</f>
        <v>3057135.1804815228</v>
      </c>
      <c r="K24" t="str">
        <f>VLOOKUP(B24,'BD ASVICC'!$A$6:$BG$316,59,FALSE)</f>
        <v>CENTRAL</v>
      </c>
      <c r="L24">
        <f>VLOOKUP(K24,'2. Incendis forestals'!$F$9:$G$11,2,FALSE)</f>
        <v>0.75</v>
      </c>
      <c r="M24">
        <f t="shared" si="0"/>
        <v>56.13167582256176</v>
      </c>
      <c r="N24">
        <f t="shared" si="3"/>
        <v>841.97513733842641</v>
      </c>
      <c r="O24" s="846">
        <f>N24*'2. Incendis forestals'!$C$52</f>
        <v>8407121.7463241871</v>
      </c>
      <c r="P24" s="846">
        <f t="shared" si="4"/>
        <v>5349986.5658426639</v>
      </c>
      <c r="Q24" s="854">
        <f>D24/VLOOKUP(C24,'BD Comarcal'!$A$5:$AX$17,21,FALSE)</f>
        <v>3.544794003182454E-2</v>
      </c>
      <c r="R24">
        <f>VLOOKUP(C24,'BD Comarcal'!$A$5:$AX$17,50,FALSE)*Q24</f>
        <v>20.411518480931548</v>
      </c>
    </row>
    <row r="25" spans="1:18">
      <c r="A25">
        <v>8022</v>
      </c>
      <c r="B25" t="s">
        <v>777</v>
      </c>
      <c r="C25" t="s">
        <v>84</v>
      </c>
      <c r="D25">
        <f>IFERROR(+VLOOKUP(B25,'BD ASVICC'!$A$6:$GQ$316,5,FALSE),"")</f>
        <v>1376</v>
      </c>
      <c r="E25">
        <f>IFERROR(+VLOOKUP($B25,'BD ASVICC'!$A$6:$GQ$316,113,FALSE),"")</f>
        <v>1.67</v>
      </c>
      <c r="F25">
        <f>IFERROR(+VLOOKUP($B25,'BD ASVICC'!$A$6:$GQ$316,114,FALSE),"")</f>
        <v>0</v>
      </c>
      <c r="G25">
        <f>IFERROR(+VLOOKUP($B25,'BD ASVICC'!$A$6:$GQ$316,115,FALSE),"")</f>
        <v>1.67</v>
      </c>
      <c r="H25">
        <f t="shared" si="1"/>
        <v>8.5021449483355944</v>
      </c>
      <c r="I25">
        <f t="shared" si="2"/>
        <v>127.53217422503391</v>
      </c>
      <c r="J25" s="846">
        <f>I25*'2. Incendis forestals'!$C$52</f>
        <v>1273408.7596369637</v>
      </c>
      <c r="K25" t="str">
        <f>VLOOKUP(B25,'BD ASVICC'!$A$6:$BG$316,59,FALSE)</f>
        <v>PREPIRINEU-PIRINEU</v>
      </c>
      <c r="L25">
        <f>VLOOKUP(K25,'2. Incendis forestals'!$F$9:$G$11,2,FALSE)</f>
        <v>0.75</v>
      </c>
      <c r="M25">
        <f t="shared" si="0"/>
        <v>23.380898607922884</v>
      </c>
      <c r="N25">
        <f t="shared" si="3"/>
        <v>350.71347911884328</v>
      </c>
      <c r="O25" s="846">
        <f>N25*'2. Incendis forestals'!$C$52</f>
        <v>3501874.08900165</v>
      </c>
      <c r="P25" s="846">
        <f t="shared" si="4"/>
        <v>2228465.3293646863</v>
      </c>
      <c r="Q25" s="854">
        <f>D25/VLOOKUP(C25,'BD Comarcal'!$A$5:$AX$17,21,FALSE)</f>
        <v>1.3014035485945598E-2</v>
      </c>
      <c r="R25">
        <f>VLOOKUP(C25,'BD Comarcal'!$A$5:$AX$17,50,FALSE)*Q25</f>
        <v>8.5021449483355944</v>
      </c>
    </row>
    <row r="26" spans="1:18">
      <c r="A26">
        <v>8023</v>
      </c>
      <c r="B26" t="s">
        <v>838</v>
      </c>
      <c r="C26" t="s">
        <v>24</v>
      </c>
      <c r="D26">
        <f>IFERROR(+VLOOKUP(B26,'BD ASVICC'!$A$6:$GQ$316,5,FALSE),"")</f>
        <v>1962</v>
      </c>
      <c r="E26">
        <f>IFERROR(+VLOOKUP($B26,'BD ASVICC'!$A$6:$GQ$316,113,FALSE),"")</f>
        <v>0</v>
      </c>
      <c r="F26">
        <f>IFERROR(+VLOOKUP($B26,'BD ASVICC'!$A$6:$GQ$316,114,FALSE),"")</f>
        <v>0</v>
      </c>
      <c r="G26">
        <f>IFERROR(+VLOOKUP($B26,'BD ASVICC'!$A$6:$GQ$316,115,FALSE),"")</f>
        <v>0</v>
      </c>
      <c r="H26">
        <f t="shared" si="1"/>
        <v>3.9918436996473448</v>
      </c>
      <c r="I26">
        <f t="shared" si="2"/>
        <v>59.877655494710169</v>
      </c>
      <c r="J26" s="846">
        <f>I26*'2. Incendis forestals'!$C$52</f>
        <v>597878.39011468098</v>
      </c>
      <c r="K26" t="str">
        <f>VLOOKUP(B26,'BD ASVICC'!$A$6:$BG$316,59,FALSE)</f>
        <v>CENTRAL</v>
      </c>
      <c r="L26">
        <f>VLOOKUP(K26,'2. Incendis forestals'!$F$9:$G$11,2,FALSE)</f>
        <v>0.75</v>
      </c>
      <c r="M26">
        <f t="shared" si="0"/>
        <v>10.977570174030198</v>
      </c>
      <c r="N26">
        <f t="shared" si="3"/>
        <v>164.66355261045297</v>
      </c>
      <c r="O26" s="846">
        <f>N26*'2. Incendis forestals'!$C$52</f>
        <v>1644165.5728153728</v>
      </c>
      <c r="P26" s="846">
        <f t="shared" si="4"/>
        <v>1046287.1827006919</v>
      </c>
      <c r="Q26" s="854">
        <f>D26/VLOOKUP(C26,'BD Comarcal'!$A$5:$AX$17,21,FALSE)</f>
        <v>3.8598493045582417E-2</v>
      </c>
      <c r="R26">
        <f>VLOOKUP(C26,'BD Comarcal'!$A$5:$AX$17,50,FALSE)*Q26</f>
        <v>3.9918436996473448</v>
      </c>
    </row>
    <row r="27" spans="1:18">
      <c r="A27">
        <v>8024</v>
      </c>
      <c r="B27" t="s">
        <v>843</v>
      </c>
      <c r="C27" t="s">
        <v>84</v>
      </c>
      <c r="D27">
        <f>IFERROR(+VLOOKUP(B27,'BD ASVICC'!$A$6:$GQ$316,5,FALSE),"")</f>
        <v>3739</v>
      </c>
      <c r="E27">
        <f>IFERROR(+VLOOKUP($B27,'BD ASVICC'!$A$6:$GQ$316,113,FALSE),"")</f>
        <v>0</v>
      </c>
      <c r="F27">
        <f>IFERROR(+VLOOKUP($B27,'BD ASVICC'!$A$6:$GQ$316,114,FALSE),"")</f>
        <v>0</v>
      </c>
      <c r="G27">
        <f>IFERROR(+VLOOKUP($B27,'BD ASVICC'!$A$6:$GQ$316,115,FALSE),"")</f>
        <v>0</v>
      </c>
      <c r="H27">
        <f t="shared" si="1"/>
        <v>23.102848809467144</v>
      </c>
      <c r="I27">
        <f t="shared" si="2"/>
        <v>346.54273214200714</v>
      </c>
      <c r="J27" s="846">
        <f>I27*'2. Incendis forestals'!$C$52</f>
        <v>3460229.1804379411</v>
      </c>
      <c r="K27" t="str">
        <f>VLOOKUP(B27,'BD ASVICC'!$A$6:$BG$316,59,FALSE)</f>
        <v>PREPIRINEU-PIRINEU</v>
      </c>
      <c r="L27">
        <f>VLOOKUP(K27,'2. Incendis forestals'!$F$9:$G$11,2,FALSE)</f>
        <v>0.75</v>
      </c>
      <c r="M27">
        <f t="shared" si="0"/>
        <v>63.532834226034652</v>
      </c>
      <c r="N27">
        <f t="shared" si="3"/>
        <v>952.99251339051978</v>
      </c>
      <c r="O27" s="846">
        <f>N27*'2. Incendis forestals'!$C$52</f>
        <v>9515630.2462043408</v>
      </c>
      <c r="P27" s="846">
        <f t="shared" si="4"/>
        <v>6055401.0657663997</v>
      </c>
      <c r="Q27" s="854">
        <f>D27/VLOOKUP(C27,'BD Comarcal'!$A$5:$AX$17,21,FALSE)</f>
        <v>3.536299322816177E-2</v>
      </c>
      <c r="R27">
        <f>VLOOKUP(C27,'BD Comarcal'!$A$5:$AX$17,50,FALSE)*Q27</f>
        <v>23.102848809467144</v>
      </c>
    </row>
    <row r="28" spans="1:18">
      <c r="A28">
        <v>8025</v>
      </c>
      <c r="B28" t="s">
        <v>846</v>
      </c>
      <c r="C28" t="s">
        <v>81</v>
      </c>
      <c r="D28">
        <f>IFERROR(+VLOOKUP(B28,'BD ASVICC'!$A$6:$GQ$316,5,FALSE),"")</f>
        <v>3982</v>
      </c>
      <c r="E28">
        <f>IFERROR(+VLOOKUP($B28,'BD ASVICC'!$A$6:$GQ$316,113,FALSE),"")</f>
        <v>16.04</v>
      </c>
      <c r="F28">
        <f>IFERROR(+VLOOKUP($B28,'BD ASVICC'!$A$6:$GQ$316,114,FALSE),"")</f>
        <v>13.16</v>
      </c>
      <c r="G28">
        <f>IFERROR(+VLOOKUP($B28,'BD ASVICC'!$A$6:$GQ$316,115,FALSE),"")</f>
        <v>29.2</v>
      </c>
      <c r="H28">
        <f t="shared" si="1"/>
        <v>43.958175549523759</v>
      </c>
      <c r="I28">
        <f t="shared" si="2"/>
        <v>659.37263324285641</v>
      </c>
      <c r="J28" s="846">
        <f>I28*'2. Incendis forestals'!$C$52</f>
        <v>6583835.7429299215</v>
      </c>
      <c r="K28" t="str">
        <f>VLOOKUP(B28,'BD ASVICC'!$A$6:$BG$316,59,FALSE)</f>
        <v>CENTRAL</v>
      </c>
      <c r="L28">
        <f>VLOOKUP(K28,'2. Incendis forestals'!$F$9:$G$11,2,FALSE)</f>
        <v>0.75</v>
      </c>
      <c r="M28">
        <f t="shared" si="0"/>
        <v>120.88498276119034</v>
      </c>
      <c r="N28">
        <f t="shared" si="3"/>
        <v>1813.2747414178552</v>
      </c>
      <c r="O28" s="846">
        <f>N28*'2. Incendis forestals'!$C$52</f>
        <v>18105548.293057285</v>
      </c>
      <c r="P28" s="846">
        <f t="shared" si="4"/>
        <v>11521712.550127365</v>
      </c>
      <c r="Q28" s="854">
        <f>D28/VLOOKUP(C28,'BD Comarcal'!$A$5:$AX$17,21,FALSE)</f>
        <v>7.6340560955503151E-2</v>
      </c>
      <c r="R28">
        <f>VLOOKUP(C28,'BD Comarcal'!$A$5:$AX$17,50,FALSE)*Q28</f>
        <v>43.958175549523759</v>
      </c>
    </row>
    <row r="29" spans="1:18">
      <c r="A29">
        <v>8026</v>
      </c>
      <c r="B29" t="s">
        <v>850</v>
      </c>
      <c r="C29" t="s">
        <v>88</v>
      </c>
      <c r="D29">
        <f>IFERROR(+VLOOKUP(B29,'BD ASVICC'!$A$6:$GQ$316,5,FALSE),"")</f>
        <v>3436</v>
      </c>
      <c r="E29">
        <f>IFERROR(+VLOOKUP($B29,'BD ASVICC'!$A$6:$GQ$316,113,FALSE),"")</f>
        <v>0</v>
      </c>
      <c r="F29">
        <f>IFERROR(+VLOOKUP($B29,'BD ASVICC'!$A$6:$GQ$316,114,FALSE),"")</f>
        <v>0</v>
      </c>
      <c r="G29">
        <f>IFERROR(+VLOOKUP($B29,'BD ASVICC'!$A$6:$GQ$316,115,FALSE),"")</f>
        <v>0</v>
      </c>
      <c r="H29">
        <f t="shared" si="1"/>
        <v>2.6724252053190698</v>
      </c>
      <c r="I29">
        <f t="shared" si="2"/>
        <v>40.086378079786044</v>
      </c>
      <c r="J29" s="846">
        <f>I29*'2. Incendis forestals'!$C$52</f>
        <v>400262.48512666364</v>
      </c>
      <c r="K29" t="str">
        <f>VLOOKUP(B29,'BD ASVICC'!$A$6:$BG$316,59,FALSE)</f>
        <v>PREPIRINEU-PIRINEU</v>
      </c>
      <c r="L29">
        <f>VLOOKUP(K29,'2. Incendis forestals'!$F$9:$G$11,2,FALSE)</f>
        <v>0.75</v>
      </c>
      <c r="M29">
        <f t="shared" si="0"/>
        <v>7.3491693146274422</v>
      </c>
      <c r="N29">
        <f t="shared" si="3"/>
        <v>110.23753971941163</v>
      </c>
      <c r="O29" s="846">
        <f>N29*'2. Incendis forestals'!$C$52</f>
        <v>1100721.8340983251</v>
      </c>
      <c r="P29" s="846">
        <f t="shared" si="4"/>
        <v>700459.34897166141</v>
      </c>
      <c r="Q29" s="854">
        <f>D29/VLOOKUP(C29,'BD Comarcal'!$A$5:$AX$17,21,FALSE)</f>
        <v>3.6765177940893234E-2</v>
      </c>
      <c r="R29">
        <f>VLOOKUP(C29,'BD Comarcal'!$A$5:$AX$17,50,FALSE)*Q29</f>
        <v>2.6724252053190698</v>
      </c>
    </row>
    <row r="30" spans="1:18">
      <c r="A30">
        <v>8027</v>
      </c>
      <c r="B30" t="s">
        <v>854</v>
      </c>
      <c r="C30" t="s">
        <v>791</v>
      </c>
      <c r="D30">
        <f>IFERROR(+VLOOKUP(B30,'BD ASVICC'!$A$6:$GQ$316,5,FALSE),"")</f>
        <v>8</v>
      </c>
      <c r="E30">
        <f>IFERROR(+VLOOKUP($B30,'BD ASVICC'!$A$6:$GQ$316,113,FALSE),"")</f>
        <v>0</v>
      </c>
      <c r="F30">
        <f>IFERROR(+VLOOKUP($B30,'BD ASVICC'!$A$6:$GQ$316,114,FALSE),"")</f>
        <v>0</v>
      </c>
      <c r="G30">
        <f>IFERROR(+VLOOKUP($B30,'BD ASVICC'!$A$6:$GQ$316,115,FALSE),"")</f>
        <v>0</v>
      </c>
      <c r="H30">
        <f t="shared" si="1"/>
        <v>5.8210434214492852E-2</v>
      </c>
      <c r="I30">
        <f t="shared" si="2"/>
        <v>0.87315651321739274</v>
      </c>
      <c r="J30" s="846">
        <f>I30*'2. Incendis forestals'!$C$52</f>
        <v>8718.4677844756661</v>
      </c>
      <c r="K30" t="str">
        <f>VLOOKUP(B30,'BD ASVICC'!$A$6:$BG$316,59,FALSE)</f>
        <v>LITORAL</v>
      </c>
      <c r="L30">
        <f>VLOOKUP(K30,'2. Incendis forestals'!$F$9:$G$11,2,FALSE)</f>
        <v>0.75</v>
      </c>
      <c r="M30">
        <f t="shared" si="0"/>
        <v>0.16007869408985534</v>
      </c>
      <c r="N30">
        <f t="shared" si="3"/>
        <v>2.4011804113478301</v>
      </c>
      <c r="O30" s="846">
        <f>N30*'2. Incendis forestals'!$C$52</f>
        <v>23975.786407308085</v>
      </c>
      <c r="P30" s="846">
        <f t="shared" si="4"/>
        <v>15257.318622832419</v>
      </c>
      <c r="Q30" s="854">
        <f>D30/VLOOKUP(C30,'BD Comarcal'!$A$5:$AX$17,21,FALSE)</f>
        <v>2.6049298297027123E-4</v>
      </c>
      <c r="R30">
        <f>VLOOKUP(C30,'BD Comarcal'!$A$5:$AX$17,50,FALSE)*Q30</f>
        <v>5.8210434214492852E-2</v>
      </c>
    </row>
    <row r="31" spans="1:18">
      <c r="A31">
        <v>8028</v>
      </c>
      <c r="B31" t="s">
        <v>856</v>
      </c>
      <c r="C31" t="s">
        <v>81</v>
      </c>
      <c r="D31">
        <f>IFERROR(+VLOOKUP(B31,'BD ASVICC'!$A$6:$GQ$316,5,FALSE),"")</f>
        <v>1138</v>
      </c>
      <c r="E31">
        <f>IFERROR(+VLOOKUP($B31,'BD ASVICC'!$A$6:$GQ$316,113,FALSE),"")</f>
        <v>6.6</v>
      </c>
      <c r="F31">
        <f>IFERROR(+VLOOKUP($B31,'BD ASVICC'!$A$6:$GQ$316,114,FALSE),"")</f>
        <v>0.8</v>
      </c>
      <c r="G31">
        <f>IFERROR(+VLOOKUP($B31,'BD ASVICC'!$A$6:$GQ$316,115,FALSE),"")</f>
        <v>7.4</v>
      </c>
      <c r="H31">
        <f t="shared" si="1"/>
        <v>12.562632791400816</v>
      </c>
      <c r="I31">
        <f t="shared" si="2"/>
        <v>188.43949187101225</v>
      </c>
      <c r="J31" s="846">
        <f>I31*'2. Incendis forestals'!$C$52</f>
        <v>1881568.3263320574</v>
      </c>
      <c r="K31" t="str">
        <f>VLOOKUP(B31,'BD ASVICC'!$A$6:$BG$316,59,FALSE)</f>
        <v>CENTRAL</v>
      </c>
      <c r="L31">
        <f>VLOOKUP(K31,'2. Incendis forestals'!$F$9:$G$11,2,FALSE)</f>
        <v>0.75</v>
      </c>
      <c r="M31">
        <f t="shared" si="0"/>
        <v>34.547240176352247</v>
      </c>
      <c r="N31">
        <f t="shared" si="3"/>
        <v>518.20860264528369</v>
      </c>
      <c r="O31" s="846">
        <f>N31*'2. Incendis forestals'!$C$52</f>
        <v>5174312.8974131579</v>
      </c>
      <c r="P31" s="846">
        <f t="shared" si="4"/>
        <v>3292744.5710811005</v>
      </c>
      <c r="Q31" s="854">
        <f>D31/VLOOKUP(C31,'BD Comarcal'!$A$5:$AX$17,21,FALSE)</f>
        <v>2.1817066390598341E-2</v>
      </c>
      <c r="R31">
        <f>VLOOKUP(C31,'BD Comarcal'!$A$5:$AX$17,50,FALSE)*Q31</f>
        <v>12.562632791400816</v>
      </c>
    </row>
    <row r="32" spans="1:18">
      <c r="A32">
        <v>8029</v>
      </c>
      <c r="B32" t="s">
        <v>336</v>
      </c>
      <c r="C32" t="s">
        <v>86</v>
      </c>
      <c r="D32">
        <f>IFERROR(+VLOOKUP(B32,'BD ASVICC'!$A$6:$GQ$316,5,FALSE),"")</f>
        <v>325</v>
      </c>
      <c r="E32">
        <f>IFERROR(+VLOOKUP($B32,'BD ASVICC'!$A$6:$GQ$316,113,FALSE),"")</f>
        <v>12.82</v>
      </c>
      <c r="F32">
        <f>IFERROR(+VLOOKUP($B32,'BD ASVICC'!$A$6:$GQ$316,114,FALSE),"")</f>
        <v>0.22</v>
      </c>
      <c r="G32">
        <f>IFERROR(+VLOOKUP($B32,'BD ASVICC'!$A$6:$GQ$316,115,FALSE),"")</f>
        <v>13.04</v>
      </c>
      <c r="H32">
        <f t="shared" si="1"/>
        <v>0.58195441969901762</v>
      </c>
      <c r="I32">
        <f t="shared" si="2"/>
        <v>8.7293162954852637</v>
      </c>
      <c r="J32" s="846">
        <f>I32*'2. Incendis forestals'!$C$52</f>
        <v>87162.223210420358</v>
      </c>
      <c r="K32" t="str">
        <f>VLOOKUP(B32,'BD ASVICC'!$A$6:$BG$316,59,FALSE)</f>
        <v>LITORAL</v>
      </c>
      <c r="L32">
        <f>VLOOKUP(K32,'2. Incendis forestals'!$F$9:$G$11,2,FALSE)</f>
        <v>0.75</v>
      </c>
      <c r="M32">
        <f t="shared" si="0"/>
        <v>1.6003746541722985</v>
      </c>
      <c r="N32">
        <f t="shared" si="3"/>
        <v>24.005619812584477</v>
      </c>
      <c r="O32" s="846">
        <f>N32*'2. Incendis forestals'!$C$52</f>
        <v>239696.113828656</v>
      </c>
      <c r="P32" s="846">
        <f t="shared" si="4"/>
        <v>152533.89061823563</v>
      </c>
      <c r="Q32" s="854">
        <f>D32/VLOOKUP(C32,'BD Comarcal'!$A$5:$AX$17,21,FALSE)</f>
        <v>1.2082233540280308E-2</v>
      </c>
      <c r="R32">
        <f>VLOOKUP(C32,'BD Comarcal'!$A$5:$AX$17,50,FALSE)*Q32</f>
        <v>0.58195441969901762</v>
      </c>
    </row>
    <row r="33" spans="1:18">
      <c r="A33">
        <v>8030</v>
      </c>
      <c r="B33" t="s">
        <v>864</v>
      </c>
      <c r="C33" t="s">
        <v>86</v>
      </c>
      <c r="D33">
        <f>IFERROR(+VLOOKUP(B33,'BD ASVICC'!$A$6:$GQ$316,5,FALSE),"")</f>
        <v>389</v>
      </c>
      <c r="E33">
        <f>IFERROR(+VLOOKUP($B33,'BD ASVICC'!$A$6:$GQ$316,113,FALSE),"")</f>
        <v>0</v>
      </c>
      <c r="F33">
        <f>IFERROR(+VLOOKUP($B33,'BD ASVICC'!$A$6:$GQ$316,114,FALSE),"")</f>
        <v>0</v>
      </c>
      <c r="G33">
        <f>IFERROR(+VLOOKUP($B33,'BD ASVICC'!$A$6:$GQ$316,115,FALSE),"")</f>
        <v>0</v>
      </c>
      <c r="H33">
        <f t="shared" si="1"/>
        <v>0.69655467465513177</v>
      </c>
      <c r="I33">
        <f t="shared" si="2"/>
        <v>10.448320119826976</v>
      </c>
      <c r="J33" s="846">
        <f>I33*'2. Incendis forestals'!$C$52</f>
        <v>104326.47639647235</v>
      </c>
      <c r="K33" t="str">
        <f>VLOOKUP(B33,'BD ASVICC'!$A$6:$BG$316,59,FALSE)</f>
        <v>LITORAL</v>
      </c>
      <c r="L33">
        <f>VLOOKUP(K33,'2. Incendis forestals'!$F$9:$G$11,2,FALSE)</f>
        <v>0.75</v>
      </c>
      <c r="M33">
        <f t="shared" si="0"/>
        <v>1.9155253553016123</v>
      </c>
      <c r="N33">
        <f t="shared" si="3"/>
        <v>28.732880329524185</v>
      </c>
      <c r="O33" s="846">
        <f>N33*'2. Incendis forestals'!$C$52</f>
        <v>286897.810090299</v>
      </c>
      <c r="P33" s="846">
        <f t="shared" si="4"/>
        <v>182571.33369382663</v>
      </c>
      <c r="Q33" s="854">
        <f>D33/VLOOKUP(C33,'BD Comarcal'!$A$5:$AX$17,21,FALSE)</f>
        <v>1.4461504145135506E-2</v>
      </c>
      <c r="R33">
        <f>VLOOKUP(C33,'BD Comarcal'!$A$5:$AX$17,50,FALSE)*Q33</f>
        <v>0.69655467465513177</v>
      </c>
    </row>
    <row r="34" spans="1:18">
      <c r="A34">
        <v>8031</v>
      </c>
      <c r="B34" t="s">
        <v>865</v>
      </c>
      <c r="C34" t="s">
        <v>81</v>
      </c>
      <c r="D34">
        <f>IFERROR(+VLOOKUP(B34,'BD ASVICC'!$A$6:$GQ$316,5,FALSE),"")</f>
        <v>76</v>
      </c>
      <c r="E34">
        <f>IFERROR(+VLOOKUP($B34,'BD ASVICC'!$A$6:$GQ$316,113,FALSE),"")</f>
        <v>2.42</v>
      </c>
      <c r="F34">
        <f>IFERROR(+VLOOKUP($B34,'BD ASVICC'!$A$6:$GQ$316,114,FALSE),"")</f>
        <v>2.8</v>
      </c>
      <c r="G34">
        <f>IFERROR(+VLOOKUP($B34,'BD ASVICC'!$A$6:$GQ$316,115,FALSE),"")</f>
        <v>5.22</v>
      </c>
      <c r="H34">
        <f t="shared" si="1"/>
        <v>0.83898074881059914</v>
      </c>
      <c r="I34">
        <f t="shared" si="2"/>
        <v>12.584711232158988</v>
      </c>
      <c r="J34" s="846">
        <f>I34*'2. Incendis forestals'!$C$52</f>
        <v>125658.34165310749</v>
      </c>
      <c r="K34" t="str">
        <f>VLOOKUP(B34,'BD ASVICC'!$A$6:$BG$316,59,FALSE)</f>
        <v>PREPIRINEU-PIRINEU</v>
      </c>
      <c r="L34">
        <f>VLOOKUP(K34,'2. Incendis forestals'!$F$9:$G$11,2,FALSE)</f>
        <v>0.75</v>
      </c>
      <c r="M34">
        <f t="shared" si="0"/>
        <v>2.3071970592291478</v>
      </c>
      <c r="N34">
        <f t="shared" si="3"/>
        <v>34.607955888437218</v>
      </c>
      <c r="O34" s="846">
        <f>N34*'2. Incendis forestals'!$C$52</f>
        <v>345560.43954604561</v>
      </c>
      <c r="P34" s="846">
        <f t="shared" si="4"/>
        <v>219902.09789293812</v>
      </c>
      <c r="Q34" s="854">
        <f>D34/VLOOKUP(C34,'BD Comarcal'!$A$5:$AX$17,21,FALSE)</f>
        <v>1.457027280918694E-3</v>
      </c>
      <c r="R34">
        <f>VLOOKUP(C34,'BD Comarcal'!$A$5:$AX$17,50,FALSE)*Q34</f>
        <v>0.83898074881059914</v>
      </c>
    </row>
    <row r="35" spans="1:18">
      <c r="A35">
        <v>8032</v>
      </c>
      <c r="B35" t="s">
        <v>337</v>
      </c>
      <c r="C35" t="s">
        <v>86</v>
      </c>
      <c r="D35">
        <f>IFERROR(+VLOOKUP(B35,'BD ASVICC'!$A$6:$GQ$316,5,FALSE),"")</f>
        <v>29</v>
      </c>
      <c r="E35">
        <f>IFERROR(+VLOOKUP($B35,'BD ASVICC'!$A$6:$GQ$316,113,FALSE),"")</f>
        <v>0</v>
      </c>
      <c r="F35">
        <f>IFERROR(+VLOOKUP($B35,'BD ASVICC'!$A$6:$GQ$316,114,FALSE),"")</f>
        <v>0</v>
      </c>
      <c r="G35">
        <f>IFERROR(+VLOOKUP($B35,'BD ASVICC'!$A$6:$GQ$316,115,FALSE),"")</f>
        <v>0</v>
      </c>
      <c r="H35">
        <f t="shared" si="1"/>
        <v>5.1928240526989258E-2</v>
      </c>
      <c r="I35">
        <f t="shared" si="2"/>
        <v>0.77892360790483883</v>
      </c>
      <c r="J35" s="846">
        <f>I35*'2. Incendis forestals'!$C$52</f>
        <v>7777.5522249298156</v>
      </c>
      <c r="K35" t="str">
        <f>VLOOKUP(B35,'BD ASVICC'!$A$6:$BG$316,59,FALSE)</f>
        <v>LITORAL</v>
      </c>
      <c r="L35">
        <f>VLOOKUP(K35,'2. Incendis forestals'!$F$9:$G$11,2,FALSE)</f>
        <v>0.75</v>
      </c>
      <c r="M35">
        <f t="shared" si="0"/>
        <v>0.14280266144922046</v>
      </c>
      <c r="N35">
        <f t="shared" si="3"/>
        <v>2.142039921738307</v>
      </c>
      <c r="O35" s="846">
        <f>N35*'2. Incendis forestals'!$C$52</f>
        <v>21388.268618556995</v>
      </c>
      <c r="P35" s="846">
        <f t="shared" si="4"/>
        <v>13610.716393627179</v>
      </c>
      <c r="Q35" s="854">
        <f>D35/VLOOKUP(C35,'BD Comarcal'!$A$5:$AX$17,21,FALSE)</f>
        <v>1.078106992825012E-3</v>
      </c>
      <c r="R35">
        <f>VLOOKUP(C35,'BD Comarcal'!$A$5:$AX$17,50,FALSE)*Q35</f>
        <v>5.1928240526989258E-2</v>
      </c>
    </row>
    <row r="36" spans="1:18">
      <c r="A36">
        <v>8033</v>
      </c>
      <c r="B36" t="s">
        <v>867</v>
      </c>
      <c r="C36" t="s">
        <v>24</v>
      </c>
      <c r="D36">
        <f>IFERROR(+VLOOKUP(B36,'BD ASVICC'!$A$6:$GQ$316,5,FALSE),"")</f>
        <v>2429</v>
      </c>
      <c r="E36">
        <f>IFERROR(+VLOOKUP($B36,'BD ASVICC'!$A$6:$GQ$316,113,FALSE),"")</f>
        <v>0</v>
      </c>
      <c r="F36">
        <f>IFERROR(+VLOOKUP($B36,'BD ASVICC'!$A$6:$GQ$316,114,FALSE),"")</f>
        <v>1</v>
      </c>
      <c r="G36">
        <f>IFERROR(+VLOOKUP($B36,'BD ASVICC'!$A$6:$GQ$316,115,FALSE),"")</f>
        <v>1</v>
      </c>
      <c r="H36">
        <f t="shared" si="1"/>
        <v>4.9419920216327222</v>
      </c>
      <c r="I36">
        <f t="shared" si="2"/>
        <v>74.129880324490827</v>
      </c>
      <c r="J36" s="846">
        <f>I36*'2. Incendis forestals'!$C$52</f>
        <v>740186.85504004091</v>
      </c>
      <c r="K36" t="str">
        <f>VLOOKUP(B36,'BD ASVICC'!$A$6:$BG$316,59,FALSE)</f>
        <v>CENTRAL</v>
      </c>
      <c r="L36">
        <f>VLOOKUP(K36,'2. Incendis forestals'!$F$9:$G$11,2,FALSE)</f>
        <v>0.75</v>
      </c>
      <c r="M36">
        <f t="shared" si="0"/>
        <v>13.590478059489985</v>
      </c>
      <c r="N36">
        <f t="shared" si="3"/>
        <v>203.85717089234979</v>
      </c>
      <c r="O36" s="846">
        <f>N36*'2. Incendis forestals'!$C$52</f>
        <v>2035513.8513601127</v>
      </c>
      <c r="P36" s="846">
        <f t="shared" si="4"/>
        <v>1295326.9963200716</v>
      </c>
      <c r="Q36" s="854">
        <f>D36/VLOOKUP(C36,'BD Comarcal'!$A$5:$AX$17,21,FALSE)</f>
        <v>4.7785800003934606E-2</v>
      </c>
      <c r="R36">
        <f>VLOOKUP(C36,'BD Comarcal'!$A$5:$AX$17,50,FALSE)*Q36</f>
        <v>4.9419920216327222</v>
      </c>
    </row>
    <row r="37" spans="1:18">
      <c r="A37">
        <v>8034</v>
      </c>
      <c r="B37" t="s">
        <v>875</v>
      </c>
      <c r="C37" t="s">
        <v>82</v>
      </c>
      <c r="D37">
        <f>IFERROR(+VLOOKUP(B37,'BD ASVICC'!$A$6:$GQ$316,5,FALSE),"")</f>
        <v>2396</v>
      </c>
      <c r="E37">
        <f>IFERROR(+VLOOKUP($B37,'BD ASVICC'!$A$6:$GQ$316,113,FALSE),"")</f>
        <v>33.799999999999997</v>
      </c>
      <c r="F37">
        <f>IFERROR(+VLOOKUP($B37,'BD ASVICC'!$A$6:$GQ$316,114,FALSE),"")</f>
        <v>7.6</v>
      </c>
      <c r="G37">
        <f>IFERROR(+VLOOKUP($B37,'BD ASVICC'!$A$6:$GQ$316,115,FALSE),"")</f>
        <v>41.4</v>
      </c>
      <c r="H37">
        <f t="shared" si="1"/>
        <v>26.420535539160038</v>
      </c>
      <c r="I37">
        <f t="shared" si="2"/>
        <v>396.30803308740059</v>
      </c>
      <c r="J37" s="846">
        <f>I37*'2. Incendis forestals'!$C$52</f>
        <v>3957135.710377695</v>
      </c>
      <c r="K37" t="str">
        <f>VLOOKUP(B37,'BD ASVICC'!$A$6:$BG$316,59,FALSE)</f>
        <v>PREPIRINEU-PIRINEU</v>
      </c>
      <c r="L37">
        <f>VLOOKUP(K37,'2. Incendis forestals'!$F$9:$G$11,2,FALSE)</f>
        <v>0.75</v>
      </c>
      <c r="M37">
        <f t="shared" si="0"/>
        <v>72.656472732690105</v>
      </c>
      <c r="N37">
        <f t="shared" si="3"/>
        <v>1089.8470909903515</v>
      </c>
      <c r="O37" s="846">
        <f>N37*'2. Incendis forestals'!$C$52</f>
        <v>10882123.20353866</v>
      </c>
      <c r="P37" s="846">
        <f t="shared" si="4"/>
        <v>6924987.4931609649</v>
      </c>
      <c r="Q37" s="854">
        <f>D37/VLOOKUP(C37,'BD Comarcal'!$A$5:$AX$17,21,FALSE)</f>
        <v>2.9586821762860881E-2</v>
      </c>
      <c r="R37">
        <f>VLOOKUP(C37,'BD Comarcal'!$A$5:$AX$17,50,FALSE)*Q37</f>
        <v>26.420535539160038</v>
      </c>
    </row>
    <row r="38" spans="1:18">
      <c r="A38">
        <v>8035</v>
      </c>
      <c r="B38" t="s">
        <v>338</v>
      </c>
      <c r="C38" t="s">
        <v>86</v>
      </c>
      <c r="D38">
        <f>IFERROR(+VLOOKUP(B38,'BD ASVICC'!$A$6:$GQ$316,5,FALSE),"")</f>
        <v>427</v>
      </c>
      <c r="E38">
        <f>IFERROR(+VLOOKUP($B38,'BD ASVICC'!$A$6:$GQ$316,113,FALSE),"")</f>
        <v>2.5</v>
      </c>
      <c r="F38">
        <f>IFERROR(+VLOOKUP($B38,'BD ASVICC'!$A$6:$GQ$316,114,FALSE),"")</f>
        <v>2.6</v>
      </c>
      <c r="G38">
        <f>IFERROR(+VLOOKUP($B38,'BD ASVICC'!$A$6:$GQ$316,115,FALSE),"")</f>
        <v>5.0999999999999996</v>
      </c>
      <c r="H38">
        <f t="shared" si="1"/>
        <v>0.76459857603532477</v>
      </c>
      <c r="I38">
        <f t="shared" si="2"/>
        <v>11.468978640529871</v>
      </c>
      <c r="J38" s="846">
        <f>I38*'2. Incendis forestals'!$C$52</f>
        <v>114517.75172569076</v>
      </c>
      <c r="K38" t="str">
        <f>VLOOKUP(B38,'BD ASVICC'!$A$6:$BG$316,59,FALSE)</f>
        <v>LITORAL</v>
      </c>
      <c r="L38">
        <f>VLOOKUP(K38,'2. Incendis forestals'!$F$9:$G$11,2,FALSE)</f>
        <v>0.75</v>
      </c>
      <c r="M38">
        <f t="shared" si="0"/>
        <v>2.102646084097143</v>
      </c>
      <c r="N38">
        <f t="shared" si="3"/>
        <v>31.539691261457147</v>
      </c>
      <c r="O38" s="846">
        <f>N38*'2. Incendis forestals'!$C$52</f>
        <v>314923.81724564964</v>
      </c>
      <c r="P38" s="846">
        <f t="shared" si="4"/>
        <v>200406.06551995888</v>
      </c>
      <c r="Q38" s="854">
        <f>D38/VLOOKUP(C38,'BD Comarcal'!$A$5:$AX$17,21,FALSE)</f>
        <v>1.5874196066768282E-2</v>
      </c>
      <c r="R38">
        <f>VLOOKUP(C38,'BD Comarcal'!$A$5:$AX$17,50,FALSE)*Q38</f>
        <v>0.76459857603532477</v>
      </c>
    </row>
    <row r="39" spans="1:18">
      <c r="A39">
        <v>8036</v>
      </c>
      <c r="B39" t="s">
        <v>881</v>
      </c>
      <c r="C39" t="s">
        <v>81</v>
      </c>
      <c r="D39">
        <f>IFERROR(+VLOOKUP(B39,'BD ASVICC'!$A$6:$GQ$316,5,FALSE),"")</f>
        <v>1480</v>
      </c>
      <c r="E39">
        <f>IFERROR(+VLOOKUP($B39,'BD ASVICC'!$A$6:$GQ$316,113,FALSE),"")</f>
        <v>0</v>
      </c>
      <c r="F39">
        <f>IFERROR(+VLOOKUP($B39,'BD ASVICC'!$A$6:$GQ$316,114,FALSE),"")</f>
        <v>0</v>
      </c>
      <c r="G39">
        <f>IFERROR(+VLOOKUP($B39,'BD ASVICC'!$A$6:$GQ$316,115,FALSE),"")</f>
        <v>0</v>
      </c>
      <c r="H39">
        <f t="shared" si="1"/>
        <v>16.33804616104851</v>
      </c>
      <c r="I39">
        <f t="shared" si="2"/>
        <v>245.07069241572765</v>
      </c>
      <c r="J39" s="846">
        <f>I39*'2. Incendis forestals'!$C$52</f>
        <v>2447030.8637710405</v>
      </c>
      <c r="K39" t="str">
        <f>VLOOKUP(B39,'BD ASVICC'!$A$6:$BG$316,59,FALSE)</f>
        <v>PREPIRINEU-PIRINEU</v>
      </c>
      <c r="L39">
        <f>VLOOKUP(K39,'2. Incendis forestals'!$F$9:$G$11,2,FALSE)</f>
        <v>0.75</v>
      </c>
      <c r="M39">
        <f t="shared" si="0"/>
        <v>44.929626942883402</v>
      </c>
      <c r="N39">
        <f t="shared" si="3"/>
        <v>673.94440414325106</v>
      </c>
      <c r="O39" s="846">
        <f>N39*'2. Incendis forestals'!$C$52</f>
        <v>6729334.8753703618</v>
      </c>
      <c r="P39" s="846">
        <f t="shared" si="4"/>
        <v>4282304.0115993209</v>
      </c>
      <c r="Q39" s="854">
        <f>D39/VLOOKUP(C39,'BD Comarcal'!$A$5:$AX$17,21,FALSE)</f>
        <v>2.8373689154732464E-2</v>
      </c>
      <c r="R39">
        <f>VLOOKUP(C39,'BD Comarcal'!$A$5:$AX$17,50,FALSE)*Q39</f>
        <v>16.33804616104851</v>
      </c>
    </row>
    <row r="40" spans="1:18">
      <c r="A40">
        <v>8037</v>
      </c>
      <c r="B40" t="s">
        <v>886</v>
      </c>
      <c r="C40" t="s">
        <v>88</v>
      </c>
      <c r="D40">
        <f>IFERROR(+VLOOKUP(B40,'BD ASVICC'!$A$6:$GQ$316,5,FALSE),"")</f>
        <v>76</v>
      </c>
      <c r="E40">
        <f>IFERROR(+VLOOKUP($B40,'BD ASVICC'!$A$6:$GQ$316,113,FALSE),"")</f>
        <v>0</v>
      </c>
      <c r="F40">
        <f>IFERROR(+VLOOKUP($B40,'BD ASVICC'!$A$6:$GQ$316,114,FALSE),"")</f>
        <v>0</v>
      </c>
      <c r="G40">
        <f>IFERROR(+VLOOKUP($B40,'BD ASVICC'!$A$6:$GQ$316,115,FALSE),"")</f>
        <v>0</v>
      </c>
      <c r="H40">
        <f t="shared" si="1"/>
        <v>5.9110685565846713E-2</v>
      </c>
      <c r="I40">
        <f t="shared" si="2"/>
        <v>0.88666028348770065</v>
      </c>
      <c r="J40" s="846">
        <f>I40*'2. Incendis forestals'!$C$52</f>
        <v>8853.3029306246917</v>
      </c>
      <c r="K40" t="str">
        <f>VLOOKUP(B40,'BD ASVICC'!$A$6:$BG$316,59,FALSE)</f>
        <v>CENTRAL</v>
      </c>
      <c r="L40">
        <f>VLOOKUP(K40,'2. Incendis forestals'!$F$9:$G$11,2,FALSE)</f>
        <v>0.75</v>
      </c>
      <c r="M40">
        <f t="shared" si="0"/>
        <v>0.16255438530607846</v>
      </c>
      <c r="N40">
        <f t="shared" si="3"/>
        <v>2.4383157795911767</v>
      </c>
      <c r="O40" s="846">
        <f>N40*'2. Incendis forestals'!$C$52</f>
        <v>24346.583059217901</v>
      </c>
      <c r="P40" s="846">
        <f t="shared" si="4"/>
        <v>15493.280128593209</v>
      </c>
      <c r="Q40" s="854">
        <f>D40/VLOOKUP(C40,'BD Comarcal'!$A$5:$AX$17,21,FALSE)</f>
        <v>8.1319951208029279E-4</v>
      </c>
      <c r="R40">
        <f>VLOOKUP(C40,'BD Comarcal'!$A$5:$AX$17,50,FALSE)*Q40</f>
        <v>5.9110685565846713E-2</v>
      </c>
    </row>
    <row r="41" spans="1:18">
      <c r="A41">
        <v>8038</v>
      </c>
      <c r="B41" t="s">
        <v>890</v>
      </c>
      <c r="C41" t="s">
        <v>82</v>
      </c>
      <c r="D41">
        <f>IFERROR(+VLOOKUP(B41,'BD ASVICC'!$A$6:$GQ$316,5,FALSE),"")</f>
        <v>721</v>
      </c>
      <c r="E41">
        <f>IFERROR(+VLOOKUP($B41,'BD ASVICC'!$A$6:$GQ$316,113,FALSE),"")</f>
        <v>0</v>
      </c>
      <c r="F41">
        <f>IFERROR(+VLOOKUP($B41,'BD ASVICC'!$A$6:$GQ$316,114,FALSE),"")</f>
        <v>1.6</v>
      </c>
      <c r="G41">
        <f>IFERROR(+VLOOKUP($B41,'BD ASVICC'!$A$6:$GQ$316,115,FALSE),"")</f>
        <v>1.6</v>
      </c>
      <c r="H41">
        <f t="shared" si="1"/>
        <v>7.9504199180861388</v>
      </c>
      <c r="I41">
        <f t="shared" si="2"/>
        <v>119.25629877129208</v>
      </c>
      <c r="J41" s="846">
        <f>I41*'2. Incendis forestals'!$C$52</f>
        <v>1190774.1432313514</v>
      </c>
      <c r="K41" t="str">
        <f>VLOOKUP(B41,'BD ASVICC'!$A$6:$BG$316,59,FALSE)</f>
        <v>CENTRAL</v>
      </c>
      <c r="L41">
        <f>VLOOKUP(K41,'2. Incendis forestals'!$F$9:$G$11,2,FALSE)</f>
        <v>0.75</v>
      </c>
      <c r="M41">
        <f t="shared" si="0"/>
        <v>21.863654774736879</v>
      </c>
      <c r="N41">
        <f t="shared" si="3"/>
        <v>327.95482162105321</v>
      </c>
      <c r="O41" s="846">
        <f>N41*'2. Incendis forestals'!$C$52</f>
        <v>3274628.8938862165</v>
      </c>
      <c r="P41" s="846">
        <f t="shared" si="4"/>
        <v>2083854.7506548651</v>
      </c>
      <c r="Q41" s="854">
        <f>D41/VLOOKUP(C41,'BD Comarcal'!$A$5:$AX$17,21,FALSE)</f>
        <v>8.9032130596922773E-3</v>
      </c>
      <c r="R41">
        <f>VLOOKUP(C41,'BD Comarcal'!$A$5:$AX$17,50,FALSE)*Q41</f>
        <v>7.9504199180861388</v>
      </c>
    </row>
    <row r="42" spans="1:18">
      <c r="A42">
        <v>8039</v>
      </c>
      <c r="B42" t="s">
        <v>894</v>
      </c>
      <c r="C42" t="s">
        <v>24</v>
      </c>
      <c r="D42">
        <f>IFERROR(+VLOOKUP(B42,'BD ASVICC'!$A$6:$GQ$316,5,FALSE),"")</f>
        <v>616</v>
      </c>
      <c r="E42">
        <f>IFERROR(+VLOOKUP($B42,'BD ASVICC'!$A$6:$GQ$316,113,FALSE),"")</f>
        <v>0</v>
      </c>
      <c r="F42">
        <f>IFERROR(+VLOOKUP($B42,'BD ASVICC'!$A$6:$GQ$316,114,FALSE),"")</f>
        <v>0</v>
      </c>
      <c r="G42">
        <f>IFERROR(+VLOOKUP($B42,'BD ASVICC'!$A$6:$GQ$316,115,FALSE),"")</f>
        <v>0</v>
      </c>
      <c r="H42">
        <f t="shared" si="1"/>
        <v>1.2533005703276068</v>
      </c>
      <c r="I42">
        <f t="shared" si="2"/>
        <v>18.799508554914102</v>
      </c>
      <c r="J42" s="846">
        <f>I42*'2. Incendis forestals'!$C$52</f>
        <v>187713.09292081732</v>
      </c>
      <c r="K42" t="str">
        <f>VLOOKUP(B42,'BD ASVICC'!$A$6:$BG$316,59,FALSE)</f>
        <v>CENTRAL</v>
      </c>
      <c r="L42">
        <f>VLOOKUP(K42,'2. Incendis forestals'!$F$9:$G$11,2,FALSE)</f>
        <v>0.75</v>
      </c>
      <c r="M42">
        <f t="shared" si="0"/>
        <v>3.4465765684009186</v>
      </c>
      <c r="N42">
        <f t="shared" si="3"/>
        <v>51.698648526013777</v>
      </c>
      <c r="O42" s="846">
        <f>N42*'2. Incendis forestals'!$C$52</f>
        <v>516211.00553224754</v>
      </c>
      <c r="P42" s="846">
        <f t="shared" si="4"/>
        <v>328497.91261143022</v>
      </c>
      <c r="Q42" s="854">
        <f>D42/VLOOKUP(C42,'BD Comarcal'!$A$5:$AX$17,21,FALSE)</f>
        <v>1.211858904998918E-2</v>
      </c>
      <c r="R42">
        <f>VLOOKUP(C42,'BD Comarcal'!$A$5:$AX$17,50,FALSE)*Q42</f>
        <v>1.2533005703276068</v>
      </c>
    </row>
    <row r="43" spans="1:18">
      <c r="A43">
        <v>8040</v>
      </c>
      <c r="B43" t="s">
        <v>339</v>
      </c>
      <c r="C43" t="s">
        <v>86</v>
      </c>
      <c r="D43">
        <f>IFERROR(+VLOOKUP(B43,'BD ASVICC'!$A$6:$GQ$316,5,FALSE),"")</f>
        <v>484</v>
      </c>
      <c r="E43">
        <f>IFERROR(+VLOOKUP($B43,'BD ASVICC'!$A$6:$GQ$316,113,FALSE),"")</f>
        <v>0</v>
      </c>
      <c r="F43">
        <f>IFERROR(+VLOOKUP($B43,'BD ASVICC'!$A$6:$GQ$316,114,FALSE),"")</f>
        <v>0</v>
      </c>
      <c r="G43">
        <f>IFERROR(+VLOOKUP($B43,'BD ASVICC'!$A$6:$GQ$316,115,FALSE),"")</f>
        <v>0</v>
      </c>
      <c r="H43">
        <f t="shared" si="1"/>
        <v>0.86666442810561384</v>
      </c>
      <c r="I43">
        <f t="shared" si="2"/>
        <v>12.999966421584208</v>
      </c>
      <c r="J43" s="846">
        <f>I43*'2. Incendis forestals'!$C$52</f>
        <v>129804.66471951832</v>
      </c>
      <c r="K43" t="str">
        <f>VLOOKUP(B43,'BD ASVICC'!$A$6:$BG$316,59,FALSE)</f>
        <v>LITORAL</v>
      </c>
      <c r="L43">
        <f>VLOOKUP(K43,'2. Incendis forestals'!$F$9:$G$11,2,FALSE)</f>
        <v>0.75</v>
      </c>
      <c r="M43">
        <f t="shared" si="0"/>
        <v>2.3833271772904379</v>
      </c>
      <c r="N43">
        <f t="shared" si="3"/>
        <v>35.749907659356566</v>
      </c>
      <c r="O43" s="846">
        <f>N43*'2. Incendis forestals'!$C$52</f>
        <v>356962.82797867531</v>
      </c>
      <c r="P43" s="846">
        <f t="shared" si="4"/>
        <v>227158.16325915698</v>
      </c>
      <c r="Q43" s="854">
        <f>D43/VLOOKUP(C43,'BD Comarcal'!$A$5:$AX$17,21,FALSE)</f>
        <v>1.7993233949217442E-2</v>
      </c>
      <c r="R43">
        <f>VLOOKUP(C43,'BD Comarcal'!$A$5:$AX$17,50,FALSE)*Q43</f>
        <v>0.86666442810561384</v>
      </c>
    </row>
    <row r="44" spans="1:18">
      <c r="A44">
        <v>8041</v>
      </c>
      <c r="B44" t="s">
        <v>900</v>
      </c>
      <c r="C44" t="s">
        <v>24</v>
      </c>
      <c r="D44">
        <f>IFERROR(+VLOOKUP(B44,'BD ASVICC'!$A$6:$GQ$316,5,FALSE),"")</f>
        <v>10</v>
      </c>
      <c r="E44">
        <f>IFERROR(+VLOOKUP($B44,'BD ASVICC'!$A$6:$GQ$316,113,FALSE),"")</f>
        <v>0</v>
      </c>
      <c r="F44">
        <f>IFERROR(+VLOOKUP($B44,'BD ASVICC'!$A$6:$GQ$316,114,FALSE),"")</f>
        <v>0</v>
      </c>
      <c r="G44">
        <f>IFERROR(+VLOOKUP($B44,'BD ASVICC'!$A$6:$GQ$316,115,FALSE),"")</f>
        <v>0</v>
      </c>
      <c r="H44">
        <f t="shared" si="1"/>
        <v>2.0345788479344266E-2</v>
      </c>
      <c r="I44">
        <f t="shared" si="2"/>
        <v>0.30518682719016399</v>
      </c>
      <c r="J44" s="846">
        <f>I44*'2. Incendis forestals'!$C$52</f>
        <v>3047.2904694937874</v>
      </c>
      <c r="K44" t="str">
        <f>VLOOKUP(B44,'BD ASVICC'!$A$6:$BG$316,59,FALSE)</f>
        <v>LITORAL</v>
      </c>
      <c r="L44">
        <f>VLOOKUP(K44,'2. Incendis forestals'!$F$9:$G$11,2,FALSE)</f>
        <v>0.75</v>
      </c>
      <c r="M44">
        <f t="shared" si="0"/>
        <v>5.5950918318196735E-2</v>
      </c>
      <c r="N44">
        <f t="shared" si="3"/>
        <v>0.839263774772951</v>
      </c>
      <c r="O44" s="846">
        <f>N44*'2. Incendis forestals'!$C$52</f>
        <v>8380.0487911079163</v>
      </c>
      <c r="P44" s="846">
        <f t="shared" si="4"/>
        <v>5332.7583216141284</v>
      </c>
      <c r="Q44" s="854">
        <f>D44/VLOOKUP(C44,'BD Comarcal'!$A$5:$AX$17,21,FALSE)</f>
        <v>1.9673034172060358E-4</v>
      </c>
      <c r="R44">
        <f>VLOOKUP(C44,'BD Comarcal'!$A$5:$AX$17,50,FALSE)*Q44</f>
        <v>2.0345788479344266E-2</v>
      </c>
    </row>
    <row r="45" spans="1:18">
      <c r="A45">
        <v>8042</v>
      </c>
      <c r="B45" t="s">
        <v>901</v>
      </c>
      <c r="C45" t="s">
        <v>24</v>
      </c>
      <c r="D45">
        <f>IFERROR(+VLOOKUP(B45,'BD ASVICC'!$A$6:$GQ$316,5,FALSE),"")</f>
        <v>2211</v>
      </c>
      <c r="E45">
        <f>IFERROR(+VLOOKUP($B45,'BD ASVICC'!$A$6:$GQ$316,113,FALSE),"")</f>
        <v>0</v>
      </c>
      <c r="F45">
        <f>IFERROR(+VLOOKUP($B45,'BD ASVICC'!$A$6:$GQ$316,114,FALSE),"")</f>
        <v>0</v>
      </c>
      <c r="G45">
        <f>IFERROR(+VLOOKUP($B45,'BD ASVICC'!$A$6:$GQ$316,115,FALSE),"")</f>
        <v>0</v>
      </c>
      <c r="H45">
        <f t="shared" si="1"/>
        <v>4.4984538327830172</v>
      </c>
      <c r="I45">
        <f t="shared" si="2"/>
        <v>67.476807491745262</v>
      </c>
      <c r="J45" s="846">
        <f>I45*'2. Incendis forestals'!$C$52</f>
        <v>673755.92280507647</v>
      </c>
      <c r="K45" t="str">
        <f>VLOOKUP(B45,'BD ASVICC'!$A$6:$BG$316,59,FALSE)</f>
        <v>CENTRAL</v>
      </c>
      <c r="L45">
        <f>VLOOKUP(K45,'2. Incendis forestals'!$F$9:$G$11,2,FALSE)</f>
        <v>0.75</v>
      </c>
      <c r="M45">
        <f t="shared" si="0"/>
        <v>12.370748040153298</v>
      </c>
      <c r="N45">
        <f t="shared" si="3"/>
        <v>185.56122060229947</v>
      </c>
      <c r="O45" s="846">
        <f>N45*'2. Incendis forestals'!$C$52</f>
        <v>1852828.7877139603</v>
      </c>
      <c r="P45" s="846">
        <f t="shared" si="4"/>
        <v>1179072.8649088838</v>
      </c>
      <c r="Q45" s="854">
        <f>D45/VLOOKUP(C45,'BD Comarcal'!$A$5:$AX$17,21,FALSE)</f>
        <v>4.3497078554425452E-2</v>
      </c>
      <c r="R45">
        <f>VLOOKUP(C45,'BD Comarcal'!$A$5:$AX$17,50,FALSE)*Q45</f>
        <v>4.4984538327830172</v>
      </c>
    </row>
    <row r="46" spans="1:18">
      <c r="A46">
        <v>8043</v>
      </c>
      <c r="B46" t="s">
        <v>906</v>
      </c>
      <c r="C46" t="s">
        <v>85</v>
      </c>
      <c r="D46">
        <f>IFERROR(+VLOOKUP(B46,'BD ASVICC'!$A$6:$GQ$316,5,FALSE),"")</f>
        <v>972</v>
      </c>
      <c r="E46">
        <f>IFERROR(+VLOOKUP($B46,'BD ASVICC'!$A$6:$GQ$316,113,FALSE),"")</f>
        <v>5.42</v>
      </c>
      <c r="F46">
        <f>IFERROR(+VLOOKUP($B46,'BD ASVICC'!$A$6:$GQ$316,114,FALSE),"")</f>
        <v>1.2</v>
      </c>
      <c r="G46">
        <f>IFERROR(+VLOOKUP($B46,'BD ASVICC'!$A$6:$GQ$316,115,FALSE),"")</f>
        <v>6.62</v>
      </c>
      <c r="H46">
        <f t="shared" si="1"/>
        <v>12.387788646162614</v>
      </c>
      <c r="I46">
        <f t="shared" si="2"/>
        <v>185.8168296924392</v>
      </c>
      <c r="J46" s="846">
        <f>I46*'2. Incendis forestals'!$C$52</f>
        <v>1855381.0444790055</v>
      </c>
      <c r="K46" t="str">
        <f>VLOOKUP(B46,'BD ASVICC'!$A$6:$BG$316,59,FALSE)</f>
        <v>LITORAL</v>
      </c>
      <c r="L46">
        <f>VLOOKUP(K46,'2. Incendis forestals'!$F$9:$G$11,2,FALSE)</f>
        <v>0.75</v>
      </c>
      <c r="M46">
        <f t="shared" si="0"/>
        <v>34.066418776947188</v>
      </c>
      <c r="N46">
        <f t="shared" si="3"/>
        <v>510.99628165420779</v>
      </c>
      <c r="O46" s="846">
        <f>N46*'2. Incendis forestals'!$C$52</f>
        <v>5102297.8723172648</v>
      </c>
      <c r="P46" s="846">
        <f t="shared" si="4"/>
        <v>3246916.8278382593</v>
      </c>
      <c r="Q46" s="854">
        <f>D46/VLOOKUP(C46,'BD Comarcal'!$A$5:$AX$17,21,FALSE)</f>
        <v>8.0244365557665315E-2</v>
      </c>
      <c r="R46">
        <f>VLOOKUP(C46,'BD Comarcal'!$A$5:$AX$17,50,FALSE)*Q46</f>
        <v>12.387788646162614</v>
      </c>
    </row>
    <row r="47" spans="1:18">
      <c r="A47">
        <v>8044</v>
      </c>
      <c r="B47" t="s">
        <v>912</v>
      </c>
      <c r="C47" t="s">
        <v>81</v>
      </c>
      <c r="D47">
        <f>IFERROR(+VLOOKUP(B47,'BD ASVICC'!$A$6:$GQ$316,5,FALSE),"")</f>
        <v>153</v>
      </c>
      <c r="E47">
        <f>IFERROR(+VLOOKUP($B47,'BD ASVICC'!$A$6:$GQ$316,113,FALSE),"")</f>
        <v>1.5</v>
      </c>
      <c r="F47">
        <f>IFERROR(+VLOOKUP($B47,'BD ASVICC'!$A$6:$GQ$316,114,FALSE),"")</f>
        <v>0</v>
      </c>
      <c r="G47">
        <f>IFERROR(+VLOOKUP($B47,'BD ASVICC'!$A$6:$GQ$316,115,FALSE),"")</f>
        <v>1.5</v>
      </c>
      <c r="H47">
        <f t="shared" si="1"/>
        <v>1.6890007180002853</v>
      </c>
      <c r="I47">
        <f t="shared" si="2"/>
        <v>25.335010770004278</v>
      </c>
      <c r="J47" s="846">
        <f>I47*'2. Incendis forestals'!$C$52</f>
        <v>252970.08253849272</v>
      </c>
      <c r="K47" t="str">
        <f>VLOOKUP(B47,'BD ASVICC'!$A$6:$BG$316,59,FALSE)</f>
        <v>CENTRAL</v>
      </c>
      <c r="L47">
        <f>VLOOKUP(K47,'2. Incendis forestals'!$F$9:$G$11,2,FALSE)</f>
        <v>0.75</v>
      </c>
      <c r="M47">
        <f t="shared" si="0"/>
        <v>4.6447519745007844</v>
      </c>
      <c r="N47">
        <f t="shared" si="3"/>
        <v>69.671279617511772</v>
      </c>
      <c r="O47" s="846">
        <f>N47*'2. Incendis forestals'!$C$52</f>
        <v>695667.72698085499</v>
      </c>
      <c r="P47" s="846">
        <f t="shared" si="4"/>
        <v>442697.64444236225</v>
      </c>
      <c r="Q47" s="854">
        <f>D47/VLOOKUP(C47,'BD Comarcal'!$A$5:$AX$17,21,FALSE)</f>
        <v>2.9332259734284236E-3</v>
      </c>
      <c r="R47">
        <f>VLOOKUP(C47,'BD Comarcal'!$A$5:$AX$17,50,FALSE)*Q47</f>
        <v>1.6890007180002853</v>
      </c>
    </row>
    <row r="48" spans="1:18">
      <c r="A48">
        <v>8045</v>
      </c>
      <c r="B48" t="s">
        <v>916</v>
      </c>
      <c r="C48" t="s">
        <v>84</v>
      </c>
      <c r="D48">
        <f>IFERROR(+VLOOKUP(B48,'BD ASVICC'!$A$6:$GQ$316,5,FALSE),"")</f>
        <v>2786</v>
      </c>
      <c r="E48">
        <f>IFERROR(+VLOOKUP($B48,'BD ASVICC'!$A$6:$GQ$316,113,FALSE),"")</f>
        <v>0</v>
      </c>
      <c r="F48">
        <f>IFERROR(+VLOOKUP($B48,'BD ASVICC'!$A$6:$GQ$316,114,FALSE),"")</f>
        <v>0</v>
      </c>
      <c r="G48">
        <f>IFERROR(+VLOOKUP($B48,'BD ASVICC'!$A$6:$GQ$316,115,FALSE),"")</f>
        <v>0</v>
      </c>
      <c r="H48">
        <f t="shared" si="1"/>
        <v>17.214371966615531</v>
      </c>
      <c r="I48">
        <f t="shared" si="2"/>
        <v>258.21557949923294</v>
      </c>
      <c r="J48" s="846">
        <f>I48*'2. Incendis forestals'!$C$52</f>
        <v>2578282.5612998409</v>
      </c>
      <c r="K48" t="str">
        <f>VLOOKUP(B48,'BD ASVICC'!$A$6:$BG$316,59,FALSE)</f>
        <v>PREPIRINEU-PIRINEU</v>
      </c>
      <c r="L48">
        <f>VLOOKUP(K48,'2. Incendis forestals'!$F$9:$G$11,2,FALSE)</f>
        <v>0.75</v>
      </c>
      <c r="M48">
        <f t="shared" si="0"/>
        <v>47.339522908192706</v>
      </c>
      <c r="N48">
        <f t="shared" si="3"/>
        <v>710.09284362289054</v>
      </c>
      <c r="O48" s="846">
        <f>N48*'2. Incendis forestals'!$C$52</f>
        <v>7090277.0435745623</v>
      </c>
      <c r="P48" s="846">
        <f t="shared" si="4"/>
        <v>4511994.4822747214</v>
      </c>
      <c r="Q48" s="854">
        <f>D48/VLOOKUP(C48,'BD Comarcal'!$A$5:$AX$17,21,FALSE)</f>
        <v>2.6349638709189271E-2</v>
      </c>
      <c r="R48">
        <f>VLOOKUP(C48,'BD Comarcal'!$A$5:$AX$17,50,FALSE)*Q48</f>
        <v>17.214371966615531</v>
      </c>
    </row>
    <row r="49" spans="1:18">
      <c r="A49">
        <v>8046</v>
      </c>
      <c r="B49" t="s">
        <v>920</v>
      </c>
      <c r="C49" t="s">
        <v>24</v>
      </c>
      <c r="D49">
        <f>IFERROR(+VLOOKUP(B49,'BD ASVICC'!$A$6:$GQ$316,5,FALSE),"")</f>
        <v>279</v>
      </c>
      <c r="E49">
        <f>IFERROR(+VLOOKUP($B49,'BD ASVICC'!$A$6:$GQ$316,113,FALSE),"")</f>
        <v>0</v>
      </c>
      <c r="F49">
        <f>IFERROR(+VLOOKUP($B49,'BD ASVICC'!$A$6:$GQ$316,114,FALSE),"")</f>
        <v>0</v>
      </c>
      <c r="G49">
        <f>IFERROR(+VLOOKUP($B49,'BD ASVICC'!$A$6:$GQ$316,115,FALSE),"")</f>
        <v>0</v>
      </c>
      <c r="H49">
        <f t="shared" si="1"/>
        <v>0.567647498573705</v>
      </c>
      <c r="I49">
        <f t="shared" si="2"/>
        <v>8.5147124786055741</v>
      </c>
      <c r="J49" s="846">
        <f>I49*'2. Incendis forestals'!$C$52</f>
        <v>85019.404098876665</v>
      </c>
      <c r="K49" t="str">
        <f>VLOOKUP(B49,'BD ASVICC'!$A$6:$BG$316,59,FALSE)</f>
        <v>CENTRAL</v>
      </c>
      <c r="L49">
        <f>VLOOKUP(K49,'2. Incendis forestals'!$F$9:$G$11,2,FALSE)</f>
        <v>0.75</v>
      </c>
      <c r="M49">
        <f t="shared" si="0"/>
        <v>1.5610306210776888</v>
      </c>
      <c r="N49">
        <f t="shared" si="3"/>
        <v>23.415459316165332</v>
      </c>
      <c r="O49" s="846">
        <f>N49*'2. Incendis forestals'!$C$52</f>
        <v>233803.36127191084</v>
      </c>
      <c r="P49" s="846">
        <f t="shared" si="4"/>
        <v>148783.95717303417</v>
      </c>
      <c r="Q49" s="854">
        <f>D49/VLOOKUP(C49,'BD Comarcal'!$A$5:$AX$17,21,FALSE)</f>
        <v>5.4887765340048394E-3</v>
      </c>
      <c r="R49">
        <f>VLOOKUP(C49,'BD Comarcal'!$A$5:$AX$17,50,FALSE)*Q49</f>
        <v>0.567647498573705</v>
      </c>
    </row>
    <row r="50" spans="1:18">
      <c r="A50">
        <v>8047</v>
      </c>
      <c r="B50" t="s">
        <v>924</v>
      </c>
      <c r="C50" t="s">
        <v>82</v>
      </c>
      <c r="D50">
        <f>IFERROR(+VLOOKUP(B50,'BD ASVICC'!$A$6:$GQ$316,5,FALSE),"")</f>
        <v>4259</v>
      </c>
      <c r="E50">
        <f>IFERROR(+VLOOKUP($B50,'BD ASVICC'!$A$6:$GQ$316,113,FALSE),"")</f>
        <v>5113.38</v>
      </c>
      <c r="F50">
        <f>IFERROR(+VLOOKUP($B50,'BD ASVICC'!$A$6:$GQ$316,114,FALSE),"")</f>
        <v>706.23</v>
      </c>
      <c r="G50">
        <f>IFERROR(+VLOOKUP($B50,'BD ASVICC'!$A$6:$GQ$316,115,FALSE),"")</f>
        <v>5819.61</v>
      </c>
      <c r="H50">
        <f t="shared" si="1"/>
        <v>46.963714883673873</v>
      </c>
      <c r="I50">
        <f t="shared" si="2"/>
        <v>704.45572325510807</v>
      </c>
      <c r="J50" s="846">
        <f>I50*'2. Incendis forestals'!$C$52</f>
        <v>7033990.3967022542</v>
      </c>
      <c r="K50" t="str">
        <f>VLOOKUP(B50,'BD ASVICC'!$A$6:$BG$316,59,FALSE)</f>
        <v>CENTRAL</v>
      </c>
      <c r="L50">
        <f>VLOOKUP(K50,'2. Incendis forestals'!$F$9:$G$11,2,FALSE)</f>
        <v>0.75</v>
      </c>
      <c r="M50">
        <f t="shared" si="0"/>
        <v>129.15021593010314</v>
      </c>
      <c r="N50">
        <f t="shared" si="3"/>
        <v>1937.2532389515472</v>
      </c>
      <c r="O50" s="846">
        <f>N50*'2. Incendis forestals'!$C$52</f>
        <v>19343473.590931199</v>
      </c>
      <c r="P50" s="846">
        <f t="shared" si="4"/>
        <v>12309483.194228945</v>
      </c>
      <c r="Q50" s="854">
        <f>D50/VLOOKUP(C50,'BD Comarcal'!$A$5:$AX$17,21,FALSE)</f>
        <v>5.2591934010026917E-2</v>
      </c>
      <c r="R50">
        <f>VLOOKUP(C50,'BD Comarcal'!$A$5:$AX$17,50,FALSE)*Q50</f>
        <v>46.963714883673873</v>
      </c>
    </row>
    <row r="51" spans="1:18">
      <c r="A51">
        <v>8048</v>
      </c>
      <c r="B51" t="s">
        <v>929</v>
      </c>
      <c r="C51" t="s">
        <v>81</v>
      </c>
      <c r="D51">
        <f>IFERROR(+VLOOKUP(B51,'BD ASVICC'!$A$6:$GQ$316,5,FALSE),"")</f>
        <v>713</v>
      </c>
      <c r="E51">
        <f>IFERROR(+VLOOKUP($B51,'BD ASVICC'!$A$6:$GQ$316,113,FALSE),"")</f>
        <v>0</v>
      </c>
      <c r="F51">
        <f>IFERROR(+VLOOKUP($B51,'BD ASVICC'!$A$6:$GQ$316,114,FALSE),"")</f>
        <v>0</v>
      </c>
      <c r="G51">
        <f>IFERROR(+VLOOKUP($B51,'BD ASVICC'!$A$6:$GQ$316,115,FALSE),"")</f>
        <v>0</v>
      </c>
      <c r="H51">
        <f t="shared" si="1"/>
        <v>7.8709641302889102</v>
      </c>
      <c r="I51">
        <f t="shared" si="2"/>
        <v>118.06446195433365</v>
      </c>
      <c r="J51" s="846">
        <f>I51*'2. Incendis forestals'!$C$52</f>
        <v>1178873.6526140214</v>
      </c>
      <c r="K51" t="str">
        <f>VLOOKUP(B51,'BD ASVICC'!$A$6:$BG$316,59,FALSE)</f>
        <v>CENTRAL</v>
      </c>
      <c r="L51">
        <f>VLOOKUP(K51,'2. Incendis forestals'!$F$9:$G$11,2,FALSE)</f>
        <v>0.75</v>
      </c>
      <c r="M51">
        <f t="shared" si="0"/>
        <v>21.645151358294502</v>
      </c>
      <c r="N51">
        <f t="shared" si="3"/>
        <v>324.6772703744175</v>
      </c>
      <c r="O51" s="846">
        <f>N51*'2. Incendis forestals'!$C$52</f>
        <v>3241902.5446885587</v>
      </c>
      <c r="P51" s="846">
        <f t="shared" si="4"/>
        <v>2063028.8920745372</v>
      </c>
      <c r="Q51" s="854">
        <f>D51/VLOOKUP(C51,'BD Comarcal'!$A$5:$AX$17,21,FALSE)</f>
        <v>1.3669216464408274E-2</v>
      </c>
      <c r="R51">
        <f>VLOOKUP(C51,'BD Comarcal'!$A$5:$AX$17,50,FALSE)*Q51</f>
        <v>7.8709641302889102</v>
      </c>
    </row>
    <row r="52" spans="1:18">
      <c r="A52">
        <v>8049</v>
      </c>
      <c r="B52" t="s">
        <v>934</v>
      </c>
      <c r="C52" t="s">
        <v>84</v>
      </c>
      <c r="D52">
        <f>IFERROR(+VLOOKUP(B52,'BD ASVICC'!$A$6:$GQ$316,5,FALSE),"")</f>
        <v>1739</v>
      </c>
      <c r="E52">
        <f>IFERROR(+VLOOKUP($B52,'BD ASVICC'!$A$6:$GQ$316,113,FALSE),"")</f>
        <v>2</v>
      </c>
      <c r="F52">
        <f>IFERROR(+VLOOKUP($B52,'BD ASVICC'!$A$6:$GQ$316,114,FALSE),"")</f>
        <v>0</v>
      </c>
      <c r="G52">
        <f>IFERROR(+VLOOKUP($B52,'BD ASVICC'!$A$6:$GQ$316,115,FALSE),"")</f>
        <v>2</v>
      </c>
      <c r="H52">
        <f t="shared" si="1"/>
        <v>10.745079989211918</v>
      </c>
      <c r="I52">
        <f t="shared" si="2"/>
        <v>161.17619983817877</v>
      </c>
      <c r="J52" s="846">
        <f>I52*'2. Incendis forestals'!$C$52</f>
        <v>1609344.355384215</v>
      </c>
      <c r="K52" t="str">
        <f>VLOOKUP(B52,'BD ASVICC'!$A$6:$BG$316,59,FALSE)</f>
        <v>PREPIRINEU-PIRINEU</v>
      </c>
      <c r="L52">
        <f>VLOOKUP(K52,'2. Incendis forestals'!$F$9:$G$11,2,FALSE)</f>
        <v>0.75</v>
      </c>
      <c r="M52">
        <f t="shared" si="0"/>
        <v>29.548969970332777</v>
      </c>
      <c r="N52">
        <f t="shared" si="3"/>
        <v>443.23454955499164</v>
      </c>
      <c r="O52" s="846">
        <f>N52*'2. Incendis forestals'!$C$52</f>
        <v>4425696.9773065913</v>
      </c>
      <c r="P52" s="846">
        <f t="shared" si="4"/>
        <v>2816352.6219223766</v>
      </c>
      <c r="Q52" s="854">
        <f>D52/VLOOKUP(C52,'BD Comarcal'!$A$5:$AX$17,21,FALSE)</f>
        <v>1.6447243975333863E-2</v>
      </c>
      <c r="R52">
        <f>VLOOKUP(C52,'BD Comarcal'!$A$5:$AX$17,50,FALSE)*Q52</f>
        <v>10.745079989211918</v>
      </c>
    </row>
    <row r="53" spans="1:18">
      <c r="A53">
        <v>8050</v>
      </c>
      <c r="B53" t="s">
        <v>942</v>
      </c>
      <c r="C53" t="s">
        <v>84</v>
      </c>
      <c r="D53">
        <f>IFERROR(+VLOOKUP(B53,'BD ASVICC'!$A$6:$GQ$316,5,FALSE),"")</f>
        <v>2914</v>
      </c>
      <c r="E53">
        <f>IFERROR(+VLOOKUP($B53,'BD ASVICC'!$A$6:$GQ$316,113,FALSE),"")</f>
        <v>0</v>
      </c>
      <c r="F53">
        <f>IFERROR(+VLOOKUP($B53,'BD ASVICC'!$A$6:$GQ$316,114,FALSE),"")</f>
        <v>0</v>
      </c>
      <c r="G53">
        <f>IFERROR(+VLOOKUP($B53,'BD ASVICC'!$A$6:$GQ$316,115,FALSE),"")</f>
        <v>0</v>
      </c>
      <c r="H53">
        <f t="shared" si="1"/>
        <v>18.005269171111863</v>
      </c>
      <c r="I53">
        <f t="shared" si="2"/>
        <v>270.07903756667793</v>
      </c>
      <c r="J53" s="846">
        <f>I53*'2. Incendis forestals'!$C$52</f>
        <v>2696739.190103279</v>
      </c>
      <c r="K53" t="str">
        <f>VLOOKUP(B53,'BD ASVICC'!$A$6:$BG$316,59,FALSE)</f>
        <v>PREPIRINEU-PIRINEU</v>
      </c>
      <c r="L53">
        <f>VLOOKUP(K53,'2. Incendis forestals'!$F$9:$G$11,2,FALSE)</f>
        <v>0.75</v>
      </c>
      <c r="M53">
        <f t="shared" si="0"/>
        <v>49.514490220557619</v>
      </c>
      <c r="N53">
        <f t="shared" si="3"/>
        <v>742.7173533083643</v>
      </c>
      <c r="O53" s="846">
        <f>N53*'2. Incendis forestals'!$C$52</f>
        <v>7416032.772784017</v>
      </c>
      <c r="P53" s="846">
        <f t="shared" si="4"/>
        <v>4719293.5826807376</v>
      </c>
      <c r="Q53" s="854">
        <f>D53/VLOOKUP(C53,'BD Comarcal'!$A$5:$AX$17,21,FALSE)</f>
        <v>2.7560246661370257E-2</v>
      </c>
      <c r="R53">
        <f>VLOOKUP(C53,'BD Comarcal'!$A$5:$AX$17,50,FALSE)*Q53</f>
        <v>18.005269171111863</v>
      </c>
    </row>
    <row r="54" spans="1:18">
      <c r="A54">
        <v>8051</v>
      </c>
      <c r="B54" t="s">
        <v>944</v>
      </c>
      <c r="C54" t="s">
        <v>89</v>
      </c>
      <c r="D54">
        <f>IFERROR(+VLOOKUP(B54,'BD ASVICC'!$A$6:$GQ$316,5,FALSE),"")</f>
        <v>3399</v>
      </c>
      <c r="E54">
        <f>IFERROR(+VLOOKUP($B54,'BD ASVICC'!$A$6:$GQ$316,113,FALSE),"")</f>
        <v>3.75</v>
      </c>
      <c r="F54">
        <f>IFERROR(+VLOOKUP($B54,'BD ASVICC'!$A$6:$GQ$316,114,FALSE),"")</f>
        <v>0.95</v>
      </c>
      <c r="G54">
        <f>IFERROR(+VLOOKUP($B54,'BD ASVICC'!$A$6:$GQ$316,115,FALSE),"")</f>
        <v>4.7</v>
      </c>
      <c r="H54">
        <f t="shared" si="1"/>
        <v>27.147482897737238</v>
      </c>
      <c r="I54">
        <f t="shared" si="2"/>
        <v>407.21224346605857</v>
      </c>
      <c r="J54" s="846">
        <f>I54*'2. Incendis forestals'!$C$52</f>
        <v>4066014.2510085949</v>
      </c>
      <c r="K54" t="str">
        <f>VLOOKUP(B54,'BD ASVICC'!$A$6:$BG$316,59,FALSE)</f>
        <v>CENTRAL</v>
      </c>
      <c r="L54">
        <f>VLOOKUP(K54,'2. Incendis forestals'!$F$9:$G$11,2,FALSE)</f>
        <v>0.75</v>
      </c>
      <c r="M54">
        <f t="shared" si="0"/>
        <v>74.655577968777408</v>
      </c>
      <c r="N54">
        <f t="shared" si="3"/>
        <v>1119.8336695316611</v>
      </c>
      <c r="O54" s="846">
        <f>N54*'2. Incendis forestals'!$C$52</f>
        <v>11181539.190273637</v>
      </c>
      <c r="P54" s="846">
        <f t="shared" si="4"/>
        <v>7115524.9392650425</v>
      </c>
      <c r="Q54" s="854">
        <f>D54/VLOOKUP(C54,'BD Comarcal'!$A$5:$AX$17,21,FALSE)</f>
        <v>9.9368531836519905E-2</v>
      </c>
      <c r="R54">
        <f>VLOOKUP(C54,'BD Comarcal'!$A$5:$AX$17,50,FALSE)*Q54</f>
        <v>27.147482897737238</v>
      </c>
    </row>
    <row r="55" spans="1:18">
      <c r="A55">
        <v>8052</v>
      </c>
      <c r="B55" t="s">
        <v>951</v>
      </c>
      <c r="C55" t="s">
        <v>84</v>
      </c>
      <c r="D55">
        <f>IFERROR(+VLOOKUP(B55,'BD ASVICC'!$A$6:$GQ$316,5,FALSE),"")</f>
        <v>4126</v>
      </c>
      <c r="E55">
        <f>IFERROR(+VLOOKUP($B55,'BD ASVICC'!$A$6:$GQ$316,113,FALSE),"")</f>
        <v>0</v>
      </c>
      <c r="F55">
        <f>IFERROR(+VLOOKUP($B55,'BD ASVICC'!$A$6:$GQ$316,114,FALSE),"")</f>
        <v>0</v>
      </c>
      <c r="G55">
        <f>IFERROR(+VLOOKUP($B55,'BD ASVICC'!$A$6:$GQ$316,115,FALSE),"")</f>
        <v>0</v>
      </c>
      <c r="H55">
        <f t="shared" si="1"/>
        <v>25.494077076186532</v>
      </c>
      <c r="I55">
        <f t="shared" si="2"/>
        <v>382.41115614279795</v>
      </c>
      <c r="J55" s="846">
        <f>I55*'2. Incendis forestals'!$C$52</f>
        <v>3818375.3940858375</v>
      </c>
      <c r="K55" t="str">
        <f>VLOOKUP(B55,'BD ASVICC'!$A$6:$BG$316,59,FALSE)</f>
        <v>PREPIRINEU-PIRINEU</v>
      </c>
      <c r="L55">
        <f>VLOOKUP(K55,'2. Incendis forestals'!$F$9:$G$11,2,FALSE)</f>
        <v>0.75</v>
      </c>
      <c r="M55">
        <f t="shared" si="0"/>
        <v>70.108711959512959</v>
      </c>
      <c r="N55">
        <f t="shared" si="3"/>
        <v>1051.6306793926944</v>
      </c>
      <c r="O55" s="846">
        <f>N55*'2. Incendis forestals'!$C$52</f>
        <v>10500532.333736055</v>
      </c>
      <c r="P55" s="846">
        <f t="shared" si="4"/>
        <v>6682156.9396502171</v>
      </c>
      <c r="Q55" s="854">
        <f>D55/VLOOKUP(C55,'BD Comarcal'!$A$5:$AX$17,21,FALSE)</f>
        <v>3.9023190708583969E-2</v>
      </c>
      <c r="R55">
        <f>VLOOKUP(C55,'BD Comarcal'!$A$5:$AX$17,50,FALSE)*Q55</f>
        <v>25.494077076186532</v>
      </c>
    </row>
    <row r="56" spans="1:18">
      <c r="A56">
        <v>8053</v>
      </c>
      <c r="B56" t="s">
        <v>958</v>
      </c>
      <c r="C56" t="s">
        <v>82</v>
      </c>
      <c r="D56">
        <f>IFERROR(+VLOOKUP(B56,'BD ASVICC'!$A$6:$GQ$316,5,FALSE),"")</f>
        <v>2124</v>
      </c>
      <c r="E56">
        <f>IFERROR(+VLOOKUP($B56,'BD ASVICC'!$A$6:$GQ$316,113,FALSE),"")</f>
        <v>88.95</v>
      </c>
      <c r="F56">
        <f>IFERROR(+VLOOKUP($B56,'BD ASVICC'!$A$6:$GQ$316,114,FALSE),"")</f>
        <v>219.12</v>
      </c>
      <c r="G56">
        <f>IFERROR(+VLOOKUP($B56,'BD ASVICC'!$A$6:$GQ$316,115,FALSE),"")</f>
        <v>308.07</v>
      </c>
      <c r="H56">
        <f t="shared" si="1"/>
        <v>23.42120930099162</v>
      </c>
      <c r="I56">
        <f t="shared" si="2"/>
        <v>351.3181395148743</v>
      </c>
      <c r="J56" s="846">
        <f>I56*'2. Incendis forestals'!$C$52</f>
        <v>3507911.6230560201</v>
      </c>
      <c r="K56" t="str">
        <f>VLOOKUP(B56,'BD ASVICC'!$A$6:$BG$316,59,FALSE)</f>
        <v>LITORAL</v>
      </c>
      <c r="L56">
        <f>VLOOKUP(K56,'2. Incendis forestals'!$F$9:$G$11,2,FALSE)</f>
        <v>0.75</v>
      </c>
      <c r="M56">
        <f t="shared" si="0"/>
        <v>64.408325577726956</v>
      </c>
      <c r="N56">
        <f t="shared" si="3"/>
        <v>966.12488366590435</v>
      </c>
      <c r="O56" s="846">
        <f>N56*'2. Incendis forestals'!$C$52</f>
        <v>9646756.9634040557</v>
      </c>
      <c r="P56" s="846">
        <f t="shared" si="4"/>
        <v>6138845.3403480351</v>
      </c>
      <c r="Q56" s="854">
        <f>D56/VLOOKUP(C56,'BD Comarcal'!$A$5:$AX$17,21,FALSE)</f>
        <v>2.6228050677928428E-2</v>
      </c>
      <c r="R56">
        <f>VLOOKUP(C56,'BD Comarcal'!$A$5:$AX$17,50,FALSE)*Q56</f>
        <v>23.42120930099162</v>
      </c>
    </row>
    <row r="57" spans="1:18">
      <c r="A57">
        <v>8054</v>
      </c>
      <c r="B57" t="s">
        <v>964</v>
      </c>
      <c r="C57" t="s">
        <v>89</v>
      </c>
      <c r="D57">
        <f>IFERROR(+VLOOKUP(B57,'BD ASVICC'!$A$6:$GQ$316,5,FALSE),"")</f>
        <v>1595</v>
      </c>
      <c r="E57">
        <f>IFERROR(+VLOOKUP($B57,'BD ASVICC'!$A$6:$GQ$316,113,FALSE),"")</f>
        <v>12.83</v>
      </c>
      <c r="F57">
        <f>IFERROR(+VLOOKUP($B57,'BD ASVICC'!$A$6:$GQ$316,114,FALSE),"")</f>
        <v>323.60000000000002</v>
      </c>
      <c r="G57">
        <f>IFERROR(+VLOOKUP($B57,'BD ASVICC'!$A$6:$GQ$316,115,FALSE),"")</f>
        <v>336.43</v>
      </c>
      <c r="H57">
        <f t="shared" si="1"/>
        <v>12.739110097643687</v>
      </c>
      <c r="I57">
        <f t="shared" si="2"/>
        <v>191.08665146465532</v>
      </c>
      <c r="J57" s="846">
        <f>I57*'2. Incendis forestals'!$C$52</f>
        <v>1908000.2148745833</v>
      </c>
      <c r="K57" t="str">
        <f>VLOOKUP(B57,'BD ASVICC'!$A$6:$BG$316,59,FALSE)</f>
        <v>LITORAL</v>
      </c>
      <c r="L57">
        <f>VLOOKUP(K57,'2. Incendis forestals'!$F$9:$G$11,2,FALSE)</f>
        <v>0.75</v>
      </c>
      <c r="M57">
        <f t="shared" si="0"/>
        <v>35.032552768520141</v>
      </c>
      <c r="N57">
        <f t="shared" si="3"/>
        <v>525.48829152780206</v>
      </c>
      <c r="O57" s="846">
        <f>N57*'2. Incendis forestals'!$C$52</f>
        <v>5247000.5909051038</v>
      </c>
      <c r="P57" s="846">
        <f t="shared" si="4"/>
        <v>3339000.3760305205</v>
      </c>
      <c r="Q57" s="854">
        <f>D57/VLOOKUP(C57,'BD Comarcal'!$A$5:$AX$17,21,FALSE)</f>
        <v>4.6629246331053031E-2</v>
      </c>
      <c r="R57">
        <f>VLOOKUP(C57,'BD Comarcal'!$A$5:$AX$17,50,FALSE)*Q57</f>
        <v>12.739110097643687</v>
      </c>
    </row>
    <row r="58" spans="1:18">
      <c r="A58">
        <v>8055</v>
      </c>
      <c r="B58" t="s">
        <v>970</v>
      </c>
      <c r="C58" t="s">
        <v>24</v>
      </c>
      <c r="D58">
        <f>IFERROR(+VLOOKUP(B58,'BD ASVICC'!$A$6:$GQ$316,5,FALSE),"")</f>
        <v>2825</v>
      </c>
      <c r="E58">
        <f>IFERROR(+VLOOKUP($B58,'BD ASVICC'!$A$6:$GQ$316,113,FALSE),"")</f>
        <v>4.3</v>
      </c>
      <c r="F58">
        <f>IFERROR(+VLOOKUP($B58,'BD ASVICC'!$A$6:$GQ$316,114,FALSE),"")</f>
        <v>0</v>
      </c>
      <c r="G58">
        <f>IFERROR(+VLOOKUP($B58,'BD ASVICC'!$A$6:$GQ$316,115,FALSE),"")</f>
        <v>4.3</v>
      </c>
      <c r="H58">
        <f t="shared" si="1"/>
        <v>5.7476852454147549</v>
      </c>
      <c r="I58">
        <f t="shared" si="2"/>
        <v>86.215278681221321</v>
      </c>
      <c r="J58" s="846">
        <f>I58*'2. Incendis forestals'!$C$52</f>
        <v>860859.55763199483</v>
      </c>
      <c r="K58" t="str">
        <f>VLOOKUP(B58,'BD ASVICC'!$A$6:$BG$316,59,FALSE)</f>
        <v>PREPIRINEU-PIRINEU</v>
      </c>
      <c r="L58">
        <f>VLOOKUP(K58,'2. Incendis forestals'!$F$9:$G$11,2,FALSE)</f>
        <v>0.75</v>
      </c>
      <c r="M58">
        <f t="shared" si="0"/>
        <v>15.806134424890576</v>
      </c>
      <c r="N58">
        <f t="shared" si="3"/>
        <v>237.09201637335863</v>
      </c>
      <c r="O58" s="846">
        <f>N58*'2. Incendis forestals'!$C$52</f>
        <v>2367363.7834879858</v>
      </c>
      <c r="P58" s="846">
        <f t="shared" si="4"/>
        <v>1506504.225855991</v>
      </c>
      <c r="Q58" s="854">
        <f>D58/VLOOKUP(C58,'BD Comarcal'!$A$5:$AX$17,21,FALSE)</f>
        <v>5.5576321536070505E-2</v>
      </c>
      <c r="R58">
        <f>VLOOKUP(C58,'BD Comarcal'!$A$5:$AX$17,50,FALSE)*Q58</f>
        <v>5.7476852454147549</v>
      </c>
    </row>
    <row r="59" spans="1:18">
      <c r="A59">
        <v>8056</v>
      </c>
      <c r="B59" t="s">
        <v>340</v>
      </c>
      <c r="C59" t="s">
        <v>90</v>
      </c>
      <c r="D59">
        <f>IFERROR(+VLOOKUP(B59,'BD ASVICC'!$A$6:$GQ$316,5,FALSE),"")</f>
        <v>563</v>
      </c>
      <c r="E59">
        <f>IFERROR(+VLOOKUP($B59,'BD ASVICC'!$A$6:$GQ$316,113,FALSE),"")</f>
        <v>15.82</v>
      </c>
      <c r="F59">
        <f>IFERROR(+VLOOKUP($B59,'BD ASVICC'!$A$6:$GQ$316,114,FALSE),"")</f>
        <v>78.83</v>
      </c>
      <c r="G59">
        <f>IFERROR(+VLOOKUP($B59,'BD ASVICC'!$A$6:$GQ$316,115,FALSE),"")</f>
        <v>94.65</v>
      </c>
      <c r="H59">
        <f t="shared" si="1"/>
        <v>4.6804521118160425</v>
      </c>
      <c r="I59">
        <f t="shared" si="2"/>
        <v>70.206781677240642</v>
      </c>
      <c r="J59" s="846">
        <f>I59*'2. Incendis forestals'!$C$52</f>
        <v>701014.71504724782</v>
      </c>
      <c r="K59" t="str">
        <f>VLOOKUP(B59,'BD ASVICC'!$A$6:$BG$316,59,FALSE)</f>
        <v>LITORAL</v>
      </c>
      <c r="L59">
        <f>VLOOKUP(K59,'2. Incendis forestals'!$F$9:$G$11,2,FALSE)</f>
        <v>0.75</v>
      </c>
      <c r="M59">
        <f t="shared" si="0"/>
        <v>12.871243307494115</v>
      </c>
      <c r="N59">
        <f t="shared" si="3"/>
        <v>193.06864961241172</v>
      </c>
      <c r="O59" s="846">
        <f>N59*'2. Incendis forestals'!$C$52</f>
        <v>1927790.466379931</v>
      </c>
      <c r="P59" s="846">
        <f t="shared" si="4"/>
        <v>1226775.751332683</v>
      </c>
      <c r="Q59" s="854">
        <f>D59/VLOOKUP(C59,'BD Comarcal'!$A$5:$AX$17,21,FALSE)</f>
        <v>2.1660510926438906E-2</v>
      </c>
      <c r="R59">
        <f>VLOOKUP(C59,'BD Comarcal'!$A$5:$AX$17,50,FALSE)*Q59</f>
        <v>4.6804521118160425</v>
      </c>
    </row>
    <row r="60" spans="1:18">
      <c r="A60">
        <v>8057</v>
      </c>
      <c r="B60" t="s">
        <v>980</v>
      </c>
      <c r="C60" t="s">
        <v>84</v>
      </c>
      <c r="D60">
        <f>IFERROR(+VLOOKUP(B60,'BD ASVICC'!$A$6:$GQ$316,5,FALSE),"")</f>
        <v>2230</v>
      </c>
      <c r="E60">
        <f>IFERROR(+VLOOKUP($B60,'BD ASVICC'!$A$6:$GQ$316,113,FALSE),"")</f>
        <v>0</v>
      </c>
      <c r="F60">
        <f>IFERROR(+VLOOKUP($B60,'BD ASVICC'!$A$6:$GQ$316,114,FALSE),"")</f>
        <v>0</v>
      </c>
      <c r="G60">
        <f>IFERROR(+VLOOKUP($B60,'BD ASVICC'!$A$6:$GQ$316,115,FALSE),"")</f>
        <v>0</v>
      </c>
      <c r="H60">
        <f t="shared" si="1"/>
        <v>13.778912234584578</v>
      </c>
      <c r="I60">
        <f t="shared" si="2"/>
        <v>206.68368351876867</v>
      </c>
      <c r="J60" s="846">
        <f>I60*'2. Incendis forestals'!$C$52</f>
        <v>2063736.5799349053</v>
      </c>
      <c r="K60" t="str">
        <f>VLOOKUP(B60,'BD ASVICC'!$A$6:$BG$316,59,FALSE)</f>
        <v>PREPIRINEU-PIRINEU</v>
      </c>
      <c r="L60">
        <f>VLOOKUP(K60,'2. Incendis forestals'!$F$9:$G$11,2,FALSE)</f>
        <v>0.75</v>
      </c>
      <c r="M60">
        <f t="shared" si="0"/>
        <v>37.892008645107587</v>
      </c>
      <c r="N60">
        <f t="shared" si="3"/>
        <v>568.38012967661382</v>
      </c>
      <c r="O60" s="846">
        <f>N60*'2. Incendis forestals'!$C$52</f>
        <v>5675275.5948209893</v>
      </c>
      <c r="P60" s="846">
        <f t="shared" si="4"/>
        <v>3611539.014886084</v>
      </c>
      <c r="Q60" s="854">
        <f>D60/VLOOKUP(C60,'BD Comarcal'!$A$5:$AX$17,21,FALSE)</f>
        <v>2.1091060416903114E-2</v>
      </c>
      <c r="R60">
        <f>VLOOKUP(C60,'BD Comarcal'!$A$5:$AX$17,50,FALSE)*Q60</f>
        <v>13.778912234584578</v>
      </c>
    </row>
    <row r="61" spans="1:18">
      <c r="A61">
        <v>8058</v>
      </c>
      <c r="B61" t="s">
        <v>984</v>
      </c>
      <c r="C61" t="s">
        <v>791</v>
      </c>
      <c r="D61">
        <f>IFERROR(+VLOOKUP(B61,'BD ASVICC'!$A$6:$GQ$316,5,FALSE),"")</f>
        <v>2387</v>
      </c>
      <c r="E61">
        <f>IFERROR(+VLOOKUP($B61,'BD ASVICC'!$A$6:$GQ$316,113,FALSE),"")</f>
        <v>312.2</v>
      </c>
      <c r="F61">
        <f>IFERROR(+VLOOKUP($B61,'BD ASVICC'!$A$6:$GQ$316,114,FALSE),"")</f>
        <v>282.72000000000003</v>
      </c>
      <c r="G61">
        <f>IFERROR(+VLOOKUP($B61,'BD ASVICC'!$A$6:$GQ$316,115,FALSE),"")</f>
        <v>594.91999999999996</v>
      </c>
      <c r="H61">
        <f t="shared" si="1"/>
        <v>17.368538308749308</v>
      </c>
      <c r="I61">
        <f t="shared" si="2"/>
        <v>260.52807463123963</v>
      </c>
      <c r="J61" s="846">
        <f>I61*'2. Incendis forestals'!$C$52</f>
        <v>2601372.8251929278</v>
      </c>
      <c r="K61" t="str">
        <f>VLOOKUP(B61,'BD ASVICC'!$A$6:$BG$316,59,FALSE)</f>
        <v>LITORAL</v>
      </c>
      <c r="L61">
        <f>VLOOKUP(K61,'2. Incendis forestals'!$F$9:$G$11,2,FALSE)</f>
        <v>0.75</v>
      </c>
      <c r="M61">
        <f t="shared" si="0"/>
        <v>47.7634803490606</v>
      </c>
      <c r="N61">
        <f t="shared" si="3"/>
        <v>716.45220523590899</v>
      </c>
      <c r="O61" s="846">
        <f>N61*'2. Incendis forestals'!$C$52</f>
        <v>7153775.269280551</v>
      </c>
      <c r="P61" s="846">
        <f t="shared" si="4"/>
        <v>4552402.4440876227</v>
      </c>
      <c r="Q61" s="854">
        <f>D61/VLOOKUP(C61,'BD Comarcal'!$A$5:$AX$17,21,FALSE)</f>
        <v>7.7724593793754682E-2</v>
      </c>
      <c r="R61">
        <f>VLOOKUP(C61,'BD Comarcal'!$A$5:$AX$17,50,FALSE)*Q61</f>
        <v>17.368538308749308</v>
      </c>
    </row>
    <row r="62" spans="1:18">
      <c r="A62">
        <v>8059</v>
      </c>
      <c r="B62" t="s">
        <v>993</v>
      </c>
      <c r="C62" t="s">
        <v>82</v>
      </c>
      <c r="D62">
        <f>IFERROR(+VLOOKUP(B62,'BD ASVICC'!$A$6:$GQ$316,5,FALSE),"")</f>
        <v>4397</v>
      </c>
      <c r="E62">
        <f>IFERROR(+VLOOKUP($B62,'BD ASVICC'!$A$6:$GQ$316,113,FALSE),"")</f>
        <v>2.2000000000000002</v>
      </c>
      <c r="F62">
        <f>IFERROR(+VLOOKUP($B62,'BD ASVICC'!$A$6:$GQ$316,114,FALSE),"")</f>
        <v>0</v>
      </c>
      <c r="G62">
        <f>IFERROR(+VLOOKUP($B62,'BD ASVICC'!$A$6:$GQ$316,115,FALSE),"")</f>
        <v>2.2000000000000002</v>
      </c>
      <c r="H62">
        <f t="shared" si="1"/>
        <v>48.485431872156383</v>
      </c>
      <c r="I62">
        <f t="shared" si="2"/>
        <v>727.28147808234576</v>
      </c>
      <c r="J62" s="846">
        <f>I62*'2. Incendis forestals'!$C$52</f>
        <v>7261905.5586522222</v>
      </c>
      <c r="K62" t="str">
        <f>VLOOKUP(B62,'BD ASVICC'!$A$6:$BG$316,59,FALSE)</f>
        <v>PREPIRINEU-PIRINEU</v>
      </c>
      <c r="L62">
        <f>VLOOKUP(K62,'2. Incendis forestals'!$F$9:$G$11,2,FALSE)</f>
        <v>0.75</v>
      </c>
      <c r="M62">
        <f t="shared" si="0"/>
        <v>133.33493764843007</v>
      </c>
      <c r="N62">
        <f t="shared" si="3"/>
        <v>2000.0240647264511</v>
      </c>
      <c r="O62" s="846">
        <f>N62*'2. Incendis forestals'!$C$52</f>
        <v>19970240.286293615</v>
      </c>
      <c r="P62" s="846">
        <f t="shared" si="4"/>
        <v>12708334.727641392</v>
      </c>
      <c r="Q62" s="854">
        <f>D62/VLOOKUP(C62,'BD Comarcal'!$A$5:$AX$17,21,FALSE)</f>
        <v>5.4296016398705883E-2</v>
      </c>
      <c r="R62">
        <f>VLOOKUP(C62,'BD Comarcal'!$A$5:$AX$17,50,FALSE)*Q62</f>
        <v>48.485431872156383</v>
      </c>
    </row>
    <row r="63" spans="1:18">
      <c r="A63">
        <v>8060</v>
      </c>
      <c r="B63" t="s">
        <v>997</v>
      </c>
      <c r="C63" t="s">
        <v>81</v>
      </c>
      <c r="D63">
        <f>IFERROR(+VLOOKUP(B63,'BD ASVICC'!$A$6:$GQ$316,5,FALSE),"")</f>
        <v>1283</v>
      </c>
      <c r="E63">
        <f>IFERROR(+VLOOKUP($B63,'BD ASVICC'!$A$6:$GQ$316,113,FALSE),"")</f>
        <v>1.2</v>
      </c>
      <c r="F63">
        <f>IFERROR(+VLOOKUP($B63,'BD ASVICC'!$A$6:$GQ$316,114,FALSE),"")</f>
        <v>4.7</v>
      </c>
      <c r="G63">
        <f>IFERROR(+VLOOKUP($B63,'BD ASVICC'!$A$6:$GQ$316,115,FALSE),"")</f>
        <v>5.9</v>
      </c>
      <c r="H63">
        <f t="shared" si="1"/>
        <v>14.163319746368403</v>
      </c>
      <c r="I63">
        <f t="shared" si="2"/>
        <v>212.44979619552603</v>
      </c>
      <c r="J63" s="846">
        <f>I63*'2. Incendis forestals'!$C$52</f>
        <v>2121311.2150123273</v>
      </c>
      <c r="K63" t="str">
        <f>VLOOKUP(B63,'BD ASVICC'!$A$6:$BG$316,59,FALSE)</f>
        <v>CENTRAL</v>
      </c>
      <c r="L63">
        <f>VLOOKUP(K63,'2. Incendis forestals'!$F$9:$G$11,2,FALSE)</f>
        <v>0.75</v>
      </c>
      <c r="M63">
        <f t="shared" si="0"/>
        <v>38.949129302513107</v>
      </c>
      <c r="N63">
        <f t="shared" si="3"/>
        <v>584.23693953769657</v>
      </c>
      <c r="O63" s="846">
        <f>N63*'2. Incendis forestals'!$C$52</f>
        <v>5833605.8412839007</v>
      </c>
      <c r="P63" s="846">
        <f t="shared" si="4"/>
        <v>3712294.6262715734</v>
      </c>
      <c r="Q63" s="854">
        <f>D63/VLOOKUP(C63,'BD Comarcal'!$A$5:$AX$17,21,FALSE)</f>
        <v>2.4596921071298478E-2</v>
      </c>
      <c r="R63">
        <f>VLOOKUP(C63,'BD Comarcal'!$A$5:$AX$17,50,FALSE)*Q63</f>
        <v>14.163319746368403</v>
      </c>
    </row>
    <row r="64" spans="1:18">
      <c r="A64">
        <v>8061</v>
      </c>
      <c r="B64" t="s">
        <v>1002</v>
      </c>
      <c r="C64" t="s">
        <v>82</v>
      </c>
      <c r="D64">
        <f>IFERROR(+VLOOKUP(B64,'BD ASVICC'!$A$6:$GQ$316,5,FALSE),"")</f>
        <v>1139</v>
      </c>
      <c r="E64">
        <f>IFERROR(+VLOOKUP($B64,'BD ASVICC'!$A$6:$GQ$316,113,FALSE),"")</f>
        <v>8.5</v>
      </c>
      <c r="F64">
        <f>IFERROR(+VLOOKUP($B64,'BD ASVICC'!$A$6:$GQ$316,114,FALSE),"")</f>
        <v>0</v>
      </c>
      <c r="G64">
        <f>IFERROR(+VLOOKUP($B64,'BD ASVICC'!$A$6:$GQ$316,115,FALSE),"")</f>
        <v>8.5</v>
      </c>
      <c r="H64">
        <f t="shared" si="1"/>
        <v>12.559678622330253</v>
      </c>
      <c r="I64">
        <f t="shared" si="2"/>
        <v>188.39517933495381</v>
      </c>
      <c r="J64" s="846">
        <f>I64*'2. Incendis forestals'!$C$52</f>
        <v>1881125.8656595137</v>
      </c>
      <c r="K64" t="str">
        <f>VLOOKUP(B64,'BD ASVICC'!$A$6:$BG$316,59,FALSE)</f>
        <v>CENTRAL</v>
      </c>
      <c r="L64">
        <f>VLOOKUP(K64,'2. Incendis forestals'!$F$9:$G$11,2,FALSE)</f>
        <v>0.75</v>
      </c>
      <c r="M64">
        <f t="shared" si="0"/>
        <v>34.539116211408199</v>
      </c>
      <c r="N64">
        <f t="shared" si="3"/>
        <v>518.08674317112298</v>
      </c>
      <c r="O64" s="846">
        <f>N64*'2. Incendis forestals'!$C$52</f>
        <v>5173096.1305636633</v>
      </c>
      <c r="P64" s="846">
        <f t="shared" si="4"/>
        <v>3291970.2649041498</v>
      </c>
      <c r="Q64" s="854">
        <f>D64/VLOOKUP(C64,'BD Comarcal'!$A$5:$AX$17,21,FALSE)</f>
        <v>1.4064853918154652E-2</v>
      </c>
      <c r="R64">
        <f>VLOOKUP(C64,'BD Comarcal'!$A$5:$AX$17,50,FALSE)*Q64</f>
        <v>12.559678622330253</v>
      </c>
    </row>
    <row r="65" spans="1:18">
      <c r="A65">
        <v>8062</v>
      </c>
      <c r="B65" t="s">
        <v>1004</v>
      </c>
      <c r="C65" t="s">
        <v>82</v>
      </c>
      <c r="D65">
        <f>IFERROR(+VLOOKUP(B65,'BD ASVICC'!$A$6:$GQ$316,5,FALSE),"")</f>
        <v>2272</v>
      </c>
      <c r="E65">
        <f>IFERROR(+VLOOKUP($B65,'BD ASVICC'!$A$6:$GQ$316,113,FALSE),"")</f>
        <v>783.15</v>
      </c>
      <c r="F65">
        <f>IFERROR(+VLOOKUP($B65,'BD ASVICC'!$A$6:$GQ$316,114,FALSE),"")</f>
        <v>26.11</v>
      </c>
      <c r="G65">
        <f>IFERROR(+VLOOKUP($B65,'BD ASVICC'!$A$6:$GQ$316,115,FALSE),"")</f>
        <v>809.26</v>
      </c>
      <c r="H65">
        <f t="shared" si="1"/>
        <v>25.053195636465613</v>
      </c>
      <c r="I65">
        <f t="shared" si="2"/>
        <v>375.79793454698421</v>
      </c>
      <c r="J65" s="846">
        <f>I65*'2. Incendis forestals'!$C$52</f>
        <v>3752342.3764516371</v>
      </c>
      <c r="K65" t="str">
        <f>VLOOKUP(B65,'BD ASVICC'!$A$6:$BG$316,59,FALSE)</f>
        <v>PREPIRINEU-PIRINEU</v>
      </c>
      <c r="L65">
        <f>VLOOKUP(K65,'2. Incendis forestals'!$F$9:$G$11,2,FALSE)</f>
        <v>0.75</v>
      </c>
      <c r="M65">
        <f t="shared" si="0"/>
        <v>68.896288000280435</v>
      </c>
      <c r="N65">
        <f t="shared" si="3"/>
        <v>1033.4443200042065</v>
      </c>
      <c r="O65" s="846">
        <f>N65*'2. Incendis forestals'!$C$52</f>
        <v>10318941.535242002</v>
      </c>
      <c r="P65" s="846">
        <f t="shared" si="4"/>
        <v>6566599.1587903649</v>
      </c>
      <c r="Q65" s="854">
        <f>D65/VLOOKUP(C65,'BD Comarcal'!$A$5:$AX$17,21,FALSE)</f>
        <v>2.8055617297671087E-2</v>
      </c>
      <c r="R65">
        <f>VLOOKUP(C65,'BD Comarcal'!$A$5:$AX$17,50,FALSE)*Q65</f>
        <v>25.053195636465613</v>
      </c>
    </row>
    <row r="66" spans="1:18">
      <c r="A66">
        <v>8063</v>
      </c>
      <c r="B66" t="s">
        <v>1008</v>
      </c>
      <c r="C66" t="s">
        <v>81</v>
      </c>
      <c r="D66">
        <f>IFERROR(+VLOOKUP(B66,'BD ASVICC'!$A$6:$GQ$316,5,FALSE),"")</f>
        <v>1887</v>
      </c>
      <c r="E66">
        <f>IFERROR(+VLOOKUP($B66,'BD ASVICC'!$A$6:$GQ$316,113,FALSE),"")</f>
        <v>3.4</v>
      </c>
      <c r="F66">
        <f>IFERROR(+VLOOKUP($B66,'BD ASVICC'!$A$6:$GQ$316,114,FALSE),"")</f>
        <v>0</v>
      </c>
      <c r="G66">
        <f>IFERROR(+VLOOKUP($B66,'BD ASVICC'!$A$6:$GQ$316,115,FALSE),"")</f>
        <v>3.4</v>
      </c>
      <c r="H66">
        <f t="shared" si="1"/>
        <v>20.831008855336851</v>
      </c>
      <c r="I66">
        <f t="shared" si="2"/>
        <v>312.46513283005277</v>
      </c>
      <c r="J66" s="846">
        <f>I66*'2. Incendis forestals'!$C$52</f>
        <v>3119964.3513080766</v>
      </c>
      <c r="K66" t="str">
        <f>VLOOKUP(B66,'BD ASVICC'!$A$6:$BG$316,59,FALSE)</f>
        <v>CENTRAL</v>
      </c>
      <c r="L66">
        <f>VLOOKUP(K66,'2. Incendis forestals'!$F$9:$G$11,2,FALSE)</f>
        <v>0.75</v>
      </c>
      <c r="M66">
        <f t="shared" si="0"/>
        <v>57.285274352176344</v>
      </c>
      <c r="N66">
        <f t="shared" si="3"/>
        <v>859.27911528264519</v>
      </c>
      <c r="O66" s="846">
        <f>N66*'2. Incendis forestals'!$C$52</f>
        <v>8579901.9660972115</v>
      </c>
      <c r="P66" s="846">
        <f t="shared" si="4"/>
        <v>5459937.6147891348</v>
      </c>
      <c r="Q66" s="854">
        <f>D66/VLOOKUP(C66,'BD Comarcal'!$A$5:$AX$17,21,FALSE)</f>
        <v>3.6176453672283893E-2</v>
      </c>
      <c r="R66">
        <f>VLOOKUP(C66,'BD Comarcal'!$A$5:$AX$17,50,FALSE)*Q66</f>
        <v>20.831008855336851</v>
      </c>
    </row>
    <row r="67" spans="1:18">
      <c r="A67">
        <v>8064</v>
      </c>
      <c r="B67" t="s">
        <v>1012</v>
      </c>
      <c r="C67" t="s">
        <v>24</v>
      </c>
      <c r="D67">
        <f>IFERROR(+VLOOKUP(B67,'BD ASVICC'!$A$6:$GQ$316,5,FALSE),"")</f>
        <v>2458</v>
      </c>
      <c r="E67">
        <f>IFERROR(+VLOOKUP($B67,'BD ASVICC'!$A$6:$GQ$316,113,FALSE),"")</f>
        <v>0</v>
      </c>
      <c r="F67">
        <f>IFERROR(+VLOOKUP($B67,'BD ASVICC'!$A$6:$GQ$316,114,FALSE),"")</f>
        <v>0</v>
      </c>
      <c r="G67">
        <f>IFERROR(+VLOOKUP($B67,'BD ASVICC'!$A$6:$GQ$316,115,FALSE),"")</f>
        <v>0</v>
      </c>
      <c r="H67">
        <f t="shared" si="1"/>
        <v>5.0009948082228206</v>
      </c>
      <c r="I67">
        <f t="shared" si="2"/>
        <v>75.014922123342302</v>
      </c>
      <c r="J67" s="846">
        <f>I67*'2. Incendis forestals'!$C$52</f>
        <v>749023.99740157288</v>
      </c>
      <c r="K67" t="str">
        <f>VLOOKUP(B67,'BD ASVICC'!$A$6:$BG$316,59,FALSE)</f>
        <v>PREPIRINEU-PIRINEU</v>
      </c>
      <c r="L67">
        <f>VLOOKUP(K67,'2. Incendis forestals'!$F$9:$G$11,2,FALSE)</f>
        <v>0.75</v>
      </c>
      <c r="M67">
        <f t="shared" si="0"/>
        <v>13.752735722612757</v>
      </c>
      <c r="N67">
        <f t="shared" si="3"/>
        <v>206.29103583919135</v>
      </c>
      <c r="O67" s="846">
        <f>N67*'2. Incendis forestals'!$C$52</f>
        <v>2059815.9928543256</v>
      </c>
      <c r="P67" s="846">
        <f t="shared" si="4"/>
        <v>1310791.9954527528</v>
      </c>
      <c r="Q67" s="854">
        <f>D67/VLOOKUP(C67,'BD Comarcal'!$A$5:$AX$17,21,FALSE)</f>
        <v>4.8356317994924354E-2</v>
      </c>
      <c r="R67">
        <f>VLOOKUP(C67,'BD Comarcal'!$A$5:$AX$17,50,FALSE)*Q67</f>
        <v>5.0009948082228206</v>
      </c>
    </row>
    <row r="68" spans="1:18">
      <c r="A68">
        <v>8065</v>
      </c>
      <c r="B68" t="s">
        <v>1014</v>
      </c>
      <c r="C68" t="s">
        <v>791</v>
      </c>
      <c r="D68">
        <f>IFERROR(+VLOOKUP(B68,'BD ASVICC'!$A$6:$GQ$316,5,FALSE),"")</f>
        <v>880</v>
      </c>
      <c r="E68">
        <f>IFERROR(+VLOOKUP($B68,'BD ASVICC'!$A$6:$GQ$316,113,FALSE),"")</f>
        <v>8.2899999999999991</v>
      </c>
      <c r="F68">
        <f>IFERROR(+VLOOKUP($B68,'BD ASVICC'!$A$6:$GQ$316,114,FALSE),"")</f>
        <v>19.7</v>
      </c>
      <c r="G68">
        <f>IFERROR(+VLOOKUP($B68,'BD ASVICC'!$A$6:$GQ$316,115,FALSE),"")</f>
        <v>27.99</v>
      </c>
      <c r="H68">
        <f t="shared" si="1"/>
        <v>6.4031477635942142</v>
      </c>
      <c r="I68">
        <f t="shared" si="2"/>
        <v>96.047216453913208</v>
      </c>
      <c r="J68" s="846">
        <f>I68*'2. Incendis forestals'!$C$52</f>
        <v>959031.45629232342</v>
      </c>
      <c r="K68" t="str">
        <f>VLOOKUP(B68,'BD ASVICC'!$A$6:$BG$316,59,FALSE)</f>
        <v>LITORAL</v>
      </c>
      <c r="L68">
        <f>VLOOKUP(K68,'2. Incendis forestals'!$F$9:$G$11,2,FALSE)</f>
        <v>0.75</v>
      </c>
      <c r="M68">
        <f t="shared" ref="M68:M131" si="5">H68+(1+L68)*H68</f>
        <v>17.60865634988409</v>
      </c>
      <c r="N68">
        <f t="shared" si="3"/>
        <v>264.12984524826135</v>
      </c>
      <c r="O68" s="846">
        <f>N68*'2. Incendis forestals'!$C$52</f>
        <v>2637336.5048038894</v>
      </c>
      <c r="P68" s="846">
        <f t="shared" ref="P68:P131" si="6">O68-J68</f>
        <v>1678305.0485115661</v>
      </c>
      <c r="Q68" s="854">
        <f>D68/VLOOKUP(C68,'BD Comarcal'!$A$5:$AX$17,21,FALSE)</f>
        <v>2.8654228126729835E-2</v>
      </c>
      <c r="R68">
        <f>VLOOKUP(C68,'BD Comarcal'!$A$5:$AX$17,50,FALSE)*Q68</f>
        <v>6.4031477635942142</v>
      </c>
    </row>
    <row r="69" spans="1:18">
      <c r="A69">
        <v>8066</v>
      </c>
      <c r="B69" t="s">
        <v>1021</v>
      </c>
      <c r="C69" t="s">
        <v>90</v>
      </c>
      <c r="D69">
        <f>IFERROR(+VLOOKUP(B69,'BD ASVICC'!$A$6:$GQ$316,5,FALSE),"")</f>
        <v>1390</v>
      </c>
      <c r="E69">
        <f>IFERROR(+VLOOKUP($B69,'BD ASVICC'!$A$6:$GQ$316,113,FALSE),"")</f>
        <v>0</v>
      </c>
      <c r="F69">
        <f>IFERROR(+VLOOKUP($B69,'BD ASVICC'!$A$6:$GQ$316,114,FALSE),"")</f>
        <v>0</v>
      </c>
      <c r="G69">
        <f>IFERROR(+VLOOKUP($B69,'BD ASVICC'!$A$6:$GQ$316,115,FALSE),"")</f>
        <v>0</v>
      </c>
      <c r="H69">
        <f t="shared" ref="H69:H132" si="7">R69</f>
        <v>11.555645533613319</v>
      </c>
      <c r="I69">
        <f t="shared" ref="I69:I132" si="8">H69*15</f>
        <v>173.33468300419977</v>
      </c>
      <c r="J69" s="846">
        <f>I69*'2. Incendis forestals'!$C$52</f>
        <v>1730746.8097969347</v>
      </c>
      <c r="K69" t="str">
        <f>VLOOKUP(B69,'BD ASVICC'!$A$6:$BG$316,59,FALSE)</f>
        <v>LITORAL</v>
      </c>
      <c r="L69">
        <f>VLOOKUP(K69,'2. Incendis forestals'!$F$9:$G$11,2,FALSE)</f>
        <v>0.75</v>
      </c>
      <c r="M69">
        <f t="shared" si="5"/>
        <v>31.778025217436628</v>
      </c>
      <c r="N69">
        <f t="shared" ref="N69:N132" si="9">M69*15</f>
        <v>476.67037826154944</v>
      </c>
      <c r="O69" s="846">
        <f>N69*'2. Incendis forestals'!$C$52</f>
        <v>4759553.7269415716</v>
      </c>
      <c r="P69" s="846">
        <f t="shared" si="6"/>
        <v>3028806.9171446366</v>
      </c>
      <c r="Q69" s="854">
        <f>D69/VLOOKUP(C69,'BD Comarcal'!$A$5:$AX$17,21,FALSE)</f>
        <v>5.3477993228685752E-2</v>
      </c>
      <c r="R69">
        <f>VLOOKUP(C69,'BD Comarcal'!$A$5:$AX$17,50,FALSE)*Q69</f>
        <v>11.555645533613319</v>
      </c>
    </row>
    <row r="70" spans="1:18">
      <c r="A70">
        <v>8067</v>
      </c>
      <c r="B70" t="s">
        <v>1025</v>
      </c>
      <c r="C70" t="s">
        <v>88</v>
      </c>
      <c r="D70">
        <f>IFERROR(+VLOOKUP(B70,'BD ASVICC'!$A$6:$GQ$316,5,FALSE),"")</f>
        <v>724</v>
      </c>
      <c r="E70">
        <f>IFERROR(+VLOOKUP($B70,'BD ASVICC'!$A$6:$GQ$316,113,FALSE),"")</f>
        <v>0</v>
      </c>
      <c r="F70">
        <f>IFERROR(+VLOOKUP($B70,'BD ASVICC'!$A$6:$GQ$316,114,FALSE),"")</f>
        <v>1</v>
      </c>
      <c r="G70">
        <f>IFERROR(+VLOOKUP($B70,'BD ASVICC'!$A$6:$GQ$316,115,FALSE),"")</f>
        <v>1</v>
      </c>
      <c r="H70">
        <f t="shared" si="7"/>
        <v>0.56310705723253973</v>
      </c>
      <c r="I70">
        <f t="shared" si="8"/>
        <v>8.4466058584880965</v>
      </c>
      <c r="J70" s="846">
        <f>I70*'2. Incendis forestals'!$C$52</f>
        <v>84339.35949700365</v>
      </c>
      <c r="K70" t="str">
        <f>VLOOKUP(B70,'BD ASVICC'!$A$6:$BG$316,59,FALSE)</f>
        <v>PREPIRINEU-PIRINEU</v>
      </c>
      <c r="L70">
        <f>VLOOKUP(K70,'2. Incendis forestals'!$F$9:$G$11,2,FALSE)</f>
        <v>0.75</v>
      </c>
      <c r="M70">
        <f t="shared" si="5"/>
        <v>1.5485444073894843</v>
      </c>
      <c r="N70">
        <f t="shared" si="9"/>
        <v>23.228166110842263</v>
      </c>
      <c r="O70" s="846">
        <f>N70*'2. Incendis forestals'!$C$52</f>
        <v>231933.23861676001</v>
      </c>
      <c r="P70" s="846">
        <f t="shared" si="6"/>
        <v>147593.87911975634</v>
      </c>
      <c r="Q70" s="854">
        <f>D70/VLOOKUP(C70,'BD Comarcal'!$A$5:$AX$17,21,FALSE)</f>
        <v>7.7467953519227886E-3</v>
      </c>
      <c r="R70">
        <f>VLOOKUP(C70,'BD Comarcal'!$A$5:$AX$17,50,FALSE)*Q70</f>
        <v>0.56310705723253973</v>
      </c>
    </row>
    <row r="71" spans="1:18">
      <c r="A71">
        <v>8068</v>
      </c>
      <c r="B71" t="s">
        <v>1027</v>
      </c>
      <c r="C71" t="s">
        <v>90</v>
      </c>
      <c r="D71">
        <f>IFERROR(+VLOOKUP(B71,'BD ASVICC'!$A$6:$GQ$316,5,FALSE),"")</f>
        <v>1906</v>
      </c>
      <c r="E71">
        <f>IFERROR(+VLOOKUP($B71,'BD ASVICC'!$A$6:$GQ$316,113,FALSE),"")</f>
        <v>4.8499999999999996</v>
      </c>
      <c r="F71">
        <f>IFERROR(+VLOOKUP($B71,'BD ASVICC'!$A$6:$GQ$316,114,FALSE),"")</f>
        <v>0</v>
      </c>
      <c r="G71">
        <f>IFERROR(+VLOOKUP($B71,'BD ASVICC'!$A$6:$GQ$316,115,FALSE),"")</f>
        <v>4.8499999999999996</v>
      </c>
      <c r="H71">
        <f t="shared" si="7"/>
        <v>15.845367184940276</v>
      </c>
      <c r="I71">
        <f t="shared" si="8"/>
        <v>237.68050777410414</v>
      </c>
      <c r="J71" s="846">
        <f>I71*'2. Incendis forestals'!$C$52</f>
        <v>2373239.8701244299</v>
      </c>
      <c r="K71" t="str">
        <f>VLOOKUP(B71,'BD ASVICC'!$A$6:$BG$316,59,FALSE)</f>
        <v>LITORAL</v>
      </c>
      <c r="L71">
        <f>VLOOKUP(K71,'2. Incendis forestals'!$F$9:$G$11,2,FALSE)</f>
        <v>0.75</v>
      </c>
      <c r="M71">
        <f t="shared" si="5"/>
        <v>43.574759758585756</v>
      </c>
      <c r="N71">
        <f t="shared" si="9"/>
        <v>653.62139637878636</v>
      </c>
      <c r="O71" s="846">
        <f>N71*'2. Incendis forestals'!$C$52</f>
        <v>6526409.642842182</v>
      </c>
      <c r="P71" s="846">
        <f t="shared" si="6"/>
        <v>4153169.772717752</v>
      </c>
      <c r="Q71" s="854">
        <f>D71/VLOOKUP(C71,'BD Comarcal'!$A$5:$AX$17,21,FALSE)</f>
        <v>7.3330255463219446E-2</v>
      </c>
      <c r="R71">
        <f>VLOOKUP(C71,'BD Comarcal'!$A$5:$AX$17,50,FALSE)*Q71</f>
        <v>15.845367184940276</v>
      </c>
    </row>
    <row r="72" spans="1:18">
      <c r="A72">
        <v>8069</v>
      </c>
      <c r="B72" t="s">
        <v>1030</v>
      </c>
      <c r="C72" t="s">
        <v>90</v>
      </c>
      <c r="D72">
        <f>IFERROR(+VLOOKUP(B72,'BD ASVICC'!$A$6:$GQ$316,5,FALSE),"")</f>
        <v>1195</v>
      </c>
      <c r="E72">
        <f>IFERROR(+VLOOKUP($B72,'BD ASVICC'!$A$6:$GQ$316,113,FALSE),"")</f>
        <v>0</v>
      </c>
      <c r="F72">
        <f>IFERROR(+VLOOKUP($B72,'BD ASVICC'!$A$6:$GQ$316,114,FALSE),"")</f>
        <v>0</v>
      </c>
      <c r="G72">
        <f>IFERROR(+VLOOKUP($B72,'BD ASVICC'!$A$6:$GQ$316,115,FALSE),"")</f>
        <v>0</v>
      </c>
      <c r="H72">
        <f t="shared" si="7"/>
        <v>9.9345297932862699</v>
      </c>
      <c r="I72">
        <f t="shared" si="8"/>
        <v>149.01794689929406</v>
      </c>
      <c r="J72" s="846">
        <f>I72*'2. Incendis forestals'!$C$52</f>
        <v>1487944.1997894512</v>
      </c>
      <c r="K72" t="str">
        <f>VLOOKUP(B72,'BD ASVICC'!$A$6:$BG$316,59,FALSE)</f>
        <v>CENTRAL</v>
      </c>
      <c r="L72">
        <f>VLOOKUP(K72,'2. Incendis forestals'!$F$9:$G$11,2,FALSE)</f>
        <v>0.75</v>
      </c>
      <c r="M72">
        <f t="shared" si="5"/>
        <v>27.319956931537241</v>
      </c>
      <c r="N72">
        <f t="shared" si="9"/>
        <v>409.7993539730586</v>
      </c>
      <c r="O72" s="846">
        <f>N72*'2. Incendis forestals'!$C$52</f>
        <v>4091846.54942099</v>
      </c>
      <c r="P72" s="846">
        <f t="shared" si="6"/>
        <v>2603902.3496315386</v>
      </c>
      <c r="Q72" s="854">
        <f>D72/VLOOKUP(C72,'BD Comarcal'!$A$5:$AX$17,21,FALSE)</f>
        <v>4.5975684826100337E-2</v>
      </c>
      <c r="R72">
        <f>VLOOKUP(C72,'BD Comarcal'!$A$5:$AX$17,50,FALSE)*Q72</f>
        <v>9.9345297932862699</v>
      </c>
    </row>
    <row r="73" spans="1:18">
      <c r="A73">
        <v>8070</v>
      </c>
      <c r="B73" t="s">
        <v>1034</v>
      </c>
      <c r="C73" t="s">
        <v>88</v>
      </c>
      <c r="D73">
        <f>IFERROR(+VLOOKUP(B73,'BD ASVICC'!$A$6:$GQ$316,5,FALSE),"")</f>
        <v>919</v>
      </c>
      <c r="E73">
        <f>IFERROR(+VLOOKUP($B73,'BD ASVICC'!$A$6:$GQ$316,113,FALSE),"")</f>
        <v>0</v>
      </c>
      <c r="F73">
        <f>IFERROR(+VLOOKUP($B73,'BD ASVICC'!$A$6:$GQ$316,114,FALSE),"")</f>
        <v>0</v>
      </c>
      <c r="G73">
        <f>IFERROR(+VLOOKUP($B73,'BD ASVICC'!$A$6:$GQ$316,115,FALSE),"")</f>
        <v>0</v>
      </c>
      <c r="H73">
        <f t="shared" si="7"/>
        <v>0.71477263203964636</v>
      </c>
      <c r="I73">
        <f t="shared" si="8"/>
        <v>10.721589480594695</v>
      </c>
      <c r="J73" s="846">
        <f>I73*'2. Incendis forestals'!$C$52</f>
        <v>107055.07096373802</v>
      </c>
      <c r="K73" t="str">
        <f>VLOOKUP(B73,'BD ASVICC'!$A$6:$BG$316,59,FALSE)</f>
        <v>PREPIRINEU-PIRINEU</v>
      </c>
      <c r="L73">
        <f>VLOOKUP(K73,'2. Incendis forestals'!$F$9:$G$11,2,FALSE)</f>
        <v>0.75</v>
      </c>
      <c r="M73">
        <f t="shared" si="5"/>
        <v>1.9656247381090275</v>
      </c>
      <c r="N73">
        <f t="shared" si="9"/>
        <v>29.484371071635412</v>
      </c>
      <c r="O73" s="846">
        <f>N73*'2. Incendis forestals'!$C$52</f>
        <v>294401.44515027961</v>
      </c>
      <c r="P73" s="846">
        <f t="shared" si="6"/>
        <v>187346.37418654159</v>
      </c>
      <c r="Q73" s="854">
        <f>D73/VLOOKUP(C73,'BD Comarcal'!$A$5:$AX$17,21,FALSE)</f>
        <v>9.8332941000235392E-3</v>
      </c>
      <c r="R73">
        <f>VLOOKUP(C73,'BD Comarcal'!$A$5:$AX$17,50,FALSE)*Q73</f>
        <v>0.71477263203964636</v>
      </c>
    </row>
    <row r="74" spans="1:18">
      <c r="A74">
        <v>8071</v>
      </c>
      <c r="B74" t="s">
        <v>1037</v>
      </c>
      <c r="C74" t="s">
        <v>81</v>
      </c>
      <c r="D74">
        <f>IFERROR(+VLOOKUP(B74,'BD ASVICC'!$A$6:$GQ$316,5,FALSE),"")</f>
        <v>1099</v>
      </c>
      <c r="E74">
        <f>IFERROR(+VLOOKUP($B74,'BD ASVICC'!$A$6:$GQ$316,113,FALSE),"")</f>
        <v>1.56</v>
      </c>
      <c r="F74">
        <f>IFERROR(+VLOOKUP($B74,'BD ASVICC'!$A$6:$GQ$316,114,FALSE),"")</f>
        <v>33</v>
      </c>
      <c r="G74">
        <f>IFERROR(+VLOOKUP($B74,'BD ASVICC'!$A$6:$GQ$316,115,FALSE),"")</f>
        <v>34.56</v>
      </c>
      <c r="H74">
        <f t="shared" si="7"/>
        <v>12.132103196616429</v>
      </c>
      <c r="I74">
        <f t="shared" si="8"/>
        <v>181.98154794924642</v>
      </c>
      <c r="J74" s="846">
        <f>I74*'2. Incendis forestals'!$C$52</f>
        <v>1817085.7562732254</v>
      </c>
      <c r="K74" t="str">
        <f>VLOOKUP(B74,'BD ASVICC'!$A$6:$BG$316,59,FALSE)</f>
        <v>CENTRAL</v>
      </c>
      <c r="L74">
        <f>VLOOKUP(K74,'2. Incendis forestals'!$F$9:$G$11,2,FALSE)</f>
        <v>0.75</v>
      </c>
      <c r="M74">
        <f t="shared" si="5"/>
        <v>33.363283790695178</v>
      </c>
      <c r="N74">
        <f t="shared" si="9"/>
        <v>500.44925686042768</v>
      </c>
      <c r="O74" s="846">
        <f>N74*'2. Incendis forestals'!$C$52</f>
        <v>4996985.8297513705</v>
      </c>
      <c r="P74" s="846">
        <f t="shared" si="6"/>
        <v>3179900.0734781451</v>
      </c>
      <c r="Q74" s="854">
        <f>D74/VLOOKUP(C74,'BD Comarcal'!$A$5:$AX$17,21,FALSE)</f>
        <v>2.1069381338547959E-2</v>
      </c>
      <c r="R74">
        <f>VLOOKUP(C74,'BD Comarcal'!$A$5:$AX$17,50,FALSE)*Q74</f>
        <v>12.132103196616429</v>
      </c>
    </row>
    <row r="75" spans="1:18">
      <c r="A75">
        <v>8072</v>
      </c>
      <c r="B75" t="s">
        <v>1043</v>
      </c>
      <c r="C75" t="s">
        <v>90</v>
      </c>
      <c r="D75">
        <f>IFERROR(+VLOOKUP(B75,'BD ASVICC'!$A$6:$GQ$316,5,FALSE),"")</f>
        <v>1282</v>
      </c>
      <c r="E75">
        <f>IFERROR(+VLOOKUP($B75,'BD ASVICC'!$A$6:$GQ$316,113,FALSE),"")</f>
        <v>1</v>
      </c>
      <c r="F75">
        <f>IFERROR(+VLOOKUP($B75,'BD ASVICC'!$A$6:$GQ$316,114,FALSE),"")</f>
        <v>0.5</v>
      </c>
      <c r="G75">
        <f>IFERROR(+VLOOKUP($B75,'BD ASVICC'!$A$6:$GQ$316,115,FALSE),"")</f>
        <v>1.5</v>
      </c>
      <c r="H75">
        <f t="shared" si="7"/>
        <v>10.657796815893724</v>
      </c>
      <c r="I75">
        <f t="shared" si="8"/>
        <v>159.86695223840584</v>
      </c>
      <c r="J75" s="846">
        <f>I75*'2. Incendis forestals'!$C$52</f>
        <v>1596271.5181004824</v>
      </c>
      <c r="K75" t="str">
        <f>VLOOKUP(B75,'BD ASVICC'!$A$6:$BG$316,59,FALSE)</f>
        <v>LITORAL</v>
      </c>
      <c r="L75">
        <f>VLOOKUP(K75,'2. Incendis forestals'!$F$9:$G$11,2,FALSE)</f>
        <v>0.75</v>
      </c>
      <c r="M75">
        <f t="shared" si="5"/>
        <v>29.308941243707743</v>
      </c>
      <c r="N75">
        <f t="shared" si="9"/>
        <v>439.63411865561613</v>
      </c>
      <c r="O75" s="846">
        <f>N75*'2. Incendis forestals'!$C$52</f>
        <v>4389746.6747763269</v>
      </c>
      <c r="P75" s="846">
        <f t="shared" si="6"/>
        <v>2793475.1566758445</v>
      </c>
      <c r="Q75" s="854">
        <f>D75/VLOOKUP(C75,'BD Comarcal'!$A$5:$AX$17,21,FALSE)</f>
        <v>4.9322868574946138E-2</v>
      </c>
      <c r="R75">
        <f>VLOOKUP(C75,'BD Comarcal'!$A$5:$AX$17,50,FALSE)*Q75</f>
        <v>10.657796815893724</v>
      </c>
    </row>
    <row r="76" spans="1:18">
      <c r="A76">
        <v>8073</v>
      </c>
      <c r="B76" t="s">
        <v>1046</v>
      </c>
      <c r="C76" t="s">
        <v>90</v>
      </c>
      <c r="D76">
        <f>IFERROR(+VLOOKUP(B76,'BD ASVICC'!$A$6:$GQ$316,5,FALSE),"")</f>
        <v>96</v>
      </c>
      <c r="E76">
        <f>IFERROR(+VLOOKUP($B76,'BD ASVICC'!$A$6:$GQ$316,113,FALSE),"")</f>
        <v>0</v>
      </c>
      <c r="F76">
        <f>IFERROR(+VLOOKUP($B76,'BD ASVICC'!$A$6:$GQ$316,114,FALSE),"")</f>
        <v>0</v>
      </c>
      <c r="G76">
        <f>IFERROR(+VLOOKUP($B76,'BD ASVICC'!$A$6:$GQ$316,115,FALSE),"")</f>
        <v>0</v>
      </c>
      <c r="H76">
        <f t="shared" si="7"/>
        <v>0.79808774908408531</v>
      </c>
      <c r="I76">
        <f t="shared" si="8"/>
        <v>11.971316236261279</v>
      </c>
      <c r="J76" s="846">
        <f>I76*'2. Incendis forestals'!$C$52</f>
        <v>119533.59261906886</v>
      </c>
      <c r="K76" t="str">
        <f>VLOOKUP(B76,'BD ASVICC'!$A$6:$BG$316,59,FALSE)</f>
        <v>LITORAL</v>
      </c>
      <c r="L76">
        <f>VLOOKUP(K76,'2. Incendis forestals'!$F$9:$G$11,2,FALSE)</f>
        <v>0.75</v>
      </c>
      <c r="M76">
        <f t="shared" si="5"/>
        <v>2.1947413099812345</v>
      </c>
      <c r="N76">
        <f t="shared" si="9"/>
        <v>32.92111964971852</v>
      </c>
      <c r="O76" s="846">
        <f>N76*'2. Incendis forestals'!$C$52</f>
        <v>328717.37970243942</v>
      </c>
      <c r="P76" s="846">
        <f t="shared" si="6"/>
        <v>209183.78708337055</v>
      </c>
      <c r="Q76" s="854">
        <f>D76/VLOOKUP(C76,'BD Comarcal'!$A$5:$AX$17,21,FALSE)</f>
        <v>3.6934441366574329E-3</v>
      </c>
      <c r="R76">
        <f>VLOOKUP(C76,'BD Comarcal'!$A$5:$AX$17,50,FALSE)*Q76</f>
        <v>0.79808774908408531</v>
      </c>
    </row>
    <row r="77" spans="1:18">
      <c r="A77">
        <v>8074</v>
      </c>
      <c r="B77" t="s">
        <v>341</v>
      </c>
      <c r="C77" t="s">
        <v>85</v>
      </c>
      <c r="D77">
        <f>IFERROR(+VLOOKUP(B77,'BD ASVICC'!$A$6:$GQ$316,5,FALSE),"")</f>
        <v>620</v>
      </c>
      <c r="E77">
        <f>IFERROR(+VLOOKUP($B77,'BD ASVICC'!$A$6:$GQ$316,113,FALSE),"")</f>
        <v>6.1</v>
      </c>
      <c r="F77">
        <f>IFERROR(+VLOOKUP($B77,'BD ASVICC'!$A$6:$GQ$316,114,FALSE),"")</f>
        <v>0</v>
      </c>
      <c r="G77">
        <f>IFERROR(+VLOOKUP($B77,'BD ASVICC'!$A$6:$GQ$316,115,FALSE),"")</f>
        <v>6.1</v>
      </c>
      <c r="H77">
        <f t="shared" si="7"/>
        <v>7.9016758854123674</v>
      </c>
      <c r="I77">
        <f t="shared" si="8"/>
        <v>118.52513828118551</v>
      </c>
      <c r="J77" s="846">
        <f>I77*'2. Incendis forestals'!$C$52</f>
        <v>1183473.5057376372</v>
      </c>
      <c r="K77" t="str">
        <f>VLOOKUP(B77,'BD ASVICC'!$A$6:$BG$316,59,FALSE)</f>
        <v>LITORAL</v>
      </c>
      <c r="L77">
        <f>VLOOKUP(K77,'2. Incendis forestals'!$F$9:$G$11,2,FALSE)</f>
        <v>0.75</v>
      </c>
      <c r="M77">
        <f t="shared" si="5"/>
        <v>21.72960868488401</v>
      </c>
      <c r="N77">
        <f t="shared" si="9"/>
        <v>325.94413027326016</v>
      </c>
      <c r="O77" s="846">
        <f>N77*'2. Incendis forestals'!$C$52</f>
        <v>3254552.1407785024</v>
      </c>
      <c r="P77" s="846">
        <f t="shared" si="6"/>
        <v>2071078.6350408653</v>
      </c>
      <c r="Q77" s="854">
        <f>D77/VLOOKUP(C77,'BD Comarcal'!$A$5:$AX$17,21,FALSE)</f>
        <v>5.1184677619086932E-2</v>
      </c>
      <c r="R77">
        <f>VLOOKUP(C77,'BD Comarcal'!$A$5:$AX$17,50,FALSE)*Q77</f>
        <v>7.9016758854123674</v>
      </c>
    </row>
    <row r="78" spans="1:18">
      <c r="A78">
        <v>8075</v>
      </c>
      <c r="B78" t="s">
        <v>1050</v>
      </c>
      <c r="C78" t="s">
        <v>86</v>
      </c>
      <c r="D78">
        <f>IFERROR(+VLOOKUP(B78,'BD ASVICC'!$A$6:$GQ$316,5,FALSE),"")</f>
        <v>3454</v>
      </c>
      <c r="E78">
        <f>IFERROR(+VLOOKUP($B78,'BD ASVICC'!$A$6:$GQ$316,113,FALSE),"")</f>
        <v>5.21</v>
      </c>
      <c r="F78">
        <f>IFERROR(+VLOOKUP($B78,'BD ASVICC'!$A$6:$GQ$316,114,FALSE),"")</f>
        <v>4.18</v>
      </c>
      <c r="G78">
        <f>IFERROR(+VLOOKUP($B78,'BD ASVICC'!$A$6:$GQ$316,115,FALSE),"")</f>
        <v>9.39</v>
      </c>
      <c r="H78">
        <f t="shared" si="7"/>
        <v>6.1848325096627903</v>
      </c>
      <c r="I78">
        <f t="shared" si="8"/>
        <v>92.772487644941862</v>
      </c>
      <c r="J78" s="846">
        <f>I78*'2. Incendis forestals'!$C$52</f>
        <v>926333.28913474444</v>
      </c>
      <c r="K78" t="str">
        <f>VLOOKUP(B78,'BD ASVICC'!$A$6:$BG$316,59,FALSE)</f>
        <v>CENTRAL</v>
      </c>
      <c r="L78">
        <f>VLOOKUP(K78,'2. Incendis forestals'!$F$9:$G$11,2,FALSE)</f>
        <v>0.75</v>
      </c>
      <c r="M78">
        <f t="shared" si="5"/>
        <v>17.008289401572675</v>
      </c>
      <c r="N78">
        <f t="shared" si="9"/>
        <v>255.12434102359012</v>
      </c>
      <c r="O78" s="846">
        <f>N78*'2. Incendis forestals'!$C$52</f>
        <v>2547416.5451205475</v>
      </c>
      <c r="P78" s="846">
        <f t="shared" si="6"/>
        <v>1621083.255985803</v>
      </c>
      <c r="Q78" s="854">
        <f>D78/VLOOKUP(C78,'BD Comarcal'!$A$5:$AX$17,21,FALSE)</f>
        <v>0.12840626045577902</v>
      </c>
      <c r="R78">
        <f>VLOOKUP(C78,'BD Comarcal'!$A$5:$AX$17,50,FALSE)*Q78</f>
        <v>6.1848325096627903</v>
      </c>
    </row>
    <row r="79" spans="1:18">
      <c r="A79">
        <v>8076</v>
      </c>
      <c r="B79" t="s">
        <v>1053</v>
      </c>
      <c r="C79" t="s">
        <v>90</v>
      </c>
      <c r="D79">
        <f>IFERROR(+VLOOKUP(B79,'BD ASVICC'!$A$6:$GQ$316,5,FALSE),"")</f>
        <v>1605</v>
      </c>
      <c r="E79">
        <f>IFERROR(+VLOOKUP($B79,'BD ASVICC'!$A$6:$GQ$316,113,FALSE),"")</f>
        <v>10.62</v>
      </c>
      <c r="F79">
        <f>IFERROR(+VLOOKUP($B79,'BD ASVICC'!$A$6:$GQ$316,114,FALSE),"")</f>
        <v>9.09</v>
      </c>
      <c r="G79">
        <f>IFERROR(+VLOOKUP($B79,'BD ASVICC'!$A$6:$GQ$316,115,FALSE),"")</f>
        <v>19.71</v>
      </c>
      <c r="H79">
        <f t="shared" si="7"/>
        <v>13.343029554999552</v>
      </c>
      <c r="I79">
        <f t="shared" si="8"/>
        <v>200.14544332499327</v>
      </c>
      <c r="J79" s="846">
        <f>I79*'2. Incendis forestals'!$C$52</f>
        <v>1998452.2516000578</v>
      </c>
      <c r="K79" t="str">
        <f>VLOOKUP(B79,'BD ASVICC'!$A$6:$BG$316,59,FALSE)</f>
        <v>LITORAL</v>
      </c>
      <c r="L79">
        <f>VLOOKUP(K79,'2. Incendis forestals'!$F$9:$G$11,2,FALSE)</f>
        <v>0.75</v>
      </c>
      <c r="M79">
        <f t="shared" si="5"/>
        <v>36.69333127624877</v>
      </c>
      <c r="N79">
        <f t="shared" si="9"/>
        <v>550.3999691437316</v>
      </c>
      <c r="O79" s="846">
        <f>N79*'2. Incendis forestals'!$C$52</f>
        <v>5495743.6919001602</v>
      </c>
      <c r="P79" s="846">
        <f t="shared" si="6"/>
        <v>3497291.4403001023</v>
      </c>
      <c r="Q79" s="854">
        <f>D79/VLOOKUP(C79,'BD Comarcal'!$A$5:$AX$17,21,FALSE)</f>
        <v>6.1749769159741459E-2</v>
      </c>
      <c r="R79">
        <f>VLOOKUP(C79,'BD Comarcal'!$A$5:$AX$17,50,FALSE)*Q79</f>
        <v>13.343029554999552</v>
      </c>
    </row>
    <row r="80" spans="1:18">
      <c r="A80">
        <v>8077</v>
      </c>
      <c r="B80" t="s">
        <v>1061</v>
      </c>
      <c r="C80" t="s">
        <v>90</v>
      </c>
      <c r="D80">
        <f>IFERROR(+VLOOKUP(B80,'BD ASVICC'!$A$6:$GQ$316,5,FALSE),"")</f>
        <v>97</v>
      </c>
      <c r="E80">
        <f>IFERROR(+VLOOKUP($B80,'BD ASVICC'!$A$6:$GQ$316,113,FALSE),"")</f>
        <v>0</v>
      </c>
      <c r="F80">
        <f>IFERROR(+VLOOKUP($B80,'BD ASVICC'!$A$6:$GQ$316,114,FALSE),"")</f>
        <v>5.0999999999999996</v>
      </c>
      <c r="G80">
        <f>IFERROR(+VLOOKUP($B80,'BD ASVICC'!$A$6:$GQ$316,115,FALSE),"")</f>
        <v>5.0999999999999996</v>
      </c>
      <c r="H80">
        <f t="shared" si="7"/>
        <v>0.80640116313704457</v>
      </c>
      <c r="I80">
        <f t="shared" si="8"/>
        <v>12.096017447055669</v>
      </c>
      <c r="J80" s="846">
        <f>I80*'2. Incendis forestals'!$C$52</f>
        <v>120778.73420885086</v>
      </c>
      <c r="K80" t="str">
        <f>VLOOKUP(B80,'BD ASVICC'!$A$6:$BG$316,59,FALSE)</f>
        <v>LITORAL</v>
      </c>
      <c r="L80">
        <f>VLOOKUP(K80,'2. Incendis forestals'!$F$9:$G$11,2,FALSE)</f>
        <v>0.75</v>
      </c>
      <c r="M80">
        <f t="shared" si="5"/>
        <v>2.2176031986268727</v>
      </c>
      <c r="N80">
        <f t="shared" si="9"/>
        <v>33.264047979403088</v>
      </c>
      <c r="O80" s="846">
        <f>N80*'2. Incendis forestals'!$C$52</f>
        <v>332141.51907433983</v>
      </c>
      <c r="P80" s="846">
        <f t="shared" si="6"/>
        <v>211362.78486548897</v>
      </c>
      <c r="Q80" s="854">
        <f>D80/VLOOKUP(C80,'BD Comarcal'!$A$5:$AX$17,21,FALSE)</f>
        <v>3.7319175130809479E-3</v>
      </c>
      <c r="R80">
        <f>VLOOKUP(C80,'BD Comarcal'!$A$5:$AX$17,50,FALSE)*Q80</f>
        <v>0.80640116313704457</v>
      </c>
    </row>
    <row r="81" spans="1:18">
      <c r="A81">
        <v>8078</v>
      </c>
      <c r="B81" t="s">
        <v>1062</v>
      </c>
      <c r="C81" t="s">
        <v>84</v>
      </c>
      <c r="D81">
        <f>IFERROR(+VLOOKUP(B81,'BD ASVICC'!$A$6:$GQ$316,5,FALSE),"")</f>
        <v>2356</v>
      </c>
      <c r="E81">
        <f>IFERROR(+VLOOKUP($B81,'BD ASVICC'!$A$6:$GQ$316,113,FALSE),"")</f>
        <v>0</v>
      </c>
      <c r="F81">
        <f>IFERROR(+VLOOKUP($B81,'BD ASVICC'!$A$6:$GQ$316,114,FALSE),"")</f>
        <v>0</v>
      </c>
      <c r="G81">
        <f>IFERROR(+VLOOKUP($B81,'BD ASVICC'!$A$6:$GQ$316,115,FALSE),"")</f>
        <v>0</v>
      </c>
      <c r="H81">
        <f t="shared" si="7"/>
        <v>14.557451670260656</v>
      </c>
      <c r="I81">
        <f t="shared" si="8"/>
        <v>218.36177505390984</v>
      </c>
      <c r="J81" s="846">
        <f>I81*'2. Incendis forestals'!$C$52</f>
        <v>2180342.3239132897</v>
      </c>
      <c r="K81" t="str">
        <f>VLOOKUP(B81,'BD ASVICC'!$A$6:$BG$316,59,FALSE)</f>
        <v>PREPIRINEU-PIRINEU</v>
      </c>
      <c r="L81">
        <f>VLOOKUP(K81,'2. Incendis forestals'!$F$9:$G$11,2,FALSE)</f>
        <v>0.75</v>
      </c>
      <c r="M81">
        <f t="shared" si="5"/>
        <v>40.032992093216805</v>
      </c>
      <c r="N81">
        <f t="shared" si="9"/>
        <v>600.49488139825212</v>
      </c>
      <c r="O81" s="846">
        <f>N81*'2. Incendis forestals'!$C$52</f>
        <v>5995941.3907615477</v>
      </c>
      <c r="P81" s="846">
        <f t="shared" si="6"/>
        <v>3815599.066848258</v>
      </c>
      <c r="Q81" s="854">
        <f>D81/VLOOKUP(C81,'BD Comarcal'!$A$5:$AX$17,21,FALSE)</f>
        <v>2.2282752619831273E-2</v>
      </c>
      <c r="R81">
        <f>VLOOKUP(C81,'BD Comarcal'!$A$5:$AX$17,50,FALSE)*Q81</f>
        <v>14.557451670260656</v>
      </c>
    </row>
    <row r="82" spans="1:18">
      <c r="A82">
        <v>8079</v>
      </c>
      <c r="B82" t="s">
        <v>1063</v>
      </c>
      <c r="C82" t="s">
        <v>82</v>
      </c>
      <c r="D82">
        <f>IFERROR(+VLOOKUP(B82,'BD ASVICC'!$A$6:$GQ$316,5,FALSE),"")</f>
        <v>720</v>
      </c>
      <c r="E82">
        <f>IFERROR(+VLOOKUP($B82,'BD ASVICC'!$A$6:$GQ$316,113,FALSE),"")</f>
        <v>0.23</v>
      </c>
      <c r="F82">
        <f>IFERROR(+VLOOKUP($B82,'BD ASVICC'!$A$6:$GQ$316,114,FALSE),"")</f>
        <v>0.88</v>
      </c>
      <c r="G82">
        <f>IFERROR(+VLOOKUP($B82,'BD ASVICC'!$A$6:$GQ$316,115,FALSE),"")</f>
        <v>1.1100000000000001</v>
      </c>
      <c r="H82">
        <f t="shared" si="7"/>
        <v>7.9393929833869894</v>
      </c>
      <c r="I82">
        <f t="shared" si="8"/>
        <v>119.09089475080484</v>
      </c>
      <c r="J82" s="846">
        <f>I82*'2. Incendis forestals'!$C$52</f>
        <v>1189122.5840867863</v>
      </c>
      <c r="K82" t="str">
        <f>VLOOKUP(B82,'BD ASVICC'!$A$6:$BG$316,59,FALSE)</f>
        <v>PREPIRINEU-PIRINEU</v>
      </c>
      <c r="L82">
        <f>VLOOKUP(K82,'2. Incendis forestals'!$F$9:$G$11,2,FALSE)</f>
        <v>0.75</v>
      </c>
      <c r="M82">
        <f t="shared" si="5"/>
        <v>21.833330704314221</v>
      </c>
      <c r="N82">
        <f t="shared" si="9"/>
        <v>327.49996056471332</v>
      </c>
      <c r="O82" s="846">
        <f>N82*'2. Incendis forestals'!$C$52</f>
        <v>3270087.1062386623</v>
      </c>
      <c r="P82" s="846">
        <f t="shared" si="6"/>
        <v>2080964.522151876</v>
      </c>
      <c r="Q82" s="854">
        <f>D82/VLOOKUP(C82,'BD Comarcal'!$A$5:$AX$17,21,FALSE)</f>
        <v>8.8908646365859073E-3</v>
      </c>
      <c r="R82">
        <f>VLOOKUP(C82,'BD Comarcal'!$A$5:$AX$17,50,FALSE)*Q82</f>
        <v>7.9393929833869894</v>
      </c>
    </row>
    <row r="83" spans="1:18">
      <c r="A83">
        <v>8080</v>
      </c>
      <c r="B83" t="s">
        <v>1067</v>
      </c>
      <c r="C83" t="s">
        <v>84</v>
      </c>
      <c r="D83">
        <f>IFERROR(+VLOOKUP(B83,'BD ASVICC'!$A$6:$GQ$316,5,FALSE),"")</f>
        <v>2618</v>
      </c>
      <c r="E83">
        <f>IFERROR(+VLOOKUP($B83,'BD ASVICC'!$A$6:$GQ$316,113,FALSE),"")</f>
        <v>0</v>
      </c>
      <c r="F83">
        <f>IFERROR(+VLOOKUP($B83,'BD ASVICC'!$A$6:$GQ$316,114,FALSE),"")</f>
        <v>0</v>
      </c>
      <c r="G83">
        <f>IFERROR(+VLOOKUP($B83,'BD ASVICC'!$A$6:$GQ$316,115,FALSE),"")</f>
        <v>0</v>
      </c>
      <c r="H83">
        <f t="shared" si="7"/>
        <v>16.176319385714091</v>
      </c>
      <c r="I83">
        <f t="shared" si="8"/>
        <v>242.64479078571136</v>
      </c>
      <c r="J83" s="846">
        <f>I83*'2. Incendis forestals'!$C$52</f>
        <v>2422808.2359953281</v>
      </c>
      <c r="K83" t="str">
        <f>VLOOKUP(B83,'BD ASVICC'!$A$6:$BG$316,59,FALSE)</f>
        <v>PREPIRINEU-PIRINEU</v>
      </c>
      <c r="L83">
        <f>VLOOKUP(K83,'2. Incendis forestals'!$F$9:$G$11,2,FALSE)</f>
        <v>0.75</v>
      </c>
      <c r="M83">
        <f t="shared" si="5"/>
        <v>44.484878310713754</v>
      </c>
      <c r="N83">
        <f t="shared" si="9"/>
        <v>667.27317466070633</v>
      </c>
      <c r="O83" s="846">
        <f>N83*'2. Incendis forestals'!$C$52</f>
        <v>6662722.6489871526</v>
      </c>
      <c r="P83" s="846">
        <f t="shared" si="6"/>
        <v>4239914.4129918246</v>
      </c>
      <c r="Q83" s="854">
        <f>D83/VLOOKUP(C83,'BD Comarcal'!$A$5:$AX$17,21,FALSE)</f>
        <v>2.4760715771951727E-2</v>
      </c>
      <c r="R83">
        <f>VLOOKUP(C83,'BD Comarcal'!$A$5:$AX$17,50,FALSE)*Q83</f>
        <v>16.176319385714091</v>
      </c>
    </row>
    <row r="84" spans="1:18">
      <c r="A84">
        <v>8081</v>
      </c>
      <c r="B84" t="s">
        <v>1068</v>
      </c>
      <c r="C84" t="s">
        <v>24</v>
      </c>
      <c r="D84">
        <f>IFERROR(+VLOOKUP(B84,'BD ASVICC'!$A$6:$GQ$316,5,FALSE),"")</f>
        <v>3654</v>
      </c>
      <c r="E84">
        <f>IFERROR(+VLOOKUP($B84,'BD ASVICC'!$A$6:$GQ$316,113,FALSE),"")</f>
        <v>0</v>
      </c>
      <c r="F84">
        <f>IFERROR(+VLOOKUP($B84,'BD ASVICC'!$A$6:$GQ$316,114,FALSE),"")</f>
        <v>0</v>
      </c>
      <c r="G84">
        <f>IFERROR(+VLOOKUP($B84,'BD ASVICC'!$A$6:$GQ$316,115,FALSE),"")</f>
        <v>0</v>
      </c>
      <c r="H84">
        <f t="shared" si="7"/>
        <v>7.4343511103523952</v>
      </c>
      <c r="I84">
        <f t="shared" si="8"/>
        <v>111.51526665528593</v>
      </c>
      <c r="J84" s="846">
        <f>I84*'2. Incendis forestals'!$C$52</f>
        <v>1113479.93755303</v>
      </c>
      <c r="K84" t="str">
        <f>VLOOKUP(B84,'BD ASVICC'!$A$6:$BG$316,59,FALSE)</f>
        <v>CENTRAL</v>
      </c>
      <c r="L84">
        <f>VLOOKUP(K84,'2. Incendis forestals'!$F$9:$G$11,2,FALSE)</f>
        <v>0.75</v>
      </c>
      <c r="M84">
        <f t="shared" si="5"/>
        <v>20.444465553469087</v>
      </c>
      <c r="N84">
        <f t="shared" si="9"/>
        <v>306.66698330203633</v>
      </c>
      <c r="O84" s="846">
        <f>N84*'2. Incendis forestals'!$C$52</f>
        <v>3062069.8282708325</v>
      </c>
      <c r="P84" s="846">
        <f t="shared" si="6"/>
        <v>1948589.8907178026</v>
      </c>
      <c r="Q84" s="854">
        <f>D84/VLOOKUP(C84,'BD Comarcal'!$A$5:$AX$17,21,FALSE)</f>
        <v>7.1885266864708544E-2</v>
      </c>
      <c r="R84">
        <f>VLOOKUP(C84,'BD Comarcal'!$A$5:$AX$17,50,FALSE)*Q84</f>
        <v>7.4343511103523952</v>
      </c>
    </row>
    <row r="85" spans="1:18">
      <c r="A85">
        <v>8082</v>
      </c>
      <c r="B85" t="s">
        <v>1071</v>
      </c>
      <c r="C85" s="851" t="s">
        <v>86</v>
      </c>
      <c r="D85">
        <f>IFERROR(+VLOOKUP(B85,'BD ASVICC'!$A$6:$GQ$316,5,FALSE),"")</f>
        <v>2792</v>
      </c>
      <c r="E85">
        <f>IFERROR(+VLOOKUP($B85,'BD ASVICC'!$A$6:$GQ$316,113,FALSE),"")</f>
        <v>1</v>
      </c>
      <c r="F85">
        <f>IFERROR(+VLOOKUP($B85,'BD ASVICC'!$A$6:$GQ$316,114,FALSE),"")</f>
        <v>0</v>
      </c>
      <c r="G85">
        <f>IFERROR(+VLOOKUP($B85,'BD ASVICC'!$A$6:$GQ$316,115,FALSE),"")</f>
        <v>1</v>
      </c>
      <c r="H85">
        <f t="shared" si="7"/>
        <v>4.9994361224604837</v>
      </c>
      <c r="I85">
        <f t="shared" si="8"/>
        <v>74.99154183690726</v>
      </c>
      <c r="J85" s="846">
        <f>I85*'2. Incendis forestals'!$C$52</f>
        <v>748790.54524151899</v>
      </c>
      <c r="K85" t="str">
        <f>VLOOKUP(B85,'BD ASVICC'!$A$6:$BG$316,59,FALSE)</f>
        <v>LITORAL</v>
      </c>
      <c r="L85">
        <f>VLOOKUP(K85,'2. Incendis forestals'!$F$9:$G$11,2,FALSE)</f>
        <v>0.75</v>
      </c>
      <c r="M85">
        <f t="shared" si="5"/>
        <v>13.748449336766331</v>
      </c>
      <c r="N85">
        <f t="shared" si="9"/>
        <v>206.22674005149497</v>
      </c>
      <c r="O85" s="846">
        <f>N85*'2. Incendis forestals'!$C$52</f>
        <v>2059173.9994141774</v>
      </c>
      <c r="P85" s="846">
        <f t="shared" si="6"/>
        <v>1310383.4541726583</v>
      </c>
      <c r="Q85" s="854">
        <f>D85/VLOOKUP(C85,'BD Comarcal'!$A$5:$AX$17,21,FALSE)</f>
        <v>0.10379568013680807</v>
      </c>
      <c r="R85">
        <f>VLOOKUP(C85,'BD Comarcal'!$A$5:$AX$17,50,FALSE)*Q85</f>
        <v>4.9994361224604837</v>
      </c>
    </row>
    <row r="86" spans="1:18">
      <c r="A86">
        <v>8083</v>
      </c>
      <c r="B86" t="s">
        <v>1077</v>
      </c>
      <c r="C86" t="s">
        <v>88</v>
      </c>
      <c r="D86">
        <f>IFERROR(+VLOOKUP(B86,'BD ASVICC'!$A$6:$GQ$316,5,FALSE),"")</f>
        <v>303</v>
      </c>
      <c r="E86">
        <f>IFERROR(+VLOOKUP($B86,'BD ASVICC'!$A$6:$GQ$316,113,FALSE),"")</f>
        <v>0</v>
      </c>
      <c r="F86">
        <f>IFERROR(+VLOOKUP($B86,'BD ASVICC'!$A$6:$GQ$316,114,FALSE),"")</f>
        <v>0</v>
      </c>
      <c r="G86">
        <f>IFERROR(+VLOOKUP($B86,'BD ASVICC'!$A$6:$GQ$316,115,FALSE),"")</f>
        <v>0</v>
      </c>
      <c r="H86">
        <f t="shared" si="7"/>
        <v>0.23566497008488885</v>
      </c>
      <c r="I86">
        <f t="shared" si="8"/>
        <v>3.5349745512733328</v>
      </c>
      <c r="J86" s="846">
        <f>I86*'2. Incendis forestals'!$C$52</f>
        <v>35296.720894464226</v>
      </c>
      <c r="K86" t="str">
        <f>VLOOKUP(B86,'BD ASVICC'!$A$6:$BG$316,59,FALSE)</f>
        <v>CENTRAL</v>
      </c>
      <c r="L86">
        <f>VLOOKUP(K86,'2. Incendis forestals'!$F$9:$G$11,2,FALSE)</f>
        <v>0.75</v>
      </c>
      <c r="M86">
        <f t="shared" si="5"/>
        <v>0.64807866773344436</v>
      </c>
      <c r="N86">
        <f t="shared" si="9"/>
        <v>9.7211800160016661</v>
      </c>
      <c r="O86" s="846">
        <f>N86*'2. Incendis forestals'!$C$52</f>
        <v>97065.982459776642</v>
      </c>
      <c r="P86" s="846">
        <f t="shared" si="6"/>
        <v>61769.261565312416</v>
      </c>
      <c r="Q86" s="854">
        <f>D86/VLOOKUP(C86,'BD Comarcal'!$A$5:$AX$17,21,FALSE)</f>
        <v>3.242098054741167E-3</v>
      </c>
      <c r="R86">
        <f>VLOOKUP(C86,'BD Comarcal'!$A$5:$AX$17,50,FALSE)*Q86</f>
        <v>0.23566497008488885</v>
      </c>
    </row>
    <row r="87" spans="1:18">
      <c r="A87">
        <v>8084</v>
      </c>
      <c r="B87" t="s">
        <v>1078</v>
      </c>
      <c r="C87" t="s">
        <v>82</v>
      </c>
      <c r="D87">
        <f>IFERROR(+VLOOKUP(B87,'BD ASVICC'!$A$6:$GQ$316,5,FALSE),"")</f>
        <v>3085</v>
      </c>
      <c r="E87">
        <f>IFERROR(+VLOOKUP($B87,'BD ASVICC'!$A$6:$GQ$316,113,FALSE),"")</f>
        <v>4.01</v>
      </c>
      <c r="F87">
        <f>IFERROR(+VLOOKUP($B87,'BD ASVICC'!$A$6:$GQ$316,114,FALSE),"")</f>
        <v>0</v>
      </c>
      <c r="G87">
        <f>IFERROR(+VLOOKUP($B87,'BD ASVICC'!$A$6:$GQ$316,115,FALSE),"")</f>
        <v>4.01</v>
      </c>
      <c r="H87">
        <f t="shared" si="7"/>
        <v>34.018093546873423</v>
      </c>
      <c r="I87">
        <f t="shared" si="8"/>
        <v>510.27140320310133</v>
      </c>
      <c r="J87" s="846">
        <f>I87*'2. Incendis forestals'!$C$52</f>
        <v>5095059.9609829672</v>
      </c>
      <c r="K87" t="str">
        <f>VLOOKUP(B87,'BD ASVICC'!$A$6:$BG$316,59,FALSE)</f>
        <v>CENTRAL</v>
      </c>
      <c r="L87">
        <f>VLOOKUP(K87,'2. Incendis forestals'!$F$9:$G$11,2,FALSE)</f>
        <v>0.75</v>
      </c>
      <c r="M87">
        <f t="shared" si="5"/>
        <v>93.549757253901916</v>
      </c>
      <c r="N87">
        <f t="shared" si="9"/>
        <v>1403.2463588085288</v>
      </c>
      <c r="O87" s="846">
        <f>N87*'2. Incendis forestals'!$C$52</f>
        <v>14011414.892703161</v>
      </c>
      <c r="P87" s="846">
        <f t="shared" si="6"/>
        <v>8916354.9317201935</v>
      </c>
      <c r="Q87" s="854">
        <f>D87/VLOOKUP(C87,'BD Comarcal'!$A$5:$AX$17,21,FALSE)</f>
        <v>3.8094885283149339E-2</v>
      </c>
      <c r="R87">
        <f>VLOOKUP(C87,'BD Comarcal'!$A$5:$AX$17,50,FALSE)*Q87</f>
        <v>34.018093546873423</v>
      </c>
    </row>
    <row r="88" spans="1:18">
      <c r="A88">
        <v>8085</v>
      </c>
      <c r="B88" t="s">
        <v>1080</v>
      </c>
      <c r="C88" t="s">
        <v>791</v>
      </c>
      <c r="D88">
        <f>IFERROR(+VLOOKUP(B88,'BD ASVICC'!$A$6:$GQ$316,5,FALSE),"")</f>
        <v>1219</v>
      </c>
      <c r="E88">
        <f>IFERROR(+VLOOKUP($B88,'BD ASVICC'!$A$6:$GQ$316,113,FALSE),"")</f>
        <v>1.1000000000000001</v>
      </c>
      <c r="F88">
        <f>IFERROR(+VLOOKUP($B88,'BD ASVICC'!$A$6:$GQ$316,114,FALSE),"")</f>
        <v>2.66</v>
      </c>
      <c r="G88">
        <f>IFERROR(+VLOOKUP($B88,'BD ASVICC'!$A$6:$GQ$316,115,FALSE),"")</f>
        <v>3.76</v>
      </c>
      <c r="H88">
        <f t="shared" si="7"/>
        <v>8.8698149134333484</v>
      </c>
      <c r="I88">
        <f t="shared" si="8"/>
        <v>133.04722370150023</v>
      </c>
      <c r="J88" s="846">
        <f>I88*'2. Incendis forestals'!$C$52</f>
        <v>1328476.5286594797</v>
      </c>
      <c r="K88" t="str">
        <f>VLOOKUP(B88,'BD ASVICC'!$A$6:$BG$316,59,FALSE)</f>
        <v>CENTRAL</v>
      </c>
      <c r="L88">
        <f>VLOOKUP(K88,'2. Incendis forestals'!$F$9:$G$11,2,FALSE)</f>
        <v>0.75</v>
      </c>
      <c r="M88">
        <f t="shared" si="5"/>
        <v>24.391991011941709</v>
      </c>
      <c r="N88">
        <f t="shared" si="9"/>
        <v>365.87986517912566</v>
      </c>
      <c r="O88" s="846">
        <f>N88*'2. Incendis forestals'!$C$52</f>
        <v>3653310.4538135696</v>
      </c>
      <c r="P88" s="846">
        <f t="shared" si="6"/>
        <v>2324833.9251540899</v>
      </c>
      <c r="Q88" s="854">
        <f>D88/VLOOKUP(C88,'BD Comarcal'!$A$5:$AX$17,21,FALSE)</f>
        <v>3.9692618280095078E-2</v>
      </c>
      <c r="R88">
        <f>VLOOKUP(C88,'BD Comarcal'!$A$5:$AX$17,50,FALSE)*Q88</f>
        <v>8.8698149134333484</v>
      </c>
    </row>
    <row r="89" spans="1:18">
      <c r="A89">
        <v>8086</v>
      </c>
      <c r="B89" t="s">
        <v>1084</v>
      </c>
      <c r="C89" t="s">
        <v>24</v>
      </c>
      <c r="D89">
        <f>IFERROR(+VLOOKUP(B89,'BD ASVICC'!$A$6:$GQ$316,5,FALSE),"")</f>
        <v>900</v>
      </c>
      <c r="E89">
        <f>IFERROR(+VLOOKUP($B89,'BD ASVICC'!$A$6:$GQ$316,113,FALSE),"")</f>
        <v>0</v>
      </c>
      <c r="F89">
        <f>IFERROR(+VLOOKUP($B89,'BD ASVICC'!$A$6:$GQ$316,114,FALSE),"")</f>
        <v>0</v>
      </c>
      <c r="G89">
        <f>IFERROR(+VLOOKUP($B89,'BD ASVICC'!$A$6:$GQ$316,115,FALSE),"")</f>
        <v>0</v>
      </c>
      <c r="H89">
        <f t="shared" si="7"/>
        <v>1.8311209631409839</v>
      </c>
      <c r="I89">
        <f t="shared" si="8"/>
        <v>27.466814447114761</v>
      </c>
      <c r="J89" s="846">
        <f>I89*'2. Incendis forestals'!$C$52</f>
        <v>274256.14225444087</v>
      </c>
      <c r="K89" t="str">
        <f>VLOOKUP(B89,'BD ASVICC'!$A$6:$BG$316,59,FALSE)</f>
        <v>CENTRAL</v>
      </c>
      <c r="L89">
        <f>VLOOKUP(K89,'2. Incendis forestals'!$F$9:$G$11,2,FALSE)</f>
        <v>0.75</v>
      </c>
      <c r="M89">
        <f t="shared" si="5"/>
        <v>5.035582648637706</v>
      </c>
      <c r="N89">
        <f t="shared" si="9"/>
        <v>75.533739729565596</v>
      </c>
      <c r="O89" s="846">
        <f>N89*'2. Incendis forestals'!$C$52</f>
        <v>754204.39119971253</v>
      </c>
      <c r="P89" s="846">
        <f t="shared" si="6"/>
        <v>479948.24894527165</v>
      </c>
      <c r="Q89" s="854">
        <f>D89/VLOOKUP(C89,'BD Comarcal'!$A$5:$AX$17,21,FALSE)</f>
        <v>1.7705730754854321E-2</v>
      </c>
      <c r="R89">
        <f>VLOOKUP(C89,'BD Comarcal'!$A$5:$AX$17,50,FALSE)*Q89</f>
        <v>1.8311209631409839</v>
      </c>
    </row>
    <row r="90" spans="1:18">
      <c r="A90">
        <v>8087</v>
      </c>
      <c r="B90" t="s">
        <v>1087</v>
      </c>
      <c r="C90" t="s">
        <v>89</v>
      </c>
      <c r="D90">
        <f>IFERROR(+VLOOKUP(B90,'BD ASVICC'!$A$6:$GQ$316,5,FALSE),"")</f>
        <v>1512</v>
      </c>
      <c r="E90">
        <f>IFERROR(+VLOOKUP($B90,'BD ASVICC'!$A$6:$GQ$316,113,FALSE),"")</f>
        <v>1129.44</v>
      </c>
      <c r="F90">
        <f>IFERROR(+VLOOKUP($B90,'BD ASVICC'!$A$6:$GQ$316,114,FALSE),"")</f>
        <v>99.84</v>
      </c>
      <c r="G90">
        <f>IFERROR(+VLOOKUP($B90,'BD ASVICC'!$A$6:$GQ$316,115,FALSE),"")</f>
        <v>1229.28</v>
      </c>
      <c r="H90">
        <f t="shared" si="7"/>
        <v>12.076197158393263</v>
      </c>
      <c r="I90">
        <f t="shared" si="8"/>
        <v>181.14295737589896</v>
      </c>
      <c r="J90" s="846">
        <f>I90*'2. Incendis forestals'!$C$52</f>
        <v>1808712.4293983511</v>
      </c>
      <c r="K90" t="str">
        <f>VLOOKUP(B90,'BD ASVICC'!$A$6:$BG$316,59,FALSE)</f>
        <v>CENTRAL</v>
      </c>
      <c r="L90">
        <f>VLOOKUP(K90,'2. Incendis forestals'!$F$9:$G$11,2,FALSE)</f>
        <v>0.75</v>
      </c>
      <c r="M90">
        <f t="shared" si="5"/>
        <v>33.209542185581476</v>
      </c>
      <c r="N90">
        <f t="shared" si="9"/>
        <v>498.14313278372214</v>
      </c>
      <c r="O90" s="846">
        <f>N90*'2. Incendis forestals'!$C$52</f>
        <v>4973959.1808454655</v>
      </c>
      <c r="P90" s="846">
        <f t="shared" si="6"/>
        <v>3165246.7514471142</v>
      </c>
      <c r="Q90" s="854">
        <f>D90/VLOOKUP(C90,'BD Comarcal'!$A$5:$AX$17,21,FALSE)</f>
        <v>4.4202771443606383E-2</v>
      </c>
      <c r="R90">
        <f>VLOOKUP(C90,'BD Comarcal'!$A$5:$AX$17,50,FALSE)*Q90</f>
        <v>12.076197158393263</v>
      </c>
    </row>
    <row r="91" spans="1:18">
      <c r="A91">
        <v>8088</v>
      </c>
      <c r="B91" t="s">
        <v>1091</v>
      </c>
      <c r="C91" t="s">
        <v>24</v>
      </c>
      <c r="D91">
        <f>IFERROR(+VLOOKUP(B91,'BD ASVICC'!$A$6:$GQ$316,5,FALSE),"")</f>
        <v>1200</v>
      </c>
      <c r="E91">
        <f>IFERROR(+VLOOKUP($B91,'BD ASVICC'!$A$6:$GQ$316,113,FALSE),"")</f>
        <v>12.19</v>
      </c>
      <c r="F91">
        <f>IFERROR(+VLOOKUP($B91,'BD ASVICC'!$A$6:$GQ$316,114,FALSE),"")</f>
        <v>0</v>
      </c>
      <c r="G91">
        <f>IFERROR(+VLOOKUP($B91,'BD ASVICC'!$A$6:$GQ$316,115,FALSE),"")</f>
        <v>12.19</v>
      </c>
      <c r="H91">
        <f t="shared" si="7"/>
        <v>2.4414946175213119</v>
      </c>
      <c r="I91">
        <f t="shared" si="8"/>
        <v>36.622419262819676</v>
      </c>
      <c r="J91" s="846">
        <f>I91*'2. Incendis forestals'!$C$52</f>
        <v>365674.85633925447</v>
      </c>
      <c r="K91" t="str">
        <f>VLOOKUP(B91,'BD ASVICC'!$A$6:$BG$316,59,FALSE)</f>
        <v>CENTRAL</v>
      </c>
      <c r="L91">
        <f>VLOOKUP(K91,'2. Incendis forestals'!$F$9:$G$11,2,FALSE)</f>
        <v>0.75</v>
      </c>
      <c r="M91">
        <f t="shared" si="5"/>
        <v>6.714110198183608</v>
      </c>
      <c r="N91">
        <f t="shared" si="9"/>
        <v>100.71165297275412</v>
      </c>
      <c r="O91" s="846">
        <f>N91*'2. Incendis forestals'!$C$52</f>
        <v>1005605.8549329499</v>
      </c>
      <c r="P91" s="846">
        <f t="shared" si="6"/>
        <v>639930.99859369546</v>
      </c>
      <c r="Q91" s="854">
        <f>D91/VLOOKUP(C91,'BD Comarcal'!$A$5:$AX$17,21,FALSE)</f>
        <v>2.3607641006472429E-2</v>
      </c>
      <c r="R91">
        <f>VLOOKUP(C91,'BD Comarcal'!$A$5:$AX$17,50,FALSE)*Q91</f>
        <v>2.4414946175213119</v>
      </c>
    </row>
    <row r="92" spans="1:18">
      <c r="A92">
        <v>8089</v>
      </c>
      <c r="B92" t="s">
        <v>342</v>
      </c>
      <c r="C92" t="s">
        <v>90</v>
      </c>
      <c r="D92">
        <f>IFERROR(+VLOOKUP(B92,'BD ASVICC'!$A$6:$GQ$316,5,FALSE),"")</f>
        <v>1676</v>
      </c>
      <c r="E92">
        <f>IFERROR(+VLOOKUP($B92,'BD ASVICC'!$A$6:$GQ$316,113,FALSE),"")</f>
        <v>13.05</v>
      </c>
      <c r="F92">
        <f>IFERROR(+VLOOKUP($B92,'BD ASVICC'!$A$6:$GQ$316,114,FALSE),"")</f>
        <v>33.840000000000003</v>
      </c>
      <c r="G92">
        <f>IFERROR(+VLOOKUP($B92,'BD ASVICC'!$A$6:$GQ$316,115,FALSE),"")</f>
        <v>46.89</v>
      </c>
      <c r="H92">
        <f t="shared" si="7"/>
        <v>13.933281952759655</v>
      </c>
      <c r="I92">
        <f t="shared" si="8"/>
        <v>208.99922929139484</v>
      </c>
      <c r="J92" s="846">
        <f>I92*'2. Incendis forestals'!$C$52</f>
        <v>2086857.3044745775</v>
      </c>
      <c r="K92" t="str">
        <f>VLOOKUP(B92,'BD ASVICC'!$A$6:$BG$316,59,FALSE)</f>
        <v>LITORAL</v>
      </c>
      <c r="L92">
        <f>VLOOKUP(K92,'2. Incendis forestals'!$F$9:$G$11,2,FALSE)</f>
        <v>0.75</v>
      </c>
      <c r="M92">
        <f t="shared" si="5"/>
        <v>38.316525370089053</v>
      </c>
      <c r="N92">
        <f t="shared" si="9"/>
        <v>574.74788055133581</v>
      </c>
      <c r="O92" s="846">
        <f>N92*'2. Incendis forestals'!$C$52</f>
        <v>5738857.5873050885</v>
      </c>
      <c r="P92" s="846">
        <f t="shared" si="6"/>
        <v>3652000.2828305112</v>
      </c>
      <c r="Q92" s="854">
        <f>D92/VLOOKUP(C92,'BD Comarcal'!$A$5:$AX$17,21,FALSE)</f>
        <v>6.4481378885811014E-2</v>
      </c>
      <c r="R92">
        <f>VLOOKUP(C92,'BD Comarcal'!$A$5:$AX$17,50,FALSE)*Q92</f>
        <v>13.933281952759655</v>
      </c>
    </row>
    <row r="93" spans="1:18">
      <c r="A93">
        <v>8090</v>
      </c>
      <c r="B93" t="s">
        <v>1100</v>
      </c>
      <c r="C93" t="s">
        <v>82</v>
      </c>
      <c r="D93">
        <f>IFERROR(+VLOOKUP(B93,'BD ASVICC'!$A$6:$GQ$316,5,FALSE),"")</f>
        <v>3245</v>
      </c>
      <c r="E93">
        <f>IFERROR(+VLOOKUP($B93,'BD ASVICC'!$A$6:$GQ$316,113,FALSE),"")</f>
        <v>174.1</v>
      </c>
      <c r="F93">
        <f>IFERROR(+VLOOKUP($B93,'BD ASVICC'!$A$6:$GQ$316,114,FALSE),"")</f>
        <v>4.4000000000000004</v>
      </c>
      <c r="G93">
        <f>IFERROR(+VLOOKUP($B93,'BD ASVICC'!$A$6:$GQ$316,115,FALSE),"")</f>
        <v>178.5</v>
      </c>
      <c r="H93">
        <f t="shared" si="7"/>
        <v>35.782403098737198</v>
      </c>
      <c r="I93">
        <f t="shared" si="8"/>
        <v>536.736046481058</v>
      </c>
      <c r="J93" s="846">
        <f>I93*'2. Incendis forestals'!$C$52</f>
        <v>5359309.424113364</v>
      </c>
      <c r="K93" t="str">
        <f>VLOOKUP(B93,'BD ASVICC'!$A$6:$BG$316,59,FALSE)</f>
        <v>CENTRAL</v>
      </c>
      <c r="L93">
        <f>VLOOKUP(K93,'2. Incendis forestals'!$F$9:$G$11,2,FALSE)</f>
        <v>0.75</v>
      </c>
      <c r="M93">
        <f t="shared" si="5"/>
        <v>98.401608521527294</v>
      </c>
      <c r="N93">
        <f t="shared" si="9"/>
        <v>1476.0241278229093</v>
      </c>
      <c r="O93" s="846">
        <f>N93*'2. Incendis forestals'!$C$52</f>
        <v>14738100.91631175</v>
      </c>
      <c r="P93" s="846">
        <f t="shared" si="6"/>
        <v>9378791.4921983853</v>
      </c>
      <c r="Q93" s="854">
        <f>D93/VLOOKUP(C93,'BD Comarcal'!$A$5:$AX$17,21,FALSE)</f>
        <v>4.0070632980168434E-2</v>
      </c>
      <c r="R93">
        <f>VLOOKUP(C93,'BD Comarcal'!$A$5:$AX$17,50,FALSE)*Q93</f>
        <v>35.782403098737198</v>
      </c>
    </row>
    <row r="94" spans="1:18">
      <c r="A94">
        <v>8091</v>
      </c>
      <c r="B94" t="s">
        <v>1102</v>
      </c>
      <c r="C94" t="s">
        <v>791</v>
      </c>
      <c r="D94">
        <f>IFERROR(+VLOOKUP(B94,'BD ASVICC'!$A$6:$GQ$316,5,FALSE),"")</f>
        <v>1559</v>
      </c>
      <c r="E94">
        <f>IFERROR(+VLOOKUP($B94,'BD ASVICC'!$A$6:$GQ$316,113,FALSE),"")</f>
        <v>5</v>
      </c>
      <c r="F94">
        <f>IFERROR(+VLOOKUP($B94,'BD ASVICC'!$A$6:$GQ$316,114,FALSE),"")</f>
        <v>3.2</v>
      </c>
      <c r="G94">
        <f>IFERROR(+VLOOKUP($B94,'BD ASVICC'!$A$6:$GQ$316,115,FALSE),"")</f>
        <v>8.1999999999999993</v>
      </c>
      <c r="H94">
        <f t="shared" si="7"/>
        <v>11.343758367549295</v>
      </c>
      <c r="I94">
        <f t="shared" si="8"/>
        <v>170.15637551323942</v>
      </c>
      <c r="J94" s="846">
        <f>I94*'2. Incendis forestals'!$C$52</f>
        <v>1699011.4094996958</v>
      </c>
      <c r="K94" t="str">
        <f>VLOOKUP(B94,'BD ASVICC'!$A$6:$BG$316,59,FALSE)</f>
        <v>LITORAL</v>
      </c>
      <c r="L94">
        <f>VLOOKUP(K94,'2. Incendis forestals'!$F$9:$G$11,2,FALSE)</f>
        <v>0.75</v>
      </c>
      <c r="M94">
        <f t="shared" si="5"/>
        <v>31.195335510760561</v>
      </c>
      <c r="N94">
        <f t="shared" si="9"/>
        <v>467.9300326614084</v>
      </c>
      <c r="O94" s="846">
        <f>N94*'2. Incendis forestals'!$C$52</f>
        <v>4672281.3761241632</v>
      </c>
      <c r="P94" s="846">
        <f t="shared" si="6"/>
        <v>2973269.9666244676</v>
      </c>
      <c r="Q94" s="854">
        <f>D94/VLOOKUP(C94,'BD Comarcal'!$A$5:$AX$17,21,FALSE)</f>
        <v>5.0763570056331607E-2</v>
      </c>
      <c r="R94">
        <f>VLOOKUP(C94,'BD Comarcal'!$A$5:$AX$17,50,FALSE)*Q94</f>
        <v>11.343758367549295</v>
      </c>
    </row>
    <row r="95" spans="1:18">
      <c r="A95">
        <v>8092</v>
      </c>
      <c r="B95" t="s">
        <v>1104</v>
      </c>
      <c r="C95" t="s">
        <v>84</v>
      </c>
      <c r="D95">
        <f>IFERROR(+VLOOKUP(B95,'BD ASVICC'!$A$6:$GQ$316,5,FALSE),"")</f>
        <v>225</v>
      </c>
      <c r="E95">
        <f>IFERROR(+VLOOKUP($B95,'BD ASVICC'!$A$6:$GQ$316,113,FALSE),"")</f>
        <v>0</v>
      </c>
      <c r="F95">
        <f>IFERROR(+VLOOKUP($B95,'BD ASVICC'!$A$6:$GQ$316,114,FALSE),"")</f>
        <v>0</v>
      </c>
      <c r="G95">
        <f>IFERROR(+VLOOKUP($B95,'BD ASVICC'!$A$6:$GQ$316,115,FALSE),"")</f>
        <v>0</v>
      </c>
      <c r="H95">
        <f t="shared" si="7"/>
        <v>1.3902489922787129</v>
      </c>
      <c r="I95">
        <f t="shared" si="8"/>
        <v>20.853734884180692</v>
      </c>
      <c r="J95" s="846">
        <f>I95*'2. Incendis forestals'!$C$52</f>
        <v>208224.5428185442</v>
      </c>
      <c r="K95" t="str">
        <f>VLOOKUP(B95,'BD ASVICC'!$A$6:$BG$316,59,FALSE)</f>
        <v>CENTRAL</v>
      </c>
      <c r="L95">
        <f>VLOOKUP(K95,'2. Incendis forestals'!$F$9:$G$11,2,FALSE)</f>
        <v>0.75</v>
      </c>
      <c r="M95">
        <f t="shared" si="5"/>
        <v>3.8231847287664609</v>
      </c>
      <c r="N95">
        <f t="shared" si="9"/>
        <v>57.34777093149691</v>
      </c>
      <c r="O95" s="846">
        <f>N95*'2. Incendis forestals'!$C$52</f>
        <v>572617.49275099661</v>
      </c>
      <c r="P95" s="846">
        <f t="shared" si="6"/>
        <v>364392.94993245241</v>
      </c>
      <c r="Q95" s="854">
        <f>D95/VLOOKUP(C95,'BD Comarcal'!$A$5:$AX$17,21,FALSE)</f>
        <v>2.1280217909431394E-3</v>
      </c>
      <c r="R95">
        <f>VLOOKUP(C95,'BD Comarcal'!$A$5:$AX$17,50,FALSE)*Q95</f>
        <v>1.3902489922787129</v>
      </c>
    </row>
    <row r="96" spans="1:18">
      <c r="A96">
        <v>8093</v>
      </c>
      <c r="B96" t="s">
        <v>1105</v>
      </c>
      <c r="C96" t="s">
        <v>84</v>
      </c>
      <c r="D96">
        <f>IFERROR(+VLOOKUP(B96,'BD ASVICC'!$A$6:$GQ$316,5,FALSE),"")</f>
        <v>3405</v>
      </c>
      <c r="E96">
        <f>IFERROR(+VLOOKUP($B96,'BD ASVICC'!$A$6:$GQ$316,113,FALSE),"")</f>
        <v>0.3</v>
      </c>
      <c r="F96">
        <f>IFERROR(+VLOOKUP($B96,'BD ASVICC'!$A$6:$GQ$316,114,FALSE),"")</f>
        <v>0.7</v>
      </c>
      <c r="G96">
        <f>IFERROR(+VLOOKUP($B96,'BD ASVICC'!$A$6:$GQ$316,115,FALSE),"")</f>
        <v>1</v>
      </c>
      <c r="H96">
        <f t="shared" si="7"/>
        <v>21.039101416484524</v>
      </c>
      <c r="I96">
        <f t="shared" si="8"/>
        <v>315.58652124726785</v>
      </c>
      <c r="J96" s="846">
        <f>I96*'2. Incendis forestals'!$C$52</f>
        <v>3151131.4146539695</v>
      </c>
      <c r="K96" t="str">
        <f>VLOOKUP(B96,'BD ASVICC'!$A$6:$BG$316,59,FALSE)</f>
        <v>PREPIRINEU-PIRINEU</v>
      </c>
      <c r="L96">
        <f>VLOOKUP(K96,'2. Incendis forestals'!$F$9:$G$11,2,FALSE)</f>
        <v>0.75</v>
      </c>
      <c r="M96">
        <f t="shared" si="5"/>
        <v>57.857528895332436</v>
      </c>
      <c r="N96">
        <f t="shared" si="9"/>
        <v>867.86293342998658</v>
      </c>
      <c r="O96" s="846">
        <f>N96*'2. Incendis forestals'!$C$52</f>
        <v>8665611.3902984168</v>
      </c>
      <c r="P96" s="846">
        <f t="shared" si="6"/>
        <v>5514479.9756444469</v>
      </c>
      <c r="Q96" s="854">
        <f>D96/VLOOKUP(C96,'BD Comarcal'!$A$5:$AX$17,21,FALSE)</f>
        <v>3.2204063102939509E-2</v>
      </c>
      <c r="R96">
        <f>VLOOKUP(C96,'BD Comarcal'!$A$5:$AX$17,50,FALSE)*Q96</f>
        <v>21.039101416484524</v>
      </c>
    </row>
    <row r="97" spans="1:18">
      <c r="A97">
        <v>8094</v>
      </c>
      <c r="B97" t="s">
        <v>1108</v>
      </c>
      <c r="C97" t="s">
        <v>791</v>
      </c>
      <c r="D97">
        <f>IFERROR(+VLOOKUP(B97,'BD ASVICC'!$A$6:$GQ$316,5,FALSE),"")</f>
        <v>35</v>
      </c>
      <c r="E97">
        <f>IFERROR(+VLOOKUP($B97,'BD ASVICC'!$A$6:$GQ$316,113,FALSE),"")</f>
        <v>0</v>
      </c>
      <c r="F97">
        <f>IFERROR(+VLOOKUP($B97,'BD ASVICC'!$A$6:$GQ$316,114,FALSE),"")</f>
        <v>0</v>
      </c>
      <c r="G97">
        <f>IFERROR(+VLOOKUP($B97,'BD ASVICC'!$A$6:$GQ$316,115,FALSE),"")</f>
        <v>0</v>
      </c>
      <c r="H97">
        <f t="shared" si="7"/>
        <v>0.25467064968840625</v>
      </c>
      <c r="I97">
        <f t="shared" si="8"/>
        <v>3.8200597453260938</v>
      </c>
      <c r="J97" s="846">
        <f>I97*'2. Incendis forestals'!$C$52</f>
        <v>38143.296557081048</v>
      </c>
      <c r="K97" t="str">
        <f>VLOOKUP(B97,'BD ASVICC'!$A$6:$BG$316,59,FALSE)</f>
        <v>CENTRAL</v>
      </c>
      <c r="L97">
        <f>VLOOKUP(K97,'2. Incendis forestals'!$F$9:$G$11,2,FALSE)</f>
        <v>0.75</v>
      </c>
      <c r="M97">
        <f t="shared" si="5"/>
        <v>0.70034428664311721</v>
      </c>
      <c r="N97">
        <f t="shared" si="9"/>
        <v>10.505164299646758</v>
      </c>
      <c r="O97" s="846">
        <f>N97*'2. Incendis forestals'!$C$52</f>
        <v>104894.06553197288</v>
      </c>
      <c r="P97" s="846">
        <f t="shared" si="6"/>
        <v>66750.768974891835</v>
      </c>
      <c r="Q97" s="854">
        <f>D97/VLOOKUP(C97,'BD Comarcal'!$A$5:$AX$17,21,FALSE)</f>
        <v>1.1396568004949366E-3</v>
      </c>
      <c r="R97">
        <f>VLOOKUP(C97,'BD Comarcal'!$A$5:$AX$17,50,FALSE)*Q97</f>
        <v>0.25467064968840625</v>
      </c>
    </row>
    <row r="98" spans="1:18">
      <c r="A98">
        <v>8095</v>
      </c>
      <c r="B98" t="s">
        <v>1110</v>
      </c>
      <c r="C98" t="s">
        <v>24</v>
      </c>
      <c r="D98">
        <f>IFERROR(+VLOOKUP(B98,'BD ASVICC'!$A$6:$GQ$316,5,FALSE),"")</f>
        <v>2160</v>
      </c>
      <c r="E98">
        <f>IFERROR(+VLOOKUP($B98,'BD ASVICC'!$A$6:$GQ$316,113,FALSE),"")</f>
        <v>0</v>
      </c>
      <c r="F98">
        <f>IFERROR(+VLOOKUP($B98,'BD ASVICC'!$A$6:$GQ$316,114,FALSE),"")</f>
        <v>0</v>
      </c>
      <c r="G98">
        <f>IFERROR(+VLOOKUP($B98,'BD ASVICC'!$A$6:$GQ$316,115,FALSE),"")</f>
        <v>0</v>
      </c>
      <c r="H98">
        <f t="shared" si="7"/>
        <v>4.394690311538362</v>
      </c>
      <c r="I98">
        <f t="shared" si="8"/>
        <v>65.920354673075423</v>
      </c>
      <c r="J98" s="846">
        <f>I98*'2. Incendis forestals'!$C$52</f>
        <v>658214.74141065811</v>
      </c>
      <c r="K98" t="str">
        <f>VLOOKUP(B98,'BD ASVICC'!$A$6:$BG$316,59,FALSE)</f>
        <v>PREPIRINEU-PIRINEU</v>
      </c>
      <c r="L98">
        <f>VLOOKUP(K98,'2. Incendis forestals'!$F$9:$G$11,2,FALSE)</f>
        <v>0.75</v>
      </c>
      <c r="M98">
        <f t="shared" si="5"/>
        <v>12.085398356730495</v>
      </c>
      <c r="N98">
        <f t="shared" si="9"/>
        <v>181.28097535095742</v>
      </c>
      <c r="O98" s="846">
        <f>N98*'2. Incendis forestals'!$C$52</f>
        <v>1810090.5388793098</v>
      </c>
      <c r="P98" s="846">
        <f t="shared" si="6"/>
        <v>1151875.7974686516</v>
      </c>
      <c r="Q98" s="854">
        <f>D98/VLOOKUP(C98,'BD Comarcal'!$A$5:$AX$17,21,FALSE)</f>
        <v>4.2493753811650374E-2</v>
      </c>
      <c r="R98">
        <f>VLOOKUP(C98,'BD Comarcal'!$A$5:$AX$17,50,FALSE)*Q98</f>
        <v>4.394690311538362</v>
      </c>
    </row>
    <row r="99" spans="1:18">
      <c r="A99">
        <v>8096</v>
      </c>
      <c r="B99" t="s">
        <v>1113</v>
      </c>
      <c r="C99" t="s">
        <v>24</v>
      </c>
      <c r="D99">
        <f>IFERROR(+VLOOKUP(B99,'BD ASVICC'!$A$6:$GQ$316,5,FALSE),"")</f>
        <v>131</v>
      </c>
      <c r="E99">
        <f>IFERROR(+VLOOKUP($B99,'BD ASVICC'!$A$6:$GQ$316,113,FALSE),"")</f>
        <v>0</v>
      </c>
      <c r="F99">
        <f>IFERROR(+VLOOKUP($B99,'BD ASVICC'!$A$6:$GQ$316,114,FALSE),"")</f>
        <v>0</v>
      </c>
      <c r="G99">
        <f>IFERROR(+VLOOKUP($B99,'BD ASVICC'!$A$6:$GQ$316,115,FALSE),"")</f>
        <v>0</v>
      </c>
      <c r="H99">
        <f t="shared" si="7"/>
        <v>0.26652982907940992</v>
      </c>
      <c r="I99">
        <f t="shared" si="8"/>
        <v>3.9979474361911489</v>
      </c>
      <c r="J99" s="846">
        <f>I99*'2. Incendis forestals'!$C$52</f>
        <v>39919.505150368619</v>
      </c>
      <c r="K99" t="str">
        <f>VLOOKUP(B99,'BD ASVICC'!$A$6:$BG$316,59,FALSE)</f>
        <v>LITORAL</v>
      </c>
      <c r="L99">
        <f>VLOOKUP(K99,'2. Incendis forestals'!$F$9:$G$11,2,FALSE)</f>
        <v>0.75</v>
      </c>
      <c r="M99">
        <f t="shared" si="5"/>
        <v>0.7329570299683773</v>
      </c>
      <c r="N99">
        <f t="shared" si="9"/>
        <v>10.99435544952566</v>
      </c>
      <c r="O99" s="846">
        <f>N99*'2. Incendis forestals'!$C$52</f>
        <v>109778.63916351371</v>
      </c>
      <c r="P99" s="846">
        <f t="shared" si="6"/>
        <v>69859.134013145085</v>
      </c>
      <c r="Q99" s="854">
        <f>D99/VLOOKUP(C99,'BD Comarcal'!$A$5:$AX$17,21,FALSE)</f>
        <v>2.5771674765399069E-3</v>
      </c>
      <c r="R99">
        <f>VLOOKUP(C99,'BD Comarcal'!$A$5:$AX$17,50,FALSE)*Q99</f>
        <v>0.26652982907940992</v>
      </c>
    </row>
    <row r="100" spans="1:18">
      <c r="A100">
        <v>8097</v>
      </c>
      <c r="B100" t="s">
        <v>1116</v>
      </c>
      <c r="C100" t="s">
        <v>24</v>
      </c>
      <c r="D100">
        <f>IFERROR(+VLOOKUP(B100,'BD ASVICC'!$A$6:$GQ$316,5,FALSE),"")</f>
        <v>2044</v>
      </c>
      <c r="E100">
        <f>IFERROR(+VLOOKUP($B100,'BD ASVICC'!$A$6:$GQ$316,113,FALSE),"")</f>
        <v>0</v>
      </c>
      <c r="F100">
        <f>IFERROR(+VLOOKUP($B100,'BD ASVICC'!$A$6:$GQ$316,114,FALSE),"")</f>
        <v>0</v>
      </c>
      <c r="G100">
        <f>IFERROR(+VLOOKUP($B100,'BD ASVICC'!$A$6:$GQ$316,115,FALSE),"")</f>
        <v>0</v>
      </c>
      <c r="H100">
        <f t="shared" si="7"/>
        <v>4.1586791651779675</v>
      </c>
      <c r="I100">
        <f t="shared" si="8"/>
        <v>62.380187477669516</v>
      </c>
      <c r="J100" s="846">
        <f>I100*'2. Incendis forestals'!$C$52</f>
        <v>622866.17196453013</v>
      </c>
      <c r="K100" t="str">
        <f>VLOOKUP(B100,'BD ASVICC'!$A$6:$BG$316,59,FALSE)</f>
        <v>CENTRAL</v>
      </c>
      <c r="L100">
        <f>VLOOKUP(K100,'2. Incendis forestals'!$F$9:$G$11,2,FALSE)</f>
        <v>0.75</v>
      </c>
      <c r="M100">
        <f t="shared" si="5"/>
        <v>11.436367704239411</v>
      </c>
      <c r="N100">
        <f t="shared" si="9"/>
        <v>171.54551556359115</v>
      </c>
      <c r="O100" s="846">
        <f>N100*'2. Incendis forestals'!$C$52</f>
        <v>1712881.9729024577</v>
      </c>
      <c r="P100" s="846">
        <f t="shared" si="6"/>
        <v>1090015.8009379276</v>
      </c>
      <c r="Q100" s="854">
        <f>D100/VLOOKUP(C100,'BD Comarcal'!$A$5:$AX$17,21,FALSE)</f>
        <v>4.0211681847691368E-2</v>
      </c>
      <c r="R100">
        <f>VLOOKUP(C100,'BD Comarcal'!$A$5:$AX$17,50,FALSE)*Q100</f>
        <v>4.1586791651779675</v>
      </c>
    </row>
    <row r="101" spans="1:18">
      <c r="A101">
        <v>8098</v>
      </c>
      <c r="B101" t="s">
        <v>1121</v>
      </c>
      <c r="C101" t="s">
        <v>82</v>
      </c>
      <c r="D101">
        <f>IFERROR(+VLOOKUP(B101,'BD ASVICC'!$A$6:$GQ$316,5,FALSE),"")</f>
        <v>2580</v>
      </c>
      <c r="E101">
        <f>IFERROR(+VLOOKUP($B101,'BD ASVICC'!$A$6:$GQ$316,113,FALSE),"")</f>
        <v>10.9</v>
      </c>
      <c r="F101">
        <f>IFERROR(+VLOOKUP($B101,'BD ASVICC'!$A$6:$GQ$316,114,FALSE),"")</f>
        <v>2</v>
      </c>
      <c r="G101">
        <f>IFERROR(+VLOOKUP($B101,'BD ASVICC'!$A$6:$GQ$316,115,FALSE),"")</f>
        <v>12.9</v>
      </c>
      <c r="H101">
        <f t="shared" si="7"/>
        <v>28.449491523803385</v>
      </c>
      <c r="I101">
        <f t="shared" si="8"/>
        <v>426.74237285705078</v>
      </c>
      <c r="J101" s="846">
        <f>I101*'2. Incendis forestals'!$C$52</f>
        <v>4261022.5929776523</v>
      </c>
      <c r="K101" t="str">
        <f>VLOOKUP(B101,'BD ASVICC'!$A$6:$BG$316,59,FALSE)</f>
        <v>CENTRAL</v>
      </c>
      <c r="L101">
        <f>VLOOKUP(K101,'2. Incendis forestals'!$F$9:$G$11,2,FALSE)</f>
        <v>0.75</v>
      </c>
      <c r="M101">
        <f t="shared" si="5"/>
        <v>78.236101690459307</v>
      </c>
      <c r="N101">
        <f t="shared" si="9"/>
        <v>1173.5415253568897</v>
      </c>
      <c r="O101" s="846">
        <f>N101*'2. Incendis forestals'!$C$52</f>
        <v>11717812.130688544</v>
      </c>
      <c r="P101" s="846">
        <f t="shared" si="6"/>
        <v>7456789.537710892</v>
      </c>
      <c r="Q101" s="854">
        <f>D101/VLOOKUP(C101,'BD Comarcal'!$A$5:$AX$17,21,FALSE)</f>
        <v>3.1858931614432838E-2</v>
      </c>
      <c r="R101">
        <f>VLOOKUP(C101,'BD Comarcal'!$A$5:$AX$17,50,FALSE)*Q101</f>
        <v>28.449491523803385</v>
      </c>
    </row>
    <row r="102" spans="1:18">
      <c r="A102">
        <v>8099</v>
      </c>
      <c r="B102" t="s">
        <v>1125</v>
      </c>
      <c r="C102" t="s">
        <v>84</v>
      </c>
      <c r="D102">
        <f>IFERROR(+VLOOKUP(B102,'BD ASVICC'!$A$6:$GQ$316,5,FALSE),"")</f>
        <v>5446</v>
      </c>
      <c r="E102">
        <f>IFERROR(+VLOOKUP($B102,'BD ASVICC'!$A$6:$GQ$316,113,FALSE),"")</f>
        <v>0</v>
      </c>
      <c r="F102">
        <f>IFERROR(+VLOOKUP($B102,'BD ASVICC'!$A$6:$GQ$316,114,FALSE),"")</f>
        <v>0</v>
      </c>
      <c r="G102">
        <f>IFERROR(+VLOOKUP($B102,'BD ASVICC'!$A$6:$GQ$316,115,FALSE),"")</f>
        <v>0</v>
      </c>
      <c r="H102">
        <f t="shared" si="7"/>
        <v>33.650204497554974</v>
      </c>
      <c r="I102">
        <f t="shared" si="8"/>
        <v>504.75306746332461</v>
      </c>
      <c r="J102" s="846">
        <f>I102*'2. Incendis forestals'!$C$52</f>
        <v>5039959.378621296</v>
      </c>
      <c r="K102" t="str">
        <f>VLOOKUP(B102,'BD ASVICC'!$A$6:$BG$316,59,FALSE)</f>
        <v>PREPIRINEU-PIRINEU</v>
      </c>
      <c r="L102">
        <f>VLOOKUP(K102,'2. Incendis forestals'!$F$9:$G$11,2,FALSE)</f>
        <v>0.75</v>
      </c>
      <c r="M102">
        <f t="shared" si="5"/>
        <v>92.538062368276172</v>
      </c>
      <c r="N102">
        <f t="shared" si="9"/>
        <v>1388.0709355241427</v>
      </c>
      <c r="O102" s="846">
        <f>N102*'2. Incendis forestals'!$C$52</f>
        <v>13859888.291208565</v>
      </c>
      <c r="P102" s="846">
        <f t="shared" si="6"/>
        <v>8819928.9125872701</v>
      </c>
      <c r="Q102" s="854">
        <f>D102/VLOOKUP(C102,'BD Comarcal'!$A$5:$AX$17,21,FALSE)</f>
        <v>5.1507585215450381E-2</v>
      </c>
      <c r="R102">
        <f>VLOOKUP(C102,'BD Comarcal'!$A$5:$AX$17,50,FALSE)*Q102</f>
        <v>33.650204497554974</v>
      </c>
    </row>
    <row r="103" spans="1:18">
      <c r="A103">
        <v>8100</v>
      </c>
      <c r="B103" t="s">
        <v>1127</v>
      </c>
      <c r="C103" t="s">
        <v>88</v>
      </c>
      <c r="D103">
        <f>IFERROR(+VLOOKUP(B103,'BD ASVICC'!$A$6:$GQ$316,5,FALSE),"")</f>
        <v>1818</v>
      </c>
      <c r="E103">
        <f>IFERROR(+VLOOKUP($B103,'BD ASVICC'!$A$6:$GQ$316,113,FALSE),"")</f>
        <v>0.7</v>
      </c>
      <c r="F103">
        <f>IFERROR(+VLOOKUP($B103,'BD ASVICC'!$A$6:$GQ$316,114,FALSE),"")</f>
        <v>0.8</v>
      </c>
      <c r="G103">
        <f>IFERROR(+VLOOKUP($B103,'BD ASVICC'!$A$6:$GQ$316,115,FALSE),"")</f>
        <v>1.5</v>
      </c>
      <c r="H103">
        <f t="shared" si="7"/>
        <v>1.4139898205093331</v>
      </c>
      <c r="I103">
        <f t="shared" si="8"/>
        <v>21.209847307639997</v>
      </c>
      <c r="J103" s="846">
        <f>I103*'2. Incendis forestals'!$C$52</f>
        <v>211780.32536678537</v>
      </c>
      <c r="K103" t="str">
        <f>VLOOKUP(B103,'BD ASVICC'!$A$6:$BG$316,59,FALSE)</f>
        <v>CENTRAL</v>
      </c>
      <c r="L103">
        <f>VLOOKUP(K103,'2. Incendis forestals'!$F$9:$G$11,2,FALSE)</f>
        <v>0.75</v>
      </c>
      <c r="M103">
        <f t="shared" si="5"/>
        <v>3.8884720064006659</v>
      </c>
      <c r="N103">
        <f t="shared" si="9"/>
        <v>58.327080096009986</v>
      </c>
      <c r="O103" s="846">
        <f>N103*'2. Incendis forestals'!$C$52</f>
        <v>582395.89475865976</v>
      </c>
      <c r="P103" s="846">
        <f t="shared" si="6"/>
        <v>370615.56939187436</v>
      </c>
      <c r="Q103" s="854">
        <f>D103/VLOOKUP(C103,'BD Comarcal'!$A$5:$AX$17,21,FALSE)</f>
        <v>1.9452588328447002E-2</v>
      </c>
      <c r="R103">
        <f>VLOOKUP(C103,'BD Comarcal'!$A$5:$AX$17,50,FALSE)*Q103</f>
        <v>1.4139898205093331</v>
      </c>
    </row>
    <row r="104" spans="1:18">
      <c r="A104">
        <v>8101</v>
      </c>
      <c r="B104" t="s">
        <v>1135</v>
      </c>
      <c r="C104" t="s">
        <v>83</v>
      </c>
      <c r="D104">
        <f>IFERROR(+VLOOKUP(B104,'BD ASVICC'!$A$6:$GQ$316,5,FALSE),"")</f>
        <v>101</v>
      </c>
      <c r="E104">
        <f>IFERROR(+VLOOKUP($B104,'BD ASVICC'!$A$6:$GQ$316,113,FALSE),"")</f>
        <v>0</v>
      </c>
      <c r="F104">
        <f>IFERROR(+VLOOKUP($B104,'BD ASVICC'!$A$6:$GQ$316,114,FALSE),"")</f>
        <v>0</v>
      </c>
      <c r="G104">
        <f>IFERROR(+VLOOKUP($B104,'BD ASVICC'!$A$6:$GQ$316,115,FALSE),"")</f>
        <v>0</v>
      </c>
      <c r="H104">
        <f t="shared" si="7"/>
        <v>1.5691348689555182</v>
      </c>
      <c r="I104">
        <f t="shared" si="8"/>
        <v>23.537023034332773</v>
      </c>
      <c r="J104" s="846">
        <f>I104*'2. Incendis forestals'!$C$52</f>
        <v>235017.17499781275</v>
      </c>
      <c r="K104" t="str">
        <f>VLOOKUP(B104,'BD ASVICC'!$A$6:$BG$316,59,FALSE)</f>
        <v>LITORAL</v>
      </c>
      <c r="L104">
        <f>VLOOKUP(K104,'2. Incendis forestals'!$F$9:$G$11,2,FALSE)</f>
        <v>0.75</v>
      </c>
      <c r="M104">
        <f t="shared" si="5"/>
        <v>4.3151208896276749</v>
      </c>
      <c r="N104">
        <f t="shared" si="9"/>
        <v>64.72681334441512</v>
      </c>
      <c r="O104" s="846">
        <f>N104*'2. Incendis forestals'!$C$52</f>
        <v>646297.23124398501</v>
      </c>
      <c r="P104" s="846">
        <f t="shared" si="6"/>
        <v>411280.05624617229</v>
      </c>
      <c r="Q104" s="854">
        <f>D104/VLOOKUP(C104,'BD Comarcal'!$A$5:$AX$17,21,FALSE)</f>
        <v>3.9132119333591633E-2</v>
      </c>
      <c r="R104">
        <f>VLOOKUP(C104,'BD Comarcal'!$A$5:$AX$17,50,FALSE)*Q104</f>
        <v>1.5691348689555182</v>
      </c>
    </row>
    <row r="105" spans="1:18">
      <c r="A105">
        <v>8102</v>
      </c>
      <c r="B105" t="s">
        <v>1136</v>
      </c>
      <c r="C105" t="s">
        <v>81</v>
      </c>
      <c r="D105">
        <f>IFERROR(+VLOOKUP(B105,'BD ASVICC'!$A$6:$GQ$316,5,FALSE),"")</f>
        <v>179</v>
      </c>
      <c r="E105">
        <f>IFERROR(+VLOOKUP($B105,'BD ASVICC'!$A$6:$GQ$316,113,FALSE),"")</f>
        <v>0</v>
      </c>
      <c r="F105">
        <f>IFERROR(+VLOOKUP($B105,'BD ASVICC'!$A$6:$GQ$316,114,FALSE),"")</f>
        <v>0</v>
      </c>
      <c r="G105">
        <f>IFERROR(+VLOOKUP($B105,'BD ASVICC'!$A$6:$GQ$316,115,FALSE),"")</f>
        <v>0</v>
      </c>
      <c r="H105">
        <f t="shared" si="7"/>
        <v>1.9760204478565428</v>
      </c>
      <c r="I105">
        <f t="shared" si="8"/>
        <v>29.640306717848144</v>
      </c>
      <c r="J105" s="846">
        <f>I105*'2. Incendis forestals'!$C$52</f>
        <v>295958.46257771371</v>
      </c>
      <c r="K105" t="str">
        <f>VLOOKUP(B105,'BD ASVICC'!$A$6:$BG$316,59,FALSE)</f>
        <v>CENTRAL</v>
      </c>
      <c r="L105">
        <f>VLOOKUP(K105,'2. Incendis forestals'!$F$9:$G$11,2,FALSE)</f>
        <v>0.75</v>
      </c>
      <c r="M105">
        <f t="shared" si="5"/>
        <v>5.434056231605493</v>
      </c>
      <c r="N105">
        <f t="shared" si="9"/>
        <v>81.510843474082392</v>
      </c>
      <c r="O105" s="846">
        <f>N105*'2. Incendis forestals'!$C$52</f>
        <v>813885.77208871266</v>
      </c>
      <c r="P105" s="846">
        <f t="shared" si="6"/>
        <v>517927.30951099895</v>
      </c>
      <c r="Q105" s="854">
        <f>D105/VLOOKUP(C105,'BD Comarcal'!$A$5:$AX$17,21,FALSE)</f>
        <v>3.4316826747953452E-3</v>
      </c>
      <c r="R105">
        <f>VLOOKUP(C105,'BD Comarcal'!$A$5:$AX$17,50,FALSE)*Q105</f>
        <v>1.9760204478565428</v>
      </c>
    </row>
    <row r="106" spans="1:18">
      <c r="A106">
        <v>8103</v>
      </c>
      <c r="B106" t="s">
        <v>1137</v>
      </c>
      <c r="C106" t="s">
        <v>81</v>
      </c>
      <c r="D106">
        <f>IFERROR(+VLOOKUP(B106,'BD ASVICC'!$A$6:$GQ$316,5,FALSE),"")</f>
        <v>1927</v>
      </c>
      <c r="E106">
        <f>IFERROR(+VLOOKUP($B106,'BD ASVICC'!$A$6:$GQ$316,113,FALSE),"")</f>
        <v>4.34</v>
      </c>
      <c r="F106">
        <f>IFERROR(+VLOOKUP($B106,'BD ASVICC'!$A$6:$GQ$316,114,FALSE),"")</f>
        <v>59.72</v>
      </c>
      <c r="G106">
        <f>IFERROR(+VLOOKUP($B106,'BD ASVICC'!$A$6:$GQ$316,115,FALSE),"")</f>
        <v>64.06</v>
      </c>
      <c r="H106">
        <f t="shared" si="7"/>
        <v>21.272577670500322</v>
      </c>
      <c r="I106">
        <f t="shared" si="8"/>
        <v>319.08866505750484</v>
      </c>
      <c r="J106" s="846">
        <f>I106*'2. Incendis forestals'!$C$52</f>
        <v>3186100.3205991858</v>
      </c>
      <c r="K106" t="str">
        <f>VLOOKUP(B106,'BD ASVICC'!$A$6:$BG$316,59,FALSE)</f>
        <v>CENTRAL</v>
      </c>
      <c r="L106">
        <f>VLOOKUP(K106,'2. Incendis forestals'!$F$9:$G$11,2,FALSE)</f>
        <v>0.75</v>
      </c>
      <c r="M106">
        <f t="shared" si="5"/>
        <v>58.499588593875885</v>
      </c>
      <c r="N106">
        <f t="shared" si="9"/>
        <v>877.49382890813831</v>
      </c>
      <c r="O106" s="846">
        <f>N106*'2. Incendis forestals'!$C$52</f>
        <v>8761775.8816477619</v>
      </c>
      <c r="P106" s="846">
        <f t="shared" si="6"/>
        <v>5575675.5610485766</v>
      </c>
      <c r="Q106" s="854">
        <f>D106/VLOOKUP(C106,'BD Comarcal'!$A$5:$AX$17,21,FALSE)</f>
        <v>3.6943310135925306E-2</v>
      </c>
      <c r="R106">
        <f>VLOOKUP(C106,'BD Comarcal'!$A$5:$AX$17,50,FALSE)*Q106</f>
        <v>21.272577670500322</v>
      </c>
    </row>
    <row r="107" spans="1:18">
      <c r="A107">
        <v>8104</v>
      </c>
      <c r="B107" t="s">
        <v>1142</v>
      </c>
      <c r="C107" t="s">
        <v>81</v>
      </c>
      <c r="D107">
        <f>IFERROR(+VLOOKUP(B107,'BD ASVICC'!$A$6:$GQ$316,5,FALSE),"")</f>
        <v>3758</v>
      </c>
      <c r="E107">
        <f>IFERROR(+VLOOKUP($B107,'BD ASVICC'!$A$6:$GQ$316,113,FALSE),"")</f>
        <v>5.87</v>
      </c>
      <c r="F107">
        <f>IFERROR(+VLOOKUP($B107,'BD ASVICC'!$A$6:$GQ$316,114,FALSE),"")</f>
        <v>1</v>
      </c>
      <c r="G107">
        <f>IFERROR(+VLOOKUP($B107,'BD ASVICC'!$A$6:$GQ$316,115,FALSE),"")</f>
        <v>6.87</v>
      </c>
      <c r="H107">
        <f t="shared" si="7"/>
        <v>41.485390184608313</v>
      </c>
      <c r="I107">
        <f t="shared" si="8"/>
        <v>622.28085276912475</v>
      </c>
      <c r="J107" s="846">
        <f>I107*'2. Incendis forestals'!$C$52</f>
        <v>6213474.3148997109</v>
      </c>
      <c r="K107" t="str">
        <f>VLOOKUP(B107,'BD ASVICC'!$A$6:$BG$316,59,FALSE)</f>
        <v>CENTRAL</v>
      </c>
      <c r="L107">
        <f>VLOOKUP(K107,'2. Incendis forestals'!$F$9:$G$11,2,FALSE)</f>
        <v>0.75</v>
      </c>
      <c r="M107">
        <f t="shared" si="5"/>
        <v>114.08482300767287</v>
      </c>
      <c r="N107">
        <f t="shared" si="9"/>
        <v>1711.272345115093</v>
      </c>
      <c r="O107" s="846">
        <f>N107*'2. Incendis forestals'!$C$52</f>
        <v>17087054.365974203</v>
      </c>
      <c r="P107" s="846">
        <f t="shared" si="6"/>
        <v>10873580.051074492</v>
      </c>
      <c r="Q107" s="854">
        <f>D107/VLOOKUP(C107,'BD Comarcal'!$A$5:$AX$17,21,FALSE)</f>
        <v>7.2046164759111214E-2</v>
      </c>
      <c r="R107">
        <f>VLOOKUP(C107,'BD Comarcal'!$A$5:$AX$17,50,FALSE)*Q107</f>
        <v>41.485390184608313</v>
      </c>
    </row>
    <row r="108" spans="1:18">
      <c r="A108">
        <v>8105</v>
      </c>
      <c r="B108" t="s">
        <v>1147</v>
      </c>
      <c r="C108" t="s">
        <v>24</v>
      </c>
      <c r="D108">
        <f>IFERROR(+VLOOKUP(B108,'BD ASVICC'!$A$6:$GQ$316,5,FALSE),"")</f>
        <v>0</v>
      </c>
      <c r="E108">
        <f>IFERROR(+VLOOKUP($B108,'BD ASVICC'!$A$6:$GQ$316,113,FALSE),"")</f>
        <v>0</v>
      </c>
      <c r="F108">
        <f>IFERROR(+VLOOKUP($B108,'BD ASVICC'!$A$6:$GQ$316,114,FALSE),"")</f>
        <v>0</v>
      </c>
      <c r="G108">
        <f>IFERROR(+VLOOKUP($B108,'BD ASVICC'!$A$6:$GQ$316,115,FALSE),"")</f>
        <v>0</v>
      </c>
      <c r="H108">
        <f t="shared" si="7"/>
        <v>0</v>
      </c>
      <c r="I108">
        <f t="shared" si="8"/>
        <v>0</v>
      </c>
      <c r="J108" s="846">
        <f>I108*'2. Incendis forestals'!$C$52</f>
        <v>0</v>
      </c>
      <c r="K108" t="str">
        <f>VLOOKUP(B108,'BD ASVICC'!$A$6:$BG$316,59,FALSE)</f>
        <v>LITORAL</v>
      </c>
      <c r="L108">
        <f>VLOOKUP(K108,'2. Incendis forestals'!$F$9:$G$11,2,FALSE)</f>
        <v>0.75</v>
      </c>
      <c r="M108">
        <f t="shared" si="5"/>
        <v>0</v>
      </c>
      <c r="N108">
        <f t="shared" si="9"/>
        <v>0</v>
      </c>
      <c r="O108" s="846">
        <f>N108*'2. Incendis forestals'!$C$52</f>
        <v>0</v>
      </c>
      <c r="P108" s="846">
        <f t="shared" si="6"/>
        <v>0</v>
      </c>
      <c r="Q108" s="854">
        <f>D108/VLOOKUP(C108,'BD Comarcal'!$A$5:$AX$17,21,FALSE)</f>
        <v>0</v>
      </c>
      <c r="R108">
        <f>VLOOKUP(C108,'BD Comarcal'!$A$5:$AX$17,50,FALSE)*Q108</f>
        <v>0</v>
      </c>
    </row>
    <row r="109" spans="1:18">
      <c r="A109">
        <v>8106</v>
      </c>
      <c r="B109" t="s">
        <v>1149</v>
      </c>
      <c r="C109" t="s">
        <v>24</v>
      </c>
      <c r="D109">
        <f>IFERROR(+VLOOKUP(B109,'BD ASVICC'!$A$6:$GQ$316,5,FALSE),"")</f>
        <v>1696</v>
      </c>
      <c r="E109">
        <f>IFERROR(+VLOOKUP($B109,'BD ASVICC'!$A$6:$GQ$316,113,FALSE),"")</f>
        <v>0</v>
      </c>
      <c r="F109">
        <f>IFERROR(+VLOOKUP($B109,'BD ASVICC'!$A$6:$GQ$316,114,FALSE),"")</f>
        <v>0</v>
      </c>
      <c r="G109">
        <f>IFERROR(+VLOOKUP($B109,'BD ASVICC'!$A$6:$GQ$316,115,FALSE),"")</f>
        <v>0</v>
      </c>
      <c r="H109">
        <f t="shared" si="7"/>
        <v>3.4506457260967873</v>
      </c>
      <c r="I109">
        <f t="shared" si="8"/>
        <v>51.759685891451809</v>
      </c>
      <c r="J109" s="846">
        <f>I109*'2. Incendis forestals'!$C$52</f>
        <v>516820.46362614632</v>
      </c>
      <c r="K109" t="str">
        <f>VLOOKUP(B109,'BD ASVICC'!$A$6:$BG$316,59,FALSE)</f>
        <v>CENTRAL</v>
      </c>
      <c r="L109">
        <f>VLOOKUP(K109,'2. Incendis forestals'!$F$9:$G$11,2,FALSE)</f>
        <v>0.75</v>
      </c>
      <c r="M109">
        <f t="shared" si="5"/>
        <v>9.4892757467661646</v>
      </c>
      <c r="N109">
        <f t="shared" si="9"/>
        <v>142.33913620149247</v>
      </c>
      <c r="O109" s="846">
        <f>N109*'2. Incendis forestals'!$C$52</f>
        <v>1421256.2749719024</v>
      </c>
      <c r="P109" s="846">
        <f t="shared" si="6"/>
        <v>904435.81134575605</v>
      </c>
      <c r="Q109" s="854">
        <f>D109/VLOOKUP(C109,'BD Comarcal'!$A$5:$AX$17,21,FALSE)</f>
        <v>3.3365465955814362E-2</v>
      </c>
      <c r="R109">
        <f>VLOOKUP(C109,'BD Comarcal'!$A$5:$AX$17,50,FALSE)*Q109</f>
        <v>3.4506457260967873</v>
      </c>
    </row>
    <row r="110" spans="1:18">
      <c r="A110">
        <v>8107</v>
      </c>
      <c r="B110" t="s">
        <v>1155</v>
      </c>
      <c r="C110" t="s">
        <v>24</v>
      </c>
      <c r="D110">
        <f>IFERROR(+VLOOKUP(B110,'BD ASVICC'!$A$6:$GQ$316,5,FALSE),"")</f>
        <v>783</v>
      </c>
      <c r="E110">
        <f>IFERROR(+VLOOKUP($B110,'BD ASVICC'!$A$6:$GQ$316,113,FALSE),"")</f>
        <v>0</v>
      </c>
      <c r="F110">
        <f>IFERROR(+VLOOKUP($B110,'BD ASVICC'!$A$6:$GQ$316,114,FALSE),"")</f>
        <v>1.5</v>
      </c>
      <c r="G110">
        <f>IFERROR(+VLOOKUP($B110,'BD ASVICC'!$A$6:$GQ$316,115,FALSE),"")</f>
        <v>1.5</v>
      </c>
      <c r="H110">
        <f t="shared" si="7"/>
        <v>1.593075237932656</v>
      </c>
      <c r="I110">
        <f t="shared" si="8"/>
        <v>23.896128568989841</v>
      </c>
      <c r="J110" s="846">
        <f>I110*'2. Incendis forestals'!$C$52</f>
        <v>238602.84376136356</v>
      </c>
      <c r="K110" t="str">
        <f>VLOOKUP(B110,'BD ASVICC'!$A$6:$BG$316,59,FALSE)</f>
        <v>LITORAL</v>
      </c>
      <c r="L110">
        <f>VLOOKUP(K110,'2. Incendis forestals'!$F$9:$G$11,2,FALSE)</f>
        <v>0.75</v>
      </c>
      <c r="M110">
        <f t="shared" si="5"/>
        <v>4.3809569043148038</v>
      </c>
      <c r="N110">
        <f t="shared" si="9"/>
        <v>65.71435356472206</v>
      </c>
      <c r="O110" s="846">
        <f>N110*'2. Incendis forestals'!$C$52</f>
        <v>656157.82034374971</v>
      </c>
      <c r="P110" s="846">
        <f t="shared" si="6"/>
        <v>417554.97658238618</v>
      </c>
      <c r="Q110" s="854">
        <f>D110/VLOOKUP(C110,'BD Comarcal'!$A$5:$AX$17,21,FALSE)</f>
        <v>1.5403985756723259E-2</v>
      </c>
      <c r="R110">
        <f>VLOOKUP(C110,'BD Comarcal'!$A$5:$AX$17,50,FALSE)*Q110</f>
        <v>1.593075237932656</v>
      </c>
    </row>
    <row r="111" spans="1:18">
      <c r="A111">
        <v>8108</v>
      </c>
      <c r="B111" t="s">
        <v>1158</v>
      </c>
      <c r="C111" t="s">
        <v>24</v>
      </c>
      <c r="D111">
        <f>IFERROR(+VLOOKUP(B111,'BD ASVICC'!$A$6:$GQ$316,5,FALSE),"")</f>
        <v>262</v>
      </c>
      <c r="E111">
        <f>IFERROR(+VLOOKUP($B111,'BD ASVICC'!$A$6:$GQ$316,113,FALSE),"")</f>
        <v>0</v>
      </c>
      <c r="F111">
        <f>IFERROR(+VLOOKUP($B111,'BD ASVICC'!$A$6:$GQ$316,114,FALSE),"")</f>
        <v>0</v>
      </c>
      <c r="G111">
        <f>IFERROR(+VLOOKUP($B111,'BD ASVICC'!$A$6:$GQ$316,115,FALSE),"")</f>
        <v>0</v>
      </c>
      <c r="H111">
        <f t="shared" si="7"/>
        <v>0.53305965815881984</v>
      </c>
      <c r="I111">
        <f t="shared" si="8"/>
        <v>7.9958948723822978</v>
      </c>
      <c r="J111" s="846">
        <f>I111*'2. Incendis forestals'!$C$52</f>
        <v>79839.010300737238</v>
      </c>
      <c r="K111" t="str">
        <f>VLOOKUP(B111,'BD ASVICC'!$A$6:$BG$316,59,FALSE)</f>
        <v>LITORAL</v>
      </c>
      <c r="L111">
        <f>VLOOKUP(K111,'2. Incendis forestals'!$F$9:$G$11,2,FALSE)</f>
        <v>0.75</v>
      </c>
      <c r="M111">
        <f t="shared" si="5"/>
        <v>1.4659140599367546</v>
      </c>
      <c r="N111">
        <f t="shared" si="9"/>
        <v>21.98871089905132</v>
      </c>
      <c r="O111" s="846">
        <f>N111*'2. Incendis forestals'!$C$52</f>
        <v>219557.27832702742</v>
      </c>
      <c r="P111" s="846">
        <f t="shared" si="6"/>
        <v>139718.26802629017</v>
      </c>
      <c r="Q111" s="854">
        <f>D111/VLOOKUP(C111,'BD Comarcal'!$A$5:$AX$17,21,FALSE)</f>
        <v>5.1543349530798139E-3</v>
      </c>
      <c r="R111">
        <f>VLOOKUP(C111,'BD Comarcal'!$A$5:$AX$17,50,FALSE)*Q111</f>
        <v>0.53305965815881984</v>
      </c>
    </row>
    <row r="112" spans="1:18">
      <c r="A112">
        <v>8109</v>
      </c>
      <c r="B112" t="s">
        <v>1160</v>
      </c>
      <c r="C112" t="s">
        <v>88</v>
      </c>
      <c r="D112">
        <f>IFERROR(+VLOOKUP(B112,'BD ASVICC'!$A$6:$GQ$316,5,FALSE),"")</f>
        <v>3972</v>
      </c>
      <c r="E112">
        <f>IFERROR(+VLOOKUP($B112,'BD ASVICC'!$A$6:$GQ$316,113,FALSE),"")</f>
        <v>1.5</v>
      </c>
      <c r="F112">
        <f>IFERROR(+VLOOKUP($B112,'BD ASVICC'!$A$6:$GQ$316,114,FALSE),"")</f>
        <v>0</v>
      </c>
      <c r="G112">
        <f>IFERROR(+VLOOKUP($B112,'BD ASVICC'!$A$6:$GQ$316,115,FALSE),"")</f>
        <v>1.5</v>
      </c>
      <c r="H112">
        <f t="shared" si="7"/>
        <v>3.0893110929939884</v>
      </c>
      <c r="I112">
        <f t="shared" si="8"/>
        <v>46.339666394909827</v>
      </c>
      <c r="J112" s="846">
        <f>I112*'2. Incendis forestals'!$C$52</f>
        <v>462701.56895317463</v>
      </c>
      <c r="K112" t="str">
        <f>VLOOKUP(B112,'BD ASVICC'!$A$6:$BG$316,59,FALSE)</f>
        <v>PREPIRINEU-PIRINEU</v>
      </c>
      <c r="L112">
        <f>VLOOKUP(K112,'2. Incendis forestals'!$F$9:$G$11,2,FALSE)</f>
        <v>0.75</v>
      </c>
      <c r="M112">
        <f t="shared" si="5"/>
        <v>8.4956055057334687</v>
      </c>
      <c r="N112">
        <f t="shared" si="9"/>
        <v>127.43408258600203</v>
      </c>
      <c r="O112" s="846">
        <f>N112*'2. Incendis forestals'!$C$52</f>
        <v>1272429.3146212304</v>
      </c>
      <c r="P112" s="846">
        <f t="shared" si="6"/>
        <v>809727.74566805572</v>
      </c>
      <c r="Q112" s="854">
        <f>D112/VLOOKUP(C112,'BD Comarcal'!$A$5:$AX$17,21,FALSE)</f>
        <v>4.2500374499775298E-2</v>
      </c>
      <c r="R112">
        <f>VLOOKUP(C112,'BD Comarcal'!$A$5:$AX$17,50,FALSE)*Q112</f>
        <v>3.0893110929939884</v>
      </c>
    </row>
    <row r="113" spans="1:18">
      <c r="A113">
        <v>8110</v>
      </c>
      <c r="B113" t="s">
        <v>343</v>
      </c>
      <c r="C113" t="s">
        <v>86</v>
      </c>
      <c r="D113">
        <f>IFERROR(+VLOOKUP(B113,'BD ASVICC'!$A$6:$GQ$316,5,FALSE),"")</f>
        <v>393</v>
      </c>
      <c r="E113">
        <f>IFERROR(+VLOOKUP($B113,'BD ASVICC'!$A$6:$GQ$316,113,FALSE),"")</f>
        <v>0</v>
      </c>
      <c r="F113">
        <f>IFERROR(+VLOOKUP($B113,'BD ASVICC'!$A$6:$GQ$316,114,FALSE),"")</f>
        <v>0</v>
      </c>
      <c r="G113">
        <f>IFERROR(+VLOOKUP($B113,'BD ASVICC'!$A$6:$GQ$316,115,FALSE),"")</f>
        <v>0</v>
      </c>
      <c r="H113">
        <f t="shared" si="7"/>
        <v>0.70371719058988902</v>
      </c>
      <c r="I113">
        <f t="shared" si="8"/>
        <v>10.555757858848335</v>
      </c>
      <c r="J113" s="846">
        <f>I113*'2. Incendis forestals'!$C$52</f>
        <v>105399.24222060062</v>
      </c>
      <c r="K113" t="str">
        <f>VLOOKUP(B113,'BD ASVICC'!$A$6:$BG$316,59,FALSE)</f>
        <v>LITORAL</v>
      </c>
      <c r="L113">
        <f>VLOOKUP(K113,'2. Incendis forestals'!$F$9:$G$11,2,FALSE)</f>
        <v>0.75</v>
      </c>
      <c r="M113">
        <f t="shared" si="5"/>
        <v>1.9352222741221947</v>
      </c>
      <c r="N113">
        <f t="shared" si="9"/>
        <v>29.028334111832919</v>
      </c>
      <c r="O113" s="846">
        <f>N113*'2. Incendis forestals'!$C$52</f>
        <v>289847.91610665171</v>
      </c>
      <c r="P113" s="846">
        <f t="shared" si="6"/>
        <v>184448.67388605111</v>
      </c>
      <c r="Q113" s="854">
        <f>D113/VLOOKUP(C113,'BD Comarcal'!$A$5:$AX$17,21,FALSE)</f>
        <v>1.4610208557938957E-2</v>
      </c>
      <c r="R113">
        <f>VLOOKUP(C113,'BD Comarcal'!$A$5:$AX$17,50,FALSE)*Q113</f>
        <v>0.70371719058988902</v>
      </c>
    </row>
    <row r="114" spans="1:18">
      <c r="A114">
        <v>8111</v>
      </c>
      <c r="B114" t="s">
        <v>1171</v>
      </c>
      <c r="C114" t="s">
        <v>88</v>
      </c>
      <c r="D114">
        <f>IFERROR(+VLOOKUP(B114,'BD ASVICC'!$A$6:$GQ$316,5,FALSE),"")</f>
        <v>174</v>
      </c>
      <c r="E114">
        <f>IFERROR(+VLOOKUP($B114,'BD ASVICC'!$A$6:$GQ$316,113,FALSE),"")</f>
        <v>0</v>
      </c>
      <c r="F114">
        <f>IFERROR(+VLOOKUP($B114,'BD ASVICC'!$A$6:$GQ$316,114,FALSE),"")</f>
        <v>0</v>
      </c>
      <c r="G114">
        <f>IFERROR(+VLOOKUP($B114,'BD ASVICC'!$A$6:$GQ$316,115,FALSE),"")</f>
        <v>0</v>
      </c>
      <c r="H114">
        <f t="shared" si="7"/>
        <v>0.13533235905864904</v>
      </c>
      <c r="I114">
        <f t="shared" si="8"/>
        <v>2.0299853858797356</v>
      </c>
      <c r="J114" s="846">
        <f>I114*'2. Incendis forestals'!$C$52</f>
        <v>20269.40407800916</v>
      </c>
      <c r="K114" t="str">
        <f>VLOOKUP(B114,'BD ASVICC'!$A$6:$BG$316,59,FALSE)</f>
        <v>PREPIRINEU-PIRINEU</v>
      </c>
      <c r="L114">
        <f>VLOOKUP(K114,'2. Incendis forestals'!$F$9:$G$11,2,FALSE)</f>
        <v>0.75</v>
      </c>
      <c r="M114">
        <f t="shared" si="5"/>
        <v>0.37216398741128487</v>
      </c>
      <c r="N114">
        <f t="shared" si="9"/>
        <v>5.5824598111692731</v>
      </c>
      <c r="O114" s="846">
        <f>N114*'2. Incendis forestals'!$C$52</f>
        <v>55740.86121452519</v>
      </c>
      <c r="P114" s="846">
        <f t="shared" si="6"/>
        <v>35471.45713651603</v>
      </c>
      <c r="Q114" s="854">
        <f>D114/VLOOKUP(C114,'BD Comarcal'!$A$5:$AX$17,21,FALSE)</f>
        <v>1.8617988829206702E-3</v>
      </c>
      <c r="R114">
        <f>VLOOKUP(C114,'BD Comarcal'!$A$5:$AX$17,50,FALSE)*Q114</f>
        <v>0.13533235905864904</v>
      </c>
    </row>
    <row r="115" spans="1:18">
      <c r="A115">
        <v>8112</v>
      </c>
      <c r="B115" t="s">
        <v>721</v>
      </c>
      <c r="C115" t="s">
        <v>88</v>
      </c>
      <c r="D115">
        <f>IFERROR(+VLOOKUP(B115,'BD ASVICC'!$A$6:$GQ$316,5,FALSE),"")</f>
        <v>185</v>
      </c>
      <c r="E115">
        <f>IFERROR(+VLOOKUP($B115,'BD ASVICC'!$A$6:$GQ$316,113,FALSE),"")</f>
        <v>0</v>
      </c>
      <c r="F115">
        <f>IFERROR(+VLOOKUP($B115,'BD ASVICC'!$A$6:$GQ$316,114,FALSE),"")</f>
        <v>0</v>
      </c>
      <c r="G115">
        <f>IFERROR(+VLOOKUP($B115,'BD ASVICC'!$A$6:$GQ$316,115,FALSE),"")</f>
        <v>0</v>
      </c>
      <c r="H115">
        <f t="shared" si="7"/>
        <v>0.14388785302212687</v>
      </c>
      <c r="I115">
        <f t="shared" si="8"/>
        <v>2.1583177953319028</v>
      </c>
      <c r="J115" s="846">
        <f>I115*'2. Incendis forestals'!$C$52</f>
        <v>21550.80318638905</v>
      </c>
      <c r="K115" t="str">
        <f>VLOOKUP(B115,'BD ASVICC'!$A$6:$BG$316,59,FALSE)</f>
        <v>CENTRAL</v>
      </c>
      <c r="L115">
        <f>VLOOKUP(K115,'2. Incendis forestals'!$F$9:$G$11,2,FALSE)</f>
        <v>0.75</v>
      </c>
      <c r="M115">
        <f t="shared" si="5"/>
        <v>0.3956915958108489</v>
      </c>
      <c r="N115">
        <f t="shared" si="9"/>
        <v>5.9353739371627334</v>
      </c>
      <c r="O115" s="846">
        <f>N115*'2. Incendis forestals'!$C$52</f>
        <v>59264.708762569891</v>
      </c>
      <c r="P115" s="846">
        <f t="shared" si="6"/>
        <v>37713.905576180841</v>
      </c>
      <c r="Q115" s="854">
        <f>D115/VLOOKUP(C115,'BD Comarcal'!$A$5:$AX$17,21,FALSE)</f>
        <v>1.9794988123007125E-3</v>
      </c>
      <c r="R115">
        <f>VLOOKUP(C115,'BD Comarcal'!$A$5:$AX$17,50,FALSE)*Q115</f>
        <v>0.14388785302212687</v>
      </c>
    </row>
    <row r="116" spans="1:18">
      <c r="A116">
        <v>8113</v>
      </c>
      <c r="B116" t="s">
        <v>699</v>
      </c>
      <c r="C116" t="s">
        <v>82</v>
      </c>
      <c r="D116">
        <f>IFERROR(+VLOOKUP(B116,'BD ASVICC'!$A$6:$GQ$316,5,FALSE),"")</f>
        <v>1196</v>
      </c>
      <c r="E116">
        <f>IFERROR(+VLOOKUP($B116,'BD ASVICC'!$A$6:$GQ$316,113,FALSE),"")</f>
        <v>9.1</v>
      </c>
      <c r="F116">
        <f>IFERROR(+VLOOKUP($B116,'BD ASVICC'!$A$6:$GQ$316,114,FALSE),"")</f>
        <v>2.86</v>
      </c>
      <c r="G116">
        <f>IFERROR(+VLOOKUP($B116,'BD ASVICC'!$A$6:$GQ$316,115,FALSE),"")</f>
        <v>11.96</v>
      </c>
      <c r="H116">
        <f t="shared" si="7"/>
        <v>13.188213900181722</v>
      </c>
      <c r="I116">
        <f t="shared" si="8"/>
        <v>197.82320850272583</v>
      </c>
      <c r="J116" s="846">
        <f>I116*'2. Incendis forestals'!$C$52</f>
        <v>1975264.7368997175</v>
      </c>
      <c r="K116" t="str">
        <f>VLOOKUP(B116,'BD ASVICC'!$A$6:$BG$316,59,FALSE)</f>
        <v>CENTRAL</v>
      </c>
      <c r="L116">
        <f>VLOOKUP(K116,'2. Incendis forestals'!$F$9:$G$11,2,FALSE)</f>
        <v>0.75</v>
      </c>
      <c r="M116">
        <f t="shared" si="5"/>
        <v>36.267588225499736</v>
      </c>
      <c r="N116">
        <f t="shared" si="9"/>
        <v>544.01382338249607</v>
      </c>
      <c r="O116" s="846">
        <f>N116*'2. Incendis forestals'!$C$52</f>
        <v>5431978.0264742235</v>
      </c>
      <c r="P116" s="846">
        <f t="shared" si="6"/>
        <v>3456713.2895745058</v>
      </c>
      <c r="Q116" s="854">
        <f>D116/VLOOKUP(C116,'BD Comarcal'!$A$5:$AX$17,21,FALSE)</f>
        <v>1.4768714035217703E-2</v>
      </c>
      <c r="R116">
        <f>VLOOKUP(C116,'BD Comarcal'!$A$5:$AX$17,50,FALSE)*Q116</f>
        <v>13.188213900181722</v>
      </c>
    </row>
    <row r="117" spans="1:18">
      <c r="A117">
        <v>8114</v>
      </c>
      <c r="B117" t="s">
        <v>677</v>
      </c>
      <c r="C117" t="s">
        <v>90</v>
      </c>
      <c r="D117">
        <f>IFERROR(+VLOOKUP(B117,'BD ASVICC'!$A$6:$GQ$316,5,FALSE),"")</f>
        <v>445</v>
      </c>
      <c r="E117">
        <f>IFERROR(+VLOOKUP($B117,'BD ASVICC'!$A$6:$GQ$316,113,FALSE),"")</f>
        <v>10.06</v>
      </c>
      <c r="F117">
        <f>IFERROR(+VLOOKUP($B117,'BD ASVICC'!$A$6:$GQ$316,114,FALSE),"")</f>
        <v>64.88</v>
      </c>
      <c r="G117">
        <f>IFERROR(+VLOOKUP($B117,'BD ASVICC'!$A$6:$GQ$316,115,FALSE),"")</f>
        <v>74.94</v>
      </c>
      <c r="H117">
        <f t="shared" si="7"/>
        <v>3.6994692535668539</v>
      </c>
      <c r="I117">
        <f t="shared" si="8"/>
        <v>55.492038803502808</v>
      </c>
      <c r="J117" s="846">
        <f>I117*'2. Incendis forestals'!$C$52</f>
        <v>554088.00745297549</v>
      </c>
      <c r="K117" t="str">
        <f>VLOOKUP(B117,'BD ASVICC'!$A$6:$BG$316,59,FALSE)</f>
        <v>LITORAL</v>
      </c>
      <c r="L117">
        <f>VLOOKUP(K117,'2. Incendis forestals'!$F$9:$G$11,2,FALSE)</f>
        <v>0.75</v>
      </c>
      <c r="M117">
        <f t="shared" si="5"/>
        <v>10.173540447308849</v>
      </c>
      <c r="N117">
        <f t="shared" si="9"/>
        <v>152.60310670963273</v>
      </c>
      <c r="O117" s="846">
        <f>N117*'2. Incendis forestals'!$C$52</f>
        <v>1523742.0204956827</v>
      </c>
      <c r="P117" s="846">
        <f t="shared" si="6"/>
        <v>969654.01304270723</v>
      </c>
      <c r="Q117" s="854">
        <f>D117/VLOOKUP(C117,'BD Comarcal'!$A$5:$AX$17,21,FALSE)</f>
        <v>1.7120652508464142E-2</v>
      </c>
      <c r="R117">
        <f>VLOOKUP(C117,'BD Comarcal'!$A$5:$AX$17,50,FALSE)*Q117</f>
        <v>3.6994692535668539</v>
      </c>
    </row>
    <row r="118" spans="1:18">
      <c r="A118">
        <v>8115</v>
      </c>
      <c r="B118" t="s">
        <v>1183</v>
      </c>
      <c r="C118" t="s">
        <v>24</v>
      </c>
      <c r="D118">
        <f>IFERROR(+VLOOKUP(B118,'BD ASVICC'!$A$6:$GQ$316,5,FALSE),"")</f>
        <v>125</v>
      </c>
      <c r="E118">
        <f>IFERROR(+VLOOKUP($B118,'BD ASVICC'!$A$6:$GQ$316,113,FALSE),"")</f>
        <v>0</v>
      </c>
      <c r="F118">
        <f>IFERROR(+VLOOKUP($B118,'BD ASVICC'!$A$6:$GQ$316,114,FALSE),"")</f>
        <v>0</v>
      </c>
      <c r="G118">
        <f>IFERROR(+VLOOKUP($B118,'BD ASVICC'!$A$6:$GQ$316,115,FALSE),"")</f>
        <v>0</v>
      </c>
      <c r="H118">
        <f t="shared" si="7"/>
        <v>0.25432235599180336</v>
      </c>
      <c r="I118">
        <f t="shared" si="8"/>
        <v>3.8148353398770505</v>
      </c>
      <c r="J118" s="846">
        <f>I118*'2. Incendis forestals'!$C$52</f>
        <v>38091.13086867235</v>
      </c>
      <c r="K118" t="str">
        <f>VLOOKUP(B118,'BD ASVICC'!$A$6:$BG$316,59,FALSE)</f>
        <v>LITORAL</v>
      </c>
      <c r="L118">
        <f>VLOOKUP(K118,'2. Incendis forestals'!$F$9:$G$11,2,FALSE)</f>
        <v>0.75</v>
      </c>
      <c r="M118">
        <f t="shared" si="5"/>
        <v>0.69938647897745931</v>
      </c>
      <c r="N118">
        <f t="shared" si="9"/>
        <v>10.49079718466189</v>
      </c>
      <c r="O118" s="846">
        <f>N118*'2. Incendis forestals'!$C$52</f>
        <v>104750.60988884897</v>
      </c>
      <c r="P118" s="846">
        <f t="shared" si="6"/>
        <v>66659.479020176615</v>
      </c>
      <c r="Q118" s="854">
        <f>D118/VLOOKUP(C118,'BD Comarcal'!$A$5:$AX$17,21,FALSE)</f>
        <v>2.4591292715075447E-3</v>
      </c>
      <c r="R118">
        <f>VLOOKUP(C118,'BD Comarcal'!$A$5:$AX$17,50,FALSE)*Q118</f>
        <v>0.25432235599180336</v>
      </c>
    </row>
    <row r="119" spans="1:18">
      <c r="A119">
        <v>8116</v>
      </c>
      <c r="B119" t="s">
        <v>1184</v>
      </c>
      <c r="C119" t="s">
        <v>88</v>
      </c>
      <c r="D119">
        <f>IFERROR(+VLOOKUP(B119,'BD ASVICC'!$A$6:$GQ$316,5,FALSE),"")</f>
        <v>761</v>
      </c>
      <c r="E119">
        <f>IFERROR(+VLOOKUP($B119,'BD ASVICC'!$A$6:$GQ$316,113,FALSE),"")</f>
        <v>0</v>
      </c>
      <c r="F119">
        <f>IFERROR(+VLOOKUP($B119,'BD ASVICC'!$A$6:$GQ$316,114,FALSE),"")</f>
        <v>0</v>
      </c>
      <c r="G119">
        <f>IFERROR(+VLOOKUP($B119,'BD ASVICC'!$A$6:$GQ$316,115,FALSE),"")</f>
        <v>0</v>
      </c>
      <c r="H119">
        <f t="shared" si="7"/>
        <v>0.59188462783696516</v>
      </c>
      <c r="I119">
        <f t="shared" si="8"/>
        <v>8.8782694175544776</v>
      </c>
      <c r="J119" s="846">
        <f>I119*'2. Incendis forestals'!$C$52</f>
        <v>88649.520134281454</v>
      </c>
      <c r="K119" t="str">
        <f>VLOOKUP(B119,'BD ASVICC'!$A$6:$BG$316,59,FALSE)</f>
        <v>CENTRAL</v>
      </c>
      <c r="L119">
        <f>VLOOKUP(K119,'2. Incendis forestals'!$F$9:$G$11,2,FALSE)</f>
        <v>0.75</v>
      </c>
      <c r="M119">
        <f t="shared" si="5"/>
        <v>1.6276827265516542</v>
      </c>
      <c r="N119">
        <f t="shared" si="9"/>
        <v>24.415240898274813</v>
      </c>
      <c r="O119" s="846">
        <f>N119*'2. Incendis forestals'!$C$52</f>
        <v>243786.18036927402</v>
      </c>
      <c r="P119" s="846">
        <f t="shared" si="6"/>
        <v>155136.66023499257</v>
      </c>
      <c r="Q119" s="854">
        <f>D119/VLOOKUP(C119,'BD Comarcal'!$A$5:$AX$17,21,FALSE)</f>
        <v>8.1426951143829321E-3</v>
      </c>
      <c r="R119">
        <f>VLOOKUP(C119,'BD Comarcal'!$A$5:$AX$17,50,FALSE)*Q119</f>
        <v>0.59188462783696516</v>
      </c>
    </row>
    <row r="120" spans="1:18">
      <c r="A120">
        <v>8117</v>
      </c>
      <c r="B120" t="s">
        <v>1187</v>
      </c>
      <c r="C120" t="s">
        <v>88</v>
      </c>
      <c r="D120">
        <f>IFERROR(+VLOOKUP(B120,'BD ASVICC'!$A$6:$GQ$316,5,FALSE),"")</f>
        <v>1043</v>
      </c>
      <c r="E120">
        <f>IFERROR(+VLOOKUP($B120,'BD ASVICC'!$A$6:$GQ$316,113,FALSE),"")</f>
        <v>3</v>
      </c>
      <c r="F120">
        <f>IFERROR(+VLOOKUP($B120,'BD ASVICC'!$A$6:$GQ$316,114,FALSE),"")</f>
        <v>2.5</v>
      </c>
      <c r="G120">
        <f>IFERROR(+VLOOKUP($B120,'BD ASVICC'!$A$6:$GQ$316,115,FALSE),"")</f>
        <v>5.5</v>
      </c>
      <c r="H120">
        <f t="shared" si="7"/>
        <v>0.81121638217339631</v>
      </c>
      <c r="I120">
        <f t="shared" si="8"/>
        <v>12.168245732600944</v>
      </c>
      <c r="J120" s="846">
        <f>I120*'2. Incendis forestals'!$C$52</f>
        <v>121499.93364002043</v>
      </c>
      <c r="K120" t="str">
        <f>VLOOKUP(B120,'BD ASVICC'!$A$6:$BG$316,59,FALSE)</f>
        <v>PREPIRINEU-PIRINEU</v>
      </c>
      <c r="L120">
        <f>VLOOKUP(K120,'2. Incendis forestals'!$F$9:$G$11,2,FALSE)</f>
        <v>0.75</v>
      </c>
      <c r="M120">
        <f t="shared" si="5"/>
        <v>2.23084505097684</v>
      </c>
      <c r="N120">
        <f t="shared" si="9"/>
        <v>33.462675764652602</v>
      </c>
      <c r="O120" s="846">
        <f>N120*'2. Incendis forestals'!$C$52</f>
        <v>334124.81751005625</v>
      </c>
      <c r="P120" s="846">
        <f t="shared" si="6"/>
        <v>212624.88387003582</v>
      </c>
      <c r="Q120" s="854">
        <f>D120/VLOOKUP(C120,'BD Comarcal'!$A$5:$AX$17,21,FALSE)</f>
        <v>1.1160093303944017E-2</v>
      </c>
      <c r="R120">
        <f>VLOOKUP(C120,'BD Comarcal'!$A$5:$AX$17,50,FALSE)*Q120</f>
        <v>0.81121638217339631</v>
      </c>
    </row>
    <row r="121" spans="1:18">
      <c r="A121">
        <v>8118</v>
      </c>
      <c r="B121" t="s">
        <v>344</v>
      </c>
      <c r="C121" t="s">
        <v>86</v>
      </c>
      <c r="D121">
        <f>IFERROR(+VLOOKUP(B121,'BD ASVICC'!$A$6:$GQ$316,5,FALSE),"")</f>
        <v>0</v>
      </c>
      <c r="E121">
        <f>IFERROR(+VLOOKUP($B121,'BD ASVICC'!$A$6:$GQ$316,113,FALSE),"")</f>
        <v>0</v>
      </c>
      <c r="F121">
        <f>IFERROR(+VLOOKUP($B121,'BD ASVICC'!$A$6:$GQ$316,114,FALSE),"")</f>
        <v>0</v>
      </c>
      <c r="G121">
        <f>IFERROR(+VLOOKUP($B121,'BD ASVICC'!$A$6:$GQ$316,115,FALSE),"")</f>
        <v>0</v>
      </c>
      <c r="H121">
        <f t="shared" si="7"/>
        <v>0</v>
      </c>
      <c r="I121">
        <f t="shared" si="8"/>
        <v>0</v>
      </c>
      <c r="J121" s="846">
        <f>I121*'2. Incendis forestals'!$C$52</f>
        <v>0</v>
      </c>
      <c r="K121" t="str">
        <f>VLOOKUP(B121,'BD ASVICC'!$A$6:$BG$316,59,FALSE)</f>
        <v>LITORAL</v>
      </c>
      <c r="L121">
        <f>VLOOKUP(K121,'2. Incendis forestals'!$F$9:$G$11,2,FALSE)</f>
        <v>0.75</v>
      </c>
      <c r="M121">
        <f t="shared" si="5"/>
        <v>0</v>
      </c>
      <c r="N121">
        <f t="shared" si="9"/>
        <v>0</v>
      </c>
      <c r="O121" s="846">
        <f>N121*'2. Incendis forestals'!$C$52</f>
        <v>0</v>
      </c>
      <c r="P121" s="846">
        <f t="shared" si="6"/>
        <v>0</v>
      </c>
      <c r="Q121" s="854">
        <f>D121/VLOOKUP(C121,'BD Comarcal'!$A$5:$AX$17,21,FALSE)</f>
        <v>0</v>
      </c>
      <c r="R121">
        <f>VLOOKUP(C121,'BD Comarcal'!$A$5:$AX$17,50,FALSE)*Q121</f>
        <v>0</v>
      </c>
    </row>
    <row r="122" spans="1:18">
      <c r="A122">
        <v>8119</v>
      </c>
      <c r="B122" t="s">
        <v>1194</v>
      </c>
      <c r="C122" t="s">
        <v>81</v>
      </c>
      <c r="D122">
        <f>IFERROR(+VLOOKUP(B122,'BD ASVICC'!$A$6:$GQ$316,5,FALSE),"")</f>
        <v>624</v>
      </c>
      <c r="E122">
        <f>IFERROR(+VLOOKUP($B122,'BD ASVICC'!$A$6:$GQ$316,113,FALSE),"")</f>
        <v>4</v>
      </c>
      <c r="F122">
        <f>IFERROR(+VLOOKUP($B122,'BD ASVICC'!$A$6:$GQ$316,114,FALSE),"")</f>
        <v>2.1</v>
      </c>
      <c r="G122">
        <f>IFERROR(+VLOOKUP($B122,'BD ASVICC'!$A$6:$GQ$316,115,FALSE),"")</f>
        <v>6.1</v>
      </c>
      <c r="H122">
        <f t="shared" si="7"/>
        <v>6.8884735165501825</v>
      </c>
      <c r="I122">
        <f t="shared" si="8"/>
        <v>103.32710274825274</v>
      </c>
      <c r="J122" s="846">
        <f>I122*'2. Incendis forestals'!$C$52</f>
        <v>1031721.1209413037</v>
      </c>
      <c r="K122" t="str">
        <f>VLOOKUP(B122,'BD ASVICC'!$A$6:$BG$316,59,FALSE)</f>
        <v>CENTRAL</v>
      </c>
      <c r="L122">
        <f>VLOOKUP(K122,'2. Incendis forestals'!$F$9:$G$11,2,FALSE)</f>
        <v>0.75</v>
      </c>
      <c r="M122">
        <f t="shared" si="5"/>
        <v>18.943302170513</v>
      </c>
      <c r="N122">
        <f t="shared" si="9"/>
        <v>284.14953255769501</v>
      </c>
      <c r="O122" s="846">
        <f>N122*'2. Incendis forestals'!$C$52</f>
        <v>2837233.0825885846</v>
      </c>
      <c r="P122" s="846">
        <f t="shared" si="6"/>
        <v>1805511.961647281</v>
      </c>
      <c r="Q122" s="854">
        <f>D122/VLOOKUP(C122,'BD Comarcal'!$A$5:$AX$17,21,FALSE)</f>
        <v>1.1962960832806119E-2</v>
      </c>
      <c r="R122">
        <f>VLOOKUP(C122,'BD Comarcal'!$A$5:$AX$17,50,FALSE)*Q122</f>
        <v>6.8884735165501825</v>
      </c>
    </row>
    <row r="123" spans="1:18">
      <c r="A123">
        <v>8120</v>
      </c>
      <c r="B123" t="s">
        <v>1197</v>
      </c>
      <c r="C123" t="s">
        <v>89</v>
      </c>
      <c r="D123">
        <f>IFERROR(+VLOOKUP(B123,'BD ASVICC'!$A$6:$GQ$316,5,FALSE),"")</f>
        <v>2027</v>
      </c>
      <c r="E123">
        <f>IFERROR(+VLOOKUP($B123,'BD ASVICC'!$A$6:$GQ$316,113,FALSE),"")</f>
        <v>0</v>
      </c>
      <c r="F123">
        <f>IFERROR(+VLOOKUP($B123,'BD ASVICC'!$A$6:$GQ$316,114,FALSE),"")</f>
        <v>0</v>
      </c>
      <c r="G123">
        <f>IFERROR(+VLOOKUP($B123,'BD ASVICC'!$A$6:$GQ$316,115,FALSE),"")</f>
        <v>0</v>
      </c>
      <c r="H123">
        <f t="shared" si="7"/>
        <v>16.189452142898904</v>
      </c>
      <c r="I123">
        <f t="shared" si="8"/>
        <v>242.84178214348356</v>
      </c>
      <c r="J123" s="846">
        <f>I123*'2. Incendis forestals'!$C$52</f>
        <v>2424775.1947026835</v>
      </c>
      <c r="K123" t="str">
        <f>VLOOKUP(B123,'BD ASVICC'!$A$6:$BG$316,59,FALSE)</f>
        <v>LITORAL</v>
      </c>
      <c r="L123">
        <f>VLOOKUP(K123,'2. Incendis forestals'!$F$9:$G$11,2,FALSE)</f>
        <v>0.75</v>
      </c>
      <c r="M123">
        <f t="shared" si="5"/>
        <v>44.520993392971988</v>
      </c>
      <c r="N123">
        <f t="shared" si="9"/>
        <v>667.81490089457986</v>
      </c>
      <c r="O123" s="846">
        <f>N123*'2. Incendis forestals'!$C$52</f>
        <v>6668131.7854323797</v>
      </c>
      <c r="P123" s="846">
        <f t="shared" si="6"/>
        <v>4243356.5907296967</v>
      </c>
      <c r="Q123" s="854">
        <f>D123/VLOOKUP(C123,'BD Comarcal'!$A$5:$AX$17,21,FALSE)</f>
        <v>5.9258609600654856E-2</v>
      </c>
      <c r="R123">
        <f>VLOOKUP(C123,'BD Comarcal'!$A$5:$AX$17,50,FALSE)*Q123</f>
        <v>16.189452142898904</v>
      </c>
    </row>
    <row r="124" spans="1:18">
      <c r="A124">
        <v>8121</v>
      </c>
      <c r="B124" t="s">
        <v>345</v>
      </c>
      <c r="C124" t="s">
        <v>86</v>
      </c>
      <c r="D124">
        <f>IFERROR(+VLOOKUP(B124,'BD ASVICC'!$A$6:$GQ$316,5,FALSE),"")</f>
        <v>923</v>
      </c>
      <c r="E124">
        <f>IFERROR(+VLOOKUP($B124,'BD ASVICC'!$A$6:$GQ$316,113,FALSE),"")</f>
        <v>0</v>
      </c>
      <c r="F124">
        <f>IFERROR(+VLOOKUP($B124,'BD ASVICC'!$A$6:$GQ$316,114,FALSE),"")</f>
        <v>0</v>
      </c>
      <c r="G124">
        <f>IFERROR(+VLOOKUP($B124,'BD ASVICC'!$A$6:$GQ$316,115,FALSE),"")</f>
        <v>0</v>
      </c>
      <c r="H124">
        <f t="shared" si="7"/>
        <v>1.6527505519452101</v>
      </c>
      <c r="I124">
        <f t="shared" si="8"/>
        <v>24.791258279178152</v>
      </c>
      <c r="J124" s="846">
        <f>I124*'2. Incendis forestals'!$C$52</f>
        <v>247540.71391759385</v>
      </c>
      <c r="K124" t="str">
        <f>VLOOKUP(B124,'BD ASVICC'!$A$6:$BG$316,59,FALSE)</f>
        <v>LITORAL</v>
      </c>
      <c r="L124">
        <f>VLOOKUP(K124,'2. Incendis forestals'!$F$9:$G$11,2,FALSE)</f>
        <v>0.75</v>
      </c>
      <c r="M124">
        <f t="shared" si="5"/>
        <v>4.5450640178493273</v>
      </c>
      <c r="N124">
        <f t="shared" si="9"/>
        <v>68.17596026773991</v>
      </c>
      <c r="O124" s="846">
        <f>N124*'2. Incendis forestals'!$C$52</f>
        <v>680736.96327338298</v>
      </c>
      <c r="P124" s="846">
        <f t="shared" si="6"/>
        <v>433196.24935578916</v>
      </c>
      <c r="Q124" s="854">
        <f>D124/VLOOKUP(C124,'BD Comarcal'!$A$5:$AX$17,21,FALSE)</f>
        <v>3.4313543254396076E-2</v>
      </c>
      <c r="R124">
        <f>VLOOKUP(C124,'BD Comarcal'!$A$5:$AX$17,50,FALSE)*Q124</f>
        <v>1.6527505519452101</v>
      </c>
    </row>
    <row r="125" spans="1:18">
      <c r="A125">
        <v>8122</v>
      </c>
      <c r="B125" t="s">
        <v>1204</v>
      </c>
      <c r="C125" t="s">
        <v>791</v>
      </c>
      <c r="D125">
        <f>IFERROR(+VLOOKUP(B125,'BD ASVICC'!$A$6:$GQ$316,5,FALSE),"")</f>
        <v>3032</v>
      </c>
      <c r="E125">
        <f>IFERROR(+VLOOKUP($B125,'BD ASVICC'!$A$6:$GQ$316,113,FALSE),"")</f>
        <v>2.83</v>
      </c>
      <c r="F125">
        <f>IFERROR(+VLOOKUP($B125,'BD ASVICC'!$A$6:$GQ$316,114,FALSE),"")</f>
        <v>2.93</v>
      </c>
      <c r="G125">
        <f>IFERROR(+VLOOKUP($B125,'BD ASVICC'!$A$6:$GQ$316,115,FALSE),"")</f>
        <v>5.76</v>
      </c>
      <c r="H125">
        <f t="shared" si="7"/>
        <v>22.061754567292795</v>
      </c>
      <c r="I125">
        <f t="shared" si="8"/>
        <v>330.92631850939193</v>
      </c>
      <c r="J125" s="846">
        <f>I125*'2. Incendis forestals'!$C$52</f>
        <v>3304299.2903162786</v>
      </c>
      <c r="K125" t="str">
        <f>VLOOKUP(B125,'BD ASVICC'!$A$6:$BG$316,59,FALSE)</f>
        <v>CENTRAL</v>
      </c>
      <c r="L125">
        <f>VLOOKUP(K125,'2. Incendis forestals'!$F$9:$G$11,2,FALSE)</f>
        <v>0.75</v>
      </c>
      <c r="M125">
        <f t="shared" si="5"/>
        <v>60.669825060055189</v>
      </c>
      <c r="N125">
        <f t="shared" si="9"/>
        <v>910.04737590082777</v>
      </c>
      <c r="O125" s="846">
        <f>N125*'2. Incendis forestals'!$C$52</f>
        <v>9086823.0483697653</v>
      </c>
      <c r="P125" s="846">
        <f t="shared" si="6"/>
        <v>5782523.7580534872</v>
      </c>
      <c r="Q125" s="854">
        <f>D125/VLOOKUP(C125,'BD Comarcal'!$A$5:$AX$17,21,FALSE)</f>
        <v>9.8726840545732802E-2</v>
      </c>
      <c r="R125">
        <f>VLOOKUP(C125,'BD Comarcal'!$A$5:$AX$17,50,FALSE)*Q125</f>
        <v>22.061754567292795</v>
      </c>
    </row>
    <row r="126" spans="1:18">
      <c r="A126">
        <v>8123</v>
      </c>
      <c r="B126" t="s">
        <v>1208</v>
      </c>
      <c r="C126" t="s">
        <v>90</v>
      </c>
      <c r="D126">
        <f>IFERROR(+VLOOKUP(B126,'BD ASVICC'!$A$6:$GQ$316,5,FALSE),"")</f>
        <v>922</v>
      </c>
      <c r="E126">
        <f>IFERROR(+VLOOKUP($B126,'BD ASVICC'!$A$6:$GQ$316,113,FALSE),"")</f>
        <v>0</v>
      </c>
      <c r="F126">
        <f>IFERROR(+VLOOKUP($B126,'BD ASVICC'!$A$6:$GQ$316,114,FALSE),"")</f>
        <v>0</v>
      </c>
      <c r="G126">
        <f>IFERROR(+VLOOKUP($B126,'BD ASVICC'!$A$6:$GQ$316,115,FALSE),"")</f>
        <v>0</v>
      </c>
      <c r="H126">
        <f t="shared" si="7"/>
        <v>7.6649677568284034</v>
      </c>
      <c r="I126">
        <f t="shared" si="8"/>
        <v>114.97451635242605</v>
      </c>
      <c r="J126" s="846">
        <f>I126*'2. Incendis forestals'!$C$52</f>
        <v>1148020.5457789742</v>
      </c>
      <c r="K126" t="str">
        <f>VLOOKUP(B126,'BD ASVICC'!$A$6:$BG$316,59,FALSE)</f>
        <v>LITORAL</v>
      </c>
      <c r="L126">
        <f>VLOOKUP(K126,'2. Incendis forestals'!$F$9:$G$11,2,FALSE)</f>
        <v>0.75</v>
      </c>
      <c r="M126">
        <f t="shared" si="5"/>
        <v>21.078661331278109</v>
      </c>
      <c r="N126">
        <f t="shared" si="9"/>
        <v>316.17991996917164</v>
      </c>
      <c r="O126" s="846">
        <f>N126*'2. Incendis forestals'!$C$52</f>
        <v>3157056.5008921786</v>
      </c>
      <c r="P126" s="846">
        <f t="shared" si="6"/>
        <v>2009035.9551132044</v>
      </c>
      <c r="Q126" s="854">
        <f>D126/VLOOKUP(C126,'BD Comarcal'!$A$5:$AX$17,21,FALSE)</f>
        <v>3.5472453062480765E-2</v>
      </c>
      <c r="R126">
        <f>VLOOKUP(C126,'BD Comarcal'!$A$5:$AX$17,50,FALSE)*Q126</f>
        <v>7.6649677568284034</v>
      </c>
    </row>
    <row r="127" spans="1:18">
      <c r="A127">
        <v>8124</v>
      </c>
      <c r="B127" t="s">
        <v>1214</v>
      </c>
      <c r="C127" t="s">
        <v>24</v>
      </c>
      <c r="D127">
        <f>IFERROR(+VLOOKUP(B127,'BD ASVICC'!$A$6:$GQ$316,5,FALSE),"")</f>
        <v>162</v>
      </c>
      <c r="E127">
        <f>IFERROR(+VLOOKUP($B127,'BD ASVICC'!$A$6:$GQ$316,113,FALSE),"")</f>
        <v>0</v>
      </c>
      <c r="F127">
        <f>IFERROR(+VLOOKUP($B127,'BD ASVICC'!$A$6:$GQ$316,114,FALSE),"")</f>
        <v>0</v>
      </c>
      <c r="G127">
        <f>IFERROR(+VLOOKUP($B127,'BD ASVICC'!$A$6:$GQ$316,115,FALSE),"")</f>
        <v>0</v>
      </c>
      <c r="H127">
        <f t="shared" si="7"/>
        <v>0.32960177336537716</v>
      </c>
      <c r="I127">
        <f t="shared" si="8"/>
        <v>4.9440266004806572</v>
      </c>
      <c r="J127" s="846">
        <f>I127*'2. Incendis forestals'!$C$52</f>
        <v>49366.105605799363</v>
      </c>
      <c r="K127" t="str">
        <f>VLOOKUP(B127,'BD ASVICC'!$A$6:$BG$316,59,FALSE)</f>
        <v>LITORAL</v>
      </c>
      <c r="L127">
        <f>VLOOKUP(K127,'2. Incendis forestals'!$F$9:$G$11,2,FALSE)</f>
        <v>0.75</v>
      </c>
      <c r="M127">
        <f t="shared" si="5"/>
        <v>0.9064048767547872</v>
      </c>
      <c r="N127">
        <f t="shared" si="9"/>
        <v>13.596073151321807</v>
      </c>
      <c r="O127" s="846">
        <f>N127*'2. Incendis forestals'!$C$52</f>
        <v>135756.79041594826</v>
      </c>
      <c r="P127" s="846">
        <f t="shared" si="6"/>
        <v>86390.684810148901</v>
      </c>
      <c r="Q127" s="854">
        <f>D127/VLOOKUP(C127,'BD Comarcal'!$A$5:$AX$17,21,FALSE)</f>
        <v>3.187031535873778E-3</v>
      </c>
      <c r="R127">
        <f>VLOOKUP(C127,'BD Comarcal'!$A$5:$AX$17,50,FALSE)*Q127</f>
        <v>0.32960177336537716</v>
      </c>
    </row>
    <row r="128" spans="1:18">
      <c r="A128">
        <v>8125</v>
      </c>
      <c r="B128" t="s">
        <v>1220</v>
      </c>
      <c r="C128" t="s">
        <v>89</v>
      </c>
      <c r="D128">
        <f>IFERROR(+VLOOKUP(B128,'BD ASVICC'!$A$6:$GQ$316,5,FALSE),"")</f>
        <v>1097</v>
      </c>
      <c r="E128">
        <f>IFERROR(+VLOOKUP($B128,'BD ASVICC'!$A$6:$GQ$316,113,FALSE),"")</f>
        <v>3.87</v>
      </c>
      <c r="F128">
        <f>IFERROR(+VLOOKUP($B128,'BD ASVICC'!$A$6:$GQ$316,114,FALSE),"")</f>
        <v>32.21</v>
      </c>
      <c r="G128">
        <f>IFERROR(+VLOOKUP($B128,'BD ASVICC'!$A$6:$GQ$316,115,FALSE),"")</f>
        <v>36.08</v>
      </c>
      <c r="H128">
        <f t="shared" si="7"/>
        <v>8.7616324621411454</v>
      </c>
      <c r="I128">
        <f t="shared" si="8"/>
        <v>131.42448693211719</v>
      </c>
      <c r="J128" s="846">
        <f>I128*'2. Incendis forestals'!$C$52</f>
        <v>1312273.5020171902</v>
      </c>
      <c r="K128" t="str">
        <f>VLOOKUP(B128,'BD ASVICC'!$A$6:$BG$316,59,FALSE)</f>
        <v>LITORAL</v>
      </c>
      <c r="L128">
        <f>VLOOKUP(K128,'2. Incendis forestals'!$F$9:$G$11,2,FALSE)</f>
        <v>0.75</v>
      </c>
      <c r="M128">
        <f t="shared" si="5"/>
        <v>24.09448927088815</v>
      </c>
      <c r="N128">
        <f t="shared" si="9"/>
        <v>361.41733906332223</v>
      </c>
      <c r="O128" s="846">
        <f>N128*'2. Incendis forestals'!$C$52</f>
        <v>3608752.1305472725</v>
      </c>
      <c r="P128" s="846">
        <f t="shared" si="6"/>
        <v>2296478.6285300823</v>
      </c>
      <c r="Q128" s="854">
        <f>D128/VLOOKUP(C128,'BD Comarcal'!$A$5:$AX$17,21,FALSE)</f>
        <v>3.2070397006373152E-2</v>
      </c>
      <c r="R128">
        <f>VLOOKUP(C128,'BD Comarcal'!$A$5:$AX$17,50,FALSE)*Q128</f>
        <v>8.7616324621411454</v>
      </c>
    </row>
    <row r="129" spans="1:18">
      <c r="A129">
        <v>8126</v>
      </c>
      <c r="B129" t="s">
        <v>346</v>
      </c>
      <c r="C129" t="s">
        <v>86</v>
      </c>
      <c r="D129">
        <f>IFERROR(+VLOOKUP(B129,'BD ASVICC'!$A$6:$GQ$316,5,FALSE),"")</f>
        <v>0</v>
      </c>
      <c r="E129">
        <f>IFERROR(+VLOOKUP($B129,'BD ASVICC'!$A$6:$GQ$316,113,FALSE),"")</f>
        <v>0</v>
      </c>
      <c r="F129">
        <f>IFERROR(+VLOOKUP($B129,'BD ASVICC'!$A$6:$GQ$316,114,FALSE),"")</f>
        <v>6.21</v>
      </c>
      <c r="G129">
        <f>IFERROR(+VLOOKUP($B129,'BD ASVICC'!$A$6:$GQ$316,115,FALSE),"")</f>
        <v>6.21</v>
      </c>
      <c r="H129">
        <f t="shared" si="7"/>
        <v>0</v>
      </c>
      <c r="I129">
        <f t="shared" si="8"/>
        <v>0</v>
      </c>
      <c r="J129" s="846">
        <f>I129*'2. Incendis forestals'!$C$52</f>
        <v>0</v>
      </c>
      <c r="K129" t="str">
        <f>VLOOKUP(B129,'BD ASVICC'!$A$6:$BG$316,59,FALSE)</f>
        <v>LITORAL</v>
      </c>
      <c r="L129">
        <f>VLOOKUP(K129,'2. Incendis forestals'!$F$9:$G$11,2,FALSE)</f>
        <v>0.75</v>
      </c>
      <c r="M129">
        <f t="shared" si="5"/>
        <v>0</v>
      </c>
      <c r="N129">
        <f t="shared" si="9"/>
        <v>0</v>
      </c>
      <c r="O129" s="846">
        <f>N129*'2. Incendis forestals'!$C$52</f>
        <v>0</v>
      </c>
      <c r="P129" s="846">
        <f t="shared" si="6"/>
        <v>0</v>
      </c>
      <c r="Q129" s="854">
        <f>D129/VLOOKUP(C129,'BD Comarcal'!$A$5:$AX$17,21,FALSE)</f>
        <v>0</v>
      </c>
      <c r="R129">
        <f>VLOOKUP(C129,'BD Comarcal'!$A$5:$AX$17,50,FALSE)*Q129</f>
        <v>0</v>
      </c>
    </row>
    <row r="130" spans="1:18">
      <c r="A130">
        <v>8127</v>
      </c>
      <c r="B130" t="s">
        <v>1227</v>
      </c>
      <c r="C130" t="s">
        <v>82</v>
      </c>
      <c r="D130">
        <f>IFERROR(+VLOOKUP(B130,'BD ASVICC'!$A$6:$GQ$316,5,FALSE),"")</f>
        <v>999</v>
      </c>
      <c r="E130">
        <f>IFERROR(+VLOOKUP($B130,'BD ASVICC'!$A$6:$GQ$316,113,FALSE),"")</f>
        <v>0.3</v>
      </c>
      <c r="F130">
        <f>IFERROR(+VLOOKUP($B130,'BD ASVICC'!$A$6:$GQ$316,114,FALSE),"")</f>
        <v>0.7</v>
      </c>
      <c r="G130">
        <f>IFERROR(+VLOOKUP($B130,'BD ASVICC'!$A$6:$GQ$316,115,FALSE),"")</f>
        <v>1</v>
      </c>
      <c r="H130">
        <f t="shared" si="7"/>
        <v>11.015907764449448</v>
      </c>
      <c r="I130">
        <f t="shared" si="8"/>
        <v>165.23861646674172</v>
      </c>
      <c r="J130" s="846">
        <f>I130*'2. Incendis forestals'!$C$52</f>
        <v>1649907.585420416</v>
      </c>
      <c r="K130" t="str">
        <f>VLOOKUP(B130,'BD ASVICC'!$A$6:$BG$316,59,FALSE)</f>
        <v>LITORAL</v>
      </c>
      <c r="L130">
        <f>VLOOKUP(K130,'2. Incendis forestals'!$F$9:$G$11,2,FALSE)</f>
        <v>0.75</v>
      </c>
      <c r="M130">
        <f t="shared" si="5"/>
        <v>30.293746352235981</v>
      </c>
      <c r="N130">
        <f t="shared" si="9"/>
        <v>454.40619528353972</v>
      </c>
      <c r="O130" s="846">
        <f>N130*'2. Incendis forestals'!$C$52</f>
        <v>4537245.8599061444</v>
      </c>
      <c r="P130" s="846">
        <f t="shared" si="6"/>
        <v>2887338.2744857287</v>
      </c>
      <c r="Q130" s="854">
        <f>D130/VLOOKUP(C130,'BD Comarcal'!$A$5:$AX$17,21,FALSE)</f>
        <v>1.2336074683262947E-2</v>
      </c>
      <c r="R130">
        <f>VLOOKUP(C130,'BD Comarcal'!$A$5:$AX$17,50,FALSE)*Q130</f>
        <v>11.015907764449448</v>
      </c>
    </row>
    <row r="131" spans="1:18">
      <c r="A131">
        <v>8128</v>
      </c>
      <c r="B131" t="s">
        <v>1230</v>
      </c>
      <c r="C131" t="s">
        <v>82</v>
      </c>
      <c r="D131">
        <f>IFERROR(+VLOOKUP(B131,'BD ASVICC'!$A$6:$GQ$316,5,FALSE),"")</f>
        <v>1937</v>
      </c>
      <c r="E131">
        <f>IFERROR(+VLOOKUP($B131,'BD ASVICC'!$A$6:$GQ$316,113,FALSE),"")</f>
        <v>11.93</v>
      </c>
      <c r="F131">
        <f>IFERROR(+VLOOKUP($B131,'BD ASVICC'!$A$6:$GQ$316,114,FALSE),"")</f>
        <v>2.97</v>
      </c>
      <c r="G131">
        <f>IFERROR(+VLOOKUP($B131,'BD ASVICC'!$A$6:$GQ$316,115,FALSE),"")</f>
        <v>14.9</v>
      </c>
      <c r="H131">
        <f t="shared" si="7"/>
        <v>21.359172512250833</v>
      </c>
      <c r="I131">
        <f t="shared" si="8"/>
        <v>320.38758768376249</v>
      </c>
      <c r="J131" s="846">
        <f>I131*'2. Incendis forestals'!$C$52</f>
        <v>3199070.0630223686</v>
      </c>
      <c r="K131" t="str">
        <f>VLOOKUP(B131,'BD ASVICC'!$A$6:$BG$316,59,FALSE)</f>
        <v>CENTRAL</v>
      </c>
      <c r="L131">
        <f>VLOOKUP(K131,'2. Incendis forestals'!$F$9:$G$11,2,FALSE)</f>
        <v>0.75</v>
      </c>
      <c r="M131">
        <f t="shared" si="5"/>
        <v>58.737724408689786</v>
      </c>
      <c r="N131">
        <f t="shared" si="9"/>
        <v>881.06586613034676</v>
      </c>
      <c r="O131" s="846">
        <f>N131*'2. Incendis forestals'!$C$52</f>
        <v>8797442.6733115129</v>
      </c>
      <c r="P131" s="846">
        <f t="shared" si="6"/>
        <v>5598372.6102891443</v>
      </c>
      <c r="Q131" s="854">
        <f>D131/VLOOKUP(C131,'BD Comarcal'!$A$5:$AX$17,21,FALSE)</f>
        <v>2.3918895557037367E-2</v>
      </c>
      <c r="R131">
        <f>VLOOKUP(C131,'BD Comarcal'!$A$5:$AX$17,50,FALSE)*Q131</f>
        <v>21.359172512250833</v>
      </c>
    </row>
    <row r="132" spans="1:18">
      <c r="A132">
        <v>8129</v>
      </c>
      <c r="B132" t="s">
        <v>1233</v>
      </c>
      <c r="C132" t="s">
        <v>88</v>
      </c>
      <c r="D132">
        <f>IFERROR(+VLOOKUP(B132,'BD ASVICC'!$A$6:$GQ$316,5,FALSE),"")</f>
        <v>3196</v>
      </c>
      <c r="E132">
        <f>IFERROR(+VLOOKUP($B132,'BD ASVICC'!$A$6:$GQ$316,113,FALSE),"")</f>
        <v>0</v>
      </c>
      <c r="F132">
        <f>IFERROR(+VLOOKUP($B132,'BD ASVICC'!$A$6:$GQ$316,114,FALSE),"")</f>
        <v>0</v>
      </c>
      <c r="G132">
        <f>IFERROR(+VLOOKUP($B132,'BD ASVICC'!$A$6:$GQ$316,115,FALSE),"")</f>
        <v>0</v>
      </c>
      <c r="H132">
        <f t="shared" si="7"/>
        <v>2.4857598824795542</v>
      </c>
      <c r="I132">
        <f t="shared" si="8"/>
        <v>37.28639823719331</v>
      </c>
      <c r="J132" s="846">
        <f>I132*'2. Incendis forestals'!$C$52</f>
        <v>372304.6863983752</v>
      </c>
      <c r="K132" t="str">
        <f>VLOOKUP(B132,'BD ASVICC'!$A$6:$BG$316,59,FALSE)</f>
        <v>PREPIRINEU-PIRINEU</v>
      </c>
      <c r="L132">
        <f>VLOOKUP(K132,'2. Incendis forestals'!$F$9:$G$11,2,FALSE)</f>
        <v>0.75</v>
      </c>
      <c r="M132">
        <f t="shared" ref="M132:M195" si="10">H132+(1+L132)*H132</f>
        <v>6.8358396768187735</v>
      </c>
      <c r="N132">
        <f t="shared" si="9"/>
        <v>102.5375951522816</v>
      </c>
      <c r="O132" s="846">
        <f>N132*'2. Incendis forestals'!$C$52</f>
        <v>1023837.8875955318</v>
      </c>
      <c r="P132" s="846">
        <f t="shared" ref="P132:P195" si="11">O132-J132</f>
        <v>651533.20119715657</v>
      </c>
      <c r="Q132" s="854">
        <f>D132/VLOOKUP(C132,'BD Comarcal'!$A$5:$AX$17,21,FALSE)</f>
        <v>3.4197179481692312E-2</v>
      </c>
      <c r="R132">
        <f>VLOOKUP(C132,'BD Comarcal'!$A$5:$AX$17,50,FALSE)*Q132</f>
        <v>2.4857598824795542</v>
      </c>
    </row>
    <row r="133" spans="1:18">
      <c r="A133">
        <v>8130</v>
      </c>
      <c r="B133" t="s">
        <v>1237</v>
      </c>
      <c r="C133" t="s">
        <v>84</v>
      </c>
      <c r="D133">
        <f>IFERROR(+VLOOKUP(B133,'BD ASVICC'!$A$6:$GQ$316,5,FALSE),"")</f>
        <v>1458</v>
      </c>
      <c r="E133">
        <f>IFERROR(+VLOOKUP($B133,'BD ASVICC'!$A$6:$GQ$316,113,FALSE),"")</f>
        <v>2.44</v>
      </c>
      <c r="F133">
        <f>IFERROR(+VLOOKUP($B133,'BD ASVICC'!$A$6:$GQ$316,114,FALSE),"")</f>
        <v>2.5</v>
      </c>
      <c r="G133">
        <f>IFERROR(+VLOOKUP($B133,'BD ASVICC'!$A$6:$GQ$316,115,FALSE),"")</f>
        <v>4.9400000000000004</v>
      </c>
      <c r="H133">
        <f t="shared" ref="H133:H196" si="12">R133</f>
        <v>9.0088134699660589</v>
      </c>
      <c r="I133">
        <f t="shared" ref="I133:I196" si="13">H133*15</f>
        <v>135.13220204949087</v>
      </c>
      <c r="J133" s="846">
        <f>I133*'2. Incendis forestals'!$C$52</f>
        <v>1349295.0374641663</v>
      </c>
      <c r="K133" t="str">
        <f>VLOOKUP(B133,'BD ASVICC'!$A$6:$BG$316,59,FALSE)</f>
        <v>PREPIRINEU-PIRINEU</v>
      </c>
      <c r="L133">
        <f>VLOOKUP(K133,'2. Incendis forestals'!$F$9:$G$11,2,FALSE)</f>
        <v>0.75</v>
      </c>
      <c r="M133">
        <f t="shared" si="10"/>
        <v>24.774237042406661</v>
      </c>
      <c r="N133">
        <f t="shared" ref="N133:N196" si="14">M133*15</f>
        <v>371.61355563609993</v>
      </c>
      <c r="O133" s="846">
        <f>N133*'2. Incendis forestals'!$C$52</f>
        <v>3710561.3530264576</v>
      </c>
      <c r="P133" s="846">
        <f t="shared" si="11"/>
        <v>2361266.3155622911</v>
      </c>
      <c r="Q133" s="854">
        <f>D133/VLOOKUP(C133,'BD Comarcal'!$A$5:$AX$17,21,FALSE)</f>
        <v>1.3789581205311542E-2</v>
      </c>
      <c r="R133">
        <f>VLOOKUP(C133,'BD Comarcal'!$A$5:$AX$17,50,FALSE)*Q133</f>
        <v>9.0088134699660589</v>
      </c>
    </row>
    <row r="134" spans="1:18">
      <c r="A134">
        <v>8131</v>
      </c>
      <c r="B134" t="s">
        <v>1240</v>
      </c>
      <c r="C134" t="s">
        <v>88</v>
      </c>
      <c r="D134">
        <f>IFERROR(+VLOOKUP(B134,'BD ASVICC'!$A$6:$GQ$316,5,FALSE),"")</f>
        <v>368</v>
      </c>
      <c r="E134">
        <f>IFERROR(+VLOOKUP($B134,'BD ASVICC'!$A$6:$GQ$316,113,FALSE),"")</f>
        <v>0</v>
      </c>
      <c r="F134">
        <f>IFERROR(+VLOOKUP($B134,'BD ASVICC'!$A$6:$GQ$316,114,FALSE),"")</f>
        <v>0</v>
      </c>
      <c r="G134">
        <f>IFERROR(+VLOOKUP($B134,'BD ASVICC'!$A$6:$GQ$316,115,FALSE),"")</f>
        <v>0</v>
      </c>
      <c r="H134">
        <f t="shared" si="12"/>
        <v>0.28622016168725778</v>
      </c>
      <c r="I134">
        <f t="shared" si="13"/>
        <v>4.293302425308867</v>
      </c>
      <c r="J134" s="846">
        <f>I134*'2. Incendis forestals'!$C$52</f>
        <v>42868.624716709033</v>
      </c>
      <c r="K134" t="str">
        <f>VLOOKUP(B134,'BD ASVICC'!$A$6:$BG$316,59,FALSE)</f>
        <v>PREPIRINEU-PIRINEU</v>
      </c>
      <c r="L134">
        <f>VLOOKUP(K134,'2. Incendis forestals'!$F$9:$G$11,2,FALSE)</f>
        <v>0.75</v>
      </c>
      <c r="M134">
        <f t="shared" si="10"/>
        <v>0.7871054446399588</v>
      </c>
      <c r="N134">
        <f t="shared" si="14"/>
        <v>11.806581669599382</v>
      </c>
      <c r="O134" s="846">
        <f>N134*'2. Incendis forestals'!$C$52</f>
        <v>117888.71797094983</v>
      </c>
      <c r="P134" s="846">
        <f t="shared" si="11"/>
        <v>75020.093254240797</v>
      </c>
      <c r="Q134" s="854">
        <f>D134/VLOOKUP(C134,'BD Comarcal'!$A$5:$AX$17,21,FALSE)</f>
        <v>3.9375976374414175E-3</v>
      </c>
      <c r="R134">
        <f>VLOOKUP(C134,'BD Comarcal'!$A$5:$AX$17,50,FALSE)*Q134</f>
        <v>0.28622016168725778</v>
      </c>
    </row>
    <row r="135" spans="1:18">
      <c r="A135">
        <v>8132</v>
      </c>
      <c r="B135" t="s">
        <v>1245</v>
      </c>
      <c r="C135" t="s">
        <v>84</v>
      </c>
      <c r="D135">
        <f>IFERROR(+VLOOKUP(B135,'BD ASVICC'!$A$6:$GQ$316,5,FALSE),"")</f>
        <v>5828</v>
      </c>
      <c r="E135">
        <f>IFERROR(+VLOOKUP($B135,'BD ASVICC'!$A$6:$GQ$316,113,FALSE),"")</f>
        <v>0</v>
      </c>
      <c r="F135">
        <f>IFERROR(+VLOOKUP($B135,'BD ASVICC'!$A$6:$GQ$316,114,FALSE),"")</f>
        <v>0</v>
      </c>
      <c r="G135">
        <f>IFERROR(+VLOOKUP($B135,'BD ASVICC'!$A$6:$GQ$316,115,FALSE),"")</f>
        <v>0</v>
      </c>
      <c r="H135">
        <f t="shared" si="12"/>
        <v>36.010538342223725</v>
      </c>
      <c r="I135">
        <f t="shared" si="13"/>
        <v>540.15807513335585</v>
      </c>
      <c r="J135" s="846">
        <f>I135*'2. Incendis forestals'!$C$52</f>
        <v>5393478.3802065579</v>
      </c>
      <c r="K135" t="str">
        <f>VLOOKUP(B135,'BD ASVICC'!$A$6:$BG$316,59,FALSE)</f>
        <v>PREPIRINEU-PIRINEU</v>
      </c>
      <c r="L135">
        <f>VLOOKUP(K135,'2. Incendis forestals'!$F$9:$G$11,2,FALSE)</f>
        <v>0.75</v>
      </c>
      <c r="M135">
        <f t="shared" si="10"/>
        <v>99.028980441115237</v>
      </c>
      <c r="N135">
        <f t="shared" si="14"/>
        <v>1485.4347066167286</v>
      </c>
      <c r="O135" s="846">
        <f>N135*'2. Incendis forestals'!$C$52</f>
        <v>14832065.545568034</v>
      </c>
      <c r="P135" s="846">
        <f t="shared" si="11"/>
        <v>9438587.1653614752</v>
      </c>
      <c r="Q135" s="854">
        <f>D135/VLOOKUP(C135,'BD Comarcal'!$A$5:$AX$17,21,FALSE)</f>
        <v>5.5120493322740514E-2</v>
      </c>
      <c r="R135">
        <f>VLOOKUP(C135,'BD Comarcal'!$A$5:$AX$17,50,FALSE)*Q135</f>
        <v>36.010538342223725</v>
      </c>
    </row>
    <row r="136" spans="1:18">
      <c r="A136">
        <v>8133</v>
      </c>
      <c r="B136" t="s">
        <v>1249</v>
      </c>
      <c r="C136" t="s">
        <v>81</v>
      </c>
      <c r="D136">
        <f>IFERROR(+VLOOKUP(B136,'BD ASVICC'!$A$6:$GQ$316,5,FALSE),"")</f>
        <v>347</v>
      </c>
      <c r="E136">
        <f>IFERROR(+VLOOKUP($B136,'BD ASVICC'!$A$6:$GQ$316,113,FALSE),"")</f>
        <v>0</v>
      </c>
      <c r="F136">
        <f>IFERROR(+VLOOKUP($B136,'BD ASVICC'!$A$6:$GQ$316,114,FALSE),"")</f>
        <v>0</v>
      </c>
      <c r="G136">
        <f>IFERROR(+VLOOKUP($B136,'BD ASVICC'!$A$6:$GQ$316,115,FALSE),"")</f>
        <v>0</v>
      </c>
      <c r="H136">
        <f t="shared" si="12"/>
        <v>3.8306094715431307</v>
      </c>
      <c r="I136">
        <f t="shared" si="13"/>
        <v>57.459142073146964</v>
      </c>
      <c r="J136" s="846">
        <f>I136*'2. Incendis forestals'!$C$52</f>
        <v>573729.53360037238</v>
      </c>
      <c r="K136" t="str">
        <f>VLOOKUP(B136,'BD ASVICC'!$A$6:$BG$316,59,FALSE)</f>
        <v>PREPIRINEU-PIRINEU</v>
      </c>
      <c r="L136">
        <f>VLOOKUP(K136,'2. Incendis forestals'!$F$9:$G$11,2,FALSE)</f>
        <v>0.75</v>
      </c>
      <c r="M136">
        <f t="shared" si="10"/>
        <v>10.53417604674361</v>
      </c>
      <c r="N136">
        <f t="shared" si="14"/>
        <v>158.01264070115417</v>
      </c>
      <c r="O136" s="846">
        <f>N136*'2. Incendis forestals'!$C$52</f>
        <v>1577756.2174010244</v>
      </c>
      <c r="P136" s="846">
        <f t="shared" si="11"/>
        <v>1004026.683800652</v>
      </c>
      <c r="Q136" s="854">
        <f>D136/VLOOKUP(C136,'BD Comarcal'!$A$5:$AX$17,21,FALSE)</f>
        <v>6.6524798220893005E-3</v>
      </c>
      <c r="R136">
        <f>VLOOKUP(C136,'BD Comarcal'!$A$5:$AX$17,50,FALSE)*Q136</f>
        <v>3.8306094715431307</v>
      </c>
    </row>
    <row r="137" spans="1:18">
      <c r="A137">
        <v>8134</v>
      </c>
      <c r="B137" t="s">
        <v>1253</v>
      </c>
      <c r="C137" t="s">
        <v>24</v>
      </c>
      <c r="D137">
        <f>IFERROR(+VLOOKUP(B137,'BD ASVICC'!$A$6:$GQ$316,5,FALSE),"")</f>
        <v>1379</v>
      </c>
      <c r="E137">
        <f>IFERROR(+VLOOKUP($B137,'BD ASVICC'!$A$6:$GQ$316,113,FALSE),"")</f>
        <v>0</v>
      </c>
      <c r="F137">
        <f>IFERROR(+VLOOKUP($B137,'BD ASVICC'!$A$6:$GQ$316,114,FALSE),"")</f>
        <v>0</v>
      </c>
      <c r="G137">
        <f>IFERROR(+VLOOKUP($B137,'BD ASVICC'!$A$6:$GQ$316,115,FALSE),"")</f>
        <v>0</v>
      </c>
      <c r="H137">
        <f t="shared" si="12"/>
        <v>2.8056842313015746</v>
      </c>
      <c r="I137">
        <f t="shared" si="13"/>
        <v>42.085263469523618</v>
      </c>
      <c r="J137" s="846">
        <f>I137*'2. Incendis forestals'!$C$52</f>
        <v>420221.3557431933</v>
      </c>
      <c r="K137" t="str">
        <f>VLOOKUP(B137,'BD ASVICC'!$A$6:$BG$316,59,FALSE)</f>
        <v>CENTRAL</v>
      </c>
      <c r="L137">
        <f>VLOOKUP(K137,'2. Incendis forestals'!$F$9:$G$11,2,FALSE)</f>
        <v>0.75</v>
      </c>
      <c r="M137">
        <f t="shared" si="10"/>
        <v>7.7156316360793298</v>
      </c>
      <c r="N137">
        <f t="shared" si="14"/>
        <v>115.73447454118994</v>
      </c>
      <c r="O137" s="846">
        <f>N137*'2. Incendis forestals'!$C$52</f>
        <v>1155608.7282937816</v>
      </c>
      <c r="P137" s="846">
        <f t="shared" si="11"/>
        <v>735387.37255058833</v>
      </c>
      <c r="Q137" s="854">
        <f>D137/VLOOKUP(C137,'BD Comarcal'!$A$5:$AX$17,21,FALSE)</f>
        <v>2.7129114123271233E-2</v>
      </c>
      <c r="R137">
        <f>VLOOKUP(C137,'BD Comarcal'!$A$5:$AX$17,50,FALSE)*Q137</f>
        <v>2.8056842313015746</v>
      </c>
    </row>
    <row r="138" spans="1:18">
      <c r="A138">
        <v>8135</v>
      </c>
      <c r="B138" t="s">
        <v>1255</v>
      </c>
      <c r="C138" t="s">
        <v>24</v>
      </c>
      <c r="D138">
        <f>IFERROR(+VLOOKUP(B138,'BD ASVICC'!$A$6:$GQ$316,5,FALSE),"")</f>
        <v>0</v>
      </c>
      <c r="E138">
        <f>IFERROR(+VLOOKUP($B138,'BD ASVICC'!$A$6:$GQ$316,113,FALSE),"")</f>
        <v>0</v>
      </c>
      <c r="F138">
        <f>IFERROR(+VLOOKUP($B138,'BD ASVICC'!$A$6:$GQ$316,114,FALSE),"")</f>
        <v>0</v>
      </c>
      <c r="G138">
        <f>IFERROR(+VLOOKUP($B138,'BD ASVICC'!$A$6:$GQ$316,115,FALSE),"")</f>
        <v>0</v>
      </c>
      <c r="H138">
        <f t="shared" si="12"/>
        <v>0</v>
      </c>
      <c r="I138">
        <f t="shared" si="13"/>
        <v>0</v>
      </c>
      <c r="J138" s="846">
        <f>I138*'2. Incendis forestals'!$C$52</f>
        <v>0</v>
      </c>
      <c r="K138" t="str">
        <f>VLOOKUP(B138,'BD ASVICC'!$A$6:$BG$316,59,FALSE)</f>
        <v>LITORAL</v>
      </c>
      <c r="L138">
        <f>VLOOKUP(K138,'2. Incendis forestals'!$F$9:$G$11,2,FALSE)</f>
        <v>0.75</v>
      </c>
      <c r="M138">
        <f t="shared" si="10"/>
        <v>0</v>
      </c>
      <c r="N138">
        <f t="shared" si="14"/>
        <v>0</v>
      </c>
      <c r="O138" s="846">
        <f>N138*'2. Incendis forestals'!$C$52</f>
        <v>0</v>
      </c>
      <c r="P138" s="846">
        <f t="shared" si="11"/>
        <v>0</v>
      </c>
      <c r="Q138" s="854">
        <f>D138/VLOOKUP(C138,'BD Comarcal'!$A$5:$AX$17,21,FALSE)</f>
        <v>0</v>
      </c>
      <c r="R138">
        <f>VLOOKUP(C138,'BD Comarcal'!$A$5:$AX$17,50,FALSE)*Q138</f>
        <v>0</v>
      </c>
    </row>
    <row r="139" spans="1:18">
      <c r="A139">
        <v>8136</v>
      </c>
      <c r="B139" t="s">
        <v>1256</v>
      </c>
      <c r="C139" t="s">
        <v>24</v>
      </c>
      <c r="D139">
        <f>IFERROR(+VLOOKUP(B139,'BD ASVICC'!$A$6:$GQ$316,5,FALSE),"")</f>
        <v>739</v>
      </c>
      <c r="E139">
        <f>IFERROR(+VLOOKUP($B139,'BD ASVICC'!$A$6:$GQ$316,113,FALSE),"")</f>
        <v>2</v>
      </c>
      <c r="F139">
        <f>IFERROR(+VLOOKUP($B139,'BD ASVICC'!$A$6:$GQ$316,114,FALSE),"")</f>
        <v>0.8</v>
      </c>
      <c r="G139">
        <f>IFERROR(+VLOOKUP($B139,'BD ASVICC'!$A$6:$GQ$316,115,FALSE),"")</f>
        <v>2.8</v>
      </c>
      <c r="H139">
        <f t="shared" si="12"/>
        <v>1.5035537686235414</v>
      </c>
      <c r="I139">
        <f t="shared" si="13"/>
        <v>22.553306529353122</v>
      </c>
      <c r="J139" s="846">
        <f>I139*'2. Incendis forestals'!$C$52</f>
        <v>225194.76569559093</v>
      </c>
      <c r="K139" t="str">
        <f>VLOOKUP(B139,'BD ASVICC'!$A$6:$BG$316,59,FALSE)</f>
        <v>LITORAL</v>
      </c>
      <c r="L139">
        <f>VLOOKUP(K139,'2. Incendis forestals'!$F$9:$G$11,2,FALSE)</f>
        <v>0.75</v>
      </c>
      <c r="M139">
        <f t="shared" si="10"/>
        <v>4.1347728637147387</v>
      </c>
      <c r="N139">
        <f t="shared" si="14"/>
        <v>62.021592955721083</v>
      </c>
      <c r="O139" s="846">
        <f>N139*'2. Incendis forestals'!$C$52</f>
        <v>619285.60566287499</v>
      </c>
      <c r="P139" s="846">
        <f t="shared" si="11"/>
        <v>394090.83996728406</v>
      </c>
      <c r="Q139" s="854">
        <f>D139/VLOOKUP(C139,'BD Comarcal'!$A$5:$AX$17,21,FALSE)</f>
        <v>1.4538372253152604E-2</v>
      </c>
      <c r="R139">
        <f>VLOOKUP(C139,'BD Comarcal'!$A$5:$AX$17,50,FALSE)*Q139</f>
        <v>1.5035537686235414</v>
      </c>
    </row>
    <row r="140" spans="1:18">
      <c r="A140">
        <v>8137</v>
      </c>
      <c r="B140" t="s">
        <v>1258</v>
      </c>
      <c r="C140" t="s">
        <v>24</v>
      </c>
      <c r="D140">
        <f>IFERROR(+VLOOKUP(B140,'BD ASVICC'!$A$6:$GQ$316,5,FALSE),"")</f>
        <v>2552</v>
      </c>
      <c r="E140">
        <f>IFERROR(+VLOOKUP($B140,'BD ASVICC'!$A$6:$GQ$316,113,FALSE),"")</f>
        <v>0</v>
      </c>
      <c r="F140">
        <f>IFERROR(+VLOOKUP($B140,'BD ASVICC'!$A$6:$GQ$316,114,FALSE),"")</f>
        <v>0</v>
      </c>
      <c r="G140">
        <f>IFERROR(+VLOOKUP($B140,'BD ASVICC'!$A$6:$GQ$316,115,FALSE),"")</f>
        <v>0</v>
      </c>
      <c r="H140">
        <f t="shared" si="12"/>
        <v>5.1922452199286573</v>
      </c>
      <c r="I140">
        <f t="shared" si="13"/>
        <v>77.883678298929865</v>
      </c>
      <c r="J140" s="846">
        <f>I140*'2. Incendis forestals'!$C$52</f>
        <v>777668.5278148147</v>
      </c>
      <c r="K140" t="str">
        <f>VLOOKUP(B140,'BD ASVICC'!$A$6:$BG$316,59,FALSE)</f>
        <v>CENTRAL</v>
      </c>
      <c r="L140">
        <f>VLOOKUP(K140,'2. Incendis forestals'!$F$9:$G$11,2,FALSE)</f>
        <v>0.75</v>
      </c>
      <c r="M140">
        <f t="shared" si="10"/>
        <v>14.278674354803808</v>
      </c>
      <c r="N140">
        <f t="shared" si="14"/>
        <v>214.18011532205713</v>
      </c>
      <c r="O140" s="846">
        <f>N140*'2. Incendis forestals'!$C$52</f>
        <v>2138588.4514907403</v>
      </c>
      <c r="P140" s="846">
        <f t="shared" si="11"/>
        <v>1360919.9236759255</v>
      </c>
      <c r="Q140" s="854">
        <f>D140/VLOOKUP(C140,'BD Comarcal'!$A$5:$AX$17,21,FALSE)</f>
        <v>5.0205583207098031E-2</v>
      </c>
      <c r="R140">
        <f>VLOOKUP(C140,'BD Comarcal'!$A$5:$AX$17,50,FALSE)*Q140</f>
        <v>5.1922452199286573</v>
      </c>
    </row>
    <row r="141" spans="1:18">
      <c r="A141">
        <v>8138</v>
      </c>
      <c r="B141" t="s">
        <v>1260</v>
      </c>
      <c r="C141" t="s">
        <v>82</v>
      </c>
      <c r="D141">
        <f>IFERROR(+VLOOKUP(B141,'BD ASVICC'!$A$6:$GQ$316,5,FALSE),"")</f>
        <v>5110</v>
      </c>
      <c r="E141">
        <f>IFERROR(+VLOOKUP($B141,'BD ASVICC'!$A$6:$GQ$316,113,FALSE),"")</f>
        <v>7.5</v>
      </c>
      <c r="F141">
        <f>IFERROR(+VLOOKUP($B141,'BD ASVICC'!$A$6:$GQ$316,114,FALSE),"")</f>
        <v>0</v>
      </c>
      <c r="G141">
        <f>IFERROR(+VLOOKUP($B141,'BD ASVICC'!$A$6:$GQ$316,115,FALSE),"")</f>
        <v>7.5</v>
      </c>
      <c r="H141">
        <f t="shared" si="12"/>
        <v>56.347636312649328</v>
      </c>
      <c r="I141">
        <f t="shared" si="13"/>
        <v>845.21454468973991</v>
      </c>
      <c r="J141" s="846">
        <f>I141*'2. Incendis forestals'!$C$52</f>
        <v>8439467.2287270539</v>
      </c>
      <c r="K141" t="str">
        <f>VLOOKUP(B141,'BD ASVICC'!$A$6:$BG$316,59,FALSE)</f>
        <v>PREPIRINEU-PIRINEU</v>
      </c>
      <c r="L141">
        <f>VLOOKUP(K141,'2. Incendis forestals'!$F$9:$G$11,2,FALSE)</f>
        <v>0.75</v>
      </c>
      <c r="M141">
        <f t="shared" si="10"/>
        <v>154.95599985978566</v>
      </c>
      <c r="N141">
        <f t="shared" si="14"/>
        <v>2324.339997896785</v>
      </c>
      <c r="O141" s="846">
        <f>N141*'2. Incendis forestals'!$C$52</f>
        <v>23208534.878999397</v>
      </c>
      <c r="P141" s="846">
        <f t="shared" si="11"/>
        <v>14769067.650272343</v>
      </c>
      <c r="Q141" s="854">
        <f>D141/VLOOKUP(C141,'BD Comarcal'!$A$5:$AX$17,21,FALSE)</f>
        <v>6.3100442073547203E-2</v>
      </c>
      <c r="R141">
        <f>VLOOKUP(C141,'BD Comarcal'!$A$5:$AX$17,50,FALSE)*Q141</f>
        <v>56.347636312649328</v>
      </c>
    </row>
    <row r="142" spans="1:18">
      <c r="A142">
        <v>8139</v>
      </c>
      <c r="B142" t="s">
        <v>1263</v>
      </c>
      <c r="C142" t="s">
        <v>82</v>
      </c>
      <c r="D142">
        <f>IFERROR(+VLOOKUP(B142,'BD ASVICC'!$A$6:$GQ$316,5,FALSE),"")</f>
        <v>5111</v>
      </c>
      <c r="E142">
        <f>IFERROR(+VLOOKUP($B142,'BD ASVICC'!$A$6:$GQ$316,113,FALSE),"")</f>
        <v>0</v>
      </c>
      <c r="F142">
        <f>IFERROR(+VLOOKUP($B142,'BD ASVICC'!$A$6:$GQ$316,114,FALSE),"")</f>
        <v>0</v>
      </c>
      <c r="G142">
        <f>IFERROR(+VLOOKUP($B142,'BD ASVICC'!$A$6:$GQ$316,115,FALSE),"")</f>
        <v>0</v>
      </c>
      <c r="H142">
        <f t="shared" si="12"/>
        <v>56.358663247348488</v>
      </c>
      <c r="I142">
        <f t="shared" si="13"/>
        <v>845.37994871022738</v>
      </c>
      <c r="J142" s="846">
        <f>I142*'2. Incendis forestals'!$C$52</f>
        <v>8441118.7878716197</v>
      </c>
      <c r="K142" t="str">
        <f>VLOOKUP(B142,'BD ASVICC'!$A$6:$BG$316,59,FALSE)</f>
        <v>CENTRAL</v>
      </c>
      <c r="L142">
        <f>VLOOKUP(K142,'2. Incendis forestals'!$F$9:$G$11,2,FALSE)</f>
        <v>0.75</v>
      </c>
      <c r="M142">
        <f t="shared" si="10"/>
        <v>154.98632393020836</v>
      </c>
      <c r="N142">
        <f t="shared" si="14"/>
        <v>2324.7948589531252</v>
      </c>
      <c r="O142" s="846">
        <f>N142*'2. Incendis forestals'!$C$52</f>
        <v>23213076.666646954</v>
      </c>
      <c r="P142" s="846">
        <f t="shared" si="11"/>
        <v>14771957.878775334</v>
      </c>
      <c r="Q142" s="854">
        <f>D142/VLOOKUP(C142,'BD Comarcal'!$A$5:$AX$17,21,FALSE)</f>
        <v>6.3112790496653581E-2</v>
      </c>
      <c r="R142">
        <f>VLOOKUP(C142,'BD Comarcal'!$A$5:$AX$17,50,FALSE)*Q142</f>
        <v>56.358663247348488</v>
      </c>
    </row>
    <row r="143" spans="1:18">
      <c r="A143">
        <v>8140</v>
      </c>
      <c r="B143" t="s">
        <v>1268</v>
      </c>
      <c r="C143" t="s">
        <v>82</v>
      </c>
      <c r="D143">
        <f>IFERROR(+VLOOKUP(B143,'BD ASVICC'!$A$6:$GQ$316,5,FALSE),"")</f>
        <v>234</v>
      </c>
      <c r="E143">
        <f>IFERROR(+VLOOKUP($B143,'BD ASVICC'!$A$6:$GQ$316,113,FALSE),"")</f>
        <v>14.8</v>
      </c>
      <c r="F143">
        <f>IFERROR(+VLOOKUP($B143,'BD ASVICC'!$A$6:$GQ$316,114,FALSE),"")</f>
        <v>10.199999999999999</v>
      </c>
      <c r="G143">
        <f>IFERROR(+VLOOKUP($B143,'BD ASVICC'!$A$6:$GQ$316,115,FALSE),"")</f>
        <v>25</v>
      </c>
      <c r="H143">
        <f t="shared" si="12"/>
        <v>2.580302719600772</v>
      </c>
      <c r="I143">
        <f t="shared" si="13"/>
        <v>38.704540794011578</v>
      </c>
      <c r="J143" s="846">
        <f>I143*'2. Incendis forestals'!$C$52</f>
        <v>386464.83982820559</v>
      </c>
      <c r="K143" t="str">
        <f>VLOOKUP(B143,'BD ASVICC'!$A$6:$BG$316,59,FALSE)</f>
        <v>CENTRAL</v>
      </c>
      <c r="L143">
        <f>VLOOKUP(K143,'2. Incendis forestals'!$F$9:$G$11,2,FALSE)</f>
        <v>0.75</v>
      </c>
      <c r="M143">
        <f t="shared" si="10"/>
        <v>7.095832478902123</v>
      </c>
      <c r="N143">
        <f t="shared" si="14"/>
        <v>106.43748718353184</v>
      </c>
      <c r="O143" s="846">
        <f>N143*'2. Incendis forestals'!$C$52</f>
        <v>1062778.3095275655</v>
      </c>
      <c r="P143" s="846">
        <f t="shared" si="11"/>
        <v>676313.46969935996</v>
      </c>
      <c r="Q143" s="854">
        <f>D143/VLOOKUP(C143,'BD Comarcal'!$A$5:$AX$17,21,FALSE)</f>
        <v>2.88953100689042E-3</v>
      </c>
      <c r="R143">
        <f>VLOOKUP(C143,'BD Comarcal'!$A$5:$AX$17,50,FALSE)*Q143</f>
        <v>2.580302719600772</v>
      </c>
    </row>
    <row r="144" spans="1:18">
      <c r="A144">
        <v>8141</v>
      </c>
      <c r="B144" t="s">
        <v>1269</v>
      </c>
      <c r="C144" t="s">
        <v>82</v>
      </c>
      <c r="D144">
        <f>IFERROR(+VLOOKUP(B144,'BD ASVICC'!$A$6:$GQ$316,5,FALSE),"")</f>
        <v>6462</v>
      </c>
      <c r="E144">
        <f>IFERROR(+VLOOKUP($B144,'BD ASVICC'!$A$6:$GQ$316,113,FALSE),"")</f>
        <v>204.18</v>
      </c>
      <c r="F144">
        <f>IFERROR(+VLOOKUP($B144,'BD ASVICC'!$A$6:$GQ$316,114,FALSE),"")</f>
        <v>34.33</v>
      </c>
      <c r="G144">
        <f>IFERROR(+VLOOKUP($B144,'BD ASVICC'!$A$6:$GQ$316,115,FALSE),"")</f>
        <v>238.51</v>
      </c>
      <c r="H144">
        <f t="shared" si="12"/>
        <v>71.256052025898242</v>
      </c>
      <c r="I144">
        <f t="shared" si="13"/>
        <v>1068.8407803884736</v>
      </c>
      <c r="J144" s="846">
        <f>I144*'2. Incendis forestals'!$C$52</f>
        <v>10672375.192178909</v>
      </c>
      <c r="K144" t="str">
        <f>VLOOKUP(B144,'BD ASVICC'!$A$6:$BG$316,59,FALSE)</f>
        <v>CENTRAL</v>
      </c>
      <c r="L144">
        <f>VLOOKUP(K144,'2. Incendis forestals'!$F$9:$G$11,2,FALSE)</f>
        <v>0.75</v>
      </c>
      <c r="M144">
        <f t="shared" si="10"/>
        <v>195.95414307122016</v>
      </c>
      <c r="N144">
        <f t="shared" si="14"/>
        <v>2939.3121460683024</v>
      </c>
      <c r="O144" s="846">
        <f>N144*'2. Incendis forestals'!$C$52</f>
        <v>29349031.778492</v>
      </c>
      <c r="P144" s="846">
        <f t="shared" si="11"/>
        <v>18676656.586313091</v>
      </c>
      <c r="Q144" s="854">
        <f>D144/VLOOKUP(C144,'BD Comarcal'!$A$5:$AX$17,21,FALSE)</f>
        <v>7.9795510113358531E-2</v>
      </c>
      <c r="R144">
        <f>VLOOKUP(C144,'BD Comarcal'!$A$5:$AX$17,50,FALSE)*Q144</f>
        <v>71.256052025898242</v>
      </c>
    </row>
    <row r="145" spans="1:18">
      <c r="A145">
        <v>8142</v>
      </c>
      <c r="B145" t="s">
        <v>1272</v>
      </c>
      <c r="C145" t="s">
        <v>84</v>
      </c>
      <c r="D145">
        <f>IFERROR(+VLOOKUP(B145,'BD ASVICC'!$A$6:$GQ$316,5,FALSE),"")</f>
        <v>2233</v>
      </c>
      <c r="E145">
        <f>IFERROR(+VLOOKUP($B145,'BD ASVICC'!$A$6:$GQ$316,113,FALSE),"")</f>
        <v>0</v>
      </c>
      <c r="F145">
        <f>IFERROR(+VLOOKUP($B145,'BD ASVICC'!$A$6:$GQ$316,114,FALSE),"")</f>
        <v>0</v>
      </c>
      <c r="G145">
        <f>IFERROR(+VLOOKUP($B145,'BD ASVICC'!$A$6:$GQ$316,115,FALSE),"")</f>
        <v>0</v>
      </c>
      <c r="H145">
        <f t="shared" si="12"/>
        <v>13.797448887814959</v>
      </c>
      <c r="I145">
        <f t="shared" si="13"/>
        <v>206.96173331722437</v>
      </c>
      <c r="J145" s="846">
        <f>I145*'2. Incendis forestals'!$C$52</f>
        <v>2066512.9071724853</v>
      </c>
      <c r="K145" t="str">
        <f>VLOOKUP(B145,'BD ASVICC'!$A$6:$BG$316,59,FALSE)</f>
        <v>PREPIRINEU-PIRINEU</v>
      </c>
      <c r="L145">
        <f>VLOOKUP(K145,'2. Incendis forestals'!$F$9:$G$11,2,FALSE)</f>
        <v>0.75</v>
      </c>
      <c r="M145">
        <f t="shared" si="10"/>
        <v>37.942984441491134</v>
      </c>
      <c r="N145">
        <f t="shared" si="14"/>
        <v>569.144766622367</v>
      </c>
      <c r="O145" s="846">
        <f>N145*'2. Incendis forestals'!$C$52</f>
        <v>5682910.4947243342</v>
      </c>
      <c r="P145" s="846">
        <f t="shared" si="11"/>
        <v>3616397.587551849</v>
      </c>
      <c r="Q145" s="854">
        <f>D145/VLOOKUP(C145,'BD Comarcal'!$A$5:$AX$17,21,FALSE)</f>
        <v>2.1119434040782356E-2</v>
      </c>
      <c r="R145">
        <f>VLOOKUP(C145,'BD Comarcal'!$A$5:$AX$17,50,FALSE)*Q145</f>
        <v>13.797448887814959</v>
      </c>
    </row>
    <row r="146" spans="1:18">
      <c r="A146">
        <v>8143</v>
      </c>
      <c r="B146" t="s">
        <v>1274</v>
      </c>
      <c r="C146" t="s">
        <v>81</v>
      </c>
      <c r="D146">
        <f>IFERROR(+VLOOKUP(B146,'BD ASVICC'!$A$6:$GQ$316,5,FALSE),"")</f>
        <v>2438</v>
      </c>
      <c r="E146">
        <f>IFERROR(+VLOOKUP($B146,'BD ASVICC'!$A$6:$GQ$316,113,FALSE),"")</f>
        <v>3.55</v>
      </c>
      <c r="F146">
        <f>IFERROR(+VLOOKUP($B146,'BD ASVICC'!$A$6:$GQ$316,114,FALSE),"")</f>
        <v>0</v>
      </c>
      <c r="G146">
        <f>IFERROR(+VLOOKUP($B146,'BD ASVICC'!$A$6:$GQ$316,115,FALSE),"")</f>
        <v>3.55</v>
      </c>
      <c r="H146">
        <f t="shared" si="12"/>
        <v>26.913619284213695</v>
      </c>
      <c r="I146">
        <f t="shared" si="13"/>
        <v>403.7042892632054</v>
      </c>
      <c r="J146" s="846">
        <f>I146*'2. Incendis forestals'!$C$52</f>
        <v>4030987.3282931061</v>
      </c>
      <c r="K146" t="str">
        <f>VLOOKUP(B146,'BD ASVICC'!$A$6:$BG$316,59,FALSE)</f>
        <v>CENTRAL</v>
      </c>
      <c r="L146">
        <f>VLOOKUP(K146,'2. Incendis forestals'!$F$9:$G$11,2,FALSE)</f>
        <v>0.75</v>
      </c>
      <c r="M146">
        <f t="shared" si="10"/>
        <v>74.012453031587654</v>
      </c>
      <c r="N146">
        <f t="shared" si="14"/>
        <v>1110.1867954738148</v>
      </c>
      <c r="O146" s="846">
        <f>N146*'2. Incendis forestals'!$C$52</f>
        <v>11085215.15280604</v>
      </c>
      <c r="P146" s="846">
        <f t="shared" si="11"/>
        <v>7054227.8245129343</v>
      </c>
      <c r="Q146" s="854">
        <f>D146/VLOOKUP(C146,'BD Comarcal'!$A$5:$AX$17,21,FALSE)</f>
        <v>4.6739901458944424E-2</v>
      </c>
      <c r="R146">
        <f>VLOOKUP(C146,'BD Comarcal'!$A$5:$AX$17,50,FALSE)*Q146</f>
        <v>26.913619284213695</v>
      </c>
    </row>
    <row r="147" spans="1:18">
      <c r="A147">
        <v>8144</v>
      </c>
      <c r="B147" t="s">
        <v>1278</v>
      </c>
      <c r="C147" t="s">
        <v>84</v>
      </c>
      <c r="D147">
        <f>IFERROR(+VLOOKUP(B147,'BD ASVICC'!$A$6:$GQ$316,5,FALSE),"")</f>
        <v>2619</v>
      </c>
      <c r="E147">
        <f>IFERROR(+VLOOKUP($B147,'BD ASVICC'!$A$6:$GQ$316,113,FALSE),"")</f>
        <v>0</v>
      </c>
      <c r="F147">
        <f>IFERROR(+VLOOKUP($B147,'BD ASVICC'!$A$6:$GQ$316,114,FALSE),"")</f>
        <v>0</v>
      </c>
      <c r="G147">
        <f>IFERROR(+VLOOKUP($B147,'BD ASVICC'!$A$6:$GQ$316,115,FALSE),"")</f>
        <v>0</v>
      </c>
      <c r="H147">
        <f t="shared" si="12"/>
        <v>16.182498270124217</v>
      </c>
      <c r="I147">
        <f t="shared" si="13"/>
        <v>242.73747405186324</v>
      </c>
      <c r="J147" s="846">
        <f>I147*'2. Incendis forestals'!$C$52</f>
        <v>2423733.6784078544</v>
      </c>
      <c r="K147" t="str">
        <f>VLOOKUP(B147,'BD ASVICC'!$A$6:$BG$316,59,FALSE)</f>
        <v>PREPIRINEU-PIRINEU</v>
      </c>
      <c r="L147">
        <f>VLOOKUP(K147,'2. Incendis forestals'!$F$9:$G$11,2,FALSE)</f>
        <v>0.75</v>
      </c>
      <c r="M147">
        <f t="shared" si="10"/>
        <v>44.501870242841598</v>
      </c>
      <c r="N147">
        <f t="shared" si="14"/>
        <v>667.52805364262395</v>
      </c>
      <c r="O147" s="846">
        <f>N147*'2. Incendis forestals'!$C$52</f>
        <v>6665267.6156216003</v>
      </c>
      <c r="P147" s="846">
        <f t="shared" si="11"/>
        <v>4241533.9372137459</v>
      </c>
      <c r="Q147" s="854">
        <f>D147/VLOOKUP(C147,'BD Comarcal'!$A$5:$AX$17,21,FALSE)</f>
        <v>2.4770173646578141E-2</v>
      </c>
      <c r="R147">
        <f>VLOOKUP(C147,'BD Comarcal'!$A$5:$AX$17,50,FALSE)*Q147</f>
        <v>16.182498270124217</v>
      </c>
    </row>
    <row r="148" spans="1:18">
      <c r="A148">
        <v>8145</v>
      </c>
      <c r="B148" t="s">
        <v>1281</v>
      </c>
      <c r="C148" t="s">
        <v>791</v>
      </c>
      <c r="D148">
        <f>IFERROR(+VLOOKUP(B148,'BD ASVICC'!$A$6:$GQ$316,5,FALSE),"")</f>
        <v>1525</v>
      </c>
      <c r="E148">
        <f>IFERROR(+VLOOKUP($B148,'BD ASVICC'!$A$6:$GQ$316,113,FALSE),"")</f>
        <v>77.849999999999994</v>
      </c>
      <c r="F148">
        <f>IFERROR(+VLOOKUP($B148,'BD ASVICC'!$A$6:$GQ$316,114,FALSE),"")</f>
        <v>147.56</v>
      </c>
      <c r="G148">
        <f>IFERROR(+VLOOKUP($B148,'BD ASVICC'!$A$6:$GQ$316,115,FALSE),"")</f>
        <v>225.41</v>
      </c>
      <c r="H148">
        <f t="shared" si="12"/>
        <v>11.096364022137701</v>
      </c>
      <c r="I148">
        <f t="shared" si="13"/>
        <v>166.44546033206552</v>
      </c>
      <c r="J148" s="846">
        <f>I148*'2. Incendis forestals'!$C$52</f>
        <v>1661957.9214156743</v>
      </c>
      <c r="K148" t="str">
        <f>VLOOKUP(B148,'BD ASVICC'!$A$6:$BG$316,59,FALSE)</f>
        <v>LITORAL</v>
      </c>
      <c r="L148">
        <f>VLOOKUP(K148,'2. Incendis forestals'!$F$9:$G$11,2,FALSE)</f>
        <v>0.75</v>
      </c>
      <c r="M148">
        <f t="shared" si="10"/>
        <v>30.515001060878674</v>
      </c>
      <c r="N148">
        <f t="shared" si="14"/>
        <v>457.72501591318013</v>
      </c>
      <c r="O148" s="846">
        <f>N148*'2. Incendis forestals'!$C$52</f>
        <v>4570384.2838931037</v>
      </c>
      <c r="P148" s="846">
        <f t="shared" si="11"/>
        <v>2908426.3624774292</v>
      </c>
      <c r="Q148" s="854">
        <f>D148/VLOOKUP(C148,'BD Comarcal'!$A$5:$AX$17,21,FALSE)</f>
        <v>4.9656474878707953E-2</v>
      </c>
      <c r="R148">
        <f>VLOOKUP(C148,'BD Comarcal'!$A$5:$AX$17,50,FALSE)*Q148</f>
        <v>11.096364022137701</v>
      </c>
    </row>
    <row r="149" spans="1:18">
      <c r="A149">
        <v>8146</v>
      </c>
      <c r="B149" t="s">
        <v>1286</v>
      </c>
      <c r="C149" t="s">
        <v>791</v>
      </c>
      <c r="D149">
        <f>IFERROR(+VLOOKUP(B149,'BD ASVICC'!$A$6:$GQ$316,5,FALSE),"")</f>
        <v>2694</v>
      </c>
      <c r="E149">
        <f>IFERROR(+VLOOKUP($B149,'BD ASVICC'!$A$6:$GQ$316,113,FALSE),"")</f>
        <v>9.5</v>
      </c>
      <c r="F149">
        <f>IFERROR(+VLOOKUP($B149,'BD ASVICC'!$A$6:$GQ$316,114,FALSE),"")</f>
        <v>1.5</v>
      </c>
      <c r="G149">
        <f>IFERROR(+VLOOKUP($B149,'BD ASVICC'!$A$6:$GQ$316,115,FALSE),"")</f>
        <v>11</v>
      </c>
      <c r="H149">
        <f t="shared" si="12"/>
        <v>19.60236372173047</v>
      </c>
      <c r="I149">
        <f t="shared" si="13"/>
        <v>294.03545582595706</v>
      </c>
      <c r="J149" s="846">
        <f>I149*'2. Incendis forestals'!$C$52</f>
        <v>2935944.0264221812</v>
      </c>
      <c r="K149" t="str">
        <f>VLOOKUP(B149,'BD ASVICC'!$A$6:$BG$316,59,FALSE)</f>
        <v>CENTRAL</v>
      </c>
      <c r="L149">
        <f>VLOOKUP(K149,'2. Incendis forestals'!$F$9:$G$11,2,FALSE)</f>
        <v>0.75</v>
      </c>
      <c r="M149">
        <f t="shared" si="10"/>
        <v>53.906500234758795</v>
      </c>
      <c r="N149">
        <f t="shared" si="14"/>
        <v>808.5975035213819</v>
      </c>
      <c r="O149" s="846">
        <f>N149*'2. Incendis forestals'!$C$52</f>
        <v>8073846.0726609984</v>
      </c>
      <c r="P149" s="846">
        <f t="shared" si="11"/>
        <v>5137902.0462388173</v>
      </c>
      <c r="Q149" s="854">
        <f>D149/VLOOKUP(C149,'BD Comarcal'!$A$5:$AX$17,21,FALSE)</f>
        <v>8.7721012015238839E-2</v>
      </c>
      <c r="R149">
        <f>VLOOKUP(C149,'BD Comarcal'!$A$5:$AX$17,50,FALSE)*Q149</f>
        <v>19.60236372173047</v>
      </c>
    </row>
    <row r="150" spans="1:18">
      <c r="A150">
        <v>8147</v>
      </c>
      <c r="B150" t="s">
        <v>1291</v>
      </c>
      <c r="C150" t="s">
        <v>90</v>
      </c>
      <c r="D150">
        <f>IFERROR(+VLOOKUP(B150,'BD ASVICC'!$A$6:$GQ$316,5,FALSE),"")</f>
        <v>918</v>
      </c>
      <c r="E150">
        <f>IFERROR(+VLOOKUP($B150,'BD ASVICC'!$A$6:$GQ$316,113,FALSE),"")</f>
        <v>0.22</v>
      </c>
      <c r="F150">
        <f>IFERROR(+VLOOKUP($B150,'BD ASVICC'!$A$6:$GQ$316,114,FALSE),"")</f>
        <v>3.1</v>
      </c>
      <c r="G150">
        <f>IFERROR(+VLOOKUP($B150,'BD ASVICC'!$A$6:$GQ$316,115,FALSE),"")</f>
        <v>3.32</v>
      </c>
      <c r="H150">
        <f t="shared" si="12"/>
        <v>7.6317141006165672</v>
      </c>
      <c r="I150">
        <f t="shared" si="13"/>
        <v>114.47571150924851</v>
      </c>
      <c r="J150" s="846">
        <f>I150*'2. Incendis forestals'!$C$52</f>
        <v>1143039.9794198463</v>
      </c>
      <c r="K150" t="str">
        <f>VLOOKUP(B150,'BD ASVICC'!$A$6:$BG$316,59,FALSE)</f>
        <v>LITORAL</v>
      </c>
      <c r="L150">
        <f>VLOOKUP(K150,'2. Incendis forestals'!$F$9:$G$11,2,FALSE)</f>
        <v>0.75</v>
      </c>
      <c r="M150">
        <f t="shared" si="10"/>
        <v>20.987213776695558</v>
      </c>
      <c r="N150">
        <f t="shared" si="14"/>
        <v>314.80820665043336</v>
      </c>
      <c r="O150" s="846">
        <f>N150*'2. Incendis forestals'!$C$52</f>
        <v>3143359.9434045772</v>
      </c>
      <c r="P150" s="846">
        <f t="shared" si="11"/>
        <v>2000319.9639847309</v>
      </c>
      <c r="Q150" s="854">
        <f>D150/VLOOKUP(C150,'BD Comarcal'!$A$5:$AX$17,21,FALSE)</f>
        <v>3.5318559556786706E-2</v>
      </c>
      <c r="R150">
        <f>VLOOKUP(C150,'BD Comarcal'!$A$5:$AX$17,50,FALSE)*Q150</f>
        <v>7.6317141006165672</v>
      </c>
    </row>
    <row r="151" spans="1:18">
      <c r="A151">
        <v>8148</v>
      </c>
      <c r="B151" t="s">
        <v>1294</v>
      </c>
      <c r="C151" t="s">
        <v>85</v>
      </c>
      <c r="D151">
        <f>IFERROR(+VLOOKUP(B151,'BD ASVICC'!$A$6:$GQ$316,5,FALSE),"")</f>
        <v>3480</v>
      </c>
      <c r="E151">
        <f>IFERROR(+VLOOKUP($B151,'BD ASVICC'!$A$6:$GQ$316,113,FALSE),"")</f>
        <v>113.18</v>
      </c>
      <c r="F151">
        <f>IFERROR(+VLOOKUP($B151,'BD ASVICC'!$A$6:$GQ$316,114,FALSE),"")</f>
        <v>228.61</v>
      </c>
      <c r="G151">
        <f>IFERROR(+VLOOKUP($B151,'BD ASVICC'!$A$6:$GQ$316,115,FALSE),"")</f>
        <v>341.79</v>
      </c>
      <c r="H151">
        <f t="shared" si="12"/>
        <v>44.351342066508117</v>
      </c>
      <c r="I151">
        <f t="shared" si="13"/>
        <v>665.27013099762178</v>
      </c>
      <c r="J151" s="846">
        <f>I151*'2. Incendis forestals'!$C$52</f>
        <v>6642722.2580112536</v>
      </c>
      <c r="K151" t="str">
        <f>VLOOKUP(B151,'BD ASVICC'!$A$6:$BG$316,59,FALSE)</f>
        <v>LITORAL</v>
      </c>
      <c r="L151">
        <f>VLOOKUP(K151,'2. Incendis forestals'!$F$9:$G$11,2,FALSE)</f>
        <v>0.75</v>
      </c>
      <c r="M151">
        <f t="shared" si="10"/>
        <v>121.96619068289732</v>
      </c>
      <c r="N151">
        <f t="shared" si="14"/>
        <v>1829.4928602434597</v>
      </c>
      <c r="O151" s="846">
        <f>N151*'2. Incendis forestals'!$C$52</f>
        <v>18267486.209530946</v>
      </c>
      <c r="P151" s="846">
        <f t="shared" si="11"/>
        <v>11624763.951519692</v>
      </c>
      <c r="Q151" s="854">
        <f>D151/VLOOKUP(C151,'BD Comarcal'!$A$5:$AX$17,21,FALSE)</f>
        <v>0.2872946421200363</v>
      </c>
      <c r="R151">
        <f>VLOOKUP(C151,'BD Comarcal'!$A$5:$AX$17,50,FALSE)*Q151</f>
        <v>44.351342066508117</v>
      </c>
    </row>
    <row r="152" spans="1:18">
      <c r="A152">
        <v>8149</v>
      </c>
      <c r="B152" t="s">
        <v>1298</v>
      </c>
      <c r="C152" t="s">
        <v>88</v>
      </c>
      <c r="D152">
        <f>IFERROR(+VLOOKUP(B152,'BD ASVICC'!$A$6:$GQ$316,5,FALSE),"")</f>
        <v>1346</v>
      </c>
      <c r="E152">
        <f>IFERROR(+VLOOKUP($B152,'BD ASVICC'!$A$6:$GQ$316,113,FALSE),"")</f>
        <v>0</v>
      </c>
      <c r="F152">
        <f>IFERROR(+VLOOKUP($B152,'BD ASVICC'!$A$6:$GQ$316,114,FALSE),"")</f>
        <v>0</v>
      </c>
      <c r="G152">
        <f>IFERROR(+VLOOKUP($B152,'BD ASVICC'!$A$6:$GQ$316,115,FALSE),"")</f>
        <v>0</v>
      </c>
      <c r="H152">
        <f t="shared" si="12"/>
        <v>1.0468813522582852</v>
      </c>
      <c r="I152">
        <f t="shared" si="13"/>
        <v>15.703220283874277</v>
      </c>
      <c r="J152" s="846">
        <f>I152*'2. Incendis forestals'!$C$52</f>
        <v>156796.65453448467</v>
      </c>
      <c r="K152" t="str">
        <f>VLOOKUP(B152,'BD ASVICC'!$A$6:$BG$316,59,FALSE)</f>
        <v>PREPIRINEU-PIRINEU</v>
      </c>
      <c r="L152">
        <f>VLOOKUP(K152,'2. Incendis forestals'!$F$9:$G$11,2,FALSE)</f>
        <v>0.75</v>
      </c>
      <c r="M152">
        <f t="shared" si="10"/>
        <v>2.8789237187102841</v>
      </c>
      <c r="N152">
        <f t="shared" si="14"/>
        <v>43.183855780654262</v>
      </c>
      <c r="O152" s="846">
        <f>N152*'2. Incendis forestals'!$C$52</f>
        <v>431190.79996983282</v>
      </c>
      <c r="P152" s="846">
        <f t="shared" si="11"/>
        <v>274394.14543534815</v>
      </c>
      <c r="Q152" s="854">
        <f>D152/VLOOKUP(C152,'BD Comarcal'!$A$5:$AX$17,21,FALSE)</f>
        <v>1.4402191358685184E-2</v>
      </c>
      <c r="R152">
        <f>VLOOKUP(C152,'BD Comarcal'!$A$5:$AX$17,50,FALSE)*Q152</f>
        <v>1.0468813522582852</v>
      </c>
    </row>
    <row r="153" spans="1:18">
      <c r="A153">
        <v>8150</v>
      </c>
      <c r="B153" t="s">
        <v>1301</v>
      </c>
      <c r="C153" t="s">
        <v>88</v>
      </c>
      <c r="D153">
        <f>IFERROR(+VLOOKUP(B153,'BD ASVICC'!$A$6:$GQ$316,5,FALSE),"")</f>
        <v>1838</v>
      </c>
      <c r="E153">
        <f>IFERROR(+VLOOKUP($B153,'BD ASVICC'!$A$6:$GQ$316,113,FALSE),"")</f>
        <v>0.3</v>
      </c>
      <c r="F153">
        <f>IFERROR(+VLOOKUP($B153,'BD ASVICC'!$A$6:$GQ$316,114,FALSE),"")</f>
        <v>1</v>
      </c>
      <c r="G153">
        <f>IFERROR(+VLOOKUP($B153,'BD ASVICC'!$A$6:$GQ$316,115,FALSE),"")</f>
        <v>1.3</v>
      </c>
      <c r="H153">
        <f t="shared" si="12"/>
        <v>1.4295452640792927</v>
      </c>
      <c r="I153">
        <f t="shared" si="13"/>
        <v>21.443178961189389</v>
      </c>
      <c r="J153" s="846">
        <f>I153*'2. Incendis forestals'!$C$52</f>
        <v>214110.14192747604</v>
      </c>
      <c r="K153" t="str">
        <f>VLOOKUP(B153,'BD ASVICC'!$A$6:$BG$316,59,FALSE)</f>
        <v>PREPIRINEU-PIRINEU</v>
      </c>
      <c r="L153">
        <f>VLOOKUP(K153,'2. Incendis forestals'!$F$9:$G$11,2,FALSE)</f>
        <v>0.75</v>
      </c>
      <c r="M153">
        <f t="shared" si="10"/>
        <v>3.931249476218055</v>
      </c>
      <c r="N153">
        <f t="shared" si="14"/>
        <v>58.968742143270823</v>
      </c>
      <c r="O153" s="846">
        <f>N153*'2. Incendis forestals'!$C$52</f>
        <v>588802.89030055923</v>
      </c>
      <c r="P153" s="846">
        <f t="shared" si="11"/>
        <v>374692.74837308319</v>
      </c>
      <c r="Q153" s="854">
        <f>D153/VLOOKUP(C153,'BD Comarcal'!$A$5:$AX$17,21,FALSE)</f>
        <v>1.9666588200047078E-2</v>
      </c>
      <c r="R153">
        <f>VLOOKUP(C153,'BD Comarcal'!$A$5:$AX$17,50,FALSE)*Q153</f>
        <v>1.4295452640792927</v>
      </c>
    </row>
    <row r="154" spans="1:18">
      <c r="A154">
        <v>8151</v>
      </c>
      <c r="B154" t="s">
        <v>1304</v>
      </c>
      <c r="C154" t="s">
        <v>88</v>
      </c>
      <c r="D154">
        <f>IFERROR(+VLOOKUP(B154,'BD ASVICC'!$A$6:$GQ$316,5,FALSE),"")</f>
        <v>4565</v>
      </c>
      <c r="E154">
        <f>IFERROR(+VLOOKUP($B154,'BD ASVICC'!$A$6:$GQ$316,113,FALSE),"")</f>
        <v>2.4</v>
      </c>
      <c r="F154">
        <f>IFERROR(+VLOOKUP($B154,'BD ASVICC'!$A$6:$GQ$316,114,FALSE),"")</f>
        <v>1.2</v>
      </c>
      <c r="G154">
        <f>IFERROR(+VLOOKUP($B154,'BD ASVICC'!$A$6:$GQ$316,115,FALSE),"")</f>
        <v>3.6</v>
      </c>
      <c r="H154">
        <f t="shared" si="12"/>
        <v>3.5505299948432927</v>
      </c>
      <c r="I154">
        <f t="shared" si="13"/>
        <v>53.257949922649388</v>
      </c>
      <c r="J154" s="846">
        <f>I154*'2. Incendis forestals'!$C$52</f>
        <v>531780.62997765408</v>
      </c>
      <c r="K154" t="str">
        <f>VLOOKUP(B154,'BD ASVICC'!$A$6:$BG$316,59,FALSE)</f>
        <v>CENTRAL</v>
      </c>
      <c r="L154">
        <f>VLOOKUP(K154,'2. Incendis forestals'!$F$9:$G$11,2,FALSE)</f>
        <v>0.75</v>
      </c>
      <c r="M154">
        <f t="shared" si="10"/>
        <v>9.7639574858190556</v>
      </c>
      <c r="N154">
        <f t="shared" si="14"/>
        <v>146.45936228728584</v>
      </c>
      <c r="O154" s="846">
        <f>N154*'2. Incendis forestals'!$C$52</f>
        <v>1462396.7324385492</v>
      </c>
      <c r="P154" s="846">
        <f t="shared" si="11"/>
        <v>930616.10246089508</v>
      </c>
      <c r="Q154" s="854">
        <f>D154/VLOOKUP(C154,'BD Comarcal'!$A$5:$AX$17,21,FALSE)</f>
        <v>4.8845470692717587E-2</v>
      </c>
      <c r="R154">
        <f>VLOOKUP(C154,'BD Comarcal'!$A$5:$AX$17,50,FALSE)*Q154</f>
        <v>3.5505299948432927</v>
      </c>
    </row>
    <row r="155" spans="1:18">
      <c r="A155">
        <v>8152</v>
      </c>
      <c r="B155" t="s">
        <v>1306</v>
      </c>
      <c r="C155" t="s">
        <v>81</v>
      </c>
      <c r="D155">
        <f>IFERROR(+VLOOKUP(B155,'BD ASVICC'!$A$6:$GQ$316,5,FALSE),"")</f>
        <v>1090</v>
      </c>
      <c r="E155">
        <f>IFERROR(+VLOOKUP($B155,'BD ASVICC'!$A$6:$GQ$316,113,FALSE),"")</f>
        <v>0</v>
      </c>
      <c r="F155">
        <f>IFERROR(+VLOOKUP($B155,'BD ASVICC'!$A$6:$GQ$316,114,FALSE),"")</f>
        <v>0</v>
      </c>
      <c r="G155">
        <f>IFERROR(+VLOOKUP($B155,'BD ASVICC'!$A$6:$GQ$316,115,FALSE),"")</f>
        <v>0</v>
      </c>
      <c r="H155">
        <f t="shared" si="12"/>
        <v>12.032750213204647</v>
      </c>
      <c r="I155">
        <f t="shared" si="13"/>
        <v>180.4912531980697</v>
      </c>
      <c r="J155" s="846">
        <f>I155*'2. Incendis forestals'!$C$52</f>
        <v>1802205.1631827259</v>
      </c>
      <c r="K155" t="str">
        <f>VLOOKUP(B155,'BD ASVICC'!$A$6:$BG$316,59,FALSE)</f>
        <v>CENTRAL</v>
      </c>
      <c r="L155">
        <f>VLOOKUP(K155,'2. Incendis forestals'!$F$9:$G$11,2,FALSE)</f>
        <v>0.75</v>
      </c>
      <c r="M155">
        <f t="shared" si="10"/>
        <v>33.090063086312782</v>
      </c>
      <c r="N155">
        <f t="shared" si="14"/>
        <v>496.35094629469171</v>
      </c>
      <c r="O155" s="846">
        <f>N155*'2. Incendis forestals'!$C$52</f>
        <v>4956064.1987524964</v>
      </c>
      <c r="P155" s="846">
        <f t="shared" si="11"/>
        <v>3153859.0355697703</v>
      </c>
      <c r="Q155" s="854">
        <f>D155/VLOOKUP(C155,'BD Comarcal'!$A$5:$AX$17,21,FALSE)</f>
        <v>2.0896838634228639E-2</v>
      </c>
      <c r="R155">
        <f>VLOOKUP(C155,'BD Comarcal'!$A$5:$AX$17,50,FALSE)*Q155</f>
        <v>12.032750213204647</v>
      </c>
    </row>
    <row r="156" spans="1:18">
      <c r="A156">
        <v>8153</v>
      </c>
      <c r="B156" t="s">
        <v>1309</v>
      </c>
      <c r="C156" t="s">
        <v>86</v>
      </c>
      <c r="D156">
        <f>IFERROR(+VLOOKUP(B156,'BD ASVICC'!$A$6:$GQ$316,5,FALSE),"")</f>
        <v>480</v>
      </c>
      <c r="E156">
        <f>IFERROR(+VLOOKUP($B156,'BD ASVICC'!$A$6:$GQ$316,113,FALSE),"")</f>
        <v>0</v>
      </c>
      <c r="F156">
        <f>IFERROR(+VLOOKUP($B156,'BD ASVICC'!$A$6:$GQ$316,114,FALSE),"")</f>
        <v>0</v>
      </c>
      <c r="G156">
        <f>IFERROR(+VLOOKUP($B156,'BD ASVICC'!$A$6:$GQ$316,115,FALSE),"")</f>
        <v>0</v>
      </c>
      <c r="H156">
        <f t="shared" si="12"/>
        <v>0.85950191217085681</v>
      </c>
      <c r="I156">
        <f t="shared" si="13"/>
        <v>12.892528682562853</v>
      </c>
      <c r="J156" s="846">
        <f>I156*'2. Incendis forestals'!$C$52</f>
        <v>128731.89889539008</v>
      </c>
      <c r="K156" t="str">
        <f>VLOOKUP(B156,'BD ASVICC'!$A$6:$BG$316,59,FALSE)</f>
        <v>CENTRAL</v>
      </c>
      <c r="L156">
        <f>VLOOKUP(K156,'2. Incendis forestals'!$F$9:$G$11,2,FALSE)</f>
        <v>0.75</v>
      </c>
      <c r="M156">
        <f t="shared" si="10"/>
        <v>2.3636302584698563</v>
      </c>
      <c r="N156">
        <f t="shared" si="14"/>
        <v>35.454453877047847</v>
      </c>
      <c r="O156" s="846">
        <f>N156*'2. Incendis forestals'!$C$52</f>
        <v>354012.72196232277</v>
      </c>
      <c r="P156" s="846">
        <f t="shared" si="11"/>
        <v>225280.82306693267</v>
      </c>
      <c r="Q156" s="854">
        <f>D156/VLOOKUP(C156,'BD Comarcal'!$A$5:$AX$17,21,FALSE)</f>
        <v>1.7844529536413994E-2</v>
      </c>
      <c r="R156">
        <f>VLOOKUP(C156,'BD Comarcal'!$A$5:$AX$17,50,FALSE)*Q156</f>
        <v>0.85950191217085681</v>
      </c>
    </row>
    <row r="157" spans="1:18">
      <c r="A157">
        <v>8154</v>
      </c>
      <c r="B157" t="s">
        <v>1310</v>
      </c>
      <c r="C157" t="s">
        <v>791</v>
      </c>
      <c r="D157">
        <f>IFERROR(+VLOOKUP(B157,'BD ASVICC'!$A$6:$GQ$316,5,FALSE),"")</f>
        <v>96</v>
      </c>
      <c r="E157">
        <f>IFERROR(+VLOOKUP($B157,'BD ASVICC'!$A$6:$GQ$316,113,FALSE),"")</f>
        <v>0</v>
      </c>
      <c r="F157">
        <f>IFERROR(+VLOOKUP($B157,'BD ASVICC'!$A$6:$GQ$316,114,FALSE),"")</f>
        <v>0</v>
      </c>
      <c r="G157">
        <f>IFERROR(+VLOOKUP($B157,'BD ASVICC'!$A$6:$GQ$316,115,FALSE),"")</f>
        <v>0</v>
      </c>
      <c r="H157">
        <f t="shared" si="12"/>
        <v>0.69852521057391426</v>
      </c>
      <c r="I157">
        <f t="shared" si="13"/>
        <v>10.477878158608714</v>
      </c>
      <c r="J157" s="846">
        <f>I157*'2. Incendis forestals'!$C$52</f>
        <v>104621.61341370801</v>
      </c>
      <c r="K157" t="str">
        <f>VLOOKUP(B157,'BD ASVICC'!$A$6:$BG$316,59,FALSE)</f>
        <v>LITORAL</v>
      </c>
      <c r="L157">
        <f>VLOOKUP(K157,'2. Incendis forestals'!$F$9:$G$11,2,FALSE)</f>
        <v>0.75</v>
      </c>
      <c r="M157">
        <f t="shared" si="10"/>
        <v>1.9209443290782642</v>
      </c>
      <c r="N157">
        <f t="shared" si="14"/>
        <v>28.814164936173963</v>
      </c>
      <c r="O157" s="846">
        <f>N157*'2. Incendis forestals'!$C$52</f>
        <v>287709.43688769703</v>
      </c>
      <c r="P157" s="846">
        <f t="shared" si="11"/>
        <v>183087.82347398903</v>
      </c>
      <c r="Q157" s="854">
        <f>D157/VLOOKUP(C157,'BD Comarcal'!$A$5:$AX$17,21,FALSE)</f>
        <v>3.1259157956432548E-3</v>
      </c>
      <c r="R157">
        <f>VLOOKUP(C157,'BD Comarcal'!$A$5:$AX$17,50,FALSE)*Q157</f>
        <v>0.69852521057391426</v>
      </c>
    </row>
    <row r="158" spans="1:18">
      <c r="A158">
        <v>8155</v>
      </c>
      <c r="B158" t="s">
        <v>1311</v>
      </c>
      <c r="C158" t="s">
        <v>86</v>
      </c>
      <c r="D158">
        <f>IFERROR(+VLOOKUP(B158,'BD ASVICC'!$A$6:$GQ$316,5,FALSE),"")</f>
        <v>752</v>
      </c>
      <c r="E158">
        <f>IFERROR(+VLOOKUP($B158,'BD ASVICC'!$A$6:$GQ$316,113,FALSE),"")</f>
        <v>0.65</v>
      </c>
      <c r="F158">
        <f>IFERROR(+VLOOKUP($B158,'BD ASVICC'!$A$6:$GQ$316,114,FALSE),"")</f>
        <v>0.5</v>
      </c>
      <c r="G158">
        <f>IFERROR(+VLOOKUP($B158,'BD ASVICC'!$A$6:$GQ$316,115,FALSE),"")</f>
        <v>1.1499999999999999</v>
      </c>
      <c r="H158">
        <f t="shared" si="12"/>
        <v>1.3465529957343423</v>
      </c>
      <c r="I158">
        <f t="shared" si="13"/>
        <v>20.198294936015134</v>
      </c>
      <c r="J158" s="846">
        <f>I158*'2. Incendis forestals'!$C$52</f>
        <v>201679.97493611113</v>
      </c>
      <c r="K158" t="str">
        <f>VLOOKUP(B158,'BD ASVICC'!$A$6:$BG$316,59,FALSE)</f>
        <v>LITORAL</v>
      </c>
      <c r="L158">
        <f>VLOOKUP(K158,'2. Incendis forestals'!$F$9:$G$11,2,FALSE)</f>
        <v>0.75</v>
      </c>
      <c r="M158">
        <f t="shared" si="10"/>
        <v>3.7030207382694416</v>
      </c>
      <c r="N158">
        <f t="shared" si="14"/>
        <v>55.545311074041621</v>
      </c>
      <c r="O158" s="846">
        <f>N158*'2. Incendis forestals'!$C$52</f>
        <v>554619.93107430555</v>
      </c>
      <c r="P158" s="846">
        <f t="shared" si="11"/>
        <v>352939.95613819442</v>
      </c>
      <c r="Q158" s="854">
        <f>D158/VLOOKUP(C158,'BD Comarcal'!$A$5:$AX$17,21,FALSE)</f>
        <v>2.795642960704859E-2</v>
      </c>
      <c r="R158">
        <f>VLOOKUP(C158,'BD Comarcal'!$A$5:$AX$17,50,FALSE)*Q158</f>
        <v>1.3465529957343423</v>
      </c>
    </row>
    <row r="159" spans="1:18">
      <c r="A159">
        <v>8156</v>
      </c>
      <c r="B159" t="s">
        <v>1316</v>
      </c>
      <c r="C159" t="s">
        <v>89</v>
      </c>
      <c r="D159">
        <f>IFERROR(+VLOOKUP(B159,'BD ASVICC'!$A$6:$GQ$316,5,FALSE),"")</f>
        <v>424</v>
      </c>
      <c r="E159">
        <f>IFERROR(+VLOOKUP($B159,'BD ASVICC'!$A$6:$GQ$316,113,FALSE),"")</f>
        <v>0</v>
      </c>
      <c r="F159">
        <f>IFERROR(+VLOOKUP($B159,'BD ASVICC'!$A$6:$GQ$316,114,FALSE),"")</f>
        <v>0</v>
      </c>
      <c r="G159">
        <f>IFERROR(+VLOOKUP($B159,'BD ASVICC'!$A$6:$GQ$316,115,FALSE),"")</f>
        <v>0</v>
      </c>
      <c r="H159">
        <f t="shared" si="12"/>
        <v>3.3864468221949364</v>
      </c>
      <c r="I159">
        <f t="shared" si="13"/>
        <v>50.796702332924049</v>
      </c>
      <c r="J159" s="846">
        <f>I159*'2. Incendis forestals'!$C$52</f>
        <v>507205.0727942466</v>
      </c>
      <c r="K159" t="str">
        <f>VLOOKUP(B159,'BD ASVICC'!$A$6:$BG$316,59,FALSE)</f>
        <v>LITORAL</v>
      </c>
      <c r="L159">
        <f>VLOOKUP(K159,'2. Incendis forestals'!$F$9:$G$11,2,FALSE)</f>
        <v>0.75</v>
      </c>
      <c r="M159">
        <f t="shared" si="10"/>
        <v>9.3127287610360749</v>
      </c>
      <c r="N159">
        <f t="shared" si="14"/>
        <v>139.69093141554112</v>
      </c>
      <c r="O159" s="846">
        <f>N159*'2. Incendis forestals'!$C$52</f>
        <v>1394813.9501841781</v>
      </c>
      <c r="P159" s="846">
        <f t="shared" si="11"/>
        <v>887608.87738993147</v>
      </c>
      <c r="Q159" s="854">
        <f>D159/VLOOKUP(C159,'BD Comarcal'!$A$5:$AX$17,21,FALSE)</f>
        <v>1.2395486172016605E-2</v>
      </c>
      <c r="R159">
        <f>VLOOKUP(C159,'BD Comarcal'!$A$5:$AX$17,50,FALSE)*Q159</f>
        <v>3.3864468221949364</v>
      </c>
    </row>
    <row r="160" spans="1:18">
      <c r="A160">
        <v>8157</v>
      </c>
      <c r="B160" t="s">
        <v>1320</v>
      </c>
      <c r="C160" t="s">
        <v>90</v>
      </c>
      <c r="D160">
        <f>IFERROR(+VLOOKUP(B160,'BD ASVICC'!$A$6:$GQ$316,5,FALSE),"")</f>
        <v>492</v>
      </c>
      <c r="E160">
        <f>IFERROR(+VLOOKUP($B160,'BD ASVICC'!$A$6:$GQ$316,113,FALSE),"")</f>
        <v>0</v>
      </c>
      <c r="F160">
        <f>IFERROR(+VLOOKUP($B160,'BD ASVICC'!$A$6:$GQ$316,114,FALSE),"")</f>
        <v>0</v>
      </c>
      <c r="G160">
        <f>IFERROR(+VLOOKUP($B160,'BD ASVICC'!$A$6:$GQ$316,115,FALSE),"")</f>
        <v>0</v>
      </c>
      <c r="H160">
        <f t="shared" si="12"/>
        <v>4.0901997140559372</v>
      </c>
      <c r="I160">
        <f t="shared" si="13"/>
        <v>61.35299571083906</v>
      </c>
      <c r="J160" s="846">
        <f>I160*'2. Incendis forestals'!$C$52</f>
        <v>612609.66217272799</v>
      </c>
      <c r="K160" t="str">
        <f>VLOOKUP(B160,'BD ASVICC'!$A$6:$BG$316,59,FALSE)</f>
        <v>LITORAL</v>
      </c>
      <c r="L160">
        <f>VLOOKUP(K160,'2. Incendis forestals'!$F$9:$G$11,2,FALSE)</f>
        <v>0.75</v>
      </c>
      <c r="M160">
        <f t="shared" si="10"/>
        <v>11.248049213653827</v>
      </c>
      <c r="N160">
        <f t="shared" si="14"/>
        <v>168.72073820480742</v>
      </c>
      <c r="O160" s="846">
        <f>N160*'2. Incendis forestals'!$C$52</f>
        <v>1684676.5709750021</v>
      </c>
      <c r="P160" s="846">
        <f t="shared" si="11"/>
        <v>1072066.9088022741</v>
      </c>
      <c r="Q160" s="854">
        <f>D160/VLOOKUP(C160,'BD Comarcal'!$A$5:$AX$17,21,FALSE)</f>
        <v>1.8928901200369344E-2</v>
      </c>
      <c r="R160">
        <f>VLOOKUP(C160,'BD Comarcal'!$A$5:$AX$17,50,FALSE)*Q160</f>
        <v>4.0901997140559372</v>
      </c>
    </row>
    <row r="161" spans="1:18">
      <c r="A161">
        <v>8158</v>
      </c>
      <c r="B161" t="s">
        <v>1324</v>
      </c>
      <c r="C161" t="s">
        <v>90</v>
      </c>
      <c r="D161">
        <f>IFERROR(+VLOOKUP(B161,'BD ASVICC'!$A$6:$GQ$316,5,FALSE),"")</f>
        <v>405</v>
      </c>
      <c r="E161">
        <f>IFERROR(+VLOOKUP($B161,'BD ASVICC'!$A$6:$GQ$316,113,FALSE),"")</f>
        <v>0</v>
      </c>
      <c r="F161">
        <f>IFERROR(+VLOOKUP($B161,'BD ASVICC'!$A$6:$GQ$316,114,FALSE),"")</f>
        <v>0</v>
      </c>
      <c r="G161">
        <f>IFERROR(+VLOOKUP($B161,'BD ASVICC'!$A$6:$GQ$316,115,FALSE),"")</f>
        <v>0</v>
      </c>
      <c r="H161">
        <f t="shared" si="12"/>
        <v>3.3669326914484854</v>
      </c>
      <c r="I161">
        <f t="shared" si="13"/>
        <v>50.503990371727284</v>
      </c>
      <c r="J161" s="846">
        <f>I161*'2. Incendis forestals'!$C$52</f>
        <v>504282.34386169695</v>
      </c>
      <c r="K161" t="str">
        <f>VLOOKUP(B161,'BD ASVICC'!$A$6:$BG$316,59,FALSE)</f>
        <v>LITORAL</v>
      </c>
      <c r="L161">
        <f>VLOOKUP(K161,'2. Incendis forestals'!$F$9:$G$11,2,FALSE)</f>
        <v>0.75</v>
      </c>
      <c r="M161">
        <f t="shared" si="10"/>
        <v>9.2590649014833346</v>
      </c>
      <c r="N161">
        <f t="shared" si="14"/>
        <v>138.88597352225003</v>
      </c>
      <c r="O161" s="846">
        <f>N161*'2. Incendis forestals'!$C$52</f>
        <v>1386776.4456196665</v>
      </c>
      <c r="P161" s="846">
        <f t="shared" si="11"/>
        <v>882494.10175796947</v>
      </c>
      <c r="Q161" s="854">
        <f>D161/VLOOKUP(C161,'BD Comarcal'!$A$5:$AX$17,21,FALSE)</f>
        <v>1.5581717451523546E-2</v>
      </c>
      <c r="R161">
        <f>VLOOKUP(C161,'BD Comarcal'!$A$5:$AX$17,50,FALSE)*Q161</f>
        <v>3.3669326914484854</v>
      </c>
    </row>
    <row r="162" spans="1:18">
      <c r="A162">
        <v>8159</v>
      </c>
      <c r="B162" t="s">
        <v>1325</v>
      </c>
      <c r="C162" t="s">
        <v>24</v>
      </c>
      <c r="D162">
        <f>IFERROR(+VLOOKUP(B162,'BD ASVICC'!$A$6:$GQ$316,5,FALSE),"")</f>
        <v>105</v>
      </c>
      <c r="E162">
        <f>IFERROR(+VLOOKUP($B162,'BD ASVICC'!$A$6:$GQ$316,113,FALSE),"")</f>
        <v>0</v>
      </c>
      <c r="F162">
        <f>IFERROR(+VLOOKUP($B162,'BD ASVICC'!$A$6:$GQ$316,114,FALSE),"")</f>
        <v>0</v>
      </c>
      <c r="G162">
        <f>IFERROR(+VLOOKUP($B162,'BD ASVICC'!$A$6:$GQ$316,115,FALSE),"")</f>
        <v>0</v>
      </c>
      <c r="H162">
        <f t="shared" si="12"/>
        <v>0.21363077903311481</v>
      </c>
      <c r="I162">
        <f t="shared" si="13"/>
        <v>3.2044616854967223</v>
      </c>
      <c r="J162" s="846">
        <f>I162*'2. Incendis forestals'!$C$52</f>
        <v>31996.54992968477</v>
      </c>
      <c r="K162" t="str">
        <f>VLOOKUP(B162,'BD ASVICC'!$A$6:$BG$316,59,FALSE)</f>
        <v>LITORAL</v>
      </c>
      <c r="L162">
        <f>VLOOKUP(K162,'2. Incendis forestals'!$F$9:$G$11,2,FALSE)</f>
        <v>0.75</v>
      </c>
      <c r="M162">
        <f t="shared" si="10"/>
        <v>0.58748464234106568</v>
      </c>
      <c r="N162">
        <f t="shared" si="14"/>
        <v>8.8122696351159853</v>
      </c>
      <c r="O162" s="846">
        <f>N162*'2. Incendis forestals'!$C$52</f>
        <v>87990.512306633114</v>
      </c>
      <c r="P162" s="846">
        <f t="shared" si="11"/>
        <v>55993.962376948344</v>
      </c>
      <c r="Q162" s="854">
        <f>D162/VLOOKUP(C162,'BD Comarcal'!$A$5:$AX$17,21,FALSE)</f>
        <v>2.0656685880663375E-3</v>
      </c>
      <c r="R162">
        <f>VLOOKUP(C162,'BD Comarcal'!$A$5:$AX$17,50,FALSE)*Q162</f>
        <v>0.21363077903311481</v>
      </c>
    </row>
    <row r="163" spans="1:18">
      <c r="A163">
        <v>8160</v>
      </c>
      <c r="B163" t="s">
        <v>1326</v>
      </c>
      <c r="C163" t="s">
        <v>88</v>
      </c>
      <c r="D163">
        <f>IFERROR(+VLOOKUP(B163,'BD ASVICC'!$A$6:$GQ$316,5,FALSE),"")</f>
        <v>1085</v>
      </c>
      <c r="E163">
        <f>IFERROR(+VLOOKUP($B163,'BD ASVICC'!$A$6:$GQ$316,113,FALSE),"")</f>
        <v>0</v>
      </c>
      <c r="F163">
        <f>IFERROR(+VLOOKUP($B163,'BD ASVICC'!$A$6:$GQ$316,114,FALSE),"")</f>
        <v>0</v>
      </c>
      <c r="G163">
        <f>IFERROR(+VLOOKUP($B163,'BD ASVICC'!$A$6:$GQ$316,115,FALSE),"")</f>
        <v>0</v>
      </c>
      <c r="H163">
        <f t="shared" si="12"/>
        <v>0.84388281367031159</v>
      </c>
      <c r="I163">
        <f t="shared" si="13"/>
        <v>12.658242205054673</v>
      </c>
      <c r="J163" s="846">
        <f>I163*'2. Incendis forestals'!$C$52</f>
        <v>126392.54841747091</v>
      </c>
      <c r="K163" t="str">
        <f>VLOOKUP(B163,'BD ASVICC'!$A$6:$BG$316,59,FALSE)</f>
        <v>PREPIRINEU-PIRINEU</v>
      </c>
      <c r="L163">
        <f>VLOOKUP(K163,'2. Incendis forestals'!$F$9:$G$11,2,FALSE)</f>
        <v>0.75</v>
      </c>
      <c r="M163">
        <f t="shared" si="10"/>
        <v>2.3206777375933569</v>
      </c>
      <c r="N163">
        <f t="shared" si="14"/>
        <v>34.810166063900354</v>
      </c>
      <c r="O163" s="846">
        <f>N163*'2. Incendis forestals'!$C$52</f>
        <v>347579.50814804505</v>
      </c>
      <c r="P163" s="846">
        <f t="shared" si="11"/>
        <v>221186.95973057413</v>
      </c>
      <c r="Q163" s="854">
        <f>D163/VLOOKUP(C163,'BD Comarcal'!$A$5:$AX$17,21,FALSE)</f>
        <v>1.160949303430418E-2</v>
      </c>
      <c r="R163">
        <f>VLOOKUP(C163,'BD Comarcal'!$A$5:$AX$17,50,FALSE)*Q163</f>
        <v>0.84388281367031159</v>
      </c>
    </row>
    <row r="164" spans="1:18">
      <c r="A164">
        <v>8161</v>
      </c>
      <c r="B164" t="s">
        <v>1330</v>
      </c>
      <c r="C164" t="s">
        <v>81</v>
      </c>
      <c r="D164">
        <f>IFERROR(+VLOOKUP(B164,'BD ASVICC'!$A$6:$GQ$316,5,FALSE),"")</f>
        <v>2388</v>
      </c>
      <c r="E164">
        <f>IFERROR(+VLOOKUP($B164,'BD ASVICC'!$A$6:$GQ$316,113,FALSE),"")</f>
        <v>2.4700000000000002</v>
      </c>
      <c r="F164">
        <f>IFERROR(+VLOOKUP($B164,'BD ASVICC'!$A$6:$GQ$316,114,FALSE),"")</f>
        <v>0</v>
      </c>
      <c r="G164">
        <f>IFERROR(+VLOOKUP($B164,'BD ASVICC'!$A$6:$GQ$316,115,FALSE),"")</f>
        <v>2.4700000000000002</v>
      </c>
      <c r="H164">
        <f t="shared" si="12"/>
        <v>26.361658265259354</v>
      </c>
      <c r="I164">
        <f t="shared" si="13"/>
        <v>395.42487397889033</v>
      </c>
      <c r="J164" s="846">
        <f>I164*'2. Incendis forestals'!$C$52</f>
        <v>3948317.36667922</v>
      </c>
      <c r="K164" t="str">
        <f>VLOOKUP(B164,'BD ASVICC'!$A$6:$BG$316,59,FALSE)</f>
        <v>CENTRAL</v>
      </c>
      <c r="L164">
        <f>VLOOKUP(K164,'2. Incendis forestals'!$F$9:$G$11,2,FALSE)</f>
        <v>0.75</v>
      </c>
      <c r="M164">
        <f t="shared" si="10"/>
        <v>72.494560229463218</v>
      </c>
      <c r="N164">
        <f t="shared" si="14"/>
        <v>1087.4184034419482</v>
      </c>
      <c r="O164" s="846">
        <f>N164*'2. Incendis forestals'!$C$52</f>
        <v>10857872.758367853</v>
      </c>
      <c r="P164" s="846">
        <f t="shared" si="11"/>
        <v>6909555.3916886337</v>
      </c>
      <c r="Q164" s="854">
        <f>D164/VLOOKUP(C164,'BD Comarcal'!$A$5:$AX$17,21,FALSE)</f>
        <v>4.5781330879392651E-2</v>
      </c>
      <c r="R164">
        <f>VLOOKUP(C164,'BD Comarcal'!$A$5:$AX$17,50,FALSE)*Q164</f>
        <v>26.361658265259354</v>
      </c>
    </row>
    <row r="165" spans="1:18">
      <c r="A165">
        <v>8162</v>
      </c>
      <c r="B165" t="s">
        <v>1334</v>
      </c>
      <c r="C165" t="s">
        <v>81</v>
      </c>
      <c r="D165">
        <f>IFERROR(+VLOOKUP(B165,'BD ASVICC'!$A$6:$GQ$316,5,FALSE),"")</f>
        <v>2086</v>
      </c>
      <c r="E165">
        <f>IFERROR(+VLOOKUP($B165,'BD ASVICC'!$A$6:$GQ$316,113,FALSE),"")</f>
        <v>48.02</v>
      </c>
      <c r="F165">
        <f>IFERROR(+VLOOKUP($B165,'BD ASVICC'!$A$6:$GQ$316,114,FALSE),"")</f>
        <v>17.73</v>
      </c>
      <c r="G165">
        <f>IFERROR(+VLOOKUP($B165,'BD ASVICC'!$A$6:$GQ$316,115,FALSE),"")</f>
        <v>65.75</v>
      </c>
      <c r="H165">
        <f t="shared" si="12"/>
        <v>23.027813710775128</v>
      </c>
      <c r="I165">
        <f t="shared" si="13"/>
        <v>345.41720566162689</v>
      </c>
      <c r="J165" s="846">
        <f>I165*'2. Incendis forestals'!$C$52</f>
        <v>3448990.7985313446</v>
      </c>
      <c r="K165" t="str">
        <f>VLOOKUP(B165,'BD ASVICC'!$A$6:$BG$316,59,FALSE)</f>
        <v>CENTRAL</v>
      </c>
      <c r="L165">
        <f>VLOOKUP(K165,'2. Incendis forestals'!$F$9:$G$11,2,FALSE)</f>
        <v>0.75</v>
      </c>
      <c r="M165">
        <f t="shared" si="10"/>
        <v>63.326487704631603</v>
      </c>
      <c r="N165">
        <f t="shared" si="14"/>
        <v>949.89731556947402</v>
      </c>
      <c r="O165" s="846">
        <f>N165*'2. Incendis forestals'!$C$52</f>
        <v>9484724.6959611978</v>
      </c>
      <c r="P165" s="846">
        <f t="shared" si="11"/>
        <v>6035733.8974298537</v>
      </c>
      <c r="Q165" s="854">
        <f>D165/VLOOKUP(C165,'BD Comarcal'!$A$5:$AX$17,21,FALSE)</f>
        <v>3.9991564578899942E-2</v>
      </c>
      <c r="R165">
        <f>VLOOKUP(C165,'BD Comarcal'!$A$5:$AX$17,50,FALSE)*Q165</f>
        <v>23.027813710775128</v>
      </c>
    </row>
    <row r="166" spans="1:18">
      <c r="A166">
        <v>8163</v>
      </c>
      <c r="B166" t="s">
        <v>347</v>
      </c>
      <c r="C166" t="s">
        <v>86</v>
      </c>
      <c r="D166">
        <f>IFERROR(+VLOOKUP(B166,'BD ASVICC'!$A$6:$GQ$316,5,FALSE),"")</f>
        <v>615</v>
      </c>
      <c r="E166">
        <f>IFERROR(+VLOOKUP($B166,'BD ASVICC'!$A$6:$GQ$316,113,FALSE),"")</f>
        <v>0</v>
      </c>
      <c r="F166">
        <f>IFERROR(+VLOOKUP($B166,'BD ASVICC'!$A$6:$GQ$316,114,FALSE),"")</f>
        <v>5.0999999999999996</v>
      </c>
      <c r="G166">
        <f>IFERROR(+VLOOKUP($B166,'BD ASVICC'!$A$6:$GQ$316,115,FALSE),"")</f>
        <v>5.0999999999999996</v>
      </c>
      <c r="H166">
        <f t="shared" si="12"/>
        <v>1.1012368249689102</v>
      </c>
      <c r="I166">
        <f t="shared" si="13"/>
        <v>16.518552374533652</v>
      </c>
      <c r="J166" s="846">
        <f>I166*'2. Incendis forestals'!$C$52</f>
        <v>164937.74545971851</v>
      </c>
      <c r="K166" t="str">
        <f>VLOOKUP(B166,'BD ASVICC'!$A$6:$BG$316,59,FALSE)</f>
        <v>LITORAL</v>
      </c>
      <c r="L166">
        <f>VLOOKUP(K166,'2. Incendis forestals'!$F$9:$G$11,2,FALSE)</f>
        <v>0.75</v>
      </c>
      <c r="M166">
        <f t="shared" si="10"/>
        <v>3.0284012686645028</v>
      </c>
      <c r="N166">
        <f t="shared" si="14"/>
        <v>45.426019029967541</v>
      </c>
      <c r="O166" s="846">
        <f>N166*'2. Incendis forestals'!$C$52</f>
        <v>453578.80001422588</v>
      </c>
      <c r="P166" s="846">
        <f t="shared" si="11"/>
        <v>288641.05455450737</v>
      </c>
      <c r="Q166" s="854">
        <f>D166/VLOOKUP(C166,'BD Comarcal'!$A$5:$AX$17,21,FALSE)</f>
        <v>2.2863303468530428E-2</v>
      </c>
      <c r="R166">
        <f>VLOOKUP(C166,'BD Comarcal'!$A$5:$AX$17,50,FALSE)*Q166</f>
        <v>1.1012368249689102</v>
      </c>
    </row>
    <row r="167" spans="1:18">
      <c r="A167">
        <v>8164</v>
      </c>
      <c r="B167" t="s">
        <v>1339</v>
      </c>
      <c r="C167" t="s">
        <v>791</v>
      </c>
      <c r="D167">
        <f>IFERROR(+VLOOKUP(B167,'BD ASVICC'!$A$6:$GQ$316,5,FALSE),"")</f>
        <v>134</v>
      </c>
      <c r="E167">
        <f>IFERROR(+VLOOKUP($B167,'BD ASVICC'!$A$6:$GQ$316,113,FALSE),"")</f>
        <v>0</v>
      </c>
      <c r="F167">
        <f>IFERROR(+VLOOKUP($B167,'BD ASVICC'!$A$6:$GQ$316,114,FALSE),"")</f>
        <v>0</v>
      </c>
      <c r="G167">
        <f>IFERROR(+VLOOKUP($B167,'BD ASVICC'!$A$6:$GQ$316,115,FALSE),"")</f>
        <v>0</v>
      </c>
      <c r="H167">
        <f t="shared" si="12"/>
        <v>0.97502477309275526</v>
      </c>
      <c r="I167">
        <f t="shared" si="13"/>
        <v>14.625371596391329</v>
      </c>
      <c r="J167" s="846">
        <f>I167*'2. Incendis forestals'!$C$52</f>
        <v>146034.33538996743</v>
      </c>
      <c r="K167" t="str">
        <f>VLOOKUP(B167,'BD ASVICC'!$A$6:$BG$316,59,FALSE)</f>
        <v>CENTRAL</v>
      </c>
      <c r="L167">
        <f>VLOOKUP(K167,'2. Incendis forestals'!$F$9:$G$11,2,FALSE)</f>
        <v>0.75</v>
      </c>
      <c r="M167">
        <f t="shared" si="10"/>
        <v>2.6813181260050767</v>
      </c>
      <c r="N167">
        <f t="shared" si="14"/>
        <v>40.219771890076153</v>
      </c>
      <c r="O167" s="846">
        <f>N167*'2. Incendis forestals'!$C$52</f>
        <v>401594.42232241039</v>
      </c>
      <c r="P167" s="846">
        <f t="shared" si="11"/>
        <v>255560.08693244297</v>
      </c>
      <c r="Q167" s="854">
        <f>D167/VLOOKUP(C167,'BD Comarcal'!$A$5:$AX$17,21,FALSE)</f>
        <v>4.363257464752043E-3</v>
      </c>
      <c r="R167">
        <f>VLOOKUP(C167,'BD Comarcal'!$A$5:$AX$17,50,FALSE)*Q167</f>
        <v>0.97502477309275526</v>
      </c>
    </row>
    <row r="168" spans="1:18">
      <c r="A168">
        <v>8165</v>
      </c>
      <c r="B168" t="s">
        <v>1340</v>
      </c>
      <c r="C168" t="s">
        <v>81</v>
      </c>
      <c r="D168">
        <f>IFERROR(+VLOOKUP(B168,'BD ASVICC'!$A$6:$GQ$316,5,FALSE),"")</f>
        <v>1227</v>
      </c>
      <c r="E168">
        <f>IFERROR(+VLOOKUP($B168,'BD ASVICC'!$A$6:$GQ$316,113,FALSE),"")</f>
        <v>0</v>
      </c>
      <c r="F168">
        <f>IFERROR(+VLOOKUP($B168,'BD ASVICC'!$A$6:$GQ$316,114,FALSE),"")</f>
        <v>0</v>
      </c>
      <c r="G168">
        <f>IFERROR(+VLOOKUP($B168,'BD ASVICC'!$A$6:$GQ$316,115,FALSE),"")</f>
        <v>0</v>
      </c>
      <c r="H168">
        <f t="shared" si="12"/>
        <v>13.545123405139542</v>
      </c>
      <c r="I168">
        <f t="shared" si="13"/>
        <v>203.17685107709312</v>
      </c>
      <c r="J168" s="846">
        <f>I168*'2. Incendis forestals'!$C$52</f>
        <v>2028720.8580047749</v>
      </c>
      <c r="K168" t="str">
        <f>VLOOKUP(B168,'BD ASVICC'!$A$6:$BG$316,59,FALSE)</f>
        <v>CENTRAL</v>
      </c>
      <c r="L168">
        <f>VLOOKUP(K168,'2. Incendis forestals'!$F$9:$G$11,2,FALSE)</f>
        <v>0.75</v>
      </c>
      <c r="M168">
        <f t="shared" si="10"/>
        <v>37.249089364133738</v>
      </c>
      <c r="N168">
        <f t="shared" si="14"/>
        <v>558.73634046200607</v>
      </c>
      <c r="O168" s="846">
        <f>N168*'2. Incendis forestals'!$C$52</f>
        <v>5578982.359513131</v>
      </c>
      <c r="P168" s="846">
        <f t="shared" si="11"/>
        <v>3550261.5015083561</v>
      </c>
      <c r="Q168" s="854">
        <f>D168/VLOOKUP(C168,'BD Comarcal'!$A$5:$AX$17,21,FALSE)</f>
        <v>2.3523322022200494E-2</v>
      </c>
      <c r="R168">
        <f>VLOOKUP(C168,'BD Comarcal'!$A$5:$AX$17,50,FALSE)*Q168</f>
        <v>13.545123405139542</v>
      </c>
    </row>
    <row r="169" spans="1:18">
      <c r="A169">
        <v>8166</v>
      </c>
      <c r="B169" t="s">
        <v>1343</v>
      </c>
      <c r="C169" t="s">
        <v>84</v>
      </c>
      <c r="D169">
        <f>IFERROR(+VLOOKUP(B169,'BD ASVICC'!$A$6:$GQ$316,5,FALSE),"")</f>
        <v>4248</v>
      </c>
      <c r="E169">
        <f>IFERROR(+VLOOKUP($B169,'BD ASVICC'!$A$6:$GQ$316,113,FALSE),"")</f>
        <v>0</v>
      </c>
      <c r="F169">
        <f>IFERROR(+VLOOKUP($B169,'BD ASVICC'!$A$6:$GQ$316,114,FALSE),"")</f>
        <v>0</v>
      </c>
      <c r="G169">
        <f>IFERROR(+VLOOKUP($B169,'BD ASVICC'!$A$6:$GQ$316,115,FALSE),"")</f>
        <v>0</v>
      </c>
      <c r="H169">
        <f t="shared" si="12"/>
        <v>26.247900974222098</v>
      </c>
      <c r="I169">
        <f t="shared" si="13"/>
        <v>393.71851461333148</v>
      </c>
      <c r="J169" s="846">
        <f>I169*'2. Incendis forestals'!$C$52</f>
        <v>3931279.3684141147</v>
      </c>
      <c r="K169" t="str">
        <f>VLOOKUP(B169,'BD ASVICC'!$A$6:$BG$316,59,FALSE)</f>
        <v>PREPIRINEU-PIRINEU</v>
      </c>
      <c r="L169">
        <f>VLOOKUP(K169,'2. Incendis forestals'!$F$9:$G$11,2,FALSE)</f>
        <v>0.75</v>
      </c>
      <c r="M169">
        <f t="shared" si="10"/>
        <v>72.181727679110764</v>
      </c>
      <c r="N169">
        <f t="shared" si="14"/>
        <v>1082.7259151866615</v>
      </c>
      <c r="O169" s="846">
        <f>N169*'2. Incendis forestals'!$C$52</f>
        <v>10811018.263138816</v>
      </c>
      <c r="P169" s="846">
        <f t="shared" si="11"/>
        <v>6879738.8947247006</v>
      </c>
      <c r="Q169" s="854">
        <f>D169/VLOOKUP(C169,'BD Comarcal'!$A$5:$AX$17,21,FALSE)</f>
        <v>4.0177051413006468E-2</v>
      </c>
      <c r="R169">
        <f>VLOOKUP(C169,'BD Comarcal'!$A$5:$AX$17,50,FALSE)*Q169</f>
        <v>26.247900974222098</v>
      </c>
    </row>
    <row r="170" spans="1:18">
      <c r="A170">
        <v>8167</v>
      </c>
      <c r="B170" t="s">
        <v>1349</v>
      </c>
      <c r="C170" t="s">
        <v>89</v>
      </c>
      <c r="D170">
        <f>IFERROR(+VLOOKUP(B170,'BD ASVICC'!$A$6:$GQ$316,5,FALSE),"")</f>
        <v>234</v>
      </c>
      <c r="E170">
        <f>IFERROR(+VLOOKUP($B170,'BD ASVICC'!$A$6:$GQ$316,113,FALSE),"")</f>
        <v>0</v>
      </c>
      <c r="F170">
        <f>IFERROR(+VLOOKUP($B170,'BD ASVICC'!$A$6:$GQ$316,114,FALSE),"")</f>
        <v>0</v>
      </c>
      <c r="G170">
        <f>IFERROR(+VLOOKUP($B170,'BD ASVICC'!$A$6:$GQ$316,115,FALSE),"")</f>
        <v>0</v>
      </c>
      <c r="H170">
        <f t="shared" si="12"/>
        <v>1.8689352745132433</v>
      </c>
      <c r="I170">
        <f t="shared" si="13"/>
        <v>28.034029117698648</v>
      </c>
      <c r="J170" s="846">
        <f>I170*'2. Incendis forestals'!$C$52</f>
        <v>279919.78074022097</v>
      </c>
      <c r="K170" t="str">
        <f>VLOOKUP(B170,'BD ASVICC'!$A$6:$BG$316,59,FALSE)</f>
        <v>LITORAL</v>
      </c>
      <c r="L170">
        <f>VLOOKUP(K170,'2. Incendis forestals'!$F$9:$G$11,2,FALSE)</f>
        <v>0.75</v>
      </c>
      <c r="M170">
        <f t="shared" si="10"/>
        <v>5.1395720049114191</v>
      </c>
      <c r="N170">
        <f t="shared" si="14"/>
        <v>77.093580073671291</v>
      </c>
      <c r="O170" s="846">
        <f>N170*'2. Incendis forestals'!$C$52</f>
        <v>769779.39703560784</v>
      </c>
      <c r="P170" s="846">
        <f t="shared" si="11"/>
        <v>489859.61629538686</v>
      </c>
      <c r="Q170" s="854">
        <f>D170/VLOOKUP(C170,'BD Comarcal'!$A$5:$AX$17,21,FALSE)</f>
        <v>6.8409051043676547E-3</v>
      </c>
      <c r="R170">
        <f>VLOOKUP(C170,'BD Comarcal'!$A$5:$AX$17,50,FALSE)*Q170</f>
        <v>1.8689352745132433</v>
      </c>
    </row>
    <row r="171" spans="1:18">
      <c r="A171">
        <v>8168</v>
      </c>
      <c r="B171" t="s">
        <v>1352</v>
      </c>
      <c r="C171" t="s">
        <v>791</v>
      </c>
      <c r="D171">
        <f>IFERROR(+VLOOKUP(B171,'BD ASVICC'!$A$6:$GQ$316,5,FALSE),"")</f>
        <v>1959</v>
      </c>
      <c r="E171">
        <f>IFERROR(+VLOOKUP($B171,'BD ASVICC'!$A$6:$GQ$316,113,FALSE),"")</f>
        <v>0</v>
      </c>
      <c r="F171">
        <f>IFERROR(+VLOOKUP($B171,'BD ASVICC'!$A$6:$GQ$316,114,FALSE),"")</f>
        <v>0</v>
      </c>
      <c r="G171">
        <f>IFERROR(+VLOOKUP($B171,'BD ASVICC'!$A$6:$GQ$316,115,FALSE),"")</f>
        <v>0</v>
      </c>
      <c r="H171">
        <f t="shared" si="12"/>
        <v>14.25428007827394</v>
      </c>
      <c r="I171">
        <f t="shared" si="13"/>
        <v>213.81420117410909</v>
      </c>
      <c r="J171" s="846">
        <f>I171*'2. Incendis forestals'!$C$52</f>
        <v>2134934.7987234793</v>
      </c>
      <c r="K171" t="str">
        <f>VLOOKUP(B171,'BD ASVICC'!$A$6:$BG$316,59,FALSE)</f>
        <v>CENTRAL</v>
      </c>
      <c r="L171">
        <f>VLOOKUP(K171,'2. Incendis forestals'!$F$9:$G$11,2,FALSE)</f>
        <v>0.75</v>
      </c>
      <c r="M171">
        <f t="shared" si="10"/>
        <v>39.199270215253335</v>
      </c>
      <c r="N171">
        <f t="shared" si="14"/>
        <v>587.9890532288</v>
      </c>
      <c r="O171" s="846">
        <f>N171*'2. Incendis forestals'!$C$52</f>
        <v>5871070.6964895679</v>
      </c>
      <c r="P171" s="846">
        <f t="shared" si="11"/>
        <v>3736135.8977660886</v>
      </c>
      <c r="Q171" s="854">
        <f>D171/VLOOKUP(C171,'BD Comarcal'!$A$5:$AX$17,21,FALSE)</f>
        <v>6.3788219204845176E-2</v>
      </c>
      <c r="R171">
        <f>VLOOKUP(C171,'BD Comarcal'!$A$5:$AX$17,50,FALSE)*Q171</f>
        <v>14.25428007827394</v>
      </c>
    </row>
    <row r="172" spans="1:18">
      <c r="A172">
        <v>8169</v>
      </c>
      <c r="B172" t="s">
        <v>348</v>
      </c>
      <c r="C172" t="s">
        <v>90</v>
      </c>
      <c r="D172">
        <f>IFERROR(+VLOOKUP(B172,'BD ASVICC'!$A$6:$GQ$316,5,FALSE),"")</f>
        <v>893</v>
      </c>
      <c r="E172">
        <f>IFERROR(+VLOOKUP($B172,'BD ASVICC'!$A$6:$GQ$316,113,FALSE),"")</f>
        <v>0.7</v>
      </c>
      <c r="F172">
        <f>IFERROR(+VLOOKUP($B172,'BD ASVICC'!$A$6:$GQ$316,114,FALSE),"")</f>
        <v>2.2999999999999998</v>
      </c>
      <c r="G172">
        <f>IFERROR(+VLOOKUP($B172,'BD ASVICC'!$A$6:$GQ$316,115,FALSE),"")</f>
        <v>3</v>
      </c>
      <c r="H172">
        <f t="shared" si="12"/>
        <v>7.4238787492925855</v>
      </c>
      <c r="I172">
        <f t="shared" si="13"/>
        <v>111.35818123938878</v>
      </c>
      <c r="J172" s="846">
        <f>I172*'2. Incendis forestals'!$C$52</f>
        <v>1111911.4396752971</v>
      </c>
      <c r="K172" t="str">
        <f>VLOOKUP(B172,'BD ASVICC'!$A$6:$BG$316,59,FALSE)</f>
        <v>LITORAL</v>
      </c>
      <c r="L172">
        <f>VLOOKUP(K172,'2. Incendis forestals'!$F$9:$G$11,2,FALSE)</f>
        <v>0.75</v>
      </c>
      <c r="M172">
        <f t="shared" si="10"/>
        <v>20.415666560554612</v>
      </c>
      <c r="N172">
        <f t="shared" si="14"/>
        <v>306.2349984083192</v>
      </c>
      <c r="O172" s="846">
        <f>N172*'2. Incendis forestals'!$C$52</f>
        <v>3057756.4591070674</v>
      </c>
      <c r="P172" s="846">
        <f t="shared" si="11"/>
        <v>1945845.0194317703</v>
      </c>
      <c r="Q172" s="854">
        <f>D172/VLOOKUP(C172,'BD Comarcal'!$A$5:$AX$17,21,FALSE)</f>
        <v>3.4356725146198829E-2</v>
      </c>
      <c r="R172">
        <f>VLOOKUP(C172,'BD Comarcal'!$A$5:$AX$17,50,FALSE)*Q172</f>
        <v>7.4238787492925855</v>
      </c>
    </row>
    <row r="173" spans="1:18">
      <c r="A173">
        <v>8170</v>
      </c>
      <c r="B173" t="s">
        <v>1359</v>
      </c>
      <c r="C173" t="s">
        <v>81</v>
      </c>
      <c r="D173">
        <f>IFERROR(+VLOOKUP(B173,'BD ASVICC'!$A$6:$GQ$316,5,FALSE),"")</f>
        <v>781</v>
      </c>
      <c r="E173">
        <f>IFERROR(+VLOOKUP($B173,'BD ASVICC'!$A$6:$GQ$316,113,FALSE),"")</f>
        <v>109.2</v>
      </c>
      <c r="F173">
        <f>IFERROR(+VLOOKUP($B173,'BD ASVICC'!$A$6:$GQ$316,114,FALSE),"")</f>
        <v>72.400000000000006</v>
      </c>
      <c r="G173">
        <f>IFERROR(+VLOOKUP($B173,'BD ASVICC'!$A$6:$GQ$316,115,FALSE),"")</f>
        <v>181.6</v>
      </c>
      <c r="H173">
        <f t="shared" si="12"/>
        <v>8.6216311160668155</v>
      </c>
      <c r="I173">
        <f t="shared" si="13"/>
        <v>129.32446674100223</v>
      </c>
      <c r="J173" s="846">
        <f>I173*'2. Incendis forestals'!$C$52</f>
        <v>1291304.8004089072</v>
      </c>
      <c r="K173" t="str">
        <f>VLOOKUP(B173,'BD ASVICC'!$A$6:$BG$316,59,FALSE)</f>
        <v>PREPIRINEU-PIRINEU</v>
      </c>
      <c r="L173">
        <f>VLOOKUP(K173,'2. Incendis forestals'!$F$9:$G$11,2,FALSE)</f>
        <v>0.75</v>
      </c>
      <c r="M173">
        <f t="shared" si="10"/>
        <v>23.709485569183741</v>
      </c>
      <c r="N173">
        <f t="shared" si="14"/>
        <v>355.6422835377561</v>
      </c>
      <c r="O173" s="846">
        <f>N173*'2. Incendis forestals'!$C$52</f>
        <v>3551088.2011244944</v>
      </c>
      <c r="P173" s="846">
        <f t="shared" si="11"/>
        <v>2259783.4007155872</v>
      </c>
      <c r="Q173" s="854">
        <f>D173/VLOOKUP(C173,'BD Comarcal'!$A$5:$AX$17,21,FALSE)</f>
        <v>1.4972872452598684E-2</v>
      </c>
      <c r="R173">
        <f>VLOOKUP(C173,'BD Comarcal'!$A$5:$AX$17,50,FALSE)*Q173</f>
        <v>8.6216311160668155</v>
      </c>
    </row>
    <row r="174" spans="1:18">
      <c r="A174">
        <v>8171</v>
      </c>
      <c r="B174" t="s">
        <v>1363</v>
      </c>
      <c r="C174" t="s">
        <v>88</v>
      </c>
      <c r="D174">
        <f>IFERROR(+VLOOKUP(B174,'BD ASVICC'!$A$6:$GQ$316,5,FALSE),"")</f>
        <v>573</v>
      </c>
      <c r="E174">
        <f>IFERROR(+VLOOKUP($B174,'BD ASVICC'!$A$6:$GQ$316,113,FALSE),"")</f>
        <v>0</v>
      </c>
      <c r="F174">
        <f>IFERROR(+VLOOKUP($B174,'BD ASVICC'!$A$6:$GQ$316,114,FALSE),"")</f>
        <v>0</v>
      </c>
      <c r="G174">
        <f>IFERROR(+VLOOKUP($B174,'BD ASVICC'!$A$6:$GQ$316,115,FALSE),"")</f>
        <v>0</v>
      </c>
      <c r="H174">
        <f t="shared" si="12"/>
        <v>0.44566345827934428</v>
      </c>
      <c r="I174">
        <f t="shared" si="13"/>
        <v>6.6849518741901646</v>
      </c>
      <c r="J174" s="846">
        <f>I174*'2. Incendis forestals'!$C$52</f>
        <v>66749.244463788797</v>
      </c>
      <c r="K174" t="str">
        <f>VLOOKUP(B174,'BD ASVICC'!$A$6:$BG$316,59,FALSE)</f>
        <v>PREPIRINEU-PIRINEU</v>
      </c>
      <c r="L174">
        <f>VLOOKUP(K174,'2. Incendis forestals'!$F$9:$G$11,2,FALSE)</f>
        <v>0.75</v>
      </c>
      <c r="M174">
        <f t="shared" si="10"/>
        <v>1.2255745102681967</v>
      </c>
      <c r="N174">
        <f t="shared" si="14"/>
        <v>18.383617654022952</v>
      </c>
      <c r="O174" s="846">
        <f>N174*'2. Incendis forestals'!$C$52</f>
        <v>183560.42227541917</v>
      </c>
      <c r="P174" s="846">
        <f t="shared" si="11"/>
        <v>116811.17781163038</v>
      </c>
      <c r="Q174" s="854">
        <f>D174/VLOOKUP(C174,'BD Comarcal'!$A$5:$AX$17,21,FALSE)</f>
        <v>6.1310963213422071E-3</v>
      </c>
      <c r="R174">
        <f>VLOOKUP(C174,'BD Comarcal'!$A$5:$AX$17,50,FALSE)*Q174</f>
        <v>0.44566345827934428</v>
      </c>
    </row>
    <row r="175" spans="1:18">
      <c r="A175">
        <v>8172</v>
      </c>
      <c r="B175" t="s">
        <v>349</v>
      </c>
      <c r="C175" t="s">
        <v>86</v>
      </c>
      <c r="D175">
        <f>IFERROR(+VLOOKUP(B175,'BD ASVICC'!$A$6:$GQ$316,5,FALSE),"")</f>
        <v>0</v>
      </c>
      <c r="E175">
        <f>IFERROR(+VLOOKUP($B175,'BD ASVICC'!$A$6:$GQ$316,113,FALSE),"")</f>
        <v>0</v>
      </c>
      <c r="F175">
        <f>IFERROR(+VLOOKUP($B175,'BD ASVICC'!$A$6:$GQ$316,114,FALSE),"")</f>
        <v>0</v>
      </c>
      <c r="G175">
        <f>IFERROR(+VLOOKUP($B175,'BD ASVICC'!$A$6:$GQ$316,115,FALSE),"")</f>
        <v>0</v>
      </c>
      <c r="H175">
        <f t="shared" si="12"/>
        <v>0</v>
      </c>
      <c r="I175">
        <f t="shared" si="13"/>
        <v>0</v>
      </c>
      <c r="J175" s="846">
        <f>I175*'2. Incendis forestals'!$C$52</f>
        <v>0</v>
      </c>
      <c r="K175" t="str">
        <f>VLOOKUP(B175,'BD ASVICC'!$A$6:$BG$316,59,FALSE)</f>
        <v>LITORAL</v>
      </c>
      <c r="L175">
        <f>VLOOKUP(K175,'2. Incendis forestals'!$F$9:$G$11,2,FALSE)</f>
        <v>0.75</v>
      </c>
      <c r="M175">
        <f t="shared" si="10"/>
        <v>0</v>
      </c>
      <c r="N175">
        <f t="shared" si="14"/>
        <v>0</v>
      </c>
      <c r="O175" s="846">
        <f>N175*'2. Incendis forestals'!$C$52</f>
        <v>0</v>
      </c>
      <c r="P175" s="846">
        <f t="shared" si="11"/>
        <v>0</v>
      </c>
      <c r="Q175" s="854">
        <f>D175/VLOOKUP(C175,'BD Comarcal'!$A$5:$AX$17,21,FALSE)</f>
        <v>0</v>
      </c>
      <c r="R175">
        <f>VLOOKUP(C175,'BD Comarcal'!$A$5:$AX$17,50,FALSE)*Q175</f>
        <v>0</v>
      </c>
    </row>
    <row r="176" spans="1:18">
      <c r="A176">
        <v>8174</v>
      </c>
      <c r="B176" t="s">
        <v>1365</v>
      </c>
      <c r="C176" t="s">
        <v>791</v>
      </c>
      <c r="D176">
        <f>IFERROR(+VLOOKUP(B176,'BD ASVICC'!$A$6:$GQ$316,5,FALSE),"")</f>
        <v>1</v>
      </c>
      <c r="E176">
        <f>IFERROR(+VLOOKUP($B176,'BD ASVICC'!$A$6:$GQ$316,113,FALSE),"")</f>
        <v>0</v>
      </c>
      <c r="F176">
        <f>IFERROR(+VLOOKUP($B176,'BD ASVICC'!$A$6:$GQ$316,114,FALSE),"")</f>
        <v>0</v>
      </c>
      <c r="G176">
        <f>IFERROR(+VLOOKUP($B176,'BD ASVICC'!$A$6:$GQ$316,115,FALSE),"")</f>
        <v>0</v>
      </c>
      <c r="H176">
        <f t="shared" si="12"/>
        <v>7.2763042768116066E-3</v>
      </c>
      <c r="I176">
        <f t="shared" si="13"/>
        <v>0.10914456415217409</v>
      </c>
      <c r="J176" s="846">
        <f>I176*'2. Incendis forestals'!$C$52</f>
        <v>1089.8084730594583</v>
      </c>
      <c r="K176" t="str">
        <f>VLOOKUP(B176,'BD ASVICC'!$A$6:$BG$316,59,FALSE)</f>
        <v>LITORAL</v>
      </c>
      <c r="L176">
        <f>VLOOKUP(K176,'2. Incendis forestals'!$F$9:$G$11,2,FALSE)</f>
        <v>0.75</v>
      </c>
      <c r="M176">
        <f t="shared" si="10"/>
        <v>2.0009836761231917E-2</v>
      </c>
      <c r="N176">
        <f t="shared" si="14"/>
        <v>0.30014755141847876</v>
      </c>
      <c r="O176" s="846">
        <f>N176*'2. Incendis forestals'!$C$52</f>
        <v>2996.9733009135107</v>
      </c>
      <c r="P176" s="846">
        <f t="shared" si="11"/>
        <v>1907.1648278540524</v>
      </c>
      <c r="Q176" s="854">
        <f>D176/VLOOKUP(C176,'BD Comarcal'!$A$5:$AX$17,21,FALSE)</f>
        <v>3.2561622871283904E-5</v>
      </c>
      <c r="R176">
        <f>VLOOKUP(C176,'BD Comarcal'!$A$5:$AX$17,50,FALSE)*Q176</f>
        <v>7.2763042768116066E-3</v>
      </c>
    </row>
    <row r="177" spans="1:18">
      <c r="A177">
        <v>8175</v>
      </c>
      <c r="B177" t="s">
        <v>1366</v>
      </c>
      <c r="C177" t="s">
        <v>84</v>
      </c>
      <c r="D177">
        <f>IFERROR(+VLOOKUP(B177,'BD ASVICC'!$A$6:$GQ$316,5,FALSE),"")</f>
        <v>3739</v>
      </c>
      <c r="E177">
        <f>IFERROR(+VLOOKUP($B177,'BD ASVICC'!$A$6:$GQ$316,113,FALSE),"")</f>
        <v>1</v>
      </c>
      <c r="F177">
        <f>IFERROR(+VLOOKUP($B177,'BD ASVICC'!$A$6:$GQ$316,114,FALSE),"")</f>
        <v>11.91</v>
      </c>
      <c r="G177">
        <f>IFERROR(+VLOOKUP($B177,'BD ASVICC'!$A$6:$GQ$316,115,FALSE),"")</f>
        <v>12.91</v>
      </c>
      <c r="H177">
        <f t="shared" si="12"/>
        <v>23.102848809467144</v>
      </c>
      <c r="I177">
        <f t="shared" si="13"/>
        <v>346.54273214200714</v>
      </c>
      <c r="J177" s="846">
        <f>I177*'2. Incendis forestals'!$C$52</f>
        <v>3460229.1804379411</v>
      </c>
      <c r="K177" t="str">
        <f>VLOOKUP(B177,'BD ASVICC'!$A$6:$BG$316,59,FALSE)</f>
        <v>CENTRAL</v>
      </c>
      <c r="L177">
        <f>VLOOKUP(K177,'2. Incendis forestals'!$F$9:$G$11,2,FALSE)</f>
        <v>0.75</v>
      </c>
      <c r="M177">
        <f t="shared" si="10"/>
        <v>63.532834226034652</v>
      </c>
      <c r="N177">
        <f t="shared" si="14"/>
        <v>952.99251339051978</v>
      </c>
      <c r="O177" s="846">
        <f>N177*'2. Incendis forestals'!$C$52</f>
        <v>9515630.2462043408</v>
      </c>
      <c r="P177" s="846">
        <f t="shared" si="11"/>
        <v>6055401.0657663997</v>
      </c>
      <c r="Q177" s="854">
        <f>D177/VLOOKUP(C177,'BD Comarcal'!$A$5:$AX$17,21,FALSE)</f>
        <v>3.536299322816177E-2</v>
      </c>
      <c r="R177">
        <f>VLOOKUP(C177,'BD Comarcal'!$A$5:$AX$17,50,FALSE)*Q177</f>
        <v>23.102848809467144</v>
      </c>
    </row>
    <row r="178" spans="1:18">
      <c r="A178">
        <v>8176</v>
      </c>
      <c r="B178" t="s">
        <v>1368</v>
      </c>
      <c r="C178" t="s">
        <v>81</v>
      </c>
      <c r="D178">
        <f>IFERROR(+VLOOKUP(B178,'BD ASVICC'!$A$6:$GQ$316,5,FALSE),"")</f>
        <v>895</v>
      </c>
      <c r="E178">
        <f>IFERROR(+VLOOKUP($B178,'BD ASVICC'!$A$6:$GQ$316,113,FALSE),"")</f>
        <v>30.53</v>
      </c>
      <c r="F178">
        <f>IFERROR(+VLOOKUP($B178,'BD ASVICC'!$A$6:$GQ$316,114,FALSE),"")</f>
        <v>6.96</v>
      </c>
      <c r="G178">
        <f>IFERROR(+VLOOKUP($B178,'BD ASVICC'!$A$6:$GQ$316,115,FALSE),"")</f>
        <v>37.49</v>
      </c>
      <c r="H178">
        <f t="shared" si="12"/>
        <v>9.8801022392827136</v>
      </c>
      <c r="I178">
        <f t="shared" si="13"/>
        <v>148.20153358924071</v>
      </c>
      <c r="J178" s="846">
        <f>I178*'2. Incendis forestals'!$C$52</f>
        <v>1479792.3128885685</v>
      </c>
      <c r="K178" t="str">
        <f>VLOOKUP(B178,'BD ASVICC'!$A$6:$BG$316,59,FALSE)</f>
        <v>PREPIRINEU-PIRINEU</v>
      </c>
      <c r="L178">
        <f>VLOOKUP(K178,'2. Incendis forestals'!$F$9:$G$11,2,FALSE)</f>
        <v>0.75</v>
      </c>
      <c r="M178">
        <f t="shared" si="10"/>
        <v>27.170281158027464</v>
      </c>
      <c r="N178">
        <f t="shared" si="14"/>
        <v>407.55421737041195</v>
      </c>
      <c r="O178" s="846">
        <f>N178*'2. Incendis forestals'!$C$52</f>
        <v>4069428.8604435632</v>
      </c>
      <c r="P178" s="846">
        <f t="shared" si="11"/>
        <v>2589636.5475549949</v>
      </c>
      <c r="Q178" s="854">
        <f>D178/VLOOKUP(C178,'BD Comarcal'!$A$5:$AX$17,21,FALSE)</f>
        <v>1.7158413373976725E-2</v>
      </c>
      <c r="R178">
        <f>VLOOKUP(C178,'BD Comarcal'!$A$5:$AX$17,50,FALSE)*Q178</f>
        <v>9.8801022392827136</v>
      </c>
    </row>
    <row r="179" spans="1:18">
      <c r="A179">
        <v>8177</v>
      </c>
      <c r="B179" t="s">
        <v>1372</v>
      </c>
      <c r="C179" t="s">
        <v>84</v>
      </c>
      <c r="D179">
        <f>IFERROR(+VLOOKUP(B179,'BD ASVICC'!$A$6:$GQ$316,5,FALSE),"")</f>
        <v>3364</v>
      </c>
      <c r="E179">
        <f>IFERROR(+VLOOKUP($B179,'BD ASVICC'!$A$6:$GQ$316,113,FALSE),"")</f>
        <v>0</v>
      </c>
      <c r="F179">
        <f>IFERROR(+VLOOKUP($B179,'BD ASVICC'!$A$6:$GQ$316,114,FALSE),"")</f>
        <v>0</v>
      </c>
      <c r="G179">
        <f>IFERROR(+VLOOKUP($B179,'BD ASVICC'!$A$6:$GQ$316,115,FALSE),"")</f>
        <v>0</v>
      </c>
      <c r="H179">
        <f t="shared" si="12"/>
        <v>20.785767155669291</v>
      </c>
      <c r="I179">
        <f t="shared" si="13"/>
        <v>311.78650733503935</v>
      </c>
      <c r="J179" s="846">
        <f>I179*'2. Incendis forestals'!$C$52</f>
        <v>3113188.2757403678</v>
      </c>
      <c r="K179" t="str">
        <f>VLOOKUP(B179,'BD ASVICC'!$A$6:$BG$316,59,FALSE)</f>
        <v>PREPIRINEU-PIRINEU</v>
      </c>
      <c r="L179">
        <f>VLOOKUP(K179,'2. Incendis forestals'!$F$9:$G$11,2,FALSE)</f>
        <v>0.75</v>
      </c>
      <c r="M179">
        <f t="shared" si="10"/>
        <v>57.160859678090546</v>
      </c>
      <c r="N179">
        <f t="shared" si="14"/>
        <v>857.41289517135817</v>
      </c>
      <c r="O179" s="846">
        <f>N179*'2. Incendis forestals'!$C$52</f>
        <v>8561267.7582860105</v>
      </c>
      <c r="P179" s="846">
        <f t="shared" si="11"/>
        <v>5448079.4825456422</v>
      </c>
      <c r="Q179" s="854">
        <f>D179/VLOOKUP(C179,'BD Comarcal'!$A$5:$AX$17,21,FALSE)</f>
        <v>3.1816290243256537E-2</v>
      </c>
      <c r="R179">
        <f>VLOOKUP(C179,'BD Comarcal'!$A$5:$AX$17,50,FALSE)*Q179</f>
        <v>20.785767155669291</v>
      </c>
    </row>
    <row r="180" spans="1:18">
      <c r="A180">
        <v>8178</v>
      </c>
      <c r="B180" t="s">
        <v>1375</v>
      </c>
      <c r="C180" t="s">
        <v>82</v>
      </c>
      <c r="D180">
        <f>IFERROR(+VLOOKUP(B180,'BD ASVICC'!$A$6:$GQ$316,5,FALSE),"")</f>
        <v>3216</v>
      </c>
      <c r="E180">
        <f>IFERROR(+VLOOKUP($B180,'BD ASVICC'!$A$6:$GQ$316,113,FALSE),"")</f>
        <v>5.74</v>
      </c>
      <c r="F180">
        <f>IFERROR(+VLOOKUP($B180,'BD ASVICC'!$A$6:$GQ$316,114,FALSE),"")</f>
        <v>2.15</v>
      </c>
      <c r="G180">
        <f>IFERROR(+VLOOKUP($B180,'BD ASVICC'!$A$6:$GQ$316,115,FALSE),"")</f>
        <v>7.89</v>
      </c>
      <c r="H180">
        <f t="shared" si="12"/>
        <v>35.462621992461891</v>
      </c>
      <c r="I180">
        <f t="shared" si="13"/>
        <v>531.93932988692836</v>
      </c>
      <c r="J180" s="846">
        <f>I180*'2. Incendis forestals'!$C$52</f>
        <v>5311414.2089209799</v>
      </c>
      <c r="K180" t="str">
        <f>VLOOKUP(B180,'BD ASVICC'!$A$6:$BG$316,59,FALSE)</f>
        <v>CENTRAL</v>
      </c>
      <c r="L180">
        <f>VLOOKUP(K180,'2. Incendis forestals'!$F$9:$G$11,2,FALSE)</f>
        <v>0.75</v>
      </c>
      <c r="M180">
        <f t="shared" si="10"/>
        <v>97.5222104792702</v>
      </c>
      <c r="N180">
        <f t="shared" si="14"/>
        <v>1462.8331571890531</v>
      </c>
      <c r="O180" s="846">
        <f>N180*'2. Incendis forestals'!$C$52</f>
        <v>14606389.074532695</v>
      </c>
      <c r="P180" s="846">
        <f t="shared" si="11"/>
        <v>9294974.8656117152</v>
      </c>
      <c r="Q180" s="854">
        <f>D180/VLOOKUP(C180,'BD Comarcal'!$A$5:$AX$17,21,FALSE)</f>
        <v>3.9712528710083725E-2</v>
      </c>
      <c r="R180">
        <f>VLOOKUP(C180,'BD Comarcal'!$A$5:$AX$17,50,FALSE)*Q180</f>
        <v>35.462621992461891</v>
      </c>
    </row>
    <row r="181" spans="1:18">
      <c r="A181">
        <v>8179</v>
      </c>
      <c r="B181" t="s">
        <v>1377</v>
      </c>
      <c r="C181" t="s">
        <v>89</v>
      </c>
      <c r="D181">
        <f>IFERROR(+VLOOKUP(B181,'BD ASVICC'!$A$6:$GQ$316,5,FALSE),"")</f>
        <v>1580</v>
      </c>
      <c r="E181">
        <f>IFERROR(+VLOOKUP($B181,'BD ASVICC'!$A$6:$GQ$316,113,FALSE),"")</f>
        <v>0</v>
      </c>
      <c r="F181">
        <f>IFERROR(+VLOOKUP($B181,'BD ASVICC'!$A$6:$GQ$316,114,FALSE),"")</f>
        <v>0</v>
      </c>
      <c r="G181">
        <f>IFERROR(+VLOOKUP($B181,'BD ASVICC'!$A$6:$GQ$316,115,FALSE),"")</f>
        <v>0</v>
      </c>
      <c r="H181">
        <f t="shared" si="12"/>
        <v>12.619306554405659</v>
      </c>
      <c r="I181">
        <f t="shared" si="13"/>
        <v>189.28959831608489</v>
      </c>
      <c r="J181" s="846">
        <f>I181*'2. Incendis forestals'!$C$52</f>
        <v>1890056.6391861076</v>
      </c>
      <c r="K181" t="str">
        <f>VLOOKUP(B181,'BD ASVICC'!$A$6:$BG$316,59,FALSE)</f>
        <v>CENTRAL</v>
      </c>
      <c r="L181">
        <f>VLOOKUP(K181,'2. Incendis forestals'!$F$9:$G$11,2,FALSE)</f>
        <v>0.75</v>
      </c>
      <c r="M181">
        <f t="shared" si="10"/>
        <v>34.703093024615562</v>
      </c>
      <c r="N181">
        <f t="shared" si="14"/>
        <v>520.54639536923344</v>
      </c>
      <c r="O181" s="846">
        <f>N181*'2. Incendis forestals'!$C$52</f>
        <v>5197655.757761796</v>
      </c>
      <c r="P181" s="846">
        <f t="shared" si="11"/>
        <v>3307599.1185756885</v>
      </c>
      <c r="Q181" s="854">
        <f>D181/VLOOKUP(C181,'BD Comarcal'!$A$5:$AX$17,21,FALSE)</f>
        <v>4.6190726773080747E-2</v>
      </c>
      <c r="R181">
        <f>VLOOKUP(C181,'BD Comarcal'!$A$5:$AX$17,50,FALSE)*Q181</f>
        <v>12.619306554405659</v>
      </c>
    </row>
    <row r="182" spans="1:18">
      <c r="A182">
        <v>8180</v>
      </c>
      <c r="B182" t="s">
        <v>1383</v>
      </c>
      <c r="C182" t="s">
        <v>89</v>
      </c>
      <c r="D182">
        <f>IFERROR(+VLOOKUP(B182,'BD ASVICC'!$A$6:$GQ$316,5,FALSE),"")</f>
        <v>69</v>
      </c>
      <c r="E182">
        <f>IFERROR(+VLOOKUP($B182,'BD ASVICC'!$A$6:$GQ$316,113,FALSE),"")</f>
        <v>0</v>
      </c>
      <c r="F182">
        <f>IFERROR(+VLOOKUP($B182,'BD ASVICC'!$A$6:$GQ$316,114,FALSE),"")</f>
        <v>0</v>
      </c>
      <c r="G182">
        <f>IFERROR(+VLOOKUP($B182,'BD ASVICC'!$A$6:$GQ$316,115,FALSE),"")</f>
        <v>0</v>
      </c>
      <c r="H182">
        <f t="shared" si="12"/>
        <v>0.55109629889493073</v>
      </c>
      <c r="I182">
        <f t="shared" si="13"/>
        <v>8.2664444834239603</v>
      </c>
      <c r="J182" s="846">
        <f>I182*'2. Incendis forestals'!$C$52</f>
        <v>82540.448166988237</v>
      </c>
      <c r="K182" t="str">
        <f>VLOOKUP(B182,'BD ASVICC'!$A$6:$BG$316,59,FALSE)</f>
        <v>LITORAL</v>
      </c>
      <c r="L182">
        <f>VLOOKUP(K182,'2. Incendis forestals'!$F$9:$G$11,2,FALSE)</f>
        <v>0.75</v>
      </c>
      <c r="M182">
        <f t="shared" si="10"/>
        <v>1.5155148219610595</v>
      </c>
      <c r="N182">
        <f t="shared" si="14"/>
        <v>22.732722329415893</v>
      </c>
      <c r="O182" s="846">
        <f>N182*'2. Incendis forestals'!$C$52</f>
        <v>226986.23245921769</v>
      </c>
      <c r="P182" s="846">
        <f t="shared" si="11"/>
        <v>144445.78429222945</v>
      </c>
      <c r="Q182" s="854">
        <f>D182/VLOOKUP(C182,'BD Comarcal'!$A$5:$AX$17,21,FALSE)</f>
        <v>2.0171899666725137E-3</v>
      </c>
      <c r="R182">
        <f>VLOOKUP(C182,'BD Comarcal'!$A$5:$AX$17,50,FALSE)*Q182</f>
        <v>0.55109629889493073</v>
      </c>
    </row>
    <row r="183" spans="1:18">
      <c r="A183">
        <v>8181</v>
      </c>
      <c r="B183" t="s">
        <v>1384</v>
      </c>
      <c r="C183" t="s">
        <v>24</v>
      </c>
      <c r="D183">
        <f>IFERROR(+VLOOKUP(B183,'BD ASVICC'!$A$6:$GQ$316,5,FALSE),"")</f>
        <v>1747</v>
      </c>
      <c r="E183">
        <f>IFERROR(+VLOOKUP($B183,'BD ASVICC'!$A$6:$GQ$316,113,FALSE),"")</f>
        <v>1.3</v>
      </c>
      <c r="F183">
        <f>IFERROR(+VLOOKUP($B183,'BD ASVICC'!$A$6:$GQ$316,114,FALSE),"")</f>
        <v>0</v>
      </c>
      <c r="G183">
        <f>IFERROR(+VLOOKUP($B183,'BD ASVICC'!$A$6:$GQ$316,115,FALSE),"")</f>
        <v>1.3</v>
      </c>
      <c r="H183">
        <f t="shared" si="12"/>
        <v>3.5544092473414435</v>
      </c>
      <c r="I183">
        <f t="shared" si="13"/>
        <v>53.316138710121649</v>
      </c>
      <c r="J183" s="846">
        <f>I183*'2. Incendis forestals'!$C$52</f>
        <v>532361.64502056467</v>
      </c>
      <c r="K183" t="str">
        <f>VLOOKUP(B183,'BD ASVICC'!$A$6:$BG$316,59,FALSE)</f>
        <v>CENTRAL</v>
      </c>
      <c r="L183">
        <f>VLOOKUP(K183,'2. Incendis forestals'!$F$9:$G$11,2,FALSE)</f>
        <v>0.75</v>
      </c>
      <c r="M183">
        <f t="shared" si="10"/>
        <v>9.7746254301889692</v>
      </c>
      <c r="N183">
        <f t="shared" si="14"/>
        <v>146.61938145283455</v>
      </c>
      <c r="O183" s="846">
        <f>N183*'2. Incendis forestals'!$C$52</f>
        <v>1463994.5238065529</v>
      </c>
      <c r="P183" s="846">
        <f t="shared" si="11"/>
        <v>931632.8787859882</v>
      </c>
      <c r="Q183" s="854">
        <f>D183/VLOOKUP(C183,'BD Comarcal'!$A$5:$AX$17,21,FALSE)</f>
        <v>3.4368790698589446E-2</v>
      </c>
      <c r="R183">
        <f>VLOOKUP(C183,'BD Comarcal'!$A$5:$AX$17,50,FALSE)*Q183</f>
        <v>3.5544092473414435</v>
      </c>
    </row>
    <row r="184" spans="1:18">
      <c r="A184">
        <v>8182</v>
      </c>
      <c r="B184" t="s">
        <v>1387</v>
      </c>
      <c r="C184" t="s">
        <v>82</v>
      </c>
      <c r="D184">
        <f>IFERROR(+VLOOKUP(B184,'BD ASVICC'!$A$6:$GQ$316,5,FALSE),"")</f>
        <v>2417</v>
      </c>
      <c r="E184">
        <f>IFERROR(+VLOOKUP($B184,'BD ASVICC'!$A$6:$GQ$316,113,FALSE),"")</f>
        <v>7.3</v>
      </c>
      <c r="F184">
        <f>IFERROR(+VLOOKUP($B184,'BD ASVICC'!$A$6:$GQ$316,114,FALSE),"")</f>
        <v>1</v>
      </c>
      <c r="G184">
        <f>IFERROR(+VLOOKUP($B184,'BD ASVICC'!$A$6:$GQ$316,115,FALSE),"")</f>
        <v>8.3000000000000007</v>
      </c>
      <c r="H184">
        <f t="shared" si="12"/>
        <v>26.652101167842162</v>
      </c>
      <c r="I184">
        <f t="shared" si="13"/>
        <v>399.78151751763244</v>
      </c>
      <c r="J184" s="846">
        <f>I184*'2. Incendis forestals'!$C$52</f>
        <v>3991818.4524135599</v>
      </c>
      <c r="K184" t="str">
        <f>VLOOKUP(B184,'BD ASVICC'!$A$6:$BG$316,59,FALSE)</f>
        <v>CENTRAL</v>
      </c>
      <c r="L184">
        <f>VLOOKUP(K184,'2. Incendis forestals'!$F$9:$G$11,2,FALSE)</f>
        <v>0.75</v>
      </c>
      <c r="M184">
        <f t="shared" si="10"/>
        <v>73.293278211565948</v>
      </c>
      <c r="N184">
        <f t="shared" si="14"/>
        <v>1099.3991731734893</v>
      </c>
      <c r="O184" s="846">
        <f>N184*'2. Incendis forestals'!$C$52</f>
        <v>10977500.744137291</v>
      </c>
      <c r="P184" s="846">
        <f t="shared" si="11"/>
        <v>6985682.291723731</v>
      </c>
      <c r="Q184" s="854">
        <f>D184/VLOOKUP(C184,'BD Comarcal'!$A$5:$AX$17,21,FALSE)</f>
        <v>2.9846138648094638E-2</v>
      </c>
      <c r="R184">
        <f>VLOOKUP(C184,'BD Comarcal'!$A$5:$AX$17,50,FALSE)*Q184</f>
        <v>26.652101167842162</v>
      </c>
    </row>
    <row r="185" spans="1:18">
      <c r="A185">
        <v>8183</v>
      </c>
      <c r="B185" t="s">
        <v>1390</v>
      </c>
      <c r="C185" t="s">
        <v>88</v>
      </c>
      <c r="D185">
        <f>IFERROR(+VLOOKUP(B185,'BD ASVICC'!$A$6:$GQ$316,5,FALSE),"")</f>
        <v>15</v>
      </c>
      <c r="E185">
        <f>IFERROR(+VLOOKUP($B185,'BD ASVICC'!$A$6:$GQ$316,113,FALSE),"")</f>
        <v>0</v>
      </c>
      <c r="F185">
        <f>IFERROR(+VLOOKUP($B185,'BD ASVICC'!$A$6:$GQ$316,114,FALSE),"")</f>
        <v>0</v>
      </c>
      <c r="G185">
        <f>IFERROR(+VLOOKUP($B185,'BD ASVICC'!$A$6:$GQ$316,115,FALSE),"")</f>
        <v>0</v>
      </c>
      <c r="H185">
        <f t="shared" si="12"/>
        <v>1.1666582677469745E-2</v>
      </c>
      <c r="I185">
        <f t="shared" si="13"/>
        <v>0.17499874016204617</v>
      </c>
      <c r="J185" s="846">
        <f>I185*'2. Incendis forestals'!$C$52</f>
        <v>1747.3624205180311</v>
      </c>
      <c r="K185" t="str">
        <f>VLOOKUP(B185,'BD ASVICC'!$A$6:$BG$316,59,FALSE)</f>
        <v>CENTRAL</v>
      </c>
      <c r="L185">
        <f>VLOOKUP(K185,'2. Incendis forestals'!$F$9:$G$11,2,FALSE)</f>
        <v>0.75</v>
      </c>
      <c r="M185">
        <f t="shared" si="10"/>
        <v>3.20831023630418E-2</v>
      </c>
      <c r="N185">
        <f t="shared" si="14"/>
        <v>0.48124653544562701</v>
      </c>
      <c r="O185" s="846">
        <f>N185*'2. Incendis forestals'!$C$52</f>
        <v>4805.246656424586</v>
      </c>
      <c r="P185" s="846">
        <f t="shared" si="11"/>
        <v>3057.8842359065547</v>
      </c>
      <c r="Q185" s="854">
        <f>D185/VLOOKUP(C185,'BD Comarcal'!$A$5:$AX$17,21,FALSE)</f>
        <v>1.6049990370005778E-4</v>
      </c>
      <c r="R185">
        <f>VLOOKUP(C185,'BD Comarcal'!$A$5:$AX$17,50,FALSE)*Q185</f>
        <v>1.1666582677469745E-2</v>
      </c>
    </row>
    <row r="186" spans="1:18">
      <c r="A186">
        <v>8184</v>
      </c>
      <c r="B186" t="s">
        <v>1394</v>
      </c>
      <c r="C186" t="s">
        <v>89</v>
      </c>
      <c r="D186">
        <f>IFERROR(+VLOOKUP(B186,'BD ASVICC'!$A$6:$GQ$316,5,FALSE),"")</f>
        <v>1233</v>
      </c>
      <c r="E186">
        <f>IFERROR(+VLOOKUP($B186,'BD ASVICC'!$A$6:$GQ$316,113,FALSE),"")</f>
        <v>3.53</v>
      </c>
      <c r="F186">
        <f>IFERROR(+VLOOKUP($B186,'BD ASVICC'!$A$6:$GQ$316,114,FALSE),"")</f>
        <v>4.1340000000000003</v>
      </c>
      <c r="G186">
        <f>IFERROR(+VLOOKUP($B186,'BD ASVICC'!$A$6:$GQ$316,115,FALSE),"")</f>
        <v>7.6639999999999997</v>
      </c>
      <c r="H186">
        <f t="shared" si="12"/>
        <v>9.8478512541659349</v>
      </c>
      <c r="I186">
        <f t="shared" si="13"/>
        <v>147.71776881248903</v>
      </c>
      <c r="J186" s="846">
        <f>I186*'2. Incendis forestals'!$C$52</f>
        <v>1474961.9215927029</v>
      </c>
      <c r="K186" t="str">
        <f>VLOOKUP(B186,'BD ASVICC'!$A$6:$BG$316,59,FALSE)</f>
        <v>LITORAL</v>
      </c>
      <c r="L186">
        <f>VLOOKUP(K186,'2. Incendis forestals'!$F$9:$G$11,2,FALSE)</f>
        <v>0.75</v>
      </c>
      <c r="M186">
        <f t="shared" si="10"/>
        <v>27.081590948956322</v>
      </c>
      <c r="N186">
        <f t="shared" si="14"/>
        <v>406.22386423434483</v>
      </c>
      <c r="O186" s="846">
        <f>N186*'2. Incendis forestals'!$C$52</f>
        <v>4056145.284379933</v>
      </c>
      <c r="P186" s="846">
        <f t="shared" si="11"/>
        <v>2581183.3627872299</v>
      </c>
      <c r="Q186" s="854">
        <f>D186/VLOOKUP(C186,'BD Comarcal'!$A$5:$AX$17,21,FALSE)</f>
        <v>3.6046307665321874E-2</v>
      </c>
      <c r="R186">
        <f>VLOOKUP(C186,'BD Comarcal'!$A$5:$AX$17,50,FALSE)*Q186</f>
        <v>9.8478512541659349</v>
      </c>
    </row>
    <row r="187" spans="1:18">
      <c r="A187">
        <v>8185</v>
      </c>
      <c r="B187" t="s">
        <v>1399</v>
      </c>
      <c r="C187" t="s">
        <v>81</v>
      </c>
      <c r="D187">
        <f>IFERROR(+VLOOKUP(B187,'BD ASVICC'!$A$6:$GQ$316,5,FALSE),"")</f>
        <v>3649</v>
      </c>
      <c r="E187">
        <f>IFERROR(+VLOOKUP($B187,'BD ASVICC'!$A$6:$GQ$316,113,FALSE),"")</f>
        <v>0</v>
      </c>
      <c r="F187">
        <f>IFERROR(+VLOOKUP($B187,'BD ASVICC'!$A$6:$GQ$316,114,FALSE),"")</f>
        <v>1.5</v>
      </c>
      <c r="G187">
        <f>IFERROR(+VLOOKUP($B187,'BD ASVICC'!$A$6:$GQ$316,115,FALSE),"")</f>
        <v>1.5</v>
      </c>
      <c r="H187">
        <f t="shared" si="12"/>
        <v>40.282115163287848</v>
      </c>
      <c r="I187">
        <f t="shared" si="13"/>
        <v>604.23172744931776</v>
      </c>
      <c r="J187" s="846">
        <f>I187*'2. Incendis forestals'!$C$52</f>
        <v>6033253.7985814381</v>
      </c>
      <c r="K187" t="str">
        <f>VLOOKUP(B187,'BD ASVICC'!$A$6:$BG$316,59,FALSE)</f>
        <v>CENTRAL</v>
      </c>
      <c r="L187">
        <f>VLOOKUP(K187,'2. Incendis forestals'!$F$9:$G$11,2,FALSE)</f>
        <v>0.75</v>
      </c>
      <c r="M187">
        <f t="shared" si="10"/>
        <v>110.77581669904157</v>
      </c>
      <c r="N187">
        <f t="shared" si="14"/>
        <v>1661.6372504856236</v>
      </c>
      <c r="O187" s="846">
        <f>N187*'2. Incendis forestals'!$C$52</f>
        <v>16591447.946098952</v>
      </c>
      <c r="P187" s="846">
        <f t="shared" si="11"/>
        <v>10558194.147517513</v>
      </c>
      <c r="Q187" s="854">
        <f>D187/VLOOKUP(C187,'BD Comarcal'!$A$5:$AX$17,21,FALSE)</f>
        <v>6.9956480895688344E-2</v>
      </c>
      <c r="R187">
        <f>VLOOKUP(C187,'BD Comarcal'!$A$5:$AX$17,50,FALSE)*Q187</f>
        <v>40.282115163287848</v>
      </c>
    </row>
    <row r="188" spans="1:18">
      <c r="A188">
        <v>8187</v>
      </c>
      <c r="B188" t="s">
        <v>947</v>
      </c>
      <c r="C188" t="s">
        <v>89</v>
      </c>
      <c r="D188">
        <f>IFERROR(+VLOOKUP(B188,'BD ASVICC'!$A$6:$GQ$316,5,FALSE),"")</f>
        <v>908</v>
      </c>
      <c r="E188">
        <f>IFERROR(+VLOOKUP($B188,'BD ASVICC'!$A$6:$GQ$316,113,FALSE),"")</f>
        <v>0.99</v>
      </c>
      <c r="F188">
        <f>IFERROR(+VLOOKUP($B188,'BD ASVICC'!$A$6:$GQ$316,114,FALSE),"")</f>
        <v>1.58</v>
      </c>
      <c r="G188">
        <f>IFERROR(+VLOOKUP($B188,'BD ASVICC'!$A$6:$GQ$316,115,FALSE),"")</f>
        <v>2.57</v>
      </c>
      <c r="H188">
        <f t="shared" si="12"/>
        <v>7.2521078173419866</v>
      </c>
      <c r="I188">
        <f t="shared" si="13"/>
        <v>108.78161726012979</v>
      </c>
      <c r="J188" s="846">
        <f>I188*'2. Incendis forestals'!$C$52</f>
        <v>1086184.4483423959</v>
      </c>
      <c r="K188" t="str">
        <f>VLOOKUP(B188,'BD ASVICC'!$A$6:$BG$316,59,FALSE)</f>
        <v>LITORAL</v>
      </c>
      <c r="L188">
        <f>VLOOKUP(K188,'2. Incendis forestals'!$F$9:$G$11,2,FALSE)</f>
        <v>0.75</v>
      </c>
      <c r="M188">
        <f t="shared" si="10"/>
        <v>19.943296497690461</v>
      </c>
      <c r="N188">
        <f t="shared" si="14"/>
        <v>299.1494474653569</v>
      </c>
      <c r="O188" s="846">
        <f>N188*'2. Incendis forestals'!$C$52</f>
        <v>2987007.2329415889</v>
      </c>
      <c r="P188" s="846">
        <f t="shared" si="11"/>
        <v>1900822.7845991929</v>
      </c>
      <c r="Q188" s="854">
        <f>D188/VLOOKUP(C188,'BD Comarcal'!$A$5:$AX$17,21,FALSE)</f>
        <v>2.6545050575922352E-2</v>
      </c>
      <c r="R188">
        <f>VLOOKUP(C188,'BD Comarcal'!$A$5:$AX$17,50,FALSE)*Q188</f>
        <v>7.2521078173419866</v>
      </c>
    </row>
    <row r="189" spans="1:18">
      <c r="A189">
        <v>8188</v>
      </c>
      <c r="B189" t="s">
        <v>1409</v>
      </c>
      <c r="C189" t="s">
        <v>84</v>
      </c>
      <c r="D189">
        <f>IFERROR(+VLOOKUP(B189,'BD ASVICC'!$A$6:$GQ$316,5,FALSE),"")</f>
        <v>3309</v>
      </c>
      <c r="E189">
        <f>IFERROR(+VLOOKUP($B189,'BD ASVICC'!$A$6:$GQ$316,113,FALSE),"")</f>
        <v>0.5</v>
      </c>
      <c r="F189">
        <f>IFERROR(+VLOOKUP($B189,'BD ASVICC'!$A$6:$GQ$316,114,FALSE),"")</f>
        <v>2.15</v>
      </c>
      <c r="G189">
        <f>IFERROR(+VLOOKUP($B189,'BD ASVICC'!$A$6:$GQ$316,115,FALSE),"")</f>
        <v>2.65</v>
      </c>
      <c r="H189">
        <f t="shared" si="12"/>
        <v>20.445928513112271</v>
      </c>
      <c r="I189">
        <f t="shared" si="13"/>
        <v>306.68892769668406</v>
      </c>
      <c r="J189" s="846">
        <f>I189*'2. Incendis forestals'!$C$52</f>
        <v>3062288.9430513903</v>
      </c>
      <c r="K189" t="str">
        <f>VLOOKUP(B189,'BD ASVICC'!$A$6:$BG$316,59,FALSE)</f>
        <v>PREPIRINEU-PIRINEU</v>
      </c>
      <c r="L189">
        <f>VLOOKUP(K189,'2. Incendis forestals'!$F$9:$G$11,2,FALSE)</f>
        <v>0.75</v>
      </c>
      <c r="M189">
        <f t="shared" si="10"/>
        <v>56.226303411058744</v>
      </c>
      <c r="N189">
        <f t="shared" si="14"/>
        <v>843.39455116588113</v>
      </c>
      <c r="O189" s="846">
        <f>N189*'2. Incendis forestals'!$C$52</f>
        <v>8421294.5933913235</v>
      </c>
      <c r="P189" s="846">
        <f t="shared" si="11"/>
        <v>5359005.6503399331</v>
      </c>
      <c r="Q189" s="854">
        <f>D189/VLOOKUP(C189,'BD Comarcal'!$A$5:$AX$17,21,FALSE)</f>
        <v>3.1296107138803771E-2</v>
      </c>
      <c r="R189">
        <f>VLOOKUP(C189,'BD Comarcal'!$A$5:$AX$17,50,FALSE)*Q189</f>
        <v>20.445928513112271</v>
      </c>
    </row>
    <row r="190" spans="1:18">
      <c r="A190">
        <v>8189</v>
      </c>
      <c r="B190" t="s">
        <v>1411</v>
      </c>
      <c r="C190" t="s">
        <v>81</v>
      </c>
      <c r="D190">
        <f>IFERROR(+VLOOKUP(B190,'BD ASVICC'!$A$6:$GQ$316,5,FALSE),"")</f>
        <v>963</v>
      </c>
      <c r="E190">
        <f>IFERROR(+VLOOKUP($B190,'BD ASVICC'!$A$6:$GQ$316,113,FALSE),"")</f>
        <v>0</v>
      </c>
      <c r="F190">
        <f>IFERROR(+VLOOKUP($B190,'BD ASVICC'!$A$6:$GQ$316,114,FALSE),"")</f>
        <v>0</v>
      </c>
      <c r="G190">
        <f>IFERROR(+VLOOKUP($B190,'BD ASVICC'!$A$6:$GQ$316,115,FALSE),"")</f>
        <v>0</v>
      </c>
      <c r="H190">
        <f t="shared" si="12"/>
        <v>10.63076922506062</v>
      </c>
      <c r="I190">
        <f t="shared" si="13"/>
        <v>159.4615383759093</v>
      </c>
      <c r="J190" s="846">
        <f>I190*'2. Incendis forestals'!$C$52</f>
        <v>1592223.4606834543</v>
      </c>
      <c r="K190" t="str">
        <f>VLOOKUP(B190,'BD ASVICC'!$A$6:$BG$316,59,FALSE)</f>
        <v>PREPIRINEU-PIRINEU</v>
      </c>
      <c r="L190">
        <f>VLOOKUP(K190,'2. Incendis forestals'!$F$9:$G$11,2,FALSE)</f>
        <v>0.75</v>
      </c>
      <c r="M190">
        <f t="shared" si="10"/>
        <v>29.234615368916707</v>
      </c>
      <c r="N190">
        <f t="shared" si="14"/>
        <v>438.5192305337506</v>
      </c>
      <c r="O190" s="846">
        <f>N190*'2. Incendis forestals'!$C$52</f>
        <v>4378614.5168794999</v>
      </c>
      <c r="P190" s="846">
        <f t="shared" si="11"/>
        <v>2786391.0561960456</v>
      </c>
      <c r="Q190" s="854">
        <f>D190/VLOOKUP(C190,'BD Comarcal'!$A$5:$AX$17,21,FALSE)</f>
        <v>1.8462069362167138E-2</v>
      </c>
      <c r="R190">
        <f>VLOOKUP(C190,'BD Comarcal'!$A$5:$AX$17,50,FALSE)*Q190</f>
        <v>10.63076922506062</v>
      </c>
    </row>
    <row r="191" spans="1:18">
      <c r="A191">
        <v>8190</v>
      </c>
      <c r="B191" t="s">
        <v>1413</v>
      </c>
      <c r="C191" t="s">
        <v>84</v>
      </c>
      <c r="D191">
        <f>IFERROR(+VLOOKUP(B191,'BD ASVICC'!$A$6:$GQ$316,5,FALSE),"")</f>
        <v>5540</v>
      </c>
      <c r="E191">
        <f>IFERROR(+VLOOKUP($B191,'BD ASVICC'!$A$6:$GQ$316,113,FALSE),"")</f>
        <v>4</v>
      </c>
      <c r="F191">
        <f>IFERROR(+VLOOKUP($B191,'BD ASVICC'!$A$6:$GQ$316,114,FALSE),"")</f>
        <v>0</v>
      </c>
      <c r="G191">
        <f>IFERROR(+VLOOKUP($B191,'BD ASVICC'!$A$6:$GQ$316,115,FALSE),"")</f>
        <v>4</v>
      </c>
      <c r="H191">
        <f t="shared" si="12"/>
        <v>34.231019632106971</v>
      </c>
      <c r="I191">
        <f t="shared" si="13"/>
        <v>513.46529448160459</v>
      </c>
      <c r="J191" s="846">
        <f>I191*'2. Incendis forestals'!$C$52</f>
        <v>5126950.965398822</v>
      </c>
      <c r="K191" t="str">
        <f>VLOOKUP(B191,'BD ASVICC'!$A$6:$BG$316,59,FALSE)</f>
        <v>PREPIRINEU-PIRINEU</v>
      </c>
      <c r="L191">
        <f>VLOOKUP(K191,'2. Incendis forestals'!$F$9:$G$11,2,FALSE)</f>
        <v>0.75</v>
      </c>
      <c r="M191">
        <f t="shared" si="10"/>
        <v>94.135303988294169</v>
      </c>
      <c r="N191">
        <f t="shared" si="14"/>
        <v>1412.0295598244124</v>
      </c>
      <c r="O191" s="846">
        <f>N191*'2. Incendis forestals'!$C$52</f>
        <v>14099115.154846758</v>
      </c>
      <c r="P191" s="846">
        <f t="shared" si="11"/>
        <v>8972164.1894479357</v>
      </c>
      <c r="Q191" s="854">
        <f>D191/VLOOKUP(C191,'BD Comarcal'!$A$5:$AX$17,21,FALSE)</f>
        <v>5.2396625430333292E-2</v>
      </c>
      <c r="R191">
        <f>VLOOKUP(C191,'BD Comarcal'!$A$5:$AX$17,50,FALSE)*Q191</f>
        <v>34.231019632106971</v>
      </c>
    </row>
    <row r="192" spans="1:18">
      <c r="A192">
        <v>8191</v>
      </c>
      <c r="B192" t="s">
        <v>1416</v>
      </c>
      <c r="C192" t="s">
        <v>82</v>
      </c>
      <c r="D192">
        <f>IFERROR(+VLOOKUP(B192,'BD ASVICC'!$A$6:$GQ$316,5,FALSE),"")</f>
        <v>3980</v>
      </c>
      <c r="E192">
        <f>IFERROR(+VLOOKUP($B192,'BD ASVICC'!$A$6:$GQ$316,113,FALSE),"")</f>
        <v>87.82</v>
      </c>
      <c r="F192">
        <f>IFERROR(+VLOOKUP($B192,'BD ASVICC'!$A$6:$GQ$316,114,FALSE),"")</f>
        <v>1.85</v>
      </c>
      <c r="G192">
        <f>IFERROR(+VLOOKUP($B192,'BD ASVICC'!$A$6:$GQ$316,115,FALSE),"")</f>
        <v>89.67</v>
      </c>
      <c r="H192">
        <f t="shared" si="12"/>
        <v>43.887200102611423</v>
      </c>
      <c r="I192">
        <f t="shared" si="13"/>
        <v>658.3080015391713</v>
      </c>
      <c r="J192" s="846">
        <f>I192*'2. Incendis forestals'!$C$52</f>
        <v>6573205.3953686254</v>
      </c>
      <c r="K192" t="str">
        <f>VLOOKUP(B192,'BD ASVICC'!$A$6:$BG$316,59,FALSE)</f>
        <v>CENTRAL</v>
      </c>
      <c r="L192">
        <f>VLOOKUP(K192,'2. Incendis forestals'!$F$9:$G$11,2,FALSE)</f>
        <v>0.75</v>
      </c>
      <c r="M192">
        <f t="shared" si="10"/>
        <v>120.68980028218141</v>
      </c>
      <c r="N192">
        <f t="shared" si="14"/>
        <v>1810.3470042327212</v>
      </c>
      <c r="O192" s="846">
        <f>N192*'2. Incendis forestals'!$C$52</f>
        <v>18076314.837263722</v>
      </c>
      <c r="P192" s="846">
        <f t="shared" si="11"/>
        <v>11503109.441895097</v>
      </c>
      <c r="Q192" s="854">
        <f>D192/VLOOKUP(C192,'BD Comarcal'!$A$5:$AX$17,21,FALSE)</f>
        <v>4.9146723963349882E-2</v>
      </c>
      <c r="R192">
        <f>VLOOKUP(C192,'BD Comarcal'!$A$5:$AX$17,50,FALSE)*Q192</f>
        <v>43.887200102611423</v>
      </c>
    </row>
    <row r="193" spans="1:18">
      <c r="A193">
        <v>8192</v>
      </c>
      <c r="B193" t="s">
        <v>1418</v>
      </c>
      <c r="C193" t="s">
        <v>82</v>
      </c>
      <c r="D193">
        <f>IFERROR(+VLOOKUP(B193,'BD ASVICC'!$A$6:$GQ$316,5,FALSE),"")</f>
        <v>372</v>
      </c>
      <c r="E193">
        <f>IFERROR(+VLOOKUP($B193,'BD ASVICC'!$A$6:$GQ$316,113,FALSE),"")</f>
        <v>0</v>
      </c>
      <c r="F193">
        <f>IFERROR(+VLOOKUP($B193,'BD ASVICC'!$A$6:$GQ$316,114,FALSE),"")</f>
        <v>0</v>
      </c>
      <c r="G193">
        <f>IFERROR(+VLOOKUP($B193,'BD ASVICC'!$A$6:$GQ$316,115,FALSE),"")</f>
        <v>0</v>
      </c>
      <c r="H193">
        <f t="shared" si="12"/>
        <v>4.1020197080832785</v>
      </c>
      <c r="I193">
        <f t="shared" si="13"/>
        <v>61.530295621249181</v>
      </c>
      <c r="J193" s="846">
        <f>I193*'2. Incendis forestals'!$C$52</f>
        <v>614380.00177817303</v>
      </c>
      <c r="K193" t="str">
        <f>VLOOKUP(B193,'BD ASVICC'!$A$6:$BG$316,59,FALSE)</f>
        <v>CENTRAL</v>
      </c>
      <c r="L193">
        <f>VLOOKUP(K193,'2. Incendis forestals'!$F$9:$G$11,2,FALSE)</f>
        <v>0.75</v>
      </c>
      <c r="M193">
        <f t="shared" si="10"/>
        <v>11.280554197229016</v>
      </c>
      <c r="N193">
        <f t="shared" si="14"/>
        <v>169.20831295843524</v>
      </c>
      <c r="O193" s="846">
        <f>N193*'2. Incendis forestals'!$C$52</f>
        <v>1689545.004889976</v>
      </c>
      <c r="P193" s="846">
        <f t="shared" si="11"/>
        <v>1075165.003111803</v>
      </c>
      <c r="Q193" s="854">
        <f>D193/VLOOKUP(C193,'BD Comarcal'!$A$5:$AX$17,21,FALSE)</f>
        <v>4.5936133955693861E-3</v>
      </c>
      <c r="R193">
        <f>VLOOKUP(C193,'BD Comarcal'!$A$5:$AX$17,50,FALSE)*Q193</f>
        <v>4.1020197080832785</v>
      </c>
    </row>
    <row r="194" spans="1:18">
      <c r="A194">
        <v>8193</v>
      </c>
      <c r="B194" t="s">
        <v>1421</v>
      </c>
      <c r="C194" t="s">
        <v>86</v>
      </c>
      <c r="D194">
        <f>IFERROR(+VLOOKUP(B194,'BD ASVICC'!$A$6:$GQ$316,5,FALSE),"")</f>
        <v>1292</v>
      </c>
      <c r="E194">
        <f>IFERROR(+VLOOKUP($B194,'BD ASVICC'!$A$6:$GQ$316,113,FALSE),"")</f>
        <v>0</v>
      </c>
      <c r="F194">
        <f>IFERROR(+VLOOKUP($B194,'BD ASVICC'!$A$6:$GQ$316,114,FALSE),"")</f>
        <v>0</v>
      </c>
      <c r="G194">
        <f>IFERROR(+VLOOKUP($B194,'BD ASVICC'!$A$6:$GQ$316,115,FALSE),"")</f>
        <v>0</v>
      </c>
      <c r="H194">
        <f t="shared" si="12"/>
        <v>2.313492646926556</v>
      </c>
      <c r="I194">
        <f t="shared" si="13"/>
        <v>34.702389703898341</v>
      </c>
      <c r="J194" s="846">
        <f>I194*'2. Incendis forestals'!$C$52</f>
        <v>346503.36119342491</v>
      </c>
      <c r="K194" t="str">
        <f>VLOOKUP(B194,'BD ASVICC'!$A$6:$BG$316,59,FALSE)</f>
        <v>LITORAL</v>
      </c>
      <c r="L194">
        <f>VLOOKUP(K194,'2. Incendis forestals'!$F$9:$G$11,2,FALSE)</f>
        <v>0.75</v>
      </c>
      <c r="M194">
        <f t="shared" si="10"/>
        <v>6.3621047790480292</v>
      </c>
      <c r="N194">
        <f t="shared" si="14"/>
        <v>95.431571685720442</v>
      </c>
      <c r="O194" s="846">
        <f>N194*'2. Incendis forestals'!$C$52</f>
        <v>952884.24328191858</v>
      </c>
      <c r="P194" s="846">
        <f t="shared" si="11"/>
        <v>606380.88208849367</v>
      </c>
      <c r="Q194" s="854">
        <f>D194/VLOOKUP(C194,'BD Comarcal'!$A$5:$AX$17,21,FALSE)</f>
        <v>4.803152533551433E-2</v>
      </c>
      <c r="R194">
        <f>VLOOKUP(C194,'BD Comarcal'!$A$5:$AX$17,50,FALSE)*Q194</f>
        <v>2.313492646926556</v>
      </c>
    </row>
    <row r="195" spans="1:18">
      <c r="A195">
        <v>8194</v>
      </c>
      <c r="B195" t="s">
        <v>350</v>
      </c>
      <c r="C195" t="s">
        <v>83</v>
      </c>
      <c r="D195">
        <f>IFERROR(+VLOOKUP(B195,'BD ASVICC'!$A$6:$GQ$316,5,FALSE),"")</f>
        <v>37</v>
      </c>
      <c r="E195">
        <f>IFERROR(+VLOOKUP($B195,'BD ASVICC'!$A$6:$GQ$316,113,FALSE),"")</f>
        <v>0</v>
      </c>
      <c r="F195">
        <f>IFERROR(+VLOOKUP($B195,'BD ASVICC'!$A$6:$GQ$316,114,FALSE),"")</f>
        <v>0</v>
      </c>
      <c r="G195">
        <f>IFERROR(+VLOOKUP($B195,'BD ASVICC'!$A$6:$GQ$316,115,FALSE),"")</f>
        <v>0</v>
      </c>
      <c r="H195">
        <f t="shared" si="12"/>
        <v>0.57483158565697201</v>
      </c>
      <c r="I195">
        <f t="shared" si="13"/>
        <v>8.6224737848545807</v>
      </c>
      <c r="J195" s="846">
        <f>I195*'2. Incendis forestals'!$C$52</f>
        <v>86095.400741772988</v>
      </c>
      <c r="K195" t="str">
        <f>VLOOKUP(B195,'BD ASVICC'!$A$6:$BG$316,59,FALSE)</f>
        <v>LITORAL</v>
      </c>
      <c r="L195">
        <f>VLOOKUP(K195,'2. Incendis forestals'!$F$9:$G$11,2,FALSE)</f>
        <v>0.75</v>
      </c>
      <c r="M195">
        <f t="shared" si="10"/>
        <v>1.5807868605566728</v>
      </c>
      <c r="N195">
        <f t="shared" si="14"/>
        <v>23.711802908350094</v>
      </c>
      <c r="O195" s="846">
        <f>N195*'2. Incendis forestals'!$C$52</f>
        <v>236762.3520398757</v>
      </c>
      <c r="P195" s="846">
        <f t="shared" si="11"/>
        <v>150666.95129810271</v>
      </c>
      <c r="Q195" s="854">
        <f>D195/VLOOKUP(C195,'BD Comarcal'!$A$5:$AX$17,21,FALSE)</f>
        <v>1.4335528864781092E-2</v>
      </c>
      <c r="R195">
        <f>VLOOKUP(C195,'BD Comarcal'!$A$5:$AX$17,50,FALSE)*Q195</f>
        <v>0.57483158565697201</v>
      </c>
    </row>
    <row r="196" spans="1:18">
      <c r="A196">
        <v>8195</v>
      </c>
      <c r="B196" t="s">
        <v>1424</v>
      </c>
      <c r="C196" t="s">
        <v>88</v>
      </c>
      <c r="D196">
        <f>IFERROR(+VLOOKUP(B196,'BD ASVICC'!$A$6:$GQ$316,5,FALSE),"")</f>
        <v>815</v>
      </c>
      <c r="E196">
        <f>IFERROR(+VLOOKUP($B196,'BD ASVICC'!$A$6:$GQ$316,113,FALSE),"")</f>
        <v>0</v>
      </c>
      <c r="F196">
        <f>IFERROR(+VLOOKUP($B196,'BD ASVICC'!$A$6:$GQ$316,114,FALSE),"")</f>
        <v>0</v>
      </c>
      <c r="G196">
        <f>IFERROR(+VLOOKUP($B196,'BD ASVICC'!$A$6:$GQ$316,115,FALSE),"")</f>
        <v>0</v>
      </c>
      <c r="H196">
        <f t="shared" si="12"/>
        <v>0.63388432547585616</v>
      </c>
      <c r="I196">
        <f t="shared" si="13"/>
        <v>9.5082648821378424</v>
      </c>
      <c r="J196" s="846">
        <f>I196*'2. Incendis forestals'!$C$52</f>
        <v>94940.02484814635</v>
      </c>
      <c r="K196" t="str">
        <f>VLOOKUP(B196,'BD ASVICC'!$A$6:$BG$316,59,FALSE)</f>
        <v>PREPIRINEU-PIRINEU</v>
      </c>
      <c r="L196">
        <f>VLOOKUP(K196,'2. Incendis forestals'!$F$9:$G$11,2,FALSE)</f>
        <v>0.75</v>
      </c>
      <c r="M196">
        <f t="shared" ref="M196:M259" si="15">H196+(1+L196)*H196</f>
        <v>1.7431818950586044</v>
      </c>
      <c r="N196">
        <f t="shared" si="14"/>
        <v>26.147728425879066</v>
      </c>
      <c r="O196" s="846">
        <f>N196*'2. Incendis forestals'!$C$52</f>
        <v>261085.06833240247</v>
      </c>
      <c r="P196" s="846">
        <f t="shared" ref="P196:P259" si="16">O196-J196</f>
        <v>166145.04348425614</v>
      </c>
      <c r="Q196" s="854">
        <f>D196/VLOOKUP(C196,'BD Comarcal'!$A$5:$AX$17,21,FALSE)</f>
        <v>8.7204947677031394E-3</v>
      </c>
      <c r="R196">
        <f>VLOOKUP(C196,'BD Comarcal'!$A$5:$AX$17,50,FALSE)*Q196</f>
        <v>0.63388432547585616</v>
      </c>
    </row>
    <row r="197" spans="1:18">
      <c r="A197">
        <v>8196</v>
      </c>
      <c r="B197" t="s">
        <v>1426</v>
      </c>
      <c r="C197" t="s">
        <v>90</v>
      </c>
      <c r="D197">
        <f>IFERROR(+VLOOKUP(B197,'BD ASVICC'!$A$6:$GQ$316,5,FALSE),"")</f>
        <v>199</v>
      </c>
      <c r="E197">
        <f>IFERROR(+VLOOKUP($B197,'BD ASVICC'!$A$6:$GQ$316,113,FALSE),"")</f>
        <v>0</v>
      </c>
      <c r="F197">
        <f>IFERROR(+VLOOKUP($B197,'BD ASVICC'!$A$6:$GQ$316,114,FALSE),"")</f>
        <v>0</v>
      </c>
      <c r="G197">
        <f>IFERROR(+VLOOKUP($B197,'BD ASVICC'!$A$6:$GQ$316,115,FALSE),"")</f>
        <v>0</v>
      </c>
      <c r="H197">
        <f t="shared" ref="H197:H260" si="17">R197</f>
        <v>1.6543693965388853</v>
      </c>
      <c r="I197">
        <f t="shared" ref="I197:I260" si="18">H197*15</f>
        <v>24.815540948083278</v>
      </c>
      <c r="J197" s="846">
        <f>I197*'2. Incendis forestals'!$C$52</f>
        <v>247783.17636661153</v>
      </c>
      <c r="K197" t="str">
        <f>VLOOKUP(B197,'BD ASVICC'!$A$6:$BG$316,59,FALSE)</f>
        <v>LITORAL</v>
      </c>
      <c r="L197">
        <f>VLOOKUP(K197,'2. Incendis forestals'!$F$9:$G$11,2,FALSE)</f>
        <v>0.75</v>
      </c>
      <c r="M197">
        <f t="shared" si="15"/>
        <v>4.5495158404819342</v>
      </c>
      <c r="N197">
        <f t="shared" ref="N197:N260" si="19">M197*15</f>
        <v>68.242737607229017</v>
      </c>
      <c r="O197" s="846">
        <f>N197*'2. Incendis forestals'!$C$52</f>
        <v>681403.73500818177</v>
      </c>
      <c r="P197" s="846">
        <f t="shared" si="16"/>
        <v>433620.55864157027</v>
      </c>
      <c r="Q197" s="854">
        <f>D197/VLOOKUP(C197,'BD Comarcal'!$A$5:$AX$17,21,FALSE)</f>
        <v>7.6562019082794704E-3</v>
      </c>
      <c r="R197">
        <f>VLOOKUP(C197,'BD Comarcal'!$A$5:$AX$17,50,FALSE)*Q197</f>
        <v>1.6543693965388853</v>
      </c>
    </row>
    <row r="198" spans="1:18">
      <c r="A198">
        <v>8197</v>
      </c>
      <c r="B198" t="s">
        <v>351</v>
      </c>
      <c r="C198" t="s">
        <v>86</v>
      </c>
      <c r="D198">
        <f>IFERROR(+VLOOKUP(B198,'BD ASVICC'!$A$6:$GQ$316,5,FALSE),"")</f>
        <v>957</v>
      </c>
      <c r="E198">
        <f>IFERROR(+VLOOKUP($B198,'BD ASVICC'!$A$6:$GQ$316,113,FALSE),"")</f>
        <v>0</v>
      </c>
      <c r="F198">
        <f>IFERROR(+VLOOKUP($B198,'BD ASVICC'!$A$6:$GQ$316,114,FALSE),"")</f>
        <v>0</v>
      </c>
      <c r="G198">
        <f>IFERROR(+VLOOKUP($B198,'BD ASVICC'!$A$6:$GQ$316,115,FALSE),"")</f>
        <v>0</v>
      </c>
      <c r="H198">
        <f t="shared" si="17"/>
        <v>1.7136319373906457</v>
      </c>
      <c r="I198">
        <f t="shared" si="18"/>
        <v>25.704479060859686</v>
      </c>
      <c r="J198" s="846">
        <f>I198*'2. Incendis forestals'!$C$52</f>
        <v>256659.22342268398</v>
      </c>
      <c r="K198" t="str">
        <f>VLOOKUP(B198,'BD ASVICC'!$A$6:$BG$316,59,FALSE)</f>
        <v>LITORAL</v>
      </c>
      <c r="L198">
        <f>VLOOKUP(K198,'2. Incendis forestals'!$F$9:$G$11,2,FALSE)</f>
        <v>0.75</v>
      </c>
      <c r="M198">
        <f t="shared" si="15"/>
        <v>4.7124878278242752</v>
      </c>
      <c r="N198">
        <f t="shared" si="19"/>
        <v>70.687317417364127</v>
      </c>
      <c r="O198" s="846">
        <f>N198*'2. Incendis forestals'!$C$52</f>
        <v>705812.86441238085</v>
      </c>
      <c r="P198" s="846">
        <f t="shared" si="16"/>
        <v>449153.64098969684</v>
      </c>
      <c r="Q198" s="854">
        <f>D198/VLOOKUP(C198,'BD Comarcal'!$A$5:$AX$17,21,FALSE)</f>
        <v>3.5577530763225396E-2</v>
      </c>
      <c r="R198">
        <f>VLOOKUP(C198,'BD Comarcal'!$A$5:$AX$17,50,FALSE)*Q198</f>
        <v>1.7136319373906457</v>
      </c>
    </row>
    <row r="199" spans="1:18">
      <c r="A199">
        <v>8198</v>
      </c>
      <c r="B199" t="s">
        <v>1429</v>
      </c>
      <c r="C199" t="s">
        <v>24</v>
      </c>
      <c r="D199">
        <f>IFERROR(+VLOOKUP(B199,'BD ASVICC'!$A$6:$GQ$316,5,FALSE),"")</f>
        <v>437</v>
      </c>
      <c r="E199">
        <f>IFERROR(+VLOOKUP($B199,'BD ASVICC'!$A$6:$GQ$316,113,FALSE),"")</f>
        <v>12.64</v>
      </c>
      <c r="F199">
        <f>IFERROR(+VLOOKUP($B199,'BD ASVICC'!$A$6:$GQ$316,114,FALSE),"")</f>
        <v>0.15</v>
      </c>
      <c r="G199">
        <f>IFERROR(+VLOOKUP($B199,'BD ASVICC'!$A$6:$GQ$316,115,FALSE),"")</f>
        <v>12.79</v>
      </c>
      <c r="H199">
        <f t="shared" si="17"/>
        <v>0.88911095654734451</v>
      </c>
      <c r="I199">
        <f t="shared" si="18"/>
        <v>13.336664348210167</v>
      </c>
      <c r="J199" s="846">
        <f>I199*'2. Incendis forestals'!$C$52</f>
        <v>133166.59351687852</v>
      </c>
      <c r="K199" t="str">
        <f>VLOOKUP(B199,'BD ASVICC'!$A$6:$BG$316,59,FALSE)</f>
        <v>CENTRAL</v>
      </c>
      <c r="L199">
        <f>VLOOKUP(K199,'2. Incendis forestals'!$F$9:$G$11,2,FALSE)</f>
        <v>0.75</v>
      </c>
      <c r="M199">
        <f t="shared" si="15"/>
        <v>2.4450551305051973</v>
      </c>
      <c r="N199">
        <f t="shared" si="19"/>
        <v>36.675826957577961</v>
      </c>
      <c r="O199" s="846">
        <f>N199*'2. Incendis forestals'!$C$52</f>
        <v>366208.13217141596</v>
      </c>
      <c r="P199" s="846">
        <f t="shared" si="16"/>
        <v>233041.53865453743</v>
      </c>
      <c r="Q199" s="854">
        <f>D199/VLOOKUP(C199,'BD Comarcal'!$A$5:$AX$17,21,FALSE)</f>
        <v>8.5971159331903763E-3</v>
      </c>
      <c r="R199">
        <f>VLOOKUP(C199,'BD Comarcal'!$A$5:$AX$17,50,FALSE)*Q199</f>
        <v>0.88911095654734451</v>
      </c>
    </row>
    <row r="200" spans="1:18">
      <c r="A200">
        <v>8199</v>
      </c>
      <c r="B200" t="s">
        <v>1431</v>
      </c>
      <c r="C200" t="s">
        <v>88</v>
      </c>
      <c r="D200">
        <f>IFERROR(+VLOOKUP(B200,'BD ASVICC'!$A$6:$GQ$316,5,FALSE),"")</f>
        <v>2310</v>
      </c>
      <c r="E200">
        <f>IFERROR(+VLOOKUP($B200,'BD ASVICC'!$A$6:$GQ$316,113,FALSE),"")</f>
        <v>0</v>
      </c>
      <c r="F200">
        <f>IFERROR(+VLOOKUP($B200,'BD ASVICC'!$A$6:$GQ$316,114,FALSE),"")</f>
        <v>0</v>
      </c>
      <c r="G200">
        <f>IFERROR(+VLOOKUP($B200,'BD ASVICC'!$A$6:$GQ$316,115,FALSE),"")</f>
        <v>0</v>
      </c>
      <c r="H200">
        <f t="shared" si="17"/>
        <v>1.7966537323303406</v>
      </c>
      <c r="I200">
        <f t="shared" si="18"/>
        <v>26.949805984955109</v>
      </c>
      <c r="J200" s="846">
        <f>I200*'2. Incendis forestals'!$C$52</f>
        <v>269093.81275977677</v>
      </c>
      <c r="K200" t="str">
        <f>VLOOKUP(B200,'BD ASVICC'!$A$6:$BG$316,59,FALSE)</f>
        <v>PREPIRINEU-PIRINEU</v>
      </c>
      <c r="L200">
        <f>VLOOKUP(K200,'2. Incendis forestals'!$F$9:$G$11,2,FALSE)</f>
        <v>0.75</v>
      </c>
      <c r="M200">
        <f t="shared" si="15"/>
        <v>4.9407977639084368</v>
      </c>
      <c r="N200">
        <f t="shared" si="19"/>
        <v>74.111966458626554</v>
      </c>
      <c r="O200" s="846">
        <f>N200*'2. Incendis forestals'!$C$52</f>
        <v>740007.98508938611</v>
      </c>
      <c r="P200" s="846">
        <f t="shared" si="16"/>
        <v>470914.17232960934</v>
      </c>
      <c r="Q200" s="854">
        <f>D200/VLOOKUP(C200,'BD Comarcal'!$A$5:$AX$17,21,FALSE)</f>
        <v>2.4716985169808896E-2</v>
      </c>
      <c r="R200">
        <f>VLOOKUP(C200,'BD Comarcal'!$A$5:$AX$17,50,FALSE)*Q200</f>
        <v>1.7966537323303406</v>
      </c>
    </row>
    <row r="201" spans="1:18">
      <c r="A201">
        <v>8200</v>
      </c>
      <c r="B201" t="s">
        <v>1094</v>
      </c>
      <c r="C201" t="s">
        <v>90</v>
      </c>
      <c r="D201">
        <f>IFERROR(+VLOOKUP(B201,'BD ASVICC'!$A$6:$GQ$316,5,FALSE),"")</f>
        <v>458</v>
      </c>
      <c r="E201">
        <f>IFERROR(+VLOOKUP($B201,'BD ASVICC'!$A$6:$GQ$316,113,FALSE),"")</f>
        <v>0.25</v>
      </c>
      <c r="F201">
        <f>IFERROR(+VLOOKUP($B201,'BD ASVICC'!$A$6:$GQ$316,114,FALSE),"")</f>
        <v>2.48</v>
      </c>
      <c r="G201">
        <f>IFERROR(+VLOOKUP($B201,'BD ASVICC'!$A$6:$GQ$316,115,FALSE),"")</f>
        <v>2.73</v>
      </c>
      <c r="H201">
        <f t="shared" si="17"/>
        <v>3.8075436362553234</v>
      </c>
      <c r="I201">
        <f t="shared" si="18"/>
        <v>57.11315454382985</v>
      </c>
      <c r="J201" s="846">
        <f>I201*'2. Incendis forestals'!$C$52</f>
        <v>570274.84812014108</v>
      </c>
      <c r="K201" t="str">
        <f>VLOOKUP(B201,'BD ASVICC'!$A$6:$BG$316,59,FALSE)</f>
        <v>LITORAL</v>
      </c>
      <c r="L201">
        <f>VLOOKUP(K201,'2. Incendis forestals'!$F$9:$G$11,2,FALSE)</f>
        <v>0.75</v>
      </c>
      <c r="M201">
        <f t="shared" si="15"/>
        <v>10.47074499970214</v>
      </c>
      <c r="N201">
        <f t="shared" si="19"/>
        <v>157.0611749955321</v>
      </c>
      <c r="O201" s="846">
        <f>N201*'2. Incendis forestals'!$C$52</f>
        <v>1568255.832330388</v>
      </c>
      <c r="P201" s="846">
        <f t="shared" si="16"/>
        <v>997980.98421024694</v>
      </c>
      <c r="Q201" s="854">
        <f>D201/VLOOKUP(C201,'BD Comarcal'!$A$5:$AX$17,21,FALSE)</f>
        <v>1.7620806401969835E-2</v>
      </c>
      <c r="R201">
        <f>VLOOKUP(C201,'BD Comarcal'!$A$5:$AX$17,50,FALSE)*Q201</f>
        <v>3.8075436362553234</v>
      </c>
    </row>
    <row r="202" spans="1:18">
      <c r="A202">
        <v>8201</v>
      </c>
      <c r="B202" t="s">
        <v>1435</v>
      </c>
      <c r="C202" t="s">
        <v>88</v>
      </c>
      <c r="D202">
        <f>IFERROR(+VLOOKUP(B202,'BD ASVICC'!$A$6:$GQ$316,5,FALSE),"")</f>
        <v>1236</v>
      </c>
      <c r="E202">
        <f>IFERROR(+VLOOKUP($B202,'BD ASVICC'!$A$6:$GQ$316,113,FALSE),"")</f>
        <v>0</v>
      </c>
      <c r="F202">
        <f>IFERROR(+VLOOKUP($B202,'BD ASVICC'!$A$6:$GQ$316,114,FALSE),"")</f>
        <v>0</v>
      </c>
      <c r="G202">
        <f>IFERROR(+VLOOKUP($B202,'BD ASVICC'!$A$6:$GQ$316,115,FALSE),"")</f>
        <v>0</v>
      </c>
      <c r="H202">
        <f t="shared" si="17"/>
        <v>0.96132641262350704</v>
      </c>
      <c r="I202">
        <f t="shared" si="18"/>
        <v>14.419896189352606</v>
      </c>
      <c r="J202" s="846">
        <f>I202*'2. Incendis forestals'!$C$52</f>
        <v>143982.66345068577</v>
      </c>
      <c r="K202" t="str">
        <f>VLOOKUP(B202,'BD ASVICC'!$A$6:$BG$316,59,FALSE)</f>
        <v>PREPIRINEU-PIRINEU</v>
      </c>
      <c r="L202">
        <f>VLOOKUP(K202,'2. Incendis forestals'!$F$9:$G$11,2,FALSE)</f>
        <v>0.75</v>
      </c>
      <c r="M202">
        <f t="shared" si="15"/>
        <v>2.6436476347146445</v>
      </c>
      <c r="N202">
        <f t="shared" si="19"/>
        <v>39.654714520719665</v>
      </c>
      <c r="O202" s="846">
        <f>N202*'2. Incendis forestals'!$C$52</f>
        <v>395952.32448938588</v>
      </c>
      <c r="P202" s="846">
        <f t="shared" si="16"/>
        <v>251969.66103870011</v>
      </c>
      <c r="Q202" s="854">
        <f>D202/VLOOKUP(C202,'BD Comarcal'!$A$5:$AX$17,21,FALSE)</f>
        <v>1.3225192064884761E-2</v>
      </c>
      <c r="R202">
        <f>VLOOKUP(C202,'BD Comarcal'!$A$5:$AX$17,50,FALSE)*Q202</f>
        <v>0.96132641262350704</v>
      </c>
    </row>
    <row r="203" spans="1:18">
      <c r="A203">
        <v>8202</v>
      </c>
      <c r="B203" t="s">
        <v>1437</v>
      </c>
      <c r="C203" t="s">
        <v>24</v>
      </c>
      <c r="D203">
        <f>IFERROR(+VLOOKUP(B203,'BD ASVICC'!$A$6:$GQ$316,5,FALSE),"")</f>
        <v>5539</v>
      </c>
      <c r="E203">
        <f>IFERROR(+VLOOKUP($B203,'BD ASVICC'!$A$6:$GQ$316,113,FALSE),"")</f>
        <v>13.32</v>
      </c>
      <c r="F203">
        <f>IFERROR(+VLOOKUP($B203,'BD ASVICC'!$A$6:$GQ$316,114,FALSE),"")</f>
        <v>0</v>
      </c>
      <c r="G203">
        <f>IFERROR(+VLOOKUP($B203,'BD ASVICC'!$A$6:$GQ$316,115,FALSE),"")</f>
        <v>13.32</v>
      </c>
      <c r="H203">
        <f t="shared" si="17"/>
        <v>11.26953223870879</v>
      </c>
      <c r="I203">
        <f t="shared" si="18"/>
        <v>169.04298358063184</v>
      </c>
      <c r="J203" s="846">
        <f>I203*'2. Incendis forestals'!$C$52</f>
        <v>1687894.1910526089</v>
      </c>
      <c r="K203" t="str">
        <f>VLOOKUP(B203,'BD ASVICC'!$A$6:$BG$316,59,FALSE)</f>
        <v>CENTRAL</v>
      </c>
      <c r="L203">
        <f>VLOOKUP(K203,'2. Incendis forestals'!$F$9:$G$11,2,FALSE)</f>
        <v>0.75</v>
      </c>
      <c r="M203">
        <f t="shared" si="15"/>
        <v>30.991213656449169</v>
      </c>
      <c r="N203">
        <f t="shared" si="19"/>
        <v>464.86820484673751</v>
      </c>
      <c r="O203" s="846">
        <f>N203*'2. Incendis forestals'!$C$52</f>
        <v>4641709.0253946744</v>
      </c>
      <c r="P203" s="846">
        <f t="shared" si="16"/>
        <v>2953814.8343420653</v>
      </c>
      <c r="Q203" s="854">
        <f>D203/VLOOKUP(C203,'BD Comarcal'!$A$5:$AX$17,21,FALSE)</f>
        <v>0.10896893627904232</v>
      </c>
      <c r="R203">
        <f>VLOOKUP(C203,'BD Comarcal'!$A$5:$AX$17,50,FALSE)*Q203</f>
        <v>11.26953223870879</v>
      </c>
    </row>
    <row r="204" spans="1:18">
      <c r="A204">
        <v>8203</v>
      </c>
      <c r="B204" t="s">
        <v>1443</v>
      </c>
      <c r="C204" t="s">
        <v>86</v>
      </c>
      <c r="D204">
        <f>IFERROR(+VLOOKUP(B204,'BD ASVICC'!$A$6:$GQ$316,5,FALSE),"")</f>
        <v>1126</v>
      </c>
      <c r="E204">
        <f>IFERROR(+VLOOKUP($B204,'BD ASVICC'!$A$6:$GQ$316,113,FALSE),"")</f>
        <v>1.9</v>
      </c>
      <c r="F204">
        <f>IFERROR(+VLOOKUP($B204,'BD ASVICC'!$A$6:$GQ$316,114,FALSE),"")</f>
        <v>1.6</v>
      </c>
      <c r="G204">
        <f>IFERROR(+VLOOKUP($B204,'BD ASVICC'!$A$6:$GQ$316,115,FALSE),"")</f>
        <v>3.5</v>
      </c>
      <c r="H204">
        <f t="shared" si="17"/>
        <v>2.0162482356341349</v>
      </c>
      <c r="I204">
        <f t="shared" si="18"/>
        <v>30.243723534512025</v>
      </c>
      <c r="J204" s="846">
        <f>I204*'2. Incendis forestals'!$C$52</f>
        <v>301983.57949210255</v>
      </c>
      <c r="K204" t="str">
        <f>VLOOKUP(B204,'BD ASVICC'!$A$6:$BG$316,59,FALSE)</f>
        <v>LITORAL</v>
      </c>
      <c r="L204">
        <f>VLOOKUP(K204,'2. Incendis forestals'!$F$9:$G$11,2,FALSE)</f>
        <v>0.75</v>
      </c>
      <c r="M204">
        <f t="shared" si="15"/>
        <v>5.5446826479938709</v>
      </c>
      <c r="N204">
        <f t="shared" si="19"/>
        <v>83.170239719908068</v>
      </c>
      <c r="O204" s="846">
        <f>N204*'2. Incendis forestals'!$C$52</f>
        <v>830454.843603282</v>
      </c>
      <c r="P204" s="846">
        <f t="shared" si="16"/>
        <v>528471.26411117939</v>
      </c>
      <c r="Q204" s="854">
        <f>D204/VLOOKUP(C204,'BD Comarcal'!$A$5:$AX$17,21,FALSE)</f>
        <v>4.1860292204171159E-2</v>
      </c>
      <c r="R204">
        <f>VLOOKUP(C204,'BD Comarcal'!$A$5:$AX$17,50,FALSE)*Q204</f>
        <v>2.0162482356341349</v>
      </c>
    </row>
    <row r="205" spans="1:18">
      <c r="A205">
        <v>8204</v>
      </c>
      <c r="B205" t="s">
        <v>1446</v>
      </c>
      <c r="C205" t="s">
        <v>90</v>
      </c>
      <c r="D205">
        <f>IFERROR(+VLOOKUP(B205,'BD ASVICC'!$A$6:$GQ$316,5,FALSE),"")</f>
        <v>803</v>
      </c>
      <c r="E205">
        <f>IFERROR(+VLOOKUP($B205,'BD ASVICC'!$A$6:$GQ$316,113,FALSE),"")</f>
        <v>3.5</v>
      </c>
      <c r="F205">
        <f>IFERROR(+VLOOKUP($B205,'BD ASVICC'!$A$6:$GQ$316,114,FALSE),"")</f>
        <v>0</v>
      </c>
      <c r="G205">
        <f>IFERROR(+VLOOKUP($B205,'BD ASVICC'!$A$6:$GQ$316,115,FALSE),"")</f>
        <v>3.5</v>
      </c>
      <c r="H205">
        <f t="shared" si="17"/>
        <v>6.6756714845262559</v>
      </c>
      <c r="I205">
        <f t="shared" si="18"/>
        <v>100.13507226789383</v>
      </c>
      <c r="J205" s="846">
        <f>I205*'2. Incendis forestals'!$C$52</f>
        <v>999848.69659491989</v>
      </c>
      <c r="K205" t="str">
        <f>VLOOKUP(B205,'BD ASVICC'!$A$6:$BG$316,59,FALSE)</f>
        <v>LITORAL</v>
      </c>
      <c r="L205">
        <f>VLOOKUP(K205,'2. Incendis forestals'!$F$9:$G$11,2,FALSE)</f>
        <v>0.75</v>
      </c>
      <c r="M205">
        <f t="shared" si="15"/>
        <v>18.358096582447203</v>
      </c>
      <c r="N205">
        <f t="shared" si="19"/>
        <v>275.37144873670803</v>
      </c>
      <c r="O205" s="846">
        <f>N205*'2. Incendis forestals'!$C$52</f>
        <v>2749583.9156360296</v>
      </c>
      <c r="P205" s="846">
        <f t="shared" si="16"/>
        <v>1749735.2190411096</v>
      </c>
      <c r="Q205" s="854">
        <f>D205/VLOOKUP(C205,'BD Comarcal'!$A$5:$AX$17,21,FALSE)</f>
        <v>3.0894121268082487E-2</v>
      </c>
      <c r="R205">
        <f>VLOOKUP(C205,'BD Comarcal'!$A$5:$AX$17,50,FALSE)*Q205</f>
        <v>6.6756714845262559</v>
      </c>
    </row>
    <row r="206" spans="1:18">
      <c r="A206">
        <v>8205</v>
      </c>
      <c r="B206" t="s">
        <v>1450</v>
      </c>
      <c r="C206" t="s">
        <v>89</v>
      </c>
      <c r="D206">
        <f>IFERROR(+VLOOKUP(B206,'BD ASVICC'!$A$6:$GQ$316,5,FALSE),"")</f>
        <v>2578</v>
      </c>
      <c r="E206">
        <f>IFERROR(+VLOOKUP($B206,'BD ASVICC'!$A$6:$GQ$316,113,FALSE),"")</f>
        <v>2.4</v>
      </c>
      <c r="F206">
        <f>IFERROR(+VLOOKUP($B206,'BD ASVICC'!$A$6:$GQ$316,114,FALSE),"")</f>
        <v>3</v>
      </c>
      <c r="G206">
        <f>IFERROR(+VLOOKUP($B206,'BD ASVICC'!$A$6:$GQ$316,115,FALSE),"")</f>
        <v>5.4</v>
      </c>
      <c r="H206">
        <f t="shared" si="17"/>
        <v>20.590235631175815</v>
      </c>
      <c r="I206">
        <f t="shared" si="18"/>
        <v>308.85353446763725</v>
      </c>
      <c r="J206" s="846">
        <f>I206*'2. Incendis forestals'!$C$52</f>
        <v>3083902.541659358</v>
      </c>
      <c r="K206" t="str">
        <f>VLOOKUP(B206,'BD ASVICC'!$A$6:$BG$316,59,FALSE)</f>
        <v>LITORAL</v>
      </c>
      <c r="L206">
        <f>VLOOKUP(K206,'2. Incendis forestals'!$F$9:$G$11,2,FALSE)</f>
        <v>0.75</v>
      </c>
      <c r="M206">
        <f t="shared" si="15"/>
        <v>56.623147985733496</v>
      </c>
      <c r="N206">
        <f t="shared" si="19"/>
        <v>849.34721978600248</v>
      </c>
      <c r="O206" s="846">
        <f>N206*'2. Incendis forestals'!$C$52</f>
        <v>8480731.9895632342</v>
      </c>
      <c r="P206" s="846">
        <f t="shared" si="16"/>
        <v>5396829.4479038762</v>
      </c>
      <c r="Q206" s="854">
        <f>D206/VLOOKUP(C206,'BD Comarcal'!$A$5:$AX$17,21,FALSE)</f>
        <v>7.5366894696836814E-2</v>
      </c>
      <c r="R206">
        <f>VLOOKUP(C206,'BD Comarcal'!$A$5:$AX$17,50,FALSE)*Q206</f>
        <v>20.590235631175815</v>
      </c>
    </row>
    <row r="207" spans="1:18">
      <c r="A207">
        <v>8206</v>
      </c>
      <c r="B207" t="s">
        <v>1457</v>
      </c>
      <c r="C207" t="s">
        <v>791</v>
      </c>
      <c r="D207">
        <f>IFERROR(+VLOOKUP(B207,'BD ASVICC'!$A$6:$GQ$316,5,FALSE),"")</f>
        <v>72</v>
      </c>
      <c r="E207">
        <f>IFERROR(+VLOOKUP($B207,'BD ASVICC'!$A$6:$GQ$316,113,FALSE),"")</f>
        <v>6.5</v>
      </c>
      <c r="F207">
        <f>IFERROR(+VLOOKUP($B207,'BD ASVICC'!$A$6:$GQ$316,114,FALSE),"")</f>
        <v>0</v>
      </c>
      <c r="G207">
        <f>IFERROR(+VLOOKUP($B207,'BD ASVICC'!$A$6:$GQ$316,115,FALSE),"")</f>
        <v>6.5</v>
      </c>
      <c r="H207">
        <f t="shared" si="17"/>
        <v>0.52389390793043578</v>
      </c>
      <c r="I207">
        <f t="shared" si="18"/>
        <v>7.8584086189565365</v>
      </c>
      <c r="J207" s="846">
        <f>I207*'2. Incendis forestals'!$C$52</f>
        <v>78466.210060281024</v>
      </c>
      <c r="K207" t="str">
        <f>VLOOKUP(B207,'BD ASVICC'!$A$6:$BG$316,59,FALSE)</f>
        <v>CENTRAL</v>
      </c>
      <c r="L207">
        <f>VLOOKUP(K207,'2. Incendis forestals'!$F$9:$G$11,2,FALSE)</f>
        <v>0.75</v>
      </c>
      <c r="M207">
        <f t="shared" si="15"/>
        <v>1.4407082468086982</v>
      </c>
      <c r="N207">
        <f t="shared" si="19"/>
        <v>21.610623702130475</v>
      </c>
      <c r="O207" s="846">
        <f>N207*'2. Incendis forestals'!$C$52</f>
        <v>215782.07766577278</v>
      </c>
      <c r="P207" s="846">
        <f t="shared" si="16"/>
        <v>137315.86760549177</v>
      </c>
      <c r="Q207" s="854">
        <f>D207/VLOOKUP(C207,'BD Comarcal'!$A$5:$AX$17,21,FALSE)</f>
        <v>2.3444368467324412E-3</v>
      </c>
      <c r="R207">
        <f>VLOOKUP(C207,'BD Comarcal'!$A$5:$AX$17,50,FALSE)*Q207</f>
        <v>0.52389390793043578</v>
      </c>
    </row>
    <row r="208" spans="1:18">
      <c r="A208">
        <v>8207</v>
      </c>
      <c r="B208" t="s">
        <v>1458</v>
      </c>
      <c r="C208" t="s">
        <v>24</v>
      </c>
      <c r="D208">
        <f>IFERROR(+VLOOKUP(B208,'BD ASVICC'!$A$6:$GQ$316,5,FALSE),"")</f>
        <v>736</v>
      </c>
      <c r="E208">
        <f>IFERROR(+VLOOKUP($B208,'BD ASVICC'!$A$6:$GQ$316,113,FALSE),"")</f>
        <v>0</v>
      </c>
      <c r="F208">
        <f>IFERROR(+VLOOKUP($B208,'BD ASVICC'!$A$6:$GQ$316,114,FALSE),"")</f>
        <v>0</v>
      </c>
      <c r="G208">
        <f>IFERROR(+VLOOKUP($B208,'BD ASVICC'!$A$6:$GQ$316,115,FALSE),"")</f>
        <v>0</v>
      </c>
      <c r="H208">
        <f t="shared" si="17"/>
        <v>1.4974500320797379</v>
      </c>
      <c r="I208">
        <f t="shared" si="18"/>
        <v>22.46175048119607</v>
      </c>
      <c r="J208" s="846">
        <f>I208*'2. Incendis forestals'!$C$52</f>
        <v>224280.57855474277</v>
      </c>
      <c r="K208" t="str">
        <f>VLOOKUP(B208,'BD ASVICC'!$A$6:$BG$316,59,FALSE)</f>
        <v>CENTRAL</v>
      </c>
      <c r="L208">
        <f>VLOOKUP(K208,'2. Incendis forestals'!$F$9:$G$11,2,FALSE)</f>
        <v>0.75</v>
      </c>
      <c r="M208">
        <f t="shared" si="15"/>
        <v>4.1179875882192789</v>
      </c>
      <c r="N208">
        <f t="shared" si="19"/>
        <v>61.769813823289184</v>
      </c>
      <c r="O208" s="846">
        <f>N208*'2. Incendis forestals'!$C$52</f>
        <v>616771.59102554247</v>
      </c>
      <c r="P208" s="846">
        <f t="shared" si="16"/>
        <v>392491.01247079973</v>
      </c>
      <c r="Q208" s="854">
        <f>D208/VLOOKUP(C208,'BD Comarcal'!$A$5:$AX$17,21,FALSE)</f>
        <v>1.4479353150636422E-2</v>
      </c>
      <c r="R208">
        <f>VLOOKUP(C208,'BD Comarcal'!$A$5:$AX$17,50,FALSE)*Q208</f>
        <v>1.4974500320797379</v>
      </c>
    </row>
    <row r="209" spans="1:18">
      <c r="A209">
        <v>8208</v>
      </c>
      <c r="B209" t="s">
        <v>1463</v>
      </c>
      <c r="C209" t="s">
        <v>90</v>
      </c>
      <c r="D209">
        <f>IFERROR(+VLOOKUP(B209,'BD ASVICC'!$A$6:$GQ$316,5,FALSE),"")</f>
        <v>718</v>
      </c>
      <c r="E209">
        <f>IFERROR(+VLOOKUP($B209,'BD ASVICC'!$A$6:$GQ$316,113,FALSE),"")</f>
        <v>2.5</v>
      </c>
      <c r="F209">
        <f>IFERROR(+VLOOKUP($B209,'BD ASVICC'!$A$6:$GQ$316,114,FALSE),"")</f>
        <v>0.5</v>
      </c>
      <c r="G209">
        <f>IFERROR(+VLOOKUP($B209,'BD ASVICC'!$A$6:$GQ$316,115,FALSE),"")</f>
        <v>3</v>
      </c>
      <c r="H209">
        <f t="shared" si="17"/>
        <v>5.9690312900247218</v>
      </c>
      <c r="I209">
        <f t="shared" si="18"/>
        <v>89.535469350370832</v>
      </c>
      <c r="J209" s="846">
        <f>I209*'2. Incendis forestals'!$C$52</f>
        <v>894011.66146345274</v>
      </c>
      <c r="K209" t="str">
        <f>VLOOKUP(B209,'BD ASVICC'!$A$6:$BG$316,59,FALSE)</f>
        <v>LITORAL</v>
      </c>
      <c r="L209">
        <f>VLOOKUP(K209,'2. Incendis forestals'!$F$9:$G$11,2,FALSE)</f>
        <v>0.75</v>
      </c>
      <c r="M209">
        <f t="shared" si="15"/>
        <v>16.414836047567984</v>
      </c>
      <c r="N209">
        <f t="shared" si="19"/>
        <v>246.22254071351978</v>
      </c>
      <c r="O209" s="846">
        <f>N209*'2. Incendis forestals'!$C$52</f>
        <v>2458532.0690244948</v>
      </c>
      <c r="P209" s="846">
        <f t="shared" si="16"/>
        <v>1564520.4075610421</v>
      </c>
      <c r="Q209" s="854">
        <f>D209/VLOOKUP(C209,'BD Comarcal'!$A$5:$AX$17,21,FALSE)</f>
        <v>2.7623884272083718E-2</v>
      </c>
      <c r="R209">
        <f>VLOOKUP(C209,'BD Comarcal'!$A$5:$AX$17,50,FALSE)*Q209</f>
        <v>5.9690312900247218</v>
      </c>
    </row>
    <row r="210" spans="1:18">
      <c r="A210">
        <v>8209</v>
      </c>
      <c r="B210" t="s">
        <v>1464</v>
      </c>
      <c r="C210" t="s">
        <v>24</v>
      </c>
      <c r="D210">
        <f>IFERROR(+VLOOKUP(B210,'BD ASVICC'!$A$6:$GQ$316,5,FALSE),"")</f>
        <v>902</v>
      </c>
      <c r="E210">
        <f>IFERROR(+VLOOKUP($B210,'BD ASVICC'!$A$6:$GQ$316,113,FALSE),"")</f>
        <v>0.7</v>
      </c>
      <c r="F210">
        <f>IFERROR(+VLOOKUP($B210,'BD ASVICC'!$A$6:$GQ$316,114,FALSE),"")</f>
        <v>0.3</v>
      </c>
      <c r="G210">
        <f>IFERROR(+VLOOKUP($B210,'BD ASVICC'!$A$6:$GQ$316,115,FALSE),"")</f>
        <v>1</v>
      </c>
      <c r="H210">
        <f t="shared" si="17"/>
        <v>1.8351901208368528</v>
      </c>
      <c r="I210">
        <f t="shared" si="18"/>
        <v>27.527851812552793</v>
      </c>
      <c r="J210" s="846">
        <f>I210*'2. Incendis forestals'!$C$52</f>
        <v>274865.60034833965</v>
      </c>
      <c r="K210" t="str">
        <f>VLOOKUP(B210,'BD ASVICC'!$A$6:$BG$316,59,FALSE)</f>
        <v>LITORAL</v>
      </c>
      <c r="L210">
        <f>VLOOKUP(K210,'2. Incendis forestals'!$F$9:$G$11,2,FALSE)</f>
        <v>0.75</v>
      </c>
      <c r="M210">
        <f t="shared" si="15"/>
        <v>5.046772832301345</v>
      </c>
      <c r="N210">
        <f t="shared" si="19"/>
        <v>75.701592484520177</v>
      </c>
      <c r="O210" s="846">
        <f>N210*'2. Incendis forestals'!$C$52</f>
        <v>755880.40095793398</v>
      </c>
      <c r="P210" s="846">
        <f t="shared" si="16"/>
        <v>481014.80060959433</v>
      </c>
      <c r="Q210" s="854">
        <f>D210/VLOOKUP(C210,'BD Comarcal'!$A$5:$AX$17,21,FALSE)</f>
        <v>1.7745076823198442E-2</v>
      </c>
      <c r="R210">
        <f>VLOOKUP(C210,'BD Comarcal'!$A$5:$AX$17,50,FALSE)*Q210</f>
        <v>1.8351901208368528</v>
      </c>
    </row>
    <row r="211" spans="1:18">
      <c r="A211">
        <v>8210</v>
      </c>
      <c r="B211" t="s">
        <v>1466</v>
      </c>
      <c r="C211" t="s">
        <v>24</v>
      </c>
      <c r="D211">
        <f>IFERROR(+VLOOKUP(B211,'BD ASVICC'!$A$6:$GQ$316,5,FALSE),"")</f>
        <v>762</v>
      </c>
      <c r="E211">
        <f>IFERROR(+VLOOKUP($B211,'BD ASVICC'!$A$6:$GQ$316,113,FALSE),"")</f>
        <v>1</v>
      </c>
      <c r="F211">
        <f>IFERROR(+VLOOKUP($B211,'BD ASVICC'!$A$6:$GQ$316,114,FALSE),"")</f>
        <v>0</v>
      </c>
      <c r="G211">
        <f>IFERROR(+VLOOKUP($B211,'BD ASVICC'!$A$6:$GQ$316,115,FALSE),"")</f>
        <v>1</v>
      </c>
      <c r="H211">
        <f t="shared" si="17"/>
        <v>1.5503490821260331</v>
      </c>
      <c r="I211">
        <f t="shared" si="18"/>
        <v>23.255236231890496</v>
      </c>
      <c r="J211" s="846">
        <f>I211*'2. Incendis forestals'!$C$52</f>
        <v>232203.53377542659</v>
      </c>
      <c r="K211" t="str">
        <f>VLOOKUP(B211,'BD ASVICC'!$A$6:$BG$316,59,FALSE)</f>
        <v>CENTRAL</v>
      </c>
      <c r="L211">
        <f>VLOOKUP(K211,'2. Incendis forestals'!$F$9:$G$11,2,FALSE)</f>
        <v>0.75</v>
      </c>
      <c r="M211">
        <f t="shared" si="15"/>
        <v>4.2634599758465912</v>
      </c>
      <c r="N211">
        <f t="shared" si="19"/>
        <v>63.951899637698865</v>
      </c>
      <c r="O211" s="846">
        <f>N211*'2. Incendis forestals'!$C$52</f>
        <v>638559.7178824232</v>
      </c>
      <c r="P211" s="846">
        <f t="shared" si="16"/>
        <v>406356.18410699663</v>
      </c>
      <c r="Q211" s="854">
        <f>D211/VLOOKUP(C211,'BD Comarcal'!$A$5:$AX$17,21,FALSE)</f>
        <v>1.4990852039109992E-2</v>
      </c>
      <c r="R211">
        <f>VLOOKUP(C211,'BD Comarcal'!$A$5:$AX$17,50,FALSE)*Q211</f>
        <v>1.5503490821260331</v>
      </c>
    </row>
    <row r="212" spans="1:18">
      <c r="A212">
        <v>8211</v>
      </c>
      <c r="B212" t="s">
        <v>1028</v>
      </c>
      <c r="C212" t="s">
        <v>90</v>
      </c>
      <c r="D212">
        <f>IFERROR(+VLOOKUP(B212,'BD ASVICC'!$A$6:$GQ$316,5,FALSE),"")</f>
        <v>473</v>
      </c>
      <c r="E212">
        <f>IFERROR(+VLOOKUP($B212,'BD ASVICC'!$A$6:$GQ$316,113,FALSE),"")</f>
        <v>0</v>
      </c>
      <c r="F212">
        <f>IFERROR(+VLOOKUP($B212,'BD ASVICC'!$A$6:$GQ$316,114,FALSE),"")</f>
        <v>1</v>
      </c>
      <c r="G212">
        <f>IFERROR(+VLOOKUP($B212,'BD ASVICC'!$A$6:$GQ$316,115,FALSE),"")</f>
        <v>1</v>
      </c>
      <c r="H212">
        <f t="shared" si="17"/>
        <v>3.932244847049712</v>
      </c>
      <c r="I212">
        <f t="shared" si="18"/>
        <v>58.983672705745683</v>
      </c>
      <c r="J212" s="846">
        <f>I212*'2. Incendis forestals'!$C$52</f>
        <v>588951.97196687059</v>
      </c>
      <c r="K212" t="str">
        <f>VLOOKUP(B212,'BD ASVICC'!$A$6:$BG$316,59,FALSE)</f>
        <v>LITORAL</v>
      </c>
      <c r="L212">
        <f>VLOOKUP(K212,'2. Incendis forestals'!$F$9:$G$11,2,FALSE)</f>
        <v>0.75</v>
      </c>
      <c r="M212">
        <f t="shared" si="15"/>
        <v>10.813673329386708</v>
      </c>
      <c r="N212">
        <f t="shared" si="19"/>
        <v>162.20509994080061</v>
      </c>
      <c r="O212" s="846">
        <f>N212*'2. Incendis forestals'!$C$52</f>
        <v>1619617.922908894</v>
      </c>
      <c r="P212" s="846">
        <f t="shared" si="16"/>
        <v>1030665.9509420234</v>
      </c>
      <c r="Q212" s="854">
        <f>D212/VLOOKUP(C212,'BD Comarcal'!$A$5:$AX$17,21,FALSE)</f>
        <v>1.8197907048322561E-2</v>
      </c>
      <c r="R212">
        <f>VLOOKUP(C212,'BD Comarcal'!$A$5:$AX$17,50,FALSE)*Q212</f>
        <v>3.932244847049712</v>
      </c>
    </row>
    <row r="213" spans="1:18">
      <c r="A213">
        <v>8212</v>
      </c>
      <c r="B213" t="s">
        <v>1470</v>
      </c>
      <c r="C213" t="s">
        <v>82</v>
      </c>
      <c r="D213">
        <f>IFERROR(+VLOOKUP(B213,'BD ASVICC'!$A$6:$GQ$316,5,FALSE),"")</f>
        <v>1563</v>
      </c>
      <c r="E213">
        <f>IFERROR(+VLOOKUP($B213,'BD ASVICC'!$A$6:$GQ$316,113,FALSE),"")</f>
        <v>207.75</v>
      </c>
      <c r="F213">
        <f>IFERROR(+VLOOKUP($B213,'BD ASVICC'!$A$6:$GQ$316,114,FALSE),"")</f>
        <v>26.52</v>
      </c>
      <c r="G213">
        <f>IFERROR(+VLOOKUP($B213,'BD ASVICC'!$A$6:$GQ$316,115,FALSE),"")</f>
        <v>234.27</v>
      </c>
      <c r="H213">
        <f t="shared" si="17"/>
        <v>17.235098934769258</v>
      </c>
      <c r="I213">
        <f t="shared" si="18"/>
        <v>258.52648402153886</v>
      </c>
      <c r="J213" s="846">
        <f>I213*'2. Incendis forestals'!$C$52</f>
        <v>2581386.9429550655</v>
      </c>
      <c r="K213" t="str">
        <f>VLOOKUP(B213,'BD ASVICC'!$A$6:$BG$316,59,FALSE)</f>
        <v>PREPIRINEU-PIRINEU</v>
      </c>
      <c r="L213">
        <f>VLOOKUP(K213,'2. Incendis forestals'!$F$9:$G$11,2,FALSE)</f>
        <v>0.75</v>
      </c>
      <c r="M213">
        <f t="shared" si="15"/>
        <v>47.396522070615461</v>
      </c>
      <c r="N213">
        <f t="shared" si="19"/>
        <v>710.94783105923193</v>
      </c>
      <c r="O213" s="846">
        <f>N213*'2. Incendis forestals'!$C$52</f>
        <v>7098814.0931264311</v>
      </c>
      <c r="P213" s="846">
        <f t="shared" si="16"/>
        <v>4517427.1501713656</v>
      </c>
      <c r="Q213" s="854">
        <f>D213/VLOOKUP(C213,'BD Comarcal'!$A$5:$AX$17,21,FALSE)</f>
        <v>1.9300585315255241E-2</v>
      </c>
      <c r="R213">
        <f>VLOOKUP(C213,'BD Comarcal'!$A$5:$AX$17,50,FALSE)*Q213</f>
        <v>17.235098934769258</v>
      </c>
    </row>
    <row r="214" spans="1:18">
      <c r="A214">
        <v>8213</v>
      </c>
      <c r="B214" t="s">
        <v>1473</v>
      </c>
      <c r="C214" t="s">
        <v>82</v>
      </c>
      <c r="D214">
        <f>IFERROR(+VLOOKUP(B214,'BD ASVICC'!$A$6:$GQ$316,5,FALSE),"")</f>
        <v>426</v>
      </c>
      <c r="E214">
        <f>IFERROR(+VLOOKUP($B214,'BD ASVICC'!$A$6:$GQ$316,113,FALSE),"")</f>
        <v>6.09</v>
      </c>
      <c r="F214">
        <f>IFERROR(+VLOOKUP($B214,'BD ASVICC'!$A$6:$GQ$316,114,FALSE),"")</f>
        <v>27.76</v>
      </c>
      <c r="G214">
        <f>IFERROR(+VLOOKUP($B214,'BD ASVICC'!$A$6:$GQ$316,115,FALSE),"")</f>
        <v>33.85</v>
      </c>
      <c r="H214">
        <f t="shared" si="17"/>
        <v>4.6974741818373023</v>
      </c>
      <c r="I214">
        <f t="shared" si="18"/>
        <v>70.462112727559528</v>
      </c>
      <c r="J214" s="846">
        <f>I214*'2. Incendis forestals'!$C$52</f>
        <v>703564.19558468193</v>
      </c>
      <c r="K214" t="str">
        <f>VLOOKUP(B214,'BD ASVICC'!$A$6:$BG$316,59,FALSE)</f>
        <v>CENTRAL</v>
      </c>
      <c r="L214">
        <f>VLOOKUP(K214,'2. Incendis forestals'!$F$9:$G$11,2,FALSE)</f>
        <v>0.75</v>
      </c>
      <c r="M214">
        <f t="shared" si="15"/>
        <v>12.918054000052582</v>
      </c>
      <c r="N214">
        <f t="shared" si="19"/>
        <v>193.77081000078871</v>
      </c>
      <c r="O214" s="846">
        <f>N214*'2. Incendis forestals'!$C$52</f>
        <v>1934801.5378578752</v>
      </c>
      <c r="P214" s="846">
        <f t="shared" si="16"/>
        <v>1231237.3422731934</v>
      </c>
      <c r="Q214" s="854">
        <f>D214/VLOOKUP(C214,'BD Comarcal'!$A$5:$AX$17,21,FALSE)</f>
        <v>5.2604282433133288E-3</v>
      </c>
      <c r="R214">
        <f>VLOOKUP(C214,'BD Comarcal'!$A$5:$AX$17,50,FALSE)*Q214</f>
        <v>4.6974741818373023</v>
      </c>
    </row>
    <row r="215" spans="1:18">
      <c r="A215">
        <v>8214</v>
      </c>
      <c r="B215" t="s">
        <v>1474</v>
      </c>
      <c r="C215" t="s">
        <v>86</v>
      </c>
      <c r="D215">
        <f>IFERROR(+VLOOKUP(B215,'BD ASVICC'!$A$6:$GQ$316,5,FALSE),"")</f>
        <v>516</v>
      </c>
      <c r="E215">
        <f>IFERROR(+VLOOKUP($B215,'BD ASVICC'!$A$6:$GQ$316,113,FALSE),"")</f>
        <v>0</v>
      </c>
      <c r="F215">
        <f>IFERROR(+VLOOKUP($B215,'BD ASVICC'!$A$6:$GQ$316,114,FALSE),"")</f>
        <v>0</v>
      </c>
      <c r="G215">
        <f>IFERROR(+VLOOKUP($B215,'BD ASVICC'!$A$6:$GQ$316,115,FALSE),"")</f>
        <v>0</v>
      </c>
      <c r="H215">
        <f t="shared" si="17"/>
        <v>0.92396455558367108</v>
      </c>
      <c r="I215">
        <f t="shared" si="18"/>
        <v>13.859468333755066</v>
      </c>
      <c r="J215" s="846">
        <f>I215*'2. Incendis forestals'!$C$52</f>
        <v>138386.79131254434</v>
      </c>
      <c r="K215" t="str">
        <f>VLOOKUP(B215,'BD ASVICC'!$A$6:$BG$316,59,FALSE)</f>
        <v>LITORAL</v>
      </c>
      <c r="L215">
        <f>VLOOKUP(K215,'2. Incendis forestals'!$F$9:$G$11,2,FALSE)</f>
        <v>0.75</v>
      </c>
      <c r="M215">
        <f t="shared" si="15"/>
        <v>2.5409025278550956</v>
      </c>
      <c r="N215">
        <f t="shared" si="19"/>
        <v>38.113537917826434</v>
      </c>
      <c r="O215" s="846">
        <f>N215*'2. Incendis forestals'!$C$52</f>
        <v>380563.67610949697</v>
      </c>
      <c r="P215" s="846">
        <f t="shared" si="16"/>
        <v>242176.88479695263</v>
      </c>
      <c r="Q215" s="854">
        <f>D215/VLOOKUP(C215,'BD Comarcal'!$A$5:$AX$17,21,FALSE)</f>
        <v>1.9182869251645043E-2</v>
      </c>
      <c r="R215">
        <f>VLOOKUP(C215,'BD Comarcal'!$A$5:$AX$17,50,FALSE)*Q215</f>
        <v>0.92396455558367108</v>
      </c>
    </row>
    <row r="216" spans="1:18">
      <c r="A216">
        <v>8215</v>
      </c>
      <c r="B216" t="s">
        <v>1477</v>
      </c>
      <c r="C216" t="s">
        <v>88</v>
      </c>
      <c r="D216">
        <f>IFERROR(+VLOOKUP(B216,'BD ASVICC'!$A$6:$GQ$316,5,FALSE),"")</f>
        <v>0</v>
      </c>
      <c r="E216">
        <f>IFERROR(+VLOOKUP($B216,'BD ASVICC'!$A$6:$GQ$316,113,FALSE),"")</f>
        <v>0</v>
      </c>
      <c r="F216">
        <f>IFERROR(+VLOOKUP($B216,'BD ASVICC'!$A$6:$GQ$316,114,FALSE),"")</f>
        <v>0</v>
      </c>
      <c r="G216">
        <f>IFERROR(+VLOOKUP($B216,'BD ASVICC'!$A$6:$GQ$316,115,FALSE),"")</f>
        <v>0</v>
      </c>
      <c r="H216">
        <f t="shared" si="17"/>
        <v>0</v>
      </c>
      <c r="I216">
        <f t="shared" si="18"/>
        <v>0</v>
      </c>
      <c r="J216" s="846">
        <f>I216*'2. Incendis forestals'!$C$52</f>
        <v>0</v>
      </c>
      <c r="K216" t="str">
        <f>VLOOKUP(B216,'BD ASVICC'!$A$6:$BG$316,59,FALSE)</f>
        <v>CENTRAL</v>
      </c>
      <c r="L216">
        <f>VLOOKUP(K216,'2. Incendis forestals'!$F$9:$G$11,2,FALSE)</f>
        <v>0.75</v>
      </c>
      <c r="M216">
        <f t="shared" si="15"/>
        <v>0</v>
      </c>
      <c r="N216">
        <f t="shared" si="19"/>
        <v>0</v>
      </c>
      <c r="O216" s="846">
        <f>N216*'2. Incendis forestals'!$C$52</f>
        <v>0</v>
      </c>
      <c r="P216" s="846">
        <f t="shared" si="16"/>
        <v>0</v>
      </c>
      <c r="Q216" s="854">
        <f>D216/VLOOKUP(C216,'BD Comarcal'!$A$5:$AX$17,21,FALSE)</f>
        <v>0</v>
      </c>
      <c r="R216">
        <f>VLOOKUP(C216,'BD Comarcal'!$A$5:$AX$17,50,FALSE)*Q216</f>
        <v>0</v>
      </c>
    </row>
    <row r="217" spans="1:18">
      <c r="A217">
        <v>8216</v>
      </c>
      <c r="B217" t="s">
        <v>1479</v>
      </c>
      <c r="C217" t="s">
        <v>84</v>
      </c>
      <c r="D217">
        <f>IFERROR(+VLOOKUP(B217,'BD ASVICC'!$A$6:$GQ$316,5,FALSE),"")</f>
        <v>1928</v>
      </c>
      <c r="E217">
        <f>IFERROR(+VLOOKUP($B217,'BD ASVICC'!$A$6:$GQ$316,113,FALSE),"")</f>
        <v>1</v>
      </c>
      <c r="F217">
        <f>IFERROR(+VLOOKUP($B217,'BD ASVICC'!$A$6:$GQ$316,114,FALSE),"")</f>
        <v>0</v>
      </c>
      <c r="G217">
        <f>IFERROR(+VLOOKUP($B217,'BD ASVICC'!$A$6:$GQ$316,115,FALSE),"")</f>
        <v>1</v>
      </c>
      <c r="H217">
        <f t="shared" si="17"/>
        <v>11.912889142726039</v>
      </c>
      <c r="I217">
        <f t="shared" si="18"/>
        <v>178.69333714089058</v>
      </c>
      <c r="J217" s="846">
        <f>I217*'2. Incendis forestals'!$C$52</f>
        <v>1784252.9713517923</v>
      </c>
      <c r="K217" t="str">
        <f>VLOOKUP(B217,'BD ASVICC'!$A$6:$BG$316,59,FALSE)</f>
        <v>PREPIRINEU-PIRINEU</v>
      </c>
      <c r="L217">
        <f>VLOOKUP(K217,'2. Incendis forestals'!$F$9:$G$11,2,FALSE)</f>
        <v>0.75</v>
      </c>
      <c r="M217">
        <f t="shared" si="15"/>
        <v>32.760445142496607</v>
      </c>
      <c r="N217">
        <f t="shared" si="19"/>
        <v>491.40667713744909</v>
      </c>
      <c r="O217" s="846">
        <f>N217*'2. Incendis forestals'!$C$52</f>
        <v>4906695.6712174295</v>
      </c>
      <c r="P217" s="846">
        <f t="shared" si="16"/>
        <v>3122442.6998656373</v>
      </c>
      <c r="Q217" s="854">
        <f>D217/VLOOKUP(C217,'BD Comarcal'!$A$5:$AX$17,21,FALSE)</f>
        <v>1.8234782279726101E-2</v>
      </c>
      <c r="R217">
        <f>VLOOKUP(C217,'BD Comarcal'!$A$5:$AX$17,50,FALSE)*Q217</f>
        <v>11.912889142726039</v>
      </c>
    </row>
    <row r="218" spans="1:18">
      <c r="A218">
        <v>8217</v>
      </c>
      <c r="B218" t="s">
        <v>1481</v>
      </c>
      <c r="C218" t="s">
        <v>90</v>
      </c>
      <c r="D218">
        <f>IFERROR(+VLOOKUP(B218,'BD ASVICC'!$A$6:$GQ$316,5,FALSE),"")</f>
        <v>62</v>
      </c>
      <c r="E218">
        <f>IFERROR(+VLOOKUP($B218,'BD ASVICC'!$A$6:$GQ$316,113,FALSE),"")</f>
        <v>0</v>
      </c>
      <c r="F218">
        <f>IFERROR(+VLOOKUP($B218,'BD ASVICC'!$A$6:$GQ$316,114,FALSE),"")</f>
        <v>0</v>
      </c>
      <c r="G218">
        <f>IFERROR(+VLOOKUP($B218,'BD ASVICC'!$A$6:$GQ$316,115,FALSE),"")</f>
        <v>0</v>
      </c>
      <c r="H218">
        <f t="shared" si="17"/>
        <v>0.51543167128347189</v>
      </c>
      <c r="I218">
        <f t="shared" si="18"/>
        <v>7.7314750692520784</v>
      </c>
      <c r="J218" s="846">
        <f>I218*'2. Incendis forestals'!$C$52</f>
        <v>77198.778566481997</v>
      </c>
      <c r="K218" t="str">
        <f>VLOOKUP(B218,'BD ASVICC'!$A$6:$BG$316,59,FALSE)</f>
        <v>LITORAL</v>
      </c>
      <c r="L218">
        <f>VLOOKUP(K218,'2. Incendis forestals'!$F$9:$G$11,2,FALSE)</f>
        <v>0.75</v>
      </c>
      <c r="M218">
        <f t="shared" si="15"/>
        <v>1.4174370960295477</v>
      </c>
      <c r="N218">
        <f t="shared" si="19"/>
        <v>21.261556440443215</v>
      </c>
      <c r="O218" s="846">
        <f>N218*'2. Incendis forestals'!$C$52</f>
        <v>212296.6410578255</v>
      </c>
      <c r="P218" s="846">
        <f t="shared" si="16"/>
        <v>135097.86249134352</v>
      </c>
      <c r="Q218" s="854">
        <f>D218/VLOOKUP(C218,'BD Comarcal'!$A$5:$AX$17,21,FALSE)</f>
        <v>2.3853493382579257E-3</v>
      </c>
      <c r="R218">
        <f>VLOOKUP(C218,'BD Comarcal'!$A$5:$AX$17,50,FALSE)*Q218</f>
        <v>0.51543167128347189</v>
      </c>
    </row>
    <row r="219" spans="1:18">
      <c r="A219">
        <v>8218</v>
      </c>
      <c r="B219" t="s">
        <v>1482</v>
      </c>
      <c r="C219" t="s">
        <v>82</v>
      </c>
      <c r="D219">
        <f>IFERROR(+VLOOKUP(B219,'BD ASVICC'!$A$6:$GQ$316,5,FALSE),"")</f>
        <v>565</v>
      </c>
      <c r="E219">
        <f>IFERROR(+VLOOKUP($B219,'BD ASVICC'!$A$6:$GQ$316,113,FALSE),"")</f>
        <v>41.06</v>
      </c>
      <c r="F219">
        <f>IFERROR(+VLOOKUP($B219,'BD ASVICC'!$A$6:$GQ$316,114,FALSE),"")</f>
        <v>2.89</v>
      </c>
      <c r="G219">
        <f>IFERROR(+VLOOKUP($B219,'BD ASVICC'!$A$6:$GQ$316,115,FALSE),"")</f>
        <v>43.95</v>
      </c>
      <c r="H219">
        <f t="shared" si="17"/>
        <v>6.2302181050189578</v>
      </c>
      <c r="I219">
        <f t="shared" si="18"/>
        <v>93.453271575284361</v>
      </c>
      <c r="J219" s="846">
        <f>I219*'2. Incendis forestals'!$C$52</f>
        <v>933130.91667921434</v>
      </c>
      <c r="K219" t="str">
        <f>VLOOKUP(B219,'BD ASVICC'!$A$6:$BG$316,59,FALSE)</f>
        <v>CENTRAL</v>
      </c>
      <c r="L219">
        <f>VLOOKUP(K219,'2. Incendis forestals'!$F$9:$G$11,2,FALSE)</f>
        <v>0.75</v>
      </c>
      <c r="M219">
        <f t="shared" si="15"/>
        <v>17.133099788802134</v>
      </c>
      <c r="N219">
        <f t="shared" si="19"/>
        <v>256.99649683203199</v>
      </c>
      <c r="O219" s="846">
        <f>N219*'2. Incendis forestals'!$C$52</f>
        <v>2566110.0208678395</v>
      </c>
      <c r="P219" s="846">
        <f t="shared" si="16"/>
        <v>1632979.1041886252</v>
      </c>
      <c r="Q219" s="854">
        <f>D219/VLOOKUP(C219,'BD Comarcal'!$A$5:$AX$17,21,FALSE)</f>
        <v>6.9768590550986637E-3</v>
      </c>
      <c r="R219">
        <f>VLOOKUP(C219,'BD Comarcal'!$A$5:$AX$17,50,FALSE)*Q219</f>
        <v>6.2302181050189578</v>
      </c>
    </row>
    <row r="220" spans="1:18">
      <c r="A220">
        <v>8219</v>
      </c>
      <c r="B220" t="s">
        <v>352</v>
      </c>
      <c r="C220" t="s">
        <v>86</v>
      </c>
      <c r="D220">
        <f>IFERROR(+VLOOKUP(B220,'BD ASVICC'!$A$6:$GQ$316,5,FALSE),"")</f>
        <v>0</v>
      </c>
      <c r="E220">
        <f>IFERROR(+VLOOKUP($B220,'BD ASVICC'!$A$6:$GQ$316,113,FALSE),"")</f>
        <v>0</v>
      </c>
      <c r="F220">
        <f>IFERROR(+VLOOKUP($B220,'BD ASVICC'!$A$6:$GQ$316,114,FALSE),"")</f>
        <v>0</v>
      </c>
      <c r="G220">
        <f>IFERROR(+VLOOKUP($B220,'BD ASVICC'!$A$6:$GQ$316,115,FALSE),"")</f>
        <v>0</v>
      </c>
      <c r="H220">
        <f t="shared" si="17"/>
        <v>0</v>
      </c>
      <c r="I220">
        <f t="shared" si="18"/>
        <v>0</v>
      </c>
      <c r="J220" s="846">
        <f>I220*'2. Incendis forestals'!$C$52</f>
        <v>0</v>
      </c>
      <c r="K220" t="str">
        <f>VLOOKUP(B220,'BD ASVICC'!$A$6:$BG$316,59,FALSE)</f>
        <v>LITORAL</v>
      </c>
      <c r="L220">
        <f>VLOOKUP(K220,'2. Incendis forestals'!$F$9:$G$11,2,FALSE)</f>
        <v>0.75</v>
      </c>
      <c r="M220">
        <f t="shared" si="15"/>
        <v>0</v>
      </c>
      <c r="N220">
        <f t="shared" si="19"/>
        <v>0</v>
      </c>
      <c r="O220" s="846">
        <f>N220*'2. Incendis forestals'!$C$52</f>
        <v>0</v>
      </c>
      <c r="P220" s="846">
        <f t="shared" si="16"/>
        <v>0</v>
      </c>
      <c r="Q220" s="854">
        <f>D220/VLOOKUP(C220,'BD Comarcal'!$A$5:$AX$17,21,FALSE)</f>
        <v>0</v>
      </c>
      <c r="R220">
        <f>VLOOKUP(C220,'BD Comarcal'!$A$5:$AX$17,50,FALSE)*Q220</f>
        <v>0</v>
      </c>
    </row>
    <row r="221" spans="1:18">
      <c r="A221">
        <v>8220</v>
      </c>
      <c r="B221" t="s">
        <v>1485</v>
      </c>
      <c r="C221" t="s">
        <v>88</v>
      </c>
      <c r="D221">
        <f>IFERROR(+VLOOKUP(B221,'BD ASVICC'!$A$6:$GQ$316,5,FALSE),"")</f>
        <v>1122</v>
      </c>
      <c r="E221">
        <f>IFERROR(+VLOOKUP($B221,'BD ASVICC'!$A$6:$GQ$316,113,FALSE),"")</f>
        <v>0</v>
      </c>
      <c r="F221">
        <f>IFERROR(+VLOOKUP($B221,'BD ASVICC'!$A$6:$GQ$316,114,FALSE),"")</f>
        <v>0</v>
      </c>
      <c r="G221">
        <f>IFERROR(+VLOOKUP($B221,'BD ASVICC'!$A$6:$GQ$316,115,FALSE),"")</f>
        <v>0</v>
      </c>
      <c r="H221">
        <f t="shared" si="17"/>
        <v>0.87266038427473691</v>
      </c>
      <c r="I221">
        <f t="shared" si="18"/>
        <v>13.089905764121054</v>
      </c>
      <c r="J221" s="846">
        <f>I221*'2. Incendis forestals'!$C$52</f>
        <v>130702.70905474873</v>
      </c>
      <c r="K221" t="str">
        <f>VLOOKUP(B221,'BD ASVICC'!$A$6:$BG$316,59,FALSE)</f>
        <v>PREPIRINEU-PIRINEU</v>
      </c>
      <c r="L221">
        <f>VLOOKUP(K221,'2. Incendis forestals'!$F$9:$G$11,2,FALSE)</f>
        <v>0.75</v>
      </c>
      <c r="M221">
        <f t="shared" si="15"/>
        <v>2.3998160567555264</v>
      </c>
      <c r="N221">
        <f t="shared" si="19"/>
        <v>35.997240851332897</v>
      </c>
      <c r="O221" s="846">
        <f>N221*'2. Incendis forestals'!$C$52</f>
        <v>359432.44990055898</v>
      </c>
      <c r="P221" s="846">
        <f t="shared" si="16"/>
        <v>228729.74084581024</v>
      </c>
      <c r="Q221" s="854">
        <f>D221/VLOOKUP(C221,'BD Comarcal'!$A$5:$AX$17,21,FALSE)</f>
        <v>1.2005392796764321E-2</v>
      </c>
      <c r="R221">
        <f>VLOOKUP(C221,'BD Comarcal'!$A$5:$AX$17,50,FALSE)*Q221</f>
        <v>0.87266038427473691</v>
      </c>
    </row>
    <row r="222" spans="1:18">
      <c r="A222">
        <v>8221</v>
      </c>
      <c r="B222" t="s">
        <v>1489</v>
      </c>
      <c r="C222" t="s">
        <v>90</v>
      </c>
      <c r="D222">
        <f>IFERROR(+VLOOKUP(B222,'BD ASVICC'!$A$6:$GQ$316,5,FALSE),"")</f>
        <v>381</v>
      </c>
      <c r="E222">
        <f>IFERROR(+VLOOKUP($B222,'BD ASVICC'!$A$6:$GQ$316,113,FALSE),"")</f>
        <v>0.12</v>
      </c>
      <c r="F222">
        <f>IFERROR(+VLOOKUP($B222,'BD ASVICC'!$A$6:$GQ$316,114,FALSE),"")</f>
        <v>1.9</v>
      </c>
      <c r="G222">
        <f>IFERROR(+VLOOKUP($B222,'BD ASVICC'!$A$6:$GQ$316,115,FALSE),"")</f>
        <v>2.02</v>
      </c>
      <c r="H222">
        <f t="shared" si="17"/>
        <v>3.1674107541774639</v>
      </c>
      <c r="I222">
        <f t="shared" si="18"/>
        <v>47.511161312661955</v>
      </c>
      <c r="J222" s="846">
        <f>I222*'2. Incendis forestals'!$C$52</f>
        <v>474398.9457069296</v>
      </c>
      <c r="K222" t="str">
        <f>VLOOKUP(B222,'BD ASVICC'!$A$6:$BG$316,59,FALSE)</f>
        <v>LITORAL</v>
      </c>
      <c r="L222">
        <f>VLOOKUP(K222,'2. Incendis forestals'!$F$9:$G$11,2,FALSE)</f>
        <v>0.75</v>
      </c>
      <c r="M222">
        <f t="shared" si="15"/>
        <v>8.7103795739880248</v>
      </c>
      <c r="N222">
        <f t="shared" si="19"/>
        <v>130.65569360982036</v>
      </c>
      <c r="O222" s="846">
        <f>N222*'2. Incendis forestals'!$C$52</f>
        <v>1304597.1006940564</v>
      </c>
      <c r="P222" s="846">
        <f t="shared" si="16"/>
        <v>830198.15498712682</v>
      </c>
      <c r="Q222" s="854">
        <f>D222/VLOOKUP(C222,'BD Comarcal'!$A$5:$AX$17,21,FALSE)</f>
        <v>1.4658356417359188E-2</v>
      </c>
      <c r="R222">
        <f>VLOOKUP(C222,'BD Comarcal'!$A$5:$AX$17,50,FALSE)*Q222</f>
        <v>3.1674107541774639</v>
      </c>
    </row>
    <row r="223" spans="1:18">
      <c r="A223">
        <v>8222</v>
      </c>
      <c r="B223" t="s">
        <v>1490</v>
      </c>
      <c r="C223" t="s">
        <v>791</v>
      </c>
      <c r="D223">
        <f>IFERROR(+VLOOKUP(B223,'BD ASVICC'!$A$6:$GQ$316,5,FALSE),"")</f>
        <v>554</v>
      </c>
      <c r="E223">
        <f>IFERROR(+VLOOKUP($B223,'BD ASVICC'!$A$6:$GQ$316,113,FALSE),"")</f>
        <v>5.8</v>
      </c>
      <c r="F223">
        <f>IFERROR(+VLOOKUP($B223,'BD ASVICC'!$A$6:$GQ$316,114,FALSE),"")</f>
        <v>3.7</v>
      </c>
      <c r="G223">
        <f>IFERROR(+VLOOKUP($B223,'BD ASVICC'!$A$6:$GQ$316,115,FALSE),"")</f>
        <v>9.5</v>
      </c>
      <c r="H223">
        <f t="shared" si="17"/>
        <v>4.03107256935363</v>
      </c>
      <c r="I223">
        <f t="shared" si="18"/>
        <v>60.466088540304447</v>
      </c>
      <c r="J223" s="846">
        <f>I223*'2. Incendis forestals'!$C$52</f>
        <v>603753.89407493989</v>
      </c>
      <c r="K223" t="str">
        <f>VLOOKUP(B223,'BD ASVICC'!$A$6:$BG$316,59,FALSE)</f>
        <v>LITORAL</v>
      </c>
      <c r="L223">
        <f>VLOOKUP(K223,'2. Incendis forestals'!$F$9:$G$11,2,FALSE)</f>
        <v>0.75</v>
      </c>
      <c r="M223">
        <f t="shared" si="15"/>
        <v>11.085449565722483</v>
      </c>
      <c r="N223">
        <f t="shared" si="19"/>
        <v>166.28174348583724</v>
      </c>
      <c r="O223" s="846">
        <f>N223*'2. Incendis forestals'!$C$52</f>
        <v>1660323.2087060849</v>
      </c>
      <c r="P223" s="846">
        <f t="shared" si="16"/>
        <v>1056569.314631145</v>
      </c>
      <c r="Q223" s="854">
        <f>D223/VLOOKUP(C223,'BD Comarcal'!$A$5:$AX$17,21,FALSE)</f>
        <v>1.8039139070691282E-2</v>
      </c>
      <c r="R223">
        <f>VLOOKUP(C223,'BD Comarcal'!$A$5:$AX$17,50,FALSE)*Q223</f>
        <v>4.03107256935363</v>
      </c>
    </row>
    <row r="224" spans="1:18">
      <c r="A224">
        <v>8223</v>
      </c>
      <c r="B224" t="s">
        <v>1494</v>
      </c>
      <c r="C224" t="s">
        <v>89</v>
      </c>
      <c r="D224">
        <f>IFERROR(+VLOOKUP(B224,'BD ASVICC'!$A$6:$GQ$316,5,FALSE),"")</f>
        <v>3732</v>
      </c>
      <c r="E224">
        <f>IFERROR(+VLOOKUP($B224,'BD ASVICC'!$A$6:$GQ$316,113,FALSE),"")</f>
        <v>2519.42</v>
      </c>
      <c r="F224">
        <f>IFERROR(+VLOOKUP($B224,'BD ASVICC'!$A$6:$GQ$316,114,FALSE),"")</f>
        <v>516.72</v>
      </c>
      <c r="G224">
        <f>IFERROR(+VLOOKUP($B224,'BD ASVICC'!$A$6:$GQ$316,115,FALSE),"")</f>
        <v>3036.14</v>
      </c>
      <c r="H224">
        <f t="shared" si="17"/>
        <v>29.807121557621468</v>
      </c>
      <c r="I224">
        <f t="shared" si="18"/>
        <v>447.106823364322</v>
      </c>
      <c r="J224" s="846">
        <f>I224*'2. Incendis forestals'!$C$52</f>
        <v>4464361.6312927548</v>
      </c>
      <c r="K224" t="str">
        <f>VLOOKUP(B224,'BD ASVICC'!$A$6:$BG$316,59,FALSE)</f>
        <v>CENTRAL</v>
      </c>
      <c r="L224">
        <f>VLOOKUP(K224,'2. Incendis forestals'!$F$9:$G$11,2,FALSE)</f>
        <v>0.75</v>
      </c>
      <c r="M224">
        <f t="shared" si="15"/>
        <v>81.969584283459042</v>
      </c>
      <c r="N224">
        <f t="shared" si="19"/>
        <v>1229.5437642518857</v>
      </c>
      <c r="O224" s="846">
        <f>N224*'2. Incendis forestals'!$C$52</f>
        <v>12276994.486055078</v>
      </c>
      <c r="P224" s="846">
        <f t="shared" si="16"/>
        <v>7812632.8547623232</v>
      </c>
      <c r="Q224" s="854">
        <f>D224/VLOOKUP(C224,'BD Comarcal'!$A$5:$AX$17,21,FALSE)</f>
        <v>0.10910366602350464</v>
      </c>
      <c r="R224">
        <f>VLOOKUP(C224,'BD Comarcal'!$A$5:$AX$17,50,FALSE)*Q224</f>
        <v>29.807121557621468</v>
      </c>
    </row>
    <row r="225" spans="1:18">
      <c r="A225">
        <v>8224</v>
      </c>
      <c r="B225" t="s">
        <v>1496</v>
      </c>
      <c r="C225" t="s">
        <v>88</v>
      </c>
      <c r="D225">
        <f>IFERROR(+VLOOKUP(B225,'BD ASVICC'!$A$6:$GQ$316,5,FALSE),"")</f>
        <v>1970</v>
      </c>
      <c r="E225">
        <f>IFERROR(+VLOOKUP($B225,'BD ASVICC'!$A$6:$GQ$316,113,FALSE),"")</f>
        <v>5</v>
      </c>
      <c r="F225">
        <f>IFERROR(+VLOOKUP($B225,'BD ASVICC'!$A$6:$GQ$316,114,FALSE),"")</f>
        <v>2.08</v>
      </c>
      <c r="G225">
        <f>IFERROR(+VLOOKUP($B225,'BD ASVICC'!$A$6:$GQ$316,115,FALSE),"")</f>
        <v>7.08</v>
      </c>
      <c r="H225">
        <f t="shared" si="17"/>
        <v>1.5322111916410266</v>
      </c>
      <c r="I225">
        <f t="shared" si="18"/>
        <v>22.9831678746154</v>
      </c>
      <c r="J225" s="846">
        <f>I225*'2. Incendis forestals'!$C$52</f>
        <v>229486.93122803478</v>
      </c>
      <c r="K225" t="str">
        <f>VLOOKUP(B225,'BD ASVICC'!$A$6:$BG$316,59,FALSE)</f>
        <v>CENTRAL</v>
      </c>
      <c r="L225">
        <f>VLOOKUP(K225,'2. Incendis forestals'!$F$9:$G$11,2,FALSE)</f>
        <v>0.75</v>
      </c>
      <c r="M225">
        <f t="shared" si="15"/>
        <v>4.2135807770128233</v>
      </c>
      <c r="N225">
        <f t="shared" si="19"/>
        <v>63.20371165519235</v>
      </c>
      <c r="O225" s="846">
        <f>N225*'2. Incendis forestals'!$C$52</f>
        <v>631089.06087709568</v>
      </c>
      <c r="P225" s="846">
        <f t="shared" si="16"/>
        <v>401602.12964906089</v>
      </c>
      <c r="Q225" s="854">
        <f>D225/VLOOKUP(C225,'BD Comarcal'!$A$5:$AX$17,21,FALSE)</f>
        <v>2.1078987352607589E-2</v>
      </c>
      <c r="R225">
        <f>VLOOKUP(C225,'BD Comarcal'!$A$5:$AX$17,50,FALSE)*Q225</f>
        <v>1.5322111916410266</v>
      </c>
    </row>
    <row r="226" spans="1:18">
      <c r="A226">
        <v>8225</v>
      </c>
      <c r="B226" t="s">
        <v>1499</v>
      </c>
      <c r="C226" t="s">
        <v>88</v>
      </c>
      <c r="D226">
        <f>IFERROR(+VLOOKUP(B226,'BD ASVICC'!$A$6:$GQ$316,5,FALSE),"")</f>
        <v>711</v>
      </c>
      <c r="E226">
        <f>IFERROR(+VLOOKUP($B226,'BD ASVICC'!$A$6:$GQ$316,113,FALSE),"")</f>
        <v>3.8</v>
      </c>
      <c r="F226">
        <f>IFERROR(+VLOOKUP($B226,'BD ASVICC'!$A$6:$GQ$316,114,FALSE),"")</f>
        <v>0</v>
      </c>
      <c r="G226">
        <f>IFERROR(+VLOOKUP($B226,'BD ASVICC'!$A$6:$GQ$316,115,FALSE),"")</f>
        <v>3.8</v>
      </c>
      <c r="H226">
        <f t="shared" si="17"/>
        <v>0.55299601891206596</v>
      </c>
      <c r="I226">
        <f t="shared" si="18"/>
        <v>8.2949402836809902</v>
      </c>
      <c r="J226" s="846">
        <f>I226*'2. Incendis forestals'!$C$52</f>
        <v>82824.978732554693</v>
      </c>
      <c r="K226" t="str">
        <f>VLOOKUP(B226,'BD ASVICC'!$A$6:$BG$316,59,FALSE)</f>
        <v>PREPIRINEU-PIRINEU</v>
      </c>
      <c r="L226">
        <f>VLOOKUP(K226,'2. Incendis forestals'!$F$9:$G$11,2,FALSE)</f>
        <v>0.75</v>
      </c>
      <c r="M226">
        <f t="shared" si="15"/>
        <v>1.5207390520081814</v>
      </c>
      <c r="N226">
        <f t="shared" si="19"/>
        <v>22.81108578012272</v>
      </c>
      <c r="O226" s="846">
        <f>N226*'2. Incendis forestals'!$C$52</f>
        <v>227768.69151452536</v>
      </c>
      <c r="P226" s="846">
        <f t="shared" si="16"/>
        <v>144943.71278197068</v>
      </c>
      <c r="Q226" s="854">
        <f>D226/VLOOKUP(C226,'BD Comarcal'!$A$5:$AX$17,21,FALSE)</f>
        <v>7.6076954353827388E-3</v>
      </c>
      <c r="R226">
        <f>VLOOKUP(C226,'BD Comarcal'!$A$5:$AX$17,50,FALSE)*Q226</f>
        <v>0.55299601891206596</v>
      </c>
    </row>
    <row r="227" spans="1:18">
      <c r="A227">
        <v>8226</v>
      </c>
      <c r="B227" t="s">
        <v>1501</v>
      </c>
      <c r="C227" t="s">
        <v>81</v>
      </c>
      <c r="D227">
        <f>IFERROR(+VLOOKUP(B227,'BD ASVICC'!$A$6:$GQ$316,5,FALSE),"")</f>
        <v>2152</v>
      </c>
      <c r="E227">
        <f>IFERROR(+VLOOKUP($B227,'BD ASVICC'!$A$6:$GQ$316,113,FALSE),"")</f>
        <v>1</v>
      </c>
      <c r="F227">
        <f>IFERROR(+VLOOKUP($B227,'BD ASVICC'!$A$6:$GQ$316,114,FALSE),"")</f>
        <v>0.3</v>
      </c>
      <c r="G227">
        <f>IFERROR(+VLOOKUP($B227,'BD ASVICC'!$A$6:$GQ$316,115,FALSE),"")</f>
        <v>1.3</v>
      </c>
      <c r="H227">
        <f t="shared" si="17"/>
        <v>23.756402255794864</v>
      </c>
      <c r="I227">
        <f t="shared" si="18"/>
        <v>356.34603383692297</v>
      </c>
      <c r="J227" s="846">
        <f>I227*'2. Incendis forestals'!$C$52</f>
        <v>3558115.1478616758</v>
      </c>
      <c r="K227" t="str">
        <f>VLOOKUP(B227,'BD ASVICC'!$A$6:$BG$316,59,FALSE)</f>
        <v>CENTRAL</v>
      </c>
      <c r="L227">
        <f>VLOOKUP(K227,'2. Incendis forestals'!$F$9:$G$11,2,FALSE)</f>
        <v>0.75</v>
      </c>
      <c r="M227">
        <f t="shared" si="15"/>
        <v>65.330106203435875</v>
      </c>
      <c r="N227">
        <f t="shared" si="19"/>
        <v>979.95159305153811</v>
      </c>
      <c r="O227" s="846">
        <f>N227*'2. Incendis forestals'!$C$52</f>
        <v>9784816.6566196084</v>
      </c>
      <c r="P227" s="846">
        <f t="shared" si="16"/>
        <v>6226701.5087579321</v>
      </c>
      <c r="Q227" s="854">
        <f>D227/VLOOKUP(C227,'BD Comarcal'!$A$5:$AX$17,21,FALSE)</f>
        <v>4.1256877743908286E-2</v>
      </c>
      <c r="R227">
        <f>VLOOKUP(C227,'BD Comarcal'!$A$5:$AX$17,50,FALSE)*Q227</f>
        <v>23.756402255794864</v>
      </c>
    </row>
    <row r="228" spans="1:18">
      <c r="A228">
        <v>8227</v>
      </c>
      <c r="B228" t="s">
        <v>1506</v>
      </c>
      <c r="C228" t="s">
        <v>791</v>
      </c>
      <c r="D228">
        <f>IFERROR(+VLOOKUP(B228,'BD ASVICC'!$A$6:$GQ$316,5,FALSE),"")</f>
        <v>1031</v>
      </c>
      <c r="E228">
        <f>IFERROR(+VLOOKUP($B228,'BD ASVICC'!$A$6:$GQ$316,113,FALSE),"")</f>
        <v>0</v>
      </c>
      <c r="F228">
        <f>IFERROR(+VLOOKUP($B228,'BD ASVICC'!$A$6:$GQ$316,114,FALSE),"")</f>
        <v>0</v>
      </c>
      <c r="G228">
        <f>IFERROR(+VLOOKUP($B228,'BD ASVICC'!$A$6:$GQ$316,115,FALSE),"")</f>
        <v>0</v>
      </c>
      <c r="H228">
        <f t="shared" si="17"/>
        <v>7.5018697093927669</v>
      </c>
      <c r="I228">
        <f t="shared" si="18"/>
        <v>112.52804564089151</v>
      </c>
      <c r="J228" s="846">
        <f>I228*'2. Incendis forestals'!$C$52</f>
        <v>1123592.5357243016</v>
      </c>
      <c r="K228" t="str">
        <f>VLOOKUP(B228,'BD ASVICC'!$A$6:$BG$316,59,FALSE)</f>
        <v>LITORAL</v>
      </c>
      <c r="L228">
        <f>VLOOKUP(K228,'2. Incendis forestals'!$F$9:$G$11,2,FALSE)</f>
        <v>0.75</v>
      </c>
      <c r="M228">
        <f t="shared" si="15"/>
        <v>20.630141700830109</v>
      </c>
      <c r="N228">
        <f t="shared" si="19"/>
        <v>309.45212551245163</v>
      </c>
      <c r="O228" s="846">
        <f>N228*'2. Incendis forestals'!$C$52</f>
        <v>3089879.4732418293</v>
      </c>
      <c r="P228" s="846">
        <f t="shared" si="16"/>
        <v>1966286.9375175277</v>
      </c>
      <c r="Q228" s="854">
        <f>D228/VLOOKUP(C228,'BD Comarcal'!$A$5:$AX$17,21,FALSE)</f>
        <v>3.3571033180293704E-2</v>
      </c>
      <c r="R228">
        <f>VLOOKUP(C228,'BD Comarcal'!$A$5:$AX$17,50,FALSE)*Q228</f>
        <v>7.5018697093927669</v>
      </c>
    </row>
    <row r="229" spans="1:18">
      <c r="A229">
        <v>8228</v>
      </c>
      <c r="B229" t="s">
        <v>1510</v>
      </c>
      <c r="C229" t="s">
        <v>81</v>
      </c>
      <c r="D229">
        <f>IFERROR(+VLOOKUP(B229,'BD ASVICC'!$A$6:$GQ$316,5,FALSE),"")</f>
        <v>16</v>
      </c>
      <c r="E229">
        <f>IFERROR(+VLOOKUP($B229,'BD ASVICC'!$A$6:$GQ$316,113,FALSE),"")</f>
        <v>0.5</v>
      </c>
      <c r="F229">
        <f>IFERROR(+VLOOKUP($B229,'BD ASVICC'!$A$6:$GQ$316,114,FALSE),"")</f>
        <v>1</v>
      </c>
      <c r="G229">
        <f>IFERROR(+VLOOKUP($B229,'BD ASVICC'!$A$6:$GQ$316,115,FALSE),"")</f>
        <v>1.5</v>
      </c>
      <c r="H229">
        <f t="shared" si="17"/>
        <v>0.17662752606538931</v>
      </c>
      <c r="I229">
        <f t="shared" si="18"/>
        <v>2.6494128909808397</v>
      </c>
      <c r="J229" s="846">
        <f>I229*'2. Incendis forestals'!$C$52</f>
        <v>26454.387716443685</v>
      </c>
      <c r="K229" t="str">
        <f>VLOOKUP(B229,'BD ASVICC'!$A$6:$BG$316,59,FALSE)</f>
        <v>PREPIRINEU-PIRINEU</v>
      </c>
      <c r="L229">
        <f>VLOOKUP(K229,'2. Incendis forestals'!$F$9:$G$11,2,FALSE)</f>
        <v>0.75</v>
      </c>
      <c r="M229">
        <f t="shared" si="15"/>
        <v>0.48572569667982057</v>
      </c>
      <c r="N229">
        <f t="shared" si="19"/>
        <v>7.2858854501973083</v>
      </c>
      <c r="O229" s="846">
        <f>N229*'2. Incendis forestals'!$C$52</f>
        <v>72749.56622022012</v>
      </c>
      <c r="P229" s="846">
        <f t="shared" si="16"/>
        <v>46295.178503776435</v>
      </c>
      <c r="Q229" s="854">
        <f>D229/VLOOKUP(C229,'BD Comarcal'!$A$5:$AX$17,21,FALSE)</f>
        <v>3.0674258545656716E-4</v>
      </c>
      <c r="R229">
        <f>VLOOKUP(C229,'BD Comarcal'!$A$5:$AX$17,50,FALSE)*Q229</f>
        <v>0.17662752606538931</v>
      </c>
    </row>
    <row r="230" spans="1:18">
      <c r="A230">
        <v>8229</v>
      </c>
      <c r="B230" t="s">
        <v>1511</v>
      </c>
      <c r="C230" t="s">
        <v>82</v>
      </c>
      <c r="D230">
        <f>IFERROR(+VLOOKUP(B230,'BD ASVICC'!$A$6:$GQ$316,5,FALSE),"")</f>
        <v>8518</v>
      </c>
      <c r="E230">
        <f>IFERROR(+VLOOKUP($B230,'BD ASVICC'!$A$6:$GQ$316,113,FALSE),"")</f>
        <v>162.68</v>
      </c>
      <c r="F230">
        <f>IFERROR(+VLOOKUP($B230,'BD ASVICC'!$A$6:$GQ$316,114,FALSE),"")</f>
        <v>7.89</v>
      </c>
      <c r="G230">
        <f>IFERROR(+VLOOKUP($B230,'BD ASVICC'!$A$6:$GQ$316,115,FALSE),"")</f>
        <v>170.57</v>
      </c>
      <c r="H230">
        <f t="shared" si="17"/>
        <v>93.927429767347746</v>
      </c>
      <c r="I230">
        <f t="shared" si="18"/>
        <v>1408.9114465102161</v>
      </c>
      <c r="J230" s="846">
        <f>I230*'2. Incendis forestals'!$C$52</f>
        <v>14067980.793404508</v>
      </c>
      <c r="K230" t="str">
        <f>VLOOKUP(B230,'BD ASVICC'!$A$6:$BG$316,59,FALSE)</f>
        <v>CENTRAL</v>
      </c>
      <c r="L230">
        <f>VLOOKUP(K230,'2. Incendis forestals'!$F$9:$G$11,2,FALSE)</f>
        <v>0.75</v>
      </c>
      <c r="M230">
        <f t="shared" si="15"/>
        <v>258.30043186020629</v>
      </c>
      <c r="N230">
        <f t="shared" si="19"/>
        <v>3874.5064779030945</v>
      </c>
      <c r="O230" s="846">
        <f>N230*'2. Incendis forestals'!$C$52</f>
        <v>38686947.181862399</v>
      </c>
      <c r="P230" s="846">
        <f t="shared" si="16"/>
        <v>24618966.388457891</v>
      </c>
      <c r="Q230" s="854">
        <f>D230/VLOOKUP(C230,'BD Comarcal'!$A$5:$AX$17,21,FALSE)</f>
        <v>0.10518386802005383</v>
      </c>
      <c r="R230">
        <f>VLOOKUP(C230,'BD Comarcal'!$A$5:$AX$17,50,FALSE)*Q230</f>
        <v>93.927429767347746</v>
      </c>
    </row>
    <row r="231" spans="1:18">
      <c r="A231">
        <v>8230</v>
      </c>
      <c r="B231" t="s">
        <v>1513</v>
      </c>
      <c r="C231" t="s">
        <v>86</v>
      </c>
      <c r="D231">
        <f>IFERROR(+VLOOKUP(B231,'BD ASVICC'!$A$6:$GQ$316,5,FALSE),"")</f>
        <v>315</v>
      </c>
      <c r="E231">
        <f>IFERROR(+VLOOKUP($B231,'BD ASVICC'!$A$6:$GQ$316,113,FALSE),"")</f>
        <v>0</v>
      </c>
      <c r="F231">
        <f>IFERROR(+VLOOKUP($B231,'BD ASVICC'!$A$6:$GQ$316,114,FALSE),"")</f>
        <v>0</v>
      </c>
      <c r="G231">
        <f>IFERROR(+VLOOKUP($B231,'BD ASVICC'!$A$6:$GQ$316,115,FALSE),"")</f>
        <v>0</v>
      </c>
      <c r="H231">
        <f t="shared" si="17"/>
        <v>0.56404812986212483</v>
      </c>
      <c r="I231">
        <f t="shared" si="18"/>
        <v>8.4607219479318729</v>
      </c>
      <c r="J231" s="846">
        <f>I231*'2. Incendis forestals'!$C$52</f>
        <v>84480.308650099745</v>
      </c>
      <c r="K231" t="str">
        <f>VLOOKUP(B231,'BD ASVICC'!$A$6:$BG$316,59,FALSE)</f>
        <v>LITORAL</v>
      </c>
      <c r="L231">
        <f>VLOOKUP(K231,'2. Incendis forestals'!$F$9:$G$11,2,FALSE)</f>
        <v>0.75</v>
      </c>
      <c r="M231">
        <f t="shared" si="15"/>
        <v>1.5511323571208433</v>
      </c>
      <c r="N231">
        <f t="shared" si="19"/>
        <v>23.266985356812651</v>
      </c>
      <c r="O231" s="846">
        <f>N231*'2. Incendis forestals'!$C$52</f>
        <v>232320.8487877743</v>
      </c>
      <c r="P231" s="846">
        <f t="shared" si="16"/>
        <v>147840.54013767454</v>
      </c>
      <c r="Q231" s="854">
        <f>D231/VLOOKUP(C231,'BD Comarcal'!$A$5:$AX$17,21,FALSE)</f>
        <v>1.1710472508271683E-2</v>
      </c>
      <c r="R231">
        <f>VLOOKUP(C231,'BD Comarcal'!$A$5:$AX$17,50,FALSE)*Q231</f>
        <v>0.56404812986212483</v>
      </c>
    </row>
    <row r="232" spans="1:18">
      <c r="A232">
        <v>8231</v>
      </c>
      <c r="B232" t="s">
        <v>1518</v>
      </c>
      <c r="C232" t="s">
        <v>85</v>
      </c>
      <c r="D232">
        <f>IFERROR(+VLOOKUP(B232,'BD ASVICC'!$A$6:$GQ$316,5,FALSE),"")</f>
        <v>2416</v>
      </c>
      <c r="E232">
        <f>IFERROR(+VLOOKUP($B232,'BD ASVICC'!$A$6:$GQ$316,113,FALSE),"")</f>
        <v>3.26</v>
      </c>
      <c r="F232">
        <f>IFERROR(+VLOOKUP($B232,'BD ASVICC'!$A$6:$GQ$316,114,FALSE),"")</f>
        <v>130.24</v>
      </c>
      <c r="G232">
        <f>IFERROR(+VLOOKUP($B232,'BD ASVICC'!$A$6:$GQ$316,115,FALSE),"")</f>
        <v>133.5</v>
      </c>
      <c r="H232">
        <f t="shared" si="17"/>
        <v>30.791046676058514</v>
      </c>
      <c r="I232">
        <f t="shared" si="18"/>
        <v>461.86570014087772</v>
      </c>
      <c r="J232" s="846">
        <f>I232*'2. Incendis forestals'!$C$52</f>
        <v>4611729.0159066636</v>
      </c>
      <c r="K232" t="str">
        <f>VLOOKUP(B232,'BD ASVICC'!$A$6:$BG$316,59,FALSE)</f>
        <v>LITORAL</v>
      </c>
      <c r="L232">
        <f>VLOOKUP(K232,'2. Incendis forestals'!$F$9:$G$11,2,FALSE)</f>
        <v>0.75</v>
      </c>
      <c r="M232">
        <f t="shared" si="15"/>
        <v>84.675378359160916</v>
      </c>
      <c r="N232">
        <f t="shared" si="19"/>
        <v>1270.1306753874137</v>
      </c>
      <c r="O232" s="846">
        <f>N232*'2. Incendis forestals'!$C$52</f>
        <v>12682254.793743325</v>
      </c>
      <c r="P232" s="846">
        <f t="shared" si="16"/>
        <v>8070525.7778366618</v>
      </c>
      <c r="Q232" s="854">
        <f>D232/VLOOKUP(C232,'BD Comarcal'!$A$5:$AX$17,21,FALSE)</f>
        <v>0.19945513085115166</v>
      </c>
      <c r="R232">
        <f>VLOOKUP(C232,'BD Comarcal'!$A$5:$AX$17,50,FALSE)*Q232</f>
        <v>30.791046676058514</v>
      </c>
    </row>
    <row r="233" spans="1:18">
      <c r="A233">
        <v>8232</v>
      </c>
      <c r="B233" t="s">
        <v>1523</v>
      </c>
      <c r="C233" t="s">
        <v>791</v>
      </c>
      <c r="D233">
        <f>IFERROR(+VLOOKUP(B233,'BD ASVICC'!$A$6:$GQ$316,5,FALSE),"")</f>
        <v>123</v>
      </c>
      <c r="E233">
        <f>IFERROR(+VLOOKUP($B233,'BD ASVICC'!$A$6:$GQ$316,113,FALSE),"")</f>
        <v>0</v>
      </c>
      <c r="F233">
        <f>IFERROR(+VLOOKUP($B233,'BD ASVICC'!$A$6:$GQ$316,114,FALSE),"")</f>
        <v>2.7</v>
      </c>
      <c r="G233">
        <f>IFERROR(+VLOOKUP($B233,'BD ASVICC'!$A$6:$GQ$316,115,FALSE),"")</f>
        <v>2.7</v>
      </c>
      <c r="H233">
        <f t="shared" si="17"/>
        <v>0.8949854260478276</v>
      </c>
      <c r="I233">
        <f t="shared" si="18"/>
        <v>13.424781390717413</v>
      </c>
      <c r="J233" s="846">
        <f>I233*'2. Incendis forestals'!$C$52</f>
        <v>134046.44218631336</v>
      </c>
      <c r="K233" t="str">
        <f>VLOOKUP(B233,'BD ASVICC'!$A$6:$BG$316,59,FALSE)</f>
        <v>CENTRAL</v>
      </c>
      <c r="L233">
        <f>VLOOKUP(K233,'2. Incendis forestals'!$F$9:$G$11,2,FALSE)</f>
        <v>0.75</v>
      </c>
      <c r="M233">
        <f t="shared" si="15"/>
        <v>2.461209921631526</v>
      </c>
      <c r="N233">
        <f t="shared" si="19"/>
        <v>36.918148824472887</v>
      </c>
      <c r="O233" s="846">
        <f>N233*'2. Incendis forestals'!$C$52</f>
        <v>368627.71601236175</v>
      </c>
      <c r="P233" s="846">
        <f t="shared" si="16"/>
        <v>234581.27382604839</v>
      </c>
      <c r="Q233" s="854">
        <f>D233/VLOOKUP(C233,'BD Comarcal'!$A$5:$AX$17,21,FALSE)</f>
        <v>4.00507961316792E-3</v>
      </c>
      <c r="R233">
        <f>VLOOKUP(C233,'BD Comarcal'!$A$5:$AX$17,50,FALSE)*Q233</f>
        <v>0.8949854260478276</v>
      </c>
    </row>
    <row r="234" spans="1:18">
      <c r="A234">
        <v>8233</v>
      </c>
      <c r="B234" t="s">
        <v>1524</v>
      </c>
      <c r="C234" t="s">
        <v>88</v>
      </c>
      <c r="D234">
        <f>IFERROR(+VLOOKUP(B234,'BD ASVICC'!$A$6:$GQ$316,5,FALSE),"")</f>
        <v>4530</v>
      </c>
      <c r="E234">
        <f>IFERROR(+VLOOKUP($B234,'BD ASVICC'!$A$6:$GQ$316,113,FALSE),"")</f>
        <v>0</v>
      </c>
      <c r="F234">
        <f>IFERROR(+VLOOKUP($B234,'BD ASVICC'!$A$6:$GQ$316,114,FALSE),"")</f>
        <v>1.6</v>
      </c>
      <c r="G234">
        <f>IFERROR(+VLOOKUP($B234,'BD ASVICC'!$A$6:$GQ$316,115,FALSE),"")</f>
        <v>1.6</v>
      </c>
      <c r="H234">
        <f t="shared" si="17"/>
        <v>3.523307968595863</v>
      </c>
      <c r="I234">
        <f t="shared" si="18"/>
        <v>52.849619528937943</v>
      </c>
      <c r="J234" s="846">
        <f>I234*'2. Incendis forestals'!$C$52</f>
        <v>527703.45099644538</v>
      </c>
      <c r="K234" t="str">
        <f>VLOOKUP(B234,'BD ASVICC'!$A$6:$BG$316,59,FALSE)</f>
        <v>PREPIRINEU-PIRINEU</v>
      </c>
      <c r="L234">
        <f>VLOOKUP(K234,'2. Incendis forestals'!$F$9:$G$11,2,FALSE)</f>
        <v>0.75</v>
      </c>
      <c r="M234">
        <f t="shared" si="15"/>
        <v>9.6890969136386236</v>
      </c>
      <c r="N234">
        <f t="shared" si="19"/>
        <v>145.33645370457936</v>
      </c>
      <c r="O234" s="846">
        <f>N234*'2. Incendis forestals'!$C$52</f>
        <v>1451184.4902402249</v>
      </c>
      <c r="P234" s="846">
        <f t="shared" si="16"/>
        <v>923481.03924377949</v>
      </c>
      <c r="Q234" s="854">
        <f>D234/VLOOKUP(C234,'BD Comarcal'!$A$5:$AX$17,21,FALSE)</f>
        <v>4.847097091741745E-2</v>
      </c>
      <c r="R234">
        <f>VLOOKUP(C234,'BD Comarcal'!$A$5:$AX$17,50,FALSE)*Q234</f>
        <v>3.523307968595863</v>
      </c>
    </row>
    <row r="235" spans="1:18">
      <c r="A235">
        <v>8234</v>
      </c>
      <c r="B235" t="s">
        <v>1530</v>
      </c>
      <c r="C235" t="s">
        <v>24</v>
      </c>
      <c r="D235">
        <f>IFERROR(+VLOOKUP(B235,'BD ASVICC'!$A$6:$GQ$316,5,FALSE),"")</f>
        <v>2689</v>
      </c>
      <c r="E235">
        <f>IFERROR(+VLOOKUP($B235,'BD ASVICC'!$A$6:$GQ$316,113,FALSE),"")</f>
        <v>0</v>
      </c>
      <c r="F235">
        <f>IFERROR(+VLOOKUP($B235,'BD ASVICC'!$A$6:$GQ$316,114,FALSE),"")</f>
        <v>0</v>
      </c>
      <c r="G235">
        <f>IFERROR(+VLOOKUP($B235,'BD ASVICC'!$A$6:$GQ$316,115,FALSE),"")</f>
        <v>0</v>
      </c>
      <c r="H235">
        <f t="shared" si="17"/>
        <v>5.4709825220956736</v>
      </c>
      <c r="I235">
        <f t="shared" si="18"/>
        <v>82.06473783143511</v>
      </c>
      <c r="J235" s="846">
        <f>I235*'2. Incendis forestals'!$C$52</f>
        <v>819416.40724687953</v>
      </c>
      <c r="K235" t="str">
        <f>VLOOKUP(B235,'BD ASVICC'!$A$6:$BG$316,59,FALSE)</f>
        <v>CENTRAL</v>
      </c>
      <c r="L235">
        <f>VLOOKUP(K235,'2. Incendis forestals'!$F$9:$G$11,2,FALSE)</f>
        <v>0.75</v>
      </c>
      <c r="M235">
        <f t="shared" si="15"/>
        <v>15.045201935763103</v>
      </c>
      <c r="N235">
        <f t="shared" si="19"/>
        <v>225.67802903644656</v>
      </c>
      <c r="O235" s="846">
        <f>N235*'2. Incendis forestals'!$C$52</f>
        <v>2253395.1199289188</v>
      </c>
      <c r="P235" s="846">
        <f t="shared" si="16"/>
        <v>1433978.7126820392</v>
      </c>
      <c r="Q235" s="854">
        <f>D235/VLOOKUP(C235,'BD Comarcal'!$A$5:$AX$17,21,FALSE)</f>
        <v>5.2900788888670301E-2</v>
      </c>
      <c r="R235">
        <f>VLOOKUP(C235,'BD Comarcal'!$A$5:$AX$17,50,FALSE)*Q235</f>
        <v>5.4709825220956736</v>
      </c>
    </row>
    <row r="236" spans="1:18">
      <c r="A236">
        <v>8235</v>
      </c>
      <c r="B236" t="s">
        <v>353</v>
      </c>
      <c r="C236" t="s">
        <v>86</v>
      </c>
      <c r="D236">
        <f>IFERROR(+VLOOKUP(B236,'BD ASVICC'!$A$6:$GQ$316,5,FALSE),"")</f>
        <v>681</v>
      </c>
      <c r="E236">
        <f>IFERROR(+VLOOKUP($B236,'BD ASVICC'!$A$6:$GQ$316,113,FALSE),"")</f>
        <v>29.2</v>
      </c>
      <c r="F236">
        <f>IFERROR(+VLOOKUP($B236,'BD ASVICC'!$A$6:$GQ$316,114,FALSE),"")</f>
        <v>9.1999999999999993</v>
      </c>
      <c r="G236">
        <f>IFERROR(+VLOOKUP($B236,'BD ASVICC'!$A$6:$GQ$316,115,FALSE),"")</f>
        <v>38.4</v>
      </c>
      <c r="H236">
        <f t="shared" si="17"/>
        <v>1.2194183378924031</v>
      </c>
      <c r="I236">
        <f t="shared" si="18"/>
        <v>18.291275068386046</v>
      </c>
      <c r="J236" s="846">
        <f>I236*'2. Incendis forestals'!$C$52</f>
        <v>182638.38155783465</v>
      </c>
      <c r="K236" t="str">
        <f>VLOOKUP(B236,'BD ASVICC'!$A$6:$BG$316,59,FALSE)</f>
        <v>LITORAL</v>
      </c>
      <c r="L236">
        <f>VLOOKUP(K236,'2. Incendis forestals'!$F$9:$G$11,2,FALSE)</f>
        <v>0.75</v>
      </c>
      <c r="M236">
        <f t="shared" si="15"/>
        <v>3.3534004292041084</v>
      </c>
      <c r="N236">
        <f t="shared" si="19"/>
        <v>50.301006438061627</v>
      </c>
      <c r="O236" s="846">
        <f>N236*'2. Incendis forestals'!$C$52</f>
        <v>502255.54928404535</v>
      </c>
      <c r="P236" s="846">
        <f t="shared" si="16"/>
        <v>319617.16772621067</v>
      </c>
      <c r="Q236" s="854">
        <f>D236/VLOOKUP(C236,'BD Comarcal'!$A$5:$AX$17,21,FALSE)</f>
        <v>2.5316926279787353E-2</v>
      </c>
      <c r="R236">
        <f>VLOOKUP(C236,'BD Comarcal'!$A$5:$AX$17,50,FALSE)*Q236</f>
        <v>1.2194183378924031</v>
      </c>
    </row>
    <row r="237" spans="1:18">
      <c r="A237">
        <v>8236</v>
      </c>
      <c r="B237" t="s">
        <v>1532</v>
      </c>
      <c r="C237" t="s">
        <v>791</v>
      </c>
      <c r="D237">
        <f>IFERROR(+VLOOKUP(B237,'BD ASVICC'!$A$6:$GQ$316,5,FALSE),"")</f>
        <v>584</v>
      </c>
      <c r="E237">
        <f>IFERROR(+VLOOKUP($B237,'BD ASVICC'!$A$6:$GQ$316,113,FALSE),"")</f>
        <v>3.95</v>
      </c>
      <c r="F237">
        <f>IFERROR(+VLOOKUP($B237,'BD ASVICC'!$A$6:$GQ$316,114,FALSE),"")</f>
        <v>1.6</v>
      </c>
      <c r="G237">
        <f>IFERROR(+VLOOKUP($B237,'BD ASVICC'!$A$6:$GQ$316,115,FALSE),"")</f>
        <v>5.55</v>
      </c>
      <c r="H237">
        <f t="shared" si="17"/>
        <v>4.2493616976579789</v>
      </c>
      <c r="I237">
        <f t="shared" si="18"/>
        <v>63.740425464869681</v>
      </c>
      <c r="J237" s="846">
        <f>I237*'2. Incendis forestals'!$C$52</f>
        <v>636448.14826672373</v>
      </c>
      <c r="K237" t="str">
        <f>VLOOKUP(B237,'BD ASVICC'!$A$6:$BG$316,59,FALSE)</f>
        <v>CENTRAL</v>
      </c>
      <c r="L237">
        <f>VLOOKUP(K237,'2. Incendis forestals'!$F$9:$G$11,2,FALSE)</f>
        <v>0.75</v>
      </c>
      <c r="M237">
        <f t="shared" si="15"/>
        <v>11.685744668559442</v>
      </c>
      <c r="N237">
        <f t="shared" si="19"/>
        <v>175.28617002839164</v>
      </c>
      <c r="O237" s="846">
        <f>N237*'2. Incendis forestals'!$C$52</f>
        <v>1750232.4077334905</v>
      </c>
      <c r="P237" s="846">
        <f t="shared" si="16"/>
        <v>1113784.2594667668</v>
      </c>
      <c r="Q237" s="854">
        <f>D237/VLOOKUP(C237,'BD Comarcal'!$A$5:$AX$17,21,FALSE)</f>
        <v>1.9015987756829802E-2</v>
      </c>
      <c r="R237">
        <f>VLOOKUP(C237,'BD Comarcal'!$A$5:$AX$17,50,FALSE)*Q237</f>
        <v>4.2493616976579789</v>
      </c>
    </row>
    <row r="238" spans="1:18">
      <c r="A238">
        <v>8237</v>
      </c>
      <c r="B238" t="s">
        <v>1536</v>
      </c>
      <c r="C238" t="s">
        <v>88</v>
      </c>
      <c r="D238">
        <f>IFERROR(+VLOOKUP(B238,'BD ASVICC'!$A$6:$GQ$316,5,FALSE),"")</f>
        <v>488</v>
      </c>
      <c r="E238">
        <f>IFERROR(+VLOOKUP($B238,'BD ASVICC'!$A$6:$GQ$316,113,FALSE),"")</f>
        <v>2</v>
      </c>
      <c r="F238">
        <f>IFERROR(+VLOOKUP($B238,'BD ASVICC'!$A$6:$GQ$316,114,FALSE),"")</f>
        <v>0</v>
      </c>
      <c r="G238">
        <f>IFERROR(+VLOOKUP($B238,'BD ASVICC'!$A$6:$GQ$316,115,FALSE),"")</f>
        <v>2</v>
      </c>
      <c r="H238">
        <f t="shared" si="17"/>
        <v>0.37955282310701571</v>
      </c>
      <c r="I238">
        <f t="shared" si="18"/>
        <v>5.6932923466052356</v>
      </c>
      <c r="J238" s="846">
        <f>I238*'2. Incendis forestals'!$C$52</f>
        <v>56847.524080853276</v>
      </c>
      <c r="K238" t="str">
        <f>VLOOKUP(B238,'BD ASVICC'!$A$6:$BG$316,59,FALSE)</f>
        <v>PREPIRINEU-PIRINEU</v>
      </c>
      <c r="L238">
        <f>VLOOKUP(K238,'2. Incendis forestals'!$F$9:$G$11,2,FALSE)</f>
        <v>0.75</v>
      </c>
      <c r="M238">
        <f t="shared" si="15"/>
        <v>1.0437702635442931</v>
      </c>
      <c r="N238">
        <f t="shared" si="19"/>
        <v>15.656553953164398</v>
      </c>
      <c r="O238" s="846">
        <f>N238*'2. Incendis forestals'!$C$52</f>
        <v>156330.6912223465</v>
      </c>
      <c r="P238" s="846">
        <f t="shared" si="16"/>
        <v>99483.167141493235</v>
      </c>
      <c r="Q238" s="854">
        <f>D238/VLOOKUP(C238,'BD Comarcal'!$A$5:$AX$17,21,FALSE)</f>
        <v>5.2215968670418795E-3</v>
      </c>
      <c r="R238">
        <f>VLOOKUP(C238,'BD Comarcal'!$A$5:$AX$17,50,FALSE)*Q238</f>
        <v>0.37955282310701571</v>
      </c>
    </row>
    <row r="239" spans="1:18">
      <c r="A239">
        <v>8238</v>
      </c>
      <c r="B239" t="s">
        <v>1538</v>
      </c>
      <c r="C239" t="s">
        <v>89</v>
      </c>
      <c r="D239">
        <f>IFERROR(+VLOOKUP(B239,'BD ASVICC'!$A$6:$GQ$316,5,FALSE),"")</f>
        <v>767</v>
      </c>
      <c r="E239">
        <f>IFERROR(+VLOOKUP($B239,'BD ASVICC'!$A$6:$GQ$316,113,FALSE),"")</f>
        <v>4</v>
      </c>
      <c r="F239">
        <f>IFERROR(+VLOOKUP($B239,'BD ASVICC'!$A$6:$GQ$316,114,FALSE),"")</f>
        <v>3.5</v>
      </c>
      <c r="G239">
        <f>IFERROR(+VLOOKUP($B239,'BD ASVICC'!$A$6:$GQ$316,115,FALSE),"")</f>
        <v>7.5</v>
      </c>
      <c r="H239">
        <f t="shared" si="17"/>
        <v>6.1259545109045188</v>
      </c>
      <c r="I239">
        <f t="shared" si="18"/>
        <v>91.88931766356778</v>
      </c>
      <c r="J239" s="846">
        <f>I239*'2. Incendis forestals'!$C$52</f>
        <v>917514.83687072434</v>
      </c>
      <c r="K239" t="str">
        <f>VLOOKUP(B239,'BD ASVICC'!$A$6:$BG$316,59,FALSE)</f>
        <v>LITORAL</v>
      </c>
      <c r="L239">
        <f>VLOOKUP(K239,'2. Incendis forestals'!$F$9:$G$11,2,FALSE)</f>
        <v>0.75</v>
      </c>
      <c r="M239">
        <f t="shared" si="15"/>
        <v>16.846374904987428</v>
      </c>
      <c r="N239">
        <f t="shared" si="19"/>
        <v>252.69562357481141</v>
      </c>
      <c r="O239" s="846">
        <f>N239*'2. Incendis forestals'!$C$52</f>
        <v>2523165.8013944919</v>
      </c>
      <c r="P239" s="846">
        <f t="shared" si="16"/>
        <v>1605650.9645237676</v>
      </c>
      <c r="Q239" s="854">
        <f>D239/VLOOKUP(C239,'BD Comarcal'!$A$5:$AX$17,21,FALSE)</f>
        <v>2.2422966730982867E-2</v>
      </c>
      <c r="R239">
        <f>VLOOKUP(C239,'BD Comarcal'!$A$5:$AX$17,50,FALSE)*Q239</f>
        <v>6.1259545109045188</v>
      </c>
    </row>
    <row r="240" spans="1:18">
      <c r="A240">
        <v>8239</v>
      </c>
      <c r="B240" t="s">
        <v>1542</v>
      </c>
      <c r="C240" t="s">
        <v>24</v>
      </c>
      <c r="D240">
        <f>IFERROR(+VLOOKUP(B240,'BD ASVICC'!$A$6:$GQ$316,5,FALSE),"")</f>
        <v>2292</v>
      </c>
      <c r="E240">
        <f>IFERROR(+VLOOKUP($B240,'BD ASVICC'!$A$6:$GQ$316,113,FALSE),"")</f>
        <v>8.84</v>
      </c>
      <c r="F240">
        <f>IFERROR(+VLOOKUP($B240,'BD ASVICC'!$A$6:$GQ$316,114,FALSE),"")</f>
        <v>25.35</v>
      </c>
      <c r="G240">
        <f>IFERROR(+VLOOKUP($B240,'BD ASVICC'!$A$6:$GQ$316,115,FALSE),"")</f>
        <v>34.19</v>
      </c>
      <c r="H240">
        <f t="shared" si="17"/>
        <v>4.6632547194657059</v>
      </c>
      <c r="I240">
        <f t="shared" si="18"/>
        <v>69.948820791985582</v>
      </c>
      <c r="J240" s="846">
        <f>I240*'2. Incendis forestals'!$C$52</f>
        <v>698438.97560797608</v>
      </c>
      <c r="K240" t="str">
        <f>VLOOKUP(B240,'BD ASVICC'!$A$6:$BG$316,59,FALSE)</f>
        <v>CENTRAL</v>
      </c>
      <c r="L240">
        <f>VLOOKUP(K240,'2. Incendis forestals'!$F$9:$G$11,2,FALSE)</f>
        <v>0.75</v>
      </c>
      <c r="M240">
        <f t="shared" si="15"/>
        <v>12.823950478530691</v>
      </c>
      <c r="N240">
        <f t="shared" si="19"/>
        <v>192.35925717796036</v>
      </c>
      <c r="O240" s="846">
        <f>N240*'2. Incendis forestals'!$C$52</f>
        <v>1920707.1829219342</v>
      </c>
      <c r="P240" s="846">
        <f t="shared" si="16"/>
        <v>1222268.2073139581</v>
      </c>
      <c r="Q240" s="854">
        <f>D240/VLOOKUP(C240,'BD Comarcal'!$A$5:$AX$17,21,FALSE)</f>
        <v>4.5090594322362336E-2</v>
      </c>
      <c r="R240">
        <f>VLOOKUP(C240,'BD Comarcal'!$A$5:$AX$17,50,FALSE)*Q240</f>
        <v>4.6632547194657059</v>
      </c>
    </row>
    <row r="241" spans="1:18">
      <c r="A241">
        <v>8240</v>
      </c>
      <c r="B241" t="s">
        <v>1544</v>
      </c>
      <c r="C241" t="s">
        <v>791</v>
      </c>
      <c r="D241">
        <f>IFERROR(+VLOOKUP(B241,'BD ASVICC'!$A$6:$GQ$316,5,FALSE),"")</f>
        <v>418</v>
      </c>
      <c r="E241">
        <f>IFERROR(+VLOOKUP($B241,'BD ASVICC'!$A$6:$GQ$316,113,FALSE),"")</f>
        <v>3.44</v>
      </c>
      <c r="F241">
        <f>IFERROR(+VLOOKUP($B241,'BD ASVICC'!$A$6:$GQ$316,114,FALSE),"")</f>
        <v>2.4500000000000002</v>
      </c>
      <c r="G241">
        <f>IFERROR(+VLOOKUP($B241,'BD ASVICC'!$A$6:$GQ$316,115,FALSE),"")</f>
        <v>5.89</v>
      </c>
      <c r="H241">
        <f t="shared" si="17"/>
        <v>3.0414951877072518</v>
      </c>
      <c r="I241">
        <f t="shared" si="18"/>
        <v>45.622427815608773</v>
      </c>
      <c r="J241" s="846">
        <f>I241*'2. Incendis forestals'!$C$52</f>
        <v>455539.94173885358</v>
      </c>
      <c r="K241" t="str">
        <f>VLOOKUP(B241,'BD ASVICC'!$A$6:$BG$316,59,FALSE)</f>
        <v>LITORAL</v>
      </c>
      <c r="L241">
        <f>VLOOKUP(K241,'2. Incendis forestals'!$F$9:$G$11,2,FALSE)</f>
        <v>0.75</v>
      </c>
      <c r="M241">
        <f t="shared" si="15"/>
        <v>8.3641117661949416</v>
      </c>
      <c r="N241">
        <f t="shared" si="19"/>
        <v>125.46167649292413</v>
      </c>
      <c r="O241" s="846">
        <f>N241*'2. Incendis forestals'!$C$52</f>
        <v>1252734.8397818473</v>
      </c>
      <c r="P241" s="846">
        <f t="shared" si="16"/>
        <v>797194.89804299374</v>
      </c>
      <c r="Q241" s="854">
        <f>D241/VLOOKUP(C241,'BD Comarcal'!$A$5:$AX$17,21,FALSE)</f>
        <v>1.3610758360196672E-2</v>
      </c>
      <c r="R241">
        <f>VLOOKUP(C241,'BD Comarcal'!$A$5:$AX$17,50,FALSE)*Q241</f>
        <v>3.0414951877072518</v>
      </c>
    </row>
    <row r="242" spans="1:18">
      <c r="A242">
        <v>8241</v>
      </c>
      <c r="B242" t="s">
        <v>1549</v>
      </c>
      <c r="C242" t="s">
        <v>88</v>
      </c>
      <c r="D242">
        <f>IFERROR(+VLOOKUP(B242,'BD ASVICC'!$A$6:$GQ$316,5,FALSE),"")</f>
        <v>2782</v>
      </c>
      <c r="E242">
        <f>IFERROR(+VLOOKUP($B242,'BD ASVICC'!$A$6:$GQ$316,113,FALSE),"")</f>
        <v>0</v>
      </c>
      <c r="F242">
        <f>IFERROR(+VLOOKUP($B242,'BD ASVICC'!$A$6:$GQ$316,114,FALSE),"")</f>
        <v>0</v>
      </c>
      <c r="G242">
        <f>IFERROR(+VLOOKUP($B242,'BD ASVICC'!$A$6:$GQ$316,115,FALSE),"")</f>
        <v>0</v>
      </c>
      <c r="H242">
        <f t="shared" si="17"/>
        <v>2.1637622005813886</v>
      </c>
      <c r="I242">
        <f t="shared" si="18"/>
        <v>32.456433008720829</v>
      </c>
      <c r="J242" s="846">
        <f>I242*'2. Incendis forestals'!$C$52</f>
        <v>324077.48359207745</v>
      </c>
      <c r="K242" t="str">
        <f>VLOOKUP(B242,'BD ASVICC'!$A$6:$BG$316,59,FALSE)</f>
        <v>CENTRAL</v>
      </c>
      <c r="L242">
        <f>VLOOKUP(K242,'2. Incendis forestals'!$F$9:$G$11,2,FALSE)</f>
        <v>0.75</v>
      </c>
      <c r="M242">
        <f t="shared" si="15"/>
        <v>5.9503460515988191</v>
      </c>
      <c r="N242">
        <f t="shared" si="19"/>
        <v>89.255190773982292</v>
      </c>
      <c r="O242" s="846">
        <f>N242*'2. Incendis forestals'!$C$52</f>
        <v>891213.07987821323</v>
      </c>
      <c r="P242" s="846">
        <f t="shared" si="16"/>
        <v>567135.59628613573</v>
      </c>
      <c r="Q242" s="854">
        <f>D242/VLOOKUP(C242,'BD Comarcal'!$A$5:$AX$17,21,FALSE)</f>
        <v>2.9767382139570715E-2</v>
      </c>
      <c r="R242">
        <f>VLOOKUP(C242,'BD Comarcal'!$A$5:$AX$17,50,FALSE)*Q242</f>
        <v>2.1637622005813886</v>
      </c>
    </row>
    <row r="243" spans="1:18">
      <c r="A243">
        <v>8242</v>
      </c>
      <c r="B243" t="s">
        <v>1555</v>
      </c>
      <c r="C243" t="s">
        <v>82</v>
      </c>
      <c r="D243">
        <f>IFERROR(+VLOOKUP(B243,'BD ASVICC'!$A$6:$GQ$316,5,FALSE),"")</f>
        <v>1058</v>
      </c>
      <c r="E243">
        <f>IFERROR(+VLOOKUP($B243,'BD ASVICC'!$A$6:$GQ$316,113,FALSE),"")</f>
        <v>3.52</v>
      </c>
      <c r="F243">
        <f>IFERROR(+VLOOKUP($B243,'BD ASVICC'!$A$6:$GQ$316,114,FALSE),"")</f>
        <v>9.68</v>
      </c>
      <c r="G243">
        <f>IFERROR(+VLOOKUP($B243,'BD ASVICC'!$A$6:$GQ$316,115,FALSE),"")</f>
        <v>13.2</v>
      </c>
      <c r="H243">
        <f t="shared" si="17"/>
        <v>11.666496911699216</v>
      </c>
      <c r="I243">
        <f t="shared" si="18"/>
        <v>174.99745367548823</v>
      </c>
      <c r="J243" s="846">
        <f>I243*'2. Incendis forestals'!$C$52</f>
        <v>1747349.57494975</v>
      </c>
      <c r="K243" t="str">
        <f>VLOOKUP(B243,'BD ASVICC'!$A$6:$BG$316,59,FALSE)</f>
        <v>CENTRAL</v>
      </c>
      <c r="L243">
        <f>VLOOKUP(K243,'2. Incendis forestals'!$F$9:$G$11,2,FALSE)</f>
        <v>0.75</v>
      </c>
      <c r="M243">
        <f t="shared" si="15"/>
        <v>32.082866507172845</v>
      </c>
      <c r="N243">
        <f t="shared" si="19"/>
        <v>481.24299760759266</v>
      </c>
      <c r="O243" s="846">
        <f>N243*'2. Incendis forestals'!$C$52</f>
        <v>4805211.331111813</v>
      </c>
      <c r="P243" s="846">
        <f t="shared" si="16"/>
        <v>3057861.7561620632</v>
      </c>
      <c r="Q243" s="854">
        <f>D243/VLOOKUP(C243,'BD Comarcal'!$A$5:$AX$17,21,FALSE)</f>
        <v>1.3064631646538738E-2</v>
      </c>
      <c r="R243">
        <f>VLOOKUP(C243,'BD Comarcal'!$A$5:$AX$17,50,FALSE)*Q243</f>
        <v>11.666496911699216</v>
      </c>
    </row>
    <row r="244" spans="1:18">
      <c r="A244">
        <v>8243</v>
      </c>
      <c r="B244" t="s">
        <v>1556</v>
      </c>
      <c r="C244" t="s">
        <v>88</v>
      </c>
      <c r="D244">
        <f>IFERROR(+VLOOKUP(B244,'BD ASVICC'!$A$6:$GQ$316,5,FALSE),"")</f>
        <v>357</v>
      </c>
      <c r="E244">
        <f>IFERROR(+VLOOKUP($B244,'BD ASVICC'!$A$6:$GQ$316,113,FALSE),"")</f>
        <v>0</v>
      </c>
      <c r="F244">
        <f>IFERROR(+VLOOKUP($B244,'BD ASVICC'!$A$6:$GQ$316,114,FALSE),"")</f>
        <v>2.0499999999999998</v>
      </c>
      <c r="G244">
        <f>IFERROR(+VLOOKUP($B244,'BD ASVICC'!$A$6:$GQ$316,115,FALSE),"")</f>
        <v>2.0499999999999998</v>
      </c>
      <c r="H244">
        <f t="shared" si="17"/>
        <v>0.27766466772377996</v>
      </c>
      <c r="I244">
        <f t="shared" si="18"/>
        <v>4.1649700158566993</v>
      </c>
      <c r="J244" s="846">
        <f>I244*'2. Incendis forestals'!$C$52</f>
        <v>41587.225608329143</v>
      </c>
      <c r="K244" t="str">
        <f>VLOOKUP(B244,'BD ASVICC'!$A$6:$BG$316,59,FALSE)</f>
        <v>CENTRAL</v>
      </c>
      <c r="L244">
        <f>VLOOKUP(K244,'2. Incendis forestals'!$F$9:$G$11,2,FALSE)</f>
        <v>0.75</v>
      </c>
      <c r="M244">
        <f t="shared" si="15"/>
        <v>0.76357783624039488</v>
      </c>
      <c r="N244">
        <f t="shared" si="19"/>
        <v>11.453667543605924</v>
      </c>
      <c r="O244" s="846">
        <f>N244*'2. Incendis forestals'!$C$52</f>
        <v>114364.87042290515</v>
      </c>
      <c r="P244" s="846">
        <f t="shared" si="16"/>
        <v>72777.644814576008</v>
      </c>
      <c r="Q244" s="854">
        <f>D244/VLOOKUP(C244,'BD Comarcal'!$A$5:$AX$17,21,FALSE)</f>
        <v>3.8198977080613752E-3</v>
      </c>
      <c r="R244">
        <f>VLOOKUP(C244,'BD Comarcal'!$A$5:$AX$17,50,FALSE)*Q244</f>
        <v>0.27766466772377996</v>
      </c>
    </row>
    <row r="245" spans="1:18">
      <c r="A245">
        <v>8244</v>
      </c>
      <c r="B245" t="s">
        <v>1558</v>
      </c>
      <c r="C245" t="s">
        <v>90</v>
      </c>
      <c r="D245">
        <f>IFERROR(+VLOOKUP(B245,'BD ASVICC'!$A$6:$GQ$316,5,FALSE),"")</f>
        <v>214</v>
      </c>
      <c r="E245">
        <f>IFERROR(+VLOOKUP($B245,'BD ASVICC'!$A$6:$GQ$316,113,FALSE),"")</f>
        <v>0</v>
      </c>
      <c r="F245">
        <f>IFERROR(+VLOOKUP($B245,'BD ASVICC'!$A$6:$GQ$316,114,FALSE),"")</f>
        <v>0</v>
      </c>
      <c r="G245">
        <f>IFERROR(+VLOOKUP($B245,'BD ASVICC'!$A$6:$GQ$316,115,FALSE),"")</f>
        <v>0</v>
      </c>
      <c r="H245">
        <f t="shared" si="17"/>
        <v>1.7790706073332736</v>
      </c>
      <c r="I245">
        <f t="shared" si="18"/>
        <v>26.686059109999103</v>
      </c>
      <c r="J245" s="846">
        <f>I245*'2. Incendis forestals'!$C$52</f>
        <v>266460.30021334102</v>
      </c>
      <c r="K245" t="str">
        <f>VLOOKUP(B245,'BD ASVICC'!$A$6:$BG$316,59,FALSE)</f>
        <v>LITORAL</v>
      </c>
      <c r="L245">
        <f>VLOOKUP(K245,'2. Incendis forestals'!$F$9:$G$11,2,FALSE)</f>
        <v>0.75</v>
      </c>
      <c r="M245">
        <f t="shared" si="15"/>
        <v>4.8924441701665025</v>
      </c>
      <c r="N245">
        <f t="shared" si="19"/>
        <v>73.38666255249754</v>
      </c>
      <c r="O245" s="846">
        <f>N245*'2. Incendis forestals'!$C$52</f>
        <v>732765.82558668789</v>
      </c>
      <c r="P245" s="846">
        <f t="shared" si="16"/>
        <v>466305.52537334687</v>
      </c>
      <c r="Q245" s="854">
        <f>D245/VLOOKUP(C245,'BD Comarcal'!$A$5:$AX$17,21,FALSE)</f>
        <v>8.233302554632194E-3</v>
      </c>
      <c r="R245">
        <f>VLOOKUP(C245,'BD Comarcal'!$A$5:$AX$17,50,FALSE)*Q245</f>
        <v>1.7790706073332736</v>
      </c>
    </row>
    <row r="246" spans="1:18">
      <c r="A246">
        <v>8245</v>
      </c>
      <c r="B246" t="s">
        <v>1559</v>
      </c>
      <c r="C246" t="s">
        <v>83</v>
      </c>
      <c r="D246">
        <f>IFERROR(+VLOOKUP(B246,'BD ASVICC'!$A$6:$GQ$316,5,FALSE),"")</f>
        <v>261</v>
      </c>
      <c r="E246">
        <f>IFERROR(+VLOOKUP($B246,'BD ASVICC'!$A$6:$GQ$316,113,FALSE),"")</f>
        <v>4.6100000000000003</v>
      </c>
      <c r="F246">
        <f>IFERROR(+VLOOKUP($B246,'BD ASVICC'!$A$6:$GQ$316,114,FALSE),"")</f>
        <v>50.36</v>
      </c>
      <c r="G246">
        <f>IFERROR(+VLOOKUP($B246,'BD ASVICC'!$A$6:$GQ$316,115,FALSE),"")</f>
        <v>54.97</v>
      </c>
      <c r="H246">
        <f t="shared" si="17"/>
        <v>4.0548930772018839</v>
      </c>
      <c r="I246">
        <f t="shared" si="18"/>
        <v>60.82339615802826</v>
      </c>
      <c r="J246" s="846">
        <f>I246*'2. Incendis forestals'!$C$52</f>
        <v>607321.61063791218</v>
      </c>
      <c r="K246" t="str">
        <f>VLOOKUP(B246,'BD ASVICC'!$A$6:$BG$316,59,FALSE)</f>
        <v>LITORAL</v>
      </c>
      <c r="L246">
        <f>VLOOKUP(K246,'2. Incendis forestals'!$F$9:$G$11,2,FALSE)</f>
        <v>0.75</v>
      </c>
      <c r="M246">
        <f t="shared" si="15"/>
        <v>11.150955962305181</v>
      </c>
      <c r="N246">
        <f t="shared" si="19"/>
        <v>167.26433943457772</v>
      </c>
      <c r="O246" s="846">
        <f>N246*'2. Incendis forestals'!$C$52</f>
        <v>1670134.4292542585</v>
      </c>
      <c r="P246" s="846">
        <f t="shared" si="16"/>
        <v>1062812.8186163465</v>
      </c>
      <c r="Q246" s="854">
        <f>D246/VLOOKUP(C246,'BD Comarcal'!$A$5:$AX$17,21,FALSE)</f>
        <v>0.10112359550561797</v>
      </c>
      <c r="R246">
        <f>VLOOKUP(C246,'BD Comarcal'!$A$5:$AX$17,50,FALSE)*Q246</f>
        <v>4.0548930772018839</v>
      </c>
    </row>
    <row r="247" spans="1:18">
      <c r="A247">
        <v>8246</v>
      </c>
      <c r="B247" t="s">
        <v>1561</v>
      </c>
      <c r="C247" t="s">
        <v>88</v>
      </c>
      <c r="D247">
        <f>IFERROR(+VLOOKUP(B247,'BD ASVICC'!$A$6:$GQ$316,5,FALSE),"")</f>
        <v>63</v>
      </c>
      <c r="E247">
        <f>IFERROR(+VLOOKUP($B247,'BD ASVICC'!$A$6:$GQ$316,113,FALSE),"")</f>
        <v>0</v>
      </c>
      <c r="F247">
        <f>IFERROR(+VLOOKUP($B247,'BD ASVICC'!$A$6:$GQ$316,114,FALSE),"")</f>
        <v>0</v>
      </c>
      <c r="G247">
        <f>IFERROR(+VLOOKUP($B247,'BD ASVICC'!$A$6:$GQ$316,115,FALSE),"")</f>
        <v>0</v>
      </c>
      <c r="H247">
        <f t="shared" si="17"/>
        <v>4.8999647245372938E-2</v>
      </c>
      <c r="I247">
        <f t="shared" si="18"/>
        <v>0.73499470868059402</v>
      </c>
      <c r="J247" s="846">
        <f>I247*'2. Incendis forestals'!$C$52</f>
        <v>7338.922166175731</v>
      </c>
      <c r="K247" t="str">
        <f>VLOOKUP(B247,'BD ASVICC'!$A$6:$BG$316,59,FALSE)</f>
        <v>CENTRAL</v>
      </c>
      <c r="L247">
        <f>VLOOKUP(K247,'2. Incendis forestals'!$F$9:$G$11,2,FALSE)</f>
        <v>0.75</v>
      </c>
      <c r="M247">
        <f t="shared" si="15"/>
        <v>0.13474902992477558</v>
      </c>
      <c r="N247">
        <f t="shared" si="19"/>
        <v>2.0212354488716335</v>
      </c>
      <c r="O247" s="846">
        <f>N247*'2. Incendis forestals'!$C$52</f>
        <v>20182.035956983262</v>
      </c>
      <c r="P247" s="846">
        <f t="shared" si="16"/>
        <v>12843.113790807531</v>
      </c>
      <c r="Q247" s="854">
        <f>D247/VLOOKUP(C247,'BD Comarcal'!$A$5:$AX$17,21,FALSE)</f>
        <v>6.7409959554024272E-4</v>
      </c>
      <c r="R247">
        <f>VLOOKUP(C247,'BD Comarcal'!$A$5:$AX$17,50,FALSE)*Q247</f>
        <v>4.8999647245372938E-2</v>
      </c>
    </row>
    <row r="248" spans="1:18">
      <c r="A248">
        <v>8247</v>
      </c>
      <c r="B248" t="s">
        <v>1562</v>
      </c>
      <c r="C248" t="s">
        <v>88</v>
      </c>
      <c r="D248">
        <f>IFERROR(+VLOOKUP(B248,'BD ASVICC'!$A$6:$GQ$316,5,FALSE),"")</f>
        <v>819</v>
      </c>
      <c r="E248">
        <f>IFERROR(+VLOOKUP($B248,'BD ASVICC'!$A$6:$GQ$316,113,FALSE),"")</f>
        <v>0</v>
      </c>
      <c r="F248">
        <f>IFERROR(+VLOOKUP($B248,'BD ASVICC'!$A$6:$GQ$316,114,FALSE),"")</f>
        <v>0</v>
      </c>
      <c r="G248">
        <f>IFERROR(+VLOOKUP($B248,'BD ASVICC'!$A$6:$GQ$316,115,FALSE),"")</f>
        <v>0</v>
      </c>
      <c r="H248">
        <f t="shared" si="17"/>
        <v>0.63699541418984806</v>
      </c>
      <c r="I248">
        <f t="shared" si="18"/>
        <v>9.5549312128477215</v>
      </c>
      <c r="J248" s="846">
        <f>I248*'2. Incendis forestals'!$C$52</f>
        <v>95405.988160284498</v>
      </c>
      <c r="K248" t="str">
        <f>VLOOKUP(B248,'BD ASVICC'!$A$6:$BG$316,59,FALSE)</f>
        <v>PREPIRINEU-PIRINEU</v>
      </c>
      <c r="L248">
        <f>VLOOKUP(K248,'2. Incendis forestals'!$F$9:$G$11,2,FALSE)</f>
        <v>0.75</v>
      </c>
      <c r="M248">
        <f t="shared" si="15"/>
        <v>1.751737389022082</v>
      </c>
      <c r="N248">
        <f t="shared" si="19"/>
        <v>26.276060835331229</v>
      </c>
      <c r="O248" s="846">
        <f>N248*'2. Incendis forestals'!$C$52</f>
        <v>262366.46744078235</v>
      </c>
      <c r="P248" s="846">
        <f t="shared" si="16"/>
        <v>166960.47928049785</v>
      </c>
      <c r="Q248" s="854">
        <f>D248/VLOOKUP(C248,'BD Comarcal'!$A$5:$AX$17,21,FALSE)</f>
        <v>8.7632947420231543E-3</v>
      </c>
      <c r="R248">
        <f>VLOOKUP(C248,'BD Comarcal'!$A$5:$AX$17,50,FALSE)*Q248</f>
        <v>0.63699541418984806</v>
      </c>
    </row>
    <row r="249" spans="1:18">
      <c r="A249">
        <v>8248</v>
      </c>
      <c r="B249" t="s">
        <v>1564</v>
      </c>
      <c r="C249" t="s">
        <v>24</v>
      </c>
      <c r="D249">
        <f>IFERROR(+VLOOKUP(B249,'BD ASVICC'!$A$6:$GQ$316,5,FALSE),"")</f>
        <v>786</v>
      </c>
      <c r="E249">
        <f>IFERROR(+VLOOKUP($B249,'BD ASVICC'!$A$6:$GQ$316,113,FALSE),"")</f>
        <v>0</v>
      </c>
      <c r="F249">
        <f>IFERROR(+VLOOKUP($B249,'BD ASVICC'!$A$6:$GQ$316,114,FALSE),"")</f>
        <v>0</v>
      </c>
      <c r="G249">
        <f>IFERROR(+VLOOKUP($B249,'BD ASVICC'!$A$6:$GQ$316,115,FALSE),"")</f>
        <v>0</v>
      </c>
      <c r="H249">
        <f t="shared" si="17"/>
        <v>1.5991789744764593</v>
      </c>
      <c r="I249">
        <f t="shared" si="18"/>
        <v>23.98768461714689</v>
      </c>
      <c r="J249" s="846">
        <f>I249*'2. Incendis forestals'!$C$52</f>
        <v>239517.0309022117</v>
      </c>
      <c r="K249" t="str">
        <f>VLOOKUP(B249,'BD ASVICC'!$A$6:$BG$316,59,FALSE)</f>
        <v>CENTRAL</v>
      </c>
      <c r="L249">
        <f>VLOOKUP(K249,'2. Incendis forestals'!$F$9:$G$11,2,FALSE)</f>
        <v>0.75</v>
      </c>
      <c r="M249">
        <f t="shared" si="15"/>
        <v>4.3977421798102636</v>
      </c>
      <c r="N249">
        <f t="shared" si="19"/>
        <v>65.966132697153952</v>
      </c>
      <c r="O249" s="846">
        <f>N249*'2. Incendis forestals'!$C$52</f>
        <v>658671.83498108224</v>
      </c>
      <c r="P249" s="846">
        <f t="shared" si="16"/>
        <v>419154.80407887057</v>
      </c>
      <c r="Q249" s="854">
        <f>D249/VLOOKUP(C249,'BD Comarcal'!$A$5:$AX$17,21,FALSE)</f>
        <v>1.5463004859239441E-2</v>
      </c>
      <c r="R249">
        <f>VLOOKUP(C249,'BD Comarcal'!$A$5:$AX$17,50,FALSE)*Q249</f>
        <v>1.5991789744764593</v>
      </c>
    </row>
    <row r="250" spans="1:18">
      <c r="A250">
        <v>8249</v>
      </c>
      <c r="B250" t="s">
        <v>1566</v>
      </c>
      <c r="C250" t="s">
        <v>791</v>
      </c>
      <c r="D250">
        <f>IFERROR(+VLOOKUP(B250,'BD ASVICC'!$A$6:$GQ$316,5,FALSE),"")</f>
        <v>38</v>
      </c>
      <c r="E250">
        <f>IFERROR(+VLOOKUP($B250,'BD ASVICC'!$A$6:$GQ$316,113,FALSE),"")</f>
        <v>0</v>
      </c>
      <c r="F250">
        <f>IFERROR(+VLOOKUP($B250,'BD ASVICC'!$A$6:$GQ$316,114,FALSE),"")</f>
        <v>2.5</v>
      </c>
      <c r="G250">
        <f>IFERROR(+VLOOKUP($B250,'BD ASVICC'!$A$6:$GQ$316,115,FALSE),"")</f>
        <v>2.5</v>
      </c>
      <c r="H250">
        <f t="shared" si="17"/>
        <v>0.27649956251884106</v>
      </c>
      <c r="I250">
        <f t="shared" si="18"/>
        <v>4.1474934377826163</v>
      </c>
      <c r="J250" s="846">
        <f>I250*'2. Incendis forestals'!$C$52</f>
        <v>41412.721976259425</v>
      </c>
      <c r="K250" t="str">
        <f>VLOOKUP(B250,'BD ASVICC'!$A$6:$BG$316,59,FALSE)</f>
        <v>CENTRAL</v>
      </c>
      <c r="L250">
        <f>VLOOKUP(K250,'2. Incendis forestals'!$F$9:$G$11,2,FALSE)</f>
        <v>0.75</v>
      </c>
      <c r="M250">
        <f t="shared" si="15"/>
        <v>0.76037379692681295</v>
      </c>
      <c r="N250">
        <f t="shared" si="19"/>
        <v>11.405606953902193</v>
      </c>
      <c r="O250" s="846">
        <f>N250*'2. Incendis forestals'!$C$52</f>
        <v>113884.9854347134</v>
      </c>
      <c r="P250" s="846">
        <f t="shared" si="16"/>
        <v>72472.263458453963</v>
      </c>
      <c r="Q250" s="854">
        <f>D250/VLOOKUP(C250,'BD Comarcal'!$A$5:$AX$17,21,FALSE)</f>
        <v>1.2373416691087884E-3</v>
      </c>
      <c r="R250">
        <f>VLOOKUP(C250,'BD Comarcal'!$A$5:$AX$17,50,FALSE)*Q250</f>
        <v>0.27649956251884106</v>
      </c>
    </row>
    <row r="251" spans="1:18">
      <c r="A251">
        <v>8250</v>
      </c>
      <c r="B251" t="s">
        <v>1567</v>
      </c>
      <c r="C251" t="s">
        <v>81</v>
      </c>
      <c r="D251">
        <f>IFERROR(+VLOOKUP(B251,'BD ASVICC'!$A$6:$GQ$316,5,FALSE),"")</f>
        <v>1273</v>
      </c>
      <c r="E251">
        <f>IFERROR(+VLOOKUP($B251,'BD ASVICC'!$A$6:$GQ$316,113,FALSE),"")</f>
        <v>2.65</v>
      </c>
      <c r="F251">
        <f>IFERROR(+VLOOKUP($B251,'BD ASVICC'!$A$6:$GQ$316,114,FALSE),"")</f>
        <v>3</v>
      </c>
      <c r="G251">
        <f>IFERROR(+VLOOKUP($B251,'BD ASVICC'!$A$6:$GQ$316,115,FALSE),"")</f>
        <v>5.65</v>
      </c>
      <c r="H251">
        <f t="shared" si="17"/>
        <v>14.052927542577537</v>
      </c>
      <c r="I251">
        <f t="shared" si="18"/>
        <v>210.79391313866304</v>
      </c>
      <c r="J251" s="846">
        <f>I251*'2. Incendis forestals'!$C$52</f>
        <v>2104777.2226895504</v>
      </c>
      <c r="K251" t="str">
        <f>VLOOKUP(B251,'BD ASVICC'!$A$6:$BG$316,59,FALSE)</f>
        <v>CENTRAL</v>
      </c>
      <c r="L251">
        <f>VLOOKUP(K251,'2. Incendis forestals'!$F$9:$G$11,2,FALSE)</f>
        <v>0.75</v>
      </c>
      <c r="M251">
        <f t="shared" si="15"/>
        <v>38.645550742088226</v>
      </c>
      <c r="N251">
        <f t="shared" si="19"/>
        <v>579.68326113132343</v>
      </c>
      <c r="O251" s="846">
        <f>N251*'2. Incendis forestals'!$C$52</f>
        <v>5788137.3623962644</v>
      </c>
      <c r="P251" s="846">
        <f t="shared" si="16"/>
        <v>3683360.1397067141</v>
      </c>
      <c r="Q251" s="854">
        <f>D251/VLOOKUP(C251,'BD Comarcal'!$A$5:$AX$17,21,FALSE)</f>
        <v>2.4405206955388125E-2</v>
      </c>
      <c r="R251">
        <f>VLOOKUP(C251,'BD Comarcal'!$A$5:$AX$17,50,FALSE)*Q251</f>
        <v>14.052927542577537</v>
      </c>
    </row>
    <row r="252" spans="1:18">
      <c r="A252">
        <v>8251</v>
      </c>
      <c r="B252" t="s">
        <v>1571</v>
      </c>
      <c r="C252" t="s">
        <v>791</v>
      </c>
      <c r="D252">
        <f>IFERROR(+VLOOKUP(B252,'BD ASVICC'!$A$6:$GQ$316,5,FALSE),"")</f>
        <v>570</v>
      </c>
      <c r="E252">
        <f>IFERROR(+VLOOKUP($B252,'BD ASVICC'!$A$6:$GQ$316,113,FALSE),"")</f>
        <v>5.5</v>
      </c>
      <c r="F252">
        <f>IFERROR(+VLOOKUP($B252,'BD ASVICC'!$A$6:$GQ$316,114,FALSE),"")</f>
        <v>4</v>
      </c>
      <c r="G252">
        <f>IFERROR(+VLOOKUP($B252,'BD ASVICC'!$A$6:$GQ$316,115,FALSE),"")</f>
        <v>9.5</v>
      </c>
      <c r="H252">
        <f t="shared" si="17"/>
        <v>4.1474934377826163</v>
      </c>
      <c r="I252">
        <f t="shared" si="18"/>
        <v>62.212401566739246</v>
      </c>
      <c r="J252" s="846">
        <f>I252*'2. Incendis forestals'!$C$52</f>
        <v>621190.82964389131</v>
      </c>
      <c r="K252" t="str">
        <f>VLOOKUP(B252,'BD ASVICC'!$A$6:$BG$316,59,FALSE)</f>
        <v>LITORAL</v>
      </c>
      <c r="L252">
        <f>VLOOKUP(K252,'2. Incendis forestals'!$F$9:$G$11,2,FALSE)</f>
        <v>0.75</v>
      </c>
      <c r="M252">
        <f t="shared" si="15"/>
        <v>11.405606953902195</v>
      </c>
      <c r="N252">
        <f t="shared" si="19"/>
        <v>171.08410430853291</v>
      </c>
      <c r="O252" s="846">
        <f>N252*'2. Incendis forestals'!$C$52</f>
        <v>1708274.7815207012</v>
      </c>
      <c r="P252" s="846">
        <f t="shared" si="16"/>
        <v>1087083.9518768098</v>
      </c>
      <c r="Q252" s="854">
        <f>D252/VLOOKUP(C252,'BD Comarcal'!$A$5:$AX$17,21,FALSE)</f>
        <v>1.8560125036631826E-2</v>
      </c>
      <c r="R252">
        <f>VLOOKUP(C252,'BD Comarcal'!$A$5:$AX$17,50,FALSE)*Q252</f>
        <v>4.1474934377826163</v>
      </c>
    </row>
    <row r="253" spans="1:18">
      <c r="A253">
        <v>8252</v>
      </c>
      <c r="B253" t="s">
        <v>1572</v>
      </c>
      <c r="C253" t="s">
        <v>89</v>
      </c>
      <c r="D253">
        <f>IFERROR(+VLOOKUP(B253,'BD ASVICC'!$A$6:$GQ$316,5,FALSE),"")</f>
        <v>142</v>
      </c>
      <c r="E253">
        <f>IFERROR(+VLOOKUP($B253,'BD ASVICC'!$A$6:$GQ$316,113,FALSE),"")</f>
        <v>0</v>
      </c>
      <c r="F253">
        <f>IFERROR(+VLOOKUP($B253,'BD ASVICC'!$A$6:$GQ$316,114,FALSE),"")</f>
        <v>0</v>
      </c>
      <c r="G253">
        <f>IFERROR(+VLOOKUP($B253,'BD ASVICC'!$A$6:$GQ$316,115,FALSE),"")</f>
        <v>0</v>
      </c>
      <c r="H253">
        <f t="shared" si="17"/>
        <v>1.1341402093200021</v>
      </c>
      <c r="I253">
        <f t="shared" si="18"/>
        <v>17.012103139800033</v>
      </c>
      <c r="J253" s="846">
        <f>I253*'2. Incendis forestals'!$C$52</f>
        <v>169865.84985090332</v>
      </c>
      <c r="K253" t="str">
        <f>VLOOKUP(B253,'BD ASVICC'!$A$6:$BG$316,59,FALSE)</f>
        <v>LITORAL</v>
      </c>
      <c r="L253">
        <f>VLOOKUP(K253,'2. Incendis forestals'!$F$9:$G$11,2,FALSE)</f>
        <v>0.75</v>
      </c>
      <c r="M253">
        <f t="shared" si="15"/>
        <v>3.118885575630006</v>
      </c>
      <c r="N253">
        <f t="shared" si="19"/>
        <v>46.783283634450093</v>
      </c>
      <c r="O253" s="846">
        <f>N253*'2. Incendis forestals'!$C$52</f>
        <v>467131.08708998415</v>
      </c>
      <c r="P253" s="846">
        <f t="shared" si="16"/>
        <v>297265.23723908083</v>
      </c>
      <c r="Q253" s="854">
        <f>D253/VLOOKUP(C253,'BD Comarcal'!$A$5:$AX$17,21,FALSE)</f>
        <v>4.1513184821376364E-3</v>
      </c>
      <c r="R253">
        <f>VLOOKUP(C253,'BD Comarcal'!$A$5:$AX$17,50,FALSE)*Q253</f>
        <v>1.1341402093200021</v>
      </c>
    </row>
    <row r="254" spans="1:18">
      <c r="A254">
        <v>8253</v>
      </c>
      <c r="B254" t="s">
        <v>1574</v>
      </c>
      <c r="C254" t="s">
        <v>88</v>
      </c>
      <c r="D254">
        <f>IFERROR(+VLOOKUP(B254,'BD ASVICC'!$A$6:$GQ$316,5,FALSE),"")</f>
        <v>1933</v>
      </c>
      <c r="E254">
        <f>IFERROR(+VLOOKUP($B254,'BD ASVICC'!$A$6:$GQ$316,113,FALSE),"")</f>
        <v>0</v>
      </c>
      <c r="F254">
        <f>IFERROR(+VLOOKUP($B254,'BD ASVICC'!$A$6:$GQ$316,114,FALSE),"")</f>
        <v>0</v>
      </c>
      <c r="G254">
        <f>IFERROR(+VLOOKUP($B254,'BD ASVICC'!$A$6:$GQ$316,115,FALSE),"")</f>
        <v>0</v>
      </c>
      <c r="H254">
        <f t="shared" si="17"/>
        <v>1.5034336210366013</v>
      </c>
      <c r="I254">
        <f t="shared" si="18"/>
        <v>22.551504315549018</v>
      </c>
      <c r="J254" s="846">
        <f>I254*'2. Incendis forestals'!$C$52</f>
        <v>225176.77059075693</v>
      </c>
      <c r="K254" t="str">
        <f>VLOOKUP(B254,'BD ASVICC'!$A$6:$BG$316,59,FALSE)</f>
        <v>PREPIRINEU-PIRINEU</v>
      </c>
      <c r="L254">
        <f>VLOOKUP(K254,'2. Incendis forestals'!$F$9:$G$11,2,FALSE)</f>
        <v>0.75</v>
      </c>
      <c r="M254">
        <f t="shared" si="15"/>
        <v>4.1344424578506533</v>
      </c>
      <c r="N254">
        <f t="shared" si="19"/>
        <v>62.0166368677598</v>
      </c>
      <c r="O254" s="846">
        <f>N254*'2. Incendis forestals'!$C$52</f>
        <v>619236.11912458157</v>
      </c>
      <c r="P254" s="846">
        <f t="shared" si="16"/>
        <v>394059.34853382467</v>
      </c>
      <c r="Q254" s="854">
        <f>D254/VLOOKUP(C254,'BD Comarcal'!$A$5:$AX$17,21,FALSE)</f>
        <v>2.0683087590147448E-2</v>
      </c>
      <c r="R254">
        <f>VLOOKUP(C254,'BD Comarcal'!$A$5:$AX$17,50,FALSE)*Q254</f>
        <v>1.5034336210366013</v>
      </c>
    </row>
    <row r="255" spans="1:18">
      <c r="A255">
        <v>8254</v>
      </c>
      <c r="B255" t="s">
        <v>1578</v>
      </c>
      <c r="C255" t="s">
        <v>88</v>
      </c>
      <c r="D255">
        <f>IFERROR(+VLOOKUP(B255,'BD ASVICC'!$A$6:$GQ$316,5,FALSE),"")</f>
        <v>3730</v>
      </c>
      <c r="E255">
        <f>IFERROR(+VLOOKUP($B255,'BD ASVICC'!$A$6:$GQ$316,113,FALSE),"")</f>
        <v>0</v>
      </c>
      <c r="F255">
        <f>IFERROR(+VLOOKUP($B255,'BD ASVICC'!$A$6:$GQ$316,114,FALSE),"")</f>
        <v>0</v>
      </c>
      <c r="G255">
        <f>IFERROR(+VLOOKUP($B255,'BD ASVICC'!$A$6:$GQ$316,115,FALSE),"")</f>
        <v>0</v>
      </c>
      <c r="H255">
        <f t="shared" si="17"/>
        <v>2.9010902257974771</v>
      </c>
      <c r="I255">
        <f t="shared" si="18"/>
        <v>43.516353386962159</v>
      </c>
      <c r="J255" s="846">
        <f>I255*'2. Incendis forestals'!$C$52</f>
        <v>434510.78856881714</v>
      </c>
      <c r="K255" t="str">
        <f>VLOOKUP(B255,'BD ASVICC'!$A$6:$BG$316,59,FALSE)</f>
        <v>PREPIRINEU-PIRINEU</v>
      </c>
      <c r="L255">
        <f>VLOOKUP(K255,'2. Incendis forestals'!$F$9:$G$11,2,FALSE)</f>
        <v>0.75</v>
      </c>
      <c r="M255">
        <f t="shared" si="15"/>
        <v>7.9779981209430613</v>
      </c>
      <c r="N255">
        <f t="shared" si="19"/>
        <v>119.66997181414592</v>
      </c>
      <c r="O255" s="846">
        <f>N255*'2. Incendis forestals'!$C$52</f>
        <v>1194904.668564247</v>
      </c>
      <c r="P255" s="846">
        <f t="shared" si="16"/>
        <v>760393.87999542989</v>
      </c>
      <c r="Q255" s="854">
        <f>D255/VLOOKUP(C255,'BD Comarcal'!$A$5:$AX$17,21,FALSE)</f>
        <v>3.9910976053414371E-2</v>
      </c>
      <c r="R255">
        <f>VLOOKUP(C255,'BD Comarcal'!$A$5:$AX$17,50,FALSE)*Q255</f>
        <v>2.9010902257974771</v>
      </c>
    </row>
    <row r="256" spans="1:18">
      <c r="A256">
        <v>8255</v>
      </c>
      <c r="B256" t="s">
        <v>1580</v>
      </c>
      <c r="C256" t="s">
        <v>84</v>
      </c>
      <c r="D256">
        <f>IFERROR(+VLOOKUP(B256,'BD ASVICC'!$A$6:$GQ$316,5,FALSE),"")</f>
        <v>3983</v>
      </c>
      <c r="E256">
        <f>IFERROR(+VLOOKUP($B256,'BD ASVICC'!$A$6:$GQ$316,113,FALSE),"")</f>
        <v>4.8</v>
      </c>
      <c r="F256">
        <f>IFERROR(+VLOOKUP($B256,'BD ASVICC'!$A$6:$GQ$316,114,FALSE),"")</f>
        <v>0</v>
      </c>
      <c r="G256">
        <f>IFERROR(+VLOOKUP($B256,'BD ASVICC'!$A$6:$GQ$316,115,FALSE),"")</f>
        <v>4.8</v>
      </c>
      <c r="H256">
        <f t="shared" si="17"/>
        <v>24.610496605538284</v>
      </c>
      <c r="I256">
        <f t="shared" si="18"/>
        <v>369.15744908307425</v>
      </c>
      <c r="J256" s="846">
        <f>I256*'2. Incendis forestals'!$C$52</f>
        <v>3686037.1290944964</v>
      </c>
      <c r="K256" t="str">
        <f>VLOOKUP(B256,'BD ASVICC'!$A$6:$BG$316,59,FALSE)</f>
        <v>PREPIRINEU-PIRINEU</v>
      </c>
      <c r="L256">
        <f>VLOOKUP(K256,'2. Incendis forestals'!$F$9:$G$11,2,FALSE)</f>
        <v>0.75</v>
      </c>
      <c r="M256">
        <f t="shared" si="15"/>
        <v>67.678865665230276</v>
      </c>
      <c r="N256">
        <f t="shared" si="19"/>
        <v>1015.1829849784541</v>
      </c>
      <c r="O256" s="846">
        <f>N256*'2. Incendis forestals'!$C$52</f>
        <v>10136602.105009865</v>
      </c>
      <c r="P256" s="846">
        <f t="shared" si="16"/>
        <v>6450564.9759153686</v>
      </c>
      <c r="Q256" s="854">
        <f>D256/VLOOKUP(C256,'BD Comarcal'!$A$5:$AX$17,21,FALSE)</f>
        <v>3.7670714637006775E-2</v>
      </c>
      <c r="R256">
        <f>VLOOKUP(C256,'BD Comarcal'!$A$5:$AX$17,50,FALSE)*Q256</f>
        <v>24.610496605538284</v>
      </c>
    </row>
    <row r="257" spans="1:18">
      <c r="A257">
        <v>8256</v>
      </c>
      <c r="B257" t="s">
        <v>1584</v>
      </c>
      <c r="C257" t="s">
        <v>24</v>
      </c>
      <c r="D257">
        <f>IFERROR(+VLOOKUP(B257,'BD ASVICC'!$A$6:$GQ$316,5,FALSE),"")</f>
        <v>365</v>
      </c>
      <c r="E257">
        <f>IFERROR(+VLOOKUP($B257,'BD ASVICC'!$A$6:$GQ$316,113,FALSE),"")</f>
        <v>0</v>
      </c>
      <c r="F257">
        <f>IFERROR(+VLOOKUP($B257,'BD ASVICC'!$A$6:$GQ$316,114,FALSE),"")</f>
        <v>0</v>
      </c>
      <c r="G257">
        <f>IFERROR(+VLOOKUP($B257,'BD ASVICC'!$A$6:$GQ$316,115,FALSE),"")</f>
        <v>0</v>
      </c>
      <c r="H257">
        <f t="shared" si="17"/>
        <v>0.74262127949606571</v>
      </c>
      <c r="I257">
        <f t="shared" si="18"/>
        <v>11.139319192440986</v>
      </c>
      <c r="J257" s="846">
        <f>I257*'2. Incendis forestals'!$C$52</f>
        <v>111226.10213652324</v>
      </c>
      <c r="K257" t="str">
        <f>VLOOKUP(B257,'BD ASVICC'!$A$6:$BG$316,59,FALSE)</f>
        <v>LITORAL</v>
      </c>
      <c r="L257">
        <f>VLOOKUP(K257,'2. Incendis forestals'!$F$9:$G$11,2,FALSE)</f>
        <v>0.75</v>
      </c>
      <c r="M257">
        <f t="shared" si="15"/>
        <v>2.0422085186141805</v>
      </c>
      <c r="N257">
        <f t="shared" si="19"/>
        <v>30.633127779212707</v>
      </c>
      <c r="O257" s="846">
        <f>N257*'2. Incendis forestals'!$C$52</f>
        <v>305871.78087543888</v>
      </c>
      <c r="P257" s="846">
        <f t="shared" si="16"/>
        <v>194645.67873891565</v>
      </c>
      <c r="Q257" s="854">
        <f>D257/VLOOKUP(C257,'BD Comarcal'!$A$5:$AX$17,21,FALSE)</f>
        <v>7.1806574728020302E-3</v>
      </c>
      <c r="R257">
        <f>VLOOKUP(C257,'BD Comarcal'!$A$5:$AX$17,50,FALSE)*Q257</f>
        <v>0.74262127949606571</v>
      </c>
    </row>
    <row r="258" spans="1:18">
      <c r="A258">
        <v>8257</v>
      </c>
      <c r="B258" t="s">
        <v>1587</v>
      </c>
      <c r="C258" t="s">
        <v>81</v>
      </c>
      <c r="D258">
        <f>IFERROR(+VLOOKUP(B258,'BD ASVICC'!$A$6:$GQ$316,5,FALSE),"")</f>
        <v>1595</v>
      </c>
      <c r="E258">
        <f>IFERROR(+VLOOKUP($B258,'BD ASVICC'!$A$6:$GQ$316,113,FALSE),"")</f>
        <v>1.93</v>
      </c>
      <c r="F258">
        <f>IFERROR(+VLOOKUP($B258,'BD ASVICC'!$A$6:$GQ$316,114,FALSE),"")</f>
        <v>0</v>
      </c>
      <c r="G258">
        <f>IFERROR(+VLOOKUP($B258,'BD ASVICC'!$A$6:$GQ$316,115,FALSE),"")</f>
        <v>1.93</v>
      </c>
      <c r="H258">
        <f t="shared" si="17"/>
        <v>17.607556504643497</v>
      </c>
      <c r="I258">
        <f t="shared" si="18"/>
        <v>264.11334756965243</v>
      </c>
      <c r="J258" s="846">
        <f>I258*'2. Incendis forestals'!$C$52</f>
        <v>2637171.7754829796</v>
      </c>
      <c r="K258" t="str">
        <f>VLOOKUP(B258,'BD ASVICC'!$A$6:$BG$316,59,FALSE)</f>
        <v>CENTRAL</v>
      </c>
      <c r="L258">
        <f>VLOOKUP(K258,'2. Incendis forestals'!$F$9:$G$11,2,FALSE)</f>
        <v>0.75</v>
      </c>
      <c r="M258">
        <f t="shared" si="15"/>
        <v>48.420780387769618</v>
      </c>
      <c r="N258">
        <f t="shared" si="19"/>
        <v>726.3117058165443</v>
      </c>
      <c r="O258" s="846">
        <f>N258*'2. Incendis forestals'!$C$52</f>
        <v>7252222.3825781951</v>
      </c>
      <c r="P258" s="846">
        <f t="shared" si="16"/>
        <v>4615050.6070952155</v>
      </c>
      <c r="Q258" s="854">
        <f>D258/VLOOKUP(C258,'BD Comarcal'!$A$5:$AX$17,21,FALSE)</f>
        <v>3.057840148770154E-2</v>
      </c>
      <c r="R258">
        <f>VLOOKUP(C258,'BD Comarcal'!$A$5:$AX$17,50,FALSE)*Q258</f>
        <v>17.607556504643497</v>
      </c>
    </row>
    <row r="259" spans="1:18">
      <c r="A259">
        <v>8258</v>
      </c>
      <c r="B259" t="s">
        <v>1591</v>
      </c>
      <c r="C259" t="s">
        <v>82</v>
      </c>
      <c r="D259">
        <f>IFERROR(+VLOOKUP(B259,'BD ASVICC'!$A$6:$GQ$316,5,FALSE),"")</f>
        <v>5131</v>
      </c>
      <c r="E259">
        <f>IFERROR(+VLOOKUP($B259,'BD ASVICC'!$A$6:$GQ$316,113,FALSE),"")</f>
        <v>14.9</v>
      </c>
      <c r="F259">
        <f>IFERROR(+VLOOKUP($B259,'BD ASVICC'!$A$6:$GQ$316,114,FALSE),"")</f>
        <v>2.5</v>
      </c>
      <c r="G259">
        <f>IFERROR(+VLOOKUP($B259,'BD ASVICC'!$A$6:$GQ$316,115,FALSE),"")</f>
        <v>17.399999999999999</v>
      </c>
      <c r="H259">
        <f t="shared" si="17"/>
        <v>56.579201941331448</v>
      </c>
      <c r="I259">
        <f t="shared" si="18"/>
        <v>848.6880291199717</v>
      </c>
      <c r="J259" s="846">
        <f>I259*'2. Incendis forestals'!$C$52</f>
        <v>8474149.9707629178</v>
      </c>
      <c r="K259" t="str">
        <f>VLOOKUP(B259,'BD ASVICC'!$A$6:$BG$316,59,FALSE)</f>
        <v>CENTRAL</v>
      </c>
      <c r="L259">
        <f>VLOOKUP(K259,'2. Incendis forestals'!$F$9:$G$11,2,FALSE)</f>
        <v>0.75</v>
      </c>
      <c r="M259">
        <f t="shared" si="15"/>
        <v>155.59280533866149</v>
      </c>
      <c r="N259">
        <f t="shared" si="19"/>
        <v>2333.8920800799224</v>
      </c>
      <c r="O259" s="846">
        <f>N259*'2. Incendis forestals'!$C$52</f>
        <v>23303912.419598024</v>
      </c>
      <c r="P259" s="846">
        <f t="shared" si="16"/>
        <v>14829762.448835107</v>
      </c>
      <c r="Q259" s="854">
        <f>D259/VLOOKUP(C259,'BD Comarcal'!$A$5:$AX$17,21,FALSE)</f>
        <v>6.335975895878096E-2</v>
      </c>
      <c r="R259">
        <f>VLOOKUP(C259,'BD Comarcal'!$A$5:$AX$17,50,FALSE)*Q259</f>
        <v>56.579201941331448</v>
      </c>
    </row>
    <row r="260" spans="1:18">
      <c r="A260">
        <v>8259</v>
      </c>
      <c r="B260" t="s">
        <v>1594</v>
      </c>
      <c r="C260" t="s">
        <v>24</v>
      </c>
      <c r="D260">
        <f>IFERROR(+VLOOKUP(B260,'BD ASVICC'!$A$6:$GQ$316,5,FALSE),"")</f>
        <v>888</v>
      </c>
      <c r="E260">
        <f>IFERROR(+VLOOKUP($B260,'BD ASVICC'!$A$6:$GQ$316,113,FALSE),"")</f>
        <v>2.9</v>
      </c>
      <c r="F260">
        <f>IFERROR(+VLOOKUP($B260,'BD ASVICC'!$A$6:$GQ$316,114,FALSE),"")</f>
        <v>0</v>
      </c>
      <c r="G260">
        <f>IFERROR(+VLOOKUP($B260,'BD ASVICC'!$A$6:$GQ$316,115,FALSE),"")</f>
        <v>2.9</v>
      </c>
      <c r="H260">
        <f t="shared" si="17"/>
        <v>1.8067060169657709</v>
      </c>
      <c r="I260">
        <f t="shared" si="18"/>
        <v>27.100590254486566</v>
      </c>
      <c r="J260" s="846">
        <f>I260*'2. Incendis forestals'!$C$52</f>
        <v>270599.39369104838</v>
      </c>
      <c r="K260" t="str">
        <f>VLOOKUP(B260,'BD ASVICC'!$A$6:$BG$316,59,FALSE)</f>
        <v>CENTRAL</v>
      </c>
      <c r="L260">
        <f>VLOOKUP(K260,'2. Incendis forestals'!$F$9:$G$11,2,FALSE)</f>
        <v>0.75</v>
      </c>
      <c r="M260">
        <f t="shared" ref="M260:M314" si="20">H260+(1+L260)*H260</f>
        <v>4.9684415466558702</v>
      </c>
      <c r="N260">
        <f t="shared" si="19"/>
        <v>74.526623199838056</v>
      </c>
      <c r="O260" s="846">
        <f>N260*'2. Incendis forestals'!$C$52</f>
        <v>744148.332650383</v>
      </c>
      <c r="P260" s="846">
        <f t="shared" ref="P260:P314" si="21">O260-J260</f>
        <v>473548.93895933463</v>
      </c>
      <c r="Q260" s="854">
        <f>D260/VLOOKUP(C260,'BD Comarcal'!$A$5:$AX$17,21,FALSE)</f>
        <v>1.7469654344789597E-2</v>
      </c>
      <c r="R260">
        <f>VLOOKUP(C260,'BD Comarcal'!$A$5:$AX$17,50,FALSE)*Q260</f>
        <v>1.8067060169657709</v>
      </c>
    </row>
    <row r="261" spans="1:18">
      <c r="A261">
        <v>8260</v>
      </c>
      <c r="B261" t="s">
        <v>1598</v>
      </c>
      <c r="C261" t="s">
        <v>89</v>
      </c>
      <c r="D261">
        <f>IFERROR(+VLOOKUP(B261,'BD ASVICC'!$A$6:$GQ$316,5,FALSE),"")</f>
        <v>152</v>
      </c>
      <c r="E261">
        <f>IFERROR(+VLOOKUP($B261,'BD ASVICC'!$A$6:$GQ$316,113,FALSE),"")</f>
        <v>0</v>
      </c>
      <c r="F261">
        <f>IFERROR(+VLOOKUP($B261,'BD ASVICC'!$A$6:$GQ$316,114,FALSE),"")</f>
        <v>0</v>
      </c>
      <c r="G261">
        <f>IFERROR(+VLOOKUP($B261,'BD ASVICC'!$A$6:$GQ$316,115,FALSE),"")</f>
        <v>0</v>
      </c>
      <c r="H261">
        <f t="shared" ref="H261:H314" si="22">R261</f>
        <v>1.2140092381453547</v>
      </c>
      <c r="I261">
        <f t="shared" ref="I261:I314" si="23">H261*15</f>
        <v>18.21013857218032</v>
      </c>
      <c r="J261" s="846">
        <f>I261*'2. Incendis forestals'!$C$52</f>
        <v>181828.2336432205</v>
      </c>
      <c r="K261" t="str">
        <f>VLOOKUP(B261,'BD ASVICC'!$A$6:$BG$316,59,FALSE)</f>
        <v>LITORAL</v>
      </c>
      <c r="L261">
        <f>VLOOKUP(K261,'2. Incendis forestals'!$F$9:$G$11,2,FALSE)</f>
        <v>0.75</v>
      </c>
      <c r="M261">
        <f t="shared" si="20"/>
        <v>3.338525404899725</v>
      </c>
      <c r="N261">
        <f t="shared" ref="N261:N314" si="24">M261*15</f>
        <v>50.077881073495874</v>
      </c>
      <c r="O261" s="846">
        <f>N261*'2. Incendis forestals'!$C$52</f>
        <v>500027.64251885633</v>
      </c>
      <c r="P261" s="846">
        <f t="shared" si="21"/>
        <v>318199.40887563583</v>
      </c>
      <c r="Q261" s="854">
        <f>D261/VLOOKUP(C261,'BD Comarcal'!$A$5:$AX$17,21,FALSE)</f>
        <v>4.4436648541191608E-3</v>
      </c>
      <c r="R261">
        <f>VLOOKUP(C261,'BD Comarcal'!$A$5:$AX$17,50,FALSE)*Q261</f>
        <v>1.2140092381453547</v>
      </c>
    </row>
    <row r="262" spans="1:18">
      <c r="A262">
        <v>8261</v>
      </c>
      <c r="B262" t="s">
        <v>354</v>
      </c>
      <c r="C262" t="s">
        <v>86</v>
      </c>
      <c r="D262">
        <f>IFERROR(+VLOOKUP(B262,'BD ASVICC'!$A$6:$GQ$316,5,FALSE),"")</f>
        <v>919</v>
      </c>
      <c r="E262">
        <f>IFERROR(+VLOOKUP($B262,'BD ASVICC'!$A$6:$GQ$316,113,FALSE),"")</f>
        <v>0</v>
      </c>
      <c r="F262">
        <f>IFERROR(+VLOOKUP($B262,'BD ASVICC'!$A$6:$GQ$316,114,FALSE),"")</f>
        <v>0</v>
      </c>
      <c r="G262">
        <f>IFERROR(+VLOOKUP($B262,'BD ASVICC'!$A$6:$GQ$316,115,FALSE),"")</f>
        <v>0</v>
      </c>
      <c r="H262">
        <f t="shared" si="22"/>
        <v>1.6455880360104529</v>
      </c>
      <c r="I262">
        <f t="shared" si="23"/>
        <v>24.683820540156795</v>
      </c>
      <c r="J262" s="846">
        <f>I262*'2. Incendis forestals'!$C$52</f>
        <v>246467.94809346559</v>
      </c>
      <c r="K262" t="str">
        <f>VLOOKUP(B262,'BD ASVICC'!$A$6:$BG$316,59,FALSE)</f>
        <v>LITORAL</v>
      </c>
      <c r="L262">
        <f>VLOOKUP(K262,'2. Incendis forestals'!$F$9:$G$11,2,FALSE)</f>
        <v>0.75</v>
      </c>
      <c r="M262">
        <f t="shared" si="20"/>
        <v>4.5253670990287453</v>
      </c>
      <c r="N262">
        <f t="shared" si="24"/>
        <v>67.880506485431184</v>
      </c>
      <c r="O262" s="846">
        <f>N262*'2. Incendis forestals'!$C$52</f>
        <v>677786.85725703032</v>
      </c>
      <c r="P262" s="846">
        <f t="shared" si="21"/>
        <v>431318.90916356473</v>
      </c>
      <c r="Q262" s="854">
        <f>D262/VLOOKUP(C262,'BD Comarcal'!$A$5:$AX$17,21,FALSE)</f>
        <v>3.4164838841592625E-2</v>
      </c>
      <c r="R262">
        <f>VLOOKUP(C262,'BD Comarcal'!$A$5:$AX$17,50,FALSE)*Q262</f>
        <v>1.6455880360104529</v>
      </c>
    </row>
    <row r="263" spans="1:18">
      <c r="A263">
        <v>8262</v>
      </c>
      <c r="B263" t="s">
        <v>1600</v>
      </c>
      <c r="C263" t="s">
        <v>82</v>
      </c>
      <c r="D263">
        <f>IFERROR(+VLOOKUP(B263,'BD ASVICC'!$A$6:$GQ$316,5,FALSE),"")</f>
        <v>1209</v>
      </c>
      <c r="E263">
        <f>IFERROR(+VLOOKUP($B263,'BD ASVICC'!$A$6:$GQ$316,113,FALSE),"")</f>
        <v>28.027999999999999</v>
      </c>
      <c r="F263">
        <f>IFERROR(+VLOOKUP($B263,'BD ASVICC'!$A$6:$GQ$316,114,FALSE),"")</f>
        <v>1.37</v>
      </c>
      <c r="G263">
        <f>IFERROR(+VLOOKUP($B263,'BD ASVICC'!$A$6:$GQ$316,115,FALSE),"")</f>
        <v>29.398</v>
      </c>
      <c r="H263">
        <f t="shared" si="22"/>
        <v>13.331564051270654</v>
      </c>
      <c r="I263">
        <f t="shared" si="23"/>
        <v>199.97346076905981</v>
      </c>
      <c r="J263" s="846">
        <f>I263*'2. Incendis forestals'!$C$52</f>
        <v>1996735.0057790622</v>
      </c>
      <c r="K263" t="str">
        <f>VLOOKUP(B263,'BD ASVICC'!$A$6:$BG$316,59,FALSE)</f>
        <v>CENTRAL</v>
      </c>
      <c r="L263">
        <f>VLOOKUP(K263,'2. Incendis forestals'!$F$9:$G$11,2,FALSE)</f>
        <v>0.75</v>
      </c>
      <c r="M263">
        <f t="shared" si="20"/>
        <v>36.661801140994299</v>
      </c>
      <c r="N263">
        <f t="shared" si="24"/>
        <v>549.92701711491452</v>
      </c>
      <c r="O263" s="846">
        <f>N263*'2. Incendis forestals'!$C$52</f>
        <v>5491021.2658924218</v>
      </c>
      <c r="P263" s="846">
        <f t="shared" si="21"/>
        <v>3494286.2601133594</v>
      </c>
      <c r="Q263" s="854">
        <f>D263/VLOOKUP(C263,'BD Comarcal'!$A$5:$AX$17,21,FALSE)</f>
        <v>1.4929243535600503E-2</v>
      </c>
      <c r="R263">
        <f>VLOOKUP(C263,'BD Comarcal'!$A$5:$AX$17,50,FALSE)*Q263</f>
        <v>13.331564051270654</v>
      </c>
    </row>
    <row r="264" spans="1:18">
      <c r="A264">
        <v>8263</v>
      </c>
      <c r="B264" t="s">
        <v>1602</v>
      </c>
      <c r="C264" t="s">
        <v>90</v>
      </c>
      <c r="D264">
        <f>IFERROR(+VLOOKUP(B264,'BD ASVICC'!$A$6:$GQ$316,5,FALSE),"")</f>
        <v>317</v>
      </c>
      <c r="E264">
        <f>IFERROR(+VLOOKUP($B264,'BD ASVICC'!$A$6:$GQ$316,113,FALSE),"")</f>
        <v>0.01</v>
      </c>
      <c r="F264">
        <f>IFERROR(+VLOOKUP($B264,'BD ASVICC'!$A$6:$GQ$316,114,FALSE),"")</f>
        <v>8.75</v>
      </c>
      <c r="G264">
        <f>IFERROR(+VLOOKUP($B264,'BD ASVICC'!$A$6:$GQ$316,115,FALSE),"")</f>
        <v>8.76</v>
      </c>
      <c r="H264">
        <f t="shared" si="22"/>
        <v>2.6353522547880734</v>
      </c>
      <c r="I264">
        <f t="shared" si="23"/>
        <v>39.530283821821101</v>
      </c>
      <c r="J264" s="846">
        <f>I264*'2. Incendis forestals'!$C$52</f>
        <v>394709.88396088372</v>
      </c>
      <c r="K264" t="str">
        <f>VLOOKUP(B264,'BD ASVICC'!$A$6:$BG$316,59,FALSE)</f>
        <v>LITORAL</v>
      </c>
      <c r="L264">
        <f>VLOOKUP(K264,'2. Incendis forestals'!$F$9:$G$11,2,FALSE)</f>
        <v>0.75</v>
      </c>
      <c r="M264">
        <f t="shared" si="20"/>
        <v>7.2472187006672018</v>
      </c>
      <c r="N264">
        <f t="shared" si="24"/>
        <v>108.70828051000802</v>
      </c>
      <c r="O264" s="846">
        <f>N264*'2. Incendis forestals'!$C$52</f>
        <v>1085452.18089243</v>
      </c>
      <c r="P264" s="846">
        <f t="shared" si="21"/>
        <v>690742.2969315463</v>
      </c>
      <c r="Q264" s="854">
        <f>D264/VLOOKUP(C264,'BD Comarcal'!$A$5:$AX$17,21,FALSE)</f>
        <v>1.2196060326254232E-2</v>
      </c>
      <c r="R264">
        <f>VLOOKUP(C264,'BD Comarcal'!$A$5:$AX$17,50,FALSE)*Q264</f>
        <v>2.6353522547880734</v>
      </c>
    </row>
    <row r="265" spans="1:18">
      <c r="A265">
        <v>8264</v>
      </c>
      <c r="B265" t="s">
        <v>355</v>
      </c>
      <c r="C265" t="s">
        <v>86</v>
      </c>
      <c r="D265">
        <f>IFERROR(+VLOOKUP(B265,'BD ASVICC'!$A$6:$GQ$316,5,FALSE),"")</f>
        <v>510</v>
      </c>
      <c r="E265">
        <f>IFERROR(+VLOOKUP($B265,'BD ASVICC'!$A$6:$GQ$316,113,FALSE),"")</f>
        <v>0</v>
      </c>
      <c r="F265">
        <f>IFERROR(+VLOOKUP($B265,'BD ASVICC'!$A$6:$GQ$316,114,FALSE),"")</f>
        <v>0</v>
      </c>
      <c r="G265">
        <f>IFERROR(+VLOOKUP($B265,'BD ASVICC'!$A$6:$GQ$316,115,FALSE),"")</f>
        <v>0</v>
      </c>
      <c r="H265">
        <f t="shared" si="22"/>
        <v>0.91322078168153531</v>
      </c>
      <c r="I265">
        <f t="shared" si="23"/>
        <v>13.69831172522303</v>
      </c>
      <c r="J265" s="846">
        <f>I265*'2. Incendis forestals'!$C$52</f>
        <v>136777.64257635197</v>
      </c>
      <c r="K265" t="str">
        <f>VLOOKUP(B265,'BD ASVICC'!$A$6:$BG$316,59,FALSE)</f>
        <v>LITORAL</v>
      </c>
      <c r="L265">
        <f>VLOOKUP(K265,'2. Incendis forestals'!$F$9:$G$11,2,FALSE)</f>
        <v>0.75</v>
      </c>
      <c r="M265">
        <f t="shared" si="20"/>
        <v>2.5113571496242222</v>
      </c>
      <c r="N265">
        <f t="shared" si="24"/>
        <v>37.670357244363331</v>
      </c>
      <c r="O265" s="846">
        <f>N265*'2. Incendis forestals'!$C$52</f>
        <v>376138.51708496787</v>
      </c>
      <c r="P265" s="846">
        <f t="shared" si="21"/>
        <v>239360.8745086159</v>
      </c>
      <c r="Q265" s="854">
        <f>D265/VLOOKUP(C265,'BD Comarcal'!$A$5:$AX$17,21,FALSE)</f>
        <v>1.8959812632439867E-2</v>
      </c>
      <c r="R265">
        <f>VLOOKUP(C265,'BD Comarcal'!$A$5:$AX$17,50,FALSE)*Q265</f>
        <v>0.91322078168153531</v>
      </c>
    </row>
    <row r="266" spans="1:18">
      <c r="A266">
        <v>8265</v>
      </c>
      <c r="B266" t="s">
        <v>1604</v>
      </c>
      <c r="C266" t="s">
        <v>88</v>
      </c>
      <c r="D266">
        <f>IFERROR(+VLOOKUP(B266,'BD ASVICC'!$A$6:$GQ$316,5,FALSE),"")</f>
        <v>254</v>
      </c>
      <c r="E266">
        <f>IFERROR(+VLOOKUP($B266,'BD ASVICC'!$A$6:$GQ$316,113,FALSE),"")</f>
        <v>0</v>
      </c>
      <c r="F266">
        <f>IFERROR(+VLOOKUP($B266,'BD ASVICC'!$A$6:$GQ$316,114,FALSE),"")</f>
        <v>0</v>
      </c>
      <c r="G266">
        <f>IFERROR(+VLOOKUP($B266,'BD ASVICC'!$A$6:$GQ$316,115,FALSE),"")</f>
        <v>0</v>
      </c>
      <c r="H266">
        <f t="shared" si="22"/>
        <v>0.1975541333384877</v>
      </c>
      <c r="I266">
        <f t="shared" si="23"/>
        <v>2.9633120000773157</v>
      </c>
      <c r="J266" s="846">
        <f>I266*'2. Incendis forestals'!$C$52</f>
        <v>29588.670320771998</v>
      </c>
      <c r="K266" t="str">
        <f>VLOOKUP(B266,'BD ASVICC'!$A$6:$BG$316,59,FALSE)</f>
        <v>PREPIRINEU-PIRINEU</v>
      </c>
      <c r="L266">
        <f>VLOOKUP(K266,'2. Incendis forestals'!$F$9:$G$11,2,FALSE)</f>
        <v>0.75</v>
      </c>
      <c r="M266">
        <f t="shared" si="20"/>
        <v>0.54327386668084121</v>
      </c>
      <c r="N266">
        <f t="shared" si="24"/>
        <v>8.1491080002126175</v>
      </c>
      <c r="O266" s="846">
        <f>N266*'2. Incendis forestals'!$C$52</f>
        <v>81368.843382122985</v>
      </c>
      <c r="P266" s="846">
        <f t="shared" si="21"/>
        <v>51780.173061350986</v>
      </c>
      <c r="Q266" s="854">
        <f>D266/VLOOKUP(C266,'BD Comarcal'!$A$5:$AX$17,21,FALSE)</f>
        <v>2.7177983693209783E-3</v>
      </c>
      <c r="R266">
        <f>VLOOKUP(C266,'BD Comarcal'!$A$5:$AX$17,50,FALSE)*Q266</f>
        <v>0.1975541333384877</v>
      </c>
    </row>
    <row r="267" spans="1:18">
      <c r="A267">
        <v>8266</v>
      </c>
      <c r="B267" t="s">
        <v>1605</v>
      </c>
      <c r="C267" t="s">
        <v>89</v>
      </c>
      <c r="D267">
        <f>IFERROR(+VLOOKUP(B267,'BD ASVICC'!$A$6:$GQ$316,5,FALSE),"")</f>
        <v>1721</v>
      </c>
      <c r="E267">
        <f>IFERROR(+VLOOKUP($B267,'BD ASVICC'!$A$6:$GQ$316,113,FALSE),"")</f>
        <v>0</v>
      </c>
      <c r="F267">
        <f>IFERROR(+VLOOKUP($B267,'BD ASVICC'!$A$6:$GQ$316,114,FALSE),"")</f>
        <v>0</v>
      </c>
      <c r="G267">
        <f>IFERROR(+VLOOKUP($B267,'BD ASVICC'!$A$6:$GQ$316,115,FALSE),"")</f>
        <v>0</v>
      </c>
      <c r="H267">
        <f t="shared" si="22"/>
        <v>13.745459860843127</v>
      </c>
      <c r="I267">
        <f t="shared" si="23"/>
        <v>206.18189791264689</v>
      </c>
      <c r="J267" s="846">
        <f>I267*'2. Incendis forestals'!$C$52</f>
        <v>2058726.2506577792</v>
      </c>
      <c r="K267" t="str">
        <f>VLOOKUP(B267,'BD ASVICC'!$A$6:$BG$316,59,FALSE)</f>
        <v>LITORAL</v>
      </c>
      <c r="L267">
        <f>VLOOKUP(K267,'2. Incendis forestals'!$F$9:$G$11,2,FALSE)</f>
        <v>0.75</v>
      </c>
      <c r="M267">
        <f t="shared" si="20"/>
        <v>37.800014617318595</v>
      </c>
      <c r="N267">
        <f t="shared" si="24"/>
        <v>567.00021925977899</v>
      </c>
      <c r="O267" s="846">
        <f>N267*'2. Incendis forestals'!$C$52</f>
        <v>5661497.1893088929</v>
      </c>
      <c r="P267" s="846">
        <f t="shared" si="21"/>
        <v>3602770.9386511138</v>
      </c>
      <c r="Q267" s="854">
        <f>D267/VLOOKUP(C267,'BD Comarcal'!$A$5:$AX$17,21,FALSE)</f>
        <v>5.0312810618020232E-2</v>
      </c>
      <c r="R267">
        <f>VLOOKUP(C267,'BD Comarcal'!$A$5:$AX$17,50,FALSE)*Q267</f>
        <v>13.745459860843127</v>
      </c>
    </row>
    <row r="268" spans="1:18">
      <c r="A268">
        <v>8267</v>
      </c>
      <c r="B268" t="s">
        <v>1608</v>
      </c>
      <c r="C268" t="s">
        <v>89</v>
      </c>
      <c r="D268">
        <f>IFERROR(+VLOOKUP(B268,'BD ASVICC'!$A$6:$GQ$316,5,FALSE),"")</f>
        <v>2066</v>
      </c>
      <c r="E268">
        <f>IFERROR(+VLOOKUP($B268,'BD ASVICC'!$A$6:$GQ$316,113,FALSE),"")</f>
        <v>0.3</v>
      </c>
      <c r="F268">
        <f>IFERROR(+VLOOKUP($B268,'BD ASVICC'!$A$6:$GQ$316,114,FALSE),"")</f>
        <v>1.81</v>
      </c>
      <c r="G268">
        <f>IFERROR(+VLOOKUP($B268,'BD ASVICC'!$A$6:$GQ$316,115,FALSE),"")</f>
        <v>2.11</v>
      </c>
      <c r="H268">
        <f t="shared" si="22"/>
        <v>16.500941355317778</v>
      </c>
      <c r="I268">
        <f t="shared" si="23"/>
        <v>247.51412032976668</v>
      </c>
      <c r="J268" s="846">
        <f>I268*'2. Incendis forestals'!$C$52</f>
        <v>2471428.4914927203</v>
      </c>
      <c r="K268" t="str">
        <f>VLOOKUP(B268,'BD ASVICC'!$A$6:$BG$316,59,FALSE)</f>
        <v>CENTRAL</v>
      </c>
      <c r="L268">
        <f>VLOOKUP(K268,'2. Incendis forestals'!$F$9:$G$11,2,FALSE)</f>
        <v>0.75</v>
      </c>
      <c r="M268">
        <f t="shared" si="20"/>
        <v>45.377588727123893</v>
      </c>
      <c r="N268">
        <f t="shared" si="24"/>
        <v>680.66383090685838</v>
      </c>
      <c r="O268" s="846">
        <f>N268*'2. Incendis forestals'!$C$52</f>
        <v>6796428.3516049813</v>
      </c>
      <c r="P268" s="846">
        <f t="shared" si="21"/>
        <v>4324999.860112261</v>
      </c>
      <c r="Q268" s="854">
        <f>D268/VLOOKUP(C268,'BD Comarcal'!$A$5:$AX$17,21,FALSE)</f>
        <v>6.0398760451382795E-2</v>
      </c>
      <c r="R268">
        <f>VLOOKUP(C268,'BD Comarcal'!$A$5:$AX$17,50,FALSE)*Q268</f>
        <v>16.500941355317778</v>
      </c>
    </row>
    <row r="269" spans="1:18">
      <c r="A269">
        <v>8268</v>
      </c>
      <c r="B269" t="s">
        <v>1610</v>
      </c>
      <c r="C269" t="s">
        <v>84</v>
      </c>
      <c r="D269">
        <f>IFERROR(+VLOOKUP(B269,'BD ASVICC'!$A$6:$GQ$316,5,FALSE),"")</f>
        <v>4312</v>
      </c>
      <c r="E269">
        <f>IFERROR(+VLOOKUP($B269,'BD ASVICC'!$A$6:$GQ$316,113,FALSE),"")</f>
        <v>5.9</v>
      </c>
      <c r="F269">
        <f>IFERROR(+VLOOKUP($B269,'BD ASVICC'!$A$6:$GQ$316,114,FALSE),"")</f>
        <v>1.55</v>
      </c>
      <c r="G269">
        <f>IFERROR(+VLOOKUP($B269,'BD ASVICC'!$A$6:$GQ$316,115,FALSE),"")</f>
        <v>7.45</v>
      </c>
      <c r="H269">
        <f t="shared" si="22"/>
        <v>26.643349576470264</v>
      </c>
      <c r="I269">
        <f t="shared" si="23"/>
        <v>399.65024364705397</v>
      </c>
      <c r="J269" s="846">
        <f>I269*'2. Incendis forestals'!$C$52</f>
        <v>3990507.6828158339</v>
      </c>
      <c r="K269" t="str">
        <f>VLOOKUP(B269,'BD ASVICC'!$A$6:$BG$316,59,FALSE)</f>
        <v>PREPIRINEU-PIRINEU</v>
      </c>
      <c r="L269">
        <f>VLOOKUP(K269,'2. Incendis forestals'!$F$9:$G$11,2,FALSE)</f>
        <v>0.75</v>
      </c>
      <c r="M269">
        <f t="shared" si="20"/>
        <v>73.269211335293221</v>
      </c>
      <c r="N269">
        <f t="shared" si="24"/>
        <v>1099.0381700293983</v>
      </c>
      <c r="O269" s="846">
        <f>N269*'2. Incendis forestals'!$C$52</f>
        <v>10973896.127743542</v>
      </c>
      <c r="P269" s="846">
        <f t="shared" si="21"/>
        <v>6983388.4449277082</v>
      </c>
      <c r="Q269" s="854">
        <f>D269/VLOOKUP(C269,'BD Comarcal'!$A$5:$AX$17,21,FALSE)</f>
        <v>4.0782355389096962E-2</v>
      </c>
      <c r="R269">
        <f>VLOOKUP(C269,'BD Comarcal'!$A$5:$AX$17,50,FALSE)*Q269</f>
        <v>26.643349576470264</v>
      </c>
    </row>
    <row r="270" spans="1:18">
      <c r="A270">
        <v>8269</v>
      </c>
      <c r="B270" t="s">
        <v>1614</v>
      </c>
      <c r="C270" t="s">
        <v>88</v>
      </c>
      <c r="D270">
        <f>IFERROR(+VLOOKUP(B270,'BD ASVICC'!$A$6:$GQ$316,5,FALSE),"")</f>
        <v>1762</v>
      </c>
      <c r="E270">
        <f>IFERROR(+VLOOKUP($B270,'BD ASVICC'!$A$6:$GQ$316,113,FALSE),"")</f>
        <v>0</v>
      </c>
      <c r="F270">
        <f>IFERROR(+VLOOKUP($B270,'BD ASVICC'!$A$6:$GQ$316,114,FALSE),"")</f>
        <v>0</v>
      </c>
      <c r="G270">
        <f>IFERROR(+VLOOKUP($B270,'BD ASVICC'!$A$6:$GQ$316,115,FALSE),"")</f>
        <v>0</v>
      </c>
      <c r="H270">
        <f t="shared" si="22"/>
        <v>1.3704345785134462</v>
      </c>
      <c r="I270">
        <f t="shared" si="23"/>
        <v>20.556518677701693</v>
      </c>
      <c r="J270" s="846">
        <f>I270*'2. Incendis forestals'!$C$52</f>
        <v>205256.83899685141</v>
      </c>
      <c r="K270" t="str">
        <f>VLOOKUP(B270,'BD ASVICC'!$A$6:$BG$316,59,FALSE)</f>
        <v>PREPIRINEU-PIRINEU</v>
      </c>
      <c r="L270">
        <f>VLOOKUP(K270,'2. Incendis forestals'!$F$9:$G$11,2,FALSE)</f>
        <v>0.75</v>
      </c>
      <c r="M270">
        <f t="shared" si="20"/>
        <v>3.7686950909119767</v>
      </c>
      <c r="N270">
        <f t="shared" si="24"/>
        <v>56.530426363679652</v>
      </c>
      <c r="O270" s="846">
        <f>N270*'2. Incendis forestals'!$C$52</f>
        <v>564456.30724134133</v>
      </c>
      <c r="P270" s="846">
        <f t="shared" si="21"/>
        <v>359199.46824448992</v>
      </c>
      <c r="Q270" s="854">
        <f>D270/VLOOKUP(C270,'BD Comarcal'!$A$5:$AX$17,21,FALSE)</f>
        <v>1.8853388687966786E-2</v>
      </c>
      <c r="R270">
        <f>VLOOKUP(C270,'BD Comarcal'!$A$5:$AX$17,50,FALSE)*Q270</f>
        <v>1.3704345785134462</v>
      </c>
    </row>
    <row r="271" spans="1:18">
      <c r="A271">
        <v>8270</v>
      </c>
      <c r="B271" t="s">
        <v>356</v>
      </c>
      <c r="C271" t="s">
        <v>85</v>
      </c>
      <c r="D271">
        <f>IFERROR(+VLOOKUP(B271,'BD ASVICC'!$A$6:$GQ$316,5,FALSE),"")</f>
        <v>3287</v>
      </c>
      <c r="E271">
        <f>IFERROR(+VLOOKUP($B271,'BD ASVICC'!$A$6:$GQ$316,113,FALSE),"")</f>
        <v>8.8000000000000007</v>
      </c>
      <c r="F271">
        <f>IFERROR(+VLOOKUP($B271,'BD ASVICC'!$A$6:$GQ$316,114,FALSE),"")</f>
        <v>24.33</v>
      </c>
      <c r="G271">
        <f>IFERROR(+VLOOKUP($B271,'BD ASVICC'!$A$6:$GQ$316,115,FALSE),"")</f>
        <v>33.130000000000003</v>
      </c>
      <c r="H271">
        <f t="shared" si="22"/>
        <v>41.891626831210402</v>
      </c>
      <c r="I271">
        <f t="shared" si="23"/>
        <v>628.37440246815606</v>
      </c>
      <c r="J271" s="846">
        <f>I271*'2. Incendis forestals'!$C$52</f>
        <v>6274318.4086445384</v>
      </c>
      <c r="K271" t="str">
        <f>VLOOKUP(B271,'BD ASVICC'!$A$6:$BG$316,59,FALSE)</f>
        <v>LITORAL</v>
      </c>
      <c r="L271">
        <f>VLOOKUP(K271,'2. Incendis forestals'!$F$9:$G$11,2,FALSE)</f>
        <v>0.75</v>
      </c>
      <c r="M271">
        <f t="shared" si="20"/>
        <v>115.20197378582861</v>
      </c>
      <c r="N271">
        <f t="shared" si="24"/>
        <v>1728.0296067874292</v>
      </c>
      <c r="O271" s="846">
        <f>N271*'2. Incendis forestals'!$C$52</f>
        <v>17254375.62377248</v>
      </c>
      <c r="P271" s="846">
        <f t="shared" si="21"/>
        <v>10980057.215127941</v>
      </c>
      <c r="Q271" s="854">
        <f>D271/VLOOKUP(C271,'BD Comarcal'!$A$5:$AX$17,21,FALSE)</f>
        <v>0.27136134731280442</v>
      </c>
      <c r="R271">
        <f>VLOOKUP(C271,'BD Comarcal'!$A$5:$AX$17,50,FALSE)*Q271</f>
        <v>41.891626831210402</v>
      </c>
    </row>
    <row r="272" spans="1:18">
      <c r="A272">
        <v>8271</v>
      </c>
      <c r="B272" t="s">
        <v>1621</v>
      </c>
      <c r="C272" t="s">
        <v>88</v>
      </c>
      <c r="D272">
        <f>IFERROR(+VLOOKUP(B272,'BD ASVICC'!$A$6:$GQ$316,5,FALSE),"")</f>
        <v>1073</v>
      </c>
      <c r="E272">
        <f>IFERROR(+VLOOKUP($B272,'BD ASVICC'!$A$6:$GQ$316,113,FALSE),"")</f>
        <v>0</v>
      </c>
      <c r="F272">
        <f>IFERROR(+VLOOKUP($B272,'BD ASVICC'!$A$6:$GQ$316,114,FALSE),"")</f>
        <v>0</v>
      </c>
      <c r="G272">
        <f>IFERROR(+VLOOKUP($B272,'BD ASVICC'!$A$6:$GQ$316,115,FALSE),"")</f>
        <v>0</v>
      </c>
      <c r="H272">
        <f t="shared" si="22"/>
        <v>0.83454954752833577</v>
      </c>
      <c r="I272">
        <f t="shared" si="23"/>
        <v>12.518243212925036</v>
      </c>
      <c r="J272" s="846">
        <f>I272*'2. Incendis forestals'!$C$52</f>
        <v>124994.65848105648</v>
      </c>
      <c r="K272" t="str">
        <f>VLOOKUP(B272,'BD ASVICC'!$A$6:$BG$316,59,FALSE)</f>
        <v>PREPIRINEU-PIRINEU</v>
      </c>
      <c r="L272">
        <f>VLOOKUP(K272,'2. Incendis forestals'!$F$9:$G$11,2,FALSE)</f>
        <v>0.75</v>
      </c>
      <c r="M272">
        <f t="shared" si="20"/>
        <v>2.2950112557029234</v>
      </c>
      <c r="N272">
        <f t="shared" si="24"/>
        <v>34.42516883554385</v>
      </c>
      <c r="O272" s="846">
        <f>N272*'2. Incendis forestals'!$C$52</f>
        <v>343735.31082290533</v>
      </c>
      <c r="P272" s="846">
        <f t="shared" si="21"/>
        <v>218740.65234184885</v>
      </c>
      <c r="Q272" s="854">
        <f>D272/VLOOKUP(C272,'BD Comarcal'!$A$5:$AX$17,21,FALSE)</f>
        <v>1.1481093111344133E-2</v>
      </c>
      <c r="R272">
        <f>VLOOKUP(C272,'BD Comarcal'!$A$5:$AX$17,50,FALSE)*Q272</f>
        <v>0.83454954752833577</v>
      </c>
    </row>
    <row r="273" spans="1:18">
      <c r="A273">
        <v>8272</v>
      </c>
      <c r="B273" t="s">
        <v>1625</v>
      </c>
      <c r="C273" t="s">
        <v>88</v>
      </c>
      <c r="D273">
        <f>IFERROR(+VLOOKUP(B273,'BD ASVICC'!$A$6:$GQ$316,5,FALSE),"")</f>
        <v>2343</v>
      </c>
      <c r="E273">
        <f>IFERROR(+VLOOKUP($B273,'BD ASVICC'!$A$6:$GQ$316,113,FALSE),"")</f>
        <v>0</v>
      </c>
      <c r="F273">
        <f>IFERROR(+VLOOKUP($B273,'BD ASVICC'!$A$6:$GQ$316,114,FALSE),"")</f>
        <v>0</v>
      </c>
      <c r="G273">
        <f>IFERROR(+VLOOKUP($B273,'BD ASVICC'!$A$6:$GQ$316,115,FALSE),"")</f>
        <v>0</v>
      </c>
      <c r="H273">
        <f t="shared" si="22"/>
        <v>1.8223202142207744</v>
      </c>
      <c r="I273">
        <f t="shared" si="23"/>
        <v>27.334803213311616</v>
      </c>
      <c r="J273" s="846">
        <f>I273*'2. Incendis forestals'!$C$52</f>
        <v>272938.01008491649</v>
      </c>
      <c r="K273" t="str">
        <f>VLOOKUP(B273,'BD ASVICC'!$A$6:$BG$316,59,FALSE)</f>
        <v>PREPIRINEU-PIRINEU</v>
      </c>
      <c r="L273">
        <f>VLOOKUP(K273,'2. Incendis forestals'!$F$9:$G$11,2,FALSE)</f>
        <v>0.75</v>
      </c>
      <c r="M273">
        <f t="shared" si="20"/>
        <v>5.0113805891071301</v>
      </c>
      <c r="N273">
        <f t="shared" si="24"/>
        <v>75.170708836606948</v>
      </c>
      <c r="O273" s="846">
        <f>N273*'2. Incendis forestals'!$C$52</f>
        <v>750579.52773352037</v>
      </c>
      <c r="P273" s="846">
        <f t="shared" si="21"/>
        <v>477641.51764860388</v>
      </c>
      <c r="Q273" s="854">
        <f>D273/VLOOKUP(C273,'BD Comarcal'!$A$5:$AX$17,21,FALSE)</f>
        <v>2.5070084957949025E-2</v>
      </c>
      <c r="R273">
        <f>VLOOKUP(C273,'BD Comarcal'!$A$5:$AX$17,50,FALSE)*Q273</f>
        <v>1.8223202142207744</v>
      </c>
    </row>
    <row r="274" spans="1:18">
      <c r="A274">
        <v>8273</v>
      </c>
      <c r="B274" t="s">
        <v>1627</v>
      </c>
      <c r="C274" t="s">
        <v>791</v>
      </c>
      <c r="D274">
        <f>IFERROR(+VLOOKUP(B274,'BD ASVICC'!$A$6:$GQ$316,5,FALSE),"")</f>
        <v>2700</v>
      </c>
      <c r="E274">
        <f>IFERROR(+VLOOKUP($B274,'BD ASVICC'!$A$6:$GQ$316,113,FALSE),"")</f>
        <v>14.04</v>
      </c>
      <c r="F274">
        <f>IFERROR(+VLOOKUP($B274,'BD ASVICC'!$A$6:$GQ$316,114,FALSE),"")</f>
        <v>11.44</v>
      </c>
      <c r="G274">
        <f>IFERROR(+VLOOKUP($B274,'BD ASVICC'!$A$6:$GQ$316,115,FALSE),"")</f>
        <v>25.48</v>
      </c>
      <c r="H274">
        <f t="shared" si="22"/>
        <v>19.646021547391342</v>
      </c>
      <c r="I274">
        <f t="shared" si="23"/>
        <v>294.69032321087013</v>
      </c>
      <c r="J274" s="846">
        <f>I274*'2. Incendis forestals'!$C$52</f>
        <v>2942482.8772605383</v>
      </c>
      <c r="K274" t="str">
        <f>VLOOKUP(B274,'BD ASVICC'!$A$6:$BG$316,59,FALSE)</f>
        <v>CENTRAL</v>
      </c>
      <c r="L274">
        <f>VLOOKUP(K274,'2. Incendis forestals'!$F$9:$G$11,2,FALSE)</f>
        <v>0.75</v>
      </c>
      <c r="M274">
        <f t="shared" si="20"/>
        <v>54.026559255326191</v>
      </c>
      <c r="N274">
        <f t="shared" si="24"/>
        <v>810.39838882989284</v>
      </c>
      <c r="O274" s="846">
        <f>N274*'2. Incendis forestals'!$C$52</f>
        <v>8091827.9124664804</v>
      </c>
      <c r="P274" s="846">
        <f t="shared" si="21"/>
        <v>5149345.0352059416</v>
      </c>
      <c r="Q274" s="854">
        <f>D274/VLOOKUP(C274,'BD Comarcal'!$A$5:$AX$17,21,FALSE)</f>
        <v>8.7916381752466549E-2</v>
      </c>
      <c r="R274">
        <f>VLOOKUP(C274,'BD Comarcal'!$A$5:$AX$17,50,FALSE)*Q274</f>
        <v>19.646021547391342</v>
      </c>
    </row>
    <row r="275" spans="1:18">
      <c r="A275">
        <v>8274</v>
      </c>
      <c r="B275" t="s">
        <v>1631</v>
      </c>
      <c r="C275" t="s">
        <v>82</v>
      </c>
      <c r="D275">
        <f>IFERROR(+VLOOKUP(B275,'BD ASVICC'!$A$6:$GQ$316,5,FALSE),"")</f>
        <v>1772</v>
      </c>
      <c r="E275">
        <f>IFERROR(+VLOOKUP($B275,'BD ASVICC'!$A$6:$GQ$316,113,FALSE),"")</f>
        <v>2</v>
      </c>
      <c r="F275">
        <f>IFERROR(+VLOOKUP($B275,'BD ASVICC'!$A$6:$GQ$316,114,FALSE),"")</f>
        <v>0</v>
      </c>
      <c r="G275">
        <f>IFERROR(+VLOOKUP($B275,'BD ASVICC'!$A$6:$GQ$316,115,FALSE),"")</f>
        <v>2</v>
      </c>
      <c r="H275">
        <f t="shared" si="22"/>
        <v>19.539728286891318</v>
      </c>
      <c r="I275">
        <f t="shared" si="23"/>
        <v>293.09592430336977</v>
      </c>
      <c r="J275" s="846">
        <f>I275*'2. Incendis forestals'!$C$52</f>
        <v>2926562.8041691473</v>
      </c>
      <c r="K275" t="str">
        <f>VLOOKUP(B275,'BD ASVICC'!$A$6:$BG$316,59,FALSE)</f>
        <v>CENTRAL</v>
      </c>
      <c r="L275">
        <f>VLOOKUP(K275,'2. Incendis forestals'!$F$9:$G$11,2,FALSE)</f>
        <v>0.75</v>
      </c>
      <c r="M275">
        <f t="shared" si="20"/>
        <v>53.734252788951125</v>
      </c>
      <c r="N275">
        <f t="shared" si="24"/>
        <v>806.01379183426684</v>
      </c>
      <c r="O275" s="846">
        <f>N275*'2. Incendis forestals'!$C$52</f>
        <v>8048047.7114651548</v>
      </c>
      <c r="P275" s="846">
        <f t="shared" si="21"/>
        <v>5121484.9072960075</v>
      </c>
      <c r="Q275" s="854">
        <f>D275/VLOOKUP(C275,'BD Comarcal'!$A$5:$AX$17,21,FALSE)</f>
        <v>2.188140574448643E-2</v>
      </c>
      <c r="R275">
        <f>VLOOKUP(C275,'BD Comarcal'!$A$5:$AX$17,50,FALSE)*Q275</f>
        <v>19.539728286891318</v>
      </c>
    </row>
    <row r="276" spans="1:18">
      <c r="A276">
        <v>8275</v>
      </c>
      <c r="B276" t="s">
        <v>1634</v>
      </c>
      <c r="C276" t="s">
        <v>88</v>
      </c>
      <c r="D276">
        <f>IFERROR(+VLOOKUP(B276,'BD ASVICC'!$A$6:$GQ$316,5,FALSE),"")</f>
        <v>1372</v>
      </c>
      <c r="E276">
        <f>IFERROR(+VLOOKUP($B276,'BD ASVICC'!$A$6:$GQ$316,113,FALSE),"")</f>
        <v>0</v>
      </c>
      <c r="F276">
        <f>IFERROR(+VLOOKUP($B276,'BD ASVICC'!$A$6:$GQ$316,114,FALSE),"")</f>
        <v>0</v>
      </c>
      <c r="G276">
        <f>IFERROR(+VLOOKUP($B276,'BD ASVICC'!$A$6:$GQ$316,115,FALSE),"")</f>
        <v>0</v>
      </c>
      <c r="H276">
        <f t="shared" si="22"/>
        <v>1.0671034288992327</v>
      </c>
      <c r="I276">
        <f t="shared" si="23"/>
        <v>16.00655143348849</v>
      </c>
      <c r="J276" s="846">
        <f>I276*'2. Incendis forestals'!$C$52</f>
        <v>159825.41606338258</v>
      </c>
      <c r="K276" t="str">
        <f>VLOOKUP(B276,'BD ASVICC'!$A$6:$BG$316,59,FALSE)</f>
        <v>CENTRAL</v>
      </c>
      <c r="L276">
        <f>VLOOKUP(K276,'2. Incendis forestals'!$F$9:$G$11,2,FALSE)</f>
        <v>0.75</v>
      </c>
      <c r="M276">
        <f t="shared" si="20"/>
        <v>2.9345344294728899</v>
      </c>
      <c r="N276">
        <f t="shared" si="24"/>
        <v>44.018016442093348</v>
      </c>
      <c r="O276" s="846">
        <f>N276*'2. Incendis forestals'!$C$52</f>
        <v>439519.89417430206</v>
      </c>
      <c r="P276" s="846">
        <f t="shared" si="21"/>
        <v>279694.47811091947</v>
      </c>
      <c r="Q276" s="854">
        <f>D276/VLOOKUP(C276,'BD Comarcal'!$A$5:$AX$17,21,FALSE)</f>
        <v>1.4680391191765285E-2</v>
      </c>
      <c r="R276">
        <f>VLOOKUP(C276,'BD Comarcal'!$A$5:$AX$17,50,FALSE)*Q276</f>
        <v>1.0671034288992327</v>
      </c>
    </row>
    <row r="277" spans="1:18">
      <c r="A277">
        <v>8276</v>
      </c>
      <c r="B277" t="s">
        <v>1636</v>
      </c>
      <c r="C277" t="s">
        <v>24</v>
      </c>
      <c r="D277">
        <f>IFERROR(+VLOOKUP(B277,'BD ASVICC'!$A$6:$GQ$316,5,FALSE),"")</f>
        <v>4020</v>
      </c>
      <c r="E277">
        <f>IFERROR(+VLOOKUP($B277,'BD ASVICC'!$A$6:$GQ$316,113,FALSE),"")</f>
        <v>0</v>
      </c>
      <c r="F277">
        <f>IFERROR(+VLOOKUP($B277,'BD ASVICC'!$A$6:$GQ$316,114,FALSE),"")</f>
        <v>0</v>
      </c>
      <c r="G277">
        <f>IFERROR(+VLOOKUP($B277,'BD ASVICC'!$A$6:$GQ$316,115,FALSE),"")</f>
        <v>0</v>
      </c>
      <c r="H277">
        <f t="shared" si="22"/>
        <v>8.1790069686963953</v>
      </c>
      <c r="I277">
        <f t="shared" si="23"/>
        <v>122.68510453044593</v>
      </c>
      <c r="J277" s="846">
        <f>I277*'2. Incendis forestals'!$C$52</f>
        <v>1225010.7687365026</v>
      </c>
      <c r="K277" t="str">
        <f>VLOOKUP(B277,'BD ASVICC'!$A$6:$BG$316,59,FALSE)</f>
        <v>CENTRAL</v>
      </c>
      <c r="L277">
        <f>VLOOKUP(K277,'2. Incendis forestals'!$F$9:$G$11,2,FALSE)</f>
        <v>0.75</v>
      </c>
      <c r="M277">
        <f t="shared" si="20"/>
        <v>22.492269163915086</v>
      </c>
      <c r="N277">
        <f t="shared" si="24"/>
        <v>337.38403745872631</v>
      </c>
      <c r="O277" s="846">
        <f>N277*'2. Incendis forestals'!$C$52</f>
        <v>3368779.6140253823</v>
      </c>
      <c r="P277" s="846">
        <f t="shared" si="21"/>
        <v>2143768.8452888797</v>
      </c>
      <c r="Q277" s="854">
        <f>D277/VLOOKUP(C277,'BD Comarcal'!$A$5:$AX$17,21,FALSE)</f>
        <v>7.9085597371682637E-2</v>
      </c>
      <c r="R277">
        <f>VLOOKUP(C277,'BD Comarcal'!$A$5:$AX$17,50,FALSE)*Q277</f>
        <v>8.1790069686963953</v>
      </c>
    </row>
    <row r="278" spans="1:18">
      <c r="A278">
        <v>8277</v>
      </c>
      <c r="B278" t="s">
        <v>1639</v>
      </c>
      <c r="C278" t="s">
        <v>82</v>
      </c>
      <c r="D278">
        <f>IFERROR(+VLOOKUP(B278,'BD ASVICC'!$A$6:$GQ$316,5,FALSE),"")</f>
        <v>2677</v>
      </c>
      <c r="E278">
        <f>IFERROR(+VLOOKUP($B278,'BD ASVICC'!$A$6:$GQ$316,113,FALSE),"")</f>
        <v>154.5</v>
      </c>
      <c r="F278">
        <f>IFERROR(+VLOOKUP($B278,'BD ASVICC'!$A$6:$GQ$316,114,FALSE),"")</f>
        <v>723.71</v>
      </c>
      <c r="G278">
        <f>IFERROR(+VLOOKUP($B278,'BD ASVICC'!$A$6:$GQ$316,115,FALSE),"")</f>
        <v>878.21</v>
      </c>
      <c r="H278">
        <f t="shared" si="22"/>
        <v>29.519104189620798</v>
      </c>
      <c r="I278">
        <f t="shared" si="23"/>
        <v>442.78656284431196</v>
      </c>
      <c r="J278" s="846">
        <f>I278*'2. Incendis forestals'!$C$52</f>
        <v>4421223.8300004546</v>
      </c>
      <c r="K278" t="str">
        <f>VLOOKUP(B278,'BD ASVICC'!$A$6:$BG$316,59,FALSE)</f>
        <v>PREPIRINEU-PIRINEU</v>
      </c>
      <c r="L278">
        <f>VLOOKUP(K278,'2. Incendis forestals'!$F$9:$G$11,2,FALSE)</f>
        <v>0.75</v>
      </c>
      <c r="M278">
        <f t="shared" si="20"/>
        <v>81.177536521457199</v>
      </c>
      <c r="N278">
        <f t="shared" si="24"/>
        <v>1217.6630478218581</v>
      </c>
      <c r="O278" s="846">
        <f>N278*'2. Incendis forestals'!$C$52</f>
        <v>12158365.532501252</v>
      </c>
      <c r="P278" s="846">
        <f t="shared" si="21"/>
        <v>7737141.7025007978</v>
      </c>
      <c r="Q278" s="854">
        <f>D278/VLOOKUP(C278,'BD Comarcal'!$A$5:$AX$17,21,FALSE)</f>
        <v>3.3056728655750663E-2</v>
      </c>
      <c r="R278">
        <f>VLOOKUP(C278,'BD Comarcal'!$A$5:$AX$17,50,FALSE)*Q278</f>
        <v>29.519104189620798</v>
      </c>
    </row>
    <row r="279" spans="1:18">
      <c r="A279">
        <v>8278</v>
      </c>
      <c r="B279" t="s">
        <v>1641</v>
      </c>
      <c r="C279" t="s">
        <v>88</v>
      </c>
      <c r="D279">
        <f>IFERROR(+VLOOKUP(B279,'BD ASVICC'!$A$6:$GQ$316,5,FALSE),"")</f>
        <v>1610</v>
      </c>
      <c r="E279">
        <f>IFERROR(+VLOOKUP($B279,'BD ASVICC'!$A$6:$GQ$316,113,FALSE),"")</f>
        <v>2.1</v>
      </c>
      <c r="F279">
        <f>IFERROR(+VLOOKUP($B279,'BD ASVICC'!$A$6:$GQ$316,114,FALSE),"")</f>
        <v>0</v>
      </c>
      <c r="G279">
        <f>IFERROR(+VLOOKUP($B279,'BD ASVICC'!$A$6:$GQ$316,115,FALSE),"")</f>
        <v>2.1</v>
      </c>
      <c r="H279">
        <f t="shared" si="22"/>
        <v>1.2522132073817527</v>
      </c>
      <c r="I279">
        <f t="shared" si="23"/>
        <v>18.783198110726289</v>
      </c>
      <c r="J279" s="846">
        <f>I279*'2. Incendis forestals'!$C$52</f>
        <v>187550.233135602</v>
      </c>
      <c r="K279" t="str">
        <f>VLOOKUP(B279,'BD ASVICC'!$A$6:$BG$316,59,FALSE)</f>
        <v>CENTRAL</v>
      </c>
      <c r="L279">
        <f>VLOOKUP(K279,'2. Incendis forestals'!$F$9:$G$11,2,FALSE)</f>
        <v>0.75</v>
      </c>
      <c r="M279">
        <f t="shared" si="20"/>
        <v>3.4435863202998203</v>
      </c>
      <c r="N279">
        <f t="shared" si="24"/>
        <v>51.653794804497302</v>
      </c>
      <c r="O279" s="846">
        <f>N279*'2. Incendis forestals'!$C$52</f>
        <v>515763.14112290554</v>
      </c>
      <c r="P279" s="846">
        <f t="shared" si="21"/>
        <v>328212.90798730357</v>
      </c>
      <c r="Q279" s="854">
        <f>D279/VLOOKUP(C279,'BD Comarcal'!$A$5:$AX$17,21,FALSE)</f>
        <v>1.7226989663806203E-2</v>
      </c>
      <c r="R279">
        <f>VLOOKUP(C279,'BD Comarcal'!$A$5:$AX$17,50,FALSE)*Q279</f>
        <v>1.2522132073817527</v>
      </c>
    </row>
    <row r="280" spans="1:18">
      <c r="A280">
        <v>8279</v>
      </c>
      <c r="B280" t="s">
        <v>967</v>
      </c>
      <c r="C280" t="s">
        <v>89</v>
      </c>
      <c r="D280">
        <f>IFERROR(+VLOOKUP(B280,'BD ASVICC'!$A$6:$GQ$316,5,FALSE),"")</f>
        <v>3416</v>
      </c>
      <c r="E280">
        <f>IFERROR(+VLOOKUP($B280,'BD ASVICC'!$A$6:$GQ$316,113,FALSE),"")</f>
        <v>12.595000000000001</v>
      </c>
      <c r="F280">
        <f>IFERROR(+VLOOKUP($B280,'BD ASVICC'!$A$6:$GQ$316,114,FALSE),"")</f>
        <v>18.190000000000001</v>
      </c>
      <c r="G280">
        <f>IFERROR(+VLOOKUP($B280,'BD ASVICC'!$A$6:$GQ$316,115,FALSE),"")</f>
        <v>30.785</v>
      </c>
      <c r="H280">
        <f t="shared" si="22"/>
        <v>27.283260246740337</v>
      </c>
      <c r="I280">
        <f t="shared" si="23"/>
        <v>409.24890370110506</v>
      </c>
      <c r="J280" s="846">
        <f>I280*'2. Incendis forestals'!$C$52</f>
        <v>4086350.3034555339</v>
      </c>
      <c r="K280" t="str">
        <f>VLOOKUP(B280,'BD ASVICC'!$A$6:$BG$316,59,FALSE)</f>
        <v>LITORAL</v>
      </c>
      <c r="L280">
        <f>VLOOKUP(K280,'2. Incendis forestals'!$F$9:$G$11,2,FALSE)</f>
        <v>0.75</v>
      </c>
      <c r="M280">
        <f t="shared" si="20"/>
        <v>75.028965678535926</v>
      </c>
      <c r="N280">
        <f t="shared" si="24"/>
        <v>1125.4344851780388</v>
      </c>
      <c r="O280" s="846">
        <f>N280*'2. Incendis forestals'!$C$52</f>
        <v>11237463.334502717</v>
      </c>
      <c r="P280" s="846">
        <f t="shared" si="21"/>
        <v>7151113.031047184</v>
      </c>
      <c r="Q280" s="854">
        <f>D280/VLOOKUP(C280,'BD Comarcal'!$A$5:$AX$17,21,FALSE)</f>
        <v>9.9865520668888499E-2</v>
      </c>
      <c r="R280">
        <f>VLOOKUP(C280,'BD Comarcal'!$A$5:$AX$17,50,FALSE)*Q280</f>
        <v>27.283260246740337</v>
      </c>
    </row>
    <row r="281" spans="1:18">
      <c r="A281">
        <v>8280</v>
      </c>
      <c r="B281" t="s">
        <v>1650</v>
      </c>
      <c r="C281" t="s">
        <v>88</v>
      </c>
      <c r="D281">
        <f>IFERROR(+VLOOKUP(B281,'BD ASVICC'!$A$6:$GQ$316,5,FALSE),"")</f>
        <v>2570</v>
      </c>
      <c r="E281">
        <f>IFERROR(+VLOOKUP($B281,'BD ASVICC'!$A$6:$GQ$316,113,FALSE),"")</f>
        <v>2.1</v>
      </c>
      <c r="F281">
        <f>IFERROR(+VLOOKUP($B281,'BD ASVICC'!$A$6:$GQ$316,114,FALSE),"")</f>
        <v>1.4</v>
      </c>
      <c r="G281">
        <f>IFERROR(+VLOOKUP($B281,'BD ASVICC'!$A$6:$GQ$316,115,FALSE),"")</f>
        <v>3.5</v>
      </c>
      <c r="H281">
        <f t="shared" si="22"/>
        <v>1.9988744987398164</v>
      </c>
      <c r="I281">
        <f t="shared" si="23"/>
        <v>29.983117481097246</v>
      </c>
      <c r="J281" s="846">
        <f>I281*'2. Incendis forestals'!$C$52</f>
        <v>299381.42804875597</v>
      </c>
      <c r="K281" t="str">
        <f>VLOOKUP(B281,'BD ASVICC'!$A$6:$BG$316,59,FALSE)</f>
        <v>PREPIRINEU-PIRINEU</v>
      </c>
      <c r="L281">
        <f>VLOOKUP(K281,'2. Incendis forestals'!$F$9:$G$11,2,FALSE)</f>
        <v>0.75</v>
      </c>
      <c r="M281">
        <f t="shared" si="20"/>
        <v>5.496904871534495</v>
      </c>
      <c r="N281">
        <f t="shared" si="24"/>
        <v>82.453573073017424</v>
      </c>
      <c r="O281" s="846">
        <f>N281*'2. Incendis forestals'!$C$52</f>
        <v>823298.92713407893</v>
      </c>
      <c r="P281" s="846">
        <f t="shared" si="21"/>
        <v>523917.49908532295</v>
      </c>
      <c r="Q281" s="854">
        <f>D281/VLOOKUP(C281,'BD Comarcal'!$A$5:$AX$17,21,FALSE)</f>
        <v>2.7498983500609898E-2</v>
      </c>
      <c r="R281">
        <f>VLOOKUP(C281,'BD Comarcal'!$A$5:$AX$17,50,FALSE)*Q281</f>
        <v>1.9988744987398164</v>
      </c>
    </row>
    <row r="282" spans="1:18">
      <c r="A282">
        <v>8281</v>
      </c>
      <c r="B282" t="s">
        <v>1652</v>
      </c>
      <c r="C282" t="s">
        <v>86</v>
      </c>
      <c r="D282">
        <f>IFERROR(+VLOOKUP(B282,'BD ASVICC'!$A$6:$GQ$316,5,FALSE),"")</f>
        <v>369</v>
      </c>
      <c r="E282">
        <f>IFERROR(+VLOOKUP($B282,'BD ASVICC'!$A$6:$GQ$316,113,FALSE),"")</f>
        <v>0.53</v>
      </c>
      <c r="F282">
        <f>IFERROR(+VLOOKUP($B282,'BD ASVICC'!$A$6:$GQ$316,114,FALSE),"")</f>
        <v>7.92</v>
      </c>
      <c r="G282">
        <f>IFERROR(+VLOOKUP($B282,'BD ASVICC'!$A$6:$GQ$316,115,FALSE),"")</f>
        <v>8.4499999999999993</v>
      </c>
      <c r="H282">
        <f t="shared" si="22"/>
        <v>0.66074209498134617</v>
      </c>
      <c r="I282">
        <f t="shared" si="23"/>
        <v>9.9111314247201925</v>
      </c>
      <c r="J282" s="846">
        <f>I282*'2. Incendis forestals'!$C$52</f>
        <v>98962.647275831128</v>
      </c>
      <c r="K282" t="str">
        <f>VLOOKUP(B282,'BD ASVICC'!$A$6:$BG$316,59,FALSE)</f>
        <v>LITORAL</v>
      </c>
      <c r="L282">
        <f>VLOOKUP(K282,'2. Incendis forestals'!$F$9:$G$11,2,FALSE)</f>
        <v>0.75</v>
      </c>
      <c r="M282">
        <f t="shared" si="20"/>
        <v>1.8170407611987018</v>
      </c>
      <c r="N282">
        <f t="shared" si="24"/>
        <v>27.255611417980528</v>
      </c>
      <c r="O282" s="846">
        <f>N282*'2. Incendis forestals'!$C$52</f>
        <v>272147.2800085356</v>
      </c>
      <c r="P282" s="846">
        <f t="shared" si="21"/>
        <v>173184.63273270446</v>
      </c>
      <c r="Q282" s="854">
        <f>D282/VLOOKUP(C282,'BD Comarcal'!$A$5:$AX$17,21,FALSE)</f>
        <v>1.3717982081118258E-2</v>
      </c>
      <c r="R282">
        <f>VLOOKUP(C282,'BD Comarcal'!$A$5:$AX$17,50,FALSE)*Q282</f>
        <v>0.66074209498134617</v>
      </c>
    </row>
    <row r="283" spans="1:18">
      <c r="A283">
        <v>8282</v>
      </c>
      <c r="B283" t="s">
        <v>1655</v>
      </c>
      <c r="C283" t="s">
        <v>86</v>
      </c>
      <c r="D283">
        <f>IFERROR(+VLOOKUP(B283,'BD ASVICC'!$A$6:$GQ$316,5,FALSE),"")</f>
        <v>464</v>
      </c>
      <c r="E283">
        <f>IFERROR(+VLOOKUP($B283,'BD ASVICC'!$A$6:$GQ$316,113,FALSE),"")</f>
        <v>4.8499999999999996</v>
      </c>
      <c r="F283">
        <f>IFERROR(+VLOOKUP($B283,'BD ASVICC'!$A$6:$GQ$316,114,FALSE),"")</f>
        <v>10.99</v>
      </c>
      <c r="G283">
        <f>IFERROR(+VLOOKUP($B283,'BD ASVICC'!$A$6:$GQ$316,115,FALSE),"")</f>
        <v>15.84</v>
      </c>
      <c r="H283">
        <f t="shared" si="22"/>
        <v>0.83085184843182813</v>
      </c>
      <c r="I283">
        <f t="shared" si="23"/>
        <v>12.462777726477421</v>
      </c>
      <c r="J283" s="846">
        <f>I283*'2. Incendis forestals'!$C$52</f>
        <v>124440.83559887705</v>
      </c>
      <c r="K283" t="str">
        <f>VLOOKUP(B283,'BD ASVICC'!$A$6:$BG$316,59,FALSE)</f>
        <v>LITORAL</v>
      </c>
      <c r="L283">
        <f>VLOOKUP(K283,'2. Incendis forestals'!$F$9:$G$11,2,FALSE)</f>
        <v>0.75</v>
      </c>
      <c r="M283">
        <f t="shared" si="20"/>
        <v>2.2848425831875274</v>
      </c>
      <c r="N283">
        <f t="shared" si="24"/>
        <v>34.272638747812913</v>
      </c>
      <c r="O283" s="846">
        <f>N283*'2. Incendis forestals'!$C$52</f>
        <v>342212.29789691191</v>
      </c>
      <c r="P283" s="846">
        <f t="shared" si="21"/>
        <v>217771.46229803486</v>
      </c>
      <c r="Q283" s="854">
        <f>D283/VLOOKUP(C283,'BD Comarcal'!$A$5:$AX$17,21,FALSE)</f>
        <v>1.7249711885200192E-2</v>
      </c>
      <c r="R283">
        <f>VLOOKUP(C283,'BD Comarcal'!$A$5:$AX$17,50,FALSE)*Q283</f>
        <v>0.83085184843182813</v>
      </c>
    </row>
    <row r="284" spans="1:18">
      <c r="A284">
        <v>8283</v>
      </c>
      <c r="B284" t="s">
        <v>1658</v>
      </c>
      <c r="C284" t="s">
        <v>88</v>
      </c>
      <c r="D284">
        <f>IFERROR(+VLOOKUP(B284,'BD ASVICC'!$A$6:$GQ$316,5,FALSE),"")</f>
        <v>565</v>
      </c>
      <c r="E284">
        <f>IFERROR(+VLOOKUP($B284,'BD ASVICC'!$A$6:$GQ$316,113,FALSE),"")</f>
        <v>0</v>
      </c>
      <c r="F284">
        <f>IFERROR(+VLOOKUP($B284,'BD ASVICC'!$A$6:$GQ$316,114,FALSE),"")</f>
        <v>0</v>
      </c>
      <c r="G284">
        <f>IFERROR(+VLOOKUP($B284,'BD ASVICC'!$A$6:$GQ$316,115,FALSE),"")</f>
        <v>0</v>
      </c>
      <c r="H284">
        <f t="shared" si="22"/>
        <v>0.43944128085136042</v>
      </c>
      <c r="I284">
        <f t="shared" si="23"/>
        <v>6.5916192127704063</v>
      </c>
      <c r="J284" s="846">
        <f>I284*'2. Incendis forestals'!$C$52</f>
        <v>65817.3178395125</v>
      </c>
      <c r="K284" t="str">
        <f>VLOOKUP(B284,'BD ASVICC'!$A$6:$BG$316,59,FALSE)</f>
        <v>PREPIRINEU-PIRINEU</v>
      </c>
      <c r="L284">
        <f>VLOOKUP(K284,'2. Incendis forestals'!$F$9:$G$11,2,FALSE)</f>
        <v>0.75</v>
      </c>
      <c r="M284">
        <f t="shared" si="20"/>
        <v>1.2084635223412412</v>
      </c>
      <c r="N284">
        <f t="shared" si="24"/>
        <v>18.126952835118619</v>
      </c>
      <c r="O284" s="846">
        <f>N284*'2. Incendis forestals'!$C$52</f>
        <v>180997.62405865942</v>
      </c>
      <c r="P284" s="846">
        <f t="shared" si="21"/>
        <v>115180.30621914692</v>
      </c>
      <c r="Q284" s="854">
        <f>D284/VLOOKUP(C284,'BD Comarcal'!$A$5:$AX$17,21,FALSE)</f>
        <v>6.0454963727021764E-3</v>
      </c>
      <c r="R284">
        <f>VLOOKUP(C284,'BD Comarcal'!$A$5:$AX$17,50,FALSE)*Q284</f>
        <v>0.43944128085136042</v>
      </c>
    </row>
    <row r="285" spans="1:18">
      <c r="A285">
        <v>8284</v>
      </c>
      <c r="B285" t="s">
        <v>1660</v>
      </c>
      <c r="C285" t="s">
        <v>86</v>
      </c>
      <c r="D285">
        <f>IFERROR(+VLOOKUP(B285,'BD ASVICC'!$A$6:$GQ$316,5,FALSE),"")</f>
        <v>6509</v>
      </c>
      <c r="E285">
        <f>IFERROR(+VLOOKUP($B285,'BD ASVICC'!$A$6:$GQ$316,113,FALSE),"")</f>
        <v>507.72</v>
      </c>
      <c r="F285">
        <f>IFERROR(+VLOOKUP($B285,'BD ASVICC'!$A$6:$GQ$316,114,FALSE),"")</f>
        <v>318.44</v>
      </c>
      <c r="G285">
        <f>IFERROR(+VLOOKUP($B285,'BD ASVICC'!$A$6:$GQ$316,115,FALSE),"")</f>
        <v>826.16</v>
      </c>
      <c r="H285">
        <f t="shared" si="22"/>
        <v>11.655204054833556</v>
      </c>
      <c r="I285">
        <f t="shared" si="23"/>
        <v>174.82806082250335</v>
      </c>
      <c r="J285" s="846">
        <f>I285*'2. Incendis forestals'!$C$52</f>
        <v>1745658.1873126959</v>
      </c>
      <c r="K285" t="str">
        <f>VLOOKUP(B285,'BD ASVICC'!$A$6:$BG$316,59,FALSE)</f>
        <v>LITORAL</v>
      </c>
      <c r="L285">
        <f>VLOOKUP(K285,'2. Incendis forestals'!$F$9:$G$11,2,FALSE)</f>
        <v>0.75</v>
      </c>
      <c r="M285">
        <f t="shared" si="20"/>
        <v>32.051811150792275</v>
      </c>
      <c r="N285">
        <f t="shared" si="24"/>
        <v>480.77716726188413</v>
      </c>
      <c r="O285" s="846">
        <f>N285*'2. Incendis forestals'!$C$52</f>
        <v>4800560.0151099134</v>
      </c>
      <c r="P285" s="846">
        <f t="shared" si="21"/>
        <v>3054901.8277972173</v>
      </c>
      <c r="Q285" s="854">
        <f>D285/VLOOKUP(C285,'BD Comarcal'!$A$5:$AX$17,21,FALSE)</f>
        <v>0.24197925573441392</v>
      </c>
      <c r="R285">
        <f>VLOOKUP(C285,'BD Comarcal'!$A$5:$AX$17,50,FALSE)*Q285</f>
        <v>11.655204054833556</v>
      </c>
    </row>
    <row r="286" spans="1:18">
      <c r="A286">
        <v>8285</v>
      </c>
      <c r="B286" t="s">
        <v>1667</v>
      </c>
      <c r="C286" t="s">
        <v>88</v>
      </c>
      <c r="D286">
        <f>IFERROR(+VLOOKUP(B286,'BD ASVICC'!$A$6:$GQ$316,5,FALSE),"")</f>
        <v>265</v>
      </c>
      <c r="E286">
        <f>IFERROR(+VLOOKUP($B286,'BD ASVICC'!$A$6:$GQ$316,113,FALSE),"")</f>
        <v>0</v>
      </c>
      <c r="F286">
        <f>IFERROR(+VLOOKUP($B286,'BD ASVICC'!$A$6:$GQ$316,114,FALSE),"")</f>
        <v>0</v>
      </c>
      <c r="G286">
        <f>IFERROR(+VLOOKUP($B286,'BD ASVICC'!$A$6:$GQ$316,115,FALSE),"")</f>
        <v>0</v>
      </c>
      <c r="H286">
        <f t="shared" si="22"/>
        <v>0.2061096273019655</v>
      </c>
      <c r="I286">
        <f t="shared" si="23"/>
        <v>3.0916444095294824</v>
      </c>
      <c r="J286" s="846">
        <f>I286*'2. Incendis forestals'!$C$52</f>
        <v>30870.069429151881</v>
      </c>
      <c r="K286" t="str">
        <f>VLOOKUP(B286,'BD ASVICC'!$A$6:$BG$316,59,FALSE)</f>
        <v>CENTRAL</v>
      </c>
      <c r="L286">
        <f>VLOOKUP(K286,'2. Incendis forestals'!$F$9:$G$11,2,FALSE)</f>
        <v>0.75</v>
      </c>
      <c r="M286">
        <f t="shared" si="20"/>
        <v>0.56680147508040513</v>
      </c>
      <c r="N286">
        <f t="shared" si="24"/>
        <v>8.5020221262060769</v>
      </c>
      <c r="O286" s="846">
        <f>N286*'2. Incendis forestals'!$C$52</f>
        <v>84892.690930167679</v>
      </c>
      <c r="P286" s="846">
        <f t="shared" si="21"/>
        <v>54022.621501015798</v>
      </c>
      <c r="Q286" s="854">
        <f>D286/VLOOKUP(C286,'BD Comarcal'!$A$5:$AX$17,21,FALSE)</f>
        <v>2.8354982987010206E-3</v>
      </c>
      <c r="R286">
        <f>VLOOKUP(C286,'BD Comarcal'!$A$5:$AX$17,50,FALSE)*Q286</f>
        <v>0.2061096273019655</v>
      </c>
    </row>
    <row r="287" spans="1:18">
      <c r="A287">
        <v>8286</v>
      </c>
      <c r="B287" t="s">
        <v>1670</v>
      </c>
      <c r="C287" t="s">
        <v>81</v>
      </c>
      <c r="D287">
        <f>IFERROR(+VLOOKUP(B287,'BD ASVICC'!$A$6:$GQ$316,5,FALSE),"")</f>
        <v>772</v>
      </c>
      <c r="E287">
        <f>IFERROR(+VLOOKUP($B287,'BD ASVICC'!$A$6:$GQ$316,113,FALSE),"")</f>
        <v>0</v>
      </c>
      <c r="F287">
        <f>IFERROR(+VLOOKUP($B287,'BD ASVICC'!$A$6:$GQ$316,114,FALSE),"")</f>
        <v>0</v>
      </c>
      <c r="G287">
        <f>IFERROR(+VLOOKUP($B287,'BD ASVICC'!$A$6:$GQ$316,115,FALSE),"")</f>
        <v>0</v>
      </c>
      <c r="H287">
        <f t="shared" si="22"/>
        <v>8.5222781326550336</v>
      </c>
      <c r="I287">
        <f t="shared" si="23"/>
        <v>127.83417198982551</v>
      </c>
      <c r="J287" s="846">
        <f>I287*'2. Incendis forestals'!$C$52</f>
        <v>1276424.2073184077</v>
      </c>
      <c r="K287" t="str">
        <f>VLOOKUP(B287,'BD ASVICC'!$A$6:$BG$316,59,FALSE)</f>
        <v>CENTRAL</v>
      </c>
      <c r="L287">
        <f>VLOOKUP(K287,'2. Incendis forestals'!$F$9:$G$11,2,FALSE)</f>
        <v>0.75</v>
      </c>
      <c r="M287">
        <f t="shared" si="20"/>
        <v>23.436264864801345</v>
      </c>
      <c r="N287">
        <f t="shared" si="24"/>
        <v>351.54397297202019</v>
      </c>
      <c r="O287" s="846">
        <f>N287*'2. Incendis forestals'!$C$52</f>
        <v>3510166.5701256217</v>
      </c>
      <c r="P287" s="846">
        <f t="shared" si="21"/>
        <v>2233742.3628072143</v>
      </c>
      <c r="Q287" s="854">
        <f>D287/VLOOKUP(C287,'BD Comarcal'!$A$5:$AX$17,21,FALSE)</f>
        <v>1.4800329748279367E-2</v>
      </c>
      <c r="R287">
        <f>VLOOKUP(C287,'BD Comarcal'!$A$5:$AX$17,50,FALSE)*Q287</f>
        <v>8.5222781326550336</v>
      </c>
    </row>
    <row r="288" spans="1:18">
      <c r="A288">
        <v>8287</v>
      </c>
      <c r="B288" t="s">
        <v>1673</v>
      </c>
      <c r="C288" t="s">
        <v>791</v>
      </c>
      <c r="D288">
        <f>IFERROR(+VLOOKUP(B288,'BD ASVICC'!$A$6:$GQ$316,5,FALSE),"")</f>
        <v>703</v>
      </c>
      <c r="E288">
        <f>IFERROR(+VLOOKUP($B288,'BD ASVICC'!$A$6:$GQ$316,113,FALSE),"")</f>
        <v>0</v>
      </c>
      <c r="F288">
        <f>IFERROR(+VLOOKUP($B288,'BD ASVICC'!$A$6:$GQ$316,114,FALSE),"")</f>
        <v>0</v>
      </c>
      <c r="G288">
        <f>IFERROR(+VLOOKUP($B288,'BD ASVICC'!$A$6:$GQ$316,115,FALSE),"")</f>
        <v>0</v>
      </c>
      <c r="H288">
        <f t="shared" si="22"/>
        <v>5.1152419065985599</v>
      </c>
      <c r="I288">
        <f t="shared" si="23"/>
        <v>76.728628598978403</v>
      </c>
      <c r="J288" s="846">
        <f>I288*'2. Incendis forestals'!$C$52</f>
        <v>766135.35656079941</v>
      </c>
      <c r="K288" t="str">
        <f>VLOOKUP(B288,'BD ASVICC'!$A$6:$BG$316,59,FALSE)</f>
        <v>LITORAL</v>
      </c>
      <c r="L288">
        <f>VLOOKUP(K288,'2. Incendis forestals'!$F$9:$G$11,2,FALSE)</f>
        <v>0.75</v>
      </c>
      <c r="M288">
        <f t="shared" si="20"/>
        <v>14.066915243146038</v>
      </c>
      <c r="N288">
        <f t="shared" si="24"/>
        <v>211.00372864719057</v>
      </c>
      <c r="O288" s="846">
        <f>N288*'2. Incendis forestals'!$C$52</f>
        <v>2106872.2305421978</v>
      </c>
      <c r="P288" s="846">
        <f t="shared" si="21"/>
        <v>1340736.8739813985</v>
      </c>
      <c r="Q288" s="854">
        <f>D288/VLOOKUP(C288,'BD Comarcal'!$A$5:$AX$17,21,FALSE)</f>
        <v>2.2890820878512585E-2</v>
      </c>
      <c r="R288">
        <f>VLOOKUP(C288,'BD Comarcal'!$A$5:$AX$17,50,FALSE)*Q288</f>
        <v>5.1152419065985599</v>
      </c>
    </row>
    <row r="289" spans="1:18">
      <c r="A289">
        <v>8288</v>
      </c>
      <c r="B289" t="s">
        <v>1677</v>
      </c>
      <c r="C289" t="s">
        <v>791</v>
      </c>
      <c r="D289">
        <f>IFERROR(+VLOOKUP(B289,'BD ASVICC'!$A$6:$GQ$316,5,FALSE),"")</f>
        <v>2139</v>
      </c>
      <c r="E289">
        <f>IFERROR(+VLOOKUP($B289,'BD ASVICC'!$A$6:$GQ$316,113,FALSE),"")</f>
        <v>81.11</v>
      </c>
      <c r="F289">
        <f>IFERROR(+VLOOKUP($B289,'BD ASVICC'!$A$6:$GQ$316,114,FALSE),"")</f>
        <v>13.88</v>
      </c>
      <c r="G289">
        <f>IFERROR(+VLOOKUP($B289,'BD ASVICC'!$A$6:$GQ$316,115,FALSE),"")</f>
        <v>94.99</v>
      </c>
      <c r="H289">
        <f t="shared" si="22"/>
        <v>15.564014848100028</v>
      </c>
      <c r="I289">
        <f t="shared" si="23"/>
        <v>233.46022272150043</v>
      </c>
      <c r="J289" s="846">
        <f>I289*'2. Incendis forestals'!$C$52</f>
        <v>2331100.3238741816</v>
      </c>
      <c r="K289" t="str">
        <f>VLOOKUP(B289,'BD ASVICC'!$A$6:$BG$316,59,FALSE)</f>
        <v>LITORAL</v>
      </c>
      <c r="L289">
        <f>VLOOKUP(K289,'2. Incendis forestals'!$F$9:$G$11,2,FALSE)</f>
        <v>0.75</v>
      </c>
      <c r="M289">
        <f t="shared" si="20"/>
        <v>42.801040832275078</v>
      </c>
      <c r="N289">
        <f t="shared" si="24"/>
        <v>642.01561248412622</v>
      </c>
      <c r="O289" s="846">
        <f>N289*'2. Incendis forestals'!$C$52</f>
        <v>6410525.8906540005</v>
      </c>
      <c r="P289" s="846">
        <f t="shared" si="21"/>
        <v>4079425.5667798189</v>
      </c>
      <c r="Q289" s="854">
        <f>D289/VLOOKUP(C289,'BD Comarcal'!$A$5:$AX$17,21,FALSE)</f>
        <v>6.9649311321676274E-2</v>
      </c>
      <c r="R289">
        <f>VLOOKUP(C289,'BD Comarcal'!$A$5:$AX$17,50,FALSE)*Q289</f>
        <v>15.564014848100028</v>
      </c>
    </row>
    <row r="290" spans="1:18">
      <c r="A290">
        <v>8289</v>
      </c>
      <c r="B290" t="s">
        <v>1681</v>
      </c>
      <c r="C290" t="s">
        <v>90</v>
      </c>
      <c r="D290">
        <f>IFERROR(+VLOOKUP(B290,'BD ASVICC'!$A$6:$GQ$316,5,FALSE),"")</f>
        <v>864</v>
      </c>
      <c r="E290">
        <f>IFERROR(+VLOOKUP($B290,'BD ASVICC'!$A$6:$GQ$316,113,FALSE),"")</f>
        <v>0</v>
      </c>
      <c r="F290">
        <f>IFERROR(+VLOOKUP($B290,'BD ASVICC'!$A$6:$GQ$316,114,FALSE),"")</f>
        <v>0</v>
      </c>
      <c r="G290">
        <f>IFERROR(+VLOOKUP($B290,'BD ASVICC'!$A$6:$GQ$316,115,FALSE),"")</f>
        <v>0</v>
      </c>
      <c r="H290">
        <f t="shared" si="22"/>
        <v>7.1827897417567685</v>
      </c>
      <c r="I290">
        <f t="shared" si="23"/>
        <v>107.74184612635153</v>
      </c>
      <c r="J290" s="846">
        <f>I290*'2. Incendis forestals'!$C$52</f>
        <v>1075802.3335716201</v>
      </c>
      <c r="K290" t="str">
        <f>VLOOKUP(B290,'BD ASVICC'!$A$6:$BG$316,59,FALSE)</f>
        <v>LITORAL</v>
      </c>
      <c r="L290">
        <f>VLOOKUP(K290,'2. Incendis forestals'!$F$9:$G$11,2,FALSE)</f>
        <v>0.75</v>
      </c>
      <c r="M290">
        <f t="shared" si="20"/>
        <v>19.752671789831112</v>
      </c>
      <c r="N290">
        <f t="shared" si="24"/>
        <v>296.29007684746671</v>
      </c>
      <c r="O290" s="846">
        <f>N290*'2. Incendis forestals'!$C$52</f>
        <v>2958456.4173219549</v>
      </c>
      <c r="P290" s="846">
        <f t="shared" si="21"/>
        <v>1882654.0837503348</v>
      </c>
      <c r="Q290" s="854">
        <f>D290/VLOOKUP(C290,'BD Comarcal'!$A$5:$AX$17,21,FALSE)</f>
        <v>3.3240997229916899E-2</v>
      </c>
      <c r="R290">
        <f>VLOOKUP(C290,'BD Comarcal'!$A$5:$AX$17,50,FALSE)*Q290</f>
        <v>7.1827897417567685</v>
      </c>
    </row>
    <row r="291" spans="1:18">
      <c r="A291">
        <v>8290</v>
      </c>
      <c r="B291" t="s">
        <v>1682</v>
      </c>
      <c r="C291" t="s">
        <v>89</v>
      </c>
      <c r="D291">
        <f>IFERROR(+VLOOKUP(B291,'BD ASVICC'!$A$6:$GQ$316,5,FALSE),"")</f>
        <v>491</v>
      </c>
      <c r="E291">
        <f>IFERROR(+VLOOKUP($B291,'BD ASVICC'!$A$6:$GQ$316,113,FALSE),"")</f>
        <v>0</v>
      </c>
      <c r="F291">
        <f>IFERROR(+VLOOKUP($B291,'BD ASVICC'!$A$6:$GQ$316,114,FALSE),"")</f>
        <v>2.4</v>
      </c>
      <c r="G291">
        <f>IFERROR(+VLOOKUP($B291,'BD ASVICC'!$A$6:$GQ$316,115,FALSE),"")</f>
        <v>2.4</v>
      </c>
      <c r="H291">
        <f t="shared" si="22"/>
        <v>3.9215693153247968</v>
      </c>
      <c r="I291">
        <f t="shared" si="23"/>
        <v>58.823539729871953</v>
      </c>
      <c r="J291" s="846">
        <f>I291*'2. Incendis forestals'!$C$52</f>
        <v>587353.0442027715</v>
      </c>
      <c r="K291" t="str">
        <f>VLOOKUP(B291,'BD ASVICC'!$A$6:$BG$316,59,FALSE)</f>
        <v>LITORAL</v>
      </c>
      <c r="L291">
        <f>VLOOKUP(K291,'2. Incendis forestals'!$F$9:$G$11,2,FALSE)</f>
        <v>0.75</v>
      </c>
      <c r="M291">
        <f t="shared" si="20"/>
        <v>10.784315617143191</v>
      </c>
      <c r="N291">
        <f t="shared" si="24"/>
        <v>161.76473425714786</v>
      </c>
      <c r="O291" s="846">
        <f>N291*'2. Incendis forestals'!$C$52</f>
        <v>1615220.8715576215</v>
      </c>
      <c r="P291" s="846">
        <f t="shared" si="21"/>
        <v>1027867.82735485</v>
      </c>
      <c r="Q291" s="854">
        <f>D291/VLOOKUP(C291,'BD Comarcal'!$A$5:$AX$17,21,FALSE)</f>
        <v>1.4354206864292814E-2</v>
      </c>
      <c r="R291">
        <f>VLOOKUP(C291,'BD Comarcal'!$A$5:$AX$17,50,FALSE)*Q291</f>
        <v>3.9215693153247968</v>
      </c>
    </row>
    <row r="292" spans="1:18">
      <c r="A292">
        <v>8291</v>
      </c>
      <c r="B292" t="s">
        <v>1684</v>
      </c>
      <c r="C292" t="s">
        <v>89</v>
      </c>
      <c r="D292">
        <f>IFERROR(+VLOOKUP(B292,'BD ASVICC'!$A$6:$GQ$316,5,FALSE),"")</f>
        <v>3398</v>
      </c>
      <c r="E292">
        <f>IFERROR(+VLOOKUP($B292,'BD ASVICC'!$A$6:$GQ$316,113,FALSE),"")</f>
        <v>4.7</v>
      </c>
      <c r="F292">
        <f>IFERROR(+VLOOKUP($B292,'BD ASVICC'!$A$6:$GQ$316,114,FALSE),"")</f>
        <v>3.15</v>
      </c>
      <c r="G292">
        <f>IFERROR(+VLOOKUP($B292,'BD ASVICC'!$A$6:$GQ$316,115,FALSE),"")</f>
        <v>7.85</v>
      </c>
      <c r="H292">
        <f t="shared" si="22"/>
        <v>27.139495994854705</v>
      </c>
      <c r="I292">
        <f t="shared" si="23"/>
        <v>407.09243992282057</v>
      </c>
      <c r="J292" s="846">
        <f>I292*'2. Incendis forestals'!$C$52</f>
        <v>4064818.0126293632</v>
      </c>
      <c r="K292" t="str">
        <f>VLOOKUP(B292,'BD ASVICC'!$A$6:$BG$316,59,FALSE)</f>
        <v>CENTRAL</v>
      </c>
      <c r="L292">
        <f>VLOOKUP(K292,'2. Incendis forestals'!$F$9:$G$11,2,FALSE)</f>
        <v>0.75</v>
      </c>
      <c r="M292">
        <f t="shared" si="20"/>
        <v>74.633613985850445</v>
      </c>
      <c r="N292">
        <f t="shared" si="24"/>
        <v>1119.5042097877567</v>
      </c>
      <c r="O292" s="846">
        <f>N292*'2. Incendis forestals'!$C$52</f>
        <v>11178249.534730751</v>
      </c>
      <c r="P292" s="846">
        <f t="shared" si="21"/>
        <v>7113431.5221013874</v>
      </c>
      <c r="Q292" s="854">
        <f>D292/VLOOKUP(C292,'BD Comarcal'!$A$5:$AX$17,21,FALSE)</f>
        <v>9.9339297199321761E-2</v>
      </c>
      <c r="R292">
        <f>VLOOKUP(C292,'BD Comarcal'!$A$5:$AX$17,50,FALSE)*Q292</f>
        <v>27.139495994854705</v>
      </c>
    </row>
    <row r="293" spans="1:18">
      <c r="A293">
        <v>8292</v>
      </c>
      <c r="B293" t="s">
        <v>1686</v>
      </c>
      <c r="C293" t="s">
        <v>81</v>
      </c>
      <c r="D293">
        <f>IFERROR(+VLOOKUP(B293,'BD ASVICC'!$A$6:$GQ$316,5,FALSE),"")</f>
        <v>433</v>
      </c>
      <c r="E293">
        <f>IFERROR(+VLOOKUP($B293,'BD ASVICC'!$A$6:$GQ$316,113,FALSE),"")</f>
        <v>30.47</v>
      </c>
      <c r="F293">
        <f>IFERROR(+VLOOKUP($B293,'BD ASVICC'!$A$6:$GQ$316,114,FALSE),"")</f>
        <v>19.32</v>
      </c>
      <c r="G293">
        <f>IFERROR(+VLOOKUP($B293,'BD ASVICC'!$A$6:$GQ$316,115,FALSE),"")</f>
        <v>49.79</v>
      </c>
      <c r="H293">
        <f t="shared" si="22"/>
        <v>4.7799824241445981</v>
      </c>
      <c r="I293">
        <f t="shared" si="23"/>
        <v>71.699736362168977</v>
      </c>
      <c r="J293" s="846">
        <f>I293*'2. Incendis forestals'!$C$52</f>
        <v>715921.86757625721</v>
      </c>
      <c r="K293" t="str">
        <f>VLOOKUP(B293,'BD ASVICC'!$A$6:$BG$316,59,FALSE)</f>
        <v>CENTRAL</v>
      </c>
      <c r="L293">
        <f>VLOOKUP(K293,'2. Incendis forestals'!$F$9:$G$11,2,FALSE)</f>
        <v>0.75</v>
      </c>
      <c r="M293">
        <f t="shared" si="20"/>
        <v>13.144951666397645</v>
      </c>
      <c r="N293">
        <f t="shared" si="24"/>
        <v>197.17427499596468</v>
      </c>
      <c r="O293" s="846">
        <f>N293*'2. Incendis forestals'!$C$52</f>
        <v>1968785.1358347074</v>
      </c>
      <c r="P293" s="846">
        <f t="shared" si="21"/>
        <v>1252863.2682584501</v>
      </c>
      <c r="Q293" s="854">
        <f>D293/VLOOKUP(C293,'BD Comarcal'!$A$5:$AX$17,21,FALSE)</f>
        <v>8.3012212189183497E-3</v>
      </c>
      <c r="R293">
        <f>VLOOKUP(C293,'BD Comarcal'!$A$5:$AX$17,50,FALSE)*Q293</f>
        <v>4.7799824241445981</v>
      </c>
    </row>
    <row r="294" spans="1:18">
      <c r="A294">
        <v>8293</v>
      </c>
      <c r="B294" t="s">
        <v>1690</v>
      </c>
      <c r="C294" t="s">
        <v>84</v>
      </c>
      <c r="D294">
        <f>IFERROR(+VLOOKUP(B294,'BD ASVICC'!$A$6:$GQ$316,5,FALSE),"")</f>
        <v>1885</v>
      </c>
      <c r="E294">
        <f>IFERROR(+VLOOKUP($B294,'BD ASVICC'!$A$6:$GQ$316,113,FALSE),"")</f>
        <v>0</v>
      </c>
      <c r="F294">
        <f>IFERROR(+VLOOKUP($B294,'BD ASVICC'!$A$6:$GQ$316,114,FALSE),"")</f>
        <v>0</v>
      </c>
      <c r="G294">
        <f>IFERROR(+VLOOKUP($B294,'BD ASVICC'!$A$6:$GQ$316,115,FALSE),"")</f>
        <v>0</v>
      </c>
      <c r="H294">
        <f t="shared" si="22"/>
        <v>11.647197113090551</v>
      </c>
      <c r="I294">
        <f t="shared" si="23"/>
        <v>174.70795669635825</v>
      </c>
      <c r="J294" s="846">
        <f>I294*'2. Incendis forestals'!$C$52</f>
        <v>1744458.9476131371</v>
      </c>
      <c r="K294" t="str">
        <f>VLOOKUP(B294,'BD ASVICC'!$A$6:$BG$316,59,FALSE)</f>
        <v>PREPIRINEU-PIRINEU</v>
      </c>
      <c r="L294">
        <f>VLOOKUP(K294,'2. Incendis forestals'!$F$9:$G$11,2,FALSE)</f>
        <v>0.75</v>
      </c>
      <c r="M294">
        <f t="shared" si="20"/>
        <v>32.029792060999014</v>
      </c>
      <c r="N294">
        <f t="shared" si="24"/>
        <v>480.44688091498523</v>
      </c>
      <c r="O294" s="846">
        <f>N294*'2. Incendis forestals'!$C$52</f>
        <v>4797262.1059361277</v>
      </c>
      <c r="P294" s="846">
        <f t="shared" si="21"/>
        <v>3052803.1583229909</v>
      </c>
      <c r="Q294" s="854">
        <f>D294/VLOOKUP(C294,'BD Comarcal'!$A$5:$AX$17,21,FALSE)</f>
        <v>1.7828093670790301E-2</v>
      </c>
      <c r="R294">
        <f>VLOOKUP(C294,'BD Comarcal'!$A$5:$AX$17,50,FALSE)*Q294</f>
        <v>11.647197113090551</v>
      </c>
    </row>
    <row r="295" spans="1:18">
      <c r="A295">
        <v>8294</v>
      </c>
      <c r="B295" t="s">
        <v>1692</v>
      </c>
      <c r="C295" t="s">
        <v>24</v>
      </c>
      <c r="D295">
        <f>IFERROR(+VLOOKUP(B295,'BD ASVICC'!$A$6:$GQ$316,5,FALSE),"")</f>
        <v>1860</v>
      </c>
      <c r="E295">
        <f>IFERROR(+VLOOKUP($B295,'BD ASVICC'!$A$6:$GQ$316,113,FALSE),"")</f>
        <v>1.45</v>
      </c>
      <c r="F295">
        <f>IFERROR(+VLOOKUP($B295,'BD ASVICC'!$A$6:$GQ$316,114,FALSE),"")</f>
        <v>0</v>
      </c>
      <c r="G295">
        <f>IFERROR(+VLOOKUP($B295,'BD ASVICC'!$A$6:$GQ$316,115,FALSE),"")</f>
        <v>1.45</v>
      </c>
      <c r="H295">
        <f t="shared" si="22"/>
        <v>3.7843166571580333</v>
      </c>
      <c r="I295">
        <f t="shared" si="23"/>
        <v>56.764749857370504</v>
      </c>
      <c r="J295" s="846">
        <f>I295*'2. Incendis forestals'!$C$52</f>
        <v>566796.02732584451</v>
      </c>
      <c r="K295" t="str">
        <f>VLOOKUP(B295,'BD ASVICC'!$A$6:$BG$316,59,FALSE)</f>
        <v>LITORAL</v>
      </c>
      <c r="L295">
        <f>VLOOKUP(K295,'2. Incendis forestals'!$F$9:$G$11,2,FALSE)</f>
        <v>0.75</v>
      </c>
      <c r="M295">
        <f t="shared" si="20"/>
        <v>10.406870807184593</v>
      </c>
      <c r="N295">
        <f t="shared" si="24"/>
        <v>156.10306210776889</v>
      </c>
      <c r="O295" s="846">
        <f>N295*'2. Incendis forestals'!$C$52</f>
        <v>1558689.0751460723</v>
      </c>
      <c r="P295" s="846">
        <f t="shared" si="21"/>
        <v>991893.0478202278</v>
      </c>
      <c r="Q295" s="854">
        <f>D295/VLOOKUP(C295,'BD Comarcal'!$A$5:$AX$17,21,FALSE)</f>
        <v>3.6591843560032263E-2</v>
      </c>
      <c r="R295">
        <f>VLOOKUP(C295,'BD Comarcal'!$A$5:$AX$17,50,FALSE)*Q295</f>
        <v>3.7843166571580333</v>
      </c>
    </row>
    <row r="296" spans="1:18">
      <c r="A296">
        <v>8295</v>
      </c>
      <c r="B296" t="s">
        <v>1697</v>
      </c>
      <c r="C296" t="s">
        <v>90</v>
      </c>
      <c r="D296">
        <f>IFERROR(+VLOOKUP(B296,'BD ASVICC'!$A$6:$GQ$316,5,FALSE),"")</f>
        <v>1624</v>
      </c>
      <c r="E296">
        <f>IFERROR(+VLOOKUP($B296,'BD ASVICC'!$A$6:$GQ$316,113,FALSE),"")</f>
        <v>58.5</v>
      </c>
      <c r="F296">
        <f>IFERROR(+VLOOKUP($B296,'BD ASVICC'!$A$6:$GQ$316,114,FALSE),"")</f>
        <v>20</v>
      </c>
      <c r="G296">
        <f>IFERROR(+VLOOKUP($B296,'BD ASVICC'!$A$6:$GQ$316,115,FALSE),"")</f>
        <v>78.5</v>
      </c>
      <c r="H296">
        <f t="shared" si="22"/>
        <v>13.500984422005777</v>
      </c>
      <c r="I296">
        <f t="shared" si="23"/>
        <v>202.51476633008664</v>
      </c>
      <c r="J296" s="846">
        <f>I296*'2. Incendis forestals'!$C$52</f>
        <v>2022109.9418059152</v>
      </c>
      <c r="K296" t="str">
        <f>VLOOKUP(B296,'BD ASVICC'!$A$6:$BG$316,59,FALSE)</f>
        <v>LITORAL</v>
      </c>
      <c r="L296">
        <f>VLOOKUP(K296,'2. Incendis forestals'!$F$9:$G$11,2,FALSE)</f>
        <v>0.75</v>
      </c>
      <c r="M296">
        <f t="shared" si="20"/>
        <v>37.127707160515889</v>
      </c>
      <c r="N296">
        <f t="shared" si="24"/>
        <v>556.91560740773832</v>
      </c>
      <c r="O296" s="846">
        <f>N296*'2. Incendis forestals'!$C$52</f>
        <v>5560802.3399662673</v>
      </c>
      <c r="P296" s="846">
        <f t="shared" si="21"/>
        <v>3538692.3981603524</v>
      </c>
      <c r="Q296" s="854">
        <f>D296/VLOOKUP(C296,'BD Comarcal'!$A$5:$AX$17,21,FALSE)</f>
        <v>6.2480763311788243E-2</v>
      </c>
      <c r="R296">
        <f>VLOOKUP(C296,'BD Comarcal'!$A$5:$AX$17,50,FALSE)*Q296</f>
        <v>13.500984422005777</v>
      </c>
    </row>
    <row r="297" spans="1:18">
      <c r="A297">
        <v>8296</v>
      </c>
      <c r="B297" t="s">
        <v>1700</v>
      </c>
      <c r="C297" t="s">
        <v>24</v>
      </c>
      <c r="D297">
        <f>IFERROR(+VLOOKUP(B297,'BD ASVICC'!$A$6:$GQ$316,5,FALSE),"")</f>
        <v>878</v>
      </c>
      <c r="E297">
        <f>IFERROR(+VLOOKUP($B297,'BD ASVICC'!$A$6:$GQ$316,113,FALSE),"")</f>
        <v>2</v>
      </c>
      <c r="F297">
        <f>IFERROR(+VLOOKUP($B297,'BD ASVICC'!$A$6:$GQ$316,114,FALSE),"")</f>
        <v>0</v>
      </c>
      <c r="G297">
        <f>IFERROR(+VLOOKUP($B297,'BD ASVICC'!$A$6:$GQ$316,115,FALSE),"")</f>
        <v>2</v>
      </c>
      <c r="H297">
        <f t="shared" si="22"/>
        <v>1.7863602284864268</v>
      </c>
      <c r="I297">
        <f t="shared" si="23"/>
        <v>26.795403427296403</v>
      </c>
      <c r="J297" s="846">
        <f>I297*'2. Incendis forestals'!$C$52</f>
        <v>267552.1032215546</v>
      </c>
      <c r="K297" t="str">
        <f>VLOOKUP(B297,'BD ASVICC'!$A$6:$BG$316,59,FALSE)</f>
        <v>LITORAL</v>
      </c>
      <c r="L297">
        <f>VLOOKUP(K297,'2. Incendis forestals'!$F$9:$G$11,2,FALSE)</f>
        <v>0.75</v>
      </c>
      <c r="M297">
        <f t="shared" si="20"/>
        <v>4.9124906283376735</v>
      </c>
      <c r="N297">
        <f t="shared" si="24"/>
        <v>73.687359425065097</v>
      </c>
      <c r="O297" s="846">
        <f>N297*'2. Incendis forestals'!$C$52</f>
        <v>735768.28385927505</v>
      </c>
      <c r="P297" s="846">
        <f t="shared" si="21"/>
        <v>468216.18063772045</v>
      </c>
      <c r="Q297" s="854">
        <f>D297/VLOOKUP(C297,'BD Comarcal'!$A$5:$AX$17,21,FALSE)</f>
        <v>1.7272924003068995E-2</v>
      </c>
      <c r="R297">
        <f>VLOOKUP(C297,'BD Comarcal'!$A$5:$AX$17,50,FALSE)*Q297</f>
        <v>1.7863602284864268</v>
      </c>
    </row>
    <row r="298" spans="1:18">
      <c r="A298">
        <v>8297</v>
      </c>
      <c r="B298" t="s">
        <v>1702</v>
      </c>
      <c r="C298" t="s">
        <v>81</v>
      </c>
      <c r="D298">
        <f>IFERROR(+VLOOKUP(B298,'BD ASVICC'!$A$6:$GQ$316,5,FALSE),"")</f>
        <v>1839</v>
      </c>
      <c r="E298">
        <f>IFERROR(+VLOOKUP($B298,'BD ASVICC'!$A$6:$GQ$316,113,FALSE),"")</f>
        <v>2.9</v>
      </c>
      <c r="F298">
        <f>IFERROR(+VLOOKUP($B298,'BD ASVICC'!$A$6:$GQ$316,114,FALSE),"")</f>
        <v>8.9</v>
      </c>
      <c r="G298">
        <f>IFERROR(+VLOOKUP($B298,'BD ASVICC'!$A$6:$GQ$316,115,FALSE),"")</f>
        <v>11.8</v>
      </c>
      <c r="H298">
        <f t="shared" si="22"/>
        <v>20.301126277140682</v>
      </c>
      <c r="I298">
        <f t="shared" si="23"/>
        <v>304.51689415711024</v>
      </c>
      <c r="J298" s="846">
        <f>I298*'2. Incendis forestals'!$C$52</f>
        <v>3040601.1881587459</v>
      </c>
      <c r="K298" t="str">
        <f>VLOOKUP(B298,'BD ASVICC'!$A$6:$BG$316,59,FALSE)</f>
        <v>CENTRAL</v>
      </c>
      <c r="L298">
        <f>VLOOKUP(K298,'2. Incendis forestals'!$F$9:$G$11,2,FALSE)</f>
        <v>0.75</v>
      </c>
      <c r="M298">
        <f t="shared" si="20"/>
        <v>55.828097262136879</v>
      </c>
      <c r="N298">
        <f t="shared" si="24"/>
        <v>837.42145893205316</v>
      </c>
      <c r="O298" s="846">
        <f>N298*'2. Incendis forestals'!$C$52</f>
        <v>8361653.2674365509</v>
      </c>
      <c r="P298" s="846">
        <f t="shared" si="21"/>
        <v>5321052.0792778051</v>
      </c>
      <c r="Q298" s="854">
        <f>D298/VLOOKUP(C298,'BD Comarcal'!$A$5:$AX$17,21,FALSE)</f>
        <v>3.5256225915914187E-2</v>
      </c>
      <c r="R298">
        <f>VLOOKUP(C298,'BD Comarcal'!$A$5:$AX$17,50,FALSE)*Q298</f>
        <v>20.301126277140682</v>
      </c>
    </row>
    <row r="299" spans="1:18">
      <c r="A299">
        <v>8298</v>
      </c>
      <c r="B299" t="s">
        <v>815</v>
      </c>
      <c r="C299" t="s">
        <v>88</v>
      </c>
      <c r="D299">
        <f>IFERROR(+VLOOKUP(B299,'BD ASVICC'!$A$6:$GQ$316,5,FALSE),"")</f>
        <v>508</v>
      </c>
      <c r="E299">
        <f>IFERROR(+VLOOKUP($B299,'BD ASVICC'!$A$6:$GQ$316,113,FALSE),"")</f>
        <v>0</v>
      </c>
      <c r="F299">
        <f>IFERROR(+VLOOKUP($B299,'BD ASVICC'!$A$6:$GQ$316,114,FALSE),"")</f>
        <v>0</v>
      </c>
      <c r="G299">
        <f>IFERROR(+VLOOKUP($B299,'BD ASVICC'!$A$6:$GQ$316,115,FALSE),"")</f>
        <v>0</v>
      </c>
      <c r="H299">
        <f t="shared" si="22"/>
        <v>0.39510826667697541</v>
      </c>
      <c r="I299">
        <f t="shared" si="23"/>
        <v>5.9266240001546313</v>
      </c>
      <c r="J299" s="846">
        <f>I299*'2. Incendis forestals'!$C$52</f>
        <v>59177.340641543997</v>
      </c>
      <c r="K299" t="str">
        <f>VLOOKUP(B299,'BD ASVICC'!$A$6:$BG$316,59,FALSE)</f>
        <v>CENTRAL</v>
      </c>
      <c r="L299">
        <f>VLOOKUP(K299,'2. Incendis forestals'!$F$9:$G$11,2,FALSE)</f>
        <v>0.75</v>
      </c>
      <c r="M299">
        <f t="shared" si="20"/>
        <v>1.0865477333616824</v>
      </c>
      <c r="N299">
        <f t="shared" si="24"/>
        <v>16.298216000425235</v>
      </c>
      <c r="O299" s="846">
        <f>N299*'2. Incendis forestals'!$C$52</f>
        <v>162737.68676424597</v>
      </c>
      <c r="P299" s="846">
        <f t="shared" si="21"/>
        <v>103560.34612270197</v>
      </c>
      <c r="Q299" s="854">
        <f>D299/VLOOKUP(C299,'BD Comarcal'!$A$5:$AX$17,21,FALSE)</f>
        <v>5.4355967386419566E-3</v>
      </c>
      <c r="R299">
        <f>VLOOKUP(C299,'BD Comarcal'!$A$5:$AX$17,50,FALSE)*Q299</f>
        <v>0.39510826667697541</v>
      </c>
    </row>
    <row r="300" spans="1:18">
      <c r="A300">
        <v>8299</v>
      </c>
      <c r="B300" t="s">
        <v>1708</v>
      </c>
      <c r="C300" t="s">
        <v>84</v>
      </c>
      <c r="D300">
        <f>IFERROR(+VLOOKUP(B300,'BD ASVICC'!$A$6:$GQ$316,5,FALSE),"")</f>
        <v>1884</v>
      </c>
      <c r="E300">
        <f>IFERROR(+VLOOKUP($B300,'BD ASVICC'!$A$6:$GQ$316,113,FALSE),"")</f>
        <v>0</v>
      </c>
      <c r="F300">
        <f>IFERROR(+VLOOKUP($B300,'BD ASVICC'!$A$6:$GQ$316,114,FALSE),"")</f>
        <v>0</v>
      </c>
      <c r="G300">
        <f>IFERROR(+VLOOKUP($B300,'BD ASVICC'!$A$6:$GQ$316,115,FALSE),"")</f>
        <v>0</v>
      </c>
      <c r="H300">
        <f t="shared" si="22"/>
        <v>11.641018228680423</v>
      </c>
      <c r="I300">
        <f t="shared" si="23"/>
        <v>174.61527343020634</v>
      </c>
      <c r="J300" s="846">
        <f>I300*'2. Incendis forestals'!$C$52</f>
        <v>1743533.5052006103</v>
      </c>
      <c r="K300" t="str">
        <f>VLOOKUP(B300,'BD ASVICC'!$A$6:$BG$316,59,FALSE)</f>
        <v>PREPIRINEU-PIRINEU</v>
      </c>
      <c r="L300">
        <f>VLOOKUP(K300,'2. Incendis forestals'!$F$9:$G$11,2,FALSE)</f>
        <v>0.75</v>
      </c>
      <c r="M300">
        <f t="shared" si="20"/>
        <v>32.012800128871163</v>
      </c>
      <c r="N300">
        <f t="shared" si="24"/>
        <v>480.19200193306744</v>
      </c>
      <c r="O300" s="846">
        <f>N300*'2. Incendis forestals'!$C$52</f>
        <v>4794717.1393016782</v>
      </c>
      <c r="P300" s="846">
        <f t="shared" si="21"/>
        <v>3051183.6341010677</v>
      </c>
      <c r="Q300" s="854">
        <f>D300/VLOOKUP(C300,'BD Comarcal'!$A$5:$AX$17,21,FALSE)</f>
        <v>1.7818635796163888E-2</v>
      </c>
      <c r="R300">
        <f>VLOOKUP(C300,'BD Comarcal'!$A$5:$AX$17,50,FALSE)*Q300</f>
        <v>11.641018228680423</v>
      </c>
    </row>
    <row r="301" spans="1:18">
      <c r="A301">
        <v>8300</v>
      </c>
      <c r="B301" t="s">
        <v>1710</v>
      </c>
      <c r="C301" t="s">
        <v>89</v>
      </c>
      <c r="D301">
        <f>IFERROR(+VLOOKUP(B301,'BD ASVICC'!$A$6:$GQ$316,5,FALSE),"")</f>
        <v>1460</v>
      </c>
      <c r="E301">
        <f>IFERROR(+VLOOKUP($B301,'BD ASVICC'!$A$6:$GQ$316,113,FALSE),"")</f>
        <v>3.5</v>
      </c>
      <c r="F301">
        <f>IFERROR(+VLOOKUP($B301,'BD ASVICC'!$A$6:$GQ$316,114,FALSE),"")</f>
        <v>7.82</v>
      </c>
      <c r="G301">
        <f>IFERROR(+VLOOKUP($B301,'BD ASVICC'!$A$6:$GQ$316,115,FALSE),"")</f>
        <v>11.32</v>
      </c>
      <c r="H301">
        <f t="shared" si="22"/>
        <v>11.660878208501432</v>
      </c>
      <c r="I301">
        <f t="shared" si="23"/>
        <v>174.91317312752147</v>
      </c>
      <c r="J301" s="846">
        <f>I301*'2. Incendis forestals'!$C$52</f>
        <v>1746508.0336783018</v>
      </c>
      <c r="K301" t="str">
        <f>VLOOKUP(B301,'BD ASVICC'!$A$6:$BG$316,59,FALSE)</f>
        <v>LITORAL</v>
      </c>
      <c r="L301">
        <f>VLOOKUP(K301,'2. Incendis forestals'!$F$9:$G$11,2,FALSE)</f>
        <v>0.75</v>
      </c>
      <c r="M301">
        <f t="shared" si="20"/>
        <v>32.067415073378939</v>
      </c>
      <c r="N301">
        <f t="shared" si="24"/>
        <v>481.0112261006841</v>
      </c>
      <c r="O301" s="846">
        <f>N301*'2. Incendis forestals'!$C$52</f>
        <v>4802897.0926153306</v>
      </c>
      <c r="P301" s="846">
        <f t="shared" si="21"/>
        <v>3056389.058937029</v>
      </c>
      <c r="Q301" s="854">
        <f>D301/VLOOKUP(C301,'BD Comarcal'!$A$5:$AX$17,21,FALSE)</f>
        <v>4.2682570309302462E-2</v>
      </c>
      <c r="R301">
        <f>VLOOKUP(C301,'BD Comarcal'!$A$5:$AX$17,50,FALSE)*Q301</f>
        <v>11.660878208501432</v>
      </c>
    </row>
    <row r="302" spans="1:18">
      <c r="A302">
        <v>8301</v>
      </c>
      <c r="B302" t="s">
        <v>357</v>
      </c>
      <c r="C302" t="s">
        <v>90</v>
      </c>
      <c r="D302">
        <f>IFERROR(+VLOOKUP(B302,'BD ASVICC'!$A$6:$GQ$316,5,FALSE),"")</f>
        <v>476</v>
      </c>
      <c r="E302">
        <f>IFERROR(+VLOOKUP($B302,'BD ASVICC'!$A$6:$GQ$316,113,FALSE),"")</f>
        <v>18.77</v>
      </c>
      <c r="F302">
        <f>IFERROR(+VLOOKUP($B302,'BD ASVICC'!$A$6:$GQ$316,114,FALSE),"")</f>
        <v>128.648</v>
      </c>
      <c r="G302">
        <f>IFERROR(+VLOOKUP($B302,'BD ASVICC'!$A$6:$GQ$316,115,FALSE),"")</f>
        <v>147.41799999999998</v>
      </c>
      <c r="H302">
        <f t="shared" si="22"/>
        <v>3.9571850892085898</v>
      </c>
      <c r="I302">
        <f t="shared" si="23"/>
        <v>59.357776338128843</v>
      </c>
      <c r="J302" s="846">
        <f>I302*'2. Incendis forestals'!$C$52</f>
        <v>592687.3967362165</v>
      </c>
      <c r="K302" t="str">
        <f>VLOOKUP(B302,'BD ASVICC'!$A$6:$BG$316,59,FALSE)</f>
        <v>LITORAL</v>
      </c>
      <c r="L302">
        <f>VLOOKUP(K302,'2. Incendis forestals'!$F$9:$G$11,2,FALSE)</f>
        <v>0.75</v>
      </c>
      <c r="M302">
        <f t="shared" si="20"/>
        <v>10.882258995323621</v>
      </c>
      <c r="N302">
        <f t="shared" si="24"/>
        <v>163.23388492985433</v>
      </c>
      <c r="O302" s="846">
        <f>N302*'2. Incendis forestals'!$C$52</f>
        <v>1629890.3410245955</v>
      </c>
      <c r="P302" s="846">
        <f t="shared" si="21"/>
        <v>1037202.944288379</v>
      </c>
      <c r="Q302" s="854">
        <f>D302/VLOOKUP(C302,'BD Comarcal'!$A$5:$AX$17,21,FALSE)</f>
        <v>1.8313327177593104E-2</v>
      </c>
      <c r="R302">
        <f>VLOOKUP(C302,'BD Comarcal'!$A$5:$AX$17,50,FALSE)*Q302</f>
        <v>3.9571850892085898</v>
      </c>
    </row>
    <row r="303" spans="1:18">
      <c r="A303">
        <v>8302</v>
      </c>
      <c r="B303" t="s">
        <v>1718</v>
      </c>
      <c r="C303" t="s">
        <v>81</v>
      </c>
      <c r="D303">
        <f>IFERROR(+VLOOKUP(B303,'BD ASVICC'!$A$6:$GQ$316,5,FALSE),"")</f>
        <v>492</v>
      </c>
      <c r="E303">
        <f>IFERROR(+VLOOKUP($B303,'BD ASVICC'!$A$6:$GQ$316,113,FALSE),"")</f>
        <v>0</v>
      </c>
      <c r="F303">
        <f>IFERROR(+VLOOKUP($B303,'BD ASVICC'!$A$6:$GQ$316,114,FALSE),"")</f>
        <v>2</v>
      </c>
      <c r="G303">
        <f>IFERROR(+VLOOKUP($B303,'BD ASVICC'!$A$6:$GQ$316,115,FALSE),"")</f>
        <v>2</v>
      </c>
      <c r="H303">
        <f t="shared" si="22"/>
        <v>5.4312964265107215</v>
      </c>
      <c r="I303">
        <f t="shared" si="23"/>
        <v>81.469446397660818</v>
      </c>
      <c r="J303" s="846">
        <f>I303*'2. Incendis forestals'!$C$52</f>
        <v>813472.42228064325</v>
      </c>
      <c r="K303" t="str">
        <f>VLOOKUP(B303,'BD ASVICC'!$A$6:$BG$316,59,FALSE)</f>
        <v>CENTRAL</v>
      </c>
      <c r="L303">
        <f>VLOOKUP(K303,'2. Incendis forestals'!$F$9:$G$11,2,FALSE)</f>
        <v>0.75</v>
      </c>
      <c r="M303">
        <f t="shared" si="20"/>
        <v>14.936065172904485</v>
      </c>
      <c r="N303">
        <f t="shared" si="24"/>
        <v>224.04097759356728</v>
      </c>
      <c r="O303" s="846">
        <f>N303*'2. Incendis forestals'!$C$52</f>
        <v>2237049.1612717691</v>
      </c>
      <c r="P303" s="846">
        <f t="shared" si="21"/>
        <v>1423576.738991126</v>
      </c>
      <c r="Q303" s="854">
        <f>D303/VLOOKUP(C303,'BD Comarcal'!$A$5:$AX$17,21,FALSE)</f>
        <v>9.4323345027894408E-3</v>
      </c>
      <c r="R303">
        <f>VLOOKUP(C303,'BD Comarcal'!$A$5:$AX$17,50,FALSE)*Q303</f>
        <v>5.4312964265107215</v>
      </c>
    </row>
    <row r="304" spans="1:18">
      <c r="A304">
        <v>8303</v>
      </c>
      <c r="B304" t="s">
        <v>1722</v>
      </c>
      <c r="C304" t="s">
        <v>88</v>
      </c>
      <c r="D304">
        <f>IFERROR(+VLOOKUP(B304,'BD ASVICC'!$A$6:$GQ$316,5,FALSE),"")</f>
        <v>5125</v>
      </c>
      <c r="E304">
        <f>IFERROR(+VLOOKUP($B304,'BD ASVICC'!$A$6:$GQ$316,113,FALSE),"")</f>
        <v>7</v>
      </c>
      <c r="F304">
        <f>IFERROR(+VLOOKUP($B304,'BD ASVICC'!$A$6:$GQ$316,114,FALSE),"")</f>
        <v>0</v>
      </c>
      <c r="G304">
        <f>IFERROR(+VLOOKUP($B304,'BD ASVICC'!$A$6:$GQ$316,115,FALSE),"")</f>
        <v>7</v>
      </c>
      <c r="H304">
        <f t="shared" si="22"/>
        <v>3.9860824148021634</v>
      </c>
      <c r="I304">
        <f t="shared" si="23"/>
        <v>59.791236222032452</v>
      </c>
      <c r="J304" s="846">
        <f>I304*'2. Incendis forestals'!$C$52</f>
        <v>597015.493676994</v>
      </c>
      <c r="K304" t="str">
        <f>VLOOKUP(B304,'BD ASVICC'!$A$6:$BG$316,59,FALSE)</f>
        <v>CENTRAL</v>
      </c>
      <c r="L304">
        <f>VLOOKUP(K304,'2. Incendis forestals'!$F$9:$G$11,2,FALSE)</f>
        <v>0.75</v>
      </c>
      <c r="M304">
        <f t="shared" si="20"/>
        <v>10.961726640705949</v>
      </c>
      <c r="N304">
        <f t="shared" si="24"/>
        <v>164.42589961058923</v>
      </c>
      <c r="O304" s="846">
        <f>N304*'2. Incendis forestals'!$C$52</f>
        <v>1641792.6076117335</v>
      </c>
      <c r="P304" s="846">
        <f t="shared" si="21"/>
        <v>1044777.1139347395</v>
      </c>
      <c r="Q304" s="854">
        <f>D304/VLOOKUP(C304,'BD Comarcal'!$A$5:$AX$17,21,FALSE)</f>
        <v>5.4837467097519743E-2</v>
      </c>
      <c r="R304">
        <f>VLOOKUP(C304,'BD Comarcal'!$A$5:$AX$17,50,FALSE)*Q304</f>
        <v>3.9860824148021634</v>
      </c>
    </row>
    <row r="305" spans="1:18">
      <c r="A305">
        <v>8304</v>
      </c>
      <c r="B305" t="s">
        <v>1728</v>
      </c>
      <c r="C305" t="s">
        <v>791</v>
      </c>
      <c r="D305">
        <f>IFERROR(+VLOOKUP(B305,'BD ASVICC'!$A$6:$GQ$316,5,FALSE),"")</f>
        <v>52</v>
      </c>
      <c r="E305">
        <f>IFERROR(+VLOOKUP($B305,'BD ASVICC'!$A$6:$GQ$316,113,FALSE),"")</f>
        <v>0</v>
      </c>
      <c r="F305">
        <f>IFERROR(+VLOOKUP($B305,'BD ASVICC'!$A$6:$GQ$316,114,FALSE),"")</f>
        <v>0</v>
      </c>
      <c r="G305">
        <f>IFERROR(+VLOOKUP($B305,'BD ASVICC'!$A$6:$GQ$316,115,FALSE),"")</f>
        <v>0</v>
      </c>
      <c r="H305">
        <f t="shared" si="22"/>
        <v>0.37836782239420358</v>
      </c>
      <c r="I305">
        <f t="shared" si="23"/>
        <v>5.675517335913054</v>
      </c>
      <c r="J305" s="846">
        <f>I305*'2. Incendis forestals'!$C$52</f>
        <v>56670.040599091844</v>
      </c>
      <c r="K305" t="str">
        <f>VLOOKUP(B305,'BD ASVICC'!$A$6:$BG$316,59,FALSE)</f>
        <v>LITORAL</v>
      </c>
      <c r="L305">
        <f>VLOOKUP(K305,'2. Incendis forestals'!$F$9:$G$11,2,FALSE)</f>
        <v>0.75</v>
      </c>
      <c r="M305">
        <f t="shared" si="20"/>
        <v>1.0405115115840597</v>
      </c>
      <c r="N305">
        <f t="shared" si="24"/>
        <v>15.607672673760897</v>
      </c>
      <c r="O305" s="846">
        <f>N305*'2. Incendis forestals'!$C$52</f>
        <v>155842.61164750255</v>
      </c>
      <c r="P305" s="846">
        <f t="shared" si="21"/>
        <v>99172.571048410697</v>
      </c>
      <c r="Q305" s="854">
        <f>D305/VLOOKUP(C305,'BD Comarcal'!$A$5:$AX$17,21,FALSE)</f>
        <v>1.6932043893067631E-3</v>
      </c>
      <c r="R305">
        <f>VLOOKUP(C305,'BD Comarcal'!$A$5:$AX$17,50,FALSE)*Q305</f>
        <v>0.37836782239420358</v>
      </c>
    </row>
    <row r="306" spans="1:18">
      <c r="A306">
        <v>8305</v>
      </c>
      <c r="B306" t="s">
        <v>1729</v>
      </c>
      <c r="C306" t="s">
        <v>791</v>
      </c>
      <c r="D306">
        <f>IFERROR(+VLOOKUP(B306,'BD ASVICC'!$A$6:$GQ$316,5,FALSE),"")</f>
        <v>87</v>
      </c>
      <c r="E306">
        <f>IFERROR(+VLOOKUP($B306,'BD ASVICC'!$A$6:$GQ$316,113,FALSE),"")</f>
        <v>0</v>
      </c>
      <c r="F306">
        <f>IFERROR(+VLOOKUP($B306,'BD ASVICC'!$A$6:$GQ$316,114,FALSE),"")</f>
        <v>0</v>
      </c>
      <c r="G306">
        <f>IFERROR(+VLOOKUP($B306,'BD ASVICC'!$A$6:$GQ$316,115,FALSE),"")</f>
        <v>0</v>
      </c>
      <c r="H306">
        <f t="shared" si="22"/>
        <v>0.63303847208260988</v>
      </c>
      <c r="I306">
        <f t="shared" si="23"/>
        <v>9.4955770812391478</v>
      </c>
      <c r="J306" s="846">
        <f>I306*'2. Incendis forestals'!$C$52</f>
        <v>94813.337156172885</v>
      </c>
      <c r="K306" t="str">
        <f>VLOOKUP(B306,'BD ASVICC'!$A$6:$BG$316,59,FALSE)</f>
        <v>CENTRAL</v>
      </c>
      <c r="L306">
        <f>VLOOKUP(K306,'2. Incendis forestals'!$F$9:$G$11,2,FALSE)</f>
        <v>0.75</v>
      </c>
      <c r="M306">
        <f t="shared" si="20"/>
        <v>1.7408557982271771</v>
      </c>
      <c r="N306">
        <f t="shared" si="24"/>
        <v>26.112836973407656</v>
      </c>
      <c r="O306" s="846">
        <f>N306*'2. Incendis forestals'!$C$52</f>
        <v>260736.67717947546</v>
      </c>
      <c r="P306" s="846">
        <f t="shared" si="21"/>
        <v>165923.34002330259</v>
      </c>
      <c r="Q306" s="854">
        <f>D306/VLOOKUP(C306,'BD Comarcal'!$A$5:$AX$17,21,FALSE)</f>
        <v>2.8328611898016999E-3</v>
      </c>
      <c r="R306">
        <f>VLOOKUP(C306,'BD Comarcal'!$A$5:$AX$17,50,FALSE)*Q306</f>
        <v>0.63303847208260988</v>
      </c>
    </row>
    <row r="307" spans="1:18">
      <c r="A307">
        <v>8306</v>
      </c>
      <c r="B307" t="s">
        <v>1730</v>
      </c>
      <c r="C307" t="s">
        <v>24</v>
      </c>
      <c r="D307">
        <f>IFERROR(+VLOOKUP(B307,'BD ASVICC'!$A$6:$GQ$316,5,FALSE),"")</f>
        <v>501</v>
      </c>
      <c r="E307">
        <f>IFERROR(+VLOOKUP($B307,'BD ASVICC'!$A$6:$GQ$316,113,FALSE),"")</f>
        <v>0</v>
      </c>
      <c r="F307">
        <f>IFERROR(+VLOOKUP($B307,'BD ASVICC'!$A$6:$GQ$316,114,FALSE),"")</f>
        <v>0</v>
      </c>
      <c r="G307">
        <f>IFERROR(+VLOOKUP($B307,'BD ASVICC'!$A$6:$GQ$316,115,FALSE),"")</f>
        <v>0</v>
      </c>
      <c r="H307">
        <f t="shared" si="22"/>
        <v>1.0193240028151478</v>
      </c>
      <c r="I307">
        <f t="shared" si="23"/>
        <v>15.289860042227216</v>
      </c>
      <c r="J307" s="846">
        <f>I307*'2. Incendis forestals'!$C$52</f>
        <v>152669.25252163876</v>
      </c>
      <c r="K307" t="str">
        <f>VLOOKUP(B307,'BD ASVICC'!$A$6:$BG$316,59,FALSE)</f>
        <v>CENTRAL</v>
      </c>
      <c r="L307">
        <f>VLOOKUP(K307,'2. Incendis forestals'!$F$9:$G$11,2,FALSE)</f>
        <v>0.75</v>
      </c>
      <c r="M307">
        <f t="shared" si="20"/>
        <v>2.8031410077416563</v>
      </c>
      <c r="N307">
        <f t="shared" si="24"/>
        <v>42.047115116124843</v>
      </c>
      <c r="O307" s="846">
        <f>N307*'2. Incendis forestals'!$C$52</f>
        <v>419840.44443450653</v>
      </c>
      <c r="P307" s="846">
        <f t="shared" si="21"/>
        <v>267171.19191286777</v>
      </c>
      <c r="Q307" s="854">
        <f>D307/VLOOKUP(C307,'BD Comarcal'!$A$5:$AX$17,21,FALSE)</f>
        <v>9.8561901202022396E-3</v>
      </c>
      <c r="R307">
        <f>VLOOKUP(C307,'BD Comarcal'!$A$5:$AX$17,50,FALSE)*Q307</f>
        <v>1.0193240028151478</v>
      </c>
    </row>
    <row r="308" spans="1:18">
      <c r="A308">
        <v>8307</v>
      </c>
      <c r="B308" t="s">
        <v>358</v>
      </c>
      <c r="C308" t="s">
        <v>85</v>
      </c>
      <c r="D308">
        <f>IFERROR(+VLOOKUP(B308,'BD ASVICC'!$A$6:$GQ$316,5,FALSE),"")</f>
        <v>1299</v>
      </c>
      <c r="E308">
        <f>IFERROR(+VLOOKUP($B308,'BD ASVICC'!$A$6:$GQ$316,113,FALSE),"")</f>
        <v>0</v>
      </c>
      <c r="F308">
        <f>IFERROR(+VLOOKUP($B308,'BD ASVICC'!$A$6:$GQ$316,114,FALSE),"")</f>
        <v>0</v>
      </c>
      <c r="G308">
        <f>IFERROR(+VLOOKUP($B308,'BD ASVICC'!$A$6:$GQ$316,115,FALSE),"")</f>
        <v>0</v>
      </c>
      <c r="H308">
        <f t="shared" si="22"/>
        <v>16.555285443791394</v>
      </c>
      <c r="I308">
        <f t="shared" si="23"/>
        <v>248.3292816568709</v>
      </c>
      <c r="J308" s="846">
        <f>I308*'2. Incendis forestals'!$C$52</f>
        <v>2479567.8773438558</v>
      </c>
      <c r="K308" t="str">
        <f>VLOOKUP(B308,'BD ASVICC'!$A$6:$BG$316,59,FALSE)</f>
        <v>LITORAL</v>
      </c>
      <c r="L308">
        <f>VLOOKUP(K308,'2. Incendis forestals'!$F$9:$G$11,2,FALSE)</f>
        <v>0.75</v>
      </c>
      <c r="M308">
        <f t="shared" si="20"/>
        <v>45.527034970426335</v>
      </c>
      <c r="N308">
        <f t="shared" si="24"/>
        <v>682.90552455639499</v>
      </c>
      <c r="O308" s="846">
        <f>N308*'2. Incendis forestals'!$C$52</f>
        <v>6818811.6626956044</v>
      </c>
      <c r="P308" s="846">
        <f t="shared" si="21"/>
        <v>4339243.7853517486</v>
      </c>
      <c r="Q308" s="854">
        <f>D308/VLOOKUP(C308,'BD Comarcal'!$A$5:$AX$17,21,FALSE)</f>
        <v>0.1072401552051515</v>
      </c>
      <c r="R308">
        <f>VLOOKUP(C308,'BD Comarcal'!$A$5:$AX$17,50,FALSE)*Q308</f>
        <v>16.555285443791394</v>
      </c>
    </row>
    <row r="309" spans="1:18">
      <c r="A309">
        <v>8308</v>
      </c>
      <c r="B309" t="s">
        <v>1737</v>
      </c>
      <c r="C309" t="s">
        <v>84</v>
      </c>
      <c r="D309">
        <f>IFERROR(+VLOOKUP(B309,'BD ASVICC'!$A$6:$GQ$316,5,FALSE),"")</f>
        <v>5297</v>
      </c>
      <c r="E309">
        <f>IFERROR(+VLOOKUP($B309,'BD ASVICC'!$A$6:$GQ$316,113,FALSE),"")</f>
        <v>4.33</v>
      </c>
      <c r="F309">
        <f>IFERROR(+VLOOKUP($B309,'BD ASVICC'!$A$6:$GQ$316,114,FALSE),"")</f>
        <v>14.38</v>
      </c>
      <c r="G309">
        <f>IFERROR(+VLOOKUP($B309,'BD ASVICC'!$A$6:$GQ$316,115,FALSE),"")</f>
        <v>18.71</v>
      </c>
      <c r="H309">
        <f t="shared" si="22"/>
        <v>32.729550720445964</v>
      </c>
      <c r="I309">
        <f t="shared" si="23"/>
        <v>490.94326080668947</v>
      </c>
      <c r="J309" s="846">
        <f>I309*'2. Incendis forestals'!$C$52</f>
        <v>4902068.459154794</v>
      </c>
      <c r="K309" t="str">
        <f>VLOOKUP(B309,'BD ASVICC'!$A$6:$BG$316,59,FALSE)</f>
        <v>PREPIRINEU-PIRINEU</v>
      </c>
      <c r="L309">
        <f>VLOOKUP(K309,'2. Incendis forestals'!$F$9:$G$11,2,FALSE)</f>
        <v>0.75</v>
      </c>
      <c r="M309">
        <f t="shared" si="20"/>
        <v>90.006264481226395</v>
      </c>
      <c r="N309">
        <f t="shared" si="24"/>
        <v>1350.0939672183958</v>
      </c>
      <c r="O309" s="846">
        <f>N309*'2. Incendis forestals'!$C$52</f>
        <v>13480688.262675682</v>
      </c>
      <c r="P309" s="846">
        <f t="shared" si="21"/>
        <v>8578619.8035208881</v>
      </c>
      <c r="Q309" s="854">
        <f>D309/VLOOKUP(C309,'BD Comarcal'!$A$5:$AX$17,21,FALSE)</f>
        <v>5.0098361896114704E-2</v>
      </c>
      <c r="R309">
        <f>VLOOKUP(C309,'BD Comarcal'!$A$5:$AX$17,50,FALSE)*Q309</f>
        <v>32.729550720445964</v>
      </c>
    </row>
    <row r="310" spans="1:18">
      <c r="A310">
        <v>8901</v>
      </c>
      <c r="B310" t="s">
        <v>1742</v>
      </c>
      <c r="C310" t="s">
        <v>88</v>
      </c>
      <c r="D310">
        <f>IFERROR(+VLOOKUP(B310,'BD ASVICC'!$A$6:$GQ$316,5,FALSE),"")</f>
        <v>3703</v>
      </c>
      <c r="E310">
        <f>IFERROR(+VLOOKUP($B310,'BD ASVICC'!$A$6:$GQ$316,113,FALSE),"")</f>
        <v>0</v>
      </c>
      <c r="F310">
        <f>IFERROR(+VLOOKUP($B310,'BD ASVICC'!$A$6:$GQ$316,114,FALSE),"")</f>
        <v>0</v>
      </c>
      <c r="G310">
        <f>IFERROR(+VLOOKUP($B310,'BD ASVICC'!$A$6:$GQ$316,115,FALSE),"")</f>
        <v>0</v>
      </c>
      <c r="H310">
        <f t="shared" si="22"/>
        <v>2.8800903769780315</v>
      </c>
      <c r="I310">
        <f t="shared" si="23"/>
        <v>43.201355654670472</v>
      </c>
      <c r="J310" s="846">
        <f>I310*'2. Incendis forestals'!$C$52</f>
        <v>431365.53621188464</v>
      </c>
      <c r="K310" t="str">
        <f>VLOOKUP(B310,'BD ASVICC'!$A$6:$BG$316,59,FALSE)</f>
        <v>PREPIRINEU-PIRINEU</v>
      </c>
      <c r="L310">
        <f>VLOOKUP(K310,'2. Incendis forestals'!$F$9:$G$11,2,FALSE)</f>
        <v>0.75</v>
      </c>
      <c r="M310">
        <f t="shared" si="20"/>
        <v>7.9202485366895861</v>
      </c>
      <c r="N310">
        <f t="shared" si="24"/>
        <v>118.80372805034379</v>
      </c>
      <c r="O310" s="846">
        <f>N310*'2. Incendis forestals'!$C$52</f>
        <v>1186255.2245826828</v>
      </c>
      <c r="P310" s="846">
        <f t="shared" si="21"/>
        <v>754889.68837079825</v>
      </c>
      <c r="Q310" s="854">
        <f>D310/VLOOKUP(C310,'BD Comarcal'!$A$5:$AX$17,21,FALSE)</f>
        <v>3.9622076226754267E-2</v>
      </c>
      <c r="R310">
        <f>VLOOKUP(C310,'BD Comarcal'!$A$5:$AX$17,50,FALSE)*Q310</f>
        <v>2.8800903769780315</v>
      </c>
    </row>
    <row r="311" spans="1:18">
      <c r="A311">
        <v>8902</v>
      </c>
      <c r="B311" t="s">
        <v>1743</v>
      </c>
      <c r="C311" t="s">
        <v>24</v>
      </c>
      <c r="D311">
        <f>IFERROR(+VLOOKUP(B311,'BD ASVICC'!$A$6:$GQ$316,5,FALSE),"")</f>
        <v>820</v>
      </c>
      <c r="E311">
        <f>IFERROR(+VLOOKUP($B311,'BD ASVICC'!$A$6:$GQ$316,113,FALSE),"")</f>
        <v>0</v>
      </c>
      <c r="F311">
        <f>IFERROR(+VLOOKUP($B311,'BD ASVICC'!$A$6:$GQ$316,114,FALSE),"")</f>
        <v>0</v>
      </c>
      <c r="G311">
        <f>IFERROR(+VLOOKUP($B311,'BD ASVICC'!$A$6:$GQ$316,115,FALSE),"")</f>
        <v>0</v>
      </c>
      <c r="H311">
        <f t="shared" si="22"/>
        <v>1.6683546553062298</v>
      </c>
      <c r="I311">
        <f t="shared" si="23"/>
        <v>25.025319829593446</v>
      </c>
      <c r="J311" s="846">
        <f>I311*'2. Incendis forestals'!$C$52</f>
        <v>249877.81849849055</v>
      </c>
      <c r="K311" t="str">
        <f>VLOOKUP(B311,'BD ASVICC'!$A$6:$BG$316,59,FALSE)</f>
        <v>LITORAL</v>
      </c>
      <c r="L311">
        <f>VLOOKUP(K311,'2. Incendis forestals'!$F$9:$G$11,2,FALSE)</f>
        <v>0.75</v>
      </c>
      <c r="M311">
        <f t="shared" si="20"/>
        <v>4.5879753020921319</v>
      </c>
      <c r="N311">
        <f t="shared" si="24"/>
        <v>68.819629531381977</v>
      </c>
      <c r="O311" s="846">
        <f>N311*'2. Incendis forestals'!$C$52</f>
        <v>687164.00087084901</v>
      </c>
      <c r="P311" s="846">
        <f t="shared" si="21"/>
        <v>437286.18237235845</v>
      </c>
      <c r="Q311" s="854">
        <f>D311/VLOOKUP(C311,'BD Comarcal'!$A$5:$AX$17,21,FALSE)</f>
        <v>1.6131888021089492E-2</v>
      </c>
      <c r="R311">
        <f>VLOOKUP(C311,'BD Comarcal'!$A$5:$AX$17,50,FALSE)*Q311</f>
        <v>1.6683546553062298</v>
      </c>
    </row>
    <row r="312" spans="1:18">
      <c r="A312">
        <v>8903</v>
      </c>
      <c r="B312" t="s">
        <v>1746</v>
      </c>
      <c r="C312" t="s">
        <v>84</v>
      </c>
      <c r="D312">
        <f>IFERROR(+VLOOKUP(B312,'BD ASVICC'!$A$6:$GQ$316,5,FALSE),"")</f>
        <v>938</v>
      </c>
      <c r="E312">
        <f>IFERROR(+VLOOKUP($B312,'BD ASVICC'!$A$6:$GQ$316,113,FALSE),"")</f>
        <v>0</v>
      </c>
      <c r="F312">
        <f>IFERROR(+VLOOKUP($B312,'BD ASVICC'!$A$6:$GQ$316,114,FALSE),"")</f>
        <v>0</v>
      </c>
      <c r="G312">
        <f>IFERROR(+VLOOKUP($B312,'BD ASVICC'!$A$6:$GQ$316,115,FALSE),"")</f>
        <v>0</v>
      </c>
      <c r="H312">
        <f t="shared" si="22"/>
        <v>5.7957935766997002</v>
      </c>
      <c r="I312">
        <f t="shared" si="23"/>
        <v>86.936903650495509</v>
      </c>
      <c r="J312" s="846">
        <f>I312*'2. Incendis forestals'!$C$52</f>
        <v>868064.98295019765</v>
      </c>
      <c r="K312" t="str">
        <f>VLOOKUP(B312,'BD ASVICC'!$A$6:$BG$316,59,FALSE)</f>
        <v>PREPIRINEU-PIRINEU</v>
      </c>
      <c r="L312">
        <f>VLOOKUP(K312,'2. Incendis forestals'!$F$9:$G$11,2,FALSE)</f>
        <v>0.75</v>
      </c>
      <c r="M312">
        <f t="shared" si="20"/>
        <v>15.938432335924176</v>
      </c>
      <c r="N312">
        <f t="shared" si="24"/>
        <v>239.07648503886264</v>
      </c>
      <c r="O312" s="846">
        <f>N312*'2. Incendis forestals'!$C$52</f>
        <v>2387178.7031130437</v>
      </c>
      <c r="P312" s="846">
        <f t="shared" si="21"/>
        <v>1519113.7201628461</v>
      </c>
      <c r="Q312" s="854">
        <f>D312/VLOOKUP(C312,'BD Comarcal'!$A$5:$AX$17,21,FALSE)</f>
        <v>8.8714863995762866E-3</v>
      </c>
      <c r="R312">
        <f>VLOOKUP(C312,'BD Comarcal'!$A$5:$AX$17,50,FALSE)*Q312</f>
        <v>5.7957935766997002</v>
      </c>
    </row>
    <row r="313" spans="1:18">
      <c r="A313">
        <v>8904</v>
      </c>
      <c r="B313" t="s">
        <v>1748</v>
      </c>
      <c r="C313" t="s">
        <v>89</v>
      </c>
      <c r="D313">
        <f>IFERROR(+VLOOKUP(B313,'BD ASVICC'!$A$6:$GQ$316,5,FALSE),"")</f>
        <v>0</v>
      </c>
      <c r="E313">
        <f>IFERROR(+VLOOKUP($B313,'BD ASVICC'!$A$6:$GQ$316,113,FALSE),"")</f>
        <v>0</v>
      </c>
      <c r="F313">
        <f>IFERROR(+VLOOKUP($B313,'BD ASVICC'!$A$6:$GQ$316,114,FALSE),"")</f>
        <v>0</v>
      </c>
      <c r="G313">
        <f>IFERROR(+VLOOKUP($B313,'BD ASVICC'!$A$6:$GQ$316,115,FALSE),"")</f>
        <v>0</v>
      </c>
      <c r="H313">
        <f t="shared" si="22"/>
        <v>0</v>
      </c>
      <c r="I313">
        <f t="shared" si="23"/>
        <v>0</v>
      </c>
      <c r="J313" s="846">
        <f>I313*'2. Incendis forestals'!$C$52</f>
        <v>0</v>
      </c>
      <c r="K313" t="str">
        <f>VLOOKUP(B313,'BD ASVICC'!$A$6:$BG$316,59,FALSE)</f>
        <v>LITORAL</v>
      </c>
      <c r="L313">
        <f>VLOOKUP(K313,'2. Incendis forestals'!$F$9:$G$11,2,FALSE)</f>
        <v>0.75</v>
      </c>
      <c r="M313">
        <f t="shared" si="20"/>
        <v>0</v>
      </c>
      <c r="N313">
        <f t="shared" si="24"/>
        <v>0</v>
      </c>
      <c r="O313" s="846">
        <f>N313*'2. Incendis forestals'!$C$52</f>
        <v>0</v>
      </c>
      <c r="P313" s="846">
        <f t="shared" si="21"/>
        <v>0</v>
      </c>
      <c r="Q313" s="854">
        <f>D313/VLOOKUP(C313,'BD Comarcal'!$A$5:$AX$17,21,FALSE)</f>
        <v>0</v>
      </c>
      <c r="R313">
        <f>VLOOKUP(C313,'BD Comarcal'!$A$5:$AX$17,50,FALSE)*Q313</f>
        <v>0</v>
      </c>
    </row>
    <row r="314" spans="1:18">
      <c r="A314">
        <v>8905</v>
      </c>
      <c r="B314" t="s">
        <v>1749</v>
      </c>
      <c r="C314" t="s">
        <v>90</v>
      </c>
      <c r="D314">
        <f>IFERROR(+VLOOKUP(B314,'BD ASVICC'!$A$6:$GQ$316,5,FALSE),"")</f>
        <v>421</v>
      </c>
      <c r="E314">
        <f>IFERROR(+VLOOKUP($B314,'BD ASVICC'!$A$6:$GQ$316,113,FALSE),"")</f>
        <v>2.64</v>
      </c>
      <c r="F314">
        <f>IFERROR(+VLOOKUP($B314,'BD ASVICC'!$A$6:$GQ$316,114,FALSE),"")</f>
        <v>5.67</v>
      </c>
      <c r="G314">
        <f>IFERROR(+VLOOKUP($B314,'BD ASVICC'!$A$6:$GQ$316,115,FALSE),"")</f>
        <v>8.31</v>
      </c>
      <c r="H314">
        <f t="shared" si="22"/>
        <v>3.4999473162958328</v>
      </c>
      <c r="I314">
        <f t="shared" si="23"/>
        <v>52.499209744437493</v>
      </c>
      <c r="J314" s="846">
        <f>I314*'2. Incendis forestals'!$C$52</f>
        <v>524204.60929820838</v>
      </c>
      <c r="K314" t="str">
        <f>VLOOKUP(B314,'BD ASVICC'!$A$6:$BG$316,59,FALSE)</f>
        <v>LITORAL</v>
      </c>
      <c r="L314">
        <f>VLOOKUP(K314,'2. Incendis forestals'!$F$9:$G$11,2,FALSE)</f>
        <v>0.75</v>
      </c>
      <c r="M314">
        <f t="shared" si="20"/>
        <v>9.6248551198135406</v>
      </c>
      <c r="N314">
        <f t="shared" si="24"/>
        <v>144.37282679720312</v>
      </c>
      <c r="O314" s="846">
        <f>N314*'2. Incendis forestals'!$C$52</f>
        <v>1441562.6755700731</v>
      </c>
      <c r="P314" s="846">
        <f t="shared" si="21"/>
        <v>917358.06627186469</v>
      </c>
      <c r="Q314" s="854">
        <f>D314/VLOOKUP(C314,'BD Comarcal'!$A$5:$AX$17,21,FALSE)</f>
        <v>1.6197291474299786E-2</v>
      </c>
      <c r="R314">
        <f>VLOOKUP(C314,'BD Comarcal'!$A$5:$AX$17,50,FALSE)*Q314</f>
        <v>3.4999473162958328</v>
      </c>
    </row>
    <row r="315" spans="1:18">
      <c r="Q315" s="855"/>
    </row>
  </sheetData>
  <mergeCells count="2">
    <mergeCell ref="E2:G2"/>
    <mergeCell ref="I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2:X87"/>
  <sheetViews>
    <sheetView zoomScale="70" zoomScaleNormal="70" workbookViewId="0">
      <selection activeCell="O55" sqref="O55"/>
    </sheetView>
  </sheetViews>
  <sheetFormatPr defaultColWidth="11.5703125" defaultRowHeight="12.75"/>
  <cols>
    <col min="1" max="1" width="6.7109375" style="3" customWidth="1"/>
    <col min="2" max="2" width="51.7109375" style="3" customWidth="1"/>
    <col min="3" max="4" width="13.7109375" style="3" customWidth="1"/>
    <col min="5" max="5" width="13.42578125" style="3" customWidth="1"/>
    <col min="6" max="6" width="13" style="3" customWidth="1"/>
    <col min="7" max="7" width="13.7109375" style="3" customWidth="1"/>
    <col min="8" max="8" width="15.5703125" style="3" customWidth="1"/>
    <col min="9" max="9" width="12.7109375" style="3" customWidth="1"/>
    <col min="10" max="12" width="11.5703125" style="3"/>
    <col min="13" max="13" width="15.42578125" style="3" customWidth="1"/>
    <col min="14" max="14" width="15.5703125" style="3" customWidth="1"/>
    <col min="15" max="15" width="16.7109375" style="3" customWidth="1"/>
    <col min="16" max="16" width="14.5703125" style="3" customWidth="1"/>
    <col min="17" max="16384" width="11.5703125" style="3"/>
  </cols>
  <sheetData>
    <row r="2" spans="1:22" ht="20.65" customHeight="1">
      <c r="B2" s="1130" t="s">
        <v>2426</v>
      </c>
      <c r="C2" s="1130"/>
      <c r="D2" s="1130"/>
      <c r="E2" s="1130"/>
      <c r="F2" s="1130"/>
    </row>
    <row r="3" spans="1:22" ht="15" customHeight="1"/>
    <row r="4" spans="1:22" ht="15">
      <c r="B4" s="4" t="s">
        <v>73</v>
      </c>
      <c r="I4"/>
      <c r="V4" s="51"/>
    </row>
    <row r="5" spans="1:22" ht="15">
      <c r="I5"/>
      <c r="J5" s="52"/>
      <c r="K5" s="52"/>
      <c r="L5" s="52"/>
      <c r="M5" s="52"/>
      <c r="N5" s="52"/>
      <c r="O5" s="52"/>
      <c r="P5" s="52"/>
      <c r="Q5" s="52" t="s">
        <v>2692</v>
      </c>
      <c r="R5" s="52"/>
      <c r="S5" s="52"/>
      <c r="T5" s="52"/>
      <c r="U5" s="52"/>
      <c r="V5" s="52"/>
    </row>
    <row r="6" spans="1:22">
      <c r="A6" s="53" t="s">
        <v>197</v>
      </c>
      <c r="B6" s="4" t="s">
        <v>1763</v>
      </c>
      <c r="Q6" s="3" t="s">
        <v>2693</v>
      </c>
    </row>
    <row r="7" spans="1:22">
      <c r="A7" s="53"/>
      <c r="B7" s="4"/>
      <c r="Q7" s="3" t="s">
        <v>2694</v>
      </c>
    </row>
    <row r="8" spans="1:22">
      <c r="A8" s="53"/>
      <c r="B8" s="6" t="s">
        <v>66</v>
      </c>
      <c r="C8" s="44" t="str">
        <f>'A. Dades de partida'!D7</f>
        <v>Vilalba Sasserra</v>
      </c>
      <c r="F8" s="34"/>
      <c r="G8" s="3" t="s">
        <v>2687</v>
      </c>
      <c r="Q8" s="3" t="s">
        <v>2695</v>
      </c>
    </row>
    <row r="9" spans="1:22">
      <c r="A9" s="53"/>
      <c r="B9" s="6" t="s">
        <v>1760</v>
      </c>
      <c r="C9" s="347">
        <f>'A. Dades de partida'!D8</f>
        <v>8306</v>
      </c>
      <c r="F9" s="853" t="s">
        <v>2677</v>
      </c>
      <c r="G9" s="829">
        <v>0.75</v>
      </c>
      <c r="Q9" s="3" t="s">
        <v>2696</v>
      </c>
    </row>
    <row r="10" spans="1:22">
      <c r="A10" s="53"/>
      <c r="B10" s="6" t="s">
        <v>153</v>
      </c>
      <c r="C10" s="44" t="str">
        <f>'A. Dades de partida'!D24</f>
        <v>Vallès Oriental</v>
      </c>
      <c r="F10" s="853" t="s">
        <v>2678</v>
      </c>
      <c r="G10" s="829">
        <v>0.75</v>
      </c>
      <c r="Q10" s="3" t="s">
        <v>2697</v>
      </c>
    </row>
    <row r="11" spans="1:22">
      <c r="A11" s="53"/>
      <c r="B11" s="6" t="s">
        <v>1761</v>
      </c>
      <c r="C11" s="347" t="str">
        <f>'A. Dades de partida'!D25</f>
        <v>41</v>
      </c>
      <c r="F11" s="853" t="s">
        <v>720</v>
      </c>
      <c r="G11" s="829">
        <v>0.75</v>
      </c>
      <c r="Q11" s="3" t="s">
        <v>2698</v>
      </c>
    </row>
    <row r="12" spans="1:22">
      <c r="A12" s="53"/>
      <c r="B12" s="6" t="s">
        <v>135</v>
      </c>
      <c r="C12" s="347">
        <f>'A. Dades de partida'!D10</f>
        <v>15</v>
      </c>
      <c r="Q12" s="3" t="s">
        <v>2699</v>
      </c>
    </row>
    <row r="13" spans="1:22">
      <c r="A13" s="53"/>
      <c r="B13" s="6" t="s">
        <v>124</v>
      </c>
      <c r="C13" s="347">
        <f>'A. Dades de partida'!D11</f>
        <v>0</v>
      </c>
      <c r="Q13" s="3" t="s">
        <v>2700</v>
      </c>
    </row>
    <row r="14" spans="1:22">
      <c r="A14" s="53"/>
      <c r="B14" s="6" t="s">
        <v>125</v>
      </c>
      <c r="C14" s="347">
        <f>'A. Dades de partida'!D12</f>
        <v>15</v>
      </c>
      <c r="Q14" s="3" t="s">
        <v>2701</v>
      </c>
    </row>
    <row r="15" spans="1:22">
      <c r="A15" s="53"/>
      <c r="B15" s="6" t="s">
        <v>1769</v>
      </c>
      <c r="C15" s="348">
        <f>'A. Dades de partida'!D14</f>
        <v>684</v>
      </c>
      <c r="Q15" s="3" t="s">
        <v>2702</v>
      </c>
    </row>
    <row r="16" spans="1:22">
      <c r="A16" s="53"/>
      <c r="B16" s="6" t="s">
        <v>1771</v>
      </c>
      <c r="C16" s="348">
        <f>'A. Dades de partida'!D15</f>
        <v>587</v>
      </c>
      <c r="Q16" s="3" t="s">
        <v>2703</v>
      </c>
    </row>
    <row r="17" spans="1:22">
      <c r="A17" s="53"/>
      <c r="B17" s="6" t="s">
        <v>1768</v>
      </c>
      <c r="C17" s="348">
        <f>'A. Dades de partida'!D18</f>
        <v>889241.73</v>
      </c>
      <c r="Q17" s="3" t="s">
        <v>2704</v>
      </c>
    </row>
    <row r="18" spans="1:22">
      <c r="A18" s="53"/>
      <c r="B18" s="6" t="s">
        <v>1774</v>
      </c>
      <c r="C18" s="352">
        <f>'A. Dades de partida'!D27</f>
        <v>73500</v>
      </c>
      <c r="D18" s="53"/>
      <c r="E18" s="53"/>
      <c r="Q18" s="3" t="s">
        <v>2705</v>
      </c>
    </row>
    <row r="19" spans="1:22" ht="15">
      <c r="B19" s="334" t="s">
        <v>2327</v>
      </c>
      <c r="C19" s="458">
        <f>'A. Dades de partida'!D28</f>
        <v>50831</v>
      </c>
      <c r="I19"/>
      <c r="J19" s="52"/>
      <c r="K19" s="52"/>
      <c r="L19" s="52"/>
      <c r="M19" s="52"/>
      <c r="N19" s="52"/>
      <c r="O19" s="52"/>
      <c r="P19" s="52"/>
      <c r="Q19" s="52" t="s">
        <v>2706</v>
      </c>
      <c r="R19" s="52"/>
      <c r="S19" s="52"/>
      <c r="T19" s="52"/>
      <c r="U19" s="52"/>
      <c r="V19" s="52"/>
    </row>
    <row r="20" spans="1:22" ht="15">
      <c r="I20"/>
      <c r="J20" s="52"/>
      <c r="K20" s="52"/>
      <c r="L20" s="52"/>
      <c r="M20" s="52"/>
      <c r="N20" s="52"/>
      <c r="O20" s="52"/>
      <c r="P20" s="52"/>
      <c r="Q20" s="52" t="s">
        <v>2707</v>
      </c>
      <c r="R20" s="52"/>
      <c r="S20" s="52"/>
      <c r="T20" s="52"/>
      <c r="U20" s="52"/>
      <c r="V20" s="52"/>
    </row>
    <row r="21" spans="1:22" ht="15">
      <c r="A21" s="3" t="s">
        <v>41</v>
      </c>
      <c r="B21" s="4" t="s">
        <v>65</v>
      </c>
      <c r="I21"/>
      <c r="Q21" s="3" t="s">
        <v>2708</v>
      </c>
      <c r="V21" s="52"/>
    </row>
    <row r="22" spans="1:22">
      <c r="B22" s="5" t="s">
        <v>2329</v>
      </c>
      <c r="E22" s="8"/>
      <c r="Q22" s="3" t="s">
        <v>2709</v>
      </c>
    </row>
    <row r="23" spans="1:22">
      <c r="B23" s="5"/>
      <c r="E23" s="8"/>
      <c r="Q23" s="3" t="s">
        <v>2710</v>
      </c>
    </row>
    <row r="24" spans="1:22">
      <c r="B24" s="5"/>
      <c r="D24" s="8"/>
      <c r="Q24" s="3" t="s">
        <v>2711</v>
      </c>
    </row>
    <row r="25" spans="1:22" ht="15">
      <c r="C25" s="419" t="s">
        <v>1951</v>
      </c>
      <c r="D25" s="8"/>
      <c r="Q25" s="51"/>
    </row>
    <row r="26" spans="1:22" ht="15">
      <c r="B26" s="334" t="s">
        <v>2296</v>
      </c>
      <c r="C26" s="84">
        <f>'A. Dades de partida'!D62</f>
        <v>501</v>
      </c>
      <c r="D26" s="8"/>
      <c r="Q26" s="51"/>
    </row>
    <row r="27" spans="1:22" ht="15">
      <c r="B27" s="334" t="s">
        <v>2297</v>
      </c>
      <c r="C27" s="200">
        <f>'A. Dades de partida'!D63</f>
        <v>0.8534923339011925</v>
      </c>
      <c r="D27" s="8"/>
      <c r="Q27" s="51"/>
    </row>
    <row r="28" spans="1:22" ht="13.15" customHeight="1">
      <c r="B28" s="339" t="s">
        <v>1950</v>
      </c>
      <c r="C28" s="416">
        <f>C26/C19</f>
        <v>9.8561901202022396E-3</v>
      </c>
      <c r="D28" s="8"/>
    </row>
    <row r="29" spans="1:22" ht="13.15" customHeight="1">
      <c r="B29" s="82" t="s">
        <v>2321</v>
      </c>
      <c r="C29" s="639" t="str">
        <f>+IF(VLOOKUP(C8,'BD ASVICC'!A6:GR320,200,FALSE)=1,"Sí","No")</f>
        <v>No</v>
      </c>
      <c r="D29" s="8"/>
      <c r="Q29" s="3" t="s">
        <v>2712</v>
      </c>
    </row>
    <row r="30" spans="1:22">
      <c r="B30" s="19" t="s">
        <v>2298</v>
      </c>
      <c r="C30" s="627">
        <f>+IF(VLOOKUP(C8,'BD ASVICC'!A6:GR320,200,FALSE)=1,VLOOKUP(C8,'BD ASVICC'!A6:GQ320,112,0),0)</f>
        <v>0</v>
      </c>
    </row>
    <row r="31" spans="1:22">
      <c r="B31" s="19" t="s">
        <v>2330</v>
      </c>
      <c r="C31" s="627">
        <f>(VLOOKUP(C8,'BD ASVICC'!A6:GQ320,112,0))/16</f>
        <v>0</v>
      </c>
      <c r="D31" s="129" t="s">
        <v>2385</v>
      </c>
    </row>
    <row r="32" spans="1:22">
      <c r="B32" s="19" t="s">
        <v>2331</v>
      </c>
      <c r="C32" s="627">
        <f>(VLOOKUP(C8,'BD ASVICC'!A6:GQ320,113,0))/16</f>
        <v>0</v>
      </c>
      <c r="D32" s="129" t="s">
        <v>2386</v>
      </c>
    </row>
    <row r="33" spans="1:24">
      <c r="B33" s="341" t="s">
        <v>2299</v>
      </c>
      <c r="C33" s="88">
        <f>C30*C32</f>
        <v>0</v>
      </c>
      <c r="I33" s="113"/>
      <c r="J33" s="113"/>
      <c r="K33" s="113"/>
      <c r="L33" s="113"/>
      <c r="M33" s="113"/>
      <c r="N33" s="113"/>
      <c r="O33" s="113"/>
      <c r="P33" s="113"/>
    </row>
    <row r="34" spans="1:24">
      <c r="F34" s="22"/>
      <c r="G34" s="391"/>
      <c r="H34" s="22"/>
      <c r="I34" s="113"/>
      <c r="J34" s="113"/>
      <c r="K34" s="113"/>
      <c r="L34" s="113"/>
      <c r="M34" s="113"/>
      <c r="N34" s="113"/>
      <c r="O34" s="113"/>
      <c r="P34" s="113"/>
    </row>
    <row r="35" spans="1:24">
      <c r="E35" s="113"/>
      <c r="F35" s="22"/>
      <c r="G35" s="391"/>
      <c r="H35" s="22"/>
      <c r="I35" s="113"/>
      <c r="J35" s="113"/>
      <c r="K35" s="113"/>
      <c r="L35" s="113"/>
      <c r="M35" s="113"/>
      <c r="N35" s="113"/>
      <c r="O35" s="113"/>
      <c r="P35" s="113"/>
    </row>
    <row r="36" spans="1:24">
      <c r="B36" s="4" t="s">
        <v>2322</v>
      </c>
      <c r="E36" s="113"/>
      <c r="F36" s="22"/>
      <c r="G36" s="391"/>
      <c r="H36" s="22"/>
      <c r="I36" s="113"/>
      <c r="J36" s="113"/>
      <c r="K36" s="113"/>
      <c r="L36" s="113"/>
      <c r="M36" s="113"/>
      <c r="N36" s="113"/>
      <c r="O36" s="113"/>
      <c r="P36" s="113"/>
    </row>
    <row r="37" spans="1:24">
      <c r="B37" s="341" t="s">
        <v>2323</v>
      </c>
      <c r="C37" s="524">
        <f>VLOOKUP(C10,'BD Comarcal'!A6:AV18,27)</f>
        <v>26.9</v>
      </c>
      <c r="E37" s="113"/>
      <c r="F37" s="22"/>
      <c r="G37" s="391"/>
      <c r="H37" s="22"/>
      <c r="I37" s="113"/>
      <c r="J37" s="113"/>
      <c r="K37" s="113"/>
      <c r="L37" s="113"/>
      <c r="M37" s="113"/>
      <c r="N37" s="113"/>
      <c r="O37" s="113"/>
      <c r="P37" s="113"/>
    </row>
    <row r="38" spans="1:24">
      <c r="B38" s="341" t="s">
        <v>1954</v>
      </c>
      <c r="C38" s="524">
        <f>+VLOOKUP(C10,'BD Comarcal'!A6:AV18,29)</f>
        <v>0.10048327137546469</v>
      </c>
      <c r="E38" s="113"/>
      <c r="F38" s="22"/>
      <c r="G38" s="391"/>
      <c r="H38" s="22"/>
      <c r="I38" s="113"/>
      <c r="J38" s="113"/>
      <c r="K38" s="113"/>
      <c r="L38" s="113"/>
      <c r="M38" s="113"/>
      <c r="N38" s="113"/>
      <c r="O38" s="113"/>
      <c r="P38" s="113"/>
    </row>
    <row r="39" spans="1:24">
      <c r="B39" s="341" t="s">
        <v>2324</v>
      </c>
      <c r="C39" s="524">
        <f>C37*C38</f>
        <v>2.7029999999999998</v>
      </c>
      <c r="E39" s="113"/>
      <c r="F39" s="22"/>
      <c r="G39" s="391"/>
      <c r="H39" s="22"/>
      <c r="I39" s="113"/>
      <c r="J39" s="113"/>
      <c r="K39" s="113"/>
      <c r="L39" s="113"/>
      <c r="M39" s="113"/>
      <c r="N39" s="113"/>
      <c r="O39" s="113"/>
      <c r="P39" s="113"/>
    </row>
    <row r="40" spans="1:24">
      <c r="E40" s="113"/>
      <c r="F40" s="22"/>
      <c r="G40" s="391"/>
      <c r="H40" s="22"/>
      <c r="I40" s="113"/>
      <c r="J40" s="113"/>
      <c r="K40" s="113"/>
      <c r="L40" s="113"/>
      <c r="M40" s="113"/>
      <c r="N40" s="113"/>
      <c r="O40" s="113"/>
      <c r="P40" s="113"/>
    </row>
    <row r="41" spans="1:24">
      <c r="E41" s="113"/>
      <c r="F41" s="22"/>
      <c r="G41" s="391"/>
      <c r="H41" s="22"/>
      <c r="I41" s="113"/>
      <c r="J41" s="113"/>
      <c r="K41" s="113"/>
      <c r="L41" s="113"/>
      <c r="M41" s="113"/>
      <c r="N41" s="113"/>
      <c r="O41" s="113"/>
      <c r="P41" s="113"/>
    </row>
    <row r="42" spans="1:24">
      <c r="B42" s="4" t="s">
        <v>2325</v>
      </c>
      <c r="C42" s="3" t="s">
        <v>2415</v>
      </c>
      <c r="D42" s="3" t="s">
        <v>2468</v>
      </c>
      <c r="E42" s="113"/>
      <c r="F42" s="22"/>
      <c r="G42" s="391"/>
      <c r="H42" s="22"/>
      <c r="I42" s="113"/>
      <c r="J42" s="113"/>
      <c r="K42" s="113"/>
      <c r="L42" s="113"/>
      <c r="M42" s="113"/>
      <c r="N42" s="113"/>
      <c r="O42" s="113"/>
      <c r="P42" s="113"/>
    </row>
    <row r="43" spans="1:24">
      <c r="B43" s="341" t="s">
        <v>2298</v>
      </c>
      <c r="C43" s="524">
        <f>C37</f>
        <v>26.9</v>
      </c>
      <c r="D43" s="524">
        <f>+IF(C29="Sí",C30,C37*C28)</f>
        <v>0.26513151423344022</v>
      </c>
      <c r="E43" s="113"/>
      <c r="F43" s="22"/>
      <c r="G43" s="391"/>
      <c r="H43" s="22"/>
      <c r="I43" s="113"/>
      <c r="J43" s="113"/>
      <c r="K43" s="113"/>
      <c r="L43" s="113"/>
      <c r="M43" s="113"/>
      <c r="N43" s="113"/>
      <c r="O43" s="113"/>
      <c r="P43" s="113"/>
    </row>
    <row r="44" spans="1:24">
      <c r="B44" s="341" t="s">
        <v>1954</v>
      </c>
      <c r="C44" s="189">
        <f>+IF(C29="Sí",C32,C38)</f>
        <v>0.10048327137546469</v>
      </c>
      <c r="D44" s="189">
        <f>+IF(C29="Sí",C32,C38)</f>
        <v>0.10048327137546469</v>
      </c>
      <c r="E44" s="113"/>
      <c r="F44" s="22"/>
      <c r="G44" s="391"/>
      <c r="H44" s="22"/>
      <c r="I44" s="113"/>
      <c r="J44" s="113"/>
      <c r="K44" s="113"/>
      <c r="L44" s="113"/>
      <c r="M44" s="113"/>
      <c r="N44" s="113"/>
      <c r="O44" s="113"/>
      <c r="P44" s="113"/>
    </row>
    <row r="45" spans="1:24">
      <c r="B45" s="341" t="s">
        <v>2299</v>
      </c>
      <c r="C45" s="88">
        <f>C43*C44</f>
        <v>2.7029999999999998</v>
      </c>
      <c r="D45" s="88">
        <f>D43*D44</f>
        <v>2.6641281894906652E-2</v>
      </c>
      <c r="E45" s="113"/>
      <c r="F45" s="22"/>
      <c r="G45" s="391"/>
      <c r="H45" s="22"/>
      <c r="I45" s="113"/>
      <c r="J45" s="113"/>
      <c r="K45" s="113"/>
      <c r="L45" s="113"/>
      <c r="M45" s="113"/>
      <c r="N45" s="113"/>
      <c r="O45" s="113"/>
      <c r="P45" s="113"/>
    </row>
    <row r="46" spans="1:24">
      <c r="B46" s="112"/>
      <c r="C46" s="112"/>
      <c r="E46" s="113"/>
      <c r="F46" s="22"/>
      <c r="G46" s="391"/>
      <c r="H46" s="22"/>
      <c r="I46" s="113"/>
      <c r="J46" s="113"/>
      <c r="K46" s="113"/>
      <c r="L46" s="113"/>
      <c r="M46" s="113"/>
      <c r="N46" s="113"/>
      <c r="O46" s="113"/>
      <c r="P46" s="113"/>
    </row>
    <row r="47" spans="1:24">
      <c r="A47" s="3" t="s">
        <v>42</v>
      </c>
      <c r="B47" s="4" t="s">
        <v>141</v>
      </c>
      <c r="I47" s="10"/>
      <c r="J47" s="10"/>
      <c r="K47" s="10"/>
      <c r="L47" s="10"/>
      <c r="M47" s="10"/>
      <c r="N47" s="10"/>
      <c r="O47" s="10"/>
      <c r="P47" s="10"/>
      <c r="Q47" s="10"/>
      <c r="R47" s="10"/>
      <c r="S47" s="10"/>
      <c r="T47" s="10"/>
      <c r="U47" s="10"/>
      <c r="V47" s="10"/>
      <c r="W47" s="10"/>
      <c r="X47" s="10"/>
    </row>
    <row r="48" spans="1:24">
      <c r="C48" s="6" t="s">
        <v>23</v>
      </c>
      <c r="H48" s="10"/>
      <c r="I48" s="10"/>
      <c r="J48" s="10"/>
      <c r="K48" s="10"/>
      <c r="L48" s="10"/>
      <c r="M48" s="10"/>
      <c r="N48" s="10"/>
      <c r="O48" s="10"/>
      <c r="P48" s="10"/>
      <c r="Q48" s="10"/>
      <c r="R48" s="10"/>
      <c r="S48" s="10"/>
      <c r="T48" s="10"/>
      <c r="U48" s="10"/>
      <c r="V48" s="10"/>
      <c r="W48" s="10"/>
      <c r="X48" s="10"/>
    </row>
    <row r="49" spans="1:24">
      <c r="B49" s="6" t="s">
        <v>67</v>
      </c>
      <c r="C49" s="64">
        <v>3385</v>
      </c>
      <c r="D49" s="12" t="s">
        <v>2485</v>
      </c>
      <c r="G49" s="13"/>
      <c r="H49" s="10"/>
      <c r="I49" s="10"/>
      <c r="J49" s="10"/>
      <c r="K49" s="10"/>
      <c r="L49" s="10"/>
      <c r="M49" s="10"/>
      <c r="N49" s="10"/>
      <c r="O49" s="10"/>
      <c r="P49" s="10"/>
      <c r="Q49" s="10"/>
      <c r="R49" s="10"/>
      <c r="S49" s="10"/>
      <c r="T49" s="10"/>
      <c r="U49" s="10"/>
      <c r="V49" s="10"/>
      <c r="W49" s="10"/>
      <c r="X49" s="10"/>
    </row>
    <row r="50" spans="1:24">
      <c r="B50" s="6" t="s">
        <v>142</v>
      </c>
      <c r="C50" s="62">
        <v>600</v>
      </c>
      <c r="D50" s="12" t="s">
        <v>1944</v>
      </c>
      <c r="G50" s="13"/>
      <c r="H50" s="10"/>
      <c r="I50" s="14"/>
      <c r="J50" s="14"/>
      <c r="K50" s="14"/>
      <c r="L50" s="14"/>
      <c r="M50" s="14"/>
      <c r="N50" s="14"/>
      <c r="O50" s="14"/>
      <c r="P50" s="14"/>
      <c r="Q50" s="14"/>
      <c r="R50" s="10"/>
      <c r="S50" s="14"/>
      <c r="T50" s="14"/>
      <c r="U50" s="14"/>
      <c r="V50" s="14"/>
      <c r="W50" s="14"/>
      <c r="X50" s="14"/>
    </row>
    <row r="51" spans="1:24">
      <c r="B51" s="22" t="s">
        <v>2713</v>
      </c>
      <c r="C51" s="22">
        <v>6000</v>
      </c>
      <c r="D51" s="12"/>
      <c r="G51" s="13"/>
      <c r="H51" s="10"/>
      <c r="I51" s="14"/>
      <c r="J51" s="14"/>
      <c r="K51" s="14"/>
      <c r="L51" s="14"/>
      <c r="M51" s="14"/>
      <c r="N51" s="14"/>
      <c r="O51" s="14"/>
      <c r="P51" s="14"/>
      <c r="Q51" s="14"/>
      <c r="R51" s="10"/>
      <c r="S51" s="14"/>
      <c r="T51" s="14"/>
      <c r="U51" s="14"/>
      <c r="V51" s="14"/>
      <c r="W51" s="14"/>
      <c r="X51" s="14"/>
    </row>
    <row r="52" spans="1:24">
      <c r="B52" s="574" t="s">
        <v>2300</v>
      </c>
      <c r="C52" s="573">
        <f>C49+C50+C51</f>
        <v>9985</v>
      </c>
      <c r="G52" s="13"/>
      <c r="H52" s="10"/>
      <c r="I52" s="14"/>
      <c r="J52" s="14"/>
      <c r="K52" s="14"/>
      <c r="L52" s="14"/>
      <c r="M52" s="14"/>
      <c r="N52" s="14"/>
      <c r="O52" s="14"/>
      <c r="P52" s="14"/>
      <c r="Q52" s="14"/>
      <c r="R52" s="14"/>
      <c r="S52" s="14"/>
      <c r="T52" s="14"/>
      <c r="U52" s="14"/>
      <c r="V52" s="14"/>
      <c r="W52" s="14"/>
      <c r="X52" s="14"/>
    </row>
    <row r="53" spans="1:24">
      <c r="B53" s="13"/>
      <c r="C53" s="15"/>
      <c r="G53" s="13"/>
      <c r="R53" s="14"/>
    </row>
    <row r="54" spans="1:24">
      <c r="A54" s="3" t="s">
        <v>47</v>
      </c>
      <c r="B54" s="73" t="s">
        <v>143</v>
      </c>
      <c r="C54" s="15"/>
      <c r="G54" s="13"/>
      <c r="R54" s="14"/>
    </row>
    <row r="55" spans="1:24">
      <c r="B55" s="13"/>
      <c r="C55" s="15"/>
      <c r="G55" s="13"/>
      <c r="R55" s="14"/>
    </row>
    <row r="56" spans="1:24">
      <c r="B56" s="19" t="s">
        <v>1955</v>
      </c>
      <c r="C56" s="72">
        <f>C52*C45</f>
        <v>26989.454999999998</v>
      </c>
      <c r="G56" s="13"/>
      <c r="R56" s="14"/>
    </row>
    <row r="57" spans="1:24">
      <c r="B57" s="13"/>
      <c r="C57" s="15"/>
      <c r="G57" s="13"/>
      <c r="R57" s="14"/>
    </row>
    <row r="58" spans="1:24">
      <c r="B58" s="4" t="s">
        <v>144</v>
      </c>
      <c r="G58" s="13"/>
      <c r="R58" s="14"/>
    </row>
    <row r="59" spans="1:24">
      <c r="B59" s="60" t="s">
        <v>156</v>
      </c>
      <c r="G59" s="13"/>
      <c r="R59" s="14"/>
    </row>
    <row r="60" spans="1:24">
      <c r="B60" s="16"/>
      <c r="G60" s="13"/>
      <c r="R60" s="14"/>
    </row>
    <row r="61" spans="1:24">
      <c r="A61" s="3" t="s">
        <v>48</v>
      </c>
      <c r="B61" s="31" t="s">
        <v>1945</v>
      </c>
      <c r="C61" s="664">
        <f>(C56*C12)/1000000</f>
        <v>0.40484182499999993</v>
      </c>
      <c r="G61" s="13"/>
      <c r="R61" s="14"/>
    </row>
    <row r="62" spans="1:24">
      <c r="B62" s="13"/>
      <c r="C62" s="15"/>
      <c r="G62" s="13"/>
      <c r="R62" s="14"/>
    </row>
    <row r="63" spans="1:24">
      <c r="B63" s="13"/>
      <c r="C63" s="15"/>
      <c r="G63" s="13"/>
      <c r="R63" s="14"/>
    </row>
    <row r="64" spans="1:24">
      <c r="A64" s="3" t="s">
        <v>44</v>
      </c>
      <c r="B64" s="73" t="s">
        <v>166</v>
      </c>
      <c r="C64" s="15"/>
      <c r="G64" s="13"/>
      <c r="R64" s="14"/>
    </row>
    <row r="65" spans="1:18">
      <c r="B65" s="12" t="s">
        <v>167</v>
      </c>
      <c r="C65" s="15"/>
      <c r="G65" s="13"/>
      <c r="R65" s="14"/>
    </row>
    <row r="66" spans="1:18">
      <c r="B66" s="111" t="s">
        <v>2007</v>
      </c>
      <c r="C66" s="15"/>
      <c r="G66" s="13"/>
      <c r="R66" s="14"/>
    </row>
    <row r="67" spans="1:18">
      <c r="B67" s="17"/>
      <c r="C67" s="15"/>
      <c r="G67" s="13"/>
      <c r="R67" s="14"/>
    </row>
    <row r="68" spans="1:18">
      <c r="B68" s="5" t="s">
        <v>1946</v>
      </c>
      <c r="C68" s="15"/>
      <c r="G68" s="13"/>
      <c r="R68" s="14"/>
    </row>
    <row r="69" spans="1:18">
      <c r="B69" s="3" t="s">
        <v>165</v>
      </c>
      <c r="C69" s="15"/>
      <c r="G69" s="13"/>
      <c r="R69" s="14"/>
    </row>
    <row r="70" spans="1:18">
      <c r="C70" s="15"/>
      <c r="G70" s="13"/>
      <c r="R70" s="14"/>
    </row>
    <row r="71" spans="1:18">
      <c r="A71" s="3" t="s">
        <v>49</v>
      </c>
      <c r="B71" s="4" t="s">
        <v>168</v>
      </c>
      <c r="C71" s="15"/>
      <c r="G71" s="13"/>
      <c r="R71" s="14"/>
    </row>
    <row r="72" spans="1:18">
      <c r="C72" s="11">
        <v>1</v>
      </c>
      <c r="D72" s="6">
        <v>2</v>
      </c>
      <c r="E72" s="6">
        <v>3</v>
      </c>
      <c r="F72" s="6">
        <v>4</v>
      </c>
      <c r="G72" s="11">
        <v>5</v>
      </c>
      <c r="H72" s="6">
        <v>6</v>
      </c>
      <c r="I72" s="6">
        <v>7</v>
      </c>
      <c r="J72" s="6">
        <v>8</v>
      </c>
      <c r="K72" s="11">
        <v>9</v>
      </c>
      <c r="L72" s="6">
        <v>10</v>
      </c>
      <c r="M72" s="6">
        <v>11</v>
      </c>
      <c r="N72" s="6">
        <v>12</v>
      </c>
      <c r="O72" s="11">
        <v>13</v>
      </c>
      <c r="P72" s="6">
        <v>14</v>
      </c>
      <c r="Q72" s="6">
        <v>15</v>
      </c>
      <c r="R72" s="14"/>
    </row>
    <row r="73" spans="1:18">
      <c r="B73" s="6" t="s">
        <v>59</v>
      </c>
      <c r="C73" s="30">
        <f>$C$13+C72</f>
        <v>1</v>
      </c>
      <c r="D73" s="30">
        <f t="shared" ref="D73:Q73" si="0">$C$13+D72</f>
        <v>2</v>
      </c>
      <c r="E73" s="30">
        <f t="shared" si="0"/>
        <v>3</v>
      </c>
      <c r="F73" s="30">
        <f t="shared" si="0"/>
        <v>4</v>
      </c>
      <c r="G73" s="30">
        <f t="shared" si="0"/>
        <v>5</v>
      </c>
      <c r="H73" s="30">
        <f t="shared" si="0"/>
        <v>6</v>
      </c>
      <c r="I73" s="30">
        <f t="shared" si="0"/>
        <v>7</v>
      </c>
      <c r="J73" s="30">
        <f t="shared" si="0"/>
        <v>8</v>
      </c>
      <c r="K73" s="30">
        <f t="shared" si="0"/>
        <v>9</v>
      </c>
      <c r="L73" s="30">
        <f t="shared" si="0"/>
        <v>10</v>
      </c>
      <c r="M73" s="30">
        <f t="shared" si="0"/>
        <v>11</v>
      </c>
      <c r="N73" s="30">
        <f t="shared" si="0"/>
        <v>12</v>
      </c>
      <c r="O73" s="30">
        <f t="shared" si="0"/>
        <v>13</v>
      </c>
      <c r="P73" s="30">
        <f t="shared" si="0"/>
        <v>14</v>
      </c>
      <c r="Q73" s="30">
        <f t="shared" si="0"/>
        <v>15</v>
      </c>
      <c r="R73" s="14"/>
    </row>
    <row r="74" spans="1:18">
      <c r="B74" s="7" t="s">
        <v>148</v>
      </c>
      <c r="C74" s="189">
        <f>$C$44*(1+ (3-1)*(C72-1)/($Q$72-1))</f>
        <v>0.10048327137546469</v>
      </c>
      <c r="D74" s="189">
        <f t="shared" ref="D74:Q74" si="1">$C$44*(1+ (3-1)*(D72-1)/($Q$72-1))</f>
        <v>0.11483802442910249</v>
      </c>
      <c r="E74" s="189">
        <f t="shared" si="1"/>
        <v>0.1291927774827403</v>
      </c>
      <c r="F74" s="189">
        <f t="shared" si="1"/>
        <v>0.14354753053637812</v>
      </c>
      <c r="G74" s="189">
        <f t="shared" si="1"/>
        <v>0.15790228359001593</v>
      </c>
      <c r="H74" s="189">
        <f t="shared" si="1"/>
        <v>0.17225703664365377</v>
      </c>
      <c r="I74" s="189">
        <f t="shared" si="1"/>
        <v>0.18661178969729156</v>
      </c>
      <c r="J74" s="189">
        <f t="shared" si="1"/>
        <v>0.20096654275092937</v>
      </c>
      <c r="K74" s="189">
        <f t="shared" si="1"/>
        <v>0.21532129580456719</v>
      </c>
      <c r="L74" s="189">
        <f t="shared" si="1"/>
        <v>0.22967604885820497</v>
      </c>
      <c r="M74" s="189">
        <f t="shared" si="1"/>
        <v>0.24403080191184284</v>
      </c>
      <c r="N74" s="189">
        <f t="shared" si="1"/>
        <v>0.2583855549654806</v>
      </c>
      <c r="O74" s="189">
        <f t="shared" si="1"/>
        <v>0.27274030801911847</v>
      </c>
      <c r="P74" s="189">
        <f t="shared" si="1"/>
        <v>0.28709506107275623</v>
      </c>
      <c r="Q74" s="189">
        <f t="shared" si="1"/>
        <v>0.30144981412639404</v>
      </c>
      <c r="R74" s="14"/>
    </row>
    <row r="75" spans="1:18">
      <c r="B75" s="7" t="s">
        <v>149</v>
      </c>
      <c r="C75" s="189">
        <f>$C$43*(1+ (3-1)*(C72-1)/($Q$72-1))</f>
        <v>26.9</v>
      </c>
      <c r="D75" s="189">
        <f t="shared" ref="D75:Q75" si="2">$C$43*(1+ (3-1)*(D72-1)/($Q$72-1))</f>
        <v>30.74285714285714</v>
      </c>
      <c r="E75" s="189">
        <f t="shared" si="2"/>
        <v>34.585714285714282</v>
      </c>
      <c r="F75" s="189">
        <f t="shared" si="2"/>
        <v>38.428571428571431</v>
      </c>
      <c r="G75" s="189">
        <f t="shared" si="2"/>
        <v>42.271428571428565</v>
      </c>
      <c r="H75" s="189">
        <f t="shared" si="2"/>
        <v>46.114285714285714</v>
      </c>
      <c r="I75" s="189">
        <f t="shared" si="2"/>
        <v>49.957142857142856</v>
      </c>
      <c r="J75" s="189">
        <f t="shared" si="2"/>
        <v>53.8</v>
      </c>
      <c r="K75" s="189">
        <f t="shared" si="2"/>
        <v>57.642857142857139</v>
      </c>
      <c r="L75" s="189">
        <f t="shared" si="2"/>
        <v>61.48571428571428</v>
      </c>
      <c r="M75" s="189">
        <f t="shared" si="2"/>
        <v>65.328571428571436</v>
      </c>
      <c r="N75" s="189">
        <f t="shared" si="2"/>
        <v>69.171428571428564</v>
      </c>
      <c r="O75" s="189">
        <f t="shared" si="2"/>
        <v>73.01428571428572</v>
      </c>
      <c r="P75" s="189">
        <f t="shared" si="2"/>
        <v>76.857142857142861</v>
      </c>
      <c r="Q75" s="189">
        <f t="shared" si="2"/>
        <v>80.699999999999989</v>
      </c>
      <c r="R75" s="14"/>
    </row>
    <row r="76" spans="1:18">
      <c r="B76" s="7" t="s">
        <v>150</v>
      </c>
      <c r="C76" s="189">
        <f>C74*C75</f>
        <v>2.7029999999999998</v>
      </c>
      <c r="D76" s="189">
        <f t="shared" ref="D76:Q76" si="3">D74*D75</f>
        <v>3.5304489795918363</v>
      </c>
      <c r="E76" s="189">
        <f t="shared" si="3"/>
        <v>4.4682244897959178</v>
      </c>
      <c r="F76" s="189">
        <f t="shared" si="3"/>
        <v>5.5163265306122451</v>
      </c>
      <c r="G76" s="189">
        <f t="shared" si="3"/>
        <v>6.6747551020408151</v>
      </c>
      <c r="H76" s="189">
        <f t="shared" si="3"/>
        <v>7.9435102040816341</v>
      </c>
      <c r="I76" s="189">
        <f t="shared" si="3"/>
        <v>9.3225918367346932</v>
      </c>
      <c r="J76" s="189">
        <f t="shared" si="3"/>
        <v>10.811999999999999</v>
      </c>
      <c r="K76" s="189">
        <f t="shared" si="3"/>
        <v>12.41173469387755</v>
      </c>
      <c r="L76" s="189">
        <f t="shared" si="3"/>
        <v>14.121795918367345</v>
      </c>
      <c r="M76" s="189">
        <f t="shared" si="3"/>
        <v>15.942183673469392</v>
      </c>
      <c r="N76" s="189">
        <f t="shared" si="3"/>
        <v>17.872897959183671</v>
      </c>
      <c r="O76" s="189">
        <f t="shared" si="3"/>
        <v>19.913938775510207</v>
      </c>
      <c r="P76" s="189">
        <f t="shared" si="3"/>
        <v>22.06530612244898</v>
      </c>
      <c r="Q76" s="189">
        <f t="shared" si="3"/>
        <v>24.326999999999995</v>
      </c>
      <c r="R76" s="14"/>
    </row>
    <row r="77" spans="1:18">
      <c r="B77" s="19" t="s">
        <v>147</v>
      </c>
      <c r="C77" s="11">
        <f>$C$52*C76</f>
        <v>26989.454999999998</v>
      </c>
      <c r="D77" s="11">
        <f t="shared" ref="D77:Q77" si="4">$C$52*D76</f>
        <v>35251.533061224487</v>
      </c>
      <c r="E77" s="11">
        <f t="shared" si="4"/>
        <v>44615.221530612238</v>
      </c>
      <c r="F77" s="11">
        <f t="shared" si="4"/>
        <v>55080.520408163269</v>
      </c>
      <c r="G77" s="11">
        <f t="shared" si="4"/>
        <v>66647.429693877537</v>
      </c>
      <c r="H77" s="11">
        <f t="shared" si="4"/>
        <v>79315.949387755114</v>
      </c>
      <c r="I77" s="11">
        <f t="shared" si="4"/>
        <v>93086.079489795913</v>
      </c>
      <c r="J77" s="11">
        <f t="shared" si="4"/>
        <v>107957.81999999999</v>
      </c>
      <c r="K77" s="11">
        <f t="shared" si="4"/>
        <v>123931.17091836734</v>
      </c>
      <c r="L77" s="11">
        <f t="shared" si="4"/>
        <v>141006.13224489795</v>
      </c>
      <c r="M77" s="11">
        <f t="shared" si="4"/>
        <v>159182.70397959187</v>
      </c>
      <c r="N77" s="11">
        <f t="shared" si="4"/>
        <v>178460.88612244895</v>
      </c>
      <c r="O77" s="11">
        <f t="shared" si="4"/>
        <v>198840.6786734694</v>
      </c>
      <c r="P77" s="11">
        <f t="shared" si="4"/>
        <v>220322.08163265308</v>
      </c>
      <c r="Q77" s="11">
        <f t="shared" si="4"/>
        <v>242905.09499999994</v>
      </c>
      <c r="R77" s="14"/>
    </row>
    <row r="78" spans="1:18">
      <c r="B78" s="13"/>
      <c r="C78" s="15"/>
      <c r="G78" s="13"/>
      <c r="R78" s="14"/>
    </row>
    <row r="79" spans="1:18">
      <c r="A79" s="3" t="s">
        <v>50</v>
      </c>
      <c r="B79" s="31" t="s">
        <v>1956</v>
      </c>
      <c r="C79" s="353">
        <f>SUM(C77:Q77)/1000000</f>
        <v>1.7735927571428571</v>
      </c>
      <c r="G79" s="13"/>
      <c r="R79" s="14"/>
    </row>
    <row r="80" spans="1:18">
      <c r="B80" s="13"/>
      <c r="C80" s="15"/>
      <c r="G80" s="13"/>
      <c r="R80" s="14"/>
    </row>
    <row r="81" spans="1:18">
      <c r="C81" s="15"/>
      <c r="G81" s="13"/>
      <c r="R81" s="14"/>
    </row>
    <row r="82" spans="1:18">
      <c r="A82" s="3" t="s">
        <v>70</v>
      </c>
      <c r="B82" s="34" t="s">
        <v>1957</v>
      </c>
      <c r="C82" s="74">
        <f>(C79-C61)</f>
        <v>1.3687509321428573</v>
      </c>
      <c r="G82" s="13"/>
      <c r="R82" s="14"/>
    </row>
    <row r="83" spans="1:18">
      <c r="B83" s="13"/>
      <c r="C83" s="15"/>
      <c r="G83" s="13"/>
      <c r="R83" s="14"/>
    </row>
    <row r="84" spans="1:18">
      <c r="B84" s="13"/>
      <c r="C84" s="15"/>
      <c r="G84" s="13"/>
      <c r="R84" s="14"/>
    </row>
    <row r="87" spans="1:18">
      <c r="C87" s="631"/>
      <c r="D87" s="631"/>
      <c r="E87" s="631"/>
      <c r="F87" s="631"/>
      <c r="G87" s="631"/>
      <c r="H87" s="631"/>
      <c r="I87" s="631"/>
      <c r="J87" s="631"/>
      <c r="K87" s="631"/>
      <c r="L87" s="631"/>
      <c r="M87" s="631"/>
      <c r="N87" s="631"/>
      <c r="O87" s="631"/>
      <c r="P87" s="631"/>
      <c r="Q87" s="631"/>
    </row>
  </sheetData>
  <mergeCells count="1">
    <mergeCell ref="B2:F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14"/>
  <sheetViews>
    <sheetView workbookViewId="0">
      <selection activeCell="O8" sqref="O8"/>
    </sheetView>
  </sheetViews>
  <sheetFormatPr defaultRowHeight="15"/>
  <cols>
    <col min="1" max="1" width="9.140625" style="822"/>
    <col min="2" max="2" width="24.28515625" style="821" customWidth="1"/>
    <col min="3" max="3" width="14.5703125" style="821" customWidth="1"/>
    <col min="4" max="4" width="14.7109375" style="821" customWidth="1"/>
    <col min="5" max="5" width="18.140625" style="821" customWidth="1"/>
    <col min="6" max="6" width="14" style="821" customWidth="1"/>
    <col min="7" max="7" width="13.5703125" style="821" customWidth="1"/>
    <col min="8" max="8" width="14.85546875" style="821" customWidth="1"/>
    <col min="9" max="9" width="17.42578125" style="821" customWidth="1"/>
    <col min="10" max="10" width="15.7109375" style="821" customWidth="1"/>
    <col min="11" max="11" width="16.85546875" style="821" customWidth="1"/>
  </cols>
  <sheetData>
    <row r="2" spans="1:11">
      <c r="A2" s="832"/>
      <c r="B2" s="823"/>
      <c r="C2" s="823"/>
      <c r="D2" s="823"/>
      <c r="E2" s="823"/>
      <c r="F2" s="823"/>
      <c r="G2" s="823"/>
      <c r="H2" s="823"/>
      <c r="I2" s="823"/>
      <c r="J2" s="823"/>
      <c r="K2" s="823"/>
    </row>
    <row r="3" spans="1:11" ht="35.25" thickBot="1">
      <c r="A3" s="833" t="s">
        <v>2579</v>
      </c>
      <c r="B3" s="824" t="s">
        <v>66</v>
      </c>
      <c r="C3" s="824" t="s">
        <v>162</v>
      </c>
      <c r="D3" s="824" t="s">
        <v>164</v>
      </c>
      <c r="E3" s="824" t="s">
        <v>163</v>
      </c>
      <c r="F3" s="824" t="s">
        <v>2722</v>
      </c>
      <c r="G3" s="824" t="s">
        <v>2752</v>
      </c>
      <c r="H3" s="824" t="s">
        <v>2726</v>
      </c>
      <c r="I3" s="824" t="s">
        <v>2727</v>
      </c>
      <c r="J3" s="824" t="s">
        <v>2728</v>
      </c>
      <c r="K3" s="824" t="s">
        <v>2729</v>
      </c>
    </row>
    <row r="4" spans="1:11">
      <c r="A4" s="834">
        <v>8001</v>
      </c>
      <c r="B4" s="825" t="s">
        <v>672</v>
      </c>
      <c r="C4" s="856">
        <f>VLOOKUP(B4,'BD ASVICC'!$A$6:$GS$316,144,FALSE)</f>
        <v>550926</v>
      </c>
      <c r="D4" s="856">
        <f>VLOOKUP(B4,'BD ASVICC'!$A$6:$GS$316,145,FALSE)</f>
        <v>384520</v>
      </c>
      <c r="E4" s="856">
        <f>C4+D4</f>
        <v>935446</v>
      </c>
      <c r="F4" s="856">
        <f>E4+'3. Aigua-Resid '!$M$68*E4</f>
        <v>954154.92</v>
      </c>
      <c r="G4" s="856">
        <f t="shared" ref="G4:G67" si="0">H4/15</f>
        <v>945424.09066666663</v>
      </c>
      <c r="H4" s="856">
        <f>E4*15+((120)*(F4-E4)/15)</f>
        <v>14181361.359999999</v>
      </c>
      <c r="I4" s="856">
        <f>H4*VLOOKUP(A4,'preus aigua'!$A$4:$K$314,11,FALSE)</f>
        <v>22753559.407038294</v>
      </c>
      <c r="J4" s="856">
        <f>H4*VLOOKUP('3b aigua'!A4,'preus aigua'!$A$4:$H$314,8,FALSE)</f>
        <v>41801508.972083934</v>
      </c>
      <c r="K4" s="856">
        <f>J4-I4</f>
        <v>19047949.56504564</v>
      </c>
    </row>
    <row r="5" spans="1:11">
      <c r="A5" s="835">
        <v>8002</v>
      </c>
      <c r="B5" s="826" t="s">
        <v>694</v>
      </c>
      <c r="C5" s="857">
        <f>VLOOKUP(B5,'BD ASVICC'!$A$6:$GS$316,144,FALSE)</f>
        <v>13013</v>
      </c>
      <c r="D5" s="857">
        <f>VLOOKUP(B5,'BD ASVICC'!$A$6:$GS$316,145,FALSE)</f>
        <v>196</v>
      </c>
      <c r="E5" s="857">
        <f t="shared" ref="E5:E68" si="1">C5+D5</f>
        <v>13209</v>
      </c>
      <c r="F5" s="857">
        <f>E5+'3. Aigua-Resid '!$M$68*E5</f>
        <v>13473.18</v>
      </c>
      <c r="G5" s="857">
        <f t="shared" si="0"/>
        <v>13349.896000000001</v>
      </c>
      <c r="H5" s="857">
        <f>E5*15+((120)*(F5-E5)/15)</f>
        <v>200248.44</v>
      </c>
      <c r="I5" s="857">
        <f>H5*VLOOKUP(A5,'preus aigua'!$A$4:$K$314,11,FALSE)</f>
        <v>379520.98940895998</v>
      </c>
      <c r="J5" s="857">
        <f>H5*VLOOKUP('3b aigua'!A5,'preus aigua'!$A$4:$H$314,8,FALSE)</f>
        <v>548905.34561013756</v>
      </c>
      <c r="K5" s="857">
        <f t="shared" ref="K5:K68" si="2">J5-I5</f>
        <v>169384.35620117758</v>
      </c>
    </row>
    <row r="6" spans="1:11">
      <c r="A6" s="835">
        <v>8003</v>
      </c>
      <c r="B6" s="826" t="s">
        <v>707</v>
      </c>
      <c r="C6" s="857">
        <f>VLOOKUP(B6,'BD ASVICC'!$A$6:$GS$316,144,FALSE)</f>
        <v>562801</v>
      </c>
      <c r="D6" s="857">
        <f>VLOOKUP(B6,'BD ASVICC'!$A$6:$GS$316,145,FALSE)</f>
        <v>123786</v>
      </c>
      <c r="E6" s="857">
        <f t="shared" si="1"/>
        <v>686587</v>
      </c>
      <c r="F6" s="857">
        <f>E6+'3. Aigua-Resid '!$M$68*E6</f>
        <v>700318.74</v>
      </c>
      <c r="G6" s="857">
        <f t="shared" si="0"/>
        <v>693910.5946666667</v>
      </c>
      <c r="H6" s="857">
        <f t="shared" ref="H6:H69" si="3">E6*15+((120)*(F6-E6)/15)</f>
        <v>10408658.92</v>
      </c>
      <c r="I6" s="857">
        <f>H6*VLOOKUP(A6,'preus aigua'!$A$4:$K$314,11,FALSE)</f>
        <v>23423590.520720426</v>
      </c>
      <c r="J6" s="857">
        <f>H6*VLOOKUP('3b aigua'!A6,'preus aigua'!$A$4:$H$314,8,FALSE)</f>
        <v>43032450.958307661</v>
      </c>
      <c r="K6" s="857">
        <f t="shared" si="2"/>
        <v>19608860.437587235</v>
      </c>
    </row>
    <row r="7" spans="1:11">
      <c r="A7" s="835">
        <v>8004</v>
      </c>
      <c r="B7" s="826" t="s">
        <v>716</v>
      </c>
      <c r="C7" s="857">
        <f>VLOOKUP(B7,'BD ASVICC'!$A$6:$GS$316,144,FALSE)</f>
        <v>11467</v>
      </c>
      <c r="D7" s="857">
        <f>VLOOKUP(B7,'BD ASVICC'!$A$6:$GS$316,145,FALSE)</f>
        <v>4626</v>
      </c>
      <c r="E7" s="857">
        <f t="shared" si="1"/>
        <v>16093</v>
      </c>
      <c r="F7" s="857">
        <f>E7+'3. Aigua-Resid '!$M$68*E7</f>
        <v>16414.86</v>
      </c>
      <c r="G7" s="857">
        <f t="shared" si="0"/>
        <v>16264.658666666666</v>
      </c>
      <c r="H7" s="857">
        <f t="shared" si="3"/>
        <v>243969.88</v>
      </c>
      <c r="I7" s="857">
        <f>H7*VLOOKUP(A7,'preus aigua'!$A$4:$K$314,11,FALSE)</f>
        <v>680256.98759274674</v>
      </c>
      <c r="J7" s="857">
        <f>H7*VLOOKUP('3b aigua'!A7,'preus aigua'!$A$4:$H$314,8,FALSE)</f>
        <v>983863.0992710318</v>
      </c>
      <c r="K7" s="857">
        <f t="shared" si="2"/>
        <v>303606.11167828506</v>
      </c>
    </row>
    <row r="8" spans="1:11">
      <c r="A8" s="835">
        <v>8005</v>
      </c>
      <c r="B8" s="826" t="s">
        <v>725</v>
      </c>
      <c r="C8" s="857">
        <f>VLOOKUP(B8,'BD ASVICC'!$A$6:$GS$316,144,FALSE)</f>
        <v>430115</v>
      </c>
      <c r="D8" s="857">
        <f>VLOOKUP(B8,'BD ASVICC'!$A$6:$GS$316,145,FALSE)</f>
        <v>131274</v>
      </c>
      <c r="E8" s="857">
        <f t="shared" si="1"/>
        <v>561389</v>
      </c>
      <c r="F8" s="857">
        <f>E8+'3. Aigua-Resid '!$M$68*E8</f>
        <v>572616.78</v>
      </c>
      <c r="G8" s="857">
        <f t="shared" si="0"/>
        <v>567377.14933333336</v>
      </c>
      <c r="H8" s="857">
        <f t="shared" si="3"/>
        <v>8510657.2400000002</v>
      </c>
      <c r="I8" s="857">
        <f>H8*VLOOKUP(A8,'preus aigua'!$A$4:$K$314,11,FALSE)</f>
        <v>23798589.138614722</v>
      </c>
      <c r="J8" s="857">
        <f>H8*VLOOKUP('3b aigua'!A8,'preus aigua'!$A$4:$H$314,8,FALSE)</f>
        <v>43721376.493429802</v>
      </c>
      <c r="K8" s="857">
        <f t="shared" si="2"/>
        <v>19922787.354815081</v>
      </c>
    </row>
    <row r="9" spans="1:11">
      <c r="A9" s="835">
        <v>8006</v>
      </c>
      <c r="B9" s="826" t="s">
        <v>334</v>
      </c>
      <c r="C9" s="857">
        <f>VLOOKUP(B9,'BD ASVICC'!$A$6:$GS$316,144,FALSE)</f>
        <v>737531</v>
      </c>
      <c r="D9" s="857">
        <f>VLOOKUP(B9,'BD ASVICC'!$A$6:$GS$316,145,FALSE)</f>
        <v>330826</v>
      </c>
      <c r="E9" s="857">
        <f t="shared" si="1"/>
        <v>1068357</v>
      </c>
      <c r="F9" s="857">
        <f>E9+'3. Aigua-Resid '!$M$68*E9</f>
        <v>1089724.1399999999</v>
      </c>
      <c r="G9" s="857">
        <f t="shared" si="0"/>
        <v>1079752.808</v>
      </c>
      <c r="H9" s="857">
        <f t="shared" si="3"/>
        <v>16196292.119999999</v>
      </c>
      <c r="I9" s="857">
        <f>H9*VLOOKUP(A9,'preus aigua'!$A$4:$K$314,11,FALSE)</f>
        <v>26935815.879154243</v>
      </c>
      <c r="J9" s="857">
        <f>H9*VLOOKUP('3b aigua'!A9,'preus aigua'!$A$4:$H$314,8,FALSE)</f>
        <v>49484906.031650491</v>
      </c>
      <c r="K9" s="857">
        <f t="shared" si="2"/>
        <v>22549090.152496248</v>
      </c>
    </row>
    <row r="10" spans="1:11">
      <c r="A10" s="835">
        <v>8007</v>
      </c>
      <c r="B10" s="826" t="s">
        <v>742</v>
      </c>
      <c r="C10" s="857">
        <f>VLOOKUP(B10,'BD ASVICC'!$A$6:$GS$316,144,FALSE)</f>
        <v>380107</v>
      </c>
      <c r="D10" s="857">
        <f>VLOOKUP(B10,'BD ASVICC'!$A$6:$GS$316,145,FALSE)</f>
        <v>112779</v>
      </c>
      <c r="E10" s="857">
        <f t="shared" si="1"/>
        <v>492886</v>
      </c>
      <c r="F10" s="857">
        <f>E10+'3. Aigua-Resid '!$M$68*E10</f>
        <v>502743.72</v>
      </c>
      <c r="G10" s="857">
        <f t="shared" si="0"/>
        <v>498143.45066666667</v>
      </c>
      <c r="H10" s="857">
        <f t="shared" si="3"/>
        <v>7472151.7599999998</v>
      </c>
      <c r="I10" s="857">
        <f>H10*VLOOKUP(A10,'preus aigua'!$A$4:$K$314,11,FALSE)</f>
        <v>17656913.791998297</v>
      </c>
      <c r="J10" s="857">
        <f>H10*VLOOKUP('3b aigua'!A10,'preus aigua'!$A$4:$H$314,8,FALSE)</f>
        <v>32438249.642261211</v>
      </c>
      <c r="K10" s="857">
        <f t="shared" si="2"/>
        <v>14781335.850262914</v>
      </c>
    </row>
    <row r="11" spans="1:11">
      <c r="A11" s="835">
        <v>8008</v>
      </c>
      <c r="B11" s="826" t="s">
        <v>751</v>
      </c>
      <c r="C11" s="857">
        <f>VLOOKUP(B11,'BD ASVICC'!$A$6:$GS$316,144,FALSE)</f>
        <v>5904</v>
      </c>
      <c r="D11" s="857">
        <f>VLOOKUP(B11,'BD ASVICC'!$A$6:$GS$316,145,FALSE)</f>
        <v>79</v>
      </c>
      <c r="E11" s="857">
        <f t="shared" si="1"/>
        <v>5983</v>
      </c>
      <c r="F11" s="857">
        <f>E11+'3. Aigua-Resid '!$M$68*E11</f>
        <v>6102.66</v>
      </c>
      <c r="G11" s="857">
        <f t="shared" si="0"/>
        <v>6046.818666666667</v>
      </c>
      <c r="H11" s="857">
        <f t="shared" si="3"/>
        <v>90702.28</v>
      </c>
      <c r="I11" s="857">
        <f>H11*VLOOKUP(A11,'preus aigua'!$A$4:$K$314,11,FALSE)</f>
        <v>189625.5727864533</v>
      </c>
      <c r="J11" s="857">
        <f>H11*VLOOKUP('3b aigua'!A11,'preus aigua'!$A$4:$H$314,8,FALSE)</f>
        <v>274257.53376372048</v>
      </c>
      <c r="K11" s="857">
        <f t="shared" si="2"/>
        <v>84631.960977267183</v>
      </c>
    </row>
    <row r="12" spans="1:11">
      <c r="A12" s="835">
        <v>8009</v>
      </c>
      <c r="B12" s="826" t="s">
        <v>761</v>
      </c>
      <c r="C12" s="857">
        <f>VLOOKUP(B12,'BD ASVICC'!$A$6:$GS$316,144,FALSE)</f>
        <v>529921</v>
      </c>
      <c r="D12" s="857">
        <f>VLOOKUP(B12,'BD ASVICC'!$A$6:$GS$316,145,FALSE)</f>
        <v>250990</v>
      </c>
      <c r="E12" s="857">
        <f t="shared" si="1"/>
        <v>780911</v>
      </c>
      <c r="F12" s="857">
        <f>E12+'3. Aigua-Resid '!$M$68*E12</f>
        <v>796529.22</v>
      </c>
      <c r="G12" s="857">
        <f t="shared" si="0"/>
        <v>789240.71733333333</v>
      </c>
      <c r="H12" s="857">
        <f t="shared" si="3"/>
        <v>11838610.76</v>
      </c>
      <c r="I12" s="857">
        <f>H12*VLOOKUP(A12,'preus aigua'!$A$4:$K$314,11,FALSE)</f>
        <v>29757437.29744992</v>
      </c>
      <c r="J12" s="857">
        <f>H12*VLOOKUP('3b aigua'!A12,'preus aigua'!$A$4:$H$314,8,FALSE)</f>
        <v>54668623.924870595</v>
      </c>
      <c r="K12" s="857">
        <f t="shared" si="2"/>
        <v>24911186.627420675</v>
      </c>
    </row>
    <row r="13" spans="1:11">
      <c r="A13" s="835">
        <v>8010</v>
      </c>
      <c r="B13" s="826" t="s">
        <v>767</v>
      </c>
      <c r="C13" s="857">
        <f>VLOOKUP(B13,'BD ASVICC'!$A$6:$GS$316,144,FALSE)</f>
        <v>222448</v>
      </c>
      <c r="D13" s="857">
        <f>VLOOKUP(B13,'BD ASVICC'!$A$6:$GS$316,145,FALSE)</f>
        <v>200778</v>
      </c>
      <c r="E13" s="857">
        <f t="shared" si="1"/>
        <v>423226</v>
      </c>
      <c r="F13" s="857">
        <f>E13+'3. Aigua-Resid '!$M$68*E13</f>
        <v>431690.52</v>
      </c>
      <c r="G13" s="857">
        <f t="shared" si="0"/>
        <v>427740.41066666669</v>
      </c>
      <c r="H13" s="857">
        <f t="shared" si="3"/>
        <v>6416106.1600000001</v>
      </c>
      <c r="I13" s="857">
        <f>H13*VLOOKUP(A13,'preus aigua'!$A$4:$K$314,11,FALSE)</f>
        <v>9616015.0625809077</v>
      </c>
      <c r="J13" s="857">
        <f>H13*VLOOKUP('3b aigua'!A13,'preus aigua'!$A$4:$H$314,8,FALSE)</f>
        <v>13907747.446427925</v>
      </c>
      <c r="K13" s="857">
        <f t="shared" si="2"/>
        <v>4291732.3838470168</v>
      </c>
    </row>
    <row r="14" spans="1:11">
      <c r="A14" s="835">
        <v>8011</v>
      </c>
      <c r="B14" s="826" t="s">
        <v>774</v>
      </c>
      <c r="C14" s="857">
        <f>VLOOKUP(B14,'BD ASVICC'!$A$6:$GS$316,144,FALSE)</f>
        <v>71479</v>
      </c>
      <c r="D14" s="857">
        <f>VLOOKUP(B14,'BD ASVICC'!$A$6:$GS$316,145,FALSE)</f>
        <v>69188</v>
      </c>
      <c r="E14" s="857">
        <f t="shared" si="1"/>
        <v>140667</v>
      </c>
      <c r="F14" s="857">
        <f>E14+'3. Aigua-Resid '!$M$68*E14</f>
        <v>143480.34</v>
      </c>
      <c r="G14" s="857">
        <f t="shared" si="0"/>
        <v>142167.44799999997</v>
      </c>
      <c r="H14" s="857">
        <f t="shared" si="3"/>
        <v>2132511.7199999997</v>
      </c>
      <c r="I14" s="857">
        <f>H14*VLOOKUP(A14,'preus aigua'!$A$4:$K$314,11,FALSE)</f>
        <v>4693601.4287407994</v>
      </c>
      <c r="J14" s="857">
        <f>H14*VLOOKUP('3b aigua'!A14,'preus aigua'!$A$4:$H$314,8,FALSE)</f>
        <v>6788406.9295124467</v>
      </c>
      <c r="K14" s="857">
        <f t="shared" si="2"/>
        <v>2094805.5007716473</v>
      </c>
    </row>
    <row r="15" spans="1:11">
      <c r="A15" s="835">
        <v>8012</v>
      </c>
      <c r="B15" s="826" t="s">
        <v>781</v>
      </c>
      <c r="C15" s="857">
        <f>VLOOKUP(B15,'BD ASVICC'!$A$6:$GS$316,144,FALSE)</f>
        <v>72471</v>
      </c>
      <c r="D15" s="857">
        <f>VLOOKUP(B15,'BD ASVICC'!$A$6:$GS$316,145,FALSE)</f>
        <v>560175</v>
      </c>
      <c r="E15" s="857">
        <f t="shared" si="1"/>
        <v>632646</v>
      </c>
      <c r="F15" s="857">
        <f>E15+'3. Aigua-Resid '!$M$68*E15</f>
        <v>645298.92000000004</v>
      </c>
      <c r="G15" s="857">
        <f t="shared" si="0"/>
        <v>639394.22399999993</v>
      </c>
      <c r="H15" s="857">
        <f t="shared" si="3"/>
        <v>9590913.3599999994</v>
      </c>
      <c r="I15" s="857">
        <f>H15*VLOOKUP(A15,'preus aigua'!$A$4:$K$314,11,FALSE)</f>
        <v>19533033.179358721</v>
      </c>
      <c r="J15" s="857">
        <f>H15*VLOOKUP('3b aigua'!A15,'preus aigua'!$A$4:$H$314,8,FALSE)</f>
        <v>28250838.892540719</v>
      </c>
      <c r="K15" s="857">
        <f t="shared" si="2"/>
        <v>8717805.7131819986</v>
      </c>
    </row>
    <row r="16" spans="1:11">
      <c r="A16" s="835">
        <v>8013</v>
      </c>
      <c r="B16" s="826" t="s">
        <v>787</v>
      </c>
      <c r="C16" s="857">
        <f>VLOOKUP(B16,'BD ASVICC'!$A$6:$GS$316,144,FALSE)</f>
        <v>62174</v>
      </c>
      <c r="D16" s="857">
        <f>VLOOKUP(B16,'BD ASVICC'!$A$6:$GS$316,145,FALSE)</f>
        <v>87607</v>
      </c>
      <c r="E16" s="857">
        <f t="shared" si="1"/>
        <v>149781</v>
      </c>
      <c r="F16" s="857">
        <f>E16+'3. Aigua-Resid '!$M$68*E16</f>
        <v>152776.62</v>
      </c>
      <c r="G16" s="857">
        <f t="shared" si="0"/>
        <v>151378.66399999999</v>
      </c>
      <c r="H16" s="857">
        <f t="shared" si="3"/>
        <v>2270679.96</v>
      </c>
      <c r="I16" s="857">
        <f>H16*VLOOKUP(A16,'preus aigua'!$A$4:$K$314,11,FALSE)</f>
        <v>5000315.8086617598</v>
      </c>
      <c r="J16" s="857">
        <f>H16*VLOOKUP('3b aigua'!A16,'preus aigua'!$A$4:$H$314,8,FALSE)</f>
        <v>9186287.841821</v>
      </c>
      <c r="K16" s="857">
        <f t="shared" si="2"/>
        <v>4185972.0331592401</v>
      </c>
    </row>
    <row r="17" spans="1:11">
      <c r="A17" s="835">
        <v>8014</v>
      </c>
      <c r="B17" s="826" t="s">
        <v>797</v>
      </c>
      <c r="C17" s="857">
        <f>VLOOKUP(B17,'BD ASVICC'!$A$6:$GS$316,144,FALSE)</f>
        <v>115760.59999999999</v>
      </c>
      <c r="D17" s="857">
        <f>VLOOKUP(B17,'BD ASVICC'!$A$6:$GS$316,145,FALSE)</f>
        <v>23786</v>
      </c>
      <c r="E17" s="857">
        <f t="shared" si="1"/>
        <v>139546.59999999998</v>
      </c>
      <c r="F17" s="857">
        <f>E17+'3. Aigua-Resid '!$M$68*E17</f>
        <v>142337.53199999998</v>
      </c>
      <c r="G17" s="857">
        <f t="shared" si="0"/>
        <v>141035.09706666661</v>
      </c>
      <c r="H17" s="857">
        <f t="shared" si="3"/>
        <v>2115526.4559999993</v>
      </c>
      <c r="I17" s="857">
        <f>H17*VLOOKUP(A17,'preus aigua'!$A$4:$K$314,11,FALSE)</f>
        <v>4092122.0585815674</v>
      </c>
      <c r="J17" s="857">
        <f>H17*VLOOKUP('3b aigua'!A17,'preus aigua'!$A$4:$H$314,8,FALSE)</f>
        <v>5918480.7573953737</v>
      </c>
      <c r="K17" s="857">
        <f t="shared" si="2"/>
        <v>1826358.6988138063</v>
      </c>
    </row>
    <row r="18" spans="1:11">
      <c r="A18" s="835">
        <v>8015</v>
      </c>
      <c r="B18" s="826" t="s">
        <v>335</v>
      </c>
      <c r="C18" s="857">
        <f>VLOOKUP(B18,'BD ASVICC'!$A$6:$GS$316,144,FALSE)</f>
        <v>7780986</v>
      </c>
      <c r="D18" s="857">
        <f>VLOOKUP(B18,'BD ASVICC'!$A$6:$GS$316,145,FALSE)</f>
        <v>1946258</v>
      </c>
      <c r="E18" s="857">
        <f t="shared" si="1"/>
        <v>9727244</v>
      </c>
      <c r="F18" s="857">
        <f>E18+'3. Aigua-Resid '!$M$68*E18</f>
        <v>9921788.8800000008</v>
      </c>
      <c r="G18" s="857">
        <f t="shared" si="0"/>
        <v>9831001.2693333346</v>
      </c>
      <c r="H18" s="857">
        <f t="shared" si="3"/>
        <v>147465019.04000002</v>
      </c>
      <c r="I18" s="857">
        <f>H18*VLOOKUP(A18,'preus aigua'!$A$4:$K$314,11,FALSE)</f>
        <v>420495911.93248385</v>
      </c>
      <c r="J18" s="857">
        <f>H18*VLOOKUP('3b aigua'!A18,'preus aigua'!$A$4:$H$314,8,FALSE)</f>
        <v>772510503.56249702</v>
      </c>
      <c r="K18" s="857">
        <f t="shared" si="2"/>
        <v>352014591.63001317</v>
      </c>
    </row>
    <row r="19" spans="1:11">
      <c r="A19" s="835">
        <v>8016</v>
      </c>
      <c r="B19" s="826" t="s">
        <v>807</v>
      </c>
      <c r="C19" s="857">
        <f>VLOOKUP(B19,'BD ASVICC'!$A$6:$GS$316,144,FALSE)</f>
        <v>73128</v>
      </c>
      <c r="D19" s="857">
        <f>VLOOKUP(B19,'BD ASVICC'!$A$6:$GS$316,145,FALSE)</f>
        <v>14866</v>
      </c>
      <c r="E19" s="857">
        <f t="shared" si="1"/>
        <v>87994</v>
      </c>
      <c r="F19" s="857">
        <f>E19+'3. Aigua-Resid '!$M$68*E19</f>
        <v>89753.88</v>
      </c>
      <c r="G19" s="857">
        <f t="shared" si="0"/>
        <v>88932.602666666673</v>
      </c>
      <c r="H19" s="857">
        <f t="shared" si="3"/>
        <v>1333989.04</v>
      </c>
      <c r="I19" s="857">
        <f>H19*VLOOKUP(A19,'preus aigua'!$A$4:$K$314,11,FALSE)</f>
        <v>1960960.3314958932</v>
      </c>
      <c r="J19" s="857">
        <f>H19*VLOOKUP('3b aigua'!A19,'preus aigua'!$A$4:$H$314,8,FALSE)</f>
        <v>2836158.3114646869</v>
      </c>
      <c r="K19" s="857">
        <f t="shared" si="2"/>
        <v>875197.97996879369</v>
      </c>
    </row>
    <row r="20" spans="1:11">
      <c r="A20" s="835">
        <v>8017</v>
      </c>
      <c r="B20" s="826" t="s">
        <v>812</v>
      </c>
      <c r="C20" s="857">
        <f>VLOOKUP(B20,'BD ASVICC'!$A$6:$GS$316,144,FALSE)</f>
        <v>125666</v>
      </c>
      <c r="D20" s="857">
        <f>VLOOKUP(B20,'BD ASVICC'!$A$6:$GS$316,145,FALSE)</f>
        <v>51221</v>
      </c>
      <c r="E20" s="857">
        <f t="shared" si="1"/>
        <v>176887</v>
      </c>
      <c r="F20" s="857">
        <f>E20+'3. Aigua-Resid '!$M$68*E20</f>
        <v>180424.74</v>
      </c>
      <c r="G20" s="857">
        <f t="shared" si="0"/>
        <v>178773.79466666665</v>
      </c>
      <c r="H20" s="857">
        <f t="shared" si="3"/>
        <v>2681606.92</v>
      </c>
      <c r="I20" s="857">
        <f>H20*VLOOKUP(A20,'preus aigua'!$A$4:$K$314,11,FALSE)</f>
        <v>4903557.8101048535</v>
      </c>
      <c r="J20" s="857">
        <f>H20*VLOOKUP('3b aigua'!A20,'preus aigua'!$A$4:$H$314,8,FALSE)</f>
        <v>7092069.1334268246</v>
      </c>
      <c r="K20" s="857">
        <f t="shared" si="2"/>
        <v>2188511.3233219711</v>
      </c>
    </row>
    <row r="21" spans="1:11">
      <c r="A21" s="835">
        <v>8018</v>
      </c>
      <c r="B21" s="826" t="s">
        <v>817</v>
      </c>
      <c r="C21" s="857">
        <f>VLOOKUP(B21,'BD ASVICC'!$A$6:$GS$316,144,FALSE)</f>
        <v>115123</v>
      </c>
      <c r="D21" s="857">
        <f>VLOOKUP(B21,'BD ASVICC'!$A$6:$GS$316,145,FALSE)</f>
        <v>173961</v>
      </c>
      <c r="E21" s="857">
        <f t="shared" si="1"/>
        <v>289084</v>
      </c>
      <c r="F21" s="857">
        <f>E21+'3. Aigua-Resid '!$M$68*E21</f>
        <v>294865.68</v>
      </c>
      <c r="G21" s="857">
        <f t="shared" si="0"/>
        <v>292167.56266666664</v>
      </c>
      <c r="H21" s="857">
        <f t="shared" si="3"/>
        <v>4382513.4399999995</v>
      </c>
      <c r="I21" s="857">
        <f>H21*VLOOKUP(A21,'preus aigua'!$A$4:$K$314,11,FALSE)</f>
        <v>6417098.2261956269</v>
      </c>
      <c r="J21" s="857">
        <f>H21*VLOOKUP('3b aigua'!A21,'preus aigua'!$A$4:$H$314,8,FALSE)</f>
        <v>9281119.1421840061</v>
      </c>
      <c r="K21" s="857">
        <f t="shared" si="2"/>
        <v>2864020.9159883792</v>
      </c>
    </row>
    <row r="22" spans="1:11">
      <c r="A22" s="835">
        <v>8019</v>
      </c>
      <c r="B22" s="826" t="s">
        <v>331</v>
      </c>
      <c r="C22" s="857">
        <f>VLOOKUP(B22,'BD ASVICC'!$A$6:$GS$316,144,FALSE)</f>
        <v>62594195</v>
      </c>
      <c r="D22" s="857">
        <f>VLOOKUP(B22,'BD ASVICC'!$A$6:$GS$316,145,FALSE)</f>
        <v>35178135</v>
      </c>
      <c r="E22" s="857">
        <f t="shared" si="1"/>
        <v>97772330</v>
      </c>
      <c r="F22" s="857">
        <f>E22+'3. Aigua-Resid '!$M$68*E22</f>
        <v>99727776.599999994</v>
      </c>
      <c r="G22" s="857">
        <f t="shared" si="0"/>
        <v>98815234.853333324</v>
      </c>
      <c r="H22" s="857">
        <f t="shared" si="3"/>
        <v>1482228522.8</v>
      </c>
      <c r="I22" s="857">
        <f>H22*VLOOKUP(A22,'preus aigua'!$A$4:$K$314,11,FALSE)</f>
        <v>4487215625.1274424</v>
      </c>
      <c r="J22" s="857">
        <f>H22*VLOOKUP('3b aigua'!A22,'preus aigua'!$A$4:$H$314,8,FALSE)</f>
        <v>8243650184.9209051</v>
      </c>
      <c r="K22" s="857">
        <f t="shared" si="2"/>
        <v>3756434559.7934628</v>
      </c>
    </row>
    <row r="23" spans="1:11">
      <c r="A23" s="835">
        <v>8020</v>
      </c>
      <c r="B23" s="826" t="s">
        <v>825</v>
      </c>
      <c r="C23" s="857">
        <f>VLOOKUP(B23,'BD ASVICC'!$A$6:$GS$316,144,FALSE)</f>
        <v>317470</v>
      </c>
      <c r="D23" s="857">
        <f>VLOOKUP(B23,'BD ASVICC'!$A$6:$GS$316,145,FALSE)</f>
        <v>60365</v>
      </c>
      <c r="E23" s="857">
        <f t="shared" si="1"/>
        <v>377835</v>
      </c>
      <c r="F23" s="857">
        <f>E23+'3. Aigua-Resid '!$M$68*E23</f>
        <v>385391.7</v>
      </c>
      <c r="G23" s="857">
        <f t="shared" si="0"/>
        <v>381865.24</v>
      </c>
      <c r="H23" s="857">
        <f t="shared" si="3"/>
        <v>5727978.5999999996</v>
      </c>
      <c r="I23" s="857">
        <f>H23*VLOOKUP(A23,'preus aigua'!$A$4:$K$314,11,FALSE)</f>
        <v>17623645.9865552</v>
      </c>
      <c r="J23" s="857">
        <f>H23*VLOOKUP('3b aigua'!A23,'preus aigua'!$A$4:$H$314,8,FALSE)</f>
        <v>32377131.975225754</v>
      </c>
      <c r="K23" s="857">
        <f t="shared" si="2"/>
        <v>14753485.988670554</v>
      </c>
    </row>
    <row r="24" spans="1:11">
      <c r="A24" s="835">
        <v>8021</v>
      </c>
      <c r="B24" s="826" t="s">
        <v>829</v>
      </c>
      <c r="C24" s="857">
        <f>VLOOKUP(B24,'BD ASVICC'!$A$6:$GS$316,144,FALSE)</f>
        <v>879</v>
      </c>
      <c r="D24" s="857">
        <f>VLOOKUP(B24,'BD ASVICC'!$A$6:$GS$316,145,FALSE)</f>
        <v>0</v>
      </c>
      <c r="E24" s="857">
        <f t="shared" si="1"/>
        <v>879</v>
      </c>
      <c r="F24" s="857">
        <f>E24+'3. Aigua-Resid '!$M$68*E24</f>
        <v>896.58</v>
      </c>
      <c r="G24" s="857">
        <f t="shared" si="0"/>
        <v>888.37599999999998</v>
      </c>
      <c r="H24" s="857">
        <f t="shared" si="3"/>
        <v>13325.64</v>
      </c>
      <c r="I24" s="857">
        <f>H24*VLOOKUP(A24,'preus aigua'!$A$4:$K$314,11,FALSE)</f>
        <v>25714.896160960001</v>
      </c>
      <c r="J24" s="857">
        <f>H24*VLOOKUP('3b aigua'!A24,'preus aigua'!$A$4:$H$314,8,FALSE)</f>
        <v>37191.734735257596</v>
      </c>
      <c r="K24" s="857">
        <f t="shared" si="2"/>
        <v>11476.838574297595</v>
      </c>
    </row>
    <row r="25" spans="1:11">
      <c r="A25" s="835">
        <v>8022</v>
      </c>
      <c r="B25" s="826" t="s">
        <v>777</v>
      </c>
      <c r="C25" s="857">
        <f>VLOOKUP(B25,'BD ASVICC'!$A$6:$GS$316,144,FALSE)</f>
        <v>526462</v>
      </c>
      <c r="D25" s="857">
        <f>VLOOKUP(B25,'BD ASVICC'!$A$6:$GS$316,145,FALSE)</f>
        <v>260797</v>
      </c>
      <c r="E25" s="857">
        <f t="shared" si="1"/>
        <v>787259</v>
      </c>
      <c r="F25" s="857">
        <f>E25+'3. Aigua-Resid '!$M$68*E25</f>
        <v>803004.18</v>
      </c>
      <c r="G25" s="857">
        <f t="shared" si="0"/>
        <v>795656.42933333339</v>
      </c>
      <c r="H25" s="857">
        <f t="shared" si="3"/>
        <v>11934846.440000001</v>
      </c>
      <c r="I25" s="857">
        <f>H25*VLOOKUP(A25,'preus aigua'!$A$4:$K$314,11,FALSE)</f>
        <v>27818312.95498113</v>
      </c>
      <c r="J25" s="857">
        <f>H25*VLOOKUP('3b aigua'!A25,'preus aigua'!$A$4:$H$314,8,FALSE)</f>
        <v>40233929.381942071</v>
      </c>
      <c r="K25" s="857">
        <f t="shared" si="2"/>
        <v>12415616.426960941</v>
      </c>
    </row>
    <row r="26" spans="1:11">
      <c r="A26" s="835">
        <v>8023</v>
      </c>
      <c r="B26" s="826" t="s">
        <v>838</v>
      </c>
      <c r="C26" s="857">
        <f>VLOOKUP(B26,'BD ASVICC'!$A$6:$GS$316,144,FALSE)</f>
        <v>431638</v>
      </c>
      <c r="D26" s="857">
        <f>VLOOKUP(B26,'BD ASVICC'!$A$6:$GS$316,145,FALSE)</f>
        <v>70617</v>
      </c>
      <c r="E26" s="857">
        <f t="shared" si="1"/>
        <v>502255</v>
      </c>
      <c r="F26" s="857">
        <f>E26+'3. Aigua-Resid '!$M$68*E26</f>
        <v>512300.1</v>
      </c>
      <c r="G26" s="857">
        <f t="shared" si="0"/>
        <v>507612.38666666666</v>
      </c>
      <c r="H26" s="857">
        <f t="shared" si="3"/>
        <v>7614185.7999999998</v>
      </c>
      <c r="I26" s="857">
        <f>H26*VLOOKUP(A26,'preus aigua'!$A$4:$K$314,11,FALSE)</f>
        <v>23602087.661921602</v>
      </c>
      <c r="J26" s="857">
        <f>H26*VLOOKUP('3b aigua'!A26,'preus aigua'!$A$4:$H$314,8,FALSE)</f>
        <v>43360375.469630666</v>
      </c>
      <c r="K26" s="857">
        <f t="shared" si="2"/>
        <v>19758287.807709064</v>
      </c>
    </row>
    <row r="27" spans="1:11">
      <c r="A27" s="835">
        <v>8024</v>
      </c>
      <c r="B27" s="826" t="s">
        <v>843</v>
      </c>
      <c r="C27" s="857">
        <f>VLOOKUP(B27,'BD ASVICC'!$A$6:$GS$316,144,FALSE)</f>
        <v>18696</v>
      </c>
      <c r="D27" s="857">
        <f>VLOOKUP(B27,'BD ASVICC'!$A$6:$GS$316,145,FALSE)</f>
        <v>16904</v>
      </c>
      <c r="E27" s="857">
        <f t="shared" si="1"/>
        <v>35600</v>
      </c>
      <c r="F27" s="857">
        <f>E27+'3. Aigua-Resid '!$M$68*E27</f>
        <v>36312</v>
      </c>
      <c r="G27" s="857">
        <f t="shared" si="0"/>
        <v>35979.73333333333</v>
      </c>
      <c r="H27" s="857">
        <f t="shared" si="3"/>
        <v>539696</v>
      </c>
      <c r="I27" s="857">
        <f>H27*VLOOKUP(A27,'preus aigua'!$A$4:$K$314,11,FALSE)</f>
        <v>764818.31308800005</v>
      </c>
      <c r="J27" s="857">
        <f>H27*VLOOKUP('3b aigua'!A27,'preus aigua'!$A$4:$H$314,8,FALSE)</f>
        <v>1106165.0664652803</v>
      </c>
      <c r="K27" s="857">
        <f t="shared" si="2"/>
        <v>341346.7533772802</v>
      </c>
    </row>
    <row r="28" spans="1:11">
      <c r="A28" s="835">
        <v>8025</v>
      </c>
      <c r="B28" s="826" t="s">
        <v>846</v>
      </c>
      <c r="C28" s="857">
        <f>VLOOKUP(B28,'BD ASVICC'!$A$6:$GS$316,144,FALSE)</f>
        <v>95683</v>
      </c>
      <c r="D28" s="857">
        <f>VLOOKUP(B28,'BD ASVICC'!$A$6:$GS$316,145,FALSE)</f>
        <v>20341</v>
      </c>
      <c r="E28" s="857">
        <f t="shared" si="1"/>
        <v>116024</v>
      </c>
      <c r="F28" s="857">
        <f>E28+'3. Aigua-Resid '!$M$68*E28</f>
        <v>118344.48</v>
      </c>
      <c r="G28" s="857">
        <f t="shared" si="0"/>
        <v>117261.58933333332</v>
      </c>
      <c r="H28" s="857">
        <f t="shared" si="3"/>
        <v>1758923.8399999999</v>
      </c>
      <c r="I28" s="857">
        <f>H28*VLOOKUP(A28,'preus aigua'!$A$4:$K$314,11,FALSE)</f>
        <v>3560019.6379878395</v>
      </c>
      <c r="J28" s="857">
        <f>H28*VLOOKUP('3b aigua'!A28,'preus aigua'!$A$4:$H$314,8,FALSE)</f>
        <v>5148895.2239816692</v>
      </c>
      <c r="K28" s="857">
        <f t="shared" si="2"/>
        <v>1588875.5859938296</v>
      </c>
    </row>
    <row r="29" spans="1:11">
      <c r="A29" s="835">
        <v>8026</v>
      </c>
      <c r="B29" s="826" t="s">
        <v>850</v>
      </c>
      <c r="C29" s="857">
        <f>VLOOKUP(B29,'BD ASVICC'!$A$6:$GS$316,144,FALSE)</f>
        <v>13192</v>
      </c>
      <c r="D29" s="857">
        <f>VLOOKUP(B29,'BD ASVICC'!$A$6:$GS$316,145,FALSE)</f>
        <v>134484</v>
      </c>
      <c r="E29" s="857">
        <f t="shared" si="1"/>
        <v>147676</v>
      </c>
      <c r="F29" s="857">
        <f>E29+'3. Aigua-Resid '!$M$68*E29</f>
        <v>150629.51999999999</v>
      </c>
      <c r="G29" s="857">
        <f t="shared" si="0"/>
        <v>149251.21066666668</v>
      </c>
      <c r="H29" s="857">
        <f t="shared" si="3"/>
        <v>2238768.16</v>
      </c>
      <c r="I29" s="857">
        <f>H29*VLOOKUP(A29,'preus aigua'!$A$4:$K$314,11,FALSE)</f>
        <v>3077416.682784427</v>
      </c>
      <c r="J29" s="857">
        <f>H29*VLOOKUP('3b aigua'!A29,'preus aigua'!$A$4:$H$314,8,FALSE)</f>
        <v>4450901.3071473325</v>
      </c>
      <c r="K29" s="857">
        <f t="shared" si="2"/>
        <v>1373484.6243629055</v>
      </c>
    </row>
    <row r="30" spans="1:11">
      <c r="A30" s="835">
        <v>8027</v>
      </c>
      <c r="B30" s="826" t="s">
        <v>854</v>
      </c>
      <c r="C30" s="857">
        <f>VLOOKUP(B30,'BD ASVICC'!$A$6:$GS$316,144,FALSE)</f>
        <v>28490</v>
      </c>
      <c r="D30" s="857">
        <f>VLOOKUP(B30,'BD ASVICC'!$A$6:$GS$316,145,FALSE)</f>
        <v>10187</v>
      </c>
      <c r="E30" s="857">
        <f t="shared" si="1"/>
        <v>38677</v>
      </c>
      <c r="F30" s="857">
        <f>E30+'3. Aigua-Resid '!$M$68*E30</f>
        <v>39450.54</v>
      </c>
      <c r="G30" s="857">
        <f t="shared" si="0"/>
        <v>39089.554666666671</v>
      </c>
      <c r="H30" s="857">
        <f t="shared" si="3"/>
        <v>586343.32000000007</v>
      </c>
      <c r="I30" s="857">
        <f>H30*VLOOKUP(A30,'preus aigua'!$A$4:$K$314,11,FALSE)</f>
        <v>1790562.7219585069</v>
      </c>
      <c r="J30" s="857">
        <f>H30*VLOOKUP('3b aigua'!A30,'preus aigua'!$A$4:$H$314,8,FALSE)</f>
        <v>3289517.1409478453</v>
      </c>
      <c r="K30" s="857">
        <f t="shared" si="2"/>
        <v>1498954.4189893384</v>
      </c>
    </row>
    <row r="31" spans="1:11">
      <c r="A31" s="835">
        <v>8028</v>
      </c>
      <c r="B31" s="826" t="s">
        <v>856</v>
      </c>
      <c r="C31" s="857">
        <f>VLOOKUP(B31,'BD ASVICC'!$A$6:$GS$316,144,FALSE)</f>
        <v>101657</v>
      </c>
      <c r="D31" s="857">
        <f>VLOOKUP(B31,'BD ASVICC'!$A$6:$GS$316,145,FALSE)</f>
        <v>8110</v>
      </c>
      <c r="E31" s="857">
        <f t="shared" si="1"/>
        <v>109767</v>
      </c>
      <c r="F31" s="857">
        <f>E31+'3. Aigua-Resid '!$M$68*E31</f>
        <v>111962.34</v>
      </c>
      <c r="G31" s="857">
        <f t="shared" si="0"/>
        <v>110937.848</v>
      </c>
      <c r="H31" s="857">
        <f t="shared" si="3"/>
        <v>1664067.72</v>
      </c>
      <c r="I31" s="857">
        <f>H31*VLOOKUP(A31,'preus aigua'!$A$4:$K$314,11,FALSE)</f>
        <v>3077322.7157276799</v>
      </c>
      <c r="J31" s="857">
        <f>H31*VLOOKUP('3b aigua'!A31,'preus aigua'!$A$4:$H$314,8,FALSE)</f>
        <v>4450765.4015684612</v>
      </c>
      <c r="K31" s="857">
        <f t="shared" si="2"/>
        <v>1373442.6858407813</v>
      </c>
    </row>
    <row r="32" spans="1:11">
      <c r="A32" s="835">
        <v>8029</v>
      </c>
      <c r="B32" s="826" t="s">
        <v>336</v>
      </c>
      <c r="C32" s="857">
        <f>VLOOKUP(B32,'BD ASVICC'!$A$6:$GS$316,144,FALSE)</f>
        <v>333754.453125</v>
      </c>
      <c r="D32" s="857">
        <f>VLOOKUP(B32,'BD ASVICC'!$A$6:$GS$316,145,FALSE)</f>
        <v>319802</v>
      </c>
      <c r="E32" s="857">
        <f t="shared" si="1"/>
        <v>653556.453125</v>
      </c>
      <c r="F32" s="857">
        <f>E32+'3. Aigua-Resid '!$M$68*E32</f>
        <v>666627.58218749997</v>
      </c>
      <c r="G32" s="857">
        <f t="shared" si="0"/>
        <v>660527.72195833328</v>
      </c>
      <c r="H32" s="857">
        <f t="shared" si="3"/>
        <v>9907915.8293749988</v>
      </c>
      <c r="I32" s="857">
        <f>H32*VLOOKUP(A32,'preus aigua'!$A$4:$K$314,11,FALSE)</f>
        <v>22718058.363490522</v>
      </c>
      <c r="J32" s="857">
        <f>H32*VLOOKUP('3b aigua'!A32,'preus aigua'!$A$4:$H$314,8,FALSE)</f>
        <v>41736288.530577041</v>
      </c>
      <c r="K32" s="857">
        <f t="shared" si="2"/>
        <v>19018230.167086519</v>
      </c>
    </row>
    <row r="33" spans="1:11">
      <c r="A33" s="835">
        <v>8030</v>
      </c>
      <c r="B33" s="826" t="s">
        <v>864</v>
      </c>
      <c r="C33" s="857">
        <f>VLOOKUP(B33,'BD ASVICC'!$A$6:$GS$316,144,FALSE)</f>
        <v>609873</v>
      </c>
      <c r="D33" s="857">
        <f>VLOOKUP(B33,'BD ASVICC'!$A$6:$GS$316,145,FALSE)</f>
        <v>63774</v>
      </c>
      <c r="E33" s="857">
        <f t="shared" si="1"/>
        <v>673647</v>
      </c>
      <c r="F33" s="857">
        <f>E33+'3. Aigua-Resid '!$M$68*E33</f>
        <v>687119.94</v>
      </c>
      <c r="G33" s="857">
        <f t="shared" si="0"/>
        <v>680832.56799999997</v>
      </c>
      <c r="H33" s="857">
        <f t="shared" si="3"/>
        <v>10212488.52</v>
      </c>
      <c r="I33" s="857">
        <f>H33*VLOOKUP(A33,'preus aigua'!$A$4:$K$314,11,FALSE)</f>
        <v>24918826.021735363</v>
      </c>
      <c r="J33" s="857">
        <f>H33*VLOOKUP('3b aigua'!A33,'preus aigua'!$A$4:$H$314,8,FALSE)</f>
        <v>45779410.196330003</v>
      </c>
      <c r="K33" s="857">
        <f t="shared" si="2"/>
        <v>20860584.174594641</v>
      </c>
    </row>
    <row r="34" spans="1:11">
      <c r="A34" s="835">
        <v>8031</v>
      </c>
      <c r="B34" s="826" t="s">
        <v>865</v>
      </c>
      <c r="C34" s="857">
        <f>VLOOKUP(B34,'BD ASVICC'!$A$6:$GS$316,144,FALSE)</f>
        <v>103948</v>
      </c>
      <c r="D34" s="857">
        <f>VLOOKUP(B34,'BD ASVICC'!$A$6:$GS$316,145,FALSE)</f>
        <v>54861</v>
      </c>
      <c r="E34" s="857">
        <f t="shared" si="1"/>
        <v>158809</v>
      </c>
      <c r="F34" s="857">
        <f>E34+'3. Aigua-Resid '!$M$68*E34</f>
        <v>161985.18</v>
      </c>
      <c r="G34" s="857">
        <f t="shared" si="0"/>
        <v>160502.96266666666</v>
      </c>
      <c r="H34" s="857">
        <f t="shared" si="3"/>
        <v>2407544.44</v>
      </c>
      <c r="I34" s="857">
        <f>H34*VLOOKUP(A34,'preus aigua'!$A$4:$K$314,11,FALSE)</f>
        <v>6386400.044269653</v>
      </c>
      <c r="J34" s="857">
        <f>H34*VLOOKUP('3b aigua'!A34,'preus aigua'!$A$4:$H$314,8,FALSE)</f>
        <v>9236720.0269047134</v>
      </c>
      <c r="K34" s="857">
        <f t="shared" si="2"/>
        <v>2850319.9826350603</v>
      </c>
    </row>
    <row r="35" spans="1:11">
      <c r="A35" s="835">
        <v>8032</v>
      </c>
      <c r="B35" s="826" t="s">
        <v>337</v>
      </c>
      <c r="C35" s="857">
        <f>VLOOKUP(B35,'BD ASVICC'!$A$6:$GS$316,144,FALSE)</f>
        <v>192087</v>
      </c>
      <c r="D35" s="857">
        <f>VLOOKUP(B35,'BD ASVICC'!$A$6:$GS$316,145,FALSE)</f>
        <v>52189</v>
      </c>
      <c r="E35" s="857">
        <f t="shared" si="1"/>
        <v>244276</v>
      </c>
      <c r="F35" s="857">
        <f>E35+'3. Aigua-Resid '!$M$68*E35</f>
        <v>249161.52</v>
      </c>
      <c r="G35" s="857">
        <f t="shared" si="0"/>
        <v>246881.61066666667</v>
      </c>
      <c r="H35" s="857">
        <f t="shared" si="3"/>
        <v>3703224.16</v>
      </c>
      <c r="I35" s="857">
        <f>H35*VLOOKUP(A35,'preus aigua'!$A$4:$K$314,11,FALSE)</f>
        <v>10976840.298196908</v>
      </c>
      <c r="J35" s="857">
        <f>H35*VLOOKUP('3b aigua'!A35,'preus aigua'!$A$4:$H$314,8,FALSE)</f>
        <v>20166009.194512058</v>
      </c>
      <c r="K35" s="857">
        <f t="shared" si="2"/>
        <v>9189168.89631515</v>
      </c>
    </row>
    <row r="36" spans="1:11">
      <c r="A36" s="835">
        <v>8033</v>
      </c>
      <c r="B36" s="826" t="s">
        <v>867</v>
      </c>
      <c r="C36" s="857">
        <f>VLOOKUP(B36,'BD ASVICC'!$A$6:$GS$316,144,FALSE)</f>
        <v>639122</v>
      </c>
      <c r="D36" s="857">
        <f>VLOOKUP(B36,'BD ASVICC'!$A$6:$GS$316,145,FALSE)</f>
        <v>306735</v>
      </c>
      <c r="E36" s="857">
        <f t="shared" si="1"/>
        <v>945857</v>
      </c>
      <c r="F36" s="857">
        <f>E36+'3. Aigua-Resid '!$M$68*E36</f>
        <v>964774.14</v>
      </c>
      <c r="G36" s="857">
        <f t="shared" si="0"/>
        <v>955946.14133333345</v>
      </c>
      <c r="H36" s="857">
        <f t="shared" si="3"/>
        <v>14339192.120000001</v>
      </c>
      <c r="I36" s="857">
        <f>H36*VLOOKUP(A36,'preus aigua'!$A$4:$K$314,11,FALSE)</f>
        <v>31131686.179272216</v>
      </c>
      <c r="J36" s="857">
        <f>H36*VLOOKUP('3b aigua'!A36,'preus aigua'!$A$4:$H$314,8,FALSE)</f>
        <v>57193313.62003985</v>
      </c>
      <c r="K36" s="857">
        <f t="shared" si="2"/>
        <v>26061627.440767635</v>
      </c>
    </row>
    <row r="37" spans="1:11">
      <c r="A37" s="835">
        <v>8034</v>
      </c>
      <c r="B37" s="826" t="s">
        <v>875</v>
      </c>
      <c r="C37" s="857">
        <f>VLOOKUP(B37,'BD ASVICC'!$A$6:$GS$316,144,FALSE)</f>
        <v>56446</v>
      </c>
      <c r="D37" s="857">
        <f>VLOOKUP(B37,'BD ASVICC'!$A$6:$GS$316,145,FALSE)</f>
        <v>37822</v>
      </c>
      <c r="E37" s="857">
        <f t="shared" si="1"/>
        <v>94268</v>
      </c>
      <c r="F37" s="857">
        <f>E37+'3. Aigua-Resid '!$M$68*E37</f>
        <v>96153.36</v>
      </c>
      <c r="G37" s="857">
        <f t="shared" si="0"/>
        <v>95273.525333333324</v>
      </c>
      <c r="H37" s="857">
        <f t="shared" si="3"/>
        <v>1429102.88</v>
      </c>
      <c r="I37" s="857">
        <f>H37*VLOOKUP(A37,'preus aigua'!$A$4:$K$314,11,FALSE)</f>
        <v>3602036.6598054403</v>
      </c>
      <c r="J37" s="857">
        <f>H37*VLOOKUP('3b aigua'!A37,'preus aigua'!$A$4:$H$314,8,FALSE)</f>
        <v>5209664.900826727</v>
      </c>
      <c r="K37" s="857">
        <f t="shared" si="2"/>
        <v>1607628.2410212867</v>
      </c>
    </row>
    <row r="38" spans="1:11">
      <c r="A38" s="835">
        <v>8035</v>
      </c>
      <c r="B38" s="826" t="s">
        <v>338</v>
      </c>
      <c r="C38" s="857">
        <f>VLOOKUP(B38,'BD ASVICC'!$A$6:$GS$316,144,FALSE)</f>
        <v>794665</v>
      </c>
      <c r="D38" s="857">
        <f>VLOOKUP(B38,'BD ASVICC'!$A$6:$GS$316,145,FALSE)</f>
        <v>661676</v>
      </c>
      <c r="E38" s="857">
        <f t="shared" si="1"/>
        <v>1456341</v>
      </c>
      <c r="F38" s="857">
        <f>E38+'3. Aigua-Resid '!$M$68*E38</f>
        <v>1485467.82</v>
      </c>
      <c r="G38" s="857">
        <f t="shared" si="0"/>
        <v>1471875.3040000002</v>
      </c>
      <c r="H38" s="857">
        <f t="shared" si="3"/>
        <v>22078129.560000002</v>
      </c>
      <c r="I38" s="857">
        <f>H38*VLOOKUP(A38,'preus aigua'!$A$4:$K$314,11,FALSE)</f>
        <v>52957896.812883541</v>
      </c>
      <c r="J38" s="857">
        <f>H38*VLOOKUP('3b aigua'!A38,'preus aigua'!$A$4:$H$314,8,FALSE)</f>
        <v>97291151.646440119</v>
      </c>
      <c r="K38" s="857">
        <f t="shared" si="2"/>
        <v>44333254.833556578</v>
      </c>
    </row>
    <row r="39" spans="1:11">
      <c r="A39" s="835">
        <v>8036</v>
      </c>
      <c r="B39" s="826" t="s">
        <v>881</v>
      </c>
      <c r="C39" s="857">
        <f>VLOOKUP(B39,'BD ASVICC'!$A$6:$GS$316,144,FALSE)</f>
        <v>7959</v>
      </c>
      <c r="D39" s="857">
        <f>VLOOKUP(B39,'BD ASVICC'!$A$6:$GS$316,145,FALSE)</f>
        <v>1627</v>
      </c>
      <c r="E39" s="857">
        <f t="shared" si="1"/>
        <v>9586</v>
      </c>
      <c r="F39" s="857">
        <f>E39+'3. Aigua-Resid '!$M$68*E39</f>
        <v>9777.7199999999993</v>
      </c>
      <c r="G39" s="857">
        <f t="shared" si="0"/>
        <v>9688.2506666666668</v>
      </c>
      <c r="H39" s="857">
        <f t="shared" si="3"/>
        <v>145323.76</v>
      </c>
      <c r="I39" s="857">
        <f>H39*VLOOKUP(A39,'preus aigua'!$A$4:$K$314,11,FALSE)</f>
        <v>243356.06825578667</v>
      </c>
      <c r="J39" s="857">
        <f>H39*VLOOKUP('3b aigua'!A39,'preus aigua'!$A$4:$H$314,8,FALSE)</f>
        <v>351968.53528521396</v>
      </c>
      <c r="K39" s="857">
        <f t="shared" si="2"/>
        <v>108612.46702942729</v>
      </c>
    </row>
    <row r="40" spans="1:11">
      <c r="A40" s="835">
        <v>8037</v>
      </c>
      <c r="B40" s="826" t="s">
        <v>886</v>
      </c>
      <c r="C40" s="857">
        <f>VLOOKUP(B40,'BD ASVICC'!$A$6:$GS$316,144,FALSE)</f>
        <v>90406</v>
      </c>
      <c r="D40" s="857">
        <f>VLOOKUP(B40,'BD ASVICC'!$A$6:$GS$316,145,FALSE)</f>
        <v>38270</v>
      </c>
      <c r="E40" s="857">
        <f t="shared" si="1"/>
        <v>128676</v>
      </c>
      <c r="F40" s="857">
        <f>E40+'3. Aigua-Resid '!$M$68*E40</f>
        <v>131249.51999999999</v>
      </c>
      <c r="G40" s="857">
        <f t="shared" si="0"/>
        <v>130048.54399999999</v>
      </c>
      <c r="H40" s="857">
        <f t="shared" si="3"/>
        <v>1950728.16</v>
      </c>
      <c r="I40" s="857">
        <f>H40*VLOOKUP(A40,'preus aigua'!$A$4:$K$314,11,FALSE)</f>
        <v>4463895.4650329603</v>
      </c>
      <c r="J40" s="857">
        <f>H40*VLOOKUP('3b aigua'!A40,'preus aigua'!$A$4:$H$314,8,FALSE)</f>
        <v>6456180.6892875787</v>
      </c>
      <c r="K40" s="857">
        <f t="shared" si="2"/>
        <v>1992285.2242546184</v>
      </c>
    </row>
    <row r="41" spans="1:11">
      <c r="A41" s="835">
        <v>8038</v>
      </c>
      <c r="B41" s="826" t="s">
        <v>890</v>
      </c>
      <c r="C41" s="857">
        <f>VLOOKUP(B41,'BD ASVICC'!$A$6:$GS$316,144,FALSE)</f>
        <v>75093</v>
      </c>
      <c r="D41" s="857">
        <f>VLOOKUP(B41,'BD ASVICC'!$A$6:$GS$316,145,FALSE)</f>
        <v>22834</v>
      </c>
      <c r="E41" s="857">
        <f t="shared" si="1"/>
        <v>97927</v>
      </c>
      <c r="F41" s="857">
        <f>E41+'3. Aigua-Resid '!$M$68*E41</f>
        <v>99885.54</v>
      </c>
      <c r="G41" s="857">
        <f t="shared" si="0"/>
        <v>98971.554666666649</v>
      </c>
      <c r="H41" s="857">
        <f t="shared" si="3"/>
        <v>1484573.3199999998</v>
      </c>
      <c r="I41" s="857">
        <f>H41*VLOOKUP(A41,'preus aigua'!$A$4:$K$314,11,FALSE)</f>
        <v>3066166.4756086394</v>
      </c>
      <c r="J41" s="857">
        <f>H41*VLOOKUP('3b aigua'!A41,'preus aigua'!$A$4:$H$314,8,FALSE)</f>
        <v>4434630.0098269181</v>
      </c>
      <c r="K41" s="857">
        <f t="shared" si="2"/>
        <v>1368463.5342182787</v>
      </c>
    </row>
    <row r="42" spans="1:11">
      <c r="A42" s="835">
        <v>8039</v>
      </c>
      <c r="B42" s="826" t="s">
        <v>894</v>
      </c>
      <c r="C42" s="857">
        <f>VLOOKUP(B42,'BD ASVICC'!$A$6:$GS$316,144,FALSE)</f>
        <v>30800</v>
      </c>
      <c r="D42" s="857">
        <f>VLOOKUP(B42,'BD ASVICC'!$A$6:$GS$316,145,FALSE)</f>
        <v>7206</v>
      </c>
      <c r="E42" s="857">
        <f t="shared" si="1"/>
        <v>38006</v>
      </c>
      <c r="F42" s="857">
        <f>E42+'3. Aigua-Resid '!$M$68*E42</f>
        <v>38766.120000000003</v>
      </c>
      <c r="G42" s="857">
        <f t="shared" si="0"/>
        <v>38411.397333333334</v>
      </c>
      <c r="H42" s="857">
        <f t="shared" si="3"/>
        <v>576170.96</v>
      </c>
      <c r="I42" s="857">
        <f>H42*VLOOKUP(A42,'preus aigua'!$A$4:$K$314,11,FALSE)</f>
        <v>1079406.3587434664</v>
      </c>
      <c r="J42" s="857">
        <f>H42*VLOOKUP('3b aigua'!A42,'preus aigua'!$A$4:$H$314,8,FALSE)</f>
        <v>1561157.1874392745</v>
      </c>
      <c r="K42" s="857">
        <f t="shared" si="2"/>
        <v>481750.82869580807</v>
      </c>
    </row>
    <row r="43" spans="1:11">
      <c r="A43" s="835">
        <v>8040</v>
      </c>
      <c r="B43" s="826" t="s">
        <v>339</v>
      </c>
      <c r="C43" s="857">
        <f>VLOOKUP(B43,'BD ASVICC'!$A$6:$GS$316,144,FALSE)</f>
        <v>606064</v>
      </c>
      <c r="D43" s="857">
        <f>VLOOKUP(B43,'BD ASVICC'!$A$6:$GS$316,145,FALSE)</f>
        <v>166504</v>
      </c>
      <c r="E43" s="857">
        <f t="shared" si="1"/>
        <v>772568</v>
      </c>
      <c r="F43" s="857">
        <f>E43+'3. Aigua-Resid '!$M$68*E43</f>
        <v>788019.36</v>
      </c>
      <c r="G43" s="857">
        <f t="shared" si="0"/>
        <v>780808.72533333325</v>
      </c>
      <c r="H43" s="857">
        <f t="shared" si="3"/>
        <v>11712130.879999999</v>
      </c>
      <c r="I43" s="857">
        <f>H43*VLOOKUP(A43,'preus aigua'!$A$4:$K$314,11,FALSE)</f>
        <v>33450938.925495464</v>
      </c>
      <c r="J43" s="857">
        <f>H43*VLOOKUP('3b aigua'!A43,'preus aigua'!$A$4:$H$314,8,FALSE)</f>
        <v>61454109.161760353</v>
      </c>
      <c r="K43" s="857">
        <f t="shared" si="2"/>
        <v>28003170.236264888</v>
      </c>
    </row>
    <row r="44" spans="1:11">
      <c r="A44" s="835">
        <v>8041</v>
      </c>
      <c r="B44" s="826" t="s">
        <v>900</v>
      </c>
      <c r="C44" s="857">
        <f>VLOOKUP(B44,'BD ASVICC'!$A$6:$GS$316,144,FALSE)</f>
        <v>624923</v>
      </c>
      <c r="D44" s="857">
        <f>VLOOKUP(B44,'BD ASVICC'!$A$6:$GS$316,145,FALSE)</f>
        <v>264427</v>
      </c>
      <c r="E44" s="857">
        <f t="shared" si="1"/>
        <v>889350</v>
      </c>
      <c r="F44" s="857">
        <f>E44+'3. Aigua-Resid '!$M$68*E44</f>
        <v>907137</v>
      </c>
      <c r="G44" s="857">
        <f t="shared" si="0"/>
        <v>898836.4</v>
      </c>
      <c r="H44" s="857">
        <f t="shared" si="3"/>
        <v>13482546</v>
      </c>
      <c r="I44" s="857">
        <f>H44*VLOOKUP(A44,'preus aigua'!$A$4:$K$314,11,FALSE)</f>
        <v>27443308.918256</v>
      </c>
      <c r="J44" s="857">
        <f>H44*VLOOKUP('3b aigua'!A44,'preus aigua'!$A$4:$H$314,8,FALSE)</f>
        <v>50417242.570641398</v>
      </c>
      <c r="K44" s="857">
        <f t="shared" si="2"/>
        <v>22973933.652385399</v>
      </c>
    </row>
    <row r="45" spans="1:11">
      <c r="A45" s="835">
        <v>8042</v>
      </c>
      <c r="B45" s="826" t="s">
        <v>901</v>
      </c>
      <c r="C45" s="857">
        <f>VLOOKUP(B45,'BD ASVICC'!$A$6:$GS$316,144,FALSE)</f>
        <v>162861</v>
      </c>
      <c r="D45" s="857">
        <f>VLOOKUP(B45,'BD ASVICC'!$A$6:$GS$316,145,FALSE)</f>
        <v>9202</v>
      </c>
      <c r="E45" s="857">
        <f t="shared" si="1"/>
        <v>172063</v>
      </c>
      <c r="F45" s="857">
        <f>E45+'3. Aigua-Resid '!$M$68*E45</f>
        <v>175504.26</v>
      </c>
      <c r="G45" s="857">
        <f t="shared" si="0"/>
        <v>173898.33866666668</v>
      </c>
      <c r="H45" s="857">
        <f t="shared" si="3"/>
        <v>2608475.08</v>
      </c>
      <c r="I45" s="857">
        <f>H45*VLOOKUP(A45,'preus aigua'!$A$4:$K$314,11,FALSE)</f>
        <v>7785825.1103188265</v>
      </c>
      <c r="J45" s="857">
        <f>H45*VLOOKUP('3b aigua'!A45,'preus aigua'!$A$4:$H$314,8,FALSE)</f>
        <v>14303662.665780349</v>
      </c>
      <c r="K45" s="857">
        <f t="shared" si="2"/>
        <v>6517837.5554615222</v>
      </c>
    </row>
    <row r="46" spans="1:11">
      <c r="A46" s="835">
        <v>8043</v>
      </c>
      <c r="B46" s="826" t="s">
        <v>906</v>
      </c>
      <c r="C46" s="857">
        <f>VLOOKUP(B46,'BD ASVICC'!$A$6:$GS$316,144,FALSE)</f>
        <v>211896</v>
      </c>
      <c r="D46" s="857">
        <f>VLOOKUP(B46,'BD ASVICC'!$A$6:$GS$316,145,FALSE)</f>
        <v>27662</v>
      </c>
      <c r="E46" s="857">
        <f t="shared" si="1"/>
        <v>239558</v>
      </c>
      <c r="F46" s="857">
        <f>E46+'3. Aigua-Resid '!$M$68*E46</f>
        <v>244349.16</v>
      </c>
      <c r="G46" s="857">
        <f t="shared" si="0"/>
        <v>242113.28533333336</v>
      </c>
      <c r="H46" s="857">
        <f t="shared" si="3"/>
        <v>3631699.2800000003</v>
      </c>
      <c r="I46" s="857">
        <f>H46*VLOOKUP(A46,'preus aigua'!$A$4:$K$314,11,FALSE)</f>
        <v>13206640.535860054</v>
      </c>
      <c r="J46" s="857">
        <f>H46*VLOOKUP('3b aigua'!A46,'preus aigua'!$A$4:$H$314,8,FALSE)</f>
        <v>24262467.817675818</v>
      </c>
      <c r="K46" s="857">
        <f t="shared" si="2"/>
        <v>11055827.281815764</v>
      </c>
    </row>
    <row r="47" spans="1:11">
      <c r="A47" s="835">
        <v>8044</v>
      </c>
      <c r="B47" s="826" t="s">
        <v>912</v>
      </c>
      <c r="C47" s="857">
        <f>VLOOKUP(B47,'BD ASVICC'!$A$6:$GS$316,144,FALSE)</f>
        <v>204659</v>
      </c>
      <c r="D47" s="857">
        <f>VLOOKUP(B47,'BD ASVICC'!$A$6:$GS$316,145,FALSE)</f>
        <v>689485</v>
      </c>
      <c r="E47" s="857">
        <f t="shared" si="1"/>
        <v>894144</v>
      </c>
      <c r="F47" s="857">
        <f>E47+'3. Aigua-Resid '!$M$68*E47</f>
        <v>912026.88</v>
      </c>
      <c r="G47" s="857">
        <f t="shared" si="0"/>
        <v>903681.53599999996</v>
      </c>
      <c r="H47" s="857">
        <f t="shared" si="3"/>
        <v>13555223.039999999</v>
      </c>
      <c r="I47" s="857">
        <f>H47*VLOOKUP(A47,'preus aigua'!$A$4:$K$314,11,FALSE)</f>
        <v>20362366.872596476</v>
      </c>
      <c r="J47" s="857">
        <f>H47*VLOOKUP('3b aigua'!A47,'preus aigua'!$A$4:$H$314,8,FALSE)</f>
        <v>29450313.256848585</v>
      </c>
      <c r="K47" s="857">
        <f t="shared" si="2"/>
        <v>9087946.3842521086</v>
      </c>
    </row>
    <row r="48" spans="1:11">
      <c r="A48" s="835">
        <v>8045</v>
      </c>
      <c r="B48" s="826" t="s">
        <v>916</v>
      </c>
      <c r="C48" s="857">
        <f>VLOOKUP(B48,'BD ASVICC'!$A$6:$GS$316,144,FALSE)</f>
        <v>1939</v>
      </c>
      <c r="D48" s="857">
        <f>VLOOKUP(B48,'BD ASVICC'!$A$6:$GS$316,145,FALSE)</f>
        <v>2985</v>
      </c>
      <c r="E48" s="857">
        <f t="shared" si="1"/>
        <v>4924</v>
      </c>
      <c r="F48" s="857">
        <f>E48+'3. Aigua-Resid '!$M$68*E48</f>
        <v>5022.4799999999996</v>
      </c>
      <c r="G48" s="857">
        <f t="shared" si="0"/>
        <v>4976.5226666666667</v>
      </c>
      <c r="H48" s="857">
        <f t="shared" si="3"/>
        <v>74647.839999999997</v>
      </c>
      <c r="I48" s="857">
        <f>H48*VLOOKUP(A48,'preus aigua'!$A$4:$K$314,11,FALSE)</f>
        <v>113078.14051925333</v>
      </c>
      <c r="J48" s="857">
        <f>H48*VLOOKUP('3b aigua'!A48,'preus aigua'!$A$4:$H$314,8,FALSE)</f>
        <v>163546.14773568857</v>
      </c>
      <c r="K48" s="857">
        <f t="shared" si="2"/>
        <v>50468.007216435246</v>
      </c>
    </row>
    <row r="49" spans="1:11">
      <c r="A49" s="835">
        <v>8046</v>
      </c>
      <c r="B49" s="826" t="s">
        <v>920</v>
      </c>
      <c r="C49" s="857">
        <f>VLOOKUP(B49,'BD ASVICC'!$A$6:$GS$316,144,FALSE)</f>
        <v>726513</v>
      </c>
      <c r="D49" s="857">
        <f>VLOOKUP(B49,'BD ASVICC'!$A$6:$GS$316,145,FALSE)</f>
        <v>166904</v>
      </c>
      <c r="E49" s="857">
        <f t="shared" si="1"/>
        <v>893417</v>
      </c>
      <c r="F49" s="857">
        <f>E49+'3. Aigua-Resid '!$M$68*E49</f>
        <v>911285.34</v>
      </c>
      <c r="G49" s="857">
        <f t="shared" si="0"/>
        <v>902946.78133333323</v>
      </c>
      <c r="H49" s="857">
        <f t="shared" si="3"/>
        <v>13544201.719999999</v>
      </c>
      <c r="I49" s="857">
        <f>H49*VLOOKUP(A49,'preus aigua'!$A$4:$K$314,11,FALSE)</f>
        <v>29094353.891538873</v>
      </c>
      <c r="J49" s="857">
        <f>H49*VLOOKUP('3b aigua'!A49,'preus aigua'!$A$4:$H$314,8,FALSE)</f>
        <v>53450445.861140639</v>
      </c>
      <c r="K49" s="857">
        <f t="shared" si="2"/>
        <v>24356091.969601765</v>
      </c>
    </row>
    <row r="50" spans="1:11">
      <c r="A50" s="835">
        <v>8047</v>
      </c>
      <c r="B50" s="826" t="s">
        <v>924</v>
      </c>
      <c r="C50" s="857">
        <f>VLOOKUP(B50,'BD ASVICC'!$A$6:$GS$316,144,FALSE)</f>
        <v>209649</v>
      </c>
      <c r="D50" s="857">
        <f>VLOOKUP(B50,'BD ASVICC'!$A$6:$GS$316,145,FALSE)</f>
        <v>713771</v>
      </c>
      <c r="E50" s="857">
        <f t="shared" si="1"/>
        <v>923420</v>
      </c>
      <c r="F50" s="857">
        <f>E50+'3. Aigua-Resid '!$M$68*E50</f>
        <v>941888.4</v>
      </c>
      <c r="G50" s="857">
        <f t="shared" si="0"/>
        <v>933269.81333333324</v>
      </c>
      <c r="H50" s="857">
        <f t="shared" si="3"/>
        <v>13999047.199999999</v>
      </c>
      <c r="I50" s="857">
        <f>H50*VLOOKUP(A50,'preus aigua'!$A$4:$K$314,11,FALSE)</f>
        <v>28398093.841994662</v>
      </c>
      <c r="J50" s="857">
        <f>H50*VLOOKUP('3b aigua'!A50,'preus aigua'!$A$4:$H$314,8,FALSE)</f>
        <v>41072472.801266342</v>
      </c>
      <c r="K50" s="857">
        <f t="shared" si="2"/>
        <v>12674378.959271681</v>
      </c>
    </row>
    <row r="51" spans="1:11">
      <c r="A51" s="835">
        <v>8048</v>
      </c>
      <c r="B51" s="826" t="s">
        <v>929</v>
      </c>
      <c r="C51" s="857">
        <f>VLOOKUP(B51,'BD ASVICC'!$A$6:$GS$316,144,FALSE)</f>
        <v>28117</v>
      </c>
      <c r="D51" s="857">
        <f>VLOOKUP(B51,'BD ASVICC'!$A$6:$GS$316,145,FALSE)</f>
        <v>5542</v>
      </c>
      <c r="E51" s="857">
        <f t="shared" si="1"/>
        <v>33659</v>
      </c>
      <c r="F51" s="857">
        <f>E51+'3. Aigua-Resid '!$M$68*E51</f>
        <v>34332.18</v>
      </c>
      <c r="G51" s="857">
        <f t="shared" si="0"/>
        <v>34018.029333333332</v>
      </c>
      <c r="H51" s="857">
        <f t="shared" si="3"/>
        <v>510270.44</v>
      </c>
      <c r="I51" s="857">
        <f>H51*VLOOKUP(A51,'preus aigua'!$A$4:$K$314,11,FALSE)</f>
        <v>697313.81176522665</v>
      </c>
      <c r="J51" s="857">
        <f>H51*VLOOKUP('3b aigua'!A51,'preus aigua'!$A$4:$H$314,8,FALSE)</f>
        <v>1008532.5700741804</v>
      </c>
      <c r="K51" s="857">
        <f t="shared" si="2"/>
        <v>311218.75830895372</v>
      </c>
    </row>
    <row r="52" spans="1:11">
      <c r="A52" s="835">
        <v>8049</v>
      </c>
      <c r="B52" s="826" t="s">
        <v>934</v>
      </c>
      <c r="C52" s="857">
        <f>VLOOKUP(B52,'BD ASVICC'!$A$6:$GS$316,144,FALSE)</f>
        <v>51257</v>
      </c>
      <c r="D52" s="857">
        <f>VLOOKUP(B52,'BD ASVICC'!$A$6:$GS$316,145,FALSE)</f>
        <v>47688</v>
      </c>
      <c r="E52" s="857">
        <f t="shared" si="1"/>
        <v>98945</v>
      </c>
      <c r="F52" s="857">
        <f>E52+'3. Aigua-Resid '!$M$68*E52</f>
        <v>100923.9</v>
      </c>
      <c r="G52" s="857">
        <f t="shared" si="0"/>
        <v>100000.41333333333</v>
      </c>
      <c r="H52" s="857">
        <f t="shared" si="3"/>
        <v>1500006.2</v>
      </c>
      <c r="I52" s="857">
        <f>H52*VLOOKUP(A52,'preus aigua'!$A$4:$K$314,11,FALSE)</f>
        <v>2968740.2707423996</v>
      </c>
      <c r="J52" s="857">
        <f>H52*VLOOKUP('3b aigua'!A52,'preus aigua'!$A$4:$H$314,8,FALSE)</f>
        <v>4293721.4273085436</v>
      </c>
      <c r="K52" s="857">
        <f t="shared" si="2"/>
        <v>1324981.156566144</v>
      </c>
    </row>
    <row r="53" spans="1:11">
      <c r="A53" s="835">
        <v>8050</v>
      </c>
      <c r="B53" s="826" t="s">
        <v>942</v>
      </c>
      <c r="C53" s="857">
        <f>VLOOKUP(B53,'BD ASVICC'!$A$6:$GS$316,144,FALSE)</f>
        <v>4371</v>
      </c>
      <c r="D53" s="857">
        <f>VLOOKUP(B53,'BD ASVICC'!$A$6:$GS$316,145,FALSE)</f>
        <v>4466</v>
      </c>
      <c r="E53" s="857">
        <f t="shared" si="1"/>
        <v>8837</v>
      </c>
      <c r="F53" s="857">
        <f>E53+'3. Aigua-Resid '!$M$68*E53</f>
        <v>9013.74</v>
      </c>
      <c r="G53" s="857">
        <f t="shared" si="0"/>
        <v>8931.261333333332</v>
      </c>
      <c r="H53" s="857">
        <f t="shared" si="3"/>
        <v>133968.91999999998</v>
      </c>
      <c r="I53" s="857">
        <f>H53*VLOOKUP(A53,'preus aigua'!$A$4:$K$314,11,FALSE)</f>
        <v>165523.06629066664</v>
      </c>
      <c r="J53" s="857">
        <f>H53*VLOOKUP('3b aigua'!A53,'preus aigua'!$A$4:$H$314,8,FALSE)</f>
        <v>239397.81578410664</v>
      </c>
      <c r="K53" s="857">
        <f t="shared" si="2"/>
        <v>73874.749493440002</v>
      </c>
    </row>
    <row r="54" spans="1:11">
      <c r="A54" s="835">
        <v>8051</v>
      </c>
      <c r="B54" s="826" t="s">
        <v>944</v>
      </c>
      <c r="C54" s="857">
        <f>VLOOKUP(B54,'BD ASVICC'!$A$6:$GS$316,144,FALSE)</f>
        <v>999671</v>
      </c>
      <c r="D54" s="857">
        <f>VLOOKUP(B54,'BD ASVICC'!$A$6:$GS$316,145,FALSE)</f>
        <v>578997</v>
      </c>
      <c r="E54" s="857">
        <f t="shared" si="1"/>
        <v>1578668</v>
      </c>
      <c r="F54" s="857">
        <f>E54+'3. Aigua-Resid '!$M$68*E54</f>
        <v>1610241.36</v>
      </c>
      <c r="G54" s="857">
        <f t="shared" si="0"/>
        <v>1595507.1253333336</v>
      </c>
      <c r="H54" s="857">
        <f t="shared" si="3"/>
        <v>23932606.880000003</v>
      </c>
      <c r="I54" s="857">
        <f>H54*VLOOKUP(A54,'preus aigua'!$A$4:$K$314,11,FALSE)</f>
        <v>55838281.966715723</v>
      </c>
      <c r="J54" s="857">
        <f>H54*VLOOKUP('3b aigua'!A54,'preus aigua'!$A$4:$H$314,8,FALSE)</f>
        <v>102582826.83875</v>
      </c>
      <c r="K54" s="857">
        <f t="shared" si="2"/>
        <v>46744544.872034281</v>
      </c>
    </row>
    <row r="55" spans="1:11">
      <c r="A55" s="835">
        <v>8052</v>
      </c>
      <c r="B55" s="826" t="s">
        <v>951</v>
      </c>
      <c r="C55" s="857">
        <f>VLOOKUP(B55,'BD ASVICC'!$A$6:$GS$316,144,FALSE)</f>
        <v>15120</v>
      </c>
      <c r="D55" s="857">
        <f>VLOOKUP(B55,'BD ASVICC'!$A$6:$GS$316,145,FALSE)</f>
        <v>5040</v>
      </c>
      <c r="E55" s="857">
        <f t="shared" si="1"/>
        <v>20160</v>
      </c>
      <c r="F55" s="857">
        <f>E55+'3. Aigua-Resid '!$M$68*E55</f>
        <v>20563.2</v>
      </c>
      <c r="G55" s="857">
        <f t="shared" si="0"/>
        <v>20375.039999999997</v>
      </c>
      <c r="H55" s="857">
        <f t="shared" si="3"/>
        <v>305625.59999999998</v>
      </c>
      <c r="I55" s="857">
        <f>H55*VLOOKUP(A55,'preus aigua'!$A$4:$K$314,11,FALSE)</f>
        <v>408170.73131519993</v>
      </c>
      <c r="J55" s="857">
        <f>H55*VLOOKUP('3b aigua'!A55,'preus aigua'!$A$4:$H$314,8,FALSE)</f>
        <v>590341.77975091187</v>
      </c>
      <c r="K55" s="857">
        <f t="shared" si="2"/>
        <v>182171.04843571194</v>
      </c>
    </row>
    <row r="56" spans="1:11">
      <c r="A56" s="835">
        <v>8053</v>
      </c>
      <c r="B56" s="826" t="s">
        <v>958</v>
      </c>
      <c r="C56" s="857">
        <f>VLOOKUP(B56,'BD ASVICC'!$A$6:$GS$316,144,FALSE)</f>
        <v>152930</v>
      </c>
      <c r="D56" s="857">
        <f>VLOOKUP(B56,'BD ASVICC'!$A$6:$GS$316,145,FALSE)</f>
        <v>54552</v>
      </c>
      <c r="E56" s="857">
        <f t="shared" si="1"/>
        <v>207482</v>
      </c>
      <c r="F56" s="857">
        <f>E56+'3. Aigua-Resid '!$M$68*E56</f>
        <v>211631.64</v>
      </c>
      <c r="G56" s="857">
        <f t="shared" si="0"/>
        <v>209695.14133333333</v>
      </c>
      <c r="H56" s="857">
        <f t="shared" si="3"/>
        <v>3145427.12</v>
      </c>
      <c r="I56" s="857">
        <f>H56*VLOOKUP(A56,'preus aigua'!$A$4:$K$314,11,FALSE)</f>
        <v>8137689.6765565872</v>
      </c>
      <c r="J56" s="857">
        <f>H56*VLOOKUP('3b aigua'!A56,'preus aigua'!$A$4:$H$314,8,FALSE)</f>
        <v>11769629.319671262</v>
      </c>
      <c r="K56" s="857">
        <f t="shared" si="2"/>
        <v>3631939.6431146748</v>
      </c>
    </row>
    <row r="57" spans="1:11">
      <c r="A57" s="835">
        <v>8054</v>
      </c>
      <c r="B57" s="826" t="s">
        <v>964</v>
      </c>
      <c r="C57" s="857">
        <f>VLOOKUP(B57,'BD ASVICC'!$A$6:$GS$316,144,FALSE)</f>
        <v>507825</v>
      </c>
      <c r="D57" s="857">
        <f>VLOOKUP(B57,'BD ASVICC'!$A$6:$GS$316,145,FALSE)</f>
        <v>5111722</v>
      </c>
      <c r="E57" s="857">
        <f t="shared" si="1"/>
        <v>5619547</v>
      </c>
      <c r="F57" s="857">
        <f>E57+'3. Aigua-Resid '!$M$68*E57</f>
        <v>5731937.9400000004</v>
      </c>
      <c r="G57" s="857">
        <f t="shared" si="0"/>
        <v>5679488.8346666675</v>
      </c>
      <c r="H57" s="857">
        <f t="shared" si="3"/>
        <v>85192332.520000011</v>
      </c>
      <c r="I57" s="857">
        <f>H57*VLOOKUP(A57,'preus aigua'!$A$4:$K$314,11,FALSE)</f>
        <v>202976525.30751136</v>
      </c>
      <c r="J57" s="857">
        <f>H57*VLOOKUP('3b aigua'!A57,'preus aigua'!$A$4:$H$314,8,FALSE)</f>
        <v>372896604.52596271</v>
      </c>
      <c r="K57" s="857">
        <f t="shared" si="2"/>
        <v>169920079.21845135</v>
      </c>
    </row>
    <row r="58" spans="1:11">
      <c r="A58" s="835">
        <v>8055</v>
      </c>
      <c r="B58" s="826" t="s">
        <v>970</v>
      </c>
      <c r="C58" s="857">
        <f>VLOOKUP(B58,'BD ASVICC'!$A$6:$GS$316,144,FALSE)</f>
        <v>39145</v>
      </c>
      <c r="D58" s="857">
        <f>VLOOKUP(B58,'BD ASVICC'!$A$6:$GS$316,145,FALSE)</f>
        <v>33529</v>
      </c>
      <c r="E58" s="857">
        <f t="shared" si="1"/>
        <v>72674</v>
      </c>
      <c r="F58" s="857">
        <f>E58+'3. Aigua-Resid '!$M$68*E58</f>
        <v>74127.48</v>
      </c>
      <c r="G58" s="857">
        <f t="shared" si="0"/>
        <v>73449.189333333328</v>
      </c>
      <c r="H58" s="857">
        <f t="shared" si="3"/>
        <v>1101737.8399999999</v>
      </c>
      <c r="I58" s="857">
        <f>H58*VLOOKUP(A58,'preus aigua'!$A$4:$K$314,11,FALSE)</f>
        <v>2573048.4969847463</v>
      </c>
      <c r="J58" s="857">
        <f>H58*VLOOKUP('3b aigua'!A58,'preus aigua'!$A$4:$H$314,8,FALSE)</f>
        <v>3721428.0999545511</v>
      </c>
      <c r="K58" s="857">
        <f t="shared" si="2"/>
        <v>1148379.6029698048</v>
      </c>
    </row>
    <row r="59" spans="1:11">
      <c r="A59" s="835">
        <v>8056</v>
      </c>
      <c r="B59" s="826" t="s">
        <v>340</v>
      </c>
      <c r="C59" s="857">
        <f>VLOOKUP(B59,'BD ASVICC'!$A$6:$GS$316,144,FALSE)</f>
        <v>2993151</v>
      </c>
      <c r="D59" s="857">
        <f>VLOOKUP(B59,'BD ASVICC'!$A$6:$GS$316,145,FALSE)</f>
        <v>831777</v>
      </c>
      <c r="E59" s="857">
        <f t="shared" si="1"/>
        <v>3824928</v>
      </c>
      <c r="F59" s="857">
        <f>E59+'3. Aigua-Resid '!$M$68*E59</f>
        <v>3901426.56</v>
      </c>
      <c r="G59" s="857">
        <f t="shared" si="0"/>
        <v>3865727.2320000003</v>
      </c>
      <c r="H59" s="857">
        <f t="shared" si="3"/>
        <v>57985908.480000004</v>
      </c>
      <c r="I59" s="857">
        <f>H59*VLOOKUP(A59,'preus aigua'!$A$4:$K$314,11,FALSE)</f>
        <v>179142129.54537985</v>
      </c>
      <c r="J59" s="857">
        <f>H59*VLOOKUP('3b aigua'!A59,'preus aigua'!$A$4:$H$314,8,FALSE)</f>
        <v>329109446.19737393</v>
      </c>
      <c r="K59" s="857">
        <f t="shared" si="2"/>
        <v>149967316.65199408</v>
      </c>
    </row>
    <row r="60" spans="1:11">
      <c r="A60" s="835">
        <v>8057</v>
      </c>
      <c r="B60" s="826" t="s">
        <v>980</v>
      </c>
      <c r="C60" s="857">
        <f>VLOOKUP(B60,'BD ASVICC'!$A$6:$GS$316,144,FALSE)</f>
        <v>2375</v>
      </c>
      <c r="D60" s="857">
        <f>VLOOKUP(B60,'BD ASVICC'!$A$6:$GS$316,145,FALSE)</f>
        <v>0</v>
      </c>
      <c r="E60" s="857">
        <f t="shared" si="1"/>
        <v>2375</v>
      </c>
      <c r="F60" s="857">
        <f>E60+'3. Aigua-Resid '!$M$68*E60</f>
        <v>2422.5</v>
      </c>
      <c r="G60" s="857">
        <f t="shared" si="0"/>
        <v>2400.3333333333335</v>
      </c>
      <c r="H60" s="857">
        <f t="shared" si="3"/>
        <v>36005</v>
      </c>
      <c r="I60" s="857">
        <f>H60*VLOOKUP(A60,'preus aigua'!$A$4:$K$314,11,FALSE)</f>
        <v>37822.916453333339</v>
      </c>
      <c r="J60" s="857">
        <f>H60*VLOOKUP('3b aigua'!A60,'preus aigua'!$A$4:$H$314,8,FALSE)</f>
        <v>54703.69652053334</v>
      </c>
      <c r="K60" s="857">
        <f t="shared" si="2"/>
        <v>16880.780067200001</v>
      </c>
    </row>
    <row r="61" spans="1:11">
      <c r="A61" s="835">
        <v>8058</v>
      </c>
      <c r="B61" s="826" t="s">
        <v>984</v>
      </c>
      <c r="C61" s="857">
        <f>VLOOKUP(B61,'BD ASVICC'!$A$6:$GS$316,144,FALSE)</f>
        <v>119848</v>
      </c>
      <c r="D61" s="857">
        <f>VLOOKUP(B61,'BD ASVICC'!$A$6:$GS$316,145,FALSE)</f>
        <v>110861</v>
      </c>
      <c r="E61" s="857">
        <f t="shared" si="1"/>
        <v>230709</v>
      </c>
      <c r="F61" s="857">
        <f>E61+'3. Aigua-Resid '!$M$68*E61</f>
        <v>235323.18</v>
      </c>
      <c r="G61" s="857">
        <f t="shared" si="0"/>
        <v>233169.89600000001</v>
      </c>
      <c r="H61" s="857">
        <f t="shared" si="3"/>
        <v>3497548.44</v>
      </c>
      <c r="I61" s="857">
        <f>H61*VLOOKUP(A61,'preus aigua'!$A$4:$K$314,11,FALSE)</f>
        <v>10632500.623620799</v>
      </c>
      <c r="J61" s="857">
        <f>H61*VLOOKUP('3b aigua'!A61,'preus aigua'!$A$4:$H$314,8,FALSE)</f>
        <v>15377901.59800525</v>
      </c>
      <c r="K61" s="857">
        <f t="shared" si="2"/>
        <v>4745400.9743844513</v>
      </c>
    </row>
    <row r="62" spans="1:11">
      <c r="A62" s="835">
        <v>8059</v>
      </c>
      <c r="B62" s="826" t="s">
        <v>993</v>
      </c>
      <c r="C62" s="857">
        <f>VLOOKUP(B62,'BD ASVICC'!$A$6:$GS$316,144,FALSE)</f>
        <v>21972</v>
      </c>
      <c r="D62" s="857">
        <f>VLOOKUP(B62,'BD ASVICC'!$A$6:$GS$316,145,FALSE)</f>
        <v>4740</v>
      </c>
      <c r="E62" s="857">
        <f t="shared" si="1"/>
        <v>26712</v>
      </c>
      <c r="F62" s="857">
        <f>E62+'3. Aigua-Resid '!$M$68*E62</f>
        <v>27246.240000000002</v>
      </c>
      <c r="G62" s="857">
        <f t="shared" si="0"/>
        <v>26996.928000000004</v>
      </c>
      <c r="H62" s="857">
        <f t="shared" si="3"/>
        <v>404953.92000000004</v>
      </c>
      <c r="I62" s="857">
        <f>H62*VLOOKUP(A62,'preus aigua'!$A$4:$K$314,11,FALSE)</f>
        <v>1284578.6268672</v>
      </c>
      <c r="J62" s="857">
        <f>H62*VLOOKUP('3b aigua'!A62,'preus aigua'!$A$4:$H$314,8,FALSE)</f>
        <v>1857900.0762040317</v>
      </c>
      <c r="K62" s="857">
        <f t="shared" si="2"/>
        <v>573321.44933683169</v>
      </c>
    </row>
    <row r="63" spans="1:11">
      <c r="A63" s="835">
        <v>8060</v>
      </c>
      <c r="B63" s="826" t="s">
        <v>997</v>
      </c>
      <c r="C63" s="857">
        <f>VLOOKUP(B63,'BD ASVICC'!$A$6:$GS$316,144,FALSE)</f>
        <v>8483</v>
      </c>
      <c r="D63" s="857">
        <f>VLOOKUP(B63,'BD ASVICC'!$A$6:$GS$316,145,FALSE)</f>
        <v>3801</v>
      </c>
      <c r="E63" s="857">
        <f t="shared" si="1"/>
        <v>12284</v>
      </c>
      <c r="F63" s="857">
        <f>E63+'3. Aigua-Resid '!$M$68*E63</f>
        <v>12529.68</v>
      </c>
      <c r="G63" s="857">
        <f t="shared" si="0"/>
        <v>12415.029333333334</v>
      </c>
      <c r="H63" s="857">
        <f t="shared" si="3"/>
        <v>186225.44</v>
      </c>
      <c r="I63" s="857">
        <f>H63*VLOOKUP(A63,'preus aigua'!$A$4:$K$314,11,FALSE)</f>
        <v>479224.60167722672</v>
      </c>
      <c r="J63" s="857">
        <f>H63*VLOOKUP('3b aigua'!A63,'preus aigua'!$A$4:$H$314,8,FALSE)</f>
        <v>693107.76728890021</v>
      </c>
      <c r="K63" s="857">
        <f t="shared" si="2"/>
        <v>213883.1656116735</v>
      </c>
    </row>
    <row r="64" spans="1:11">
      <c r="A64" s="835">
        <v>8061</v>
      </c>
      <c r="B64" s="826" t="s">
        <v>1002</v>
      </c>
      <c r="C64" s="857">
        <f>VLOOKUP(B64,'BD ASVICC'!$A$6:$GS$316,144,FALSE)</f>
        <v>89441</v>
      </c>
      <c r="D64" s="857">
        <f>VLOOKUP(B64,'BD ASVICC'!$A$6:$GS$316,145,FALSE)</f>
        <v>155135</v>
      </c>
      <c r="E64" s="857">
        <f t="shared" si="1"/>
        <v>244576</v>
      </c>
      <c r="F64" s="857">
        <f>E64+'3. Aigua-Resid '!$M$68*E64</f>
        <v>249467.51999999999</v>
      </c>
      <c r="G64" s="857">
        <f t="shared" si="0"/>
        <v>247184.81066666669</v>
      </c>
      <c r="H64" s="857">
        <f t="shared" si="3"/>
        <v>3707772.16</v>
      </c>
      <c r="I64" s="857">
        <f>H64*VLOOKUP(A64,'preus aigua'!$A$4:$K$314,11,FALSE)</f>
        <v>6234524.9568119468</v>
      </c>
      <c r="J64" s="857">
        <f>H64*VLOOKUP('3b aigua'!A64,'preus aigua'!$A$4:$H$314,8,FALSE)</f>
        <v>9017061.4317361843</v>
      </c>
      <c r="K64" s="857">
        <f t="shared" si="2"/>
        <v>2782536.4749242375</v>
      </c>
    </row>
    <row r="65" spans="1:11">
      <c r="A65" s="835">
        <v>8062</v>
      </c>
      <c r="B65" s="826" t="s">
        <v>1004</v>
      </c>
      <c r="C65" s="857">
        <f>VLOOKUP(B65,'BD ASVICC'!$A$6:$GS$316,144,FALSE)</f>
        <v>74911</v>
      </c>
      <c r="D65" s="857">
        <f>VLOOKUP(B65,'BD ASVICC'!$A$6:$GS$316,145,FALSE)</f>
        <v>29537</v>
      </c>
      <c r="E65" s="857">
        <f t="shared" si="1"/>
        <v>104448</v>
      </c>
      <c r="F65" s="857">
        <f>E65+'3. Aigua-Resid '!$M$68*E65</f>
        <v>106536.96000000001</v>
      </c>
      <c r="G65" s="857">
        <f t="shared" si="0"/>
        <v>105562.11200000001</v>
      </c>
      <c r="H65" s="857">
        <f t="shared" si="3"/>
        <v>1583431.6800000002</v>
      </c>
      <c r="I65" s="857">
        <f>H65*VLOOKUP(A65,'preus aigua'!$A$4:$K$314,11,FALSE)</f>
        <v>4058356.5082624</v>
      </c>
      <c r="J65" s="857">
        <f>H65*VLOOKUP('3b aigua'!A65,'preus aigua'!$A$4:$H$314,8,FALSE)</f>
        <v>5869645.2737597451</v>
      </c>
      <c r="K65" s="857">
        <f t="shared" si="2"/>
        <v>1811288.765497345</v>
      </c>
    </row>
    <row r="66" spans="1:11">
      <c r="A66" s="835">
        <v>8063</v>
      </c>
      <c r="B66" s="826" t="s">
        <v>1008</v>
      </c>
      <c r="C66" s="857">
        <f>VLOOKUP(B66,'BD ASVICC'!$A$6:$GS$316,144,FALSE)</f>
        <v>18390</v>
      </c>
      <c r="D66" s="857">
        <f>VLOOKUP(B66,'BD ASVICC'!$A$6:$GS$316,145,FALSE)</f>
        <v>16300</v>
      </c>
      <c r="E66" s="857">
        <f t="shared" si="1"/>
        <v>34690</v>
      </c>
      <c r="F66" s="857">
        <f>E66+'3. Aigua-Resid '!$M$68*E66</f>
        <v>35383.800000000003</v>
      </c>
      <c r="G66" s="857">
        <f t="shared" si="0"/>
        <v>35060.026666666665</v>
      </c>
      <c r="H66" s="857">
        <f t="shared" si="3"/>
        <v>525900.4</v>
      </c>
      <c r="I66" s="857">
        <f>H66*VLOOKUP(A66,'preus aigua'!$A$4:$K$314,11,FALSE)</f>
        <v>963469.16641493351</v>
      </c>
      <c r="J66" s="857">
        <f>H66*VLOOKUP('3b aigua'!A66,'preus aigua'!$A$4:$H$314,8,FALSE)</f>
        <v>1393475.9618942295</v>
      </c>
      <c r="K66" s="857">
        <f t="shared" si="2"/>
        <v>430006.79547929601</v>
      </c>
    </row>
    <row r="67" spans="1:11">
      <c r="A67" s="835">
        <v>8064</v>
      </c>
      <c r="B67" s="826" t="s">
        <v>1012</v>
      </c>
      <c r="C67" s="857">
        <f>VLOOKUP(B67,'BD ASVICC'!$A$6:$GS$316,144,FALSE)</f>
        <v>106045</v>
      </c>
      <c r="D67" s="857">
        <f>VLOOKUP(B67,'BD ASVICC'!$A$6:$GS$316,145,FALSE)</f>
        <v>137641</v>
      </c>
      <c r="E67" s="857">
        <f t="shared" si="1"/>
        <v>243686</v>
      </c>
      <c r="F67" s="857">
        <f>E67+'3. Aigua-Resid '!$M$68*E67</f>
        <v>248559.72</v>
      </c>
      <c r="G67" s="857">
        <f t="shared" si="0"/>
        <v>246285.31733333331</v>
      </c>
      <c r="H67" s="857">
        <f t="shared" si="3"/>
        <v>3694279.76</v>
      </c>
      <c r="I67" s="857">
        <f>H67*VLOOKUP(A67,'preus aigua'!$A$4:$K$314,11,FALSE)</f>
        <v>6258543.375598507</v>
      </c>
      <c r="J67" s="857">
        <f>H67*VLOOKUP('3b aigua'!A67,'preus aigua'!$A$4:$H$314,8,FALSE)</f>
        <v>9051799.5327449758</v>
      </c>
      <c r="K67" s="857">
        <f t="shared" si="2"/>
        <v>2793256.1571464688</v>
      </c>
    </row>
    <row r="68" spans="1:11">
      <c r="A68" s="835">
        <v>8065</v>
      </c>
      <c r="B68" s="826" t="s">
        <v>1014</v>
      </c>
      <c r="C68" s="857">
        <f>VLOOKUP(B68,'BD ASVICC'!$A$6:$GS$316,144,FALSE)</f>
        <v>54092</v>
      </c>
      <c r="D68" s="857">
        <f>VLOOKUP(B68,'BD ASVICC'!$A$6:$GS$316,145,FALSE)</f>
        <v>21680</v>
      </c>
      <c r="E68" s="857">
        <f t="shared" si="1"/>
        <v>75772</v>
      </c>
      <c r="F68" s="857">
        <f>E68+'3. Aigua-Resid '!$M$68*E68</f>
        <v>77287.44</v>
      </c>
      <c r="G68" s="857">
        <f t="shared" ref="G68:G131" si="4">H68/15</f>
        <v>76580.234666666671</v>
      </c>
      <c r="H68" s="857">
        <f t="shared" si="3"/>
        <v>1148703.52</v>
      </c>
      <c r="I68" s="857">
        <f>H68*VLOOKUP(A68,'preus aigua'!$A$4:$K$314,11,FALSE)</f>
        <v>3239876.9248332805</v>
      </c>
      <c r="J68" s="857">
        <f>H68*VLOOKUP('3b aigua'!A68,'preus aigua'!$A$4:$H$314,8,FALSE)</f>
        <v>4685869.3268307978</v>
      </c>
      <c r="K68" s="857">
        <f t="shared" si="2"/>
        <v>1445992.4019975173</v>
      </c>
    </row>
    <row r="69" spans="1:11">
      <c r="A69" s="835">
        <v>8066</v>
      </c>
      <c r="B69" s="826" t="s">
        <v>1021</v>
      </c>
      <c r="C69" s="857">
        <f>VLOOKUP(B69,'BD ASVICC'!$A$6:$GS$316,144,FALSE)</f>
        <v>91587</v>
      </c>
      <c r="D69" s="857">
        <f>VLOOKUP(B69,'BD ASVICC'!$A$6:$GS$316,145,FALSE)</f>
        <v>80823</v>
      </c>
      <c r="E69" s="857">
        <f t="shared" ref="E69:E132" si="5">C69+D69</f>
        <v>172410</v>
      </c>
      <c r="F69" s="857">
        <f>E69+'3. Aigua-Resid '!$M$68*E69</f>
        <v>175858.2</v>
      </c>
      <c r="G69" s="857">
        <f t="shared" si="4"/>
        <v>174249.04</v>
      </c>
      <c r="H69" s="857">
        <f t="shared" si="3"/>
        <v>2613735.6</v>
      </c>
      <c r="I69" s="857">
        <f>H69*VLOOKUP(A69,'preus aigua'!$A$4:$K$314,11,FALSE)</f>
        <v>6587889.2149728006</v>
      </c>
      <c r="J69" s="857">
        <f>H69*VLOOKUP('3b aigua'!A69,'preus aigua'!$A$4:$H$314,8,FALSE)</f>
        <v>12102884.880578153</v>
      </c>
      <c r="K69" s="857">
        <f t="shared" ref="K69:K132" si="6">J69-I69</f>
        <v>5514995.6656053523</v>
      </c>
    </row>
    <row r="70" spans="1:11">
      <c r="A70" s="835">
        <v>8067</v>
      </c>
      <c r="B70" s="826" t="s">
        <v>1025</v>
      </c>
      <c r="C70" s="857">
        <f>VLOOKUP(B70,'BD ASVICC'!$A$6:$GS$316,144,FALSE)</f>
        <v>273991</v>
      </c>
      <c r="D70" s="857">
        <f>VLOOKUP(B70,'BD ASVICC'!$A$6:$GS$316,145,FALSE)</f>
        <v>278884</v>
      </c>
      <c r="E70" s="857">
        <f t="shared" si="5"/>
        <v>552875</v>
      </c>
      <c r="F70" s="857">
        <f>E70+'3. Aigua-Resid '!$M$68*E70</f>
        <v>563932.5</v>
      </c>
      <c r="G70" s="857">
        <f t="shared" si="4"/>
        <v>558772.33333333337</v>
      </c>
      <c r="H70" s="857">
        <f t="shared" ref="H70:H133" si="7">E70*15+((120)*(F70-E70)/15)</f>
        <v>8381585</v>
      </c>
      <c r="I70" s="857">
        <f>H70*VLOOKUP(A70,'preus aigua'!$A$4:$K$314,11,FALSE)</f>
        <v>18476544.781146668</v>
      </c>
      <c r="J70" s="857">
        <f>H70*VLOOKUP('3b aigua'!A70,'preus aigua'!$A$4:$H$314,8,FALSE)</f>
        <v>26722828.201335467</v>
      </c>
      <c r="K70" s="857">
        <f t="shared" si="6"/>
        <v>8246283.4201887995</v>
      </c>
    </row>
    <row r="71" spans="1:11">
      <c r="A71" s="835">
        <v>8068</v>
      </c>
      <c r="B71" s="826" t="s">
        <v>1027</v>
      </c>
      <c r="C71" s="857">
        <f>VLOOKUP(B71,'BD ASVICC'!$A$6:$GS$316,144,FALSE)</f>
        <v>453405.46495726495</v>
      </c>
      <c r="D71" s="857">
        <f>VLOOKUP(B71,'BD ASVICC'!$A$6:$GS$316,145,FALSE)</f>
        <v>92143</v>
      </c>
      <c r="E71" s="857">
        <f t="shared" si="5"/>
        <v>545548.46495726495</v>
      </c>
      <c r="F71" s="857">
        <f>E71+'3. Aigua-Resid '!$M$68*E71</f>
        <v>556459.43425641023</v>
      </c>
      <c r="G71" s="857">
        <f t="shared" si="4"/>
        <v>551367.64858347573</v>
      </c>
      <c r="H71" s="857">
        <f t="shared" si="7"/>
        <v>8270514.7287521362</v>
      </c>
      <c r="I71" s="857">
        <f>H71*VLOOKUP(A71,'preus aigua'!$A$4:$K$314,11,FALSE)</f>
        <v>22385636.806018833</v>
      </c>
      <c r="J71" s="857">
        <f>H71*VLOOKUP('3b aigua'!A71,'preus aigua'!$A$4:$H$314,8,FALSE)</f>
        <v>41125583.081438877</v>
      </c>
      <c r="K71" s="857">
        <f t="shared" si="6"/>
        <v>18739946.275420044</v>
      </c>
    </row>
    <row r="72" spans="1:11">
      <c r="A72" s="835">
        <v>8069</v>
      </c>
      <c r="B72" s="826" t="s">
        <v>1030</v>
      </c>
      <c r="C72" s="857">
        <f>VLOOKUP(B72,'BD ASVICC'!$A$6:$GS$316,144,FALSE)</f>
        <v>213232</v>
      </c>
      <c r="D72" s="857">
        <f>VLOOKUP(B72,'BD ASVICC'!$A$6:$GS$316,145,FALSE)</f>
        <v>40004</v>
      </c>
      <c r="E72" s="857">
        <f t="shared" si="5"/>
        <v>253236</v>
      </c>
      <c r="F72" s="857">
        <f>E72+'3. Aigua-Resid '!$M$68*E72</f>
        <v>258300.72</v>
      </c>
      <c r="G72" s="857">
        <f t="shared" si="4"/>
        <v>255937.18399999998</v>
      </c>
      <c r="H72" s="857">
        <f t="shared" si="7"/>
        <v>3839057.76</v>
      </c>
      <c r="I72" s="857">
        <f>H72*VLOOKUP(A72,'preus aigua'!$A$4:$K$314,11,FALSE)</f>
        <v>10201369.504593918</v>
      </c>
      <c r="J72" s="857">
        <f>H72*VLOOKUP('3b aigua'!A72,'preus aigua'!$A$4:$H$314,8,FALSE)</f>
        <v>18741359.593256388</v>
      </c>
      <c r="K72" s="857">
        <f t="shared" si="6"/>
        <v>8539990.0886624698</v>
      </c>
    </row>
    <row r="73" spans="1:11">
      <c r="A73" s="835">
        <v>8070</v>
      </c>
      <c r="B73" s="826" t="s">
        <v>1034</v>
      </c>
      <c r="C73" s="857">
        <f>VLOOKUP(B73,'BD ASVICC'!$A$6:$GS$316,144,FALSE)</f>
        <v>20391</v>
      </c>
      <c r="D73" s="857">
        <f>VLOOKUP(B73,'BD ASVICC'!$A$6:$GS$316,145,FALSE)</f>
        <v>26922</v>
      </c>
      <c r="E73" s="857">
        <f t="shared" si="5"/>
        <v>47313</v>
      </c>
      <c r="F73" s="857">
        <f>E73+'3. Aigua-Resid '!$M$68*E73</f>
        <v>48259.26</v>
      </c>
      <c r="G73" s="857">
        <f t="shared" si="4"/>
        <v>47817.672000000006</v>
      </c>
      <c r="H73" s="857">
        <f t="shared" si="7"/>
        <v>717265.08000000007</v>
      </c>
      <c r="I73" s="857">
        <f>H73*VLOOKUP(A73,'preus aigua'!$A$4:$K$314,11,FALSE)</f>
        <v>1047782.7415708799</v>
      </c>
      <c r="J73" s="857">
        <f>H73*VLOOKUP('3b aigua'!A73,'preus aigua'!$A$4:$H$314,8,FALSE)</f>
        <v>1515419.6050710529</v>
      </c>
      <c r="K73" s="857">
        <f t="shared" si="6"/>
        <v>467636.86350017297</v>
      </c>
    </row>
    <row r="74" spans="1:11">
      <c r="A74" s="835">
        <v>8071</v>
      </c>
      <c r="B74" s="826" t="s">
        <v>1037</v>
      </c>
      <c r="C74" s="857">
        <f>VLOOKUP(B74,'BD ASVICC'!$A$6:$GS$316,144,FALSE)</f>
        <v>11733</v>
      </c>
      <c r="D74" s="857">
        <f>VLOOKUP(B74,'BD ASVICC'!$A$6:$GS$316,145,FALSE)</f>
        <v>6450</v>
      </c>
      <c r="E74" s="857">
        <f t="shared" si="5"/>
        <v>18183</v>
      </c>
      <c r="F74" s="857">
        <f>E74+'3. Aigua-Resid '!$M$68*E74</f>
        <v>18546.66</v>
      </c>
      <c r="G74" s="857">
        <f t="shared" si="4"/>
        <v>18376.952000000001</v>
      </c>
      <c r="H74" s="857">
        <f t="shared" si="7"/>
        <v>275654.28000000003</v>
      </c>
      <c r="I74" s="857">
        <f>H74*VLOOKUP(A74,'preus aigua'!$A$4:$K$314,11,FALSE)</f>
        <v>764483.40843424015</v>
      </c>
      <c r="J74" s="857">
        <f>H74*VLOOKUP('3b aigua'!A74,'preus aigua'!$A$4:$H$314,8,FALSE)</f>
        <v>1105680.6902124544</v>
      </c>
      <c r="K74" s="857">
        <f t="shared" si="6"/>
        <v>341197.28177821427</v>
      </c>
    </row>
    <row r="75" spans="1:11">
      <c r="A75" s="835">
        <v>8072</v>
      </c>
      <c r="B75" s="826" t="s">
        <v>1043</v>
      </c>
      <c r="C75" s="857">
        <f>VLOOKUP(B75,'BD ASVICC'!$A$6:$GS$316,144,FALSE)</f>
        <v>671442.30368487933</v>
      </c>
      <c r="D75" s="857">
        <f>VLOOKUP(B75,'BD ASVICC'!$A$6:$GS$316,145,FALSE)</f>
        <v>100523</v>
      </c>
      <c r="E75" s="857">
        <f t="shared" si="5"/>
        <v>771965.30368487933</v>
      </c>
      <c r="F75" s="857">
        <f>E75+'3. Aigua-Resid '!$M$68*E75</f>
        <v>787404.60975857696</v>
      </c>
      <c r="G75" s="857">
        <f t="shared" si="4"/>
        <v>780199.60025751812</v>
      </c>
      <c r="H75" s="857">
        <f t="shared" si="7"/>
        <v>11702994.003862772</v>
      </c>
      <c r="I75" s="857">
        <f>H75*VLOOKUP(A75,'preus aigua'!$A$4:$K$314,11,FALSE)</f>
        <v>44010497.706814408</v>
      </c>
      <c r="J75" s="857">
        <f>H75*VLOOKUP('3b aigua'!A75,'preus aigua'!$A$4:$H$314,8,FALSE)</f>
        <v>80853513.151362672</v>
      </c>
      <c r="K75" s="857">
        <f t="shared" si="6"/>
        <v>36843015.444548264</v>
      </c>
    </row>
    <row r="76" spans="1:11">
      <c r="A76" s="835">
        <v>8073</v>
      </c>
      <c r="B76" s="826" t="s">
        <v>1046</v>
      </c>
      <c r="C76" s="857">
        <f>VLOOKUP(B76,'BD ASVICC'!$A$6:$GS$316,144,FALSE)</f>
        <v>2983127</v>
      </c>
      <c r="D76" s="857">
        <f>VLOOKUP(B76,'BD ASVICC'!$A$6:$GS$316,145,FALSE)</f>
        <v>1370469</v>
      </c>
      <c r="E76" s="857">
        <f t="shared" si="5"/>
        <v>4353596</v>
      </c>
      <c r="F76" s="857">
        <f>E76+'3. Aigua-Resid '!$M$68*E76</f>
        <v>4440667.92</v>
      </c>
      <c r="G76" s="857">
        <f t="shared" si="4"/>
        <v>4400034.3573333332</v>
      </c>
      <c r="H76" s="857">
        <f t="shared" si="7"/>
        <v>66000515.359999999</v>
      </c>
      <c r="I76" s="857">
        <f>H76*VLOOKUP(A76,'preus aigua'!$A$4:$K$314,11,FALSE)</f>
        <v>188200205.54697853</v>
      </c>
      <c r="J76" s="857">
        <f>H76*VLOOKUP('3b aigua'!A76,'preus aigua'!$A$4:$H$314,8,FALSE)</f>
        <v>345750413.81378651</v>
      </c>
      <c r="K76" s="857">
        <f t="shared" si="6"/>
        <v>157550208.26680797</v>
      </c>
    </row>
    <row r="77" spans="1:11">
      <c r="A77" s="835">
        <v>8074</v>
      </c>
      <c r="B77" s="826" t="s">
        <v>341</v>
      </c>
      <c r="C77" s="857">
        <f>VLOOKUP(B77,'BD ASVICC'!$A$6:$GS$316,144,FALSE)</f>
        <v>928518</v>
      </c>
      <c r="D77" s="857">
        <f>VLOOKUP(B77,'BD ASVICC'!$A$6:$GS$316,145,FALSE)</f>
        <v>167036</v>
      </c>
      <c r="E77" s="857">
        <f t="shared" si="5"/>
        <v>1095554</v>
      </c>
      <c r="F77" s="857">
        <f>E77+'3. Aigua-Resid '!$M$68*E77</f>
        <v>1117465.08</v>
      </c>
      <c r="G77" s="857">
        <f t="shared" si="4"/>
        <v>1107239.9093333334</v>
      </c>
      <c r="H77" s="857">
        <f t="shared" si="7"/>
        <v>16608598.640000001</v>
      </c>
      <c r="I77" s="857">
        <f>H77*VLOOKUP(A77,'preus aigua'!$A$4:$K$314,11,FALSE)</f>
        <v>35619730.724867851</v>
      </c>
      <c r="J77" s="857">
        <f>H77*VLOOKUP('3b aigua'!A77,'preus aigua'!$A$4:$H$314,8,FALSE)</f>
        <v>65438486.649179026</v>
      </c>
      <c r="K77" s="857">
        <f t="shared" si="6"/>
        <v>29818755.924311176</v>
      </c>
    </row>
    <row r="78" spans="1:11">
      <c r="A78" s="835">
        <v>8075</v>
      </c>
      <c r="B78" s="826" t="s">
        <v>1050</v>
      </c>
      <c r="C78" s="857">
        <f>VLOOKUP(B78,'BD ASVICC'!$A$6:$GS$316,144,FALSE)</f>
        <v>268038</v>
      </c>
      <c r="D78" s="857">
        <f>VLOOKUP(B78,'BD ASVICC'!$A$6:$GS$316,145,FALSE)</f>
        <v>224732</v>
      </c>
      <c r="E78" s="857">
        <f t="shared" si="5"/>
        <v>492770</v>
      </c>
      <c r="F78" s="857">
        <f>E78+'3. Aigua-Resid '!$M$68*E78</f>
        <v>502625.4</v>
      </c>
      <c r="G78" s="857">
        <f t="shared" si="4"/>
        <v>498026.21333333332</v>
      </c>
      <c r="H78" s="857">
        <f t="shared" si="7"/>
        <v>7470393.2000000002</v>
      </c>
      <c r="I78" s="857">
        <f>H78*VLOOKUP(A78,'preus aigua'!$A$4:$K$314,11,FALSE)</f>
        <v>17910337.420669865</v>
      </c>
      <c r="J78" s="857">
        <f>H78*VLOOKUP('3b aigua'!A78,'preus aigua'!$A$4:$H$314,8,FALSE)</f>
        <v>32903824.715512224</v>
      </c>
      <c r="K78" s="857">
        <f t="shared" si="6"/>
        <v>14993487.294842359</v>
      </c>
    </row>
    <row r="79" spans="1:11">
      <c r="A79" s="835">
        <v>8076</v>
      </c>
      <c r="B79" s="826" t="s">
        <v>1053</v>
      </c>
      <c r="C79" s="857">
        <f>VLOOKUP(B79,'BD ASVICC'!$A$6:$GS$316,144,FALSE)</f>
        <v>873975</v>
      </c>
      <c r="D79" s="857">
        <f>VLOOKUP(B79,'BD ASVICC'!$A$6:$GS$316,145,FALSE)</f>
        <v>362476</v>
      </c>
      <c r="E79" s="857">
        <f t="shared" si="5"/>
        <v>1236451</v>
      </c>
      <c r="F79" s="857">
        <f>E79+'3. Aigua-Resid '!$M$68*E79</f>
        <v>1261180.02</v>
      </c>
      <c r="G79" s="857">
        <f t="shared" si="4"/>
        <v>1249639.8106666666</v>
      </c>
      <c r="H79" s="857">
        <f t="shared" si="7"/>
        <v>18744597.16</v>
      </c>
      <c r="I79" s="857">
        <f>H79*VLOOKUP(A79,'preus aigua'!$A$4:$K$314,11,FALSE)</f>
        <v>38046333.733187631</v>
      </c>
      <c r="J79" s="857">
        <f>H79*VLOOKUP('3b aigua'!A79,'preus aigua'!$A$4:$H$314,8,FALSE)</f>
        <v>69896499.815795437</v>
      </c>
      <c r="K79" s="857">
        <f t="shared" si="6"/>
        <v>31850166.082607806</v>
      </c>
    </row>
    <row r="80" spans="1:11">
      <c r="A80" s="835">
        <v>8077</v>
      </c>
      <c r="B80" s="826" t="s">
        <v>1061</v>
      </c>
      <c r="C80" s="857">
        <f>VLOOKUP(B80,'BD ASVICC'!$A$6:$GS$316,144,FALSE)</f>
        <v>1766972</v>
      </c>
      <c r="D80" s="857">
        <f>VLOOKUP(B80,'BD ASVICC'!$A$6:$GS$316,145,FALSE)</f>
        <v>791791</v>
      </c>
      <c r="E80" s="857">
        <f t="shared" si="5"/>
        <v>2558763</v>
      </c>
      <c r="F80" s="857">
        <f>E80+'3. Aigua-Resid '!$M$68*E80</f>
        <v>2609938.2599999998</v>
      </c>
      <c r="G80" s="857">
        <f t="shared" si="4"/>
        <v>2586056.4720000001</v>
      </c>
      <c r="H80" s="857">
        <f t="shared" si="7"/>
        <v>38790847.079999998</v>
      </c>
      <c r="I80" s="857">
        <f>H80*VLOOKUP(A80,'preus aigua'!$A$4:$K$314,11,FALSE)</f>
        <v>110611945.28523166</v>
      </c>
      <c r="J80" s="857">
        <f>H80*VLOOKUP('3b aigua'!A80,'preus aigua'!$A$4:$H$314,8,FALSE)</f>
        <v>203209798.54387173</v>
      </c>
      <c r="K80" s="857">
        <f t="shared" si="6"/>
        <v>92597853.258640066</v>
      </c>
    </row>
    <row r="81" spans="1:11">
      <c r="A81" s="835">
        <v>8078</v>
      </c>
      <c r="B81" s="826" t="s">
        <v>1062</v>
      </c>
      <c r="C81" s="857">
        <f>VLOOKUP(B81,'BD ASVICC'!$A$6:$GS$316,144,FALSE)</f>
        <v>5213</v>
      </c>
      <c r="D81" s="857">
        <f>VLOOKUP(B81,'BD ASVICC'!$A$6:$GS$316,145,FALSE)</f>
        <v>2486</v>
      </c>
      <c r="E81" s="857">
        <f t="shared" si="5"/>
        <v>7699</v>
      </c>
      <c r="F81" s="857">
        <f>E81+'3. Aigua-Resid '!$M$68*E81</f>
        <v>7852.98</v>
      </c>
      <c r="G81" s="857">
        <f t="shared" si="4"/>
        <v>7781.1226666666662</v>
      </c>
      <c r="H81" s="857">
        <f t="shared" si="7"/>
        <v>116716.84</v>
      </c>
      <c r="I81" s="857">
        <f>H81*VLOOKUP(A81,'preus aigua'!$A$4:$K$314,11,FALSE)</f>
        <v>141927.05495018666</v>
      </c>
      <c r="J81" s="857">
        <f>H81*VLOOKUP('3b aigua'!A81,'preus aigua'!$A$4:$H$314,8,FALSE)</f>
        <v>205270.64727087787</v>
      </c>
      <c r="K81" s="857">
        <f t="shared" si="6"/>
        <v>63343.592320691212</v>
      </c>
    </row>
    <row r="82" spans="1:11">
      <c r="A82" s="835">
        <v>8079</v>
      </c>
      <c r="B82" s="826" t="s">
        <v>1063</v>
      </c>
      <c r="C82" s="857">
        <f>VLOOKUP(B82,'BD ASVICC'!$A$6:$GS$316,144,FALSE)</f>
        <v>22522</v>
      </c>
      <c r="D82" s="857">
        <f>VLOOKUP(B82,'BD ASVICC'!$A$6:$GS$316,145,FALSE)</f>
        <v>21896</v>
      </c>
      <c r="E82" s="857">
        <f t="shared" si="5"/>
        <v>44418</v>
      </c>
      <c r="F82" s="857">
        <f>E82+'3. Aigua-Resid '!$M$68*E82</f>
        <v>45306.36</v>
      </c>
      <c r="G82" s="857">
        <f t="shared" si="4"/>
        <v>44891.792000000001</v>
      </c>
      <c r="H82" s="857">
        <f t="shared" si="7"/>
        <v>673376.88</v>
      </c>
      <c r="I82" s="857">
        <f>H82*VLOOKUP(A82,'preus aigua'!$A$4:$K$314,11,FALSE)</f>
        <v>1065707.79834816</v>
      </c>
      <c r="J82" s="857">
        <f>H82*VLOOKUP('3b aigua'!A82,'preus aigua'!$A$4:$H$314,8,FALSE)</f>
        <v>1541344.8101584897</v>
      </c>
      <c r="K82" s="857">
        <f t="shared" si="6"/>
        <v>475637.01181032974</v>
      </c>
    </row>
    <row r="83" spans="1:11">
      <c r="A83" s="835">
        <v>8080</v>
      </c>
      <c r="B83" s="826" t="s">
        <v>1067</v>
      </c>
      <c r="C83" s="857">
        <f>VLOOKUP(B83,'BD ASVICC'!$A$6:$GS$316,144,FALSE)</f>
        <v>2500</v>
      </c>
      <c r="D83" s="857">
        <f>VLOOKUP(B83,'BD ASVICC'!$A$6:$GS$316,145,FALSE)</f>
        <v>385</v>
      </c>
      <c r="E83" s="857">
        <f t="shared" si="5"/>
        <v>2885</v>
      </c>
      <c r="F83" s="857">
        <f>E83+'3. Aigua-Resid '!$M$68*E83</f>
        <v>2942.7</v>
      </c>
      <c r="G83" s="857">
        <f t="shared" si="4"/>
        <v>2915.7733333333331</v>
      </c>
      <c r="H83" s="857">
        <f t="shared" si="7"/>
        <v>43736.6</v>
      </c>
      <c r="I83" s="857">
        <f>H83*VLOOKUP(A83,'preus aigua'!$A$4:$K$314,11,FALSE)</f>
        <v>21766.01467146667</v>
      </c>
      <c r="J83" s="857">
        <f>H83*VLOOKUP('3b aigua'!A83,'preus aigua'!$A$4:$H$314,8,FALSE)</f>
        <v>31480.424374954669</v>
      </c>
      <c r="K83" s="857">
        <f t="shared" si="6"/>
        <v>9714.4097034879996</v>
      </c>
    </row>
    <row r="84" spans="1:11">
      <c r="A84" s="835">
        <v>8081</v>
      </c>
      <c r="B84" s="826" t="s">
        <v>1068</v>
      </c>
      <c r="C84" s="857">
        <f>VLOOKUP(B84,'BD ASVICC'!$A$6:$GS$316,144,FALSE)</f>
        <v>19328</v>
      </c>
      <c r="D84" s="857">
        <f>VLOOKUP(B84,'BD ASVICC'!$A$6:$GS$316,145,FALSE)</f>
        <v>9222</v>
      </c>
      <c r="E84" s="857">
        <f t="shared" si="5"/>
        <v>28550</v>
      </c>
      <c r="F84" s="857">
        <f>E84+'3. Aigua-Resid '!$M$68*E84</f>
        <v>29121</v>
      </c>
      <c r="G84" s="857">
        <f t="shared" si="4"/>
        <v>28854.533333333333</v>
      </c>
      <c r="H84" s="857">
        <f t="shared" si="7"/>
        <v>432818</v>
      </c>
      <c r="I84" s="857">
        <f>H84*VLOOKUP(A84,'preus aigua'!$A$4:$K$314,11,FALSE)</f>
        <v>449696.74781866668</v>
      </c>
      <c r="J84" s="857">
        <f>H84*VLOOKUP('3b aigua'!A84,'preus aigua'!$A$4:$H$314,8,FALSE)</f>
        <v>650401.31025578675</v>
      </c>
      <c r="K84" s="857">
        <f t="shared" si="6"/>
        <v>200704.56243712007</v>
      </c>
    </row>
    <row r="85" spans="1:11">
      <c r="A85" s="835">
        <v>8082</v>
      </c>
      <c r="B85" s="826" t="s">
        <v>1071</v>
      </c>
      <c r="C85" s="857">
        <f>VLOOKUP(B85,'BD ASVICC'!$A$6:$GS$316,144,FALSE)</f>
        <v>118421</v>
      </c>
      <c r="D85" s="857">
        <f>VLOOKUP(B85,'BD ASVICC'!$A$6:$GS$316,145,FALSE)</f>
        <v>879808</v>
      </c>
      <c r="E85" s="857">
        <f t="shared" si="5"/>
        <v>998229</v>
      </c>
      <c r="F85" s="857">
        <f>E85+'3. Aigua-Resid '!$M$68*E85</f>
        <v>1018193.58</v>
      </c>
      <c r="G85" s="857">
        <f t="shared" si="4"/>
        <v>1008876.7760000001</v>
      </c>
      <c r="H85" s="857">
        <f t="shared" si="7"/>
        <v>15133151.640000001</v>
      </c>
      <c r="I85" s="857">
        <f>H85*VLOOKUP(A85,'preus aigua'!$A$4:$K$314,11,FALSE)</f>
        <v>30002986.441464003</v>
      </c>
      <c r="J85" s="857">
        <f>H85*VLOOKUP('3b aigua'!A85,'preus aigua'!$A$4:$H$314,8,FALSE)</f>
        <v>43393646.469027847</v>
      </c>
      <c r="K85" s="857">
        <f t="shared" si="6"/>
        <v>13390660.027563844</v>
      </c>
    </row>
    <row r="86" spans="1:11">
      <c r="A86" s="835">
        <v>8083</v>
      </c>
      <c r="B86" s="826" t="s">
        <v>1077</v>
      </c>
      <c r="C86" s="857">
        <f>VLOOKUP(B86,'BD ASVICC'!$A$6:$GS$316,144,FALSE)</f>
        <v>82254</v>
      </c>
      <c r="D86" s="857">
        <f>VLOOKUP(B86,'BD ASVICC'!$A$6:$GS$316,145,FALSE)</f>
        <v>61294</v>
      </c>
      <c r="E86" s="857">
        <f t="shared" si="5"/>
        <v>143548</v>
      </c>
      <c r="F86" s="857">
        <f>E86+'3. Aigua-Resid '!$M$68*E86</f>
        <v>146418.96</v>
      </c>
      <c r="G86" s="857">
        <f t="shared" si="4"/>
        <v>145079.17866666664</v>
      </c>
      <c r="H86" s="857">
        <f t="shared" si="7"/>
        <v>2176187.6799999997</v>
      </c>
      <c r="I86" s="857">
        <f>H86*VLOOKUP(A86,'preus aigua'!$A$4:$K$314,11,FALSE)</f>
        <v>4834752.0227323724</v>
      </c>
      <c r="J86" s="857">
        <f>H86*VLOOKUP('3b aigua'!A86,'preus aigua'!$A$4:$H$314,8,FALSE)</f>
        <v>6992554.5728316745</v>
      </c>
      <c r="K86" s="857">
        <f t="shared" si="6"/>
        <v>2157802.5500993021</v>
      </c>
    </row>
    <row r="87" spans="1:11">
      <c r="A87" s="835">
        <v>8084</v>
      </c>
      <c r="B87" s="826" t="s">
        <v>1078</v>
      </c>
      <c r="C87" s="857">
        <f>VLOOKUP(B87,'BD ASVICC'!$A$6:$GS$316,144,FALSE)</f>
        <v>73289</v>
      </c>
      <c r="D87" s="857">
        <f>VLOOKUP(B87,'BD ASVICC'!$A$6:$GS$316,145,FALSE)</f>
        <v>25585</v>
      </c>
      <c r="E87" s="857">
        <f t="shared" si="5"/>
        <v>98874</v>
      </c>
      <c r="F87" s="857">
        <f>E87+'3. Aigua-Resid '!$M$68*E87</f>
        <v>100851.48</v>
      </c>
      <c r="G87" s="857">
        <f t="shared" si="4"/>
        <v>99928.655999999988</v>
      </c>
      <c r="H87" s="857">
        <f t="shared" si="7"/>
        <v>1498929.8399999999</v>
      </c>
      <c r="I87" s="857">
        <f>H87*VLOOKUP(A87,'preus aigua'!$A$4:$K$314,11,FALSE)</f>
        <v>4854765.9429619201</v>
      </c>
      <c r="J87" s="857">
        <f>H87*VLOOKUP('3b aigua'!A87,'preus aigua'!$A$4:$H$314,8,FALSE)</f>
        <v>7021500.9239089144</v>
      </c>
      <c r="K87" s="857">
        <f t="shared" si="6"/>
        <v>2166734.9809469944</v>
      </c>
    </row>
    <row r="88" spans="1:11">
      <c r="A88" s="835">
        <v>8085</v>
      </c>
      <c r="B88" s="826" t="s">
        <v>1080</v>
      </c>
      <c r="C88" s="857">
        <f>VLOOKUP(B88,'BD ASVICC'!$A$6:$GS$316,144,FALSE)</f>
        <v>62498</v>
      </c>
      <c r="D88" s="857">
        <f>VLOOKUP(B88,'BD ASVICC'!$A$6:$GS$316,145,FALSE)</f>
        <v>42304</v>
      </c>
      <c r="E88" s="857">
        <f t="shared" si="5"/>
        <v>104802</v>
      </c>
      <c r="F88" s="857">
        <f>E88+'3. Aigua-Resid '!$M$68*E88</f>
        <v>106898.04</v>
      </c>
      <c r="G88" s="857">
        <f t="shared" si="4"/>
        <v>105919.88799999999</v>
      </c>
      <c r="H88" s="857">
        <f t="shared" si="7"/>
        <v>1588798.3199999998</v>
      </c>
      <c r="I88" s="857">
        <f>H88*VLOOKUP(A88,'preus aigua'!$A$4:$K$314,11,FALSE)</f>
        <v>3020301.3695244794</v>
      </c>
      <c r="J88" s="857">
        <f>H88*VLOOKUP('3b aigua'!A88,'preus aigua'!$A$4:$H$314,8,FALSE)</f>
        <v>4368294.8067442691</v>
      </c>
      <c r="K88" s="857">
        <f t="shared" si="6"/>
        <v>1347993.4372197897</v>
      </c>
    </row>
    <row r="89" spans="1:11">
      <c r="A89" s="835">
        <v>8086</v>
      </c>
      <c r="B89" s="826" t="s">
        <v>1084</v>
      </c>
      <c r="C89" s="857">
        <f>VLOOKUP(B89,'BD ASVICC'!$A$6:$GS$316,144,FALSE)</f>
        <v>724001</v>
      </c>
      <c r="D89" s="857">
        <f>VLOOKUP(B89,'BD ASVICC'!$A$6:$GS$316,145,FALSE)</f>
        <v>611449.14285714284</v>
      </c>
      <c r="E89" s="857">
        <f t="shared" si="5"/>
        <v>1335450.1428571427</v>
      </c>
      <c r="F89" s="857">
        <f>E89+'3. Aigua-Resid '!$M$68*E89</f>
        <v>1362159.1457142856</v>
      </c>
      <c r="G89" s="857">
        <f t="shared" si="4"/>
        <v>1349694.9443809525</v>
      </c>
      <c r="H89" s="857">
        <f t="shared" si="7"/>
        <v>20245424.165714286</v>
      </c>
      <c r="I89" s="857">
        <f>H89*VLOOKUP(A89,'preus aigua'!$A$4:$K$314,11,FALSE)</f>
        <v>25711958.629446022</v>
      </c>
      <c r="J89" s="857">
        <f>H89*VLOOKUP('3b aigua'!A89,'preus aigua'!$A$4:$H$314,8,FALSE)</f>
        <v>47236507.049801379</v>
      </c>
      <c r="K89" s="857">
        <f t="shared" si="6"/>
        <v>21524548.420355357</v>
      </c>
    </row>
    <row r="90" spans="1:11">
      <c r="A90" s="835">
        <v>8087</v>
      </c>
      <c r="B90" s="826" t="s">
        <v>1087</v>
      </c>
      <c r="C90" s="857">
        <f>VLOOKUP(B90,'BD ASVICC'!$A$6:$GS$316,144,FALSE)</f>
        <v>8268</v>
      </c>
      <c r="D90" s="857">
        <f>VLOOKUP(B90,'BD ASVICC'!$A$6:$GS$316,145,FALSE)</f>
        <v>710</v>
      </c>
      <c r="E90" s="857">
        <f t="shared" si="5"/>
        <v>8978</v>
      </c>
      <c r="F90" s="857">
        <f>E90+'3. Aigua-Resid '!$M$68*E90</f>
        <v>9157.56</v>
      </c>
      <c r="G90" s="857">
        <f t="shared" si="4"/>
        <v>9073.7653333333328</v>
      </c>
      <c r="H90" s="857">
        <f t="shared" si="7"/>
        <v>136106.47999999998</v>
      </c>
      <c r="I90" s="857">
        <f>H90*VLOOKUP(A90,'preus aigua'!$A$4:$K$314,11,FALSE)</f>
        <v>311299.11154986662</v>
      </c>
      <c r="J90" s="857">
        <f>H90*VLOOKUP('3b aigua'!A90,'preus aigua'!$A$4:$H$314,8,FALSE)</f>
        <v>450235.29971165856</v>
      </c>
      <c r="K90" s="857">
        <f t="shared" si="6"/>
        <v>138936.18816179194</v>
      </c>
    </row>
    <row r="91" spans="1:11">
      <c r="A91" s="835">
        <v>8088</v>
      </c>
      <c r="B91" s="826" t="s">
        <v>1091</v>
      </c>
      <c r="C91" s="857">
        <f>VLOOKUP(B91,'BD ASVICC'!$A$6:$GS$316,144,FALSE)</f>
        <v>614685</v>
      </c>
      <c r="D91" s="857">
        <f>VLOOKUP(B91,'BD ASVICC'!$A$6:$GS$316,145,FALSE)</f>
        <v>240714.11199999999</v>
      </c>
      <c r="E91" s="857">
        <f t="shared" si="5"/>
        <v>855399.11199999996</v>
      </c>
      <c r="F91" s="857">
        <f>E91+'3. Aigua-Resid '!$M$68*E91</f>
        <v>872507.09424000001</v>
      </c>
      <c r="G91" s="857">
        <f t="shared" si="4"/>
        <v>864523.36919466662</v>
      </c>
      <c r="H91" s="857">
        <f t="shared" si="7"/>
        <v>12967850.53792</v>
      </c>
      <c r="I91" s="857">
        <f>H91*VLOOKUP(A91,'preus aigua'!$A$4:$K$314,11,FALSE)</f>
        <v>32685311.66662091</v>
      </c>
      <c r="J91" s="857">
        <f>H91*VLOOKUP('3b aigua'!A91,'preus aigua'!$A$4:$H$314,8,FALSE)</f>
        <v>60047543.526969299</v>
      </c>
      <c r="K91" s="857">
        <f t="shared" si="6"/>
        <v>27362231.860348389</v>
      </c>
    </row>
    <row r="92" spans="1:11">
      <c r="A92" s="835">
        <v>8089</v>
      </c>
      <c r="B92" s="826" t="s">
        <v>342</v>
      </c>
      <c r="C92" s="857">
        <f>VLOOKUP(B92,'BD ASVICC'!$A$6:$GS$316,144,FALSE)</f>
        <v>1890488</v>
      </c>
      <c r="D92" s="857">
        <f>VLOOKUP(B92,'BD ASVICC'!$A$6:$GS$316,145,FALSE)</f>
        <v>895285</v>
      </c>
      <c r="E92" s="857">
        <f t="shared" si="5"/>
        <v>2785773</v>
      </c>
      <c r="F92" s="857">
        <f>E92+'3. Aigua-Resid '!$M$68*E92</f>
        <v>2841488.46</v>
      </c>
      <c r="G92" s="857">
        <f t="shared" si="4"/>
        <v>2815487.912</v>
      </c>
      <c r="H92" s="857">
        <f t="shared" si="7"/>
        <v>42232318.68</v>
      </c>
      <c r="I92" s="857">
        <f>H92*VLOOKUP(A92,'preus aigua'!$A$4:$K$314,11,FALSE)</f>
        <v>123774479.58734401</v>
      </c>
      <c r="J92" s="857">
        <f>H92*VLOOKUP('3b aigua'!A92,'preus aigua'!$A$4:$H$314,8,FALSE)</f>
        <v>227391236.96773937</v>
      </c>
      <c r="K92" s="857">
        <f t="shared" si="6"/>
        <v>103616757.38039537</v>
      </c>
    </row>
    <row r="93" spans="1:11">
      <c r="A93" s="835">
        <v>8090</v>
      </c>
      <c r="B93" s="826" t="s">
        <v>1100</v>
      </c>
      <c r="C93" s="857">
        <f>VLOOKUP(B93,'BD ASVICC'!$A$6:$GS$316,144,FALSE)</f>
        <v>6015</v>
      </c>
      <c r="D93" s="857">
        <f>VLOOKUP(B93,'BD ASVICC'!$A$6:$GS$316,145,FALSE)</f>
        <v>27972</v>
      </c>
      <c r="E93" s="857">
        <f t="shared" si="5"/>
        <v>33987</v>
      </c>
      <c r="F93" s="857">
        <f>E93+'3. Aigua-Resid '!$M$68*E93</f>
        <v>34666.74</v>
      </c>
      <c r="G93" s="857">
        <f t="shared" si="4"/>
        <v>34349.527999999998</v>
      </c>
      <c r="H93" s="857">
        <f t="shared" si="7"/>
        <v>515242.92</v>
      </c>
      <c r="I93" s="857">
        <f>H93*VLOOKUP(A93,'preus aigua'!$A$4:$K$314,11,FALSE)</f>
        <v>1759384.1981411199</v>
      </c>
      <c r="J93" s="857">
        <f>H93*VLOOKUP('3b aigua'!A93,'preus aigua'!$A$4:$H$314,8,FALSE)</f>
        <v>2544616.5516316672</v>
      </c>
      <c r="K93" s="857">
        <f t="shared" si="6"/>
        <v>785232.35349054728</v>
      </c>
    </row>
    <row r="94" spans="1:11">
      <c r="A94" s="835">
        <v>8091</v>
      </c>
      <c r="B94" s="826" t="s">
        <v>1102</v>
      </c>
      <c r="C94" s="857">
        <f>VLOOKUP(B94,'BD ASVICC'!$A$6:$GS$316,144,FALSE)</f>
        <v>317550</v>
      </c>
      <c r="D94" s="857">
        <f>VLOOKUP(B94,'BD ASVICC'!$A$6:$GS$316,145,FALSE)</f>
        <v>367027</v>
      </c>
      <c r="E94" s="857">
        <f t="shared" si="5"/>
        <v>684577</v>
      </c>
      <c r="F94" s="857">
        <f>E94+'3. Aigua-Resid '!$M$68*E94</f>
        <v>698268.54</v>
      </c>
      <c r="G94" s="857">
        <f t="shared" si="4"/>
        <v>691879.15466666664</v>
      </c>
      <c r="H94" s="857">
        <f t="shared" si="7"/>
        <v>10378187.32</v>
      </c>
      <c r="I94" s="857">
        <f>H94*VLOOKUP(A94,'preus aigua'!$A$4:$K$314,11,FALSE)</f>
        <v>23223809.431704644</v>
      </c>
      <c r="J94" s="857">
        <f>H94*VLOOKUP('3b aigua'!A94,'preus aigua'!$A$4:$H$314,8,FALSE)</f>
        <v>42665424.822503917</v>
      </c>
      <c r="K94" s="857">
        <f t="shared" si="6"/>
        <v>19441615.390799273</v>
      </c>
    </row>
    <row r="95" spans="1:11">
      <c r="A95" s="835">
        <v>8092</v>
      </c>
      <c r="B95" s="826" t="s">
        <v>1104</v>
      </c>
      <c r="C95" s="857">
        <f>VLOOKUP(B95,'BD ASVICC'!$A$6:$GS$316,144,FALSE)</f>
        <v>161944</v>
      </c>
      <c r="D95" s="857">
        <f>VLOOKUP(B95,'BD ASVICC'!$A$6:$GS$316,145,FALSE)</f>
        <v>46597</v>
      </c>
      <c r="E95" s="857">
        <f t="shared" si="5"/>
        <v>208541</v>
      </c>
      <c r="F95" s="857">
        <f>E95+'3. Aigua-Resid '!$M$68*E95</f>
        <v>212711.82</v>
      </c>
      <c r="G95" s="857">
        <f t="shared" si="4"/>
        <v>210765.43733333334</v>
      </c>
      <c r="H95" s="857">
        <f t="shared" si="7"/>
        <v>3161481.56</v>
      </c>
      <c r="I95" s="857">
        <f>H95*VLOOKUP(A95,'preus aigua'!$A$4:$K$314,11,FALSE)</f>
        <v>6209815.8026219737</v>
      </c>
      <c r="J95" s="857">
        <f>H95*VLOOKUP('3b aigua'!A95,'preus aigua'!$A$4:$H$314,8,FALSE)</f>
        <v>8981324.312581053</v>
      </c>
      <c r="K95" s="857">
        <f t="shared" si="6"/>
        <v>2771508.5099590793</v>
      </c>
    </row>
    <row r="96" spans="1:11">
      <c r="A96" s="835">
        <v>8093</v>
      </c>
      <c r="B96" s="826" t="s">
        <v>1105</v>
      </c>
      <c r="C96" s="857">
        <f>VLOOKUP(B96,'BD ASVICC'!$A$6:$GS$316,144,FALSE)</f>
        <v>755</v>
      </c>
      <c r="D96" s="857">
        <f>VLOOKUP(B96,'BD ASVICC'!$A$6:$GS$316,145,FALSE)</f>
        <v>344</v>
      </c>
      <c r="E96" s="857">
        <f t="shared" si="5"/>
        <v>1099</v>
      </c>
      <c r="F96" s="857">
        <f>E96+'3. Aigua-Resid '!$M$68*E96</f>
        <v>1120.98</v>
      </c>
      <c r="G96" s="857">
        <f t="shared" si="4"/>
        <v>1110.7226666666668</v>
      </c>
      <c r="H96" s="857">
        <f t="shared" si="7"/>
        <v>16660.84</v>
      </c>
      <c r="I96" s="857">
        <f>H96*VLOOKUP(A96,'preus aigua'!$A$4:$K$314,11,FALSE)</f>
        <v>10608.467760426667</v>
      </c>
      <c r="J96" s="857">
        <f>H96*VLOOKUP('3b aigua'!A96,'preus aigua'!$A$4:$H$314,8,FALSE)</f>
        <v>15343.14260589227</v>
      </c>
      <c r="K96" s="857">
        <f t="shared" si="6"/>
        <v>4734.6748454656026</v>
      </c>
    </row>
    <row r="97" spans="1:11">
      <c r="A97" s="835">
        <v>8094</v>
      </c>
      <c r="B97" s="826" t="s">
        <v>1108</v>
      </c>
      <c r="C97" s="857">
        <f>VLOOKUP(B97,'BD ASVICC'!$A$6:$GS$316,144,FALSE)</f>
        <v>73147</v>
      </c>
      <c r="D97" s="857">
        <f>VLOOKUP(B97,'BD ASVICC'!$A$6:$GS$316,145,FALSE)</f>
        <v>24227</v>
      </c>
      <c r="E97" s="857">
        <f t="shared" si="5"/>
        <v>97374</v>
      </c>
      <c r="F97" s="857">
        <f>E97+'3. Aigua-Resid '!$M$68*E97</f>
        <v>99321.48</v>
      </c>
      <c r="G97" s="857">
        <f t="shared" si="4"/>
        <v>98412.655999999988</v>
      </c>
      <c r="H97" s="857">
        <f t="shared" si="7"/>
        <v>1476189.8399999999</v>
      </c>
      <c r="I97" s="857">
        <f>H97*VLOOKUP(A97,'preus aigua'!$A$4:$K$314,11,FALSE)</f>
        <v>3167616.0316844792</v>
      </c>
      <c r="J97" s="857">
        <f>H97*VLOOKUP('3b aigua'!A97,'preus aigua'!$A$4:$H$314,8,FALSE)</f>
        <v>5819358.9670905434</v>
      </c>
      <c r="K97" s="857">
        <f t="shared" si="6"/>
        <v>2651742.9354060641</v>
      </c>
    </row>
    <row r="98" spans="1:11">
      <c r="A98" s="835">
        <v>8095</v>
      </c>
      <c r="B98" s="826" t="s">
        <v>1110</v>
      </c>
      <c r="C98" s="857">
        <f>VLOOKUP(B98,'BD ASVICC'!$A$6:$GS$316,144,FALSE)</f>
        <v>4602</v>
      </c>
      <c r="D98" s="857">
        <f>VLOOKUP(B98,'BD ASVICC'!$A$6:$GS$316,145,FALSE)</f>
        <v>378</v>
      </c>
      <c r="E98" s="857">
        <f t="shared" si="5"/>
        <v>4980</v>
      </c>
      <c r="F98" s="857">
        <f>E98+'3. Aigua-Resid '!$M$68*E98</f>
        <v>5079.6000000000004</v>
      </c>
      <c r="G98" s="857">
        <f t="shared" si="4"/>
        <v>5033.12</v>
      </c>
      <c r="H98" s="857">
        <f t="shared" si="7"/>
        <v>75496.800000000003</v>
      </c>
      <c r="I98" s="857">
        <f>H98*VLOOKUP(A98,'preus aigua'!$A$4:$K$314,11,FALSE)</f>
        <v>55620.203820800009</v>
      </c>
      <c r="J98" s="857">
        <f>H98*VLOOKUP('3b aigua'!A98,'preus aigua'!$A$4:$H$314,8,FALSE)</f>
        <v>80444.10731724801</v>
      </c>
      <c r="K98" s="857">
        <f t="shared" si="6"/>
        <v>24823.903496448002</v>
      </c>
    </row>
    <row r="99" spans="1:11">
      <c r="A99" s="835">
        <v>8096</v>
      </c>
      <c r="B99" s="826" t="s">
        <v>1113</v>
      </c>
      <c r="C99" s="857">
        <f>VLOOKUP(B99,'BD ASVICC'!$A$6:$GS$316,144,FALSE)</f>
        <v>2203808</v>
      </c>
      <c r="D99" s="857">
        <f>VLOOKUP(B99,'BD ASVICC'!$A$6:$GS$316,145,FALSE)</f>
        <v>1797288</v>
      </c>
      <c r="E99" s="857">
        <f t="shared" si="5"/>
        <v>4001096</v>
      </c>
      <c r="F99" s="857">
        <f>E99+'3. Aigua-Resid '!$M$68*E99</f>
        <v>4081117.92</v>
      </c>
      <c r="G99" s="857">
        <f t="shared" si="4"/>
        <v>4043774.3573333332</v>
      </c>
      <c r="H99" s="857">
        <f t="shared" si="7"/>
        <v>60656615.359999999</v>
      </c>
      <c r="I99" s="857">
        <f>H99*VLOOKUP(A99,'preus aigua'!$A$4:$K$314,11,FALSE)</f>
        <v>107639450.35713878</v>
      </c>
      <c r="J99" s="857">
        <f>H99*VLOOKUP('3b aigua'!A99,'preus aigua'!$A$4:$H$314,8,FALSE)</f>
        <v>197748904.65982676</v>
      </c>
      <c r="K99" s="857">
        <f t="shared" si="6"/>
        <v>90109454.302687973</v>
      </c>
    </row>
    <row r="100" spans="1:11">
      <c r="A100" s="835">
        <v>8097</v>
      </c>
      <c r="B100" s="826" t="s">
        <v>1116</v>
      </c>
      <c r="C100" s="857">
        <f>VLOOKUP(B100,'BD ASVICC'!$A$6:$GS$316,144,FALSE)</f>
        <v>89081</v>
      </c>
      <c r="D100" s="857">
        <f>VLOOKUP(B100,'BD ASVICC'!$A$6:$GS$316,145,FALSE)</f>
        <v>79209</v>
      </c>
      <c r="E100" s="857">
        <f t="shared" si="5"/>
        <v>168290</v>
      </c>
      <c r="F100" s="857">
        <f>E100+'3. Aigua-Resid '!$M$68*E100</f>
        <v>171655.8</v>
      </c>
      <c r="G100" s="857">
        <f t="shared" si="4"/>
        <v>170085.09333333332</v>
      </c>
      <c r="H100" s="857">
        <f t="shared" si="7"/>
        <v>2551276.4</v>
      </c>
      <c r="I100" s="857">
        <f>H100*VLOOKUP(A100,'preus aigua'!$A$4:$K$314,11,FALSE)</f>
        <v>3820743.912813866</v>
      </c>
      <c r="J100" s="857">
        <f>H100*VLOOKUP('3b aigua'!A100,'preus aigua'!$A$4:$H$314,8,FALSE)</f>
        <v>5525983.5858274987</v>
      </c>
      <c r="K100" s="857">
        <f t="shared" si="6"/>
        <v>1705239.6730136327</v>
      </c>
    </row>
    <row r="101" spans="1:11" ht="30">
      <c r="A101" s="835">
        <v>8098</v>
      </c>
      <c r="B101" s="826" t="s">
        <v>1121</v>
      </c>
      <c r="C101" s="857">
        <f>VLOOKUP(B101,'BD ASVICC'!$A$6:$GS$316,144,FALSE)</f>
        <v>173055</v>
      </c>
      <c r="D101" s="857">
        <f>VLOOKUP(B101,'BD ASVICC'!$A$6:$GS$316,145,FALSE)</f>
        <v>42429</v>
      </c>
      <c r="E101" s="857">
        <f t="shared" si="5"/>
        <v>215484</v>
      </c>
      <c r="F101" s="857">
        <f>E101+'3. Aigua-Resid '!$M$68*E101</f>
        <v>219793.68</v>
      </c>
      <c r="G101" s="857">
        <f t="shared" si="4"/>
        <v>217782.49599999998</v>
      </c>
      <c r="H101" s="857">
        <f t="shared" si="7"/>
        <v>3266737.44</v>
      </c>
      <c r="I101" s="857">
        <f>H101*VLOOKUP(A101,'preus aigua'!$A$4:$K$314,11,FALSE)</f>
        <v>9656754.6342348792</v>
      </c>
      <c r="J101" s="857">
        <f>H101*VLOOKUP('3b aigua'!A101,'preus aigua'!$A$4:$H$314,8,FALSE)</f>
        <v>13966669.53317089</v>
      </c>
      <c r="K101" s="857">
        <f t="shared" si="6"/>
        <v>4309914.8989360109</v>
      </c>
    </row>
    <row r="102" spans="1:11">
      <c r="A102" s="835">
        <v>8099</v>
      </c>
      <c r="B102" s="826" t="s">
        <v>1125</v>
      </c>
      <c r="C102" s="857">
        <f>VLOOKUP(B102,'BD ASVICC'!$A$6:$GS$316,144,FALSE)</f>
        <v>28661.333333333332</v>
      </c>
      <c r="D102" s="857">
        <f>VLOOKUP(B102,'BD ASVICC'!$A$6:$GS$316,145,FALSE)</f>
        <v>6832</v>
      </c>
      <c r="E102" s="857">
        <f t="shared" si="5"/>
        <v>35493.333333333328</v>
      </c>
      <c r="F102" s="857">
        <f>E102+'3. Aigua-Resid '!$M$68*E102</f>
        <v>36203.199999999997</v>
      </c>
      <c r="G102" s="857">
        <f t="shared" si="4"/>
        <v>35871.928888888884</v>
      </c>
      <c r="H102" s="857">
        <f t="shared" si="7"/>
        <v>538078.93333333323</v>
      </c>
      <c r="I102" s="857">
        <f>H102*VLOOKUP(A102,'preus aigua'!$A$4:$K$314,11,FALSE)</f>
        <v>747065.92128568888</v>
      </c>
      <c r="J102" s="857">
        <f>H102*VLOOKUP('3b aigua'!A102,'preus aigua'!$A$4:$H$314,8,FALSE)</f>
        <v>1080489.58861403</v>
      </c>
      <c r="K102" s="857">
        <f t="shared" si="6"/>
        <v>333423.66732834117</v>
      </c>
    </row>
    <row r="103" spans="1:11">
      <c r="A103" s="835">
        <v>8100</v>
      </c>
      <c r="B103" s="826" t="s">
        <v>1127</v>
      </c>
      <c r="C103" s="857">
        <f>VLOOKUP(B103,'BD ASVICC'!$A$6:$GS$316,144,FALSE)</f>
        <v>101612</v>
      </c>
      <c r="D103" s="857">
        <f>VLOOKUP(B103,'BD ASVICC'!$A$6:$GS$316,145,FALSE)</f>
        <v>1285888</v>
      </c>
      <c r="E103" s="857">
        <f t="shared" si="5"/>
        <v>1387500</v>
      </c>
      <c r="F103" s="857">
        <f>E103+'3. Aigua-Resid '!$M$68*E103</f>
        <v>1415250</v>
      </c>
      <c r="G103" s="857">
        <f t="shared" si="4"/>
        <v>1402300</v>
      </c>
      <c r="H103" s="857">
        <f t="shared" si="7"/>
        <v>21034500</v>
      </c>
      <c r="I103" s="857">
        <f>H103*VLOOKUP(A103,'preus aigua'!$A$4:$K$314,11,FALSE)</f>
        <v>33725034.539999999</v>
      </c>
      <c r="J103" s="857">
        <f>H103*VLOOKUP('3b aigua'!A103,'preus aigua'!$A$4:$H$314,8,FALSE)</f>
        <v>48776885.222400002</v>
      </c>
      <c r="K103" s="857">
        <f t="shared" si="6"/>
        <v>15051850.682400003</v>
      </c>
    </row>
    <row r="104" spans="1:11">
      <c r="A104" s="835">
        <v>8101</v>
      </c>
      <c r="B104" s="826" t="s">
        <v>1135</v>
      </c>
      <c r="C104" s="857">
        <f>VLOOKUP(B104,'BD ASVICC'!$A$6:$GS$316,144,FALSE)</f>
        <v>8602234</v>
      </c>
      <c r="D104" s="857">
        <f>VLOOKUP(B104,'BD ASVICC'!$A$6:$GS$316,145,FALSE)</f>
        <v>2857747</v>
      </c>
      <c r="E104" s="857">
        <f t="shared" si="5"/>
        <v>11459981</v>
      </c>
      <c r="F104" s="857">
        <f>E104+'3. Aigua-Resid '!$M$68*E104</f>
        <v>11689180.619999999</v>
      </c>
      <c r="G104" s="857">
        <f t="shared" si="4"/>
        <v>11582220.797333332</v>
      </c>
      <c r="H104" s="857">
        <f t="shared" si="7"/>
        <v>173733311.95999998</v>
      </c>
      <c r="I104" s="857">
        <f>H104*VLOOKUP(A104,'preus aigua'!$A$4:$K$314,11,FALSE)</f>
        <v>495399844.12069201</v>
      </c>
      <c r="J104" s="857">
        <f>H104*VLOOKUP('3b aigua'!A104,'preus aigua'!$A$4:$H$314,8,FALSE)</f>
        <v>910119628.24481893</v>
      </c>
      <c r="K104" s="857">
        <f t="shared" si="6"/>
        <v>414719784.12412691</v>
      </c>
    </row>
    <row r="105" spans="1:11">
      <c r="A105" s="835">
        <v>8102</v>
      </c>
      <c r="B105" s="826" t="s">
        <v>1136</v>
      </c>
      <c r="C105" s="857">
        <f>VLOOKUP(B105,'BD ASVICC'!$A$6:$GS$316,144,FALSE)</f>
        <v>1410500</v>
      </c>
      <c r="D105" s="857">
        <f>VLOOKUP(B105,'BD ASVICC'!$A$6:$GS$316,145,FALSE)</f>
        <v>1960854</v>
      </c>
      <c r="E105" s="857">
        <f t="shared" si="5"/>
        <v>3371354</v>
      </c>
      <c r="F105" s="857">
        <f>E105+'3. Aigua-Resid '!$M$68*E105</f>
        <v>3438781.08</v>
      </c>
      <c r="G105" s="857">
        <f t="shared" si="4"/>
        <v>3407315.1093333336</v>
      </c>
      <c r="H105" s="857">
        <f t="shared" si="7"/>
        <v>51109726.640000001</v>
      </c>
      <c r="I105" s="857">
        <f>H105*VLOOKUP(A105,'preus aigua'!$A$4:$K$314,11,FALSE)</f>
        <v>117190514.40738881</v>
      </c>
      <c r="J105" s="857">
        <f>H105*VLOOKUP('3b aigua'!A105,'preus aigua'!$A$4:$H$314,8,FALSE)</f>
        <v>169493918.93501133</v>
      </c>
      <c r="K105" s="857">
        <f t="shared" si="6"/>
        <v>52303404.527622521</v>
      </c>
    </row>
    <row r="106" spans="1:11">
      <c r="A106" s="835">
        <v>8103</v>
      </c>
      <c r="B106" s="826" t="s">
        <v>1137</v>
      </c>
      <c r="C106" s="857">
        <f>VLOOKUP(B106,'BD ASVICC'!$A$6:$GS$316,144,FALSE)</f>
        <v>32568</v>
      </c>
      <c r="D106" s="857">
        <f>VLOOKUP(B106,'BD ASVICC'!$A$6:$GS$316,145,FALSE)</f>
        <v>35813</v>
      </c>
      <c r="E106" s="857">
        <f t="shared" si="5"/>
        <v>68381</v>
      </c>
      <c r="F106" s="857">
        <f>E106+'3. Aigua-Resid '!$M$68*E106</f>
        <v>69748.62</v>
      </c>
      <c r="G106" s="857">
        <f t="shared" si="4"/>
        <v>69110.397333333327</v>
      </c>
      <c r="H106" s="857">
        <f t="shared" si="7"/>
        <v>1036655.96</v>
      </c>
      <c r="I106" s="857">
        <f>H106*VLOOKUP(A106,'preus aigua'!$A$4:$K$314,11,FALSE)</f>
        <v>1491711.9890333866</v>
      </c>
      <c r="J106" s="857">
        <f>H106*VLOOKUP('3b aigua'!A106,'preus aigua'!$A$4:$H$314,8,FALSE)</f>
        <v>2157479.3166678692</v>
      </c>
      <c r="K106" s="857">
        <f t="shared" si="6"/>
        <v>665767.32763448264</v>
      </c>
    </row>
    <row r="107" spans="1:11">
      <c r="A107" s="835">
        <v>8104</v>
      </c>
      <c r="B107" s="826" t="s">
        <v>1142</v>
      </c>
      <c r="C107" s="857">
        <f>VLOOKUP(B107,'BD ASVICC'!$A$6:$GS$316,144,FALSE)</f>
        <v>44597</v>
      </c>
      <c r="D107" s="857">
        <f>VLOOKUP(B107,'BD ASVICC'!$A$6:$GS$316,145,FALSE)</f>
        <v>7053</v>
      </c>
      <c r="E107" s="857">
        <f t="shared" si="5"/>
        <v>51650</v>
      </c>
      <c r="F107" s="857">
        <f>E107+'3. Aigua-Resid '!$M$68*E107</f>
        <v>52683</v>
      </c>
      <c r="G107" s="857">
        <f t="shared" si="4"/>
        <v>52200.933333333334</v>
      </c>
      <c r="H107" s="857">
        <f t="shared" si="7"/>
        <v>783014</v>
      </c>
      <c r="I107" s="857">
        <f>H107*VLOOKUP(A107,'preus aigua'!$A$4:$K$314,11,FALSE)</f>
        <v>1468708.755968</v>
      </c>
      <c r="J107" s="857">
        <f>H107*VLOOKUP('3b aigua'!A107,'preus aigua'!$A$4:$H$314,8,FALSE)</f>
        <v>2124209.48983808</v>
      </c>
      <c r="K107" s="857">
        <f t="shared" si="6"/>
        <v>655500.73387007997</v>
      </c>
    </row>
    <row r="108" spans="1:11">
      <c r="A108" s="835">
        <v>8105</v>
      </c>
      <c r="B108" s="826" t="s">
        <v>1147</v>
      </c>
      <c r="C108" s="857">
        <f>VLOOKUP(B108,'BD ASVICC'!$A$6:$GS$316,144,FALSE)</f>
        <v>501929</v>
      </c>
      <c r="D108" s="857">
        <f>VLOOKUP(B108,'BD ASVICC'!$A$6:$GS$316,145,FALSE)</f>
        <v>181003</v>
      </c>
      <c r="E108" s="857">
        <f t="shared" si="5"/>
        <v>682932</v>
      </c>
      <c r="F108" s="857">
        <f>E108+'3. Aigua-Resid '!$M$68*E108</f>
        <v>696590.64</v>
      </c>
      <c r="G108" s="857">
        <f t="shared" si="4"/>
        <v>690216.60800000012</v>
      </c>
      <c r="H108" s="857">
        <f t="shared" si="7"/>
        <v>10353249.120000001</v>
      </c>
      <c r="I108" s="857">
        <f>H108*VLOOKUP(A108,'preus aigua'!$A$4:$K$314,11,FALSE)</f>
        <v>18372572.193044484</v>
      </c>
      <c r="J108" s="857">
        <f>H108*VLOOKUP('3b aigua'!A108,'preus aigua'!$A$4:$H$314,8,FALSE)</f>
        <v>33753015.413063027</v>
      </c>
      <c r="K108" s="857">
        <f t="shared" si="6"/>
        <v>15380443.220018543</v>
      </c>
    </row>
    <row r="109" spans="1:11">
      <c r="A109" s="835">
        <v>8106</v>
      </c>
      <c r="B109" s="826" t="s">
        <v>1149</v>
      </c>
      <c r="C109" s="857">
        <f>VLOOKUP(B109,'BD ASVICC'!$A$6:$GS$316,144,FALSE)</f>
        <v>405851</v>
      </c>
      <c r="D109" s="857">
        <f>VLOOKUP(B109,'BD ASVICC'!$A$6:$GS$316,145,FALSE)</f>
        <v>415548</v>
      </c>
      <c r="E109" s="857">
        <f t="shared" si="5"/>
        <v>821399</v>
      </c>
      <c r="F109" s="857">
        <f>E109+'3. Aigua-Resid '!$M$68*E109</f>
        <v>837826.98</v>
      </c>
      <c r="G109" s="857">
        <f t="shared" si="4"/>
        <v>830160.58933333331</v>
      </c>
      <c r="H109" s="857">
        <f t="shared" si="7"/>
        <v>12452408.84</v>
      </c>
      <c r="I109" s="857">
        <f>H109*VLOOKUP(A109,'preus aigua'!$A$4:$K$314,11,FALSE)</f>
        <v>29783206.573581975</v>
      </c>
      <c r="J109" s="857">
        <f>H109*VLOOKUP('3b aigua'!A109,'preus aigua'!$A$4:$H$314,8,FALSE)</f>
        <v>54715965.732284911</v>
      </c>
      <c r="K109" s="857">
        <f t="shared" si="6"/>
        <v>24932759.158702936</v>
      </c>
    </row>
    <row r="110" spans="1:11">
      <c r="A110" s="835">
        <v>8107</v>
      </c>
      <c r="B110" s="826" t="s">
        <v>1155</v>
      </c>
      <c r="C110" s="857">
        <f>VLOOKUP(B110,'BD ASVICC'!$A$6:$GS$316,144,FALSE)</f>
        <v>698302</v>
      </c>
      <c r="D110" s="857">
        <f>VLOOKUP(B110,'BD ASVICC'!$A$6:$GS$316,145,FALSE)</f>
        <v>168497</v>
      </c>
      <c r="E110" s="857">
        <f t="shared" si="5"/>
        <v>866799</v>
      </c>
      <c r="F110" s="857">
        <f>E110+'3. Aigua-Resid '!$M$68*E110</f>
        <v>884134.98</v>
      </c>
      <c r="G110" s="857">
        <f t="shared" si="4"/>
        <v>876044.85600000003</v>
      </c>
      <c r="H110" s="857">
        <f t="shared" si="7"/>
        <v>13140672.84</v>
      </c>
      <c r="I110" s="857">
        <f>H110*VLOOKUP(A110,'preus aigua'!$A$4:$K$314,11,FALSE)</f>
        <v>33876058.871017918</v>
      </c>
      <c r="J110" s="857">
        <f>H110*VLOOKUP('3b aigua'!A110,'preus aigua'!$A$4:$H$314,8,FALSE)</f>
        <v>62235114.669473216</v>
      </c>
      <c r="K110" s="857">
        <f t="shared" si="6"/>
        <v>28359055.798455298</v>
      </c>
    </row>
    <row r="111" spans="1:11">
      <c r="A111" s="835">
        <v>8108</v>
      </c>
      <c r="B111" s="826" t="s">
        <v>1158</v>
      </c>
      <c r="C111" s="857">
        <f>VLOOKUP(B111,'BD ASVICC'!$A$6:$GS$316,144,FALSE)</f>
        <v>293247</v>
      </c>
      <c r="D111" s="857">
        <f>VLOOKUP(B111,'BD ASVICC'!$A$6:$GS$316,145,FALSE)</f>
        <v>294167</v>
      </c>
      <c r="E111" s="857">
        <f t="shared" si="5"/>
        <v>587414</v>
      </c>
      <c r="F111" s="857">
        <f>E111+'3. Aigua-Resid '!$M$68*E111</f>
        <v>599162.28</v>
      </c>
      <c r="G111" s="857">
        <f t="shared" si="4"/>
        <v>593679.74933333334</v>
      </c>
      <c r="H111" s="857">
        <f t="shared" si="7"/>
        <v>8905196.2400000002</v>
      </c>
      <c r="I111" s="857">
        <f>H111*VLOOKUP(A111,'preus aigua'!$A$4:$K$314,11,FALSE)</f>
        <v>15147857.540189866</v>
      </c>
      <c r="J111" s="857">
        <f>H111*VLOOKUP('3b aigua'!A111,'preus aigua'!$A$4:$H$314,8,FALSE)</f>
        <v>27828758.197639585</v>
      </c>
      <c r="K111" s="857">
        <f t="shared" si="6"/>
        <v>12680900.657449719</v>
      </c>
    </row>
    <row r="112" spans="1:11">
      <c r="A112" s="835">
        <v>8109</v>
      </c>
      <c r="B112" s="826" t="s">
        <v>1160</v>
      </c>
      <c r="C112" s="857">
        <f>VLOOKUP(B112,'BD ASVICC'!$A$6:$GS$316,144,FALSE)</f>
        <v>9404</v>
      </c>
      <c r="D112" s="857">
        <f>VLOOKUP(B112,'BD ASVICC'!$A$6:$GS$316,145,FALSE)</f>
        <v>11424</v>
      </c>
      <c r="E112" s="857">
        <f t="shared" si="5"/>
        <v>20828</v>
      </c>
      <c r="F112" s="857">
        <f>E112+'3. Aigua-Resid '!$M$68*E112</f>
        <v>21244.560000000001</v>
      </c>
      <c r="G112" s="857">
        <f t="shared" si="4"/>
        <v>21050.165333333331</v>
      </c>
      <c r="H112" s="857">
        <f t="shared" si="7"/>
        <v>315752.48</v>
      </c>
      <c r="I112" s="857">
        <f>H112*VLOOKUP(A112,'preus aigua'!$A$4:$K$314,11,FALSE)</f>
        <v>737422.65590442659</v>
      </c>
      <c r="J112" s="857">
        <f>H112*VLOOKUP('3b aigua'!A112,'preus aigua'!$A$4:$H$314,8,FALSE)</f>
        <v>1066542.4287345321</v>
      </c>
      <c r="K112" s="857">
        <f t="shared" si="6"/>
        <v>329119.7728301055</v>
      </c>
    </row>
    <row r="113" spans="1:11">
      <c r="A113" s="835">
        <v>8110</v>
      </c>
      <c r="B113" s="826" t="s">
        <v>343</v>
      </c>
      <c r="C113" s="857">
        <f>VLOOKUP(B113,'BD ASVICC'!$A$6:$GS$316,144,FALSE)</f>
        <v>680555</v>
      </c>
      <c r="D113" s="857">
        <f>VLOOKUP(B113,'BD ASVICC'!$A$6:$GS$316,145,FALSE)</f>
        <v>984877</v>
      </c>
      <c r="E113" s="857">
        <f t="shared" si="5"/>
        <v>1665432</v>
      </c>
      <c r="F113" s="857">
        <f>E113+'3. Aigua-Resid '!$M$68*E113</f>
        <v>1698740.64</v>
      </c>
      <c r="G113" s="857">
        <f t="shared" si="4"/>
        <v>1683196.6079999998</v>
      </c>
      <c r="H113" s="857">
        <f t="shared" si="7"/>
        <v>25247949.119999997</v>
      </c>
      <c r="I113" s="857">
        <f>H113*VLOOKUP(A113,'preus aigua'!$A$4:$K$314,11,FALSE)</f>
        <v>63550097.853004798</v>
      </c>
      <c r="J113" s="857">
        <f>H113*VLOOKUP('3b aigua'!A113,'preus aigua'!$A$4:$H$314,8,FALSE)</f>
        <v>116750524.0853643</v>
      </c>
      <c r="K113" s="857">
        <f t="shared" si="6"/>
        <v>53200426.232359499</v>
      </c>
    </row>
    <row r="114" spans="1:11">
      <c r="A114" s="835">
        <v>8111</v>
      </c>
      <c r="B114" s="826" t="s">
        <v>1171</v>
      </c>
      <c r="C114" s="857">
        <f>VLOOKUP(B114,'BD ASVICC'!$A$6:$GS$316,144,FALSE)</f>
        <v>11141</v>
      </c>
      <c r="D114" s="857">
        <f>VLOOKUP(B114,'BD ASVICC'!$A$6:$GS$316,145,FALSE)</f>
        <v>25710</v>
      </c>
      <c r="E114" s="857">
        <f t="shared" si="5"/>
        <v>36851</v>
      </c>
      <c r="F114" s="857">
        <f>E114+'3. Aigua-Resid '!$M$68*E114</f>
        <v>37588.019999999997</v>
      </c>
      <c r="G114" s="857">
        <f t="shared" si="4"/>
        <v>37244.077333333327</v>
      </c>
      <c r="H114" s="857">
        <f t="shared" si="7"/>
        <v>558661.15999999992</v>
      </c>
      <c r="I114" s="857">
        <f>H114*VLOOKUP(A114,'preus aigua'!$A$4:$K$314,11,FALSE)</f>
        <v>516880.75404746673</v>
      </c>
      <c r="J114" s="857">
        <f>H114*VLOOKUP('3b aigua'!A114,'preus aigua'!$A$4:$H$314,8,FALSE)</f>
        <v>747570.27109751466</v>
      </c>
      <c r="K114" s="857">
        <f t="shared" si="6"/>
        <v>230689.51705004793</v>
      </c>
    </row>
    <row r="115" spans="1:11">
      <c r="A115" s="835">
        <v>8112</v>
      </c>
      <c r="B115" s="826" t="s">
        <v>721</v>
      </c>
      <c r="C115" s="857">
        <f>VLOOKUP(B115,'BD ASVICC'!$A$6:$GS$316,144,FALSE)</f>
        <v>694732</v>
      </c>
      <c r="D115" s="857">
        <f>VLOOKUP(B115,'BD ASVICC'!$A$6:$GS$316,145,FALSE)</f>
        <v>405721</v>
      </c>
      <c r="E115" s="857">
        <f t="shared" si="5"/>
        <v>1100453</v>
      </c>
      <c r="F115" s="857">
        <f>E115+'3. Aigua-Resid '!$M$68*E115</f>
        <v>1122462.06</v>
      </c>
      <c r="G115" s="857">
        <f t="shared" si="4"/>
        <v>1112191.1653333334</v>
      </c>
      <c r="H115" s="857">
        <f t="shared" si="7"/>
        <v>16682867.48</v>
      </c>
      <c r="I115" s="857">
        <f>H115*VLOOKUP(A115,'preus aigua'!$A$4:$K$314,11,FALSE)</f>
        <v>28895482.765352424</v>
      </c>
      <c r="J115" s="857">
        <f>H115*VLOOKUP('3b aigua'!A115,'preus aigua'!$A$4:$H$314,8,FALSE)</f>
        <v>41791851.825081415</v>
      </c>
      <c r="K115" s="857">
        <f t="shared" si="6"/>
        <v>12896369.059728991</v>
      </c>
    </row>
    <row r="116" spans="1:11">
      <c r="A116" s="835">
        <v>8113</v>
      </c>
      <c r="B116" s="826" t="s">
        <v>699</v>
      </c>
      <c r="C116" s="857">
        <f>VLOOKUP(B116,'BD ASVICC'!$A$6:$GS$316,144,FALSE)</f>
        <v>3106949</v>
      </c>
      <c r="D116" s="857">
        <f>VLOOKUP(B116,'BD ASVICC'!$A$6:$GS$316,145,FALSE)</f>
        <v>1084423</v>
      </c>
      <c r="E116" s="857">
        <f t="shared" si="5"/>
        <v>4191372</v>
      </c>
      <c r="F116" s="857">
        <f>E116+'3. Aigua-Resid '!$M$68*E116</f>
        <v>4275199.4400000004</v>
      </c>
      <c r="G116" s="857">
        <f t="shared" si="4"/>
        <v>4236079.9680000003</v>
      </c>
      <c r="H116" s="857">
        <f t="shared" si="7"/>
        <v>63541199.520000003</v>
      </c>
      <c r="I116" s="857">
        <f>H116*VLOOKUP(A116,'preus aigua'!$A$4:$K$314,11,FALSE)</f>
        <v>140947935.99125758</v>
      </c>
      <c r="J116" s="857">
        <f>H116*VLOOKUP('3b aigua'!A116,'preus aigua'!$A$4:$H$314,8,FALSE)</f>
        <v>203854536.84341145</v>
      </c>
      <c r="K116" s="857">
        <f t="shared" si="6"/>
        <v>62906600.852153867</v>
      </c>
    </row>
    <row r="117" spans="1:11">
      <c r="A117" s="835">
        <v>8114</v>
      </c>
      <c r="B117" s="826" t="s">
        <v>677</v>
      </c>
      <c r="C117" s="857">
        <f>VLOOKUP(B117,'BD ASVICC'!$A$6:$GS$316,144,FALSE)</f>
        <v>1021483</v>
      </c>
      <c r="D117" s="857">
        <f>VLOOKUP(B117,'BD ASVICC'!$A$6:$GS$316,145,FALSE)</f>
        <v>6689504</v>
      </c>
      <c r="E117" s="857">
        <f t="shared" si="5"/>
        <v>7710987</v>
      </c>
      <c r="F117" s="857">
        <f>E117+'3. Aigua-Resid '!$M$68*E117</f>
        <v>7865206.7400000002</v>
      </c>
      <c r="G117" s="857">
        <f t="shared" si="4"/>
        <v>7793237.5279999999</v>
      </c>
      <c r="H117" s="857">
        <f t="shared" si="7"/>
        <v>116898562.92</v>
      </c>
      <c r="I117" s="857">
        <f>H117*VLOOKUP(A117,'preus aigua'!$A$4:$K$314,11,FALSE)</f>
        <v>159211166.75452322</v>
      </c>
      <c r="J117" s="857">
        <f>H117*VLOOKUP('3b aigua'!A117,'preus aigua'!$A$4:$H$314,8,FALSE)</f>
        <v>292493446.69504762</v>
      </c>
      <c r="K117" s="857">
        <f t="shared" si="6"/>
        <v>133282279.9405244</v>
      </c>
    </row>
    <row r="118" spans="1:11">
      <c r="A118" s="835">
        <v>8115</v>
      </c>
      <c r="B118" s="826" t="s">
        <v>1183</v>
      </c>
      <c r="C118" s="857">
        <f>VLOOKUP(B118,'BD ASVICC'!$A$6:$GS$316,144,FALSE)</f>
        <v>204836</v>
      </c>
      <c r="D118" s="857">
        <f>VLOOKUP(B118,'BD ASVICC'!$A$6:$GS$316,145,FALSE)</f>
        <v>1544069</v>
      </c>
      <c r="E118" s="857">
        <f t="shared" si="5"/>
        <v>1748905</v>
      </c>
      <c r="F118" s="857">
        <f>E118+'3. Aigua-Resid '!$M$68*E118</f>
        <v>1783883.1</v>
      </c>
      <c r="G118" s="857">
        <f t="shared" si="4"/>
        <v>1767559.9866666668</v>
      </c>
      <c r="H118" s="857">
        <f t="shared" si="7"/>
        <v>26513399.800000001</v>
      </c>
      <c r="I118" s="857">
        <f>H118*VLOOKUP(A118,'preus aigua'!$A$4:$K$314,11,FALSE)</f>
        <v>47202265.229536533</v>
      </c>
      <c r="J118" s="857">
        <f>H118*VLOOKUP('3b aigua'!A118,'preus aigua'!$A$4:$H$314,8,FALSE)</f>
        <v>86717241.825681821</v>
      </c>
      <c r="K118" s="857">
        <f t="shared" si="6"/>
        <v>39514976.596145287</v>
      </c>
    </row>
    <row r="119" spans="1:11">
      <c r="A119" s="835">
        <v>8116</v>
      </c>
      <c r="B119" s="826" t="s">
        <v>1184</v>
      </c>
      <c r="C119" s="857">
        <f>VLOOKUP(B119,'BD ASVICC'!$A$6:$GS$316,144,FALSE)</f>
        <v>29130</v>
      </c>
      <c r="D119" s="857">
        <f>VLOOKUP(B119,'BD ASVICC'!$A$6:$GS$316,145,FALSE)</f>
        <v>33956</v>
      </c>
      <c r="E119" s="857">
        <f t="shared" si="5"/>
        <v>63086</v>
      </c>
      <c r="F119" s="857">
        <f>E119+'3. Aigua-Resid '!$M$68*E119</f>
        <v>64347.72</v>
      </c>
      <c r="G119" s="857">
        <f t="shared" si="4"/>
        <v>63758.917333333331</v>
      </c>
      <c r="H119" s="857">
        <f t="shared" si="7"/>
        <v>956383.76</v>
      </c>
      <c r="I119" s="857">
        <f>H119*VLOOKUP(A119,'preus aigua'!$A$4:$K$314,11,FALSE)</f>
        <v>1308052.4444437332</v>
      </c>
      <c r="J119" s="857">
        <f>H119*VLOOKUP('3b aigua'!A119,'preus aigua'!$A$4:$H$314,8,FALSE)</f>
        <v>1891850.5145439571</v>
      </c>
      <c r="K119" s="857">
        <f t="shared" si="6"/>
        <v>583798.07010022388</v>
      </c>
    </row>
    <row r="120" spans="1:11">
      <c r="A120" s="835">
        <v>8117</v>
      </c>
      <c r="B120" s="826" t="s">
        <v>1187</v>
      </c>
      <c r="C120" s="857">
        <f>VLOOKUP(B120,'BD ASVICC'!$A$6:$GS$316,144,FALSE)</f>
        <v>124309</v>
      </c>
      <c r="D120" s="857">
        <f>VLOOKUP(B120,'BD ASVICC'!$A$6:$GS$316,145,FALSE)</f>
        <v>435159</v>
      </c>
      <c r="E120" s="857">
        <f t="shared" si="5"/>
        <v>559468</v>
      </c>
      <c r="F120" s="857">
        <f>E120+'3. Aigua-Resid '!$M$68*E120</f>
        <v>570657.36</v>
      </c>
      <c r="G120" s="857">
        <f t="shared" si="4"/>
        <v>565435.6586666666</v>
      </c>
      <c r="H120" s="857">
        <f t="shared" si="7"/>
        <v>8481534.879999999</v>
      </c>
      <c r="I120" s="857">
        <f>H120*VLOOKUP(A120,'preus aigua'!$A$4:$K$314,11,FALSE)</f>
        <v>20246826.038993493</v>
      </c>
      <c r="J120" s="857">
        <f>H120*VLOOKUP('3b aigua'!A120,'preus aigua'!$A$4:$H$314,8,FALSE)</f>
        <v>29283205.289250545</v>
      </c>
      <c r="K120" s="857">
        <f t="shared" si="6"/>
        <v>9036379.2502570525</v>
      </c>
    </row>
    <row r="121" spans="1:11">
      <c r="A121" s="835">
        <v>8118</v>
      </c>
      <c r="B121" s="826" t="s">
        <v>344</v>
      </c>
      <c r="C121" s="857">
        <f>VLOOKUP(B121,'BD ASVICC'!$A$6:$GS$316,144,FALSE)</f>
        <v>1130049</v>
      </c>
      <c r="D121" s="857">
        <f>VLOOKUP(B121,'BD ASVICC'!$A$6:$GS$316,145,FALSE)</f>
        <v>475714</v>
      </c>
      <c r="E121" s="857">
        <f t="shared" si="5"/>
        <v>1605763</v>
      </c>
      <c r="F121" s="857">
        <f>E121+'3. Aigua-Resid '!$M$68*E121</f>
        <v>1637878.26</v>
      </c>
      <c r="G121" s="857">
        <f t="shared" si="4"/>
        <v>1622891.1386666666</v>
      </c>
      <c r="H121" s="857">
        <f t="shared" si="7"/>
        <v>24343367.079999998</v>
      </c>
      <c r="I121" s="857">
        <f>H121*VLOOKUP(A121,'preus aigua'!$A$4:$K$314,11,FALSE)</f>
        <v>49382305.302032523</v>
      </c>
      <c r="J121" s="857">
        <f>H121*VLOOKUP('3b aigua'!A121,'preus aigua'!$A$4:$H$314,8,FALSE)</f>
        <v>90722283.982811525</v>
      </c>
      <c r="K121" s="857">
        <f t="shared" si="6"/>
        <v>41339978.680779003</v>
      </c>
    </row>
    <row r="122" spans="1:11">
      <c r="A122" s="835">
        <v>8119</v>
      </c>
      <c r="B122" s="826" t="s">
        <v>1194</v>
      </c>
      <c r="C122" s="857">
        <f>VLOOKUP(B122,'BD ASVICC'!$A$6:$GS$316,144,FALSE)</f>
        <v>387904</v>
      </c>
      <c r="D122" s="857">
        <f>VLOOKUP(B122,'BD ASVICC'!$A$6:$GS$316,145,FALSE)</f>
        <v>72224</v>
      </c>
      <c r="E122" s="857">
        <f t="shared" si="5"/>
        <v>460128</v>
      </c>
      <c r="F122" s="857">
        <f>E122+'3. Aigua-Resid '!$M$68*E122</f>
        <v>469330.56</v>
      </c>
      <c r="G122" s="857">
        <f t="shared" si="4"/>
        <v>465036.03200000001</v>
      </c>
      <c r="H122" s="857">
        <f t="shared" si="7"/>
        <v>6975540.4800000004</v>
      </c>
      <c r="I122" s="857">
        <f>H122*VLOOKUP(A122,'preus aigua'!$A$4:$K$314,11,FALSE)</f>
        <v>21710634.987069447</v>
      </c>
      <c r="J122" s="857">
        <f>H122*VLOOKUP('3b aigua'!A122,'preus aigua'!$A$4:$H$314,8,FALSE)</f>
        <v>39885509.206128731</v>
      </c>
      <c r="K122" s="857">
        <f t="shared" si="6"/>
        <v>18174874.219059285</v>
      </c>
    </row>
    <row r="123" spans="1:11">
      <c r="A123" s="835">
        <v>8120</v>
      </c>
      <c r="B123" s="826" t="s">
        <v>1197</v>
      </c>
      <c r="C123" s="857">
        <f>VLOOKUP(B123,'BD ASVICC'!$A$6:$GS$316,144,FALSE)</f>
        <v>616776</v>
      </c>
      <c r="D123" s="857">
        <f>VLOOKUP(B123,'BD ASVICC'!$A$6:$GS$316,145,FALSE)</f>
        <v>156636</v>
      </c>
      <c r="E123" s="857">
        <f t="shared" si="5"/>
        <v>773412</v>
      </c>
      <c r="F123" s="857">
        <f>E123+'3. Aigua-Resid '!$M$68*E123</f>
        <v>788880.24</v>
      </c>
      <c r="G123" s="857">
        <f t="shared" si="4"/>
        <v>781661.728</v>
      </c>
      <c r="H123" s="857">
        <f t="shared" si="7"/>
        <v>11724925.92</v>
      </c>
      <c r="I123" s="857">
        <f>H123*VLOOKUP(A123,'preus aigua'!$A$4:$K$314,11,FALSE)</f>
        <v>35347149.80425857</v>
      </c>
      <c r="J123" s="857">
        <f>H123*VLOOKUP('3b aigua'!A123,'preus aigua'!$A$4:$H$314,8,FALSE)</f>
        <v>51122968.218057118</v>
      </c>
      <c r="K123" s="857">
        <f t="shared" si="6"/>
        <v>15775818.413798548</v>
      </c>
    </row>
    <row r="124" spans="1:11">
      <c r="A124" s="835">
        <v>8121</v>
      </c>
      <c r="B124" s="826" t="s">
        <v>345</v>
      </c>
      <c r="C124" s="857">
        <f>VLOOKUP(B124,'BD ASVICC'!$A$6:$GS$316,144,FALSE)</f>
        <v>4619330.1614895882</v>
      </c>
      <c r="D124" s="857">
        <f>VLOOKUP(B124,'BD ASVICC'!$A$6:$GS$316,145,FALSE)</f>
        <v>1957386.0600070602</v>
      </c>
      <c r="E124" s="857">
        <f t="shared" si="5"/>
        <v>6576716.2214966482</v>
      </c>
      <c r="F124" s="857">
        <f>E124+'3. Aigua-Resid '!$M$68*E124</f>
        <v>6708250.5459265811</v>
      </c>
      <c r="G124" s="857">
        <f t="shared" si="4"/>
        <v>6646867.8611926129</v>
      </c>
      <c r="H124" s="857">
        <f t="shared" si="7"/>
        <v>99703017.917889193</v>
      </c>
      <c r="I124" s="857">
        <f>H124*VLOOKUP(A124,'preus aigua'!$A$4:$K$314,11,FALSE)</f>
        <v>300918597.06019861</v>
      </c>
      <c r="J124" s="857">
        <f>H124*VLOOKUP('3b aigua'!A124,'preus aigua'!$A$4:$H$314,8,FALSE)</f>
        <v>552830052.20659351</v>
      </c>
      <c r="K124" s="857">
        <f t="shared" si="6"/>
        <v>251911455.14639491</v>
      </c>
    </row>
    <row r="125" spans="1:11">
      <c r="A125" s="835">
        <v>8122</v>
      </c>
      <c r="B125" s="826" t="s">
        <v>1204</v>
      </c>
      <c r="C125" s="857">
        <f>VLOOKUP(B125,'BD ASVICC'!$A$6:$GS$316,144,FALSE)</f>
        <v>128474</v>
      </c>
      <c r="D125" s="857">
        <f>VLOOKUP(B125,'BD ASVICC'!$A$6:$GS$316,145,FALSE)</f>
        <v>103325</v>
      </c>
      <c r="E125" s="857">
        <f t="shared" si="5"/>
        <v>231799</v>
      </c>
      <c r="F125" s="857">
        <f>E125+'3. Aigua-Resid '!$M$68*E125</f>
        <v>236434.98</v>
      </c>
      <c r="G125" s="857">
        <f t="shared" si="4"/>
        <v>234271.52266666666</v>
      </c>
      <c r="H125" s="857">
        <f t="shared" si="7"/>
        <v>3514072.84</v>
      </c>
      <c r="I125" s="857">
        <f>H125*VLOOKUP(A125,'preus aigua'!$A$4:$K$314,11,FALSE)</f>
        <v>8457333.16031936</v>
      </c>
      <c r="J125" s="857">
        <f>H125*VLOOKUP('3b aigua'!A125,'preus aigua'!$A$4:$H$314,8,FALSE)</f>
        <v>12231933.175908761</v>
      </c>
      <c r="K125" s="857">
        <f t="shared" si="6"/>
        <v>3774600.0155894011</v>
      </c>
    </row>
    <row r="126" spans="1:11">
      <c r="A126" s="835">
        <v>8123</v>
      </c>
      <c r="B126" s="826" t="s">
        <v>1208</v>
      </c>
      <c r="C126" s="857">
        <f>VLOOKUP(B126,'BD ASVICC'!$A$6:$GS$316,144,FALSE)</f>
        <v>976600</v>
      </c>
      <c r="D126" s="857">
        <f>VLOOKUP(B126,'BD ASVICC'!$A$6:$GS$316,145,FALSE)</f>
        <v>303797</v>
      </c>
      <c r="E126" s="857">
        <f t="shared" si="5"/>
        <v>1280397</v>
      </c>
      <c r="F126" s="857">
        <f>E126+'3. Aigua-Resid '!$M$68*E126</f>
        <v>1306004.94</v>
      </c>
      <c r="G126" s="857">
        <f t="shared" si="4"/>
        <v>1294054.568</v>
      </c>
      <c r="H126" s="857">
        <f t="shared" si="7"/>
        <v>19410818.52</v>
      </c>
      <c r="I126" s="857">
        <f>H126*VLOOKUP(A126,'preus aigua'!$A$4:$K$314,11,FALSE)</f>
        <v>41584909.402324483</v>
      </c>
      <c r="J126" s="857">
        <f>H126*VLOOKUP('3b aigua'!A126,'preus aigua'!$A$4:$H$314,8,FALSE)</f>
        <v>76397364.139294058</v>
      </c>
      <c r="K126" s="857">
        <f t="shared" si="6"/>
        <v>34812454.736969575</v>
      </c>
    </row>
    <row r="127" spans="1:11">
      <c r="A127" s="835">
        <v>8124</v>
      </c>
      <c r="B127" s="826" t="s">
        <v>1214</v>
      </c>
      <c r="C127" s="857">
        <f>VLOOKUP(B127,'BD ASVICC'!$A$6:$GS$316,144,FALSE)</f>
        <v>1814234</v>
      </c>
      <c r="D127" s="857">
        <f>VLOOKUP(B127,'BD ASVICC'!$A$6:$GS$316,145,FALSE)</f>
        <v>1093322</v>
      </c>
      <c r="E127" s="857">
        <f t="shared" si="5"/>
        <v>2907556</v>
      </c>
      <c r="F127" s="857">
        <f>E127+'3. Aigua-Resid '!$M$68*E127</f>
        <v>2965707.12</v>
      </c>
      <c r="G127" s="857">
        <f t="shared" si="4"/>
        <v>2938569.9306666669</v>
      </c>
      <c r="H127" s="857">
        <f t="shared" si="7"/>
        <v>44078548.960000001</v>
      </c>
      <c r="I127" s="857">
        <f>H127*VLOOKUP(A127,'preus aigua'!$A$4:$K$314,11,FALSE)</f>
        <v>73103744.507572487</v>
      </c>
      <c r="J127" s="857">
        <f>H127*VLOOKUP('3b aigua'!A127,'preus aigua'!$A$4:$H$314,8,FALSE)</f>
        <v>134301925.13005096</v>
      </c>
      <c r="K127" s="857">
        <f t="shared" si="6"/>
        <v>61198180.62247847</v>
      </c>
    </row>
    <row r="128" spans="1:11">
      <c r="A128" s="835">
        <v>8125</v>
      </c>
      <c r="B128" s="826" t="s">
        <v>1220</v>
      </c>
      <c r="C128" s="857">
        <f>VLOOKUP(B128,'BD ASVICC'!$A$6:$GS$316,144,FALSE)</f>
        <v>1262265</v>
      </c>
      <c r="D128" s="857">
        <f>VLOOKUP(B128,'BD ASVICC'!$A$6:$GS$316,145,FALSE)</f>
        <v>1008085</v>
      </c>
      <c r="E128" s="857">
        <f t="shared" si="5"/>
        <v>2270350</v>
      </c>
      <c r="F128" s="857">
        <f>E128+'3. Aigua-Resid '!$M$68*E128</f>
        <v>2315757</v>
      </c>
      <c r="G128" s="857">
        <f t="shared" si="4"/>
        <v>2294567.0666666669</v>
      </c>
      <c r="H128" s="857">
        <f t="shared" si="7"/>
        <v>34418506</v>
      </c>
      <c r="I128" s="857">
        <f>H128*VLOOKUP(A128,'preus aigua'!$A$4:$K$314,11,FALSE)</f>
        <v>98144232.184975982</v>
      </c>
      <c r="J128" s="857">
        <f>H128*VLOOKUP('3b aigua'!A128,'preus aigua'!$A$4:$H$314,8,FALSE)</f>
        <v>180304845.00677836</v>
      </c>
      <c r="K128" s="857">
        <f t="shared" si="6"/>
        <v>82160612.821802378</v>
      </c>
    </row>
    <row r="129" spans="1:11">
      <c r="A129" s="835">
        <v>8126</v>
      </c>
      <c r="B129" s="826" t="s">
        <v>346</v>
      </c>
      <c r="C129" s="857">
        <f>VLOOKUP(B129,'BD ASVICC'!$A$6:$GS$316,144,FALSE)</f>
        <v>452732</v>
      </c>
      <c r="D129" s="857">
        <f>VLOOKUP(B129,'BD ASVICC'!$A$6:$GS$316,145,FALSE)</f>
        <v>74170</v>
      </c>
      <c r="E129" s="857">
        <f t="shared" si="5"/>
        <v>526902</v>
      </c>
      <c r="F129" s="857">
        <f>E129+'3. Aigua-Resid '!$M$68*E129</f>
        <v>537440.04</v>
      </c>
      <c r="G129" s="857">
        <f t="shared" si="4"/>
        <v>532522.28800000006</v>
      </c>
      <c r="H129" s="857">
        <f t="shared" si="7"/>
        <v>7987834.3200000003</v>
      </c>
      <c r="I129" s="857">
        <f>H129*VLOOKUP(A129,'preus aigua'!$A$4:$K$314,11,FALSE)</f>
        <v>23796333.563351043</v>
      </c>
      <c r="J129" s="857">
        <f>H129*VLOOKUP('3b aigua'!A129,'preus aigua'!$A$4:$H$314,8,FALSE)</f>
        <v>43717232.682435878</v>
      </c>
      <c r="K129" s="857">
        <f t="shared" si="6"/>
        <v>19920899.119084835</v>
      </c>
    </row>
    <row r="130" spans="1:11">
      <c r="A130" s="835">
        <v>8127</v>
      </c>
      <c r="B130" s="826" t="s">
        <v>1227</v>
      </c>
      <c r="C130" s="857">
        <f>VLOOKUP(B130,'BD ASVICC'!$A$6:$GS$316,144,FALSE)</f>
        <v>108273</v>
      </c>
      <c r="D130" s="857">
        <f>VLOOKUP(B130,'BD ASVICC'!$A$6:$GS$316,145,FALSE)</f>
        <v>358503</v>
      </c>
      <c r="E130" s="857">
        <f t="shared" si="5"/>
        <v>466776</v>
      </c>
      <c r="F130" s="857">
        <f>E130+'3. Aigua-Resid '!$M$68*E130</f>
        <v>476111.52</v>
      </c>
      <c r="G130" s="857">
        <f t="shared" si="4"/>
        <v>471754.94400000002</v>
      </c>
      <c r="H130" s="857">
        <f t="shared" si="7"/>
        <v>7076324.1600000001</v>
      </c>
      <c r="I130" s="857">
        <f>H130*VLOOKUP(A130,'preus aigua'!$A$4:$K$314,11,FALSE)</f>
        <v>9857262.9442867208</v>
      </c>
      <c r="J130" s="857">
        <f>H130*VLOOKUP('3b aigua'!A130,'preus aigua'!$A$4:$H$314,8,FALSE)</f>
        <v>14256666.888516406</v>
      </c>
      <c r="K130" s="857">
        <f t="shared" si="6"/>
        <v>4399403.9442296848</v>
      </c>
    </row>
    <row r="131" spans="1:11">
      <c r="A131" s="835">
        <v>8128</v>
      </c>
      <c r="B131" s="826" t="s">
        <v>1230</v>
      </c>
      <c r="C131" s="857">
        <f>VLOOKUP(B131,'BD ASVICC'!$A$6:$GS$316,144,FALSE)</f>
        <v>32560</v>
      </c>
      <c r="D131" s="857">
        <f>VLOOKUP(B131,'BD ASVICC'!$A$6:$GS$316,145,FALSE)</f>
        <v>5569</v>
      </c>
      <c r="E131" s="857">
        <f t="shared" si="5"/>
        <v>38129</v>
      </c>
      <c r="F131" s="857">
        <f>E131+'3. Aigua-Resid '!$M$68*E131</f>
        <v>38891.58</v>
      </c>
      <c r="G131" s="857">
        <f t="shared" si="4"/>
        <v>38535.709333333332</v>
      </c>
      <c r="H131" s="857">
        <f t="shared" si="7"/>
        <v>578035.64</v>
      </c>
      <c r="I131" s="857">
        <f>H131*VLOOKUP(A131,'preus aigua'!$A$4:$K$314,11,FALSE)</f>
        <v>1433679.4471805864</v>
      </c>
      <c r="J131" s="857">
        <f>H131*VLOOKUP('3b aigua'!A131,'preus aigua'!$A$4:$H$314,8,FALSE)</f>
        <v>2073546.2185487016</v>
      </c>
      <c r="K131" s="857">
        <f t="shared" si="6"/>
        <v>639866.77136811521</v>
      </c>
    </row>
    <row r="132" spans="1:11">
      <c r="A132" s="835">
        <v>8129</v>
      </c>
      <c r="B132" s="826" t="s">
        <v>1233</v>
      </c>
      <c r="C132" s="857">
        <f>VLOOKUP(B132,'BD ASVICC'!$A$6:$GS$316,144,FALSE)</f>
        <v>23112</v>
      </c>
      <c r="D132" s="857">
        <f>VLOOKUP(B132,'BD ASVICC'!$A$6:$GS$316,145,FALSE)</f>
        <v>31223</v>
      </c>
      <c r="E132" s="857">
        <f t="shared" si="5"/>
        <v>54335</v>
      </c>
      <c r="F132" s="857">
        <f>E132+'3. Aigua-Resid '!$M$68*E132</f>
        <v>55421.7</v>
      </c>
      <c r="G132" s="857">
        <f t="shared" ref="G132:G195" si="8">H132/15</f>
        <v>54914.573333333334</v>
      </c>
      <c r="H132" s="857">
        <f t="shared" si="7"/>
        <v>823718.6</v>
      </c>
      <c r="I132" s="857">
        <f>H132*VLOOKUP(A132,'preus aigua'!$A$4:$K$314,11,FALSE)</f>
        <v>2275932.2952170665</v>
      </c>
      <c r="J132" s="857">
        <f>H132*VLOOKUP('3b aigua'!A132,'preus aigua'!$A$4:$H$314,8,FALSE)</f>
        <v>3291705.6973236902</v>
      </c>
      <c r="K132" s="857">
        <f t="shared" si="6"/>
        <v>1015773.4021066236</v>
      </c>
    </row>
    <row r="133" spans="1:11">
      <c r="A133" s="835">
        <v>8130</v>
      </c>
      <c r="B133" s="826" t="s">
        <v>1237</v>
      </c>
      <c r="C133" s="857">
        <f>VLOOKUP(B133,'BD ASVICC'!$A$6:$GS$316,144,FALSE)</f>
        <v>6353</v>
      </c>
      <c r="D133" s="857">
        <f>VLOOKUP(B133,'BD ASVICC'!$A$6:$GS$316,145,FALSE)</f>
        <v>2236</v>
      </c>
      <c r="E133" s="857">
        <f t="shared" ref="E133:E196" si="9">C133+D133</f>
        <v>8589</v>
      </c>
      <c r="F133" s="857">
        <f>E133+'3. Aigua-Resid '!$M$68*E133</f>
        <v>8760.7800000000007</v>
      </c>
      <c r="G133" s="857">
        <f t="shared" si="8"/>
        <v>8680.616</v>
      </c>
      <c r="H133" s="857">
        <f t="shared" si="7"/>
        <v>130209.24</v>
      </c>
      <c r="I133" s="857">
        <f>H133*VLOOKUP(A133,'preus aigua'!$A$4:$K$314,11,FALSE)</f>
        <v>136633.93751392001</v>
      </c>
      <c r="J133" s="857">
        <f>H133*VLOOKUP('3b aigua'!A133,'preus aigua'!$A$4:$H$314,8,FALSE)</f>
        <v>197615.15380203523</v>
      </c>
      <c r="K133" s="857">
        <f t="shared" ref="K133:K196" si="10">J133-I133</f>
        <v>60981.216288115218</v>
      </c>
    </row>
    <row r="134" spans="1:11">
      <c r="A134" s="835">
        <v>8131</v>
      </c>
      <c r="B134" s="826" t="s">
        <v>1240</v>
      </c>
      <c r="C134" s="857">
        <f>VLOOKUP(B134,'BD ASVICC'!$A$6:$GS$316,144,FALSE)</f>
        <v>33441</v>
      </c>
      <c r="D134" s="857">
        <f>VLOOKUP(B134,'BD ASVICC'!$A$6:$GS$316,145,FALSE)</f>
        <v>11322</v>
      </c>
      <c r="E134" s="857">
        <f t="shared" si="9"/>
        <v>44763</v>
      </c>
      <c r="F134" s="857">
        <f>E134+'3. Aigua-Resid '!$M$68*E134</f>
        <v>45658.26</v>
      </c>
      <c r="G134" s="857">
        <f t="shared" si="8"/>
        <v>45240.472000000002</v>
      </c>
      <c r="H134" s="857">
        <f t="shared" ref="H134:H197" si="11">E134*15+((120)*(F134-E134)/15)</f>
        <v>678607.08000000007</v>
      </c>
      <c r="I134" s="857">
        <f>H134*VLOOKUP(A134,'preus aigua'!$A$4:$K$314,11,FALSE)</f>
        <v>1321228.0789523202</v>
      </c>
      <c r="J134" s="857">
        <f>H134*VLOOKUP('3b aigua'!A134,'preus aigua'!$A$4:$H$314,8,FALSE)</f>
        <v>1910906.5784123396</v>
      </c>
      <c r="K134" s="857">
        <f t="shared" si="10"/>
        <v>589678.4994600194</v>
      </c>
    </row>
    <row r="135" spans="1:11">
      <c r="A135" s="835">
        <v>8132</v>
      </c>
      <c r="B135" s="826" t="s">
        <v>1245</v>
      </c>
      <c r="C135" s="857">
        <f>VLOOKUP(B135,'BD ASVICC'!$A$6:$GS$316,144,FALSE)</f>
        <v>22154</v>
      </c>
      <c r="D135" s="857">
        <f>VLOOKUP(B135,'BD ASVICC'!$A$6:$GS$316,145,FALSE)</f>
        <v>3048</v>
      </c>
      <c r="E135" s="857">
        <f t="shared" si="9"/>
        <v>25202</v>
      </c>
      <c r="F135" s="857">
        <f>E135+'3. Aigua-Resid '!$M$68*E135</f>
        <v>25706.04</v>
      </c>
      <c r="G135" s="857">
        <f t="shared" si="8"/>
        <v>25470.821333333333</v>
      </c>
      <c r="H135" s="857">
        <f t="shared" si="11"/>
        <v>382062.32</v>
      </c>
      <c r="I135" s="857">
        <f>H135*VLOOKUP(A135,'preus aigua'!$A$4:$K$314,11,FALSE)</f>
        <v>703465.36957823997</v>
      </c>
      <c r="J135" s="857">
        <f>H135*VLOOKUP('3b aigua'!A135,'preus aigua'!$A$4:$H$314,8,FALSE)</f>
        <v>1017429.6352210942</v>
      </c>
      <c r="K135" s="857">
        <f t="shared" si="10"/>
        <v>313964.26564285427</v>
      </c>
    </row>
    <row r="136" spans="1:11">
      <c r="A136" s="835">
        <v>8133</v>
      </c>
      <c r="B136" s="826" t="s">
        <v>1249</v>
      </c>
      <c r="C136" s="857">
        <f>VLOOKUP(B136,'BD ASVICC'!$A$6:$GS$316,144,FALSE)</f>
        <v>3046</v>
      </c>
      <c r="D136" s="857">
        <f>VLOOKUP(B136,'BD ASVICC'!$A$6:$GS$316,145,FALSE)</f>
        <v>22804</v>
      </c>
      <c r="E136" s="857">
        <f t="shared" si="9"/>
        <v>25850</v>
      </c>
      <c r="F136" s="857">
        <f>E136+'3. Aigua-Resid '!$M$68*E136</f>
        <v>26367</v>
      </c>
      <c r="G136" s="857">
        <f t="shared" si="8"/>
        <v>26125.733333333334</v>
      </c>
      <c r="H136" s="857">
        <f t="shared" si="11"/>
        <v>391886</v>
      </c>
      <c r="I136" s="857">
        <f>H136*VLOOKUP(A136,'preus aigua'!$A$4:$K$314,11,FALSE)</f>
        <v>584178.71253866656</v>
      </c>
      <c r="J136" s="857">
        <f>H136*VLOOKUP('3b aigua'!A136,'preus aigua'!$A$4:$H$314,8,FALSE)</f>
        <v>844904.04233898665</v>
      </c>
      <c r="K136" s="857">
        <f t="shared" si="10"/>
        <v>260725.32980032009</v>
      </c>
    </row>
    <row r="137" spans="1:11">
      <c r="A137" s="835">
        <v>8134</v>
      </c>
      <c r="B137" s="826" t="s">
        <v>1253</v>
      </c>
      <c r="C137" s="857">
        <f>VLOOKUP(B137,'BD ASVICC'!$A$6:$GS$316,144,FALSE)</f>
        <v>49928.333333333336</v>
      </c>
      <c r="D137" s="857">
        <f>VLOOKUP(B137,'BD ASVICC'!$A$6:$GS$316,145,FALSE)</f>
        <v>16524</v>
      </c>
      <c r="E137" s="857">
        <f t="shared" si="9"/>
        <v>66452.333333333343</v>
      </c>
      <c r="F137" s="857">
        <f>E137+'3. Aigua-Resid '!$M$68*E137</f>
        <v>67781.38</v>
      </c>
      <c r="G137" s="857">
        <f t="shared" si="8"/>
        <v>67161.158222222221</v>
      </c>
      <c r="H137" s="857">
        <f t="shared" si="11"/>
        <v>1007417.3733333334</v>
      </c>
      <c r="I137" s="857">
        <f>H137*VLOOKUP(A137,'preus aigua'!$A$4:$K$314,11,FALSE)</f>
        <v>2475501.1902518761</v>
      </c>
      <c r="J137" s="857">
        <f>H137*VLOOKUP('3b aigua'!A137,'preus aigua'!$A$4:$H$314,8,FALSE)</f>
        <v>3580344.3664858686</v>
      </c>
      <c r="K137" s="857">
        <f t="shared" si="10"/>
        <v>1104843.1762339924</v>
      </c>
    </row>
    <row r="138" spans="1:11">
      <c r="A138" s="835">
        <v>8135</v>
      </c>
      <c r="B138" s="826" t="s">
        <v>1255</v>
      </c>
      <c r="C138" s="857">
        <f>VLOOKUP(B138,'BD ASVICC'!$A$6:$GS$316,144,FALSE)</f>
        <v>335697</v>
      </c>
      <c r="D138" s="857">
        <f>VLOOKUP(B138,'BD ASVICC'!$A$6:$GS$316,145,FALSE)</f>
        <v>561412</v>
      </c>
      <c r="E138" s="857">
        <f t="shared" si="9"/>
        <v>897109</v>
      </c>
      <c r="F138" s="857">
        <f>E138+'3. Aigua-Resid '!$M$68*E138</f>
        <v>915051.18</v>
      </c>
      <c r="G138" s="857">
        <f t="shared" si="8"/>
        <v>906678.16266666679</v>
      </c>
      <c r="H138" s="857">
        <f t="shared" si="11"/>
        <v>13600172.440000001</v>
      </c>
      <c r="I138" s="857">
        <f>H138*VLOOKUP(A138,'preus aigua'!$A$4:$K$314,11,FALSE)</f>
        <v>21102027.557904005</v>
      </c>
      <c r="J138" s="857">
        <f>H138*VLOOKUP('3b aigua'!A138,'preus aigua'!$A$4:$H$314,8,FALSE)</f>
        <v>38767411.221737474</v>
      </c>
      <c r="K138" s="857">
        <f t="shared" si="10"/>
        <v>17665383.663833469</v>
      </c>
    </row>
    <row r="139" spans="1:11">
      <c r="A139" s="835">
        <v>8136</v>
      </c>
      <c r="B139" s="826" t="s">
        <v>1256</v>
      </c>
      <c r="C139" s="857">
        <f>VLOOKUP(B139,'BD ASVICC'!$A$6:$GS$316,144,FALSE)</f>
        <v>619766</v>
      </c>
      <c r="D139" s="857">
        <f>VLOOKUP(B139,'BD ASVICC'!$A$6:$GS$316,145,FALSE)</f>
        <v>656202</v>
      </c>
      <c r="E139" s="857">
        <f t="shared" si="9"/>
        <v>1275968</v>
      </c>
      <c r="F139" s="857">
        <f>E139+'3. Aigua-Resid '!$M$68*E139</f>
        <v>1301487.3600000001</v>
      </c>
      <c r="G139" s="857">
        <f t="shared" si="8"/>
        <v>1289578.3253333336</v>
      </c>
      <c r="H139" s="857">
        <f t="shared" si="11"/>
        <v>19343674.880000003</v>
      </c>
      <c r="I139" s="857">
        <f>H139*VLOOKUP(A139,'preus aigua'!$A$4:$K$314,11,FALSE)</f>
        <v>33081707.529175047</v>
      </c>
      <c r="J139" s="857">
        <f>H139*VLOOKUP('3b aigua'!A139,'preus aigua'!$A$4:$H$314,8,FALSE)</f>
        <v>60775778.828911923</v>
      </c>
      <c r="K139" s="857">
        <f t="shared" si="10"/>
        <v>27694071.299736876</v>
      </c>
    </row>
    <row r="140" spans="1:11">
      <c r="A140" s="835">
        <v>8137</v>
      </c>
      <c r="B140" s="826" t="s">
        <v>1258</v>
      </c>
      <c r="C140" s="857">
        <f>VLOOKUP(B140,'BD ASVICC'!$A$6:$GS$316,144,FALSE)</f>
        <v>14534</v>
      </c>
      <c r="D140" s="857">
        <f>VLOOKUP(B140,'BD ASVICC'!$A$6:$GS$316,145,FALSE)</f>
        <v>15017</v>
      </c>
      <c r="E140" s="857">
        <f t="shared" si="9"/>
        <v>29551</v>
      </c>
      <c r="F140" s="857">
        <f>E140+'3. Aigua-Resid '!$M$68*E140</f>
        <v>30142.02</v>
      </c>
      <c r="G140" s="857">
        <f t="shared" si="8"/>
        <v>29866.21066666667</v>
      </c>
      <c r="H140" s="857">
        <f t="shared" si="11"/>
        <v>447993.16000000003</v>
      </c>
      <c r="I140" s="857">
        <f>H140*VLOOKUP(A140,'preus aigua'!$A$4:$K$314,11,FALSE)</f>
        <v>631774.29001312016</v>
      </c>
      <c r="J140" s="857">
        <f>H140*VLOOKUP('3b aigua'!A140,'preus aigua'!$A$4:$H$314,8,FALSE)</f>
        <v>913742.04506398749</v>
      </c>
      <c r="K140" s="857">
        <f t="shared" si="10"/>
        <v>281967.75505086733</v>
      </c>
    </row>
    <row r="141" spans="1:11">
      <c r="A141" s="835">
        <v>8138</v>
      </c>
      <c r="B141" s="826" t="s">
        <v>1260</v>
      </c>
      <c r="C141" s="857">
        <f>VLOOKUP(B141,'BD ASVICC'!$A$6:$GS$316,144,FALSE)</f>
        <v>238046</v>
      </c>
      <c r="D141" s="857">
        <f>VLOOKUP(B141,'BD ASVICC'!$A$6:$GS$316,145,FALSE)</f>
        <v>189664</v>
      </c>
      <c r="E141" s="857">
        <f t="shared" si="9"/>
        <v>427710</v>
      </c>
      <c r="F141" s="857">
        <f>E141+'3. Aigua-Resid '!$M$68*E141</f>
        <v>436264.2</v>
      </c>
      <c r="G141" s="857">
        <f t="shared" si="8"/>
        <v>432272.24</v>
      </c>
      <c r="H141" s="857">
        <f t="shared" si="11"/>
        <v>6484083.5999999996</v>
      </c>
      <c r="I141" s="857">
        <f>H141*VLOOKUP(A141,'preus aigua'!$A$4:$K$314,11,FALSE)</f>
        <v>12594511.075743997</v>
      </c>
      <c r="J141" s="857">
        <f>H141*VLOOKUP('3b aigua'!A141,'preus aigua'!$A$4:$H$314,8,FALSE)</f>
        <v>18215578.710384633</v>
      </c>
      <c r="K141" s="857">
        <f t="shared" si="10"/>
        <v>5621067.6346406359</v>
      </c>
    </row>
    <row r="142" spans="1:11">
      <c r="A142" s="835">
        <v>8139</v>
      </c>
      <c r="B142" s="826" t="s">
        <v>1263</v>
      </c>
      <c r="C142" s="857">
        <f>VLOOKUP(B142,'BD ASVICC'!$A$6:$GS$316,144,FALSE)</f>
        <v>14293</v>
      </c>
      <c r="D142" s="857">
        <f>VLOOKUP(B142,'BD ASVICC'!$A$6:$GS$316,145,FALSE)</f>
        <v>5529</v>
      </c>
      <c r="E142" s="857">
        <f t="shared" si="9"/>
        <v>19822</v>
      </c>
      <c r="F142" s="857">
        <f>E142+'3. Aigua-Resid '!$M$68*E142</f>
        <v>20218.439999999999</v>
      </c>
      <c r="G142" s="857">
        <f t="shared" si="8"/>
        <v>20033.434666666668</v>
      </c>
      <c r="H142" s="857">
        <f t="shared" si="11"/>
        <v>300501.52</v>
      </c>
      <c r="I142" s="857">
        <f>H142*VLOOKUP(A142,'preus aigua'!$A$4:$K$314,11,FALSE)</f>
        <v>537751.07605824003</v>
      </c>
      <c r="J142" s="857">
        <f>H142*VLOOKUP('3b aigua'!A142,'preus aigua'!$A$4:$H$314,8,FALSE)</f>
        <v>777755.2454098945</v>
      </c>
      <c r="K142" s="857">
        <f t="shared" si="10"/>
        <v>240004.16935165448</v>
      </c>
    </row>
    <row r="143" spans="1:11">
      <c r="A143" s="835">
        <v>8140</v>
      </c>
      <c r="B143" s="826" t="s">
        <v>1268</v>
      </c>
      <c r="C143" s="857">
        <f>VLOOKUP(B143,'BD ASVICC'!$A$6:$GS$316,144,FALSE)</f>
        <v>229329</v>
      </c>
      <c r="D143" s="857">
        <f>VLOOKUP(B143,'BD ASVICC'!$A$6:$GS$316,145,FALSE)</f>
        <v>76600</v>
      </c>
      <c r="E143" s="857">
        <f t="shared" si="9"/>
        <v>305929</v>
      </c>
      <c r="F143" s="857">
        <f>E143+'3. Aigua-Resid '!$M$68*E143</f>
        <v>312047.58</v>
      </c>
      <c r="G143" s="857">
        <f t="shared" si="8"/>
        <v>309192.24266666669</v>
      </c>
      <c r="H143" s="857">
        <f t="shared" si="11"/>
        <v>4637883.6400000006</v>
      </c>
      <c r="I143" s="857">
        <f>H143*VLOOKUP(A143,'preus aigua'!$A$4:$K$314,11,FALSE)</f>
        <v>11844313.813659947</v>
      </c>
      <c r="J143" s="857">
        <f>H143*VLOOKUP('3b aigua'!A143,'preus aigua'!$A$4:$H$314,8,FALSE)</f>
        <v>17130560.229427069</v>
      </c>
      <c r="K143" s="857">
        <f t="shared" si="10"/>
        <v>5286246.4157671221</v>
      </c>
    </row>
    <row r="144" spans="1:11">
      <c r="A144" s="835">
        <v>8141</v>
      </c>
      <c r="B144" s="826" t="s">
        <v>1269</v>
      </c>
      <c r="C144" s="857">
        <f>VLOOKUP(B144,'BD ASVICC'!$A$6:$GS$316,144,FALSE)</f>
        <v>232244</v>
      </c>
      <c r="D144" s="857">
        <f>VLOOKUP(B144,'BD ASVICC'!$A$6:$GS$316,145,FALSE)</f>
        <v>130512</v>
      </c>
      <c r="E144" s="857">
        <f t="shared" si="9"/>
        <v>362756</v>
      </c>
      <c r="F144" s="857">
        <f>E144+'3. Aigua-Resid '!$M$68*E144</f>
        <v>370011.12</v>
      </c>
      <c r="G144" s="857">
        <f t="shared" si="8"/>
        <v>366625.39733333333</v>
      </c>
      <c r="H144" s="857">
        <f t="shared" si="11"/>
        <v>5499380.96</v>
      </c>
      <c r="I144" s="857">
        <f>H144*VLOOKUP(A144,'preus aigua'!$A$4:$K$314,11,FALSE)</f>
        <v>10966278.909796266</v>
      </c>
      <c r="J144" s="857">
        <f>H144*VLOOKUP('3b aigua'!A144,'preus aigua'!$A$4:$H$314,8,FALSE)</f>
        <v>15860648.773110444</v>
      </c>
      <c r="K144" s="857">
        <f t="shared" si="10"/>
        <v>4894369.8633141778</v>
      </c>
    </row>
    <row r="145" spans="1:11">
      <c r="A145" s="835">
        <v>8142</v>
      </c>
      <c r="B145" s="826" t="s">
        <v>1272</v>
      </c>
      <c r="C145" s="857">
        <f>VLOOKUP(B145,'BD ASVICC'!$A$6:$GS$316,144,FALSE)</f>
        <v>5582</v>
      </c>
      <c r="D145" s="857">
        <f>VLOOKUP(B145,'BD ASVICC'!$A$6:$GS$316,145,FALSE)</f>
        <v>2788</v>
      </c>
      <c r="E145" s="857">
        <f t="shared" si="9"/>
        <v>8370</v>
      </c>
      <c r="F145" s="857">
        <f>E145+'3. Aigua-Resid '!$M$68*E145</f>
        <v>8537.4</v>
      </c>
      <c r="G145" s="857">
        <f t="shared" si="8"/>
        <v>8459.2800000000007</v>
      </c>
      <c r="H145" s="857">
        <f t="shared" si="11"/>
        <v>126889.2</v>
      </c>
      <c r="I145" s="857">
        <f>H145*VLOOKUP(A145,'preus aigua'!$A$4:$K$314,11,FALSE)</f>
        <v>141171.17160959999</v>
      </c>
      <c r="J145" s="857">
        <f>H145*VLOOKUP('3b aigua'!A145,'preus aigua'!$A$4:$H$314,8,FALSE)</f>
        <v>204177.40495257601</v>
      </c>
      <c r="K145" s="857">
        <f t="shared" si="10"/>
        <v>63006.233342976018</v>
      </c>
    </row>
    <row r="146" spans="1:11">
      <c r="A146" s="835">
        <v>8143</v>
      </c>
      <c r="B146" s="826" t="s">
        <v>1274</v>
      </c>
      <c r="C146" s="857">
        <f>VLOOKUP(B146,'BD ASVICC'!$A$6:$GS$316,144,FALSE)</f>
        <v>96994</v>
      </c>
      <c r="D146" s="857">
        <f>VLOOKUP(B146,'BD ASVICC'!$A$6:$GS$316,145,FALSE)</f>
        <v>113254</v>
      </c>
      <c r="E146" s="857">
        <f t="shared" si="9"/>
        <v>210248</v>
      </c>
      <c r="F146" s="857">
        <f>E146+'3. Aigua-Resid '!$M$68*E146</f>
        <v>214452.96</v>
      </c>
      <c r="G146" s="857">
        <f t="shared" si="8"/>
        <v>212490.64533333332</v>
      </c>
      <c r="H146" s="857">
        <f t="shared" si="11"/>
        <v>3187359.6799999997</v>
      </c>
      <c r="I146" s="857">
        <f>H146*VLOOKUP(A146,'preus aigua'!$A$4:$K$314,11,FALSE)</f>
        <v>8279145.5197354658</v>
      </c>
      <c r="J146" s="857">
        <f>H146*VLOOKUP('3b aigua'!A146,'preus aigua'!$A$4:$H$314,8,FALSE)</f>
        <v>11974218.448218793</v>
      </c>
      <c r="K146" s="857">
        <f t="shared" si="10"/>
        <v>3695072.9284833269</v>
      </c>
    </row>
    <row r="147" spans="1:11">
      <c r="A147" s="835">
        <v>8144</v>
      </c>
      <c r="B147" s="826" t="s">
        <v>1278</v>
      </c>
      <c r="C147" s="857">
        <f>VLOOKUP(B147,'BD ASVICC'!$A$6:$GS$316,144,FALSE)</f>
        <v>26980</v>
      </c>
      <c r="D147" s="857">
        <f>VLOOKUP(B147,'BD ASVICC'!$A$6:$GS$316,145,FALSE)</f>
        <v>12164</v>
      </c>
      <c r="E147" s="857">
        <f t="shared" si="9"/>
        <v>39144</v>
      </c>
      <c r="F147" s="857">
        <f>E147+'3. Aigua-Resid '!$M$68*E147</f>
        <v>39926.879999999997</v>
      </c>
      <c r="G147" s="857">
        <f t="shared" si="8"/>
        <v>39561.536</v>
      </c>
      <c r="H147" s="857">
        <f t="shared" si="11"/>
        <v>593423.04</v>
      </c>
      <c r="I147" s="857">
        <f>H147*VLOOKUP(A147,'preus aigua'!$A$4:$K$314,11,FALSE)</f>
        <v>608380.46553088003</v>
      </c>
      <c r="J147" s="857">
        <f>H147*VLOOKUP('3b aigua'!A147,'preus aigua'!$A$4:$H$314,8,FALSE)</f>
        <v>879907.30160865292</v>
      </c>
      <c r="K147" s="857">
        <f t="shared" si="10"/>
        <v>271526.8360777729</v>
      </c>
    </row>
    <row r="148" spans="1:11">
      <c r="A148" s="835">
        <v>8145</v>
      </c>
      <c r="B148" s="826" t="s">
        <v>1281</v>
      </c>
      <c r="C148" s="857">
        <f>VLOOKUP(B148,'BD ASVICC'!$A$6:$GS$316,144,FALSE)</f>
        <v>157937</v>
      </c>
      <c r="D148" s="857">
        <f>VLOOKUP(B148,'BD ASVICC'!$A$6:$GS$316,145,FALSE)</f>
        <v>176653</v>
      </c>
      <c r="E148" s="857">
        <f t="shared" si="9"/>
        <v>334590</v>
      </c>
      <c r="F148" s="857">
        <f>E148+'3. Aigua-Resid '!$M$68*E148</f>
        <v>341281.8</v>
      </c>
      <c r="G148" s="857">
        <f t="shared" si="8"/>
        <v>338158.96</v>
      </c>
      <c r="H148" s="857">
        <f t="shared" si="11"/>
        <v>5072384.4000000004</v>
      </c>
      <c r="I148" s="857">
        <f>H148*VLOOKUP(A148,'preus aigua'!$A$4:$K$314,11,FALSE)</f>
        <v>10884349.4982368</v>
      </c>
      <c r="J148" s="857">
        <f>H148*VLOOKUP('3b aigua'!A148,'preus aigua'!$A$4:$H$314,8,FALSE)</f>
        <v>19996090.504640102</v>
      </c>
      <c r="K148" s="857">
        <f t="shared" si="10"/>
        <v>9111741.0064033028</v>
      </c>
    </row>
    <row r="149" spans="1:11">
      <c r="A149" s="835">
        <v>8146</v>
      </c>
      <c r="B149" s="826" t="s">
        <v>1286</v>
      </c>
      <c r="C149" s="857">
        <f>VLOOKUP(B149,'BD ASVICC'!$A$6:$GS$316,144,FALSE)</f>
        <v>92203</v>
      </c>
      <c r="D149" s="857">
        <f>VLOOKUP(B149,'BD ASVICC'!$A$6:$GS$316,145,FALSE)</f>
        <v>32647</v>
      </c>
      <c r="E149" s="857">
        <f t="shared" si="9"/>
        <v>124850</v>
      </c>
      <c r="F149" s="857">
        <f>E149+'3. Aigua-Resid '!$M$68*E149</f>
        <v>127347</v>
      </c>
      <c r="G149" s="857">
        <f t="shared" si="8"/>
        <v>126181.73333333334</v>
      </c>
      <c r="H149" s="857">
        <f t="shared" si="11"/>
        <v>1892726</v>
      </c>
      <c r="I149" s="857">
        <f>H149*VLOOKUP(A149,'preus aigua'!$A$4:$K$314,11,FALSE)</f>
        <v>6995999.8338559996</v>
      </c>
      <c r="J149" s="857">
        <f>H149*VLOOKUP('3b aigua'!A149,'preus aigua'!$A$4:$H$314,8,FALSE)</f>
        <v>10118390.85019136</v>
      </c>
      <c r="K149" s="857">
        <f t="shared" si="10"/>
        <v>3122391.0163353607</v>
      </c>
    </row>
    <row r="150" spans="1:11">
      <c r="A150" s="835">
        <v>8147</v>
      </c>
      <c r="B150" s="826" t="s">
        <v>1291</v>
      </c>
      <c r="C150" s="857">
        <f>VLOOKUP(B150,'BD ASVICC'!$A$6:$GS$316,144,FALSE)</f>
        <v>983083</v>
      </c>
      <c r="D150" s="857">
        <f>VLOOKUP(B150,'BD ASVICC'!$A$6:$GS$316,145,FALSE)</f>
        <v>1308649</v>
      </c>
      <c r="E150" s="857">
        <f t="shared" si="9"/>
        <v>2291732</v>
      </c>
      <c r="F150" s="857">
        <f>E150+'3. Aigua-Resid '!$M$68*E150</f>
        <v>2337566.64</v>
      </c>
      <c r="G150" s="857">
        <f t="shared" si="8"/>
        <v>2316177.1413333337</v>
      </c>
      <c r="H150" s="857">
        <f t="shared" si="11"/>
        <v>34742657.120000005</v>
      </c>
      <c r="I150" s="857">
        <f>H150*VLOOKUP(A150,'preus aigua'!$A$4:$K$314,11,FALSE)</f>
        <v>56981385.618969187</v>
      </c>
      <c r="J150" s="857">
        <f>H150*VLOOKUP('3b aigua'!A150,'preus aigua'!$A$4:$H$314,8,FALSE)</f>
        <v>104682870.03291127</v>
      </c>
      <c r="K150" s="857">
        <f t="shared" si="10"/>
        <v>47701484.413942084</v>
      </c>
    </row>
    <row r="151" spans="1:11">
      <c r="A151" s="835">
        <v>8148</v>
      </c>
      <c r="B151" s="826" t="s">
        <v>1294</v>
      </c>
      <c r="C151" s="857">
        <f>VLOOKUP(B151,'BD ASVICC'!$A$6:$GS$316,144,FALSE)</f>
        <v>242740</v>
      </c>
      <c r="D151" s="857">
        <f>VLOOKUP(B151,'BD ASVICC'!$A$6:$GS$316,145,FALSE)</f>
        <v>24847</v>
      </c>
      <c r="E151" s="857">
        <f t="shared" si="9"/>
        <v>267587</v>
      </c>
      <c r="F151" s="857">
        <f>E151+'3. Aigua-Resid '!$M$68*E151</f>
        <v>272938.74</v>
      </c>
      <c r="G151" s="857">
        <f t="shared" si="8"/>
        <v>270441.26133333333</v>
      </c>
      <c r="H151" s="857">
        <f t="shared" si="11"/>
        <v>4056618.92</v>
      </c>
      <c r="I151" s="857">
        <f>H151*VLOOKUP(A151,'preus aigua'!$A$4:$K$314,11,FALSE)</f>
        <v>10117423.939489065</v>
      </c>
      <c r="J151" s="857">
        <f>H151*VLOOKUP('3b aigua'!A151,'preus aigua'!$A$4:$H$314,8,FALSE)</f>
        <v>18587139.709231924</v>
      </c>
      <c r="K151" s="857">
        <f t="shared" si="10"/>
        <v>8469715.7697428595</v>
      </c>
    </row>
    <row r="152" spans="1:11">
      <c r="A152" s="835">
        <v>8149</v>
      </c>
      <c r="B152" s="826" t="s">
        <v>1298</v>
      </c>
      <c r="C152" s="857">
        <f>VLOOKUP(B152,'BD ASVICC'!$A$6:$GS$316,144,FALSE)</f>
        <v>44451</v>
      </c>
      <c r="D152" s="857">
        <f>VLOOKUP(B152,'BD ASVICC'!$A$6:$GS$316,145,FALSE)</f>
        <v>156573</v>
      </c>
      <c r="E152" s="857">
        <f t="shared" si="9"/>
        <v>201024</v>
      </c>
      <c r="F152" s="857">
        <f>E152+'3. Aigua-Resid '!$M$68*E152</f>
        <v>205044.48000000001</v>
      </c>
      <c r="G152" s="857">
        <f t="shared" si="8"/>
        <v>203168.25599999999</v>
      </c>
      <c r="H152" s="857">
        <f t="shared" si="11"/>
        <v>3047523.84</v>
      </c>
      <c r="I152" s="857">
        <f>H152*VLOOKUP(A152,'preus aigua'!$A$4:$K$314,11,FALSE)</f>
        <v>6119078.4213196812</v>
      </c>
      <c r="J152" s="857">
        <f>H152*VLOOKUP('3b aigua'!A152,'preus aigua'!$A$4:$H$314,8,FALSE)</f>
        <v>8850089.8485239819</v>
      </c>
      <c r="K152" s="857">
        <f t="shared" si="10"/>
        <v>2731011.4272043006</v>
      </c>
    </row>
    <row r="153" spans="1:11">
      <c r="A153" s="835">
        <v>8150</v>
      </c>
      <c r="B153" s="826" t="s">
        <v>1301</v>
      </c>
      <c r="C153" s="857">
        <f>VLOOKUP(B153,'BD ASVICC'!$A$6:$GS$316,144,FALSE)</f>
        <v>10164</v>
      </c>
      <c r="D153" s="857">
        <f>VLOOKUP(B153,'BD ASVICC'!$A$6:$GS$316,145,FALSE)</f>
        <v>63446</v>
      </c>
      <c r="E153" s="857">
        <f t="shared" si="9"/>
        <v>73610</v>
      </c>
      <c r="F153" s="857">
        <f>E153+'3. Aigua-Resid '!$M$68*E153</f>
        <v>75082.2</v>
      </c>
      <c r="G153" s="857">
        <f t="shared" si="8"/>
        <v>74395.17333333334</v>
      </c>
      <c r="H153" s="857">
        <f t="shared" si="11"/>
        <v>1115927.6000000001</v>
      </c>
      <c r="I153" s="857">
        <f>H153*VLOOKUP(A153,'preus aigua'!$A$4:$K$314,11,FALSE)</f>
        <v>1551913.0738026667</v>
      </c>
      <c r="J153" s="857">
        <f>H153*VLOOKUP('3b aigua'!A153,'preus aigua'!$A$4:$H$314,8,FALSE)</f>
        <v>2244548.8020548266</v>
      </c>
      <c r="K153" s="857">
        <f t="shared" si="10"/>
        <v>692635.7282521599</v>
      </c>
    </row>
    <row r="154" spans="1:11">
      <c r="A154" s="835">
        <v>8151</v>
      </c>
      <c r="B154" s="826" t="s">
        <v>1304</v>
      </c>
      <c r="C154" s="857">
        <f>VLOOKUP(B154,'BD ASVICC'!$A$6:$GS$316,144,FALSE)</f>
        <v>19412</v>
      </c>
      <c r="D154" s="857">
        <f>VLOOKUP(B154,'BD ASVICC'!$A$6:$GS$316,145,FALSE)</f>
        <v>55121</v>
      </c>
      <c r="E154" s="857">
        <f t="shared" si="9"/>
        <v>74533</v>
      </c>
      <c r="F154" s="857">
        <f>E154+'3. Aigua-Resid '!$M$68*E154</f>
        <v>76023.66</v>
      </c>
      <c r="G154" s="857">
        <f t="shared" si="8"/>
        <v>75328.01866666667</v>
      </c>
      <c r="H154" s="857">
        <f t="shared" si="11"/>
        <v>1129920.28</v>
      </c>
      <c r="I154" s="857">
        <f>H154*VLOOKUP(A154,'preus aigua'!$A$4:$K$314,11,FALSE)</f>
        <v>2664840.1458009603</v>
      </c>
      <c r="J154" s="857">
        <f>H154*VLOOKUP('3b aigua'!A154,'preus aigua'!$A$4:$H$314,8,FALSE)</f>
        <v>3854187.362613658</v>
      </c>
      <c r="K154" s="857">
        <f t="shared" si="10"/>
        <v>1189347.2168126977</v>
      </c>
    </row>
    <row r="155" spans="1:11">
      <c r="A155" s="835">
        <v>8152</v>
      </c>
      <c r="B155" s="826" t="s">
        <v>1306</v>
      </c>
      <c r="C155" s="857">
        <f>VLOOKUP(B155,'BD ASVICC'!$A$6:$GS$316,144,FALSE)</f>
        <v>6678</v>
      </c>
      <c r="D155" s="857">
        <f>VLOOKUP(B155,'BD ASVICC'!$A$6:$GS$316,145,FALSE)</f>
        <v>2056</v>
      </c>
      <c r="E155" s="857">
        <f t="shared" si="9"/>
        <v>8734</v>
      </c>
      <c r="F155" s="857">
        <f>E155+'3. Aigua-Resid '!$M$68*E155</f>
        <v>8908.68</v>
      </c>
      <c r="G155" s="857">
        <f t="shared" si="8"/>
        <v>8827.1626666666671</v>
      </c>
      <c r="H155" s="857">
        <f t="shared" si="11"/>
        <v>132407.44</v>
      </c>
      <c r="I155" s="857">
        <f>H155*VLOOKUP(A155,'preus aigua'!$A$4:$K$314,11,FALSE)</f>
        <v>247445.14239103999</v>
      </c>
      <c r="J155" s="857">
        <f>H155*VLOOKUP('3b aigua'!A155,'preus aigua'!$A$4:$H$314,8,FALSE)</f>
        <v>357882.6077978625</v>
      </c>
      <c r="K155" s="857">
        <f t="shared" si="10"/>
        <v>110437.46540682251</v>
      </c>
    </row>
    <row r="156" spans="1:11">
      <c r="A156" s="835">
        <v>8153</v>
      </c>
      <c r="B156" s="826" t="s">
        <v>1309</v>
      </c>
      <c r="C156" s="857">
        <f>VLOOKUP(B156,'BD ASVICC'!$A$6:$GS$316,144,FALSE)</f>
        <v>35459</v>
      </c>
      <c r="D156" s="857">
        <f>VLOOKUP(B156,'BD ASVICC'!$A$6:$GS$316,145,FALSE)</f>
        <v>3994</v>
      </c>
      <c r="E156" s="857">
        <f t="shared" si="9"/>
        <v>39453</v>
      </c>
      <c r="F156" s="857">
        <f>E156+'3. Aigua-Resid '!$M$68*E156</f>
        <v>40242.06</v>
      </c>
      <c r="G156" s="857">
        <f t="shared" si="8"/>
        <v>39873.832000000002</v>
      </c>
      <c r="H156" s="857">
        <f t="shared" si="11"/>
        <v>598107.48</v>
      </c>
      <c r="I156" s="857">
        <f>H156*VLOOKUP(A156,'preus aigua'!$A$4:$K$314,11,FALSE)</f>
        <v>1787304.6455679999</v>
      </c>
      <c r="J156" s="857">
        <f>H156*VLOOKUP('3b aigua'!A156,'preus aigua'!$A$4:$H$314,8,FALSE)</f>
        <v>3283531.5934986239</v>
      </c>
      <c r="K156" s="857">
        <f t="shared" si="10"/>
        <v>1496226.947930624</v>
      </c>
    </row>
    <row r="157" spans="1:11">
      <c r="A157" s="835">
        <v>8154</v>
      </c>
      <c r="B157" s="826" t="s">
        <v>1310</v>
      </c>
      <c r="C157" s="857">
        <f>VLOOKUP(B157,'BD ASVICC'!$A$6:$GS$316,144,FALSE)</f>
        <v>39577</v>
      </c>
      <c r="D157" s="857">
        <f>VLOOKUP(B157,'BD ASVICC'!$A$6:$GS$316,145,FALSE)</f>
        <v>211939</v>
      </c>
      <c r="E157" s="857">
        <f t="shared" si="9"/>
        <v>251516</v>
      </c>
      <c r="F157" s="857">
        <f>E157+'3. Aigua-Resid '!$M$68*E157</f>
        <v>256546.32</v>
      </c>
      <c r="G157" s="857">
        <f t="shared" si="8"/>
        <v>254198.83733333333</v>
      </c>
      <c r="H157" s="857">
        <f t="shared" si="11"/>
        <v>3812982.56</v>
      </c>
      <c r="I157" s="857">
        <f>H157*VLOOKUP(A157,'preus aigua'!$A$4:$K$314,11,FALSE)</f>
        <v>7296675.9461184014</v>
      </c>
      <c r="J157" s="857">
        <f>H157*VLOOKUP('3b aigua'!A157,'preus aigua'!$A$4:$H$314,8,FALSE)</f>
        <v>13405026.421216056</v>
      </c>
      <c r="K157" s="857">
        <f t="shared" si="10"/>
        <v>6108350.4750976544</v>
      </c>
    </row>
    <row r="158" spans="1:11">
      <c r="A158" s="835">
        <v>8155</v>
      </c>
      <c r="B158" s="826" t="s">
        <v>1311</v>
      </c>
      <c r="C158" s="857">
        <f>VLOOKUP(B158,'BD ASVICC'!$A$6:$GS$316,144,FALSE)</f>
        <v>379340</v>
      </c>
      <c r="D158" s="857">
        <f>VLOOKUP(B158,'BD ASVICC'!$A$6:$GS$316,145,FALSE)</f>
        <v>781868</v>
      </c>
      <c r="E158" s="857">
        <f t="shared" si="9"/>
        <v>1161208</v>
      </c>
      <c r="F158" s="857">
        <f>E158+'3. Aigua-Resid '!$M$68*E158</f>
        <v>1184432.1599999999</v>
      </c>
      <c r="G158" s="857">
        <f t="shared" si="8"/>
        <v>1173594.2186666667</v>
      </c>
      <c r="H158" s="857">
        <f t="shared" si="11"/>
        <v>17603913.280000001</v>
      </c>
      <c r="I158" s="857">
        <f>H158*VLOOKUP(A158,'preus aigua'!$A$4:$K$314,11,FALSE)</f>
        <v>51391221.397725865</v>
      </c>
      <c r="J158" s="857">
        <f>H158*VLOOKUP('3b aigua'!A158,'preus aigua'!$A$4:$H$314,8,FALSE)</f>
        <v>94412947.175152034</v>
      </c>
      <c r="K158" s="857">
        <f t="shared" si="10"/>
        <v>43021725.777426168</v>
      </c>
    </row>
    <row r="159" spans="1:11">
      <c r="A159" s="835">
        <v>8156</v>
      </c>
      <c r="B159" s="826" t="s">
        <v>1316</v>
      </c>
      <c r="C159" s="857">
        <f>VLOOKUP(B159,'BD ASVICC'!$A$6:$GS$316,144,FALSE)</f>
        <v>593581</v>
      </c>
      <c r="D159" s="857">
        <f>VLOOKUP(B159,'BD ASVICC'!$A$6:$GS$316,145,FALSE)</f>
        <v>560656</v>
      </c>
      <c r="E159" s="857">
        <f t="shared" si="9"/>
        <v>1154237</v>
      </c>
      <c r="F159" s="857">
        <f>E159+'3. Aigua-Resid '!$M$68*E159</f>
        <v>1177321.74</v>
      </c>
      <c r="G159" s="857">
        <f t="shared" si="8"/>
        <v>1166548.8613333334</v>
      </c>
      <c r="H159" s="857">
        <f t="shared" si="11"/>
        <v>17498232.920000002</v>
      </c>
      <c r="I159" s="857">
        <f>H159*VLOOKUP(A159,'preus aigua'!$A$4:$K$314,11,FALSE)</f>
        <v>36562347.707544968</v>
      </c>
      <c r="J159" s="857">
        <f>H159*VLOOKUP('3b aigua'!A159,'preus aigua'!$A$4:$H$314,8,FALSE)</f>
        <v>67170207.456185073</v>
      </c>
      <c r="K159" s="857">
        <f t="shared" si="10"/>
        <v>30607859.748640105</v>
      </c>
    </row>
    <row r="160" spans="1:11">
      <c r="A160" s="835">
        <v>8157</v>
      </c>
      <c r="B160" s="826" t="s">
        <v>1320</v>
      </c>
      <c r="C160" s="857">
        <f>VLOOKUP(B160,'BD ASVICC'!$A$6:$GS$316,144,FALSE)</f>
        <v>490851</v>
      </c>
      <c r="D160" s="857">
        <f>VLOOKUP(B160,'BD ASVICC'!$A$6:$GS$316,145,FALSE)</f>
        <v>156729</v>
      </c>
      <c r="E160" s="857">
        <f t="shared" si="9"/>
        <v>647580</v>
      </c>
      <c r="F160" s="857">
        <f>E160+'3. Aigua-Resid '!$M$68*E160</f>
        <v>660531.6</v>
      </c>
      <c r="G160" s="857">
        <f t="shared" si="8"/>
        <v>654487.52</v>
      </c>
      <c r="H160" s="857">
        <f t="shared" si="11"/>
        <v>9817312.8000000007</v>
      </c>
      <c r="I160" s="857">
        <f>H160*VLOOKUP(A160,'preus aigua'!$A$4:$K$314,11,FALSE)</f>
        <v>27994028.179948799</v>
      </c>
      <c r="J160" s="857">
        <f>H160*VLOOKUP('3b aigua'!A160,'preus aigua'!$A$4:$H$314,8,FALSE)</f>
        <v>51428991.79839652</v>
      </c>
      <c r="K160" s="857">
        <f t="shared" si="10"/>
        <v>23434963.618447721</v>
      </c>
    </row>
    <row r="161" spans="1:11">
      <c r="A161" s="835">
        <v>8158</v>
      </c>
      <c r="B161" s="826" t="s">
        <v>1324</v>
      </c>
      <c r="C161" s="857">
        <f>VLOOKUP(B161,'BD ASVICC'!$A$6:$GS$316,144,FALSE)</f>
        <v>168605</v>
      </c>
      <c r="D161" s="857">
        <f>VLOOKUP(B161,'BD ASVICC'!$A$6:$GS$316,145,FALSE)</f>
        <v>168849</v>
      </c>
      <c r="E161" s="857">
        <f t="shared" si="9"/>
        <v>337454</v>
      </c>
      <c r="F161" s="857">
        <f>E161+'3. Aigua-Resid '!$M$68*E161</f>
        <v>344203.08</v>
      </c>
      <c r="G161" s="857">
        <f t="shared" si="8"/>
        <v>341053.50933333335</v>
      </c>
      <c r="H161" s="857">
        <f t="shared" si="11"/>
        <v>5115802.6400000006</v>
      </c>
      <c r="I161" s="857">
        <f>H161*VLOOKUP(A161,'preus aigua'!$A$4:$K$314,11,FALSE)</f>
        <v>14587690.764749439</v>
      </c>
      <c r="J161" s="857">
        <f>H161*VLOOKUP('3b aigua'!A161,'preus aigua'!$A$4:$H$314,8,FALSE)</f>
        <v>26799652.550010964</v>
      </c>
      <c r="K161" s="857">
        <f t="shared" si="10"/>
        <v>12211961.785261525</v>
      </c>
    </row>
    <row r="162" spans="1:11">
      <c r="A162" s="835">
        <v>8159</v>
      </c>
      <c r="B162" s="826" t="s">
        <v>1325</v>
      </c>
      <c r="C162" s="857">
        <f>VLOOKUP(B162,'BD ASVICC'!$A$6:$GS$316,144,FALSE)</f>
        <v>731723</v>
      </c>
      <c r="D162" s="857">
        <f>VLOOKUP(B162,'BD ASVICC'!$A$6:$GS$316,145,FALSE)</f>
        <v>1795921</v>
      </c>
      <c r="E162" s="857">
        <f t="shared" si="9"/>
        <v>2527644</v>
      </c>
      <c r="F162" s="857">
        <f>E162+'3. Aigua-Resid '!$M$68*E162</f>
        <v>2578196.88</v>
      </c>
      <c r="G162" s="857">
        <f t="shared" si="8"/>
        <v>2554605.5359999998</v>
      </c>
      <c r="H162" s="857">
        <f t="shared" si="11"/>
        <v>38319083.039999999</v>
      </c>
      <c r="I162" s="857">
        <f>H162*VLOOKUP(A162,'preus aigua'!$A$4:$K$314,11,FALSE)</f>
        <v>62406663.007386878</v>
      </c>
      <c r="J162" s="857">
        <f>H162*VLOOKUP('3b aigua'!A162,'preus aigua'!$A$4:$H$314,8,FALSE)</f>
        <v>114649872.44211832</v>
      </c>
      <c r="K162" s="857">
        <f t="shared" si="10"/>
        <v>52243209.434731439</v>
      </c>
    </row>
    <row r="163" spans="1:11">
      <c r="A163" s="835">
        <v>8160</v>
      </c>
      <c r="B163" s="826" t="s">
        <v>1326</v>
      </c>
      <c r="C163" s="857">
        <f>VLOOKUP(B163,'BD ASVICC'!$A$6:$GS$316,144,FALSE)</f>
        <v>14687</v>
      </c>
      <c r="D163" s="857">
        <f>VLOOKUP(B163,'BD ASVICC'!$A$6:$GS$316,145,FALSE)</f>
        <v>18472</v>
      </c>
      <c r="E163" s="857">
        <f t="shared" si="9"/>
        <v>33159</v>
      </c>
      <c r="F163" s="857">
        <f>E163+'3. Aigua-Resid '!$M$68*E163</f>
        <v>33822.18</v>
      </c>
      <c r="G163" s="857">
        <f t="shared" si="8"/>
        <v>33512.696000000004</v>
      </c>
      <c r="H163" s="857">
        <f t="shared" si="11"/>
        <v>502690.44</v>
      </c>
      <c r="I163" s="857">
        <f>H163*VLOOKUP(A163,'preus aigua'!$A$4:$K$314,11,FALSE)</f>
        <v>1468085.31164064</v>
      </c>
      <c r="J163" s="857">
        <f>H163*VLOOKUP('3b aigua'!A163,'preus aigua'!$A$4:$H$314,8,FALSE)</f>
        <v>2123307.7955088383</v>
      </c>
      <c r="K163" s="857">
        <f t="shared" si="10"/>
        <v>655222.48386819824</v>
      </c>
    </row>
    <row r="164" spans="1:11">
      <c r="A164" s="835">
        <v>8161</v>
      </c>
      <c r="B164" s="826" t="s">
        <v>1330</v>
      </c>
      <c r="C164" s="857">
        <f>VLOOKUP(B164,'BD ASVICC'!$A$6:$GS$316,144,FALSE)</f>
        <v>812298</v>
      </c>
      <c r="D164" s="857">
        <f>VLOOKUP(B164,'BD ASVICC'!$A$6:$GS$316,145,FALSE)</f>
        <v>78823</v>
      </c>
      <c r="E164" s="857">
        <f t="shared" si="9"/>
        <v>891121</v>
      </c>
      <c r="F164" s="857">
        <f>E164+'3. Aigua-Resid '!$M$68*E164</f>
        <v>908943.42</v>
      </c>
      <c r="G164" s="857">
        <f t="shared" si="8"/>
        <v>900626.29066666658</v>
      </c>
      <c r="H164" s="857">
        <f t="shared" si="11"/>
        <v>13509394.359999999</v>
      </c>
      <c r="I164" s="857">
        <f>H164*VLOOKUP(A164,'preus aigua'!$A$4:$K$314,11,FALSE)</f>
        <v>49577063.622741006</v>
      </c>
      <c r="J164" s="857">
        <f>H164*VLOOKUP('3b aigua'!A164,'preus aigua'!$A$4:$H$314,8,FALSE)</f>
        <v>91080082.582355708</v>
      </c>
      <c r="K164" s="857">
        <f t="shared" si="10"/>
        <v>41503018.959614702</v>
      </c>
    </row>
    <row r="165" spans="1:11">
      <c r="A165" s="835">
        <v>8162</v>
      </c>
      <c r="B165" s="826" t="s">
        <v>1334</v>
      </c>
      <c r="C165" s="857">
        <f>VLOOKUP(B165,'BD ASVICC'!$A$6:$GS$316,144,FALSE)</f>
        <v>126470</v>
      </c>
      <c r="D165" s="857">
        <f>VLOOKUP(B165,'BD ASVICC'!$A$6:$GS$316,145,FALSE)</f>
        <v>158261</v>
      </c>
      <c r="E165" s="857">
        <f t="shared" si="9"/>
        <v>284731</v>
      </c>
      <c r="F165" s="857">
        <f>E165+'3. Aigua-Resid '!$M$68*E165</f>
        <v>290425.62</v>
      </c>
      <c r="G165" s="857">
        <f t="shared" si="8"/>
        <v>287768.13066666666</v>
      </c>
      <c r="H165" s="857">
        <f t="shared" si="11"/>
        <v>4316521.96</v>
      </c>
      <c r="I165" s="857">
        <f>H165*VLOOKUP(A165,'preus aigua'!$A$4:$K$314,11,FALSE)</f>
        <v>11966227.645336321</v>
      </c>
      <c r="J165" s="857">
        <f>H165*VLOOKUP('3b aigua'!A165,'preus aigua'!$A$4:$H$314,8,FALSE)</f>
        <v>21983653.780506868</v>
      </c>
      <c r="K165" s="857">
        <f t="shared" si="10"/>
        <v>10017426.135170547</v>
      </c>
    </row>
    <row r="166" spans="1:11">
      <c r="A166" s="835">
        <v>8163</v>
      </c>
      <c r="B166" s="826" t="s">
        <v>347</v>
      </c>
      <c r="C166" s="857">
        <f>VLOOKUP(B166,'BD ASVICC'!$A$6:$GS$316,144,FALSE)</f>
        <v>1215155</v>
      </c>
      <c r="D166" s="857">
        <f>VLOOKUP(B166,'BD ASVICC'!$A$6:$GS$316,145,FALSE)</f>
        <v>449721</v>
      </c>
      <c r="E166" s="857">
        <f t="shared" si="9"/>
        <v>1664876</v>
      </c>
      <c r="F166" s="857">
        <f>E166+'3. Aigua-Resid '!$M$68*E166</f>
        <v>1698173.52</v>
      </c>
      <c r="G166" s="857">
        <f t="shared" si="8"/>
        <v>1682634.6773333333</v>
      </c>
      <c r="H166" s="857">
        <f t="shared" si="11"/>
        <v>25239520.16</v>
      </c>
      <c r="I166" s="857">
        <f>H166*VLOOKUP(A166,'preus aigua'!$A$4:$K$314,11,FALSE)</f>
        <v>57292028.128522664</v>
      </c>
      <c r="J166" s="857">
        <f>H166*VLOOKUP('3b aigua'!A166,'preus aigua'!$A$4:$H$314,8,FALSE)</f>
        <v>105253564.28860621</v>
      </c>
      <c r="K166" s="857">
        <f t="shared" si="10"/>
        <v>47961536.160083547</v>
      </c>
    </row>
    <row r="167" spans="1:11">
      <c r="A167" s="835">
        <v>8164</v>
      </c>
      <c r="B167" s="826" t="s">
        <v>1339</v>
      </c>
      <c r="C167" s="857">
        <f>VLOOKUP(B167,'BD ASVICC'!$A$6:$GS$316,144,FALSE)</f>
        <v>41060</v>
      </c>
      <c r="D167" s="857">
        <f>VLOOKUP(B167,'BD ASVICC'!$A$6:$GS$316,145,FALSE)</f>
        <v>9499</v>
      </c>
      <c r="E167" s="857">
        <f t="shared" si="9"/>
        <v>50559</v>
      </c>
      <c r="F167" s="857">
        <f>E167+'3. Aigua-Resid '!$M$68*E167</f>
        <v>51570.18</v>
      </c>
      <c r="G167" s="857">
        <f t="shared" si="8"/>
        <v>51098.295999999995</v>
      </c>
      <c r="H167" s="857">
        <f t="shared" si="11"/>
        <v>766474.44</v>
      </c>
      <c r="I167" s="857">
        <f>H167*VLOOKUP(A167,'preus aigua'!$A$4:$K$314,11,FALSE)</f>
        <v>2167099.1726783994</v>
      </c>
      <c r="J167" s="857">
        <f>H167*VLOOKUP('3b aigua'!A167,'preus aigua'!$A$4:$H$314,8,FALSE)</f>
        <v>3981267.8926221305</v>
      </c>
      <c r="K167" s="857">
        <f t="shared" si="10"/>
        <v>1814168.7199437311</v>
      </c>
    </row>
    <row r="168" spans="1:11">
      <c r="A168" s="835">
        <v>8165</v>
      </c>
      <c r="B168" s="826" t="s">
        <v>1340</v>
      </c>
      <c r="C168" s="857">
        <f>VLOOKUP(B168,'BD ASVICC'!$A$6:$GS$316,144,FALSE)</f>
        <v>92977</v>
      </c>
      <c r="D168" s="857">
        <f>VLOOKUP(B168,'BD ASVICC'!$A$6:$GS$316,145,FALSE)</f>
        <v>2189763</v>
      </c>
      <c r="E168" s="857">
        <f t="shared" si="9"/>
        <v>2282740</v>
      </c>
      <c r="F168" s="857">
        <f>E168+'3. Aigua-Resid '!$M$68*E168</f>
        <v>2328394.7999999998</v>
      </c>
      <c r="G168" s="857">
        <f t="shared" si="8"/>
        <v>2307089.2266666666</v>
      </c>
      <c r="H168" s="857">
        <f t="shared" si="11"/>
        <v>34606338.399999999</v>
      </c>
      <c r="I168" s="857">
        <f>H168*VLOOKUP(A168,'preus aigua'!$A$4:$K$314,11,FALSE)</f>
        <v>83844052.108381867</v>
      </c>
      <c r="J168" s="857">
        <f>H168*VLOOKUP('3b aigua'!A168,'preus aigua'!$A$4:$H$314,8,FALSE)</f>
        <v>121264566.8730416</v>
      </c>
      <c r="K168" s="857">
        <f t="shared" si="10"/>
        <v>37420514.764659733</v>
      </c>
    </row>
    <row r="169" spans="1:11">
      <c r="A169" s="835">
        <v>8166</v>
      </c>
      <c r="B169" s="826" t="s">
        <v>1343</v>
      </c>
      <c r="C169" s="857">
        <f>VLOOKUP(B169,'BD ASVICC'!$A$6:$GS$316,144,FALSE)</f>
        <v>37020</v>
      </c>
      <c r="D169" s="857">
        <f>VLOOKUP(B169,'BD ASVICC'!$A$6:$GS$316,145,FALSE)</f>
        <v>25964</v>
      </c>
      <c r="E169" s="857">
        <f t="shared" si="9"/>
        <v>62984</v>
      </c>
      <c r="F169" s="857">
        <f>E169+'3. Aigua-Resid '!$M$68*E169</f>
        <v>64243.68</v>
      </c>
      <c r="G169" s="857">
        <f t="shared" si="8"/>
        <v>63655.829333333328</v>
      </c>
      <c r="H169" s="857">
        <f t="shared" si="11"/>
        <v>954837.44</v>
      </c>
      <c r="I169" s="857">
        <f>H169*VLOOKUP(A169,'preus aigua'!$A$4:$K$314,11,FALSE)</f>
        <v>1863430.1931059198</v>
      </c>
      <c r="J169" s="857">
        <f>H169*VLOOKUP('3b aigua'!A169,'preus aigua'!$A$4:$H$314,8,FALSE)</f>
        <v>2695099.4087575553</v>
      </c>
      <c r="K169" s="857">
        <f t="shared" si="10"/>
        <v>831669.21565163555</v>
      </c>
    </row>
    <row r="170" spans="1:11">
      <c r="A170" s="835">
        <v>8167</v>
      </c>
      <c r="B170" s="826" t="s">
        <v>1349</v>
      </c>
      <c r="C170" s="857">
        <f>VLOOKUP(B170,'BD ASVICC'!$A$6:$GS$316,144,FALSE)</f>
        <v>335466</v>
      </c>
      <c r="D170" s="857">
        <f>VLOOKUP(B170,'BD ASVICC'!$A$6:$GS$316,145,FALSE)</f>
        <v>282562</v>
      </c>
      <c r="E170" s="857">
        <f t="shared" si="9"/>
        <v>618028</v>
      </c>
      <c r="F170" s="857">
        <f>E170+'3. Aigua-Resid '!$M$68*E170</f>
        <v>630388.56000000006</v>
      </c>
      <c r="G170" s="857">
        <f t="shared" si="8"/>
        <v>624620.29866666673</v>
      </c>
      <c r="H170" s="857">
        <f t="shared" si="11"/>
        <v>9369304.4800000004</v>
      </c>
      <c r="I170" s="857">
        <f>H170*VLOOKUP(A170,'preus aigua'!$A$4:$K$314,11,FALSE)</f>
        <v>15689637.403712427</v>
      </c>
      <c r="J170" s="857">
        <f>H170*VLOOKUP('3b aigua'!A170,'preus aigua'!$A$4:$H$314,8,FALSE)</f>
        <v>28824084.485751119</v>
      </c>
      <c r="K170" s="857">
        <f t="shared" si="10"/>
        <v>13134447.082038691</v>
      </c>
    </row>
    <row r="171" spans="1:11">
      <c r="A171" s="835">
        <v>8168</v>
      </c>
      <c r="B171" s="826" t="s">
        <v>1352</v>
      </c>
      <c r="C171" s="857">
        <f>VLOOKUP(B171,'BD ASVICC'!$A$6:$GS$316,144,FALSE)</f>
        <v>24018</v>
      </c>
      <c r="D171" s="857">
        <f>VLOOKUP(B171,'BD ASVICC'!$A$6:$GS$316,145,FALSE)</f>
        <v>7658</v>
      </c>
      <c r="E171" s="857">
        <f t="shared" si="9"/>
        <v>31676</v>
      </c>
      <c r="F171" s="857">
        <f>E171+'3. Aigua-Resid '!$M$68*E171</f>
        <v>32309.52</v>
      </c>
      <c r="G171" s="857">
        <f t="shared" si="8"/>
        <v>32013.877333333334</v>
      </c>
      <c r="H171" s="857">
        <f t="shared" si="11"/>
        <v>480208.16000000003</v>
      </c>
      <c r="I171" s="857">
        <f>H171*VLOOKUP(A171,'preus aigua'!$A$4:$K$314,11,FALSE)</f>
        <v>463060.24674517335</v>
      </c>
      <c r="J171" s="857">
        <f>H171*VLOOKUP('3b aigua'!A171,'preus aigua'!$A$4:$H$314,8,FALSE)</f>
        <v>669729.08448044385</v>
      </c>
      <c r="K171" s="857">
        <f t="shared" si="10"/>
        <v>206668.8377352705</v>
      </c>
    </row>
    <row r="172" spans="1:11">
      <c r="A172" s="835">
        <v>8169</v>
      </c>
      <c r="B172" s="826" t="s">
        <v>348</v>
      </c>
      <c r="C172" s="857">
        <f>VLOOKUP(B172,'BD ASVICC'!$A$6:$GS$316,144,FALSE)</f>
        <v>2275488</v>
      </c>
      <c r="D172" s="857">
        <f>VLOOKUP(B172,'BD ASVICC'!$A$6:$GS$316,145,FALSE)</f>
        <v>5348409</v>
      </c>
      <c r="E172" s="857">
        <f t="shared" si="9"/>
        <v>7623897</v>
      </c>
      <c r="F172" s="857">
        <f>E172+'3. Aigua-Resid '!$M$68*E172</f>
        <v>7776374.9400000004</v>
      </c>
      <c r="G172" s="857">
        <f t="shared" si="8"/>
        <v>7705218.5680000009</v>
      </c>
      <c r="H172" s="857">
        <f t="shared" si="11"/>
        <v>115578278.52000001</v>
      </c>
      <c r="I172" s="857">
        <f>H172*VLOOKUP(A172,'preus aigua'!$A$4:$K$314,11,FALSE)</f>
        <v>242030777.9006471</v>
      </c>
      <c r="J172" s="857">
        <f>H172*VLOOKUP('3b aigua'!A172,'preus aigua'!$A$4:$H$314,8,FALSE)</f>
        <v>444644793.93957204</v>
      </c>
      <c r="K172" s="857">
        <f t="shared" si="10"/>
        <v>202614016.03892493</v>
      </c>
    </row>
    <row r="173" spans="1:11">
      <c r="A173" s="835">
        <v>8170</v>
      </c>
      <c r="B173" s="826" t="s">
        <v>1359</v>
      </c>
      <c r="C173" s="857">
        <f>VLOOKUP(B173,'BD ASVICC'!$A$6:$GS$316,144,FALSE)</f>
        <v>19956</v>
      </c>
      <c r="D173" s="857">
        <f>VLOOKUP(B173,'BD ASVICC'!$A$6:$GS$316,145,FALSE)</f>
        <v>3680</v>
      </c>
      <c r="E173" s="857">
        <f t="shared" si="9"/>
        <v>23636</v>
      </c>
      <c r="F173" s="857">
        <f>E173+'3. Aigua-Resid '!$M$68*E173</f>
        <v>24108.720000000001</v>
      </c>
      <c r="G173" s="857">
        <f t="shared" si="8"/>
        <v>23888.117333333335</v>
      </c>
      <c r="H173" s="857">
        <f t="shared" si="11"/>
        <v>358321.76</v>
      </c>
      <c r="I173" s="857">
        <f>H173*VLOOKUP(A173,'preus aigua'!$A$4:$K$314,11,FALSE)</f>
        <v>509435.12367658666</v>
      </c>
      <c r="J173" s="857">
        <f>H173*VLOOKUP('3b aigua'!A173,'preus aigua'!$A$4:$H$314,8,FALSE)</f>
        <v>736801.5746984618</v>
      </c>
      <c r="K173" s="857">
        <f t="shared" si="10"/>
        <v>227366.45102187514</v>
      </c>
    </row>
    <row r="174" spans="1:11">
      <c r="A174" s="835">
        <v>8171</v>
      </c>
      <c r="B174" s="826" t="s">
        <v>1363</v>
      </c>
      <c r="C174" s="857">
        <f>VLOOKUP(B174,'BD ASVICC'!$A$6:$GS$316,144,FALSE)</f>
        <v>86629</v>
      </c>
      <c r="D174" s="857">
        <f>VLOOKUP(B174,'BD ASVICC'!$A$6:$GS$316,145,FALSE)</f>
        <v>85198</v>
      </c>
      <c r="E174" s="857">
        <f t="shared" si="9"/>
        <v>171827</v>
      </c>
      <c r="F174" s="857">
        <f>E174+'3. Aigua-Resid '!$M$68*E174</f>
        <v>175263.54</v>
      </c>
      <c r="G174" s="857">
        <f t="shared" si="8"/>
        <v>173659.82133333336</v>
      </c>
      <c r="H174" s="857">
        <f t="shared" si="11"/>
        <v>2604897.3200000003</v>
      </c>
      <c r="I174" s="857">
        <f>H174*VLOOKUP(A174,'preus aigua'!$A$4:$K$314,11,FALSE)</f>
        <v>6532679.5877745068</v>
      </c>
      <c r="J174" s="857">
        <f>H174*VLOOKUP('3b aigua'!A174,'preus aigua'!$A$4:$H$314,8,FALSE)</f>
        <v>9448285.7258355375</v>
      </c>
      <c r="K174" s="857">
        <f t="shared" si="10"/>
        <v>2915606.1380610308</v>
      </c>
    </row>
    <row r="175" spans="1:11">
      <c r="A175" s="835">
        <v>8172</v>
      </c>
      <c r="B175" s="826" t="s">
        <v>349</v>
      </c>
      <c r="C175" s="857">
        <f>VLOOKUP(B175,'BD ASVICC'!$A$6:$GS$316,144,FALSE)</f>
        <v>1234085</v>
      </c>
      <c r="D175" s="857">
        <f>VLOOKUP(B175,'BD ASVICC'!$A$6:$GS$316,145,FALSE)</f>
        <v>164084</v>
      </c>
      <c r="E175" s="857">
        <f t="shared" si="9"/>
        <v>1398169</v>
      </c>
      <c r="F175" s="857">
        <f>E175+'3. Aigua-Resid '!$M$68*E175</f>
        <v>1426132.38</v>
      </c>
      <c r="G175" s="857">
        <f t="shared" si="8"/>
        <v>1413082.8026666667</v>
      </c>
      <c r="H175" s="857">
        <f t="shared" si="11"/>
        <v>21196242.039999999</v>
      </c>
      <c r="I175" s="857">
        <f>H175*VLOOKUP(A175,'preus aigua'!$A$4:$K$314,11,FALSE)</f>
        <v>43607170.057172269</v>
      </c>
      <c r="J175" s="857">
        <f>H175*VLOOKUP('3b aigua'!A175,'preus aigua'!$A$4:$H$314,8,FALSE)</f>
        <v>80112543.175474361</v>
      </c>
      <c r="K175" s="857">
        <f t="shared" si="10"/>
        <v>36505373.118302092</v>
      </c>
    </row>
    <row r="176" spans="1:11">
      <c r="A176" s="835">
        <v>8174</v>
      </c>
      <c r="B176" s="826" t="s">
        <v>1365</v>
      </c>
      <c r="C176" s="857">
        <f>VLOOKUP(B176,'BD ASVICC'!$A$6:$GS$316,144,FALSE)</f>
        <v>24392</v>
      </c>
      <c r="D176" s="857">
        <f>VLOOKUP(B176,'BD ASVICC'!$A$6:$GS$316,145,FALSE)</f>
        <v>1425</v>
      </c>
      <c r="E176" s="857">
        <f t="shared" si="9"/>
        <v>25817</v>
      </c>
      <c r="F176" s="857">
        <f>E176+'3. Aigua-Resid '!$M$68*E176</f>
        <v>26333.34</v>
      </c>
      <c r="G176" s="857">
        <f t="shared" si="8"/>
        <v>26092.381333333331</v>
      </c>
      <c r="H176" s="857">
        <f t="shared" si="11"/>
        <v>391385.72</v>
      </c>
      <c r="I176" s="857">
        <f>H176*VLOOKUP(A176,'preus aigua'!$A$4:$K$314,11,FALSE)</f>
        <v>1076899.3741228799</v>
      </c>
      <c r="J176" s="857">
        <f>H176*VLOOKUP('3b aigua'!A176,'preus aigua'!$A$4:$H$314,8,FALSE)</f>
        <v>1557531.3082441727</v>
      </c>
      <c r="K176" s="857">
        <f t="shared" si="10"/>
        <v>480631.93412129278</v>
      </c>
    </row>
    <row r="177" spans="1:11">
      <c r="A177" s="835">
        <v>8175</v>
      </c>
      <c r="B177" s="826" t="s">
        <v>1366</v>
      </c>
      <c r="C177" s="857">
        <f>VLOOKUP(B177,'BD ASVICC'!$A$6:$GS$316,144,FALSE)</f>
        <v>137601</v>
      </c>
      <c r="D177" s="857">
        <f>VLOOKUP(B177,'BD ASVICC'!$A$6:$GS$316,145,FALSE)</f>
        <v>110855</v>
      </c>
      <c r="E177" s="857">
        <f t="shared" si="9"/>
        <v>248456</v>
      </c>
      <c r="F177" s="857">
        <f>E177+'3. Aigua-Resid '!$M$68*E177</f>
        <v>253425.12</v>
      </c>
      <c r="G177" s="857">
        <f t="shared" si="8"/>
        <v>251106.19733333334</v>
      </c>
      <c r="H177" s="857">
        <f t="shared" si="11"/>
        <v>3766592.96</v>
      </c>
      <c r="I177" s="857">
        <f>H177*VLOOKUP(A177,'preus aigua'!$A$4:$K$314,11,FALSE)</f>
        <v>7580203.0443886919</v>
      </c>
      <c r="J177" s="857">
        <f>H177*VLOOKUP('3b aigua'!A177,'preus aigua'!$A$4:$H$314,8,FALSE)</f>
        <v>10963330.324246252</v>
      </c>
      <c r="K177" s="857">
        <f t="shared" si="10"/>
        <v>3383127.2798575601</v>
      </c>
    </row>
    <row r="178" spans="1:11">
      <c r="A178" s="835">
        <v>8176</v>
      </c>
      <c r="B178" s="826" t="s">
        <v>1368</v>
      </c>
      <c r="C178" s="857">
        <f>VLOOKUP(B178,'BD ASVICC'!$A$6:$GS$316,144,FALSE)</f>
        <v>5546</v>
      </c>
      <c r="D178" s="857">
        <f>VLOOKUP(B178,'BD ASVICC'!$A$6:$GS$316,145,FALSE)</f>
        <v>1534</v>
      </c>
      <c r="E178" s="857">
        <f t="shared" si="9"/>
        <v>7080</v>
      </c>
      <c r="F178" s="857">
        <f>E178+'3. Aigua-Resid '!$M$68*E178</f>
        <v>7221.6</v>
      </c>
      <c r="G178" s="857">
        <f t="shared" si="8"/>
        <v>7155.52</v>
      </c>
      <c r="H178" s="857">
        <f t="shared" si="11"/>
        <v>107332.8</v>
      </c>
      <c r="I178" s="857">
        <f>H178*VLOOKUP(A178,'preus aigua'!$A$4:$K$314,11,FALSE)</f>
        <v>241294.4383488</v>
      </c>
      <c r="J178" s="857">
        <f>H178*VLOOKUP('3b aigua'!A178,'preus aigua'!$A$4:$H$314,8,FALSE)</f>
        <v>348986.77746892802</v>
      </c>
      <c r="K178" s="857">
        <f t="shared" si="10"/>
        <v>107692.33912012802</v>
      </c>
    </row>
    <row r="179" spans="1:11">
      <c r="A179" s="835">
        <v>8177</v>
      </c>
      <c r="B179" s="826" t="s">
        <v>1372</v>
      </c>
      <c r="C179" s="857">
        <f>VLOOKUP(B179,'BD ASVICC'!$A$6:$GS$316,144,FALSE)</f>
        <v>485</v>
      </c>
      <c r="D179" s="857">
        <f>VLOOKUP(B179,'BD ASVICC'!$A$6:$GS$316,145,FALSE)</f>
        <v>378</v>
      </c>
      <c r="E179" s="857">
        <f t="shared" si="9"/>
        <v>863</v>
      </c>
      <c r="F179" s="857">
        <f>E179+'3. Aigua-Resid '!$M$68*E179</f>
        <v>880.26</v>
      </c>
      <c r="G179" s="857">
        <f t="shared" si="8"/>
        <v>872.20533333333333</v>
      </c>
      <c r="H179" s="857">
        <f t="shared" si="11"/>
        <v>13083.08</v>
      </c>
      <c r="I179" s="857">
        <f>H179*VLOOKUP(A179,'preus aigua'!$A$4:$K$314,11,FALSE)</f>
        <v>11006.95220096</v>
      </c>
      <c r="J179" s="857">
        <f>H179*VLOOKUP('3b aigua'!A179,'preus aigua'!$A$4:$H$314,8,FALSE)</f>
        <v>15919.474997657602</v>
      </c>
      <c r="K179" s="857">
        <f t="shared" si="10"/>
        <v>4912.5227966976017</v>
      </c>
    </row>
    <row r="180" spans="1:11">
      <c r="A180" s="835">
        <v>8178</v>
      </c>
      <c r="B180" s="826" t="s">
        <v>1375</v>
      </c>
      <c r="C180" s="857">
        <f>VLOOKUP(B180,'BD ASVICC'!$A$6:$GS$316,144,FALSE)</f>
        <v>23349</v>
      </c>
      <c r="D180" s="857">
        <f>VLOOKUP(B180,'BD ASVICC'!$A$6:$GS$316,145,FALSE)</f>
        <v>24156</v>
      </c>
      <c r="E180" s="857">
        <f t="shared" si="9"/>
        <v>47505</v>
      </c>
      <c r="F180" s="857">
        <f>E180+'3. Aigua-Resid '!$M$68*E180</f>
        <v>48455.1</v>
      </c>
      <c r="G180" s="857">
        <f t="shared" si="8"/>
        <v>48011.72</v>
      </c>
      <c r="H180" s="857">
        <f t="shared" si="11"/>
        <v>720175.8</v>
      </c>
      <c r="I180" s="857">
        <f>H180*VLOOKUP(A180,'preus aigua'!$A$4:$K$314,11,FALSE)</f>
        <v>1909554.7758095998</v>
      </c>
      <c r="J180" s="857">
        <f>H180*VLOOKUP('3b aigua'!A180,'preus aigua'!$A$4:$H$314,8,FALSE)</f>
        <v>2761809.8957045763</v>
      </c>
      <c r="K180" s="857">
        <f t="shared" si="10"/>
        <v>852255.11989497649</v>
      </c>
    </row>
    <row r="181" spans="1:11">
      <c r="A181" s="835">
        <v>8179</v>
      </c>
      <c r="B181" s="826" t="s">
        <v>1377</v>
      </c>
      <c r="C181" s="857">
        <f>VLOOKUP(B181,'BD ASVICC'!$A$6:$GS$316,144,FALSE)</f>
        <v>57413</v>
      </c>
      <c r="D181" s="857">
        <f>VLOOKUP(B181,'BD ASVICC'!$A$6:$GS$316,145,FALSE)</f>
        <v>2891</v>
      </c>
      <c r="E181" s="857">
        <f t="shared" si="9"/>
        <v>60304</v>
      </c>
      <c r="F181" s="857">
        <f>E181+'3. Aigua-Resid '!$M$68*E181</f>
        <v>61510.080000000002</v>
      </c>
      <c r="G181" s="857">
        <f t="shared" si="8"/>
        <v>60947.242666666665</v>
      </c>
      <c r="H181" s="857">
        <f t="shared" si="11"/>
        <v>914208.64</v>
      </c>
      <c r="I181" s="857">
        <f>H181*VLOOKUP(A181,'preus aigua'!$A$4:$K$314,11,FALSE)</f>
        <v>2438745.4059537072</v>
      </c>
      <c r="J181" s="857">
        <f>H181*VLOOKUP('3b aigua'!A181,'preus aigua'!$A$4:$H$314,8,FALSE)</f>
        <v>3527184.0748382895</v>
      </c>
      <c r="K181" s="857">
        <f t="shared" si="10"/>
        <v>1088438.6688845824</v>
      </c>
    </row>
    <row r="182" spans="1:11">
      <c r="A182" s="835">
        <v>8180</v>
      </c>
      <c r="B182" s="826" t="s">
        <v>1383</v>
      </c>
      <c r="C182" s="857">
        <f>VLOOKUP(B182,'BD ASVICC'!$A$6:$GS$316,144,FALSE)</f>
        <v>1397575</v>
      </c>
      <c r="D182" s="857">
        <f>VLOOKUP(B182,'BD ASVICC'!$A$6:$GS$316,145,FALSE)</f>
        <v>385631</v>
      </c>
      <c r="E182" s="857">
        <f t="shared" si="9"/>
        <v>1783206</v>
      </c>
      <c r="F182" s="857">
        <f>E182+'3. Aigua-Resid '!$M$68*E182</f>
        <v>1818870.12</v>
      </c>
      <c r="G182" s="857">
        <f t="shared" si="8"/>
        <v>1802226.8640000001</v>
      </c>
      <c r="H182" s="857">
        <f t="shared" si="11"/>
        <v>27033402.960000001</v>
      </c>
      <c r="I182" s="857">
        <f>H182*VLOOKUP(A182,'preus aigua'!$A$4:$K$314,11,FALSE)</f>
        <v>49060147.602733433</v>
      </c>
      <c r="J182" s="857">
        <f>H182*VLOOKUP('3b aigua'!A182,'preus aigua'!$A$4:$H$314,8,FALSE)</f>
        <v>90130434.693793863</v>
      </c>
      <c r="K182" s="857">
        <f t="shared" si="10"/>
        <v>41070287.09106043</v>
      </c>
    </row>
    <row r="183" spans="1:11">
      <c r="A183" s="835">
        <v>8181</v>
      </c>
      <c r="B183" s="826" t="s">
        <v>1384</v>
      </c>
      <c r="C183" s="857">
        <f>VLOOKUP(B183,'BD ASVICC'!$A$6:$GS$316,144,FALSE)</f>
        <v>511827</v>
      </c>
      <c r="D183" s="857">
        <f>VLOOKUP(B183,'BD ASVICC'!$A$6:$GS$316,145,FALSE)</f>
        <v>609214</v>
      </c>
      <c r="E183" s="857">
        <f t="shared" si="9"/>
        <v>1121041</v>
      </c>
      <c r="F183" s="857">
        <f>E183+'3. Aigua-Resid '!$M$68*E183</f>
        <v>1143461.82</v>
      </c>
      <c r="G183" s="857">
        <f t="shared" si="8"/>
        <v>1132998.7706666668</v>
      </c>
      <c r="H183" s="857">
        <f t="shared" si="11"/>
        <v>16994981.560000002</v>
      </c>
      <c r="I183" s="857">
        <f>H183*VLOOKUP(A183,'preus aigua'!$A$4:$K$314,11,FALSE)</f>
        <v>20450945.050189123</v>
      </c>
      <c r="J183" s="857">
        <f>H183*VLOOKUP('3b aigua'!A183,'preus aigua'!$A$4:$H$314,8,FALSE)</f>
        <v>37571280.506496862</v>
      </c>
      <c r="K183" s="857">
        <f t="shared" si="10"/>
        <v>17120335.456307739</v>
      </c>
    </row>
    <row r="184" spans="1:11" ht="30">
      <c r="A184" s="835">
        <v>8182</v>
      </c>
      <c r="B184" s="826" t="s">
        <v>1387</v>
      </c>
      <c r="C184" s="857">
        <f>VLOOKUP(B184,'BD ASVICC'!$A$6:$GS$316,144,FALSE)</f>
        <v>167396</v>
      </c>
      <c r="D184" s="857">
        <f>VLOOKUP(B184,'BD ASVICC'!$A$6:$GS$316,145,FALSE)</f>
        <v>42489</v>
      </c>
      <c r="E184" s="857">
        <f t="shared" si="9"/>
        <v>209885</v>
      </c>
      <c r="F184" s="857">
        <f>E184+'3. Aigua-Resid '!$M$68*E184</f>
        <v>214082.7</v>
      </c>
      <c r="G184" s="857">
        <f t="shared" si="8"/>
        <v>212123.77333333335</v>
      </c>
      <c r="H184" s="857">
        <f t="shared" si="11"/>
        <v>3181856.6</v>
      </c>
      <c r="I184" s="857">
        <f>H184*VLOOKUP(A184,'preus aigua'!$A$4:$K$314,11,FALSE)</f>
        <v>8824374.4255194683</v>
      </c>
      <c r="J184" s="857">
        <f>H184*VLOOKUP('3b aigua'!A184,'preus aigua'!$A$4:$H$314,8,FALSE)</f>
        <v>12762788.960305834</v>
      </c>
      <c r="K184" s="857">
        <f t="shared" si="10"/>
        <v>3938414.5347863659</v>
      </c>
    </row>
    <row r="185" spans="1:11">
      <c r="A185" s="835">
        <v>8183</v>
      </c>
      <c r="B185" s="826" t="s">
        <v>1390</v>
      </c>
      <c r="C185" s="857">
        <f>VLOOKUP(B185,'BD ASVICC'!$A$6:$GS$316,144,FALSE)</f>
        <v>223910</v>
      </c>
      <c r="D185" s="857">
        <f>VLOOKUP(B185,'BD ASVICC'!$A$6:$GS$316,145,FALSE)</f>
        <v>34076</v>
      </c>
      <c r="E185" s="857">
        <f t="shared" si="9"/>
        <v>257986</v>
      </c>
      <c r="F185" s="857">
        <f>E185+'3. Aigua-Resid '!$M$68*E185</f>
        <v>263145.71999999997</v>
      </c>
      <c r="G185" s="857">
        <f t="shared" si="8"/>
        <v>260737.85066666667</v>
      </c>
      <c r="H185" s="857">
        <f t="shared" si="11"/>
        <v>3911067.76</v>
      </c>
      <c r="I185" s="857">
        <f>H185*VLOOKUP(A185,'preus aigua'!$A$4:$K$314,11,FALSE)</f>
        <v>7237144.078244268</v>
      </c>
      <c r="J185" s="857">
        <f>H185*VLOOKUP('3b aigua'!A185,'preus aigua'!$A$4:$H$314,8,FALSE)</f>
        <v>10467160.400497323</v>
      </c>
      <c r="K185" s="857">
        <f t="shared" si="10"/>
        <v>3230016.3222530549</v>
      </c>
    </row>
    <row r="186" spans="1:11">
      <c r="A186" s="835">
        <v>8184</v>
      </c>
      <c r="B186" s="826" t="s">
        <v>1394</v>
      </c>
      <c r="C186" s="857">
        <f>VLOOKUP(B186,'BD ASVICC'!$A$6:$GS$316,144,FALSE)</f>
        <v>2816024</v>
      </c>
      <c r="D186" s="857">
        <f>VLOOKUP(B186,'BD ASVICC'!$A$6:$GS$316,145,FALSE)</f>
        <v>2491364</v>
      </c>
      <c r="E186" s="857">
        <f t="shared" si="9"/>
        <v>5307388</v>
      </c>
      <c r="F186" s="857">
        <f>E186+'3. Aigua-Resid '!$M$68*E186</f>
        <v>5413535.7599999998</v>
      </c>
      <c r="G186" s="857">
        <f t="shared" si="8"/>
        <v>5364000.1386666661</v>
      </c>
      <c r="H186" s="857">
        <f t="shared" si="11"/>
        <v>80460002.079999998</v>
      </c>
      <c r="I186" s="857">
        <f>H186*VLOOKUP(A186,'preus aigua'!$A$4:$K$314,11,FALSE)</f>
        <v>204185600.15847427</v>
      </c>
      <c r="J186" s="857">
        <f>H186*VLOOKUP('3b aigua'!A186,'preus aigua'!$A$4:$H$314,8,FALSE)</f>
        <v>375117846.14914429</v>
      </c>
      <c r="K186" s="857">
        <f t="shared" si="10"/>
        <v>170932245.99067003</v>
      </c>
    </row>
    <row r="187" spans="1:11">
      <c r="A187" s="835">
        <v>8185</v>
      </c>
      <c r="B187" s="826" t="s">
        <v>1399</v>
      </c>
      <c r="C187" s="857">
        <f>VLOOKUP(B187,'BD ASVICC'!$A$6:$GS$316,144,FALSE)</f>
        <v>9738</v>
      </c>
      <c r="D187" s="857">
        <f>VLOOKUP(B187,'BD ASVICC'!$A$6:$GS$316,145,FALSE)</f>
        <v>0</v>
      </c>
      <c r="E187" s="857">
        <f t="shared" si="9"/>
        <v>9738</v>
      </c>
      <c r="F187" s="857">
        <f>E187+'3. Aigua-Resid '!$M$68*E187</f>
        <v>9932.76</v>
      </c>
      <c r="G187" s="857">
        <f t="shared" si="8"/>
        <v>9841.8720000000012</v>
      </c>
      <c r="H187" s="857">
        <f t="shared" si="11"/>
        <v>147628.08000000002</v>
      </c>
      <c r="I187" s="857">
        <f>H187*VLOOKUP(A187,'preus aigua'!$A$4:$K$314,11,FALSE)</f>
        <v>165941.04806784002</v>
      </c>
      <c r="J187" s="857">
        <f>H187*VLOOKUP('3b aigua'!A187,'preus aigua'!$A$4:$H$314,8,FALSE)</f>
        <v>240002.34738647044</v>
      </c>
      <c r="K187" s="857">
        <f t="shared" si="10"/>
        <v>74061.299318630423</v>
      </c>
    </row>
    <row r="188" spans="1:11">
      <c r="A188" s="835">
        <v>8187</v>
      </c>
      <c r="B188" s="826" t="s">
        <v>947</v>
      </c>
      <c r="C188" s="857">
        <f>VLOOKUP(B188,'BD ASVICC'!$A$6:$GS$316,144,FALSE)</f>
        <v>7419570</v>
      </c>
      <c r="D188" s="857">
        <f>VLOOKUP(B188,'BD ASVICC'!$A$6:$GS$316,145,FALSE)</f>
        <v>2588733</v>
      </c>
      <c r="E188" s="857">
        <f t="shared" si="9"/>
        <v>10008303</v>
      </c>
      <c r="F188" s="857">
        <f>E188+'3. Aigua-Resid '!$M$68*E188</f>
        <v>10208469.060000001</v>
      </c>
      <c r="G188" s="857">
        <f t="shared" si="8"/>
        <v>10115058.232000001</v>
      </c>
      <c r="H188" s="857">
        <f t="shared" si="11"/>
        <v>151725873.48000002</v>
      </c>
      <c r="I188" s="857">
        <f>H188*VLOOKUP(A188,'preus aigua'!$A$4:$K$314,11,FALSE)</f>
        <v>340222411.24729568</v>
      </c>
      <c r="J188" s="857">
        <f>H188*VLOOKUP('3b aigua'!A188,'preus aigua'!$A$4:$H$314,8,FALSE)</f>
        <v>625036721.58909214</v>
      </c>
      <c r="K188" s="857">
        <f t="shared" si="10"/>
        <v>284814310.34179646</v>
      </c>
    </row>
    <row r="189" spans="1:11">
      <c r="A189" s="835">
        <v>8188</v>
      </c>
      <c r="B189" s="826" t="s">
        <v>1409</v>
      </c>
      <c r="C189" s="857">
        <f>VLOOKUP(B189,'BD ASVICC'!$A$6:$GS$316,144,FALSE)</f>
        <v>3741</v>
      </c>
      <c r="D189" s="857">
        <f>VLOOKUP(B189,'BD ASVICC'!$A$6:$GS$316,145,FALSE)</f>
        <v>33563</v>
      </c>
      <c r="E189" s="857">
        <f t="shared" si="9"/>
        <v>37304</v>
      </c>
      <c r="F189" s="857">
        <f>E189+'3. Aigua-Resid '!$M$68*E189</f>
        <v>38050.080000000002</v>
      </c>
      <c r="G189" s="857">
        <f t="shared" si="8"/>
        <v>37701.909333333337</v>
      </c>
      <c r="H189" s="857">
        <f t="shared" si="11"/>
        <v>565528.64</v>
      </c>
      <c r="I189" s="857">
        <f>H189*VLOOKUP(A189,'preus aigua'!$A$4:$K$314,11,FALSE)</f>
        <v>1735449.0481408001</v>
      </c>
      <c r="J189" s="857">
        <f>H189*VLOOKUP('3b aigua'!A189,'preus aigua'!$A$4:$H$314,8,FALSE)</f>
        <v>2509998.8831764483</v>
      </c>
      <c r="K189" s="857">
        <f t="shared" si="10"/>
        <v>774549.8350356482</v>
      </c>
    </row>
    <row r="190" spans="1:11">
      <c r="A190" s="835">
        <v>8189</v>
      </c>
      <c r="B190" s="826" t="s">
        <v>1411</v>
      </c>
      <c r="C190" s="857">
        <f>VLOOKUP(B190,'BD ASVICC'!$A$6:$GS$316,144,FALSE)</f>
        <v>8696</v>
      </c>
      <c r="D190" s="857">
        <f>VLOOKUP(B190,'BD ASVICC'!$A$6:$GS$316,145,FALSE)</f>
        <v>15034</v>
      </c>
      <c r="E190" s="857">
        <f t="shared" si="9"/>
        <v>23730</v>
      </c>
      <c r="F190" s="857">
        <f>E190+'3. Aigua-Resid '!$M$68*E190</f>
        <v>24204.6</v>
      </c>
      <c r="G190" s="857">
        <f t="shared" si="8"/>
        <v>23983.119999999999</v>
      </c>
      <c r="H190" s="857">
        <f t="shared" si="11"/>
        <v>359746.8</v>
      </c>
      <c r="I190" s="857">
        <f>H190*VLOOKUP(A190,'preus aigua'!$A$4:$K$314,11,FALSE)</f>
        <v>505672.57330240012</v>
      </c>
      <c r="J190" s="857">
        <f>H190*VLOOKUP('3b aigua'!A190,'preus aigua'!$A$4:$H$314,8,FALSE)</f>
        <v>731359.75706214411</v>
      </c>
      <c r="K190" s="857">
        <f t="shared" si="10"/>
        <v>225687.18375974399</v>
      </c>
    </row>
    <row r="191" spans="1:11">
      <c r="A191" s="835">
        <v>8190</v>
      </c>
      <c r="B191" s="826" t="s">
        <v>1413</v>
      </c>
      <c r="C191" s="857">
        <f>VLOOKUP(B191,'BD ASVICC'!$A$6:$GS$316,144,FALSE)</f>
        <v>13300</v>
      </c>
      <c r="D191" s="857">
        <f>VLOOKUP(B191,'BD ASVICC'!$A$6:$GS$316,145,FALSE)</f>
        <v>22753</v>
      </c>
      <c r="E191" s="857">
        <f t="shared" si="9"/>
        <v>36053</v>
      </c>
      <c r="F191" s="857">
        <f>E191+'3. Aigua-Resid '!$M$68*E191</f>
        <v>36774.06</v>
      </c>
      <c r="G191" s="857">
        <f t="shared" si="8"/>
        <v>36437.565333333332</v>
      </c>
      <c r="H191" s="857">
        <f t="shared" si="11"/>
        <v>546563.48</v>
      </c>
      <c r="I191" s="857">
        <f>H191*VLOOKUP(A191,'preus aigua'!$A$4:$K$314,11,FALSE)</f>
        <v>795280.47095488</v>
      </c>
      <c r="J191" s="857">
        <f>H191*VLOOKUP('3b aigua'!A191,'preus aigua'!$A$4:$H$314,8,FALSE)</f>
        <v>1150222.8175740927</v>
      </c>
      <c r="K191" s="857">
        <f t="shared" si="10"/>
        <v>354942.34661921265</v>
      </c>
    </row>
    <row r="192" spans="1:11">
      <c r="A192" s="835">
        <v>8191</v>
      </c>
      <c r="B192" s="826" t="s">
        <v>1416</v>
      </c>
      <c r="C192" s="857">
        <f>VLOOKUP(B192,'BD ASVICC'!$A$6:$GS$316,144,FALSE)</f>
        <v>252584</v>
      </c>
      <c r="D192" s="857">
        <f>VLOOKUP(B192,'BD ASVICC'!$A$6:$GS$316,145,FALSE)</f>
        <v>1221105</v>
      </c>
      <c r="E192" s="857">
        <f t="shared" si="9"/>
        <v>1473689</v>
      </c>
      <c r="F192" s="857">
        <f>E192+'3. Aigua-Resid '!$M$68*E192</f>
        <v>1503162.78</v>
      </c>
      <c r="G192" s="857">
        <f t="shared" si="8"/>
        <v>1489408.3493333336</v>
      </c>
      <c r="H192" s="857">
        <f t="shared" si="11"/>
        <v>22341125.240000002</v>
      </c>
      <c r="I192" s="857">
        <f>H192*VLOOKUP(A192,'preus aigua'!$A$4:$K$314,11,FALSE)</f>
        <v>46886932.295017183</v>
      </c>
      <c r="J192" s="857">
        <f>H192*VLOOKUP('3b aigua'!A192,'preus aigua'!$A$4:$H$314,8,FALSE)</f>
        <v>67813081.474296778</v>
      </c>
      <c r="K192" s="857">
        <f t="shared" si="10"/>
        <v>20926149.179279596</v>
      </c>
    </row>
    <row r="193" spans="1:11">
      <c r="A193" s="835">
        <v>8192</v>
      </c>
      <c r="B193" s="826" t="s">
        <v>1418</v>
      </c>
      <c r="C193" s="857">
        <f>VLOOKUP(B193,'BD ASVICC'!$A$6:$GS$316,144,FALSE)</f>
        <v>306781</v>
      </c>
      <c r="D193" s="857">
        <f>VLOOKUP(B193,'BD ASVICC'!$A$6:$GS$316,145,FALSE)</f>
        <v>220808</v>
      </c>
      <c r="E193" s="857">
        <f t="shared" si="9"/>
        <v>527589</v>
      </c>
      <c r="F193" s="857">
        <f>E193+'3. Aigua-Resid '!$M$68*E193</f>
        <v>538140.78</v>
      </c>
      <c r="G193" s="857">
        <f t="shared" si="8"/>
        <v>533216.61600000004</v>
      </c>
      <c r="H193" s="857">
        <f t="shared" si="11"/>
        <v>7998249.2400000002</v>
      </c>
      <c r="I193" s="857">
        <f>H193*VLOOKUP(A193,'preus aigua'!$A$4:$K$314,11,FALSE)</f>
        <v>16160686.540398721</v>
      </c>
      <c r="J193" s="857">
        <f>H193*VLOOKUP('3b aigua'!A193,'preus aigua'!$A$4:$H$314,8,FALSE)</f>
        <v>23373377.173603129</v>
      </c>
      <c r="K193" s="857">
        <f t="shared" si="10"/>
        <v>7212690.633204408</v>
      </c>
    </row>
    <row r="194" spans="1:11">
      <c r="A194" s="835">
        <v>8193</v>
      </c>
      <c r="B194" s="826" t="s">
        <v>1421</v>
      </c>
      <c r="C194" s="857">
        <f>VLOOKUP(B194,'BD ASVICC'!$A$6:$GS$316,144,FALSE)</f>
        <v>58073</v>
      </c>
      <c r="D194" s="857">
        <f>VLOOKUP(B194,'BD ASVICC'!$A$6:$GS$316,145,FALSE)</f>
        <v>7092</v>
      </c>
      <c r="E194" s="857">
        <f t="shared" si="9"/>
        <v>65165</v>
      </c>
      <c r="F194" s="857">
        <f>E194+'3. Aigua-Resid '!$M$68*E194</f>
        <v>66468.3</v>
      </c>
      <c r="G194" s="857">
        <f t="shared" si="8"/>
        <v>65860.093333333338</v>
      </c>
      <c r="H194" s="857">
        <f t="shared" si="11"/>
        <v>987901.4</v>
      </c>
      <c r="I194" s="857">
        <f>H194*VLOOKUP(A194,'preus aigua'!$A$4:$K$314,11,FALSE)</f>
        <v>2568338.1565088006</v>
      </c>
      <c r="J194" s="857">
        <f>H194*VLOOKUP('3b aigua'!A194,'preus aigua'!$A$4:$H$314,8,FALSE)</f>
        <v>4718400.6938025989</v>
      </c>
      <c r="K194" s="857">
        <f t="shared" si="10"/>
        <v>2150062.5372937983</v>
      </c>
    </row>
    <row r="195" spans="1:11">
      <c r="A195" s="835">
        <v>8194</v>
      </c>
      <c r="B195" s="826" t="s">
        <v>350</v>
      </c>
      <c r="C195" s="857">
        <f>VLOOKUP(B195,'BD ASVICC'!$A$6:$GS$316,144,FALSE)</f>
        <v>1249699</v>
      </c>
      <c r="D195" s="857">
        <f>VLOOKUP(B195,'BD ASVICC'!$A$6:$GS$316,145,FALSE)</f>
        <v>741273</v>
      </c>
      <c r="E195" s="857">
        <f t="shared" si="9"/>
        <v>1990972</v>
      </c>
      <c r="F195" s="857">
        <f>E195+'3. Aigua-Resid '!$M$68*E195</f>
        <v>2030791.44</v>
      </c>
      <c r="G195" s="857">
        <f t="shared" si="8"/>
        <v>2012209.0346666665</v>
      </c>
      <c r="H195" s="857">
        <f t="shared" si="11"/>
        <v>30183135.52</v>
      </c>
      <c r="I195" s="857">
        <f>H195*VLOOKUP(A195,'preus aigua'!$A$4:$K$314,11,FALSE)</f>
        <v>86067090.202737913</v>
      </c>
      <c r="J195" s="857">
        <f>H195*VLOOKUP('3b aigua'!A195,'preus aigua'!$A$4:$H$314,8,FALSE)</f>
        <v>158117425.89153019</v>
      </c>
      <c r="K195" s="857">
        <f t="shared" si="10"/>
        <v>72050335.688792273</v>
      </c>
    </row>
    <row r="196" spans="1:11">
      <c r="A196" s="835">
        <v>8195</v>
      </c>
      <c r="B196" s="826" t="s">
        <v>1424</v>
      </c>
      <c r="C196" s="857">
        <f>VLOOKUP(B196,'BD ASVICC'!$A$6:$GS$316,144,FALSE)</f>
        <v>6056</v>
      </c>
      <c r="D196" s="857">
        <f>VLOOKUP(B196,'BD ASVICC'!$A$6:$GS$316,145,FALSE)</f>
        <v>2447</v>
      </c>
      <c r="E196" s="857">
        <f t="shared" si="9"/>
        <v>8503</v>
      </c>
      <c r="F196" s="857">
        <f>E196+'3. Aigua-Resid '!$M$68*E196</f>
        <v>8673.06</v>
      </c>
      <c r="G196" s="857">
        <f t="shared" ref="G196:G259" si="12">H196/15</f>
        <v>8593.6986666666671</v>
      </c>
      <c r="H196" s="857">
        <f t="shared" si="11"/>
        <v>128905.48</v>
      </c>
      <c r="I196" s="857">
        <f>H196*VLOOKUP(A196,'preus aigua'!$A$4:$K$314,11,FALSE)</f>
        <v>255716.16001301332</v>
      </c>
      <c r="J196" s="857">
        <f>H196*VLOOKUP('3b aigua'!A196,'preus aigua'!$A$4:$H$314,8,FALSE)</f>
        <v>369845.07077891415</v>
      </c>
      <c r="K196" s="857">
        <f t="shared" si="10"/>
        <v>114128.91076590083</v>
      </c>
    </row>
    <row r="197" spans="1:11">
      <c r="A197" s="835">
        <v>8196</v>
      </c>
      <c r="B197" s="826" t="s">
        <v>1426</v>
      </c>
      <c r="C197" s="857">
        <f>VLOOKUP(B197,'BD ASVICC'!$A$6:$GS$316,144,FALSE)</f>
        <v>1029891</v>
      </c>
      <c r="D197" s="857">
        <f>VLOOKUP(B197,'BD ASVICC'!$A$6:$GS$316,145,FALSE)</f>
        <v>611135</v>
      </c>
      <c r="E197" s="857">
        <f t="shared" ref="E197:E260" si="13">C197+D197</f>
        <v>1641026</v>
      </c>
      <c r="F197" s="857">
        <f>E197+'3. Aigua-Resid '!$M$68*E197</f>
        <v>1673846.52</v>
      </c>
      <c r="G197" s="857">
        <f t="shared" si="12"/>
        <v>1658530.2773333334</v>
      </c>
      <c r="H197" s="857">
        <f t="shared" si="11"/>
        <v>24877954.16</v>
      </c>
      <c r="I197" s="857">
        <f>H197*VLOOKUP(A197,'preus aigua'!$A$4:$K$314,11,FALSE)</f>
        <v>49666148.661390722</v>
      </c>
      <c r="J197" s="857">
        <f>H197*VLOOKUP('3b aigua'!A197,'preus aigua'!$A$4:$H$314,8,FALSE)</f>
        <v>91243744.406678572</v>
      </c>
      <c r="K197" s="857">
        <f t="shared" ref="K197:K260" si="14">J197-I197</f>
        <v>41577595.74528785</v>
      </c>
    </row>
    <row r="198" spans="1:11" ht="30">
      <c r="A198" s="835">
        <v>8197</v>
      </c>
      <c r="B198" s="826" t="s">
        <v>351</v>
      </c>
      <c r="C198" s="857">
        <f>VLOOKUP(B198,'BD ASVICC'!$A$6:$GS$316,144,FALSE)</f>
        <v>743846</v>
      </c>
      <c r="D198" s="857">
        <f>VLOOKUP(B198,'BD ASVICC'!$A$6:$GS$316,145,FALSE)</f>
        <v>326002</v>
      </c>
      <c r="E198" s="857">
        <f t="shared" si="13"/>
        <v>1069848</v>
      </c>
      <c r="F198" s="857">
        <f>E198+'3. Aigua-Resid '!$M$68*E198</f>
        <v>1091244.96</v>
      </c>
      <c r="G198" s="857">
        <f t="shared" si="12"/>
        <v>1081259.7120000001</v>
      </c>
      <c r="H198" s="857">
        <f t="shared" ref="H198:H261" si="15">E198*15+((120)*(F198-E198)/15)</f>
        <v>16218895.68</v>
      </c>
      <c r="I198" s="857">
        <f>H198*VLOOKUP(A198,'preus aigua'!$A$4:$K$314,11,FALSE)</f>
        <v>36834452.851322874</v>
      </c>
      <c r="J198" s="857">
        <f>H198*VLOOKUP('3b aigua'!A198,'preus aigua'!$A$4:$H$314,8,FALSE)</f>
        <v>67670103.116705954</v>
      </c>
      <c r="K198" s="857">
        <f t="shared" si="14"/>
        <v>30835650.26538308</v>
      </c>
    </row>
    <row r="199" spans="1:11">
      <c r="A199" s="835">
        <v>8198</v>
      </c>
      <c r="B199" s="826" t="s">
        <v>1429</v>
      </c>
      <c r="C199" s="857">
        <f>VLOOKUP(B199,'BD ASVICC'!$A$6:$GS$316,144,FALSE)</f>
        <v>309696</v>
      </c>
      <c r="D199" s="857">
        <f>VLOOKUP(B199,'BD ASVICC'!$A$6:$GS$316,145,FALSE)</f>
        <v>53857</v>
      </c>
      <c r="E199" s="857">
        <f t="shared" si="13"/>
        <v>363553</v>
      </c>
      <c r="F199" s="857">
        <f>E199+'3. Aigua-Resid '!$M$68*E199</f>
        <v>370824.06</v>
      </c>
      <c r="G199" s="857">
        <f t="shared" si="12"/>
        <v>367430.8986666667</v>
      </c>
      <c r="H199" s="857">
        <f t="shared" si="15"/>
        <v>5511463.4800000004</v>
      </c>
      <c r="I199" s="857">
        <f>H199*VLOOKUP(A199,'preus aigua'!$A$4:$K$314,11,FALSE)</f>
        <v>13213785.133625815</v>
      </c>
      <c r="J199" s="857">
        <f>H199*VLOOKUP('3b aigua'!A199,'preus aigua'!$A$4:$H$314,8,FALSE)</f>
        <v>24275593.454955895</v>
      </c>
      <c r="K199" s="857">
        <f t="shared" si="14"/>
        <v>11061808.32133008</v>
      </c>
    </row>
    <row r="200" spans="1:11">
      <c r="A200" s="835">
        <v>8199</v>
      </c>
      <c r="B200" s="826" t="s">
        <v>1431</v>
      </c>
      <c r="C200" s="857">
        <f>VLOOKUP(B200,'BD ASVICC'!$A$6:$GS$316,144,FALSE)</f>
        <v>28252</v>
      </c>
      <c r="D200" s="857">
        <f>VLOOKUP(B200,'BD ASVICC'!$A$6:$GS$316,145,FALSE)</f>
        <v>28734</v>
      </c>
      <c r="E200" s="857">
        <f t="shared" si="13"/>
        <v>56986</v>
      </c>
      <c r="F200" s="857">
        <f>E200+'3. Aigua-Resid '!$M$68*E200</f>
        <v>58125.72</v>
      </c>
      <c r="G200" s="857">
        <f t="shared" si="12"/>
        <v>57593.850666666665</v>
      </c>
      <c r="H200" s="857">
        <f t="shared" si="15"/>
        <v>863907.76</v>
      </c>
      <c r="I200" s="857">
        <f>H200*VLOOKUP(A200,'preus aigua'!$A$4:$K$314,11,FALSE)</f>
        <v>2423712.802589226</v>
      </c>
      <c r="J200" s="857">
        <f>H200*VLOOKUP('3b aigua'!A200,'preus aigua'!$A$4:$H$314,8,FALSE)</f>
        <v>3505442.2566636205</v>
      </c>
      <c r="K200" s="857">
        <f t="shared" si="14"/>
        <v>1081729.4540743944</v>
      </c>
    </row>
    <row r="201" spans="1:11">
      <c r="A201" s="835">
        <v>8200</v>
      </c>
      <c r="B201" s="826" t="s">
        <v>1094</v>
      </c>
      <c r="C201" s="857">
        <f>VLOOKUP(B201,'BD ASVICC'!$A$6:$GS$316,144,FALSE)</f>
        <v>2922875</v>
      </c>
      <c r="D201" s="857">
        <f>VLOOKUP(B201,'BD ASVICC'!$A$6:$GS$316,145,FALSE)</f>
        <v>1249596</v>
      </c>
      <c r="E201" s="857">
        <f t="shared" si="13"/>
        <v>4172471</v>
      </c>
      <c r="F201" s="857">
        <f>E201+'3. Aigua-Resid '!$M$68*E201</f>
        <v>4255920.42</v>
      </c>
      <c r="G201" s="857">
        <f t="shared" si="12"/>
        <v>4216977.3573333332</v>
      </c>
      <c r="H201" s="857">
        <f t="shared" si="15"/>
        <v>63254660.359999999</v>
      </c>
      <c r="I201" s="857">
        <f>H201*VLOOKUP(A201,'preus aigua'!$A$4:$K$314,11,FALSE)</f>
        <v>180370410.99789852</v>
      </c>
      <c r="J201" s="857">
        <f>H201*VLOOKUP('3b aigua'!A201,'preus aigua'!$A$4:$H$314,8,FALSE)</f>
        <v>331365973.06594908</v>
      </c>
      <c r="K201" s="857">
        <f t="shared" si="14"/>
        <v>150995562.06805056</v>
      </c>
    </row>
    <row r="202" spans="1:11">
      <c r="A202" s="835">
        <v>8201</v>
      </c>
      <c r="B202" s="826" t="s">
        <v>1435</v>
      </c>
      <c r="C202" s="857">
        <f>VLOOKUP(B202,'BD ASVICC'!$A$6:$GS$316,144,FALSE)</f>
        <v>19686</v>
      </c>
      <c r="D202" s="857">
        <f>VLOOKUP(B202,'BD ASVICC'!$A$6:$GS$316,145,FALSE)</f>
        <v>45332</v>
      </c>
      <c r="E202" s="857">
        <f t="shared" si="13"/>
        <v>65018</v>
      </c>
      <c r="F202" s="857">
        <f>E202+'3. Aigua-Resid '!$M$68*E202</f>
        <v>66318.36</v>
      </c>
      <c r="G202" s="857">
        <f t="shared" si="12"/>
        <v>65711.525333333338</v>
      </c>
      <c r="H202" s="857">
        <f t="shared" si="15"/>
        <v>985672.88</v>
      </c>
      <c r="I202" s="857">
        <f>H202*VLOOKUP(A202,'preus aigua'!$A$4:$K$314,11,FALSE)</f>
        <v>2492306.7328426666</v>
      </c>
      <c r="J202" s="857">
        <f>H202*VLOOKUP('3b aigua'!A202,'preus aigua'!$A$4:$H$314,8,FALSE)</f>
        <v>3604650.4059972274</v>
      </c>
      <c r="K202" s="857">
        <f t="shared" si="14"/>
        <v>1112343.6731545608</v>
      </c>
    </row>
    <row r="203" spans="1:11">
      <c r="A203" s="835">
        <v>8202</v>
      </c>
      <c r="B203" s="826" t="s">
        <v>1437</v>
      </c>
      <c r="C203" s="857">
        <f>VLOOKUP(B203,'BD ASVICC'!$A$6:$GS$316,144,FALSE)</f>
        <v>697759</v>
      </c>
      <c r="D203" s="857">
        <f>VLOOKUP(B203,'BD ASVICC'!$A$6:$GS$316,145,FALSE)</f>
        <v>931989</v>
      </c>
      <c r="E203" s="857">
        <f t="shared" si="13"/>
        <v>1629748</v>
      </c>
      <c r="F203" s="857">
        <f>E203+'3. Aigua-Resid '!$M$68*E203</f>
        <v>1662342.96</v>
      </c>
      <c r="G203" s="857">
        <f t="shared" si="12"/>
        <v>1647131.9786666667</v>
      </c>
      <c r="H203" s="857">
        <f t="shared" si="15"/>
        <v>24706979.68</v>
      </c>
      <c r="I203" s="857">
        <f>H203*VLOOKUP(A203,'preus aigua'!$A$4:$K$314,11,FALSE)</f>
        <v>37767418.565243736</v>
      </c>
      <c r="J203" s="857">
        <f>H203*VLOOKUP('3b aigua'!A203,'preus aigua'!$A$4:$H$314,8,FALSE)</f>
        <v>54623429.319791958</v>
      </c>
      <c r="K203" s="857">
        <f t="shared" si="14"/>
        <v>16856010.754548222</v>
      </c>
    </row>
    <row r="204" spans="1:11">
      <c r="A204" s="835">
        <v>8203</v>
      </c>
      <c r="B204" s="826" t="s">
        <v>1443</v>
      </c>
      <c r="C204" s="857">
        <f>VLOOKUP(B204,'BD ASVICC'!$A$6:$GS$316,144,FALSE)</f>
        <v>215892</v>
      </c>
      <c r="D204" s="857">
        <f>VLOOKUP(B204,'BD ASVICC'!$A$6:$GS$316,145,FALSE)</f>
        <v>21572</v>
      </c>
      <c r="E204" s="857">
        <f t="shared" si="13"/>
        <v>237464</v>
      </c>
      <c r="F204" s="857">
        <f>E204+'3. Aigua-Resid '!$M$68*E204</f>
        <v>242213.28</v>
      </c>
      <c r="G204" s="857">
        <f t="shared" si="12"/>
        <v>239996.94933333335</v>
      </c>
      <c r="H204" s="857">
        <f t="shared" si="15"/>
        <v>3599954.24</v>
      </c>
      <c r="I204" s="857">
        <f>H204*VLOOKUP(A204,'preus aigua'!$A$4:$K$314,11,FALSE)</f>
        <v>11589270.285625173</v>
      </c>
      <c r="J204" s="857">
        <f>H204*VLOOKUP('3b aigua'!A204,'preus aigua'!$A$4:$H$314,8,FALSE)</f>
        <v>21291129.759443846</v>
      </c>
      <c r="K204" s="857">
        <f t="shared" si="14"/>
        <v>9701859.4738186728</v>
      </c>
    </row>
    <row r="205" spans="1:11">
      <c r="A205" s="835">
        <v>8204</v>
      </c>
      <c r="B205" s="826" t="s">
        <v>1446</v>
      </c>
      <c r="C205" s="857">
        <f>VLOOKUP(B205,'BD ASVICC'!$A$6:$GS$316,144,FALSE)</f>
        <v>152045</v>
      </c>
      <c r="D205" s="857">
        <f>VLOOKUP(B205,'BD ASVICC'!$A$6:$GS$316,145,FALSE)</f>
        <v>24893</v>
      </c>
      <c r="E205" s="857">
        <f t="shared" si="13"/>
        <v>176938</v>
      </c>
      <c r="F205" s="857">
        <f>E205+'3. Aigua-Resid '!$M$68*E205</f>
        <v>180476.76</v>
      </c>
      <c r="G205" s="857">
        <f t="shared" si="12"/>
        <v>178825.33866666668</v>
      </c>
      <c r="H205" s="857">
        <f t="shared" si="15"/>
        <v>2682380.08</v>
      </c>
      <c r="I205" s="857">
        <f>H205*VLOOKUP(A205,'preus aigua'!$A$4:$K$314,11,FALSE)</f>
        <v>8431865.0736074653</v>
      </c>
      <c r="J205" s="857">
        <f>H205*VLOOKUP('3b aigua'!A205,'preus aigua'!$A$4:$H$314,8,FALSE)</f>
        <v>15490529.513231972</v>
      </c>
      <c r="K205" s="857">
        <f t="shared" si="14"/>
        <v>7058664.439624507</v>
      </c>
    </row>
    <row r="206" spans="1:11">
      <c r="A206" s="835">
        <v>8205</v>
      </c>
      <c r="B206" s="826" t="s">
        <v>1450</v>
      </c>
      <c r="C206" s="857">
        <f>VLOOKUP(B206,'BD ASVICC'!$A$6:$GS$316,144,FALSE)</f>
        <v>4494469</v>
      </c>
      <c r="D206" s="857">
        <f>VLOOKUP(B206,'BD ASVICC'!$A$6:$GS$316,145,FALSE)</f>
        <v>2402777</v>
      </c>
      <c r="E206" s="857">
        <f t="shared" si="13"/>
        <v>6897246</v>
      </c>
      <c r="F206" s="857">
        <f>E206+'3. Aigua-Resid '!$M$68*E206</f>
        <v>7035190.9199999999</v>
      </c>
      <c r="G206" s="857">
        <f t="shared" si="12"/>
        <v>6970816.6239999998</v>
      </c>
      <c r="H206" s="857">
        <f t="shared" si="15"/>
        <v>104562249.36</v>
      </c>
      <c r="I206" s="857">
        <f>H206*VLOOKUP(A206,'preus aigua'!$A$4:$K$314,11,FALSE)</f>
        <v>297197420.77226043</v>
      </c>
      <c r="J206" s="857">
        <f>H206*VLOOKUP('3b aigua'!A206,'preus aigua'!$A$4:$H$314,8,FALSE)</f>
        <v>545993724.70264971</v>
      </c>
      <c r="K206" s="857">
        <f t="shared" si="14"/>
        <v>248796303.93038929</v>
      </c>
    </row>
    <row r="207" spans="1:11">
      <c r="A207" s="835">
        <v>8206</v>
      </c>
      <c r="B207" s="826" t="s">
        <v>1457</v>
      </c>
      <c r="C207" s="857">
        <f>VLOOKUP(B207,'BD ASVICC'!$A$6:$GS$316,144,FALSE)</f>
        <v>25820</v>
      </c>
      <c r="D207" s="857">
        <f>VLOOKUP(B207,'BD ASVICC'!$A$6:$GS$316,145,FALSE)</f>
        <v>38230</v>
      </c>
      <c r="E207" s="857">
        <f t="shared" si="13"/>
        <v>64050</v>
      </c>
      <c r="F207" s="857">
        <f>E207+'3. Aigua-Resid '!$M$68*E207</f>
        <v>65331</v>
      </c>
      <c r="G207" s="857">
        <f t="shared" si="12"/>
        <v>64733.2</v>
      </c>
      <c r="H207" s="857">
        <f t="shared" si="15"/>
        <v>970998</v>
      </c>
      <c r="I207" s="857">
        <f>H207*VLOOKUP(A207,'preus aigua'!$A$4:$K$314,11,FALSE)</f>
        <v>3132613.0329760001</v>
      </c>
      <c r="J207" s="857">
        <f>H207*VLOOKUP('3b aigua'!A207,'preus aigua'!$A$4:$H$314,8,FALSE)</f>
        <v>5755053.5044423686</v>
      </c>
      <c r="K207" s="857">
        <f t="shared" si="14"/>
        <v>2622440.4714663685</v>
      </c>
    </row>
    <row r="208" spans="1:11" ht="30">
      <c r="A208" s="835">
        <v>8207</v>
      </c>
      <c r="B208" s="826" t="s">
        <v>1458</v>
      </c>
      <c r="C208" s="857">
        <f>VLOOKUP(B208,'BD ASVICC'!$A$6:$GS$316,144,FALSE)</f>
        <v>123940</v>
      </c>
      <c r="D208" s="857">
        <f>VLOOKUP(B208,'BD ASVICC'!$A$6:$GS$316,145,FALSE)</f>
        <v>93500</v>
      </c>
      <c r="E208" s="857">
        <f t="shared" si="13"/>
        <v>217440</v>
      </c>
      <c r="F208" s="857">
        <f>E208+'3. Aigua-Resid '!$M$68*E208</f>
        <v>221788.79999999999</v>
      </c>
      <c r="G208" s="857">
        <f t="shared" si="12"/>
        <v>219759.35999999999</v>
      </c>
      <c r="H208" s="857">
        <f t="shared" si="15"/>
        <v>3296390.4</v>
      </c>
      <c r="I208" s="857">
        <f>H208*VLOOKUP(A208,'preus aigua'!$A$4:$K$314,11,FALSE)</f>
        <v>7118875.9174655993</v>
      </c>
      <c r="J208" s="857">
        <f>H208*VLOOKUP('3b aigua'!A208,'preus aigua'!$A$4:$H$314,8,FALSE)</f>
        <v>10296107.869863937</v>
      </c>
      <c r="K208" s="857">
        <f t="shared" si="14"/>
        <v>3177231.9523983374</v>
      </c>
    </row>
    <row r="209" spans="1:11">
      <c r="A209" s="835">
        <v>8208</v>
      </c>
      <c r="B209" s="826" t="s">
        <v>1463</v>
      </c>
      <c r="C209" s="857">
        <f>VLOOKUP(B209,'BD ASVICC'!$A$6:$GS$316,144,FALSE)</f>
        <v>448038</v>
      </c>
      <c r="D209" s="857">
        <f>VLOOKUP(B209,'BD ASVICC'!$A$6:$GS$316,145,FALSE)</f>
        <v>822143</v>
      </c>
      <c r="E209" s="857">
        <f t="shared" si="13"/>
        <v>1270181</v>
      </c>
      <c r="F209" s="857">
        <f>E209+'3. Aigua-Resid '!$M$68*E209</f>
        <v>1295584.6200000001</v>
      </c>
      <c r="G209" s="857">
        <f t="shared" si="12"/>
        <v>1283729.5973333335</v>
      </c>
      <c r="H209" s="857">
        <f t="shared" si="15"/>
        <v>19255943.960000001</v>
      </c>
      <c r="I209" s="857">
        <f>H209*VLOOKUP(A209,'preus aigua'!$A$4:$K$314,11,FALSE)</f>
        <v>50813920.00042922</v>
      </c>
      <c r="J209" s="857">
        <f>H209*VLOOKUP('3b aigua'!A209,'preus aigua'!$A$4:$H$314,8,FALSE)</f>
        <v>93352362.802087858</v>
      </c>
      <c r="K209" s="857">
        <f t="shared" si="14"/>
        <v>42538442.801658638</v>
      </c>
    </row>
    <row r="210" spans="1:11" ht="30">
      <c r="A210" s="835">
        <v>8209</v>
      </c>
      <c r="B210" s="826" t="s">
        <v>1464</v>
      </c>
      <c r="C210" s="857">
        <f>VLOOKUP(B210,'BD ASVICC'!$A$6:$GS$316,144,FALSE)</f>
        <v>362604</v>
      </c>
      <c r="D210" s="857">
        <f>VLOOKUP(B210,'BD ASVICC'!$A$6:$GS$316,145,FALSE)</f>
        <v>163848</v>
      </c>
      <c r="E210" s="857">
        <f t="shared" si="13"/>
        <v>526452</v>
      </c>
      <c r="F210" s="857">
        <f>E210+'3. Aigua-Resid '!$M$68*E210</f>
        <v>536981.04</v>
      </c>
      <c r="G210" s="857">
        <f t="shared" si="12"/>
        <v>532067.48800000001</v>
      </c>
      <c r="H210" s="857">
        <f t="shared" si="15"/>
        <v>7981012.3200000003</v>
      </c>
      <c r="I210" s="857">
        <f>H210*VLOOKUP(A210,'preus aigua'!$A$4:$K$314,11,FALSE)</f>
        <v>25738998.841694724</v>
      </c>
      <c r="J210" s="857">
        <f>H210*VLOOKUP('3b aigua'!A210,'preus aigua'!$A$4:$H$314,8,FALSE)</f>
        <v>47286183.746739246</v>
      </c>
      <c r="K210" s="857">
        <f t="shared" si="14"/>
        <v>21547184.905044522</v>
      </c>
    </row>
    <row r="211" spans="1:11">
      <c r="A211" s="835">
        <v>8210</v>
      </c>
      <c r="B211" s="826" t="s">
        <v>1466</v>
      </c>
      <c r="C211" s="857">
        <f>VLOOKUP(B211,'BD ASVICC'!$A$6:$GS$316,144,FALSE)</f>
        <v>241098</v>
      </c>
      <c r="D211" s="857">
        <f>VLOOKUP(B211,'BD ASVICC'!$A$6:$GS$316,145,FALSE)</f>
        <v>47976</v>
      </c>
      <c r="E211" s="857">
        <f t="shared" si="13"/>
        <v>289074</v>
      </c>
      <c r="F211" s="857">
        <f>E211+'3. Aigua-Resid '!$M$68*E211</f>
        <v>294855.48</v>
      </c>
      <c r="G211" s="857">
        <f t="shared" si="12"/>
        <v>292157.45600000001</v>
      </c>
      <c r="H211" s="857">
        <f t="shared" si="15"/>
        <v>4382361.84</v>
      </c>
      <c r="I211" s="857">
        <f>H211*VLOOKUP(A211,'preus aigua'!$A$4:$K$314,11,FALSE)</f>
        <v>10491643.02981952</v>
      </c>
      <c r="J211" s="857">
        <f>H211*VLOOKUP('3b aigua'!A211,'preus aigua'!$A$4:$H$314,8,FALSE)</f>
        <v>15174177.724056371</v>
      </c>
      <c r="K211" s="857">
        <f t="shared" si="14"/>
        <v>4682534.6942368504</v>
      </c>
    </row>
    <row r="212" spans="1:11">
      <c r="A212" s="835">
        <v>8211</v>
      </c>
      <c r="B212" s="826" t="s">
        <v>1028</v>
      </c>
      <c r="C212" s="857">
        <f>VLOOKUP(B212,'BD ASVICC'!$A$6:$GS$316,144,FALSE)</f>
        <v>1552235</v>
      </c>
      <c r="D212" s="857">
        <f>VLOOKUP(B212,'BD ASVICC'!$A$6:$GS$316,145,FALSE)</f>
        <v>558789</v>
      </c>
      <c r="E212" s="857">
        <f t="shared" si="13"/>
        <v>2111024</v>
      </c>
      <c r="F212" s="857">
        <f>E212+'3. Aigua-Resid '!$M$68*E212</f>
        <v>2153244.48</v>
      </c>
      <c r="G212" s="857">
        <f t="shared" si="12"/>
        <v>2133541.5893333335</v>
      </c>
      <c r="H212" s="857">
        <f t="shared" si="15"/>
        <v>32003123.84</v>
      </c>
      <c r="I212" s="857">
        <f>H212*VLOOKUP(A212,'preus aigua'!$A$4:$K$314,11,FALSE)</f>
        <v>91256779.617264628</v>
      </c>
      <c r="J212" s="857">
        <f>H212*VLOOKUP('3b aigua'!A212,'preus aigua'!$A$4:$H$314,8,FALSE)</f>
        <v>167651619.84962198</v>
      </c>
      <c r="K212" s="857">
        <f t="shared" si="14"/>
        <v>76394840.232357353</v>
      </c>
    </row>
    <row r="213" spans="1:11">
      <c r="A213" s="835">
        <v>8212</v>
      </c>
      <c r="B213" s="826" t="s">
        <v>1470</v>
      </c>
      <c r="C213" s="857">
        <f>VLOOKUP(B213,'BD ASVICC'!$A$6:$GS$316,144,FALSE)</f>
        <v>25035</v>
      </c>
      <c r="D213" s="857">
        <f>VLOOKUP(B213,'BD ASVICC'!$A$6:$GS$316,145,FALSE)</f>
        <v>50161</v>
      </c>
      <c r="E213" s="857">
        <f t="shared" si="13"/>
        <v>75196</v>
      </c>
      <c r="F213" s="857">
        <f>E213+'3. Aigua-Resid '!$M$68*E213</f>
        <v>76699.92</v>
      </c>
      <c r="G213" s="857">
        <f t="shared" si="12"/>
        <v>75998.090666666656</v>
      </c>
      <c r="H213" s="857">
        <f t="shared" si="15"/>
        <v>1139971.3599999999</v>
      </c>
      <c r="I213" s="857">
        <f>H213*VLOOKUP(A213,'preus aigua'!$A$4:$K$314,11,FALSE)</f>
        <v>2833977.9207308795</v>
      </c>
      <c r="J213" s="857">
        <f>H213*VLOOKUP('3b aigua'!A213,'preus aigua'!$A$4:$H$314,8,FALSE)</f>
        <v>4098813.1709206519</v>
      </c>
      <c r="K213" s="857">
        <f t="shared" si="14"/>
        <v>1264835.2501897723</v>
      </c>
    </row>
    <row r="214" spans="1:11">
      <c r="A214" s="835">
        <v>8213</v>
      </c>
      <c r="B214" s="826" t="s">
        <v>1473</v>
      </c>
      <c r="C214" s="857">
        <f>VLOOKUP(B214,'BD ASVICC'!$A$6:$GS$316,144,FALSE)</f>
        <v>411630</v>
      </c>
      <c r="D214" s="857">
        <f>VLOOKUP(B214,'BD ASVICC'!$A$6:$GS$316,145,FALSE)</f>
        <v>349746</v>
      </c>
      <c r="E214" s="857">
        <f t="shared" si="13"/>
        <v>761376</v>
      </c>
      <c r="F214" s="857">
        <f>E214+'3. Aigua-Resid '!$M$68*E214</f>
        <v>776603.52</v>
      </c>
      <c r="G214" s="857">
        <f t="shared" si="12"/>
        <v>769497.34400000004</v>
      </c>
      <c r="H214" s="857">
        <f t="shared" si="15"/>
        <v>11542460.16</v>
      </c>
      <c r="I214" s="857">
        <f>H214*VLOOKUP(A214,'preus aigua'!$A$4:$K$314,11,FALSE)</f>
        <v>20031862.657945599</v>
      </c>
      <c r="J214" s="857">
        <f>H214*VLOOKUP('3b aigua'!A214,'preus aigua'!$A$4:$H$314,8,FALSE)</f>
        <v>28972301.407092735</v>
      </c>
      <c r="K214" s="857">
        <f t="shared" si="14"/>
        <v>8940438.7491471358</v>
      </c>
    </row>
    <row r="215" spans="1:11">
      <c r="A215" s="835">
        <v>8214</v>
      </c>
      <c r="B215" s="826" t="s">
        <v>1474</v>
      </c>
      <c r="C215" s="857">
        <f>VLOOKUP(B215,'BD ASVICC'!$A$6:$GS$316,144,FALSE)</f>
        <v>466007</v>
      </c>
      <c r="D215" s="857">
        <f>VLOOKUP(B215,'BD ASVICC'!$A$6:$GS$316,145,FALSE)</f>
        <v>192114</v>
      </c>
      <c r="E215" s="857">
        <f t="shared" si="13"/>
        <v>658121</v>
      </c>
      <c r="F215" s="857">
        <f>E215+'3. Aigua-Resid '!$M$68*E215</f>
        <v>671283.42</v>
      </c>
      <c r="G215" s="857">
        <f t="shared" si="12"/>
        <v>665140.95733333332</v>
      </c>
      <c r="H215" s="857">
        <f t="shared" si="15"/>
        <v>9977114.3599999994</v>
      </c>
      <c r="I215" s="857">
        <f>H215*VLOOKUP(A215,'preus aigua'!$A$4:$K$314,11,FALSE)</f>
        <v>21603884.716739837</v>
      </c>
      <c r="J215" s="857">
        <f>H215*VLOOKUP('3b aigua'!A215,'preus aigua'!$A$4:$H$314,8,FALSE)</f>
        <v>39689393.851026304</v>
      </c>
      <c r="K215" s="857">
        <f t="shared" si="14"/>
        <v>18085509.134286467</v>
      </c>
    </row>
    <row r="216" spans="1:11">
      <c r="A216" s="835">
        <v>8215</v>
      </c>
      <c r="B216" s="826" t="s">
        <v>1477</v>
      </c>
      <c r="C216" s="857">
        <f>VLOOKUP(B216,'BD ASVICC'!$A$6:$GS$316,144,FALSE)</f>
        <v>128696</v>
      </c>
      <c r="D216" s="857">
        <f>VLOOKUP(B216,'BD ASVICC'!$A$6:$GS$316,145,FALSE)</f>
        <v>36528</v>
      </c>
      <c r="E216" s="857">
        <f t="shared" si="13"/>
        <v>165224</v>
      </c>
      <c r="F216" s="857">
        <f>E216+'3. Aigua-Resid '!$M$68*E216</f>
        <v>168528.48</v>
      </c>
      <c r="G216" s="857">
        <f t="shared" si="12"/>
        <v>166986.38933333333</v>
      </c>
      <c r="H216" s="857">
        <f t="shared" si="15"/>
        <v>2504795.84</v>
      </c>
      <c r="I216" s="857">
        <f>H216*VLOOKUP(A216,'preus aigua'!$A$4:$K$314,11,FALSE)</f>
        <v>5717386.8692838391</v>
      </c>
      <c r="J216" s="857">
        <f>H216*VLOOKUP('3b aigua'!A216,'preus aigua'!$A$4:$H$314,8,FALSE)</f>
        <v>8269118.9764194302</v>
      </c>
      <c r="K216" s="857">
        <f t="shared" si="14"/>
        <v>2551732.1071355911</v>
      </c>
    </row>
    <row r="217" spans="1:11">
      <c r="A217" s="835">
        <v>8216</v>
      </c>
      <c r="B217" s="826" t="s">
        <v>1479</v>
      </c>
      <c r="C217" s="857">
        <f>VLOOKUP(B217,'BD ASVICC'!$A$6:$GS$316,144,FALSE)</f>
        <v>1189</v>
      </c>
      <c r="D217" s="857">
        <f>VLOOKUP(B217,'BD ASVICC'!$A$6:$GS$316,145,FALSE)</f>
        <v>761</v>
      </c>
      <c r="E217" s="857">
        <f t="shared" si="13"/>
        <v>1950</v>
      </c>
      <c r="F217" s="857">
        <f>E217+'3. Aigua-Resid '!$M$68*E217</f>
        <v>1989</v>
      </c>
      <c r="G217" s="857">
        <f t="shared" si="12"/>
        <v>1970.8</v>
      </c>
      <c r="H217" s="857">
        <f t="shared" si="15"/>
        <v>29562</v>
      </c>
      <c r="I217" s="857">
        <f>H217*VLOOKUP(A217,'preus aigua'!$A$4:$K$314,11,FALSE)</f>
        <v>30748.815760000005</v>
      </c>
      <c r="J217" s="857">
        <f>H217*VLOOKUP('3b aigua'!A217,'preus aigua'!$A$4:$H$314,8,FALSE)</f>
        <v>44472.347545600001</v>
      </c>
      <c r="K217" s="857">
        <f t="shared" si="14"/>
        <v>13723.531785599997</v>
      </c>
    </row>
    <row r="218" spans="1:11">
      <c r="A218" s="835">
        <v>8217</v>
      </c>
      <c r="B218" s="826" t="s">
        <v>1481</v>
      </c>
      <c r="C218" s="857">
        <f>VLOOKUP(B218,'BD ASVICC'!$A$6:$GS$316,144,FALSE)</f>
        <v>1235905</v>
      </c>
      <c r="D218" s="857">
        <f>VLOOKUP(B218,'BD ASVICC'!$A$6:$GS$316,145,FALSE)</f>
        <v>718733</v>
      </c>
      <c r="E218" s="857">
        <f t="shared" si="13"/>
        <v>1954638</v>
      </c>
      <c r="F218" s="857">
        <f>E218+'3. Aigua-Resid '!$M$68*E218</f>
        <v>1993730.76</v>
      </c>
      <c r="G218" s="857">
        <f t="shared" si="12"/>
        <v>1975487.4719999998</v>
      </c>
      <c r="H218" s="857">
        <f t="shared" si="15"/>
        <v>29632312.079999998</v>
      </c>
      <c r="I218" s="857">
        <f>H218*VLOOKUP(A218,'preus aigua'!$A$4:$K$314,11,FALSE)</f>
        <v>84496419.36687167</v>
      </c>
      <c r="J218" s="857">
        <f>H218*VLOOKUP('3b aigua'!A218,'preus aigua'!$A$4:$H$314,8,FALSE)</f>
        <v>155231881.26692325</v>
      </c>
      <c r="K218" s="857">
        <f t="shared" si="14"/>
        <v>70735461.900051579</v>
      </c>
    </row>
    <row r="219" spans="1:11">
      <c r="A219" s="835">
        <v>8218</v>
      </c>
      <c r="B219" s="826" t="s">
        <v>1482</v>
      </c>
      <c r="C219" s="857">
        <f>VLOOKUP(B219,'BD ASVICC'!$A$6:$GS$316,144,FALSE)</f>
        <v>416422</v>
      </c>
      <c r="D219" s="857">
        <f>VLOOKUP(B219,'BD ASVICC'!$A$6:$GS$316,145,FALSE)</f>
        <v>433359</v>
      </c>
      <c r="E219" s="857">
        <f t="shared" si="13"/>
        <v>849781</v>
      </c>
      <c r="F219" s="857">
        <f>E219+'3. Aigua-Resid '!$M$68*E219</f>
        <v>866776.62</v>
      </c>
      <c r="G219" s="857">
        <f t="shared" si="12"/>
        <v>858845.33066666673</v>
      </c>
      <c r="H219" s="857">
        <f t="shared" si="15"/>
        <v>12882679.960000001</v>
      </c>
      <c r="I219" s="857">
        <f>H219*VLOOKUP(A219,'preus aigua'!$A$4:$K$314,11,FALSE)</f>
        <v>24297455.834637765</v>
      </c>
      <c r="J219" s="857">
        <f>H219*VLOOKUP('3b aigua'!A219,'preus aigua'!$A$4:$H$314,8,FALSE)</f>
        <v>35141675.334291875</v>
      </c>
      <c r="K219" s="857">
        <f t="shared" si="14"/>
        <v>10844219.499654111</v>
      </c>
    </row>
    <row r="220" spans="1:11">
      <c r="A220" s="835">
        <v>8219</v>
      </c>
      <c r="B220" s="826" t="s">
        <v>352</v>
      </c>
      <c r="C220" s="857">
        <f>VLOOKUP(B220,'BD ASVICC'!$A$6:$GS$316,144,FALSE)</f>
        <v>953243</v>
      </c>
      <c r="D220" s="857">
        <f>VLOOKUP(B220,'BD ASVICC'!$A$6:$GS$316,145,FALSE)</f>
        <v>193048</v>
      </c>
      <c r="E220" s="857">
        <f t="shared" si="13"/>
        <v>1146291</v>
      </c>
      <c r="F220" s="857">
        <f>E220+'3. Aigua-Resid '!$M$68*E220</f>
        <v>1169216.82</v>
      </c>
      <c r="G220" s="857">
        <f t="shared" si="12"/>
        <v>1158518.1040000001</v>
      </c>
      <c r="H220" s="857">
        <f t="shared" si="15"/>
        <v>17377771.560000002</v>
      </c>
      <c r="I220" s="857">
        <f>H220*VLOOKUP(A220,'preus aigua'!$A$4:$K$314,11,FALSE)</f>
        <v>38148147.5357536</v>
      </c>
      <c r="J220" s="857">
        <f>H220*VLOOKUP('3b aigua'!A220,'preus aigua'!$A$4:$H$314,8,FALSE)</f>
        <v>70083546.180951253</v>
      </c>
      <c r="K220" s="857">
        <f t="shared" si="14"/>
        <v>31935398.645197652</v>
      </c>
    </row>
    <row r="221" spans="1:11">
      <c r="A221" s="835">
        <v>8220</v>
      </c>
      <c r="B221" s="826" t="s">
        <v>1485</v>
      </c>
      <c r="C221" s="857">
        <f>VLOOKUP(B221,'BD ASVICC'!$A$6:$GS$316,144,FALSE)</f>
        <v>140958</v>
      </c>
      <c r="D221" s="857">
        <f>VLOOKUP(B221,'BD ASVICC'!$A$6:$GS$316,145,FALSE)</f>
        <v>71684</v>
      </c>
      <c r="E221" s="857">
        <f t="shared" si="13"/>
        <v>212642</v>
      </c>
      <c r="F221" s="857">
        <f>E221+'3. Aigua-Resid '!$M$68*E221</f>
        <v>216894.84</v>
      </c>
      <c r="G221" s="857">
        <f t="shared" si="12"/>
        <v>214910.18133333331</v>
      </c>
      <c r="H221" s="857">
        <f t="shared" si="15"/>
        <v>3223652.7199999997</v>
      </c>
      <c r="I221" s="857">
        <f>H221*VLOOKUP(A221,'preus aigua'!$A$4:$K$314,11,FALSE)</f>
        <v>5776175.3293250119</v>
      </c>
      <c r="J221" s="857">
        <f>H221*VLOOKUP('3b aigua'!A221,'preus aigua'!$A$4:$H$314,8,FALSE)</f>
        <v>8354145.3672576332</v>
      </c>
      <c r="K221" s="857">
        <f t="shared" si="14"/>
        <v>2577970.0379326213</v>
      </c>
    </row>
    <row r="222" spans="1:11">
      <c r="A222" s="835">
        <v>8221</v>
      </c>
      <c r="B222" s="826" t="s">
        <v>1489</v>
      </c>
      <c r="C222" s="857">
        <f>VLOOKUP(B222,'BD ASVICC'!$A$6:$GS$316,144,FALSE)</f>
        <v>787579</v>
      </c>
      <c r="D222" s="857">
        <f>VLOOKUP(B222,'BD ASVICC'!$A$6:$GS$316,145,FALSE)</f>
        <v>450760</v>
      </c>
      <c r="E222" s="857">
        <f t="shared" si="13"/>
        <v>1238339</v>
      </c>
      <c r="F222" s="857">
        <f>E222+'3. Aigua-Resid '!$M$68*E222</f>
        <v>1263105.78</v>
      </c>
      <c r="G222" s="857">
        <f t="shared" si="12"/>
        <v>1251547.9493333334</v>
      </c>
      <c r="H222" s="857">
        <f t="shared" si="15"/>
        <v>18773219.240000002</v>
      </c>
      <c r="I222" s="857">
        <f>H222*VLOOKUP(A222,'preus aigua'!$A$4:$K$314,11,FALSE)</f>
        <v>53531759.569983035</v>
      </c>
      <c r="J222" s="857">
        <f>H222*VLOOKUP('3b aigua'!A222,'preus aigua'!$A$4:$H$314,8,FALSE)</f>
        <v>98345418.750786856</v>
      </c>
      <c r="K222" s="857">
        <f t="shared" si="14"/>
        <v>44813659.18080382</v>
      </c>
    </row>
    <row r="223" spans="1:11">
      <c r="A223" s="835">
        <v>8222</v>
      </c>
      <c r="B223" s="826" t="s">
        <v>1490</v>
      </c>
      <c r="C223" s="857">
        <f>VLOOKUP(B223,'BD ASVICC'!$A$6:$GS$316,144,FALSE)</f>
        <v>109027</v>
      </c>
      <c r="D223" s="857">
        <f>VLOOKUP(B223,'BD ASVICC'!$A$6:$GS$316,145,FALSE)</f>
        <v>93639</v>
      </c>
      <c r="E223" s="857">
        <f t="shared" si="13"/>
        <v>202666</v>
      </c>
      <c r="F223" s="857">
        <f>E223+'3. Aigua-Resid '!$M$68*E223</f>
        <v>206719.32</v>
      </c>
      <c r="G223" s="857">
        <f t="shared" si="12"/>
        <v>204827.77066666668</v>
      </c>
      <c r="H223" s="857">
        <f t="shared" si="15"/>
        <v>3072416.56</v>
      </c>
      <c r="I223" s="857">
        <f>H223*VLOOKUP(A223,'preus aigua'!$A$4:$K$314,11,FALSE)</f>
        <v>6709338.4559573345</v>
      </c>
      <c r="J223" s="857">
        <f>H223*VLOOKUP('3b aigua'!A223,'preus aigua'!$A$4:$H$314,8,FALSE)</f>
        <v>9703789.3733307738</v>
      </c>
      <c r="K223" s="857">
        <f t="shared" si="14"/>
        <v>2994450.9173734393</v>
      </c>
    </row>
    <row r="224" spans="1:11">
      <c r="A224" s="835">
        <v>8223</v>
      </c>
      <c r="B224" s="826" t="s">
        <v>1494</v>
      </c>
      <c r="C224" s="857">
        <f>VLOOKUP(B224,'BD ASVICC'!$A$6:$GS$316,144,FALSE)</f>
        <v>102702</v>
      </c>
      <c r="D224" s="857">
        <f>VLOOKUP(B224,'BD ASVICC'!$A$6:$GS$316,145,FALSE)</f>
        <v>28217</v>
      </c>
      <c r="E224" s="857">
        <f t="shared" si="13"/>
        <v>130919</v>
      </c>
      <c r="F224" s="857">
        <f>E224+'3. Aigua-Resid '!$M$68*E224</f>
        <v>133537.38</v>
      </c>
      <c r="G224" s="857">
        <f t="shared" si="12"/>
        <v>132315.46933333334</v>
      </c>
      <c r="H224" s="857">
        <f t="shared" si="15"/>
        <v>1984732.04</v>
      </c>
      <c r="I224" s="857">
        <f>H224*VLOOKUP(A224,'preus aigua'!$A$4:$K$314,11,FALSE)</f>
        <v>3816311.5705560534</v>
      </c>
      <c r="J224" s="857">
        <f>H224*VLOOKUP('3b aigua'!A224,'preus aigua'!$A$4:$H$314,8,FALSE)</f>
        <v>5519573.0408858974</v>
      </c>
      <c r="K224" s="857">
        <f t="shared" si="14"/>
        <v>1703261.4703298439</v>
      </c>
    </row>
    <row r="225" spans="1:11">
      <c r="A225" s="835">
        <v>8224</v>
      </c>
      <c r="B225" s="826" t="s">
        <v>1496</v>
      </c>
      <c r="C225" s="857">
        <f>VLOOKUP(B225,'BD ASVICC'!$A$6:$GS$316,144,FALSE)</f>
        <v>51346</v>
      </c>
      <c r="D225" s="857">
        <f>VLOOKUP(B225,'BD ASVICC'!$A$6:$GS$316,145,FALSE)</f>
        <v>21782</v>
      </c>
      <c r="E225" s="857">
        <f t="shared" si="13"/>
        <v>73128</v>
      </c>
      <c r="F225" s="857">
        <f>E225+'3. Aigua-Resid '!$M$68*E225</f>
        <v>74590.559999999998</v>
      </c>
      <c r="G225" s="857">
        <f t="shared" si="12"/>
        <v>73908.031999999992</v>
      </c>
      <c r="H225" s="857">
        <f t="shared" si="15"/>
        <v>1108620.48</v>
      </c>
      <c r="I225" s="857">
        <f>H225*VLOOKUP(A225,'preus aigua'!$A$4:$K$314,11,FALSE)</f>
        <v>2210692.7083648001</v>
      </c>
      <c r="J225" s="857">
        <f>H225*VLOOKUP('3b aigua'!A225,'preus aigua'!$A$4:$H$314,8,FALSE)</f>
        <v>3197348.9714298882</v>
      </c>
      <c r="K225" s="857">
        <f t="shared" si="14"/>
        <v>986656.26306508807</v>
      </c>
    </row>
    <row r="226" spans="1:11">
      <c r="A226" s="835">
        <v>8225</v>
      </c>
      <c r="B226" s="826" t="s">
        <v>1499</v>
      </c>
      <c r="C226" s="857">
        <f>VLOOKUP(B226,'BD ASVICC'!$A$6:$GS$316,144,FALSE)</f>
        <v>4240</v>
      </c>
      <c r="D226" s="857">
        <f>VLOOKUP(B226,'BD ASVICC'!$A$6:$GS$316,145,FALSE)</f>
        <v>40883</v>
      </c>
      <c r="E226" s="857">
        <f t="shared" si="13"/>
        <v>45123</v>
      </c>
      <c r="F226" s="857">
        <f>E226+'3. Aigua-Resid '!$M$68*E226</f>
        <v>46025.46</v>
      </c>
      <c r="G226" s="857">
        <f t="shared" si="12"/>
        <v>45604.311999999998</v>
      </c>
      <c r="H226" s="857">
        <f t="shared" si="15"/>
        <v>684064.67999999993</v>
      </c>
      <c r="I226" s="857">
        <f>H226*VLOOKUP(A226,'preus aigua'!$A$4:$K$314,11,FALSE)</f>
        <v>1556712.3109823999</v>
      </c>
      <c r="J226" s="857">
        <f>H226*VLOOKUP('3b aigua'!A226,'preus aigua'!$A$4:$H$314,8,FALSE)</f>
        <v>2251489.9911229438</v>
      </c>
      <c r="K226" s="857">
        <f t="shared" si="14"/>
        <v>694777.68014054396</v>
      </c>
    </row>
    <row r="227" spans="1:11">
      <c r="A227" s="835">
        <v>8226</v>
      </c>
      <c r="B227" s="826" t="s">
        <v>1501</v>
      </c>
      <c r="C227" s="857">
        <f>VLOOKUP(B227,'BD ASVICC'!$A$6:$GS$316,144,FALSE)</f>
        <v>40562</v>
      </c>
      <c r="D227" s="857">
        <f>VLOOKUP(B227,'BD ASVICC'!$A$6:$GS$316,145,FALSE)</f>
        <v>2605</v>
      </c>
      <c r="E227" s="857">
        <f t="shared" si="13"/>
        <v>43167</v>
      </c>
      <c r="F227" s="857">
        <f>E227+'3. Aigua-Resid '!$M$68*E227</f>
        <v>44030.34</v>
      </c>
      <c r="G227" s="857">
        <f t="shared" si="12"/>
        <v>43627.447999999997</v>
      </c>
      <c r="H227" s="857">
        <f t="shared" si="15"/>
        <v>654411.72</v>
      </c>
      <c r="I227" s="857">
        <f>H227*VLOOKUP(A227,'preus aigua'!$A$4:$K$314,11,FALSE)</f>
        <v>904821.05583456007</v>
      </c>
      <c r="J227" s="857">
        <f>H227*VLOOKUP('3b aigua'!A227,'preus aigua'!$A$4:$H$314,8,FALSE)</f>
        <v>1308652.5600116735</v>
      </c>
      <c r="K227" s="857">
        <f t="shared" si="14"/>
        <v>403831.50417711341</v>
      </c>
    </row>
    <row r="228" spans="1:11">
      <c r="A228" s="835">
        <v>8227</v>
      </c>
      <c r="B228" s="826" t="s">
        <v>1506</v>
      </c>
      <c r="C228" s="857">
        <f>VLOOKUP(B228,'BD ASVICC'!$A$6:$GS$316,144,FALSE)</f>
        <v>128127</v>
      </c>
      <c r="D228" s="857">
        <f>VLOOKUP(B228,'BD ASVICC'!$A$6:$GS$316,145,FALSE)</f>
        <v>45372</v>
      </c>
      <c r="E228" s="857">
        <f t="shared" si="13"/>
        <v>173499</v>
      </c>
      <c r="F228" s="857">
        <f>E228+'3. Aigua-Resid '!$M$68*E228</f>
        <v>176968.98</v>
      </c>
      <c r="G228" s="857">
        <f t="shared" si="12"/>
        <v>175349.65599999999</v>
      </c>
      <c r="H228" s="857">
        <f t="shared" si="15"/>
        <v>2630244.84</v>
      </c>
      <c r="I228" s="857">
        <f>H228*VLOOKUP(A228,'preus aigua'!$A$4:$K$314,11,FALSE)</f>
        <v>6115585.7844771203</v>
      </c>
      <c r="J228" s="857">
        <f>H228*VLOOKUP('3b aigua'!A228,'preus aigua'!$A$4:$H$314,8,FALSE)</f>
        <v>11235196.633028446</v>
      </c>
      <c r="K228" s="857">
        <f t="shared" si="14"/>
        <v>5119610.8485513255</v>
      </c>
    </row>
    <row r="229" spans="1:11">
      <c r="A229" s="835">
        <v>8228</v>
      </c>
      <c r="B229" s="826" t="s">
        <v>1510</v>
      </c>
      <c r="C229" s="857">
        <f>VLOOKUP(B229,'BD ASVICC'!$A$6:$GS$316,144,FALSE)</f>
        <v>11117</v>
      </c>
      <c r="D229" s="857">
        <f>VLOOKUP(B229,'BD ASVICC'!$A$6:$GS$316,145,FALSE)</f>
        <v>3397</v>
      </c>
      <c r="E229" s="857">
        <f t="shared" si="13"/>
        <v>14514</v>
      </c>
      <c r="F229" s="857">
        <f>E229+'3. Aigua-Resid '!$M$68*E229</f>
        <v>14804.28</v>
      </c>
      <c r="G229" s="857">
        <f t="shared" si="12"/>
        <v>14668.815999999999</v>
      </c>
      <c r="H229" s="857">
        <f t="shared" si="15"/>
        <v>220032.24</v>
      </c>
      <c r="I229" s="857">
        <f>H229*VLOOKUP(A229,'preus aigua'!$A$4:$K$314,11,FALSE)</f>
        <v>356322.55646656</v>
      </c>
      <c r="J229" s="857">
        <f>H229*VLOOKUP('3b aigua'!A229,'preus aigua'!$A$4:$H$314,8,FALSE)</f>
        <v>515353.19906959357</v>
      </c>
      <c r="K229" s="857">
        <f t="shared" si="14"/>
        <v>159030.64260303357</v>
      </c>
    </row>
    <row r="230" spans="1:11">
      <c r="A230" s="835">
        <v>8229</v>
      </c>
      <c r="B230" s="826" t="s">
        <v>1511</v>
      </c>
      <c r="C230" s="857">
        <f>VLOOKUP(B230,'BD ASVICC'!$A$6:$GS$316,144,FALSE)</f>
        <v>22705</v>
      </c>
      <c r="D230" s="857">
        <f>VLOOKUP(B230,'BD ASVICC'!$A$6:$GS$316,145,FALSE)</f>
        <v>55626</v>
      </c>
      <c r="E230" s="857">
        <f t="shared" si="13"/>
        <v>78331</v>
      </c>
      <c r="F230" s="857">
        <f>E230+'3. Aigua-Resid '!$M$68*E230</f>
        <v>79897.62</v>
      </c>
      <c r="G230" s="857">
        <f t="shared" si="12"/>
        <v>79166.530666666658</v>
      </c>
      <c r="H230" s="857">
        <f t="shared" si="15"/>
        <v>1187497.96</v>
      </c>
      <c r="I230" s="857">
        <f>H230*VLOOKUP(A230,'preus aigua'!$A$4:$K$314,11,FALSE)</f>
        <v>1977640.1026166398</v>
      </c>
      <c r="J230" s="857">
        <f>H230*VLOOKUP('3b aigua'!A230,'preus aigua'!$A$4:$H$314,8,FALSE)</f>
        <v>2860282.446327399</v>
      </c>
      <c r="K230" s="857">
        <f t="shared" si="14"/>
        <v>882642.34371075919</v>
      </c>
    </row>
    <row r="231" spans="1:11">
      <c r="A231" s="835">
        <v>8230</v>
      </c>
      <c r="B231" s="826" t="s">
        <v>1513</v>
      </c>
      <c r="C231" s="857">
        <f>VLOOKUP(B231,'BD ASVICC'!$A$6:$GS$316,144,FALSE)</f>
        <v>638319</v>
      </c>
      <c r="D231" s="857">
        <f>VLOOKUP(B231,'BD ASVICC'!$A$6:$GS$316,145,FALSE)</f>
        <v>77550</v>
      </c>
      <c r="E231" s="857">
        <f t="shared" si="13"/>
        <v>715869</v>
      </c>
      <c r="F231" s="857">
        <f>E231+'3. Aigua-Resid '!$M$68*E231</f>
        <v>730186.38</v>
      </c>
      <c r="G231" s="857">
        <f t="shared" si="12"/>
        <v>723504.93599999999</v>
      </c>
      <c r="H231" s="857">
        <f t="shared" si="15"/>
        <v>10852574.039999999</v>
      </c>
      <c r="I231" s="857">
        <f>H231*VLOOKUP(A231,'preus aigua'!$A$4:$K$314,11,FALSE)</f>
        <v>23574395.432649598</v>
      </c>
      <c r="J231" s="857">
        <f>H231*VLOOKUP('3b aigua'!A231,'preus aigua'!$A$4:$H$314,8,FALSE)</f>
        <v>43309500.925140165</v>
      </c>
      <c r="K231" s="857">
        <f t="shared" si="14"/>
        <v>19735105.492490567</v>
      </c>
    </row>
    <row r="232" spans="1:11">
      <c r="A232" s="835">
        <v>8231</v>
      </c>
      <c r="B232" s="826" t="s">
        <v>1518</v>
      </c>
      <c r="C232" s="857">
        <f>VLOOKUP(B232,'BD ASVICC'!$A$6:$GS$316,144,FALSE)</f>
        <v>1429060</v>
      </c>
      <c r="D232" s="857">
        <f>VLOOKUP(B232,'BD ASVICC'!$A$6:$GS$316,145,FALSE)</f>
        <v>280562</v>
      </c>
      <c r="E232" s="857">
        <f t="shared" si="13"/>
        <v>1709622</v>
      </c>
      <c r="F232" s="857">
        <f>E232+'3. Aigua-Resid '!$M$68*E232</f>
        <v>1743814.44</v>
      </c>
      <c r="G232" s="857">
        <f t="shared" si="12"/>
        <v>1727857.9679999999</v>
      </c>
      <c r="H232" s="857">
        <f t="shared" si="15"/>
        <v>25917869.52</v>
      </c>
      <c r="I232" s="857">
        <f>H232*VLOOKUP(A232,'preus aigua'!$A$4:$K$314,11,FALSE)</f>
        <v>71283333.384389758</v>
      </c>
      <c r="J232" s="857">
        <f>H232*VLOOKUP('3b aigua'!A232,'preus aigua'!$A$4:$H$314,8,FALSE)</f>
        <v>130957572.25157048</v>
      </c>
      <c r="K232" s="857">
        <f t="shared" si="14"/>
        <v>59674238.86718072</v>
      </c>
    </row>
    <row r="233" spans="1:11">
      <c r="A233" s="835">
        <v>8232</v>
      </c>
      <c r="B233" s="826" t="s">
        <v>1523</v>
      </c>
      <c r="C233" s="857">
        <f>VLOOKUP(B233,'BD ASVICC'!$A$6:$GS$316,144,FALSE)</f>
        <v>99434</v>
      </c>
      <c r="D233" s="857">
        <f>VLOOKUP(B233,'BD ASVICC'!$A$6:$GS$316,145,FALSE)</f>
        <v>43227</v>
      </c>
      <c r="E233" s="857">
        <f t="shared" si="13"/>
        <v>142661</v>
      </c>
      <c r="F233" s="857">
        <f>E233+'3. Aigua-Resid '!$M$68*E233</f>
        <v>145514.22</v>
      </c>
      <c r="G233" s="857">
        <f t="shared" si="12"/>
        <v>144182.7173333333</v>
      </c>
      <c r="H233" s="857">
        <f t="shared" si="15"/>
        <v>2162740.7599999998</v>
      </c>
      <c r="I233" s="857">
        <f>H233*VLOOKUP(A233,'preus aigua'!$A$4:$K$314,11,FALSE)</f>
        <v>3353222.853169173</v>
      </c>
      <c r="J233" s="857">
        <f>H233*VLOOKUP('3b aigua'!A233,'preus aigua'!$A$4:$H$314,8,FALSE)</f>
        <v>4849802.7790058833</v>
      </c>
      <c r="K233" s="857">
        <f t="shared" si="14"/>
        <v>1496579.9258367103</v>
      </c>
    </row>
    <row r="234" spans="1:11">
      <c r="A234" s="835">
        <v>8233</v>
      </c>
      <c r="B234" s="826" t="s">
        <v>1524</v>
      </c>
      <c r="C234" s="857">
        <f>VLOOKUP(B234,'BD ASVICC'!$A$6:$GS$316,144,FALSE)</f>
        <v>77340</v>
      </c>
      <c r="D234" s="857">
        <f>VLOOKUP(B234,'BD ASVICC'!$A$6:$GS$316,145,FALSE)</f>
        <v>99093</v>
      </c>
      <c r="E234" s="857">
        <f t="shared" si="13"/>
        <v>176433</v>
      </c>
      <c r="F234" s="857">
        <f>E234+'3. Aigua-Resid '!$M$68*E234</f>
        <v>179961.66</v>
      </c>
      <c r="G234" s="857">
        <f t="shared" si="12"/>
        <v>178314.95200000002</v>
      </c>
      <c r="H234" s="857">
        <f t="shared" si="15"/>
        <v>2674724.2800000003</v>
      </c>
      <c r="I234" s="857">
        <f>H234*VLOOKUP(A234,'preus aigua'!$A$4:$K$314,11,FALSE)</f>
        <v>5001641.6798249604</v>
      </c>
      <c r="J234" s="857">
        <f>H234*VLOOKUP('3b aigua'!A234,'preus aigua'!$A$4:$H$314,8,FALSE)</f>
        <v>7233928.903795098</v>
      </c>
      <c r="K234" s="857">
        <f t="shared" si="14"/>
        <v>2232287.2239701375</v>
      </c>
    </row>
    <row r="235" spans="1:11">
      <c r="A235" s="835">
        <v>8234</v>
      </c>
      <c r="B235" s="826" t="s">
        <v>1530</v>
      </c>
      <c r="C235" s="857">
        <f>VLOOKUP(B235,'BD ASVICC'!$A$6:$GS$316,144,FALSE)</f>
        <v>212001</v>
      </c>
      <c r="D235" s="857">
        <f>VLOOKUP(B235,'BD ASVICC'!$A$6:$GS$316,145,FALSE)</f>
        <v>102747</v>
      </c>
      <c r="E235" s="857">
        <f t="shared" si="13"/>
        <v>314748</v>
      </c>
      <c r="F235" s="857">
        <f>E235+'3. Aigua-Resid '!$M$68*E235</f>
        <v>321042.96000000002</v>
      </c>
      <c r="G235" s="857">
        <f t="shared" si="12"/>
        <v>318105.31199999998</v>
      </c>
      <c r="H235" s="857">
        <f t="shared" si="15"/>
        <v>4771579.68</v>
      </c>
      <c r="I235" s="857">
        <f>H235*VLOOKUP(A235,'preus aigua'!$A$4:$K$314,11,FALSE)</f>
        <v>11949931.426379515</v>
      </c>
      <c r="J235" s="857">
        <f>H235*VLOOKUP('3b aigua'!A235,'preus aigua'!$A$4:$H$314,8,FALSE)</f>
        <v>21953715.319857802</v>
      </c>
      <c r="K235" s="857">
        <f t="shared" si="14"/>
        <v>10003783.893478287</v>
      </c>
    </row>
    <row r="236" spans="1:11">
      <c r="A236" s="835">
        <v>8235</v>
      </c>
      <c r="B236" s="826" t="s">
        <v>353</v>
      </c>
      <c r="C236" s="857">
        <f>VLOOKUP(B236,'BD ASVICC'!$A$6:$GS$316,144,FALSE)</f>
        <v>366506</v>
      </c>
      <c r="D236" s="857">
        <f>VLOOKUP(B236,'BD ASVICC'!$A$6:$GS$316,145,FALSE)</f>
        <v>107342</v>
      </c>
      <c r="E236" s="857">
        <f t="shared" si="13"/>
        <v>473848</v>
      </c>
      <c r="F236" s="857">
        <f>E236+'3. Aigua-Resid '!$M$68*E236</f>
        <v>483324.96</v>
      </c>
      <c r="G236" s="857">
        <f t="shared" si="12"/>
        <v>478902.37866666663</v>
      </c>
      <c r="H236" s="857">
        <f t="shared" si="15"/>
        <v>7183535.6799999997</v>
      </c>
      <c r="I236" s="857">
        <f>H236*VLOOKUP(A236,'preus aigua'!$A$4:$K$314,11,FALSE)</f>
        <v>15241087.357161814</v>
      </c>
      <c r="J236" s="857">
        <f>H236*VLOOKUP('3b aigua'!A236,'preus aigua'!$A$4:$H$314,8,FALSE)</f>
        <v>28000034.566356335</v>
      </c>
      <c r="K236" s="857">
        <f t="shared" si="14"/>
        <v>12758947.20919452</v>
      </c>
    </row>
    <row r="237" spans="1:11">
      <c r="A237" s="835">
        <v>8236</v>
      </c>
      <c r="B237" s="826" t="s">
        <v>1532</v>
      </c>
      <c r="C237" s="857">
        <f>VLOOKUP(B237,'BD ASVICC'!$A$6:$GS$316,144,FALSE)</f>
        <v>84015</v>
      </c>
      <c r="D237" s="857">
        <f>VLOOKUP(B237,'BD ASVICC'!$A$6:$GS$316,145,FALSE)</f>
        <v>40883</v>
      </c>
      <c r="E237" s="857">
        <f t="shared" si="13"/>
        <v>124898</v>
      </c>
      <c r="F237" s="857">
        <f>E237+'3. Aigua-Resid '!$M$68*E237</f>
        <v>127395.96</v>
      </c>
      <c r="G237" s="857">
        <f t="shared" si="12"/>
        <v>126230.24533333334</v>
      </c>
      <c r="H237" s="857">
        <f t="shared" si="15"/>
        <v>1893453.6800000002</v>
      </c>
      <c r="I237" s="857">
        <f>H237*VLOOKUP(A237,'preus aigua'!$A$4:$K$314,11,FALSE)</f>
        <v>3144622.6256949333</v>
      </c>
      <c r="J237" s="857">
        <f>H237*VLOOKUP('3b aigua'!A237,'preus aigua'!$A$4:$H$314,8,FALSE)</f>
        <v>4548101.9952510297</v>
      </c>
      <c r="K237" s="857">
        <f t="shared" si="14"/>
        <v>1403479.3695560964</v>
      </c>
    </row>
    <row r="238" spans="1:11">
      <c r="A238" s="835">
        <v>8237</v>
      </c>
      <c r="B238" s="826" t="s">
        <v>1536</v>
      </c>
      <c r="C238" s="857">
        <f>VLOOKUP(B238,'BD ASVICC'!$A$6:$GS$316,144,FALSE)</f>
        <v>76096</v>
      </c>
      <c r="D238" s="857">
        <f>VLOOKUP(B238,'BD ASVICC'!$A$6:$GS$316,145,FALSE)</f>
        <v>17824</v>
      </c>
      <c r="E238" s="857">
        <f t="shared" si="13"/>
        <v>93920</v>
      </c>
      <c r="F238" s="857">
        <f>E238+'3. Aigua-Resid '!$M$68*E238</f>
        <v>95798.399999999994</v>
      </c>
      <c r="G238" s="857">
        <f t="shared" si="12"/>
        <v>94921.813333333324</v>
      </c>
      <c r="H238" s="857">
        <f t="shared" si="15"/>
        <v>1423827.2</v>
      </c>
      <c r="I238" s="857">
        <f>H238*VLOOKUP(A238,'preus aigua'!$A$4:$K$314,11,FALSE)</f>
        <v>2250121.5850666664</v>
      </c>
      <c r="J238" s="857">
        <f>H238*VLOOKUP('3b aigua'!A238,'preus aigua'!$A$4:$H$314,8,FALSE)</f>
        <v>3254375.3857706664</v>
      </c>
      <c r="K238" s="857">
        <f t="shared" si="14"/>
        <v>1004253.8007040001</v>
      </c>
    </row>
    <row r="239" spans="1:11">
      <c r="A239" s="835">
        <v>8238</v>
      </c>
      <c r="B239" s="826" t="s">
        <v>1538</v>
      </c>
      <c r="C239" s="857">
        <f>VLOOKUP(B239,'BD ASVICC'!$A$6:$GS$316,144,FALSE)</f>
        <v>971896</v>
      </c>
      <c r="D239" s="857">
        <f>VLOOKUP(B239,'BD ASVICC'!$A$6:$GS$316,145,FALSE)</f>
        <v>448007</v>
      </c>
      <c r="E239" s="857">
        <f t="shared" si="13"/>
        <v>1419903</v>
      </c>
      <c r="F239" s="857">
        <f>E239+'3. Aigua-Resid '!$M$68*E239</f>
        <v>1448301.06</v>
      </c>
      <c r="G239" s="857">
        <f t="shared" si="12"/>
        <v>1435048.632</v>
      </c>
      <c r="H239" s="857">
        <f t="shared" si="15"/>
        <v>21525729.48</v>
      </c>
      <c r="I239" s="857">
        <f>H239*VLOOKUP(A239,'preus aigua'!$A$4:$K$314,11,FALSE)</f>
        <v>36170228.56372416</v>
      </c>
      <c r="J239" s="857">
        <f>H239*VLOOKUP('3b aigua'!A239,'preus aigua'!$A$4:$H$314,8,FALSE)</f>
        <v>66449829.091845259</v>
      </c>
      <c r="K239" s="857">
        <f t="shared" si="14"/>
        <v>30279600.528121099</v>
      </c>
    </row>
    <row r="240" spans="1:11">
      <c r="A240" s="835">
        <v>8239</v>
      </c>
      <c r="B240" s="826" t="s">
        <v>1542</v>
      </c>
      <c r="C240" s="857">
        <f>VLOOKUP(B240,'BD ASVICC'!$A$6:$GS$316,144,FALSE)</f>
        <v>40360</v>
      </c>
      <c r="D240" s="857">
        <f>VLOOKUP(B240,'BD ASVICC'!$A$6:$GS$316,145,FALSE)</f>
        <v>14951</v>
      </c>
      <c r="E240" s="857">
        <f t="shared" si="13"/>
        <v>55311</v>
      </c>
      <c r="F240" s="857">
        <f>E240+'3. Aigua-Resid '!$M$68*E240</f>
        <v>56417.22</v>
      </c>
      <c r="G240" s="857">
        <f t="shared" si="12"/>
        <v>55900.984000000004</v>
      </c>
      <c r="H240" s="857">
        <f t="shared" si="15"/>
        <v>838514.76</v>
      </c>
      <c r="I240" s="857">
        <f>H240*VLOOKUP(A240,'preus aigua'!$A$4:$K$314,11,FALSE)</f>
        <v>2287902.0569158401</v>
      </c>
      <c r="J240" s="857">
        <f>H240*VLOOKUP('3b aigua'!A240,'preus aigua'!$A$4:$H$314,8,FALSE)</f>
        <v>3309017.6941973511</v>
      </c>
      <c r="K240" s="857">
        <f t="shared" si="14"/>
        <v>1021115.637281511</v>
      </c>
    </row>
    <row r="241" spans="1:11">
      <c r="A241" s="835">
        <v>8240</v>
      </c>
      <c r="B241" s="826" t="s">
        <v>1544</v>
      </c>
      <c r="C241" s="857">
        <f>VLOOKUP(B241,'BD ASVICC'!$A$6:$GS$316,144,FALSE)</f>
        <v>467594</v>
      </c>
      <c r="D241" s="857">
        <f>VLOOKUP(B241,'BD ASVICC'!$A$6:$GS$316,145,FALSE)</f>
        <v>475393</v>
      </c>
      <c r="E241" s="857">
        <f t="shared" si="13"/>
        <v>942987</v>
      </c>
      <c r="F241" s="857">
        <f>E241+'3. Aigua-Resid '!$M$68*E241</f>
        <v>961846.74</v>
      </c>
      <c r="G241" s="857">
        <f t="shared" si="12"/>
        <v>953045.52800000005</v>
      </c>
      <c r="H241" s="857">
        <f t="shared" si="15"/>
        <v>14295682.92</v>
      </c>
      <c r="I241" s="857">
        <f>H241*VLOOKUP(A241,'preus aigua'!$A$4:$K$314,11,FALSE)</f>
        <v>24908645.432523519</v>
      </c>
      <c r="J241" s="857">
        <f>H241*VLOOKUP('3b aigua'!A241,'preus aigua'!$A$4:$H$314,8,FALSE)</f>
        <v>45760707.013075598</v>
      </c>
      <c r="K241" s="857">
        <f t="shared" si="14"/>
        <v>20852061.580552079</v>
      </c>
    </row>
    <row r="242" spans="1:11">
      <c r="A242" s="835">
        <v>8241</v>
      </c>
      <c r="B242" s="826" t="s">
        <v>1549</v>
      </c>
      <c r="C242" s="857">
        <f>VLOOKUP(B242,'BD ASVICC'!$A$6:$GS$316,144,FALSE)</f>
        <v>0</v>
      </c>
      <c r="D242" s="857">
        <f>VLOOKUP(B242,'BD ASVICC'!$A$6:$GS$316,145,FALSE)</f>
        <v>730</v>
      </c>
      <c r="E242" s="857">
        <f t="shared" si="13"/>
        <v>730</v>
      </c>
      <c r="F242" s="857">
        <f>E242+'3. Aigua-Resid '!$M$68*E242</f>
        <v>744.6</v>
      </c>
      <c r="G242" s="857">
        <f t="shared" si="12"/>
        <v>737.78666666666663</v>
      </c>
      <c r="H242" s="857">
        <f t="shared" si="15"/>
        <v>11066.8</v>
      </c>
      <c r="I242" s="857">
        <f>H242*VLOOKUP(A242,'preus aigua'!$A$4:$K$314,11,FALSE)</f>
        <v>5507.5184437333337</v>
      </c>
      <c r="J242" s="857">
        <f>H242*VLOOKUP('3b aigua'!A242,'preus aigua'!$A$4:$H$314,8,FALSE)</f>
        <v>7965.5839839573337</v>
      </c>
      <c r="K242" s="857">
        <f t="shared" si="14"/>
        <v>2458.065540224</v>
      </c>
    </row>
    <row r="243" spans="1:11">
      <c r="A243" s="835">
        <v>8242</v>
      </c>
      <c r="B243" s="826" t="s">
        <v>1555</v>
      </c>
      <c r="C243" s="857">
        <f>VLOOKUP(B243,'BD ASVICC'!$A$6:$GS$316,144,FALSE)</f>
        <v>16075</v>
      </c>
      <c r="D243" s="857">
        <f>VLOOKUP(B243,'BD ASVICC'!$A$6:$GS$316,145,FALSE)</f>
        <v>2995</v>
      </c>
      <c r="E243" s="857">
        <f t="shared" si="13"/>
        <v>19070</v>
      </c>
      <c r="F243" s="857">
        <f>E243+'3. Aigua-Resid '!$M$68*E243</f>
        <v>19451.400000000001</v>
      </c>
      <c r="G243" s="857">
        <f t="shared" si="12"/>
        <v>19273.413333333334</v>
      </c>
      <c r="H243" s="857">
        <f t="shared" si="15"/>
        <v>289101.2</v>
      </c>
      <c r="I243" s="857">
        <f>H243*VLOOKUP(A243,'preus aigua'!$A$4:$K$314,11,FALSE)</f>
        <v>621683.99141653324</v>
      </c>
      <c r="J243" s="857">
        <f>H243*VLOOKUP('3b aigua'!A243,'preus aigua'!$A$4:$H$314,8,FALSE)</f>
        <v>899148.3361703254</v>
      </c>
      <c r="K243" s="857">
        <f t="shared" si="14"/>
        <v>277464.34475379216</v>
      </c>
    </row>
    <row r="244" spans="1:11">
      <c r="A244" s="835">
        <v>8243</v>
      </c>
      <c r="B244" s="826" t="s">
        <v>1556</v>
      </c>
      <c r="C244" s="857">
        <f>VLOOKUP(B244,'BD ASVICC'!$A$6:$GS$316,144,FALSE)</f>
        <v>5963</v>
      </c>
      <c r="D244" s="857">
        <f>VLOOKUP(B244,'BD ASVICC'!$A$6:$GS$316,145,FALSE)</f>
        <v>36119</v>
      </c>
      <c r="E244" s="857">
        <f t="shared" si="13"/>
        <v>42082</v>
      </c>
      <c r="F244" s="857">
        <f>E244+'3. Aigua-Resid '!$M$68*E244</f>
        <v>42923.64</v>
      </c>
      <c r="G244" s="857">
        <f t="shared" si="12"/>
        <v>42530.874666666663</v>
      </c>
      <c r="H244" s="857">
        <f t="shared" si="15"/>
        <v>637963.12</v>
      </c>
      <c r="I244" s="857">
        <f>H244*VLOOKUP(A244,'preus aigua'!$A$4:$K$314,11,FALSE)</f>
        <v>852749.14077162661</v>
      </c>
      <c r="J244" s="857">
        <f>H244*VLOOKUP('3b aigua'!A244,'preus aigua'!$A$4:$H$314,8,FALSE)</f>
        <v>1233340.3814185644</v>
      </c>
      <c r="K244" s="857">
        <f t="shared" si="14"/>
        <v>380591.24064693775</v>
      </c>
    </row>
    <row r="245" spans="1:11">
      <c r="A245" s="835">
        <v>8244</v>
      </c>
      <c r="B245" s="826" t="s">
        <v>1558</v>
      </c>
      <c r="C245" s="857">
        <f>VLOOKUP(B245,'BD ASVICC'!$A$6:$GS$316,144,FALSE)</f>
        <v>302691</v>
      </c>
      <c r="D245" s="857">
        <f>VLOOKUP(B245,'BD ASVICC'!$A$6:$GS$316,145,FALSE)</f>
        <v>136686</v>
      </c>
      <c r="E245" s="857">
        <f t="shared" si="13"/>
        <v>439377</v>
      </c>
      <c r="F245" s="857">
        <f>E245+'3. Aigua-Resid '!$M$68*E245</f>
        <v>448164.54</v>
      </c>
      <c r="G245" s="857">
        <f t="shared" si="12"/>
        <v>444063.68800000002</v>
      </c>
      <c r="H245" s="857">
        <f t="shared" si="15"/>
        <v>6660955.3200000003</v>
      </c>
      <c r="I245" s="857">
        <f>H245*VLOOKUP(A245,'preus aigua'!$A$4:$K$314,11,FALSE)</f>
        <v>18993687.451158717</v>
      </c>
      <c r="J245" s="857">
        <f>H245*VLOOKUP('3b aigua'!A245,'preus aigua'!$A$4:$H$314,8,FALSE)</f>
        <v>34894092.049482793</v>
      </c>
      <c r="K245" s="857">
        <f t="shared" si="14"/>
        <v>15900404.598324075</v>
      </c>
    </row>
    <row r="246" spans="1:11" ht="30">
      <c r="A246" s="835">
        <v>8245</v>
      </c>
      <c r="B246" s="826" t="s">
        <v>1559</v>
      </c>
      <c r="C246" s="857">
        <f>VLOOKUP(B246,'BD ASVICC'!$A$6:$GS$316,144,FALSE)</f>
        <v>3938077</v>
      </c>
      <c r="D246" s="857">
        <f>VLOOKUP(B246,'BD ASVICC'!$A$6:$GS$316,145,FALSE)</f>
        <v>1240952</v>
      </c>
      <c r="E246" s="857">
        <f t="shared" si="13"/>
        <v>5179029</v>
      </c>
      <c r="F246" s="857">
        <f>E246+'3. Aigua-Resid '!$M$68*E246</f>
        <v>5282609.58</v>
      </c>
      <c r="G246" s="857">
        <f t="shared" si="12"/>
        <v>5234271.9759999998</v>
      </c>
      <c r="H246" s="857">
        <f t="shared" si="15"/>
        <v>78514079.640000001</v>
      </c>
      <c r="I246" s="857">
        <f>H246*VLOOKUP(A246,'preus aigua'!$A$4:$K$314,11,FALSE)</f>
        <v>223882584.03714141</v>
      </c>
      <c r="J246" s="857">
        <f>H246*VLOOKUP('3b aigua'!A246,'preus aigua'!$A$4:$H$314,8,FALSE)</f>
        <v>411303993.27443361</v>
      </c>
      <c r="K246" s="857">
        <f t="shared" si="14"/>
        <v>187421409.2372922</v>
      </c>
    </row>
    <row r="247" spans="1:11">
      <c r="A247" s="835">
        <v>8246</v>
      </c>
      <c r="B247" s="826" t="s">
        <v>1561</v>
      </c>
      <c r="C247" s="857">
        <f>VLOOKUP(B247,'BD ASVICC'!$A$6:$GS$316,144,FALSE)</f>
        <v>83185</v>
      </c>
      <c r="D247" s="857">
        <f>VLOOKUP(B247,'BD ASVICC'!$A$6:$GS$316,145,FALSE)</f>
        <v>673782</v>
      </c>
      <c r="E247" s="857">
        <f t="shared" si="13"/>
        <v>756967</v>
      </c>
      <c r="F247" s="857">
        <f>E247+'3. Aigua-Resid '!$M$68*E247</f>
        <v>772106.34</v>
      </c>
      <c r="G247" s="857">
        <f t="shared" si="12"/>
        <v>765041.31466666656</v>
      </c>
      <c r="H247" s="857">
        <f t="shared" si="15"/>
        <v>11475619.719999999</v>
      </c>
      <c r="I247" s="857">
        <f>H247*VLOOKUP(A247,'preus aigua'!$A$4:$K$314,11,FALSE)</f>
        <v>20997385.125646506</v>
      </c>
      <c r="J247" s="857">
        <f>H247*VLOOKUP('3b aigua'!A247,'preus aigua'!$A$4:$H$314,8,FALSE)</f>
        <v>30368747.081027854</v>
      </c>
      <c r="K247" s="857">
        <f t="shared" si="14"/>
        <v>9371361.9553813487</v>
      </c>
    </row>
    <row r="248" spans="1:11" ht="30">
      <c r="A248" s="835">
        <v>8247</v>
      </c>
      <c r="B248" s="826" t="s">
        <v>1562</v>
      </c>
      <c r="C248" s="857">
        <f>VLOOKUP(B248,'BD ASVICC'!$A$6:$GS$316,144,FALSE)</f>
        <v>49015</v>
      </c>
      <c r="D248" s="857">
        <f>VLOOKUP(B248,'BD ASVICC'!$A$6:$GS$316,145,FALSE)</f>
        <v>12421</v>
      </c>
      <c r="E248" s="857">
        <f t="shared" si="13"/>
        <v>61436</v>
      </c>
      <c r="F248" s="857">
        <f>E248+'3. Aigua-Resid '!$M$68*E248</f>
        <v>62664.72</v>
      </c>
      <c r="G248" s="857">
        <f t="shared" si="12"/>
        <v>62091.317333333332</v>
      </c>
      <c r="H248" s="857">
        <f t="shared" si="15"/>
        <v>931369.76</v>
      </c>
      <c r="I248" s="857">
        <f>H248*VLOOKUP(A248,'preus aigua'!$A$4:$K$314,11,FALSE)</f>
        <v>1986763.2008942931</v>
      </c>
      <c r="J248" s="857">
        <f>H248*VLOOKUP('3b aigua'!A248,'preus aigua'!$A$4:$H$314,8,FALSE)</f>
        <v>2873477.282852591</v>
      </c>
      <c r="K248" s="857">
        <f t="shared" si="14"/>
        <v>886714.08195829787</v>
      </c>
    </row>
    <row r="249" spans="1:11">
      <c r="A249" s="835">
        <v>8248</v>
      </c>
      <c r="B249" s="826" t="s">
        <v>1564</v>
      </c>
      <c r="C249" s="857">
        <f>VLOOKUP(B249,'BD ASVICC'!$A$6:$GS$316,144,FALSE)</f>
        <v>288460</v>
      </c>
      <c r="D249" s="857">
        <f>VLOOKUP(B249,'BD ASVICC'!$A$6:$GS$316,145,FALSE)</f>
        <v>64546</v>
      </c>
      <c r="E249" s="857">
        <f t="shared" si="13"/>
        <v>353006</v>
      </c>
      <c r="F249" s="857">
        <f>E249+'3. Aigua-Resid '!$M$68*E249</f>
        <v>360066.12</v>
      </c>
      <c r="G249" s="857">
        <f t="shared" si="12"/>
        <v>356771.39733333333</v>
      </c>
      <c r="H249" s="857">
        <f t="shared" si="15"/>
        <v>5351570.96</v>
      </c>
      <c r="I249" s="857">
        <f>H249*VLOOKUP(A249,'preus aigua'!$A$4:$K$314,11,FALSE)</f>
        <v>9355273.851730559</v>
      </c>
      <c r="J249" s="857">
        <f>H249*VLOOKUP('3b aigua'!A249,'preus aigua'!$A$4:$H$314,8,FALSE)</f>
        <v>17186962.129909679</v>
      </c>
      <c r="K249" s="857">
        <f t="shared" si="14"/>
        <v>7831688.2781791203</v>
      </c>
    </row>
    <row r="250" spans="1:11">
      <c r="A250" s="835">
        <v>8249</v>
      </c>
      <c r="B250" s="826" t="s">
        <v>1566</v>
      </c>
      <c r="C250" s="857">
        <f>VLOOKUP(B250,'BD ASVICC'!$A$6:$GS$316,144,FALSE)</f>
        <v>14944</v>
      </c>
      <c r="D250" s="857">
        <f>VLOOKUP(B250,'BD ASVICC'!$A$6:$GS$316,145,FALSE)</f>
        <v>3370</v>
      </c>
      <c r="E250" s="857">
        <f t="shared" si="13"/>
        <v>18314</v>
      </c>
      <c r="F250" s="857">
        <f>E250+'3. Aigua-Resid '!$M$68*E250</f>
        <v>18680.28</v>
      </c>
      <c r="G250" s="857">
        <f t="shared" si="12"/>
        <v>18509.349333333332</v>
      </c>
      <c r="H250" s="857">
        <f t="shared" si="15"/>
        <v>277640.24</v>
      </c>
      <c r="I250" s="857">
        <f>H250*VLOOKUP(A250,'preus aigua'!$A$4:$K$314,11,FALSE)</f>
        <v>655433.82886869344</v>
      </c>
      <c r="J250" s="857">
        <f>H250*VLOOKUP('3b aigua'!A250,'preus aigua'!$A$4:$H$314,8,FALSE)</f>
        <v>1204124.7080484044</v>
      </c>
      <c r="K250" s="857">
        <f t="shared" si="14"/>
        <v>548690.87917971099</v>
      </c>
    </row>
    <row r="251" spans="1:11" ht="30">
      <c r="A251" s="835">
        <v>8250</v>
      </c>
      <c r="B251" s="826" t="s">
        <v>1567</v>
      </c>
      <c r="C251" s="857">
        <f>VLOOKUP(B251,'BD ASVICC'!$A$6:$GS$316,144,FALSE)</f>
        <v>331982</v>
      </c>
      <c r="D251" s="857">
        <f>VLOOKUP(B251,'BD ASVICC'!$A$6:$GS$316,145,FALSE)</f>
        <v>66089</v>
      </c>
      <c r="E251" s="857">
        <f t="shared" si="13"/>
        <v>398071</v>
      </c>
      <c r="F251" s="857">
        <f>E251+'3. Aigua-Resid '!$M$68*E251</f>
        <v>406032.42</v>
      </c>
      <c r="G251" s="857">
        <f t="shared" si="12"/>
        <v>402317.09066666663</v>
      </c>
      <c r="H251" s="857">
        <f t="shared" si="15"/>
        <v>6034756.3599999994</v>
      </c>
      <c r="I251" s="857">
        <f>H251*VLOOKUP(A251,'preus aigua'!$A$4:$K$314,11,FALSE)</f>
        <v>12026931.479123838</v>
      </c>
      <c r="J251" s="857">
        <f>H251*VLOOKUP('3b aigua'!A251,'preus aigua'!$A$4:$H$314,8,FALSE)</f>
        <v>17394682.150409829</v>
      </c>
      <c r="K251" s="857">
        <f t="shared" si="14"/>
        <v>5367750.6712859906</v>
      </c>
    </row>
    <row r="252" spans="1:11" ht="30">
      <c r="A252" s="835">
        <v>8251</v>
      </c>
      <c r="B252" s="826" t="s">
        <v>1571</v>
      </c>
      <c r="C252" s="857">
        <f>VLOOKUP(B252,'BD ASVICC'!$A$6:$GS$316,144,FALSE)</f>
        <v>249990</v>
      </c>
      <c r="D252" s="857">
        <f>VLOOKUP(B252,'BD ASVICC'!$A$6:$GS$316,145,FALSE)</f>
        <v>409623</v>
      </c>
      <c r="E252" s="857">
        <f t="shared" si="13"/>
        <v>659613</v>
      </c>
      <c r="F252" s="857">
        <f>E252+'3. Aigua-Resid '!$M$68*E252</f>
        <v>672805.26</v>
      </c>
      <c r="G252" s="857">
        <f t="shared" si="12"/>
        <v>666648.87199999997</v>
      </c>
      <c r="H252" s="857">
        <f t="shared" si="15"/>
        <v>9999733.0800000001</v>
      </c>
      <c r="I252" s="857">
        <f>H252*VLOOKUP(A252,'preus aigua'!$A$4:$K$314,11,FALSE)</f>
        <v>21227620.043908156</v>
      </c>
      <c r="J252" s="857">
        <f>H252*VLOOKUP('3b aigua'!A252,'preus aigua'!$A$4:$H$314,8,FALSE)</f>
        <v>38998142.393797755</v>
      </c>
      <c r="K252" s="857">
        <f t="shared" si="14"/>
        <v>17770522.349889599</v>
      </c>
    </row>
    <row r="253" spans="1:11">
      <c r="A253" s="835">
        <v>8252</v>
      </c>
      <c r="B253" s="826" t="s">
        <v>1572</v>
      </c>
      <c r="C253" s="857">
        <f>VLOOKUP(B253,'BD ASVICC'!$A$6:$GS$316,144,FALSE)</f>
        <v>1245918</v>
      </c>
      <c r="D253" s="857">
        <f>VLOOKUP(B253,'BD ASVICC'!$A$6:$GS$316,145,FALSE)</f>
        <v>1108501</v>
      </c>
      <c r="E253" s="857">
        <f t="shared" si="13"/>
        <v>2354419</v>
      </c>
      <c r="F253" s="857">
        <f>E253+'3. Aigua-Resid '!$M$68*E253</f>
        <v>2401507.38</v>
      </c>
      <c r="G253" s="857">
        <f t="shared" si="12"/>
        <v>2379532.8026666665</v>
      </c>
      <c r="H253" s="857">
        <f t="shared" si="15"/>
        <v>35692992.039999999</v>
      </c>
      <c r="I253" s="857">
        <f>H253*VLOOKUP(A253,'preus aigua'!$A$4:$K$314,11,FALSE)</f>
        <v>74744171.133747414</v>
      </c>
      <c r="J253" s="857">
        <f>H253*VLOOKUP('3b aigua'!A253,'preus aigua'!$A$4:$H$314,8,FALSE)</f>
        <v>137315621.01408416</v>
      </c>
      <c r="K253" s="857">
        <f t="shared" si="14"/>
        <v>62571449.880336747</v>
      </c>
    </row>
    <row r="254" spans="1:11">
      <c r="A254" s="835">
        <v>8253</v>
      </c>
      <c r="B254" s="826" t="s">
        <v>1574</v>
      </c>
      <c r="C254" s="857">
        <f>VLOOKUP(B254,'BD ASVICC'!$A$6:$GS$316,144,FALSE)</f>
        <v>4355</v>
      </c>
      <c r="D254" s="857">
        <f>VLOOKUP(B254,'BD ASVICC'!$A$6:$GS$316,145,FALSE)</f>
        <v>5093</v>
      </c>
      <c r="E254" s="857">
        <f t="shared" si="13"/>
        <v>9448</v>
      </c>
      <c r="F254" s="857">
        <f>E254+'3. Aigua-Resid '!$M$68*E254</f>
        <v>9636.9599999999991</v>
      </c>
      <c r="G254" s="857">
        <f t="shared" si="12"/>
        <v>9548.778666666667</v>
      </c>
      <c r="H254" s="857">
        <f t="shared" si="15"/>
        <v>143231.67999999999</v>
      </c>
      <c r="I254" s="857">
        <f>H254*VLOOKUP(A254,'preus aigua'!$A$4:$K$314,11,FALSE)</f>
        <v>242980.51365888002</v>
      </c>
      <c r="J254" s="857">
        <f>H254*VLOOKUP('3b aigua'!A254,'preus aigua'!$A$4:$H$314,8,FALSE)</f>
        <v>351425.36657633283</v>
      </c>
      <c r="K254" s="857">
        <f t="shared" si="14"/>
        <v>108444.85291745281</v>
      </c>
    </row>
    <row r="255" spans="1:11">
      <c r="A255" s="835">
        <v>8254</v>
      </c>
      <c r="B255" s="826" t="s">
        <v>1578</v>
      </c>
      <c r="C255" s="857">
        <f>VLOOKUP(B255,'BD ASVICC'!$A$6:$GS$316,144,FALSE)</f>
        <v>90583</v>
      </c>
      <c r="D255" s="857">
        <f>VLOOKUP(B255,'BD ASVICC'!$A$6:$GS$316,145,FALSE)</f>
        <v>369276</v>
      </c>
      <c r="E255" s="857">
        <f t="shared" si="13"/>
        <v>459859</v>
      </c>
      <c r="F255" s="857">
        <f>E255+'3. Aigua-Resid '!$M$68*E255</f>
        <v>469056.18</v>
      </c>
      <c r="G255" s="857">
        <f t="shared" si="12"/>
        <v>464764.16266666661</v>
      </c>
      <c r="H255" s="857">
        <f t="shared" si="15"/>
        <v>6971462.4399999995</v>
      </c>
      <c r="I255" s="857">
        <f>H255*VLOOKUP(A255,'preus aigua'!$A$4:$K$314,11,FALSE)</f>
        <v>13589257.94277717</v>
      </c>
      <c r="J255" s="857">
        <f>H255*VLOOKUP('3b aigua'!A255,'preus aigua'!$A$4:$H$314,8,FALSE)</f>
        <v>19654291.951762363</v>
      </c>
      <c r="K255" s="857">
        <f t="shared" si="14"/>
        <v>6065034.0089851934</v>
      </c>
    </row>
    <row r="256" spans="1:11">
      <c r="A256" s="835">
        <v>8255</v>
      </c>
      <c r="B256" s="826" t="s">
        <v>1580</v>
      </c>
      <c r="C256" s="857">
        <f>VLOOKUP(B256,'BD ASVICC'!$A$6:$GS$316,144,FALSE)</f>
        <v>6204</v>
      </c>
      <c r="D256" s="857">
        <f>VLOOKUP(B256,'BD ASVICC'!$A$6:$GS$316,145,FALSE)</f>
        <v>25476</v>
      </c>
      <c r="E256" s="857">
        <f t="shared" si="13"/>
        <v>31680</v>
      </c>
      <c r="F256" s="857">
        <f>E256+'3. Aigua-Resid '!$M$68*E256</f>
        <v>32313.599999999999</v>
      </c>
      <c r="G256" s="857">
        <f t="shared" si="12"/>
        <v>32017.919999999998</v>
      </c>
      <c r="H256" s="857">
        <f t="shared" si="15"/>
        <v>480268.79999999999</v>
      </c>
      <c r="I256" s="857">
        <f>H256*VLOOKUP(A256,'preus aigua'!$A$4:$K$314,11,FALSE)</f>
        <v>1473810.4719359998</v>
      </c>
      <c r="J256" s="857">
        <f>H256*VLOOKUP('3b aigua'!A256,'preus aigua'!$A$4:$H$314,8,FALSE)</f>
        <v>2131588.1572761601</v>
      </c>
      <c r="K256" s="857">
        <f t="shared" si="14"/>
        <v>657777.68534016027</v>
      </c>
    </row>
    <row r="257" spans="1:11" ht="30">
      <c r="A257" s="835">
        <v>8256</v>
      </c>
      <c r="B257" s="826" t="s">
        <v>1584</v>
      </c>
      <c r="C257" s="857">
        <f>VLOOKUP(B257,'BD ASVICC'!$A$6:$GS$316,144,FALSE)</f>
        <v>35367</v>
      </c>
      <c r="D257" s="857">
        <f>VLOOKUP(B257,'BD ASVICC'!$A$6:$GS$316,145,FALSE)</f>
        <v>10587</v>
      </c>
      <c r="E257" s="857">
        <f t="shared" si="13"/>
        <v>45954</v>
      </c>
      <c r="F257" s="857">
        <f>E257+'3. Aigua-Resid '!$M$68*E257</f>
        <v>46873.08</v>
      </c>
      <c r="G257" s="857">
        <f t="shared" si="12"/>
        <v>46444.175999999999</v>
      </c>
      <c r="H257" s="857">
        <f t="shared" si="15"/>
        <v>696662.64</v>
      </c>
      <c r="I257" s="857">
        <f>H257*VLOOKUP(A257,'preus aigua'!$A$4:$K$314,11,FALSE)</f>
        <v>1549349.8448544</v>
      </c>
      <c r="J257" s="857">
        <f>H257*VLOOKUP('3b aigua'!A257,'preus aigua'!$A$4:$H$314,8,FALSE)</f>
        <v>2846374.946530099</v>
      </c>
      <c r="K257" s="857">
        <f t="shared" si="14"/>
        <v>1297025.101675699</v>
      </c>
    </row>
    <row r="258" spans="1:11">
      <c r="A258" s="835">
        <v>8257</v>
      </c>
      <c r="B258" s="826" t="s">
        <v>1587</v>
      </c>
      <c r="C258" s="857">
        <f>VLOOKUP(B258,'BD ASVICC'!$A$6:$GS$316,144,FALSE)</f>
        <v>7023</v>
      </c>
      <c r="D258" s="857">
        <f>VLOOKUP(B258,'BD ASVICC'!$A$6:$GS$316,145,FALSE)</f>
        <v>1629</v>
      </c>
      <c r="E258" s="857">
        <f t="shared" si="13"/>
        <v>8652</v>
      </c>
      <c r="F258" s="857">
        <f>E258+'3. Aigua-Resid '!$M$68*E258</f>
        <v>8825.0400000000009</v>
      </c>
      <c r="G258" s="857">
        <f t="shared" si="12"/>
        <v>8744.2880000000005</v>
      </c>
      <c r="H258" s="857">
        <f t="shared" si="15"/>
        <v>131164.32</v>
      </c>
      <c r="I258" s="857">
        <f>H258*VLOOKUP(A258,'preus aigua'!$A$4:$K$314,11,FALSE)</f>
        <v>340849.1982963201</v>
      </c>
      <c r="J258" s="857">
        <f>H258*VLOOKUP('3b aigua'!A258,'preus aigua'!$A$4:$H$314,8,FALSE)</f>
        <v>492973.91241297923</v>
      </c>
      <c r="K258" s="857">
        <f t="shared" si="14"/>
        <v>152124.71411665913</v>
      </c>
    </row>
    <row r="259" spans="1:11">
      <c r="A259" s="835">
        <v>8258</v>
      </c>
      <c r="B259" s="826" t="s">
        <v>1591</v>
      </c>
      <c r="C259" s="857">
        <f>VLOOKUP(B259,'BD ASVICC'!$A$6:$GS$316,144,FALSE)</f>
        <v>35832</v>
      </c>
      <c r="D259" s="857">
        <f>VLOOKUP(B259,'BD ASVICC'!$A$6:$GS$316,145,FALSE)</f>
        <v>32704</v>
      </c>
      <c r="E259" s="857">
        <f t="shared" si="13"/>
        <v>68536</v>
      </c>
      <c r="F259" s="857">
        <f>E259+'3. Aigua-Resid '!$M$68*E259</f>
        <v>69906.720000000001</v>
      </c>
      <c r="G259" s="857">
        <f t="shared" si="12"/>
        <v>69267.050666666662</v>
      </c>
      <c r="H259" s="857">
        <f t="shared" si="15"/>
        <v>1039005.76</v>
      </c>
      <c r="I259" s="857">
        <f>H259*VLOOKUP(A259,'preus aigua'!$A$4:$K$314,11,FALSE)</f>
        <v>1333881.1360520532</v>
      </c>
      <c r="J259" s="857">
        <f>H259*VLOOKUP('3b aigua'!A259,'preus aigua'!$A$4:$H$314,8,FALSE)</f>
        <v>1929206.8328756562</v>
      </c>
      <c r="K259" s="857">
        <f t="shared" si="14"/>
        <v>595325.69682360301</v>
      </c>
    </row>
    <row r="260" spans="1:11" ht="30">
      <c r="A260" s="835">
        <v>8259</v>
      </c>
      <c r="B260" s="826" t="s">
        <v>1594</v>
      </c>
      <c r="C260" s="857">
        <f>VLOOKUP(B260,'BD ASVICC'!$A$6:$GS$316,144,FALSE)</f>
        <v>415916</v>
      </c>
      <c r="D260" s="857">
        <f>VLOOKUP(B260,'BD ASVICC'!$A$6:$GS$316,145,FALSE)</f>
        <v>185280</v>
      </c>
      <c r="E260" s="857">
        <f t="shared" si="13"/>
        <v>601196</v>
      </c>
      <c r="F260" s="857">
        <f>E260+'3. Aigua-Resid '!$M$68*E260</f>
        <v>613219.92000000004</v>
      </c>
      <c r="G260" s="857">
        <f t="shared" ref="G260:G314" si="16">H260/15</f>
        <v>607608.75733333325</v>
      </c>
      <c r="H260" s="857">
        <f t="shared" si="15"/>
        <v>9114131.3599999994</v>
      </c>
      <c r="I260" s="857">
        <f>H260*VLOOKUP(A260,'preus aigua'!$A$4:$K$314,11,FALSE)</f>
        <v>14948074.691360854</v>
      </c>
      <c r="J260" s="857">
        <f>H260*VLOOKUP('3b aigua'!A260,'preus aigua'!$A$4:$H$314,8,FALSE)</f>
        <v>27461728.828809872</v>
      </c>
      <c r="K260" s="857">
        <f t="shared" si="14"/>
        <v>12513654.137449019</v>
      </c>
    </row>
    <row r="261" spans="1:11" ht="30">
      <c r="A261" s="835">
        <v>8260</v>
      </c>
      <c r="B261" s="826" t="s">
        <v>1598</v>
      </c>
      <c r="C261" s="857">
        <f>VLOOKUP(B261,'BD ASVICC'!$A$6:$GS$316,144,FALSE)</f>
        <v>985631</v>
      </c>
      <c r="D261" s="857">
        <f>VLOOKUP(B261,'BD ASVICC'!$A$6:$GS$316,145,FALSE)</f>
        <v>941425</v>
      </c>
      <c r="E261" s="857">
        <f t="shared" ref="E261:E314" si="17">C261+D261</f>
        <v>1927056</v>
      </c>
      <c r="F261" s="857">
        <f>E261+'3. Aigua-Resid '!$M$68*E261</f>
        <v>1965597.12</v>
      </c>
      <c r="G261" s="857">
        <f t="shared" si="16"/>
        <v>1947611.264</v>
      </c>
      <c r="H261" s="857">
        <f t="shared" si="15"/>
        <v>29214168.960000001</v>
      </c>
      <c r="I261" s="857">
        <f>H261*VLOOKUP(A261,'preus aigua'!$A$4:$K$314,11,FALSE)</f>
        <v>46671777.285990402</v>
      </c>
      <c r="J261" s="857">
        <f>H261*VLOOKUP('3b aigua'!A261,'preus aigua'!$A$4:$H$314,8,FALSE)</f>
        <v>85742660.392727345</v>
      </c>
      <c r="K261" s="857">
        <f t="shared" ref="K261:K314" si="18">J261-I261</f>
        <v>39070883.106736943</v>
      </c>
    </row>
    <row r="262" spans="1:11">
      <c r="A262" s="835">
        <v>8261</v>
      </c>
      <c r="B262" s="826" t="s">
        <v>354</v>
      </c>
      <c r="C262" s="857">
        <f>VLOOKUP(B262,'BD ASVICC'!$A$6:$GS$316,144,FALSE)</f>
        <v>215089</v>
      </c>
      <c r="D262" s="857">
        <f>VLOOKUP(B262,'BD ASVICC'!$A$6:$GS$316,145,FALSE)</f>
        <v>470428</v>
      </c>
      <c r="E262" s="857">
        <f t="shared" si="17"/>
        <v>685517</v>
      </c>
      <c r="F262" s="857">
        <f>E262+'3. Aigua-Resid '!$M$68*E262</f>
        <v>699227.34</v>
      </c>
      <c r="G262" s="857">
        <f t="shared" si="16"/>
        <v>692829.18133333325</v>
      </c>
      <c r="H262" s="857">
        <f t="shared" ref="H262:H314" si="19">E262*15+((120)*(F262-E262)/15)</f>
        <v>10392437.719999999</v>
      </c>
      <c r="I262" s="857">
        <f>H262*VLOOKUP(A262,'preus aigua'!$A$4:$K$314,11,FALSE)</f>
        <v>23852917.047114771</v>
      </c>
      <c r="J262" s="857">
        <f>H262*VLOOKUP('3b aigua'!A262,'preus aigua'!$A$4:$H$314,8,FALSE)</f>
        <v>43821184.550445139</v>
      </c>
      <c r="K262" s="857">
        <f t="shared" si="18"/>
        <v>19968267.503330369</v>
      </c>
    </row>
    <row r="263" spans="1:11">
      <c r="A263" s="835">
        <v>8262</v>
      </c>
      <c r="B263" s="826" t="s">
        <v>1600</v>
      </c>
      <c r="C263" s="857">
        <f>VLOOKUP(B263,'BD ASVICC'!$A$6:$GS$316,144,FALSE)</f>
        <v>357526</v>
      </c>
      <c r="D263" s="857">
        <f>VLOOKUP(B263,'BD ASVICC'!$A$6:$GS$316,145,FALSE)</f>
        <v>210531</v>
      </c>
      <c r="E263" s="857">
        <f t="shared" si="17"/>
        <v>568057</v>
      </c>
      <c r="F263" s="857">
        <f>E263+'3. Aigua-Resid '!$M$68*E263</f>
        <v>579418.14</v>
      </c>
      <c r="G263" s="857">
        <f t="shared" si="16"/>
        <v>574116.27466666675</v>
      </c>
      <c r="H263" s="857">
        <f t="shared" si="19"/>
        <v>8611744.120000001</v>
      </c>
      <c r="I263" s="857">
        <f>H263*VLOOKUP(A263,'preus aigua'!$A$4:$K$314,11,FALSE)</f>
        <v>16252129.432565976</v>
      </c>
      <c r="J263" s="857">
        <f>H263*VLOOKUP('3b aigua'!A263,'preus aigua'!$A$4:$H$314,8,FALSE)</f>
        <v>23505632.025717698</v>
      </c>
      <c r="K263" s="857">
        <f t="shared" si="18"/>
        <v>7253502.5931517221</v>
      </c>
    </row>
    <row r="264" spans="1:11">
      <c r="A264" s="835">
        <v>8263</v>
      </c>
      <c r="B264" s="826" t="s">
        <v>1602</v>
      </c>
      <c r="C264" s="857">
        <f>VLOOKUP(B264,'BD ASVICC'!$A$6:$GS$316,144,FALSE)</f>
        <v>1297064</v>
      </c>
      <c r="D264" s="857">
        <f>VLOOKUP(B264,'BD ASVICC'!$A$6:$GS$316,145,FALSE)</f>
        <v>889961</v>
      </c>
      <c r="E264" s="857">
        <f t="shared" si="17"/>
        <v>2187025</v>
      </c>
      <c r="F264" s="857">
        <f>E264+'3. Aigua-Resid '!$M$68*E264</f>
        <v>2230765.5</v>
      </c>
      <c r="G264" s="857">
        <f t="shared" si="16"/>
        <v>2210353.2666666666</v>
      </c>
      <c r="H264" s="857">
        <f t="shared" si="19"/>
        <v>33155299</v>
      </c>
      <c r="I264" s="857">
        <f>H264*VLOOKUP(A264,'preus aigua'!$A$4:$K$314,11,FALSE)</f>
        <v>56931096.534095995</v>
      </c>
      <c r="J264" s="857">
        <f>H264*VLOOKUP('3b aigua'!A264,'preus aigua'!$A$4:$H$314,8,FALSE)</f>
        <v>104590481.86651853</v>
      </c>
      <c r="K264" s="857">
        <f t="shared" si="18"/>
        <v>47659385.332422532</v>
      </c>
    </row>
    <row r="265" spans="1:11">
      <c r="A265" s="835">
        <v>8264</v>
      </c>
      <c r="B265" s="826" t="s">
        <v>355</v>
      </c>
      <c r="C265" s="857">
        <f>VLOOKUP(B265,'BD ASVICC'!$A$6:$GS$316,144,FALSE)</f>
        <v>718475</v>
      </c>
      <c r="D265" s="857">
        <f>VLOOKUP(B265,'BD ASVICC'!$A$6:$GS$316,145,FALSE)</f>
        <v>344868</v>
      </c>
      <c r="E265" s="857">
        <f t="shared" si="17"/>
        <v>1063343</v>
      </c>
      <c r="F265" s="857">
        <f>E265+'3. Aigua-Resid '!$M$68*E265</f>
        <v>1084609.8600000001</v>
      </c>
      <c r="G265" s="857">
        <f t="shared" si="16"/>
        <v>1074685.3253333333</v>
      </c>
      <c r="H265" s="857">
        <f t="shared" si="19"/>
        <v>16120279.880000001</v>
      </c>
      <c r="I265" s="857">
        <f>H265*VLOOKUP(A265,'preus aigua'!$A$4:$K$314,11,FALSE)</f>
        <v>40668027.144198932</v>
      </c>
      <c r="J265" s="857">
        <f>H265*VLOOKUP('3b aigua'!A265,'preus aigua'!$A$4:$H$314,8,FALSE)</f>
        <v>74712921.663558856</v>
      </c>
      <c r="K265" s="857">
        <f t="shared" si="18"/>
        <v>34044894.519359924</v>
      </c>
    </row>
    <row r="266" spans="1:11">
      <c r="A266" s="835">
        <v>8265</v>
      </c>
      <c r="B266" s="826" t="s">
        <v>1604</v>
      </c>
      <c r="C266" s="857">
        <f>VLOOKUP(B266,'BD ASVICC'!$A$6:$GS$316,144,FALSE)</f>
        <v>82632</v>
      </c>
      <c r="D266" s="857">
        <f>VLOOKUP(B266,'BD ASVICC'!$A$6:$GS$316,145,FALSE)</f>
        <v>236387</v>
      </c>
      <c r="E266" s="857">
        <f t="shared" si="17"/>
        <v>319019</v>
      </c>
      <c r="F266" s="857">
        <f>E266+'3. Aigua-Resid '!$M$68*E266</f>
        <v>325399.38</v>
      </c>
      <c r="G266" s="857">
        <f t="shared" si="16"/>
        <v>322421.86933333334</v>
      </c>
      <c r="H266" s="857">
        <f t="shared" si="19"/>
        <v>4836328.04</v>
      </c>
      <c r="I266" s="857">
        <f>H266*VLOOKUP(A266,'preus aigua'!$A$4:$K$314,11,FALSE)</f>
        <v>7415109.7384270933</v>
      </c>
      <c r="J266" s="857">
        <f>H266*VLOOKUP('3b aigua'!A266,'preus aigua'!$A$4:$H$314,8,FALSE)</f>
        <v>10724554.075512562</v>
      </c>
      <c r="K266" s="857">
        <f t="shared" si="18"/>
        <v>3309444.3370854687</v>
      </c>
    </row>
    <row r="267" spans="1:11">
      <c r="A267" s="835">
        <v>8266</v>
      </c>
      <c r="B267" s="826" t="s">
        <v>1605</v>
      </c>
      <c r="C267" s="857">
        <f>VLOOKUP(B267,'BD ASVICC'!$A$6:$GS$316,144,FALSE)</f>
        <v>2330813</v>
      </c>
      <c r="D267" s="857">
        <f>VLOOKUP(B267,'BD ASVICC'!$A$6:$GS$316,145,FALSE)</f>
        <v>1295622</v>
      </c>
      <c r="E267" s="857">
        <f t="shared" si="17"/>
        <v>3626435</v>
      </c>
      <c r="F267" s="857">
        <f>E267+'3. Aigua-Resid '!$M$68*E267</f>
        <v>3698963.7</v>
      </c>
      <c r="G267" s="857">
        <f t="shared" si="16"/>
        <v>3665116.9733333336</v>
      </c>
      <c r="H267" s="857">
        <f t="shared" si="19"/>
        <v>54976754.600000001</v>
      </c>
      <c r="I267" s="857">
        <f>H267*VLOOKUP(A267,'preus aigua'!$A$4:$K$314,11,FALSE)</f>
        <v>156765995.83488157</v>
      </c>
      <c r="J267" s="857">
        <f>H267*VLOOKUP('3b aigua'!A267,'preus aigua'!$A$4:$H$314,8,FALSE)</f>
        <v>288001321.64739197</v>
      </c>
      <c r="K267" s="857">
        <f t="shared" si="18"/>
        <v>131235325.8125104</v>
      </c>
    </row>
    <row r="268" spans="1:11">
      <c r="A268" s="835">
        <v>8267</v>
      </c>
      <c r="B268" s="826" t="s">
        <v>1608</v>
      </c>
      <c r="C268" s="857">
        <f>VLOOKUP(B268,'BD ASVICC'!$A$6:$GS$316,144,FALSE)</f>
        <v>337430</v>
      </c>
      <c r="D268" s="857">
        <f>VLOOKUP(B268,'BD ASVICC'!$A$6:$GS$316,145,FALSE)</f>
        <v>146340</v>
      </c>
      <c r="E268" s="857">
        <f t="shared" si="17"/>
        <v>483770</v>
      </c>
      <c r="F268" s="857">
        <f>E268+'3. Aigua-Resid '!$M$68*E268</f>
        <v>493445.4</v>
      </c>
      <c r="G268" s="857">
        <f t="shared" si="16"/>
        <v>488930.21333333332</v>
      </c>
      <c r="H268" s="857">
        <f t="shared" si="19"/>
        <v>7333953.2000000002</v>
      </c>
      <c r="I268" s="857">
        <f>H268*VLOOKUP(A268,'preus aigua'!$A$4:$K$314,11,FALSE)</f>
        <v>22859873.452774402</v>
      </c>
      <c r="J268" s="857">
        <f>H268*VLOOKUP('3b aigua'!A268,'preus aigua'!$A$4:$H$314,8,FALSE)</f>
        <v>41996822.920868672</v>
      </c>
      <c r="K268" s="857">
        <f t="shared" si="18"/>
        <v>19136949.468094271</v>
      </c>
    </row>
    <row r="269" spans="1:11">
      <c r="A269" s="835">
        <v>8268</v>
      </c>
      <c r="B269" s="826" t="s">
        <v>1610</v>
      </c>
      <c r="C269" s="857">
        <f>VLOOKUP(B269,'BD ASVICC'!$A$6:$GS$316,144,FALSE)</f>
        <v>46636</v>
      </c>
      <c r="D269" s="857">
        <f>VLOOKUP(B269,'BD ASVICC'!$A$6:$GS$316,145,FALSE)</f>
        <v>23049</v>
      </c>
      <c r="E269" s="857">
        <f t="shared" si="17"/>
        <v>69685</v>
      </c>
      <c r="F269" s="857">
        <f>E269+'3. Aigua-Resid '!$M$68*E269</f>
        <v>71078.7</v>
      </c>
      <c r="G269" s="857">
        <f t="shared" si="16"/>
        <v>70428.306666666671</v>
      </c>
      <c r="H269" s="857">
        <f t="shared" si="19"/>
        <v>1056424.6000000001</v>
      </c>
      <c r="I269" s="857">
        <f>H269*VLOOKUP(A269,'preus aigua'!$A$4:$K$314,11,FALSE)</f>
        <v>1754495.8900186669</v>
      </c>
      <c r="J269" s="857">
        <f>H269*VLOOKUP('3b aigua'!A269,'preus aigua'!$A$4:$H$314,8,FALSE)</f>
        <v>2537546.5382877868</v>
      </c>
      <c r="K269" s="857">
        <f t="shared" si="18"/>
        <v>783050.64826911991</v>
      </c>
    </row>
    <row r="270" spans="1:11">
      <c r="A270" s="835">
        <v>8269</v>
      </c>
      <c r="B270" s="826" t="s">
        <v>1614</v>
      </c>
      <c r="C270" s="857">
        <f>VLOOKUP(B270,'BD ASVICC'!$A$6:$GS$316,144,FALSE)</f>
        <v>175486</v>
      </c>
      <c r="D270" s="857">
        <f>VLOOKUP(B270,'BD ASVICC'!$A$6:$GS$316,145,FALSE)</f>
        <v>174273</v>
      </c>
      <c r="E270" s="857">
        <f t="shared" si="17"/>
        <v>349759</v>
      </c>
      <c r="F270" s="857">
        <f>E270+'3. Aigua-Resid '!$M$68*E270</f>
        <v>356754.18</v>
      </c>
      <c r="G270" s="857">
        <f t="shared" si="16"/>
        <v>353489.76266666665</v>
      </c>
      <c r="H270" s="857">
        <f t="shared" si="19"/>
        <v>5302346.4399999995</v>
      </c>
      <c r="I270" s="857">
        <f>H270*VLOOKUP(A270,'preus aigua'!$A$4:$K$314,11,FALSE)</f>
        <v>9750661.6133973319</v>
      </c>
      <c r="J270" s="857">
        <f>H270*VLOOKUP('3b aigua'!A270,'preus aigua'!$A$4:$H$314,8,FALSE)</f>
        <v>14102488.221177172</v>
      </c>
      <c r="K270" s="857">
        <f t="shared" si="18"/>
        <v>4351826.60777984</v>
      </c>
    </row>
    <row r="271" spans="1:11">
      <c r="A271" s="835">
        <v>8270</v>
      </c>
      <c r="B271" s="826" t="s">
        <v>356</v>
      </c>
      <c r="C271" s="857">
        <f>VLOOKUP(B271,'BD ASVICC'!$A$6:$GS$316,144,FALSE)</f>
        <v>1992393</v>
      </c>
      <c r="D271" s="857">
        <f>VLOOKUP(B271,'BD ASVICC'!$A$6:$GS$316,145,FALSE)</f>
        <v>1177172</v>
      </c>
      <c r="E271" s="857">
        <f t="shared" si="17"/>
        <v>3169565</v>
      </c>
      <c r="F271" s="857">
        <f>E271+'3. Aigua-Resid '!$M$68*E271</f>
        <v>3232956.3</v>
      </c>
      <c r="G271" s="857">
        <f t="shared" si="16"/>
        <v>3203373.6933333334</v>
      </c>
      <c r="H271" s="857">
        <f t="shared" si="19"/>
        <v>48050605.399999999</v>
      </c>
      <c r="I271" s="857">
        <f>H271*VLOOKUP(A271,'preus aigua'!$A$4:$K$314,11,FALSE)</f>
        <v>146515009.04104587</v>
      </c>
      <c r="J271" s="857">
        <f>H271*VLOOKUP('3b aigua'!A271,'preus aigua'!$A$4:$H$314,8,FALSE)</f>
        <v>269168808.07139778</v>
      </c>
      <c r="K271" s="857">
        <f t="shared" si="18"/>
        <v>122653799.03035191</v>
      </c>
    </row>
    <row r="272" spans="1:11">
      <c r="A272" s="835">
        <v>8271</v>
      </c>
      <c r="B272" s="826" t="s">
        <v>1621</v>
      </c>
      <c r="C272" s="857">
        <f>VLOOKUP(B272,'BD ASVICC'!$A$6:$GS$316,144,FALSE)</f>
        <v>2834</v>
      </c>
      <c r="D272" s="857">
        <f>VLOOKUP(B272,'BD ASVICC'!$A$6:$GS$316,145,FALSE)</f>
        <v>638</v>
      </c>
      <c r="E272" s="857">
        <f t="shared" si="17"/>
        <v>3472</v>
      </c>
      <c r="F272" s="857">
        <f>E272+'3. Aigua-Resid '!$M$68*E272</f>
        <v>3541.44</v>
      </c>
      <c r="G272" s="857">
        <f t="shared" si="16"/>
        <v>3509.0346666666669</v>
      </c>
      <c r="H272" s="857">
        <f t="shared" si="19"/>
        <v>52635.520000000004</v>
      </c>
      <c r="I272" s="857">
        <f>H272*VLOOKUP(A272,'preus aigua'!$A$4:$K$314,11,FALSE)</f>
        <v>118208.71045461335</v>
      </c>
      <c r="J272" s="857">
        <f>H272*VLOOKUP('3b aigua'!A272,'preus aigua'!$A$4:$H$314,8,FALSE)</f>
        <v>170966.54698141015</v>
      </c>
      <c r="K272" s="857">
        <f t="shared" si="18"/>
        <v>52757.836526796804</v>
      </c>
    </row>
    <row r="273" spans="1:11">
      <c r="A273" s="835">
        <v>8272</v>
      </c>
      <c r="B273" s="826" t="s">
        <v>1625</v>
      </c>
      <c r="C273" s="857">
        <f>VLOOKUP(B273,'BD ASVICC'!$A$6:$GS$316,144,FALSE)</f>
        <v>10598</v>
      </c>
      <c r="D273" s="857">
        <f>VLOOKUP(B273,'BD ASVICC'!$A$6:$GS$316,145,FALSE)</f>
        <v>1878</v>
      </c>
      <c r="E273" s="857">
        <f t="shared" si="17"/>
        <v>12476</v>
      </c>
      <c r="F273" s="857">
        <f>E273+'3. Aigua-Resid '!$M$68*E273</f>
        <v>12725.52</v>
      </c>
      <c r="G273" s="857">
        <f t="shared" si="16"/>
        <v>12609.077333333333</v>
      </c>
      <c r="H273" s="857">
        <f t="shared" si="19"/>
        <v>189136.16</v>
      </c>
      <c r="I273" s="857">
        <f>H273*VLOOKUP(A273,'preus aigua'!$A$4:$K$314,11,FALSE)</f>
        <v>256726.36250069336</v>
      </c>
      <c r="J273" s="857">
        <f>H273*VLOOKUP('3b aigua'!A273,'preus aigua'!$A$4:$H$314,8,FALSE)</f>
        <v>371306.13765297498</v>
      </c>
      <c r="K273" s="857">
        <f t="shared" si="18"/>
        <v>114579.77515228163</v>
      </c>
    </row>
    <row r="274" spans="1:11">
      <c r="A274" s="835">
        <v>8273</v>
      </c>
      <c r="B274" s="826" t="s">
        <v>1627</v>
      </c>
      <c r="C274" s="857">
        <f>VLOOKUP(B274,'BD ASVICC'!$A$6:$GS$316,144,FALSE)</f>
        <v>120805</v>
      </c>
      <c r="D274" s="857">
        <f>VLOOKUP(B274,'BD ASVICC'!$A$6:$GS$316,145,FALSE)</f>
        <v>57902</v>
      </c>
      <c r="E274" s="857">
        <f t="shared" si="17"/>
        <v>178707</v>
      </c>
      <c r="F274" s="857">
        <f>E274+'3. Aigua-Resid '!$M$68*E274</f>
        <v>182281.14</v>
      </c>
      <c r="G274" s="857">
        <f t="shared" si="16"/>
        <v>180613.20800000001</v>
      </c>
      <c r="H274" s="857">
        <f t="shared" si="19"/>
        <v>2709198.12</v>
      </c>
      <c r="I274" s="857">
        <f>H274*VLOOKUP(A274,'preus aigua'!$A$4:$K$314,11,FALSE)</f>
        <v>8494369.2137497608</v>
      </c>
      <c r="J274" s="857">
        <f>H274*VLOOKUP('3b aigua'!A274,'preus aigua'!$A$4:$H$314,8,FALSE)</f>
        <v>15605358.464966984</v>
      </c>
      <c r="K274" s="857">
        <f t="shared" si="18"/>
        <v>7110989.2512172237</v>
      </c>
    </row>
    <row r="275" spans="1:11">
      <c r="A275" s="835">
        <v>8274</v>
      </c>
      <c r="B275" s="826" t="s">
        <v>1631</v>
      </c>
      <c r="C275" s="857">
        <f>VLOOKUP(B275,'BD ASVICC'!$A$6:$GS$316,144,FALSE)</f>
        <v>255987</v>
      </c>
      <c r="D275" s="857">
        <f>VLOOKUP(B275,'BD ASVICC'!$A$6:$GS$316,145,FALSE)</f>
        <v>1763907</v>
      </c>
      <c r="E275" s="857">
        <f t="shared" si="17"/>
        <v>2019894</v>
      </c>
      <c r="F275" s="857">
        <f>E275+'3. Aigua-Resid '!$M$68*E275</f>
        <v>2060291.88</v>
      </c>
      <c r="G275" s="857">
        <f t="shared" si="16"/>
        <v>2041439.5359999998</v>
      </c>
      <c r="H275" s="857">
        <f t="shared" si="19"/>
        <v>30621593.039999999</v>
      </c>
      <c r="I275" s="857">
        <f>H275*VLOOKUP(A275,'preus aigua'!$A$4:$K$314,11,FALSE)</f>
        <v>71937389.575708166</v>
      </c>
      <c r="J275" s="857">
        <f>H275*VLOOKUP('3b aigua'!A275,'preus aigua'!$A$4:$H$314,8,FALSE)</f>
        <v>104043831.01140009</v>
      </c>
      <c r="K275" s="857">
        <f t="shared" si="18"/>
        <v>32106441.435691923</v>
      </c>
    </row>
    <row r="276" spans="1:11">
      <c r="A276" s="835">
        <v>8275</v>
      </c>
      <c r="B276" s="826" t="s">
        <v>1634</v>
      </c>
      <c r="C276" s="857">
        <f>VLOOKUP(B276,'BD ASVICC'!$A$6:$GS$316,144,FALSE)</f>
        <v>11917</v>
      </c>
      <c r="D276" s="857">
        <f>VLOOKUP(B276,'BD ASVICC'!$A$6:$GS$316,145,FALSE)</f>
        <v>11822</v>
      </c>
      <c r="E276" s="857">
        <f t="shared" si="17"/>
        <v>23739</v>
      </c>
      <c r="F276" s="857">
        <f>E276+'3. Aigua-Resid '!$M$68*E276</f>
        <v>24213.78</v>
      </c>
      <c r="G276" s="857">
        <f t="shared" si="16"/>
        <v>23992.216</v>
      </c>
      <c r="H276" s="857">
        <f t="shared" si="19"/>
        <v>359883.24</v>
      </c>
      <c r="I276" s="857">
        <f>H276*VLOOKUP(A276,'preus aigua'!$A$4:$K$314,11,FALSE)</f>
        <v>1162702.13459424</v>
      </c>
      <c r="J276" s="857">
        <f>H276*VLOOKUP('3b aigua'!A276,'preus aigua'!$A$4:$H$314,8,FALSE)</f>
        <v>1681628.7763820544</v>
      </c>
      <c r="K276" s="857">
        <f t="shared" si="18"/>
        <v>518926.64178781444</v>
      </c>
    </row>
    <row r="277" spans="1:11">
      <c r="A277" s="835">
        <v>8276</v>
      </c>
      <c r="B277" s="826" t="s">
        <v>1636</v>
      </c>
      <c r="C277" s="857">
        <f>VLOOKUP(B277,'BD ASVICC'!$A$6:$GS$316,144,FALSE)</f>
        <v>11589</v>
      </c>
      <c r="D277" s="857">
        <f>VLOOKUP(B277,'BD ASVICC'!$A$6:$GS$316,145,FALSE)</f>
        <v>4862</v>
      </c>
      <c r="E277" s="857">
        <f t="shared" si="17"/>
        <v>16451</v>
      </c>
      <c r="F277" s="857">
        <f>E277+'3. Aigua-Resid '!$M$68*E277</f>
        <v>16780.02</v>
      </c>
      <c r="G277" s="857">
        <f t="shared" si="16"/>
        <v>16626.477333333332</v>
      </c>
      <c r="H277" s="857">
        <f t="shared" si="19"/>
        <v>249397.16</v>
      </c>
      <c r="I277" s="857">
        <f>H277*VLOOKUP(A277,'preus aigua'!$A$4:$K$314,11,FALSE)</f>
        <v>815778.77541909332</v>
      </c>
      <c r="J277" s="857">
        <f>H277*VLOOKUP('3b aigua'!A277,'preus aigua'!$A$4:$H$314,8,FALSE)</f>
        <v>1179869.7388520793</v>
      </c>
      <c r="K277" s="857">
        <f t="shared" si="18"/>
        <v>364090.96343298594</v>
      </c>
    </row>
    <row r="278" spans="1:11">
      <c r="A278" s="835">
        <v>8277</v>
      </c>
      <c r="B278" s="826" t="s">
        <v>1639</v>
      </c>
      <c r="C278" s="857">
        <f>VLOOKUP(B278,'BD ASVICC'!$A$6:$GS$316,144,FALSE)</f>
        <v>13443</v>
      </c>
      <c r="D278" s="857">
        <f>VLOOKUP(B278,'BD ASVICC'!$A$6:$GS$316,145,FALSE)</f>
        <v>4559</v>
      </c>
      <c r="E278" s="857">
        <f t="shared" si="17"/>
        <v>18002</v>
      </c>
      <c r="F278" s="857">
        <f>E278+'3. Aigua-Resid '!$M$68*E278</f>
        <v>18362.04</v>
      </c>
      <c r="G278" s="857">
        <f t="shared" si="16"/>
        <v>18194.021333333334</v>
      </c>
      <c r="H278" s="857">
        <f t="shared" si="19"/>
        <v>272910.32</v>
      </c>
      <c r="I278" s="857">
        <f>H278*VLOOKUP(A278,'preus aigua'!$A$4:$K$314,11,FALSE)</f>
        <v>615410.58831744001</v>
      </c>
      <c r="J278" s="857">
        <f>H278*VLOOKUP('3b aigua'!A278,'preus aigua'!$A$4:$H$314,8,FALSE)</f>
        <v>890075.04485744645</v>
      </c>
      <c r="K278" s="857">
        <f t="shared" si="18"/>
        <v>274664.45654000645</v>
      </c>
    </row>
    <row r="279" spans="1:11">
      <c r="A279" s="835">
        <v>8278</v>
      </c>
      <c r="B279" s="826" t="s">
        <v>1641</v>
      </c>
      <c r="C279" s="857">
        <f>VLOOKUP(B279,'BD ASVICC'!$A$6:$GS$316,144,FALSE)</f>
        <v>249997</v>
      </c>
      <c r="D279" s="857">
        <f>VLOOKUP(B279,'BD ASVICC'!$A$6:$GS$316,145,FALSE)</f>
        <v>153891</v>
      </c>
      <c r="E279" s="857">
        <f t="shared" si="17"/>
        <v>403888</v>
      </c>
      <c r="F279" s="857">
        <f>E279+'3. Aigua-Resid '!$M$68*E279</f>
        <v>411965.76</v>
      </c>
      <c r="G279" s="857">
        <f t="shared" si="16"/>
        <v>408196.13866666669</v>
      </c>
      <c r="H279" s="857">
        <f t="shared" si="19"/>
        <v>6122942.0800000001</v>
      </c>
      <c r="I279" s="857">
        <f>H279*VLOOKUP(A279,'preus aigua'!$A$4:$K$314,11,FALSE)</f>
        <v>12920485.426606083</v>
      </c>
      <c r="J279" s="857">
        <f>H279*VLOOKUP('3b aigua'!A279,'preus aigua'!$A$4:$H$314,8,FALSE)</f>
        <v>18687038.968745168</v>
      </c>
      <c r="K279" s="857">
        <f t="shared" si="18"/>
        <v>5766553.542139085</v>
      </c>
    </row>
    <row r="280" spans="1:11">
      <c r="A280" s="835">
        <v>8279</v>
      </c>
      <c r="B280" s="826" t="s">
        <v>967</v>
      </c>
      <c r="C280" s="857">
        <f>VLOOKUP(B280,'BD ASVICC'!$A$6:$GS$316,144,FALSE)</f>
        <v>8078112</v>
      </c>
      <c r="D280" s="857">
        <f>VLOOKUP(B280,'BD ASVICC'!$A$6:$GS$316,145,FALSE)</f>
        <v>3723917</v>
      </c>
      <c r="E280" s="857">
        <f t="shared" si="17"/>
        <v>11802029</v>
      </c>
      <c r="F280" s="857">
        <f>E280+'3. Aigua-Resid '!$M$68*E280</f>
        <v>12038069.58</v>
      </c>
      <c r="G280" s="857">
        <f t="shared" si="16"/>
        <v>11927917.309333332</v>
      </c>
      <c r="H280" s="857">
        <f t="shared" si="19"/>
        <v>178918759.63999999</v>
      </c>
      <c r="I280" s="857">
        <f>H280*VLOOKUP(A280,'preus aigua'!$A$4:$K$314,11,FALSE)</f>
        <v>399758900.33869058</v>
      </c>
      <c r="J280" s="857">
        <f>H280*VLOOKUP('3b aigua'!A280,'preus aigua'!$A$4:$H$314,8,FALSE)</f>
        <v>578175656.87964296</v>
      </c>
      <c r="K280" s="857">
        <f t="shared" si="18"/>
        <v>178416756.54095238</v>
      </c>
    </row>
    <row r="281" spans="1:11">
      <c r="A281" s="835">
        <v>8280</v>
      </c>
      <c r="B281" s="826" t="s">
        <v>1650</v>
      </c>
      <c r="C281" s="857">
        <f>VLOOKUP(B281,'BD ASVICC'!$A$6:$GS$316,144,FALSE)</f>
        <v>10056</v>
      </c>
      <c r="D281" s="857">
        <f>VLOOKUP(B281,'BD ASVICC'!$A$6:$GS$316,145,FALSE)</f>
        <v>2696</v>
      </c>
      <c r="E281" s="857">
        <f t="shared" si="17"/>
        <v>12752</v>
      </c>
      <c r="F281" s="857">
        <f>E281+'3. Aigua-Resid '!$M$68*E281</f>
        <v>13007.04</v>
      </c>
      <c r="G281" s="857">
        <f t="shared" si="16"/>
        <v>12888.021333333334</v>
      </c>
      <c r="H281" s="857">
        <f t="shared" si="19"/>
        <v>193320.32000000001</v>
      </c>
      <c r="I281" s="857">
        <f>H281*VLOOKUP(A281,'preus aigua'!$A$4:$K$314,11,FALSE)</f>
        <v>237520.56244394672</v>
      </c>
      <c r="J281" s="857">
        <f>H281*VLOOKUP('3b aigua'!A281,'preus aigua'!$A$4:$H$314,8,FALSE)</f>
        <v>343528.5795941035</v>
      </c>
      <c r="K281" s="857">
        <f t="shared" si="18"/>
        <v>106008.01715015678</v>
      </c>
    </row>
    <row r="282" spans="1:11">
      <c r="A282" s="835">
        <v>8281</v>
      </c>
      <c r="B282" s="826" t="s">
        <v>1652</v>
      </c>
      <c r="C282" s="857">
        <f>VLOOKUP(B282,'BD ASVICC'!$A$6:$GS$316,144,FALSE)</f>
        <v>354926</v>
      </c>
      <c r="D282" s="857">
        <f>VLOOKUP(B282,'BD ASVICC'!$A$6:$GS$316,145,FALSE)</f>
        <v>133727</v>
      </c>
      <c r="E282" s="857">
        <f t="shared" si="17"/>
        <v>488653</v>
      </c>
      <c r="F282" s="857">
        <f>E282+'3. Aigua-Resid '!$M$68*E282</f>
        <v>498426.06</v>
      </c>
      <c r="G282" s="857">
        <f t="shared" si="16"/>
        <v>493865.29866666667</v>
      </c>
      <c r="H282" s="857">
        <f t="shared" si="19"/>
        <v>7407979.4800000004</v>
      </c>
      <c r="I282" s="857">
        <f>H282*VLOOKUP(A282,'preus aigua'!$A$4:$K$314,11,FALSE)</f>
        <v>16423964.617846722</v>
      </c>
      <c r="J282" s="857">
        <f>H282*VLOOKUP('3b aigua'!A282,'preus aigua'!$A$4:$H$314,8,FALSE)</f>
        <v>30173147.508417577</v>
      </c>
      <c r="K282" s="857">
        <f t="shared" si="18"/>
        <v>13749182.890570855</v>
      </c>
    </row>
    <row r="283" spans="1:11">
      <c r="A283" s="835">
        <v>8282</v>
      </c>
      <c r="B283" s="826" t="s">
        <v>1655</v>
      </c>
      <c r="C283" s="857">
        <f>VLOOKUP(B283,'BD ASVICC'!$A$6:$GS$316,144,FALSE)</f>
        <v>441112</v>
      </c>
      <c r="D283" s="857">
        <f>VLOOKUP(B283,'BD ASVICC'!$A$6:$GS$316,145,FALSE)</f>
        <v>111697</v>
      </c>
      <c r="E283" s="857">
        <f t="shared" si="17"/>
        <v>552809</v>
      </c>
      <c r="F283" s="857">
        <f>E283+'3. Aigua-Resid '!$M$68*E283</f>
        <v>563865.18000000005</v>
      </c>
      <c r="G283" s="857">
        <f t="shared" si="16"/>
        <v>558705.62933333335</v>
      </c>
      <c r="H283" s="857">
        <f t="shared" si="19"/>
        <v>8380584.4400000004</v>
      </c>
      <c r="I283" s="857">
        <f>H283*VLOOKUP(A283,'preus aigua'!$A$4:$K$314,11,FALSE)</f>
        <v>20603029.921322558</v>
      </c>
      <c r="J283" s="857">
        <f>H283*VLOOKUP('3b aigua'!A283,'preus aigua'!$A$4:$H$314,8,FALSE)</f>
        <v>37850681.939541936</v>
      </c>
      <c r="K283" s="857">
        <f t="shared" si="18"/>
        <v>17247652.018219378</v>
      </c>
    </row>
    <row r="284" spans="1:11">
      <c r="A284" s="835">
        <v>8283</v>
      </c>
      <c r="B284" s="826" t="s">
        <v>1658</v>
      </c>
      <c r="C284" s="857">
        <f>VLOOKUP(B284,'BD ASVICC'!$A$6:$GS$316,144,FALSE)</f>
        <v>303786</v>
      </c>
      <c r="D284" s="857">
        <f>VLOOKUP(B284,'BD ASVICC'!$A$6:$GS$316,145,FALSE)</f>
        <v>150276</v>
      </c>
      <c r="E284" s="857">
        <f t="shared" si="17"/>
        <v>454062</v>
      </c>
      <c r="F284" s="857">
        <f>E284+'3. Aigua-Resid '!$M$68*E284</f>
        <v>463143.24</v>
      </c>
      <c r="G284" s="857">
        <f t="shared" si="16"/>
        <v>458905.32799999998</v>
      </c>
      <c r="H284" s="857">
        <f t="shared" si="19"/>
        <v>6883579.9199999999</v>
      </c>
      <c r="I284" s="857">
        <f>H284*VLOOKUP(A284,'preus aigua'!$A$4:$K$314,11,FALSE)</f>
        <v>14849937.783309443</v>
      </c>
      <c r="J284" s="857">
        <f>H284*VLOOKUP('3b aigua'!A284,'preus aigua'!$A$4:$H$314,8,FALSE)</f>
        <v>21477626.952676971</v>
      </c>
      <c r="K284" s="857">
        <f t="shared" si="18"/>
        <v>6627689.1693675276</v>
      </c>
    </row>
    <row r="285" spans="1:11">
      <c r="A285" s="835">
        <v>8284</v>
      </c>
      <c r="B285" s="826" t="s">
        <v>1660</v>
      </c>
      <c r="C285" s="857">
        <f>VLOOKUP(B285,'BD ASVICC'!$A$6:$GS$316,144,FALSE)</f>
        <v>761256</v>
      </c>
      <c r="D285" s="857">
        <f>VLOOKUP(B285,'BD ASVICC'!$A$6:$GS$316,145,FALSE)</f>
        <v>323087</v>
      </c>
      <c r="E285" s="857">
        <f t="shared" si="17"/>
        <v>1084343</v>
      </c>
      <c r="F285" s="857">
        <f>E285+'3. Aigua-Resid '!$M$68*E285</f>
        <v>1106029.8600000001</v>
      </c>
      <c r="G285" s="857">
        <f t="shared" si="16"/>
        <v>1095909.3253333333</v>
      </c>
      <c r="H285" s="857">
        <f t="shared" si="19"/>
        <v>16438639.880000001</v>
      </c>
      <c r="I285" s="857">
        <f>H285*VLOOKUP(A285,'preus aigua'!$A$4:$K$314,11,FALSE)</f>
        <v>34990718.975718834</v>
      </c>
      <c r="J285" s="857">
        <f>H285*VLOOKUP('3b aigua'!A285,'preus aigua'!$A$4:$H$314,8,FALSE)</f>
        <v>50607458.423907407</v>
      </c>
      <c r="K285" s="857">
        <f t="shared" si="18"/>
        <v>15616739.448188573</v>
      </c>
    </row>
    <row r="286" spans="1:11">
      <c r="A286" s="835">
        <v>8285</v>
      </c>
      <c r="B286" s="826" t="s">
        <v>1667</v>
      </c>
      <c r="C286" s="857">
        <f>VLOOKUP(B286,'BD ASVICC'!$A$6:$GS$316,144,FALSE)</f>
        <v>503420</v>
      </c>
      <c r="D286" s="857">
        <f>VLOOKUP(B286,'BD ASVICC'!$A$6:$GS$316,145,FALSE)</f>
        <v>309958</v>
      </c>
      <c r="E286" s="857">
        <f t="shared" si="17"/>
        <v>813378</v>
      </c>
      <c r="F286" s="857">
        <f>E286+'3. Aigua-Resid '!$M$68*E286</f>
        <v>829645.56</v>
      </c>
      <c r="G286" s="857">
        <f t="shared" si="16"/>
        <v>822054.03200000001</v>
      </c>
      <c r="H286" s="857">
        <f t="shared" si="19"/>
        <v>12330810.48</v>
      </c>
      <c r="I286" s="857">
        <f>H286*VLOOKUP(A286,'preus aigua'!$A$4:$K$314,11,FALSE)</f>
        <v>25779252.739745919</v>
      </c>
      <c r="J286" s="857">
        <f>H286*VLOOKUP('3b aigua'!A286,'preus aigua'!$A$4:$H$314,8,FALSE)</f>
        <v>37284814.356955953</v>
      </c>
      <c r="K286" s="857">
        <f t="shared" si="18"/>
        <v>11505561.617210034</v>
      </c>
    </row>
    <row r="287" spans="1:11">
      <c r="A287" s="835">
        <v>8286</v>
      </c>
      <c r="B287" s="826" t="s">
        <v>1670</v>
      </c>
      <c r="C287" s="857">
        <f>VLOOKUP(B287,'BD ASVICC'!$A$6:$GS$316,144,FALSE)</f>
        <v>215338</v>
      </c>
      <c r="D287" s="857">
        <f>VLOOKUP(B287,'BD ASVICC'!$A$6:$GS$316,145,FALSE)</f>
        <v>97805</v>
      </c>
      <c r="E287" s="857">
        <f t="shared" si="17"/>
        <v>313143</v>
      </c>
      <c r="F287" s="857">
        <f>E287+'3. Aigua-Resid '!$M$68*E287</f>
        <v>319405.86</v>
      </c>
      <c r="G287" s="857">
        <f t="shared" si="16"/>
        <v>316483.19199999998</v>
      </c>
      <c r="H287" s="857">
        <f t="shared" si="19"/>
        <v>4747247.88</v>
      </c>
      <c r="I287" s="857">
        <f>H287*VLOOKUP(A287,'preus aigua'!$A$4:$K$314,11,FALSE)</f>
        <v>11201517.48235424</v>
      </c>
      <c r="J287" s="857">
        <f>H287*VLOOKUP('3b aigua'!A287,'preus aigua'!$A$4:$H$314,8,FALSE)</f>
        <v>16200876.885847654</v>
      </c>
      <c r="K287" s="857">
        <f t="shared" si="18"/>
        <v>4999359.4034934137</v>
      </c>
    </row>
    <row r="288" spans="1:11">
      <c r="A288" s="835">
        <v>8287</v>
      </c>
      <c r="B288" s="826" t="s">
        <v>1673</v>
      </c>
      <c r="C288" s="857">
        <f>VLOOKUP(B288,'BD ASVICC'!$A$6:$GS$316,144,FALSE)</f>
        <v>42723</v>
      </c>
      <c r="D288" s="857">
        <f>VLOOKUP(B288,'BD ASVICC'!$A$6:$GS$316,145,FALSE)</f>
        <v>66990</v>
      </c>
      <c r="E288" s="857">
        <f t="shared" si="17"/>
        <v>109713</v>
      </c>
      <c r="F288" s="857">
        <f>E288+'3. Aigua-Resid '!$M$68*E288</f>
        <v>111907.26</v>
      </c>
      <c r="G288" s="857">
        <f t="shared" si="16"/>
        <v>110883.27200000001</v>
      </c>
      <c r="H288" s="857">
        <f t="shared" si="19"/>
        <v>1663249.08</v>
      </c>
      <c r="I288" s="857">
        <f>H288*VLOOKUP(A288,'preus aigua'!$A$4:$K$314,11,FALSE)</f>
        <v>2884646.0624035201</v>
      </c>
      <c r="J288" s="857">
        <f>H288*VLOOKUP('3b aigua'!A288,'preus aigua'!$A$4:$H$314,8,FALSE)</f>
        <v>4172095.0567514114</v>
      </c>
      <c r="K288" s="857">
        <f t="shared" si="18"/>
        <v>1287448.9943478913</v>
      </c>
    </row>
    <row r="289" spans="1:11">
      <c r="A289" s="835">
        <v>8288</v>
      </c>
      <c r="B289" s="826" t="s">
        <v>1677</v>
      </c>
      <c r="C289" s="857">
        <f>VLOOKUP(B289,'BD ASVICC'!$A$6:$GS$316,144,FALSE)</f>
        <v>103633</v>
      </c>
      <c r="D289" s="857">
        <f>VLOOKUP(B289,'BD ASVICC'!$A$6:$GS$316,145,FALSE)</f>
        <v>18346</v>
      </c>
      <c r="E289" s="857">
        <f t="shared" si="17"/>
        <v>121979</v>
      </c>
      <c r="F289" s="857">
        <f>E289+'3. Aigua-Resid '!$M$68*E289</f>
        <v>124418.58</v>
      </c>
      <c r="G289" s="857">
        <f t="shared" si="16"/>
        <v>123280.10933333334</v>
      </c>
      <c r="H289" s="857">
        <f t="shared" si="19"/>
        <v>1849201.6400000001</v>
      </c>
      <c r="I289" s="857">
        <f>H289*VLOOKUP(A289,'preus aigua'!$A$4:$K$314,11,FALSE)</f>
        <v>5432392.2610214408</v>
      </c>
      <c r="J289" s="857">
        <f>H289*VLOOKUP('3b aigua'!A289,'preus aigua'!$A$4:$H$314,8,FALSE)</f>
        <v>9980073.4371574596</v>
      </c>
      <c r="K289" s="857">
        <f t="shared" si="18"/>
        <v>4547681.1761360187</v>
      </c>
    </row>
    <row r="290" spans="1:11">
      <c r="A290" s="835">
        <v>8289</v>
      </c>
      <c r="B290" s="826" t="s">
        <v>1681</v>
      </c>
      <c r="C290" s="857">
        <f>VLOOKUP(B290,'BD ASVICC'!$A$6:$GS$316,144,FALSE)</f>
        <v>250157</v>
      </c>
      <c r="D290" s="857">
        <f>VLOOKUP(B290,'BD ASVICC'!$A$6:$GS$316,145,FALSE)</f>
        <v>32496</v>
      </c>
      <c r="E290" s="857">
        <f t="shared" si="17"/>
        <v>282653</v>
      </c>
      <c r="F290" s="857">
        <f>E290+'3. Aigua-Resid '!$M$68*E290</f>
        <v>288306.06</v>
      </c>
      <c r="G290" s="857">
        <f t="shared" si="16"/>
        <v>285667.96533333336</v>
      </c>
      <c r="H290" s="857">
        <f t="shared" si="19"/>
        <v>4285019.4800000004</v>
      </c>
      <c r="I290" s="857">
        <f>H290*VLOOKUP(A290,'preus aigua'!$A$4:$K$314,11,FALSE)</f>
        <v>13863637.75840587</v>
      </c>
      <c r="J290" s="857">
        <f>H290*VLOOKUP('3b aigua'!A290,'preus aigua'!$A$4:$H$314,8,FALSE)</f>
        <v>25469464.701178271</v>
      </c>
      <c r="K290" s="857">
        <f t="shared" si="18"/>
        <v>11605826.942772401</v>
      </c>
    </row>
    <row r="291" spans="1:11">
      <c r="A291" s="835">
        <v>8290</v>
      </c>
      <c r="B291" s="826" t="s">
        <v>1682</v>
      </c>
      <c r="C291" s="857">
        <f>VLOOKUP(B291,'BD ASVICC'!$A$6:$GS$316,144,FALSE)</f>
        <v>82959</v>
      </c>
      <c r="D291" s="857">
        <f>VLOOKUP(B291,'BD ASVICC'!$A$6:$GS$316,145,FALSE)</f>
        <v>24826</v>
      </c>
      <c r="E291" s="857">
        <f t="shared" si="17"/>
        <v>107785</v>
      </c>
      <c r="F291" s="857">
        <f>E291+'3. Aigua-Resid '!$M$68*E291</f>
        <v>109940.7</v>
      </c>
      <c r="G291" s="857">
        <f t="shared" si="16"/>
        <v>108934.70666666668</v>
      </c>
      <c r="H291" s="857">
        <f t="shared" si="19"/>
        <v>1634020.6</v>
      </c>
      <c r="I291" s="857">
        <f>H291*VLOOKUP(A291,'preus aigua'!$A$4:$K$314,11,FALSE)</f>
        <v>4464087.6331525333</v>
      </c>
      <c r="J291" s="857">
        <f>H291*VLOOKUP('3b aigua'!A291,'preus aigua'!$A$4:$H$314,8,FALSE)</f>
        <v>8201160.7903277045</v>
      </c>
      <c r="K291" s="857">
        <f t="shared" si="18"/>
        <v>3737073.1571751712</v>
      </c>
    </row>
    <row r="292" spans="1:11">
      <c r="A292" s="835">
        <v>8291</v>
      </c>
      <c r="B292" s="826" t="s">
        <v>1684</v>
      </c>
      <c r="C292" s="857">
        <f>VLOOKUP(B292,'BD ASVICC'!$A$6:$GS$316,144,FALSE)</f>
        <v>322630</v>
      </c>
      <c r="D292" s="857">
        <f>VLOOKUP(B292,'BD ASVICC'!$A$6:$GS$316,145,FALSE)</f>
        <v>163645</v>
      </c>
      <c r="E292" s="857">
        <f t="shared" si="17"/>
        <v>486275</v>
      </c>
      <c r="F292" s="857">
        <f>E292+'3. Aigua-Resid '!$M$68*E292</f>
        <v>496000.5</v>
      </c>
      <c r="G292" s="857">
        <f t="shared" si="16"/>
        <v>491461.93333333335</v>
      </c>
      <c r="H292" s="857">
        <f t="shared" si="19"/>
        <v>7371929</v>
      </c>
      <c r="I292" s="857">
        <f>H292*VLOOKUP(A292,'preus aigua'!$A$4:$K$314,11,FALSE)</f>
        <v>12361820.643042667</v>
      </c>
      <c r="J292" s="857">
        <f>H292*VLOOKUP('3b aigua'!A292,'preus aigua'!$A$4:$H$314,8,FALSE)</f>
        <v>17879036.000109226</v>
      </c>
      <c r="K292" s="857">
        <f t="shared" si="18"/>
        <v>5517215.3570665587</v>
      </c>
    </row>
    <row r="293" spans="1:11">
      <c r="A293" s="835">
        <v>8292</v>
      </c>
      <c r="B293" s="826" t="s">
        <v>1686</v>
      </c>
      <c r="C293" s="857">
        <f>VLOOKUP(B293,'BD ASVICC'!$A$6:$GS$316,144,FALSE)</f>
        <v>62515</v>
      </c>
      <c r="D293" s="857">
        <f>VLOOKUP(B293,'BD ASVICC'!$A$6:$GS$316,145,FALSE)</f>
        <v>25305</v>
      </c>
      <c r="E293" s="857">
        <f t="shared" si="17"/>
        <v>87820</v>
      </c>
      <c r="F293" s="857">
        <f>E293+'3. Aigua-Resid '!$M$68*E293</f>
        <v>89576.4</v>
      </c>
      <c r="G293" s="857">
        <f t="shared" si="16"/>
        <v>88756.746666666659</v>
      </c>
      <c r="H293" s="857">
        <f t="shared" si="19"/>
        <v>1331351.2</v>
      </c>
      <c r="I293" s="857">
        <f>H293*VLOOKUP(A293,'preus aigua'!$A$4:$K$314,11,FALSE)</f>
        <v>3620373.4954538662</v>
      </c>
      <c r="J293" s="857">
        <f>H293*VLOOKUP('3b aigua'!A293,'preus aigua'!$A$4:$H$314,8,FALSE)</f>
        <v>5236185.6661858987</v>
      </c>
      <c r="K293" s="857">
        <f t="shared" si="18"/>
        <v>1615812.1707320325</v>
      </c>
    </row>
    <row r="294" spans="1:11">
      <c r="A294" s="835">
        <v>8293</v>
      </c>
      <c r="B294" s="826" t="s">
        <v>1690</v>
      </c>
      <c r="C294" s="857">
        <f>VLOOKUP(B294,'BD ASVICC'!$A$6:$GS$316,144,FALSE)</f>
        <v>5611</v>
      </c>
      <c r="D294" s="857">
        <f>VLOOKUP(B294,'BD ASVICC'!$A$6:$GS$316,145,FALSE)</f>
        <v>380</v>
      </c>
      <c r="E294" s="857">
        <f t="shared" si="17"/>
        <v>5991</v>
      </c>
      <c r="F294" s="857">
        <f>E294+'3. Aigua-Resid '!$M$68*E294</f>
        <v>6110.82</v>
      </c>
      <c r="G294" s="857">
        <f t="shared" si="16"/>
        <v>6054.9039999999995</v>
      </c>
      <c r="H294" s="857">
        <f t="shared" si="19"/>
        <v>90823.56</v>
      </c>
      <c r="I294" s="857">
        <f>H294*VLOOKUP(A294,'preus aigua'!$A$4:$K$314,11,FALSE)</f>
        <v>61066.128801599982</v>
      </c>
      <c r="J294" s="857">
        <f>H294*VLOOKUP('3b aigua'!A294,'preus aigua'!$A$4:$H$314,8,FALSE)</f>
        <v>88320.608004095993</v>
      </c>
      <c r="K294" s="857">
        <f t="shared" si="18"/>
        <v>27254.479202496012</v>
      </c>
    </row>
    <row r="295" spans="1:11">
      <c r="A295" s="835">
        <v>8294</v>
      </c>
      <c r="B295" s="826" t="s">
        <v>1692</v>
      </c>
      <c r="C295" s="857">
        <f>VLOOKUP(B295,'BD ASVICC'!$A$6:$GS$316,144,FALSE)</f>
        <v>135814</v>
      </c>
      <c r="D295" s="857">
        <f>VLOOKUP(B295,'BD ASVICC'!$A$6:$GS$316,145,FALSE)</f>
        <v>23987</v>
      </c>
      <c r="E295" s="857">
        <f t="shared" si="17"/>
        <v>159801</v>
      </c>
      <c r="F295" s="857">
        <f>E295+'3. Aigua-Resid '!$M$68*E295</f>
        <v>162997.01999999999</v>
      </c>
      <c r="G295" s="857">
        <f t="shared" si="16"/>
        <v>161505.54400000002</v>
      </c>
      <c r="H295" s="857">
        <f t="shared" si="19"/>
        <v>2422583.16</v>
      </c>
      <c r="I295" s="857">
        <f>H295*VLOOKUP(A295,'preus aigua'!$A$4:$K$314,11,FALSE)</f>
        <v>5435062.0893491199</v>
      </c>
      <c r="J295" s="857">
        <f>H295*VLOOKUP('3b aigua'!A295,'preus aigua'!$A$4:$H$314,8,FALSE)</f>
        <v>9984978.2896597423</v>
      </c>
      <c r="K295" s="857">
        <f t="shared" si="18"/>
        <v>4549916.2003106223</v>
      </c>
    </row>
    <row r="296" spans="1:11">
      <c r="A296" s="835">
        <v>8295</v>
      </c>
      <c r="B296" s="826" t="s">
        <v>1697</v>
      </c>
      <c r="C296" s="857">
        <f>VLOOKUP(B296,'BD ASVICC'!$A$6:$GS$316,144,FALSE)</f>
        <v>632726</v>
      </c>
      <c r="D296" s="857">
        <f>VLOOKUP(B296,'BD ASVICC'!$A$6:$GS$316,145,FALSE)</f>
        <v>125227</v>
      </c>
      <c r="E296" s="857">
        <f t="shared" si="17"/>
        <v>757953</v>
      </c>
      <c r="F296" s="857">
        <f>E296+'3. Aigua-Resid '!$M$68*E296</f>
        <v>773112.06</v>
      </c>
      <c r="G296" s="857">
        <f t="shared" si="16"/>
        <v>766037.83200000005</v>
      </c>
      <c r="H296" s="857">
        <f t="shared" si="19"/>
        <v>11490567.48</v>
      </c>
      <c r="I296" s="857">
        <f>H296*VLOOKUP(A296,'preus aigua'!$A$4:$K$314,11,FALSE)</f>
        <v>28882598.493188161</v>
      </c>
      <c r="J296" s="857">
        <f>H296*VLOOKUP('3b aigua'!A296,'preus aigua'!$A$4:$H$314,8,FALSE)</f>
        <v>53061421.224348806</v>
      </c>
      <c r="K296" s="857">
        <f t="shared" si="18"/>
        <v>24178822.731160644</v>
      </c>
    </row>
    <row r="297" spans="1:11">
      <c r="A297" s="835">
        <v>8296</v>
      </c>
      <c r="B297" s="826" t="s">
        <v>1700</v>
      </c>
      <c r="C297" s="857">
        <f>VLOOKUP(B297,'BD ASVICC'!$A$6:$GS$316,144,FALSE)</f>
        <v>205588</v>
      </c>
      <c r="D297" s="857">
        <f>VLOOKUP(B297,'BD ASVICC'!$A$6:$GS$316,145,FALSE)</f>
        <v>223786</v>
      </c>
      <c r="E297" s="857">
        <f t="shared" si="17"/>
        <v>429374</v>
      </c>
      <c r="F297" s="857">
        <f>E297+'3. Aigua-Resid '!$M$68*E297</f>
        <v>437961.48</v>
      </c>
      <c r="G297" s="857">
        <f t="shared" si="16"/>
        <v>433953.98933333333</v>
      </c>
      <c r="H297" s="857">
        <f t="shared" si="19"/>
        <v>6509309.8399999999</v>
      </c>
      <c r="I297" s="857">
        <f>H297*VLOOKUP(A297,'preus aigua'!$A$4:$K$314,11,FALSE)</f>
        <v>13182168.259499947</v>
      </c>
      <c r="J297" s="857">
        <f>H297*VLOOKUP('3b aigua'!A297,'preus aigua'!$A$4:$H$314,8,FALSE)</f>
        <v>24217508.782408658</v>
      </c>
      <c r="K297" s="857">
        <f t="shared" si="18"/>
        <v>11035340.522908712</v>
      </c>
    </row>
    <row r="298" spans="1:11">
      <c r="A298" s="835">
        <v>8297</v>
      </c>
      <c r="B298" s="826" t="s">
        <v>1702</v>
      </c>
      <c r="C298" s="857">
        <f>VLOOKUP(B298,'BD ASVICC'!$A$6:$GS$316,144,FALSE)</f>
        <v>5908</v>
      </c>
      <c r="D298" s="857">
        <f>VLOOKUP(B298,'BD ASVICC'!$A$6:$GS$316,145,FALSE)</f>
        <v>3434</v>
      </c>
      <c r="E298" s="857">
        <f t="shared" si="17"/>
        <v>9342</v>
      </c>
      <c r="F298" s="857">
        <f>E298+'3. Aigua-Resid '!$M$68*E298</f>
        <v>9528.84</v>
      </c>
      <c r="G298" s="857">
        <f t="shared" si="16"/>
        <v>9441.6479999999992</v>
      </c>
      <c r="H298" s="857">
        <f t="shared" si="19"/>
        <v>141624.72</v>
      </c>
      <c r="I298" s="857">
        <f>H298*VLOOKUP(A298,'preus aigua'!$A$4:$K$314,11,FALSE)</f>
        <v>268739.89301951998</v>
      </c>
      <c r="J298" s="857">
        <f>H298*VLOOKUP('3b aigua'!A298,'preus aigua'!$A$4:$H$314,8,FALSE)</f>
        <v>388681.43784837122</v>
      </c>
      <c r="K298" s="857">
        <f t="shared" si="18"/>
        <v>119941.54482885124</v>
      </c>
    </row>
    <row r="299" spans="1:11">
      <c r="A299" s="835">
        <v>8298</v>
      </c>
      <c r="B299" s="826" t="s">
        <v>815</v>
      </c>
      <c r="C299" s="857">
        <f>VLOOKUP(B299,'BD ASVICC'!$A$6:$GS$316,144,FALSE)</f>
        <v>1719569</v>
      </c>
      <c r="D299" s="857">
        <f>VLOOKUP(B299,'BD ASVICC'!$A$6:$GS$316,145,FALSE)</f>
        <v>1861652</v>
      </c>
      <c r="E299" s="857">
        <f t="shared" si="17"/>
        <v>3581221</v>
      </c>
      <c r="F299" s="857">
        <f>E299+'3. Aigua-Resid '!$M$68*E299</f>
        <v>3652845.42</v>
      </c>
      <c r="G299" s="857">
        <f t="shared" si="16"/>
        <v>3619420.6906666667</v>
      </c>
      <c r="H299" s="857">
        <f t="shared" si="19"/>
        <v>54291310.359999999</v>
      </c>
      <c r="I299" s="857">
        <f>H299*VLOOKUP(A299,'preus aigua'!$A$4:$K$314,11,FALSE)</f>
        <v>119244131.08325535</v>
      </c>
      <c r="J299" s="857">
        <f>H299*VLOOKUP('3b aigua'!A299,'preus aigua'!$A$4:$H$314,8,FALSE)</f>
        <v>172464087.12774491</v>
      </c>
      <c r="K299" s="857">
        <f t="shared" si="18"/>
        <v>53219956.044489563</v>
      </c>
    </row>
    <row r="300" spans="1:11">
      <c r="A300" s="835">
        <v>8299</v>
      </c>
      <c r="B300" s="826" t="s">
        <v>1708</v>
      </c>
      <c r="C300" s="857">
        <f>VLOOKUP(B300,'BD ASVICC'!$A$6:$GS$316,144,FALSE)</f>
        <v>14153</v>
      </c>
      <c r="D300" s="857">
        <f>VLOOKUP(B300,'BD ASVICC'!$A$6:$GS$316,145,FALSE)</f>
        <v>2260</v>
      </c>
      <c r="E300" s="857">
        <f t="shared" si="17"/>
        <v>16413</v>
      </c>
      <c r="F300" s="857">
        <f>E300+'3. Aigua-Resid '!$M$68*E300</f>
        <v>16741.259999999998</v>
      </c>
      <c r="G300" s="857">
        <f t="shared" si="16"/>
        <v>16588.072</v>
      </c>
      <c r="H300" s="857">
        <f t="shared" si="19"/>
        <v>248821.08</v>
      </c>
      <c r="I300" s="857">
        <f>H300*VLOOKUP(A300,'preus aigua'!$A$4:$K$314,11,FALSE)</f>
        <v>311430.43543392001</v>
      </c>
      <c r="J300" s="857">
        <f>H300*VLOOKUP('3b aigua'!A300,'preus aigua'!$A$4:$H$314,8,FALSE)</f>
        <v>450425.2348772352</v>
      </c>
      <c r="K300" s="857">
        <f t="shared" si="18"/>
        <v>138994.79944331519</v>
      </c>
    </row>
    <row r="301" spans="1:11">
      <c r="A301" s="835">
        <v>8300</v>
      </c>
      <c r="B301" s="826" t="s">
        <v>1710</v>
      </c>
      <c r="C301" s="857">
        <f>VLOOKUP(B301,'BD ASVICC'!$A$6:$GS$316,144,FALSE)</f>
        <v>331995</v>
      </c>
      <c r="D301" s="857">
        <f>VLOOKUP(B301,'BD ASVICC'!$A$6:$GS$316,145,FALSE)</f>
        <v>234351</v>
      </c>
      <c r="E301" s="857">
        <f t="shared" si="17"/>
        <v>566346</v>
      </c>
      <c r="F301" s="857">
        <f>E301+'3. Aigua-Resid '!$M$68*E301</f>
        <v>577672.92000000004</v>
      </c>
      <c r="G301" s="857">
        <f t="shared" si="16"/>
        <v>572387.02399999998</v>
      </c>
      <c r="H301" s="857">
        <f t="shared" si="19"/>
        <v>8585805.3599999994</v>
      </c>
      <c r="I301" s="857">
        <f>H301*VLOOKUP(A301,'preus aigua'!$A$4:$K$314,11,FALSE)</f>
        <v>18127428.36363712</v>
      </c>
      <c r="J301" s="857">
        <f>H301*VLOOKUP('3b aigua'!A301,'preus aigua'!$A$4:$H$314,8,FALSE)</f>
        <v>26217897.319621429</v>
      </c>
      <c r="K301" s="857">
        <f t="shared" si="18"/>
        <v>8090468.9559843093</v>
      </c>
    </row>
    <row r="302" spans="1:11">
      <c r="A302" s="835">
        <v>8301</v>
      </c>
      <c r="B302" s="826" t="s">
        <v>357</v>
      </c>
      <c r="C302" s="857">
        <f>VLOOKUP(B302,'BD ASVICC'!$A$6:$GS$316,144,FALSE)</f>
        <v>2402318</v>
      </c>
      <c r="D302" s="857">
        <f>VLOOKUP(B302,'BD ASVICC'!$A$6:$GS$316,145,FALSE)</f>
        <v>787607</v>
      </c>
      <c r="E302" s="857">
        <f t="shared" si="17"/>
        <v>3189925</v>
      </c>
      <c r="F302" s="857">
        <f>E302+'3. Aigua-Resid '!$M$68*E302</f>
        <v>3253723.5</v>
      </c>
      <c r="G302" s="857">
        <f t="shared" si="16"/>
        <v>3223950.8666666667</v>
      </c>
      <c r="H302" s="857">
        <f t="shared" si="19"/>
        <v>48359263</v>
      </c>
      <c r="I302" s="857">
        <f>H302*VLOOKUP(A302,'preus aigua'!$A$4:$K$314,11,FALSE)</f>
        <v>137896245.00744799</v>
      </c>
      <c r="J302" s="857">
        <f>H302*VLOOKUP('3b aigua'!A302,'preus aigua'!$A$4:$H$314,8,FALSE)</f>
        <v>253334918.71660647</v>
      </c>
      <c r="K302" s="857">
        <f t="shared" si="18"/>
        <v>115438673.70915848</v>
      </c>
    </row>
    <row r="303" spans="1:11">
      <c r="A303" s="835">
        <v>8302</v>
      </c>
      <c r="B303" s="826" t="s">
        <v>1718</v>
      </c>
      <c r="C303" s="857">
        <f>VLOOKUP(B303,'BD ASVICC'!$A$6:$GS$316,144,FALSE)</f>
        <v>408657</v>
      </c>
      <c r="D303" s="857">
        <f>VLOOKUP(B303,'BD ASVICC'!$A$6:$GS$316,145,FALSE)</f>
        <v>116046</v>
      </c>
      <c r="E303" s="857">
        <f t="shared" si="17"/>
        <v>524703</v>
      </c>
      <c r="F303" s="857">
        <f>E303+'3. Aigua-Resid '!$M$68*E303</f>
        <v>535197.06000000006</v>
      </c>
      <c r="G303" s="857">
        <f t="shared" si="16"/>
        <v>530299.83200000005</v>
      </c>
      <c r="H303" s="857">
        <f t="shared" si="19"/>
        <v>7954497.4800000004</v>
      </c>
      <c r="I303" s="857">
        <f>H303*VLOOKUP(A303,'preus aigua'!$A$4:$K$314,11,FALSE)</f>
        <v>18449300.85122624</v>
      </c>
      <c r="J303" s="857">
        <f>H303*VLOOKUP('3b aigua'!A303,'preus aigua'!$A$4:$H$314,8,FALSE)</f>
        <v>26683425.008399975</v>
      </c>
      <c r="K303" s="857">
        <f t="shared" si="18"/>
        <v>8234124.1571737342</v>
      </c>
    </row>
    <row r="304" spans="1:11">
      <c r="A304" s="835">
        <v>8303</v>
      </c>
      <c r="B304" s="826" t="s">
        <v>1722</v>
      </c>
      <c r="C304" s="857">
        <f>VLOOKUP(B304,'BD ASVICC'!$A$6:$GS$316,144,FALSE)</f>
        <v>13074</v>
      </c>
      <c r="D304" s="857">
        <f>VLOOKUP(B304,'BD ASVICC'!$A$6:$GS$316,145,FALSE)</f>
        <v>17905</v>
      </c>
      <c r="E304" s="857">
        <f t="shared" si="17"/>
        <v>30979</v>
      </c>
      <c r="F304" s="857">
        <f>E304+'3. Aigua-Resid '!$M$68*E304</f>
        <v>31598.58</v>
      </c>
      <c r="G304" s="857">
        <f t="shared" si="16"/>
        <v>31309.442666666666</v>
      </c>
      <c r="H304" s="857">
        <f t="shared" si="19"/>
        <v>469641.64</v>
      </c>
      <c r="I304" s="857">
        <f>H304*VLOOKUP(A304,'preus aigua'!$A$4:$K$314,11,FALSE)</f>
        <v>411848.16597045335</v>
      </c>
      <c r="J304" s="857">
        <f>H304*VLOOKUP('3b aigua'!A304,'preus aigua'!$A$4:$H$314,8,FALSE)</f>
        <v>595660.49359476066</v>
      </c>
      <c r="K304" s="857">
        <f t="shared" si="18"/>
        <v>183812.32762430731</v>
      </c>
    </row>
    <row r="305" spans="1:11">
      <c r="A305" s="835">
        <v>8304</v>
      </c>
      <c r="B305" s="826" t="s">
        <v>1728</v>
      </c>
      <c r="C305" s="857">
        <f>VLOOKUP(B305,'BD ASVICC'!$A$6:$GS$316,144,FALSE)</f>
        <v>42963</v>
      </c>
      <c r="D305" s="857">
        <f>VLOOKUP(B305,'BD ASVICC'!$A$6:$GS$316,145,FALSE)</f>
        <v>25409</v>
      </c>
      <c r="E305" s="857">
        <f t="shared" si="17"/>
        <v>68372</v>
      </c>
      <c r="F305" s="857">
        <f>E305+'3. Aigua-Resid '!$M$68*E305</f>
        <v>69739.44</v>
      </c>
      <c r="G305" s="857">
        <f t="shared" si="16"/>
        <v>69101.301333333337</v>
      </c>
      <c r="H305" s="857">
        <f t="shared" si="19"/>
        <v>1036519.52</v>
      </c>
      <c r="I305" s="857">
        <f>H305*VLOOKUP(A305,'preus aigua'!$A$4:$K$314,11,FALSE)</f>
        <v>2619682.8505356796</v>
      </c>
      <c r="J305" s="857">
        <f>H305*VLOOKUP('3b aigua'!A305,'preus aigua'!$A$4:$H$314,8,FALSE)</f>
        <v>4812728.1636124263</v>
      </c>
      <c r="K305" s="857">
        <f t="shared" si="18"/>
        <v>2193045.3130767467</v>
      </c>
    </row>
    <row r="306" spans="1:11">
      <c r="A306" s="835">
        <v>8305</v>
      </c>
      <c r="B306" s="826" t="s">
        <v>1729</v>
      </c>
      <c r="C306" s="857">
        <f>VLOOKUP(B306,'BD ASVICC'!$A$6:$GS$316,144,FALSE)</f>
        <v>1512180</v>
      </c>
      <c r="D306" s="857">
        <f>VLOOKUP(B306,'BD ASVICC'!$A$6:$GS$316,145,FALSE)</f>
        <v>497621</v>
      </c>
      <c r="E306" s="857">
        <f t="shared" si="17"/>
        <v>2009801</v>
      </c>
      <c r="F306" s="857">
        <f>E306+'3. Aigua-Resid '!$M$68*E306</f>
        <v>2049997.02</v>
      </c>
      <c r="G306" s="857">
        <f t="shared" si="16"/>
        <v>2031238.8773333333</v>
      </c>
      <c r="H306" s="857">
        <f t="shared" si="19"/>
        <v>30468583.16</v>
      </c>
      <c r="I306" s="857">
        <f>H306*VLOOKUP(A306,'preus aigua'!$A$4:$K$314,11,FALSE)</f>
        <v>73714065.10620214</v>
      </c>
      <c r="J306" s="857">
        <f>H306*VLOOKUP('3b aigua'!A306,'preus aigua'!$A$4:$H$314,8,FALSE)</f>
        <v>135423170.44921505</v>
      </c>
      <c r="K306" s="857">
        <f t="shared" si="18"/>
        <v>61709105.343012914</v>
      </c>
    </row>
    <row r="307" spans="1:11">
      <c r="A307" s="835">
        <v>8306</v>
      </c>
      <c r="B307" s="826" t="s">
        <v>1730</v>
      </c>
      <c r="C307" s="857">
        <f>VLOOKUP(B307,'BD ASVICC'!$A$6:$GS$316,144,FALSE)</f>
        <v>24564</v>
      </c>
      <c r="D307" s="857">
        <f>VLOOKUP(B307,'BD ASVICC'!$A$6:$GS$316,145,FALSE)</f>
        <v>6083</v>
      </c>
      <c r="E307" s="857">
        <f t="shared" si="17"/>
        <v>30647</v>
      </c>
      <c r="F307" s="857">
        <f>E307+'3. Aigua-Resid '!$M$68*E307</f>
        <v>31259.94</v>
      </c>
      <c r="G307" s="857">
        <f t="shared" si="16"/>
        <v>30973.901333333335</v>
      </c>
      <c r="H307" s="857">
        <f t="shared" si="19"/>
        <v>464608.52</v>
      </c>
      <c r="I307" s="857">
        <f>H307*VLOOKUP(A307,'preus aigua'!$A$4:$K$314,11,FALSE)</f>
        <v>1075989.9688581335</v>
      </c>
      <c r="J307" s="857">
        <f>H307*VLOOKUP('3b aigua'!A307,'preus aigua'!$A$4:$H$314,8,FALSE)</f>
        <v>1556216.0254928216</v>
      </c>
      <c r="K307" s="857">
        <f t="shared" si="18"/>
        <v>480226.05663468805</v>
      </c>
    </row>
    <row r="308" spans="1:11">
      <c r="A308" s="835">
        <v>8307</v>
      </c>
      <c r="B308" s="826" t="s">
        <v>358</v>
      </c>
      <c r="C308" s="857">
        <f>VLOOKUP(B308,'BD ASVICC'!$A$6:$GS$316,144,FALSE)</f>
        <v>2654648</v>
      </c>
      <c r="D308" s="857">
        <f>VLOOKUP(B308,'BD ASVICC'!$A$6:$GS$316,145,FALSE)</f>
        <v>1307767</v>
      </c>
      <c r="E308" s="857">
        <f t="shared" si="17"/>
        <v>3962415</v>
      </c>
      <c r="F308" s="857">
        <f>E308+'3. Aigua-Resid '!$M$68*E308</f>
        <v>4041663.3</v>
      </c>
      <c r="G308" s="857">
        <f t="shared" si="16"/>
        <v>4004680.76</v>
      </c>
      <c r="H308" s="857">
        <f t="shared" si="19"/>
        <v>60070211.399999999</v>
      </c>
      <c r="I308" s="857">
        <f>H308*VLOOKUP(A308,'preus aigua'!$A$4:$K$314,11,FALSE)</f>
        <v>147954212.17604315</v>
      </c>
      <c r="J308" s="857">
        <f>H308*VLOOKUP('3b aigua'!A308,'preus aigua'!$A$4:$H$314,8,FALSE)</f>
        <v>271812827.92271084</v>
      </c>
      <c r="K308" s="857">
        <f t="shared" si="18"/>
        <v>123858615.74666768</v>
      </c>
    </row>
    <row r="309" spans="1:11">
      <c r="A309" s="835">
        <v>8308</v>
      </c>
      <c r="B309" s="826" t="s">
        <v>1737</v>
      </c>
      <c r="C309" s="857">
        <f>VLOOKUP(B309,'BD ASVICC'!$A$6:$GS$316,144,FALSE)</f>
        <v>4751</v>
      </c>
      <c r="D309" s="857">
        <f>VLOOKUP(B309,'BD ASVICC'!$A$6:$GS$316,145,FALSE)</f>
        <v>2218</v>
      </c>
      <c r="E309" s="857">
        <f t="shared" si="17"/>
        <v>6969</v>
      </c>
      <c r="F309" s="857">
        <f>E309+'3. Aigua-Resid '!$M$68*E309</f>
        <v>7108.38</v>
      </c>
      <c r="G309" s="857">
        <f t="shared" si="16"/>
        <v>7043.3360000000002</v>
      </c>
      <c r="H309" s="857">
        <f t="shared" si="19"/>
        <v>105650.04000000001</v>
      </c>
      <c r="I309" s="857">
        <f>H309*VLOOKUP(A309,'preus aigua'!$A$4:$K$314,11,FALSE)</f>
        <v>267746.78337120003</v>
      </c>
      <c r="J309" s="857">
        <f>H309*VLOOKUP('3b aigua'!A309,'preus aigua'!$A$4:$H$314,8,FALSE)</f>
        <v>387245.092534272</v>
      </c>
      <c r="K309" s="857">
        <f t="shared" si="18"/>
        <v>119498.30916307197</v>
      </c>
    </row>
    <row r="310" spans="1:11">
      <c r="A310" s="835">
        <v>8901</v>
      </c>
      <c r="B310" s="826" t="s">
        <v>1742</v>
      </c>
      <c r="C310" s="857">
        <f>VLOOKUP(B310,'BD ASVICC'!$A$6:$GS$316,144,FALSE)</f>
        <v>12013</v>
      </c>
      <c r="D310" s="857">
        <f>VLOOKUP(B310,'BD ASVICC'!$A$6:$GS$316,145,FALSE)</f>
        <v>12521</v>
      </c>
      <c r="E310" s="857">
        <f t="shared" si="17"/>
        <v>24534</v>
      </c>
      <c r="F310" s="857">
        <f>E310+'3. Aigua-Resid '!$M$68*E310</f>
        <v>25024.68</v>
      </c>
      <c r="G310" s="857">
        <f t="shared" si="16"/>
        <v>24795.696</v>
      </c>
      <c r="H310" s="857">
        <f t="shared" si="19"/>
        <v>371935.44</v>
      </c>
      <c r="I310" s="857">
        <f>H310*VLOOKUP(A310,'preus aigua'!$A$4:$K$314,11,FALSE)</f>
        <v>391569.66392064001</v>
      </c>
      <c r="J310" s="857">
        <f>H310*VLOOKUP('3b aigua'!A310,'preus aigua'!$A$4:$H$314,8,FALSE)</f>
        <v>566331.47494563845</v>
      </c>
      <c r="K310" s="857">
        <f t="shared" si="18"/>
        <v>174761.81102499843</v>
      </c>
    </row>
    <row r="311" spans="1:11">
      <c r="A311" s="835">
        <v>8902</v>
      </c>
      <c r="B311" s="826" t="s">
        <v>1743</v>
      </c>
      <c r="C311" s="857">
        <f>VLOOKUP(B311,'BD ASVICC'!$A$6:$GS$316,144,FALSE)</f>
        <v>259563</v>
      </c>
      <c r="D311" s="857">
        <f>VLOOKUP(B311,'BD ASVICC'!$A$6:$GS$316,145,FALSE)</f>
        <v>51336</v>
      </c>
      <c r="E311" s="857">
        <f t="shared" si="17"/>
        <v>310899</v>
      </c>
      <c r="F311" s="857">
        <f>E311+'3. Aigua-Resid '!$M$68*E311</f>
        <v>317116.98</v>
      </c>
      <c r="G311" s="857">
        <f t="shared" si="16"/>
        <v>314215.25599999999</v>
      </c>
      <c r="H311" s="857">
        <f t="shared" si="19"/>
        <v>4713228.84</v>
      </c>
      <c r="I311" s="857">
        <f>H311*VLOOKUP(A311,'preus aigua'!$A$4:$K$314,11,FALSE)</f>
        <v>8797323.3258265611</v>
      </c>
      <c r="J311" s="857">
        <f>H311*VLOOKUP('3b aigua'!A311,'preus aigua'!$A$4:$H$314,8,FALSE)</f>
        <v>16161928.046348207</v>
      </c>
      <c r="K311" s="857">
        <f t="shared" si="18"/>
        <v>7364604.7205216456</v>
      </c>
    </row>
    <row r="312" spans="1:11">
      <c r="A312" s="835">
        <v>8903</v>
      </c>
      <c r="B312" s="826" t="s">
        <v>1746</v>
      </c>
      <c r="C312" s="857">
        <f>VLOOKUP(B312,'BD ASVICC'!$A$6:$GS$316,144,FALSE)</f>
        <v>12998</v>
      </c>
      <c r="D312" s="857">
        <f>VLOOKUP(B312,'BD ASVICC'!$A$6:$GS$316,145,FALSE)</f>
        <v>532</v>
      </c>
      <c r="E312" s="857">
        <f t="shared" si="17"/>
        <v>13530</v>
      </c>
      <c r="F312" s="857">
        <f>E312+'3. Aigua-Resid '!$M$68*E312</f>
        <v>13800.6</v>
      </c>
      <c r="G312" s="857">
        <f t="shared" si="16"/>
        <v>13674.32</v>
      </c>
      <c r="H312" s="857">
        <f t="shared" si="19"/>
        <v>205114.8</v>
      </c>
      <c r="I312" s="857">
        <f>H312*VLOOKUP(A312,'preus aigua'!$A$4:$K$314,11,FALSE)</f>
        <v>165257.43903679997</v>
      </c>
      <c r="J312" s="857">
        <f>H312*VLOOKUP('3b aigua'!A312,'preus aigua'!$A$4:$H$314,8,FALSE)</f>
        <v>239013.63619020797</v>
      </c>
      <c r="K312" s="857">
        <f t="shared" si="18"/>
        <v>73756.197153407993</v>
      </c>
    </row>
    <row r="313" spans="1:11">
      <c r="A313" s="835">
        <v>8904</v>
      </c>
      <c r="B313" s="826" t="s">
        <v>1748</v>
      </c>
      <c r="C313" s="857">
        <f>VLOOKUP(B313,'BD ASVICC'!$A$6:$GS$316,144,FALSE)</f>
        <v>475331</v>
      </c>
      <c r="D313" s="857">
        <f>VLOOKUP(B313,'BD ASVICC'!$A$6:$GS$316,145,FALSE)</f>
        <v>140442</v>
      </c>
      <c r="E313" s="857">
        <f t="shared" si="17"/>
        <v>615773</v>
      </c>
      <c r="F313" s="857">
        <f>E313+'3. Aigua-Resid '!$M$68*E313</f>
        <v>628088.46</v>
      </c>
      <c r="G313" s="857">
        <f t="shared" si="16"/>
        <v>622341.24533333327</v>
      </c>
      <c r="H313" s="857">
        <f t="shared" si="19"/>
        <v>9335118.6799999997</v>
      </c>
      <c r="I313" s="857">
        <f>H313*VLOOKUP(A313,'preus aigua'!$A$4:$K$314,11,FALSE)</f>
        <v>19752389.211035412</v>
      </c>
      <c r="J313" s="857">
        <f>H313*VLOOKUP('3b aigua'!A313,'preus aigua'!$A$4:$H$314,8,FALSE)</f>
        <v>36287934.562439747</v>
      </c>
      <c r="K313" s="857">
        <f t="shared" si="18"/>
        <v>16535545.351404335</v>
      </c>
    </row>
    <row r="314" spans="1:11" ht="15.75" thickBot="1">
      <c r="A314" s="836">
        <v>8905</v>
      </c>
      <c r="B314" s="827" t="s">
        <v>1749</v>
      </c>
      <c r="C314" s="858">
        <f>VLOOKUP(B314,'BD ASVICC'!$A$6:$GS$316,144,FALSE)</f>
        <v>134268</v>
      </c>
      <c r="D314" s="858">
        <f>VLOOKUP(B314,'BD ASVICC'!$A$6:$GS$316,145,FALSE)</f>
        <v>26901</v>
      </c>
      <c r="E314" s="858">
        <f t="shared" si="17"/>
        <v>161169</v>
      </c>
      <c r="F314" s="858">
        <f>E314+'3. Aigua-Resid '!$M$68*E314</f>
        <v>164392.38</v>
      </c>
      <c r="G314" s="858">
        <f t="shared" si="16"/>
        <v>162888.136</v>
      </c>
      <c r="H314" s="858">
        <f t="shared" si="19"/>
        <v>2443322.04</v>
      </c>
      <c r="I314" s="858">
        <f>H314*VLOOKUP(A314,'preus aigua'!$A$4:$K$314,11,FALSE)</f>
        <v>5821380.9061987195</v>
      </c>
      <c r="J314" s="858">
        <f>H314*VLOOKUP('3b aigua'!A314,'preus aigua'!$A$4:$H$314,8,FALSE)</f>
        <v>10694700.632425511</v>
      </c>
      <c r="K314" s="858">
        <f t="shared" si="18"/>
        <v>4873319.7262267917</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2:T142"/>
  <sheetViews>
    <sheetView topLeftCell="A28" zoomScale="85" zoomScaleNormal="85" workbookViewId="0">
      <selection activeCell="B50" sqref="B50"/>
    </sheetView>
  </sheetViews>
  <sheetFormatPr defaultColWidth="11.5703125" defaultRowHeight="12.75"/>
  <cols>
    <col min="1" max="1" width="8.5703125" style="53" customWidth="1"/>
    <col min="2" max="2" width="38.7109375" style="53" customWidth="1"/>
    <col min="3" max="3" width="12.7109375" style="3" customWidth="1"/>
    <col min="4" max="4" width="13.7109375" style="3" customWidth="1"/>
    <col min="5" max="5" width="10.7109375" style="3" customWidth="1"/>
    <col min="6" max="6" width="10.28515625" style="3" customWidth="1"/>
    <col min="7" max="8" width="14" style="3" bestFit="1" customWidth="1"/>
    <col min="9" max="9" width="9" style="3" customWidth="1"/>
    <col min="10" max="10" width="10.5703125" style="3" customWidth="1"/>
    <col min="11" max="11" width="9.85546875" style="3" customWidth="1"/>
    <col min="12" max="12" width="9" style="3" customWidth="1"/>
    <col min="13" max="13" width="9.28515625" style="3" customWidth="1"/>
    <col min="14" max="14" width="13.7109375" style="3" customWidth="1"/>
    <col min="15" max="15" width="9.28515625" style="3" customWidth="1"/>
    <col min="16" max="17" width="8.28515625" style="3" customWidth="1"/>
    <col min="18" max="18" width="9.28515625" style="3" customWidth="1"/>
    <col min="19" max="19" width="14" style="3" bestFit="1" customWidth="1"/>
    <col min="20" max="16384" width="11.5703125" style="3"/>
  </cols>
  <sheetData>
    <row r="2" spans="1:6" ht="22.5" customHeight="1">
      <c r="B2" s="1130" t="s">
        <v>2427</v>
      </c>
      <c r="C2" s="1130"/>
      <c r="D2" s="1130"/>
      <c r="E2" s="1130"/>
      <c r="F2" s="1130"/>
    </row>
    <row r="3" spans="1:6">
      <c r="B3" s="3"/>
    </row>
    <row r="4" spans="1:6">
      <c r="B4" s="54" t="s">
        <v>190</v>
      </c>
    </row>
    <row r="5" spans="1:6">
      <c r="B5" s="117"/>
    </row>
    <row r="6" spans="1:6">
      <c r="B6" s="117"/>
    </row>
    <row r="7" spans="1:6">
      <c r="A7" s="53" t="s">
        <v>197</v>
      </c>
      <c r="B7" s="4" t="s">
        <v>1763</v>
      </c>
    </row>
    <row r="8" spans="1:6">
      <c r="B8" s="4"/>
    </row>
    <row r="9" spans="1:6">
      <c r="B9" s="6" t="s">
        <v>66</v>
      </c>
      <c r="C9" s="44" t="str">
        <f>'A. Dades de partida'!D7</f>
        <v>Vilalba Sasserra</v>
      </c>
    </row>
    <row r="10" spans="1:6">
      <c r="B10" s="6" t="s">
        <v>1760</v>
      </c>
      <c r="C10" s="24">
        <f>'A. Dades de partida'!D8</f>
        <v>8306</v>
      </c>
    </row>
    <row r="11" spans="1:6">
      <c r="B11" s="6" t="s">
        <v>153</v>
      </c>
      <c r="C11" s="44" t="str">
        <f>'A. Dades de partida'!D24</f>
        <v>Vallès Oriental</v>
      </c>
    </row>
    <row r="12" spans="1:6">
      <c r="B12" s="6" t="s">
        <v>1761</v>
      </c>
      <c r="C12" s="24" t="str">
        <f>'A. Dades de partida'!D25</f>
        <v>41</v>
      </c>
    </row>
    <row r="13" spans="1:6">
      <c r="B13" s="6" t="s">
        <v>135</v>
      </c>
      <c r="C13" s="24">
        <f>'A. Dades de partida'!D10</f>
        <v>15</v>
      </c>
    </row>
    <row r="14" spans="1:6">
      <c r="B14" s="6" t="s">
        <v>124</v>
      </c>
      <c r="C14" s="24">
        <f>'A. Dades de partida'!D11</f>
        <v>0</v>
      </c>
    </row>
    <row r="15" spans="1:6">
      <c r="B15" s="6" t="s">
        <v>125</v>
      </c>
      <c r="C15" s="24">
        <f>'A. Dades de partida'!D12</f>
        <v>15</v>
      </c>
    </row>
    <row r="16" spans="1:6">
      <c r="B16" s="6" t="s">
        <v>1769</v>
      </c>
      <c r="C16" s="79">
        <f>'A. Dades de partida'!D14</f>
        <v>684</v>
      </c>
    </row>
    <row r="17" spans="1:8">
      <c r="B17" s="6" t="s">
        <v>1771</v>
      </c>
      <c r="C17" s="79">
        <f>'A. Dades de partida'!D15</f>
        <v>587</v>
      </c>
    </row>
    <row r="18" spans="1:8">
      <c r="B18" s="6" t="s">
        <v>1768</v>
      </c>
      <c r="C18" s="79">
        <f>'A. Dades de partida'!D18</f>
        <v>889241.73</v>
      </c>
    </row>
    <row r="19" spans="1:8">
      <c r="C19" s="53"/>
      <c r="D19" s="53"/>
      <c r="E19" s="53"/>
    </row>
    <row r="20" spans="1:8">
      <c r="B20" s="117"/>
      <c r="H20" s="8"/>
    </row>
    <row r="21" spans="1:8">
      <c r="B21" s="54"/>
      <c r="H21" s="8"/>
    </row>
    <row r="22" spans="1:8">
      <c r="A22" s="53" t="s">
        <v>41</v>
      </c>
      <c r="B22" s="70" t="s">
        <v>205</v>
      </c>
      <c r="H22" s="8"/>
    </row>
    <row r="23" spans="1:8">
      <c r="B23" s="5" t="s">
        <v>311</v>
      </c>
      <c r="H23" s="8"/>
    </row>
    <row r="24" spans="1:8">
      <c r="B24" s="101"/>
      <c r="H24" s="8"/>
    </row>
    <row r="25" spans="1:8">
      <c r="B25" s="22"/>
      <c r="C25" s="56"/>
      <c r="D25" s="81"/>
      <c r="E25" s="331"/>
      <c r="H25" s="8"/>
    </row>
    <row r="26" spans="1:8">
      <c r="B26" s="24" t="s">
        <v>162</v>
      </c>
      <c r="C26" s="83">
        <f>'A. Dades de partida'!D54</f>
        <v>3189925</v>
      </c>
      <c r="D26" s="80" t="s">
        <v>157</v>
      </c>
      <c r="E26" s="53"/>
      <c r="H26" s="8"/>
    </row>
    <row r="27" spans="1:8">
      <c r="B27" s="24" t="s">
        <v>164</v>
      </c>
      <c r="C27" s="83">
        <f>'A. Dades de partida'!D55</f>
        <v>2402318</v>
      </c>
      <c r="D27" s="80" t="s">
        <v>157</v>
      </c>
      <c r="E27" s="53"/>
      <c r="H27" s="8"/>
    </row>
    <row r="28" spans="1:8" ht="25.5">
      <c r="B28" s="82" t="s">
        <v>163</v>
      </c>
      <c r="C28" s="83">
        <f>'A. Dades de partida'!D56</f>
        <v>787607</v>
      </c>
      <c r="D28" s="80" t="s">
        <v>157</v>
      </c>
      <c r="E28" s="53"/>
      <c r="H28" s="8"/>
    </row>
    <row r="29" spans="1:8">
      <c r="B29" s="9" t="s">
        <v>4569</v>
      </c>
      <c r="C29" s="56"/>
      <c r="D29" s="81"/>
      <c r="E29" s="53"/>
      <c r="H29" s="8"/>
    </row>
    <row r="30" spans="1:8">
      <c r="E30" s="53"/>
      <c r="H30" s="8"/>
    </row>
    <row r="31" spans="1:8">
      <c r="B31" s="101"/>
    </row>
    <row r="32" spans="1:8">
      <c r="B32" s="54" t="s">
        <v>2165</v>
      </c>
    </row>
    <row r="33" spans="2:20">
      <c r="B33" s="101" t="s">
        <v>173</v>
      </c>
    </row>
    <row r="34" spans="2:20">
      <c r="B34" s="101"/>
    </row>
    <row r="35" spans="2:20">
      <c r="B35" s="54"/>
      <c r="C35" s="38" t="s">
        <v>2357</v>
      </c>
      <c r="D35" s="38" t="s">
        <v>92</v>
      </c>
    </row>
    <row r="36" spans="2:20">
      <c r="B36" s="48" t="s">
        <v>178</v>
      </c>
      <c r="C36" s="38" t="s">
        <v>172</v>
      </c>
      <c r="D36" s="38" t="s">
        <v>99</v>
      </c>
    </row>
    <row r="37" spans="2:20">
      <c r="B37" s="24" t="s">
        <v>169</v>
      </c>
      <c r="C37" s="115">
        <f>D37*$C$40</f>
        <v>0.31458926190476194</v>
      </c>
      <c r="D37" s="103">
        <f>D46</f>
        <v>0.13095238095238096</v>
      </c>
    </row>
    <row r="38" spans="2:20">
      <c r="B38" s="24" t="s">
        <v>170</v>
      </c>
      <c r="C38" s="115">
        <f>D38*$C$40</f>
        <v>1.6873424047619048</v>
      </c>
      <c r="D38" s="103">
        <f>D47</f>
        <v>0.70238095238095233</v>
      </c>
      <c r="T38" s="3">
        <v>2012</v>
      </c>
    </row>
    <row r="39" spans="2:20">
      <c r="B39" s="24" t="s">
        <v>171</v>
      </c>
      <c r="C39" s="115">
        <f>D39*$C$40</f>
        <v>0.40038633333333334</v>
      </c>
      <c r="D39" s="103">
        <f>D48</f>
        <v>0.16666666666666666</v>
      </c>
    </row>
    <row r="40" spans="2:20">
      <c r="B40" s="48" t="s">
        <v>38</v>
      </c>
      <c r="C40" s="324">
        <f>C27/1000000</f>
        <v>2.4023180000000002</v>
      </c>
      <c r="D40" s="325">
        <f>D49</f>
        <v>0.99999999999999989</v>
      </c>
    </row>
    <row r="41" spans="2:20">
      <c r="B41" s="54"/>
    </row>
    <row r="42" spans="2:20">
      <c r="B42" s="54"/>
    </row>
    <row r="43" spans="2:20">
      <c r="B43" s="54" t="s">
        <v>179</v>
      </c>
    </row>
    <row r="44" spans="2:20">
      <c r="B44" s="53" t="s">
        <v>1766</v>
      </c>
    </row>
    <row r="45" spans="2:20">
      <c r="B45" s="6"/>
      <c r="C45" s="38" t="s">
        <v>92</v>
      </c>
      <c r="D45" s="38" t="s">
        <v>99</v>
      </c>
      <c r="E45" s="38" t="s">
        <v>91</v>
      </c>
      <c r="F45" s="38" t="s">
        <v>99</v>
      </c>
      <c r="G45" s="38" t="s">
        <v>100</v>
      </c>
    </row>
    <row r="46" spans="2:20">
      <c r="B46" s="6" t="s">
        <v>98</v>
      </c>
      <c r="C46" s="62">
        <v>55</v>
      </c>
      <c r="D46" s="94">
        <f>C46/C49</f>
        <v>0.13095238095238096</v>
      </c>
      <c r="E46" s="62">
        <v>75</v>
      </c>
      <c r="F46" s="93">
        <f>E46/E49</f>
        <v>0.17857142857142858</v>
      </c>
      <c r="G46" s="94">
        <f>E46/(180+80)</f>
        <v>0.28846153846153844</v>
      </c>
    </row>
    <row r="47" spans="2:20">
      <c r="B47" s="6" t="s">
        <v>97</v>
      </c>
      <c r="C47" s="62">
        <f>350-55</f>
        <v>295</v>
      </c>
      <c r="D47" s="94">
        <f>C47/C49</f>
        <v>0.70238095238095233</v>
      </c>
      <c r="E47" s="62">
        <f>260-75</f>
        <v>185</v>
      </c>
      <c r="F47" s="93">
        <f>E47/E49</f>
        <v>0.44047619047619047</v>
      </c>
      <c r="G47" s="94">
        <f>E47/(180+80)</f>
        <v>0.71153846153846156</v>
      </c>
    </row>
    <row r="48" spans="2:20">
      <c r="B48" s="6" t="s">
        <v>96</v>
      </c>
      <c r="C48" s="62">
        <v>70</v>
      </c>
      <c r="D48" s="94">
        <f>C48/C49</f>
        <v>0.16666666666666666</v>
      </c>
      <c r="E48" s="62">
        <f>420-260</f>
        <v>160</v>
      </c>
      <c r="F48" s="93">
        <f>E48/E49</f>
        <v>0.38095238095238093</v>
      </c>
      <c r="G48" s="94">
        <f>E48/(E46+E47)</f>
        <v>0.61538461538461542</v>
      </c>
    </row>
    <row r="49" spans="1:11">
      <c r="B49" s="34" t="s">
        <v>38</v>
      </c>
      <c r="C49" s="34">
        <f>SUM(C46:C48)</f>
        <v>420</v>
      </c>
      <c r="D49" s="326">
        <f>SUM(D46:D48)</f>
        <v>0.99999999999999989</v>
      </c>
      <c r="E49" s="34">
        <f>SUM(E46:E48)</f>
        <v>420</v>
      </c>
      <c r="F49" s="327">
        <f>SUM(F46:F48)</f>
        <v>1</v>
      </c>
      <c r="G49" s="326"/>
    </row>
    <row r="50" spans="1:11">
      <c r="B50" s="322" t="s">
        <v>1764</v>
      </c>
    </row>
    <row r="51" spans="1:11">
      <c r="B51" s="54"/>
    </row>
    <row r="52" spans="1:11">
      <c r="A52" s="3"/>
    </row>
    <row r="53" spans="1:11">
      <c r="K53" s="13"/>
    </row>
    <row r="54" spans="1:11">
      <c r="B54" s="54" t="s">
        <v>1989</v>
      </c>
      <c r="K54" s="13"/>
    </row>
    <row r="55" spans="1:11">
      <c r="B55" s="101" t="s">
        <v>2225</v>
      </c>
      <c r="K55" s="13"/>
    </row>
    <row r="56" spans="1:11">
      <c r="B56" s="101"/>
      <c r="K56" s="13"/>
    </row>
    <row r="57" spans="1:11">
      <c r="C57" s="343" t="s">
        <v>158</v>
      </c>
      <c r="K57" s="13"/>
    </row>
    <row r="58" spans="1:11">
      <c r="B58" s="334" t="s">
        <v>159</v>
      </c>
      <c r="C58" s="84" t="str">
        <f>VLOOKUP('A. Dades de partida'!D7,'BD ASVICC'!A6:GP316,101,)</f>
        <v>SD</v>
      </c>
      <c r="K58" s="13"/>
    </row>
    <row r="59" spans="1:11">
      <c r="B59" s="334" t="s">
        <v>160</v>
      </c>
      <c r="C59" s="84" t="str">
        <f>VLOOKUP('A. Dades de partida'!D7,'BD ASVICC'!A6:GP316,102,)</f>
        <v>SD</v>
      </c>
      <c r="K59" s="13"/>
    </row>
    <row r="60" spans="1:11">
      <c r="B60" s="334" t="s">
        <v>161</v>
      </c>
      <c r="C60" s="85" t="e">
        <f>C58+C59</f>
        <v>#VALUE!</v>
      </c>
      <c r="K60" s="13"/>
    </row>
    <row r="61" spans="1:11">
      <c r="K61" s="13"/>
    </row>
    <row r="62" spans="1:11">
      <c r="K62" s="13"/>
    </row>
    <row r="64" spans="1:11">
      <c r="A64" s="53" t="s">
        <v>42</v>
      </c>
      <c r="B64" s="54" t="s">
        <v>181</v>
      </c>
    </row>
    <row r="65" spans="1:20">
      <c r="B65" s="101"/>
    </row>
    <row r="66" spans="1:20">
      <c r="B66" s="34" t="s">
        <v>1800</v>
      </c>
      <c r="C66" s="59" t="s">
        <v>158</v>
      </c>
      <c r="K66" s="34" t="s">
        <v>2719</v>
      </c>
      <c r="L66" s="59" t="s">
        <v>2720</v>
      </c>
      <c r="M66" s="59" t="s">
        <v>2723</v>
      </c>
      <c r="N66" s="34" t="s">
        <v>2724</v>
      </c>
    </row>
    <row r="67" spans="1:20">
      <c r="B67" s="24" t="s">
        <v>169</v>
      </c>
      <c r="C67" s="6">
        <f>C68</f>
        <v>0.16</v>
      </c>
      <c r="D67" s="77" t="s">
        <v>1773</v>
      </c>
      <c r="K67" s="34" t="s">
        <v>158</v>
      </c>
      <c r="L67" s="820">
        <v>0.2</v>
      </c>
      <c r="M67" s="820">
        <v>0.6</v>
      </c>
      <c r="N67" s="6">
        <v>0.3</v>
      </c>
    </row>
    <row r="68" spans="1:20">
      <c r="B68" s="24" t="s">
        <v>170</v>
      </c>
      <c r="C68" s="6">
        <f>(0.05+0.27)/2</f>
        <v>0.16</v>
      </c>
      <c r="D68" s="77" t="s">
        <v>1764</v>
      </c>
      <c r="K68" s="6" t="s">
        <v>2721</v>
      </c>
      <c r="L68" s="6"/>
      <c r="M68" s="859">
        <v>0.02</v>
      </c>
      <c r="N68" s="6"/>
    </row>
    <row r="69" spans="1:20">
      <c r="B69" s="24" t="s">
        <v>171</v>
      </c>
      <c r="C69" s="6">
        <f>(0.41+0.86)/2</f>
        <v>0.63500000000000001</v>
      </c>
      <c r="D69" s="77" t="s">
        <v>2358</v>
      </c>
      <c r="F69" s="3" t="s">
        <v>2359</v>
      </c>
      <c r="K69" s="6" t="s">
        <v>2725</v>
      </c>
      <c r="L69" s="6"/>
      <c r="M69" s="6"/>
      <c r="N69" s="6"/>
    </row>
    <row r="70" spans="1:20">
      <c r="C70" s="53"/>
      <c r="K70" s="4"/>
      <c r="N70" s="4"/>
    </row>
    <row r="71" spans="1:20">
      <c r="B71" s="13"/>
      <c r="K71" s="13" t="s">
        <v>2735</v>
      </c>
      <c r="L71" s="13"/>
      <c r="M71" s="13" t="s">
        <v>2736</v>
      </c>
      <c r="N71" s="829">
        <v>0.46</v>
      </c>
    </row>
    <row r="72" spans="1:20">
      <c r="A72" s="53" t="s">
        <v>47</v>
      </c>
      <c r="B72" s="73" t="s">
        <v>182</v>
      </c>
      <c r="J72" s="13"/>
      <c r="K72" s="13"/>
      <c r="L72" s="13"/>
      <c r="M72" s="886" t="s">
        <v>2737</v>
      </c>
      <c r="N72" s="887">
        <v>0.28000000000000003</v>
      </c>
      <c r="O72" s="888" t="s">
        <v>2739</v>
      </c>
      <c r="P72" s="889"/>
      <c r="Q72" s="889"/>
      <c r="R72" s="889"/>
      <c r="S72" s="889"/>
      <c r="T72" s="888" t="s">
        <v>2753</v>
      </c>
    </row>
    <row r="73" spans="1:20">
      <c r="B73" s="13"/>
      <c r="J73" s="13"/>
      <c r="K73" s="13"/>
      <c r="L73" s="13"/>
      <c r="M73" s="13"/>
    </row>
    <row r="74" spans="1:20">
      <c r="B74" s="34" t="s">
        <v>1800</v>
      </c>
      <c r="C74" s="59" t="s">
        <v>92</v>
      </c>
      <c r="D74" s="59" t="s">
        <v>91</v>
      </c>
    </row>
    <row r="75" spans="1:20">
      <c r="B75" s="24" t="s">
        <v>169</v>
      </c>
      <c r="C75" s="104">
        <f>C67*C37*1000000</f>
        <v>50334.281904761912</v>
      </c>
      <c r="D75" s="104">
        <f>F46*$C$40*1000000*C67</f>
        <v>68637.657142857148</v>
      </c>
      <c r="E75" s="6" t="s">
        <v>19</v>
      </c>
      <c r="K75" s="3" t="s">
        <v>2740</v>
      </c>
      <c r="Q75" s="3" t="s">
        <v>2742</v>
      </c>
    </row>
    <row r="76" spans="1:20">
      <c r="B76" s="24" t="s">
        <v>170</v>
      </c>
      <c r="C76" s="104">
        <f>C68*C38*1000000</f>
        <v>269974.7847619048</v>
      </c>
      <c r="D76" s="104">
        <f>F47*$C$40*1000000*C68</f>
        <v>169306.22095238097</v>
      </c>
      <c r="E76" s="6" t="s">
        <v>19</v>
      </c>
      <c r="K76" s="3" t="s">
        <v>2741</v>
      </c>
    </row>
    <row r="77" spans="1:20">
      <c r="B77" s="24" t="s">
        <v>171</v>
      </c>
      <c r="C77" s="104">
        <f>C69*C39*1000000</f>
        <v>254245.32166666668</v>
      </c>
      <c r="D77" s="104">
        <f>F48*$C$40*1000000*C69</f>
        <v>581132.1638095238</v>
      </c>
      <c r="E77" s="6" t="s">
        <v>19</v>
      </c>
    </row>
    <row r="78" spans="1:20">
      <c r="B78" s="48" t="s">
        <v>38</v>
      </c>
      <c r="C78" s="105">
        <f>SUM(C75:C77)</f>
        <v>574554.38833333342</v>
      </c>
      <c r="D78" s="105">
        <f>SUM(D75:D77)</f>
        <v>819076.04190476192</v>
      </c>
      <c r="E78" s="6" t="s">
        <v>19</v>
      </c>
      <c r="M78" s="3">
        <v>1</v>
      </c>
      <c r="N78" s="3">
        <v>0.16</v>
      </c>
    </row>
    <row r="79" spans="1:20">
      <c r="M79" s="3" t="s">
        <v>2746</v>
      </c>
      <c r="N79" s="3">
        <f>0.8*0.635</f>
        <v>0.50800000000000001</v>
      </c>
    </row>
    <row r="80" spans="1:20">
      <c r="A80" s="53" t="s">
        <v>197</v>
      </c>
      <c r="B80" s="73" t="s">
        <v>183</v>
      </c>
      <c r="M80" s="3" t="s">
        <v>2747</v>
      </c>
      <c r="N80" s="3">
        <f>N79/0.16</f>
        <v>3.1749999999999998</v>
      </c>
      <c r="O80" s="3" t="s">
        <v>2748</v>
      </c>
    </row>
    <row r="81" spans="1:20">
      <c r="A81" s="3"/>
      <c r="B81" s="108" t="s">
        <v>195</v>
      </c>
    </row>
    <row r="82" spans="1:20">
      <c r="A82" s="3"/>
      <c r="B82" s="111" t="s">
        <v>196</v>
      </c>
      <c r="C82" s="13"/>
      <c r="N82" s="3">
        <v>2</v>
      </c>
      <c r="O82" s="3" t="s">
        <v>2749</v>
      </c>
    </row>
    <row r="84" spans="1:20">
      <c r="B84" s="490" t="s">
        <v>192</v>
      </c>
    </row>
    <row r="85" spans="1:20">
      <c r="B85" s="12" t="s">
        <v>191</v>
      </c>
    </row>
    <row r="86" spans="1:20">
      <c r="C86" s="53"/>
      <c r="D86" s="53"/>
      <c r="E86" s="53"/>
    </row>
    <row r="88" spans="1:20">
      <c r="B88" s="3"/>
      <c r="C88" s="6">
        <v>1</v>
      </c>
      <c r="D88" s="6">
        <v>2</v>
      </c>
      <c r="E88" s="6">
        <v>3</v>
      </c>
      <c r="F88" s="6">
        <v>4</v>
      </c>
      <c r="G88" s="6">
        <v>5</v>
      </c>
      <c r="H88" s="6">
        <v>6</v>
      </c>
      <c r="I88" s="6">
        <v>7</v>
      </c>
      <c r="J88" s="6">
        <v>8</v>
      </c>
      <c r="K88" s="6">
        <v>9</v>
      </c>
      <c r="L88" s="6">
        <v>10</v>
      </c>
      <c r="M88" s="6">
        <v>11</v>
      </c>
      <c r="N88" s="6">
        <v>12</v>
      </c>
      <c r="O88" s="6">
        <v>13</v>
      </c>
      <c r="P88" s="6">
        <v>14</v>
      </c>
      <c r="Q88" s="6">
        <v>15</v>
      </c>
    </row>
    <row r="89" spans="1:20">
      <c r="B89" s="6" t="s">
        <v>59</v>
      </c>
      <c r="C89" s="6">
        <f>$C$14+C88</f>
        <v>1</v>
      </c>
      <c r="D89" s="6">
        <f t="shared" ref="D89:Q89" si="0">$C$14+D88</f>
        <v>2</v>
      </c>
      <c r="E89" s="6">
        <f t="shared" si="0"/>
        <v>3</v>
      </c>
      <c r="F89" s="6">
        <f t="shared" si="0"/>
        <v>4</v>
      </c>
      <c r="G89" s="6">
        <f t="shared" si="0"/>
        <v>5</v>
      </c>
      <c r="H89" s="6">
        <f t="shared" si="0"/>
        <v>6</v>
      </c>
      <c r="I89" s="6">
        <f t="shared" si="0"/>
        <v>7</v>
      </c>
      <c r="J89" s="6">
        <f t="shared" si="0"/>
        <v>8</v>
      </c>
      <c r="K89" s="6">
        <f t="shared" si="0"/>
        <v>9</v>
      </c>
      <c r="L89" s="6">
        <f t="shared" si="0"/>
        <v>10</v>
      </c>
      <c r="M89" s="6">
        <f t="shared" si="0"/>
        <v>11</v>
      </c>
      <c r="N89" s="6">
        <f t="shared" si="0"/>
        <v>12</v>
      </c>
      <c r="O89" s="6">
        <f t="shared" si="0"/>
        <v>13</v>
      </c>
      <c r="P89" s="6">
        <f t="shared" si="0"/>
        <v>14</v>
      </c>
      <c r="Q89" s="6">
        <f t="shared" si="0"/>
        <v>15</v>
      </c>
    </row>
    <row r="90" spans="1:20">
      <c r="B90" s="6" t="s">
        <v>185</v>
      </c>
      <c r="C90" s="62">
        <v>1</v>
      </c>
      <c r="D90" s="62">
        <v>1</v>
      </c>
      <c r="E90" s="62">
        <v>1</v>
      </c>
      <c r="F90" s="62"/>
      <c r="G90" s="62">
        <v>1</v>
      </c>
      <c r="H90" s="62">
        <v>1</v>
      </c>
      <c r="I90" s="62">
        <v>1</v>
      </c>
      <c r="J90" s="62"/>
      <c r="K90" s="62">
        <v>1</v>
      </c>
      <c r="L90" s="62">
        <v>1</v>
      </c>
      <c r="M90" s="62">
        <v>1</v>
      </c>
      <c r="N90" s="62"/>
      <c r="O90" s="62">
        <v>1</v>
      </c>
      <c r="P90" s="62">
        <v>1</v>
      </c>
      <c r="Q90" s="62">
        <v>1</v>
      </c>
    </row>
    <row r="91" spans="1:20" s="53" customFormat="1">
      <c r="B91" s="6" t="s">
        <v>184</v>
      </c>
      <c r="C91" s="62"/>
      <c r="D91" s="62"/>
      <c r="E91" s="62"/>
      <c r="F91" s="62">
        <v>1</v>
      </c>
      <c r="G91" s="62"/>
      <c r="H91" s="62"/>
      <c r="I91" s="62"/>
      <c r="J91" s="62">
        <v>1</v>
      </c>
      <c r="K91" s="62"/>
      <c r="L91" s="62"/>
      <c r="M91" s="62"/>
      <c r="N91" s="62">
        <v>1</v>
      </c>
      <c r="O91" s="62"/>
      <c r="P91" s="62"/>
      <c r="Q91" s="62"/>
      <c r="R91" s="3"/>
      <c r="S91" s="3" t="s">
        <v>188</v>
      </c>
      <c r="T91" s="3"/>
    </row>
    <row r="92" spans="1:20" s="53" customFormat="1">
      <c r="B92" s="6" t="s">
        <v>186</v>
      </c>
      <c r="C92" s="79">
        <f>$C$78*C90</f>
        <v>574554.38833333342</v>
      </c>
      <c r="D92" s="79">
        <f t="shared" ref="D92:Q92" si="1">$C$78*D90</f>
        <v>574554.38833333342</v>
      </c>
      <c r="E92" s="79">
        <f t="shared" si="1"/>
        <v>574554.38833333342</v>
      </c>
      <c r="F92" s="79">
        <f t="shared" si="1"/>
        <v>0</v>
      </c>
      <c r="G92" s="79">
        <f t="shared" si="1"/>
        <v>574554.38833333342</v>
      </c>
      <c r="H92" s="79">
        <f t="shared" si="1"/>
        <v>574554.38833333342</v>
      </c>
      <c r="I92" s="79">
        <f t="shared" si="1"/>
        <v>574554.38833333342</v>
      </c>
      <c r="J92" s="79">
        <f t="shared" si="1"/>
        <v>0</v>
      </c>
      <c r="K92" s="79">
        <f t="shared" si="1"/>
        <v>574554.38833333342</v>
      </c>
      <c r="L92" s="79">
        <f t="shared" si="1"/>
        <v>574554.38833333342</v>
      </c>
      <c r="M92" s="79">
        <f t="shared" si="1"/>
        <v>574554.38833333342</v>
      </c>
      <c r="N92" s="79">
        <f t="shared" si="1"/>
        <v>0</v>
      </c>
      <c r="O92" s="79">
        <f t="shared" si="1"/>
        <v>574554.38833333342</v>
      </c>
      <c r="P92" s="79">
        <f t="shared" si="1"/>
        <v>574554.38833333342</v>
      </c>
      <c r="Q92" s="79">
        <f t="shared" si="1"/>
        <v>574554.38833333342</v>
      </c>
      <c r="R92" s="3"/>
      <c r="S92" s="11">
        <f>SUM(C92:Q92)</f>
        <v>6894652.6600000029</v>
      </c>
      <c r="T92" s="3"/>
    </row>
    <row r="93" spans="1:20" s="53" customFormat="1">
      <c r="B93" s="6" t="s">
        <v>187</v>
      </c>
      <c r="C93" s="79">
        <f>$D$78*C91</f>
        <v>0</v>
      </c>
      <c r="D93" s="79">
        <f t="shared" ref="D93:Q93" si="2">$D$78*D91</f>
        <v>0</v>
      </c>
      <c r="E93" s="79">
        <f t="shared" si="2"/>
        <v>0</v>
      </c>
      <c r="F93" s="79">
        <f>$D$78*F91</f>
        <v>819076.04190476192</v>
      </c>
      <c r="G93" s="79">
        <f t="shared" si="2"/>
        <v>0</v>
      </c>
      <c r="H93" s="79">
        <f t="shared" si="2"/>
        <v>0</v>
      </c>
      <c r="I93" s="79">
        <f t="shared" si="2"/>
        <v>0</v>
      </c>
      <c r="J93" s="79">
        <f t="shared" si="2"/>
        <v>819076.04190476192</v>
      </c>
      <c r="K93" s="79">
        <f t="shared" si="2"/>
        <v>0</v>
      </c>
      <c r="L93" s="79">
        <f t="shared" si="2"/>
        <v>0</v>
      </c>
      <c r="M93" s="79">
        <f t="shared" si="2"/>
        <v>0</v>
      </c>
      <c r="N93" s="79">
        <f t="shared" si="2"/>
        <v>819076.04190476192</v>
      </c>
      <c r="O93" s="79">
        <f t="shared" si="2"/>
        <v>0</v>
      </c>
      <c r="P93" s="79">
        <f t="shared" si="2"/>
        <v>0</v>
      </c>
      <c r="Q93" s="79">
        <f t="shared" si="2"/>
        <v>0</v>
      </c>
      <c r="R93" s="3"/>
      <c r="S93" s="11">
        <f>SUM(C93:Q93)</f>
        <v>2457228.1257142858</v>
      </c>
      <c r="T93" s="3"/>
    </row>
    <row r="94" spans="1:20">
      <c r="B94" s="22"/>
      <c r="S94" s="68">
        <f>S92+S93</f>
        <v>9351880.7857142892</v>
      </c>
    </row>
    <row r="96" spans="1:20">
      <c r="A96" s="53" t="s">
        <v>48</v>
      </c>
      <c r="B96" s="48" t="s">
        <v>2013</v>
      </c>
      <c r="C96" s="106">
        <f>S94/1000000</f>
        <v>9.3518807857142896</v>
      </c>
    </row>
    <row r="97" spans="1:8">
      <c r="B97" s="70"/>
      <c r="C97" s="70"/>
      <c r="D97" s="70"/>
    </row>
    <row r="98" spans="1:8">
      <c r="B98" s="70"/>
      <c r="C98" s="70"/>
      <c r="D98" s="70"/>
    </row>
    <row r="99" spans="1:8">
      <c r="B99" s="98"/>
    </row>
    <row r="100" spans="1:8">
      <c r="A100" s="53" t="s">
        <v>44</v>
      </c>
      <c r="B100" s="108" t="s">
        <v>217</v>
      </c>
    </row>
    <row r="101" spans="1:8">
      <c r="B101" s="111" t="s">
        <v>196</v>
      </c>
    </row>
    <row r="102" spans="1:8">
      <c r="B102" s="101" t="s">
        <v>214</v>
      </c>
    </row>
    <row r="103" spans="1:8">
      <c r="B103" s="111"/>
      <c r="C103" s="38" t="s">
        <v>92</v>
      </c>
      <c r="F103" s="3" t="s">
        <v>213</v>
      </c>
    </row>
    <row r="104" spans="1:8" ht="14.65" customHeight="1">
      <c r="B104" s="111"/>
      <c r="C104" s="38" t="s">
        <v>172</v>
      </c>
      <c r="D104" s="1156" t="s">
        <v>215</v>
      </c>
      <c r="E104" s="1157"/>
      <c r="F104" s="1158" t="s">
        <v>216</v>
      </c>
      <c r="G104" s="1158"/>
      <c r="H104" s="1158"/>
    </row>
    <row r="105" spans="1:8">
      <c r="B105" s="48" t="s">
        <v>211</v>
      </c>
      <c r="C105" s="6">
        <v>2015</v>
      </c>
      <c r="D105" s="621">
        <v>2050</v>
      </c>
      <c r="E105" s="621">
        <v>2050</v>
      </c>
      <c r="F105" s="6">
        <v>2050</v>
      </c>
      <c r="G105" s="6">
        <v>2050</v>
      </c>
      <c r="H105" s="34">
        <v>2030</v>
      </c>
    </row>
    <row r="106" spans="1:8">
      <c r="B106" s="24" t="s">
        <v>169</v>
      </c>
      <c r="C106" s="50">
        <f>C37</f>
        <v>0.31458926190476194</v>
      </c>
      <c r="D106" s="622">
        <v>-0.09</v>
      </c>
      <c r="E106" s="623">
        <f>C106*(1+D106)</f>
        <v>0.28627622833333338</v>
      </c>
      <c r="F106" s="66">
        <v>-0.09</v>
      </c>
      <c r="G106" s="35">
        <f>E106</f>
        <v>0.28627622833333338</v>
      </c>
      <c r="H106" s="36">
        <f>(C106-G106)/($G$105-$C$105)*($H$105-$C$105)+G106</f>
        <v>0.29841038557823135</v>
      </c>
    </row>
    <row r="107" spans="1:8">
      <c r="B107" s="24" t="s">
        <v>170</v>
      </c>
      <c r="C107" s="50">
        <f>C38</f>
        <v>1.6873424047619048</v>
      </c>
      <c r="D107" s="622">
        <v>-0.12</v>
      </c>
      <c r="E107" s="623">
        <f>C107*(1+D107)</f>
        <v>1.4848613161904762</v>
      </c>
      <c r="F107" s="66">
        <v>-0.12</v>
      </c>
      <c r="G107" s="35">
        <f>E107</f>
        <v>1.4848613161904762</v>
      </c>
      <c r="H107" s="36">
        <f>(C107-G107)/($G$105-$C$105)*($H$105-$C$105)+G107</f>
        <v>1.5716389255782313</v>
      </c>
    </row>
    <row r="108" spans="1:8">
      <c r="B108" s="24" t="s">
        <v>171</v>
      </c>
      <c r="C108" s="50">
        <f>C39</f>
        <v>0.40038633333333334</v>
      </c>
      <c r="D108" s="624">
        <f>(E108-C108)/C108</f>
        <v>0.57642857142857173</v>
      </c>
      <c r="E108" s="623">
        <f>E109-E107-E106</f>
        <v>0.63118045547619062</v>
      </c>
      <c r="F108" s="94">
        <f>(G108-C108)/C108</f>
        <v>0.81642857142857173</v>
      </c>
      <c r="G108" s="35">
        <f>E108+E109*F109</f>
        <v>0.72727317547619064</v>
      </c>
      <c r="H108" s="36">
        <f>(C108-G108)/($E$105-$C$105)*($H$105-$C$105)+G108</f>
        <v>0.58717881455782317</v>
      </c>
    </row>
    <row r="109" spans="1:8">
      <c r="B109" s="48" t="s">
        <v>212</v>
      </c>
      <c r="C109" s="76">
        <f>SUM(C106:C108)</f>
        <v>2.4023180000000002</v>
      </c>
      <c r="D109" s="625">
        <v>0</v>
      </c>
      <c r="E109" s="626">
        <f>C109*(1+D109)</f>
        <v>2.4023180000000002</v>
      </c>
      <c r="F109" s="328">
        <v>0.04</v>
      </c>
      <c r="G109" s="36">
        <f>C109*(1+F109)</f>
        <v>2.4984107200000003</v>
      </c>
      <c r="H109" s="36">
        <f>SUM(H106:H108)</f>
        <v>2.4572281257142858</v>
      </c>
    </row>
    <row r="110" spans="1:8">
      <c r="C110" s="53"/>
      <c r="D110" s="53"/>
      <c r="E110" s="53"/>
      <c r="G110" s="53"/>
      <c r="H110" s="53"/>
    </row>
    <row r="111" spans="1:8">
      <c r="B111" s="98"/>
    </row>
    <row r="112" spans="1:8">
      <c r="A112" s="53" t="s">
        <v>49</v>
      </c>
      <c r="B112" s="73" t="s">
        <v>189</v>
      </c>
    </row>
    <row r="113" spans="2:18">
      <c r="B113" s="99"/>
    </row>
    <row r="114" spans="2:18">
      <c r="B114" s="3"/>
      <c r="C114" s="6">
        <v>0</v>
      </c>
      <c r="D114" s="6">
        <v>1</v>
      </c>
      <c r="E114" s="6">
        <v>2</v>
      </c>
      <c r="F114" s="6">
        <v>3</v>
      </c>
      <c r="G114" s="6">
        <v>4</v>
      </c>
      <c r="H114" s="6">
        <v>5</v>
      </c>
      <c r="I114" s="6">
        <v>6</v>
      </c>
      <c r="J114" s="6">
        <v>7</v>
      </c>
      <c r="K114" s="6">
        <v>8</v>
      </c>
      <c r="L114" s="6">
        <v>9</v>
      </c>
      <c r="M114" s="6">
        <v>10</v>
      </c>
      <c r="N114" s="6">
        <v>11</v>
      </c>
      <c r="O114" s="6">
        <v>12</v>
      </c>
      <c r="P114" s="6">
        <v>13</v>
      </c>
      <c r="Q114" s="6">
        <v>14</v>
      </c>
      <c r="R114" s="6">
        <v>15</v>
      </c>
    </row>
    <row r="115" spans="2:18">
      <c r="B115" s="95" t="s">
        <v>59</v>
      </c>
      <c r="C115" s="6">
        <f>$C$14+C114</f>
        <v>0</v>
      </c>
      <c r="D115" s="6">
        <f t="shared" ref="D115:R115" si="3">$C$14+D114</f>
        <v>1</v>
      </c>
      <c r="E115" s="6">
        <f t="shared" si="3"/>
        <v>2</v>
      </c>
      <c r="F115" s="6">
        <f t="shared" si="3"/>
        <v>3</v>
      </c>
      <c r="G115" s="6">
        <f t="shared" si="3"/>
        <v>4</v>
      </c>
      <c r="H115" s="6">
        <f t="shared" si="3"/>
        <v>5</v>
      </c>
      <c r="I115" s="6">
        <f t="shared" si="3"/>
        <v>6</v>
      </c>
      <c r="J115" s="6">
        <f t="shared" si="3"/>
        <v>7</v>
      </c>
      <c r="K115" s="6">
        <f t="shared" si="3"/>
        <v>8</v>
      </c>
      <c r="L115" s="6">
        <f t="shared" si="3"/>
        <v>9</v>
      </c>
      <c r="M115" s="6">
        <f t="shared" si="3"/>
        <v>10</v>
      </c>
      <c r="N115" s="6">
        <f t="shared" si="3"/>
        <v>11</v>
      </c>
      <c r="O115" s="6">
        <f t="shared" si="3"/>
        <v>12</v>
      </c>
      <c r="P115" s="6">
        <f t="shared" si="3"/>
        <v>13</v>
      </c>
      <c r="Q115" s="6">
        <f t="shared" si="3"/>
        <v>14</v>
      </c>
      <c r="R115" s="6">
        <f t="shared" si="3"/>
        <v>15</v>
      </c>
    </row>
    <row r="116" spans="2:18">
      <c r="B116" s="6" t="s">
        <v>198</v>
      </c>
      <c r="C116" s="96">
        <f>C106</f>
        <v>0.31458926190476194</v>
      </c>
      <c r="D116" s="96">
        <f>($C$116-$R$116)/($R$115-$C$115)*($R$115-D115)+$R$116</f>
        <v>0.31351067014965989</v>
      </c>
      <c r="E116" s="96">
        <f>($C$116-$R$116)/($R$115-$C$115)*($R$115-E115)+$R$116</f>
        <v>0.31243207839455789</v>
      </c>
      <c r="F116" s="96">
        <f>($C$116-$R$116)/($R$115-$C$115)*($R$115-F115)+$R$116</f>
        <v>0.31135348663945583</v>
      </c>
      <c r="G116" s="96">
        <f t="shared" ref="G116:Q116" si="4">($C$116-$R$116)/($R$115-$C$115)*($R$115-G115)+$R$116</f>
        <v>0.31027489488435378</v>
      </c>
      <c r="H116" s="96">
        <f t="shared" si="4"/>
        <v>0.30919630312925173</v>
      </c>
      <c r="I116" s="96">
        <f t="shared" si="4"/>
        <v>0.30811771137414973</v>
      </c>
      <c r="J116" s="96">
        <f t="shared" si="4"/>
        <v>0.30703911961904767</v>
      </c>
      <c r="K116" s="96">
        <f t="shared" si="4"/>
        <v>0.30596052786394562</v>
      </c>
      <c r="L116" s="96">
        <f t="shared" si="4"/>
        <v>0.30488193610884357</v>
      </c>
      <c r="M116" s="96">
        <f t="shared" si="4"/>
        <v>0.30380334435374157</v>
      </c>
      <c r="N116" s="96">
        <f t="shared" si="4"/>
        <v>0.30272475259863951</v>
      </c>
      <c r="O116" s="96">
        <f t="shared" si="4"/>
        <v>0.30164616084353746</v>
      </c>
      <c r="P116" s="96">
        <f t="shared" si="4"/>
        <v>0.3005675690884354</v>
      </c>
      <c r="Q116" s="96">
        <f t="shared" si="4"/>
        <v>0.29948897733333341</v>
      </c>
      <c r="R116" s="96">
        <f>H106</f>
        <v>0.29841038557823135</v>
      </c>
    </row>
    <row r="117" spans="2:18">
      <c r="B117" s="6" t="s">
        <v>199</v>
      </c>
      <c r="C117" s="79">
        <f t="shared" ref="C117:R117" si="5">C116*$C$67*1000000</f>
        <v>50334.281904761912</v>
      </c>
      <c r="D117" s="79">
        <f t="shared" si="5"/>
        <v>50161.707223945581</v>
      </c>
      <c r="E117" s="79">
        <f t="shared" si="5"/>
        <v>49989.132543129264</v>
      </c>
      <c r="F117" s="79">
        <f t="shared" si="5"/>
        <v>49816.557862312933</v>
      </c>
      <c r="G117" s="79">
        <f t="shared" si="5"/>
        <v>49643.983181496602</v>
      </c>
      <c r="H117" s="79">
        <f t="shared" si="5"/>
        <v>49471.408500680278</v>
      </c>
      <c r="I117" s="79">
        <f t="shared" si="5"/>
        <v>49298.833819863954</v>
      </c>
      <c r="J117" s="79">
        <f t="shared" si="5"/>
        <v>49126.259139047623</v>
      </c>
      <c r="K117" s="79">
        <f t="shared" si="5"/>
        <v>48953.684458231299</v>
      </c>
      <c r="L117" s="79">
        <f t="shared" si="5"/>
        <v>48781.109777414968</v>
      </c>
      <c r="M117" s="79">
        <f t="shared" si="5"/>
        <v>48608.535096598651</v>
      </c>
      <c r="N117" s="79">
        <f t="shared" si="5"/>
        <v>48435.960415782327</v>
      </c>
      <c r="O117" s="79">
        <f t="shared" si="5"/>
        <v>48263.385734965996</v>
      </c>
      <c r="P117" s="79">
        <f t="shared" si="5"/>
        <v>48090.811054149672</v>
      </c>
      <c r="Q117" s="79">
        <f t="shared" si="5"/>
        <v>47918.236373333348</v>
      </c>
      <c r="R117" s="79">
        <f t="shared" si="5"/>
        <v>47745.661692517016</v>
      </c>
    </row>
    <row r="118" spans="2:18">
      <c r="B118" s="6" t="s">
        <v>200</v>
      </c>
      <c r="C118" s="116">
        <f>C107</f>
        <v>1.6873424047619048</v>
      </c>
      <c r="D118" s="96">
        <f>($C$118-$R$118)/($R$115-$C$115)*($R$115-D115)+$R$118</f>
        <v>1.6796288394829932</v>
      </c>
      <c r="E118" s="96">
        <f t="shared" ref="E118:Q118" si="6">($C$118-$R$118)/($R$115-$C$115)*($R$115-E115)+$R$118</f>
        <v>1.6719152742040817</v>
      </c>
      <c r="F118" s="96">
        <f t="shared" si="6"/>
        <v>1.6642017089251702</v>
      </c>
      <c r="G118" s="96">
        <f t="shared" si="6"/>
        <v>1.6564881436462584</v>
      </c>
      <c r="H118" s="96">
        <f t="shared" si="6"/>
        <v>1.6487745783673469</v>
      </c>
      <c r="I118" s="96">
        <f t="shared" si="6"/>
        <v>1.6410610130884353</v>
      </c>
      <c r="J118" s="96">
        <f t="shared" si="6"/>
        <v>1.6333474478095238</v>
      </c>
      <c r="K118" s="96">
        <f t="shared" si="6"/>
        <v>1.6256338825306123</v>
      </c>
      <c r="L118" s="96">
        <f t="shared" si="6"/>
        <v>1.6179203172517007</v>
      </c>
      <c r="M118" s="96">
        <f t="shared" si="6"/>
        <v>1.6102067519727892</v>
      </c>
      <c r="N118" s="96">
        <f t="shared" si="6"/>
        <v>1.6024931866938776</v>
      </c>
      <c r="O118" s="96">
        <f t="shared" si="6"/>
        <v>1.5947796214149659</v>
      </c>
      <c r="P118" s="96">
        <f t="shared" si="6"/>
        <v>1.5870660561360543</v>
      </c>
      <c r="Q118" s="96">
        <f t="shared" si="6"/>
        <v>1.5793524908571428</v>
      </c>
      <c r="R118" s="96">
        <f>H107</f>
        <v>1.5716389255782313</v>
      </c>
    </row>
    <row r="119" spans="2:18">
      <c r="B119" s="6" t="s">
        <v>201</v>
      </c>
      <c r="C119" s="79">
        <f t="shared" ref="C119:R119" si="7">C118*$C$68*1000000</f>
        <v>269974.7847619048</v>
      </c>
      <c r="D119" s="79">
        <f t="shared" si="7"/>
        <v>268740.6143172789</v>
      </c>
      <c r="E119" s="79">
        <f t="shared" si="7"/>
        <v>267506.44387265312</v>
      </c>
      <c r="F119" s="79">
        <f t="shared" si="7"/>
        <v>266272.27342802723</v>
      </c>
      <c r="G119" s="79">
        <f t="shared" si="7"/>
        <v>265038.10298340133</v>
      </c>
      <c r="H119" s="79">
        <f t="shared" si="7"/>
        <v>263803.93253877549</v>
      </c>
      <c r="I119" s="79">
        <f t="shared" si="7"/>
        <v>262569.76209414966</v>
      </c>
      <c r="J119" s="79">
        <f t="shared" si="7"/>
        <v>261335.59164952379</v>
      </c>
      <c r="K119" s="79">
        <f t="shared" si="7"/>
        <v>260101.42120489798</v>
      </c>
      <c r="L119" s="79">
        <f t="shared" si="7"/>
        <v>258867.25076027212</v>
      </c>
      <c r="M119" s="79">
        <f t="shared" si="7"/>
        <v>257633.08031564625</v>
      </c>
      <c r="N119" s="79">
        <f t="shared" si="7"/>
        <v>256398.90987102044</v>
      </c>
      <c r="O119" s="79">
        <f t="shared" si="7"/>
        <v>255164.73942639455</v>
      </c>
      <c r="P119" s="79">
        <f t="shared" si="7"/>
        <v>253930.56898176868</v>
      </c>
      <c r="Q119" s="79">
        <f t="shared" si="7"/>
        <v>252696.39853714287</v>
      </c>
      <c r="R119" s="79">
        <f t="shared" si="7"/>
        <v>251462.22809251701</v>
      </c>
    </row>
    <row r="120" spans="2:18">
      <c r="B120" s="6" t="s">
        <v>202</v>
      </c>
      <c r="C120" s="116">
        <f>C108</f>
        <v>0.40038633333333334</v>
      </c>
      <c r="D120" s="96">
        <f>($C$120-$R$120)/($R$115-$C$115)*($R$115-D115)+$R$120</f>
        <v>0.41283916541496601</v>
      </c>
      <c r="E120" s="96">
        <f t="shared" ref="E120:Q120" si="8">($C$120-$R$120)/($R$115-$C$115)*($R$115-E115)+$R$120</f>
        <v>0.42529199749659863</v>
      </c>
      <c r="F120" s="96">
        <f t="shared" si="8"/>
        <v>0.43774482957823135</v>
      </c>
      <c r="G120" s="96">
        <f t="shared" si="8"/>
        <v>0.45019766165986397</v>
      </c>
      <c r="H120" s="96">
        <f t="shared" si="8"/>
        <v>0.46265049374149664</v>
      </c>
      <c r="I120" s="96">
        <f t="shared" si="8"/>
        <v>0.47510332582312931</v>
      </c>
      <c r="J120" s="96">
        <f t="shared" si="8"/>
        <v>0.48755615790476192</v>
      </c>
      <c r="K120" s="96">
        <f t="shared" si="8"/>
        <v>0.50000898998639465</v>
      </c>
      <c r="L120" s="96">
        <f t="shared" si="8"/>
        <v>0.51246182206802726</v>
      </c>
      <c r="M120" s="96">
        <f t="shared" si="8"/>
        <v>0.52491465414965988</v>
      </c>
      <c r="N120" s="96">
        <f t="shared" si="8"/>
        <v>0.5373674862312926</v>
      </c>
      <c r="O120" s="96">
        <f t="shared" si="8"/>
        <v>0.54982031831292522</v>
      </c>
      <c r="P120" s="96">
        <f t="shared" si="8"/>
        <v>0.56227315039455783</v>
      </c>
      <c r="Q120" s="96">
        <f t="shared" si="8"/>
        <v>0.57472598247619056</v>
      </c>
      <c r="R120" s="96">
        <f>H108</f>
        <v>0.58717881455782317</v>
      </c>
    </row>
    <row r="121" spans="2:18">
      <c r="B121" s="6" t="s">
        <v>203</v>
      </c>
      <c r="C121" s="79">
        <f t="shared" ref="C121:R121" si="9">C120*$C$69*1000000</f>
        <v>254245.32166666668</v>
      </c>
      <c r="D121" s="79">
        <f t="shared" si="9"/>
        <v>262152.87003850343</v>
      </c>
      <c r="E121" s="79">
        <f t="shared" si="9"/>
        <v>270060.41841034009</v>
      </c>
      <c r="F121" s="79">
        <f t="shared" si="9"/>
        <v>277967.96678217687</v>
      </c>
      <c r="G121" s="79">
        <f t="shared" si="9"/>
        <v>285875.51515401358</v>
      </c>
      <c r="H121" s="79">
        <f t="shared" si="9"/>
        <v>293783.06352585036</v>
      </c>
      <c r="I121" s="79">
        <f t="shared" si="9"/>
        <v>301690.61189768708</v>
      </c>
      <c r="J121" s="79">
        <f t="shared" si="9"/>
        <v>309598.1602695238</v>
      </c>
      <c r="K121" s="79">
        <f t="shared" si="9"/>
        <v>317505.70864136063</v>
      </c>
      <c r="L121" s="79">
        <f t="shared" si="9"/>
        <v>325413.25701319735</v>
      </c>
      <c r="M121" s="79">
        <f t="shared" si="9"/>
        <v>333320.80538503401</v>
      </c>
      <c r="N121" s="79">
        <f t="shared" si="9"/>
        <v>341228.35375687084</v>
      </c>
      <c r="O121" s="79">
        <f t="shared" si="9"/>
        <v>349135.90212870756</v>
      </c>
      <c r="P121" s="79">
        <f t="shared" si="9"/>
        <v>357043.45050054422</v>
      </c>
      <c r="Q121" s="79">
        <f t="shared" si="9"/>
        <v>364950.99887238105</v>
      </c>
      <c r="R121" s="79">
        <f t="shared" si="9"/>
        <v>372858.54724421777</v>
      </c>
    </row>
    <row r="122" spans="2:18">
      <c r="B122" s="22"/>
    </row>
    <row r="123" spans="2:18">
      <c r="B123" s="70" t="s">
        <v>204</v>
      </c>
    </row>
    <row r="124" spans="2:18">
      <c r="B124" s="24" t="s">
        <v>169</v>
      </c>
      <c r="C124" s="11">
        <f>SUM(C117:R117)</f>
        <v>784639.54877823149</v>
      </c>
    </row>
    <row r="125" spans="2:18">
      <c r="B125" s="24" t="s">
        <v>170</v>
      </c>
      <c r="C125" s="11">
        <f>SUM(C119:R119)</f>
        <v>4171496.102835374</v>
      </c>
    </row>
    <row r="126" spans="2:18">
      <c r="B126" s="24" t="s">
        <v>171</v>
      </c>
      <c r="C126" s="11">
        <f>SUM(C121:R121)</f>
        <v>5016830.9512870759</v>
      </c>
    </row>
    <row r="127" spans="2:18">
      <c r="B127" s="48" t="s">
        <v>38</v>
      </c>
      <c r="C127" s="68">
        <f>SUM(C124:C126)</f>
        <v>9972966.6029006802</v>
      </c>
    </row>
    <row r="129" spans="1:3" s="53" customFormat="1">
      <c r="A129" s="53" t="s">
        <v>50</v>
      </c>
      <c r="B129" s="89" t="s">
        <v>2008</v>
      </c>
      <c r="C129" s="106">
        <f>C127/1000000</f>
        <v>9.97296660290068</v>
      </c>
    </row>
    <row r="130" spans="1:3" s="53" customFormat="1"/>
    <row r="131" spans="1:3" s="53" customFormat="1"/>
    <row r="132" spans="1:3" s="53" customFormat="1">
      <c r="A132" s="3" t="s">
        <v>70</v>
      </c>
      <c r="B132" s="34" t="s">
        <v>1957</v>
      </c>
      <c r="C132" s="55">
        <f>C129-C96</f>
        <v>0.62108581718639044</v>
      </c>
    </row>
    <row r="136" spans="1:3">
      <c r="B136" s="3"/>
    </row>
    <row r="139" spans="1:3">
      <c r="B139" s="109"/>
    </row>
    <row r="140" spans="1:3">
      <c r="B140" s="110"/>
    </row>
    <row r="141" spans="1:3">
      <c r="B141" s="99"/>
    </row>
    <row r="142" spans="1:3">
      <c r="B142" s="99"/>
    </row>
  </sheetData>
  <mergeCells count="3">
    <mergeCell ref="D104:E104"/>
    <mergeCell ref="F104:H104"/>
    <mergeCell ref="B2:F2"/>
  </mergeCells>
  <pageMargins left="0.7" right="0.7" top="0.75" bottom="0.75" header="0.3" footer="0.3"/>
  <pageSetup paperSize="9"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4"/>
  <sheetViews>
    <sheetView topLeftCell="B1" workbookViewId="0">
      <selection activeCell="P4" sqref="P4"/>
    </sheetView>
  </sheetViews>
  <sheetFormatPr defaultRowHeight="15"/>
  <cols>
    <col min="1" max="1" width="9.140625" style="822"/>
    <col min="2" max="3" width="24.28515625" style="821" customWidth="1"/>
    <col min="4" max="4" width="12.28515625" style="909" customWidth="1"/>
    <col min="5" max="5" width="13.140625" style="822" customWidth="1"/>
    <col min="6" max="6" width="15" style="905" customWidth="1"/>
    <col min="7" max="8" width="13" style="822" customWidth="1"/>
    <col min="9" max="10" width="10.140625" style="822" customWidth="1"/>
    <col min="11" max="11" width="9.85546875" style="822" customWidth="1"/>
    <col min="12" max="15" width="10.85546875" style="822" customWidth="1"/>
    <col min="16" max="16" width="9.140625" style="842"/>
    <col min="17" max="17" width="9.140625" style="860"/>
    <col min="18" max="18" width="9.140625" style="842" customWidth="1"/>
    <col min="19" max="19" width="9.140625" style="860" customWidth="1"/>
  </cols>
  <sheetData>
    <row r="1" spans="1:20">
      <c r="B1" s="821">
        <v>1</v>
      </c>
      <c r="C1" s="821">
        <v>2</v>
      </c>
      <c r="D1" s="821">
        <v>3</v>
      </c>
      <c r="E1" s="821">
        <v>4</v>
      </c>
      <c r="F1" s="821">
        <v>5</v>
      </c>
      <c r="G1" s="821">
        <v>6</v>
      </c>
      <c r="H1" s="821">
        <v>7</v>
      </c>
      <c r="I1" s="821">
        <v>8</v>
      </c>
      <c r="J1" s="821">
        <v>9</v>
      </c>
      <c r="K1" s="821">
        <v>10</v>
      </c>
      <c r="L1" s="821">
        <v>11</v>
      </c>
      <c r="M1" s="821">
        <v>12</v>
      </c>
      <c r="N1" s="821">
        <v>13</v>
      </c>
      <c r="O1" s="821">
        <v>14</v>
      </c>
      <c r="P1" s="821">
        <v>15</v>
      </c>
      <c r="Q1" s="821">
        <v>16</v>
      </c>
      <c r="R1" s="821">
        <v>17</v>
      </c>
      <c r="S1" s="821">
        <v>18</v>
      </c>
    </row>
    <row r="2" spans="1:20">
      <c r="A2" s="832"/>
      <c r="B2" s="823"/>
      <c r="C2" s="823"/>
      <c r="D2" s="906" t="s">
        <v>99</v>
      </c>
      <c r="E2" s="832"/>
      <c r="F2" s="902"/>
      <c r="G2" s="832"/>
      <c r="H2" s="890"/>
      <c r="I2" s="890"/>
      <c r="J2" s="890"/>
      <c r="K2" s="890"/>
      <c r="L2" s="1159" t="s">
        <v>2759</v>
      </c>
      <c r="M2" s="1159"/>
      <c r="N2" s="1159"/>
      <c r="O2" s="914"/>
      <c r="P2" s="1160" t="s">
        <v>2760</v>
      </c>
      <c r="Q2" s="1160"/>
      <c r="R2" s="1160"/>
      <c r="S2" s="1160"/>
    </row>
    <row r="3" spans="1:20" ht="35.25" thickBot="1">
      <c r="A3" s="833" t="s">
        <v>2579</v>
      </c>
      <c r="B3" s="824" t="s">
        <v>66</v>
      </c>
      <c r="C3" s="824" t="s">
        <v>153</v>
      </c>
      <c r="D3" s="907" t="s">
        <v>2755</v>
      </c>
      <c r="E3" s="833" t="s">
        <v>2756</v>
      </c>
      <c r="F3" s="903" t="s">
        <v>2642</v>
      </c>
      <c r="G3" s="833" t="s">
        <v>2758</v>
      </c>
      <c r="H3" s="833" t="s">
        <v>2789</v>
      </c>
      <c r="I3" s="833" t="s">
        <v>2790</v>
      </c>
      <c r="J3" s="833" t="s">
        <v>4365</v>
      </c>
      <c r="K3" s="833" t="s">
        <v>4535</v>
      </c>
      <c r="L3" s="861" t="s">
        <v>4367</v>
      </c>
      <c r="M3" s="954" t="s">
        <v>4369</v>
      </c>
      <c r="N3" s="861" t="s">
        <v>4540</v>
      </c>
      <c r="O3" s="861" t="s">
        <v>2671</v>
      </c>
      <c r="P3" s="891" t="s">
        <v>4367</v>
      </c>
      <c r="Q3" s="891" t="s">
        <v>4368</v>
      </c>
      <c r="R3" s="891" t="s">
        <v>4540</v>
      </c>
      <c r="S3" s="891" t="s">
        <v>2671</v>
      </c>
    </row>
    <row r="4" spans="1:20">
      <c r="A4" s="834">
        <v>8001</v>
      </c>
      <c r="B4" s="825" t="s">
        <v>672</v>
      </c>
      <c r="C4" s="319" t="str">
        <f t="shared" ref="C4:C67" si="0">VLOOKUP(B4,base,201,FALSE)</f>
        <v>Baix Llobregat</v>
      </c>
      <c r="D4" s="908">
        <f>IFERROR(IF(VLOOKUP(B4,'BD ASVICC'!$A$6:$GN$316,193,FALSE)&gt;0,VLOOKUP(B4,'BD ASVICC'!$A$6:$GN$316,193,FALSE),(VLOOKUP(C4,'BD Comarcal'!$A$6:$AB$17,9,)/VLOOKUP(C4,'BD Comarcal'!$A$6:$AB$17,13,))),"")</f>
        <v>1E-3</v>
      </c>
      <c r="E4" s="910">
        <f>IFERROR(IF(VLOOKUP(B4,'BD ASVICC'!$A$6:$GN$316,192,FALSE)&gt;0,VLOOKUP(B4,'BD ASVICC'!$A$6:$GN$316,192,FALSE),(VLOOKUP(C4,'BD Comarcal'!$A$6:$AB$17,14,)*F4)),"")</f>
        <v>541</v>
      </c>
      <c r="F4" s="904">
        <f t="shared" ref="F4:F35" si="1">VLOOKUP(B4,base,24,FALSE)/VLOOKUP(C4,basec,26,FALSE)</f>
        <v>1.508366023240394E-2</v>
      </c>
      <c r="G4" s="910">
        <f>D4*E4</f>
        <v>0.54100000000000004</v>
      </c>
      <c r="H4" s="910">
        <f>IFERROR(VLOOKUP(B4, base,19,FALSE)*'4. Agricultura PIB'!$K$11/1000000,G4*'4. Agricultura PIB'!$F$54)</f>
        <v>0.26276960944390171</v>
      </c>
      <c r="I4" s="952">
        <f>G4*'4. Agricultura PIB'!$F$45</f>
        <v>0.17804310000000001</v>
      </c>
      <c r="J4" s="952">
        <f>IFERROR((VLOOKUP(B4,base,19,FALSE)*'tecnicecon agric'!$D$65)/1000000,H4/3)</f>
        <v>0.1121484</v>
      </c>
      <c r="K4" s="952">
        <f>IFERROR(VLOOKUP(B4,'cultius resum'!$T$6:$AU$306,22,FALSE)/1000000,0)</f>
        <v>0.16262633333333332</v>
      </c>
      <c r="L4" s="955">
        <f>K4*'A. Dades de partida'!$D$10</f>
        <v>2.4393949999999998</v>
      </c>
      <c r="M4" s="956">
        <f>IFERROR(VLOOKUP(B4,'cultius resum'!$T$6:$AU$308,28,FALSE)/1000000,0)</f>
        <v>2.0293067897662072</v>
      </c>
      <c r="N4" s="955">
        <f>M4*'A. Dades de partida'!$D$10+(((I4-M4)*'A. Dades de partida'!$D$10)/2)</f>
        <v>16.555124173246554</v>
      </c>
      <c r="O4" s="955">
        <f>N4-M4</f>
        <v>14.525817383480348</v>
      </c>
      <c r="P4" s="916">
        <f>J4*'A. Dades de partida'!$D$10</f>
        <v>1.682226</v>
      </c>
      <c r="Q4" s="991">
        <f>J4+J4*'4. Agricultura PIB'!$D$71</f>
        <v>0.14512002959999998</v>
      </c>
      <c r="R4" s="916">
        <f>(((J4-Q4)*'A. Dades de partida'!$D$10)/2)+('A. Dades de partida'!$D$10*Q4)</f>
        <v>1.9295132219999998</v>
      </c>
      <c r="S4" s="916">
        <f>R4-P4</f>
        <v>0.24728722199999975</v>
      </c>
    </row>
    <row r="5" spans="1:20">
      <c r="A5" s="835">
        <v>8002</v>
      </c>
      <c r="B5" s="826" t="s">
        <v>694</v>
      </c>
      <c r="C5" s="319" t="str">
        <f t="shared" si="0"/>
        <v>Bages</v>
      </c>
      <c r="D5" s="908">
        <f>IFERROR(IF(VLOOKUP(B5,'BD ASVICC'!$A$6:$GN$316,193,FALSE)&gt;0,VLOOKUP(B5,'BD ASVICC'!$A$6:$GN$316,193,FALSE),(VLOOKUP(C5,'BD Comarcal'!$A$6:$AB$17,9,)/VLOOKUP(C5,'BD Comarcal'!$A$6:$AB$17,13,))),"")</f>
        <v>9.2529216416964537E-3</v>
      </c>
      <c r="E5" s="910">
        <f>IFERROR(IF(VLOOKUP(B5,'BD ASVICC'!$A$6:$GN$316,192,FALSE)&gt;0,VLOOKUP(B5,'BD ASVICC'!$A$6:$GN$316,192,FALSE),(VLOOKUP(C5,'BD Comarcal'!$A$6:$AB$17,14,)*F5)),"")</f>
        <v>6.207735361077181</v>
      </c>
      <c r="F5" s="904">
        <f t="shared" si="1"/>
        <v>1.4508461357602032E-3</v>
      </c>
      <c r="G5" s="910">
        <f t="shared" ref="G5:G68" si="2">D5*E5</f>
        <v>5.7439688868435396E-2</v>
      </c>
      <c r="H5" s="910">
        <f>IFERROR(VLOOKUP(B5, base,19,FALSE)*'4. Agricultura PIB'!$K$11/1000000,G5*'4. Agricultura PIB'!$F$54)</f>
        <v>0.32596736361395406</v>
      </c>
      <c r="I5" s="953">
        <f>G5*'4. Agricultura PIB'!$F$45</f>
        <v>1.8903401606602088E-2</v>
      </c>
      <c r="J5" s="952">
        <f>IFERROR((VLOOKUP(B5,base,19,FALSE)*'tecnicecon agric'!$D$65)/1000000,H5/3)</f>
        <v>0.13912079999999999</v>
      </c>
      <c r="K5" s="952">
        <f>IFERROR(VLOOKUP(B5,'cultius resum'!$T$6:$AU$306,22,FALSE)/1000000,0)</f>
        <v>0.5346325833333333</v>
      </c>
      <c r="L5" s="915">
        <f>K5*'A. Dades de partida'!$D$10</f>
        <v>8.0194887499999989</v>
      </c>
      <c r="M5" s="956">
        <f>IFERROR(VLOOKUP(B5,'cultius resum'!$T$6:$AU$308,28,FALSE)/1000000,0)</f>
        <v>4.6877785288622933</v>
      </c>
      <c r="N5" s="955">
        <f>M5*'A. Dades de partida'!$D$10+(((I5-M5)*'A. Dades de partida'!$D$10)/2)</f>
        <v>35.300114478516711</v>
      </c>
      <c r="O5" s="955">
        <f t="shared" ref="O5:O68" si="3">N5-M5</f>
        <v>30.612335949654419</v>
      </c>
      <c r="P5" s="916">
        <f>J5*'A. Dades de partida'!$D$10</f>
        <v>2.0868119999999997</v>
      </c>
      <c r="Q5" s="916">
        <f>J5+J5*'4. Agricultura PIB'!$D$71</f>
        <v>0.18002231519999998</v>
      </c>
      <c r="R5" s="916">
        <f>(((J5-Q5)*'A. Dades de partida'!$D$10)/2)+('A. Dades de partida'!$D$10*Q5)</f>
        <v>2.3935733639999999</v>
      </c>
      <c r="S5" s="916">
        <f t="shared" ref="S5:S68" si="4">R5-P5</f>
        <v>0.3067613640000002</v>
      </c>
    </row>
    <row r="6" spans="1:20">
      <c r="A6" s="835">
        <v>8003</v>
      </c>
      <c r="B6" s="826" t="s">
        <v>707</v>
      </c>
      <c r="C6" s="319" t="str">
        <f t="shared" si="0"/>
        <v>Maresme</v>
      </c>
      <c r="D6" s="908">
        <f>IFERROR(IF(VLOOKUP(B6,'BD ASVICC'!$A$6:$GN$316,193,FALSE)&gt;0,VLOOKUP(B6,'BD ASVICC'!$A$6:$GN$316,193,FALSE),(VLOOKUP(C6,'BD Comarcal'!$A$6:$AB$17,9,)/VLOOKUP(C6,'BD Comarcal'!$A$6:$AB$17,13,))),"")</f>
        <v>8.0000000000000002E-3</v>
      </c>
      <c r="E6" s="910">
        <f>IFERROR(IF(VLOOKUP(B6,'BD ASVICC'!$A$6:$GN$316,192,FALSE)&gt;0,VLOOKUP(B6,'BD ASVICC'!$A$6:$GN$316,192,FALSE),(VLOOKUP(C6,'BD Comarcal'!$A$6:$AB$17,14,)*F6)),"")</f>
        <v>167</v>
      </c>
      <c r="F6" s="904">
        <f t="shared" si="1"/>
        <v>2.1816287471263067E-2</v>
      </c>
      <c r="G6" s="910">
        <f t="shared" si="2"/>
        <v>1.3360000000000001</v>
      </c>
      <c r="H6" s="910">
        <f>IFERROR(VLOOKUP(B6, base,19,FALSE)*'4. Agricultura PIB'!$K$11/1000000,G6*'4. Agricultura PIB'!$F$54)</f>
        <v>1.9006843359414228E-3</v>
      </c>
      <c r="I6" s="910">
        <f>G6*'4. Agricultura PIB'!$F$45</f>
        <v>0.43967760000000006</v>
      </c>
      <c r="J6" s="952">
        <f>IFERROR((VLOOKUP(B6,base,19,FALSE)*'tecnicecon agric'!$D$65)/1000000,H6/3)</f>
        <v>8.1119999999999999E-4</v>
      </c>
      <c r="K6" s="952">
        <f>IFERROR(VLOOKUP(B6,'cultius resum'!$T$6:$AU$306,22,FALSE)/1000000,0)</f>
        <v>2.5981375000000001E-2</v>
      </c>
      <c r="L6" s="915">
        <f>K6*'A. Dades de partida'!$D$10</f>
        <v>0.38972062500000004</v>
      </c>
      <c r="M6" s="956">
        <f>IFERROR(VLOOKUP(B6,'cultius resum'!$T$6:$AU$308,28,FALSE)/1000000,0)</f>
        <v>0.38593432340313494</v>
      </c>
      <c r="N6" s="955">
        <f>M6*'A. Dades de partida'!$D$10+(((I6-M6)*'A. Dades de partida'!$D$10)/2)</f>
        <v>6.1920894255235126</v>
      </c>
      <c r="O6" s="955">
        <f t="shared" si="3"/>
        <v>5.8061551021203774</v>
      </c>
      <c r="P6" s="916">
        <f>J6*'A. Dades de partida'!$D$10</f>
        <v>1.2168E-2</v>
      </c>
      <c r="Q6" s="916">
        <f>J6+J6*'4. Agricultura PIB'!$D$71</f>
        <v>1.0496927999999999E-3</v>
      </c>
      <c r="R6" s="916">
        <f>(((J6-Q6)*'A. Dades de partida'!$D$10)/2)+('A. Dades de partida'!$D$10*Q6)</f>
        <v>1.3956695999999998E-2</v>
      </c>
      <c r="S6" s="916">
        <f t="shared" si="4"/>
        <v>1.7886959999999976E-3</v>
      </c>
    </row>
    <row r="7" spans="1:20">
      <c r="A7" s="835">
        <v>8004</v>
      </c>
      <c r="B7" s="826" t="s">
        <v>716</v>
      </c>
      <c r="C7" s="319" t="str">
        <f t="shared" si="0"/>
        <v>Osona</v>
      </c>
      <c r="D7" s="908">
        <f>IFERROR(IF(VLOOKUP(B7,'BD ASVICC'!$A$6:$GN$316,193,FALSE)&gt;0,VLOOKUP(B7,'BD ASVICC'!$A$6:$GN$316,193,FALSE),(VLOOKUP(C7,'BD Comarcal'!$A$6:$AB$17,9,)/VLOOKUP(C7,'BD Comarcal'!$A$6:$AB$17,13,))),"")</f>
        <v>1.8400340353116357E-2</v>
      </c>
      <c r="E7" s="910">
        <f>IFERROR(IF(VLOOKUP(B7,'BD ASVICC'!$A$6:$GN$316,192,FALSE)&gt;0,VLOOKUP(B7,'BD ASVICC'!$A$6:$GN$316,192,FALSE),(VLOOKUP(C7,'BD Comarcal'!$A$6:$AB$17,14,)*F7)),"")</f>
        <v>7.7054555033699348</v>
      </c>
      <c r="F7" s="904">
        <f t="shared" si="1"/>
        <v>1.8889624199279111E-3</v>
      </c>
      <c r="G7" s="910">
        <f t="shared" si="2"/>
        <v>0.14178300383780032</v>
      </c>
      <c r="H7" s="910">
        <f>IFERROR(VLOOKUP(B7, base,19,FALSE)*'4. Agricultura PIB'!$K$11/1000000,G7*'4. Agricultura PIB'!$F$54)</f>
        <v>0.28700333472715489</v>
      </c>
      <c r="I7" s="910">
        <f>G7*'4. Agricultura PIB'!$F$45</f>
        <v>4.6660786563020085E-2</v>
      </c>
      <c r="J7" s="952">
        <f>IFERROR((VLOOKUP(B7,base,19,FALSE)*'tecnicecon agric'!$D$65)/1000000,H7/3)</f>
        <v>0.12249119999999998</v>
      </c>
      <c r="K7" s="952">
        <f>IFERROR(VLOOKUP(B7,'cultius resum'!$T$6:$AU$306,22,FALSE)/1000000,0)</f>
        <v>7.2725999999999999E-2</v>
      </c>
      <c r="L7" s="915">
        <f>K7*'A. Dades de partida'!$D$10</f>
        <v>1.0908899999999999</v>
      </c>
      <c r="M7" s="956">
        <f>IFERROR(VLOOKUP(B7,'cultius resum'!$T$6:$AU$308,28,FALSE)/1000000,0)</f>
        <v>0.63579956289227679</v>
      </c>
      <c r="N7" s="955">
        <f>M7*'A. Dades de partida'!$D$10+(((I7-M7)*'A. Dades de partida'!$D$10)/2)</f>
        <v>5.1184526209147263</v>
      </c>
      <c r="O7" s="955">
        <f t="shared" si="3"/>
        <v>4.48265305802245</v>
      </c>
      <c r="P7" s="916">
        <f>J7*'A. Dades de partida'!$D$10</f>
        <v>1.8373679999999997</v>
      </c>
      <c r="Q7" s="916">
        <f>J7+J7*'4. Agricultura PIB'!$D$71</f>
        <v>0.15850361279999997</v>
      </c>
      <c r="R7" s="916">
        <f>(((J7-Q7)*'A. Dades de partida'!$D$10)/2)+('A. Dades de partida'!$D$10*Q7)</f>
        <v>2.1074610959999993</v>
      </c>
      <c r="S7" s="916">
        <f t="shared" si="4"/>
        <v>0.27009309599999964</v>
      </c>
    </row>
    <row r="8" spans="1:20">
      <c r="A8" s="835">
        <v>8005</v>
      </c>
      <c r="B8" s="826" t="s">
        <v>725</v>
      </c>
      <c r="C8" s="319" t="str">
        <f t="shared" si="0"/>
        <v>Vallès Oriental</v>
      </c>
      <c r="D8" s="908">
        <f>IFERROR(IF(VLOOKUP(B8,'BD ASVICC'!$A$6:$GN$316,193,FALSE)&gt;0,VLOOKUP(B8,'BD ASVICC'!$A$6:$GN$316,193,FALSE),(VLOOKUP(C8,'BD Comarcal'!$A$6:$AB$17,9,)/VLOOKUP(C8,'BD Comarcal'!$A$6:$AB$17,13,))),"")</f>
        <v>3.0000000000000001E-3</v>
      </c>
      <c r="E8" s="910">
        <f>IFERROR(IF(VLOOKUP(B8,'BD ASVICC'!$A$6:$GN$316,192,FALSE)&gt;0,VLOOKUP(B8,'BD ASVICC'!$A$6:$GN$316,192,FALSE),(VLOOKUP(C8,'BD Comarcal'!$A$6:$AB$17,14,)*F8)),"")</f>
        <v>212</v>
      </c>
      <c r="F8" s="904">
        <f t="shared" si="1"/>
        <v>2.0773014267275961E-2</v>
      </c>
      <c r="G8" s="910">
        <f t="shared" si="2"/>
        <v>0.63600000000000001</v>
      </c>
      <c r="H8" s="910">
        <f>IFERROR(VLOOKUP(B8, base,19,FALSE)*'4. Agricultura PIB'!$K$11/1000000,G8*'4. Agricultura PIB'!$F$54)</f>
        <v>0.67901947901507331</v>
      </c>
      <c r="I8" s="910">
        <f>G8*'4. Agricultura PIB'!$F$45</f>
        <v>0.20930760000000001</v>
      </c>
      <c r="J8" s="952">
        <f>IFERROR((VLOOKUP(B8,base,19,FALSE)*'tecnicecon agric'!$D$65)/1000000,H8/3)</f>
        <v>0.28980119999999998</v>
      </c>
      <c r="K8" s="952">
        <f>IFERROR(VLOOKUP(B8,'cultius resum'!$T$6:$AU$306,22,FALSE)/1000000,0)</f>
        <v>0.17144470833333331</v>
      </c>
      <c r="L8" s="915">
        <f>K8*'A. Dades de partida'!$D$10</f>
        <v>2.5716706249999994</v>
      </c>
      <c r="M8" s="956">
        <f>IFERROR(VLOOKUP(B8,'cultius resum'!$T$6:$AU$308,28,FALSE)/1000000,0)</f>
        <v>1.7680984977023304</v>
      </c>
      <c r="N8" s="955">
        <f>M8*'A. Dades de partida'!$D$10+(((I8-M8)*'A. Dades de partida'!$D$10)/2)</f>
        <v>14.830545732767479</v>
      </c>
      <c r="O8" s="955">
        <f t="shared" si="3"/>
        <v>13.062447235065148</v>
      </c>
      <c r="P8" s="916">
        <f>J8*'A. Dades de partida'!$D$10</f>
        <v>4.3470179999999994</v>
      </c>
      <c r="Q8" s="916">
        <f>J8+J8*'4. Agricultura PIB'!$D$71</f>
        <v>0.37500275279999995</v>
      </c>
      <c r="R8" s="916">
        <f>(((J8-Q8)*'A. Dades de partida'!$D$10)/2)+('A. Dades de partida'!$D$10*Q8)</f>
        <v>4.9860296459999986</v>
      </c>
      <c r="S8" s="916">
        <f t="shared" si="4"/>
        <v>0.63901164599999927</v>
      </c>
    </row>
    <row r="9" spans="1:20">
      <c r="A9" s="835">
        <v>8006</v>
      </c>
      <c r="B9" s="826" t="s">
        <v>334</v>
      </c>
      <c r="C9" s="319" t="str">
        <f t="shared" si="0"/>
        <v>Maresme</v>
      </c>
      <c r="D9" s="908">
        <f>IFERROR(IF(VLOOKUP(B9,'BD ASVICC'!$A$6:$GN$316,193,FALSE)&gt;0,VLOOKUP(B9,'BD ASVICC'!$A$6:$GN$316,193,FALSE),(VLOOKUP(C9,'BD Comarcal'!$A$6:$AB$17,9,)/VLOOKUP(C9,'BD Comarcal'!$A$6:$AB$17,13,))),"")</f>
        <v>2.5999999999999999E-2</v>
      </c>
      <c r="E9" s="910">
        <f>IFERROR(IF(VLOOKUP(B9,'BD ASVICC'!$A$6:$GN$316,192,FALSE)&gt;0,VLOOKUP(B9,'BD ASVICC'!$A$6:$GN$316,192,FALSE),(VLOOKUP(C9,'BD Comarcal'!$A$6:$AB$17,14,)*F9)),"")</f>
        <v>312</v>
      </c>
      <c r="F9" s="904">
        <f t="shared" si="1"/>
        <v>3.4547740116193472E-2</v>
      </c>
      <c r="G9" s="910">
        <f t="shared" si="2"/>
        <v>8.1120000000000001</v>
      </c>
      <c r="H9" s="910">
        <f>IFERROR(VLOOKUP(B9, base,19,FALSE)*'4. Agricultura PIB'!$K$11/1000000,G9*'4. Agricultura PIB'!$F$54)</f>
        <v>0.10596315172873433</v>
      </c>
      <c r="I9" s="910">
        <f>G9*'4. Agricultura PIB'!$F$45</f>
        <v>2.6696591999999999</v>
      </c>
      <c r="J9" s="952">
        <f>IFERROR((VLOOKUP(B9,base,19,FALSE)*'tecnicecon agric'!$D$65)/1000000,H9/3)</f>
        <v>4.5224399999999991E-2</v>
      </c>
      <c r="K9" s="952">
        <f>IFERROR(VLOOKUP(B9,'cultius resum'!$T$6:$AU$306,22,FALSE)/1000000,0)</f>
        <v>3.3888750000000002E-2</v>
      </c>
      <c r="L9" s="915">
        <f>K9*'A. Dades de partida'!$D$10</f>
        <v>0.50833125000000001</v>
      </c>
      <c r="M9" s="956">
        <f>IFERROR(VLOOKUP(B9,'cultius resum'!$T$6:$AU$308,28,FALSE)/1000000,0)</f>
        <v>0.50339259574321948</v>
      </c>
      <c r="N9" s="955">
        <f>M9*'A. Dades de partida'!$D$10+(((I9-M9)*'A. Dades de partida'!$D$10)/2)</f>
        <v>23.797888468074142</v>
      </c>
      <c r="O9" s="955">
        <f t="shared" si="3"/>
        <v>23.294495872330923</v>
      </c>
      <c r="P9" s="916">
        <f>J9*'A. Dades de partida'!$D$10</f>
        <v>0.67836599999999991</v>
      </c>
      <c r="Q9" s="916">
        <f>J9+J9*'4. Agricultura PIB'!$D$71</f>
        <v>5.8520373599999988E-2</v>
      </c>
      <c r="R9" s="916">
        <f>(((J9-Q9)*'A. Dades de partida'!$D$10)/2)+('A. Dades de partida'!$D$10*Q9)</f>
        <v>0.77808580199999988</v>
      </c>
      <c r="S9" s="916">
        <f t="shared" si="4"/>
        <v>9.9719801999999969E-2</v>
      </c>
    </row>
    <row r="10" spans="1:20">
      <c r="A10" s="835">
        <v>8007</v>
      </c>
      <c r="B10" s="826" t="s">
        <v>742</v>
      </c>
      <c r="C10" s="319" t="str">
        <f t="shared" si="0"/>
        <v>Maresme</v>
      </c>
      <c r="D10" s="908">
        <f>IFERROR(IF(VLOOKUP(B10,'BD ASVICC'!$A$6:$GN$316,193,FALSE)&gt;0,VLOOKUP(B10,'BD ASVICC'!$A$6:$GN$316,193,FALSE),(VLOOKUP(C10,'BD Comarcal'!$A$6:$AB$17,9,)/VLOOKUP(C10,'BD Comarcal'!$A$6:$AB$17,13,))),"")</f>
        <v>0.01</v>
      </c>
      <c r="E10" s="910">
        <f>IFERROR(IF(VLOOKUP(B10,'BD ASVICC'!$A$6:$GN$316,192,FALSE)&gt;0,VLOOKUP(B10,'BD ASVICC'!$A$6:$GN$316,192,FALSE),(VLOOKUP(C10,'BD Comarcal'!$A$6:$AB$17,14,)*F10)),"")</f>
        <v>125</v>
      </c>
      <c r="F10" s="904">
        <f t="shared" si="1"/>
        <v>1.9564897339780975E-2</v>
      </c>
      <c r="G10" s="910">
        <f t="shared" si="2"/>
        <v>1.25</v>
      </c>
      <c r="H10" s="910">
        <f>IFERROR(VLOOKUP(B10, base,19,FALSE)*'4. Agricultura PIB'!$K$11/1000000,G10*'4. Agricultura PIB'!$F$54)</f>
        <v>1.8056501191443516E-2</v>
      </c>
      <c r="I10" s="910">
        <f>G10*'4. Agricultura PIB'!$F$45</f>
        <v>0.41137499999999999</v>
      </c>
      <c r="J10" s="952">
        <f>IFERROR((VLOOKUP(B10,base,19,FALSE)*'tecnicecon agric'!$D$65)/1000000,H10/3)</f>
        <v>7.7063999999999995E-3</v>
      </c>
      <c r="K10" s="952">
        <f>IFERROR(VLOOKUP(B10,'cultius resum'!$T$6:$AU$306,22,FALSE)/1000000,0)</f>
        <v>6.0580291666666668E-2</v>
      </c>
      <c r="L10" s="915">
        <f>K10*'A. Dades de partida'!$D$10</f>
        <v>0.90870437500000001</v>
      </c>
      <c r="M10" s="956">
        <f>IFERROR(VLOOKUP(B10,'cultius resum'!$T$6:$AU$308,28,FALSE)/1000000,0)</f>
        <v>0.86791898606565754</v>
      </c>
      <c r="N10" s="955">
        <f>M10*'A. Dades de partida'!$D$10+(((I10-M10)*'A. Dades de partida'!$D$10)/2)</f>
        <v>9.5947048954924323</v>
      </c>
      <c r="O10" s="955">
        <f t="shared" si="3"/>
        <v>8.7267859094267752</v>
      </c>
      <c r="P10" s="916">
        <f>J10*'A. Dades de partida'!$D$10</f>
        <v>0.11559599999999999</v>
      </c>
      <c r="Q10" s="916">
        <f>J10+J10*'4. Agricultura PIB'!$D$71</f>
        <v>9.9720815999999983E-3</v>
      </c>
      <c r="R10" s="916">
        <f>(((J10-Q10)*'A. Dades de partida'!$D$10)/2)+('A. Dades de partida'!$D$10*Q10)</f>
        <v>0.13258861199999999</v>
      </c>
      <c r="S10" s="916">
        <f t="shared" si="4"/>
        <v>1.6992612000000004E-2</v>
      </c>
    </row>
    <row r="11" spans="1:20">
      <c r="A11" s="835">
        <v>8008</v>
      </c>
      <c r="B11" s="826" t="s">
        <v>751</v>
      </c>
      <c r="C11" s="319" t="str">
        <f t="shared" si="0"/>
        <v>Anoia</v>
      </c>
      <c r="D11" s="908">
        <f>IFERROR(IF(VLOOKUP(B11,'BD ASVICC'!$A$6:$GN$316,193,FALSE)&gt;0,VLOOKUP(B11,'BD ASVICC'!$A$6:$GN$316,193,FALSE),(VLOOKUP(C11,'BD Comarcal'!$A$6:$AB$17,9,)/VLOOKUP(C11,'BD Comarcal'!$A$6:$AB$17,13,))),"")</f>
        <v>1.049736419894568E-2</v>
      </c>
      <c r="E11" s="910">
        <f>IFERROR(IF(VLOOKUP(B11,'BD ASVICC'!$A$6:$GN$316,192,FALSE)&gt;0,VLOOKUP(B11,'BD ASVICC'!$A$6:$GN$316,192,FALSE),(VLOOKUP(C11,'BD Comarcal'!$A$6:$AB$17,14,)*F11)),"")</f>
        <v>4.5711414079520694</v>
      </c>
      <c r="F11" s="904">
        <f t="shared" si="1"/>
        <v>1.9318491285403049E-3</v>
      </c>
      <c r="G11" s="910">
        <f t="shared" si="2"/>
        <v>4.7984936164154203E-2</v>
      </c>
      <c r="H11" s="910">
        <f>IFERROR(VLOOKUP(B11, base,19,FALSE)*'4. Agricultura PIB'!$K$11/1000000,G11*'4. Agricultura PIB'!$F$54)</f>
        <v>0.23901105524463392</v>
      </c>
      <c r="I11" s="910">
        <f>G11*'4. Agricultura PIB'!$F$45</f>
        <v>1.5791842491623149E-2</v>
      </c>
      <c r="J11" s="952">
        <f>IFERROR((VLOOKUP(B11,base,19,FALSE)*'tecnicecon agric'!$D$65)/1000000,H11/3)</f>
        <v>0.1020084</v>
      </c>
      <c r="K11" s="952">
        <f>IFERROR(VLOOKUP(B11,'cultius resum'!$T$6:$AU$306,22,FALSE)/1000000,0)</f>
        <v>0.67117066666666658</v>
      </c>
      <c r="L11" s="915">
        <f>K11*'A. Dades de partida'!$D$10</f>
        <v>10.067559999999999</v>
      </c>
      <c r="M11" s="956">
        <f>IFERROR(VLOOKUP(B11,'cultius resum'!$T$6:$AU$308,28,FALSE)/1000000,0)</f>
        <v>5.8676404104829727</v>
      </c>
      <c r="N11" s="955">
        <f>M11*'A. Dades de partida'!$D$10+(((I11-M11)*'A. Dades de partida'!$D$10)/2)</f>
        <v>44.125741897309467</v>
      </c>
      <c r="O11" s="955">
        <f t="shared" si="3"/>
        <v>38.258101486826497</v>
      </c>
      <c r="P11" s="916">
        <f>J11*'A. Dades de partida'!$D$10</f>
        <v>1.5301260000000001</v>
      </c>
      <c r="Q11" s="916">
        <f>J11+J11*'4. Agricultura PIB'!$D$71</f>
        <v>0.13199886959999999</v>
      </c>
      <c r="R11" s="916">
        <f>(((J11-Q11)*'A. Dades de partida'!$D$10)/2)+('A. Dades de partida'!$D$10*Q11)</f>
        <v>1.7550545219999998</v>
      </c>
      <c r="S11" s="916">
        <f t="shared" si="4"/>
        <v>0.22492852199999969</v>
      </c>
    </row>
    <row r="12" spans="1:20">
      <c r="A12" s="835">
        <v>8009</v>
      </c>
      <c r="B12" s="826" t="s">
        <v>761</v>
      </c>
      <c r="C12" s="319" t="str">
        <f t="shared" si="0"/>
        <v>Maresme</v>
      </c>
      <c r="D12" s="908">
        <f>IFERROR(IF(VLOOKUP(B12,'BD ASVICC'!$A$6:$GN$316,193,FALSE)&gt;0,VLOOKUP(B12,'BD ASVICC'!$A$6:$GN$316,193,FALSE),(VLOOKUP(C12,'BD Comarcal'!$A$6:$AB$17,9,)/VLOOKUP(C12,'BD Comarcal'!$A$6:$AB$17,13,))),"")</f>
        <v>1.2E-2</v>
      </c>
      <c r="E12" s="910">
        <f>IFERROR(IF(VLOOKUP(B12,'BD ASVICC'!$A$6:$GN$316,192,FALSE)&gt;0,VLOOKUP(B12,'BD ASVICC'!$A$6:$GN$316,192,FALSE),(VLOOKUP(C12,'BD Comarcal'!$A$6:$AB$17,14,)*F12)),"")</f>
        <v>295</v>
      </c>
      <c r="F12" s="904">
        <f t="shared" si="1"/>
        <v>2.7295274119205896E-2</v>
      </c>
      <c r="G12" s="910">
        <f t="shared" si="2"/>
        <v>3.54</v>
      </c>
      <c r="H12" s="910">
        <f>IFERROR(VLOOKUP(B12, base,19,FALSE)*'4. Agricultura PIB'!$K$11/1000000,G12*'4. Agricultura PIB'!$F$54)</f>
        <v>0.16678505047885986</v>
      </c>
      <c r="I12" s="910">
        <f>G12*'4. Agricultura PIB'!$F$45</f>
        <v>1.165014</v>
      </c>
      <c r="J12" s="952">
        <f>IFERROR((VLOOKUP(B12,base,19,FALSE)*'tecnicecon agric'!$D$65)/1000000,H12/3)</f>
        <v>7.1182799999999991E-2</v>
      </c>
      <c r="K12" s="952">
        <f>IFERROR(VLOOKUP(B12,'cultius resum'!$T$6:$AU$306,22,FALSE)/1000000,0)</f>
        <v>0.12407412499999999</v>
      </c>
      <c r="L12" s="915">
        <f>K12*'A. Dades de partida'!$D$10</f>
        <v>1.861111875</v>
      </c>
      <c r="M12" s="956">
        <f>IFERROR(VLOOKUP(B12,'cultius resum'!$T$6:$AU$308,28,FALSE)/1000000,0)</f>
        <v>1.7820216790069947</v>
      </c>
      <c r="N12" s="955">
        <f>M12*'A. Dades de partida'!$D$10+(((I12-M12)*'A. Dades de partida'!$D$10)/2)</f>
        <v>22.10276759255246</v>
      </c>
      <c r="O12" s="955">
        <f t="shared" si="3"/>
        <v>20.320745913545466</v>
      </c>
      <c r="P12" s="916">
        <f>J12*'A. Dades de partida'!$D$10</f>
        <v>1.067742</v>
      </c>
      <c r="Q12" s="916">
        <f>J12+J12*'4. Agricultura PIB'!$D$71</f>
        <v>9.2110543199999978E-2</v>
      </c>
      <c r="R12" s="916">
        <f>(((J12-Q12)*'A. Dades de partida'!$D$10)/2)+('A. Dades de partida'!$D$10*Q12)</f>
        <v>1.2247000739999998</v>
      </c>
      <c r="S12" s="916">
        <f t="shared" si="4"/>
        <v>0.15695807399999984</v>
      </c>
    </row>
    <row r="13" spans="1:20">
      <c r="A13" s="835">
        <v>8010</v>
      </c>
      <c r="B13" s="826" t="s">
        <v>767</v>
      </c>
      <c r="C13" s="319" t="str">
        <f t="shared" si="0"/>
        <v>Bages</v>
      </c>
      <c r="D13" s="908">
        <f>IFERROR(IF(VLOOKUP(B13,'BD ASVICC'!$A$6:$GN$316,193,FALSE)&gt;0,VLOOKUP(B13,'BD ASVICC'!$A$6:$GN$316,193,FALSE),(VLOOKUP(C13,'BD Comarcal'!$A$6:$AB$17,9,)/VLOOKUP(C13,'BD Comarcal'!$A$6:$AB$17,13,))),"")</f>
        <v>1.7000000000000001E-2</v>
      </c>
      <c r="E13" s="910">
        <f>IFERROR(IF(VLOOKUP(B13,'BD ASVICC'!$A$6:$GN$316,192,FALSE)&gt;0,VLOOKUP(B13,'BD ASVICC'!$A$6:$GN$316,192,FALSE),(VLOOKUP(C13,'BD Comarcal'!$A$6:$AB$17,14,)*F13)),"")</f>
        <v>119</v>
      </c>
      <c r="F13" s="904">
        <f t="shared" si="1"/>
        <v>3.2090652077921333E-2</v>
      </c>
      <c r="G13" s="910">
        <f t="shared" si="2"/>
        <v>2.0230000000000001</v>
      </c>
      <c r="H13" s="910">
        <f>IFERROR(VLOOKUP(B13, base,19,FALSE)*'4. Agricultura PIB'!$K$11/1000000,G13*'4. Agricultura PIB'!$F$54)</f>
        <v>1.5519087602961719</v>
      </c>
      <c r="I13" s="910">
        <f>G13*'4. Agricultura PIB'!$F$45</f>
        <v>0.66576930000000001</v>
      </c>
      <c r="J13" s="952">
        <f>IFERROR((VLOOKUP(B13,base,19,FALSE)*'tecnicecon agric'!$D$65)/1000000,H13/3)</f>
        <v>0.66234479999999996</v>
      </c>
      <c r="K13" s="952">
        <f>IFERROR(VLOOKUP(B13,'cultius resum'!$T$6:$AU$306,22,FALSE)/1000000,0)</f>
        <v>0.32011795833333334</v>
      </c>
      <c r="L13" s="915">
        <f>K13*'A. Dades de partida'!$D$10</f>
        <v>4.8017693750000001</v>
      </c>
      <c r="M13" s="956">
        <f>IFERROR(VLOOKUP(B13,'cultius resum'!$T$6:$AU$308,28,FALSE)/1000000,0)</f>
        <v>3.1921332837816916</v>
      </c>
      <c r="N13" s="955">
        <f>M13*'A. Dades de partida'!$D$10+(((I13-M13)*'A. Dades de partida'!$D$10)/2)</f>
        <v>28.934269378362686</v>
      </c>
      <c r="O13" s="955">
        <f t="shared" si="3"/>
        <v>25.742136094580992</v>
      </c>
      <c r="P13" s="916">
        <f>J13*'A. Dades de partida'!$D$10</f>
        <v>9.9351719999999997</v>
      </c>
      <c r="Q13" s="916">
        <f>J13+J13*'4. Agricultura PIB'!$D$71</f>
        <v>0.85707417119999996</v>
      </c>
      <c r="R13" s="916">
        <f>(((J13-Q13)*'A. Dades de partida'!$D$10)/2)+('A. Dades de partida'!$D$10*Q13)</f>
        <v>11.395642283999999</v>
      </c>
      <c r="S13" s="916">
        <f t="shared" si="4"/>
        <v>1.4604702839999995</v>
      </c>
      <c r="T13" t="s">
        <v>4366</v>
      </c>
    </row>
    <row r="14" spans="1:20">
      <c r="A14" s="835">
        <v>8011</v>
      </c>
      <c r="B14" s="826" t="s">
        <v>774</v>
      </c>
      <c r="C14" s="319" t="str">
        <f t="shared" si="0"/>
        <v>Berguedà</v>
      </c>
      <c r="D14" s="908">
        <f>IFERROR(IF(VLOOKUP(B14,'BD ASVICC'!$A$6:$GN$316,193,FALSE)&gt;0,VLOOKUP(B14,'BD ASVICC'!$A$6:$GN$316,193,FALSE),(VLOOKUP(C14,'BD Comarcal'!$A$6:$AB$17,9,)/VLOOKUP(C14,'BD Comarcal'!$A$6:$AB$17,13,))),"")</f>
        <v>4.1611624834874503E-2</v>
      </c>
      <c r="E14" s="910">
        <f>IFERROR(IF(VLOOKUP(B14,'BD ASVICC'!$A$6:$GN$316,192,FALSE)&gt;0,VLOOKUP(B14,'BD ASVICC'!$A$6:$GN$316,192,FALSE),(VLOOKUP(C14,'BD Comarcal'!$A$6:$AB$17,14,)*F14)),"")</f>
        <v>47.302636683853187</v>
      </c>
      <c r="F14" s="904">
        <f t="shared" si="1"/>
        <v>5.760886211649395E-2</v>
      </c>
      <c r="G14" s="910">
        <f t="shared" si="2"/>
        <v>1.9683395713888709</v>
      </c>
      <c r="H14" s="910">
        <f>IFERROR(VLOOKUP(B14, base,19,FALSE)*'4. Agricultura PIB'!$K$11/1000000,G14*'4. Agricultura PIB'!$F$54)</f>
        <v>2.6091644221635883</v>
      </c>
      <c r="I14" s="910">
        <f>G14*'4. Agricultura PIB'!$F$45</f>
        <v>0.64778055294407744</v>
      </c>
      <c r="J14" s="952">
        <f>IFERROR((VLOOKUP(B14,base,19,FALSE)*'tecnicecon agric'!$D$65)/1000000,H14/3)</f>
        <v>1.1135747999999999</v>
      </c>
      <c r="K14" s="952">
        <f>IFERROR(VLOOKUP(B14,'cultius resum'!$T$6:$AU$306,22,FALSE)/1000000,0)</f>
        <v>0.60622895833333323</v>
      </c>
      <c r="L14" s="915">
        <f>K14*'A. Dades de partida'!$D$10</f>
        <v>9.0934343749999993</v>
      </c>
      <c r="M14" s="956">
        <f>IFERROR(VLOOKUP(B14,'cultius resum'!$T$6:$AU$308,28,FALSE)/1000000,0)</f>
        <v>5.3067983385631292</v>
      </c>
      <c r="N14" s="955">
        <f>M14*'A. Dades de partida'!$D$10+(((I14-M14)*'A. Dades de partida'!$D$10)/2)</f>
        <v>44.659341686304053</v>
      </c>
      <c r="O14" s="955">
        <f t="shared" si="3"/>
        <v>39.352543347740927</v>
      </c>
      <c r="P14" s="916">
        <f>J14*'A. Dades de partida'!$D$10</f>
        <v>16.703621999999999</v>
      </c>
      <c r="Q14" s="916">
        <f>J14+J14*'4. Agricultura PIB'!$D$71</f>
        <v>1.4409657911999998</v>
      </c>
      <c r="R14" s="916">
        <f>(((J14-Q14)*'A. Dades de partida'!$D$10)/2)+('A. Dades de partida'!$D$10*Q14)</f>
        <v>19.159054433999998</v>
      </c>
      <c r="S14" s="916">
        <f t="shared" si="4"/>
        <v>2.4554324339999987</v>
      </c>
    </row>
    <row r="15" spans="1:20">
      <c r="A15" s="835">
        <v>8012</v>
      </c>
      <c r="B15" s="826" t="s">
        <v>781</v>
      </c>
      <c r="C15" s="319" t="str">
        <f t="shared" si="0"/>
        <v>Bages</v>
      </c>
      <c r="D15" s="908">
        <f>IFERROR(IF(VLOOKUP(B15,'BD ASVICC'!$A$6:$GN$316,193,FALSE)&gt;0,VLOOKUP(B15,'BD ASVICC'!$A$6:$GN$316,193,FALSE),(VLOOKUP(C15,'BD Comarcal'!$A$6:$AB$17,9,)/VLOOKUP(C15,'BD Comarcal'!$A$6:$AB$17,13,))),"")</f>
        <v>9.2529216416964537E-3</v>
      </c>
      <c r="E15" s="910">
        <f>IFERROR(IF(VLOOKUP(B15,'BD ASVICC'!$A$6:$GN$316,192,FALSE)&gt;0,VLOOKUP(B15,'BD ASVICC'!$A$6:$GN$316,192,FALSE),(VLOOKUP(C15,'BD Comarcal'!$A$6:$AB$17,14,)*F15)),"")</f>
        <v>54.274745528469268</v>
      </c>
      <c r="F15" s="904">
        <f t="shared" si="1"/>
        <v>1.2684868190915294E-2</v>
      </c>
      <c r="G15" s="910">
        <f t="shared" si="2"/>
        <v>0.50219996749794116</v>
      </c>
      <c r="H15" s="910">
        <f>IFERROR(VLOOKUP(B15, base,19,FALSE)*'4. Agricultura PIB'!$K$11/1000000,G15*'4. Agricultura PIB'!$F$54)</f>
        <v>2.8291686340488078</v>
      </c>
      <c r="I15" s="910">
        <f>G15*'4. Agricultura PIB'!$F$45</f>
        <v>0.16527400930357244</v>
      </c>
      <c r="J15" s="952">
        <f>IFERROR((VLOOKUP(B15,base,19,FALSE)*'tecnicecon agric'!$D$65)/1000000,H15/3)</f>
        <v>1.2074711999999999</v>
      </c>
      <c r="K15" s="952">
        <f>IFERROR(VLOOKUP(B15,'cultius resum'!$T$6:$AU$306,22,FALSE)/1000000,0)</f>
        <v>0.58395549999999996</v>
      </c>
      <c r="L15" s="915">
        <f>K15*'A. Dades de partida'!$D$10</f>
        <v>8.7593324999999993</v>
      </c>
      <c r="M15" s="956">
        <f>IFERROR(VLOOKUP(B15,'cultius resum'!$T$6:$AU$308,28,FALSE)/1000000,0)</f>
        <v>5.1880202766680865</v>
      </c>
      <c r="N15" s="955">
        <f>M15*'A. Dades de partida'!$D$10+(((I15-M15)*'A. Dades de partida'!$D$10)/2)</f>
        <v>40.149707144787442</v>
      </c>
      <c r="O15" s="955">
        <f t="shared" si="3"/>
        <v>34.961686868119358</v>
      </c>
      <c r="P15" s="916">
        <f>J15*'A. Dades de partida'!$D$10</f>
        <v>18.112067999999997</v>
      </c>
      <c r="Q15" s="916">
        <f>J15+J15*'4. Agricultura PIB'!$D$71</f>
        <v>1.5624677327999998</v>
      </c>
      <c r="R15" s="916">
        <f>(((J15-Q15)*'A. Dades de partida'!$D$10)/2)+('A. Dades de partida'!$D$10*Q15)</f>
        <v>20.774541996</v>
      </c>
      <c r="S15" s="916">
        <f t="shared" si="4"/>
        <v>2.6624739960000028</v>
      </c>
    </row>
    <row r="16" spans="1:20">
      <c r="A16" s="835">
        <v>8013</v>
      </c>
      <c r="B16" s="826" t="s">
        <v>787</v>
      </c>
      <c r="C16" s="319" t="str">
        <f t="shared" si="0"/>
        <v>Alt Penedès</v>
      </c>
      <c r="D16" s="908">
        <f>IFERROR(IF(VLOOKUP(B16,'BD ASVICC'!$A$6:$GN$316,193,FALSE)&gt;0,VLOOKUP(B16,'BD ASVICC'!$A$6:$GN$316,193,FALSE),(VLOOKUP(C16,'BD Comarcal'!$A$6:$AB$17,9,)/VLOOKUP(C16,'BD Comarcal'!$A$6:$AB$17,13,))),"")</f>
        <v>1.0966842723004694E-2</v>
      </c>
      <c r="E16" s="910">
        <f>IFERROR(IF(VLOOKUP(B16,'BD ASVICC'!$A$6:$GN$316,192,FALSE)&gt;0,VLOOKUP(B16,'BD ASVICC'!$A$6:$GN$316,192,FALSE),(VLOOKUP(C16,'BD Comarcal'!$A$6:$AB$17,14,)*F16)),"")</f>
        <v>46.330162314749472</v>
      </c>
      <c r="F16" s="904">
        <f t="shared" si="1"/>
        <v>1.5666901905434016E-2</v>
      </c>
      <c r="G16" s="910">
        <f t="shared" si="2"/>
        <v>0.50809560343713656</v>
      </c>
      <c r="H16" s="910">
        <f>IFERROR(VLOOKUP(B16, base,19,FALSE)*'4. Agricultura PIB'!$K$11/1000000,G16*'4. Agricultura PIB'!$F$54)</f>
        <v>4.2765397558682014E-2</v>
      </c>
      <c r="I16" s="910">
        <f>G16*'4. Agricultura PIB'!$F$45</f>
        <v>0.16721426309116164</v>
      </c>
      <c r="J16" s="952">
        <f>IFERROR((VLOOKUP(B16,base,19,FALSE)*'tecnicecon agric'!$D$65)/1000000,H16/3)</f>
        <v>1.8252000000000001E-2</v>
      </c>
      <c r="K16" s="952">
        <f>IFERROR(VLOOKUP(B16,'cultius resum'!$T$6:$AU$306,22,FALSE)/1000000,0)</f>
        <v>3.1254583333333329E-2</v>
      </c>
      <c r="L16" s="915">
        <f>K16*'A. Dades de partida'!$D$10</f>
        <v>0.46881874999999995</v>
      </c>
      <c r="M16" s="956">
        <f>IFERROR(VLOOKUP(B16,'cultius resum'!$T$6:$AU$308,28,FALSE)/1000000,0)</f>
        <v>0.28704822100006361</v>
      </c>
      <c r="N16" s="955">
        <f>M16*'A. Dades de partida'!$D$10+(((I16-M16)*'A. Dades de partida'!$D$10)/2)</f>
        <v>3.4069686306841889</v>
      </c>
      <c r="O16" s="955">
        <f t="shared" si="3"/>
        <v>3.1199204096841253</v>
      </c>
      <c r="P16" s="916">
        <f>J16*'A. Dades de partida'!$D$10</f>
        <v>0.27378000000000002</v>
      </c>
      <c r="Q16" s="916">
        <f>J16+J16*'4. Agricultura PIB'!$D$71</f>
        <v>2.3618088000000002E-2</v>
      </c>
      <c r="R16" s="916">
        <f>(((J16-Q16)*'A. Dades de partida'!$D$10)/2)+('A. Dades de partida'!$D$10*Q16)</f>
        <v>0.31402566000000004</v>
      </c>
      <c r="S16" s="916">
        <f t="shared" si="4"/>
        <v>4.0245660000000016E-2</v>
      </c>
    </row>
    <row r="17" spans="1:19">
      <c r="A17" s="835">
        <v>8014</v>
      </c>
      <c r="B17" s="826" t="s">
        <v>797</v>
      </c>
      <c r="C17" s="319" t="str">
        <f t="shared" si="0"/>
        <v>Vallès Oriental</v>
      </c>
      <c r="D17" s="908">
        <f>IFERROR(IF(VLOOKUP(B17,'BD ASVICC'!$A$6:$GN$316,193,FALSE)&gt;0,VLOOKUP(B17,'BD ASVICC'!$A$6:$GN$316,193,FALSE),(VLOOKUP(C17,'BD Comarcal'!$A$6:$AB$17,9,)/VLOOKUP(C17,'BD Comarcal'!$A$6:$AB$17,13,))),"")</f>
        <v>3.6614258022830064E-3</v>
      </c>
      <c r="E17" s="910">
        <f>IFERROR(IF(VLOOKUP(B17,'BD ASVICC'!$A$6:$GN$316,192,FALSE)&gt;0,VLOOKUP(B17,'BD ASVICC'!$A$6:$GN$316,192,FALSE),(VLOOKUP(C17,'BD Comarcal'!$A$6:$AB$17,14,)*F17)),"")</f>
        <v>68.103775620549257</v>
      </c>
      <c r="F17" s="904">
        <f t="shared" si="1"/>
        <v>6.1469384907484464E-3</v>
      </c>
      <c r="G17" s="910">
        <f t="shared" si="2"/>
        <v>0.24935692128997142</v>
      </c>
      <c r="H17" s="910">
        <f>IFERROR(VLOOKUP(B17, base,19,FALSE)*'4. Agricultura PIB'!$K$11/1000000,G17*'4. Agricultura PIB'!$F$54)</f>
        <v>0.1623064200676424</v>
      </c>
      <c r="I17" s="910">
        <f>G17*'4. Agricultura PIB'!$F$45</f>
        <v>8.2063362796529593E-2</v>
      </c>
      <c r="J17" s="952">
        <f>IFERROR((VLOOKUP(B17,base,19,FALSE)*'tecnicecon agric'!$D$65)/1000000,H17/3)</f>
        <v>5.4102140022547464E-2</v>
      </c>
      <c r="K17" s="952">
        <f>IFERROR(VLOOKUP(B17,'cultius resum'!$T$6:$AU$306,22,FALSE)/1000000,0)</f>
        <v>4.160583333333333E-3</v>
      </c>
      <c r="L17" s="915">
        <f>K17*'A. Dades de partida'!$D$10</f>
        <v>6.2408749999999992E-2</v>
      </c>
      <c r="M17" s="956">
        <f>IFERROR(VLOOKUP(B17,'cultius resum'!$T$6:$AU$308,28,FALSE)/1000000,0)</f>
        <v>5.0181717177450624E-2</v>
      </c>
      <c r="N17" s="955">
        <f>M17*'A. Dades de partida'!$D$10+(((I17-M17)*'A. Dades de partida'!$D$10)/2)</f>
        <v>0.99183809980485171</v>
      </c>
      <c r="O17" s="955">
        <f t="shared" si="3"/>
        <v>0.94165638262740115</v>
      </c>
      <c r="P17" s="916">
        <f>J17*'A. Dades de partida'!$D$10</f>
        <v>0.81153210033821199</v>
      </c>
      <c r="Q17" s="916">
        <f>J17+J17*'4. Agricultura PIB'!$D$71</f>
        <v>7.000816918917642E-2</v>
      </c>
      <c r="R17" s="916">
        <f>(((J17-Q17)*'A. Dades de partida'!$D$10)/2)+('A. Dades de partida'!$D$10*Q17)</f>
        <v>0.93082731908792904</v>
      </c>
      <c r="S17" s="916">
        <f t="shared" si="4"/>
        <v>0.11929521874971705</v>
      </c>
    </row>
    <row r="18" spans="1:19">
      <c r="A18" s="835">
        <v>8015</v>
      </c>
      <c r="B18" s="826" t="s">
        <v>335</v>
      </c>
      <c r="C18" s="319" t="str">
        <f t="shared" si="0"/>
        <v>Barcelonès</v>
      </c>
      <c r="D18" s="908">
        <f>IFERROR(IF(VLOOKUP(B18,'BD ASVICC'!$A$6:$GN$316,193,FALSE)&gt;0,VLOOKUP(B18,'BD ASVICC'!$A$6:$GN$316,193,FALSE),(VLOOKUP(C18,'BD Comarcal'!$A$6:$AB$17,9,)/VLOOKUP(C18,'BD Comarcal'!$A$6:$AB$17,13,))),"")</f>
        <v>1.5031028337067232E-4</v>
      </c>
      <c r="E18" s="910">
        <f>IFERROR(IF(VLOOKUP(B18,'BD ASVICC'!$A$6:$GN$316,192,FALSE)&gt;0,VLOOKUP(B18,'BD ASVICC'!$A$6:$GN$316,192,FALSE),(VLOOKUP(C18,'BD Comarcal'!$A$6:$AB$17,14,)*F18)),"")</f>
        <v>3869</v>
      </c>
      <c r="F18" s="904">
        <f t="shared" si="1"/>
        <v>9.6574172810953623E-2</v>
      </c>
      <c r="G18" s="910">
        <f t="shared" si="2"/>
        <v>0.58155048636113116</v>
      </c>
      <c r="H18" s="910">
        <f>IFERROR(VLOOKUP(B18, base,19,FALSE)*'4. Agricultura PIB'!$K$11/1000000,G18*'4. Agricultura PIB'!$F$54)</f>
        <v>4.7517108398535571E-4</v>
      </c>
      <c r="I18" s="910">
        <f>G18*'4. Agricultura PIB'!$F$45</f>
        <v>0.19138826506144827</v>
      </c>
      <c r="J18" s="952">
        <f>IFERROR((VLOOKUP(B18,base,19,FALSE)*'tecnicecon agric'!$D$65)/1000000,H18/3)</f>
        <v>2.028E-4</v>
      </c>
      <c r="K18" s="952">
        <f>IFERROR(VLOOKUP(B18,'cultius resum'!$T$6:$AU$306,22,FALSE)/1000000,0)</f>
        <v>3.8642083333333336E-3</v>
      </c>
      <c r="L18" s="915">
        <f>K18*'A. Dades de partida'!$D$10</f>
        <v>5.7963125000000004E-2</v>
      </c>
      <c r="M18" s="956">
        <f>IFERROR(VLOOKUP(B18,'cultius resum'!$T$6:$AU$308,28,FALSE)/1000000,0)</f>
        <v>5.4494812272964287E-2</v>
      </c>
      <c r="N18" s="955">
        <f>M18*'A. Dades de partida'!$D$10+(((I18-M18)*'A. Dades de partida'!$D$10)/2)</f>
        <v>1.8441230800080941</v>
      </c>
      <c r="O18" s="955">
        <f t="shared" si="3"/>
        <v>1.7896282677351298</v>
      </c>
      <c r="P18" s="916">
        <f>J18*'A. Dades de partida'!$D$10</f>
        <v>3.042E-3</v>
      </c>
      <c r="Q18" s="916">
        <f>J18+J18*'4. Agricultura PIB'!$D$71</f>
        <v>2.6242319999999998E-4</v>
      </c>
      <c r="R18" s="916">
        <f>(((J18-Q18)*'A. Dades de partida'!$D$10)/2)+('A. Dades de partida'!$D$10*Q18)</f>
        <v>3.4891739999999994E-3</v>
      </c>
      <c r="S18" s="916">
        <f t="shared" si="4"/>
        <v>4.471739999999994E-4</v>
      </c>
    </row>
    <row r="19" spans="1:19">
      <c r="A19" s="835">
        <v>8016</v>
      </c>
      <c r="B19" s="826" t="s">
        <v>807</v>
      </c>
      <c r="C19" s="319" t="str">
        <f t="shared" si="0"/>
        <v>Berguedà</v>
      </c>
      <c r="D19" s="908">
        <f>IFERROR(IF(VLOOKUP(B19,'BD ASVICC'!$A$6:$GN$316,193,FALSE)&gt;0,VLOOKUP(B19,'BD ASVICC'!$A$6:$GN$316,193,FALSE),(VLOOKUP(C19,'BD Comarcal'!$A$6:$AB$17,9,)/VLOOKUP(C19,'BD Comarcal'!$A$6:$AB$17,13,))),"")</f>
        <v>4.1611624834874503E-2</v>
      </c>
      <c r="E19" s="910">
        <f>IFERROR(IF(VLOOKUP(B19,'BD ASVICC'!$A$6:$GN$316,192,FALSE)&gt;0,VLOOKUP(B19,'BD ASVICC'!$A$6:$GN$316,192,FALSE),(VLOOKUP(C19,'BD Comarcal'!$A$6:$AB$17,14,)*F19)),"")</f>
        <v>45.311608555822147</v>
      </c>
      <c r="F19" s="904">
        <f t="shared" si="1"/>
        <v>5.5184031854612285E-2</v>
      </c>
      <c r="G19" s="910">
        <f t="shared" si="2"/>
        <v>1.8854896558895609</v>
      </c>
      <c r="H19" s="910">
        <f>IFERROR(VLOOKUP(B19, base,19,FALSE)*'4. Agricultura PIB'!$K$11/1000000,G19*'4. Agricultura PIB'!$F$54)</f>
        <v>8.0303913193525117E-2</v>
      </c>
      <c r="I19" s="910">
        <f>G19*'4. Agricultura PIB'!$F$45</f>
        <v>0.62051464575325443</v>
      </c>
      <c r="J19" s="952">
        <f>IFERROR((VLOOKUP(B19,base,19,FALSE)*'tecnicecon agric'!$D$65)/1000000,H19/3)</f>
        <v>3.4273199999999997E-2</v>
      </c>
      <c r="K19" s="952">
        <f>IFERROR(VLOOKUP(B19,'cultius resum'!$T$6:$AU$306,22,FALSE)/1000000,0)</f>
        <v>5.5921708333333327E-2</v>
      </c>
      <c r="L19" s="915">
        <f>K19*'A. Dades de partida'!$D$10</f>
        <v>0.83882562499999991</v>
      </c>
      <c r="M19" s="956">
        <f>IFERROR(VLOOKUP(B19,'cultius resum'!$T$6:$AU$308,28,FALSE)/1000000,0)</f>
        <v>0.59245161916028088</v>
      </c>
      <c r="N19" s="955">
        <f>M19*'A. Dades de partida'!$D$10+(((I19-M19)*'A. Dades de partida'!$D$10)/2)</f>
        <v>9.0972469868515144</v>
      </c>
      <c r="O19" s="955">
        <f t="shared" si="3"/>
        <v>8.5047953676912336</v>
      </c>
      <c r="P19" s="916">
        <f>J19*'A. Dades de partida'!$D$10</f>
        <v>0.51409799999999994</v>
      </c>
      <c r="Q19" s="916">
        <f>J19+J19*'4. Agricultura PIB'!$D$71</f>
        <v>4.4349520799999993E-2</v>
      </c>
      <c r="R19" s="916">
        <f>(((J19-Q19)*'A. Dades de partida'!$D$10)/2)+('A. Dades de partida'!$D$10*Q19)</f>
        <v>0.58967040599999998</v>
      </c>
      <c r="S19" s="916">
        <f t="shared" si="4"/>
        <v>7.5572406000000036E-2</v>
      </c>
    </row>
    <row r="20" spans="1:19">
      <c r="A20" s="835">
        <v>8017</v>
      </c>
      <c r="B20" s="826" t="s">
        <v>812</v>
      </c>
      <c r="C20" s="319" t="str">
        <f t="shared" si="0"/>
        <v>Osona</v>
      </c>
      <c r="D20" s="908">
        <f>IFERROR(IF(VLOOKUP(B20,'BD ASVICC'!$A$6:$GN$316,193,FALSE)&gt;0,VLOOKUP(B20,'BD ASVICC'!$A$6:$GN$316,193,FALSE),(VLOOKUP(C20,'BD Comarcal'!$A$6:$AB$17,9,)/VLOOKUP(C20,'BD Comarcal'!$A$6:$AB$17,13,))),"")</f>
        <v>1.8400340353116357E-2</v>
      </c>
      <c r="E20" s="910">
        <f>IFERROR(IF(VLOOKUP(B20,'BD ASVICC'!$A$6:$GN$316,192,FALSE)&gt;0,VLOOKUP(B20,'BD ASVICC'!$A$6:$GN$316,192,FALSE),(VLOOKUP(C20,'BD Comarcal'!$A$6:$AB$17,14,)*F20)),"")</f>
        <v>97.104464761855795</v>
      </c>
      <c r="F20" s="904">
        <f t="shared" si="1"/>
        <v>2.3804781516438469E-2</v>
      </c>
      <c r="G20" s="910">
        <f t="shared" si="2"/>
        <v>1.7867552014253405</v>
      </c>
      <c r="H20" s="910">
        <f>IFERROR(VLOOKUP(B20, base,19,FALSE)*'4. Agricultura PIB'!$K$11/1000000,G20*'4. Agricultura PIB'!$F$54)</f>
        <v>1.9510524708438706</v>
      </c>
      <c r="I20" s="910">
        <f>G20*'4. Agricultura PIB'!$F$45</f>
        <v>0.58802113678907952</v>
      </c>
      <c r="J20" s="952">
        <f>IFERROR((VLOOKUP(B20,base,19,FALSE)*'tecnicecon agric'!$D$65)/1000000,H20/3)</f>
        <v>0.8326967999999999</v>
      </c>
      <c r="K20" s="952">
        <f>IFERROR(VLOOKUP(B20,'cultius resum'!$T$6:$AU$306,22,FALSE)/1000000,0)</f>
        <v>0.27433454166666665</v>
      </c>
      <c r="L20" s="915">
        <f>K20*'A. Dades de partida'!$D$10</f>
        <v>4.1150181249999997</v>
      </c>
      <c r="M20" s="956">
        <f>IFERROR(VLOOKUP(B20,'cultius resum'!$T$6:$AU$308,28,FALSE)/1000000,0)</f>
        <v>2.4742868220577718</v>
      </c>
      <c r="N20" s="955">
        <f>M20*'A. Dades de partida'!$D$10+(((I20-M20)*'A. Dades de partida'!$D$10)/2)</f>
        <v>22.967309691351389</v>
      </c>
      <c r="O20" s="955">
        <f t="shared" si="3"/>
        <v>20.493022869293618</v>
      </c>
      <c r="P20" s="916">
        <f>J20*'A. Dades de partida'!$D$10</f>
        <v>12.490451999999998</v>
      </c>
      <c r="Q20" s="916">
        <f>J20+J20*'4. Agricultura PIB'!$D$71</f>
        <v>1.0775096592</v>
      </c>
      <c r="R20" s="916">
        <f>(((J20-Q20)*'A. Dades de partida'!$D$10)/2)+('A. Dades de partida'!$D$10*Q20)</f>
        <v>14.326548443999998</v>
      </c>
      <c r="S20" s="916">
        <f t="shared" si="4"/>
        <v>1.8360964440000007</v>
      </c>
    </row>
    <row r="21" spans="1:19">
      <c r="A21" s="835">
        <v>8018</v>
      </c>
      <c r="B21" s="826" t="s">
        <v>817</v>
      </c>
      <c r="C21" s="319" t="str">
        <f t="shared" si="0"/>
        <v>Bages</v>
      </c>
      <c r="D21" s="908">
        <f>IFERROR(IF(VLOOKUP(B21,'BD ASVICC'!$A$6:$GN$316,193,FALSE)&gt;0,VLOOKUP(B21,'BD ASVICC'!$A$6:$GN$316,193,FALSE),(VLOOKUP(C21,'BD Comarcal'!$A$6:$AB$17,9,)/VLOOKUP(C21,'BD Comarcal'!$A$6:$AB$17,13,))),"")</f>
        <v>9.2529216416964537E-3</v>
      </c>
      <c r="E21" s="910">
        <f>IFERROR(IF(VLOOKUP(B21,'BD ASVICC'!$A$6:$GN$316,192,FALSE)&gt;0,VLOOKUP(B21,'BD ASVICC'!$A$6:$GN$316,192,FALSE),(VLOOKUP(C21,'BD Comarcal'!$A$6:$AB$17,14,)*F21)),"")</f>
        <v>80.602413680389489</v>
      </c>
      <c r="F21" s="904">
        <f t="shared" si="1"/>
        <v>1.8838061486056393E-2</v>
      </c>
      <c r="G21" s="910">
        <f t="shared" si="2"/>
        <v>0.74580781791624617</v>
      </c>
      <c r="H21" s="910">
        <f>IFERROR(VLOOKUP(B21, base,19,FALSE)*'4. Agricultura PIB'!$K$11/1000000,G21*'4. Agricultura PIB'!$F$54)</f>
        <v>2.0332570683733371</v>
      </c>
      <c r="I21" s="910">
        <f>G21*'4. Agricultura PIB'!$F$45</f>
        <v>0.24544535287623662</v>
      </c>
      <c r="J21" s="952">
        <f>IFERROR((VLOOKUP(B21,base,19,FALSE)*'tecnicecon agric'!$D$65)/1000000,H21/3)</f>
        <v>0.86778119999999992</v>
      </c>
      <c r="K21" s="952">
        <f>IFERROR(VLOOKUP(B21,'cultius resum'!$T$6:$AU$306,22,FALSE)/1000000,0)</f>
        <v>0.367611625</v>
      </c>
      <c r="L21" s="915">
        <f>K21*'A. Dades de partida'!$D$10</f>
        <v>5.5141743749999996</v>
      </c>
      <c r="M21" s="956">
        <f>IFERROR(VLOOKUP(B21,'cultius resum'!$T$6:$AU$308,28,FALSE)/1000000,0)</f>
        <v>3.2207108838446787</v>
      </c>
      <c r="N21" s="955">
        <f>M21*'A. Dades de partida'!$D$10+(((I21-M21)*'A. Dades de partida'!$D$10)/2)</f>
        <v>25.996171775406864</v>
      </c>
      <c r="O21" s="955">
        <f t="shared" si="3"/>
        <v>22.775460891562187</v>
      </c>
      <c r="P21" s="916">
        <f>J21*'A. Dades de partida'!$D$10</f>
        <v>13.016717999999999</v>
      </c>
      <c r="Q21" s="916">
        <f>J21+J21*'4. Agricultura PIB'!$D$71</f>
        <v>1.1229088727999998</v>
      </c>
      <c r="R21" s="916">
        <f>(((J21-Q21)*'A. Dades de partida'!$D$10)/2)+('A. Dades de partida'!$D$10*Q21)</f>
        <v>14.930175545999997</v>
      </c>
      <c r="S21" s="916">
        <f t="shared" si="4"/>
        <v>1.9134575459999983</v>
      </c>
    </row>
    <row r="22" spans="1:19">
      <c r="A22" s="835">
        <v>8019</v>
      </c>
      <c r="B22" s="826" t="s">
        <v>331</v>
      </c>
      <c r="C22" s="319" t="str">
        <f t="shared" si="0"/>
        <v>Barcelonès</v>
      </c>
      <c r="D22" s="908">
        <f>IFERROR(IF(VLOOKUP(B22,'BD ASVICC'!$A$6:$GN$316,193,FALSE)&gt;0,VLOOKUP(B22,'BD ASVICC'!$A$6:$GN$316,193,FALSE),(VLOOKUP(C22,'BD Comarcal'!$A$6:$AB$17,9,)/VLOOKUP(C22,'BD Comarcal'!$A$6:$AB$17,13,))),"")</f>
        <v>1.5031028337067232E-4</v>
      </c>
      <c r="E22" s="910">
        <f>IFERROR(IF(VLOOKUP(B22,'BD ASVICC'!$A$6:$GN$316,192,FALSE)&gt;0,VLOOKUP(B22,'BD ASVICC'!$A$6:$GN$316,192,FALSE),(VLOOKUP(C22,'BD Comarcal'!$A$6:$AB$17,14,)*F22)),"")</f>
        <v>66609</v>
      </c>
      <c r="F22" s="904">
        <f t="shared" si="1"/>
        <v>0.72049544233715646</v>
      </c>
      <c r="G22" s="910">
        <f t="shared" si="2"/>
        <v>10.012017665037112</v>
      </c>
      <c r="H22" s="910">
        <f>IFERROR(VLOOKUP(B22, base,19,FALSE)*'4. Agricultura PIB'!$K$11/1000000,G22*'4. Agricultura PIB'!$F$54)</f>
        <v>3.3261975878974897E-3</v>
      </c>
      <c r="I22" s="910">
        <f>G22*'4. Agricultura PIB'!$F$45</f>
        <v>3.2949550135637136</v>
      </c>
      <c r="J22" s="952">
        <f>IFERROR((VLOOKUP(B22,base,19,FALSE)*'tecnicecon agric'!$D$65)/1000000,H22/3)</f>
        <v>1.4195999999999998E-3</v>
      </c>
      <c r="K22" s="952">
        <f>IFERROR(VLOOKUP(B22,'cultius resum'!$T$6:$AU$306,22,FALSE)/1000000,0)</f>
        <v>1.4685125E-2</v>
      </c>
      <c r="L22" s="915">
        <f>K22*'A. Dades de partida'!$D$10</f>
        <v>0.22027687500000001</v>
      </c>
      <c r="M22" s="956">
        <f>IFERROR(VLOOKUP(B22,'cultius resum'!$T$6:$AU$308,28,FALSE)/1000000,0)</f>
        <v>0.2181367914887285</v>
      </c>
      <c r="N22" s="955">
        <f>M22*'A. Dades de partida'!$D$10+(((I22-M22)*'A. Dades de partida'!$D$10)/2)</f>
        <v>26.348188537893314</v>
      </c>
      <c r="O22" s="955">
        <f t="shared" si="3"/>
        <v>26.130051746404586</v>
      </c>
      <c r="P22" s="916">
        <f>J22*'A. Dades de partida'!$D$10</f>
        <v>2.1293999999999997E-2</v>
      </c>
      <c r="Q22" s="916">
        <f>J22+J22*'4. Agricultura PIB'!$D$71</f>
        <v>1.8369623999999998E-3</v>
      </c>
      <c r="R22" s="916">
        <f>(((J22-Q22)*'A. Dades de partida'!$D$10)/2)+('A. Dades de partida'!$D$10*Q22)</f>
        <v>2.4424217999999998E-2</v>
      </c>
      <c r="S22" s="916">
        <f t="shared" si="4"/>
        <v>3.1302180000000006E-3</v>
      </c>
    </row>
    <row r="23" spans="1:19">
      <c r="A23" s="835">
        <v>8020</v>
      </c>
      <c r="B23" s="826" t="s">
        <v>825</v>
      </c>
      <c r="C23" s="319" t="str">
        <f t="shared" si="0"/>
        <v>Baix Llobregat</v>
      </c>
      <c r="D23" s="908">
        <f>IFERROR(IF(VLOOKUP(B23,'BD ASVICC'!$A$6:$GN$316,193,FALSE)&gt;0,VLOOKUP(B23,'BD ASVICC'!$A$6:$GN$316,193,FALSE),(VLOOKUP(C23,'BD Comarcal'!$A$6:$AB$17,9,)/VLOOKUP(C23,'BD Comarcal'!$A$6:$AB$17,13,))),"")</f>
        <v>2E-3</v>
      </c>
      <c r="E23" s="910">
        <f>IFERROR(IF(VLOOKUP(B23,'BD ASVICC'!$A$6:$GN$316,192,FALSE)&gt;0,VLOOKUP(B23,'BD ASVICC'!$A$6:$GN$316,192,FALSE),(VLOOKUP(C23,'BD Comarcal'!$A$6:$AB$17,14,)*F23)),"")</f>
        <v>90</v>
      </c>
      <c r="F23" s="904">
        <f t="shared" si="1"/>
        <v>8.3172507633818716E-3</v>
      </c>
      <c r="G23" s="910">
        <f t="shared" si="2"/>
        <v>0.18</v>
      </c>
      <c r="H23" s="910">
        <f>IFERROR(VLOOKUP(B23, base,19,FALSE)*'4. Agricultura PIB'!$K$11/1000000,G23*'4. Agricultura PIB'!$F$54)</f>
        <v>1.9006843359414228E-3</v>
      </c>
      <c r="I23" s="910">
        <f>G23*'4. Agricultura PIB'!$F$45</f>
        <v>5.9237999999999999E-2</v>
      </c>
      <c r="J23" s="952">
        <f>IFERROR((VLOOKUP(B23,base,19,FALSE)*'tecnicecon agric'!$D$65)/1000000,H23/3)</f>
        <v>8.1119999999999999E-4</v>
      </c>
      <c r="K23" s="952">
        <f>IFERROR(VLOOKUP(B23,'cultius resum'!$T$6:$AU$306,22,FALSE)/1000000,0)</f>
        <v>3.9693166666666661E-2</v>
      </c>
      <c r="L23" s="915">
        <f>K23*'A. Dades de partida'!$D$10</f>
        <v>0.59539749999999991</v>
      </c>
      <c r="M23" s="956">
        <f>IFERROR(VLOOKUP(B23,'cultius resum'!$T$6:$AU$308,28,FALSE)/1000000,0)</f>
        <v>0.37462991246529509</v>
      </c>
      <c r="N23" s="955">
        <f>M23*'A. Dades de partida'!$D$10+(((I23-M23)*'A. Dades de partida'!$D$10)/2)</f>
        <v>3.2540093434897135</v>
      </c>
      <c r="O23" s="955">
        <f t="shared" si="3"/>
        <v>2.8793794310244185</v>
      </c>
      <c r="P23" s="916">
        <f>J23*'A. Dades de partida'!$D$10</f>
        <v>1.2168E-2</v>
      </c>
      <c r="Q23" s="916">
        <f>J23+J23*'4. Agricultura PIB'!$D$71</f>
        <v>1.0496927999999999E-3</v>
      </c>
      <c r="R23" s="916">
        <f>(((J23-Q23)*'A. Dades de partida'!$D$10)/2)+('A. Dades de partida'!$D$10*Q23)</f>
        <v>1.3956695999999998E-2</v>
      </c>
      <c r="S23" s="916">
        <f t="shared" si="4"/>
        <v>1.7886959999999976E-3</v>
      </c>
    </row>
    <row r="24" spans="1:19">
      <c r="A24" s="835">
        <v>8021</v>
      </c>
      <c r="B24" s="826" t="s">
        <v>829</v>
      </c>
      <c r="C24" s="319" t="str">
        <f t="shared" si="0"/>
        <v>Anoia</v>
      </c>
      <c r="D24" s="908">
        <f>IFERROR(IF(VLOOKUP(B24,'BD ASVICC'!$A$6:$GN$316,193,FALSE)&gt;0,VLOOKUP(B24,'BD ASVICC'!$A$6:$GN$316,193,FALSE),(VLOOKUP(C24,'BD Comarcal'!$A$6:$AB$17,9,)/VLOOKUP(C24,'BD Comarcal'!$A$6:$AB$17,13,))),"")</f>
        <v>1.049736419894568E-2</v>
      </c>
      <c r="E24" s="910">
        <f>IFERROR(IF(VLOOKUP(B24,'BD ASVICC'!$A$6:$GN$316,192,FALSE)&gt;0,VLOOKUP(B24,'BD ASVICC'!$A$6:$GN$316,192,FALSE),(VLOOKUP(C24,'BD Comarcal'!$A$6:$AB$17,14,)*F24)),"")</f>
        <v>1.5102890114379084</v>
      </c>
      <c r="F24" s="904">
        <f t="shared" si="1"/>
        <v>6.3827614379084968E-4</v>
      </c>
      <c r="G24" s="910">
        <f t="shared" si="2"/>
        <v>1.585405379872936E-2</v>
      </c>
      <c r="H24" s="910">
        <f>IFERROR(VLOOKUP(B24, base,19,FALSE)*'4. Agricultura PIB'!$K$11/1000000,G24*'4. Agricultura PIB'!$F$54)</f>
        <v>0.50938340203230137</v>
      </c>
      <c r="I24" s="910">
        <f>G24*'4. Agricultura PIB'!$F$45</f>
        <v>5.2175691051618324E-3</v>
      </c>
      <c r="J24" s="952">
        <f>IFERROR((VLOOKUP(B24,base,19,FALSE)*'tecnicecon agric'!$D$65)/1000000,H24/3)</f>
        <v>0.21740159999999997</v>
      </c>
      <c r="K24" s="952">
        <f>IFERROR(VLOOKUP(B24,'cultius resum'!$T$6:$AU$306,22,FALSE)/1000000,0)</f>
        <v>0.44823933333333332</v>
      </c>
      <c r="L24" s="915">
        <f>K24*'A. Dades de partida'!$D$10</f>
        <v>6.7235899999999997</v>
      </c>
      <c r="M24" s="956">
        <f>IFERROR(VLOOKUP(B24,'cultius resum'!$T$6:$AU$308,28,FALSE)/1000000,0)</f>
        <v>3.9186861948197191</v>
      </c>
      <c r="N24" s="955">
        <f>M24*'A. Dades de partida'!$D$10+(((I24-M24)*'A. Dades de partida'!$D$10)/2)</f>
        <v>29.429278229436605</v>
      </c>
      <c r="O24" s="955">
        <f t="shared" si="3"/>
        <v>25.510592034616884</v>
      </c>
      <c r="P24" s="916">
        <f>J24*'A. Dades de partida'!$D$10</f>
        <v>3.2610239999999995</v>
      </c>
      <c r="Q24" s="916">
        <f>J24+J24*'4. Agricultura PIB'!$D$71</f>
        <v>0.28131767039999994</v>
      </c>
      <c r="R24" s="916">
        <f>(((J24-Q24)*'A. Dades de partida'!$D$10)/2)+('A. Dades de partida'!$D$10*Q24)</f>
        <v>3.7403945279999995</v>
      </c>
      <c r="S24" s="916">
        <f t="shared" si="4"/>
        <v>0.47937052800000002</v>
      </c>
    </row>
    <row r="25" spans="1:19">
      <c r="A25" s="835">
        <v>8022</v>
      </c>
      <c r="B25" s="826" t="s">
        <v>777</v>
      </c>
      <c r="C25" s="319" t="str">
        <f t="shared" si="0"/>
        <v>Berguedà</v>
      </c>
      <c r="D25" s="908">
        <f>IFERROR(IF(VLOOKUP(B25,'BD ASVICC'!$A$6:$GN$316,193,FALSE)&gt;0,VLOOKUP(B25,'BD ASVICC'!$A$6:$GN$316,193,FALSE),(VLOOKUP(C25,'BD Comarcal'!$A$6:$AB$17,9,)/VLOOKUP(C25,'BD Comarcal'!$A$6:$AB$17,13,))),"")</f>
        <v>3.0000000000000001E-3</v>
      </c>
      <c r="E25" s="910">
        <f>IFERROR(IF(VLOOKUP(B25,'BD ASVICC'!$A$6:$GN$316,192,FALSE)&gt;0,VLOOKUP(B25,'BD ASVICC'!$A$6:$GN$316,192,FALSE),(VLOOKUP(C25,'BD Comarcal'!$A$6:$AB$17,14,)*F25)),"")</f>
        <v>360</v>
      </c>
      <c r="F25" s="904">
        <f t="shared" si="1"/>
        <v>0.41285925774669457</v>
      </c>
      <c r="G25" s="910">
        <f t="shared" si="2"/>
        <v>1.08</v>
      </c>
      <c r="H25" s="910">
        <f>IFERROR(VLOOKUP(B25, base,19,FALSE)*'4. Agricultura PIB'!$K$11/1000000,G25*'4. Agricultura PIB'!$F$54)</f>
        <v>0.5473970887511298</v>
      </c>
      <c r="I25" s="910">
        <f>G25*'4. Agricultura PIB'!$F$45</f>
        <v>0.35542800000000002</v>
      </c>
      <c r="J25" s="952">
        <f>IFERROR((VLOOKUP(B25,base,19,FALSE)*'tecnicecon agric'!$D$65)/1000000,H25/3)</f>
        <v>0.23362559999999999</v>
      </c>
      <c r="K25" s="952">
        <f>IFERROR(VLOOKUP(B25,'cultius resum'!$T$6:$AU$306,22,FALSE)/1000000,0)</f>
        <v>0.1162275</v>
      </c>
      <c r="L25" s="915">
        <f>K25*'A. Dades de partida'!$D$10</f>
        <v>1.7434125</v>
      </c>
      <c r="M25" s="956">
        <f>IFERROR(VLOOKUP(B25,'cultius resum'!$T$6:$AU$308,28,FALSE)/1000000,0)</f>
        <v>1.0989564212040313</v>
      </c>
      <c r="N25" s="955">
        <f>M25*'A. Dades de partida'!$D$10+(((I25-M25)*'A. Dades de partida'!$D$10)/2)</f>
        <v>10.907883159030234</v>
      </c>
      <c r="O25" s="955">
        <f t="shared" si="3"/>
        <v>9.8089267378262033</v>
      </c>
      <c r="P25" s="916">
        <f>J25*'A. Dades de partida'!$D$10</f>
        <v>3.5043839999999999</v>
      </c>
      <c r="Q25" s="916">
        <f>J25+J25*'4. Agricultura PIB'!$D$71</f>
        <v>0.30231152639999997</v>
      </c>
      <c r="R25" s="916">
        <f>(((J25-Q25)*'A. Dades de partida'!$D$10)/2)+('A. Dades de partida'!$D$10*Q25)</f>
        <v>4.019528448</v>
      </c>
      <c r="S25" s="916">
        <f t="shared" si="4"/>
        <v>0.51514444800000003</v>
      </c>
    </row>
    <row r="26" spans="1:19">
      <c r="A26" s="835">
        <v>8023</v>
      </c>
      <c r="B26" s="826" t="s">
        <v>838</v>
      </c>
      <c r="C26" s="319" t="str">
        <f t="shared" si="0"/>
        <v>Vallès Oriental</v>
      </c>
      <c r="D26" s="908">
        <f>IFERROR(IF(VLOOKUP(B26,'BD ASVICC'!$A$6:$GN$316,193,FALSE)&gt;0,VLOOKUP(B26,'BD ASVICC'!$A$6:$GN$316,193,FALSE),(VLOOKUP(C26,'BD Comarcal'!$A$6:$AB$17,9,)/VLOOKUP(C26,'BD Comarcal'!$A$6:$AB$17,13,))),"")</f>
        <v>1.4999999999999999E-2</v>
      </c>
      <c r="E26" s="910">
        <f>IFERROR(IF(VLOOKUP(B26,'BD ASVICC'!$A$6:$GN$316,192,FALSE)&gt;0,VLOOKUP(B26,'BD ASVICC'!$A$6:$GN$316,192,FALSE),(VLOOKUP(C26,'BD Comarcal'!$A$6:$AB$17,14,)*F26)),"")</f>
        <v>158</v>
      </c>
      <c r="F26" s="904">
        <f t="shared" si="1"/>
        <v>2.2213196856514957E-2</v>
      </c>
      <c r="G26" s="910">
        <f t="shared" si="2"/>
        <v>2.37</v>
      </c>
      <c r="H26" s="910">
        <f>IFERROR(VLOOKUP(B26, base,19,FALSE)*'4. Agricultura PIB'!$K$11/1000000,G26*'4. Agricultura PIB'!$F$54)</f>
        <v>1.931570456400471</v>
      </c>
      <c r="I26" s="910">
        <f>G26*'4. Agricultura PIB'!$F$45</f>
        <v>0.77996700000000008</v>
      </c>
      <c r="J26" s="952">
        <f>IFERROR((VLOOKUP(B26,base,19,FALSE)*'tecnicecon agric'!$D$65)/1000000,H26/3)</f>
        <v>0.82438199999999984</v>
      </c>
      <c r="K26" s="952">
        <f>IFERROR(VLOOKUP(B26,'cultius resum'!$T$6:$AU$306,22,FALSE)/1000000,0)</f>
        <v>8.6242625000000003E-2</v>
      </c>
      <c r="L26" s="915">
        <f>K26*'A. Dades de partida'!$D$10</f>
        <v>1.2936393750000001</v>
      </c>
      <c r="M26" s="956">
        <f>IFERROR(VLOOKUP(B26,'cultius resum'!$T$6:$AU$308,28,FALSE)/1000000,0)</f>
        <v>1.0370363075350226</v>
      </c>
      <c r="N26" s="955">
        <f>M26*'A. Dades de partida'!$D$10+(((I26-M26)*'A. Dades de partida'!$D$10)/2)</f>
        <v>13.627524806512671</v>
      </c>
      <c r="O26" s="955">
        <f t="shared" si="3"/>
        <v>12.590488498977649</v>
      </c>
      <c r="P26" s="916">
        <f>J26*'A. Dades de partida'!$D$10</f>
        <v>12.365729999999997</v>
      </c>
      <c r="Q26" s="916">
        <f>J26+J26*'4. Agricultura PIB'!$D$71</f>
        <v>1.0667503079999998</v>
      </c>
      <c r="R26" s="916">
        <f>(((J26-Q26)*'A. Dades de partida'!$D$10)/2)+('A. Dades de partida'!$D$10*Q26)</f>
        <v>14.183492309999998</v>
      </c>
      <c r="S26" s="916">
        <f t="shared" si="4"/>
        <v>1.8177623100000009</v>
      </c>
    </row>
    <row r="27" spans="1:19">
      <c r="A27" s="835">
        <v>8024</v>
      </c>
      <c r="B27" s="826" t="s">
        <v>843</v>
      </c>
      <c r="C27" s="319" t="str">
        <f t="shared" si="0"/>
        <v>Berguedà</v>
      </c>
      <c r="D27" s="908">
        <f>IFERROR(IF(VLOOKUP(B27,'BD ASVICC'!$A$6:$GN$316,193,FALSE)&gt;0,VLOOKUP(B27,'BD ASVICC'!$A$6:$GN$316,193,FALSE),(VLOOKUP(C27,'BD Comarcal'!$A$6:$AB$17,9,)/VLOOKUP(C27,'BD Comarcal'!$A$6:$AB$17,13,))),"")</f>
        <v>4.1611624834874503E-2</v>
      </c>
      <c r="E27" s="910">
        <f>IFERROR(IF(VLOOKUP(B27,'BD ASVICC'!$A$6:$GN$316,192,FALSE)&gt;0,VLOOKUP(B27,'BD ASVICC'!$A$6:$GN$316,192,FALSE),(VLOOKUP(C27,'BD Comarcal'!$A$6:$AB$17,14,)*F27)),"")</f>
        <v>10.374304456582777</v>
      </c>
      <c r="F27" s="904">
        <f t="shared" si="1"/>
        <v>1.2634641890857114E-2</v>
      </c>
      <c r="G27" s="910">
        <f t="shared" si="2"/>
        <v>0.43169166497008915</v>
      </c>
      <c r="H27" s="910">
        <f>IFERROR(VLOOKUP(B27, base,19,FALSE)*'4. Agricultura PIB'!$K$11/1000000,G27*'4. Agricultura PIB'!$F$54)</f>
        <v>0.80398947410322186</v>
      </c>
      <c r="I27" s="910">
        <f>G27*'4. Agricultura PIB'!$F$45</f>
        <v>0.14206972694165634</v>
      </c>
      <c r="J27" s="952">
        <f>IFERROR((VLOOKUP(B27,base,19,FALSE)*'tecnicecon agric'!$D$65)/1000000,H27/3)</f>
        <v>0.34313759999999999</v>
      </c>
      <c r="K27" s="952">
        <f>IFERROR(VLOOKUP(B27,'cultius resum'!$T$6:$AU$306,22,FALSE)/1000000,0)</f>
        <v>8.5559999999999997E-2</v>
      </c>
      <c r="L27" s="915">
        <f>K27*'A. Dades de partida'!$D$10</f>
        <v>1.2833999999999999</v>
      </c>
      <c r="M27" s="956">
        <f>IFERROR(VLOOKUP(B27,'cultius resum'!$T$6:$AU$308,28,FALSE)/1000000,0)</f>
        <v>0.74799948575561981</v>
      </c>
      <c r="N27" s="955">
        <f>M27*'A. Dades de partida'!$D$10+(((I27-M27)*'A. Dades de partida'!$D$10)/2)</f>
        <v>6.6755190952295704</v>
      </c>
      <c r="O27" s="955">
        <f t="shared" si="3"/>
        <v>5.9275196094739506</v>
      </c>
      <c r="P27" s="916">
        <f>J27*'A. Dades de partida'!$D$10</f>
        <v>5.1470639999999994</v>
      </c>
      <c r="Q27" s="916">
        <f>J27+J27*'4. Agricultura PIB'!$D$71</f>
        <v>0.44402005439999997</v>
      </c>
      <c r="R27" s="916">
        <f>(((J27-Q27)*'A. Dades de partida'!$D$10)/2)+('A. Dades de partida'!$D$10*Q27)</f>
        <v>5.9036824079999999</v>
      </c>
      <c r="S27" s="916">
        <f t="shared" si="4"/>
        <v>0.75661840800000046</v>
      </c>
    </row>
    <row r="28" spans="1:19">
      <c r="A28" s="835">
        <v>8025</v>
      </c>
      <c r="B28" s="826" t="s">
        <v>846</v>
      </c>
      <c r="C28" s="319" t="str">
        <f t="shared" si="0"/>
        <v>Anoia</v>
      </c>
      <c r="D28" s="908">
        <f>IFERROR(IF(VLOOKUP(B28,'BD ASVICC'!$A$6:$GN$316,193,FALSE)&gt;0,VLOOKUP(B28,'BD ASVICC'!$A$6:$GN$316,193,FALSE),(VLOOKUP(C28,'BD Comarcal'!$A$6:$AB$17,9,)/VLOOKUP(C28,'BD Comarcal'!$A$6:$AB$17,13,))),"")</f>
        <v>1.049736419894568E-2</v>
      </c>
      <c r="E28" s="910">
        <f>IFERROR(IF(VLOOKUP(B28,'BD ASVICC'!$A$6:$GN$316,192,FALSE)&gt;0,VLOOKUP(B28,'BD ASVICC'!$A$6:$GN$316,192,FALSE),(VLOOKUP(C28,'BD Comarcal'!$A$6:$AB$17,14,)*F28)),"")</f>
        <v>40.556294253812631</v>
      </c>
      <c r="F28" s="904">
        <f t="shared" si="1"/>
        <v>1.7139842047930284E-2</v>
      </c>
      <c r="G28" s="910">
        <f t="shared" si="2"/>
        <v>0.42573419134187912</v>
      </c>
      <c r="H28" s="910">
        <f>IFERROR(VLOOKUP(B28, base,19,FALSE)*'4. Agricultura PIB'!$K$11/1000000,G28*'4. Agricultura PIB'!$F$54)</f>
        <v>1.9006843359414228E-3</v>
      </c>
      <c r="I28" s="910">
        <f>G28*'4. Agricultura PIB'!$F$45</f>
        <v>0.14010912237061243</v>
      </c>
      <c r="J28" s="952">
        <f>IFERROR((VLOOKUP(B28,base,19,FALSE)*'tecnicecon agric'!$D$65)/1000000,H28/3)</f>
        <v>8.1119999999999999E-4</v>
      </c>
      <c r="K28" s="952">
        <f>IFERROR(VLOOKUP(B28,'cultius resum'!$T$6:$AU$306,22,FALSE)/1000000,0)</f>
        <v>7.9738583333333335E-2</v>
      </c>
      <c r="L28" s="915">
        <f>K28*'A. Dades de partida'!$D$10</f>
        <v>1.1960787500000001</v>
      </c>
      <c r="M28" s="956">
        <f>IFERROR(VLOOKUP(B28,'cultius resum'!$T$6:$AU$308,28,FALSE)/1000000,0)</f>
        <v>0.71091459626158127</v>
      </c>
      <c r="N28" s="955">
        <f>M28*'A. Dades de partida'!$D$10+(((I28-M28)*'A. Dades de partida'!$D$10)/2)</f>
        <v>6.3826778897414531</v>
      </c>
      <c r="O28" s="955">
        <f t="shared" si="3"/>
        <v>5.6717632934798718</v>
      </c>
      <c r="P28" s="916">
        <f>J28*'A. Dades de partida'!$D$10</f>
        <v>1.2168E-2</v>
      </c>
      <c r="Q28" s="916">
        <f>J28+J28*'4. Agricultura PIB'!$D$71</f>
        <v>1.0496927999999999E-3</v>
      </c>
      <c r="R28" s="916">
        <f>(((J28-Q28)*'A. Dades de partida'!$D$10)/2)+('A. Dades de partida'!$D$10*Q28)</f>
        <v>1.3956695999999998E-2</v>
      </c>
      <c r="S28" s="916">
        <f t="shared" si="4"/>
        <v>1.7886959999999976E-3</v>
      </c>
    </row>
    <row r="29" spans="1:19">
      <c r="A29" s="835">
        <v>8026</v>
      </c>
      <c r="B29" s="826" t="s">
        <v>850</v>
      </c>
      <c r="C29" s="319" t="str">
        <f t="shared" si="0"/>
        <v>Osona</v>
      </c>
      <c r="D29" s="908">
        <f>IFERROR(IF(VLOOKUP(B29,'BD ASVICC'!$A$6:$GN$316,193,FALSE)&gt;0,VLOOKUP(B29,'BD ASVICC'!$A$6:$GN$316,193,FALSE),(VLOOKUP(C29,'BD Comarcal'!$A$6:$AB$17,9,)/VLOOKUP(C29,'BD Comarcal'!$A$6:$AB$17,13,))),"")</f>
        <v>1.8400340353116357E-2</v>
      </c>
      <c r="E29" s="910">
        <f>IFERROR(IF(VLOOKUP(B29,'BD ASVICC'!$A$6:$GN$316,192,FALSE)&gt;0,VLOOKUP(B29,'BD ASVICC'!$A$6:$GN$316,192,FALSE),(VLOOKUP(C29,'BD Comarcal'!$A$6:$AB$17,14,)*F29)),"")</f>
        <v>6.8929755013139209</v>
      </c>
      <c r="F29" s="904">
        <f t="shared" si="1"/>
        <v>1.6897861103436756E-3</v>
      </c>
      <c r="G29" s="910">
        <f t="shared" si="2"/>
        <v>0.126833095269869</v>
      </c>
      <c r="H29" s="910">
        <f>IFERROR(VLOOKUP(B29, base,19,FALSE)*'4. Agricultura PIB'!$K$11/1000000,G29*'4. Agricultura PIB'!$F$54)</f>
        <v>1.0387239895919875</v>
      </c>
      <c r="I29" s="910">
        <f>G29*'4. Agricultura PIB'!$F$45</f>
        <v>4.1740771653313885E-2</v>
      </c>
      <c r="J29" s="952">
        <f>IFERROR((VLOOKUP(B29,base,19,FALSE)*'tecnicecon agric'!$D$65)/1000000,H29/3)</f>
        <v>0.44332080000000001</v>
      </c>
      <c r="K29" s="952">
        <f>IFERROR(VLOOKUP(B29,'cultius resum'!$T$6:$AU$306,22,FALSE)/1000000,0)</f>
        <v>0.14450133333333331</v>
      </c>
      <c r="L29" s="915">
        <f>K29*'A. Dades de partida'!$D$10</f>
        <v>2.1675199999999997</v>
      </c>
      <c r="M29" s="956">
        <f>IFERROR(VLOOKUP(B29,'cultius resum'!$T$6:$AU$308,28,FALSE)/1000000,0)</f>
        <v>1.2632880203872687</v>
      </c>
      <c r="N29" s="955">
        <f>M29*'A. Dades de partida'!$D$10+(((I29-M29)*'A. Dades de partida'!$D$10)/2)</f>
        <v>9.7877159403043699</v>
      </c>
      <c r="O29" s="955">
        <f t="shared" si="3"/>
        <v>8.5244279199171018</v>
      </c>
      <c r="P29" s="916">
        <f>J29*'A. Dades de partida'!$D$10</f>
        <v>6.6498119999999998</v>
      </c>
      <c r="Q29" s="916">
        <f>J29+J29*'4. Agricultura PIB'!$D$71</f>
        <v>0.57365711520000007</v>
      </c>
      <c r="R29" s="916">
        <f>(((J29-Q29)*'A. Dades de partida'!$D$10)/2)+('A. Dades de partida'!$D$10*Q29)</f>
        <v>7.6273343640000011</v>
      </c>
      <c r="S29" s="916">
        <f t="shared" si="4"/>
        <v>0.97752236400000125</v>
      </c>
    </row>
    <row r="30" spans="1:19">
      <c r="A30" s="835">
        <v>8027</v>
      </c>
      <c r="B30" s="826" t="s">
        <v>854</v>
      </c>
      <c r="C30" s="319" t="str">
        <f t="shared" si="0"/>
        <v>Alt Penedès</v>
      </c>
      <c r="D30" s="908">
        <f>IFERROR(IF(VLOOKUP(B30,'BD ASVICC'!$A$6:$GN$316,193,FALSE)&gt;0,VLOOKUP(B30,'BD ASVICC'!$A$6:$GN$316,193,FALSE),(VLOOKUP(C30,'BD Comarcal'!$A$6:$AB$17,9,)/VLOOKUP(C30,'BD Comarcal'!$A$6:$AB$17,13,))),"")</f>
        <v>1.0966842723004694E-2</v>
      </c>
      <c r="E30" s="910">
        <f>IFERROR(IF(VLOOKUP(B30,'BD ASVICC'!$A$6:$GN$316,192,FALSE)&gt;0,VLOOKUP(B30,'BD ASVICC'!$A$6:$GN$316,192,FALSE),(VLOOKUP(C30,'BD Comarcal'!$A$6:$AB$17,14,)*F30)),"")</f>
        <v>26.239845683368614</v>
      </c>
      <c r="F30" s="904">
        <f t="shared" si="1"/>
        <v>8.8732063043989642E-3</v>
      </c>
      <c r="G30" s="910">
        <f t="shared" si="2"/>
        <v>0.28776826068541722</v>
      </c>
      <c r="H30" s="910">
        <f>IFERROR(VLOOKUP(B30, base,19,FALSE)*'4. Agricultura PIB'!$K$11/1000000,G30*'4. Agricultura PIB'!$F$54)</f>
        <v>0</v>
      </c>
      <c r="I30" s="910">
        <f>G30*'4. Agricultura PIB'!$F$45</f>
        <v>9.4704534591570813E-2</v>
      </c>
      <c r="J30" s="952">
        <f>IFERROR((VLOOKUP(B30,base,19,FALSE)*'tecnicecon agric'!$D$65)/1000000,H30/3)</f>
        <v>0</v>
      </c>
      <c r="K30" s="952">
        <f>IFERROR(VLOOKUP(B30,'cultius resum'!$T$6:$AU$306,22,FALSE)/1000000,0)</f>
        <v>3.3273333333333332E-3</v>
      </c>
      <c r="L30" s="915">
        <f>K30*'A. Dades de partida'!$D$10</f>
        <v>4.9909999999999996E-2</v>
      </c>
      <c r="M30" s="956">
        <f>IFERROR(VLOOKUP(B30,'cultius resum'!$T$6:$AU$308,28,FALSE)/1000000,0)</f>
        <v>2.9088868890496319E-2</v>
      </c>
      <c r="N30" s="955">
        <f>M30*'A. Dades de partida'!$D$10+(((I30-M30)*'A. Dades de partida'!$D$10)/2)</f>
        <v>0.92845052611550349</v>
      </c>
      <c r="O30" s="955">
        <f t="shared" si="3"/>
        <v>0.89936165722500716</v>
      </c>
      <c r="P30" s="916">
        <f>J30*'A. Dades de partida'!$D$10</f>
        <v>0</v>
      </c>
      <c r="Q30" s="916">
        <f>J30+J30*'4. Agricultura PIB'!$D$71</f>
        <v>0</v>
      </c>
      <c r="R30" s="916">
        <f>(((J30-Q30)*'A. Dades de partida'!$D$10)/2)+('A. Dades de partida'!$D$10*Q30)</f>
        <v>0</v>
      </c>
      <c r="S30" s="916">
        <f t="shared" si="4"/>
        <v>0</v>
      </c>
    </row>
    <row r="31" spans="1:19">
      <c r="A31" s="835">
        <v>8028</v>
      </c>
      <c r="B31" s="826" t="s">
        <v>856</v>
      </c>
      <c r="C31" s="319" t="str">
        <f t="shared" si="0"/>
        <v>Anoia</v>
      </c>
      <c r="D31" s="908">
        <f>IFERROR(IF(VLOOKUP(B31,'BD ASVICC'!$A$6:$GN$316,193,FALSE)&gt;0,VLOOKUP(B31,'BD ASVICC'!$A$6:$GN$316,193,FALSE),(VLOOKUP(C31,'BD Comarcal'!$A$6:$AB$17,9,)/VLOOKUP(C31,'BD Comarcal'!$A$6:$AB$17,13,))),"")</f>
        <v>1.049736419894568E-2</v>
      </c>
      <c r="E31" s="910">
        <f>IFERROR(IF(VLOOKUP(B31,'BD ASVICC'!$A$6:$GN$316,192,FALSE)&gt;0,VLOOKUP(B31,'BD ASVICC'!$A$6:$GN$316,192,FALSE),(VLOOKUP(C31,'BD Comarcal'!$A$6:$AB$17,14,)*F31)),"")</f>
        <v>27.205339392701521</v>
      </c>
      <c r="F31" s="904">
        <f t="shared" si="1"/>
        <v>1.1497480936819172E-2</v>
      </c>
      <c r="G31" s="910">
        <f t="shared" si="2"/>
        <v>0.28558435576111157</v>
      </c>
      <c r="H31" s="910">
        <f>IFERROR(VLOOKUP(B31, base,19,FALSE)*'4. Agricultura PIB'!$K$11/1000000,G31*'4. Agricultura PIB'!$F$54)</f>
        <v>2.3758554199267787E-3</v>
      </c>
      <c r="I31" s="910">
        <f>G31*'4. Agricultura PIB'!$F$45</f>
        <v>9.3985811480981826E-2</v>
      </c>
      <c r="J31" s="952">
        <f>IFERROR((VLOOKUP(B31,base,19,FALSE)*'tecnicecon agric'!$D$65)/1000000,H31/3)</f>
        <v>1.0139999999999999E-3</v>
      </c>
      <c r="K31" s="952">
        <f>IFERROR(VLOOKUP(B31,'cultius resum'!$T$6:$AU$306,22,FALSE)/1000000,0)</f>
        <v>5.0385333333333331E-2</v>
      </c>
      <c r="L31" s="915">
        <f>K31*'A. Dades de partida'!$D$10</f>
        <v>0.75578000000000001</v>
      </c>
      <c r="M31" s="956">
        <f>IFERROR(VLOOKUP(B31,'cultius resum'!$T$6:$AU$308,28,FALSE)/1000000,0)</f>
        <v>0.44048858605608715</v>
      </c>
      <c r="N31" s="955">
        <f>M31*'A. Dades de partida'!$D$10+(((I31-M31)*'A. Dades de partida'!$D$10)/2)</f>
        <v>4.0085579815280177</v>
      </c>
      <c r="O31" s="955">
        <f t="shared" si="3"/>
        <v>3.5680693954719307</v>
      </c>
      <c r="P31" s="916">
        <f>J31*'A. Dades de partida'!$D$10</f>
        <v>1.521E-2</v>
      </c>
      <c r="Q31" s="916">
        <f>J31+J31*'4. Agricultura PIB'!$D$71</f>
        <v>1.3121159999999999E-3</v>
      </c>
      <c r="R31" s="916">
        <f>(((J31-Q31)*'A. Dades de partida'!$D$10)/2)+('A. Dades de partida'!$D$10*Q31)</f>
        <v>1.7445869999999999E-2</v>
      </c>
      <c r="S31" s="916">
        <f t="shared" si="4"/>
        <v>2.2358699999999992E-3</v>
      </c>
    </row>
    <row r="32" spans="1:19">
      <c r="A32" s="835">
        <v>8029</v>
      </c>
      <c r="B32" s="826" t="s">
        <v>336</v>
      </c>
      <c r="C32" s="319" t="str">
        <f t="shared" si="0"/>
        <v>Maresme</v>
      </c>
      <c r="D32" s="908">
        <f>IFERROR(IF(VLOOKUP(B32,'BD ASVICC'!$A$6:$GN$316,193,FALSE)&gt;0,VLOOKUP(B32,'BD ASVICC'!$A$6:$GN$316,193,FALSE),(VLOOKUP(C32,'BD Comarcal'!$A$6:$AB$17,9,)/VLOOKUP(C32,'BD Comarcal'!$A$6:$AB$17,13,))),"")</f>
        <v>1.0968348480100282E-2</v>
      </c>
      <c r="E32" s="910">
        <f>IFERROR(IF(VLOOKUP(B32,'BD ASVICC'!$A$6:$GN$316,192,FALSE)&gt;0,VLOOKUP(B32,'BD ASVICC'!$A$6:$GN$316,192,FALSE),(VLOOKUP(C32,'BD Comarcal'!$A$6:$AB$17,14,)*F32)),"")</f>
        <v>85.663492825675803</v>
      </c>
      <c r="F32" s="904">
        <f t="shared" si="1"/>
        <v>1.0312453992593515E-2</v>
      </c>
      <c r="G32" s="910">
        <f t="shared" si="2"/>
        <v>0.9395870413345826</v>
      </c>
      <c r="H32" s="910">
        <f>IFERROR(VLOOKUP(B32, base,19,FALSE)*'4. Agricultura PIB'!$K$11/1000000,G32*'4. Agricultura PIB'!$F$54)</f>
        <v>3.4212318046945613E-2</v>
      </c>
      <c r="I32" s="910">
        <f>G32*'4. Agricultura PIB'!$F$45</f>
        <v>0.30921809530321115</v>
      </c>
      <c r="J32" s="952">
        <f>IFERROR((VLOOKUP(B32,base,19,FALSE)*'tecnicecon agric'!$D$65)/1000000,H32/3)</f>
        <v>1.4601599999999999E-2</v>
      </c>
      <c r="K32" s="952">
        <f>IFERROR(VLOOKUP(B32,'cultius resum'!$T$6:$AU$306,22,FALSE)/1000000,0)</f>
        <v>0.18299925</v>
      </c>
      <c r="L32" s="915">
        <f>K32*'A. Dades de partida'!$D$10</f>
        <v>2.7449887500000001</v>
      </c>
      <c r="M32" s="956">
        <f>IFERROR(VLOOKUP(B32,'cultius resum'!$T$6:$AU$308,28,FALSE)/1000000,0)</f>
        <v>2.7183200170133852</v>
      </c>
      <c r="N32" s="955">
        <f>M32*'A. Dades de partida'!$D$10+(((I32-M32)*'A. Dades de partida'!$D$10)/2)</f>
        <v>22.706535842374475</v>
      </c>
      <c r="O32" s="955">
        <f t="shared" si="3"/>
        <v>19.988215825361088</v>
      </c>
      <c r="P32" s="916">
        <f>J32*'A. Dades de partida'!$D$10</f>
        <v>0.219024</v>
      </c>
      <c r="Q32" s="916">
        <f>J32+J32*'4. Agricultura PIB'!$D$71</f>
        <v>1.8894470399999998E-2</v>
      </c>
      <c r="R32" s="916">
        <f>(((J32-Q32)*'A. Dades de partida'!$D$10)/2)+('A. Dades de partida'!$D$10*Q32)</f>
        <v>0.251220528</v>
      </c>
      <c r="S32" s="916">
        <f t="shared" si="4"/>
        <v>3.2196528000000002E-2</v>
      </c>
    </row>
    <row r="33" spans="1:19">
      <c r="A33" s="835">
        <v>8030</v>
      </c>
      <c r="B33" s="826" t="s">
        <v>864</v>
      </c>
      <c r="C33" s="319" t="str">
        <f t="shared" si="0"/>
        <v>Maresme</v>
      </c>
      <c r="D33" s="908">
        <f>IFERROR(IF(VLOOKUP(B33,'BD ASVICC'!$A$6:$GN$316,193,FALSE)&gt;0,VLOOKUP(B33,'BD ASVICC'!$A$6:$GN$316,193,FALSE),(VLOOKUP(C33,'BD Comarcal'!$A$6:$AB$17,9,)/VLOOKUP(C33,'BD Comarcal'!$A$6:$AB$17,13,))),"")</f>
        <v>1E-3</v>
      </c>
      <c r="E33" s="910">
        <f>IFERROR(IF(VLOOKUP(B33,'BD ASVICC'!$A$6:$GN$316,192,FALSE)&gt;0,VLOOKUP(B33,'BD ASVICC'!$A$6:$GN$316,192,FALSE),(VLOOKUP(C33,'BD Comarcal'!$A$6:$AB$17,14,)*F33)),"")</f>
        <v>114</v>
      </c>
      <c r="F33" s="904">
        <f t="shared" si="1"/>
        <v>1.6504909344175037E-2</v>
      </c>
      <c r="G33" s="910">
        <f t="shared" si="2"/>
        <v>0.114</v>
      </c>
      <c r="H33" s="910">
        <f>IFERROR(VLOOKUP(B33, base,19,FALSE)*'4. Agricultura PIB'!$K$11/1000000,G33*'4. Agricultura PIB'!$F$54)</f>
        <v>0</v>
      </c>
      <c r="I33" s="910">
        <f>G33*'4. Agricultura PIB'!$F$45</f>
        <v>3.7517399999999999E-2</v>
      </c>
      <c r="J33" s="952">
        <f>IFERROR((VLOOKUP(B33,base,19,FALSE)*'tecnicecon agric'!$D$65)/1000000,H33/3)</f>
        <v>0</v>
      </c>
      <c r="K33" s="952">
        <f>IFERROR(VLOOKUP(B33,'cultius resum'!$T$6:$AU$306,22,FALSE)/1000000,0)</f>
        <v>2.3543166666666667E-2</v>
      </c>
      <c r="L33" s="915">
        <f>K33*'A. Dades de partida'!$D$10</f>
        <v>0.3531475</v>
      </c>
      <c r="M33" s="956">
        <f>IFERROR(VLOOKUP(B33,'cultius resum'!$T$6:$AU$308,28,FALSE)/1000000,0)</f>
        <v>0.34390616922609768</v>
      </c>
      <c r="N33" s="955">
        <f>M33*'A. Dades de partida'!$D$10+(((I33-M33)*'A. Dades de partida'!$D$10)/2)</f>
        <v>2.8606767691957327</v>
      </c>
      <c r="O33" s="955">
        <f t="shared" si="3"/>
        <v>2.516770599969635</v>
      </c>
      <c r="P33" s="916">
        <f>J33*'A. Dades de partida'!$D$10</f>
        <v>0</v>
      </c>
      <c r="Q33" s="916">
        <f>J33+J33*'4. Agricultura PIB'!$D$71</f>
        <v>0</v>
      </c>
      <c r="R33" s="916">
        <f>(((J33-Q33)*'A. Dades de partida'!$D$10)/2)+('A. Dades de partida'!$D$10*Q33)</f>
        <v>0</v>
      </c>
      <c r="S33" s="916">
        <f t="shared" si="4"/>
        <v>0</v>
      </c>
    </row>
    <row r="34" spans="1:19">
      <c r="A34" s="835">
        <v>8031</v>
      </c>
      <c r="B34" s="826" t="s">
        <v>865</v>
      </c>
      <c r="C34" s="319" t="str">
        <f t="shared" si="0"/>
        <v>Anoia</v>
      </c>
      <c r="D34" s="908">
        <f>IFERROR(IF(VLOOKUP(B34,'BD ASVICC'!$A$6:$GN$316,193,FALSE)&gt;0,VLOOKUP(B34,'BD ASVICC'!$A$6:$GN$316,193,FALSE),(VLOOKUP(C34,'BD Comarcal'!$A$6:$AB$17,9,)/VLOOKUP(C34,'BD Comarcal'!$A$6:$AB$17,13,))),"")</f>
        <v>1.049736419894568E-2</v>
      </c>
      <c r="E34" s="910">
        <f>IFERROR(IF(VLOOKUP(B34,'BD ASVICC'!$A$6:$GN$316,192,FALSE)&gt;0,VLOOKUP(B34,'BD ASVICC'!$A$6:$GN$316,192,FALSE),(VLOOKUP(C34,'BD Comarcal'!$A$6:$AB$17,14,)*F34)),"")</f>
        <v>68.949727668845313</v>
      </c>
      <c r="F34" s="904">
        <f t="shared" si="1"/>
        <v>2.9139433551198256E-2</v>
      </c>
      <c r="G34" s="910">
        <f t="shared" si="2"/>
        <v>0.72379040275799111</v>
      </c>
      <c r="H34" s="910">
        <f>IFERROR(VLOOKUP(B34, base,19,FALSE)*'4. Agricultura PIB'!$K$11/1000000,G34*'4. Agricultura PIB'!$F$54)</f>
        <v>0.53741849598743729</v>
      </c>
      <c r="I34" s="910">
        <f>G34*'4. Agricultura PIB'!$F$45</f>
        <v>0.23819942154765489</v>
      </c>
      <c r="J34" s="952">
        <f>IFERROR((VLOOKUP(B34,base,19,FALSE)*'tecnicecon agric'!$D$65)/1000000,H34/3)</f>
        <v>0.22936679999999998</v>
      </c>
      <c r="K34" s="952">
        <f>IFERROR(VLOOKUP(B34,'cultius resum'!$T$6:$AU$306,22,FALSE)/1000000,0)</f>
        <v>0.258106</v>
      </c>
      <c r="L34" s="915">
        <f>K34*'A. Dades de partida'!$D$10</f>
        <v>3.8715899999999999</v>
      </c>
      <c r="M34" s="956">
        <f>IFERROR(VLOOKUP(B34,'cultius resum'!$T$6:$AU$308,28,FALSE)/1000000,0)</f>
        <v>2.2564651153627864</v>
      </c>
      <c r="N34" s="955">
        <f>M34*'A. Dades de partida'!$D$10+(((I34-M34)*'A. Dades de partida'!$D$10)/2)</f>
        <v>18.709984026828309</v>
      </c>
      <c r="O34" s="955">
        <f t="shared" si="3"/>
        <v>16.453518911465522</v>
      </c>
      <c r="P34" s="916">
        <f>J34*'A. Dades de partida'!$D$10</f>
        <v>3.4405019999999995</v>
      </c>
      <c r="Q34" s="916">
        <f>J34+J34*'4. Agricultura PIB'!$D$71</f>
        <v>0.29680063919999999</v>
      </c>
      <c r="R34" s="916">
        <f>(((J34-Q34)*'A. Dades de partida'!$D$10)/2)+('A. Dades de partida'!$D$10*Q34)</f>
        <v>3.9462557939999998</v>
      </c>
      <c r="S34" s="916">
        <f t="shared" si="4"/>
        <v>0.50575379400000031</v>
      </c>
    </row>
    <row r="35" spans="1:19">
      <c r="A35" s="835">
        <v>8032</v>
      </c>
      <c r="B35" s="826" t="s">
        <v>337</v>
      </c>
      <c r="C35" s="319" t="str">
        <f t="shared" si="0"/>
        <v>Maresme</v>
      </c>
      <c r="D35" s="908">
        <f>IFERROR(IF(VLOOKUP(B35,'BD ASVICC'!$A$6:$GN$316,193,FALSE)&gt;0,VLOOKUP(B35,'BD ASVICC'!$A$6:$GN$316,193,FALSE),(VLOOKUP(C35,'BD Comarcal'!$A$6:$AB$17,9,)/VLOOKUP(C35,'BD Comarcal'!$A$6:$AB$17,13,))),"")</f>
        <v>1.0968348480100282E-2</v>
      </c>
      <c r="E35" s="910">
        <f>IFERROR(IF(VLOOKUP(B35,'BD ASVICC'!$A$6:$GN$316,192,FALSE)&gt;0,VLOOKUP(B35,'BD ASVICC'!$A$6:$GN$316,192,FALSE),(VLOOKUP(C35,'BD Comarcal'!$A$6:$AB$17,14,)*F35)),"")</f>
        <v>52.041559665235951</v>
      </c>
      <c r="F35" s="904">
        <f t="shared" si="1"/>
        <v>6.2649347119511671E-3</v>
      </c>
      <c r="G35" s="910">
        <f t="shared" si="2"/>
        <v>0.57080996185623889</v>
      </c>
      <c r="H35" s="910">
        <f>IFERROR(VLOOKUP(B35, base,19,FALSE)*'4. Agricultura PIB'!$K$11/1000000,G35*'4. Agricultura PIB'!$F$54)</f>
        <v>0</v>
      </c>
      <c r="I35" s="910">
        <f>G35*'4. Agricultura PIB'!$F$45</f>
        <v>0.18785355844688822</v>
      </c>
      <c r="J35" s="952">
        <f>IFERROR((VLOOKUP(B35,base,19,FALSE)*'tecnicecon agric'!$D$65)/1000000,H35/3)</f>
        <v>0</v>
      </c>
      <c r="K35" s="952">
        <f>IFERROR(VLOOKUP(B35,'cultius resum'!$T$6:$AU$306,22,FALSE)/1000000,0)</f>
        <v>0</v>
      </c>
      <c r="L35" s="915">
        <f>K35*'A. Dades de partida'!$D$10</f>
        <v>0</v>
      </c>
      <c r="M35" s="956">
        <f>IFERROR(VLOOKUP(B35,'cultius resum'!$T$6:$AU$308,28,FALSE)/1000000,0)</f>
        <v>0</v>
      </c>
      <c r="N35" s="955">
        <f>M35*'A. Dades de partida'!$D$10+(((I35-M35)*'A. Dades de partida'!$D$10)/2)</f>
        <v>1.4089016883516616</v>
      </c>
      <c r="O35" s="955">
        <f t="shared" si="3"/>
        <v>1.4089016883516616</v>
      </c>
      <c r="P35" s="916">
        <f>J35*'A. Dades de partida'!$D$10</f>
        <v>0</v>
      </c>
      <c r="Q35" s="916">
        <f>J35+J35*'4. Agricultura PIB'!$D$71</f>
        <v>0</v>
      </c>
      <c r="R35" s="916">
        <f>(((J35-Q35)*'A. Dades de partida'!$D$10)/2)+('A. Dades de partida'!$D$10*Q35)</f>
        <v>0</v>
      </c>
      <c r="S35" s="916">
        <f t="shared" si="4"/>
        <v>0</v>
      </c>
    </row>
    <row r="36" spans="1:19">
      <c r="A36" s="835">
        <v>8033</v>
      </c>
      <c r="B36" s="826" t="s">
        <v>867</v>
      </c>
      <c r="C36" s="319" t="str">
        <f t="shared" si="0"/>
        <v>Vallès Oriental</v>
      </c>
      <c r="D36" s="908">
        <f>IFERROR(IF(VLOOKUP(B36,'BD ASVICC'!$A$6:$GN$316,193,FALSE)&gt;0,VLOOKUP(B36,'BD ASVICC'!$A$6:$GN$316,193,FALSE),(VLOOKUP(C36,'BD Comarcal'!$A$6:$AB$17,9,)/VLOOKUP(C36,'BD Comarcal'!$A$6:$AB$17,13,))),"")</f>
        <v>8.0000000000000002E-3</v>
      </c>
      <c r="E36" s="910">
        <f>IFERROR(IF(VLOOKUP(B36,'BD ASVICC'!$A$6:$GN$316,192,FALSE)&gt;0,VLOOKUP(B36,'BD ASVICC'!$A$6:$GN$316,192,FALSE),(VLOOKUP(C36,'BD Comarcal'!$A$6:$AB$17,14,)*F36)),"")</f>
        <v>355</v>
      </c>
      <c r="F36" s="904">
        <f t="shared" ref="F36:F67" si="5">VLOOKUP(B36,base,24,FALSE)/VLOOKUP(C36,basec,26,FALSE)</f>
        <v>4.2699669605170701E-2</v>
      </c>
      <c r="G36" s="910">
        <f t="shared" si="2"/>
        <v>2.84</v>
      </c>
      <c r="H36" s="910">
        <f>IFERROR(VLOOKUP(B36, base,19,FALSE)*'4. Agricultura PIB'!$K$11/1000000,G36*'4. Agricultura PIB'!$F$54)</f>
        <v>5.0719761504596876</v>
      </c>
      <c r="I36" s="910">
        <f>G36*'4. Agricultura PIB'!$F$45</f>
        <v>0.93464399999999992</v>
      </c>
      <c r="J36" s="952">
        <f>IFERROR((VLOOKUP(B36,base,19,FALSE)*'tecnicecon agric'!$D$65)/1000000,H36/3)</f>
        <v>2.1646871999999999</v>
      </c>
      <c r="K36" s="952">
        <f>IFERROR(VLOOKUP(B36,'cultius resum'!$T$6:$AU$306,22,FALSE)/1000000,0)</f>
        <v>0.23689008333333331</v>
      </c>
      <c r="L36" s="915">
        <f>K36*'A. Dades de partida'!$D$10</f>
        <v>3.5533512499999995</v>
      </c>
      <c r="M36" s="956">
        <f>IFERROR(VLOOKUP(B36,'cultius resum'!$T$6:$AU$308,28,FALSE)/1000000,0)</f>
        <v>2.6095087436074205</v>
      </c>
      <c r="N36" s="955">
        <f>M36*'A. Dades de partida'!$D$10+(((I36-M36)*'A. Dades de partida'!$D$10)/2)</f>
        <v>26.581145577055654</v>
      </c>
      <c r="O36" s="955">
        <f t="shared" si="3"/>
        <v>23.971636833448233</v>
      </c>
      <c r="P36" s="916">
        <f>J36*'A. Dades de partida'!$D$10</f>
        <v>32.470307999999996</v>
      </c>
      <c r="Q36" s="916">
        <f>J36+J36*'4. Agricultura PIB'!$D$71</f>
        <v>2.8011052367999998</v>
      </c>
      <c r="R36" s="916">
        <f>(((J36-Q36)*'A. Dades de partida'!$D$10)/2)+('A. Dades de partida'!$D$10*Q36)</f>
        <v>37.243443276000001</v>
      </c>
      <c r="S36" s="916">
        <f t="shared" si="4"/>
        <v>4.773135276000005</v>
      </c>
    </row>
    <row r="37" spans="1:19">
      <c r="A37" s="835">
        <v>8034</v>
      </c>
      <c r="B37" s="826" t="s">
        <v>875</v>
      </c>
      <c r="C37" s="319" t="str">
        <f t="shared" si="0"/>
        <v>Moianès</v>
      </c>
      <c r="D37" s="908">
        <f>IFERROR(IF(VLOOKUP(B37,'BD ASVICC'!$A$6:$GN$316,193,FALSE)&gt;0,VLOOKUP(B37,'BD ASVICC'!$A$6:$GN$316,193,FALSE),(VLOOKUP(C37,'BD Comarcal'!$A$6:$AB$17,9,)/VLOOKUP(C37,'BD Comarcal'!$A$6:$AB$17,13,))),"")</f>
        <v>2.4061990212071782E-2</v>
      </c>
      <c r="E37" s="910">
        <f>IFERROR(IF(VLOOKUP(B37,'BD ASVICC'!$A$6:$GN$316,192,FALSE)&gt;0,VLOOKUP(B37,'BD ASVICC'!$A$6:$GN$316,192,FALSE),(VLOOKUP(C37,'BD Comarcal'!$A$6:$AB$17,14,)*F37)),"")</f>
        <v>19.184094178211826</v>
      </c>
      <c r="F37" s="904">
        <f t="shared" si="5"/>
        <v>7.2147778030130977E-2</v>
      </c>
      <c r="G37" s="910">
        <f t="shared" si="2"/>
        <v>0.46160748634359622</v>
      </c>
      <c r="H37" s="910">
        <f>IFERROR(VLOOKUP(B37, base,19,FALSE)*'4. Agricultura PIB'!$K$11/1000000,G37*'4. Agricultura PIB'!$F$54)</f>
        <v>1.0487025823556801</v>
      </c>
      <c r="I37" s="910">
        <f>G37*'4. Agricultura PIB'!$F$45</f>
        <v>0.15191502375567753</v>
      </c>
      <c r="J37" s="952">
        <f>IFERROR((VLOOKUP(B37,base,19,FALSE)*'tecnicecon agric'!$D$65)/1000000,H37/3)</f>
        <v>0.44757959999999997</v>
      </c>
      <c r="K37" s="952">
        <f>IFERROR(VLOOKUP(B37,'cultius resum'!$T$6:$AU$306,22,FALSE)/1000000,0)</f>
        <v>0.27498316666666661</v>
      </c>
      <c r="L37" s="915">
        <f>K37*'A. Dades de partida'!$D$10</f>
        <v>4.1247474999999989</v>
      </c>
      <c r="M37" s="956">
        <f>IFERROR(VLOOKUP(B37,'cultius resum'!$T$6:$AU$308,28,FALSE)/1000000,0)</f>
        <v>2.4316284982932488</v>
      </c>
      <c r="N37" s="955">
        <f>M37*'A. Dades de partida'!$D$10+(((I37-M37)*'A. Dades de partida'!$D$10)/2)</f>
        <v>19.376576415366948</v>
      </c>
      <c r="O37" s="955">
        <f t="shared" si="3"/>
        <v>16.944947917073698</v>
      </c>
      <c r="P37" s="916">
        <f>J37*'A. Dades de partida'!$D$10</f>
        <v>6.7136939999999994</v>
      </c>
      <c r="Q37" s="916">
        <f>J37+J37*'4. Agricultura PIB'!$D$71</f>
        <v>0.57916800239999988</v>
      </c>
      <c r="R37" s="916">
        <f>(((J37-Q37)*'A. Dades de partida'!$D$10)/2)+('A. Dades de partida'!$D$10*Q37)</f>
        <v>7.7006070179999995</v>
      </c>
      <c r="S37" s="916">
        <f t="shared" si="4"/>
        <v>0.98691301800000009</v>
      </c>
    </row>
    <row r="38" spans="1:19">
      <c r="A38" s="835">
        <v>8035</v>
      </c>
      <c r="B38" s="826" t="s">
        <v>338</v>
      </c>
      <c r="C38" s="319" t="str">
        <f t="shared" si="0"/>
        <v>Maresme</v>
      </c>
      <c r="D38" s="908">
        <f>IFERROR(IF(VLOOKUP(B38,'BD ASVICC'!$A$6:$GN$316,193,FALSE)&gt;0,VLOOKUP(B38,'BD ASVICC'!$A$6:$GN$316,193,FALSE),(VLOOKUP(C38,'BD Comarcal'!$A$6:$AB$17,9,)/VLOOKUP(C38,'BD Comarcal'!$A$6:$AB$17,13,))),"")</f>
        <v>2E-3</v>
      </c>
      <c r="E38" s="910">
        <f>IFERROR(IF(VLOOKUP(B38,'BD ASVICC'!$A$6:$GN$316,192,FALSE)&gt;0,VLOOKUP(B38,'BD ASVICC'!$A$6:$GN$316,192,FALSE),(VLOOKUP(C38,'BD Comarcal'!$A$6:$AB$17,14,)*F38)),"")</f>
        <v>341</v>
      </c>
      <c r="F38" s="904">
        <f t="shared" si="5"/>
        <v>4.1487638871586956E-2</v>
      </c>
      <c r="G38" s="910">
        <f t="shared" si="2"/>
        <v>0.68200000000000005</v>
      </c>
      <c r="H38" s="910">
        <f>IFERROR(VLOOKUP(B38, base,19,FALSE)*'4. Agricultura PIB'!$K$11/1000000,G38*'4. Agricultura PIB'!$F$54)</f>
        <v>3.8013686718828456E-3</v>
      </c>
      <c r="I38" s="910">
        <f>G38*'4. Agricultura PIB'!$F$45</f>
        <v>0.22444620000000001</v>
      </c>
      <c r="J38" s="952">
        <f>IFERROR((VLOOKUP(B38,base,19,FALSE)*'tecnicecon agric'!$D$65)/1000000,H38/3)</f>
        <v>1.6224E-3</v>
      </c>
      <c r="K38" s="952">
        <f>IFERROR(VLOOKUP(B38,'cultius resum'!$T$6:$AU$306,22,FALSE)/1000000,0)</f>
        <v>5.4221999999999999E-2</v>
      </c>
      <c r="L38" s="915">
        <f>K38*'A. Dades de partida'!$D$10</f>
        <v>0.81333</v>
      </c>
      <c r="M38" s="956">
        <f>IFERROR(VLOOKUP(B38,'cultius resum'!$T$6:$AU$308,28,FALSE)/1000000,0)</f>
        <v>0.80542815318915117</v>
      </c>
      <c r="N38" s="955">
        <f>M38*'A. Dades de partida'!$D$10+(((I38-M38)*'A. Dades de partida'!$D$10)/2)</f>
        <v>7.7240576489186346</v>
      </c>
      <c r="O38" s="955">
        <f t="shared" si="3"/>
        <v>6.9186294957294834</v>
      </c>
      <c r="P38" s="916">
        <f>J38*'A. Dades de partida'!$D$10</f>
        <v>2.4336E-2</v>
      </c>
      <c r="Q38" s="916">
        <f>J38+J38*'4. Agricultura PIB'!$D$71</f>
        <v>2.0993855999999998E-3</v>
      </c>
      <c r="R38" s="916">
        <f>(((J38-Q38)*'A. Dades de partida'!$D$10)/2)+('A. Dades de partida'!$D$10*Q38)</f>
        <v>2.7913391999999995E-2</v>
      </c>
      <c r="S38" s="916">
        <f t="shared" si="4"/>
        <v>3.5773919999999952E-3</v>
      </c>
    </row>
    <row r="39" spans="1:19">
      <c r="A39" s="835">
        <v>8036</v>
      </c>
      <c r="B39" s="826" t="s">
        <v>881</v>
      </c>
      <c r="C39" s="319" t="str">
        <f t="shared" si="0"/>
        <v>Anoia</v>
      </c>
      <c r="D39" s="908">
        <f>IFERROR(IF(VLOOKUP(B39,'BD ASVICC'!$A$6:$GN$316,193,FALSE)&gt;0,VLOOKUP(B39,'BD ASVICC'!$A$6:$GN$316,193,FALSE),(VLOOKUP(C39,'BD Comarcal'!$A$6:$AB$17,9,)/VLOOKUP(C39,'BD Comarcal'!$A$6:$AB$17,13,))),"")</f>
        <v>1.049736419894568E-2</v>
      </c>
      <c r="E39" s="910">
        <f>IFERROR(IF(VLOOKUP(B39,'BD ASVICC'!$A$6:$GN$316,192,FALSE)&gt;0,VLOOKUP(B39,'BD ASVICC'!$A$6:$GN$316,192,FALSE),(VLOOKUP(C39,'BD Comarcal'!$A$6:$AB$17,14,)*F39)),"")</f>
        <v>3.8462026824618731</v>
      </c>
      <c r="F39" s="904">
        <f t="shared" si="5"/>
        <v>1.6254765795206971E-3</v>
      </c>
      <c r="G39" s="910">
        <f t="shared" si="2"/>
        <v>4.0374990340764104E-2</v>
      </c>
      <c r="H39" s="910">
        <f>IFERROR(VLOOKUP(B39, base,19,FALSE)*'4. Agricultura PIB'!$K$11/1000000,G39*'4. Agricultura PIB'!$F$54)</f>
        <v>1.9904916708146549</v>
      </c>
      <c r="I39" s="910">
        <f>G39*'4. Agricultura PIB'!$F$45</f>
        <v>1.3287409321145466E-2</v>
      </c>
      <c r="J39" s="952">
        <f>IFERROR((VLOOKUP(B39,base,19,FALSE)*'tecnicecon agric'!$D$65)/1000000,H39/3)</f>
        <v>0.84952919999999998</v>
      </c>
      <c r="K39" s="952">
        <f>IFERROR(VLOOKUP(B39,'cultius resum'!$T$6:$AU$306,22,FALSE)/1000000,0)</f>
        <v>0.80093666666666663</v>
      </c>
      <c r="L39" s="915">
        <f>K39*'A. Dades de partida'!$D$10</f>
        <v>12.014049999999999</v>
      </c>
      <c r="M39" s="956">
        <f>IFERROR(VLOOKUP(B39,'cultius resum'!$T$6:$AU$308,28,FALSE)/1000000,0)</f>
        <v>7.0021062972123289</v>
      </c>
      <c r="N39" s="955">
        <f>M39*'A. Dades de partida'!$D$10+(((I39-M39)*'A. Dades de partida'!$D$10)/2)</f>
        <v>52.615452799001062</v>
      </c>
      <c r="O39" s="955">
        <f t="shared" si="3"/>
        <v>45.613346501788733</v>
      </c>
      <c r="P39" s="916">
        <f>J39*'A. Dades de partida'!$D$10</f>
        <v>12.742938000000001</v>
      </c>
      <c r="Q39" s="916">
        <f>J39+J39*'4. Agricultura PIB'!$D$71</f>
        <v>1.0992907848</v>
      </c>
      <c r="R39" s="916">
        <f>(((J39-Q39)*'A. Dades de partida'!$D$10)/2)+('A. Dades de partida'!$D$10*Q39)</f>
        <v>14.616149885999999</v>
      </c>
      <c r="S39" s="916">
        <f t="shared" si="4"/>
        <v>1.8732118859999982</v>
      </c>
    </row>
    <row r="40" spans="1:19">
      <c r="A40" s="835">
        <v>8037</v>
      </c>
      <c r="B40" s="826" t="s">
        <v>886</v>
      </c>
      <c r="C40" s="319" t="str">
        <f t="shared" si="0"/>
        <v>Osona</v>
      </c>
      <c r="D40" s="908">
        <f>IFERROR(IF(VLOOKUP(B40,'BD ASVICC'!$A$6:$GN$316,193,FALSE)&gt;0,VLOOKUP(B40,'BD ASVICC'!$A$6:$GN$316,193,FALSE),(VLOOKUP(C40,'BD Comarcal'!$A$6:$AB$17,9,)/VLOOKUP(C40,'BD Comarcal'!$A$6:$AB$17,13,))),"")</f>
        <v>1.8400340353116357E-2</v>
      </c>
      <c r="E40" s="910">
        <f>IFERROR(IF(VLOOKUP(B40,'BD ASVICC'!$A$6:$GN$316,192,FALSE)&gt;0,VLOOKUP(B40,'BD ASVICC'!$A$6:$GN$316,192,FALSE),(VLOOKUP(C40,'BD Comarcal'!$A$6:$AB$17,14,)*F40)),"")</f>
        <v>63.37344016036905</v>
      </c>
      <c r="F40" s="904">
        <f t="shared" si="5"/>
        <v>1.5535752147570371E-2</v>
      </c>
      <c r="G40" s="910">
        <f t="shared" si="2"/>
        <v>1.1660928682986433</v>
      </c>
      <c r="H40" s="910">
        <f>IFERROR(VLOOKUP(B40, base,19,FALSE)*'4. Agricultura PIB'!$K$11/1000000,G40*'4. Agricultura PIB'!$F$54)</f>
        <v>2.8814374532871971</v>
      </c>
      <c r="I40" s="910">
        <f>G40*'4. Agricultura PIB'!$F$45</f>
        <v>0.38376116295708351</v>
      </c>
      <c r="J40" s="952">
        <f>IFERROR((VLOOKUP(B40,base,19,FALSE)*'tecnicecon agric'!$D$65)/1000000,H40/3)</f>
        <v>1.2297791999999999</v>
      </c>
      <c r="K40" s="952">
        <f>IFERROR(VLOOKUP(B40,'cultius resum'!$T$6:$AU$306,22,FALSE)/1000000,0)</f>
        <v>0.17405054166666667</v>
      </c>
      <c r="L40" s="915">
        <f>K40*'A. Dades de partida'!$D$10</f>
        <v>2.6107581250000003</v>
      </c>
      <c r="M40" s="956">
        <f>IFERROR(VLOOKUP(B40,'cultius resum'!$T$6:$AU$308,28,FALSE)/1000000,0)</f>
        <v>1.7080302511588814</v>
      </c>
      <c r="N40" s="955">
        <f>M40*'A. Dades de partida'!$D$10+(((I40-M40)*'A. Dades de partida'!$D$10)/2)</f>
        <v>15.688435605869737</v>
      </c>
      <c r="O40" s="955">
        <f t="shared" si="3"/>
        <v>13.980405354710856</v>
      </c>
      <c r="P40" s="916">
        <f>J40*'A. Dades de partida'!$D$10</f>
        <v>18.446687999999998</v>
      </c>
      <c r="Q40" s="916">
        <f>J40+J40*'4. Agricultura PIB'!$D$71</f>
        <v>1.5913342847999998</v>
      </c>
      <c r="R40" s="916">
        <f>(((J40-Q40)*'A. Dades de partida'!$D$10)/2)+('A. Dades de partida'!$D$10*Q40)</f>
        <v>21.158351136</v>
      </c>
      <c r="S40" s="916">
        <f t="shared" si="4"/>
        <v>2.7116631360000021</v>
      </c>
    </row>
    <row r="41" spans="1:19">
      <c r="A41" s="835">
        <v>8038</v>
      </c>
      <c r="B41" s="826" t="s">
        <v>890</v>
      </c>
      <c r="C41" s="319" t="str">
        <f t="shared" si="0"/>
        <v>Bages</v>
      </c>
      <c r="D41" s="908">
        <f>IFERROR(IF(VLOOKUP(B41,'BD ASVICC'!$A$6:$GN$316,193,FALSE)&gt;0,VLOOKUP(B41,'BD ASVICC'!$A$6:$GN$316,193,FALSE),(VLOOKUP(C41,'BD Comarcal'!$A$6:$AB$17,9,)/VLOOKUP(C41,'BD Comarcal'!$A$6:$AB$17,13,))),"")</f>
        <v>9.2529216416964537E-3</v>
      </c>
      <c r="E41" s="910">
        <f>IFERROR(IF(VLOOKUP(B41,'BD ASVICC'!$A$6:$GN$316,192,FALSE)&gt;0,VLOOKUP(B41,'BD ASVICC'!$A$6:$GN$316,192,FALSE),(VLOOKUP(C41,'BD Comarcal'!$A$6:$AB$17,14,)*F41)),"")</f>
        <v>50.471587500931861</v>
      </c>
      <c r="F41" s="904">
        <f t="shared" si="5"/>
        <v>1.1796009886398173E-2</v>
      </c>
      <c r="G41" s="910">
        <f t="shared" si="2"/>
        <v>0.46700964427814867</v>
      </c>
      <c r="H41" s="910">
        <f>IFERROR(VLOOKUP(B41, base,19,FALSE)*'4. Agricultura PIB'!$K$11/1000000,G41*'4. Agricultura PIB'!$F$54)</f>
        <v>0.3939168286238599</v>
      </c>
      <c r="I41" s="910">
        <f>G41*'4. Agricultura PIB'!$F$45</f>
        <v>0.15369287393193873</v>
      </c>
      <c r="J41" s="952">
        <f>IFERROR((VLOOKUP(B41,base,19,FALSE)*'tecnicecon agric'!$D$65)/1000000,H41/3)</f>
        <v>0.16812119999999997</v>
      </c>
      <c r="K41" s="952">
        <f>IFERROR(VLOOKUP(B41,'cultius resum'!$T$6:$AU$306,22,FALSE)/1000000,0)</f>
        <v>0.14497666666666667</v>
      </c>
      <c r="L41" s="915">
        <f>K41*'A. Dades de partida'!$D$10</f>
        <v>2.1746500000000002</v>
      </c>
      <c r="M41" s="956">
        <f>IFERROR(VLOOKUP(B41,'cultius resum'!$T$6:$AU$308,28,FALSE)/1000000,0)</f>
        <v>1.267443573085911</v>
      </c>
      <c r="N41" s="955">
        <f>M41*'A. Dades de partida'!$D$10+(((I41-M41)*'A. Dades de partida'!$D$10)/2)</f>
        <v>10.658523352633875</v>
      </c>
      <c r="O41" s="955">
        <f t="shared" si="3"/>
        <v>9.3910797795479635</v>
      </c>
      <c r="P41" s="916">
        <f>J41*'A. Dades de partida'!$D$10</f>
        <v>2.5218179999999997</v>
      </c>
      <c r="Q41" s="916">
        <f>J41+J41*'4. Agricultura PIB'!$D$71</f>
        <v>0.21754883279999995</v>
      </c>
      <c r="R41" s="916">
        <f>(((J41-Q41)*'A. Dades de partida'!$D$10)/2)+('A. Dades de partida'!$D$10*Q41)</f>
        <v>2.8925252459999995</v>
      </c>
      <c r="S41" s="916">
        <f t="shared" si="4"/>
        <v>0.37070724599999982</v>
      </c>
    </row>
    <row r="42" spans="1:19">
      <c r="A42" s="835">
        <v>8039</v>
      </c>
      <c r="B42" s="826" t="s">
        <v>894</v>
      </c>
      <c r="C42" s="319" t="str">
        <f t="shared" si="0"/>
        <v>Vallès Oriental</v>
      </c>
      <c r="D42" s="908">
        <f>IFERROR(IF(VLOOKUP(B42,'BD ASVICC'!$A$6:$GN$316,193,FALSE)&gt;0,VLOOKUP(B42,'BD ASVICC'!$A$6:$GN$316,193,FALSE),(VLOOKUP(C42,'BD Comarcal'!$A$6:$AB$17,9,)/VLOOKUP(C42,'BD Comarcal'!$A$6:$AB$17,13,))),"")</f>
        <v>3.6614258022830064E-3</v>
      </c>
      <c r="E42" s="910">
        <f>IFERROR(IF(VLOOKUP(B42,'BD ASVICC'!$A$6:$GN$316,192,FALSE)&gt;0,VLOOKUP(B42,'BD ASVICC'!$A$6:$GN$316,192,FALSE),(VLOOKUP(C42,'BD Comarcal'!$A$6:$AB$17,14,)*F42)),"")</f>
        <v>12.974776871365282</v>
      </c>
      <c r="F42" s="904">
        <f t="shared" si="5"/>
        <v>1.1710827282739237E-3</v>
      </c>
      <c r="G42" s="910">
        <f t="shared" si="2"/>
        <v>4.7506182815681627E-2</v>
      </c>
      <c r="H42" s="910">
        <f>IFERROR(VLOOKUP(B42, base,19,FALSE)*'4. Agricultura PIB'!$K$11/1000000,G42*'4. Agricultura PIB'!$F$54)</f>
        <v>2.8510265039121342E-3</v>
      </c>
      <c r="I42" s="910">
        <f>G42*'4. Agricultura PIB'!$F$45</f>
        <v>1.5634284764640825E-2</v>
      </c>
      <c r="J42" s="952">
        <f>IFERROR((VLOOKUP(B42,base,19,FALSE)*'tecnicecon agric'!$D$65)/1000000,H42/3)</f>
        <v>1.2167999999999999E-3</v>
      </c>
      <c r="K42" s="952">
        <f>IFERROR(VLOOKUP(B42,'cultius resum'!$T$6:$AU$306,22,FALSE)/1000000,0)</f>
        <v>2.3889750000000001E-2</v>
      </c>
      <c r="L42" s="915">
        <f>K42*'A. Dades de partida'!$D$10</f>
        <v>0.35834625000000003</v>
      </c>
      <c r="M42" s="956">
        <f>IFERROR(VLOOKUP(B42,'cultius resum'!$T$6:$AU$308,28,FALSE)/1000000,0)</f>
        <v>0.25027841629976783</v>
      </c>
      <c r="N42" s="955">
        <f>M42*'A. Dades de partida'!$D$10+(((I42-M42)*'A. Dades de partida'!$D$10)/2)</f>
        <v>1.9943452579830649</v>
      </c>
      <c r="O42" s="955">
        <f t="shared" si="3"/>
        <v>1.7440668416832972</v>
      </c>
      <c r="P42" s="916">
        <f>J42*'A. Dades de partida'!$D$10</f>
        <v>1.8251999999999997E-2</v>
      </c>
      <c r="Q42" s="916">
        <f>J42+J42*'4. Agricultura PIB'!$D$71</f>
        <v>1.5745391999999999E-3</v>
      </c>
      <c r="R42" s="916">
        <f>(((J42-Q42)*'A. Dades de partida'!$D$10)/2)+('A. Dades de partida'!$D$10*Q42)</f>
        <v>2.0935044E-2</v>
      </c>
      <c r="S42" s="916">
        <f t="shared" si="4"/>
        <v>2.6830440000000025E-3</v>
      </c>
    </row>
    <row r="43" spans="1:19">
      <c r="A43" s="835">
        <v>8040</v>
      </c>
      <c r="B43" s="826" t="s">
        <v>339</v>
      </c>
      <c r="C43" s="319" t="str">
        <f t="shared" si="0"/>
        <v>Maresme</v>
      </c>
      <c r="D43" s="908">
        <f>IFERROR(IF(VLOOKUP(B43,'BD ASVICC'!$A$6:$GN$316,193,FALSE)&gt;0,VLOOKUP(B43,'BD ASVICC'!$A$6:$GN$316,193,FALSE),(VLOOKUP(C43,'BD Comarcal'!$A$6:$AB$17,9,)/VLOOKUP(C43,'BD Comarcal'!$A$6:$AB$17,13,))),"")</f>
        <v>8.0000000000000002E-3</v>
      </c>
      <c r="E43" s="910">
        <f>IFERROR(IF(VLOOKUP(B43,'BD ASVICC'!$A$6:$GN$316,192,FALSE)&gt;0,VLOOKUP(B43,'BD ASVICC'!$A$6:$GN$316,192,FALSE),(VLOOKUP(C43,'BD Comarcal'!$A$6:$AB$17,14,)*F43)),"")</f>
        <v>222</v>
      </c>
      <c r="F43" s="904">
        <f t="shared" si="5"/>
        <v>3.2352974485000172E-2</v>
      </c>
      <c r="G43" s="910">
        <f t="shared" si="2"/>
        <v>1.776</v>
      </c>
      <c r="H43" s="910">
        <f>IFERROR(VLOOKUP(B43, base,19,FALSE)*'4. Agricultura PIB'!$K$11/1000000,G43*'4. Agricultura PIB'!$F$54)</f>
        <v>0</v>
      </c>
      <c r="I43" s="910">
        <f>G43*'4. Agricultura PIB'!$F$45</f>
        <v>0.58448160000000005</v>
      </c>
      <c r="J43" s="952">
        <f>IFERROR((VLOOKUP(B43,base,19,FALSE)*'tecnicecon agric'!$D$65)/1000000,H43/3)</f>
        <v>0</v>
      </c>
      <c r="K43" s="952">
        <f>IFERROR(VLOOKUP(B43,'cultius resum'!$T$6:$AU$306,22,FALSE)/1000000,0)</f>
        <v>4.1796125000000003E-2</v>
      </c>
      <c r="L43" s="915">
        <f>K43*'A. Dades de partida'!$D$10</f>
        <v>0.62694187500000009</v>
      </c>
      <c r="M43" s="956">
        <f>IFERROR(VLOOKUP(B43,'cultius resum'!$T$6:$AU$308,28,FALSE)/1000000,0)</f>
        <v>0.62085086808330403</v>
      </c>
      <c r="N43" s="955">
        <f>M43*'A. Dades de partida'!$D$10+(((I43-M43)*'A. Dades de partida'!$D$10)/2)</f>
        <v>9.0399935106247806</v>
      </c>
      <c r="O43" s="955">
        <f t="shared" si="3"/>
        <v>8.4191426425414768</v>
      </c>
      <c r="P43" s="916">
        <f>J43*'A. Dades de partida'!$D$10</f>
        <v>0</v>
      </c>
      <c r="Q43" s="916">
        <f>J43+J43*'4. Agricultura PIB'!$D$71</f>
        <v>0</v>
      </c>
      <c r="R43" s="916">
        <f>(((J43-Q43)*'A. Dades de partida'!$D$10)/2)+('A. Dades de partida'!$D$10*Q43)</f>
        <v>0</v>
      </c>
      <c r="S43" s="916">
        <f t="shared" si="4"/>
        <v>0</v>
      </c>
    </row>
    <row r="44" spans="1:19">
      <c r="A44" s="835">
        <v>8041</v>
      </c>
      <c r="B44" s="826" t="s">
        <v>900</v>
      </c>
      <c r="C44" s="319" t="str">
        <f t="shared" si="0"/>
        <v>Vallès Oriental</v>
      </c>
      <c r="D44" s="908">
        <f>IFERROR(IF(VLOOKUP(B44,'BD ASVICC'!$A$6:$GN$316,193,FALSE)&gt;0,VLOOKUP(B44,'BD ASVICC'!$A$6:$GN$316,193,FALSE),(VLOOKUP(C44,'BD Comarcal'!$A$6:$AB$17,9,)/VLOOKUP(C44,'BD Comarcal'!$A$6:$AB$17,13,))),"")</f>
        <v>1E-3</v>
      </c>
      <c r="E44" s="910">
        <f>IFERROR(IF(VLOOKUP(B44,'BD ASVICC'!$A$6:$GN$316,192,FALSE)&gt;0,VLOOKUP(B44,'BD ASVICC'!$A$6:$GN$316,192,FALSE),(VLOOKUP(C44,'BD Comarcal'!$A$6:$AB$17,14,)*F44)),"")</f>
        <v>284</v>
      </c>
      <c r="F44" s="904">
        <f t="shared" si="5"/>
        <v>3.9709671150003241E-2</v>
      </c>
      <c r="G44" s="910">
        <f t="shared" si="2"/>
        <v>0.28400000000000003</v>
      </c>
      <c r="H44" s="910">
        <f>IFERROR(VLOOKUP(B44, base,19,FALSE)*'4. Agricultura PIB'!$K$11/1000000,G44*'4. Agricultura PIB'!$F$54)</f>
        <v>6.3672925254037671E-2</v>
      </c>
      <c r="I44" s="910">
        <f>G44*'4. Agricultura PIB'!$F$45</f>
        <v>9.3464400000000017E-2</v>
      </c>
      <c r="J44" s="952">
        <f>IFERROR((VLOOKUP(B44,base,19,FALSE)*'tecnicecon agric'!$D$65)/1000000,H44/3)</f>
        <v>2.7175199999999997E-2</v>
      </c>
      <c r="K44" s="952">
        <f>IFERROR(VLOOKUP(B44,'cultius resum'!$T$6:$AU$306,22,FALSE)/1000000,0)</f>
        <v>9.3299750000000001E-2</v>
      </c>
      <c r="L44" s="915">
        <f>K44*'A. Dades de partida'!$D$10</f>
        <v>1.3994962500000001</v>
      </c>
      <c r="M44" s="956">
        <f>IFERROR(VLOOKUP(B44,'cultius resum'!$T$6:$AU$308,28,FALSE)/1000000,0)</f>
        <v>0.96755415881619022</v>
      </c>
      <c r="N44" s="955">
        <f>M44*'A. Dades de partida'!$D$10+(((I44-M44)*'A. Dades de partida'!$D$10)/2)</f>
        <v>7.9576391911214266</v>
      </c>
      <c r="O44" s="955">
        <f t="shared" si="3"/>
        <v>6.9900850323052364</v>
      </c>
      <c r="P44" s="916">
        <f>J44*'A. Dades de partida'!$D$10</f>
        <v>0.40762799999999993</v>
      </c>
      <c r="Q44" s="916">
        <f>J44+J44*'4. Agricultura PIB'!$D$71</f>
        <v>3.5164708799999993E-2</v>
      </c>
      <c r="R44" s="916">
        <f>(((J44-Q44)*'A. Dades de partida'!$D$10)/2)+('A. Dades de partida'!$D$10*Q44)</f>
        <v>0.46754931599999994</v>
      </c>
      <c r="S44" s="916">
        <f t="shared" si="4"/>
        <v>5.9921316000000002E-2</v>
      </c>
    </row>
    <row r="45" spans="1:19">
      <c r="A45" s="835">
        <v>8042</v>
      </c>
      <c r="B45" s="826" t="s">
        <v>901</v>
      </c>
      <c r="C45" s="319" t="str">
        <f t="shared" si="0"/>
        <v>Vallès Oriental</v>
      </c>
      <c r="D45" s="908">
        <f>IFERROR(IF(VLOOKUP(B45,'BD ASVICC'!$A$6:$GN$316,193,FALSE)&gt;0,VLOOKUP(B45,'BD ASVICC'!$A$6:$GN$316,193,FALSE),(VLOOKUP(C45,'BD Comarcal'!$A$6:$AB$17,9,)/VLOOKUP(C45,'BD Comarcal'!$A$6:$AB$17,13,))),"")</f>
        <v>3.6614258022830064E-3</v>
      </c>
      <c r="E45" s="910">
        <f>IFERROR(IF(VLOOKUP(B45,'BD ASVICC'!$A$6:$GN$316,192,FALSE)&gt;0,VLOOKUP(B45,'BD ASVICC'!$A$6:$GN$316,192,FALSE),(VLOOKUP(C45,'BD Comarcal'!$A$6:$AB$17,14,)*F45)),"")</f>
        <v>79.311774364749908</v>
      </c>
      <c r="F45" s="904">
        <f t="shared" si="5"/>
        <v>7.1585546347467718E-3</v>
      </c>
      <c r="G45" s="910">
        <f t="shared" si="2"/>
        <v>0.29039417708394322</v>
      </c>
      <c r="H45" s="910">
        <f>IFERROR(VLOOKUP(B45, base,19,FALSE)*'4. Agricultura PIB'!$K$11/1000000,G45*'4. Agricultura PIB'!$F$54)</f>
        <v>0.2736985443755649</v>
      </c>
      <c r="I45" s="910">
        <f>G45*'4. Agricultura PIB'!$F$45</f>
        <v>9.5568723678325709E-2</v>
      </c>
      <c r="J45" s="952">
        <f>IFERROR((VLOOKUP(B45,base,19,FALSE)*'tecnicecon agric'!$D$65)/1000000,H45/3)</f>
        <v>0.11681279999999999</v>
      </c>
      <c r="K45" s="952">
        <f>IFERROR(VLOOKUP(B45,'cultius resum'!$T$6:$AU$306,22,FALSE)/1000000,0)</f>
        <v>0.15910870833333332</v>
      </c>
      <c r="L45" s="915">
        <f>K45*'A. Dades de partida'!$D$10</f>
        <v>2.386630625</v>
      </c>
      <c r="M45" s="956">
        <f>IFERROR(VLOOKUP(B45,'cultius resum'!$T$6:$AU$308,28,FALSE)/1000000,0)</f>
        <v>1.8811842245669133</v>
      </c>
      <c r="N45" s="955">
        <f>M45*'A. Dades de partida'!$D$10+(((I45-M45)*'A. Dades de partida'!$D$10)/2)</f>
        <v>14.825647111839295</v>
      </c>
      <c r="O45" s="955">
        <f t="shared" si="3"/>
        <v>12.944462887272381</v>
      </c>
      <c r="P45" s="916">
        <f>J45*'A. Dades de partida'!$D$10</f>
        <v>1.752192</v>
      </c>
      <c r="Q45" s="916">
        <f>J45+J45*'4. Agricultura PIB'!$D$71</f>
        <v>0.15115576319999999</v>
      </c>
      <c r="R45" s="916">
        <f>(((J45-Q45)*'A. Dades de partida'!$D$10)/2)+('A. Dades de partida'!$D$10*Q45)</f>
        <v>2.009764224</v>
      </c>
      <c r="S45" s="916">
        <f t="shared" si="4"/>
        <v>0.25757222400000002</v>
      </c>
    </row>
    <row r="46" spans="1:19">
      <c r="A46" s="835">
        <v>8043</v>
      </c>
      <c r="B46" s="826" t="s">
        <v>906</v>
      </c>
      <c r="C46" s="319" t="str">
        <f t="shared" si="0"/>
        <v>Garraf</v>
      </c>
      <c r="D46" s="908">
        <f>IFERROR(IF(VLOOKUP(B46,'BD ASVICC'!$A$6:$GN$316,193,FALSE)&gt;0,VLOOKUP(B46,'BD ASVICC'!$A$6:$GN$316,193,FALSE),(VLOOKUP(C46,'BD Comarcal'!$A$6:$AB$17,9,)/VLOOKUP(C46,'BD Comarcal'!$A$6:$AB$17,13,))),"")</f>
        <v>6.2881618518180991E-3</v>
      </c>
      <c r="E46" s="910">
        <f>IFERROR(IF(VLOOKUP(B46,'BD ASVICC'!$A$6:$GN$316,192,FALSE)&gt;0,VLOOKUP(B46,'BD ASVICC'!$A$6:$GN$316,192,FALSE),(VLOOKUP(C46,'BD Comarcal'!$A$6:$AB$17,14,)*F46)),"")</f>
        <v>71.420668455023289</v>
      </c>
      <c r="F46" s="904">
        <f t="shared" si="5"/>
        <v>3.0004902094283612E-2</v>
      </c>
      <c r="G46" s="910">
        <f t="shared" si="2"/>
        <v>0.44910472281022573</v>
      </c>
      <c r="H46" s="910">
        <f>IFERROR(VLOOKUP(B46, base,19,FALSE)*'4. Agricultura PIB'!$K$11/1000000,G46*'4. Agricultura PIB'!$F$54)</f>
        <v>1.9006843359414228E-3</v>
      </c>
      <c r="I46" s="910">
        <f>G46*'4. Agricultura PIB'!$F$45</f>
        <v>0.14780036427684529</v>
      </c>
      <c r="J46" s="952">
        <f>IFERROR((VLOOKUP(B46,base,19,FALSE)*'tecnicecon agric'!$D$65)/1000000,H46/3)</f>
        <v>8.1119999999999999E-4</v>
      </c>
      <c r="K46" s="952">
        <f>IFERROR(VLOOKUP(B46,'cultius resum'!$T$6:$AU$306,22,FALSE)/1000000,0)</f>
        <v>7.1300000000000001E-3</v>
      </c>
      <c r="L46" s="915">
        <f>K46*'A. Dades de partida'!$D$10</f>
        <v>0.10695</v>
      </c>
      <c r="M46" s="956">
        <f>IFERROR(VLOOKUP(B46,'cultius resum'!$T$6:$AU$308,28,FALSE)/1000000,0)</f>
        <v>6.2333290479634977E-2</v>
      </c>
      <c r="N46" s="955">
        <f>M46*'A. Dades de partida'!$D$10+(((I46-M46)*'A. Dades de partida'!$D$10)/2)</f>
        <v>1.5760024106736019</v>
      </c>
      <c r="O46" s="955">
        <f t="shared" si="3"/>
        <v>1.5136691201939669</v>
      </c>
      <c r="P46" s="916">
        <f>J46*'A. Dades de partida'!$D$10</f>
        <v>1.2168E-2</v>
      </c>
      <c r="Q46" s="916">
        <f>J46+J46*'4. Agricultura PIB'!$D$71</f>
        <v>1.0496927999999999E-3</v>
      </c>
      <c r="R46" s="916">
        <f>(((J46-Q46)*'A. Dades de partida'!$D$10)/2)+('A. Dades de partida'!$D$10*Q46)</f>
        <v>1.3956695999999998E-2</v>
      </c>
      <c r="S46" s="916">
        <f t="shared" si="4"/>
        <v>1.7886959999999976E-3</v>
      </c>
    </row>
    <row r="47" spans="1:19">
      <c r="A47" s="835">
        <v>8044</v>
      </c>
      <c r="B47" s="826" t="s">
        <v>912</v>
      </c>
      <c r="C47" s="319" t="str">
        <f t="shared" si="0"/>
        <v>Anoia</v>
      </c>
      <c r="D47" s="908">
        <f>IFERROR(IF(VLOOKUP(B47,'BD ASVICC'!$A$6:$GN$316,193,FALSE)&gt;0,VLOOKUP(B47,'BD ASVICC'!$A$6:$GN$316,193,FALSE),(VLOOKUP(C47,'BD Comarcal'!$A$6:$AB$17,9,)/VLOOKUP(C47,'BD Comarcal'!$A$6:$AB$17,13,))),"")</f>
        <v>1.049736419894568E-2</v>
      </c>
      <c r="E47" s="910">
        <f>IFERROR(IF(VLOOKUP(B47,'BD ASVICC'!$A$6:$GN$316,192,FALSE)&gt;0,VLOOKUP(B47,'BD ASVICC'!$A$6:$GN$316,192,FALSE),(VLOOKUP(C47,'BD Comarcal'!$A$6:$AB$17,14,)*F47)),"")</f>
        <v>171</v>
      </c>
      <c r="F47" s="904">
        <f t="shared" si="5"/>
        <v>4.448359204793028E-2</v>
      </c>
      <c r="G47" s="910">
        <f t="shared" si="2"/>
        <v>1.7950492780197111</v>
      </c>
      <c r="H47" s="910">
        <f>IFERROR(VLOOKUP(B47, base,19,FALSE)*'4. Agricultura PIB'!$K$11/1000000,G47*'4. Agricultura PIB'!$F$54)</f>
        <v>1.16839757506303</v>
      </c>
      <c r="I47" s="910">
        <f>G47*'4. Agricultura PIB'!$F$45</f>
        <v>0.59075071739628693</v>
      </c>
      <c r="J47" s="952">
        <f>IFERROR((VLOOKUP(B47,base,19,FALSE)*'tecnicecon agric'!$D$65)/1000000,H47/3)</f>
        <v>0.38946585835434333</v>
      </c>
      <c r="K47" s="952">
        <f>IFERROR(VLOOKUP(B47,'cultius resum'!$T$6:$AU$306,22,FALSE)/1000000,0)</f>
        <v>6.2408749999999999E-3</v>
      </c>
      <c r="L47" s="915">
        <f>K47*'A. Dades de partida'!$D$10</f>
        <v>9.3613124999999991E-2</v>
      </c>
      <c r="M47" s="956">
        <f>IFERROR(VLOOKUP(B47,'cultius resum'!$T$6:$AU$308,28,FALSE)/1000000,0)</f>
        <v>7.527257576617595E-2</v>
      </c>
      <c r="N47" s="955">
        <f>M47*'A. Dades de partida'!$D$10+(((I47-M47)*'A. Dades de partida'!$D$10)/2)</f>
        <v>4.995174698718472</v>
      </c>
      <c r="O47" s="955">
        <f t="shared" si="3"/>
        <v>4.9199021229522959</v>
      </c>
      <c r="P47" s="916">
        <f>J47*'A. Dades de partida'!$D$10</f>
        <v>5.8419878753151497</v>
      </c>
      <c r="Q47" s="916">
        <f>J47+J47*'4. Agricultura PIB'!$D$71</f>
        <v>0.50396882071052029</v>
      </c>
      <c r="R47" s="916">
        <f>(((J47-Q47)*'A. Dades de partida'!$D$10)/2)+('A. Dades de partida'!$D$10*Q47)</f>
        <v>6.700760092986477</v>
      </c>
      <c r="S47" s="916">
        <f t="shared" si="4"/>
        <v>0.85877221767132728</v>
      </c>
    </row>
    <row r="48" spans="1:19">
      <c r="A48" s="835">
        <v>8045</v>
      </c>
      <c r="B48" s="826" t="s">
        <v>916</v>
      </c>
      <c r="C48" s="319" t="str">
        <f t="shared" si="0"/>
        <v>Berguedà</v>
      </c>
      <c r="D48" s="908">
        <f>IFERROR(IF(VLOOKUP(B48,'BD ASVICC'!$A$6:$GN$316,193,FALSE)&gt;0,VLOOKUP(B48,'BD ASVICC'!$A$6:$GN$316,193,FALSE),(VLOOKUP(C48,'BD Comarcal'!$A$6:$AB$17,9,)/VLOOKUP(C48,'BD Comarcal'!$A$6:$AB$17,13,))),"")</f>
        <v>4.1611624834874503E-2</v>
      </c>
      <c r="E48" s="910">
        <f>IFERROR(IF(VLOOKUP(B48,'BD ASVICC'!$A$6:$GN$316,192,FALSE)&gt;0,VLOOKUP(B48,'BD ASVICC'!$A$6:$GN$316,192,FALSE),(VLOOKUP(C48,'BD Comarcal'!$A$6:$AB$17,14,)*F48)),"")</f>
        <v>1.9491117463882792</v>
      </c>
      <c r="F48" s="904">
        <f t="shared" si="5"/>
        <v>2.373781203736791E-3</v>
      </c>
      <c r="G48" s="910">
        <f t="shared" si="2"/>
        <v>8.1105706751956136E-2</v>
      </c>
      <c r="H48" s="910">
        <f>IFERROR(VLOOKUP(B48, base,19,FALSE)*'4. Agricultura PIB'!$K$11/1000000,G48*'4. Agricultura PIB'!$F$54)</f>
        <v>1.020667488400544</v>
      </c>
      <c r="I48" s="910">
        <f>G48*'4. Agricultura PIB'!$F$45</f>
        <v>2.6691888092068766E-2</v>
      </c>
      <c r="J48" s="952">
        <f>IFERROR((VLOOKUP(B48,base,19,FALSE)*'tecnicecon agric'!$D$65)/1000000,H48/3)</f>
        <v>0.43561439999999996</v>
      </c>
      <c r="K48" s="952">
        <f>IFERROR(VLOOKUP(B48,'cultius resum'!$T$6:$AU$306,22,FALSE)/1000000,0)</f>
        <v>7.7954666666666658E-2</v>
      </c>
      <c r="L48" s="915">
        <f>K48*'A. Dades de partida'!$D$10</f>
        <v>1.1693199999999999</v>
      </c>
      <c r="M48" s="956">
        <f>IFERROR(VLOOKUP(B48,'cultius resum'!$T$6:$AU$308,28,FALSE)/1000000,0)</f>
        <v>0.68151064257734251</v>
      </c>
      <c r="N48" s="955">
        <f>M48*'A. Dades de partida'!$D$10+(((I48-M48)*'A. Dades de partida'!$D$10)/2)</f>
        <v>5.3115189800205851</v>
      </c>
      <c r="O48" s="955">
        <f t="shared" si="3"/>
        <v>4.6300083374432424</v>
      </c>
      <c r="P48" s="916">
        <f>J48*'A. Dades de partida'!$D$10</f>
        <v>6.5342159999999989</v>
      </c>
      <c r="Q48" s="916">
        <f>J48+J48*'4. Agricultura PIB'!$D$71</f>
        <v>0.56368503359999989</v>
      </c>
      <c r="R48" s="916">
        <f>(((J48-Q48)*'A. Dades de partida'!$D$10)/2)+('A. Dades de partida'!$D$10*Q48)</f>
        <v>7.4947457519999983</v>
      </c>
      <c r="S48" s="916">
        <f t="shared" si="4"/>
        <v>0.96052975199999935</v>
      </c>
    </row>
    <row r="49" spans="1:19">
      <c r="A49" s="835">
        <v>8046</v>
      </c>
      <c r="B49" s="826" t="s">
        <v>920</v>
      </c>
      <c r="C49" s="319" t="str">
        <f t="shared" si="0"/>
        <v>Vallès Oriental</v>
      </c>
      <c r="D49" s="908">
        <f>IFERROR(IF(VLOOKUP(B49,'BD ASVICC'!$A$6:$GN$316,193,FALSE)&gt;0,VLOOKUP(B49,'BD ASVICC'!$A$6:$GN$316,193,FALSE),(VLOOKUP(C49,'BD Comarcal'!$A$6:$AB$17,9,)/VLOOKUP(C49,'BD Comarcal'!$A$6:$AB$17,13,))),"")</f>
        <v>2.7E-2</v>
      </c>
      <c r="E49" s="910">
        <f>IFERROR(IF(VLOOKUP(B49,'BD ASVICC'!$A$6:$GN$316,192,FALSE)&gt;0,VLOOKUP(B49,'BD ASVICC'!$A$6:$GN$316,192,FALSE),(VLOOKUP(C49,'BD Comarcal'!$A$6:$AB$17,14,)*F49)),"")</f>
        <v>313</v>
      </c>
      <c r="F49" s="904">
        <f t="shared" si="5"/>
        <v>4.5243659957442353E-2</v>
      </c>
      <c r="G49" s="910">
        <f t="shared" si="2"/>
        <v>8.4510000000000005</v>
      </c>
      <c r="H49" s="910">
        <f>IFERROR(VLOOKUP(B49, base,19,FALSE)*'4. Agricultura PIB'!$K$11/1000000,G49*'4. Agricultura PIB'!$F$54)</f>
        <v>0.33214458770576366</v>
      </c>
      <c r="I49" s="910">
        <f>G49*'4. Agricultura PIB'!$F$45</f>
        <v>2.7812241000000002</v>
      </c>
      <c r="J49" s="952">
        <f>IFERROR((VLOOKUP(B49,base,19,FALSE)*'tecnicecon agric'!$D$65)/1000000,H49/3)</f>
        <v>0.14175719999999997</v>
      </c>
      <c r="K49" s="952">
        <f>IFERROR(VLOOKUP(B49,'cultius resum'!$T$6:$AU$306,22,FALSE)/1000000,0)</f>
        <v>0.36040545833333332</v>
      </c>
      <c r="L49" s="915">
        <f>K49*'A. Dades de partida'!$D$10</f>
        <v>5.4060818749999999</v>
      </c>
      <c r="M49" s="956">
        <f>IFERROR(VLOOKUP(B49,'cultius resum'!$T$6:$AU$308,28,FALSE)/1000000,0)</f>
        <v>4.731851758349368</v>
      </c>
      <c r="N49" s="955">
        <f>M49*'A. Dades de partida'!$D$10+(((I49-M49)*'A. Dades de partida'!$D$10)/2)</f>
        <v>56.348068937620269</v>
      </c>
      <c r="O49" s="955">
        <f t="shared" si="3"/>
        <v>51.616217179270905</v>
      </c>
      <c r="P49" s="916">
        <f>J49*'A. Dades de partida'!$D$10</f>
        <v>2.1263579999999997</v>
      </c>
      <c r="Q49" s="916">
        <f>J49+J49*'4. Agricultura PIB'!$D$71</f>
        <v>0.18343381679999995</v>
      </c>
      <c r="R49" s="916">
        <f>(((J49-Q49)*'A. Dades de partida'!$D$10)/2)+('A. Dades de partida'!$D$10*Q49)</f>
        <v>2.4389326259999993</v>
      </c>
      <c r="S49" s="916">
        <f t="shared" si="4"/>
        <v>0.31257462599999952</v>
      </c>
    </row>
    <row r="50" spans="1:19">
      <c r="A50" s="835">
        <v>8047</v>
      </c>
      <c r="B50" s="826" t="s">
        <v>924</v>
      </c>
      <c r="C50" s="319" t="str">
        <f t="shared" si="0"/>
        <v>Bages</v>
      </c>
      <c r="D50" s="908">
        <f>IFERROR(IF(VLOOKUP(B50,'BD ASVICC'!$A$6:$GN$316,193,FALSE)&gt;0,VLOOKUP(B50,'BD ASVICC'!$A$6:$GN$316,193,FALSE),(VLOOKUP(C50,'BD Comarcal'!$A$6:$AB$17,9,)/VLOOKUP(C50,'BD Comarcal'!$A$6:$AB$17,13,))),"")</f>
        <v>5.8999999999999997E-2</v>
      </c>
      <c r="E50" s="910">
        <f>IFERROR(IF(VLOOKUP(B50,'BD ASVICC'!$A$6:$GN$316,192,FALSE)&gt;0,VLOOKUP(B50,'BD ASVICC'!$A$6:$GN$316,192,FALSE),(VLOOKUP(C50,'BD Comarcal'!$A$6:$AB$17,14,)*F50)),"")</f>
        <v>90</v>
      </c>
      <c r="F50" s="904">
        <f t="shared" si="5"/>
        <v>2.7382570348833877E-2</v>
      </c>
      <c r="G50" s="910">
        <f t="shared" si="2"/>
        <v>5.31</v>
      </c>
      <c r="H50" s="910">
        <f>IFERROR(VLOOKUP(B50, base,19,FALSE)*'4. Agricultura PIB'!$K$11/1000000,G50*'4. Agricultura PIB'!$F$54)</f>
        <v>5.1166422323543106</v>
      </c>
      <c r="I50" s="910">
        <f>G50*'4. Agricultura PIB'!$F$45</f>
        <v>1.7475209999999999</v>
      </c>
      <c r="J50" s="952">
        <f>IFERROR((VLOOKUP(B50,base,19,FALSE)*'tecnicecon agric'!$D$65)/1000000,H50/3)</f>
        <v>2.1837504000000001</v>
      </c>
      <c r="K50" s="952">
        <f>IFERROR(VLOOKUP(B50,'cultius resum'!$T$6:$AU$306,22,FALSE)/1000000,0)</f>
        <v>0.84008241666666661</v>
      </c>
      <c r="L50" s="915">
        <f>K50*'A. Dades de partida'!$D$10</f>
        <v>12.601236249999999</v>
      </c>
      <c r="M50" s="956">
        <f>IFERROR(VLOOKUP(B50,'cultius resum'!$T$6:$AU$308,28,FALSE)/1000000,0)</f>
        <v>7.8276225939272184</v>
      </c>
      <c r="N50" s="955">
        <f>M50*'A. Dades de partida'!$D$10+(((I50-M50)*'A. Dades de partida'!$D$10)/2)</f>
        <v>71.813576954454135</v>
      </c>
      <c r="O50" s="955">
        <f t="shared" si="3"/>
        <v>63.985954360526918</v>
      </c>
      <c r="P50" s="916">
        <f>J50*'A. Dades de partida'!$D$10</f>
        <v>32.756256</v>
      </c>
      <c r="Q50" s="916">
        <f>J50+J50*'4. Agricultura PIB'!$D$71</f>
        <v>2.8257730176</v>
      </c>
      <c r="R50" s="916">
        <f>(((J50-Q50)*'A. Dades de partida'!$D$10)/2)+('A. Dades de partida'!$D$10*Q50)</f>
        <v>37.571425632</v>
      </c>
      <c r="S50" s="916">
        <f t="shared" si="4"/>
        <v>4.8151696319999999</v>
      </c>
    </row>
    <row r="51" spans="1:19">
      <c r="A51" s="835">
        <v>8048</v>
      </c>
      <c r="B51" s="826" t="s">
        <v>929</v>
      </c>
      <c r="C51" s="319" t="str">
        <f t="shared" si="0"/>
        <v>Anoia</v>
      </c>
      <c r="D51" s="908">
        <f>IFERROR(IF(VLOOKUP(B51,'BD ASVICC'!$A$6:$GN$316,193,FALSE)&gt;0,VLOOKUP(B51,'BD ASVICC'!$A$6:$GN$316,193,FALSE),(VLOOKUP(C51,'BD Comarcal'!$A$6:$AB$17,9,)/VLOOKUP(C51,'BD Comarcal'!$A$6:$AB$17,13,))),"")</f>
        <v>1.049736419894568E-2</v>
      </c>
      <c r="E51" s="910">
        <f>IFERROR(IF(VLOOKUP(B51,'BD ASVICC'!$A$6:$GN$316,192,FALSE)&gt;0,VLOOKUP(B51,'BD ASVICC'!$A$6:$GN$316,192,FALSE),(VLOOKUP(C51,'BD Comarcal'!$A$6:$AB$17,14,)*F51)),"")</f>
        <v>15.928514773965141</v>
      </c>
      <c r="F51" s="904">
        <f t="shared" si="5"/>
        <v>6.7316857298474943E-3</v>
      </c>
      <c r="G51" s="910">
        <f t="shared" si="2"/>
        <v>0.16720742073059899</v>
      </c>
      <c r="H51" s="910">
        <f>IFERROR(VLOOKUP(B51, base,19,FALSE)*'4. Agricultura PIB'!$K$11/1000000,G51*'4. Agricultura PIB'!$F$54)</f>
        <v>3.8964028886799167E-2</v>
      </c>
      <c r="I51" s="910">
        <f>G51*'4. Agricultura PIB'!$F$45</f>
        <v>5.5027962162440131E-2</v>
      </c>
      <c r="J51" s="952">
        <f>IFERROR((VLOOKUP(B51,base,19,FALSE)*'tecnicecon agric'!$D$65)/1000000,H51/3)</f>
        <v>1.6629599999999998E-2</v>
      </c>
      <c r="K51" s="952">
        <f>IFERROR(VLOOKUP(B51,'cultius resum'!$T$6:$AU$306,22,FALSE)/1000000,0)</f>
        <v>9.7443333333333326E-2</v>
      </c>
      <c r="L51" s="915">
        <f>K51*'A. Dades de partida'!$D$10</f>
        <v>1.4616499999999999</v>
      </c>
      <c r="M51" s="956">
        <f>IFERROR(VLOOKUP(B51,'cultius resum'!$T$6:$AU$308,28,FALSE)/1000000,0)</f>
        <v>0.85188830322167797</v>
      </c>
      <c r="N51" s="955">
        <f>M51*'A. Dades de partida'!$D$10+(((I51-M51)*'A. Dades de partida'!$D$10)/2)</f>
        <v>6.801871990380886</v>
      </c>
      <c r="O51" s="955">
        <f t="shared" si="3"/>
        <v>5.9499836871592082</v>
      </c>
      <c r="P51" s="916">
        <f>J51*'A. Dades de partida'!$D$10</f>
        <v>0.24944399999999997</v>
      </c>
      <c r="Q51" s="916">
        <f>J51+J51*'4. Agricultura PIB'!$D$71</f>
        <v>2.1518702399999999E-2</v>
      </c>
      <c r="R51" s="916">
        <f>(((J51-Q51)*'A. Dades de partida'!$D$10)/2)+('A. Dades de partida'!$D$10*Q51)</f>
        <v>0.286112268</v>
      </c>
      <c r="S51" s="916">
        <f t="shared" si="4"/>
        <v>3.6668268000000032E-2</v>
      </c>
    </row>
    <row r="52" spans="1:19">
      <c r="A52" s="835">
        <v>8049</v>
      </c>
      <c r="B52" s="826" t="s">
        <v>934</v>
      </c>
      <c r="C52" s="319" t="str">
        <f t="shared" si="0"/>
        <v>Berguedà</v>
      </c>
      <c r="D52" s="908">
        <f>IFERROR(IF(VLOOKUP(B52,'BD ASVICC'!$A$6:$GN$316,193,FALSE)&gt;0,VLOOKUP(B52,'BD ASVICC'!$A$6:$GN$316,193,FALSE),(VLOOKUP(C52,'BD Comarcal'!$A$6:$AB$17,9,)/VLOOKUP(C52,'BD Comarcal'!$A$6:$AB$17,13,))),"")</f>
        <v>4.1611624834874503E-2</v>
      </c>
      <c r="E52" s="910">
        <f>IFERROR(IF(VLOOKUP(B52,'BD ASVICC'!$A$6:$GN$316,192,FALSE)&gt;0,VLOOKUP(B52,'BD ASVICC'!$A$6:$GN$316,192,FALSE),(VLOOKUP(C52,'BD Comarcal'!$A$6:$AB$17,14,)*F52)),"")</f>
        <v>32.02411557506764</v>
      </c>
      <c r="F52" s="904">
        <f t="shared" si="5"/>
        <v>3.9001480422686204E-2</v>
      </c>
      <c r="G52" s="910">
        <f t="shared" si="2"/>
        <v>1.332575482978376</v>
      </c>
      <c r="H52" s="910">
        <f>IFERROR(VLOOKUP(B52, base,19,FALSE)*'4. Agricultura PIB'!$K$11/1000000,G52*'4. Agricultura PIB'!$F$54)</f>
        <v>0.52363853455186193</v>
      </c>
      <c r="I52" s="910">
        <f>G52*'4. Agricultura PIB'!$F$45</f>
        <v>0.43855059144818354</v>
      </c>
      <c r="J52" s="952">
        <f>IFERROR((VLOOKUP(B52,base,19,FALSE)*'tecnicecon agric'!$D$65)/1000000,H52/3)</f>
        <v>0.22348559999999998</v>
      </c>
      <c r="K52" s="952">
        <f>IFERROR(VLOOKUP(B52,'cultius resum'!$T$6:$AU$306,22,FALSE)/1000000,0)</f>
        <v>0.40070600000000001</v>
      </c>
      <c r="L52" s="915">
        <f>K52*'A. Dades de partida'!$D$10</f>
        <v>6.0105900000000005</v>
      </c>
      <c r="M52" s="956">
        <f>IFERROR(VLOOKUP(B52,'cultius resum'!$T$6:$AU$308,28,FALSE)/1000000,0)</f>
        <v>3.5031309249554852</v>
      </c>
      <c r="N52" s="955">
        <f>M52*'A. Dades de partida'!$D$10+(((I52-M52)*'A. Dades de partida'!$D$10)/2)</f>
        <v>29.562611373027515</v>
      </c>
      <c r="O52" s="955">
        <f t="shared" si="3"/>
        <v>26.05948044807203</v>
      </c>
      <c r="P52" s="916">
        <f>J52*'A. Dades de partida'!$D$10</f>
        <v>3.3522839999999996</v>
      </c>
      <c r="Q52" s="916">
        <f>J52+J52*'4. Agricultura PIB'!$D$71</f>
        <v>0.28919036639999995</v>
      </c>
      <c r="R52" s="916">
        <f>(((J52-Q52)*'A. Dades de partida'!$D$10)/2)+('A. Dades de partida'!$D$10*Q52)</f>
        <v>3.8450697479999998</v>
      </c>
      <c r="S52" s="916">
        <f t="shared" si="4"/>
        <v>0.49278574800000019</v>
      </c>
    </row>
    <row r="53" spans="1:19">
      <c r="A53" s="835">
        <v>8050</v>
      </c>
      <c r="B53" s="826" t="s">
        <v>942</v>
      </c>
      <c r="C53" s="319" t="str">
        <f t="shared" si="0"/>
        <v>Berguedà</v>
      </c>
      <c r="D53" s="908">
        <f>IFERROR(IF(VLOOKUP(B53,'BD ASVICC'!$A$6:$GN$316,193,FALSE)&gt;0,VLOOKUP(B53,'BD ASVICC'!$A$6:$GN$316,193,FALSE),(VLOOKUP(C53,'BD Comarcal'!$A$6:$AB$17,9,)/VLOOKUP(C53,'BD Comarcal'!$A$6:$AB$17,13,))),"")</f>
        <v>4.1611624834874503E-2</v>
      </c>
      <c r="E53" s="910">
        <f>IFERROR(IF(VLOOKUP(B53,'BD ASVICC'!$A$6:$GN$316,192,FALSE)&gt;0,VLOOKUP(B53,'BD ASVICC'!$A$6:$GN$316,192,FALSE),(VLOOKUP(C53,'BD Comarcal'!$A$6:$AB$17,14,)*F53)),"")</f>
        <v>3.6886415845627654</v>
      </c>
      <c r="F53" s="904">
        <f t="shared" si="5"/>
        <v>4.4923171167491963E-3</v>
      </c>
      <c r="G53" s="910">
        <f t="shared" si="2"/>
        <v>0.15349036976714281</v>
      </c>
      <c r="H53" s="910">
        <f>IFERROR(VLOOKUP(B53, base,19,FALSE)*'4. Agricultura PIB'!$K$11/1000000,G53*'4. Agricultura PIB'!$F$54)</f>
        <v>8.5055624033378671E-2</v>
      </c>
      <c r="I53" s="910">
        <f>G53*'4. Agricultura PIB'!$F$45</f>
        <v>5.05136806903667E-2</v>
      </c>
      <c r="J53" s="952">
        <f>IFERROR((VLOOKUP(B53,base,19,FALSE)*'tecnicecon agric'!$D$65)/1000000,H53/3)</f>
        <v>3.6301199999999999E-2</v>
      </c>
      <c r="K53" s="952">
        <f>IFERROR(VLOOKUP(B53,'cultius resum'!$T$6:$AU$306,22,FALSE)/1000000,0)</f>
        <v>1.9013333333333332E-3</v>
      </c>
      <c r="L53" s="915">
        <f>K53*'A. Dades de partida'!$D$10</f>
        <v>2.8519999999999997E-2</v>
      </c>
      <c r="M53" s="956">
        <f>IFERROR(VLOOKUP(B53,'cultius resum'!$T$6:$AU$308,28,FALSE)/1000000,0)</f>
        <v>1.6622210794569329E-2</v>
      </c>
      <c r="N53" s="955">
        <f>M53*'A. Dades de partida'!$D$10+(((I53-M53)*'A. Dades de partida'!$D$10)/2)</f>
        <v>0.50351918613702029</v>
      </c>
      <c r="O53" s="955">
        <f t="shared" si="3"/>
        <v>0.48689697534245097</v>
      </c>
      <c r="P53" s="916">
        <f>J53*'A. Dades de partida'!$D$10</f>
        <v>0.54451799999999995</v>
      </c>
      <c r="Q53" s="916">
        <f>J53+J53*'4. Agricultura PIB'!$D$71</f>
        <v>4.6973752799999997E-2</v>
      </c>
      <c r="R53" s="916">
        <f>(((J53-Q53)*'A. Dades de partida'!$D$10)/2)+('A. Dades de partida'!$D$10*Q53)</f>
        <v>0.62456214599999993</v>
      </c>
      <c r="S53" s="916">
        <f t="shared" si="4"/>
        <v>8.0044145999999983E-2</v>
      </c>
    </row>
    <row r="54" spans="1:19">
      <c r="A54" s="835">
        <v>8051</v>
      </c>
      <c r="B54" s="826" t="s">
        <v>944</v>
      </c>
      <c r="C54" s="319" t="str">
        <f t="shared" si="0"/>
        <v>Vallès Occidental</v>
      </c>
      <c r="D54" s="908">
        <f>IFERROR(IF(VLOOKUP(B54,'BD ASVICC'!$A$6:$GN$316,193,FALSE)&gt;0,VLOOKUP(B54,'BD ASVICC'!$A$6:$GN$316,193,FALSE),(VLOOKUP(C54,'BD Comarcal'!$A$6:$AB$17,9,)/VLOOKUP(C54,'BD Comarcal'!$A$6:$AB$17,13,))),"")</f>
        <v>1E-3</v>
      </c>
      <c r="E54" s="910">
        <f>IFERROR(IF(VLOOKUP(B54,'BD ASVICC'!$A$6:$GN$316,192,FALSE)&gt;0,VLOOKUP(B54,'BD ASVICC'!$A$6:$GN$316,192,FALSE),(VLOOKUP(C54,'BD Comarcal'!$A$6:$AB$17,14,)*F54)),"")</f>
        <v>545</v>
      </c>
      <c r="F54" s="904">
        <f t="shared" si="5"/>
        <v>2.613576041758825E-2</v>
      </c>
      <c r="G54" s="910">
        <f t="shared" si="2"/>
        <v>0.54500000000000004</v>
      </c>
      <c r="H54" s="910">
        <f>IFERROR(VLOOKUP(B54, base,19,FALSE)*'4. Agricultura PIB'!$K$11/1000000,G54*'4. Agricultura PIB'!$F$54)</f>
        <v>0.3530521154011193</v>
      </c>
      <c r="I54" s="910">
        <f>G54*'4. Agricultura PIB'!$F$45</f>
        <v>0.17935950000000001</v>
      </c>
      <c r="J54" s="952">
        <f>IFERROR((VLOOKUP(B54,base,19,FALSE)*'tecnicecon agric'!$D$65)/1000000,H54/3)</f>
        <v>0.15068039999999999</v>
      </c>
      <c r="K54" s="952">
        <f>IFERROR(VLOOKUP(B54,'cultius resum'!$T$6:$AU$306,22,FALSE)/1000000,0)</f>
        <v>6.9644833333333322E-2</v>
      </c>
      <c r="L54" s="915">
        <f>K54*'A. Dades de partida'!$D$10</f>
        <v>1.0446724999999999</v>
      </c>
      <c r="M54" s="956">
        <f>IFERROR(VLOOKUP(B54,'cultius resum'!$T$6:$AU$308,28,FALSE)/1000000,0)</f>
        <v>0.69171225673708292</v>
      </c>
      <c r="N54" s="955">
        <f>M54*'A. Dades de partida'!$D$10+(((I54-M54)*'A. Dades de partida'!$D$10)/2)</f>
        <v>6.533038175528123</v>
      </c>
      <c r="O54" s="955">
        <f t="shared" si="3"/>
        <v>5.84132591879104</v>
      </c>
      <c r="P54" s="916">
        <f>J54*'A. Dades de partida'!$D$10</f>
        <v>2.2602059999999997</v>
      </c>
      <c r="Q54" s="916">
        <f>J54+J54*'4. Agricultura PIB'!$D$71</f>
        <v>0.1949804376</v>
      </c>
      <c r="R54" s="916">
        <f>(((J54-Q54)*'A. Dades de partida'!$D$10)/2)+('A. Dades de partida'!$D$10*Q54)</f>
        <v>2.5924562820000001</v>
      </c>
      <c r="S54" s="916">
        <f t="shared" si="4"/>
        <v>0.3322502820000004</v>
      </c>
    </row>
    <row r="55" spans="1:19">
      <c r="A55" s="835">
        <v>8052</v>
      </c>
      <c r="B55" s="826" t="s">
        <v>951</v>
      </c>
      <c r="C55" s="319" t="str">
        <f t="shared" si="0"/>
        <v>Berguedà</v>
      </c>
      <c r="D55" s="908">
        <f>IFERROR(IF(VLOOKUP(B55,'BD ASVICC'!$A$6:$GN$316,193,FALSE)&gt;0,VLOOKUP(B55,'BD ASVICC'!$A$6:$GN$316,193,FALSE),(VLOOKUP(C55,'BD Comarcal'!$A$6:$AB$17,9,)/VLOOKUP(C55,'BD Comarcal'!$A$6:$AB$17,13,))),"")</f>
        <v>4.1611624834874503E-2</v>
      </c>
      <c r="E55" s="910">
        <f>IFERROR(IF(VLOOKUP(B55,'BD ASVICC'!$A$6:$GN$316,192,FALSE)&gt;0,VLOOKUP(B55,'BD ASVICC'!$A$6:$GN$316,192,FALSE),(VLOOKUP(C55,'BD Comarcal'!$A$6:$AB$17,14,)*F55)),"")</f>
        <v>3.2904359589565573</v>
      </c>
      <c r="F55" s="904">
        <f t="shared" si="5"/>
        <v>4.0073510643728622E-3</v>
      </c>
      <c r="G55" s="910">
        <f t="shared" si="2"/>
        <v>0.13692038666728079</v>
      </c>
      <c r="H55" s="910">
        <f>IFERROR(VLOOKUP(B55, base,19,FALSE)*'4. Agricultura PIB'!$K$11/1000000,G55*'4. Agricultura PIB'!$F$54)</f>
        <v>0.1534802601272699</v>
      </c>
      <c r="I55" s="910">
        <f>G55*'4. Agricultura PIB'!$F$45</f>
        <v>4.506049925220211E-2</v>
      </c>
      <c r="J55" s="952">
        <f>IFERROR((VLOOKUP(B55,base,19,FALSE)*'tecnicecon agric'!$D$65)/1000000,H55/3)</f>
        <v>6.550439999999999E-2</v>
      </c>
      <c r="K55" s="952">
        <f>IFERROR(VLOOKUP(B55,'cultius resum'!$T$6:$AU$306,22,FALSE)/1000000,0)</f>
        <v>0</v>
      </c>
      <c r="L55" s="915">
        <f>K55*'A. Dades de partida'!$D$10</f>
        <v>0</v>
      </c>
      <c r="M55" s="956">
        <f>IFERROR(VLOOKUP(B55,'cultius resum'!$T$6:$AU$308,28,FALSE)/1000000,0)</f>
        <v>0</v>
      </c>
      <c r="N55" s="955">
        <f>M55*'A. Dades de partida'!$D$10+(((I55-M55)*'A. Dades de partida'!$D$10)/2)</f>
        <v>0.33795374439151582</v>
      </c>
      <c r="O55" s="955">
        <f t="shared" si="3"/>
        <v>0.33795374439151582</v>
      </c>
      <c r="P55" s="916">
        <f>J55*'A. Dades de partida'!$D$10</f>
        <v>0.98256599999999983</v>
      </c>
      <c r="Q55" s="916">
        <f>J55+J55*'4. Agricultura PIB'!$D$71</f>
        <v>8.4762693599999994E-2</v>
      </c>
      <c r="R55" s="916">
        <f>(((J55-Q55)*'A. Dades de partida'!$D$10)/2)+('A. Dades de partida'!$D$10*Q55)</f>
        <v>1.1270032019999998</v>
      </c>
      <c r="S55" s="916">
        <f t="shared" si="4"/>
        <v>0.14443720199999999</v>
      </c>
    </row>
    <row r="56" spans="1:19">
      <c r="A56" s="835">
        <v>8053</v>
      </c>
      <c r="B56" s="826" t="s">
        <v>958</v>
      </c>
      <c r="C56" s="319" t="str">
        <f t="shared" si="0"/>
        <v>Bages</v>
      </c>
      <c r="D56" s="908">
        <f>IFERROR(IF(VLOOKUP(B56,'BD ASVICC'!$A$6:$GN$316,193,FALSE)&gt;0,VLOOKUP(B56,'BD ASVICC'!$A$6:$GN$316,193,FALSE),(VLOOKUP(C56,'BD Comarcal'!$A$6:$AB$17,9,)/VLOOKUP(C56,'BD Comarcal'!$A$6:$AB$17,13,))),"")</f>
        <v>9.2529216416964537E-3</v>
      </c>
      <c r="E56" s="910">
        <f>IFERROR(IF(VLOOKUP(B56,'BD ASVICC'!$A$6:$GN$316,192,FALSE)&gt;0,VLOOKUP(B56,'BD ASVICC'!$A$6:$GN$316,192,FALSE),(VLOOKUP(C56,'BD Comarcal'!$A$6:$AB$17,14,)*F56)),"")</f>
        <v>87.938828198026158</v>
      </c>
      <c r="F56" s="904">
        <f t="shared" si="5"/>
        <v>2.0552697828318454E-2</v>
      </c>
      <c r="G56" s="910">
        <f t="shared" si="2"/>
        <v>0.81369108657894262</v>
      </c>
      <c r="H56" s="910">
        <f>IFERROR(VLOOKUP(B56, base,19,FALSE)*'4. Agricultura PIB'!$K$11/1000000,G56*'4. Agricultura PIB'!$F$54)</f>
        <v>0.49227724300882852</v>
      </c>
      <c r="I56" s="910">
        <f>G56*'4. Agricultura PIB'!$F$45</f>
        <v>0.26778573659313004</v>
      </c>
      <c r="J56" s="952">
        <f>IFERROR((VLOOKUP(B56,base,19,FALSE)*'tecnicecon agric'!$D$65)/1000000,H56/3)</f>
        <v>0.21010079999999998</v>
      </c>
      <c r="K56" s="952">
        <f>IFERROR(VLOOKUP(B56,'cultius resum'!$T$6:$AU$306,22,FALSE)/1000000,0)</f>
        <v>6.5126333333333328E-2</v>
      </c>
      <c r="L56" s="915">
        <f>K56*'A. Dades de partida'!$D$10</f>
        <v>0.97689499999999996</v>
      </c>
      <c r="M56" s="956">
        <f>IFERROR(VLOOKUP(B56,'cultius resum'!$T$6:$AU$308,28,FALSE)/1000000,0)</f>
        <v>0.62459324397132032</v>
      </c>
      <c r="N56" s="955">
        <f>M56*'A. Dades de partida'!$D$10+(((I56-M56)*'A. Dades de partida'!$D$10)/2)</f>
        <v>6.6928423542333775</v>
      </c>
      <c r="O56" s="955">
        <f t="shared" si="3"/>
        <v>6.068249110262057</v>
      </c>
      <c r="P56" s="916">
        <f>J56*'A. Dades de partida'!$D$10</f>
        <v>3.1515119999999994</v>
      </c>
      <c r="Q56" s="916">
        <f>J56+J56*'4. Agricultura PIB'!$D$71</f>
        <v>0.27187043519999998</v>
      </c>
      <c r="R56" s="916">
        <f>(((J56-Q56)*'A. Dades de partida'!$D$10)/2)+('A. Dades de partida'!$D$10*Q56)</f>
        <v>3.6147842639999994</v>
      </c>
      <c r="S56" s="916">
        <f t="shared" si="4"/>
        <v>0.46327226399999999</v>
      </c>
    </row>
    <row r="57" spans="1:19">
      <c r="A57" s="835">
        <v>8054</v>
      </c>
      <c r="B57" s="826" t="s">
        <v>964</v>
      </c>
      <c r="C57" s="319" t="str">
        <f t="shared" si="0"/>
        <v>Vallès Occidental</v>
      </c>
      <c r="D57" s="908">
        <f>IFERROR(IF(VLOOKUP(B57,'BD ASVICC'!$A$6:$GN$316,193,FALSE)&gt;0,VLOOKUP(B57,'BD ASVICC'!$A$6:$GN$316,193,FALSE),(VLOOKUP(C57,'BD Comarcal'!$A$6:$AB$17,9,)/VLOOKUP(C57,'BD Comarcal'!$A$6:$AB$17,13,))),"")</f>
        <v>1E-3</v>
      </c>
      <c r="E57" s="910">
        <f>IFERROR(IF(VLOOKUP(B57,'BD ASVICC'!$A$6:$GN$316,192,FALSE)&gt;0,VLOOKUP(B57,'BD ASVICC'!$A$6:$GN$316,192,FALSE),(VLOOKUP(C57,'BD Comarcal'!$A$6:$AB$17,14,)*F57)),"")</f>
        <v>920</v>
      </c>
      <c r="F57" s="904">
        <f t="shared" si="5"/>
        <v>1.3577147659913297E-2</v>
      </c>
      <c r="G57" s="910">
        <f t="shared" si="2"/>
        <v>0.92</v>
      </c>
      <c r="H57" s="910">
        <f>IFERROR(VLOOKUP(B57, base,19,FALSE)*'4. Agricultura PIB'!$K$11/1000000,G57*'4. Agricultura PIB'!$F$54)</f>
        <v>0.33547078529366109</v>
      </c>
      <c r="I57" s="910">
        <f>G57*'4. Agricultura PIB'!$F$45</f>
        <v>0.30277200000000004</v>
      </c>
      <c r="J57" s="952">
        <f>IFERROR((VLOOKUP(B57,base,19,FALSE)*'tecnicecon agric'!$D$65)/1000000,H57/3)</f>
        <v>0.14317679999999999</v>
      </c>
      <c r="K57" s="952">
        <f>IFERROR(VLOOKUP(B57,'cultius resum'!$T$6:$AU$306,22,FALSE)/1000000,0)</f>
        <v>6.0742249999999998E-2</v>
      </c>
      <c r="L57" s="915">
        <f>K57*'A. Dades de partida'!$D$10</f>
        <v>0.91113374999999996</v>
      </c>
      <c r="M57" s="956">
        <f>IFERROR(VLOOKUP(B57,'cultius resum'!$T$6:$AU$308,28,FALSE)/1000000,0)</f>
        <v>0.71054006108785073</v>
      </c>
      <c r="N57" s="955">
        <f>M57*'A. Dades de partida'!$D$10+(((I57-M57)*'A. Dades de partida'!$D$10)/2)</f>
        <v>7.5998404581588801</v>
      </c>
      <c r="O57" s="955">
        <f t="shared" si="3"/>
        <v>6.8893003970710289</v>
      </c>
      <c r="P57" s="916">
        <f>J57*'A. Dades de partida'!$D$10</f>
        <v>2.1476519999999999</v>
      </c>
      <c r="Q57" s="916">
        <f>J57+J57*'4. Agricultura PIB'!$D$71</f>
        <v>0.18527077919999999</v>
      </c>
      <c r="R57" s="916">
        <f>(((J57-Q57)*'A. Dades de partida'!$D$10)/2)+('A. Dades de partida'!$D$10*Q57)</f>
        <v>2.4633568439999998</v>
      </c>
      <c r="S57" s="916">
        <f t="shared" si="4"/>
        <v>0.31570484399999987</v>
      </c>
    </row>
    <row r="58" spans="1:19">
      <c r="A58" s="835">
        <v>8055</v>
      </c>
      <c r="B58" s="826" t="s">
        <v>970</v>
      </c>
      <c r="C58" s="319" t="str">
        <f t="shared" si="0"/>
        <v>Moianès</v>
      </c>
      <c r="D58" s="908">
        <f>IFERROR(IF(VLOOKUP(B58,'BD ASVICC'!$A$6:$GN$316,193,FALSE)&gt;0,VLOOKUP(B58,'BD ASVICC'!$A$6:$GN$316,193,FALSE),(VLOOKUP(C58,'BD Comarcal'!$A$6:$AB$17,9,)/VLOOKUP(C58,'BD Comarcal'!$A$6:$AB$17,13,))),"")</f>
        <v>2.4061990212071782E-2</v>
      </c>
      <c r="E58" s="910">
        <f>IFERROR(IF(VLOOKUP(B58,'BD ASVICC'!$A$6:$GN$316,192,FALSE)&gt;0,VLOOKUP(B58,'BD ASVICC'!$A$6:$GN$316,192,FALSE),(VLOOKUP(C58,'BD Comarcal'!$A$6:$AB$17,14,)*F58)),"")</f>
        <v>14.614535543947307</v>
      </c>
      <c r="F58" s="904">
        <f t="shared" si="5"/>
        <v>5.4962525550760845E-2</v>
      </c>
      <c r="G58" s="910">
        <f t="shared" si="2"/>
        <v>0.35165481121243525</v>
      </c>
      <c r="H58" s="910">
        <f>IFERROR(VLOOKUP(B58, base,19,FALSE)*'4. Agricultura PIB'!$K$11/1000000,G58*'4. Agricultura PIB'!$F$54)</f>
        <v>0.28130128171933061</v>
      </c>
      <c r="I58" s="910">
        <f>G58*'4. Agricultura PIB'!$F$45</f>
        <v>0.11572959837001244</v>
      </c>
      <c r="J58" s="952">
        <f>IFERROR((VLOOKUP(B58,base,19,FALSE)*'tecnicecon agric'!$D$65)/1000000,H58/3)</f>
        <v>0.12005759999999999</v>
      </c>
      <c r="K58" s="952">
        <f>IFERROR(VLOOKUP(B58,'cultius resum'!$T$6:$AU$306,22,FALSE)/1000000,0)</f>
        <v>0.13493879166666667</v>
      </c>
      <c r="L58" s="915">
        <f>K58*'A. Dades de partida'!$D$10</f>
        <v>2.0240818750000003</v>
      </c>
      <c r="M58" s="956">
        <f>IFERROR(VLOOKUP(B58,'cultius resum'!$T$6:$AU$308,28,FALSE)/1000000,0)</f>
        <v>1.2142090999879174</v>
      </c>
      <c r="N58" s="955">
        <f>M58*'A. Dades de partida'!$D$10+(((I58-M58)*'A. Dades de partida'!$D$10)/2)</f>
        <v>9.9745402376844723</v>
      </c>
      <c r="O58" s="955">
        <f t="shared" si="3"/>
        <v>8.7603311376965554</v>
      </c>
      <c r="P58" s="916">
        <f>J58*'A. Dades de partida'!$D$10</f>
        <v>1.8008639999999998</v>
      </c>
      <c r="Q58" s="916">
        <f>J58+J58*'4. Agricultura PIB'!$D$71</f>
        <v>0.15535453439999997</v>
      </c>
      <c r="R58" s="916">
        <f>(((J58-Q58)*'A. Dades de partida'!$D$10)/2)+('A. Dades de partida'!$D$10*Q58)</f>
        <v>2.0655910079999997</v>
      </c>
      <c r="S58" s="916">
        <f t="shared" si="4"/>
        <v>0.26472700799999993</v>
      </c>
    </row>
    <row r="59" spans="1:19">
      <c r="A59" s="835">
        <v>8056</v>
      </c>
      <c r="B59" s="826" t="s">
        <v>340</v>
      </c>
      <c r="C59" s="319" t="str">
        <f t="shared" si="0"/>
        <v>Baix Llobregat</v>
      </c>
      <c r="D59" s="908">
        <f>IFERROR(IF(VLOOKUP(B59,'BD ASVICC'!$A$6:$GN$316,193,FALSE)&gt;0,VLOOKUP(B59,'BD ASVICC'!$A$6:$GN$316,193,FALSE),(VLOOKUP(C59,'BD Comarcal'!$A$6:$AB$17,9,)/VLOOKUP(C59,'BD Comarcal'!$A$6:$AB$17,13,))),"")</f>
        <v>7.8252861716696001E-4</v>
      </c>
      <c r="E59" s="910">
        <f>IFERROR(IF(VLOOKUP(B59,'BD ASVICC'!$A$6:$GN$316,192,FALSE)&gt;0,VLOOKUP(B59,'BD ASVICC'!$A$6:$GN$316,192,FALSE),(VLOOKUP(C59,'BD Comarcal'!$A$6:$AB$17,14,)*F59)),"")</f>
        <v>1190</v>
      </c>
      <c r="F59" s="904">
        <f t="shared" si="5"/>
        <v>8.0125153880251834E-2</v>
      </c>
      <c r="G59" s="910">
        <f t="shared" si="2"/>
        <v>0.9312090544286824</v>
      </c>
      <c r="H59" s="910">
        <f>IFERROR(VLOOKUP(B59, base,19,FALSE)*'4. Agricultura PIB'!$K$11/1000000,G59*'4. Agricultura PIB'!$F$54)</f>
        <v>0.60612397352762937</v>
      </c>
      <c r="I59" s="910">
        <f>G59*'4. Agricultura PIB'!$F$45</f>
        <v>0.30646089981247937</v>
      </c>
      <c r="J59" s="952">
        <f>IFERROR((VLOOKUP(B59,base,19,FALSE)*'tecnicecon agric'!$D$65)/1000000,H59/3)</f>
        <v>0.20204132450920978</v>
      </c>
      <c r="K59" s="952">
        <f>IFERROR(VLOOKUP(B59,'cultius resum'!$T$6:$AU$306,22,FALSE)/1000000,0)</f>
        <v>3.388875E-3</v>
      </c>
      <c r="L59" s="915">
        <f>K59*'A. Dades de partida'!$D$10</f>
        <v>5.0833125E-2</v>
      </c>
      <c r="M59" s="956">
        <f>IFERROR(VLOOKUP(B59,'cultius resum'!$T$6:$AU$308,28,FALSE)/1000000,0)</f>
        <v>5.0339259574321948E-2</v>
      </c>
      <c r="N59" s="955">
        <f>M59*'A. Dades de partida'!$D$10+(((I59-M59)*'A. Dades de partida'!$D$10)/2)</f>
        <v>2.6760011954010099</v>
      </c>
      <c r="O59" s="955">
        <f t="shared" si="3"/>
        <v>2.6256619358266882</v>
      </c>
      <c r="P59" s="916">
        <f>J59*'A. Dades de partida'!$D$10</f>
        <v>3.0306198676381468</v>
      </c>
      <c r="Q59" s="916">
        <f>J59+J59*'4. Agricultura PIB'!$D$71</f>
        <v>0.26144147391491745</v>
      </c>
      <c r="R59" s="916">
        <f>(((J59-Q59)*'A. Dades de partida'!$D$10)/2)+('A. Dades de partida'!$D$10*Q59)</f>
        <v>3.4761209881809543</v>
      </c>
      <c r="S59" s="916">
        <f t="shared" si="4"/>
        <v>0.44550112054280744</v>
      </c>
    </row>
    <row r="60" spans="1:19">
      <c r="A60" s="835">
        <v>8057</v>
      </c>
      <c r="B60" s="826" t="s">
        <v>980</v>
      </c>
      <c r="C60" s="319" t="str">
        <f t="shared" si="0"/>
        <v>Berguedà</v>
      </c>
      <c r="D60" s="908">
        <f>IFERROR(IF(VLOOKUP(B60,'BD ASVICC'!$A$6:$GN$316,193,FALSE)&gt;0,VLOOKUP(B60,'BD ASVICC'!$A$6:$GN$316,193,FALSE),(VLOOKUP(C60,'BD Comarcal'!$A$6:$AB$17,9,)/VLOOKUP(C60,'BD Comarcal'!$A$6:$AB$17,13,))),"")</f>
        <v>4.1611624834874503E-2</v>
      </c>
      <c r="E60" s="910">
        <f>IFERROR(IF(VLOOKUP(B60,'BD ASVICC'!$A$6:$GN$316,192,FALSE)&gt;0,VLOOKUP(B60,'BD ASVICC'!$A$6:$GN$316,192,FALSE),(VLOOKUP(C60,'BD Comarcal'!$A$6:$AB$17,14,)*F60)),"")</f>
        <v>1.4461151666751748</v>
      </c>
      <c r="F60" s="904">
        <f t="shared" si="5"/>
        <v>1.7611925059982643E-3</v>
      </c>
      <c r="G60" s="910">
        <f t="shared" si="2"/>
        <v>6.0175201783709387E-2</v>
      </c>
      <c r="H60" s="910">
        <f>IFERROR(VLOOKUP(B60, base,19,FALSE)*'4. Agricultura PIB'!$K$11/1000000,G60*'4. Agricultura PIB'!$F$54)</f>
        <v>6.2722583086066958E-2</v>
      </c>
      <c r="I60" s="910">
        <f>G60*'4. Agricultura PIB'!$F$45</f>
        <v>1.980365890701876E-2</v>
      </c>
      <c r="J60" s="952">
        <f>IFERROR((VLOOKUP(B60,base,19,FALSE)*'tecnicecon agric'!$D$65)/1000000,H60/3)</f>
        <v>2.6769599999999998E-2</v>
      </c>
      <c r="K60" s="952">
        <f>IFERROR(VLOOKUP(B60,'cultius resum'!$T$6:$AU$306,22,FALSE)/1000000,0)</f>
        <v>1.3309333333333333E-2</v>
      </c>
      <c r="L60" s="915">
        <f>K60*'A. Dades de partida'!$D$10</f>
        <v>0.19963999999999998</v>
      </c>
      <c r="M60" s="956">
        <f>IFERROR(VLOOKUP(B60,'cultius resum'!$T$6:$AU$308,28,FALSE)/1000000,0)</f>
        <v>0.11635547556198528</v>
      </c>
      <c r="N60" s="955">
        <f>M60*'A. Dades de partida'!$D$10+(((I60-M60)*'A. Dades de partida'!$D$10)/2)</f>
        <v>1.0211935085175303</v>
      </c>
      <c r="O60" s="955">
        <f t="shared" si="3"/>
        <v>0.90483803295554499</v>
      </c>
      <c r="P60" s="916">
        <f>J60*'A. Dades de partida'!$D$10</f>
        <v>0.40154399999999996</v>
      </c>
      <c r="Q60" s="916">
        <f>J60+J60*'4. Agricultura PIB'!$D$71</f>
        <v>3.4639862399999999E-2</v>
      </c>
      <c r="R60" s="916">
        <f>(((J60-Q60)*'A. Dades de partida'!$D$10)/2)+('A. Dades de partida'!$D$10*Q60)</f>
        <v>0.46057096800000003</v>
      </c>
      <c r="S60" s="916">
        <f t="shared" si="4"/>
        <v>5.9026968000000068E-2</v>
      </c>
    </row>
    <row r="61" spans="1:19">
      <c r="A61" s="835">
        <v>8058</v>
      </c>
      <c r="B61" s="826" t="s">
        <v>984</v>
      </c>
      <c r="C61" s="319" t="str">
        <f t="shared" si="0"/>
        <v>Alt Penedès</v>
      </c>
      <c r="D61" s="908">
        <f>IFERROR(IF(VLOOKUP(B61,'BD ASVICC'!$A$6:$GN$316,193,FALSE)&gt;0,VLOOKUP(B61,'BD ASVICC'!$A$6:$GN$316,193,FALSE),(VLOOKUP(C61,'BD Comarcal'!$A$6:$AB$17,9,)/VLOOKUP(C61,'BD Comarcal'!$A$6:$AB$17,13,))),"")</f>
        <v>1.0966842723004694E-2</v>
      </c>
      <c r="E61" s="910">
        <f>IFERROR(IF(VLOOKUP(B61,'BD ASVICC'!$A$6:$GN$316,192,FALSE)&gt;0,VLOOKUP(B61,'BD ASVICC'!$A$6:$GN$316,192,FALSE),(VLOOKUP(C61,'BD Comarcal'!$A$6:$AB$17,14,)*F61)),"")</f>
        <v>61.022249823570924</v>
      </c>
      <c r="F61" s="904">
        <f t="shared" si="5"/>
        <v>2.063514467184192E-2</v>
      </c>
      <c r="G61" s="910">
        <f t="shared" si="2"/>
        <v>0.66922141641900323</v>
      </c>
      <c r="H61" s="910">
        <f>IFERROR(VLOOKUP(B61, base,19,FALSE)*'4. Agricultura PIB'!$K$11/1000000,G61*'4. Agricultura PIB'!$F$54)</f>
        <v>4.0389542138755237E-2</v>
      </c>
      <c r="I61" s="910">
        <f>G61*'4. Agricultura PIB'!$F$45</f>
        <v>0.22024076814349397</v>
      </c>
      <c r="J61" s="952">
        <f>IFERROR((VLOOKUP(B61,base,19,FALSE)*'tecnicecon agric'!$D$65)/1000000,H61/3)</f>
        <v>1.7238E-2</v>
      </c>
      <c r="K61" s="952">
        <f>IFERROR(VLOOKUP(B61,'cultius resum'!$T$6:$AU$306,22,FALSE)/1000000,0)</f>
        <v>6.7385583333333332E-2</v>
      </c>
      <c r="L61" s="915">
        <f>K61*'A. Dades de partida'!$D$10</f>
        <v>1.0107837499999999</v>
      </c>
      <c r="M61" s="956">
        <f>IFERROR(VLOOKUP(B61,'cultius resum'!$T$6:$AU$308,28,FALSE)/1000000,0)</f>
        <v>0.65815275035420162</v>
      </c>
      <c r="N61" s="955">
        <f>M61*'A. Dades de partida'!$D$10+(((I61-M61)*'A. Dades de partida'!$D$10)/2)</f>
        <v>6.5879513887327175</v>
      </c>
      <c r="O61" s="955">
        <f t="shared" si="3"/>
        <v>5.9297986383785162</v>
      </c>
      <c r="P61" s="916">
        <f>J61*'A. Dades de partida'!$D$10</f>
        <v>0.25857000000000002</v>
      </c>
      <c r="Q61" s="916">
        <f>J61+J61*'4. Agricultura PIB'!$D$71</f>
        <v>2.2305972E-2</v>
      </c>
      <c r="R61" s="916">
        <f>(((J61-Q61)*'A. Dades de partida'!$D$10)/2)+('A. Dades de partida'!$D$10*Q61)</f>
        <v>0.29657979000000001</v>
      </c>
      <c r="S61" s="916">
        <f t="shared" si="4"/>
        <v>3.8009789999999988E-2</v>
      </c>
    </row>
    <row r="62" spans="1:19">
      <c r="A62" s="835">
        <v>8059</v>
      </c>
      <c r="B62" s="826" t="s">
        <v>993</v>
      </c>
      <c r="C62" s="319" t="str">
        <f t="shared" si="0"/>
        <v>Bages</v>
      </c>
      <c r="D62" s="908">
        <f>IFERROR(IF(VLOOKUP(B62,'BD ASVICC'!$A$6:$GN$316,193,FALSE)&gt;0,VLOOKUP(B62,'BD ASVICC'!$A$6:$GN$316,193,FALSE),(VLOOKUP(C62,'BD Comarcal'!$A$6:$AB$17,9,)/VLOOKUP(C62,'BD Comarcal'!$A$6:$AB$17,13,))),"")</f>
        <v>9.2529216416964537E-3</v>
      </c>
      <c r="E62" s="910">
        <f>IFERROR(IF(VLOOKUP(B62,'BD ASVICC'!$A$6:$GN$316,192,FALSE)&gt;0,VLOOKUP(B62,'BD ASVICC'!$A$6:$GN$316,192,FALSE),(VLOOKUP(C62,'BD Comarcal'!$A$6:$AB$17,14,)*F62)),"")</f>
        <v>10.99235352475327</v>
      </c>
      <c r="F62" s="904">
        <f t="shared" si="5"/>
        <v>2.5690872285398067E-3</v>
      </c>
      <c r="G62" s="910">
        <f t="shared" si="2"/>
        <v>0.10171138582236783</v>
      </c>
      <c r="H62" s="910">
        <f>IFERROR(VLOOKUP(B62, base,19,FALSE)*'4. Agricultura PIB'!$K$11/1000000,G62*'4. Agricultura PIB'!$F$54)</f>
        <v>0.57543218270626584</v>
      </c>
      <c r="I62" s="910">
        <f>G62*'4. Agricultura PIB'!$F$45</f>
        <v>3.3473217074141255E-2</v>
      </c>
      <c r="J62" s="952">
        <f>IFERROR((VLOOKUP(B62,base,19,FALSE)*'tecnicecon agric'!$D$65)/1000000,H62/3)</f>
        <v>0.2455908</v>
      </c>
      <c r="K62" s="952">
        <f>IFERROR(VLOOKUP(B62,'cultius resum'!$T$6:$AU$306,22,FALSE)/1000000,0)</f>
        <v>0.46499908333333334</v>
      </c>
      <c r="L62" s="915">
        <f>K62*'A. Dades de partida'!$D$10</f>
        <v>6.9749862499999997</v>
      </c>
      <c r="M62" s="956">
        <f>IFERROR(VLOOKUP(B62,'cultius resum'!$T$6:$AU$308,28,FALSE)/1000000,0)</f>
        <v>4.1066313206398517</v>
      </c>
      <c r="N62" s="955">
        <f>M62*'A. Dades de partida'!$D$10+(((I62-M62)*'A. Dades de partida'!$D$10)/2)</f>
        <v>31.050784032854953</v>
      </c>
      <c r="O62" s="955">
        <f t="shared" si="3"/>
        <v>26.9441527122151</v>
      </c>
      <c r="P62" s="916">
        <f>J62*'A. Dades de partida'!$D$10</f>
        <v>3.683862</v>
      </c>
      <c r="Q62" s="916">
        <f>J62+J62*'4. Agricultura PIB'!$D$71</f>
        <v>0.31779449520000003</v>
      </c>
      <c r="R62" s="916">
        <f>(((J62-Q62)*'A. Dades de partida'!$D$10)/2)+('A. Dades de partida'!$D$10*Q62)</f>
        <v>4.2253897140000003</v>
      </c>
      <c r="S62" s="916">
        <f t="shared" si="4"/>
        <v>0.54152771400000033</v>
      </c>
    </row>
    <row r="63" spans="1:19">
      <c r="A63" s="835">
        <v>8060</v>
      </c>
      <c r="B63" s="826" t="s">
        <v>997</v>
      </c>
      <c r="C63" s="319" t="str">
        <f t="shared" si="0"/>
        <v>Anoia</v>
      </c>
      <c r="D63" s="908">
        <f>IFERROR(IF(VLOOKUP(B63,'BD ASVICC'!$A$6:$GN$316,193,FALSE)&gt;0,VLOOKUP(B63,'BD ASVICC'!$A$6:$GN$316,193,FALSE),(VLOOKUP(C63,'BD Comarcal'!$A$6:$AB$17,9,)/VLOOKUP(C63,'BD Comarcal'!$A$6:$AB$17,13,))),"")</f>
        <v>1.049736419894568E-2</v>
      </c>
      <c r="E63" s="910">
        <f>IFERROR(IF(VLOOKUP(B63,'BD ASVICC'!$A$6:$GN$316,192,FALSE)&gt;0,VLOOKUP(B63,'BD ASVICC'!$A$6:$GN$316,192,FALSE),(VLOOKUP(C63,'BD Comarcal'!$A$6:$AB$17,14,)*F63)),"")</f>
        <v>3.3226358251633985</v>
      </c>
      <c r="F63" s="904">
        <f t="shared" si="5"/>
        <v>1.4042075163398693E-3</v>
      </c>
      <c r="G63" s="910">
        <f t="shared" si="2"/>
        <v>3.4878918357204594E-2</v>
      </c>
      <c r="H63" s="910">
        <f>IFERROR(VLOOKUP(B63, base,19,FALSE)*'4. Agricultura PIB'!$K$11/1000000,G63*'4. Agricultura PIB'!$F$54)</f>
        <v>0.66951605733536623</v>
      </c>
      <c r="I63" s="910">
        <f>G63*'4. Agricultura PIB'!$F$45</f>
        <v>1.1478652031356031E-2</v>
      </c>
      <c r="J63" s="952">
        <f>IFERROR((VLOOKUP(B63,base,19,FALSE)*'tecnicecon agric'!$D$65)/1000000,H63/3)</f>
        <v>0.28574519999999998</v>
      </c>
      <c r="K63" s="952">
        <f>IFERROR(VLOOKUP(B63,'cultius resum'!$T$6:$AU$306,22,FALSE)/1000000,0)</f>
        <v>0.48341400000000001</v>
      </c>
      <c r="L63" s="915">
        <f>K63*'A. Dades de partida'!$D$10</f>
        <v>7.2512100000000004</v>
      </c>
      <c r="M63" s="956">
        <f>IFERROR(VLOOKUP(B63,'cultius resum'!$T$6:$AU$308,28,FALSE)/1000000,0)</f>
        <v>4.2261970945192511</v>
      </c>
      <c r="N63" s="955">
        <f>M63*'A. Dades de partida'!$D$10+(((I63-M63)*'A. Dades de partida'!$D$10)/2)</f>
        <v>31.782568099129556</v>
      </c>
      <c r="O63" s="955">
        <f t="shared" si="3"/>
        <v>27.556371004610305</v>
      </c>
      <c r="P63" s="916">
        <f>J63*'A. Dades de partida'!$D$10</f>
        <v>4.2861779999999996</v>
      </c>
      <c r="Q63" s="916">
        <f>J63+J63*'4. Agricultura PIB'!$D$71</f>
        <v>0.36975428879999994</v>
      </c>
      <c r="R63" s="916">
        <f>(((J63-Q63)*'A. Dades de partida'!$D$10)/2)+('A. Dades de partida'!$D$10*Q63)</f>
        <v>4.9162461659999988</v>
      </c>
      <c r="S63" s="916">
        <f t="shared" si="4"/>
        <v>0.63006816599999915</v>
      </c>
    </row>
    <row r="64" spans="1:19">
      <c r="A64" s="835">
        <v>8061</v>
      </c>
      <c r="B64" s="826" t="s">
        <v>1002</v>
      </c>
      <c r="C64" s="319" t="str">
        <f t="shared" si="0"/>
        <v>Bages</v>
      </c>
      <c r="D64" s="908">
        <f>IFERROR(IF(VLOOKUP(B64,'BD ASVICC'!$A$6:$GN$316,193,FALSE)&gt;0,VLOOKUP(B64,'BD ASVICC'!$A$6:$GN$316,193,FALSE),(VLOOKUP(C64,'BD Comarcal'!$A$6:$AB$17,9,)/VLOOKUP(C64,'BD Comarcal'!$A$6:$AB$17,13,))),"")</f>
        <v>9.2529216416964537E-3</v>
      </c>
      <c r="E64" s="910">
        <f>IFERROR(IF(VLOOKUP(B64,'BD ASVICC'!$A$6:$GN$316,192,FALSE)&gt;0,VLOOKUP(B64,'BD ASVICC'!$A$6:$GN$316,192,FALSE),(VLOOKUP(C64,'BD Comarcal'!$A$6:$AB$17,14,)*F64)),"")</f>
        <v>48.950324289916907</v>
      </c>
      <c r="F64" s="904">
        <f t="shared" si="5"/>
        <v>1.1440466564591327E-2</v>
      </c>
      <c r="G64" s="910">
        <f t="shared" si="2"/>
        <v>0.45293351499023171</v>
      </c>
      <c r="H64" s="910">
        <f>IFERROR(VLOOKUP(B64, base,19,FALSE)*'4. Agricultura PIB'!$K$11/1000000,G64*'4. Agricultura PIB'!$F$54)</f>
        <v>0.17296227457066948</v>
      </c>
      <c r="I64" s="910">
        <f>G64*'4. Agricultura PIB'!$F$45</f>
        <v>0.14906041978328527</v>
      </c>
      <c r="J64" s="952">
        <f>IFERROR((VLOOKUP(B64,base,19,FALSE)*'tecnicecon agric'!$D$65)/1000000,H64/3)</f>
        <v>7.3819200000000001E-2</v>
      </c>
      <c r="K64" s="952">
        <f>IFERROR(VLOOKUP(B64,'cultius resum'!$T$6:$AU$306,22,FALSE)/1000000,0)</f>
        <v>9.9115499999999995E-2</v>
      </c>
      <c r="L64" s="915">
        <f>K64*'A. Dades de partida'!$D$10</f>
        <v>1.4867325</v>
      </c>
      <c r="M64" s="956">
        <f>IFERROR(VLOOKUP(B64,'cultius resum'!$T$6:$AU$308,28,FALSE)/1000000,0)</f>
        <v>0.94935652405290749</v>
      </c>
      <c r="N64" s="955">
        <f>M64*'A. Dades de partida'!$D$10+(((I64-M64)*'A. Dades de partida'!$D$10)/2)</f>
        <v>8.2381270787714449</v>
      </c>
      <c r="O64" s="955">
        <f t="shared" si="3"/>
        <v>7.2887705547185373</v>
      </c>
      <c r="P64" s="916">
        <f>J64*'A. Dades de partida'!$D$10</f>
        <v>1.107288</v>
      </c>
      <c r="Q64" s="916">
        <f>J64+J64*'4. Agricultura PIB'!$D$71</f>
        <v>9.5522044799999997E-2</v>
      </c>
      <c r="R64" s="916">
        <f>(((J64-Q64)*'A. Dades de partida'!$D$10)/2)+('A. Dades de partida'!$D$10*Q64)</f>
        <v>1.2700593359999999</v>
      </c>
      <c r="S64" s="916">
        <f t="shared" si="4"/>
        <v>0.16277133599999982</v>
      </c>
    </row>
    <row r="65" spans="1:19">
      <c r="A65" s="835">
        <v>8062</v>
      </c>
      <c r="B65" s="826" t="s">
        <v>1004</v>
      </c>
      <c r="C65" s="319" t="str">
        <f t="shared" si="0"/>
        <v>Bages</v>
      </c>
      <c r="D65" s="908">
        <f>IFERROR(IF(VLOOKUP(B65,'BD ASVICC'!$A$6:$GN$316,193,FALSE)&gt;0,VLOOKUP(B65,'BD ASVICC'!$A$6:$GN$316,193,FALSE),(VLOOKUP(C65,'BD Comarcal'!$A$6:$AB$17,9,)/VLOOKUP(C65,'BD Comarcal'!$A$6:$AB$17,13,))),"")</f>
        <v>9.2529216416964537E-3</v>
      </c>
      <c r="E65" s="910">
        <f>IFERROR(IF(VLOOKUP(B65,'BD ASVICC'!$A$6:$GN$316,192,FALSE)&gt;0,VLOOKUP(B65,'BD ASVICC'!$A$6:$GN$316,192,FALSE),(VLOOKUP(C65,'BD Comarcal'!$A$6:$AB$17,14,)*F65)),"")</f>
        <v>31.578479880262183</v>
      </c>
      <c r="F65" s="904">
        <f t="shared" si="5"/>
        <v>7.3803912123453818E-3</v>
      </c>
      <c r="G65" s="910">
        <f t="shared" si="2"/>
        <v>0.29219319989595399</v>
      </c>
      <c r="H65" s="910">
        <f>IFERROR(VLOOKUP(B65, base,19,FALSE)*'4. Agricultura PIB'!$K$11/1000000,G65*'4. Agricultura PIB'!$F$54)</f>
        <v>0.44143393702239547</v>
      </c>
      <c r="I65" s="910">
        <f>G65*'4. Agricultura PIB'!$F$45</f>
        <v>9.6160782085758456E-2</v>
      </c>
      <c r="J65" s="952">
        <f>IFERROR((VLOOKUP(B65,base,19,FALSE)*'tecnicecon agric'!$D$65)/1000000,H65/3)</f>
        <v>0.18840119999999999</v>
      </c>
      <c r="K65" s="952">
        <f>IFERROR(VLOOKUP(B65,'cultius resum'!$T$6:$AU$306,22,FALSE)/1000000,0)</f>
        <v>0.22222116666666666</v>
      </c>
      <c r="L65" s="915">
        <f>K65*'A. Dades de partida'!$D$10</f>
        <v>3.3333175000000002</v>
      </c>
      <c r="M65" s="956">
        <f>IFERROR(VLOOKUP(B65,'cultius resum'!$T$6:$AU$308,28,FALSE)/1000000,0)</f>
        <v>1.9703621487439507</v>
      </c>
      <c r="N65" s="955">
        <f>M65*'A. Dades de partida'!$D$10+(((I65-M65)*'A. Dades de partida'!$D$10)/2)</f>
        <v>15.498921981222816</v>
      </c>
      <c r="O65" s="955">
        <f t="shared" si="3"/>
        <v>13.528559832478866</v>
      </c>
      <c r="P65" s="916">
        <f>J65*'A. Dades de partida'!$D$10</f>
        <v>2.8260179999999999</v>
      </c>
      <c r="Q65" s="916">
        <f>J65+J65*'4. Agricultura PIB'!$D$71</f>
        <v>0.24379115279999999</v>
      </c>
      <c r="R65" s="916">
        <f>(((J65-Q65)*'A. Dades de partida'!$D$10)/2)+('A. Dades de partida'!$D$10*Q65)</f>
        <v>3.2414426459999999</v>
      </c>
      <c r="S65" s="916">
        <f t="shared" si="4"/>
        <v>0.41542464599999995</v>
      </c>
    </row>
    <row r="66" spans="1:19">
      <c r="A66" s="835">
        <v>8063</v>
      </c>
      <c r="B66" s="826" t="s">
        <v>1008</v>
      </c>
      <c r="C66" s="319" t="str">
        <f t="shared" si="0"/>
        <v>Anoia</v>
      </c>
      <c r="D66" s="908">
        <f>IFERROR(IF(VLOOKUP(B66,'BD ASVICC'!$A$6:$GN$316,193,FALSE)&gt;0,VLOOKUP(B66,'BD ASVICC'!$A$6:$GN$316,193,FALSE),(VLOOKUP(C66,'BD Comarcal'!$A$6:$AB$17,9,)/VLOOKUP(C66,'BD Comarcal'!$A$6:$AB$17,13,))),"")</f>
        <v>1.049736419894568E-2</v>
      </c>
      <c r="E66" s="910">
        <f>IFERROR(IF(VLOOKUP(B66,'BD ASVICC'!$A$6:$GN$316,192,FALSE)&gt;0,VLOOKUP(B66,'BD ASVICC'!$A$6:$GN$316,192,FALSE),(VLOOKUP(C66,'BD Comarcal'!$A$6:$AB$17,14,)*F66)),"")</f>
        <v>11.538608047385621</v>
      </c>
      <c r="F66" s="904">
        <f t="shared" si="5"/>
        <v>4.8764297385620915E-3</v>
      </c>
      <c r="G66" s="910">
        <f t="shared" si="2"/>
        <v>0.12112497102229233</v>
      </c>
      <c r="H66" s="910">
        <f>IFERROR(VLOOKUP(B66, base,19,FALSE)*'4. Agricultura PIB'!$K$11/1000000,G66*'4. Agricultura PIB'!$F$54)</f>
        <v>1.5205474687531383E-2</v>
      </c>
      <c r="I66" s="910">
        <f>G66*'4. Agricultura PIB'!$F$45</f>
        <v>3.9862227963436407E-2</v>
      </c>
      <c r="J66" s="952">
        <f>IFERROR((VLOOKUP(B66,base,19,FALSE)*'tecnicecon agric'!$D$65)/1000000,H66/3)</f>
        <v>6.4895999999999999E-3</v>
      </c>
      <c r="K66" s="952">
        <f>IFERROR(VLOOKUP(B66,'cultius resum'!$T$6:$AU$306,22,FALSE)/1000000,0)</f>
        <v>0.13363020833333331</v>
      </c>
      <c r="L66" s="915">
        <f>K66*'A. Dades de partida'!$D$10</f>
        <v>2.0044531249999995</v>
      </c>
      <c r="M66" s="956">
        <f>IFERROR(VLOOKUP(B66,'cultius resum'!$T$6:$AU$308,28,FALSE)/1000000,0)</f>
        <v>1.1889606990023209</v>
      </c>
      <c r="N66" s="955">
        <f>M66*'A. Dades de partida'!$D$10+(((I66-M66)*'A. Dades de partida'!$D$10)/2)</f>
        <v>9.2161719522431778</v>
      </c>
      <c r="O66" s="955">
        <f t="shared" si="3"/>
        <v>8.027211253240857</v>
      </c>
      <c r="P66" s="916">
        <f>J66*'A. Dades de partida'!$D$10</f>
        <v>9.7344E-2</v>
      </c>
      <c r="Q66" s="916">
        <f>J66+J66*'4. Agricultura PIB'!$D$71</f>
        <v>8.3975423999999993E-3</v>
      </c>
      <c r="R66" s="916">
        <f>(((J66-Q66)*'A. Dades de partida'!$D$10)/2)+('A. Dades de partida'!$D$10*Q66)</f>
        <v>0.11165356799999998</v>
      </c>
      <c r="S66" s="916">
        <f t="shared" si="4"/>
        <v>1.4309567999999981E-2</v>
      </c>
    </row>
    <row r="67" spans="1:19">
      <c r="A67" s="835">
        <v>8064</v>
      </c>
      <c r="B67" s="826" t="s">
        <v>1012</v>
      </c>
      <c r="C67" s="319" t="str">
        <f t="shared" si="0"/>
        <v>Moianès</v>
      </c>
      <c r="D67" s="908">
        <f>IFERROR(IF(VLOOKUP(B67,'BD ASVICC'!$A$6:$GN$316,193,FALSE)&gt;0,VLOOKUP(B67,'BD ASVICC'!$A$6:$GN$316,193,FALSE),(VLOOKUP(C67,'BD Comarcal'!$A$6:$AB$17,9,)/VLOOKUP(C67,'BD Comarcal'!$A$6:$AB$17,13,))),"")</f>
        <v>2.4061990212071782E-2</v>
      </c>
      <c r="E67" s="910">
        <f>IFERROR(IF(VLOOKUP(B67,'BD ASVICC'!$A$6:$GN$316,192,FALSE)&gt;0,VLOOKUP(B67,'BD ASVICC'!$A$6:$GN$316,192,FALSE),(VLOOKUP(C67,'BD Comarcal'!$A$6:$AB$17,14,)*F67)),"")</f>
        <v>47.326133696721925</v>
      </c>
      <c r="F67" s="904">
        <f t="shared" si="5"/>
        <v>0.1779847073964721</v>
      </c>
      <c r="G67" s="910">
        <f t="shared" si="2"/>
        <v>1.1387609657857236</v>
      </c>
      <c r="H67" s="910">
        <f>IFERROR(VLOOKUP(B67, base,19,FALSE)*'4. Agricultura PIB'!$K$11/1000000,G67*'4. Agricultura PIB'!$F$54)</f>
        <v>0.88714441380065912</v>
      </c>
      <c r="I67" s="910">
        <f>G67*'4. Agricultura PIB'!$F$45</f>
        <v>0.37476623384008162</v>
      </c>
      <c r="J67" s="952">
        <f>IFERROR((VLOOKUP(B67,base,19,FALSE)*'tecnicecon agric'!$D$65)/1000000,H67/3)</f>
        <v>0.37862759999999995</v>
      </c>
      <c r="K67" s="952">
        <f>IFERROR(VLOOKUP(B67,'cultius resum'!$T$6:$AU$306,22,FALSE)/1000000,0)</f>
        <v>0.13945729166666665</v>
      </c>
      <c r="L67" s="915">
        <f>K67*'A. Dades de partida'!$D$10</f>
        <v>2.0918593749999999</v>
      </c>
      <c r="M67" s="956">
        <f>IFERROR(VLOOKUP(B67,'cultius resum'!$T$6:$AU$308,28,FALSE)/1000000,0)</f>
        <v>1.28132811275368</v>
      </c>
      <c r="N67" s="955">
        <f>M67*'A. Dades de partida'!$D$10+(((I67-M67)*'A. Dades de partida'!$D$10)/2)</f>
        <v>12.420707599453213</v>
      </c>
      <c r="O67" s="955">
        <f t="shared" si="3"/>
        <v>11.139379486699532</v>
      </c>
      <c r="P67" s="916">
        <f>J67*'A. Dades de partida'!$D$10</f>
        <v>5.6794139999999995</v>
      </c>
      <c r="Q67" s="916">
        <f>J67+J67*'4. Agricultura PIB'!$D$71</f>
        <v>0.48994411439999996</v>
      </c>
      <c r="R67" s="916">
        <f>(((J67-Q67)*'A. Dades de partida'!$D$10)/2)+('A. Dades de partida'!$D$10*Q67)</f>
        <v>6.5142878579999994</v>
      </c>
      <c r="S67" s="916">
        <f t="shared" si="4"/>
        <v>0.83487385799999991</v>
      </c>
    </row>
    <row r="68" spans="1:19">
      <c r="A68" s="835">
        <v>8065</v>
      </c>
      <c r="B68" s="826" t="s">
        <v>1014</v>
      </c>
      <c r="C68" s="319" t="str">
        <f t="shared" ref="C68:C131" si="6">VLOOKUP(B68,base,201,FALSE)</f>
        <v>Alt Penedès</v>
      </c>
      <c r="D68" s="908">
        <f>IFERROR(IF(VLOOKUP(B68,'BD ASVICC'!$A$6:$GN$316,193,FALSE)&gt;0,VLOOKUP(B68,'BD ASVICC'!$A$6:$GN$316,193,FALSE),(VLOOKUP(C68,'BD Comarcal'!$A$6:$AB$17,9,)/VLOOKUP(C68,'BD Comarcal'!$A$6:$AB$17,13,))),"")</f>
        <v>1.0966842723004694E-2</v>
      </c>
      <c r="E68" s="910">
        <f>IFERROR(IF(VLOOKUP(B68,'BD ASVICC'!$A$6:$GN$316,192,FALSE)&gt;0,VLOOKUP(B68,'BD ASVICC'!$A$6:$GN$316,192,FALSE),(VLOOKUP(C68,'BD Comarcal'!$A$6:$AB$17,14,)*F68)),"")</f>
        <v>42.991051517290046</v>
      </c>
      <c r="F68" s="904">
        <f t="shared" ref="F68:F84" si="7">VLOOKUP(B68,base,24,FALSE)/VLOOKUP(C68,basec,26,FALSE)</f>
        <v>1.4537755822159493E-2</v>
      </c>
      <c r="G68" s="910">
        <f t="shared" si="2"/>
        <v>0.47147610048671224</v>
      </c>
      <c r="H68" s="910">
        <f>IFERROR(VLOOKUP(B68, base,19,FALSE)*'4. Agricultura PIB'!$K$11/1000000,G68*'4. Agricultura PIB'!$F$54)</f>
        <v>1.615106514466224</v>
      </c>
      <c r="I68" s="910">
        <f>G68*'4. Agricultura PIB'!$F$45</f>
        <v>0.155162784670177</v>
      </c>
      <c r="J68" s="952">
        <f>IFERROR((VLOOKUP(B68,base,19,FALSE)*'tecnicecon agric'!$D$65)/1000000,H68/3)</f>
        <v>0.68931719999999996</v>
      </c>
      <c r="K68" s="952">
        <f>IFERROR(VLOOKUP(B68,'cultius resum'!$T$6:$AU$306,22,FALSE)/1000000,0)</f>
        <v>4.72985E-2</v>
      </c>
      <c r="L68" s="915">
        <f>K68*'A. Dades de partida'!$D$10</f>
        <v>0.70947749999999998</v>
      </c>
      <c r="M68" s="956">
        <f>IFERROR(VLOOKUP(B68,'cultius resum'!$T$6:$AU$308,28,FALSE)/1000000,0)</f>
        <v>0.44111875564357245</v>
      </c>
      <c r="N68" s="955">
        <f>M68*'A. Dades de partida'!$D$10+(((I68-M68)*'A. Dades de partida'!$D$10)/2)</f>
        <v>4.4721115523531214</v>
      </c>
      <c r="O68" s="955">
        <f t="shared" si="3"/>
        <v>4.0309927967095494</v>
      </c>
      <c r="P68" s="916">
        <f>J68*'A. Dades de partida'!$D$10</f>
        <v>10.339758</v>
      </c>
      <c r="Q68" s="916">
        <f>J68+J68*'4. Agricultura PIB'!$D$71</f>
        <v>0.89197645679999993</v>
      </c>
      <c r="R68" s="916">
        <f>(((J68-Q68)*'A. Dades de partida'!$D$10)/2)+('A. Dades de partida'!$D$10*Q68)</f>
        <v>11.859702425999998</v>
      </c>
      <c r="S68" s="916">
        <f t="shared" si="4"/>
        <v>1.5199444259999986</v>
      </c>
    </row>
    <row r="69" spans="1:19">
      <c r="A69" s="835">
        <v>8066</v>
      </c>
      <c r="B69" s="826" t="s">
        <v>1021</v>
      </c>
      <c r="C69" s="319" t="str">
        <f t="shared" si="6"/>
        <v>Baix Llobregat</v>
      </c>
      <c r="D69" s="908">
        <f>IFERROR(IF(VLOOKUP(B69,'BD ASVICC'!$A$6:$GN$316,193,FALSE)&gt;0,VLOOKUP(B69,'BD ASVICC'!$A$6:$GN$316,193,FALSE),(VLOOKUP(C69,'BD Comarcal'!$A$6:$AB$17,9,)/VLOOKUP(C69,'BD Comarcal'!$A$6:$AB$17,13,))),"")</f>
        <v>7.8252861716696001E-4</v>
      </c>
      <c r="E69" s="910">
        <f>IFERROR(IF(VLOOKUP(B69,'BD ASVICC'!$A$6:$GN$316,192,FALSE)&gt;0,VLOOKUP(B69,'BD ASVICC'!$A$6:$GN$316,192,FALSE),(VLOOKUP(C69,'BD Comarcal'!$A$6:$AB$17,14,)*F69)),"")</f>
        <v>50.719107945221715</v>
      </c>
      <c r="F69" s="904">
        <f t="shared" si="7"/>
        <v>2.2311864800224229E-3</v>
      </c>
      <c r="G69" s="910">
        <f t="shared" ref="G69:G132" si="8">D69*E69</f>
        <v>3.968915340431612E-2</v>
      </c>
      <c r="H69" s="910">
        <f>IFERROR(VLOOKUP(B69, base,19,FALSE)*'4. Agricultura PIB'!$K$11/1000000,G69*'4. Agricultura PIB'!$F$54)</f>
        <v>6.1772240918096244E-3</v>
      </c>
      <c r="I69" s="910">
        <f>G69*'4. Agricultura PIB'!$F$45</f>
        <v>1.3061700385360435E-2</v>
      </c>
      <c r="J69" s="952">
        <f>IFERROR((VLOOKUP(B69,base,19,FALSE)*'tecnicecon agric'!$D$65)/1000000,H69/3)</f>
        <v>2.6363999999999997E-3</v>
      </c>
      <c r="K69" s="952">
        <f>IFERROR(VLOOKUP(B69,'cultius resum'!$T$6:$AU$306,22,FALSE)/1000000,0)</f>
        <v>3.5062916666666667E-3</v>
      </c>
      <c r="L69" s="915">
        <f>K69*'A. Dades de partida'!$D$10</f>
        <v>5.2594374999999999E-2</v>
      </c>
      <c r="M69" s="956">
        <f>IFERROR(VLOOKUP(B69,'cultius resum'!$T$6:$AU$308,28,FALSE)/1000000,0)</f>
        <v>3.7557516684652306E-2</v>
      </c>
      <c r="N69" s="955">
        <f>M69*'A. Dades de partida'!$D$10+(((I69-M69)*'A. Dades de partida'!$D$10)/2)</f>
        <v>0.37964412802509551</v>
      </c>
      <c r="O69" s="955">
        <f t="shared" ref="O69:O132" si="9">N69-M69</f>
        <v>0.34208661134044321</v>
      </c>
      <c r="P69" s="916">
        <f>J69*'A. Dades de partida'!$D$10</f>
        <v>3.9545999999999998E-2</v>
      </c>
      <c r="Q69" s="916">
        <f>J69+J69*'4. Agricultura PIB'!$D$71</f>
        <v>3.4115015999999993E-3</v>
      </c>
      <c r="R69" s="916">
        <f>(((J69-Q69)*'A. Dades de partida'!$D$10)/2)+('A. Dades de partida'!$D$10*Q69)</f>
        <v>4.535926199999999E-2</v>
      </c>
      <c r="S69" s="916">
        <f t="shared" ref="S69:S132" si="10">R69-P69</f>
        <v>5.8132619999999927E-3</v>
      </c>
    </row>
    <row r="70" spans="1:19">
      <c r="A70" s="835">
        <v>8067</v>
      </c>
      <c r="B70" s="826" t="s">
        <v>1025</v>
      </c>
      <c r="C70" s="319" t="str">
        <f t="shared" si="6"/>
        <v>Osona</v>
      </c>
      <c r="D70" s="908">
        <f>IFERROR(IF(VLOOKUP(B70,'BD ASVICC'!$A$6:$GN$316,193,FALSE)&gt;0,VLOOKUP(B70,'BD ASVICC'!$A$6:$GN$316,193,FALSE),(VLOOKUP(C70,'BD Comarcal'!$A$6:$AB$17,9,)/VLOOKUP(C70,'BD Comarcal'!$A$6:$AB$17,13,))),"")</f>
        <v>6.0000000000000001E-3</v>
      </c>
      <c r="E70" s="910">
        <f>IFERROR(IF(VLOOKUP(B70,'BD ASVICC'!$A$6:$GN$316,192,FALSE)&gt;0,VLOOKUP(B70,'BD ASVICC'!$A$6:$GN$316,192,FALSE),(VLOOKUP(C70,'BD Comarcal'!$A$6:$AB$17,14,)*F70)),"")</f>
        <v>175</v>
      </c>
      <c r="F70" s="904">
        <f t="shared" si="7"/>
        <v>4.7609563032876938E-2</v>
      </c>
      <c r="G70" s="910">
        <f t="shared" si="8"/>
        <v>1.05</v>
      </c>
      <c r="H70" s="910">
        <f>IFERROR(VLOOKUP(B70, base,19,FALSE)*'4. Agricultura PIB'!$K$11/1000000,G70*'4. Agricultura PIB'!$F$54)</f>
        <v>0.73936620668121344</v>
      </c>
      <c r="I70" s="910">
        <f>G70*'4. Agricultura PIB'!$F$45</f>
        <v>0.345555</v>
      </c>
      <c r="J70" s="952">
        <f>IFERROR((VLOOKUP(B70,base,19,FALSE)*'tecnicecon agric'!$D$65)/1000000,H70/3)</f>
        <v>0.31555679999999997</v>
      </c>
      <c r="K70" s="952">
        <f>IFERROR(VLOOKUP(B70,'cultius resum'!$T$6:$AU$306,22,FALSE)/1000000,0)</f>
        <v>0.18098458333333331</v>
      </c>
      <c r="L70" s="915">
        <f>K70*'A. Dades de partida'!$D$10</f>
        <v>2.7147687499999997</v>
      </c>
      <c r="M70" s="956">
        <f>IFERROR(VLOOKUP(B70,'cultius resum'!$T$6:$AU$308,28,FALSE)/1000000,0)</f>
        <v>1.5960473210723978</v>
      </c>
      <c r="N70" s="955">
        <f>M70*'A. Dades de partida'!$D$10+(((I70-M70)*'A. Dades de partida'!$D$10)/2)</f>
        <v>14.562017408042983</v>
      </c>
      <c r="O70" s="955">
        <f t="shared" si="9"/>
        <v>12.965970086970586</v>
      </c>
      <c r="P70" s="916">
        <f>J70*'A. Dades de partida'!$D$10</f>
        <v>4.733352</v>
      </c>
      <c r="Q70" s="916">
        <f>J70+J70*'4. Agricultura PIB'!$D$71</f>
        <v>0.40833049919999997</v>
      </c>
      <c r="R70" s="916">
        <f>(((J70-Q70)*'A. Dades de partida'!$D$10)/2)+('A. Dades de partida'!$D$10*Q70)</f>
        <v>5.4291547439999999</v>
      </c>
      <c r="S70" s="916">
        <f t="shared" si="10"/>
        <v>0.69580274399999986</v>
      </c>
    </row>
    <row r="71" spans="1:19">
      <c r="A71" s="835">
        <v>8068</v>
      </c>
      <c r="B71" s="826" t="s">
        <v>1027</v>
      </c>
      <c r="C71" s="319" t="str">
        <f t="shared" si="6"/>
        <v>Baix Llobregat</v>
      </c>
      <c r="D71" s="908">
        <f>IFERROR(IF(VLOOKUP(B71,'BD ASVICC'!$A$6:$GN$316,193,FALSE)&gt;0,VLOOKUP(B71,'BD ASVICC'!$A$6:$GN$316,193,FALSE),(VLOOKUP(C71,'BD Comarcal'!$A$6:$AB$17,9,)/VLOOKUP(C71,'BD Comarcal'!$A$6:$AB$17,13,))),"")</f>
        <v>1E-3</v>
      </c>
      <c r="E71" s="910">
        <f>IFERROR(IF(VLOOKUP(B71,'BD ASVICC'!$A$6:$GN$316,192,FALSE)&gt;0,VLOOKUP(B71,'BD ASVICC'!$A$6:$GN$316,192,FALSE),(VLOOKUP(C71,'BD Comarcal'!$A$6:$AB$17,14,)*F71)),"")</f>
        <v>192</v>
      </c>
      <c r="F71" s="904">
        <f t="shared" si="7"/>
        <v>1.0941086552008129E-2</v>
      </c>
      <c r="G71" s="910">
        <f t="shared" si="8"/>
        <v>0.192</v>
      </c>
      <c r="H71" s="910">
        <f>IFERROR(VLOOKUP(B71, base,19,FALSE)*'4. Agricultura PIB'!$K$11/1000000,G71*'4. Agricultura PIB'!$F$54)</f>
        <v>4.7517108398535571E-4</v>
      </c>
      <c r="I71" s="910">
        <f>G71*'4. Agricultura PIB'!$F$45</f>
        <v>6.3187199999999999E-2</v>
      </c>
      <c r="J71" s="952">
        <f>IFERROR((VLOOKUP(B71,base,19,FALSE)*'tecnicecon agric'!$D$65)/1000000,H71/3)</f>
        <v>2.028E-4</v>
      </c>
      <c r="K71" s="952">
        <f>IFERROR(VLOOKUP(B71,'cultius resum'!$T$6:$AU$306,22,FALSE)/1000000,0)</f>
        <v>2.25925E-3</v>
      </c>
      <c r="L71" s="915">
        <f>K71*'A. Dades de partida'!$D$10</f>
        <v>3.3888750000000002E-2</v>
      </c>
      <c r="M71" s="956">
        <f>IFERROR(VLOOKUP(B71,'cultius resum'!$T$6:$AU$308,28,FALSE)/1000000,0)</f>
        <v>3.3559506382881299E-2</v>
      </c>
      <c r="N71" s="955">
        <f>M71*'A. Dades de partida'!$D$10+(((I71-M71)*'A. Dades de partida'!$D$10)/2)</f>
        <v>0.72560029787160973</v>
      </c>
      <c r="O71" s="955">
        <f t="shared" si="9"/>
        <v>0.69204079148872844</v>
      </c>
      <c r="P71" s="916">
        <f>J71*'A. Dades de partida'!$D$10</f>
        <v>3.042E-3</v>
      </c>
      <c r="Q71" s="916">
        <f>J71+J71*'4. Agricultura PIB'!$D$71</f>
        <v>2.6242319999999998E-4</v>
      </c>
      <c r="R71" s="916">
        <f>(((J71-Q71)*'A. Dades de partida'!$D$10)/2)+('A. Dades de partida'!$D$10*Q71)</f>
        <v>3.4891739999999994E-3</v>
      </c>
      <c r="S71" s="916">
        <f t="shared" si="10"/>
        <v>4.471739999999994E-4</v>
      </c>
    </row>
    <row r="72" spans="1:19">
      <c r="A72" s="835">
        <v>8069</v>
      </c>
      <c r="B72" s="826" t="s">
        <v>1030</v>
      </c>
      <c r="C72" s="319" t="str">
        <f t="shared" si="6"/>
        <v>Baix Llobregat</v>
      </c>
      <c r="D72" s="908">
        <f>IFERROR(IF(VLOOKUP(B72,'BD ASVICC'!$A$6:$GN$316,193,FALSE)&gt;0,VLOOKUP(B72,'BD ASVICC'!$A$6:$GN$316,193,FALSE),(VLOOKUP(C72,'BD Comarcal'!$A$6:$AB$17,9,)/VLOOKUP(C72,'BD Comarcal'!$A$6:$AB$17,13,))),"")</f>
        <v>7.8252861716696001E-4</v>
      </c>
      <c r="E72" s="910">
        <f>IFERROR(IF(VLOOKUP(B72,'BD ASVICC'!$A$6:$GN$316,192,FALSE)&gt;0,VLOOKUP(B72,'BD ASVICC'!$A$6:$GN$316,192,FALSE),(VLOOKUP(C72,'BD Comarcal'!$A$6:$AB$17,14,)*F72)),"")</f>
        <v>123.3874922674016</v>
      </c>
      <c r="F72" s="904">
        <f t="shared" si="7"/>
        <v>5.4279445302593092E-3</v>
      </c>
      <c r="G72" s="910">
        <f t="shared" si="8"/>
        <v>9.6554243699708747E-2</v>
      </c>
      <c r="H72" s="910">
        <f>IFERROR(VLOOKUP(B72, base,19,FALSE)*'4. Agricultura PIB'!$K$11/1000000,G72*'4. Agricultura PIB'!$F$54)</f>
        <v>0</v>
      </c>
      <c r="I72" s="910">
        <f>G72*'4. Agricultura PIB'!$F$45</f>
        <v>3.177600160157415E-2</v>
      </c>
      <c r="J72" s="952">
        <f>IFERROR((VLOOKUP(B72,base,19,FALSE)*'tecnicecon agric'!$D$65)/1000000,H72/3)</f>
        <v>0</v>
      </c>
      <c r="K72" s="952">
        <f>IFERROR(VLOOKUP(B72,'cultius resum'!$T$6:$AU$306,22,FALSE)/1000000,0)</f>
        <v>2.2698583333333331E-2</v>
      </c>
      <c r="L72" s="915">
        <f>K72*'A. Dades de partida'!$D$10</f>
        <v>0.34047874999999994</v>
      </c>
      <c r="M72" s="956">
        <f>IFERROR(VLOOKUP(B72,'cultius resum'!$T$6:$AU$308,28,FALSE)/1000000,0)</f>
        <v>0.21224827242450153</v>
      </c>
      <c r="N72" s="955">
        <f>M72*'A. Dades de partida'!$D$10+(((I72-M72)*'A. Dades de partida'!$D$10)/2)</f>
        <v>1.8301820551955679</v>
      </c>
      <c r="O72" s="955">
        <f t="shared" si="9"/>
        <v>1.6179337827710663</v>
      </c>
      <c r="P72" s="916">
        <f>J72*'A. Dades de partida'!$D$10</f>
        <v>0</v>
      </c>
      <c r="Q72" s="916">
        <f>J72+J72*'4. Agricultura PIB'!$D$71</f>
        <v>0</v>
      </c>
      <c r="R72" s="916">
        <f>(((J72-Q72)*'A. Dades de partida'!$D$10)/2)+('A. Dades de partida'!$D$10*Q72)</f>
        <v>0</v>
      </c>
      <c r="S72" s="916">
        <f t="shared" si="10"/>
        <v>0</v>
      </c>
    </row>
    <row r="73" spans="1:19">
      <c r="A73" s="835">
        <v>8070</v>
      </c>
      <c r="B73" s="826" t="s">
        <v>1034</v>
      </c>
      <c r="C73" s="319" t="str">
        <f t="shared" si="6"/>
        <v>Moianès</v>
      </c>
      <c r="D73" s="908">
        <f>IFERROR(IF(VLOOKUP(B73,'BD ASVICC'!$A$6:$GN$316,193,FALSE)&gt;0,VLOOKUP(B73,'BD ASVICC'!$A$6:$GN$316,193,FALSE),(VLOOKUP(C73,'BD Comarcal'!$A$6:$AB$17,9,)/VLOOKUP(C73,'BD Comarcal'!$A$6:$AB$17,13,))),"")</f>
        <v>2.4061990212071782E-2</v>
      </c>
      <c r="E73" s="910">
        <f>IFERROR(IF(VLOOKUP(B73,'BD ASVICC'!$A$6:$GN$316,192,FALSE)&gt;0,VLOOKUP(B73,'BD ASVICC'!$A$6:$GN$316,192,FALSE),(VLOOKUP(C73,'BD Comarcal'!$A$6:$AB$17,14,)*F73)),"")</f>
        <v>7.0254447725035956</v>
      </c>
      <c r="F73" s="904">
        <f t="shared" si="7"/>
        <v>2.6421379362555834E-2</v>
      </c>
      <c r="G73" s="910">
        <f t="shared" si="8"/>
        <v>0.16904618335143237</v>
      </c>
      <c r="H73" s="910">
        <f>IFERROR(VLOOKUP(B73, base,19,FALSE)*'4. Agricultura PIB'!$K$11/1000000,G73*'4. Agricultura PIB'!$F$54)</f>
        <v>1.5823197096712345</v>
      </c>
      <c r="I73" s="910">
        <f>G73*'4. Agricultura PIB'!$F$45</f>
        <v>5.5633098940956395E-2</v>
      </c>
      <c r="J73" s="952">
        <f>IFERROR((VLOOKUP(B73,base,19,FALSE)*'tecnicecon agric'!$D$65)/1000000,H73/3)</f>
        <v>0.67532400000000004</v>
      </c>
      <c r="K73" s="952">
        <f>IFERROR(VLOOKUP(B73,'cultius resum'!$T$6:$AU$306,22,FALSE)/1000000,0)</f>
        <v>0.17824999999999999</v>
      </c>
      <c r="L73" s="915">
        <f>K73*'A. Dades de partida'!$D$10</f>
        <v>2.6737500000000001</v>
      </c>
      <c r="M73" s="956">
        <f>IFERROR(VLOOKUP(B73,'cultius resum'!$T$6:$AU$308,28,FALSE)/1000000,0)</f>
        <v>1.5583322619908746</v>
      </c>
      <c r="N73" s="955">
        <f>M73*'A. Dades de partida'!$D$10+(((I73-M73)*'A. Dades de partida'!$D$10)/2)</f>
        <v>12.104740206988733</v>
      </c>
      <c r="O73" s="955">
        <f t="shared" si="9"/>
        <v>10.546407944997858</v>
      </c>
      <c r="P73" s="916">
        <f>J73*'A. Dades de partida'!$D$10</f>
        <v>10.129860000000001</v>
      </c>
      <c r="Q73" s="916">
        <f>J73+J73*'4. Agricultura PIB'!$D$71</f>
        <v>0.87386925600000009</v>
      </c>
      <c r="R73" s="916">
        <f>(((J73-Q73)*'A. Dades de partida'!$D$10)/2)+('A. Dades de partida'!$D$10*Q73)</f>
        <v>11.61894942</v>
      </c>
      <c r="S73" s="916">
        <f t="shared" si="10"/>
        <v>1.4890894199999991</v>
      </c>
    </row>
    <row r="74" spans="1:19">
      <c r="A74" s="835">
        <v>8071</v>
      </c>
      <c r="B74" s="826" t="s">
        <v>1037</v>
      </c>
      <c r="C74" s="319" t="str">
        <f t="shared" si="6"/>
        <v>Anoia</v>
      </c>
      <c r="D74" s="908">
        <f>IFERROR(IF(VLOOKUP(B74,'BD ASVICC'!$A$6:$GN$316,193,FALSE)&gt;0,VLOOKUP(B74,'BD ASVICC'!$A$6:$GN$316,193,FALSE),(VLOOKUP(C74,'BD Comarcal'!$A$6:$AB$17,9,)/VLOOKUP(C74,'BD Comarcal'!$A$6:$AB$17,13,))),"")</f>
        <v>1.049736419894568E-2</v>
      </c>
      <c r="E74" s="910">
        <f>IFERROR(IF(VLOOKUP(B74,'BD ASVICC'!$A$6:$GN$316,192,FALSE)&gt;0,VLOOKUP(B74,'BD ASVICC'!$A$6:$GN$316,192,FALSE),(VLOOKUP(C74,'BD Comarcal'!$A$6:$AB$17,14,)*F74)),"")</f>
        <v>6.0411560457516336</v>
      </c>
      <c r="F74" s="904">
        <f t="shared" si="7"/>
        <v>2.5531045751633987E-3</v>
      </c>
      <c r="G74" s="910">
        <f t="shared" si="8"/>
        <v>6.3416215194917441E-2</v>
      </c>
      <c r="H74" s="910">
        <f>IFERROR(VLOOKUP(B74, base,19,FALSE)*'4. Agricultura PIB'!$K$11/1000000,G74*'4. Agricultura PIB'!$F$54)</f>
        <v>0.15775679988313809</v>
      </c>
      <c r="I74" s="910">
        <f>G74*'4. Agricultura PIB'!$F$45</f>
        <v>2.087027642064733E-2</v>
      </c>
      <c r="J74" s="952">
        <f>IFERROR((VLOOKUP(B74,base,19,FALSE)*'tecnicecon agric'!$D$65)/1000000,H74/3)</f>
        <v>6.7329599999999989E-2</v>
      </c>
      <c r="K74" s="952">
        <f>IFERROR(VLOOKUP(B74,'cultius resum'!$T$6:$AU$306,22,FALSE)/1000000,0)</f>
        <v>0.21835695833333332</v>
      </c>
      <c r="L74" s="915">
        <f>K74*'A. Dades de partida'!$D$10</f>
        <v>3.275354375</v>
      </c>
      <c r="M74" s="956">
        <f>IFERROR(VLOOKUP(B74,'cultius resum'!$T$6:$AU$308,28,FALSE)/1000000,0)</f>
        <v>1.9158673364709862</v>
      </c>
      <c r="N74" s="955">
        <f>M74*'A. Dades de partida'!$D$10+(((I74-M74)*'A. Dades de partida'!$D$10)/2)</f>
        <v>14.525532096687254</v>
      </c>
      <c r="O74" s="955">
        <f t="shared" si="9"/>
        <v>12.609664760216267</v>
      </c>
      <c r="P74" s="916">
        <f>J74*'A. Dades de partida'!$D$10</f>
        <v>1.009944</v>
      </c>
      <c r="Q74" s="916">
        <f>J74+J74*'4. Agricultura PIB'!$D$71</f>
        <v>8.7124502399999984E-2</v>
      </c>
      <c r="R74" s="916">
        <f>(((J74-Q74)*'A. Dades de partida'!$D$10)/2)+('A. Dades de partida'!$D$10*Q74)</f>
        <v>1.1584057679999997</v>
      </c>
      <c r="S74" s="916">
        <f t="shared" si="10"/>
        <v>0.14846176799999977</v>
      </c>
    </row>
    <row r="75" spans="1:19">
      <c r="A75" s="835">
        <v>8072</v>
      </c>
      <c r="B75" s="826" t="s">
        <v>1043</v>
      </c>
      <c r="C75" s="319" t="str">
        <f t="shared" si="6"/>
        <v>Baix Llobregat</v>
      </c>
      <c r="D75" s="908">
        <f>IFERROR(IF(VLOOKUP(B75,'BD ASVICC'!$A$6:$GN$316,193,FALSE)&gt;0,VLOOKUP(B75,'BD ASVICC'!$A$6:$GN$316,193,FALSE),(VLOOKUP(C75,'BD Comarcal'!$A$6:$AB$17,9,)/VLOOKUP(C75,'BD Comarcal'!$A$6:$AB$17,13,))),"")</f>
        <v>7.8252861716696001E-4</v>
      </c>
      <c r="E75" s="910">
        <f>IFERROR(IF(VLOOKUP(B75,'BD ASVICC'!$A$6:$GN$316,192,FALSE)&gt;0,VLOOKUP(B75,'BD ASVICC'!$A$6:$GN$316,192,FALSE),(VLOOKUP(C75,'BD Comarcal'!$A$6:$AB$17,14,)*F75)),"")</f>
        <v>187</v>
      </c>
      <c r="F75" s="904">
        <f t="shared" si="7"/>
        <v>1.7493884919179685E-2</v>
      </c>
      <c r="G75" s="910">
        <f t="shared" si="8"/>
        <v>0.14633285141022151</v>
      </c>
      <c r="H75" s="910">
        <f>IFERROR(VLOOKUP(B75, base,19,FALSE)*'4. Agricultura PIB'!$K$11/1000000,G75*'4. Agricultura PIB'!$F$54)</f>
        <v>9.5248052982913181E-2</v>
      </c>
      <c r="I75" s="910">
        <f>G75*'4. Agricultura PIB'!$F$45</f>
        <v>4.8158141399103897E-2</v>
      </c>
      <c r="J75" s="952">
        <f>IFERROR((VLOOKUP(B75,base,19,FALSE)*'tecnicecon agric'!$D$65)/1000000,H75/3)</f>
        <v>3.1749350994304391E-2</v>
      </c>
      <c r="K75" s="952">
        <f>IFERROR(VLOOKUP(B75,'cultius resum'!$T$6:$AU$306,22,FALSE)/1000000,0)</f>
        <v>5.7039999999999999E-3</v>
      </c>
      <c r="L75" s="915">
        <f>K75*'A. Dades de partida'!$D$10</f>
        <v>8.5559999999999997E-2</v>
      </c>
      <c r="M75" s="956">
        <f>IFERROR(VLOOKUP(B75,'cultius resum'!$T$6:$AU$308,28,FALSE)/1000000,0)</f>
        <v>4.9866632383707983E-2</v>
      </c>
      <c r="N75" s="955">
        <f>M75*'A. Dades de partida'!$D$10+(((I75-M75)*'A. Dades de partida'!$D$10)/2)</f>
        <v>0.73518580337108907</v>
      </c>
      <c r="O75" s="955">
        <f t="shared" si="9"/>
        <v>0.68531917098738104</v>
      </c>
      <c r="P75" s="916">
        <f>J75*'A. Dades de partida'!$D$10</f>
        <v>0.47624026491456589</v>
      </c>
      <c r="Q75" s="916">
        <f>J75+J75*'4. Agricultura PIB'!$D$71</f>
        <v>4.1083660186629886E-2</v>
      </c>
      <c r="R75" s="916">
        <f>(((J75-Q75)*'A. Dades de partida'!$D$10)/2)+('A. Dades de partida'!$D$10*Q75)</f>
        <v>0.54624758385700711</v>
      </c>
      <c r="S75" s="916">
        <f t="shared" si="10"/>
        <v>7.0007318942441221E-2</v>
      </c>
    </row>
    <row r="76" spans="1:19">
      <c r="A76" s="835">
        <v>8073</v>
      </c>
      <c r="B76" s="826" t="s">
        <v>1046</v>
      </c>
      <c r="C76" s="319" t="str">
        <f t="shared" si="6"/>
        <v>Baix Llobregat</v>
      </c>
      <c r="D76" s="908">
        <f>IFERROR(IF(VLOOKUP(B76,'BD ASVICC'!$A$6:$GN$316,193,FALSE)&gt;0,VLOOKUP(B76,'BD ASVICC'!$A$6:$GN$316,193,FALSE),(VLOOKUP(C76,'BD Comarcal'!$A$6:$AB$17,9,)/VLOOKUP(C76,'BD Comarcal'!$A$6:$AB$17,13,))),"")</f>
        <v>7.8252861716696001E-4</v>
      </c>
      <c r="E76" s="910">
        <f>IFERROR(IF(VLOOKUP(B76,'BD ASVICC'!$A$6:$GN$316,192,FALSE)&gt;0,VLOOKUP(B76,'BD ASVICC'!$A$6:$GN$316,192,FALSE),(VLOOKUP(C76,'BD Comarcal'!$A$6:$AB$17,14,)*F76)),"")</f>
        <v>2628</v>
      </c>
      <c r="F76" s="904">
        <f t="shared" si="7"/>
        <v>0.10627707952877144</v>
      </c>
      <c r="G76" s="910">
        <f t="shared" si="8"/>
        <v>2.0564852059147709</v>
      </c>
      <c r="H76" s="910">
        <f>IFERROR(VLOOKUP(B76, base,19,FALSE)*'4. Agricultura PIB'!$K$11/1000000,G76*'4. Agricultura PIB'!$F$54)</f>
        <v>1.3385662205299245</v>
      </c>
      <c r="I76" s="910">
        <f>G76*'4. Agricultura PIB'!$F$45</f>
        <v>0.67678928126655113</v>
      </c>
      <c r="J76" s="952">
        <f>IFERROR((VLOOKUP(B76,base,19,FALSE)*'tecnicecon agric'!$D$65)/1000000,H76/3)</f>
        <v>0.44618874017664151</v>
      </c>
      <c r="K76" s="952">
        <f>IFERROR(VLOOKUP(B76,'cultius resum'!$T$6:$AU$306,22,FALSE)/1000000,0)</f>
        <v>1.4685125E-2</v>
      </c>
      <c r="L76" s="915">
        <f>K76*'A. Dades de partida'!$D$10</f>
        <v>0.22027687500000001</v>
      </c>
      <c r="M76" s="956">
        <f>IFERROR(VLOOKUP(B76,'cultius resum'!$T$6:$AU$308,28,FALSE)/1000000,0)</f>
        <v>0.2181367914887285</v>
      </c>
      <c r="N76" s="955">
        <f>M76*'A. Dades de partida'!$D$10+(((I76-M76)*'A. Dades de partida'!$D$10)/2)</f>
        <v>6.7119455456645971</v>
      </c>
      <c r="O76" s="955">
        <f t="shared" si="9"/>
        <v>6.4938087541758689</v>
      </c>
      <c r="P76" s="916">
        <f>J76*'A. Dades de partida'!$D$10</f>
        <v>6.692831102649623</v>
      </c>
      <c r="Q76" s="916">
        <f>J76+J76*'4. Agricultura PIB'!$D$71</f>
        <v>0.57736822978857405</v>
      </c>
      <c r="R76" s="916">
        <f>(((J76-Q76)*'A. Dades de partida'!$D$10)/2)+('A. Dades de partida'!$D$10*Q76)</f>
        <v>7.6766772747391165</v>
      </c>
      <c r="S76" s="916">
        <f t="shared" si="10"/>
        <v>0.98384617208949354</v>
      </c>
    </row>
    <row r="77" spans="1:19">
      <c r="A77" s="835">
        <v>8074</v>
      </c>
      <c r="B77" s="826" t="s">
        <v>341</v>
      </c>
      <c r="C77" s="319" t="str">
        <f t="shared" si="6"/>
        <v>Garraf</v>
      </c>
      <c r="D77" s="908">
        <f>IFERROR(IF(VLOOKUP(B77,'BD ASVICC'!$A$6:$GN$316,193,FALSE)&gt;0,VLOOKUP(B77,'BD ASVICC'!$A$6:$GN$316,193,FALSE),(VLOOKUP(C77,'BD Comarcal'!$A$6:$AB$17,9,)/VLOOKUP(C77,'BD Comarcal'!$A$6:$AB$17,13,))),"")</f>
        <v>2E-3</v>
      </c>
      <c r="E77" s="910">
        <f>IFERROR(IF(VLOOKUP(B77,'BD ASVICC'!$A$6:$GN$316,192,FALSE)&gt;0,VLOOKUP(B77,'BD ASVICC'!$A$6:$GN$316,192,FALSE),(VLOOKUP(C77,'BD Comarcal'!$A$6:$AB$17,14,)*F77)),"")</f>
        <v>190</v>
      </c>
      <c r="F77" s="904">
        <f t="shared" si="7"/>
        <v>9.9458046243089404E-2</v>
      </c>
      <c r="G77" s="910">
        <f t="shared" si="8"/>
        <v>0.38</v>
      </c>
      <c r="H77" s="910">
        <f>IFERROR(VLOOKUP(B77, base,19,FALSE)*'4. Agricultura PIB'!$K$11/1000000,G77*'4. Agricultura PIB'!$F$54)</f>
        <v>5.4834743091910054</v>
      </c>
      <c r="I77" s="910">
        <f>G77*'4. Agricultura PIB'!$F$45</f>
        <v>0.125058</v>
      </c>
      <c r="J77" s="952">
        <f>IFERROR((VLOOKUP(B77,base,19,FALSE)*'tecnicecon agric'!$D$65)/1000000,H77/3)</f>
        <v>2.3403119999999999</v>
      </c>
      <c r="K77" s="952">
        <f>IFERROR(VLOOKUP(B77,'cultius resum'!$T$6:$AU$306,22,FALSE)/1000000,0)</f>
        <v>2.8050333333333333E-2</v>
      </c>
      <c r="L77" s="915">
        <f>K77*'A. Dades de partida'!$D$10</f>
        <v>0.42075499999999999</v>
      </c>
      <c r="M77" s="956">
        <f>IFERROR(VLOOKUP(B77,'cultius resum'!$T$6:$AU$308,28,FALSE)/1000000,0)</f>
        <v>0.30046013347721845</v>
      </c>
      <c r="N77" s="955">
        <f>M77*'A. Dades de partida'!$D$10+(((I77-M77)*'A. Dades de partida'!$D$10)/2)</f>
        <v>3.1913860010791382</v>
      </c>
      <c r="O77" s="955">
        <f t="shared" si="9"/>
        <v>2.8909258676019198</v>
      </c>
      <c r="P77" s="916">
        <f>J77*'A. Dades de partida'!$D$10</f>
        <v>35.104680000000002</v>
      </c>
      <c r="Q77" s="916">
        <f>J77+J77*'4. Agricultura PIB'!$D$71</f>
        <v>3.028363728</v>
      </c>
      <c r="R77" s="916">
        <f>(((J77-Q77)*'A. Dades de partida'!$D$10)/2)+('A. Dades de partida'!$D$10*Q77)</f>
        <v>40.265067959999996</v>
      </c>
      <c r="S77" s="916">
        <f t="shared" si="10"/>
        <v>5.1603879599999942</v>
      </c>
    </row>
    <row r="78" spans="1:19">
      <c r="A78" s="835">
        <v>8075</v>
      </c>
      <c r="B78" s="826" t="s">
        <v>1050</v>
      </c>
      <c r="C78" s="319" t="str">
        <f t="shared" si="6"/>
        <v>Maresme</v>
      </c>
      <c r="D78" s="908">
        <f>IFERROR(IF(VLOOKUP(B78,'BD ASVICC'!$A$6:$GN$316,193,FALSE)&gt;0,VLOOKUP(B78,'BD ASVICC'!$A$6:$GN$316,193,FALSE),(VLOOKUP(C78,'BD Comarcal'!$A$6:$AB$17,9,)/VLOOKUP(C78,'BD Comarcal'!$A$6:$AB$17,13,))),"")</f>
        <v>1.7999999999999999E-2</v>
      </c>
      <c r="E78" s="910">
        <f>IFERROR(IF(VLOOKUP(B78,'BD ASVICC'!$A$6:$GN$316,192,FALSE)&gt;0,VLOOKUP(B78,'BD ASVICC'!$A$6:$GN$316,192,FALSE),(VLOOKUP(C78,'BD Comarcal'!$A$6:$AB$17,14,)*F78)),"")</f>
        <v>105</v>
      </c>
      <c r="F78" s="904">
        <f t="shared" si="7"/>
        <v>1.1673706979535906E-2</v>
      </c>
      <c r="G78" s="910">
        <f t="shared" si="8"/>
        <v>1.89</v>
      </c>
      <c r="H78" s="910">
        <f>IFERROR(VLOOKUP(B78, base,19,FALSE)*'4. Agricultura PIB'!$K$11/1000000,G78*'4. Agricultura PIB'!$F$54)</f>
        <v>1.2554020038893097</v>
      </c>
      <c r="I78" s="910">
        <f>G78*'4. Agricultura PIB'!$F$45</f>
        <v>0.62199899999999997</v>
      </c>
      <c r="J78" s="952">
        <f>IFERROR((VLOOKUP(B78,base,19,FALSE)*'tecnicecon agric'!$D$65)/1000000,H78/3)</f>
        <v>0.53579759999999998</v>
      </c>
      <c r="K78" s="952">
        <f>IFERROR(VLOOKUP(B78,'cultius resum'!$T$6:$AU$306,22,FALSE)/1000000,0)</f>
        <v>7.8464000000000006E-2</v>
      </c>
      <c r="L78" s="915">
        <f>K78*'A. Dades de partida'!$D$10</f>
        <v>1.17696</v>
      </c>
      <c r="M78" s="956">
        <f>IFERROR(VLOOKUP(B78,'cultius resum'!$T$6:$AU$308,28,FALSE)/1000000,0)</f>
        <v>1.0173613408199103</v>
      </c>
      <c r="N78" s="955">
        <f>M78*'A. Dades de partida'!$D$10+(((I78-M78)*'A. Dades de partida'!$D$10)/2)</f>
        <v>12.295202556149327</v>
      </c>
      <c r="O78" s="955">
        <f t="shared" si="9"/>
        <v>11.277841215329417</v>
      </c>
      <c r="P78" s="916">
        <f>J78*'A. Dades de partida'!$D$10</f>
        <v>8.0369639999999993</v>
      </c>
      <c r="Q78" s="916">
        <f>J78+J78*'4. Agricultura PIB'!$D$71</f>
        <v>0.69332209440000003</v>
      </c>
      <c r="R78" s="916">
        <f>(((J78-Q78)*'A. Dades de partida'!$D$10)/2)+('A. Dades de partida'!$D$10*Q78)</f>
        <v>9.2183977080000012</v>
      </c>
      <c r="S78" s="916">
        <f t="shared" si="10"/>
        <v>1.1814337080000019</v>
      </c>
    </row>
    <row r="79" spans="1:19">
      <c r="A79" s="835">
        <v>8076</v>
      </c>
      <c r="B79" s="826" t="s">
        <v>1053</v>
      </c>
      <c r="C79" s="319" t="str">
        <f t="shared" si="6"/>
        <v>Baix Llobregat</v>
      </c>
      <c r="D79" s="908">
        <f>IFERROR(IF(VLOOKUP(B79,'BD ASVICC'!$A$6:$GN$316,193,FALSE)&gt;0,VLOOKUP(B79,'BD ASVICC'!$A$6:$GN$316,193,FALSE),(VLOOKUP(C79,'BD Comarcal'!$A$6:$AB$17,9,)/VLOOKUP(C79,'BD Comarcal'!$A$6:$AB$17,13,))),"")</f>
        <v>7.8252861716696001E-4</v>
      </c>
      <c r="E79" s="910">
        <f>IFERROR(IF(VLOOKUP(B79,'BD ASVICC'!$A$6:$GN$316,192,FALSE)&gt;0,VLOOKUP(B79,'BD ASVICC'!$A$6:$GN$316,192,FALSE),(VLOOKUP(C79,'BD Comarcal'!$A$6:$AB$17,14,)*F79)),"")</f>
        <v>420</v>
      </c>
      <c r="F79" s="904">
        <f t="shared" si="7"/>
        <v>2.6875486953053713E-2</v>
      </c>
      <c r="G79" s="910">
        <f t="shared" si="8"/>
        <v>0.32866201921012322</v>
      </c>
      <c r="H79" s="910">
        <f>IFERROR(VLOOKUP(B79, base,19,FALSE)*'4. Agricultura PIB'!$K$11/1000000,G79*'4. Agricultura PIB'!$F$54)</f>
        <v>1.8056501191443516E-2</v>
      </c>
      <c r="I79" s="910">
        <f>G79*'4. Agricultura PIB'!$F$45</f>
        <v>0.10816267052205156</v>
      </c>
      <c r="J79" s="952">
        <f>IFERROR((VLOOKUP(B79,base,19,FALSE)*'tecnicecon agric'!$D$65)/1000000,H79/3)</f>
        <v>7.7063999999999995E-3</v>
      </c>
      <c r="K79" s="952">
        <f>IFERROR(VLOOKUP(B79,'cultius resum'!$T$6:$AU$306,22,FALSE)/1000000,0)</f>
        <v>3.5711541666666666E-2</v>
      </c>
      <c r="L79" s="915">
        <f>K79*'A. Dades de partida'!$D$10</f>
        <v>0.53567312499999997</v>
      </c>
      <c r="M79" s="956">
        <f>IFERROR(VLOOKUP(B79,'cultius resum'!$T$6:$AU$308,28,FALSE)/1000000,0)</f>
        <v>0.33291684308200048</v>
      </c>
      <c r="N79" s="955">
        <f>M79*'A. Dades de partida'!$D$10+(((I79-M79)*'A. Dades de partida'!$D$10)/2)</f>
        <v>3.3080963520303901</v>
      </c>
      <c r="O79" s="955">
        <f t="shared" si="9"/>
        <v>2.9751795089483895</v>
      </c>
      <c r="P79" s="916">
        <f>J79*'A. Dades de partida'!$D$10</f>
        <v>0.11559599999999999</v>
      </c>
      <c r="Q79" s="916">
        <f>J79+J79*'4. Agricultura PIB'!$D$71</f>
        <v>9.9720815999999983E-3</v>
      </c>
      <c r="R79" s="916">
        <f>(((J79-Q79)*'A. Dades de partida'!$D$10)/2)+('A. Dades de partida'!$D$10*Q79)</f>
        <v>0.13258861199999999</v>
      </c>
      <c r="S79" s="916">
        <f t="shared" si="10"/>
        <v>1.6992612000000004E-2</v>
      </c>
    </row>
    <row r="80" spans="1:19">
      <c r="A80" s="835">
        <v>8077</v>
      </c>
      <c r="B80" s="826" t="s">
        <v>1061</v>
      </c>
      <c r="C80" s="319" t="str">
        <f t="shared" si="6"/>
        <v>Baix Llobregat</v>
      </c>
      <c r="D80" s="908">
        <f>IFERROR(IF(VLOOKUP(B80,'BD ASVICC'!$A$6:$GN$316,193,FALSE)&gt;0,VLOOKUP(B80,'BD ASVICC'!$A$6:$GN$316,193,FALSE),(VLOOKUP(C80,'BD Comarcal'!$A$6:$AB$17,9,)/VLOOKUP(C80,'BD Comarcal'!$A$6:$AB$17,13,))),"")</f>
        <v>7.8252861716696001E-4</v>
      </c>
      <c r="E80" s="910">
        <f>IFERROR(IF(VLOOKUP(B80,'BD ASVICC'!$A$6:$GN$316,192,FALSE)&gt;0,VLOOKUP(B80,'BD ASVICC'!$A$6:$GN$316,192,FALSE),(VLOOKUP(C80,'BD Comarcal'!$A$6:$AB$17,14,)*F80)),"")</f>
        <v>1182</v>
      </c>
      <c r="F80" s="904">
        <f t="shared" si="7"/>
        <v>5.6468650409997496E-2</v>
      </c>
      <c r="G80" s="910">
        <f t="shared" si="8"/>
        <v>0.92494882549134672</v>
      </c>
      <c r="H80" s="910">
        <f>IFERROR(VLOOKUP(B80, base,19,FALSE)*'4. Agricultura PIB'!$K$11/1000000,G80*'4. Agricultura PIB'!$F$54)</f>
        <v>0.60204919051231764</v>
      </c>
      <c r="I80" s="910">
        <f>G80*'4. Agricultura PIB'!$F$45</f>
        <v>0.30440065846920222</v>
      </c>
      <c r="J80" s="952">
        <f>IFERROR((VLOOKUP(B80,base,19,FALSE)*'tecnicecon agric'!$D$65)/1000000,H80/3)</f>
        <v>0.20068306350410589</v>
      </c>
      <c r="K80" s="952">
        <f>IFERROR(VLOOKUP(B80,'cultius resum'!$T$6:$AU$306,22,FALSE)/1000000,0)</f>
        <v>0</v>
      </c>
      <c r="L80" s="915">
        <f>K80*'A. Dades de partida'!$D$10</f>
        <v>0</v>
      </c>
      <c r="M80" s="956">
        <f>IFERROR(VLOOKUP(B80,'cultius resum'!$T$6:$AU$308,28,FALSE)/1000000,0)</f>
        <v>0</v>
      </c>
      <c r="N80" s="955">
        <f>M80*'A. Dades de partida'!$D$10+(((I80-M80)*'A. Dades de partida'!$D$10)/2)</f>
        <v>2.2830049385190168</v>
      </c>
      <c r="O80" s="955">
        <f t="shared" si="9"/>
        <v>2.2830049385190168</v>
      </c>
      <c r="P80" s="916">
        <f>J80*'A. Dades de partida'!$D$10</f>
        <v>3.0102459525615886</v>
      </c>
      <c r="Q80" s="916">
        <f>J80+J80*'4. Agricultura PIB'!$D$71</f>
        <v>0.25968388417431304</v>
      </c>
      <c r="R80" s="916">
        <f>(((J80-Q80)*'A. Dades de partida'!$D$10)/2)+('A. Dades de partida'!$D$10*Q80)</f>
        <v>3.4527521075881418</v>
      </c>
      <c r="S80" s="916">
        <f t="shared" si="10"/>
        <v>0.44250615502655322</v>
      </c>
    </row>
    <row r="81" spans="1:19">
      <c r="A81" s="835">
        <v>8078</v>
      </c>
      <c r="B81" s="826" t="s">
        <v>1062</v>
      </c>
      <c r="C81" s="319" t="str">
        <f t="shared" si="6"/>
        <v>Berguedà</v>
      </c>
      <c r="D81" s="908">
        <f>IFERROR(IF(VLOOKUP(B81,'BD ASVICC'!$A$6:$GN$316,193,FALSE)&gt;0,VLOOKUP(B81,'BD ASVICC'!$A$6:$GN$316,193,FALSE),(VLOOKUP(C81,'BD Comarcal'!$A$6:$AB$17,9,)/VLOOKUP(C81,'BD Comarcal'!$A$6:$AB$17,13,))),"")</f>
        <v>4.0000000000000001E-3</v>
      </c>
      <c r="E81" s="910">
        <f>IFERROR(IF(VLOOKUP(B81,'BD ASVICC'!$A$6:$GN$316,192,FALSE)&gt;0,VLOOKUP(B81,'BD ASVICC'!$A$6:$GN$316,192,FALSE),(VLOOKUP(C81,'BD Comarcal'!$A$6:$AB$17,14,)*F81)),"")</f>
        <v>5.1766731328806985</v>
      </c>
      <c r="F81" s="904">
        <f t="shared" si="7"/>
        <v>6.3045586808923373E-3</v>
      </c>
      <c r="G81" s="910">
        <f t="shared" si="8"/>
        <v>2.0706692531522793E-2</v>
      </c>
      <c r="H81" s="910">
        <f>IFERROR(VLOOKUP(B81, base,19,FALSE)*'4. Agricultura PIB'!$K$11/1000000,G81*'4. Agricultura PIB'!$F$54)</f>
        <v>2.5473921812454918</v>
      </c>
      <c r="I81" s="910">
        <f>G81*'4. Agricultura PIB'!$F$45</f>
        <v>6.8145725121241518E-3</v>
      </c>
      <c r="J81" s="952">
        <f>IFERROR((VLOOKUP(B81,base,19,FALSE)*'tecnicecon agric'!$D$65)/1000000,H81/3)</f>
        <v>1.0872107999999998</v>
      </c>
      <c r="K81" s="952">
        <f>IFERROR(VLOOKUP(B81,'cultius resum'!$T$6:$AU$306,22,FALSE)/1000000,0)</f>
        <v>0.45109133333333329</v>
      </c>
      <c r="L81" s="915">
        <f>K81*'A. Dades de partida'!$D$10</f>
        <v>6.7663699999999993</v>
      </c>
      <c r="M81" s="956">
        <f>IFERROR(VLOOKUP(B81,'cultius resum'!$T$6:$AU$308,28,FALSE)/1000000,0)</f>
        <v>3.9436195110115726</v>
      </c>
      <c r="N81" s="955">
        <f>M81*'A. Dades de partida'!$D$10+(((I81-M81)*'A. Dades de partida'!$D$10)/2)</f>
        <v>29.628255626427723</v>
      </c>
      <c r="O81" s="955">
        <f t="shared" si="9"/>
        <v>25.684636115416151</v>
      </c>
      <c r="P81" s="916">
        <f>J81*'A. Dades de partida'!$D$10</f>
        <v>16.308161999999996</v>
      </c>
      <c r="Q81" s="916">
        <f>J81+J81*'4. Agricultura PIB'!$D$71</f>
        <v>1.4068507751999997</v>
      </c>
      <c r="R81" s="916">
        <f>(((J81-Q81)*'A. Dades de partida'!$D$10)/2)+('A. Dades de partida'!$D$10*Q81)</f>
        <v>18.705461813999996</v>
      </c>
      <c r="S81" s="916">
        <f t="shared" si="10"/>
        <v>2.3972998140000001</v>
      </c>
    </row>
    <row r="82" spans="1:19">
      <c r="A82" s="835">
        <v>8079</v>
      </c>
      <c r="B82" s="826" t="s">
        <v>1063</v>
      </c>
      <c r="C82" s="319" t="str">
        <f t="shared" si="6"/>
        <v>Moianès</v>
      </c>
      <c r="D82" s="908">
        <f>IFERROR(IF(VLOOKUP(B82,'BD ASVICC'!$A$6:$GN$316,193,FALSE)&gt;0,VLOOKUP(B82,'BD ASVICC'!$A$6:$GN$316,193,FALSE),(VLOOKUP(C82,'BD Comarcal'!$A$6:$AB$17,9,)/VLOOKUP(C82,'BD Comarcal'!$A$6:$AB$17,13,))),"")</f>
        <v>1E-3</v>
      </c>
      <c r="E82" s="910">
        <f>IFERROR(IF(VLOOKUP(B82,'BD ASVICC'!$A$6:$GN$316,192,FALSE)&gt;0,VLOOKUP(B82,'BD ASVICC'!$A$6:$GN$316,192,FALSE),(VLOOKUP(C82,'BD Comarcal'!$A$6:$AB$17,14,)*F82)),"")</f>
        <v>8.1326065561359666</v>
      </c>
      <c r="F82" s="904">
        <f t="shared" si="7"/>
        <v>3.0585207055795292E-2</v>
      </c>
      <c r="G82" s="910">
        <f t="shared" si="8"/>
        <v>8.132606556135966E-3</v>
      </c>
      <c r="H82" s="910">
        <f>IFERROR(VLOOKUP(B82, base,19,FALSE)*'4. Agricultura PIB'!$K$11/1000000,G82*'4. Agricultura PIB'!$F$54)</f>
        <v>0.96649798482621352</v>
      </c>
      <c r="I82" s="910">
        <f>G82*'4. Agricultura PIB'!$F$45</f>
        <v>2.6764408176243462E-3</v>
      </c>
      <c r="J82" s="952">
        <f>IFERROR((VLOOKUP(B82,base,19,FALSE)*'tecnicecon agric'!$D$65)/1000000,H82/3)</f>
        <v>0.41249519999999995</v>
      </c>
      <c r="K82" s="952">
        <f>IFERROR(VLOOKUP(B82,'cultius resum'!$T$6:$AU$306,22,FALSE)/1000000,0)</f>
        <v>4.5631999999999999E-2</v>
      </c>
      <c r="L82" s="915">
        <f>K82*'A. Dades de partida'!$D$10</f>
        <v>0.68447999999999998</v>
      </c>
      <c r="M82" s="956">
        <f>IFERROR(VLOOKUP(B82,'cultius resum'!$T$6:$AU$308,28,FALSE)/1000000,0)</f>
        <v>0.39893305906966386</v>
      </c>
      <c r="N82" s="955">
        <f>M82*'A. Dades de partida'!$D$10+(((I82-M82)*'A. Dades de partida'!$D$10)/2)</f>
        <v>3.0120712491546611</v>
      </c>
      <c r="O82" s="955">
        <f t="shared" si="9"/>
        <v>2.6131381900849973</v>
      </c>
      <c r="P82" s="916">
        <f>J82*'A. Dades de partida'!$D$10</f>
        <v>6.1874279999999988</v>
      </c>
      <c r="Q82" s="916">
        <f>J82+J82*'4. Agricultura PIB'!$D$71</f>
        <v>0.53376878879999989</v>
      </c>
      <c r="R82" s="916">
        <f>(((J82-Q82)*'A. Dades de partida'!$D$10)/2)+('A. Dades de partida'!$D$10*Q82)</f>
        <v>7.0969799159999987</v>
      </c>
      <c r="S82" s="916">
        <f t="shared" si="10"/>
        <v>0.90955191599999985</v>
      </c>
    </row>
    <row r="83" spans="1:19">
      <c r="A83" s="835">
        <v>8080</v>
      </c>
      <c r="B83" s="826" t="s">
        <v>1067</v>
      </c>
      <c r="C83" s="319" t="str">
        <f t="shared" si="6"/>
        <v>Berguedà</v>
      </c>
      <c r="D83" s="908">
        <f>IFERROR(IF(VLOOKUP(B83,'BD ASVICC'!$A$6:$GN$316,193,FALSE)&gt;0,VLOOKUP(B83,'BD ASVICC'!$A$6:$GN$316,193,FALSE),(VLOOKUP(C83,'BD Comarcal'!$A$6:$AB$17,9,)/VLOOKUP(C83,'BD Comarcal'!$A$6:$AB$17,13,))),"")</f>
        <v>4.1611624834874503E-2</v>
      </c>
      <c r="E83" s="910">
        <f>IFERROR(IF(VLOOKUP(B83,'BD ASVICC'!$A$6:$GN$316,192,FALSE)&gt;0,VLOOKUP(B83,'BD ASVICC'!$A$6:$GN$316,192,FALSE),(VLOOKUP(C83,'BD Comarcal'!$A$6:$AB$17,14,)*F83)),"")</f>
        <v>0.83832763285517398</v>
      </c>
      <c r="F83" s="904">
        <f t="shared" si="7"/>
        <v>1.0209811628975446E-3</v>
      </c>
      <c r="G83" s="910">
        <f t="shared" si="8"/>
        <v>3.4884174947077913E-2</v>
      </c>
      <c r="H83" s="910">
        <f>IFERROR(VLOOKUP(B83, base,19,FALSE)*'4. Agricultura PIB'!$K$11/1000000,G83*'4. Agricultura PIB'!$F$54)</f>
        <v>2.2706109473053016E-2</v>
      </c>
      <c r="I83" s="910">
        <f>G83*'4. Agricultura PIB'!$F$45</f>
        <v>1.1480381975083342E-2</v>
      </c>
      <c r="J83" s="952">
        <f>IFERROR((VLOOKUP(B83,base,19,FALSE)*'tecnicecon agric'!$D$65)/1000000,H83/3)</f>
        <v>7.5687031576843382E-3</v>
      </c>
      <c r="K83" s="952">
        <f>IFERROR(VLOOKUP(B83,'cultius resum'!$T$6:$AU$306,22,FALSE)/1000000,0)</f>
        <v>0</v>
      </c>
      <c r="L83" s="915">
        <f>K83*'A. Dades de partida'!$D$10</f>
        <v>0</v>
      </c>
      <c r="M83" s="956">
        <f>IFERROR(VLOOKUP(B83,'cultius resum'!$T$6:$AU$308,28,FALSE)/1000000,0)</f>
        <v>0</v>
      </c>
      <c r="N83" s="955">
        <f>M83*'A. Dades de partida'!$D$10+(((I83-M83)*'A. Dades de partida'!$D$10)/2)</f>
        <v>8.6102864813125068E-2</v>
      </c>
      <c r="O83" s="955">
        <f t="shared" si="9"/>
        <v>8.6102864813125068E-2</v>
      </c>
      <c r="P83" s="916">
        <f>J83*'A. Dades de partida'!$D$10</f>
        <v>0.11353054736526508</v>
      </c>
      <c r="Q83" s="916">
        <f>J83+J83*'4. Agricultura PIB'!$D$71</f>
        <v>9.7939018860435344E-3</v>
      </c>
      <c r="R83" s="916">
        <f>(((J83-Q83)*'A. Dades de partida'!$D$10)/2)+('A. Dades de partida'!$D$10*Q83)</f>
        <v>0.13021953782795903</v>
      </c>
      <c r="S83" s="916">
        <f t="shared" si="10"/>
        <v>1.6688990462693953E-2</v>
      </c>
    </row>
    <row r="84" spans="1:19">
      <c r="A84" s="835">
        <v>8081</v>
      </c>
      <c r="B84" s="826" t="s">
        <v>1068</v>
      </c>
      <c r="C84" s="319" t="str">
        <f t="shared" si="6"/>
        <v>Vallès Oriental</v>
      </c>
      <c r="D84" s="908">
        <f>IFERROR(IF(VLOOKUP(B84,'BD ASVICC'!$A$6:$GN$316,193,FALSE)&gt;0,VLOOKUP(B84,'BD ASVICC'!$A$6:$GN$316,193,FALSE),(VLOOKUP(C84,'BD Comarcal'!$A$6:$AB$17,9,)/VLOOKUP(C84,'BD Comarcal'!$A$6:$AB$17,13,))),"")</f>
        <v>3.6614258022830064E-3</v>
      </c>
      <c r="E84" s="910">
        <f>IFERROR(IF(VLOOKUP(B84,'BD ASVICC'!$A$6:$GN$316,192,FALSE)&gt;0,VLOOKUP(B84,'BD ASVICC'!$A$6:$GN$316,192,FALSE),(VLOOKUP(C84,'BD Comarcal'!$A$6:$AB$17,14,)*F84)),"")</f>
        <v>12.753929605469702</v>
      </c>
      <c r="F84" s="904">
        <f t="shared" si="7"/>
        <v>1.1511494052394739E-3</v>
      </c>
      <c r="G84" s="910">
        <f t="shared" si="8"/>
        <v>4.6697566937967894E-2</v>
      </c>
      <c r="H84" s="910">
        <f>IFERROR(VLOOKUP(B84, base,19,FALSE)*'4. Agricultura PIB'!$K$11/1000000,G84*'4. Agricultura PIB'!$F$54)</f>
        <v>0.12782102159206069</v>
      </c>
      <c r="I84" s="910">
        <f>G84*'4. Agricultura PIB'!$F$45</f>
        <v>1.5368169279285235E-2</v>
      </c>
      <c r="J84" s="952">
        <f>IFERROR((VLOOKUP(B84,base,19,FALSE)*'tecnicecon agric'!$D$65)/1000000,H84/3)</f>
        <v>5.4553199999999996E-2</v>
      </c>
      <c r="K84" s="952">
        <f>IFERROR(VLOOKUP(B84,'cultius resum'!$T$6:$AU$306,22,FALSE)/1000000,0)</f>
        <v>3.4951166666666665E-2</v>
      </c>
      <c r="L84" s="915">
        <f>K84*'A. Dades de partida'!$D$10</f>
        <v>0.5242675</v>
      </c>
      <c r="M84" s="956">
        <f>IFERROR(VLOOKUP(B84,'cultius resum'!$T$6:$AU$308,28,FALSE)/1000000,0)</f>
        <v>0.44363943399351363</v>
      </c>
      <c r="N84" s="955">
        <f>M84*'A. Dades de partida'!$D$10+(((I84-M84)*'A. Dades de partida'!$D$10)/2)</f>
        <v>3.4425570245459918</v>
      </c>
      <c r="O84" s="955">
        <f t="shared" si="9"/>
        <v>2.9989175905524781</v>
      </c>
      <c r="P84" s="916">
        <f>J84*'A. Dades de partida'!$D$10</f>
        <v>0.81829799999999997</v>
      </c>
      <c r="Q84" s="916">
        <f>J84+J84*'4. Agricultura PIB'!$D$71</f>
        <v>7.05918408E-2</v>
      </c>
      <c r="R84" s="916">
        <f>(((J84-Q84)*'A. Dades de partida'!$D$10)/2)+('A. Dades de partida'!$D$10*Q84)</f>
        <v>0.93858780600000002</v>
      </c>
      <c r="S84" s="916">
        <f t="shared" si="10"/>
        <v>0.12028980600000005</v>
      </c>
    </row>
    <row r="85" spans="1:19">
      <c r="A85" s="835">
        <v>8082</v>
      </c>
      <c r="B85" s="826" t="s">
        <v>1071</v>
      </c>
      <c r="C85" s="319" t="str">
        <f t="shared" si="6"/>
        <v>la Selva</v>
      </c>
      <c r="D85" s="908" t="str">
        <f>IFERROR(IF(VLOOKUP(B85,'BD ASVICC'!$A$6:$GN$316,193,FALSE)&gt;0,VLOOKUP(B85,'BD ASVICC'!$A$6:$GN$316,193,FALSE),(VLOOKUP(C85,'BD Comarcal'!$A$6:$AB$17,9,)/VLOOKUP(C85,'BD Comarcal'!$A$6:$AB$17,13,))),"")</f>
        <v/>
      </c>
      <c r="E85" s="910" t="str">
        <f>IFERROR(IF(VLOOKUP(B85,'BD ASVICC'!$A$6:$GN$316,192,FALSE)&gt;0,VLOOKUP(B85,'BD ASVICC'!$A$6:$GN$316,192,FALSE),(VLOOKUP(C85,'BD Comarcal'!$A$6:$AB$17,14,)*F85)),"")</f>
        <v/>
      </c>
      <c r="F85" s="904"/>
      <c r="G85" s="910"/>
      <c r="H85" s="910">
        <f>IFERROR(VLOOKUP(B85, base,19,FALSE)*'4. Agricultura PIB'!$K$11/1000000,G85*'4. Agricultura PIB'!$F$54)</f>
        <v>0.17106159023472806</v>
      </c>
      <c r="I85" s="910">
        <f>G85*'4. Agricultura PIB'!$F$45</f>
        <v>0</v>
      </c>
      <c r="J85" s="952">
        <f>IFERROR((VLOOKUP(B85,base,19,FALSE)*'tecnicecon agric'!$D$65)/1000000,H85/3)</f>
        <v>7.3008000000000003E-2</v>
      </c>
      <c r="K85" s="952">
        <f>IFERROR(VLOOKUP(B85,'cultius resum'!$T$6:$AU$306,22,FALSE)/1000000,0)</f>
        <v>0.120835875</v>
      </c>
      <c r="L85" s="915">
        <f>K85*'A. Dades de partida'!$D$10</f>
        <v>1.8125381249999999</v>
      </c>
      <c r="M85" s="956">
        <f>IFERROR(VLOOKUP(B85,'cultius resum'!$T$6:$AU$308,28,FALSE)/1000000,0)</f>
        <v>1.4637384459402243</v>
      </c>
      <c r="N85" s="955">
        <f>M85*'A. Dades de partida'!$D$10+(((I85-M85)*'A. Dades de partida'!$D$10)/2)</f>
        <v>10.978038344551683</v>
      </c>
      <c r="O85" s="955">
        <f t="shared" si="9"/>
        <v>9.5142998986114584</v>
      </c>
      <c r="P85" s="916">
        <f>J85*'A. Dades de partida'!$D$10</f>
        <v>1.0951200000000001</v>
      </c>
      <c r="Q85" s="916">
        <f>J85+J85*'4. Agricultura PIB'!$D$71</f>
        <v>9.4472352000000009E-2</v>
      </c>
      <c r="R85" s="916">
        <f>(((J85-Q85)*'A. Dades de partida'!$D$10)/2)+('A. Dades de partida'!$D$10*Q85)</f>
        <v>1.2561026400000002</v>
      </c>
      <c r="S85" s="916">
        <f t="shared" si="10"/>
        <v>0.16098264000000007</v>
      </c>
    </row>
    <row r="86" spans="1:19">
      <c r="A86" s="835">
        <v>8083</v>
      </c>
      <c r="B86" s="826" t="s">
        <v>1077</v>
      </c>
      <c r="C86" s="319" t="str">
        <f t="shared" si="6"/>
        <v>Osona</v>
      </c>
      <c r="D86" s="908">
        <f>IFERROR(IF(VLOOKUP(B86,'BD ASVICC'!$A$6:$GN$316,193,FALSE)&gt;0,VLOOKUP(B86,'BD ASVICC'!$A$6:$GN$316,193,FALSE),(VLOOKUP(C86,'BD Comarcal'!$A$6:$AB$17,9,)/VLOOKUP(C86,'BD Comarcal'!$A$6:$AB$17,13,))),"")</f>
        <v>1.8400340353116357E-2</v>
      </c>
      <c r="E86" s="910">
        <f>IFERROR(IF(VLOOKUP(B86,'BD ASVICC'!$A$6:$GN$316,192,FALSE)&gt;0,VLOOKUP(B86,'BD ASVICC'!$A$6:$GN$316,192,FALSE),(VLOOKUP(C86,'BD Comarcal'!$A$6:$AB$17,14,)*F86)),"")</f>
        <v>60.228356281442551</v>
      </c>
      <c r="F86" s="904">
        <f t="shared" ref="F86:F149" si="11">VLOOKUP(B86,base,24,FALSE)/VLOOKUP(C86,basec,26,FALSE)</f>
        <v>1.4764747078212039E-2</v>
      </c>
      <c r="G86" s="910">
        <f t="shared" si="8"/>
        <v>1.1082222544872964</v>
      </c>
      <c r="H86" s="910">
        <f>IFERROR(VLOOKUP(B86, base,19,FALSE)*'4. Agricultura PIB'!$K$11/1000000,G86*'4. Agricultura PIB'!$F$54)</f>
        <v>3.3204955348896661</v>
      </c>
      <c r="I86" s="910">
        <f>G86*'4. Agricultura PIB'!$F$45</f>
        <v>0.36471594395176926</v>
      </c>
      <c r="J86" s="952">
        <f>IFERROR((VLOOKUP(B86,base,19,FALSE)*'tecnicecon agric'!$D$65)/1000000,H86/3)</f>
        <v>1.4171663999999999</v>
      </c>
      <c r="K86" s="952">
        <f>IFERROR(VLOOKUP(B86,'cultius resum'!$T$6:$AU$306,22,FALSE)/1000000,0)</f>
        <v>0.29115016666666665</v>
      </c>
      <c r="L86" s="915">
        <f>K86*'A. Dades de partida'!$D$10</f>
        <v>4.3672525000000002</v>
      </c>
      <c r="M86" s="956">
        <f>IFERROR(VLOOKUP(B86,'cultius resum'!$T$6:$AU$308,28,FALSE)/1000000,0)</f>
        <v>2.6281998143044092</v>
      </c>
      <c r="N86" s="955">
        <f>M86*'A. Dades de partida'!$D$10+(((I86-M86)*'A. Dades de partida'!$D$10)/2)</f>
        <v>22.446868186921336</v>
      </c>
      <c r="O86" s="955">
        <f t="shared" si="9"/>
        <v>19.818668372616926</v>
      </c>
      <c r="P86" s="916">
        <f>J86*'A. Dades de partida'!$D$10</f>
        <v>21.257496</v>
      </c>
      <c r="Q86" s="916">
        <f>J86+J86*'4. Agricultura PIB'!$D$71</f>
        <v>1.8338133215999999</v>
      </c>
      <c r="R86" s="916">
        <f>(((J86-Q86)*'A. Dades de partida'!$D$10)/2)+('A. Dades de partida'!$D$10*Q86)</f>
        <v>24.382347911999997</v>
      </c>
      <c r="S86" s="916">
        <f t="shared" si="10"/>
        <v>3.1248519119999969</v>
      </c>
    </row>
    <row r="87" spans="1:19">
      <c r="A87" s="835">
        <v>8084</v>
      </c>
      <c r="B87" s="826" t="s">
        <v>1078</v>
      </c>
      <c r="C87" s="319" t="str">
        <f t="shared" si="6"/>
        <v>Bages</v>
      </c>
      <c r="D87" s="908">
        <f>IFERROR(IF(VLOOKUP(B87,'BD ASVICC'!$A$6:$GN$316,193,FALSE)&gt;0,VLOOKUP(B87,'BD ASVICC'!$A$6:$GN$316,193,FALSE),(VLOOKUP(C87,'BD Comarcal'!$A$6:$AB$17,9,)/VLOOKUP(C87,'BD Comarcal'!$A$6:$AB$17,13,))),"")</f>
        <v>9.2529216416964537E-3</v>
      </c>
      <c r="E87" s="910">
        <f>IFERROR(IF(VLOOKUP(B87,'BD ASVICC'!$A$6:$GN$316,192,FALSE)&gt;0,VLOOKUP(B87,'BD ASVICC'!$A$6:$GN$316,192,FALSE),(VLOOKUP(C87,'BD Comarcal'!$A$6:$AB$17,14,)*F87)),"")</f>
        <v>34.375641268257432</v>
      </c>
      <c r="F87" s="904">
        <f t="shared" si="11"/>
        <v>8.0341321588934568E-3</v>
      </c>
      <c r="G87" s="910">
        <f t="shared" si="8"/>
        <v>0.31807511503825292</v>
      </c>
      <c r="H87" s="910">
        <f>IFERROR(VLOOKUP(B87, base,19,FALSE)*'4. Agricultura PIB'!$K$11/1000000,G87*'4. Agricultura PIB'!$F$54)</f>
        <v>1.6265106204818727</v>
      </c>
      <c r="I87" s="910">
        <f>G87*'4. Agricultura PIB'!$F$45</f>
        <v>0.10467852035908903</v>
      </c>
      <c r="J87" s="952">
        <f>IFERROR((VLOOKUP(B87,base,19,FALSE)*'tecnicecon agric'!$D$65)/1000000,H87/3)</f>
        <v>0.69418439999999992</v>
      </c>
      <c r="K87" s="952">
        <f>IFERROR(VLOOKUP(B87,'cultius resum'!$T$6:$AU$306,22,FALSE)/1000000,0)</f>
        <v>0.73006745833333331</v>
      </c>
      <c r="L87" s="915">
        <f>K87*'A. Dades de partida'!$D$10</f>
        <v>10.951011874999999</v>
      </c>
      <c r="M87" s="956">
        <f>IFERROR(VLOOKUP(B87,'cultius resum'!$T$6:$AU$308,28,FALSE)/1000000,0)</f>
        <v>6.5275261272027594</v>
      </c>
      <c r="N87" s="955">
        <f>M87*'A. Dades de partida'!$D$10+(((I87-M87)*'A. Dades de partida'!$D$10)/2)</f>
        <v>49.741534856713862</v>
      </c>
      <c r="O87" s="955">
        <f t="shared" si="9"/>
        <v>43.2140087295111</v>
      </c>
      <c r="P87" s="916">
        <f>J87*'A. Dades de partida'!$D$10</f>
        <v>10.412766</v>
      </c>
      <c r="Q87" s="916">
        <f>J87+J87*'4. Agricultura PIB'!$D$71</f>
        <v>0.89827461359999994</v>
      </c>
      <c r="R87" s="916">
        <f>(((J87-Q87)*'A. Dades de partida'!$D$10)/2)+('A. Dades de partida'!$D$10*Q87)</f>
        <v>11.943442601999999</v>
      </c>
      <c r="S87" s="916">
        <f t="shared" si="10"/>
        <v>1.5306766019999998</v>
      </c>
    </row>
    <row r="88" spans="1:19">
      <c r="A88" s="835">
        <v>8085</v>
      </c>
      <c r="B88" s="826" t="s">
        <v>1080</v>
      </c>
      <c r="C88" s="319" t="str">
        <f t="shared" si="6"/>
        <v>Alt Penedès</v>
      </c>
      <c r="D88" s="908">
        <f>IFERROR(IF(VLOOKUP(B88,'BD ASVICC'!$A$6:$GN$316,193,FALSE)&gt;0,VLOOKUP(B88,'BD ASVICC'!$A$6:$GN$316,193,FALSE),(VLOOKUP(C88,'BD Comarcal'!$A$6:$AB$17,9,)/VLOOKUP(C88,'BD Comarcal'!$A$6:$AB$17,13,))),"")</f>
        <v>1.0966842723004694E-2</v>
      </c>
      <c r="E88" s="910">
        <f>IFERROR(IF(VLOOKUP(B88,'BD ASVICC'!$A$6:$GN$316,192,FALSE)&gt;0,VLOOKUP(B88,'BD ASVICC'!$A$6:$GN$316,192,FALSE),(VLOOKUP(C88,'BD Comarcal'!$A$6:$AB$17,14,)*F88)),"")</f>
        <v>37.926733474476592</v>
      </c>
      <c r="F88" s="904">
        <f t="shared" si="11"/>
        <v>1.2825217595859797E-2</v>
      </c>
      <c r="G88" s="910">
        <f t="shared" si="8"/>
        <v>0.41593652101190215</v>
      </c>
      <c r="H88" s="910">
        <f>IFERROR(VLOOKUP(B88, base,19,FALSE)*'4. Agricultura PIB'!$K$11/1000000,G88*'4. Agricultura PIB'!$F$54)</f>
        <v>1.3090963363796548</v>
      </c>
      <c r="I88" s="910">
        <f>G88*'4. Agricultura PIB'!$F$45</f>
        <v>0.13688470906501699</v>
      </c>
      <c r="J88" s="952">
        <f>IFERROR((VLOOKUP(B88,base,19,FALSE)*'tecnicecon agric'!$D$65)/1000000,H88/3)</f>
        <v>0.55871400000000004</v>
      </c>
      <c r="K88" s="952">
        <f>IFERROR(VLOOKUP(B88,'cultius resum'!$T$6:$AU$306,22,FALSE)/1000000,0)</f>
        <v>8.3183333333333331E-2</v>
      </c>
      <c r="L88" s="915">
        <f>K88*'A. Dades de partida'!$D$10</f>
        <v>1.2477499999999999</v>
      </c>
      <c r="M88" s="956">
        <f>IFERROR(VLOOKUP(B88,'cultius resum'!$T$6:$AU$308,28,FALSE)/1000000,0)</f>
        <v>0.727221722262408</v>
      </c>
      <c r="N88" s="955">
        <f>M88*'A. Dades de partida'!$D$10+(((I88-M88)*'A. Dades de partida'!$D$10)/2)</f>
        <v>6.480798234955687</v>
      </c>
      <c r="O88" s="955">
        <f t="shared" si="9"/>
        <v>5.7535765126932787</v>
      </c>
      <c r="P88" s="916">
        <f>J88*'A. Dades de partida'!$D$10</f>
        <v>8.3807100000000005</v>
      </c>
      <c r="Q88" s="916">
        <f>J88+J88*'4. Agricultura PIB'!$D$71</f>
        <v>0.722975916</v>
      </c>
      <c r="R88" s="916">
        <f>(((J88-Q88)*'A. Dades de partida'!$D$10)/2)+('A. Dades de partida'!$D$10*Q88)</f>
        <v>9.6126743700000006</v>
      </c>
      <c r="S88" s="916">
        <f t="shared" si="10"/>
        <v>1.23196437</v>
      </c>
    </row>
    <row r="89" spans="1:19">
      <c r="A89" s="835">
        <v>8086</v>
      </c>
      <c r="B89" s="826" t="s">
        <v>1084</v>
      </c>
      <c r="C89" s="319" t="str">
        <f t="shared" si="6"/>
        <v>Vallès Oriental</v>
      </c>
      <c r="D89" s="908">
        <f>IFERROR(IF(VLOOKUP(B89,'BD ASVICC'!$A$6:$GN$316,193,FALSE)&gt;0,VLOOKUP(B89,'BD ASVICC'!$A$6:$GN$316,193,FALSE),(VLOOKUP(C89,'BD Comarcal'!$A$6:$AB$17,9,)/VLOOKUP(C89,'BD Comarcal'!$A$6:$AB$17,13,))),"")</f>
        <v>3.6614258022830064E-3</v>
      </c>
      <c r="E89" s="910">
        <f>IFERROR(IF(VLOOKUP(B89,'BD ASVICC'!$A$6:$GN$316,192,FALSE)&gt;0,VLOOKUP(B89,'BD ASVICC'!$A$6:$GN$316,192,FALSE),(VLOOKUP(C89,'BD Comarcal'!$A$6:$AB$17,14,)*F89)),"")</f>
        <v>649</v>
      </c>
      <c r="F89" s="904">
        <f t="shared" si="11"/>
        <v>4.8380666669988887E-2</v>
      </c>
      <c r="G89" s="910">
        <f t="shared" si="8"/>
        <v>2.3762653456816709</v>
      </c>
      <c r="H89" s="910">
        <f>IFERROR(VLOOKUP(B89, base,19,FALSE)*'4. Agricultura PIB'!$K$11/1000000,G89*'4. Agricultura PIB'!$F$54)</f>
        <v>2.0508383984807952</v>
      </c>
      <c r="I89" s="910">
        <f>G89*'4. Agricultura PIB'!$F$45</f>
        <v>0.78202892526383794</v>
      </c>
      <c r="J89" s="952">
        <f>IFERROR((VLOOKUP(B89,base,19,FALSE)*'tecnicecon agric'!$D$65)/1000000,H89/3)</f>
        <v>0.87528479999999997</v>
      </c>
      <c r="K89" s="952">
        <f>IFERROR(VLOOKUP(B89,'cultius resum'!$T$6:$AU$306,22,FALSE)/1000000,0)</f>
        <v>0.69919016666666667</v>
      </c>
      <c r="L89" s="915">
        <f>K89*'A. Dades de partida'!$D$10</f>
        <v>10.487852500000001</v>
      </c>
      <c r="M89" s="956">
        <f>IFERROR(VLOOKUP(B89,'cultius resum'!$T$6:$AU$308,28,FALSE)/1000000,0)</f>
        <v>8.1838349030030813</v>
      </c>
      <c r="N89" s="955">
        <f>M89*'A. Dades de partida'!$D$10+(((I89-M89)*'A. Dades de partida'!$D$10)/2)</f>
        <v>67.243978712001876</v>
      </c>
      <c r="O89" s="955">
        <f t="shared" si="9"/>
        <v>59.060143808998795</v>
      </c>
      <c r="P89" s="916">
        <f>J89*'A. Dades de partida'!$D$10</f>
        <v>13.129272</v>
      </c>
      <c r="Q89" s="916">
        <f>J89+J89*'4. Agricultura PIB'!$D$71</f>
        <v>1.1326185311999999</v>
      </c>
      <c r="R89" s="916">
        <f>(((J89-Q89)*'A. Dades de partida'!$D$10)/2)+('A. Dades de partida'!$D$10*Q89)</f>
        <v>15.059274984</v>
      </c>
      <c r="S89" s="916">
        <f t="shared" si="10"/>
        <v>1.9300029839999997</v>
      </c>
    </row>
    <row r="90" spans="1:19">
      <c r="A90" s="835">
        <v>8087</v>
      </c>
      <c r="B90" s="826" t="s">
        <v>1087</v>
      </c>
      <c r="C90" s="319" t="str">
        <f t="shared" si="6"/>
        <v>Vallès Occidental</v>
      </c>
      <c r="D90" s="908">
        <f>IFERROR(IF(VLOOKUP(B90,'BD ASVICC'!$A$6:$GN$316,193,FALSE)&gt;0,VLOOKUP(B90,'BD ASVICC'!$A$6:$GN$316,193,FALSE),(VLOOKUP(C90,'BD Comarcal'!$A$6:$AB$17,9,)/VLOOKUP(C90,'BD Comarcal'!$A$6:$AB$17,13,))),"")</f>
        <v>3.6775782925402761E-4</v>
      </c>
      <c r="E90" s="910">
        <f>IFERROR(IF(VLOOKUP(B90,'BD ASVICC'!$A$6:$GN$316,192,FALSE)&gt;0,VLOOKUP(B90,'BD ASVICC'!$A$6:$GN$316,192,FALSE),(VLOOKUP(C90,'BD Comarcal'!$A$6:$AB$17,14,)*F90)),"")</f>
        <v>5.0625290851986202</v>
      </c>
      <c r="F90" s="904">
        <f t="shared" si="11"/>
        <v>2.0680350349464743E-4</v>
      </c>
      <c r="G90" s="910">
        <f t="shared" si="8"/>
        <v>1.8617847069080228E-3</v>
      </c>
      <c r="H90" s="910">
        <f>IFERROR(VLOOKUP(B90, base,19,FALSE)*'4. Agricultura PIB'!$K$11/1000000,G90*'4. Agricultura PIB'!$F$54)</f>
        <v>1.2118356657264322E-3</v>
      </c>
      <c r="I90" s="910">
        <f>G90*'4. Agricultura PIB'!$F$45</f>
        <v>6.1271334704343032E-4</v>
      </c>
      <c r="J90" s="952">
        <f>IFERROR((VLOOKUP(B90,base,19,FALSE)*'tecnicecon agric'!$D$65)/1000000,H90/3)</f>
        <v>4.0394522190881073E-4</v>
      </c>
      <c r="K90" s="952">
        <f>IFERROR(VLOOKUP(B90,'cultius resum'!$T$6:$AU$306,22,FALSE)/1000000,0)</f>
        <v>2.3056500000000001E-2</v>
      </c>
      <c r="L90" s="915">
        <f>K90*'A. Dades de partida'!$D$10</f>
        <v>0.34584750000000003</v>
      </c>
      <c r="M90" s="956">
        <f>IFERROR(VLOOKUP(B90,'cultius resum'!$T$6:$AU$308,28,FALSE)/1000000,0)</f>
        <v>0.22918556801281351</v>
      </c>
      <c r="N90" s="955">
        <f>M90*'A. Dades de partida'!$D$10+(((I90-M90)*'A. Dades de partida'!$D$10)/2)</f>
        <v>1.7234871101989271</v>
      </c>
      <c r="O90" s="955">
        <f t="shared" si="9"/>
        <v>1.4943015421861137</v>
      </c>
      <c r="P90" s="916">
        <f>J90*'A. Dades de partida'!$D$10</f>
        <v>6.0591783286321607E-3</v>
      </c>
      <c r="Q90" s="916">
        <f>J90+J90*'4. Agricultura PIB'!$D$71</f>
        <v>5.2270511715000112E-4</v>
      </c>
      <c r="R90" s="916">
        <f>(((J90-Q90)*'A. Dades de partida'!$D$10)/2)+('A. Dades de partida'!$D$10*Q90)</f>
        <v>6.9498775429410881E-3</v>
      </c>
      <c r="S90" s="916">
        <f t="shared" si="10"/>
        <v>8.9069921430892738E-4</v>
      </c>
    </row>
    <row r="91" spans="1:19">
      <c r="A91" s="835">
        <v>8088</v>
      </c>
      <c r="B91" s="826" t="s">
        <v>1091</v>
      </c>
      <c r="C91" s="319" t="str">
        <f t="shared" si="6"/>
        <v>Vallès Oriental</v>
      </c>
      <c r="D91" s="908">
        <f>IFERROR(IF(VLOOKUP(B91,'BD ASVICC'!$A$6:$GN$316,193,FALSE)&gt;0,VLOOKUP(B91,'BD ASVICC'!$A$6:$GN$316,193,FALSE),(VLOOKUP(C91,'BD Comarcal'!$A$6:$AB$17,9,)/VLOOKUP(C91,'BD Comarcal'!$A$6:$AB$17,13,))),"")</f>
        <v>3.6614258022830064E-3</v>
      </c>
      <c r="E91" s="910">
        <f>IFERROR(IF(VLOOKUP(B91,'BD ASVICC'!$A$6:$GN$316,192,FALSE)&gt;0,VLOOKUP(B91,'BD ASVICC'!$A$6:$GN$316,192,FALSE),(VLOOKUP(C91,'BD Comarcal'!$A$6:$AB$17,14,)*F91)),"")</f>
        <v>332</v>
      </c>
      <c r="F91" s="904">
        <f t="shared" si="11"/>
        <v>3.9647379515520581E-2</v>
      </c>
      <c r="G91" s="910">
        <f t="shared" si="8"/>
        <v>1.2155933663579581</v>
      </c>
      <c r="H91" s="910">
        <f>IFERROR(VLOOKUP(B91, base,19,FALSE)*'4. Agricultura PIB'!$K$11/1000000,G91*'4. Agricultura PIB'!$F$54)</f>
        <v>2.5184067451223854E-2</v>
      </c>
      <c r="I91" s="910">
        <f>G91*'4. Agricultura PIB'!$F$45</f>
        <v>0.40005177686840404</v>
      </c>
      <c r="J91" s="952">
        <f>IFERROR((VLOOKUP(B91,base,19,FALSE)*'tecnicecon agric'!$D$65)/1000000,H91/3)</f>
        <v>1.07484E-2</v>
      </c>
      <c r="K91" s="952">
        <f>IFERROR(VLOOKUP(B91,'cultius resum'!$T$6:$AU$306,22,FALSE)/1000000,0)</f>
        <v>8.7187625000000005E-2</v>
      </c>
      <c r="L91" s="915">
        <f>K91*'A. Dades de partida'!$D$10</f>
        <v>1.307814375</v>
      </c>
      <c r="M91" s="956">
        <f>IFERROR(VLOOKUP(B91,'cultius resum'!$T$6:$AU$308,28,FALSE)/1000000,0)</f>
        <v>0.99006488867498632</v>
      </c>
      <c r="N91" s="955">
        <f>M91*'A. Dades de partida'!$D$10+(((I91-M91)*'A. Dades de partida'!$D$10)/2)</f>
        <v>10.425874991575427</v>
      </c>
      <c r="O91" s="955">
        <f t="shared" si="9"/>
        <v>9.4358101029004402</v>
      </c>
      <c r="P91" s="916">
        <f>J91*'A. Dades de partida'!$D$10</f>
        <v>0.16122600000000001</v>
      </c>
      <c r="Q91" s="916">
        <f>J91+J91*'4. Agricultura PIB'!$D$71</f>
        <v>1.3908429599999999E-2</v>
      </c>
      <c r="R91" s="916">
        <f>(((J91-Q91)*'A. Dades de partida'!$D$10)/2)+('A. Dades de partida'!$D$10*Q91)</f>
        <v>0.184926222</v>
      </c>
      <c r="S91" s="916">
        <f t="shared" si="10"/>
        <v>2.3700221999999993E-2</v>
      </c>
    </row>
    <row r="92" spans="1:19">
      <c r="A92" s="835">
        <v>8089</v>
      </c>
      <c r="B92" s="826" t="s">
        <v>342</v>
      </c>
      <c r="C92" s="319" t="str">
        <f t="shared" si="6"/>
        <v>Baix Llobregat</v>
      </c>
      <c r="D92" s="908">
        <f>IFERROR(IF(VLOOKUP(B92,'BD ASVICC'!$A$6:$GN$316,193,FALSE)&gt;0,VLOOKUP(B92,'BD ASVICC'!$A$6:$GN$316,193,FALSE),(VLOOKUP(C92,'BD Comarcal'!$A$6:$AB$17,9,)/VLOOKUP(C92,'BD Comarcal'!$A$6:$AB$17,13,))),"")</f>
        <v>3.0000000000000001E-3</v>
      </c>
      <c r="E92" s="910">
        <f>IFERROR(IF(VLOOKUP(B92,'BD ASVICC'!$A$6:$GN$316,192,FALSE)&gt;0,VLOOKUP(B92,'BD ASVICC'!$A$6:$GN$316,192,FALSE),(VLOOKUP(C92,'BD Comarcal'!$A$6:$AB$17,14,)*F92)),"")</f>
        <v>1194</v>
      </c>
      <c r="F92" s="904">
        <f t="shared" si="11"/>
        <v>5.7126770163097633E-2</v>
      </c>
      <c r="G92" s="910">
        <f t="shared" si="8"/>
        <v>3.5820000000000003</v>
      </c>
      <c r="H92" s="910">
        <f>IFERROR(VLOOKUP(B92, base,19,FALSE)*'4. Agricultura PIB'!$K$11/1000000,G92*'4. Agricultura PIB'!$F$54)</f>
        <v>0.1492037203714017</v>
      </c>
      <c r="I92" s="910">
        <f>G92*'4. Agricultura PIB'!$F$45</f>
        <v>1.1788362000000001</v>
      </c>
      <c r="J92" s="952">
        <f>IFERROR((VLOOKUP(B92,base,19,FALSE)*'tecnicecon agric'!$D$65)/1000000,H92/3)</f>
        <v>6.3679199999999991E-2</v>
      </c>
      <c r="K92" s="952">
        <f>IFERROR(VLOOKUP(B92,'cultius resum'!$T$6:$AU$306,22,FALSE)/1000000,0)</f>
        <v>0.28014699999999998</v>
      </c>
      <c r="L92" s="915">
        <f>K92*'A. Dades de partida'!$D$10</f>
        <v>4.2022049999999993</v>
      </c>
      <c r="M92" s="956">
        <f>IFERROR(VLOOKUP(B92,'cultius resum'!$T$6:$AU$308,28,FALSE)/1000000,0)</f>
        <v>4.161378791477282</v>
      </c>
      <c r="N92" s="955">
        <f>M92*'A. Dades de partida'!$D$10+(((I92-M92)*'A. Dades de partida'!$D$10)/2)</f>
        <v>40.051612436079616</v>
      </c>
      <c r="O92" s="955">
        <f t="shared" si="9"/>
        <v>35.890233644602333</v>
      </c>
      <c r="P92" s="916">
        <f>J92*'A. Dades de partida'!$D$10</f>
        <v>0.95518799999999993</v>
      </c>
      <c r="Q92" s="916">
        <f>J92+J92*'4. Agricultura PIB'!$D$71</f>
        <v>8.240088479999999E-2</v>
      </c>
      <c r="R92" s="916">
        <f>(((J92-Q92)*'A. Dades de partida'!$D$10)/2)+('A. Dades de partida'!$D$10*Q92)</f>
        <v>1.0956006359999999</v>
      </c>
      <c r="S92" s="916">
        <f t="shared" si="10"/>
        <v>0.14041263599999998</v>
      </c>
    </row>
    <row r="93" spans="1:19">
      <c r="A93" s="835">
        <v>8090</v>
      </c>
      <c r="B93" s="826" t="s">
        <v>1100</v>
      </c>
      <c r="C93" s="319" t="str">
        <f t="shared" si="6"/>
        <v>Bages</v>
      </c>
      <c r="D93" s="908">
        <f>IFERROR(IF(VLOOKUP(B93,'BD ASVICC'!$A$6:$GN$316,193,FALSE)&gt;0,VLOOKUP(B93,'BD ASVICC'!$A$6:$GN$316,193,FALSE),(VLOOKUP(C93,'BD Comarcal'!$A$6:$AB$17,9,)/VLOOKUP(C93,'BD Comarcal'!$A$6:$AB$17,13,))),"")</f>
        <v>9.2529216416964537E-3</v>
      </c>
      <c r="E93" s="910">
        <f>IFERROR(IF(VLOOKUP(B93,'BD ASVICC'!$A$6:$GN$316,192,FALSE)&gt;0,VLOOKUP(B93,'BD ASVICC'!$A$6:$GN$316,192,FALSE),(VLOOKUP(C93,'BD Comarcal'!$A$6:$AB$17,14,)*F93)),"")</f>
        <v>3.9258405445547391</v>
      </c>
      <c r="F93" s="904">
        <f t="shared" si="11"/>
        <v>9.1753115304993088E-4</v>
      </c>
      <c r="G93" s="910">
        <f t="shared" si="8"/>
        <v>3.6325494936559934E-2</v>
      </c>
      <c r="H93" s="910">
        <f>IFERROR(VLOOKUP(B93, base,19,FALSE)*'4. Agricultura PIB'!$K$11/1000000,G93*'4. Agricultura PIB'!$F$54)</f>
        <v>1.7557571553258893</v>
      </c>
      <c r="I93" s="910">
        <f>G93*'4. Agricultura PIB'!$F$45</f>
        <v>1.1954720383621874E-2</v>
      </c>
      <c r="J93" s="952">
        <f>IFERROR((VLOOKUP(B93,base,19,FALSE)*'tecnicecon agric'!$D$65)/1000000,H93/3)</f>
        <v>0.74934599999999985</v>
      </c>
      <c r="K93" s="952">
        <f>IFERROR(VLOOKUP(B93,'cultius resum'!$T$6:$AU$306,22,FALSE)/1000000,0)</f>
        <v>0.25780962499999999</v>
      </c>
      <c r="L93" s="915">
        <f>K93*'A. Dades de partida'!$D$10</f>
        <v>3.8671443749999996</v>
      </c>
      <c r="M93" s="956">
        <f>IFERROR(VLOOKUP(B93,'cultius resum'!$T$6:$AU$308,28,FALSE)/1000000,0)</f>
        <v>2.2607782104583003</v>
      </c>
      <c r="N93" s="955">
        <f>M93*'A. Dades de partida'!$D$10+(((I93-M93)*'A. Dades de partida'!$D$10)/2)</f>
        <v>17.045496981314418</v>
      </c>
      <c r="O93" s="955">
        <f t="shared" si="9"/>
        <v>14.784718770856118</v>
      </c>
      <c r="P93" s="916">
        <f>J93*'A. Dades de partida'!$D$10</f>
        <v>11.240189999999998</v>
      </c>
      <c r="Q93" s="916">
        <f>J93+J93*'4. Agricultura PIB'!$D$71</f>
        <v>0.96965372399999983</v>
      </c>
      <c r="R93" s="916">
        <f>(((J93-Q93)*'A. Dades de partida'!$D$10)/2)+('A. Dades de partida'!$D$10*Q93)</f>
        <v>12.892497929999998</v>
      </c>
      <c r="S93" s="916">
        <f t="shared" si="10"/>
        <v>1.6523079299999992</v>
      </c>
    </row>
    <row r="94" spans="1:19">
      <c r="A94" s="835">
        <v>8091</v>
      </c>
      <c r="B94" s="826" t="s">
        <v>1102</v>
      </c>
      <c r="C94" s="319" t="str">
        <f t="shared" si="6"/>
        <v>Alt Penedès</v>
      </c>
      <c r="D94" s="908">
        <f>IFERROR(IF(VLOOKUP(B94,'BD ASVICC'!$A$6:$GN$316,193,FALSE)&gt;0,VLOOKUP(B94,'BD ASVICC'!$A$6:$GN$316,193,FALSE),(VLOOKUP(C94,'BD Comarcal'!$A$6:$AB$17,9,)/VLOOKUP(C94,'BD Comarcal'!$A$6:$AB$17,13,))),"")</f>
        <v>8.0000000000000002E-3</v>
      </c>
      <c r="E94" s="910">
        <f>IFERROR(IF(VLOOKUP(B94,'BD ASVICC'!$A$6:$GN$316,192,FALSE)&gt;0,VLOOKUP(B94,'BD ASVICC'!$A$6:$GN$316,192,FALSE),(VLOOKUP(C94,'BD Comarcal'!$A$6:$AB$17,14,)*F94)),"")</f>
        <v>117</v>
      </c>
      <c r="F94" s="904">
        <f t="shared" si="11"/>
        <v>6.8106327922841686E-2</v>
      </c>
      <c r="G94" s="910">
        <f t="shared" si="8"/>
        <v>0.93600000000000005</v>
      </c>
      <c r="H94" s="910">
        <f>IFERROR(VLOOKUP(B94, base,19,FALSE)*'4. Agricultura PIB'!$K$11/1000000,G94*'4. Agricultura PIB'!$F$54)</f>
        <v>1.9006843359414228E-3</v>
      </c>
      <c r="I94" s="910">
        <f>G94*'4. Agricultura PIB'!$F$45</f>
        <v>0.30803760000000002</v>
      </c>
      <c r="J94" s="952">
        <f>IFERROR((VLOOKUP(B94,base,19,FALSE)*'tecnicecon agric'!$D$65)/1000000,H94/3)</f>
        <v>8.1119999999999999E-4</v>
      </c>
      <c r="K94" s="952">
        <f>IFERROR(VLOOKUP(B94,'cultius resum'!$T$6:$AU$306,22,FALSE)/1000000,0)</f>
        <v>2.4420958333333333E-2</v>
      </c>
      <c r="L94" s="915">
        <f>K94*'A. Dades de partida'!$D$10</f>
        <v>0.36631437499999997</v>
      </c>
      <c r="M94" s="956">
        <f>IFERROR(VLOOKUP(B94,'cultius resum'!$T$6:$AU$308,28,FALSE)/1000000,0)</f>
        <v>0.22040183542491493</v>
      </c>
      <c r="N94" s="955">
        <f>M94*'A. Dades de partida'!$D$10+(((I94-M94)*'A. Dades de partida'!$D$10)/2)</f>
        <v>3.9632957656868619</v>
      </c>
      <c r="O94" s="955">
        <f t="shared" si="9"/>
        <v>3.7428939302619471</v>
      </c>
      <c r="P94" s="916">
        <f>J94*'A. Dades de partida'!$D$10</f>
        <v>1.2168E-2</v>
      </c>
      <c r="Q94" s="916">
        <f>J94+J94*'4. Agricultura PIB'!$D$71</f>
        <v>1.0496927999999999E-3</v>
      </c>
      <c r="R94" s="916">
        <f>(((J94-Q94)*'A. Dades de partida'!$D$10)/2)+('A. Dades de partida'!$D$10*Q94)</f>
        <v>1.3956695999999998E-2</v>
      </c>
      <c r="S94" s="916">
        <f t="shared" si="10"/>
        <v>1.7886959999999976E-3</v>
      </c>
    </row>
    <row r="95" spans="1:19">
      <c r="A95" s="835">
        <v>8092</v>
      </c>
      <c r="B95" s="826" t="s">
        <v>1104</v>
      </c>
      <c r="C95" s="319" t="str">
        <f t="shared" si="6"/>
        <v>Berguedà</v>
      </c>
      <c r="D95" s="908">
        <f>IFERROR(IF(VLOOKUP(B95,'BD ASVICC'!$A$6:$GN$316,193,FALSE)&gt;0,VLOOKUP(B95,'BD ASVICC'!$A$6:$GN$316,193,FALSE),(VLOOKUP(C95,'BD Comarcal'!$A$6:$AB$17,9,)/VLOOKUP(C95,'BD Comarcal'!$A$6:$AB$17,13,))),"")</f>
        <v>1.2E-2</v>
      </c>
      <c r="E95" s="910">
        <f>IFERROR(IF(VLOOKUP(B95,'BD ASVICC'!$A$6:$GN$316,192,FALSE)&gt;0,VLOOKUP(B95,'BD ASVICC'!$A$6:$GN$316,192,FALSE),(VLOOKUP(C95,'BD Comarcal'!$A$6:$AB$17,14,)*F95)),"")</f>
        <v>66</v>
      </c>
      <c r="F95" s="904">
        <f t="shared" si="11"/>
        <v>0.12325795089080606</v>
      </c>
      <c r="G95" s="910">
        <f t="shared" si="8"/>
        <v>0.79200000000000004</v>
      </c>
      <c r="H95" s="910">
        <f>IFERROR(VLOOKUP(B95, base,19,FALSE)*'4. Agricultura PIB'!$K$11/1000000,G95*'4. Agricultura PIB'!$F$54)</f>
        <v>1.3789464857255023</v>
      </c>
      <c r="I95" s="910">
        <f>G95*'4. Agricultura PIB'!$F$45</f>
        <v>0.26064720000000002</v>
      </c>
      <c r="J95" s="952">
        <f>IFERROR((VLOOKUP(B95,base,19,FALSE)*'tecnicecon agric'!$D$65)/1000000,H95/3)</f>
        <v>0.58852559999999998</v>
      </c>
      <c r="K95" s="952">
        <f>IFERROR(VLOOKUP(B95,'cultius resum'!$T$6:$AU$306,22,FALSE)/1000000,0)</f>
        <v>0.10504866666666665</v>
      </c>
      <c r="L95" s="915">
        <f>K95*'A. Dades de partida'!$D$10</f>
        <v>1.5757299999999999</v>
      </c>
      <c r="M95" s="956">
        <f>IFERROR(VLOOKUP(B95,'cultius resum'!$T$6:$AU$308,28,FALSE)/1000000,0)</f>
        <v>0.91837714639995527</v>
      </c>
      <c r="N95" s="955">
        <f>M95*'A. Dades de partida'!$D$10+(((I95-M95)*'A. Dades de partida'!$D$10)/2)</f>
        <v>8.8426825979996657</v>
      </c>
      <c r="O95" s="955">
        <f t="shared" si="9"/>
        <v>7.9243054515997109</v>
      </c>
      <c r="P95" s="916">
        <f>J95*'A. Dades de partida'!$D$10</f>
        <v>8.8278839999999992</v>
      </c>
      <c r="Q95" s="916">
        <f>J95+J95*'4. Agricultura PIB'!$D$71</f>
        <v>0.76155212640000003</v>
      </c>
      <c r="R95" s="916">
        <f>(((J95-Q95)*'A. Dades de partida'!$D$10)/2)+('A. Dades de partida'!$D$10*Q95)</f>
        <v>10.125582948</v>
      </c>
      <c r="S95" s="916">
        <f t="shared" si="10"/>
        <v>1.2976989480000007</v>
      </c>
    </row>
    <row r="96" spans="1:19">
      <c r="A96" s="835">
        <v>8093</v>
      </c>
      <c r="B96" s="826" t="s">
        <v>1105</v>
      </c>
      <c r="C96" s="319" t="str">
        <f t="shared" si="6"/>
        <v>Berguedà</v>
      </c>
      <c r="D96" s="908">
        <f>IFERROR(IF(VLOOKUP(B96,'BD ASVICC'!$A$6:$GN$316,193,FALSE)&gt;0,VLOOKUP(B96,'BD ASVICC'!$A$6:$GN$316,193,FALSE),(VLOOKUP(C96,'BD Comarcal'!$A$6:$AB$17,9,)/VLOOKUP(C96,'BD Comarcal'!$A$6:$AB$17,13,))),"")</f>
        <v>4.1611624834874503E-2</v>
      </c>
      <c r="E96" s="910">
        <f>IFERROR(IF(VLOOKUP(B96,'BD ASVICC'!$A$6:$GN$316,192,FALSE)&gt;0,VLOOKUP(B96,'BD ASVICC'!$A$6:$GN$316,192,FALSE),(VLOOKUP(C96,'BD Comarcal'!$A$6:$AB$17,14,)*F96)),"")</f>
        <v>0.60778753382000106</v>
      </c>
      <c r="F96" s="904">
        <f t="shared" si="11"/>
        <v>7.4021134310071977E-4</v>
      </c>
      <c r="G96" s="910">
        <f t="shared" si="8"/>
        <v>2.5291026836631484E-2</v>
      </c>
      <c r="H96" s="910">
        <f>IFERROR(VLOOKUP(B96, base,19,FALSE)*'4. Agricultura PIB'!$K$11/1000000,G96*'4. Agricultura PIB'!$F$54)</f>
        <v>1.6461929367963434E-2</v>
      </c>
      <c r="I96" s="910">
        <f>G96*'4. Agricultura PIB'!$F$45</f>
        <v>8.3232769319354222E-3</v>
      </c>
      <c r="J96" s="952">
        <f>IFERROR((VLOOKUP(B96,base,19,FALSE)*'tecnicecon agric'!$D$65)/1000000,H96/3)</f>
        <v>5.487309789321145E-3</v>
      </c>
      <c r="K96" s="952">
        <f>IFERROR(VLOOKUP(B96,'cultius resum'!$T$6:$AU$306,22,FALSE)/1000000,0)</f>
        <v>0</v>
      </c>
      <c r="L96" s="915">
        <f>K96*'A. Dades de partida'!$D$10</f>
        <v>0</v>
      </c>
      <c r="M96" s="956">
        <f>IFERROR(VLOOKUP(B96,'cultius resum'!$T$6:$AU$308,28,FALSE)/1000000,0)</f>
        <v>0</v>
      </c>
      <c r="N96" s="955">
        <f>M96*'A. Dades de partida'!$D$10+(((I96-M96)*'A. Dades de partida'!$D$10)/2)</f>
        <v>6.2424576989515666E-2</v>
      </c>
      <c r="O96" s="955">
        <f t="shared" si="9"/>
        <v>6.2424576989515666E-2</v>
      </c>
      <c r="P96" s="916">
        <f>J96*'A. Dades de partida'!$D$10</f>
        <v>8.2309646839817174E-2</v>
      </c>
      <c r="Q96" s="916">
        <f>J96+J96*'4. Agricultura PIB'!$D$71</f>
        <v>7.1005788673815613E-3</v>
      </c>
      <c r="R96" s="916">
        <f>(((J96-Q96)*'A. Dades de partida'!$D$10)/2)+('A. Dades de partida'!$D$10*Q96)</f>
        <v>9.4409164925270295E-2</v>
      </c>
      <c r="S96" s="916">
        <f t="shared" si="10"/>
        <v>1.209951808545312E-2</v>
      </c>
    </row>
    <row r="97" spans="1:19">
      <c r="A97" s="835">
        <v>8094</v>
      </c>
      <c r="B97" s="826" t="s">
        <v>1108</v>
      </c>
      <c r="C97" s="319" t="str">
        <f t="shared" si="6"/>
        <v>Alt Penedès</v>
      </c>
      <c r="D97" s="908">
        <f>IFERROR(IF(VLOOKUP(B97,'BD ASVICC'!$A$6:$GN$316,193,FALSE)&gt;0,VLOOKUP(B97,'BD ASVICC'!$A$6:$GN$316,193,FALSE),(VLOOKUP(C97,'BD Comarcal'!$A$6:$AB$17,9,)/VLOOKUP(C97,'BD Comarcal'!$A$6:$AB$17,13,))),"")</f>
        <v>1.0966842723004694E-2</v>
      </c>
      <c r="E97" s="910">
        <f>IFERROR(IF(VLOOKUP(B97,'BD ASVICC'!$A$6:$GN$316,192,FALSE)&gt;0,VLOOKUP(B97,'BD ASVICC'!$A$6:$GN$316,192,FALSE),(VLOOKUP(C97,'BD Comarcal'!$A$6:$AB$17,14,)*F97)),"")</f>
        <v>58.184005645730409</v>
      </c>
      <c r="F97" s="904">
        <f t="shared" si="11"/>
        <v>1.9675370501058574E-2</v>
      </c>
      <c r="G97" s="910">
        <f t="shared" si="8"/>
        <v>0.63809483891114249</v>
      </c>
      <c r="H97" s="910">
        <f>IFERROR(VLOOKUP(B97, base,19,FALSE)*'4. Agricultura PIB'!$K$11/1000000,G97*'4. Agricultura PIB'!$F$54)</f>
        <v>6.2722583086066958E-2</v>
      </c>
      <c r="I97" s="910">
        <f>G97*'4. Agricultura PIB'!$F$45</f>
        <v>0.209997011485657</v>
      </c>
      <c r="J97" s="952">
        <f>IFERROR((VLOOKUP(B97,base,19,FALSE)*'tecnicecon agric'!$D$65)/1000000,H97/3)</f>
        <v>2.6769599999999998E-2</v>
      </c>
      <c r="K97" s="952">
        <f>IFERROR(VLOOKUP(B97,'cultius resum'!$T$6:$AU$306,22,FALSE)/1000000,0)</f>
        <v>2.3291333333333331E-2</v>
      </c>
      <c r="L97" s="915">
        <f>K97*'A. Dades de partida'!$D$10</f>
        <v>0.34936999999999996</v>
      </c>
      <c r="M97" s="956">
        <f>IFERROR(VLOOKUP(B97,'cultius resum'!$T$6:$AU$308,28,FALSE)/1000000,0)</f>
        <v>0.20362208223347431</v>
      </c>
      <c r="N97" s="955">
        <f>M97*'A. Dades de partida'!$D$10+(((I97-M97)*'A. Dades de partida'!$D$10)/2)</f>
        <v>3.1021432028934846</v>
      </c>
      <c r="O97" s="955">
        <f t="shared" si="9"/>
        <v>2.8985211206600101</v>
      </c>
      <c r="P97" s="916">
        <f>J97*'A. Dades de partida'!$D$10</f>
        <v>0.40154399999999996</v>
      </c>
      <c r="Q97" s="916">
        <f>J97+J97*'4. Agricultura PIB'!$D$71</f>
        <v>3.4639862399999999E-2</v>
      </c>
      <c r="R97" s="916">
        <f>(((J97-Q97)*'A. Dades de partida'!$D$10)/2)+('A. Dades de partida'!$D$10*Q97)</f>
        <v>0.46057096800000003</v>
      </c>
      <c r="S97" s="916">
        <f t="shared" si="10"/>
        <v>5.9026968000000068E-2</v>
      </c>
    </row>
    <row r="98" spans="1:19">
      <c r="A98" s="835">
        <v>8095</v>
      </c>
      <c r="B98" s="826" t="s">
        <v>1110</v>
      </c>
      <c r="C98" s="319" t="str">
        <f t="shared" si="6"/>
        <v>Moianès</v>
      </c>
      <c r="D98" s="908">
        <f>IFERROR(IF(VLOOKUP(B98,'BD ASVICC'!$A$6:$GN$316,193,FALSE)&gt;0,VLOOKUP(B98,'BD ASVICC'!$A$6:$GN$316,193,FALSE),(VLOOKUP(C98,'BD Comarcal'!$A$6:$AB$17,9,)/VLOOKUP(C98,'BD Comarcal'!$A$6:$AB$17,13,))),"")</f>
        <v>2.4061990212071782E-2</v>
      </c>
      <c r="E98" s="910">
        <f>IFERROR(IF(VLOOKUP(B98,'BD ASVICC'!$A$6:$GN$316,192,FALSE)&gt;0,VLOOKUP(B98,'BD ASVICC'!$A$6:$GN$316,192,FALSE),(VLOOKUP(C98,'BD Comarcal'!$A$6:$AB$17,14,)*F98)),"")</f>
        <v>1.5902869255810432</v>
      </c>
      <c r="F98" s="904">
        <f t="shared" si="11"/>
        <v>5.9807706866530398E-3</v>
      </c>
      <c r="G98" s="910">
        <f t="shared" si="8"/>
        <v>3.826546843771679E-2</v>
      </c>
      <c r="H98" s="910">
        <f>IFERROR(VLOOKUP(B98, base,19,FALSE)*'4. Agricultura PIB'!$K$11/1000000,G98*'4. Agricultura PIB'!$F$54)</f>
        <v>4.7517108398535575E-3</v>
      </c>
      <c r="I98" s="910">
        <f>G98*'4. Agricultura PIB'!$F$45</f>
        <v>1.2593165662852596E-2</v>
      </c>
      <c r="J98" s="952">
        <f>IFERROR((VLOOKUP(B98,base,19,FALSE)*'tecnicecon agric'!$D$65)/1000000,H98/3)</f>
        <v>2.0279999999999999E-3</v>
      </c>
      <c r="K98" s="952">
        <f>IFERROR(VLOOKUP(B98,'cultius resum'!$T$6:$AU$306,22,FALSE)/1000000,0)</f>
        <v>3.7075999999999998E-2</v>
      </c>
      <c r="L98" s="915">
        <f>K98*'A. Dades de partida'!$D$10</f>
        <v>0.55613999999999997</v>
      </c>
      <c r="M98" s="956">
        <f>IFERROR(VLOOKUP(B98,'cultius resum'!$T$6:$AU$308,28,FALSE)/1000000,0)</f>
        <v>0.32413311049410187</v>
      </c>
      <c r="N98" s="955">
        <f>M98*'A. Dades de partida'!$D$10+(((I98-M98)*'A. Dades de partida'!$D$10)/2)</f>
        <v>2.5254470711771591</v>
      </c>
      <c r="O98" s="955">
        <f t="shared" si="9"/>
        <v>2.2013139606830574</v>
      </c>
      <c r="P98" s="916">
        <f>J98*'A. Dades de partida'!$D$10</f>
        <v>3.0419999999999999E-2</v>
      </c>
      <c r="Q98" s="916">
        <f>J98+J98*'4. Agricultura PIB'!$D$71</f>
        <v>2.6242319999999998E-3</v>
      </c>
      <c r="R98" s="916">
        <f>(((J98-Q98)*'A. Dades de partida'!$D$10)/2)+('A. Dades de partida'!$D$10*Q98)</f>
        <v>3.4891739999999997E-2</v>
      </c>
      <c r="S98" s="916">
        <f t="shared" si="10"/>
        <v>4.4717399999999984E-3</v>
      </c>
    </row>
    <row r="99" spans="1:19">
      <c r="A99" s="835">
        <v>8096</v>
      </c>
      <c r="B99" s="826" t="s">
        <v>1113</v>
      </c>
      <c r="C99" s="319" t="str">
        <f t="shared" si="6"/>
        <v>Vallès Oriental</v>
      </c>
      <c r="D99" s="908">
        <f>IFERROR(IF(VLOOKUP(B99,'BD ASVICC'!$A$6:$GN$316,193,FALSE)&gt;0,VLOOKUP(B99,'BD ASVICC'!$A$6:$GN$316,193,FALSE),(VLOOKUP(C99,'BD Comarcal'!$A$6:$AB$17,9,)/VLOOKUP(C99,'BD Comarcal'!$A$6:$AB$17,13,))),"")</f>
        <v>3.6614258022830064E-3</v>
      </c>
      <c r="E99" s="910">
        <f>IFERROR(IF(VLOOKUP(B99,'BD ASVICC'!$A$6:$GN$316,192,FALSE)&gt;0,VLOOKUP(B99,'BD ASVICC'!$A$6:$GN$316,192,FALSE),(VLOOKUP(C99,'BD Comarcal'!$A$6:$AB$17,14,)*F99)),"")</f>
        <v>2196</v>
      </c>
      <c r="F99" s="904">
        <f t="shared" si="11"/>
        <v>0.14993347253437253</v>
      </c>
      <c r="G99" s="910">
        <f t="shared" si="8"/>
        <v>8.0404910618134817</v>
      </c>
      <c r="H99" s="910">
        <f>IFERROR(VLOOKUP(B99, base,19,FALSE)*'4. Agricultura PIB'!$K$11/1000000,G99*'4. Agricultura PIB'!$F$54)</f>
        <v>0.3368962985456172</v>
      </c>
      <c r="I99" s="910">
        <f>G99*'4. Agricultura PIB'!$F$45</f>
        <v>2.6461256084428171</v>
      </c>
      <c r="J99" s="952">
        <f>IFERROR((VLOOKUP(B99,base,19,FALSE)*'tecnicecon agric'!$D$65)/1000000,H99/3)</f>
        <v>0.14378519999999997</v>
      </c>
      <c r="K99" s="952">
        <f>IFERROR(VLOOKUP(B99,'cultius resum'!$T$6:$AU$306,22,FALSE)/1000000,0)</f>
        <v>0.19233749999999999</v>
      </c>
      <c r="L99" s="915">
        <f>K99*'A. Dades de partida'!$D$10</f>
        <v>2.8850625000000001</v>
      </c>
      <c r="M99" s="956">
        <f>IFERROR(VLOOKUP(B99,'cultius resum'!$T$6:$AU$308,28,FALSE)/1000000,0)</f>
        <v>2.3166700955600139</v>
      </c>
      <c r="N99" s="955">
        <f>M99*'A. Dades de partida'!$D$10+(((I99-M99)*'A. Dades de partida'!$D$10)/2)</f>
        <v>37.220967780021233</v>
      </c>
      <c r="O99" s="955">
        <f t="shared" si="9"/>
        <v>34.90429768446122</v>
      </c>
      <c r="P99" s="916">
        <f>J99*'A. Dades de partida'!$D$10</f>
        <v>2.1567779999999996</v>
      </c>
      <c r="Q99" s="916">
        <f>J99+J99*'4. Agricultura PIB'!$D$71</f>
        <v>0.18605804879999996</v>
      </c>
      <c r="R99" s="916">
        <f>(((J99-Q99)*'A. Dades de partida'!$D$10)/2)+('A. Dades de partida'!$D$10*Q99)</f>
        <v>2.4738243659999992</v>
      </c>
      <c r="S99" s="916">
        <f t="shared" si="10"/>
        <v>0.31704636599999958</v>
      </c>
    </row>
    <row r="100" spans="1:19">
      <c r="A100" s="835">
        <v>8097</v>
      </c>
      <c r="B100" s="826" t="s">
        <v>1116</v>
      </c>
      <c r="C100" s="319" t="str">
        <f t="shared" si="6"/>
        <v>Vallès Oriental</v>
      </c>
      <c r="D100" s="908">
        <f>IFERROR(IF(VLOOKUP(B100,'BD ASVICC'!$A$6:$GN$316,193,FALSE)&gt;0,VLOOKUP(B100,'BD ASVICC'!$A$6:$GN$316,193,FALSE),(VLOOKUP(C100,'BD Comarcal'!$A$6:$AB$17,9,)/VLOOKUP(C100,'BD Comarcal'!$A$6:$AB$17,13,))),"")</f>
        <v>3.6614258022830064E-3</v>
      </c>
      <c r="E100" s="910">
        <f>IFERROR(IF(VLOOKUP(B100,'BD ASVICC'!$A$6:$GN$316,192,FALSE)&gt;0,VLOOKUP(B100,'BD ASVICC'!$A$6:$GN$316,192,FALSE),(VLOOKUP(C100,'BD Comarcal'!$A$6:$AB$17,14,)*F100)),"")</f>
        <v>39.366025145887001</v>
      </c>
      <c r="F100" s="904">
        <f t="shared" si="11"/>
        <v>3.5531148308906705E-3</v>
      </c>
      <c r="G100" s="910">
        <f t="shared" si="8"/>
        <v>0.14413578020247231</v>
      </c>
      <c r="H100" s="910">
        <f>IFERROR(VLOOKUP(B100, base,19,FALSE)*'4. Agricultura PIB'!$K$11/1000000,G100*'4. Agricultura PIB'!$F$54)</f>
        <v>1.1404106015648537E-2</v>
      </c>
      <c r="I100" s="910">
        <f>G100*'4. Agricultura PIB'!$F$45</f>
        <v>4.7435085264633636E-2</v>
      </c>
      <c r="J100" s="952">
        <f>IFERROR((VLOOKUP(B100,base,19,FALSE)*'tecnicecon agric'!$D$65)/1000000,H100/3)</f>
        <v>4.8671999999999995E-3</v>
      </c>
      <c r="K100" s="952">
        <f>IFERROR(VLOOKUP(B100,'cultius resum'!$T$6:$AU$306,22,FALSE)/1000000,0)</f>
        <v>3.1265916666666664E-2</v>
      </c>
      <c r="L100" s="915">
        <f>K100*'A. Dades de partida'!$D$10</f>
        <v>0.46898874999999995</v>
      </c>
      <c r="M100" s="956">
        <f>IFERROR(VLOOKUP(B100,'cultius resum'!$T$6:$AU$308,28,FALSE)/1000000,0)</f>
        <v>0.39761326951470538</v>
      </c>
      <c r="N100" s="955">
        <f>M100*'A. Dades de partida'!$D$10+(((I100-M100)*'A. Dades de partida'!$D$10)/2)</f>
        <v>3.3378626608450426</v>
      </c>
      <c r="O100" s="955">
        <f t="shared" si="9"/>
        <v>2.9402493913303371</v>
      </c>
      <c r="P100" s="916">
        <f>J100*'A. Dades de partida'!$D$10</f>
        <v>7.300799999999999E-2</v>
      </c>
      <c r="Q100" s="916">
        <f>J100+J100*'4. Agricultura PIB'!$D$71</f>
        <v>6.2981567999999995E-3</v>
      </c>
      <c r="R100" s="916">
        <f>(((J100-Q100)*'A. Dades de partida'!$D$10)/2)+('A. Dades de partida'!$D$10*Q100)</f>
        <v>8.3740176E-2</v>
      </c>
      <c r="S100" s="916">
        <f t="shared" si="10"/>
        <v>1.073217600000001E-2</v>
      </c>
    </row>
    <row r="101" spans="1:19" ht="30">
      <c r="A101" s="835">
        <v>8098</v>
      </c>
      <c r="B101" s="826" t="s">
        <v>1121</v>
      </c>
      <c r="C101" s="319" t="str">
        <f t="shared" si="6"/>
        <v>Bages</v>
      </c>
      <c r="D101" s="908">
        <f>IFERROR(IF(VLOOKUP(B101,'BD ASVICC'!$A$6:$GN$316,193,FALSE)&gt;0,VLOOKUP(B101,'BD ASVICC'!$A$6:$GN$316,193,FALSE),(VLOOKUP(C101,'BD Comarcal'!$A$6:$AB$17,9,)/VLOOKUP(C101,'BD Comarcal'!$A$6:$AB$17,13,))),"")</f>
        <v>9.2529216416964537E-3</v>
      </c>
      <c r="E101" s="910">
        <f>IFERROR(IF(VLOOKUP(B101,'BD ASVICC'!$A$6:$GN$316,192,FALSE)&gt;0,VLOOKUP(B101,'BD ASVICC'!$A$6:$GN$316,192,FALSE),(VLOOKUP(C101,'BD Comarcal'!$A$6:$AB$17,14,)*F101)),"")</f>
        <v>77.069157190290213</v>
      </c>
      <c r="F101" s="904">
        <f t="shared" si="11"/>
        <v>1.8012283448311454E-2</v>
      </c>
      <c r="G101" s="910">
        <f t="shared" si="8"/>
        <v>0.71311487247334215</v>
      </c>
      <c r="H101" s="910">
        <f>IFERROR(VLOOKUP(B101, base,19,FALSE)*'4. Agricultura PIB'!$K$11/1000000,G101*'4. Agricultura PIB'!$F$54)</f>
        <v>0.41339884306725949</v>
      </c>
      <c r="I101" s="910">
        <f>G101*'4. Agricultura PIB'!$F$45</f>
        <v>0.23468610453097691</v>
      </c>
      <c r="J101" s="952">
        <f>IFERROR((VLOOKUP(B101,base,19,FALSE)*'tecnicecon agric'!$D$65)/1000000,H101/3)</f>
        <v>0.17643599999999998</v>
      </c>
      <c r="K101" s="952">
        <f>IFERROR(VLOOKUP(B101,'cultius resum'!$T$6:$AU$306,22,FALSE)/1000000,0)</f>
        <v>0.22115308333333331</v>
      </c>
      <c r="L101" s="915">
        <f>K101*'A. Dades de partida'!$D$10</f>
        <v>3.3172962499999996</v>
      </c>
      <c r="M101" s="956">
        <f>IFERROR(VLOOKUP(B101,'cultius resum'!$T$6:$AU$308,28,FALSE)/1000000,0)</f>
        <v>1.9748327862363355</v>
      </c>
      <c r="N101" s="955">
        <f>M101*'A. Dades de partida'!$D$10+(((I101-M101)*'A. Dades de partida'!$D$10)/2)</f>
        <v>16.571391680754843</v>
      </c>
      <c r="O101" s="955">
        <f t="shared" si="9"/>
        <v>14.596558894518507</v>
      </c>
      <c r="P101" s="916">
        <f>J101*'A. Dades de partida'!$D$10</f>
        <v>2.6465399999999999</v>
      </c>
      <c r="Q101" s="916">
        <f>J101+J101*'4. Agricultura PIB'!$D$71</f>
        <v>0.22830818399999997</v>
      </c>
      <c r="R101" s="916">
        <f>(((J101-Q101)*'A. Dades de partida'!$D$10)/2)+('A. Dades de partida'!$D$10*Q101)</f>
        <v>3.03558138</v>
      </c>
      <c r="S101" s="916">
        <f t="shared" si="10"/>
        <v>0.3890413800000001</v>
      </c>
    </row>
    <row r="102" spans="1:19">
      <c r="A102" s="835">
        <v>8099</v>
      </c>
      <c r="B102" s="826" t="s">
        <v>1125</v>
      </c>
      <c r="C102" s="319" t="str">
        <f t="shared" si="6"/>
        <v>Berguedà</v>
      </c>
      <c r="D102" s="908">
        <f>IFERROR(IF(VLOOKUP(B102,'BD ASVICC'!$A$6:$GN$316,193,FALSE)&gt;0,VLOOKUP(B102,'BD ASVICC'!$A$6:$GN$316,193,FALSE),(VLOOKUP(C102,'BD Comarcal'!$A$6:$AB$17,9,)/VLOOKUP(C102,'BD Comarcal'!$A$6:$AB$17,13,))),"")</f>
        <v>4.1611624834874503E-2</v>
      </c>
      <c r="E102" s="910">
        <f>IFERROR(IF(VLOOKUP(B102,'BD ASVICC'!$A$6:$GN$316,192,FALSE)&gt;0,VLOOKUP(B102,'BD ASVICC'!$A$6:$GN$316,192,FALSE),(VLOOKUP(C102,'BD Comarcal'!$A$6:$AB$17,14,)*F102)),"")</f>
        <v>18.799497166777272</v>
      </c>
      <c r="F102" s="904">
        <f t="shared" si="11"/>
        <v>2.2895502577977435E-2</v>
      </c>
      <c r="G102" s="910">
        <f t="shared" si="8"/>
        <v>0.78227762318822192</v>
      </c>
      <c r="H102" s="910">
        <f>IFERROR(VLOOKUP(B102, base,19,FALSE)*'4. Agricultura PIB'!$K$11/1000000,G102*'4. Agricultura PIB'!$F$54)</f>
        <v>0.29745709857483266</v>
      </c>
      <c r="I102" s="910">
        <f>G102*'4. Agricultura PIB'!$F$45</f>
        <v>0.25744756579124384</v>
      </c>
      <c r="J102" s="952">
        <f>IFERROR((VLOOKUP(B102,base,19,FALSE)*'tecnicecon agric'!$D$65)/1000000,H102/3)</f>
        <v>0.12695279999999998</v>
      </c>
      <c r="K102" s="952">
        <f>IFERROR(VLOOKUP(B102,'cultius resum'!$T$6:$AU$306,22,FALSE)/1000000,0)</f>
        <v>5.7039999999999999E-3</v>
      </c>
      <c r="L102" s="915">
        <f>K102*'A. Dades de partida'!$D$10</f>
        <v>8.5559999999999997E-2</v>
      </c>
      <c r="M102" s="956">
        <f>IFERROR(VLOOKUP(B102,'cultius resum'!$T$6:$AU$308,28,FALSE)/1000000,0)</f>
        <v>4.9866632383707983E-2</v>
      </c>
      <c r="N102" s="955">
        <f>M102*'A. Dades de partida'!$D$10+(((I102-M102)*'A. Dades de partida'!$D$10)/2)</f>
        <v>2.3048564863121386</v>
      </c>
      <c r="O102" s="955">
        <f t="shared" si="9"/>
        <v>2.2549898539284308</v>
      </c>
      <c r="P102" s="916">
        <f>J102*'A. Dades de partida'!$D$10</f>
        <v>1.9042919999999997</v>
      </c>
      <c r="Q102" s="916">
        <f>J102+J102*'4. Agricultura PIB'!$D$71</f>
        <v>0.16427692319999998</v>
      </c>
      <c r="R102" s="916">
        <f>(((J102-Q102)*'A. Dades de partida'!$D$10)/2)+('A. Dades de partida'!$D$10*Q102)</f>
        <v>2.1842229239999997</v>
      </c>
      <c r="S102" s="916">
        <f t="shared" si="10"/>
        <v>0.27993092400000008</v>
      </c>
    </row>
    <row r="103" spans="1:19">
      <c r="A103" s="835">
        <v>8100</v>
      </c>
      <c r="B103" s="826" t="s">
        <v>1127</v>
      </c>
      <c r="C103" s="319" t="str">
        <f t="shared" si="6"/>
        <v>Osona</v>
      </c>
      <c r="D103" s="908">
        <f>IFERROR(IF(VLOOKUP(B103,'BD ASVICC'!$A$6:$GN$316,193,FALSE)&gt;0,VLOOKUP(B103,'BD ASVICC'!$A$6:$GN$316,193,FALSE),(VLOOKUP(C103,'BD Comarcal'!$A$6:$AB$17,9,)/VLOOKUP(C103,'BD Comarcal'!$A$6:$AB$17,13,))),"")</f>
        <v>1.8400340353116357E-2</v>
      </c>
      <c r="E103" s="910">
        <f>IFERROR(IF(VLOOKUP(B103,'BD ASVICC'!$A$6:$GN$316,192,FALSE)&gt;0,VLOOKUP(B103,'BD ASVICC'!$A$6:$GN$316,192,FALSE),(VLOOKUP(C103,'BD Comarcal'!$A$6:$AB$17,14,)*F103)),"")</f>
        <v>67.068913718107694</v>
      </c>
      <c r="F103" s="904">
        <f t="shared" si="11"/>
        <v>1.644168310406641E-2</v>
      </c>
      <c r="G103" s="910">
        <f t="shared" si="8"/>
        <v>1.2340908395269763</v>
      </c>
      <c r="H103" s="910">
        <f>IFERROR(VLOOKUP(B103, base,19,FALSE)*'4. Agricultura PIB'!$K$11/1000000,G103*'4. Agricultura PIB'!$F$54)</f>
        <v>10.373935105568286</v>
      </c>
      <c r="I103" s="910">
        <f>G103*'4. Agricultura PIB'!$F$45</f>
        <v>0.40613929528832793</v>
      </c>
      <c r="J103" s="952">
        <f>IFERROR((VLOOKUP(B103,base,19,FALSE)*'tecnicecon agric'!$D$65)/1000000,H103/3)</f>
        <v>4.4275295999999997</v>
      </c>
      <c r="K103" s="952">
        <f>IFERROR(VLOOKUP(B103,'cultius resum'!$T$6:$AU$306,22,FALSE)/1000000,0)</f>
        <v>1.3253702083333332</v>
      </c>
      <c r="L103" s="915">
        <f>K103*'A. Dades de partida'!$D$10</f>
        <v>19.880553124999999</v>
      </c>
      <c r="M103" s="956">
        <f>IFERROR(VLOOKUP(B103,'cultius resum'!$T$6:$AU$308,28,FALSE)/1000000,0)</f>
        <v>12.38088665410114</v>
      </c>
      <c r="N103" s="955">
        <f>M103*'A. Dades de partida'!$D$10+(((I103-M103)*'A. Dades de partida'!$D$10)/2)</f>
        <v>95.902694620421002</v>
      </c>
      <c r="O103" s="955">
        <f t="shared" si="9"/>
        <v>83.521807966319869</v>
      </c>
      <c r="P103" s="916">
        <f>J103*'A. Dades de partida'!$D$10</f>
        <v>66.412943999999996</v>
      </c>
      <c r="Q103" s="916">
        <f>J103+J103*'4. Agricultura PIB'!$D$71</f>
        <v>5.7292233023999994</v>
      </c>
      <c r="R103" s="916">
        <f>(((J103-Q103)*'A. Dades de partida'!$D$10)/2)+('A. Dades de partida'!$D$10*Q103)</f>
        <v>76.175646767999993</v>
      </c>
      <c r="S103" s="916">
        <f t="shared" si="10"/>
        <v>9.7627027679999969</v>
      </c>
    </row>
    <row r="104" spans="1:19">
      <c r="A104" s="835">
        <v>8101</v>
      </c>
      <c r="B104" s="826" t="s">
        <v>1135</v>
      </c>
      <c r="C104" s="319" t="str">
        <f t="shared" si="6"/>
        <v>Barcelonès</v>
      </c>
      <c r="D104" s="908">
        <f>IFERROR(IF(VLOOKUP(B104,'BD ASVICC'!$A$6:$GN$316,193,FALSE)&gt;0,VLOOKUP(B104,'BD ASVICC'!$A$6:$GN$316,193,FALSE),(VLOOKUP(C104,'BD Comarcal'!$A$6:$AB$17,9,)/VLOOKUP(C104,'BD Comarcal'!$A$6:$AB$17,13,))),"")</f>
        <v>1.5031028337067232E-4</v>
      </c>
      <c r="E104" s="910">
        <f>IFERROR(IF(VLOOKUP(B104,'BD ASVICC'!$A$6:$GN$316,192,FALSE)&gt;0,VLOOKUP(B104,'BD ASVICC'!$A$6:$GN$316,192,FALSE),(VLOOKUP(C104,'BD Comarcal'!$A$6:$AB$17,14,)*F104)),"")</f>
        <v>5635</v>
      </c>
      <c r="F104" s="904">
        <f t="shared" si="11"/>
        <v>0.11411690887764557</v>
      </c>
      <c r="G104" s="910">
        <f t="shared" si="8"/>
        <v>0.84699844679373848</v>
      </c>
      <c r="H104" s="910">
        <f>IFERROR(VLOOKUP(B104, base,19,FALSE)*'4. Agricultura PIB'!$K$11/1000000,G104*'4. Agricultura PIB'!$F$54)</f>
        <v>1.4255132519560671E-3</v>
      </c>
      <c r="I104" s="910">
        <f>G104*'4. Agricultura PIB'!$F$45</f>
        <v>0.27874718883981936</v>
      </c>
      <c r="J104" s="952">
        <f>IFERROR((VLOOKUP(B104,base,19,FALSE)*'tecnicecon agric'!$D$65)/1000000,H104/3)</f>
        <v>6.0839999999999993E-4</v>
      </c>
      <c r="K104" s="952">
        <f>IFERROR(VLOOKUP(B104,'cultius resum'!$T$6:$AU$306,22,FALSE)/1000000,0)</f>
        <v>2.2592500000000001E-2</v>
      </c>
      <c r="L104" s="915">
        <f>K104*'A. Dades de partida'!$D$10</f>
        <v>0.33888750000000001</v>
      </c>
      <c r="M104" s="956">
        <f>IFERROR(VLOOKUP(B104,'cultius resum'!$T$6:$AU$308,28,FALSE)/1000000,0)</f>
        <v>0.33559506382881299</v>
      </c>
      <c r="N104" s="955">
        <f>M104*'A. Dades de partida'!$D$10+(((I104-M104)*'A. Dades de partida'!$D$10)/2)</f>
        <v>4.6075668950147426</v>
      </c>
      <c r="O104" s="955">
        <f t="shared" si="9"/>
        <v>4.2719718311859296</v>
      </c>
      <c r="P104" s="916">
        <f>J104*'A. Dades de partida'!$D$10</f>
        <v>9.1259999999999987E-3</v>
      </c>
      <c r="Q104" s="916">
        <f>J104+J104*'4. Agricultura PIB'!$D$71</f>
        <v>7.8726959999999993E-4</v>
      </c>
      <c r="R104" s="916">
        <f>(((J104-Q104)*'A. Dades de partida'!$D$10)/2)+('A. Dades de partida'!$D$10*Q104)</f>
        <v>1.0467522E-2</v>
      </c>
      <c r="S104" s="916">
        <f t="shared" si="10"/>
        <v>1.3415220000000012E-3</v>
      </c>
    </row>
    <row r="105" spans="1:19">
      <c r="A105" s="835">
        <v>8102</v>
      </c>
      <c r="B105" s="826" t="s">
        <v>1136</v>
      </c>
      <c r="C105" s="319" t="str">
        <f t="shared" si="6"/>
        <v>Anoia</v>
      </c>
      <c r="D105" s="908">
        <f>IFERROR(IF(VLOOKUP(B105,'BD ASVICC'!$A$6:$GN$316,193,FALSE)&gt;0,VLOOKUP(B105,'BD ASVICC'!$A$6:$GN$316,193,FALSE),(VLOOKUP(C105,'BD Comarcal'!$A$6:$AB$17,9,)/VLOOKUP(C105,'BD Comarcal'!$A$6:$AB$17,13,))),"")</f>
        <v>1.049736419894568E-2</v>
      </c>
      <c r="E105" s="910">
        <f>IFERROR(IF(VLOOKUP(B105,'BD ASVICC'!$A$6:$GN$316,192,FALSE)&gt;0,VLOOKUP(B105,'BD ASVICC'!$A$6:$GN$316,192,FALSE),(VLOOKUP(C105,'BD Comarcal'!$A$6:$AB$17,14,)*F105)),"")</f>
        <v>1089</v>
      </c>
      <c r="F105" s="904">
        <f t="shared" si="11"/>
        <v>0.33179296023965144</v>
      </c>
      <c r="G105" s="910">
        <f t="shared" si="8"/>
        <v>11.431629612651845</v>
      </c>
      <c r="H105" s="910">
        <f>IFERROR(VLOOKUP(B105, base,19,FALSE)*'4. Agricultura PIB'!$K$11/1000000,G105*'4. Agricultura PIB'!$F$54)</f>
        <v>0.42527812016689337</v>
      </c>
      <c r="I105" s="910">
        <f>G105*'4. Agricultura PIB'!$F$45</f>
        <v>3.7621493055237223</v>
      </c>
      <c r="J105" s="952">
        <f>IFERROR((VLOOKUP(B105,base,19,FALSE)*'tecnicecon agric'!$D$65)/1000000,H105/3)</f>
        <v>0.18150599999999997</v>
      </c>
      <c r="K105" s="952">
        <f>IFERROR(VLOOKUP(B105,'cultius resum'!$T$6:$AU$306,22,FALSE)/1000000,0)</f>
        <v>2.8044666666666666E-2</v>
      </c>
      <c r="L105" s="915">
        <f>K105*'A. Dades de partida'!$D$10</f>
        <v>0.42066999999999999</v>
      </c>
      <c r="M105" s="956">
        <f>IFERROR(VLOOKUP(B105,'cultius resum'!$T$6:$AU$308,28,FALSE)/1000000,0)</f>
        <v>0.24517760921989754</v>
      </c>
      <c r="N105" s="955">
        <f>M105*'A. Dades de partida'!$D$10+(((I105-M105)*'A. Dades de partida'!$D$10)/2)</f>
        <v>30.054951860577148</v>
      </c>
      <c r="O105" s="955">
        <f t="shared" si="9"/>
        <v>29.809774251357251</v>
      </c>
      <c r="P105" s="916">
        <f>J105*'A. Dades de partida'!$D$10</f>
        <v>2.7225899999999994</v>
      </c>
      <c r="Q105" s="916">
        <f>J105+J105*'4. Agricultura PIB'!$D$71</f>
        <v>0.23486876399999995</v>
      </c>
      <c r="R105" s="916">
        <f>(((J105-Q105)*'A. Dades de partida'!$D$10)/2)+('A. Dades de partida'!$D$10*Q105)</f>
        <v>3.1228107299999994</v>
      </c>
      <c r="S105" s="916">
        <f t="shared" si="10"/>
        <v>0.40022073000000002</v>
      </c>
    </row>
    <row r="106" spans="1:19">
      <c r="A106" s="835">
        <v>8103</v>
      </c>
      <c r="B106" s="826" t="s">
        <v>1137</v>
      </c>
      <c r="C106" s="319" t="str">
        <f t="shared" si="6"/>
        <v>Anoia</v>
      </c>
      <c r="D106" s="908">
        <f>IFERROR(IF(VLOOKUP(B106,'BD ASVICC'!$A$6:$GN$316,193,FALSE)&gt;0,VLOOKUP(B106,'BD ASVICC'!$A$6:$GN$316,193,FALSE),(VLOOKUP(C106,'BD Comarcal'!$A$6:$AB$17,9,)/VLOOKUP(C106,'BD Comarcal'!$A$6:$AB$17,13,))),"")</f>
        <v>1.049736419894568E-2</v>
      </c>
      <c r="E106" s="910">
        <f>IFERROR(IF(VLOOKUP(B106,'BD ASVICC'!$A$6:$GN$316,192,FALSE)&gt;0,VLOOKUP(B106,'BD ASVICC'!$A$6:$GN$316,192,FALSE),(VLOOKUP(C106,'BD Comarcal'!$A$6:$AB$17,14,)*F106)),"")</f>
        <v>16.734002246732025</v>
      </c>
      <c r="F106" s="904">
        <f t="shared" si="11"/>
        <v>7.0720996732026144E-3</v>
      </c>
      <c r="G106" s="910">
        <f t="shared" si="8"/>
        <v>0.17566291608992132</v>
      </c>
      <c r="H106" s="910">
        <f>IFERROR(VLOOKUP(B106, base,19,FALSE)*'4. Agricultura PIB'!$K$11/1000000,G106*'4. Agricultura PIB'!$F$54)</f>
        <v>0.40056922379965487</v>
      </c>
      <c r="I106" s="910">
        <f>G106*'4. Agricultura PIB'!$F$45</f>
        <v>5.7810665685193108E-2</v>
      </c>
      <c r="J106" s="952">
        <f>IFERROR((VLOOKUP(B106,base,19,FALSE)*'tecnicecon agric'!$D$65)/1000000,H106/3)</f>
        <v>0.17096039999999998</v>
      </c>
      <c r="K106" s="952">
        <f>IFERROR(VLOOKUP(B106,'cultius resum'!$T$6:$AU$306,22,FALSE)/1000000,0)</f>
        <v>0.30326266666666662</v>
      </c>
      <c r="L106" s="915">
        <f>K106*'A. Dades de partida'!$D$10</f>
        <v>4.5489399999999991</v>
      </c>
      <c r="M106" s="956">
        <f>IFERROR(VLOOKUP(B106,'cultius resum'!$T$6:$AU$308,28,FALSE)/1000000,0)</f>
        <v>2.6512426217338074</v>
      </c>
      <c r="N106" s="955">
        <f>M106*'A. Dades de partida'!$D$10+(((I106-M106)*'A. Dades de partida'!$D$10)/2)</f>
        <v>20.317899655642503</v>
      </c>
      <c r="O106" s="955">
        <f t="shared" si="9"/>
        <v>17.666657033908695</v>
      </c>
      <c r="P106" s="916">
        <f>J106*'A. Dades de partida'!$D$10</f>
        <v>2.564406</v>
      </c>
      <c r="Q106" s="916">
        <f>J106+J106*'4. Agricultura PIB'!$D$71</f>
        <v>0.22122275759999999</v>
      </c>
      <c r="R106" s="916">
        <f>(((J106-Q106)*'A. Dades de partida'!$D$10)/2)+('A. Dades de partida'!$D$10*Q106)</f>
        <v>2.9413736819999996</v>
      </c>
      <c r="S106" s="916">
        <f t="shared" si="10"/>
        <v>0.37696768199999964</v>
      </c>
    </row>
    <row r="107" spans="1:19">
      <c r="A107" s="835">
        <v>8104</v>
      </c>
      <c r="B107" s="826" t="s">
        <v>1142</v>
      </c>
      <c r="C107" s="319" t="str">
        <f t="shared" si="6"/>
        <v>Anoia</v>
      </c>
      <c r="D107" s="908">
        <f>IFERROR(IF(VLOOKUP(B107,'BD ASVICC'!$A$6:$GN$316,193,FALSE)&gt;0,VLOOKUP(B107,'BD ASVICC'!$A$6:$GN$316,193,FALSE),(VLOOKUP(C107,'BD Comarcal'!$A$6:$AB$17,9,)/VLOOKUP(C107,'BD Comarcal'!$A$6:$AB$17,13,))),"")</f>
        <v>1.049736419894568E-2</v>
      </c>
      <c r="E107" s="910">
        <f>IFERROR(IF(VLOOKUP(B107,'BD ASVICC'!$A$6:$GN$316,192,FALSE)&gt;0,VLOOKUP(B107,'BD ASVICC'!$A$6:$GN$316,192,FALSE),(VLOOKUP(C107,'BD Comarcal'!$A$6:$AB$17,14,)*F107)),"")</f>
        <v>17.55962690631808</v>
      </c>
      <c r="F107" s="904">
        <f t="shared" si="11"/>
        <v>7.4210239651416121E-3</v>
      </c>
      <c r="G107" s="910">
        <f t="shared" si="8"/>
        <v>0.1843297988332267</v>
      </c>
      <c r="H107" s="910">
        <f>IFERROR(VLOOKUP(B107, base,19,FALSE)*'4. Agricultura PIB'!$K$11/1000000,G107*'4. Agricultura PIB'!$F$54)</f>
        <v>0.68662221635883902</v>
      </c>
      <c r="I107" s="910">
        <f>G107*'4. Agricultura PIB'!$F$45</f>
        <v>6.0662936796014907E-2</v>
      </c>
      <c r="J107" s="952">
        <f>IFERROR((VLOOKUP(B107,base,19,FALSE)*'tecnicecon agric'!$D$65)/1000000,H107/3)</f>
        <v>0.29304599999999997</v>
      </c>
      <c r="K107" s="952">
        <f>IFERROR(VLOOKUP(B107,'cultius resum'!$T$6:$AU$306,22,FALSE)/1000000,0)</f>
        <v>0.35459866666666662</v>
      </c>
      <c r="L107" s="915">
        <f>K107*'A. Dades de partida'!$D$10</f>
        <v>5.3189799999999989</v>
      </c>
      <c r="M107" s="956">
        <f>IFERROR(VLOOKUP(B107,'cultius resum'!$T$6:$AU$308,28,FALSE)/1000000,0)</f>
        <v>3.1000423131871795</v>
      </c>
      <c r="N107" s="955">
        <f>M107*'A. Dades de partida'!$D$10+(((I107-M107)*'A. Dades de partida'!$D$10)/2)</f>
        <v>23.705289374873956</v>
      </c>
      <c r="O107" s="955">
        <f t="shared" si="9"/>
        <v>20.605247061686775</v>
      </c>
      <c r="P107" s="916">
        <f>J107*'A. Dades de partida'!$D$10</f>
        <v>4.3956899999999992</v>
      </c>
      <c r="Q107" s="916">
        <f>J107+J107*'4. Agricultura PIB'!$D$71</f>
        <v>0.37920152399999996</v>
      </c>
      <c r="R107" s="916">
        <f>(((J107-Q107)*'A. Dades de partida'!$D$10)/2)+('A. Dades de partida'!$D$10*Q107)</f>
        <v>5.0418564299999993</v>
      </c>
      <c r="S107" s="916">
        <f t="shared" si="10"/>
        <v>0.64616643000000007</v>
      </c>
    </row>
    <row r="108" spans="1:19">
      <c r="A108" s="835">
        <v>8105</v>
      </c>
      <c r="B108" s="826" t="s">
        <v>1147</v>
      </c>
      <c r="C108" s="319" t="str">
        <f t="shared" si="6"/>
        <v>Vallès Oriental</v>
      </c>
      <c r="D108" s="908">
        <f>IFERROR(IF(VLOOKUP(B108,'BD ASVICC'!$A$6:$GN$316,193,FALSE)&gt;0,VLOOKUP(B108,'BD ASVICC'!$A$6:$GN$316,193,FALSE),(VLOOKUP(C108,'BD Comarcal'!$A$6:$AB$17,9,)/VLOOKUP(C108,'BD Comarcal'!$A$6:$AB$17,13,))),"")</f>
        <v>3.6614258022830064E-3</v>
      </c>
      <c r="E108" s="910">
        <f>IFERROR(IF(VLOOKUP(B108,'BD ASVICC'!$A$6:$GN$316,192,FALSE)&gt;0,VLOOKUP(B108,'BD ASVICC'!$A$6:$GN$316,192,FALSE),(VLOOKUP(C108,'BD Comarcal'!$A$6:$AB$17,14,)*F108)),"")</f>
        <v>256</v>
      </c>
      <c r="F108" s="904">
        <f t="shared" si="11"/>
        <v>3.3007091279669505E-2</v>
      </c>
      <c r="G108" s="910">
        <f t="shared" si="8"/>
        <v>0.93732500538444963</v>
      </c>
      <c r="H108" s="910">
        <f>IFERROR(VLOOKUP(B108, base,19,FALSE)*'4. Agricultura PIB'!$K$11/1000000,G108*'4. Agricultura PIB'!$F$54)</f>
        <v>0.61010484600473824</v>
      </c>
      <c r="I108" s="910">
        <f>G108*'4. Agricultura PIB'!$F$45</f>
        <v>0.30847365927202236</v>
      </c>
      <c r="J108" s="952">
        <f>IFERROR((VLOOKUP(B108,base,19,FALSE)*'tecnicecon agric'!$D$65)/1000000,H108/3)</f>
        <v>0.20336828200157941</v>
      </c>
      <c r="K108" s="952">
        <f>IFERROR(VLOOKUP(B108,'cultius resum'!$T$6:$AU$306,22,FALSE)/1000000,0)</f>
        <v>0</v>
      </c>
      <c r="L108" s="915">
        <f>K108*'A. Dades de partida'!$D$10</f>
        <v>0</v>
      </c>
      <c r="M108" s="956">
        <f>IFERROR(VLOOKUP(B108,'cultius resum'!$T$6:$AU$308,28,FALSE)/1000000,0)</f>
        <v>0</v>
      </c>
      <c r="N108" s="955">
        <f>M108*'A. Dades de partida'!$D$10+(((I108-M108)*'A. Dades de partida'!$D$10)/2)</f>
        <v>2.3135524445401678</v>
      </c>
      <c r="O108" s="955">
        <f t="shared" si="9"/>
        <v>2.3135524445401678</v>
      </c>
      <c r="P108" s="916">
        <f>J108*'A. Dades de partida'!$D$10</f>
        <v>3.050524230023691</v>
      </c>
      <c r="Q108" s="916">
        <f>J108+J108*'4. Agricultura PIB'!$D$71</f>
        <v>0.26315855691004375</v>
      </c>
      <c r="R108" s="916">
        <f>(((J108-Q108)*'A. Dades de partida'!$D$10)/2)+('A. Dades de partida'!$D$10*Q108)</f>
        <v>3.4989512918371739</v>
      </c>
      <c r="S108" s="916">
        <f t="shared" si="10"/>
        <v>0.44842706181348291</v>
      </c>
    </row>
    <row r="109" spans="1:19">
      <c r="A109" s="835">
        <v>8106</v>
      </c>
      <c r="B109" s="826" t="s">
        <v>1149</v>
      </c>
      <c r="C109" s="319" t="str">
        <f t="shared" si="6"/>
        <v>Vallès Oriental</v>
      </c>
      <c r="D109" s="908">
        <f>IFERROR(IF(VLOOKUP(B109,'BD ASVICC'!$A$6:$GN$316,193,FALSE)&gt;0,VLOOKUP(B109,'BD ASVICC'!$A$6:$GN$316,193,FALSE),(VLOOKUP(C109,'BD Comarcal'!$A$6:$AB$17,9,)/VLOOKUP(C109,'BD Comarcal'!$A$6:$AB$17,13,))),"")</f>
        <v>6.0000000000000001E-3</v>
      </c>
      <c r="E109" s="910">
        <f>IFERROR(IF(VLOOKUP(B109,'BD ASVICC'!$A$6:$GN$316,192,FALSE)&gt;0,VLOOKUP(B109,'BD ASVICC'!$A$6:$GN$316,192,FALSE),(VLOOKUP(C109,'BD Comarcal'!$A$6:$AB$17,14,)*F109)),"")</f>
        <v>276</v>
      </c>
      <c r="F109" s="904">
        <f t="shared" si="11"/>
        <v>2.4211512490718547E-2</v>
      </c>
      <c r="G109" s="910">
        <f t="shared" si="8"/>
        <v>1.6560000000000001</v>
      </c>
      <c r="H109" s="910">
        <f>IFERROR(VLOOKUP(B109, base,19,FALSE)*'4. Agricultura PIB'!$K$11/1000000,G109*'4. Agricultura PIB'!$F$54)</f>
        <v>0.72273521874172597</v>
      </c>
      <c r="I109" s="910">
        <f>G109*'4. Agricultura PIB'!$F$45</f>
        <v>0.54498960000000007</v>
      </c>
      <c r="J109" s="952">
        <f>IFERROR((VLOOKUP(B109,base,19,FALSE)*'tecnicecon agric'!$D$65)/1000000,H109/3)</f>
        <v>0.30845879999999998</v>
      </c>
      <c r="K109" s="952">
        <f>IFERROR(VLOOKUP(B109,'cultius resum'!$T$6:$AU$306,22,FALSE)/1000000,0)</f>
        <v>0.19031308333333333</v>
      </c>
      <c r="L109" s="915">
        <f>K109*'A. Dades de partida'!$D$10</f>
        <v>2.8546962499999999</v>
      </c>
      <c r="M109" s="956">
        <f>IFERROR(VLOOKUP(B109,'cultius resum'!$T$6:$AU$308,28,FALSE)/1000000,0)</f>
        <v>2.2575471033977932</v>
      </c>
      <c r="N109" s="955">
        <f>M109*'A. Dades de partida'!$D$10+(((I109-M109)*'A. Dades de partida'!$D$10)/2)</f>
        <v>21.01902527548345</v>
      </c>
      <c r="O109" s="955">
        <f t="shared" si="9"/>
        <v>18.761478172085656</v>
      </c>
      <c r="P109" s="916">
        <f>J109*'A. Dades de partida'!$D$10</f>
        <v>4.6268819999999993</v>
      </c>
      <c r="Q109" s="916">
        <f>J109+J109*'4. Agricultura PIB'!$D$71</f>
        <v>0.39914568719999999</v>
      </c>
      <c r="R109" s="916">
        <f>(((J109-Q109)*'A. Dades de partida'!$D$10)/2)+('A. Dades de partida'!$D$10*Q109)</f>
        <v>5.3070336539999996</v>
      </c>
      <c r="S109" s="916">
        <f t="shared" si="10"/>
        <v>0.68015165400000033</v>
      </c>
    </row>
    <row r="110" spans="1:19">
      <c r="A110" s="835">
        <v>8107</v>
      </c>
      <c r="B110" s="826" t="s">
        <v>1155</v>
      </c>
      <c r="C110" s="319" t="str">
        <f t="shared" si="6"/>
        <v>Vallès Oriental</v>
      </c>
      <c r="D110" s="908">
        <f>IFERROR(IF(VLOOKUP(B110,'BD ASVICC'!$A$6:$GN$316,193,FALSE)&gt;0,VLOOKUP(B110,'BD ASVICC'!$A$6:$GN$316,193,FALSE),(VLOOKUP(C110,'BD Comarcal'!$A$6:$AB$17,9,)/VLOOKUP(C110,'BD Comarcal'!$A$6:$AB$17,13,))),"")</f>
        <v>3.0000000000000001E-3</v>
      </c>
      <c r="E110" s="910">
        <f>IFERROR(IF(VLOOKUP(B110,'BD ASVICC'!$A$6:$GN$316,192,FALSE)&gt;0,VLOOKUP(B110,'BD ASVICC'!$A$6:$GN$316,192,FALSE),(VLOOKUP(C110,'BD Comarcal'!$A$6:$AB$17,14,)*F110)),"")</f>
        <v>350</v>
      </c>
      <c r="F110" s="904">
        <f t="shared" si="11"/>
        <v>3.6774489333180511E-2</v>
      </c>
      <c r="G110" s="910">
        <f t="shared" si="8"/>
        <v>1.05</v>
      </c>
      <c r="H110" s="910">
        <f>IFERROR(VLOOKUP(B110, base,19,FALSE)*'4. Agricultura PIB'!$K$11/1000000,G110*'4. Agricultura PIB'!$F$54)</f>
        <v>0.31979013952214441</v>
      </c>
      <c r="I110" s="910">
        <f>G110*'4. Agricultura PIB'!$F$45</f>
        <v>0.345555</v>
      </c>
      <c r="J110" s="952">
        <f>IFERROR((VLOOKUP(B110,base,19,FALSE)*'tecnicecon agric'!$D$65)/1000000,H110/3)</f>
        <v>0.13648440000000001</v>
      </c>
      <c r="K110" s="952">
        <f>IFERROR(VLOOKUP(B110,'cultius resum'!$T$6:$AU$306,22,FALSE)/1000000,0)</f>
        <v>0.3735188333333333</v>
      </c>
      <c r="L110" s="915">
        <f>K110*'A. Dades de partida'!$D$10</f>
        <v>5.6027824999999991</v>
      </c>
      <c r="M110" s="956">
        <f>IFERROR(VLOOKUP(B110,'cultius resum'!$T$6:$AU$308,28,FALSE)/1000000,0)</f>
        <v>4.6738910133452354</v>
      </c>
      <c r="N110" s="955">
        <f>M110*'A. Dades de partida'!$D$10+(((I110-M110)*'A. Dades de partida'!$D$10)/2)</f>
        <v>37.645845100089261</v>
      </c>
      <c r="O110" s="955">
        <f t="shared" si="9"/>
        <v>32.971954086744027</v>
      </c>
      <c r="P110" s="916">
        <f>J110*'A. Dades de partida'!$D$10</f>
        <v>2.047266</v>
      </c>
      <c r="Q110" s="916">
        <f>J110+J110*'4. Agricultura PIB'!$D$71</f>
        <v>0.1766108136</v>
      </c>
      <c r="R110" s="916">
        <f>(((J110-Q110)*'A. Dades de partida'!$D$10)/2)+('A. Dades de partida'!$D$10*Q110)</f>
        <v>2.348214102</v>
      </c>
      <c r="S110" s="916">
        <f t="shared" si="10"/>
        <v>0.300948102</v>
      </c>
    </row>
    <row r="111" spans="1:19">
      <c r="A111" s="835">
        <v>8108</v>
      </c>
      <c r="B111" s="826" t="s">
        <v>1158</v>
      </c>
      <c r="C111" s="319" t="str">
        <f t="shared" si="6"/>
        <v>Vallès Oriental</v>
      </c>
      <c r="D111" s="908">
        <f>IFERROR(IF(VLOOKUP(B111,'BD ASVICC'!$A$6:$GN$316,193,FALSE)&gt;0,VLOOKUP(B111,'BD ASVICC'!$A$6:$GN$316,193,FALSE),(VLOOKUP(C111,'BD Comarcal'!$A$6:$AB$17,9,)/VLOOKUP(C111,'BD Comarcal'!$A$6:$AB$17,13,))),"")</f>
        <v>3.6614258022830064E-3</v>
      </c>
      <c r="E111" s="910">
        <f>IFERROR(IF(VLOOKUP(B111,'BD ASVICC'!$A$6:$GN$316,192,FALSE)&gt;0,VLOOKUP(B111,'BD ASVICC'!$A$6:$GN$316,192,FALSE),(VLOOKUP(C111,'BD Comarcal'!$A$6:$AB$17,14,)*F111)),"")</f>
        <v>397</v>
      </c>
      <c r="F111" s="904">
        <f t="shared" si="11"/>
        <v>1.5871908466180626E-2</v>
      </c>
      <c r="G111" s="910">
        <f t="shared" si="8"/>
        <v>1.4535860435063535</v>
      </c>
      <c r="H111" s="910">
        <f>IFERROR(VLOOKUP(B111, base,19,FALSE)*'4. Agricultura PIB'!$K$11/1000000,G111*'4. Agricultura PIB'!$F$54)</f>
        <v>6.6999122841935155E-2</v>
      </c>
      <c r="I111" s="910">
        <f>G111*'4. Agricultura PIB'!$F$45</f>
        <v>0.47837516691794091</v>
      </c>
      <c r="J111" s="952">
        <f>IFERROR((VLOOKUP(B111,base,19,FALSE)*'tecnicecon agric'!$D$65)/1000000,H111/3)</f>
        <v>2.85948E-2</v>
      </c>
      <c r="K111" s="952">
        <f>IFERROR(VLOOKUP(B111,'cultius resum'!$T$6:$AU$306,22,FALSE)/1000000,0)</f>
        <v>0.13789199999999999</v>
      </c>
      <c r="L111" s="915">
        <f>K111*'A. Dades de partida'!$D$10</f>
        <v>2.0683799999999999</v>
      </c>
      <c r="M111" s="956">
        <f>IFERROR(VLOOKUP(B111,'cultius resum'!$T$6:$AU$308,28,FALSE)/1000000,0)</f>
        <v>1.6473704766648436</v>
      </c>
      <c r="N111" s="955">
        <f>M111*'A. Dades de partida'!$D$10+(((I111-M111)*'A. Dades de partida'!$D$10)/2)</f>
        <v>15.943092326870886</v>
      </c>
      <c r="O111" s="955">
        <f t="shared" si="9"/>
        <v>14.295721850206043</v>
      </c>
      <c r="P111" s="916">
        <f>J111*'A. Dades de partida'!$D$10</f>
        <v>0.42892200000000003</v>
      </c>
      <c r="Q111" s="916">
        <f>J111+J111*'4. Agricultura PIB'!$D$71</f>
        <v>3.7001671200000003E-2</v>
      </c>
      <c r="R111" s="916">
        <f>(((J111-Q111)*'A. Dades de partida'!$D$10)/2)+('A. Dades de partida'!$D$10*Q111)</f>
        <v>0.49197353400000005</v>
      </c>
      <c r="S111" s="916">
        <f t="shared" si="10"/>
        <v>6.305153400000002E-2</v>
      </c>
    </row>
    <row r="112" spans="1:19">
      <c r="A112" s="835">
        <v>8109</v>
      </c>
      <c r="B112" s="826" t="s">
        <v>1160</v>
      </c>
      <c r="C112" s="319" t="str">
        <f t="shared" si="6"/>
        <v>Osona</v>
      </c>
      <c r="D112" s="908">
        <f>IFERROR(IF(VLOOKUP(B112,'BD ASVICC'!$A$6:$GN$316,193,FALSE)&gt;0,VLOOKUP(B112,'BD ASVICC'!$A$6:$GN$316,193,FALSE),(VLOOKUP(C112,'BD Comarcal'!$A$6:$AB$17,9,)/VLOOKUP(C112,'BD Comarcal'!$A$6:$AB$17,13,))),"")</f>
        <v>1.8400340353116357E-2</v>
      </c>
      <c r="E112" s="910">
        <f>IFERROR(IF(VLOOKUP(B112,'BD ASVICC'!$A$6:$GN$316,192,FALSE)&gt;0,VLOOKUP(B112,'BD ASVICC'!$A$6:$GN$316,192,FALSE),(VLOOKUP(C112,'BD Comarcal'!$A$6:$AB$17,14,)*F112)),"")</f>
        <v>7.3385290508285088</v>
      </c>
      <c r="F112" s="904">
        <f t="shared" si="11"/>
        <v>1.7990118285027723E-3</v>
      </c>
      <c r="G112" s="910">
        <f t="shared" si="8"/>
        <v>0.13503143222647648</v>
      </c>
      <c r="H112" s="910">
        <f>IFERROR(VLOOKUP(B112, base,19,FALSE)*'4. Agricultura PIB'!$K$11/1000000,G112*'4. Agricultura PIB'!$F$54)</f>
        <v>1.7481544179821238</v>
      </c>
      <c r="I112" s="910">
        <f>G112*'4. Agricultura PIB'!$F$45</f>
        <v>4.4438844345733412E-2</v>
      </c>
      <c r="J112" s="952">
        <f>IFERROR((VLOOKUP(B112,base,19,FALSE)*'tecnicecon agric'!$D$65)/1000000,H112/3)</f>
        <v>0.74610119999999991</v>
      </c>
      <c r="K112" s="952">
        <f>IFERROR(VLOOKUP(B112,'cultius resum'!$T$6:$AU$306,22,FALSE)/1000000,0)</f>
        <v>0.42399733333333334</v>
      </c>
      <c r="L112" s="915">
        <f>K112*'A. Dades de partida'!$D$10</f>
        <v>6.3599600000000001</v>
      </c>
      <c r="M112" s="956">
        <f>IFERROR(VLOOKUP(B112,'cultius resum'!$T$6:$AU$308,28,FALSE)/1000000,0)</f>
        <v>3.7067530071889601</v>
      </c>
      <c r="N112" s="955">
        <f>M112*'A. Dades de partida'!$D$10+(((I112-M112)*'A. Dades de partida'!$D$10)/2)</f>
        <v>28.133938886510201</v>
      </c>
      <c r="O112" s="955">
        <f t="shared" si="9"/>
        <v>24.42718587932124</v>
      </c>
      <c r="P112" s="916">
        <f>J112*'A. Dades de partida'!$D$10</f>
        <v>11.191517999999999</v>
      </c>
      <c r="Q112" s="916">
        <f>J112+J112*'4. Agricultura PIB'!$D$71</f>
        <v>0.96545495279999982</v>
      </c>
      <c r="R112" s="916">
        <f>(((J112-Q112)*'A. Dades de partida'!$D$10)/2)+('A. Dades de partida'!$D$10*Q112)</f>
        <v>12.836671145999997</v>
      </c>
      <c r="S112" s="916">
        <f t="shared" si="10"/>
        <v>1.6451531459999984</v>
      </c>
    </row>
    <row r="113" spans="1:19">
      <c r="A113" s="835">
        <v>8110</v>
      </c>
      <c r="B113" s="826" t="s">
        <v>343</v>
      </c>
      <c r="C113" s="319" t="str">
        <f t="shared" si="6"/>
        <v>Maresme</v>
      </c>
      <c r="D113" s="908">
        <f>IFERROR(IF(VLOOKUP(B113,'BD ASVICC'!$A$6:$GN$316,193,FALSE)&gt;0,VLOOKUP(B113,'BD ASVICC'!$A$6:$GN$316,193,FALSE),(VLOOKUP(C113,'BD Comarcal'!$A$6:$AB$17,9,)/VLOOKUP(C113,'BD Comarcal'!$A$6:$AB$17,13,))),"")</f>
        <v>0.01</v>
      </c>
      <c r="E113" s="910">
        <f>IFERROR(IF(VLOOKUP(B113,'BD ASVICC'!$A$6:$GN$316,192,FALSE)&gt;0,VLOOKUP(B113,'BD ASVICC'!$A$6:$GN$316,192,FALSE),(VLOOKUP(C113,'BD Comarcal'!$A$6:$AB$17,14,)*F113)),"")</f>
        <v>340</v>
      </c>
      <c r="F113" s="904">
        <f t="shared" si="11"/>
        <v>4.1437809311332827E-2</v>
      </c>
      <c r="G113" s="910">
        <f t="shared" si="8"/>
        <v>3.4</v>
      </c>
      <c r="H113" s="910">
        <f>IFERROR(VLOOKUP(B113, base,19,FALSE)*'4. Agricultura PIB'!$K$11/1000000,G113*'4. Agricultura PIB'!$F$54)</f>
        <v>3.4687489130930969E-2</v>
      </c>
      <c r="I113" s="910">
        <f>G113*'4. Agricultura PIB'!$F$45</f>
        <v>1.11894</v>
      </c>
      <c r="J113" s="952">
        <f>IFERROR((VLOOKUP(B113,base,19,FALSE)*'tecnicecon agric'!$D$65)/1000000,H113/3)</f>
        <v>1.4804399999999999E-2</v>
      </c>
      <c r="K113" s="952">
        <f>IFERROR(VLOOKUP(B113,'cultius resum'!$T$6:$AU$306,22,FALSE)/1000000,0)</f>
        <v>0.3251530416666667</v>
      </c>
      <c r="L113" s="915">
        <f>K113*'A. Dades de partida'!$D$10</f>
        <v>4.8772956250000004</v>
      </c>
      <c r="M113" s="956">
        <f>IFERROR(VLOOKUP(B113,'cultius resum'!$T$6:$AU$308,28,FALSE)/1000000,0)</f>
        <v>4.8241002713407521</v>
      </c>
      <c r="N113" s="955">
        <f>M113*'A. Dades de partida'!$D$10+(((I113-M113)*'A. Dades de partida'!$D$10)/2)</f>
        <v>44.572802035055645</v>
      </c>
      <c r="O113" s="955">
        <f t="shared" si="9"/>
        <v>39.748701763714891</v>
      </c>
      <c r="P113" s="916">
        <f>J113*'A. Dades de partida'!$D$10</f>
        <v>0.22206599999999999</v>
      </c>
      <c r="Q113" s="916">
        <f>J113+J113*'4. Agricultura PIB'!$D$71</f>
        <v>1.9156893599999999E-2</v>
      </c>
      <c r="R113" s="916">
        <f>(((J113-Q113)*'A. Dades de partida'!$D$10)/2)+('A. Dades de partida'!$D$10*Q113)</f>
        <v>0.25470970199999998</v>
      </c>
      <c r="S113" s="916">
        <f t="shared" si="10"/>
        <v>3.2643701999999997E-2</v>
      </c>
    </row>
    <row r="114" spans="1:19">
      <c r="A114" s="835">
        <v>8111</v>
      </c>
      <c r="B114" s="826" t="s">
        <v>1171</v>
      </c>
      <c r="C114" s="319" t="str">
        <f t="shared" si="6"/>
        <v>Osona</v>
      </c>
      <c r="D114" s="908">
        <f>IFERROR(IF(VLOOKUP(B114,'BD ASVICC'!$A$6:$GN$316,193,FALSE)&gt;0,VLOOKUP(B114,'BD ASVICC'!$A$6:$GN$316,193,FALSE),(VLOOKUP(C114,'BD Comarcal'!$A$6:$AB$17,9,)/VLOOKUP(C114,'BD Comarcal'!$A$6:$AB$17,13,))),"")</f>
        <v>1.8400340353116357E-2</v>
      </c>
      <c r="E114" s="910">
        <f>IFERROR(IF(VLOOKUP(B114,'BD ASVICC'!$A$6:$GN$316,192,FALSE)&gt;0,VLOOKUP(B114,'BD ASVICC'!$A$6:$GN$316,192,FALSE),(VLOOKUP(C114,'BD Comarcal'!$A$6:$AB$17,14,)*F114)),"")</f>
        <v>6.9978116306114702</v>
      </c>
      <c r="F114" s="904">
        <f t="shared" si="11"/>
        <v>1.7154862793222864E-3</v>
      </c>
      <c r="G114" s="910">
        <f t="shared" si="8"/>
        <v>0.12876211573024721</v>
      </c>
      <c r="H114" s="910">
        <f>IFERROR(VLOOKUP(B114, base,19,FALSE)*'4. Agricultura PIB'!$K$11/1000000,G114*'4. Agricultura PIB'!$F$54)</f>
        <v>2.6894683353571134</v>
      </c>
      <c r="I114" s="910">
        <f>G114*'4. Agricultura PIB'!$F$45</f>
        <v>4.2375612286824356E-2</v>
      </c>
      <c r="J114" s="952">
        <f>IFERROR((VLOOKUP(B114,base,19,FALSE)*'tecnicecon agric'!$D$65)/1000000,H114/3)</f>
        <v>1.147848</v>
      </c>
      <c r="K114" s="952">
        <f>IFERROR(VLOOKUP(B114,'cultius resum'!$T$6:$AU$306,22,FALSE)/1000000,0)</f>
        <v>0.36833312499999998</v>
      </c>
      <c r="L114" s="915">
        <f>K114*'A. Dades de partida'!$D$10</f>
        <v>5.5249968749999994</v>
      </c>
      <c r="M114" s="956">
        <f>IFERROR(VLOOKUP(B114,'cultius resum'!$T$6:$AU$308,28,FALSE)/1000000,0)</f>
        <v>3.3098679992786231</v>
      </c>
      <c r="N114" s="955">
        <f>M114*'A. Dades de partida'!$D$10+(((I114-M114)*'A. Dades de partida'!$D$10)/2)</f>
        <v>25.141827086740854</v>
      </c>
      <c r="O114" s="955">
        <f t="shared" si="9"/>
        <v>21.831959087462231</v>
      </c>
      <c r="P114" s="916">
        <f>J114*'A. Dades de partida'!$D$10</f>
        <v>17.21772</v>
      </c>
      <c r="Q114" s="916">
        <f>J114+J114*'4. Agricultura PIB'!$D$71</f>
        <v>1.485315312</v>
      </c>
      <c r="R114" s="916">
        <f>(((J114-Q114)*'A. Dades de partida'!$D$10)/2)+('A. Dades de partida'!$D$10*Q114)</f>
        <v>19.748724839999998</v>
      </c>
      <c r="S114" s="916">
        <f t="shared" si="10"/>
        <v>2.5310048399999978</v>
      </c>
    </row>
    <row r="115" spans="1:19">
      <c r="A115" s="835">
        <v>8112</v>
      </c>
      <c r="B115" s="826" t="s">
        <v>721</v>
      </c>
      <c r="C115" s="319" t="str">
        <f t="shared" si="6"/>
        <v>Osona</v>
      </c>
      <c r="D115" s="908">
        <f>IFERROR(IF(VLOOKUP(B115,'BD ASVICC'!$A$6:$GN$316,193,FALSE)&gt;0,VLOOKUP(B115,'BD ASVICC'!$A$6:$GN$316,193,FALSE),(VLOOKUP(C115,'BD Comarcal'!$A$6:$AB$17,9,)/VLOOKUP(C115,'BD Comarcal'!$A$6:$AB$17,13,))),"")</f>
        <v>0.01</v>
      </c>
      <c r="E115" s="910">
        <f>IFERROR(IF(VLOOKUP(B115,'BD ASVICC'!$A$6:$GN$316,192,FALSE)&gt;0,VLOOKUP(B115,'BD ASVICC'!$A$6:$GN$316,192,FALSE),(VLOOKUP(C115,'BD Comarcal'!$A$6:$AB$17,14,)*F115)),"")</f>
        <v>366</v>
      </c>
      <c r="F115" s="904">
        <f t="shared" si="11"/>
        <v>0.12916904928649905</v>
      </c>
      <c r="G115" s="910">
        <f t="shared" si="8"/>
        <v>3.66</v>
      </c>
      <c r="H115" s="910">
        <f>IFERROR(VLOOKUP(B115, base,19,FALSE)*'4. Agricultura PIB'!$K$11/1000000,G115*'4. Agricultura PIB'!$F$54)</f>
        <v>4.2527812016689337</v>
      </c>
      <c r="I115" s="910">
        <f>G115*'4. Agricultura PIB'!$F$45</f>
        <v>1.2045060000000001</v>
      </c>
      <c r="J115" s="952">
        <f>IFERROR((VLOOKUP(B115,base,19,FALSE)*'tecnicecon agric'!$D$65)/1000000,H115/3)</f>
        <v>1.8150599999999997</v>
      </c>
      <c r="K115" s="952">
        <f>IFERROR(VLOOKUP(B115,'cultius resum'!$T$6:$AU$306,22,FALSE)/1000000,0)</f>
        <v>0.51823720833333331</v>
      </c>
      <c r="L115" s="915">
        <f>K115*'A. Dades de partida'!$D$10</f>
        <v>7.7735581249999992</v>
      </c>
      <c r="M115" s="956">
        <f>IFERROR(VLOOKUP(B115,'cultius resum'!$T$6:$AU$308,28,FALSE)/1000000,0)</f>
        <v>5.1589105990344963</v>
      </c>
      <c r="N115" s="955">
        <f>M115*'A. Dades de partida'!$D$10+(((I115-M115)*'A. Dades de partida'!$D$10)/2)</f>
        <v>47.725624492758726</v>
      </c>
      <c r="O115" s="955">
        <f t="shared" si="9"/>
        <v>42.566713893724227</v>
      </c>
      <c r="P115" s="916">
        <f>J115*'A. Dades de partida'!$D$10</f>
        <v>27.225899999999996</v>
      </c>
      <c r="Q115" s="916">
        <f>J115+J115*'4. Agricultura PIB'!$D$71</f>
        <v>2.3486876399999996</v>
      </c>
      <c r="R115" s="916">
        <f>(((J115-Q115)*'A. Dades de partida'!$D$10)/2)+('A. Dades de partida'!$D$10*Q115)</f>
        <v>31.228107299999994</v>
      </c>
      <c r="S115" s="916">
        <f t="shared" si="10"/>
        <v>4.0022072999999985</v>
      </c>
    </row>
    <row r="116" spans="1:19">
      <c r="A116" s="835">
        <v>8113</v>
      </c>
      <c r="B116" s="826" t="s">
        <v>699</v>
      </c>
      <c r="C116" s="319" t="str">
        <f t="shared" si="6"/>
        <v>Bages</v>
      </c>
      <c r="D116" s="908">
        <f>IFERROR(IF(VLOOKUP(B116,'BD ASVICC'!$A$6:$GN$316,193,FALSE)&gt;0,VLOOKUP(B116,'BD ASVICC'!$A$6:$GN$316,193,FALSE),(VLOOKUP(C116,'BD Comarcal'!$A$6:$AB$17,9,)/VLOOKUP(C116,'BD Comarcal'!$A$6:$AB$17,13,))),"")</f>
        <v>2E-3</v>
      </c>
      <c r="E116" s="910">
        <f>IFERROR(IF(VLOOKUP(B116,'BD ASVICC'!$A$6:$GN$316,192,FALSE)&gt;0,VLOOKUP(B116,'BD ASVICC'!$A$6:$GN$316,192,FALSE),(VLOOKUP(C116,'BD Comarcal'!$A$6:$AB$17,14,)*F116)),"")</f>
        <v>1859</v>
      </c>
      <c r="F116" s="904">
        <f t="shared" si="11"/>
        <v>0.42867055470492771</v>
      </c>
      <c r="G116" s="910">
        <f t="shared" si="8"/>
        <v>3.718</v>
      </c>
      <c r="H116" s="910">
        <f>IFERROR(VLOOKUP(B116, base,19,FALSE)*'4. Agricultura PIB'!$K$11/1000000,G116*'4. Agricultura PIB'!$F$54)</f>
        <v>2.5526190631693306</v>
      </c>
      <c r="I116" s="910">
        <f>G116*'4. Agricultura PIB'!$F$45</f>
        <v>1.2235938</v>
      </c>
      <c r="J116" s="952">
        <f>IFERROR((VLOOKUP(B116,base,19,FALSE)*'tecnicecon agric'!$D$65)/1000000,H116/3)</f>
        <v>1.0894415999999998</v>
      </c>
      <c r="K116" s="952">
        <f>IFERROR(VLOOKUP(B116,'cultius resum'!$T$6:$AU$306,22,FALSE)/1000000,0)</f>
        <v>0.58904079166666667</v>
      </c>
      <c r="L116" s="915">
        <f>K116*'A. Dades de partida'!$D$10</f>
        <v>8.8356118749999997</v>
      </c>
      <c r="M116" s="956">
        <f>IFERROR(VLOOKUP(B116,'cultius resum'!$T$6:$AU$308,28,FALSE)/1000000,0)</f>
        <v>6.7306726063963298</v>
      </c>
      <c r="N116" s="955">
        <f>M116*'A. Dades de partida'!$D$10+(((I116-M116)*'A. Dades de partida'!$D$10)/2)</f>
        <v>59.656998047972479</v>
      </c>
      <c r="O116" s="955">
        <f t="shared" si="9"/>
        <v>52.926325441576147</v>
      </c>
      <c r="P116" s="916">
        <f>J116*'A. Dades de partida'!$D$10</f>
        <v>16.341623999999996</v>
      </c>
      <c r="Q116" s="916">
        <f>J116+J116*'4. Agricultura PIB'!$D$71</f>
        <v>1.4097374303999997</v>
      </c>
      <c r="R116" s="916">
        <f>(((J116-Q116)*'A. Dades de partida'!$D$10)/2)+('A. Dades de partida'!$D$10*Q116)</f>
        <v>18.743842727999997</v>
      </c>
      <c r="S116" s="916">
        <f t="shared" si="10"/>
        <v>2.4022187280000011</v>
      </c>
    </row>
    <row r="117" spans="1:19">
      <c r="A117" s="835">
        <v>8114</v>
      </c>
      <c r="B117" s="826" t="s">
        <v>677</v>
      </c>
      <c r="C117" s="319" t="str">
        <f t="shared" si="6"/>
        <v>Baix Llobregat</v>
      </c>
      <c r="D117" s="908">
        <f>IFERROR(IF(VLOOKUP(B117,'BD ASVICC'!$A$6:$GN$316,193,FALSE)&gt;0,VLOOKUP(B117,'BD ASVICC'!$A$6:$GN$316,193,FALSE),(VLOOKUP(C117,'BD Comarcal'!$A$6:$AB$17,9,)/VLOOKUP(C117,'BD Comarcal'!$A$6:$AB$17,13,))),"")</f>
        <v>7.8252861716696001E-4</v>
      </c>
      <c r="E117" s="910">
        <f>IFERROR(IF(VLOOKUP(B117,'BD ASVICC'!$A$6:$GN$316,192,FALSE)&gt;0,VLOOKUP(B117,'BD ASVICC'!$A$6:$GN$316,192,FALSE),(VLOOKUP(C117,'BD Comarcal'!$A$6:$AB$17,14,)*F117)),"")</f>
        <v>2501</v>
      </c>
      <c r="F117" s="904">
        <f t="shared" si="11"/>
        <v>3.4134560177210782E-2</v>
      </c>
      <c r="G117" s="910">
        <f t="shared" si="8"/>
        <v>1.9571040715345669</v>
      </c>
      <c r="H117" s="910">
        <f>IFERROR(VLOOKUP(B117, base,19,FALSE)*'4. Agricultura PIB'!$K$11/1000000,G117*'4. Agricultura PIB'!$F$54)</f>
        <v>4.7517108398535571E-4</v>
      </c>
      <c r="I117" s="910">
        <f>G117*'4. Agricultura PIB'!$F$45</f>
        <v>0.64408294994202597</v>
      </c>
      <c r="J117" s="952">
        <f>IFERROR((VLOOKUP(B117,base,19,FALSE)*'tecnicecon agric'!$D$65)/1000000,H117/3)</f>
        <v>2.028E-4</v>
      </c>
      <c r="K117" s="952">
        <f>IFERROR(VLOOKUP(B117,'cultius resum'!$T$6:$AU$306,22,FALSE)/1000000,0)</f>
        <v>1.9376916666666664E-2</v>
      </c>
      <c r="L117" s="915">
        <f>K117*'A. Dades de partida'!$D$10</f>
        <v>0.29065374999999993</v>
      </c>
      <c r="M117" s="956">
        <f>IFERROR(VLOOKUP(B117,'cultius resum'!$T$6:$AU$308,28,FALSE)/1000000,0)</f>
        <v>0.23844192779132614</v>
      </c>
      <c r="N117" s="955">
        <f>M117*'A. Dades de partida'!$D$10+(((I117-M117)*'A. Dades de partida'!$D$10)/2)</f>
        <v>6.6189365830001403</v>
      </c>
      <c r="O117" s="955">
        <f t="shared" si="9"/>
        <v>6.380494655208814</v>
      </c>
      <c r="P117" s="916">
        <f>J117*'A. Dades de partida'!$D$10</f>
        <v>3.042E-3</v>
      </c>
      <c r="Q117" s="916">
        <f>J117+J117*'4. Agricultura PIB'!$D$71</f>
        <v>2.6242319999999998E-4</v>
      </c>
      <c r="R117" s="916">
        <f>(((J117-Q117)*'A. Dades de partida'!$D$10)/2)+('A. Dades de partida'!$D$10*Q117)</f>
        <v>3.4891739999999994E-3</v>
      </c>
      <c r="S117" s="916">
        <f t="shared" si="10"/>
        <v>4.471739999999994E-4</v>
      </c>
    </row>
    <row r="118" spans="1:19">
      <c r="A118" s="835">
        <v>8115</v>
      </c>
      <c r="B118" s="826" t="s">
        <v>1183</v>
      </c>
      <c r="C118" s="319" t="str">
        <f t="shared" si="6"/>
        <v>Vallès Oriental</v>
      </c>
      <c r="D118" s="908">
        <f>IFERROR(IF(VLOOKUP(B118,'BD ASVICC'!$A$6:$GN$316,193,FALSE)&gt;0,VLOOKUP(B118,'BD ASVICC'!$A$6:$GN$316,193,FALSE),(VLOOKUP(C118,'BD Comarcal'!$A$6:$AB$17,9,)/VLOOKUP(C118,'BD Comarcal'!$A$6:$AB$17,13,))),"")</f>
        <v>3.6614258022830064E-3</v>
      </c>
      <c r="E118" s="910">
        <f>IFERROR(IF(VLOOKUP(B118,'BD ASVICC'!$A$6:$GN$316,192,FALSE)&gt;0,VLOOKUP(B118,'BD ASVICC'!$A$6:$GN$316,192,FALSE),(VLOOKUP(C118,'BD Comarcal'!$A$6:$AB$17,14,)*F118)),"")</f>
        <v>130.43791641957651</v>
      </c>
      <c r="F118" s="904">
        <f t="shared" si="11"/>
        <v>1.1773118917221893E-2</v>
      </c>
      <c r="G118" s="910">
        <f t="shared" si="8"/>
        <v>0.47758875277467167</v>
      </c>
      <c r="H118" s="910">
        <f>IFERROR(VLOOKUP(B118, base,19,FALSE)*'4. Agricultura PIB'!$K$11/1000000,G118*'4. Agricultura PIB'!$F$54)</f>
        <v>6.1772240918096244E-3</v>
      </c>
      <c r="I118" s="910">
        <f>G118*'4. Agricultura PIB'!$F$45</f>
        <v>0.15717445853814443</v>
      </c>
      <c r="J118" s="952">
        <f>IFERROR((VLOOKUP(B118,base,19,FALSE)*'tecnicecon agric'!$D$65)/1000000,H118/3)</f>
        <v>2.6363999999999997E-3</v>
      </c>
      <c r="K118" s="952">
        <f>IFERROR(VLOOKUP(B118,'cultius resum'!$T$6:$AU$306,22,FALSE)/1000000,0)</f>
        <v>5.2286666666666662E-3</v>
      </c>
      <c r="L118" s="915">
        <f>K118*'A. Dades de partida'!$D$10</f>
        <v>7.843E-2</v>
      </c>
      <c r="M118" s="956">
        <f>IFERROR(VLOOKUP(B118,'cultius resum'!$T$6:$AU$308,28,FALSE)/1000000,0)</f>
        <v>4.5711079685065645E-2</v>
      </c>
      <c r="N118" s="955">
        <f>M118*'A. Dades de partida'!$D$10+(((I118-M118)*'A. Dades de partida'!$D$10)/2)</f>
        <v>1.5216415366740756</v>
      </c>
      <c r="O118" s="955">
        <f t="shared" si="9"/>
        <v>1.4759304569890099</v>
      </c>
      <c r="P118" s="916">
        <f>J118*'A. Dades de partida'!$D$10</f>
        <v>3.9545999999999998E-2</v>
      </c>
      <c r="Q118" s="916">
        <f>J118+J118*'4. Agricultura PIB'!$D$71</f>
        <v>3.4115015999999993E-3</v>
      </c>
      <c r="R118" s="916">
        <f>(((J118-Q118)*'A. Dades de partida'!$D$10)/2)+('A. Dades de partida'!$D$10*Q118)</f>
        <v>4.535926199999999E-2</v>
      </c>
      <c r="S118" s="916">
        <f t="shared" si="10"/>
        <v>5.8132619999999927E-3</v>
      </c>
    </row>
    <row r="119" spans="1:19">
      <c r="A119" s="835">
        <v>8116</v>
      </c>
      <c r="B119" s="826" t="s">
        <v>1184</v>
      </c>
      <c r="C119" s="319" t="str">
        <f t="shared" si="6"/>
        <v>Osona</v>
      </c>
      <c r="D119" s="908">
        <f>IFERROR(IF(VLOOKUP(B119,'BD ASVICC'!$A$6:$GN$316,193,FALSE)&gt;0,VLOOKUP(B119,'BD ASVICC'!$A$6:$GN$316,193,FALSE),(VLOOKUP(C119,'BD Comarcal'!$A$6:$AB$17,9,)/VLOOKUP(C119,'BD Comarcal'!$A$6:$AB$17,13,))),"")</f>
        <v>1.8400340353116357E-2</v>
      </c>
      <c r="E119" s="910">
        <f>IFERROR(IF(VLOOKUP(B119,'BD ASVICC'!$A$6:$GN$316,192,FALSE)&gt;0,VLOOKUP(B119,'BD ASVICC'!$A$6:$GN$316,192,FALSE),(VLOOKUP(C119,'BD Comarcal'!$A$6:$AB$17,14,)*F119)),"")</f>
        <v>18.713249079612698</v>
      </c>
      <c r="F119" s="904">
        <f t="shared" si="11"/>
        <v>4.5874801626820698E-3</v>
      </c>
      <c r="G119" s="910">
        <f t="shared" si="8"/>
        <v>0.34433015217751506</v>
      </c>
      <c r="H119" s="910">
        <f>IFERROR(VLOOKUP(B119, base,19,FALSE)*'4. Agricultura PIB'!$K$11/1000000,G119*'4. Agricultura PIB'!$F$54)</f>
        <v>2.2337792658151576</v>
      </c>
      <c r="I119" s="910">
        <f>G119*'4. Agricultura PIB'!$F$45</f>
        <v>0.11331905308162021</v>
      </c>
      <c r="J119" s="952">
        <f>IFERROR((VLOOKUP(B119,base,19,FALSE)*'tecnicecon agric'!$D$65)/1000000,H119/3)</f>
        <v>0.95336279999999995</v>
      </c>
      <c r="K119" s="952">
        <f>IFERROR(VLOOKUP(B119,'cultius resum'!$T$6:$AU$306,22,FALSE)/1000000,0)</f>
        <v>0.29000433333333331</v>
      </c>
      <c r="L119" s="915">
        <f>K119*'A. Dades de partida'!$D$10</f>
        <v>4.3500649999999998</v>
      </c>
      <c r="M119" s="956">
        <f>IFERROR(VLOOKUP(B119,'cultius resum'!$T$6:$AU$308,28,FALSE)/1000000,0)</f>
        <v>3.0324298644877108</v>
      </c>
      <c r="N119" s="955">
        <f>M119*'A. Dades de partida'!$D$10+(((I119-M119)*'A. Dades de partida'!$D$10)/2)</f>
        <v>23.593116881769983</v>
      </c>
      <c r="O119" s="955">
        <f t="shared" si="9"/>
        <v>20.560687017282273</v>
      </c>
      <c r="P119" s="916">
        <f>J119*'A. Dades de partida'!$D$10</f>
        <v>14.300441999999999</v>
      </c>
      <c r="Q119" s="916">
        <f>J119+J119*'4. Agricultura PIB'!$D$71</f>
        <v>1.2336514632</v>
      </c>
      <c r="R119" s="916">
        <f>(((J119-Q119)*'A. Dades de partida'!$D$10)/2)+('A. Dades de partida'!$D$10*Q119)</f>
        <v>16.402606973999998</v>
      </c>
      <c r="S119" s="916">
        <f t="shared" si="10"/>
        <v>2.102164973999999</v>
      </c>
    </row>
    <row r="120" spans="1:19">
      <c r="A120" s="835">
        <v>8117</v>
      </c>
      <c r="B120" s="826" t="s">
        <v>1187</v>
      </c>
      <c r="C120" s="319" t="str">
        <f t="shared" si="6"/>
        <v>Osona</v>
      </c>
      <c r="D120" s="908">
        <f>IFERROR(IF(VLOOKUP(B120,'BD ASVICC'!$A$6:$GN$316,193,FALSE)&gt;0,VLOOKUP(B120,'BD ASVICC'!$A$6:$GN$316,193,FALSE),(VLOOKUP(C120,'BD Comarcal'!$A$6:$AB$17,9,)/VLOOKUP(C120,'BD Comarcal'!$A$6:$AB$17,13,))),"")</f>
        <v>1.8400340353116357E-2</v>
      </c>
      <c r="E120" s="910">
        <f>IFERROR(IF(VLOOKUP(B120,'BD ASVICC'!$A$6:$GN$316,192,FALSE)&gt;0,VLOOKUP(B120,'BD ASVICC'!$A$6:$GN$316,192,FALSE),(VLOOKUP(C120,'BD Comarcal'!$A$6:$AB$17,14,)*F120)),"")</f>
        <v>83.082632468308475</v>
      </c>
      <c r="F120" s="904">
        <f t="shared" si="11"/>
        <v>2.0367383915549243E-2</v>
      </c>
      <c r="G120" s="910">
        <f t="shared" si="8"/>
        <v>1.5287487148497516</v>
      </c>
      <c r="H120" s="910">
        <f>IFERROR(VLOOKUP(B120, base,19,FALSE)*'4. Agricultura PIB'!$K$11/1000000,G120*'4. Agricultura PIB'!$F$54)</f>
        <v>5.9524681690845505</v>
      </c>
      <c r="I120" s="910">
        <f>G120*'4. Agricultura PIB'!$F$45</f>
        <v>0.50311120205705329</v>
      </c>
      <c r="J120" s="952">
        <f>IFERROR((VLOOKUP(B120,base,19,FALSE)*'tecnicecon agric'!$D$65)/1000000,H120/3)</f>
        <v>2.5404755999999997</v>
      </c>
      <c r="K120" s="952">
        <f>IFERROR(VLOOKUP(B120,'cultius resum'!$T$6:$AU$306,22,FALSE)/1000000,0)</f>
        <v>0.41847875000000001</v>
      </c>
      <c r="L120" s="915">
        <f>K120*'A. Dades de partida'!$D$10</f>
        <v>6.2771812499999999</v>
      </c>
      <c r="M120" s="956">
        <f>IFERROR(VLOOKUP(B120,'cultius resum'!$T$6:$AU$308,28,FALSE)/1000000,0)</f>
        <v>4.307494923003433</v>
      </c>
      <c r="N120" s="955">
        <f>M120*'A. Dades de partida'!$D$10+(((I120-M120)*'A. Dades de partida'!$D$10)/2)</f>
        <v>36.079545937953647</v>
      </c>
      <c r="O120" s="955">
        <f t="shared" si="9"/>
        <v>31.772051014950215</v>
      </c>
      <c r="P120" s="916">
        <f>J120*'A. Dades de partida'!$D$10</f>
        <v>38.107133999999995</v>
      </c>
      <c r="Q120" s="916">
        <f>J120+J120*'4. Agricultura PIB'!$D$71</f>
        <v>3.2873754263999997</v>
      </c>
      <c r="R120" s="916">
        <f>(((J120-Q120)*'A. Dades de partida'!$D$10)/2)+('A. Dades de partida'!$D$10*Q120)</f>
        <v>43.708882697999996</v>
      </c>
      <c r="S120" s="916">
        <f t="shared" si="10"/>
        <v>5.6017486980000015</v>
      </c>
    </row>
    <row r="121" spans="1:19">
      <c r="A121" s="835">
        <v>8118</v>
      </c>
      <c r="B121" s="826" t="s">
        <v>344</v>
      </c>
      <c r="C121" s="319" t="str">
        <f t="shared" si="6"/>
        <v>Maresme</v>
      </c>
      <c r="D121" s="908">
        <f>IFERROR(IF(VLOOKUP(B121,'BD ASVICC'!$A$6:$GN$316,193,FALSE)&gt;0,VLOOKUP(B121,'BD ASVICC'!$A$6:$GN$316,193,FALSE),(VLOOKUP(C121,'BD Comarcal'!$A$6:$AB$17,9,)/VLOOKUP(C121,'BD Comarcal'!$A$6:$AB$17,13,))),"")</f>
        <v>3.0000000000000001E-3</v>
      </c>
      <c r="E121" s="910">
        <f>IFERROR(IF(VLOOKUP(B121,'BD ASVICC'!$A$6:$GN$316,192,FALSE)&gt;0,VLOOKUP(B121,'BD ASVICC'!$A$6:$GN$316,192,FALSE),(VLOOKUP(C121,'BD Comarcal'!$A$6:$AB$17,14,)*F121)),"")</f>
        <v>492</v>
      </c>
      <c r="F121" s="904">
        <f t="shared" si="11"/>
        <v>5.2364072887056773E-2</v>
      </c>
      <c r="G121" s="910">
        <f t="shared" si="8"/>
        <v>1.476</v>
      </c>
      <c r="H121" s="910">
        <f>IFERROR(VLOOKUP(B121, base,19,FALSE)*'4. Agricultura PIB'!$K$11/1000000,G121*'4. Agricultura PIB'!$F$54)</f>
        <v>0</v>
      </c>
      <c r="I121" s="910">
        <f>G121*'4. Agricultura PIB'!$F$45</f>
        <v>0.48575160000000001</v>
      </c>
      <c r="J121" s="952">
        <f>IFERROR((VLOOKUP(B121,base,19,FALSE)*'tecnicecon agric'!$D$65)/1000000,H121/3)</f>
        <v>0</v>
      </c>
      <c r="K121" s="952">
        <f>IFERROR(VLOOKUP(B121,'cultius resum'!$T$6:$AU$306,22,FALSE)/1000000,0)</f>
        <v>1.9203624999999998E-2</v>
      </c>
      <c r="L121" s="915">
        <f>K121*'A. Dades de partida'!$D$10</f>
        <v>0.28805437499999997</v>
      </c>
      <c r="M121" s="956">
        <f>IFERROR(VLOOKUP(B121,'cultius resum'!$T$6:$AU$308,28,FALSE)/1000000,0)</f>
        <v>0.28525580425449104</v>
      </c>
      <c r="N121" s="955">
        <f>M121*'A. Dades de partida'!$D$10+(((I121-M121)*'A. Dades de partida'!$D$10)/2)</f>
        <v>5.7825555319086828</v>
      </c>
      <c r="O121" s="955">
        <f t="shared" si="9"/>
        <v>5.4972997276541919</v>
      </c>
      <c r="P121" s="916">
        <f>J121*'A. Dades de partida'!$D$10</f>
        <v>0</v>
      </c>
      <c r="Q121" s="916">
        <f>J121+J121*'4. Agricultura PIB'!$D$71</f>
        <v>0</v>
      </c>
      <c r="R121" s="916">
        <f>(((J121-Q121)*'A. Dades de partida'!$D$10)/2)+('A. Dades de partida'!$D$10*Q121)</f>
        <v>0</v>
      </c>
      <c r="S121" s="916">
        <f t="shared" si="10"/>
        <v>0</v>
      </c>
    </row>
    <row r="122" spans="1:19">
      <c r="A122" s="835">
        <v>8119</v>
      </c>
      <c r="B122" s="826" t="s">
        <v>1194</v>
      </c>
      <c r="C122" s="319" t="str">
        <f t="shared" si="6"/>
        <v>Anoia</v>
      </c>
      <c r="D122" s="908">
        <f>IFERROR(IF(VLOOKUP(B122,'BD ASVICC'!$A$6:$GN$316,193,FALSE)&gt;0,VLOOKUP(B122,'BD ASVICC'!$A$6:$GN$316,193,FALSE),(VLOOKUP(C122,'BD Comarcal'!$A$6:$AB$17,9,)/VLOOKUP(C122,'BD Comarcal'!$A$6:$AB$17,13,))),"")</f>
        <v>1.2E-2</v>
      </c>
      <c r="E122" s="910">
        <f>IFERROR(IF(VLOOKUP(B122,'BD ASVICC'!$A$6:$GN$316,192,FALSE)&gt;0,VLOOKUP(B122,'BD ASVICC'!$A$6:$GN$316,192,FALSE),(VLOOKUP(C122,'BD Comarcal'!$A$6:$AB$17,14,)*F122)),"")</f>
        <v>103</v>
      </c>
      <c r="F122" s="904">
        <f t="shared" si="11"/>
        <v>7.1367783224400877E-2</v>
      </c>
      <c r="G122" s="910">
        <f t="shared" si="8"/>
        <v>1.236</v>
      </c>
      <c r="H122" s="910">
        <f>IFERROR(VLOOKUP(B122, base,19,FALSE)*'4. Agricultura PIB'!$K$11/1000000,G122*'4. Agricultura PIB'!$F$54)</f>
        <v>0.50415652010846246</v>
      </c>
      <c r="I122" s="910">
        <f>G122*'4. Agricultura PIB'!$F$45</f>
        <v>0.40676760000000001</v>
      </c>
      <c r="J122" s="952">
        <f>IFERROR((VLOOKUP(B122,base,19,FALSE)*'tecnicecon agric'!$D$65)/1000000,H122/3)</f>
        <v>0.2151708</v>
      </c>
      <c r="K122" s="952">
        <f>IFERROR(VLOOKUP(B122,'cultius resum'!$T$6:$AU$306,22,FALSE)/1000000,0)</f>
        <v>7.7842916666666651E-2</v>
      </c>
      <c r="L122" s="915">
        <f>K122*'A. Dades de partida'!$D$10</f>
        <v>1.1676437499999999</v>
      </c>
      <c r="M122" s="956">
        <f>IFERROR(VLOOKUP(B122,'cultius resum'!$T$6:$AU$308,28,FALSE)/1000000,0)</f>
        <v>0.74957490972433294</v>
      </c>
      <c r="N122" s="955">
        <f>M122*'A. Dades de partida'!$D$10+(((I122-M122)*'A. Dades de partida'!$D$10)/2)</f>
        <v>8.6725688229324973</v>
      </c>
      <c r="O122" s="955">
        <f t="shared" si="9"/>
        <v>7.9229939132081642</v>
      </c>
      <c r="P122" s="916">
        <f>J122*'A. Dades de partida'!$D$10</f>
        <v>3.2275619999999998</v>
      </c>
      <c r="Q122" s="916">
        <f>J122+J122*'4. Agricultura PIB'!$D$71</f>
        <v>0.27843101520000002</v>
      </c>
      <c r="R122" s="916">
        <f>(((J122-Q122)*'A. Dades de partida'!$D$10)/2)+('A. Dades de partida'!$D$10*Q122)</f>
        <v>3.7020136140000002</v>
      </c>
      <c r="S122" s="916">
        <f t="shared" si="10"/>
        <v>0.47445161400000035</v>
      </c>
    </row>
    <row r="123" spans="1:19">
      <c r="A123" s="835">
        <v>8120</v>
      </c>
      <c r="B123" s="826" t="s">
        <v>1197</v>
      </c>
      <c r="C123" s="319" t="str">
        <f t="shared" si="6"/>
        <v>Vallès Occidental</v>
      </c>
      <c r="D123" s="908">
        <f>IFERROR(IF(VLOOKUP(B123,'BD ASVICC'!$A$6:$GN$316,193,FALSE)&gt;0,VLOOKUP(B123,'BD ASVICC'!$A$6:$GN$316,193,FALSE),(VLOOKUP(C123,'BD Comarcal'!$A$6:$AB$17,9,)/VLOOKUP(C123,'BD Comarcal'!$A$6:$AB$17,13,))),"")</f>
        <v>3.6775782925402761E-4</v>
      </c>
      <c r="E123" s="910">
        <f>IFERROR(IF(VLOOKUP(B123,'BD ASVICC'!$A$6:$GN$316,192,FALSE)&gt;0,VLOOKUP(B123,'BD ASVICC'!$A$6:$GN$316,192,FALSE),(VLOOKUP(C123,'BD Comarcal'!$A$6:$AB$17,14,)*F123)),"")</f>
        <v>123</v>
      </c>
      <c r="F123" s="904">
        <f t="shared" si="11"/>
        <v>9.9354153764487311E-3</v>
      </c>
      <c r="G123" s="910">
        <f t="shared" si="8"/>
        <v>4.5234212998245399E-2</v>
      </c>
      <c r="H123" s="910">
        <f>IFERROR(VLOOKUP(B123, base,19,FALSE)*'4. Agricultura PIB'!$K$11/1000000,G123*'4. Agricultura PIB'!$F$54)</f>
        <v>2.9442949240557931E-2</v>
      </c>
      <c r="I123" s="910">
        <f>G123*'4. Agricultura PIB'!$F$45</f>
        <v>1.4886579497722562E-2</v>
      </c>
      <c r="J123" s="952">
        <f>IFERROR((VLOOKUP(B123,base,19,FALSE)*'tecnicecon agric'!$D$65)/1000000,H123/3)</f>
        <v>9.8143164135193108E-3</v>
      </c>
      <c r="K123" s="952">
        <f>IFERROR(VLOOKUP(B123,'cultius resum'!$T$6:$AU$306,22,FALSE)/1000000,0)</f>
        <v>4.7533333333333334E-3</v>
      </c>
      <c r="L123" s="915">
        <f>K123*'A. Dades de partida'!$D$10</f>
        <v>7.1300000000000002E-2</v>
      </c>
      <c r="M123" s="956">
        <f>IFERROR(VLOOKUP(B123,'cultius resum'!$T$6:$AU$308,28,FALSE)/1000000,0)</f>
        <v>4.1555526986423313E-2</v>
      </c>
      <c r="N123" s="955">
        <f>M123*'A. Dades de partida'!$D$10+(((I123-M123)*'A. Dades de partida'!$D$10)/2)</f>
        <v>0.42331579863109409</v>
      </c>
      <c r="O123" s="955">
        <f t="shared" si="9"/>
        <v>0.38176027164467075</v>
      </c>
      <c r="P123" s="916">
        <f>J123*'A. Dades de partida'!$D$10</f>
        <v>0.14721474620278965</v>
      </c>
      <c r="Q123" s="916">
        <f>J123+J123*'4. Agricultura PIB'!$D$71</f>
        <v>1.2699725439093989E-2</v>
      </c>
      <c r="R123" s="916">
        <f>(((J123-Q123)*'A. Dades de partida'!$D$10)/2)+('A. Dades de partida'!$D$10*Q123)</f>
        <v>0.16885531389459976</v>
      </c>
      <c r="S123" s="916">
        <f t="shared" si="10"/>
        <v>2.1640567691810109E-2</v>
      </c>
    </row>
    <row r="124" spans="1:19">
      <c r="A124" s="835">
        <v>8121</v>
      </c>
      <c r="B124" s="826" t="s">
        <v>345</v>
      </c>
      <c r="C124" s="319" t="str">
        <f t="shared" si="6"/>
        <v>Maresme</v>
      </c>
      <c r="D124" s="908">
        <f>IFERROR(IF(VLOOKUP(B124,'BD ASVICC'!$A$6:$GN$316,193,FALSE)&gt;0,VLOOKUP(B124,'BD ASVICC'!$A$6:$GN$316,193,FALSE),(VLOOKUP(C124,'BD Comarcal'!$A$6:$AB$17,9,)/VLOOKUP(C124,'BD Comarcal'!$A$6:$AB$17,13,))),"")</f>
        <v>2E-3</v>
      </c>
      <c r="E124" s="910">
        <f>IFERROR(IF(VLOOKUP(B124,'BD ASVICC'!$A$6:$GN$316,192,FALSE)&gt;0,VLOOKUP(B124,'BD ASVICC'!$A$6:$GN$316,192,FALSE),(VLOOKUP(C124,'BD Comarcal'!$A$6:$AB$17,14,)*F124)),"")</f>
        <v>2801</v>
      </c>
      <c r="F124" s="904">
        <f t="shared" si="11"/>
        <v>0.28429349610989685</v>
      </c>
      <c r="G124" s="910">
        <f t="shared" si="8"/>
        <v>5.6020000000000003</v>
      </c>
      <c r="H124" s="910">
        <f>IFERROR(VLOOKUP(B124, base,19,FALSE)*'4. Agricultura PIB'!$K$11/1000000,G124*'4. Agricultura PIB'!$F$54)</f>
        <v>0.13399824568387031</v>
      </c>
      <c r="I124" s="910">
        <f>G124*'4. Agricultura PIB'!$F$45</f>
        <v>1.8436182000000001</v>
      </c>
      <c r="J124" s="952">
        <f>IFERROR((VLOOKUP(B124,base,19,FALSE)*'tecnicecon agric'!$D$65)/1000000,H124/3)</f>
        <v>5.71896E-2</v>
      </c>
      <c r="K124" s="952">
        <f>IFERROR(VLOOKUP(B124,'cultius resum'!$T$6:$AU$306,22,FALSE)/1000000,0)</f>
        <v>0.20493745833333335</v>
      </c>
      <c r="L124" s="915">
        <f>K124*'A. Dades de partida'!$D$10</f>
        <v>3.0740618750000004</v>
      </c>
      <c r="M124" s="956">
        <f>IFERROR(VLOOKUP(B124,'cultius resum'!$T$6:$AU$308,28,FALSE)/1000000,0)</f>
        <v>3.0412908803494005</v>
      </c>
      <c r="N124" s="955">
        <f>M124*'A. Dades de partida'!$D$10+(((I124-M124)*'A. Dades de partida'!$D$10)/2)</f>
        <v>36.636818102620502</v>
      </c>
      <c r="O124" s="955">
        <f t="shared" si="9"/>
        <v>33.595527222271102</v>
      </c>
      <c r="P124" s="916">
        <f>J124*'A. Dades de partida'!$D$10</f>
        <v>0.85784400000000005</v>
      </c>
      <c r="Q124" s="916">
        <f>J124+J124*'4. Agricultura PIB'!$D$71</f>
        <v>7.4003342400000005E-2</v>
      </c>
      <c r="R124" s="916">
        <f>(((J124-Q124)*'A. Dades de partida'!$D$10)/2)+('A. Dades de partida'!$D$10*Q124)</f>
        <v>0.98394706800000009</v>
      </c>
      <c r="S124" s="916">
        <f t="shared" si="10"/>
        <v>0.12610306800000004</v>
      </c>
    </row>
    <row r="125" spans="1:19">
      <c r="A125" s="835">
        <v>8122</v>
      </c>
      <c r="B125" s="826" t="s">
        <v>1204</v>
      </c>
      <c r="C125" s="319" t="str">
        <f t="shared" si="6"/>
        <v>Alt Penedès</v>
      </c>
      <c r="D125" s="908">
        <f>IFERROR(IF(VLOOKUP(B125,'BD ASVICC'!$A$6:$GN$316,193,FALSE)&gt;0,VLOOKUP(B125,'BD ASVICC'!$A$6:$GN$316,193,FALSE),(VLOOKUP(C125,'BD Comarcal'!$A$6:$AB$17,9,)/VLOOKUP(C125,'BD Comarcal'!$A$6:$AB$17,13,))),"")</f>
        <v>1.0966842723004694E-2</v>
      </c>
      <c r="E125" s="910">
        <f>IFERROR(IF(VLOOKUP(B125,'BD ASVICC'!$A$6:$GN$316,192,FALSE)&gt;0,VLOOKUP(B125,'BD ASVICC'!$A$6:$GN$316,192,FALSE),(VLOOKUP(C125,'BD Comarcal'!$A$6:$AB$17,14,)*F125)),"")</f>
        <v>63.498756998353329</v>
      </c>
      <c r="F125" s="904">
        <f t="shared" si="11"/>
        <v>2.1472594683603859E-2</v>
      </c>
      <c r="G125" s="910">
        <f t="shared" si="8"/>
        <v>0.69638088110723462</v>
      </c>
      <c r="H125" s="910">
        <f>IFERROR(VLOOKUP(B125, base,19,FALSE)*'4. Agricultura PIB'!$K$11/1000000,G125*'4. Agricultura PIB'!$F$54)</f>
        <v>0.45236287195405867</v>
      </c>
      <c r="I125" s="910">
        <f>G125*'4. Agricultura PIB'!$F$45</f>
        <v>0.22917894797239091</v>
      </c>
      <c r="J125" s="952">
        <f>IFERROR((VLOOKUP(B125,base,19,FALSE)*'tecnicecon agric'!$D$65)/1000000,H125/3)</f>
        <v>0.19306559999999998</v>
      </c>
      <c r="K125" s="952">
        <f>IFERROR(VLOOKUP(B125,'cultius resum'!$T$6:$AU$306,22,FALSE)/1000000,0)</f>
        <v>0.18110200000000001</v>
      </c>
      <c r="L125" s="915">
        <f>K125*'A. Dades de partida'!$D$10</f>
        <v>2.7165300000000001</v>
      </c>
      <c r="M125" s="956">
        <f>IFERROR(VLOOKUP(B125,'cultius resum'!$T$6:$AU$308,28,FALSE)/1000000,0)</f>
        <v>1.5832655781827283</v>
      </c>
      <c r="N125" s="955">
        <f>M125*'A. Dades de partida'!$D$10+(((I125-M125)*'A. Dades de partida'!$D$10)/2)</f>
        <v>13.593333946163392</v>
      </c>
      <c r="O125" s="955">
        <f t="shared" si="9"/>
        <v>12.010068367980665</v>
      </c>
      <c r="P125" s="916">
        <f>J125*'A. Dades de partida'!$D$10</f>
        <v>2.8959839999999994</v>
      </c>
      <c r="Q125" s="916">
        <f>J125+J125*'4. Agricultura PIB'!$D$71</f>
        <v>0.24982688639999998</v>
      </c>
      <c r="R125" s="916">
        <f>(((J125-Q125)*'A. Dades de partida'!$D$10)/2)+('A. Dades de partida'!$D$10*Q125)</f>
        <v>3.3216936479999992</v>
      </c>
      <c r="S125" s="916">
        <f t="shared" si="10"/>
        <v>0.42570964799999977</v>
      </c>
    </row>
    <row r="126" spans="1:19">
      <c r="A126" s="835">
        <v>8123</v>
      </c>
      <c r="B126" s="826" t="s">
        <v>1208</v>
      </c>
      <c r="C126" s="319" t="str">
        <f t="shared" si="6"/>
        <v>Baix Llobregat</v>
      </c>
      <c r="D126" s="908">
        <f>IFERROR(IF(VLOOKUP(B126,'BD ASVICC'!$A$6:$GN$316,193,FALSE)&gt;0,VLOOKUP(B126,'BD ASVICC'!$A$6:$GN$316,193,FALSE),(VLOOKUP(C126,'BD Comarcal'!$A$6:$AB$17,9,)/VLOOKUP(C126,'BD Comarcal'!$A$6:$AB$17,13,))),"")</f>
        <v>1E-3</v>
      </c>
      <c r="E126" s="910">
        <f>IFERROR(IF(VLOOKUP(B126,'BD ASVICC'!$A$6:$GN$316,192,FALSE)&gt;0,VLOOKUP(B126,'BD ASVICC'!$A$6:$GN$316,192,FALSE),(VLOOKUP(C126,'BD Comarcal'!$A$6:$AB$17,14,)*F126)),"")</f>
        <v>666</v>
      </c>
      <c r="F126" s="904">
        <f t="shared" si="11"/>
        <v>3.1311930241775664E-2</v>
      </c>
      <c r="G126" s="910">
        <f t="shared" si="8"/>
        <v>0.66600000000000004</v>
      </c>
      <c r="H126" s="910">
        <f>IFERROR(VLOOKUP(B126, base,19,FALSE)*'4. Agricultura PIB'!$K$11/1000000,G126*'4. Agricultura PIB'!$F$54)</f>
        <v>1.0928934931663182E-2</v>
      </c>
      <c r="I126" s="910">
        <f>G126*'4. Agricultura PIB'!$F$45</f>
        <v>0.2191806</v>
      </c>
      <c r="J126" s="952">
        <f>IFERROR((VLOOKUP(B126,base,19,FALSE)*'tecnicecon agric'!$D$65)/1000000,H126/3)</f>
        <v>4.6644E-3</v>
      </c>
      <c r="K126" s="952">
        <f>IFERROR(VLOOKUP(B126,'cultius resum'!$T$6:$AU$306,22,FALSE)/1000000,0)</f>
        <v>3.5018374999999997E-2</v>
      </c>
      <c r="L126" s="915">
        <f>K126*'A. Dades de partida'!$D$10</f>
        <v>0.52527562499999991</v>
      </c>
      <c r="M126" s="956">
        <f>IFERROR(VLOOKUP(B126,'cultius resum'!$T$6:$AU$308,28,FALSE)/1000000,0)</f>
        <v>0.52017234893466024</v>
      </c>
      <c r="N126" s="955">
        <f>M126*'A. Dades de partida'!$D$10+(((I126-M126)*'A. Dades de partida'!$D$10)/2)</f>
        <v>5.545147117009952</v>
      </c>
      <c r="O126" s="955">
        <f t="shared" si="9"/>
        <v>5.0249747680752916</v>
      </c>
      <c r="P126" s="916">
        <f>J126*'A. Dades de partida'!$D$10</f>
        <v>6.9966E-2</v>
      </c>
      <c r="Q126" s="916">
        <f>J126+J126*'4. Agricultura PIB'!$D$71</f>
        <v>6.0357335999999999E-3</v>
      </c>
      <c r="R126" s="916">
        <f>(((J126-Q126)*'A. Dades de partida'!$D$10)/2)+('A. Dades de partida'!$D$10*Q126)</f>
        <v>8.0251002000000002E-2</v>
      </c>
      <c r="S126" s="916">
        <f t="shared" si="10"/>
        <v>1.0285002000000001E-2</v>
      </c>
    </row>
    <row r="127" spans="1:19">
      <c r="A127" s="835">
        <v>8124</v>
      </c>
      <c r="B127" s="826" t="s">
        <v>1214</v>
      </c>
      <c r="C127" s="319" t="str">
        <f t="shared" si="6"/>
        <v>Vallès Oriental</v>
      </c>
      <c r="D127" s="908">
        <f>IFERROR(IF(VLOOKUP(B127,'BD ASVICC'!$A$6:$GN$316,193,FALSE)&gt;0,VLOOKUP(B127,'BD ASVICC'!$A$6:$GN$316,193,FALSE),(VLOOKUP(C127,'BD Comarcal'!$A$6:$AB$17,9,)/VLOOKUP(C127,'BD Comarcal'!$A$6:$AB$17,13,))),"")</f>
        <v>3.6614258022830064E-3</v>
      </c>
      <c r="E127" s="910">
        <f>IFERROR(IF(VLOOKUP(B127,'BD ASVICC'!$A$6:$GN$316,192,FALSE)&gt;0,VLOOKUP(B127,'BD ASVICC'!$A$6:$GN$316,192,FALSE),(VLOOKUP(C127,'BD Comarcal'!$A$6:$AB$17,14,)*F127)),"")</f>
        <v>1286</v>
      </c>
      <c r="F127" s="904">
        <f t="shared" si="11"/>
        <v>0.12829834204585661</v>
      </c>
      <c r="G127" s="910">
        <f t="shared" si="8"/>
        <v>4.7085935817359461</v>
      </c>
      <c r="H127" s="910">
        <f>IFERROR(VLOOKUP(B127, base,19,FALSE)*'4. Agricultura PIB'!$K$11/1000000,G127*'4. Agricultura PIB'!$F$54)</f>
        <v>0.10881417823264646</v>
      </c>
      <c r="I127" s="910">
        <f>G127*'4. Agricultura PIB'!$F$45</f>
        <v>1.5495981477492999</v>
      </c>
      <c r="J127" s="952">
        <f>IFERROR((VLOOKUP(B127,base,19,FALSE)*'tecnicecon agric'!$D$65)/1000000,H127/3)</f>
        <v>4.6441199999999995E-2</v>
      </c>
      <c r="K127" s="952">
        <f>IFERROR(VLOOKUP(B127,'cultius resum'!$T$6:$AU$306,22,FALSE)/1000000,0)</f>
        <v>0.18416695833333332</v>
      </c>
      <c r="L127" s="915">
        <f>K127*'A. Dades de partida'!$D$10</f>
        <v>2.7625043749999998</v>
      </c>
      <c r="M127" s="956">
        <f>IFERROR(VLOOKUP(B127,'cultius resum'!$T$6:$AU$308,28,FALSE)/1000000,0)</f>
        <v>1.9483626877126641</v>
      </c>
      <c r="N127" s="955">
        <f>M127*'A. Dades de partida'!$D$10+(((I127-M127)*'A. Dades de partida'!$D$10)/2)</f>
        <v>26.234706265964732</v>
      </c>
      <c r="O127" s="955">
        <f t="shared" si="9"/>
        <v>24.286343578252069</v>
      </c>
      <c r="P127" s="916">
        <f>J127*'A. Dades de partida'!$D$10</f>
        <v>0.69661799999999996</v>
      </c>
      <c r="Q127" s="916">
        <f>J127+J127*'4. Agricultura PIB'!$D$71</f>
        <v>6.009491279999999E-2</v>
      </c>
      <c r="R127" s="916">
        <f>(((J127-Q127)*'A. Dades de partida'!$D$10)/2)+('A. Dades de partida'!$D$10*Q127)</f>
        <v>0.7990208459999999</v>
      </c>
      <c r="S127" s="916">
        <f t="shared" si="10"/>
        <v>0.10240284599999994</v>
      </c>
    </row>
    <row r="128" spans="1:19">
      <c r="A128" s="835">
        <v>8125</v>
      </c>
      <c r="B128" s="826" t="s">
        <v>1220</v>
      </c>
      <c r="C128" s="319" t="str">
        <f t="shared" si="6"/>
        <v>Vallès Occidental</v>
      </c>
      <c r="D128" s="908">
        <f>IFERROR(IF(VLOOKUP(B128,'BD ASVICC'!$A$6:$GN$316,193,FALSE)&gt;0,VLOOKUP(B128,'BD ASVICC'!$A$6:$GN$316,193,FALSE),(VLOOKUP(C128,'BD Comarcal'!$A$6:$AB$17,9,)/VLOOKUP(C128,'BD Comarcal'!$A$6:$AB$17,13,))),"")</f>
        <v>3.6775782925402761E-4</v>
      </c>
      <c r="E128" s="910">
        <f>IFERROR(IF(VLOOKUP(B128,'BD ASVICC'!$A$6:$GN$316,192,FALSE)&gt;0,VLOOKUP(B128,'BD ASVICC'!$A$6:$GN$316,192,FALSE),(VLOOKUP(C128,'BD Comarcal'!$A$6:$AB$17,14,)*F128)),"")</f>
        <v>1221</v>
      </c>
      <c r="F128" s="904">
        <f t="shared" si="11"/>
        <v>3.8487569671768557E-2</v>
      </c>
      <c r="G128" s="910">
        <f t="shared" si="8"/>
        <v>0.44903230951916773</v>
      </c>
      <c r="H128" s="910">
        <f>IFERROR(VLOOKUP(B128, base,19,FALSE)*'4. Agricultura PIB'!$K$11/1000000,G128*'4. Agricultura PIB'!$F$54)</f>
        <v>0.35067625998119251</v>
      </c>
      <c r="I128" s="910">
        <f>G128*'4. Agricultura PIB'!$F$45</f>
        <v>0.14777653306275809</v>
      </c>
      <c r="J128" s="952">
        <f>IFERROR((VLOOKUP(B128,base,19,FALSE)*'tecnicecon agric'!$D$65)/1000000,H128/3)</f>
        <v>0.1496664</v>
      </c>
      <c r="K128" s="952">
        <f>IFERROR(VLOOKUP(B128,'cultius resum'!$T$6:$AU$306,22,FALSE)/1000000,0)</f>
        <v>9.3288416666666651E-2</v>
      </c>
      <c r="L128" s="915">
        <f>K128*'A. Dades de partida'!$D$10</f>
        <v>1.3993262499999997</v>
      </c>
      <c r="M128" s="956">
        <f>IFERROR(VLOOKUP(B128,'cultius resum'!$T$6:$AU$308,28,FALSE)/1000000,0)</f>
        <v>0.85698911030154823</v>
      </c>
      <c r="N128" s="955">
        <f>M128*'A. Dades de partida'!$D$10+(((I128-M128)*'A. Dades de partida'!$D$10)/2)</f>
        <v>7.5357423252322979</v>
      </c>
      <c r="O128" s="955">
        <f t="shared" si="9"/>
        <v>6.67875321493075</v>
      </c>
      <c r="P128" s="916">
        <f>J128*'A. Dades de partida'!$D$10</f>
        <v>2.244996</v>
      </c>
      <c r="Q128" s="916">
        <f>J128+J128*'4. Agricultura PIB'!$D$71</f>
        <v>0.1936683216</v>
      </c>
      <c r="R128" s="916">
        <f>(((J128-Q128)*'A. Dades de partida'!$D$10)/2)+('A. Dades de partida'!$D$10*Q128)</f>
        <v>2.5750104120000001</v>
      </c>
      <c r="S128" s="916">
        <f t="shared" si="10"/>
        <v>0.33001441200000015</v>
      </c>
    </row>
    <row r="129" spans="1:19">
      <c r="A129" s="835">
        <v>8126</v>
      </c>
      <c r="B129" s="826" t="s">
        <v>346</v>
      </c>
      <c r="C129" s="319" t="str">
        <f t="shared" si="6"/>
        <v>Maresme</v>
      </c>
      <c r="D129" s="908">
        <f>IFERROR(IF(VLOOKUP(B129,'BD ASVICC'!$A$6:$GN$316,193,FALSE)&gt;0,VLOOKUP(B129,'BD ASVICC'!$A$6:$GN$316,193,FALSE),(VLOOKUP(C129,'BD Comarcal'!$A$6:$AB$17,9,)/VLOOKUP(C129,'BD Comarcal'!$A$6:$AB$17,13,))),"")</f>
        <v>3.0000000000000001E-3</v>
      </c>
      <c r="E129" s="910">
        <f>IFERROR(IF(VLOOKUP(B129,'BD ASVICC'!$A$6:$GN$316,192,FALSE)&gt;0,VLOOKUP(B129,'BD ASVICC'!$A$6:$GN$316,192,FALSE),(VLOOKUP(C129,'BD Comarcal'!$A$6:$AB$17,14,)*F129)),"")</f>
        <v>146</v>
      </c>
      <c r="F129" s="904">
        <f t="shared" si="11"/>
        <v>2.6321332714238796E-2</v>
      </c>
      <c r="G129" s="910">
        <f t="shared" si="8"/>
        <v>0.438</v>
      </c>
      <c r="H129" s="910">
        <f>IFERROR(VLOOKUP(B129, base,19,FALSE)*'4. Agricultura PIB'!$K$11/1000000,G129*'4. Agricultura PIB'!$F$54)</f>
        <v>0.28509420000000002</v>
      </c>
      <c r="I129" s="910">
        <f>G129*'4. Agricultura PIB'!$F$45</f>
        <v>0.14414579999999999</v>
      </c>
      <c r="J129" s="952">
        <f>IFERROR((VLOOKUP(B129,base,19,FALSE)*'tecnicecon agric'!$D$65)/1000000,H129/3)</f>
        <v>9.5031400000000002E-2</v>
      </c>
      <c r="K129" s="952">
        <f>IFERROR(VLOOKUP(B129,'cultius resum'!$T$6:$AU$306,22,FALSE)/1000000,0)</f>
        <v>7.9073749999999995E-3</v>
      </c>
      <c r="L129" s="915">
        <f>K129*'A. Dades de partida'!$D$10</f>
        <v>0.118610625</v>
      </c>
      <c r="M129" s="956">
        <f>IFERROR(VLOOKUP(B129,'cultius resum'!$T$6:$AU$308,28,FALSE)/1000000,0)</f>
        <v>0.11745827234008456</v>
      </c>
      <c r="N129" s="955">
        <f>M129*'A. Dades de partida'!$D$10+(((I129-M129)*'A. Dades de partida'!$D$10)/2)</f>
        <v>1.9620305425506341</v>
      </c>
      <c r="O129" s="955">
        <f t="shared" si="9"/>
        <v>1.8445722702105496</v>
      </c>
      <c r="P129" s="916">
        <f>J129*'A. Dades de partida'!$D$10</f>
        <v>1.4254709999999999</v>
      </c>
      <c r="Q129" s="916">
        <f>J129+J129*'4. Agricultura PIB'!$D$71</f>
        <v>0.1229706316</v>
      </c>
      <c r="R129" s="916">
        <f>(((J129-Q129)*'A. Dades de partida'!$D$10)/2)+('A. Dades de partida'!$D$10*Q129)</f>
        <v>1.635015237</v>
      </c>
      <c r="S129" s="916">
        <f t="shared" si="10"/>
        <v>0.20954423700000002</v>
      </c>
    </row>
    <row r="130" spans="1:19">
      <c r="A130" s="835">
        <v>8127</v>
      </c>
      <c r="B130" s="826" t="s">
        <v>1227</v>
      </c>
      <c r="C130" s="319" t="str">
        <f t="shared" si="6"/>
        <v>Bages</v>
      </c>
      <c r="D130" s="908">
        <f>IFERROR(IF(VLOOKUP(B130,'BD ASVICC'!$A$6:$GN$316,193,FALSE)&gt;0,VLOOKUP(B130,'BD ASVICC'!$A$6:$GN$316,193,FALSE),(VLOOKUP(C130,'BD Comarcal'!$A$6:$AB$17,9,)/VLOOKUP(C130,'BD Comarcal'!$A$6:$AB$17,13,))),"")</f>
        <v>9.2529216416964537E-3</v>
      </c>
      <c r="E130" s="910">
        <f>IFERROR(IF(VLOOKUP(B130,'BD ASVICC'!$A$6:$GN$316,192,FALSE)&gt;0,VLOOKUP(B130,'BD ASVICC'!$A$6:$GN$316,192,FALSE),(VLOOKUP(C130,'BD Comarcal'!$A$6:$AB$17,14,)*F130)),"")</f>
        <v>70.346155257740236</v>
      </c>
      <c r="F130" s="904">
        <f t="shared" si="11"/>
        <v>1.6441011348713449E-2</v>
      </c>
      <c r="G130" s="910">
        <f t="shared" si="8"/>
        <v>0.65090746239448338</v>
      </c>
      <c r="H130" s="910">
        <f>IFERROR(VLOOKUP(B130, base,19,FALSE)*'4. Agricultura PIB'!$K$11/1000000,G130*'4. Agricultura PIB'!$F$54)</f>
        <v>0.17201193240269877</v>
      </c>
      <c r="I130" s="910">
        <f>G130*'4. Agricultura PIB'!$F$45</f>
        <v>0.21421364587402447</v>
      </c>
      <c r="J130" s="952">
        <f>IFERROR((VLOOKUP(B130,base,19,FALSE)*'tecnicecon agric'!$D$65)/1000000,H130/3)</f>
        <v>7.3413599999999996E-2</v>
      </c>
      <c r="K130" s="952">
        <f>IFERROR(VLOOKUP(B130,'cultius resum'!$T$6:$AU$306,22,FALSE)/1000000,0)</f>
        <v>1.0160958333333333E-2</v>
      </c>
      <c r="L130" s="915">
        <f>K130*'A. Dades de partida'!$D$10</f>
        <v>0.15241437499999999</v>
      </c>
      <c r="M130" s="956">
        <f>IFERROR(VLOOKUP(B130,'cultius resum'!$T$6:$AU$308,28,FALSE)/1000000,0)</f>
        <v>9.5735254465644931E-2</v>
      </c>
      <c r="N130" s="955">
        <f>M130*'A. Dades de partida'!$D$10+(((I130-M130)*'A. Dades de partida'!$D$10)/2)</f>
        <v>2.3246167525475205</v>
      </c>
      <c r="O130" s="955">
        <f t="shared" si="9"/>
        <v>2.2288814980818756</v>
      </c>
      <c r="P130" s="916">
        <f>J130*'A. Dades de partida'!$D$10</f>
        <v>1.1012039999999998</v>
      </c>
      <c r="Q130" s="916">
        <f>J130+J130*'4. Agricultura PIB'!$D$71</f>
        <v>9.4997198399999996E-2</v>
      </c>
      <c r="R130" s="916">
        <f>(((J130-Q130)*'A. Dades de partida'!$D$10)/2)+('A. Dades de partida'!$D$10*Q130)</f>
        <v>1.263080988</v>
      </c>
      <c r="S130" s="916">
        <f t="shared" si="10"/>
        <v>0.16187698800000017</v>
      </c>
    </row>
    <row r="131" spans="1:19">
      <c r="A131" s="835">
        <v>8128</v>
      </c>
      <c r="B131" s="826" t="s">
        <v>1230</v>
      </c>
      <c r="C131" s="319" t="str">
        <f t="shared" si="6"/>
        <v>Moianès</v>
      </c>
      <c r="D131" s="908">
        <f>IFERROR(IF(VLOOKUP(B131,'BD ASVICC'!$A$6:$GN$316,193,FALSE)&gt;0,VLOOKUP(B131,'BD ASVICC'!$A$6:$GN$316,193,FALSE),(VLOOKUP(C131,'BD Comarcal'!$A$6:$AB$17,9,)/VLOOKUP(C131,'BD Comarcal'!$A$6:$AB$17,13,))),"")</f>
        <v>2.4061990212071782E-2</v>
      </c>
      <c r="E131" s="910">
        <f>IFERROR(IF(VLOOKUP(B131,'BD ASVICC'!$A$6:$GN$316,192,FALSE)&gt;0,VLOOKUP(B131,'BD ASVICC'!$A$6:$GN$316,192,FALSE),(VLOOKUP(C131,'BD Comarcal'!$A$6:$AB$17,14,)*F131)),"")</f>
        <v>14.071019759255053</v>
      </c>
      <c r="F131" s="904">
        <f t="shared" si="11"/>
        <v>5.2918464683170567E-2</v>
      </c>
      <c r="G131" s="910">
        <f t="shared" si="8"/>
        <v>0.33857673972106372</v>
      </c>
      <c r="H131" s="910">
        <f>IFERROR(VLOOKUP(B131, base,19,FALSE)*'4. Agricultura PIB'!$K$11/1000000,G131*'4. Agricultura PIB'!$F$54)</f>
        <v>0.28652816364316952</v>
      </c>
      <c r="I131" s="910">
        <f>G131*'4. Agricultura PIB'!$F$45</f>
        <v>0.11142560504220207</v>
      </c>
      <c r="J131" s="952">
        <f>IFERROR((VLOOKUP(B131,base,19,FALSE)*'tecnicecon agric'!$D$65)/1000000,H131/3)</f>
        <v>0.12228839999999999</v>
      </c>
      <c r="K131" s="952">
        <f>IFERROR(VLOOKUP(B131,'cultius resum'!$T$6:$AU$306,22,FALSE)/1000000,0)</f>
        <v>2.5550583333333331E-2</v>
      </c>
      <c r="L131" s="915">
        <f>K131*'A. Dades de partida'!$D$10</f>
        <v>0.38325874999999998</v>
      </c>
      <c r="M131" s="956">
        <f>IFERROR(VLOOKUP(B131,'cultius resum'!$T$6:$AU$308,28,FALSE)/1000000,0)</f>
        <v>0.23718158861635555</v>
      </c>
      <c r="N131" s="955">
        <f>M131*'A. Dades de partida'!$D$10+(((I131-M131)*'A. Dades de partida'!$D$10)/2)</f>
        <v>2.6145539524391821</v>
      </c>
      <c r="O131" s="955">
        <f t="shared" si="9"/>
        <v>2.3773723638228264</v>
      </c>
      <c r="P131" s="916">
        <f>J131*'A. Dades de partida'!$D$10</f>
        <v>1.8343259999999999</v>
      </c>
      <c r="Q131" s="916">
        <f>J131+J131*'4. Agricultura PIB'!$D$71</f>
        <v>0.1582411896</v>
      </c>
      <c r="R131" s="916">
        <f>(((J131-Q131)*'A. Dades de partida'!$D$10)/2)+('A. Dades de partida'!$D$10*Q131)</f>
        <v>2.1039719219999999</v>
      </c>
      <c r="S131" s="916">
        <f t="shared" si="10"/>
        <v>0.26964592200000004</v>
      </c>
    </row>
    <row r="132" spans="1:19">
      <c r="A132" s="835">
        <v>8129</v>
      </c>
      <c r="B132" s="826" t="s">
        <v>1233</v>
      </c>
      <c r="C132" s="319" t="str">
        <f t="shared" ref="C132:C195" si="12">VLOOKUP(B132,base,201,FALSE)</f>
        <v>Osona</v>
      </c>
      <c r="D132" s="908">
        <f>IFERROR(IF(VLOOKUP(B132,'BD ASVICC'!$A$6:$GN$316,193,FALSE)&gt;0,VLOOKUP(B132,'BD ASVICC'!$A$6:$GN$316,193,FALSE),(VLOOKUP(C132,'BD Comarcal'!$A$6:$AB$17,9,)/VLOOKUP(C132,'BD Comarcal'!$A$6:$AB$17,13,))),"")</f>
        <v>1.8400340353116357E-2</v>
      </c>
      <c r="E132" s="910">
        <f>IFERROR(IF(VLOOKUP(B132,'BD ASVICC'!$A$6:$GN$316,192,FALSE)&gt;0,VLOOKUP(B132,'BD ASVICC'!$A$6:$GN$316,192,FALSE),(VLOOKUP(C132,'BD Comarcal'!$A$6:$AB$17,14,)*F132)),"")</f>
        <v>15.830255523930068</v>
      </c>
      <c r="F132" s="904">
        <f t="shared" si="11"/>
        <v>3.8807255157702661E-3</v>
      </c>
      <c r="G132" s="910">
        <f t="shared" si="8"/>
        <v>0.29128208951711354</v>
      </c>
      <c r="H132" s="910">
        <f>IFERROR(VLOOKUP(B132, base,19,FALSE)*'4. Agricultura PIB'!$K$11/1000000,G132*'4. Agricultura PIB'!$F$54)</f>
        <v>1.7904446444568203</v>
      </c>
      <c r="I132" s="910">
        <f>G132*'4. Agricultura PIB'!$F$45</f>
        <v>9.5860935660082067E-2</v>
      </c>
      <c r="J132" s="952">
        <f>IFERROR((VLOOKUP(B132,base,19,FALSE)*'tecnicecon agric'!$D$65)/1000000,H132/3)</f>
        <v>0.7641503999999999</v>
      </c>
      <c r="K132" s="952">
        <f>IFERROR(VLOOKUP(B132,'cultius resum'!$T$6:$AU$306,22,FALSE)/1000000,0)</f>
        <v>0.22335079166666666</v>
      </c>
      <c r="L132" s="915">
        <f>K132*'A. Dades de partida'!$D$10</f>
        <v>3.3502618749999997</v>
      </c>
      <c r="M132" s="956">
        <f>IFERROR(VLOOKUP(B132,'cultius resum'!$T$6:$AU$308,28,FALSE)/1000000,0)</f>
        <v>1.9871419019353909</v>
      </c>
      <c r="N132" s="955">
        <f>M132*'A. Dades de partida'!$D$10+(((I132-M132)*'A. Dades de partida'!$D$10)/2)</f>
        <v>15.622521281966048</v>
      </c>
      <c r="O132" s="955">
        <f t="shared" si="9"/>
        <v>13.635379380030656</v>
      </c>
      <c r="P132" s="916">
        <f>J132*'A. Dades de partida'!$D$10</f>
        <v>11.462255999999998</v>
      </c>
      <c r="Q132" s="916">
        <f>J132+J132*'4. Agricultura PIB'!$D$71</f>
        <v>0.98881061759999989</v>
      </c>
      <c r="R132" s="916">
        <f>(((J132-Q132)*'A. Dades de partida'!$D$10)/2)+('A. Dades de partida'!$D$10*Q132)</f>
        <v>13.147207631999997</v>
      </c>
      <c r="S132" s="916">
        <f t="shared" si="10"/>
        <v>1.6849516319999989</v>
      </c>
    </row>
    <row r="133" spans="1:19">
      <c r="A133" s="835">
        <v>8130</v>
      </c>
      <c r="B133" s="826" t="s">
        <v>1237</v>
      </c>
      <c r="C133" s="319" t="str">
        <f t="shared" si="12"/>
        <v>Berguedà</v>
      </c>
      <c r="D133" s="908">
        <f>IFERROR(IF(VLOOKUP(B133,'BD ASVICC'!$A$6:$GN$316,193,FALSE)&gt;0,VLOOKUP(B133,'BD ASVICC'!$A$6:$GN$316,193,FALSE),(VLOOKUP(C133,'BD Comarcal'!$A$6:$AB$17,9,)/VLOOKUP(C133,'BD Comarcal'!$A$6:$AB$17,13,))),"")</f>
        <v>4.1611624834874503E-2</v>
      </c>
      <c r="E133" s="910">
        <f>IFERROR(IF(VLOOKUP(B133,'BD ASVICC'!$A$6:$GN$316,192,FALSE)&gt;0,VLOOKUP(B133,'BD ASVICC'!$A$6:$GN$316,192,FALSE),(VLOOKUP(C133,'BD Comarcal'!$A$6:$AB$17,14,)*F133)),"")</f>
        <v>2.494024707744142</v>
      </c>
      <c r="F133" s="904">
        <f t="shared" si="11"/>
        <v>3.037418959620195E-3</v>
      </c>
      <c r="G133" s="910">
        <f t="shared" ref="G133:G196" si="13">D133*E133</f>
        <v>0.10378042046755676</v>
      </c>
      <c r="H133" s="910">
        <f>IFERROR(VLOOKUP(B133, base,19,FALSE)*'4. Agricultura PIB'!$K$11/1000000,G133*'4. Agricultura PIB'!$F$54)</f>
        <v>1.4369173579717158</v>
      </c>
      <c r="I133" s="910">
        <f>G133*'4. Agricultura PIB'!$F$45</f>
        <v>3.4154136375872932E-2</v>
      </c>
      <c r="J133" s="952">
        <f>IFERROR((VLOOKUP(B133,base,19,FALSE)*'tecnicecon agric'!$D$65)/1000000,H133/3)</f>
        <v>0.6132671999999999</v>
      </c>
      <c r="K133" s="952">
        <f>IFERROR(VLOOKUP(B133,'cultius resum'!$T$6:$AU$306,22,FALSE)/1000000,0)</f>
        <v>0.29470666666666662</v>
      </c>
      <c r="L133" s="915">
        <f>K133*'A. Dades de partida'!$D$10</f>
        <v>4.4205999999999994</v>
      </c>
      <c r="M133" s="956">
        <f>IFERROR(VLOOKUP(B133,'cultius resum'!$T$6:$AU$308,28,FALSE)/1000000,0)</f>
        <v>2.5764426731582457</v>
      </c>
      <c r="N133" s="955">
        <f>M133*'A. Dades de partida'!$D$10+(((I133-M133)*'A. Dades de partida'!$D$10)/2)</f>
        <v>19.579476071505887</v>
      </c>
      <c r="O133" s="955">
        <f t="shared" ref="O133:O196" si="14">N133-M133</f>
        <v>17.00303339834764</v>
      </c>
      <c r="P133" s="916">
        <f>J133*'A. Dades de partida'!$D$10</f>
        <v>9.1990079999999992</v>
      </c>
      <c r="Q133" s="916">
        <f>J133+J133*'4. Agricultura PIB'!$D$71</f>
        <v>0.79356775679999991</v>
      </c>
      <c r="R133" s="916">
        <f>(((J133-Q133)*'A. Dades de partida'!$D$10)/2)+('A. Dades de partida'!$D$10*Q133)</f>
        <v>10.551262175999998</v>
      </c>
      <c r="S133" s="916">
        <f t="shared" ref="S133:S196" si="15">R133-P133</f>
        <v>1.3522541759999989</v>
      </c>
    </row>
    <row r="134" spans="1:19">
      <c r="A134" s="835">
        <v>8131</v>
      </c>
      <c r="B134" s="826" t="s">
        <v>1240</v>
      </c>
      <c r="C134" s="319" t="str">
        <f t="shared" si="12"/>
        <v>Osona</v>
      </c>
      <c r="D134" s="908">
        <f>IFERROR(IF(VLOOKUP(B134,'BD ASVICC'!$A$6:$GN$316,193,FALSE)&gt;0,VLOOKUP(B134,'BD ASVICC'!$A$6:$GN$316,193,FALSE),(VLOOKUP(C134,'BD Comarcal'!$A$6:$AB$17,9,)/VLOOKUP(C134,'BD Comarcal'!$A$6:$AB$17,13,))),"")</f>
        <v>1.8400340353116357E-2</v>
      </c>
      <c r="E134" s="910">
        <f>IFERROR(IF(VLOOKUP(B134,'BD ASVICC'!$A$6:$GN$316,192,FALSE)&gt;0,VLOOKUP(B134,'BD ASVICC'!$A$6:$GN$316,192,FALSE),(VLOOKUP(C134,'BD Comarcal'!$A$6:$AB$17,14,)*F134)),"")</f>
        <v>24.400609094004793</v>
      </c>
      <c r="F134" s="904">
        <f t="shared" si="11"/>
        <v>5.9817143297717186E-3</v>
      </c>
      <c r="G134" s="910">
        <f t="shared" si="13"/>
        <v>0.44897951215303433</v>
      </c>
      <c r="H134" s="910">
        <f>IFERROR(VLOOKUP(B134, base,19,FALSE)*'4. Agricultura PIB'!$K$11/1000000,G134*'4. Agricultura PIB'!$F$54)</f>
        <v>0.29224076446041009</v>
      </c>
      <c r="I134" s="910">
        <f>G134*'4. Agricultura PIB'!$F$45</f>
        <v>0.14775915744956361</v>
      </c>
      <c r="J134" s="952">
        <f>IFERROR((VLOOKUP(B134,base,19,FALSE)*'tecnicecon agric'!$D$65)/1000000,H134/3)</f>
        <v>9.7413588153470024E-2</v>
      </c>
      <c r="K134" s="952">
        <f>IFERROR(VLOOKUP(B134,'cultius resum'!$T$6:$AU$306,22,FALSE)/1000000,0)</f>
        <v>1.6161333333333333E-2</v>
      </c>
      <c r="L134" s="915">
        <f>K134*'A. Dades de partida'!$D$10</f>
        <v>0.24242</v>
      </c>
      <c r="M134" s="956">
        <f>IFERROR(VLOOKUP(B134,'cultius resum'!$T$6:$AU$308,28,FALSE)/1000000,0)</f>
        <v>0.14128879175383927</v>
      </c>
      <c r="N134" s="955">
        <f>M134*'A. Dades de partida'!$D$10+(((I134-M134)*'A. Dades de partida'!$D$10)/2)</f>
        <v>2.1678596190255215</v>
      </c>
      <c r="O134" s="955">
        <f t="shared" si="14"/>
        <v>2.0265708272716823</v>
      </c>
      <c r="P134" s="916">
        <f>J134*'A. Dades de partida'!$D$10</f>
        <v>1.4612038223020503</v>
      </c>
      <c r="Q134" s="916">
        <f>J134+J134*'4. Agricultura PIB'!$D$71</f>
        <v>0.12605318307059021</v>
      </c>
      <c r="R134" s="916">
        <f>(((J134-Q134)*'A. Dades de partida'!$D$10)/2)+('A. Dades de partida'!$D$10*Q134)</f>
        <v>1.6760007841804518</v>
      </c>
      <c r="S134" s="916">
        <f t="shared" si="15"/>
        <v>0.21479696187840158</v>
      </c>
    </row>
    <row r="135" spans="1:19">
      <c r="A135" s="835">
        <v>8132</v>
      </c>
      <c r="B135" s="826" t="s">
        <v>1245</v>
      </c>
      <c r="C135" s="319" t="str">
        <f t="shared" si="12"/>
        <v>Berguedà</v>
      </c>
      <c r="D135" s="908">
        <f>IFERROR(IF(VLOOKUP(B135,'BD ASVICC'!$A$6:$GN$316,193,FALSE)&gt;0,VLOOKUP(B135,'BD ASVICC'!$A$6:$GN$316,193,FALSE),(VLOOKUP(C135,'BD Comarcal'!$A$6:$AB$17,9,)/VLOOKUP(C135,'BD Comarcal'!$A$6:$AB$17,13,))),"")</f>
        <v>4.1611624834874503E-2</v>
      </c>
      <c r="E135" s="910">
        <f>IFERROR(IF(VLOOKUP(B135,'BD ASVICC'!$A$6:$GN$316,192,FALSE)&gt;0,VLOOKUP(B135,'BD ASVICC'!$A$6:$GN$316,192,FALSE),(VLOOKUP(C135,'BD Comarcal'!$A$6:$AB$17,14,)*F135)),"")</f>
        <v>9.8713078768696718</v>
      </c>
      <c r="F135" s="904">
        <f t="shared" si="11"/>
        <v>1.2022053193118587E-2</v>
      </c>
      <c r="G135" s="910">
        <f t="shared" si="13"/>
        <v>0.41076116000184232</v>
      </c>
      <c r="H135" s="910">
        <f>IFERROR(VLOOKUP(B135, base,19,FALSE)*'4. Agricultura PIB'!$K$11/1000000,G135*'4. Agricultura PIB'!$F$54)</f>
        <v>5.0097287384576052</v>
      </c>
      <c r="I135" s="910">
        <f>G135*'4. Agricultura PIB'!$F$45</f>
        <v>0.13518149775660632</v>
      </c>
      <c r="J135" s="952">
        <f>IFERROR((VLOOKUP(B135,base,19,FALSE)*'tecnicecon agric'!$D$65)/1000000,H135/3)</f>
        <v>2.1381204</v>
      </c>
      <c r="K135" s="952">
        <f>IFERROR(VLOOKUP(B135,'cultius resum'!$T$6:$AU$306,22,FALSE)/1000000,0)</f>
        <v>0.76202654166666661</v>
      </c>
      <c r="L135" s="915">
        <f>K135*'A. Dades de partida'!$D$10</f>
        <v>11.430398125</v>
      </c>
      <c r="M135" s="956">
        <f>IFERROR(VLOOKUP(B135,'cultius resum'!$T$6:$AU$308,28,FALSE)/1000000,0)</f>
        <v>6.7378838908648033</v>
      </c>
      <c r="N135" s="955">
        <f>M135*'A. Dades de partida'!$D$10+(((I135-M135)*'A. Dades de partida'!$D$10)/2)</f>
        <v>51.547990414660568</v>
      </c>
      <c r="O135" s="955">
        <f t="shared" si="14"/>
        <v>44.810106523795767</v>
      </c>
      <c r="P135" s="916">
        <f>J135*'A. Dades de partida'!$D$10</f>
        <v>32.071806000000002</v>
      </c>
      <c r="Q135" s="916">
        <f>J135+J135*'4. Agricultura PIB'!$D$71</f>
        <v>2.7667277975999998</v>
      </c>
      <c r="R135" s="916">
        <f>(((J135-Q135)*'A. Dades de partida'!$D$10)/2)+('A. Dades de partida'!$D$10*Q135)</f>
        <v>36.786361482000004</v>
      </c>
      <c r="S135" s="916">
        <f t="shared" si="15"/>
        <v>4.7145554820000015</v>
      </c>
    </row>
    <row r="136" spans="1:19">
      <c r="A136" s="835">
        <v>8133</v>
      </c>
      <c r="B136" s="826" t="s">
        <v>1249</v>
      </c>
      <c r="C136" s="319" t="str">
        <f t="shared" si="12"/>
        <v>Anoia</v>
      </c>
      <c r="D136" s="908">
        <f>IFERROR(IF(VLOOKUP(B136,'BD ASVICC'!$A$6:$GN$316,193,FALSE)&gt;0,VLOOKUP(B136,'BD ASVICC'!$A$6:$GN$316,193,FALSE),(VLOOKUP(C136,'BD Comarcal'!$A$6:$AB$17,9,)/VLOOKUP(C136,'BD Comarcal'!$A$6:$AB$17,13,))),"")</f>
        <v>1.049736419894568E-2</v>
      </c>
      <c r="E136" s="910">
        <f>IFERROR(IF(VLOOKUP(B136,'BD ASVICC'!$A$6:$GN$316,192,FALSE)&gt;0,VLOOKUP(B136,'BD ASVICC'!$A$6:$GN$316,192,FALSE),(VLOOKUP(C136,'BD Comarcal'!$A$6:$AB$17,14,)*F136)),"")</f>
        <v>3.0407152096949885</v>
      </c>
      <c r="F136" s="904">
        <f t="shared" si="11"/>
        <v>1.2850626361655773E-3</v>
      </c>
      <c r="G136" s="910">
        <f t="shared" si="13"/>
        <v>3.1919494981441775E-2</v>
      </c>
      <c r="H136" s="910">
        <f>IFERROR(VLOOKUP(B136, base,19,FALSE)*'4. Agricultura PIB'!$K$11/1000000,G136*'4. Agricultura PIB'!$F$54)</f>
        <v>0.67996982118304394</v>
      </c>
      <c r="I136" s="910">
        <f>G136*'4. Agricultura PIB'!$F$45</f>
        <v>1.0504705798392489E-2</v>
      </c>
      <c r="J136" s="952">
        <f>IFERROR((VLOOKUP(B136,base,19,FALSE)*'tecnicecon agric'!$D$65)/1000000,H136/3)</f>
        <v>0.29020679999999999</v>
      </c>
      <c r="K136" s="952">
        <f>IFERROR(VLOOKUP(B136,'cultius resum'!$T$6:$AU$306,22,FALSE)/1000000,0)</f>
        <v>0.36790800000000001</v>
      </c>
      <c r="L136" s="915">
        <f>K136*'A. Dades de partida'!$D$10</f>
        <v>5.5186200000000003</v>
      </c>
      <c r="M136" s="956">
        <f>IFERROR(VLOOKUP(B136,'cultius resum'!$T$6:$AU$308,28,FALSE)/1000000,0)</f>
        <v>3.2163977887491648</v>
      </c>
      <c r="N136" s="955">
        <f>M136*'A. Dades de partida'!$D$10+(((I136-M136)*'A. Dades de partida'!$D$10)/2)</f>
        <v>24.201768709106684</v>
      </c>
      <c r="O136" s="955">
        <f t="shared" si="14"/>
        <v>20.985370920357518</v>
      </c>
      <c r="P136" s="916">
        <f>J136*'A. Dades de partida'!$D$10</f>
        <v>4.3531019999999998</v>
      </c>
      <c r="Q136" s="916">
        <f>J136+J136*'4. Agricultura PIB'!$D$71</f>
        <v>0.37552759920000001</v>
      </c>
      <c r="R136" s="916">
        <f>(((J136-Q136)*'A. Dades de partida'!$D$10)/2)+('A. Dades de partida'!$D$10*Q136)</f>
        <v>4.9930079940000001</v>
      </c>
      <c r="S136" s="916">
        <f t="shared" si="15"/>
        <v>0.63990599400000026</v>
      </c>
    </row>
    <row r="137" spans="1:19">
      <c r="A137" s="835">
        <v>8134</v>
      </c>
      <c r="B137" s="826" t="s">
        <v>1253</v>
      </c>
      <c r="C137" s="319" t="str">
        <f t="shared" si="12"/>
        <v>Vallès Oriental</v>
      </c>
      <c r="D137" s="908">
        <f>IFERROR(IF(VLOOKUP(B137,'BD ASVICC'!$A$6:$GN$316,193,FALSE)&gt;0,VLOOKUP(B137,'BD ASVICC'!$A$6:$GN$316,193,FALSE),(VLOOKUP(C137,'BD Comarcal'!$A$6:$AB$17,9,)/VLOOKUP(C137,'BD Comarcal'!$A$6:$AB$17,13,))),"")</f>
        <v>3.6614258022830064E-3</v>
      </c>
      <c r="E137" s="910">
        <f>IFERROR(IF(VLOOKUP(B137,'BD ASVICC'!$A$6:$GN$316,192,FALSE)&gt;0,VLOOKUP(B137,'BD ASVICC'!$A$6:$GN$316,192,FALSE),(VLOOKUP(C137,'BD Comarcal'!$A$6:$AB$17,14,)*F137)),"")</f>
        <v>30.14565179474657</v>
      </c>
      <c r="F137" s="904">
        <f t="shared" si="11"/>
        <v>2.7208985942023928E-3</v>
      </c>
      <c r="G137" s="910">
        <f t="shared" si="13"/>
        <v>0.11037606730792411</v>
      </c>
      <c r="H137" s="910">
        <f>IFERROR(VLOOKUP(B137, base,19,FALSE)*'4. Agricultura PIB'!$K$11/1000000,G137*'4. Agricultura PIB'!$F$54)</f>
        <v>7.1843782210727805E-2</v>
      </c>
      <c r="I137" s="910">
        <f>G137*'4. Agricultura PIB'!$F$45</f>
        <v>3.6324763751037825E-2</v>
      </c>
      <c r="J137" s="952">
        <f>IFERROR((VLOOKUP(B137,base,19,FALSE)*'tecnicecon agric'!$D$65)/1000000,H137/3)</f>
        <v>2.3947927403575934E-2</v>
      </c>
      <c r="K137" s="952">
        <f>IFERROR(VLOOKUP(B137,'cultius resum'!$T$6:$AU$306,22,FALSE)/1000000,0)</f>
        <v>1.0457333333333332E-2</v>
      </c>
      <c r="L137" s="915">
        <f>K137*'A. Dades de partida'!$D$10</f>
        <v>0.15686</v>
      </c>
      <c r="M137" s="956">
        <f>IFERROR(VLOOKUP(B137,'cultius resum'!$T$6:$AU$308,28,FALSE)/1000000,0)</f>
        <v>9.142215937013129E-2</v>
      </c>
      <c r="N137" s="955">
        <f>M137*'A. Dades de partida'!$D$10+(((I137-M137)*'A. Dades de partida'!$D$10)/2)</f>
        <v>0.95810192340876843</v>
      </c>
      <c r="O137" s="955">
        <f t="shared" si="14"/>
        <v>0.86667976403863711</v>
      </c>
      <c r="P137" s="916">
        <f>J137*'A. Dades de partida'!$D$10</f>
        <v>0.35921891105363901</v>
      </c>
      <c r="Q137" s="916">
        <f>J137+J137*'4. Agricultura PIB'!$D$71</f>
        <v>3.0988618060227256E-2</v>
      </c>
      <c r="R137" s="916">
        <f>(((J137-Q137)*'A. Dades de partida'!$D$10)/2)+('A. Dades de partida'!$D$10*Q137)</f>
        <v>0.41202409097852394</v>
      </c>
      <c r="S137" s="916">
        <f t="shared" si="15"/>
        <v>5.2805179924884926E-2</v>
      </c>
    </row>
    <row r="138" spans="1:19">
      <c r="A138" s="835">
        <v>8135</v>
      </c>
      <c r="B138" s="826" t="s">
        <v>1255</v>
      </c>
      <c r="C138" s="319" t="str">
        <f t="shared" si="12"/>
        <v>Vallès Oriental</v>
      </c>
      <c r="D138" s="908">
        <f>IFERROR(IF(VLOOKUP(B138,'BD ASVICC'!$A$6:$GN$316,193,FALSE)&gt;0,VLOOKUP(B138,'BD ASVICC'!$A$6:$GN$316,193,FALSE),(VLOOKUP(C138,'BD Comarcal'!$A$6:$AB$17,9,)/VLOOKUP(C138,'BD Comarcal'!$A$6:$AB$17,13,))),"")</f>
        <v>3.6614258022830064E-3</v>
      </c>
      <c r="E138" s="910">
        <f>IFERROR(IF(VLOOKUP(B138,'BD ASVICC'!$A$6:$GN$316,192,FALSE)&gt;0,VLOOKUP(B138,'BD ASVICC'!$A$6:$GN$316,192,FALSE),(VLOOKUP(C138,'BD Comarcal'!$A$6:$AB$17,14,)*F138)),"")</f>
        <v>302</v>
      </c>
      <c r="F138" s="904">
        <f t="shared" si="11"/>
        <v>2.1886788691825844E-2</v>
      </c>
      <c r="G138" s="910">
        <f t="shared" si="13"/>
        <v>1.1057505922894679</v>
      </c>
      <c r="H138" s="910">
        <f>IFERROR(VLOOKUP(B138, base,19,FALSE)*'4. Agricultura PIB'!$K$11/1000000,G138*'4. Agricultura PIB'!$F$54)</f>
        <v>0.71973306052121466</v>
      </c>
      <c r="I138" s="910">
        <f>G138*'4. Agricultura PIB'!$F$45</f>
        <v>0.36390251992246392</v>
      </c>
      <c r="J138" s="952">
        <f>IFERROR((VLOOKUP(B138,base,19,FALSE)*'tecnicecon agric'!$D$65)/1000000,H138/3)</f>
        <v>0.23991102017373822</v>
      </c>
      <c r="K138" s="952">
        <f>IFERROR(VLOOKUP(B138,'cultius resum'!$T$6:$AU$306,22,FALSE)/1000000,0)</f>
        <v>1.7475583333333333E-2</v>
      </c>
      <c r="L138" s="915">
        <f>K138*'A. Dades de partida'!$D$10</f>
        <v>0.26213375</v>
      </c>
      <c r="M138" s="956">
        <f>IFERROR(VLOOKUP(B138,'cultius resum'!$T$6:$AU$308,28,FALSE)/1000000,0)</f>
        <v>0.22181971699675682</v>
      </c>
      <c r="N138" s="955">
        <f>M138*'A. Dades de partida'!$D$10+(((I138-M138)*'A. Dades de partida'!$D$10)/2)</f>
        <v>4.3929167768941557</v>
      </c>
      <c r="O138" s="955">
        <f t="shared" si="14"/>
        <v>4.1710970598973987</v>
      </c>
      <c r="P138" s="916">
        <f>J138*'A. Dades de partida'!$D$10</f>
        <v>3.5986653026060731</v>
      </c>
      <c r="Q138" s="916">
        <f>J138+J138*'4. Agricultura PIB'!$D$71</f>
        <v>0.31044486010481726</v>
      </c>
      <c r="R138" s="916">
        <f>(((J138-Q138)*'A. Dades de partida'!$D$10)/2)+('A. Dades de partida'!$D$10*Q138)</f>
        <v>4.1276691020891665</v>
      </c>
      <c r="S138" s="916">
        <f t="shared" si="15"/>
        <v>0.5290037994830934</v>
      </c>
    </row>
    <row r="139" spans="1:19">
      <c r="A139" s="835">
        <v>8136</v>
      </c>
      <c r="B139" s="826" t="s">
        <v>1256</v>
      </c>
      <c r="C139" s="319" t="str">
        <f t="shared" si="12"/>
        <v>Vallès Oriental</v>
      </c>
      <c r="D139" s="908">
        <f>IFERROR(IF(VLOOKUP(B139,'BD ASVICC'!$A$6:$GN$316,193,FALSE)&gt;0,VLOOKUP(B139,'BD ASVICC'!$A$6:$GN$316,193,FALSE),(VLOOKUP(C139,'BD Comarcal'!$A$6:$AB$17,9,)/VLOOKUP(C139,'BD Comarcal'!$A$6:$AB$17,13,))),"")</f>
        <v>1E-3</v>
      </c>
      <c r="E139" s="910">
        <f>IFERROR(IF(VLOOKUP(B139,'BD ASVICC'!$A$6:$GN$316,192,FALSE)&gt;0,VLOOKUP(B139,'BD ASVICC'!$A$6:$GN$316,192,FALSE),(VLOOKUP(C139,'BD Comarcal'!$A$6:$AB$17,14,)*F139)),"")</f>
        <v>663</v>
      </c>
      <c r="F139" s="904">
        <f t="shared" si="11"/>
        <v>4.0409829121588289E-2</v>
      </c>
      <c r="G139" s="910">
        <f t="shared" si="13"/>
        <v>0.66300000000000003</v>
      </c>
      <c r="H139" s="910">
        <f>IFERROR(VLOOKUP(B139, base,19,FALSE)*'4. Agricultura PIB'!$K$11/1000000,G139*'4. Agricultura PIB'!$F$54)</f>
        <v>1.3304790351589959E-2</v>
      </c>
      <c r="I139" s="910">
        <f>G139*'4. Agricultura PIB'!$F$45</f>
        <v>0.21819330000000001</v>
      </c>
      <c r="J139" s="952">
        <f>IFERROR((VLOOKUP(B139,base,19,FALSE)*'tecnicecon agric'!$D$65)/1000000,H139/3)</f>
        <v>5.6783999999999992E-3</v>
      </c>
      <c r="K139" s="952">
        <f>IFERROR(VLOOKUP(B139,'cultius resum'!$T$6:$AU$306,22,FALSE)/1000000,0)</f>
        <v>5.9926E-2</v>
      </c>
      <c r="L139" s="915">
        <f>K139*'A. Dades de partida'!$D$10</f>
        <v>0.89888999999999997</v>
      </c>
      <c r="M139" s="956">
        <f>IFERROR(VLOOKUP(B139,'cultius resum'!$T$6:$AU$308,28,FALSE)/1000000,0)</f>
        <v>0.85529478557285921</v>
      </c>
      <c r="N139" s="955">
        <f>M139*'A. Dades de partida'!$D$10+(((I139-M139)*'A. Dades de partida'!$D$10)/2)</f>
        <v>8.0511606417964448</v>
      </c>
      <c r="O139" s="955">
        <f t="shared" si="14"/>
        <v>7.1958658562235858</v>
      </c>
      <c r="P139" s="916">
        <f>J139*'A. Dades de partida'!$D$10</f>
        <v>8.5175999999999988E-2</v>
      </c>
      <c r="Q139" s="916">
        <f>J139+J139*'4. Agricultura PIB'!$D$71</f>
        <v>7.3478495999999994E-3</v>
      </c>
      <c r="R139" s="916">
        <f>(((J139-Q139)*'A. Dades de partida'!$D$10)/2)+('A. Dades de partida'!$D$10*Q139)</f>
        <v>9.769687199999999E-2</v>
      </c>
      <c r="S139" s="916">
        <f t="shared" si="15"/>
        <v>1.2520872000000002E-2</v>
      </c>
    </row>
    <row r="140" spans="1:19">
      <c r="A140" s="835">
        <v>8137</v>
      </c>
      <c r="B140" s="826" t="s">
        <v>1258</v>
      </c>
      <c r="C140" s="319" t="str">
        <f t="shared" si="12"/>
        <v>Vallès Oriental</v>
      </c>
      <c r="D140" s="908">
        <f>IFERROR(IF(VLOOKUP(B140,'BD ASVICC'!$A$6:$GN$316,193,FALSE)&gt;0,VLOOKUP(B140,'BD ASVICC'!$A$6:$GN$316,193,FALSE),(VLOOKUP(C140,'BD Comarcal'!$A$6:$AB$17,9,)/VLOOKUP(C140,'BD Comarcal'!$A$6:$AB$17,13,))),"")</f>
        <v>3.6614258022830064E-3</v>
      </c>
      <c r="E140" s="910">
        <f>IFERROR(IF(VLOOKUP(B140,'BD ASVICC'!$A$6:$GN$316,192,FALSE)&gt;0,VLOOKUP(B140,'BD ASVICC'!$A$6:$GN$316,192,FALSE),(VLOOKUP(C140,'BD Comarcal'!$A$6:$AB$17,14,)*F140)),"")</f>
        <v>8.8338906358231704</v>
      </c>
      <c r="F140" s="904">
        <f t="shared" si="11"/>
        <v>7.973329213779906E-4</v>
      </c>
      <c r="G140" s="910">
        <f t="shared" si="13"/>
        <v>3.2344635108549187E-2</v>
      </c>
      <c r="H140" s="910">
        <f>IFERROR(VLOOKUP(B140, base,19,FALSE)*'4. Agricultura PIB'!$K$11/1000000,G140*'4. Agricultura PIB'!$F$54)</f>
        <v>4.8942621650491638E-2</v>
      </c>
      <c r="I140" s="910">
        <f>G140*'4. Agricultura PIB'!$F$45</f>
        <v>1.0644619414223538E-2</v>
      </c>
      <c r="J140" s="952">
        <f>IFERROR((VLOOKUP(B140,base,19,FALSE)*'tecnicecon agric'!$D$65)/1000000,H140/3)</f>
        <v>2.0888399999999998E-2</v>
      </c>
      <c r="K140" s="952">
        <f>IFERROR(VLOOKUP(B140,'cultius resum'!$T$6:$AU$306,22,FALSE)/1000000,0)</f>
        <v>2.1278249999999999E-2</v>
      </c>
      <c r="L140" s="915">
        <f>K140*'A. Dades de partida'!$D$10</f>
        <v>0.31917374999999998</v>
      </c>
      <c r="M140" s="956">
        <f>IFERROR(VLOOKUP(B140,'cultius resum'!$T$6:$AU$308,28,FALSE)/1000000,0)</f>
        <v>0.25506413858589544</v>
      </c>
      <c r="N140" s="955">
        <f>M140*'A. Dades de partida'!$D$10+(((I140-M140)*'A. Dades de partida'!$D$10)/2)</f>
        <v>1.9928156850008922</v>
      </c>
      <c r="O140" s="955">
        <f t="shared" si="14"/>
        <v>1.7377515464149969</v>
      </c>
      <c r="P140" s="916">
        <f>J140*'A. Dades de partida'!$D$10</f>
        <v>0.31332599999999999</v>
      </c>
      <c r="Q140" s="916">
        <f>J140+J140*'4. Agricultura PIB'!$D$71</f>
        <v>2.7029589599999997E-2</v>
      </c>
      <c r="R140" s="916">
        <f>(((J140-Q140)*'A. Dades de partida'!$D$10)/2)+('A. Dades de partida'!$D$10*Q140)</f>
        <v>0.35938492199999994</v>
      </c>
      <c r="S140" s="916">
        <f t="shared" si="15"/>
        <v>4.6058921999999947E-2</v>
      </c>
    </row>
    <row r="141" spans="1:19">
      <c r="A141" s="835">
        <v>8138</v>
      </c>
      <c r="B141" s="826" t="s">
        <v>1260</v>
      </c>
      <c r="C141" s="319" t="str">
        <f t="shared" si="12"/>
        <v>Bages</v>
      </c>
      <c r="D141" s="908">
        <f>IFERROR(IF(VLOOKUP(B141,'BD ASVICC'!$A$6:$GN$316,193,FALSE)&gt;0,VLOOKUP(B141,'BD ASVICC'!$A$6:$GN$316,193,FALSE),(VLOOKUP(C141,'BD Comarcal'!$A$6:$AB$17,9,)/VLOOKUP(C141,'BD Comarcal'!$A$6:$AB$17,13,))),"")</f>
        <v>1.7999999999999999E-2</v>
      </c>
      <c r="E141" s="910">
        <f>IFERROR(IF(VLOOKUP(B141,'BD ASVICC'!$A$6:$GN$316,192,FALSE)&gt;0,VLOOKUP(B141,'BD ASVICC'!$A$6:$GN$316,192,FALSE),(VLOOKUP(C141,'BD Comarcal'!$A$6:$AB$17,14,)*F141)),"")</f>
        <v>140</v>
      </c>
      <c r="F141" s="904">
        <f t="shared" si="11"/>
        <v>3.4160831741990243E-2</v>
      </c>
      <c r="G141" s="910">
        <f t="shared" si="13"/>
        <v>2.52</v>
      </c>
      <c r="H141" s="910">
        <f>IFERROR(VLOOKUP(B141, base,19,FALSE)*'4. Agricultura PIB'!$K$11/1000000,G141*'4. Agricultura PIB'!$F$54)</f>
        <v>5.5309914175895409</v>
      </c>
      <c r="I141" s="910">
        <f>G141*'4. Agricultura PIB'!$F$45</f>
        <v>0.82933200000000007</v>
      </c>
      <c r="J141" s="952">
        <f>IFERROR((VLOOKUP(B141,base,19,FALSE)*'tecnicecon agric'!$D$65)/1000000,H141/3)</f>
        <v>2.360592</v>
      </c>
      <c r="K141" s="952">
        <f>IFERROR(VLOOKUP(B141,'cultius resum'!$T$6:$AU$306,22,FALSE)/1000000,0)</f>
        <v>0.72661137499999995</v>
      </c>
      <c r="L141" s="915">
        <f>K141*'A. Dades de partida'!$D$10</f>
        <v>10.899170625</v>
      </c>
      <c r="M141" s="956">
        <f>IFERROR(VLOOKUP(B141,'cultius resum'!$T$6:$AU$308,28,FALSE)/1000000,0)</f>
        <v>6.4006539526872901</v>
      </c>
      <c r="N141" s="955">
        <f>M141*'A. Dades de partida'!$D$10+(((I141-M141)*'A. Dades de partida'!$D$10)/2)</f>
        <v>54.22489464515467</v>
      </c>
      <c r="O141" s="955">
        <f t="shared" si="14"/>
        <v>47.824240692467377</v>
      </c>
      <c r="P141" s="916">
        <f>J141*'A. Dades de partida'!$D$10</f>
        <v>35.408880000000003</v>
      </c>
      <c r="Q141" s="916">
        <f>J141+J141*'4. Agricultura PIB'!$D$71</f>
        <v>3.0546060480000001</v>
      </c>
      <c r="R141" s="916">
        <f>(((J141-Q141)*'A. Dades de partida'!$D$10)/2)+('A. Dades de partida'!$D$10*Q141)</f>
        <v>40.613985360000001</v>
      </c>
      <c r="S141" s="916">
        <f t="shared" si="15"/>
        <v>5.2051053599999975</v>
      </c>
    </row>
    <row r="142" spans="1:19">
      <c r="A142" s="835">
        <v>8139</v>
      </c>
      <c r="B142" s="826" t="s">
        <v>1263</v>
      </c>
      <c r="C142" s="319" t="str">
        <f t="shared" si="12"/>
        <v>Bages</v>
      </c>
      <c r="D142" s="908">
        <f>IFERROR(IF(VLOOKUP(B142,'BD ASVICC'!$A$6:$GN$316,193,FALSE)&gt;0,VLOOKUP(B142,'BD ASVICC'!$A$6:$GN$316,193,FALSE),(VLOOKUP(C142,'BD Comarcal'!$A$6:$AB$17,9,)/VLOOKUP(C142,'BD Comarcal'!$A$6:$AB$17,13,))),"")</f>
        <v>9.2529216416964537E-3</v>
      </c>
      <c r="E142" s="910">
        <f>IFERROR(IF(VLOOKUP(B142,'BD ASVICC'!$A$6:$GN$316,192,FALSE)&gt;0,VLOOKUP(B142,'BD ASVICC'!$A$6:$GN$316,192,FALSE),(VLOOKUP(C142,'BD Comarcal'!$A$6:$AB$17,14,)*F142)),"")</f>
        <v>5.3734942453592991</v>
      </c>
      <c r="F142" s="904">
        <f t="shared" si="11"/>
        <v>1.255870765737093E-3</v>
      </c>
      <c r="G142" s="910">
        <f t="shared" si="13"/>
        <v>4.972052119441641E-2</v>
      </c>
      <c r="H142" s="910">
        <f>IFERROR(VLOOKUP(B142, base,19,FALSE)*'4. Agricultura PIB'!$K$11/1000000,G142*'4. Agricultura PIB'!$F$54)</f>
        <v>3.0410949375062765E-2</v>
      </c>
      <c r="I142" s="910">
        <f>G142*'4. Agricultura PIB'!$F$45</f>
        <v>1.636302352508244E-2</v>
      </c>
      <c r="J142" s="952">
        <f>IFERROR((VLOOKUP(B142,base,19,FALSE)*'tecnicecon agric'!$D$65)/1000000,H142/3)</f>
        <v>1.29792E-2</v>
      </c>
      <c r="K142" s="952">
        <f>IFERROR(VLOOKUP(B142,'cultius resum'!$T$6:$AU$306,22,FALSE)/1000000,0)</f>
        <v>7.0125833333333333E-3</v>
      </c>
      <c r="L142" s="915">
        <f>K142*'A. Dades de partida'!$D$10</f>
        <v>0.10518875</v>
      </c>
      <c r="M142" s="956">
        <f>IFERROR(VLOOKUP(B142,'cultius resum'!$T$6:$AU$308,28,FALSE)/1000000,0)</f>
        <v>7.5115033369304612E-2</v>
      </c>
      <c r="N142" s="955">
        <f>M142*'A. Dades de partida'!$D$10+(((I142-M142)*'A. Dades de partida'!$D$10)/2)</f>
        <v>0.68608542670790285</v>
      </c>
      <c r="O142" s="955">
        <f t="shared" si="14"/>
        <v>0.61097039333859826</v>
      </c>
      <c r="P142" s="916">
        <f>J142*'A. Dades de partida'!$D$10</f>
        <v>0.194688</v>
      </c>
      <c r="Q142" s="916">
        <f>J142+J142*'4. Agricultura PIB'!$D$71</f>
        <v>1.6795084799999999E-2</v>
      </c>
      <c r="R142" s="916">
        <f>(((J142-Q142)*'A. Dades de partida'!$D$10)/2)+('A. Dades de partida'!$D$10*Q142)</f>
        <v>0.22330713599999996</v>
      </c>
      <c r="S142" s="916">
        <f t="shared" si="15"/>
        <v>2.8619135999999962E-2</v>
      </c>
    </row>
    <row r="143" spans="1:19">
      <c r="A143" s="835">
        <v>8140</v>
      </c>
      <c r="B143" s="826" t="s">
        <v>1268</v>
      </c>
      <c r="C143" s="319" t="str">
        <f t="shared" si="12"/>
        <v>Bages</v>
      </c>
      <c r="D143" s="908">
        <f>IFERROR(IF(VLOOKUP(B143,'BD ASVICC'!$A$6:$GN$316,193,FALSE)&gt;0,VLOOKUP(B143,'BD ASVICC'!$A$6:$GN$316,193,FALSE),(VLOOKUP(C143,'BD Comarcal'!$A$6:$AB$17,9,)/VLOOKUP(C143,'BD Comarcal'!$A$6:$AB$17,13,))),"")</f>
        <v>5.0000000000000001E-3</v>
      </c>
      <c r="E143" s="910">
        <f>IFERROR(IF(VLOOKUP(B143,'BD ASVICC'!$A$6:$GN$316,192,FALSE)&gt;0,VLOOKUP(B143,'BD ASVICC'!$A$6:$GN$316,192,FALSE),(VLOOKUP(C143,'BD Comarcal'!$A$6:$AB$17,14,)*F143)),"")</f>
        <v>66</v>
      </c>
      <c r="F143" s="904">
        <f t="shared" si="11"/>
        <v>3.4338603402893665E-2</v>
      </c>
      <c r="G143" s="910">
        <f t="shared" si="13"/>
        <v>0.33</v>
      </c>
      <c r="H143" s="910">
        <f>IFERROR(VLOOKUP(B143, base,19,FALSE)*'4. Agricultura PIB'!$K$11/1000000,G143*'4. Agricultura PIB'!$F$54)</f>
        <v>9.0282505957217582E-3</v>
      </c>
      <c r="I143" s="910">
        <f>G143*'4. Agricultura PIB'!$F$45</f>
        <v>0.10860300000000001</v>
      </c>
      <c r="J143" s="952">
        <f>IFERROR((VLOOKUP(B143,base,19,FALSE)*'tecnicecon agric'!$D$65)/1000000,H143/3)</f>
        <v>3.8531999999999998E-3</v>
      </c>
      <c r="K143" s="952">
        <f>IFERROR(VLOOKUP(B143,'cultius resum'!$T$6:$AU$306,22,FALSE)/1000000,0)</f>
        <v>4.688470833333333E-2</v>
      </c>
      <c r="L143" s="915">
        <f>K143*'A. Dades de partida'!$D$10</f>
        <v>0.70327062499999993</v>
      </c>
      <c r="M143" s="956">
        <f>IFERROR(VLOOKUP(B143,'cultius resum'!$T$6:$AU$308,28,FALSE)/1000000,0)</f>
        <v>0.45821359362875574</v>
      </c>
      <c r="N143" s="955">
        <f>M143*'A. Dades de partida'!$D$10+(((I143-M143)*'A. Dades de partida'!$D$10)/2)</f>
        <v>4.2511244522156684</v>
      </c>
      <c r="O143" s="955">
        <f t="shared" si="14"/>
        <v>3.7929108585869127</v>
      </c>
      <c r="P143" s="916">
        <f>J143*'A. Dades de partida'!$D$10</f>
        <v>5.7797999999999995E-2</v>
      </c>
      <c r="Q143" s="916">
        <f>J143+J143*'4. Agricultura PIB'!$D$71</f>
        <v>4.9860407999999991E-3</v>
      </c>
      <c r="R143" s="916">
        <f>(((J143-Q143)*'A. Dades de partida'!$D$10)/2)+('A. Dades de partida'!$D$10*Q143)</f>
        <v>6.6294305999999997E-2</v>
      </c>
      <c r="S143" s="916">
        <f t="shared" si="15"/>
        <v>8.4963060000000021E-3</v>
      </c>
    </row>
    <row r="144" spans="1:19">
      <c r="A144" s="835">
        <v>8141</v>
      </c>
      <c r="B144" s="826" t="s">
        <v>1269</v>
      </c>
      <c r="C144" s="319" t="str">
        <f t="shared" si="12"/>
        <v>Bages</v>
      </c>
      <c r="D144" s="908">
        <f>IFERROR(IF(VLOOKUP(B144,'BD ASVICC'!$A$6:$GN$316,193,FALSE)&gt;0,VLOOKUP(B144,'BD ASVICC'!$A$6:$GN$316,193,FALSE),(VLOOKUP(C144,'BD Comarcal'!$A$6:$AB$17,9,)/VLOOKUP(C144,'BD Comarcal'!$A$6:$AB$17,13,))),"")</f>
        <v>2.4E-2</v>
      </c>
      <c r="E144" s="910">
        <f>IFERROR(IF(VLOOKUP(B144,'BD ASVICC'!$A$6:$GN$316,192,FALSE)&gt;0,VLOOKUP(B144,'BD ASVICC'!$A$6:$GN$316,192,FALSE),(VLOOKUP(C144,'BD Comarcal'!$A$6:$AB$17,14,)*F144)),"")</f>
        <v>87</v>
      </c>
      <c r="F144" s="904">
        <f t="shared" si="11"/>
        <v>3.4665473876167703E-2</v>
      </c>
      <c r="G144" s="910">
        <f t="shared" si="13"/>
        <v>2.0880000000000001</v>
      </c>
      <c r="H144" s="910">
        <f>IFERROR(VLOOKUP(B144, base,19,FALSE)*'4. Agricultura PIB'!$K$11/1000000,G144*'4. Agricultura PIB'!$F$54)</f>
        <v>3.1874476313737663</v>
      </c>
      <c r="I144" s="910">
        <f>G144*'4. Agricultura PIB'!$F$45</f>
        <v>0.68716080000000002</v>
      </c>
      <c r="J144" s="952">
        <f>IFERROR((VLOOKUP(B144,base,19,FALSE)*'tecnicecon agric'!$D$65)/1000000,H144/3)</f>
        <v>1.3603824</v>
      </c>
      <c r="K144" s="952">
        <f>IFERROR(VLOOKUP(B144,'cultius resum'!$T$6:$AU$306,22,FALSE)/1000000,0)</f>
        <v>0.60718529166666668</v>
      </c>
      <c r="L144" s="915">
        <f>K144*'A. Dades de partida'!$D$10</f>
        <v>9.1077793749999998</v>
      </c>
      <c r="M144" s="956">
        <f>IFERROR(VLOOKUP(B144,'cultius resum'!$T$6:$AU$308,28,FALSE)/1000000,0)</f>
        <v>5.3703919682177341</v>
      </c>
      <c r="N144" s="955">
        <f>M144*'A. Dades de partida'!$D$10+(((I144-M144)*'A. Dades de partida'!$D$10)/2)</f>
        <v>45.431645761633007</v>
      </c>
      <c r="O144" s="955">
        <f t="shared" si="14"/>
        <v>40.061253793415275</v>
      </c>
      <c r="P144" s="916">
        <f>J144*'A. Dades de partida'!$D$10</f>
        <v>20.405736000000001</v>
      </c>
      <c r="Q144" s="916">
        <f>J144+J144*'4. Agricultura PIB'!$D$71</f>
        <v>1.7603348256</v>
      </c>
      <c r="R144" s="916">
        <f>(((J144-Q144)*'A. Dades de partida'!$D$10)/2)+('A. Dades de partida'!$D$10*Q144)</f>
        <v>23.405379191999998</v>
      </c>
      <c r="S144" s="916">
        <f t="shared" si="15"/>
        <v>2.9996431919999971</v>
      </c>
    </row>
    <row r="145" spans="1:19">
      <c r="A145" s="835">
        <v>8142</v>
      </c>
      <c r="B145" s="826" t="s">
        <v>1272</v>
      </c>
      <c r="C145" s="319" t="str">
        <f t="shared" si="12"/>
        <v>Berguedà</v>
      </c>
      <c r="D145" s="908">
        <f>IFERROR(IF(VLOOKUP(B145,'BD ASVICC'!$A$6:$GN$316,193,FALSE)&gt;0,VLOOKUP(B145,'BD ASVICC'!$A$6:$GN$316,193,FALSE),(VLOOKUP(C145,'BD Comarcal'!$A$6:$AB$17,9,)/VLOOKUP(C145,'BD Comarcal'!$A$6:$AB$17,13,))),"")</f>
        <v>4.1611624834874503E-2</v>
      </c>
      <c r="E145" s="910">
        <f>IFERROR(IF(VLOOKUP(B145,'BD ASVICC'!$A$6:$GN$316,192,FALSE)&gt;0,VLOOKUP(B145,'BD ASVICC'!$A$6:$GN$316,192,FALSE),(VLOOKUP(C145,'BD Comarcal'!$A$6:$AB$17,14,)*F145)),"")</f>
        <v>3.1646868140282813</v>
      </c>
      <c r="F145" s="904">
        <f t="shared" si="11"/>
        <v>3.8542038899382308E-3</v>
      </c>
      <c r="G145" s="910">
        <f t="shared" si="13"/>
        <v>0.1316877604252191</v>
      </c>
      <c r="H145" s="910">
        <f>IFERROR(VLOOKUP(B145, base,19,FALSE)*'4. Agricultura PIB'!$K$11/1000000,G145*'4. Agricultura PIB'!$F$54)</f>
        <v>9.503421679707115E-2</v>
      </c>
      <c r="I145" s="910">
        <f>G145*'4. Agricultura PIB'!$F$45</f>
        <v>4.3338441955939604E-2</v>
      </c>
      <c r="J145" s="952">
        <f>IFERROR((VLOOKUP(B145,base,19,FALSE)*'tecnicecon agric'!$D$65)/1000000,H145/3)</f>
        <v>4.0559999999999999E-2</v>
      </c>
      <c r="K145" s="952">
        <f>IFERROR(VLOOKUP(B145,'cultius resum'!$T$6:$AU$306,22,FALSE)/1000000,0)</f>
        <v>1.4735333333333333E-2</v>
      </c>
      <c r="L145" s="915">
        <f>K145*'A. Dades de partida'!$D$10</f>
        <v>0.22103</v>
      </c>
      <c r="M145" s="956">
        <f>IFERROR(VLOOKUP(B145,'cultius resum'!$T$6:$AU$308,28,FALSE)/1000000,0)</f>
        <v>0.12882213365791229</v>
      </c>
      <c r="N145" s="955">
        <f>M145*'A. Dades de partida'!$D$10+(((I145-M145)*'A. Dades de partida'!$D$10)/2)</f>
        <v>1.2912043171038892</v>
      </c>
      <c r="O145" s="955">
        <f t="shared" si="14"/>
        <v>1.1623821834459769</v>
      </c>
      <c r="P145" s="916">
        <f>J145*'A. Dades de partida'!$D$10</f>
        <v>0.60839999999999994</v>
      </c>
      <c r="Q145" s="916">
        <f>J145+J145*'4. Agricultura PIB'!$D$71</f>
        <v>5.2484639999999999E-2</v>
      </c>
      <c r="R145" s="916">
        <f>(((J145-Q145)*'A. Dades de partida'!$D$10)/2)+('A. Dades de partida'!$D$10*Q145)</f>
        <v>0.69783479999999998</v>
      </c>
      <c r="S145" s="916">
        <f t="shared" si="15"/>
        <v>8.9434800000000036E-2</v>
      </c>
    </row>
    <row r="146" spans="1:19">
      <c r="A146" s="835">
        <v>8143</v>
      </c>
      <c r="B146" s="826" t="s">
        <v>1274</v>
      </c>
      <c r="C146" s="319" t="str">
        <f t="shared" si="12"/>
        <v>Anoia</v>
      </c>
      <c r="D146" s="908">
        <f>IFERROR(IF(VLOOKUP(B146,'BD ASVICC'!$A$6:$GN$316,193,FALSE)&gt;0,VLOOKUP(B146,'BD ASVICC'!$A$6:$GN$316,193,FALSE),(VLOOKUP(C146,'BD Comarcal'!$A$6:$AB$17,9,)/VLOOKUP(C146,'BD Comarcal'!$A$6:$AB$17,13,))),"")</f>
        <v>1.049736419894568E-2</v>
      </c>
      <c r="E146" s="910">
        <f>IFERROR(IF(VLOOKUP(B146,'BD ASVICC'!$A$6:$GN$316,192,FALSE)&gt;0,VLOOKUP(B146,'BD ASVICC'!$A$6:$GN$316,192,FALSE),(VLOOKUP(C146,'BD Comarcal'!$A$6:$AB$17,14,)*F146)),"")</f>
        <v>72.634832856753803</v>
      </c>
      <c r="F146" s="904">
        <f t="shared" si="11"/>
        <v>3.0696827342047931E-2</v>
      </c>
      <c r="G146" s="910">
        <f t="shared" si="13"/>
        <v>0.76247429402689071</v>
      </c>
      <c r="H146" s="910">
        <f>IFERROR(VLOOKUP(B146, base,19,FALSE)*'4. Agricultura PIB'!$K$11/1000000,G146*'4. Agricultura PIB'!$F$54)</f>
        <v>1.7747639986853037</v>
      </c>
      <c r="I146" s="910">
        <f>G146*'4. Agricultura PIB'!$F$45</f>
        <v>0.25093029016424973</v>
      </c>
      <c r="J146" s="952">
        <f>IFERROR((VLOOKUP(B146,base,19,FALSE)*'tecnicecon agric'!$D$65)/1000000,H146/3)</f>
        <v>0.75745799999999985</v>
      </c>
      <c r="K146" s="952">
        <f>IFERROR(VLOOKUP(B146,'cultius resum'!$T$6:$AU$306,22,FALSE)/1000000,0)</f>
        <v>0.78121316666666663</v>
      </c>
      <c r="L146" s="915">
        <f>K146*'A. Dades de partida'!$D$10</f>
        <v>11.718197499999999</v>
      </c>
      <c r="M146" s="956">
        <f>IFERROR(VLOOKUP(B146,'cultius resum'!$T$6:$AU$308,28,FALSE)/1000000,0)</f>
        <v>6.8572921223473324</v>
      </c>
      <c r="N146" s="955">
        <f>M146*'A. Dades de partida'!$D$10+(((I146-M146)*'A. Dades de partida'!$D$10)/2)</f>
        <v>53.311668093836865</v>
      </c>
      <c r="O146" s="955">
        <f t="shared" si="14"/>
        <v>46.454375971489533</v>
      </c>
      <c r="P146" s="916">
        <f>J146*'A. Dades de partida'!$D$10</f>
        <v>11.361869999999998</v>
      </c>
      <c r="Q146" s="916">
        <f>J146+J146*'4. Agricultura PIB'!$D$71</f>
        <v>0.98015065199999984</v>
      </c>
      <c r="R146" s="916">
        <f>(((J146-Q146)*'A. Dades de partida'!$D$10)/2)+('A. Dades de partida'!$D$10*Q146)</f>
        <v>13.032064889999999</v>
      </c>
      <c r="S146" s="916">
        <f t="shared" si="15"/>
        <v>1.6701948900000012</v>
      </c>
    </row>
    <row r="147" spans="1:19">
      <c r="A147" s="835">
        <v>8144</v>
      </c>
      <c r="B147" s="826" t="s">
        <v>1278</v>
      </c>
      <c r="C147" s="319" t="str">
        <f t="shared" si="12"/>
        <v>Berguedà</v>
      </c>
      <c r="D147" s="908">
        <f>IFERROR(IF(VLOOKUP(B147,'BD ASVICC'!$A$6:$GN$316,193,FALSE)&gt;0,VLOOKUP(B147,'BD ASVICC'!$A$6:$GN$316,193,FALSE),(VLOOKUP(C147,'BD Comarcal'!$A$6:$AB$17,9,)/VLOOKUP(C147,'BD Comarcal'!$A$6:$AB$17,13,))),"")</f>
        <v>4.1611624834874503E-2</v>
      </c>
      <c r="E147" s="910">
        <f>IFERROR(IF(VLOOKUP(B147,'BD ASVICC'!$A$6:$GN$316,192,FALSE)&gt;0,VLOOKUP(B147,'BD ASVICC'!$A$6:$GN$316,192,FALSE),(VLOOKUP(C147,'BD Comarcal'!$A$6:$AB$17,14,)*F147)),"")</f>
        <v>17.919253152279342</v>
      </c>
      <c r="F147" s="904">
        <f t="shared" si="11"/>
        <v>2.1823472356935016E-2</v>
      </c>
      <c r="G147" s="910">
        <f t="shared" si="13"/>
        <v>0.74564923949379025</v>
      </c>
      <c r="H147" s="910">
        <f>IFERROR(VLOOKUP(B147, base,19,FALSE)*'4. Agricultura PIB'!$K$11/1000000,G147*'4. Agricultura PIB'!$F$54)</f>
        <v>1.5889721048470296</v>
      </c>
      <c r="I147" s="910">
        <f>G147*'4. Agricultura PIB'!$F$45</f>
        <v>0.24539316471740638</v>
      </c>
      <c r="J147" s="952">
        <f>IFERROR((VLOOKUP(B147,base,19,FALSE)*'tecnicecon agric'!$D$65)/1000000,H147/3)</f>
        <v>0.67816319999999997</v>
      </c>
      <c r="K147" s="952">
        <f>IFERROR(VLOOKUP(B147,'cultius resum'!$T$6:$AU$306,22,FALSE)/1000000,0)</f>
        <v>0.26618666666666663</v>
      </c>
      <c r="L147" s="915">
        <f>K147*'A. Dades de partida'!$D$10</f>
        <v>3.9927999999999995</v>
      </c>
      <c r="M147" s="956">
        <f>IFERROR(VLOOKUP(B147,'cultius resum'!$T$6:$AU$308,28,FALSE)/1000000,0)</f>
        <v>2.3271095112397058</v>
      </c>
      <c r="N147" s="955">
        <f>M147*'A. Dades de partida'!$D$10+(((I147-M147)*'A. Dades de partida'!$D$10)/2)</f>
        <v>19.293770069678342</v>
      </c>
      <c r="O147" s="955">
        <f t="shared" si="14"/>
        <v>16.966660558438637</v>
      </c>
      <c r="P147" s="916">
        <f>J147*'A. Dades de partida'!$D$10</f>
        <v>10.172447999999999</v>
      </c>
      <c r="Q147" s="916">
        <f>J147+J147*'4. Agricultura PIB'!$D$71</f>
        <v>0.87754318079999993</v>
      </c>
      <c r="R147" s="916">
        <f>(((J147-Q147)*'A. Dades de partida'!$D$10)/2)+('A. Dades de partida'!$D$10*Q147)</f>
        <v>11.667797856</v>
      </c>
      <c r="S147" s="916">
        <f t="shared" si="15"/>
        <v>1.4953498560000007</v>
      </c>
    </row>
    <row r="148" spans="1:19">
      <c r="A148" s="835">
        <v>8145</v>
      </c>
      <c r="B148" s="826" t="s">
        <v>1281</v>
      </c>
      <c r="C148" s="319" t="str">
        <f t="shared" si="12"/>
        <v>Alt Penedès</v>
      </c>
      <c r="D148" s="908">
        <f>IFERROR(IF(VLOOKUP(B148,'BD ASVICC'!$A$6:$GN$316,193,FALSE)&gt;0,VLOOKUP(B148,'BD ASVICC'!$A$6:$GN$316,193,FALSE),(VLOOKUP(C148,'BD Comarcal'!$A$6:$AB$17,9,)/VLOOKUP(C148,'BD Comarcal'!$A$6:$AB$17,13,))),"")</f>
        <v>1.0966842723004694E-2</v>
      </c>
      <c r="E148" s="910">
        <f>IFERROR(IF(VLOOKUP(B148,'BD ASVICC'!$A$6:$GN$316,192,FALSE)&gt;0,VLOOKUP(B148,'BD ASVICC'!$A$6:$GN$316,192,FALSE),(VLOOKUP(C148,'BD Comarcal'!$A$6:$AB$17,14,)*F148)),"")</f>
        <v>98.197683368619138</v>
      </c>
      <c r="F148" s="904">
        <f t="shared" si="11"/>
        <v>3.320630439896495E-2</v>
      </c>
      <c r="G148" s="910">
        <f t="shared" si="13"/>
        <v>1.0769185492670599</v>
      </c>
      <c r="H148" s="910">
        <f>IFERROR(VLOOKUP(B148, base,19,FALSE)*'4. Agricultura PIB'!$K$11/1000000,G148*'4. Agricultura PIB'!$F$54)</f>
        <v>5.7970872246213397E-2</v>
      </c>
      <c r="I148" s="910">
        <f>G148*'4. Agricultura PIB'!$F$45</f>
        <v>0.35441389456378941</v>
      </c>
      <c r="J148" s="952">
        <f>IFERROR((VLOOKUP(B148,base,19,FALSE)*'tecnicecon agric'!$D$65)/1000000,H148/3)</f>
        <v>2.4741599999999999E-2</v>
      </c>
      <c r="K148" s="952">
        <f>IFERROR(VLOOKUP(B148,'cultius resum'!$T$6:$AU$306,22,FALSE)/1000000,0)</f>
        <v>3.6125333333333329E-2</v>
      </c>
      <c r="L148" s="915">
        <f>K148*'A. Dades de partida'!$D$10</f>
        <v>0.54187999999999992</v>
      </c>
      <c r="M148" s="956">
        <f>IFERROR(VLOOKUP(B148,'cultius resum'!$T$6:$AU$308,28,FALSE)/1000000,0)</f>
        <v>0.31582200509681718</v>
      </c>
      <c r="N148" s="955">
        <f>M148*'A. Dades de partida'!$D$10+(((I148-M148)*'A. Dades de partida'!$D$10)/2)</f>
        <v>5.02676924745455</v>
      </c>
      <c r="O148" s="955">
        <f t="shared" si="14"/>
        <v>4.710947242357733</v>
      </c>
      <c r="P148" s="916">
        <f>J148*'A. Dades de partida'!$D$10</f>
        <v>0.37112400000000001</v>
      </c>
      <c r="Q148" s="916">
        <f>J148+J148*'4. Agricultura PIB'!$D$71</f>
        <v>3.2015630399999995E-2</v>
      </c>
      <c r="R148" s="916">
        <f>(((J148-Q148)*'A. Dades de partida'!$D$10)/2)+('A. Dades de partida'!$D$10*Q148)</f>
        <v>0.42567922799999997</v>
      </c>
      <c r="S148" s="916">
        <f t="shared" si="15"/>
        <v>5.4555227999999956E-2</v>
      </c>
    </row>
    <row r="149" spans="1:19">
      <c r="A149" s="835">
        <v>8146</v>
      </c>
      <c r="B149" s="826" t="s">
        <v>1286</v>
      </c>
      <c r="C149" s="319" t="str">
        <f t="shared" si="12"/>
        <v>Alt Penedès</v>
      </c>
      <c r="D149" s="908">
        <f>IFERROR(IF(VLOOKUP(B149,'BD ASVICC'!$A$6:$GN$316,193,FALSE)&gt;0,VLOOKUP(B149,'BD ASVICC'!$A$6:$GN$316,193,FALSE),(VLOOKUP(C149,'BD Comarcal'!$A$6:$AB$17,9,)/VLOOKUP(C149,'BD Comarcal'!$A$6:$AB$17,13,))),"")</f>
        <v>1.0966842723004694E-2</v>
      </c>
      <c r="E149" s="910">
        <f>IFERROR(IF(VLOOKUP(B149,'BD ASVICC'!$A$6:$GN$316,192,FALSE)&gt;0,VLOOKUP(B149,'BD ASVICC'!$A$6:$GN$316,192,FALSE),(VLOOKUP(C149,'BD Comarcal'!$A$6:$AB$17,14,)*F149)),"")</f>
        <v>47.944065866854856</v>
      </c>
      <c r="F149" s="904">
        <f t="shared" si="11"/>
        <v>1.621265584568337E-2</v>
      </c>
      <c r="G149" s="910">
        <f t="shared" si="13"/>
        <v>0.52579502986317495</v>
      </c>
      <c r="H149" s="910">
        <f>IFERROR(VLOOKUP(B149, base,19,FALSE)*'4. Agricultura PIB'!$K$11/1000000,G149*'4. Agricultura PIB'!$F$54)</f>
        <v>0</v>
      </c>
      <c r="I149" s="910">
        <f>G149*'4. Agricultura PIB'!$F$45</f>
        <v>0.17303914432797088</v>
      </c>
      <c r="J149" s="952">
        <f>IFERROR((VLOOKUP(B149,base,19,FALSE)*'tecnicecon agric'!$D$65)/1000000,H149/3)</f>
        <v>0</v>
      </c>
      <c r="K149" s="952">
        <f>IFERROR(VLOOKUP(B149,'cultius resum'!$T$6:$AU$306,22,FALSE)/1000000,0)</f>
        <v>1.9013333333333332E-3</v>
      </c>
      <c r="L149" s="915">
        <f>K149*'A. Dades de partida'!$D$10</f>
        <v>2.8519999999999997E-2</v>
      </c>
      <c r="M149" s="956">
        <f>IFERROR(VLOOKUP(B149,'cultius resum'!$T$6:$AU$308,28,FALSE)/1000000,0)</f>
        <v>1.6622210794569329E-2</v>
      </c>
      <c r="N149" s="955">
        <f>M149*'A. Dades de partida'!$D$10+(((I149-M149)*'A. Dades de partida'!$D$10)/2)</f>
        <v>1.4224601634190517</v>
      </c>
      <c r="O149" s="955">
        <f t="shared" si="14"/>
        <v>1.4058379526244824</v>
      </c>
      <c r="P149" s="916">
        <f>J149*'A. Dades de partida'!$D$10</f>
        <v>0</v>
      </c>
      <c r="Q149" s="916">
        <f>J149+J149*'4. Agricultura PIB'!$D$71</f>
        <v>0</v>
      </c>
      <c r="R149" s="916">
        <f>(((J149-Q149)*'A. Dades de partida'!$D$10)/2)+('A. Dades de partida'!$D$10*Q149)</f>
        <v>0</v>
      </c>
      <c r="S149" s="916">
        <f t="shared" si="15"/>
        <v>0</v>
      </c>
    </row>
    <row r="150" spans="1:19">
      <c r="A150" s="835">
        <v>8147</v>
      </c>
      <c r="B150" s="826" t="s">
        <v>1291</v>
      </c>
      <c r="C150" s="319" t="str">
        <f t="shared" si="12"/>
        <v>Baix Llobregat</v>
      </c>
      <c r="D150" s="908">
        <f>IFERROR(IF(VLOOKUP(B150,'BD ASVICC'!$A$6:$GN$316,193,FALSE)&gt;0,VLOOKUP(B150,'BD ASVICC'!$A$6:$GN$316,193,FALSE),(VLOOKUP(C150,'BD Comarcal'!$A$6:$AB$17,9,)/VLOOKUP(C150,'BD Comarcal'!$A$6:$AB$17,13,))),"")</f>
        <v>7.8252861716696001E-4</v>
      </c>
      <c r="E150" s="910">
        <f>IFERROR(IF(VLOOKUP(B150,'BD ASVICC'!$A$6:$GN$316,192,FALSE)&gt;0,VLOOKUP(B150,'BD ASVICC'!$A$6:$GN$316,192,FALSE),(VLOOKUP(C150,'BD Comarcal'!$A$6:$AB$17,14,)*F150)),"")</f>
        <v>377</v>
      </c>
      <c r="F150" s="904">
        <f t="shared" ref="F150:F213" si="16">VLOOKUP(B150,base,24,FALSE)/VLOOKUP(C150,basec,26,FALSE)</f>
        <v>2.9195575163326062E-2</v>
      </c>
      <c r="G150" s="910">
        <f t="shared" si="13"/>
        <v>0.29501328867194393</v>
      </c>
      <c r="H150" s="910">
        <f>IFERROR(VLOOKUP(B150, base,19,FALSE)*'4. Agricultura PIB'!$K$11/1000000,G150*'4. Agricultura PIB'!$F$54)</f>
        <v>1.4255132519560671E-3</v>
      </c>
      <c r="I150" s="910">
        <f>G150*'4. Agricultura PIB'!$F$45</f>
        <v>9.7088873301936746E-2</v>
      </c>
      <c r="J150" s="952">
        <f>IFERROR((VLOOKUP(B150,base,19,FALSE)*'tecnicecon agric'!$D$65)/1000000,H150/3)</f>
        <v>6.0839999999999993E-4</v>
      </c>
      <c r="K150" s="952">
        <f>IFERROR(VLOOKUP(B150,'cultius resum'!$T$6:$AU$306,22,FALSE)/1000000,0)</f>
        <v>5.6481250000000004E-3</v>
      </c>
      <c r="L150" s="915">
        <f>K150*'A. Dades de partida'!$D$10</f>
        <v>8.4721875000000002E-2</v>
      </c>
      <c r="M150" s="956">
        <f>IFERROR(VLOOKUP(B150,'cultius resum'!$T$6:$AU$308,28,FALSE)/1000000,0)</f>
        <v>8.3898765957203247E-2</v>
      </c>
      <c r="N150" s="955">
        <f>M150*'A. Dades de partida'!$D$10+(((I150-M150)*'A. Dades de partida'!$D$10)/2)</f>
        <v>1.35740729444355</v>
      </c>
      <c r="O150" s="955">
        <f t="shared" si="14"/>
        <v>1.2735085284863468</v>
      </c>
      <c r="P150" s="916">
        <f>J150*'A. Dades de partida'!$D$10</f>
        <v>9.1259999999999987E-3</v>
      </c>
      <c r="Q150" s="916">
        <f>J150+J150*'4. Agricultura PIB'!$D$71</f>
        <v>7.8726959999999993E-4</v>
      </c>
      <c r="R150" s="916">
        <f>(((J150-Q150)*'A. Dades de partida'!$D$10)/2)+('A. Dades de partida'!$D$10*Q150)</f>
        <v>1.0467522E-2</v>
      </c>
      <c r="S150" s="916">
        <f t="shared" si="15"/>
        <v>1.3415220000000012E-3</v>
      </c>
    </row>
    <row r="151" spans="1:19">
      <c r="A151" s="835">
        <v>8148</v>
      </c>
      <c r="B151" s="826" t="s">
        <v>1294</v>
      </c>
      <c r="C151" s="319" t="str">
        <f t="shared" si="12"/>
        <v>Garraf</v>
      </c>
      <c r="D151" s="908">
        <f>IFERROR(IF(VLOOKUP(B151,'BD ASVICC'!$A$6:$GN$316,193,FALSE)&gt;0,VLOOKUP(B151,'BD ASVICC'!$A$6:$GN$316,193,FALSE),(VLOOKUP(C151,'BD Comarcal'!$A$6:$AB$17,9,)/VLOOKUP(C151,'BD Comarcal'!$A$6:$AB$17,13,))),"")</f>
        <v>6.2881618518180991E-3</v>
      </c>
      <c r="E151" s="910">
        <f>IFERROR(IF(VLOOKUP(B151,'BD ASVICC'!$A$6:$GN$316,192,FALSE)&gt;0,VLOOKUP(B151,'BD ASVICC'!$A$6:$GN$316,192,FALSE),(VLOOKUP(C151,'BD Comarcal'!$A$6:$AB$17,14,)*F151)),"")</f>
        <v>57.839883302922196</v>
      </c>
      <c r="F151" s="904">
        <f t="shared" si="16"/>
        <v>2.4299409025300252E-2</v>
      </c>
      <c r="G151" s="910">
        <f t="shared" si="13"/>
        <v>0.36370654769904598</v>
      </c>
      <c r="H151" s="910">
        <f>IFERROR(VLOOKUP(B151, base,19,FALSE)*'4. Agricultura PIB'!$K$11/1000000,G151*'4. Agricultura PIB'!$F$54)</f>
        <v>1.4255132519560671E-3</v>
      </c>
      <c r="I151" s="910">
        <f>G151*'4. Agricultura PIB'!$F$45</f>
        <v>0.11969582484775604</v>
      </c>
      <c r="J151" s="952">
        <f>IFERROR((VLOOKUP(B151,base,19,FALSE)*'tecnicecon agric'!$D$65)/1000000,H151/3)</f>
        <v>6.0839999999999993E-4</v>
      </c>
      <c r="K151" s="952">
        <f>IFERROR(VLOOKUP(B151,'cultius resum'!$T$6:$AU$306,22,FALSE)/1000000,0)</f>
        <v>2.8519999999999999E-3</v>
      </c>
      <c r="L151" s="915">
        <f>K151*'A. Dades de partida'!$D$10</f>
        <v>4.2779999999999999E-2</v>
      </c>
      <c r="M151" s="956">
        <f>IFERROR(VLOOKUP(B151,'cultius resum'!$T$6:$AU$308,28,FALSE)/1000000,0)</f>
        <v>2.4933316191853992E-2</v>
      </c>
      <c r="N151" s="955">
        <f>M151*'A. Dades de partida'!$D$10+(((I151-M151)*'A. Dades de partida'!$D$10)/2)</f>
        <v>1.0847185577970753</v>
      </c>
      <c r="O151" s="955">
        <f t="shared" si="14"/>
        <v>1.0597852416052214</v>
      </c>
      <c r="P151" s="916">
        <f>J151*'A. Dades de partida'!$D$10</f>
        <v>9.1259999999999987E-3</v>
      </c>
      <c r="Q151" s="916">
        <f>J151+J151*'4. Agricultura PIB'!$D$71</f>
        <v>7.8726959999999993E-4</v>
      </c>
      <c r="R151" s="916">
        <f>(((J151-Q151)*'A. Dades de partida'!$D$10)/2)+('A. Dades de partida'!$D$10*Q151)</f>
        <v>1.0467522E-2</v>
      </c>
      <c r="S151" s="916">
        <f t="shared" si="15"/>
        <v>1.3415220000000012E-3</v>
      </c>
    </row>
    <row r="152" spans="1:19">
      <c r="A152" s="835">
        <v>8149</v>
      </c>
      <c r="B152" s="826" t="s">
        <v>1298</v>
      </c>
      <c r="C152" s="319" t="str">
        <f t="shared" si="12"/>
        <v>Osona</v>
      </c>
      <c r="D152" s="908">
        <f>IFERROR(IF(VLOOKUP(B152,'BD ASVICC'!$A$6:$GN$316,193,FALSE)&gt;0,VLOOKUP(B152,'BD ASVICC'!$A$6:$GN$316,193,FALSE),(VLOOKUP(C152,'BD Comarcal'!$A$6:$AB$17,9,)/VLOOKUP(C152,'BD Comarcal'!$A$6:$AB$17,13,))),"")</f>
        <v>1.8400340353116357E-2</v>
      </c>
      <c r="E152" s="910">
        <f>IFERROR(IF(VLOOKUP(B152,'BD ASVICC'!$A$6:$GN$316,192,FALSE)&gt;0,VLOOKUP(B152,'BD ASVICC'!$A$6:$GN$316,192,FALSE),(VLOOKUP(C152,'BD Comarcal'!$A$6:$AB$17,14,)*F152)),"")</f>
        <v>31.057703304399226</v>
      </c>
      <c r="F152" s="904">
        <f t="shared" si="16"/>
        <v>7.6136750599135189E-3</v>
      </c>
      <c r="G152" s="910">
        <f t="shared" si="13"/>
        <v>0.57147231138705235</v>
      </c>
      <c r="H152" s="910">
        <f>IFERROR(VLOOKUP(B152, base,19,FALSE)*'4. Agricultura PIB'!$K$11/1000000,G152*'4. Agricultura PIB'!$F$54)</f>
        <v>2.8804871111192267</v>
      </c>
      <c r="I152" s="910">
        <f>G152*'4. Agricultura PIB'!$F$45</f>
        <v>0.18807153767747892</v>
      </c>
      <c r="J152" s="952">
        <f>IFERROR((VLOOKUP(B152,base,19,FALSE)*'tecnicecon agric'!$D$65)/1000000,H152/3)</f>
        <v>1.2293736</v>
      </c>
      <c r="K152" s="952">
        <f>IFERROR(VLOOKUP(B152,'cultius resum'!$T$6:$AU$306,22,FALSE)/1000000,0)</f>
        <v>0.50242733333333334</v>
      </c>
      <c r="L152" s="915">
        <f>K152*'A. Dades de partida'!$D$10</f>
        <v>7.5364100000000001</v>
      </c>
      <c r="M152" s="956">
        <f>IFERROR(VLOOKUP(B152,'cultius resum'!$T$6:$AU$308,28,FALSE)/1000000,0)</f>
        <v>4.3924192024649447</v>
      </c>
      <c r="N152" s="955">
        <f>M152*'A. Dades de partida'!$D$10+(((I152-M152)*'A. Dades de partida'!$D$10)/2)</f>
        <v>34.353680551068173</v>
      </c>
      <c r="O152" s="955">
        <f t="shared" si="14"/>
        <v>29.96126134860323</v>
      </c>
      <c r="P152" s="916">
        <f>J152*'A. Dades de partida'!$D$10</f>
        <v>18.440604</v>
      </c>
      <c r="Q152" s="916">
        <f>J152+J152*'4. Agricultura PIB'!$D$71</f>
        <v>1.5908094384</v>
      </c>
      <c r="R152" s="916">
        <f>(((J152-Q152)*'A. Dades de partida'!$D$10)/2)+('A. Dades de partida'!$D$10*Q152)</f>
        <v>21.151372788</v>
      </c>
      <c r="S152" s="916">
        <f t="shared" si="15"/>
        <v>2.7107687879999993</v>
      </c>
    </row>
    <row r="153" spans="1:19">
      <c r="A153" s="835">
        <v>8150</v>
      </c>
      <c r="B153" s="826" t="s">
        <v>1301</v>
      </c>
      <c r="C153" s="319" t="str">
        <f t="shared" si="12"/>
        <v>Osona</v>
      </c>
      <c r="D153" s="908">
        <f>IFERROR(IF(VLOOKUP(B153,'BD ASVICC'!$A$6:$GN$316,193,FALSE)&gt;0,VLOOKUP(B153,'BD ASVICC'!$A$6:$GN$316,193,FALSE),(VLOOKUP(C153,'BD Comarcal'!$A$6:$AB$17,9,)/VLOOKUP(C153,'BD Comarcal'!$A$6:$AB$17,13,))),"")</f>
        <v>1.8400340353116357E-2</v>
      </c>
      <c r="E153" s="910">
        <f>IFERROR(IF(VLOOKUP(B153,'BD ASVICC'!$A$6:$GN$316,192,FALSE)&gt;0,VLOOKUP(B153,'BD ASVICC'!$A$6:$GN$316,192,FALSE),(VLOOKUP(C153,'BD Comarcal'!$A$6:$AB$17,14,)*F153)),"")</f>
        <v>8.1248000205601336</v>
      </c>
      <c r="F153" s="904">
        <f t="shared" si="16"/>
        <v>1.991763095842355E-3</v>
      </c>
      <c r="G153" s="910">
        <f t="shared" si="13"/>
        <v>0.14949908567931322</v>
      </c>
      <c r="H153" s="910">
        <f>IFERROR(VLOOKUP(B153, base,19,FALSE)*'4. Agricultura PIB'!$K$11/1000000,G153*'4. Agricultura PIB'!$F$54)</f>
        <v>2.4281242391651676</v>
      </c>
      <c r="I153" s="910">
        <f>G153*'4. Agricultura PIB'!$F$45</f>
        <v>4.9200149097061982E-2</v>
      </c>
      <c r="J153" s="952">
        <f>IFERROR((VLOOKUP(B153,base,19,FALSE)*'tecnicecon agric'!$D$65)/1000000,H153/3)</f>
        <v>1.0363079999999998</v>
      </c>
      <c r="K153" s="952">
        <f>IFERROR(VLOOKUP(B153,'cultius resum'!$T$6:$AU$306,22,FALSE)/1000000,0)</f>
        <v>0.25498029166666664</v>
      </c>
      <c r="L153" s="915">
        <f>K153*'A. Dades de partida'!$D$10</f>
        <v>3.8247043749999996</v>
      </c>
      <c r="M153" s="956">
        <f>IFERROR(VLOOKUP(B153,'cultius resum'!$T$6:$AU$308,28,FALSE)/1000000,0)</f>
        <v>2.4569749912957293</v>
      </c>
      <c r="N153" s="955">
        <f>M153*'A. Dades de partida'!$D$10+(((I153-M153)*'A. Dades de partida'!$D$10)/2)</f>
        <v>18.796313552945936</v>
      </c>
      <c r="O153" s="955">
        <f t="shared" si="14"/>
        <v>16.339338561650205</v>
      </c>
      <c r="P153" s="916">
        <f>J153*'A. Dades de partida'!$D$10</f>
        <v>15.544619999999997</v>
      </c>
      <c r="Q153" s="916">
        <f>J153+J153*'4. Agricultura PIB'!$D$71</f>
        <v>1.3409825519999998</v>
      </c>
      <c r="R153" s="916">
        <f>(((J153-Q153)*'A. Dades de partida'!$D$10)/2)+('A. Dades de partida'!$D$10*Q153)</f>
        <v>17.829679139999996</v>
      </c>
      <c r="S153" s="916">
        <f t="shared" si="15"/>
        <v>2.2850591399999995</v>
      </c>
    </row>
    <row r="154" spans="1:19">
      <c r="A154" s="835">
        <v>8151</v>
      </c>
      <c r="B154" s="826" t="s">
        <v>1304</v>
      </c>
      <c r="C154" s="319" t="str">
        <f t="shared" si="12"/>
        <v>Osona</v>
      </c>
      <c r="D154" s="908">
        <f>IFERROR(IF(VLOOKUP(B154,'BD ASVICC'!$A$6:$GN$316,193,FALSE)&gt;0,VLOOKUP(B154,'BD ASVICC'!$A$6:$GN$316,193,FALSE),(VLOOKUP(C154,'BD Comarcal'!$A$6:$AB$17,9,)/VLOOKUP(C154,'BD Comarcal'!$A$6:$AB$17,13,))),"")</f>
        <v>1.8400340353116357E-2</v>
      </c>
      <c r="E154" s="910">
        <f>IFERROR(IF(VLOOKUP(B154,'BD ASVICC'!$A$6:$GN$316,192,FALSE)&gt;0,VLOOKUP(B154,'BD ASVICC'!$A$6:$GN$316,192,FALSE),(VLOOKUP(C154,'BD Comarcal'!$A$6:$AB$17,14,)*F154)),"")</f>
        <v>14.33634068143998</v>
      </c>
      <c r="F154" s="904">
        <f t="shared" si="16"/>
        <v>3.5144981078250588E-3</v>
      </c>
      <c r="G154" s="910">
        <f t="shared" si="13"/>
        <v>0.26379354795672372</v>
      </c>
      <c r="H154" s="910">
        <f>IFERROR(VLOOKUP(B154, base,19,FALSE)*'4. Agricultura PIB'!$K$11/1000000,G154*'4. Agricultura PIB'!$F$54)</f>
        <v>7.9534136037468848</v>
      </c>
      <c r="I154" s="910">
        <f>G154*'4. Agricultura PIB'!$F$45</f>
        <v>8.6814456632557782E-2</v>
      </c>
      <c r="J154" s="952">
        <f>IFERROR((VLOOKUP(B154,base,19,FALSE)*'tecnicecon agric'!$D$65)/1000000,H154/3)</f>
        <v>3.3944663999999998</v>
      </c>
      <c r="K154" s="952">
        <f>IFERROR(VLOOKUP(B154,'cultius resum'!$T$6:$AU$306,22,FALSE)/1000000,0)</f>
        <v>0.91365220833333327</v>
      </c>
      <c r="L154" s="915">
        <f>K154*'A. Dades de partida'!$D$10</f>
        <v>13.704783124999999</v>
      </c>
      <c r="M154" s="956">
        <f>IFERROR(VLOOKUP(B154,'cultius resum'!$T$6:$AU$308,28,FALSE)/1000000,0)</f>
        <v>8.0082226774743877</v>
      </c>
      <c r="N154" s="955">
        <f>M154*'A. Dades de partida'!$D$10+(((I154-M154)*'A. Dades de partida'!$D$10)/2)</f>
        <v>60.712778505802085</v>
      </c>
      <c r="O154" s="955">
        <f t="shared" si="14"/>
        <v>52.704555828327699</v>
      </c>
      <c r="P154" s="916">
        <f>J154*'A. Dades de partida'!$D$10</f>
        <v>50.916995999999997</v>
      </c>
      <c r="Q154" s="916">
        <f>J154+J154*'4. Agricultura PIB'!$D$71</f>
        <v>4.3924395216000001</v>
      </c>
      <c r="R154" s="916">
        <f>(((J154-Q154)*'A. Dades de partida'!$D$10)/2)+('A. Dades de partida'!$D$10*Q154)</f>
        <v>58.401794412000001</v>
      </c>
      <c r="S154" s="916">
        <f t="shared" si="15"/>
        <v>7.4847984120000035</v>
      </c>
    </row>
    <row r="155" spans="1:19">
      <c r="A155" s="835">
        <v>8152</v>
      </c>
      <c r="B155" s="826" t="s">
        <v>1306</v>
      </c>
      <c r="C155" s="319" t="str">
        <f t="shared" si="12"/>
        <v>Anoia</v>
      </c>
      <c r="D155" s="908">
        <f>IFERROR(IF(VLOOKUP(B155,'BD ASVICC'!$A$6:$GN$316,193,FALSE)&gt;0,VLOOKUP(B155,'BD ASVICC'!$A$6:$GN$316,193,FALSE),(VLOOKUP(C155,'BD Comarcal'!$A$6:$AB$17,9,)/VLOOKUP(C155,'BD Comarcal'!$A$6:$AB$17,13,))),"")</f>
        <v>1.049736419894568E-2</v>
      </c>
      <c r="E155" s="910">
        <f>IFERROR(IF(VLOOKUP(B155,'BD ASVICC'!$A$6:$GN$316,192,FALSE)&gt;0,VLOOKUP(B155,'BD ASVICC'!$A$6:$GN$316,192,FALSE),(VLOOKUP(C155,'BD Comarcal'!$A$6:$AB$17,14,)*F155)),"")</f>
        <v>2.7990689678649239</v>
      </c>
      <c r="F155" s="904">
        <f t="shared" si="16"/>
        <v>1.1829384531590415E-3</v>
      </c>
      <c r="G155" s="910">
        <f t="shared" si="13"/>
        <v>2.9382846373645088E-2</v>
      </c>
      <c r="H155" s="910">
        <f>IFERROR(VLOOKUP(B155, base,19,FALSE)*'4. Agricultura PIB'!$K$11/1000000,G155*'4. Agricultura PIB'!$F$54)</f>
        <v>0.36635690575270924</v>
      </c>
      <c r="I155" s="910">
        <f>G155*'4. Agricultura PIB'!$F$45</f>
        <v>9.6698947415665981E-3</v>
      </c>
      <c r="J155" s="952">
        <f>IFERROR((VLOOKUP(B155,base,19,FALSE)*'tecnicecon agric'!$D$65)/1000000,H155/3)</f>
        <v>0.15635879999999999</v>
      </c>
      <c r="K155" s="952">
        <f>IFERROR(VLOOKUP(B155,'cultius resum'!$T$6:$AU$306,22,FALSE)/1000000,0)</f>
        <v>0.13612429166666665</v>
      </c>
      <c r="L155" s="915">
        <f>K155*'A. Dades de partida'!$D$10</f>
        <v>2.0418643749999998</v>
      </c>
      <c r="M155" s="956">
        <f>IFERROR(VLOOKUP(B155,'cultius resum'!$T$6:$AU$308,28,FALSE)/1000000,0)</f>
        <v>1.1969567196058628</v>
      </c>
      <c r="N155" s="955">
        <f>M155*'A. Dades de partida'!$D$10+(((I155-M155)*'A. Dades de partida'!$D$10)/2)</f>
        <v>9.0496996076057208</v>
      </c>
      <c r="O155" s="955">
        <f t="shared" si="14"/>
        <v>7.8527428879998578</v>
      </c>
      <c r="P155" s="916">
        <f>J155*'A. Dades de partida'!$D$10</f>
        <v>2.3453819999999999</v>
      </c>
      <c r="Q155" s="916">
        <f>J155+J155*'4. Agricultura PIB'!$D$71</f>
        <v>0.20232828719999998</v>
      </c>
      <c r="R155" s="916">
        <f>(((J155-Q155)*'A. Dades de partida'!$D$10)/2)+('A. Dades de partida'!$D$10*Q155)</f>
        <v>2.6901531539999999</v>
      </c>
      <c r="S155" s="916">
        <f t="shared" si="15"/>
        <v>0.34477115400000002</v>
      </c>
    </row>
    <row r="156" spans="1:19">
      <c r="A156" s="835">
        <v>8153</v>
      </c>
      <c r="B156" s="826" t="s">
        <v>1309</v>
      </c>
      <c r="C156" s="319" t="str">
        <f t="shared" si="12"/>
        <v>Maresme</v>
      </c>
      <c r="D156" s="908">
        <f>IFERROR(IF(VLOOKUP(B156,'BD ASVICC'!$A$6:$GN$316,193,FALSE)&gt;0,VLOOKUP(B156,'BD ASVICC'!$A$6:$GN$316,193,FALSE),(VLOOKUP(C156,'BD Comarcal'!$A$6:$AB$17,9,)/VLOOKUP(C156,'BD Comarcal'!$A$6:$AB$17,13,))),"")</f>
        <v>1.0968348480100282E-2</v>
      </c>
      <c r="E156" s="910">
        <f>IFERROR(IF(VLOOKUP(B156,'BD ASVICC'!$A$6:$GN$316,192,FALSE)&gt;0,VLOOKUP(B156,'BD ASVICC'!$A$6:$GN$316,192,FALSE),(VLOOKUP(C156,'BD Comarcal'!$A$6:$AB$17,14,)*F156)),"")</f>
        <v>13.207944643888515</v>
      </c>
      <c r="F156" s="904">
        <f t="shared" si="16"/>
        <v>1.5900159681090814E-3</v>
      </c>
      <c r="G156" s="910">
        <f t="shared" si="13"/>
        <v>0.14486933956004325</v>
      </c>
      <c r="H156" s="910">
        <f>IFERROR(VLOOKUP(B156, base,19,FALSE)*'4. Agricultura PIB'!$K$11/1000000,G156*'4. Agricultura PIB'!$F$54)</f>
        <v>9.4295453119632153E-2</v>
      </c>
      <c r="I156" s="910">
        <f>G156*'4. Agricultura PIB'!$F$45</f>
        <v>4.7676499649210231E-2</v>
      </c>
      <c r="J156" s="952">
        <f>IFERROR((VLOOKUP(B156,base,19,FALSE)*'tecnicecon agric'!$D$65)/1000000,H156/3)</f>
        <v>3.1431817706544053E-2</v>
      </c>
      <c r="K156" s="952">
        <f>IFERROR(VLOOKUP(B156,'cultius resum'!$T$6:$AU$306,22,FALSE)/1000000,0)</f>
        <v>5.4691666666666673E-3</v>
      </c>
      <c r="L156" s="915">
        <f>K156*'A. Dades de partida'!$D$10</f>
        <v>8.2037500000000013E-2</v>
      </c>
      <c r="M156" s="956">
        <f>IFERROR(VLOOKUP(B156,'cultius resum'!$T$6:$AU$308,28,FALSE)/1000000,0)</f>
        <v>7.5430118163047274E-2</v>
      </c>
      <c r="N156" s="955">
        <f>M156*'A. Dades de partida'!$D$10+(((I156-M156)*'A. Dades de partida'!$D$10)/2)</f>
        <v>0.92329963359193135</v>
      </c>
      <c r="O156" s="955">
        <f t="shared" si="14"/>
        <v>0.84786951542888411</v>
      </c>
      <c r="P156" s="916">
        <f>J156*'A. Dades de partida'!$D$10</f>
        <v>0.47147726559816078</v>
      </c>
      <c r="Q156" s="916">
        <f>J156+J156*'4. Agricultura PIB'!$D$71</f>
        <v>4.0672772112268003E-2</v>
      </c>
      <c r="R156" s="916">
        <f>(((J156-Q156)*'A. Dades de partida'!$D$10)/2)+('A. Dades de partida'!$D$10*Q156)</f>
        <v>0.54078442364109036</v>
      </c>
      <c r="S156" s="916">
        <f t="shared" si="15"/>
        <v>6.9307158042929584E-2</v>
      </c>
    </row>
    <row r="157" spans="1:19">
      <c r="A157" s="835">
        <v>8154</v>
      </c>
      <c r="B157" s="826" t="s">
        <v>1310</v>
      </c>
      <c r="C157" s="319" t="str">
        <f t="shared" si="12"/>
        <v>Alt Penedès</v>
      </c>
      <c r="D157" s="908">
        <f>IFERROR(IF(VLOOKUP(B157,'BD ASVICC'!$A$6:$GN$316,193,FALSE)&gt;0,VLOOKUP(B157,'BD ASVICC'!$A$6:$GN$316,193,FALSE),(VLOOKUP(C157,'BD Comarcal'!$A$6:$AB$17,9,)/VLOOKUP(C157,'BD Comarcal'!$A$6:$AB$17,13,))),"")</f>
        <v>1.0966842723004694E-2</v>
      </c>
      <c r="E157" s="910">
        <f>IFERROR(IF(VLOOKUP(B157,'BD ASVICC'!$A$6:$GN$316,192,FALSE)&gt;0,VLOOKUP(B157,'BD ASVICC'!$A$6:$GN$316,192,FALSE),(VLOOKUP(C157,'BD Comarcal'!$A$6:$AB$17,14,)*F157)),"")</f>
        <v>24.876375441072689</v>
      </c>
      <c r="F157" s="904">
        <f t="shared" si="16"/>
        <v>8.4121383203952012E-3</v>
      </c>
      <c r="G157" s="910">
        <f t="shared" si="13"/>
        <v>0.2728152969806607</v>
      </c>
      <c r="H157" s="910">
        <f>IFERROR(VLOOKUP(B157, base,19,FALSE)*'4. Agricultura PIB'!$K$11/1000000,G157*'4. Agricultura PIB'!$F$54)</f>
        <v>0.10881417823264646</v>
      </c>
      <c r="I157" s="910">
        <f>G157*'4. Agricultura PIB'!$F$45</f>
        <v>8.9783514236335432E-2</v>
      </c>
      <c r="J157" s="952">
        <f>IFERROR((VLOOKUP(B157,base,19,FALSE)*'tecnicecon agric'!$D$65)/1000000,H157/3)</f>
        <v>4.6441199999999995E-2</v>
      </c>
      <c r="K157" s="952">
        <f>IFERROR(VLOOKUP(B157,'cultius resum'!$T$6:$AU$306,22,FALSE)/1000000,0)</f>
        <v>1.0457333333333332E-2</v>
      </c>
      <c r="L157" s="915">
        <f>K157*'A. Dades de partida'!$D$10</f>
        <v>0.15686</v>
      </c>
      <c r="M157" s="956">
        <f>IFERROR(VLOOKUP(B157,'cultius resum'!$T$6:$AU$308,28,FALSE)/1000000,0)</f>
        <v>9.142215937013129E-2</v>
      </c>
      <c r="N157" s="955">
        <f>M157*'A. Dades de partida'!$D$10+(((I157-M157)*'A. Dades de partida'!$D$10)/2)</f>
        <v>1.3590425520485006</v>
      </c>
      <c r="O157" s="955">
        <f t="shared" si="14"/>
        <v>1.2676203926783693</v>
      </c>
      <c r="P157" s="916">
        <f>J157*'A. Dades de partida'!$D$10</f>
        <v>0.69661799999999996</v>
      </c>
      <c r="Q157" s="916">
        <f>J157+J157*'4. Agricultura PIB'!$D$71</f>
        <v>6.009491279999999E-2</v>
      </c>
      <c r="R157" s="916">
        <f>(((J157-Q157)*'A. Dades de partida'!$D$10)/2)+('A. Dades de partida'!$D$10*Q157)</f>
        <v>0.7990208459999999</v>
      </c>
      <c r="S157" s="916">
        <f t="shared" si="15"/>
        <v>0.10240284599999994</v>
      </c>
    </row>
    <row r="158" spans="1:19">
      <c r="A158" s="835">
        <v>8155</v>
      </c>
      <c r="B158" s="826" t="s">
        <v>1311</v>
      </c>
      <c r="C158" s="319" t="str">
        <f t="shared" si="12"/>
        <v>Maresme</v>
      </c>
      <c r="D158" s="908">
        <f>IFERROR(IF(VLOOKUP(B158,'BD ASVICC'!$A$6:$GN$316,193,FALSE)&gt;0,VLOOKUP(B158,'BD ASVICC'!$A$6:$GN$316,193,FALSE),(VLOOKUP(C158,'BD Comarcal'!$A$6:$AB$17,9,)/VLOOKUP(C158,'BD Comarcal'!$A$6:$AB$17,13,))),"")</f>
        <v>1.4E-2</v>
      </c>
      <c r="E158" s="910">
        <f>IFERROR(IF(VLOOKUP(B158,'BD ASVICC'!$A$6:$GN$316,192,FALSE)&gt;0,VLOOKUP(B158,'BD ASVICC'!$A$6:$GN$316,192,FALSE),(VLOOKUP(C158,'BD Comarcal'!$A$6:$AB$17,14,)*F158)),"")</f>
        <v>275</v>
      </c>
      <c r="F158" s="904">
        <f t="shared" si="16"/>
        <v>2.0686062445498917E-2</v>
      </c>
      <c r="G158" s="910">
        <f t="shared" si="13"/>
        <v>3.85</v>
      </c>
      <c r="H158" s="910">
        <f>IFERROR(VLOOKUP(B158, base,19,FALSE)*'4. Agricultura PIB'!$K$11/1000000,G158*'4. Agricultura PIB'!$F$54)</f>
        <v>0.11689208666039751</v>
      </c>
      <c r="I158" s="910">
        <f>G158*'4. Agricultura PIB'!$F$45</f>
        <v>1.2670350000000001</v>
      </c>
      <c r="J158" s="952">
        <f>IFERROR((VLOOKUP(B158,base,19,FALSE)*'tecnicecon agric'!$D$65)/1000000,H158/3)</f>
        <v>4.9888799999999997E-2</v>
      </c>
      <c r="K158" s="952">
        <f>IFERROR(VLOOKUP(B158,'cultius resum'!$T$6:$AU$306,22,FALSE)/1000000,0)</f>
        <v>0.28494487499999999</v>
      </c>
      <c r="L158" s="915">
        <f>K158*'A. Dades de partida'!$D$10</f>
        <v>4.2741731249999999</v>
      </c>
      <c r="M158" s="956">
        <f>IFERROR(VLOOKUP(B158,'cultius resum'!$T$6:$AU$308,28,FALSE)/1000000,0)</f>
        <v>4.0583371363755676</v>
      </c>
      <c r="N158" s="955">
        <f>M158*'A. Dades de partida'!$D$10+(((I158-M158)*'A. Dades de partida'!$D$10)/2)</f>
        <v>39.940291022816751</v>
      </c>
      <c r="O158" s="955">
        <f t="shared" si="14"/>
        <v>35.881953886441181</v>
      </c>
      <c r="P158" s="916">
        <f>J158*'A. Dades de partida'!$D$10</f>
        <v>0.748332</v>
      </c>
      <c r="Q158" s="916">
        <f>J158+J158*'4. Agricultura PIB'!$D$71</f>
        <v>6.455610719999999E-2</v>
      </c>
      <c r="R158" s="916">
        <f>(((J158-Q158)*'A. Dades de partida'!$D$10)/2)+('A. Dades de partida'!$D$10*Q158)</f>
        <v>0.8583368039999999</v>
      </c>
      <c r="S158" s="916">
        <f t="shared" si="15"/>
        <v>0.1100048039999999</v>
      </c>
    </row>
    <row r="159" spans="1:19">
      <c r="A159" s="835">
        <v>8156</v>
      </c>
      <c r="B159" s="826" t="s">
        <v>1316</v>
      </c>
      <c r="C159" s="319" t="str">
        <f t="shared" si="12"/>
        <v>Vallès Occidental</v>
      </c>
      <c r="D159" s="908">
        <f>IFERROR(IF(VLOOKUP(B159,'BD ASVICC'!$A$6:$GN$316,193,FALSE)&gt;0,VLOOKUP(B159,'BD ASVICC'!$A$6:$GN$316,193,FALSE),(VLOOKUP(C159,'BD Comarcal'!$A$6:$AB$17,9,)/VLOOKUP(C159,'BD Comarcal'!$A$6:$AB$17,13,))),"")</f>
        <v>1E-3</v>
      </c>
      <c r="E159" s="910">
        <f>IFERROR(IF(VLOOKUP(B159,'BD ASVICC'!$A$6:$GN$316,192,FALSE)&gt;0,VLOOKUP(B159,'BD ASVICC'!$A$6:$GN$316,192,FALSE),(VLOOKUP(C159,'BD Comarcal'!$A$6:$AB$17,14,)*F159)),"")</f>
        <v>749</v>
      </c>
      <c r="F159" s="904">
        <f t="shared" si="16"/>
        <v>1.6028930372467488E-2</v>
      </c>
      <c r="G159" s="910">
        <f t="shared" si="13"/>
        <v>0.749</v>
      </c>
      <c r="H159" s="910">
        <f>IFERROR(VLOOKUP(B159, base,19,FALSE)*'4. Agricultura PIB'!$K$11/1000000,G159*'4. Agricultura PIB'!$F$54)</f>
        <v>0.69802632237448747</v>
      </c>
      <c r="I159" s="910">
        <f>G159*'4. Agricultura PIB'!$F$45</f>
        <v>0.24649589999999999</v>
      </c>
      <c r="J159" s="952">
        <f>IFERROR((VLOOKUP(B159,base,19,FALSE)*'tecnicecon agric'!$D$65)/1000000,H159/3)</f>
        <v>0.29791319999999993</v>
      </c>
      <c r="K159" s="952">
        <f>IFERROR(VLOOKUP(B159,'cultius resum'!$T$6:$AU$306,22,FALSE)/1000000,0)</f>
        <v>0.20083683333333333</v>
      </c>
      <c r="L159" s="915">
        <f>K159*'A. Dades de partida'!$D$10</f>
        <v>3.0125525</v>
      </c>
      <c r="M159" s="956">
        <f>IFERROR(VLOOKUP(B159,'cultius resum'!$T$6:$AU$308,28,FALSE)/1000000,0)</f>
        <v>1.8386448015623666</v>
      </c>
      <c r="N159" s="955">
        <f>M159*'A. Dades de partida'!$D$10+(((I159-M159)*'A. Dades de partida'!$D$10)/2)</f>
        <v>15.63855526171775</v>
      </c>
      <c r="O159" s="955">
        <f t="shared" si="14"/>
        <v>13.799910460155383</v>
      </c>
      <c r="P159" s="916">
        <f>J159*'A. Dades de partida'!$D$10</f>
        <v>4.4686979999999989</v>
      </c>
      <c r="Q159" s="916">
        <f>J159+J159*'4. Agricultura PIB'!$D$71</f>
        <v>0.38549968079999991</v>
      </c>
      <c r="R159" s="916">
        <f>(((J159-Q159)*'A. Dades de partida'!$D$10)/2)+('A. Dades de partida'!$D$10*Q159)</f>
        <v>5.1255966059999993</v>
      </c>
      <c r="S159" s="916">
        <f t="shared" si="15"/>
        <v>0.65689860600000038</v>
      </c>
    </row>
    <row r="160" spans="1:19">
      <c r="A160" s="835">
        <v>8157</v>
      </c>
      <c r="B160" s="826" t="s">
        <v>1320</v>
      </c>
      <c r="C160" s="319" t="str">
        <f t="shared" si="12"/>
        <v>Baix Llobregat</v>
      </c>
      <c r="D160" s="908">
        <f>IFERROR(IF(VLOOKUP(B160,'BD ASVICC'!$A$6:$GN$316,193,FALSE)&gt;0,VLOOKUP(B160,'BD ASVICC'!$A$6:$GN$316,193,FALSE),(VLOOKUP(C160,'BD Comarcal'!$A$6:$AB$17,9,)/VLOOKUP(C160,'BD Comarcal'!$A$6:$AB$17,13,))),"")</f>
        <v>7.8252861716696001E-4</v>
      </c>
      <c r="E160" s="910">
        <f>IFERROR(IF(VLOOKUP(B160,'BD ASVICC'!$A$6:$GN$316,192,FALSE)&gt;0,VLOOKUP(B160,'BD ASVICC'!$A$6:$GN$316,192,FALSE),(VLOOKUP(C160,'BD Comarcal'!$A$6:$AB$17,14,)*F160)),"")</f>
        <v>231</v>
      </c>
      <c r="F160" s="904">
        <f t="shared" si="16"/>
        <v>1.4011900484390955E-2</v>
      </c>
      <c r="G160" s="910">
        <f t="shared" si="13"/>
        <v>0.18076411056556776</v>
      </c>
      <c r="H160" s="910">
        <f>IFERROR(VLOOKUP(B160, base,19,FALSE)*'4. Agricultura PIB'!$K$11/1000000,G160*'4. Agricultura PIB'!$F$54)</f>
        <v>0.11765935956712806</v>
      </c>
      <c r="I160" s="910">
        <f>G160*'4. Agricultura PIB'!$F$45</f>
        <v>5.9489468787128352E-2</v>
      </c>
      <c r="J160" s="952">
        <f>IFERROR((VLOOKUP(B160,base,19,FALSE)*'tecnicecon agric'!$D$65)/1000000,H160/3)</f>
        <v>3.9219786522376017E-2</v>
      </c>
      <c r="K160" s="952">
        <f>IFERROR(VLOOKUP(B160,'cultius resum'!$T$6:$AU$306,22,FALSE)/1000000,0)</f>
        <v>3.388875E-3</v>
      </c>
      <c r="L160" s="915">
        <f>K160*'A. Dades de partida'!$D$10</f>
        <v>5.0833125E-2</v>
      </c>
      <c r="M160" s="956">
        <f>IFERROR(VLOOKUP(B160,'cultius resum'!$T$6:$AU$308,28,FALSE)/1000000,0)</f>
        <v>5.0339259574321948E-2</v>
      </c>
      <c r="N160" s="955">
        <f>M160*'A. Dades de partida'!$D$10+(((I160-M160)*'A. Dades de partida'!$D$10)/2)</f>
        <v>0.82371546271087726</v>
      </c>
      <c r="O160" s="955">
        <f t="shared" si="14"/>
        <v>0.77337620313655531</v>
      </c>
      <c r="P160" s="916">
        <f>J160*'A. Dades de partida'!$D$10</f>
        <v>0.58829679783564026</v>
      </c>
      <c r="Q160" s="916">
        <f>J160+J160*'4. Agricultura PIB'!$D$71</f>
        <v>5.0750403759954564E-2</v>
      </c>
      <c r="R160" s="916">
        <f>(((J160-Q160)*'A. Dades de partida'!$D$10)/2)+('A. Dades de partida'!$D$10*Q160)</f>
        <v>0.67477642711747943</v>
      </c>
      <c r="S160" s="916">
        <f t="shared" si="15"/>
        <v>8.6479629281839165E-2</v>
      </c>
    </row>
    <row r="161" spans="1:19">
      <c r="A161" s="835">
        <v>8158</v>
      </c>
      <c r="B161" s="826" t="s">
        <v>1324</v>
      </c>
      <c r="C161" s="319" t="str">
        <f t="shared" si="12"/>
        <v>Baix Llobregat</v>
      </c>
      <c r="D161" s="908">
        <f>IFERROR(IF(VLOOKUP(B161,'BD ASVICC'!$A$6:$GN$316,193,FALSE)&gt;0,VLOOKUP(B161,'BD ASVICC'!$A$6:$GN$316,193,FALSE),(VLOOKUP(C161,'BD Comarcal'!$A$6:$AB$17,9,)/VLOOKUP(C161,'BD Comarcal'!$A$6:$AB$17,13,))),"")</f>
        <v>7.8252861716696001E-4</v>
      </c>
      <c r="E161" s="910">
        <f>IFERROR(IF(VLOOKUP(B161,'BD ASVICC'!$A$6:$GN$316,192,FALSE)&gt;0,VLOOKUP(B161,'BD ASVICC'!$A$6:$GN$316,192,FALSE),(VLOOKUP(C161,'BD Comarcal'!$A$6:$AB$17,14,)*F161)),"")</f>
        <v>114.37762306407222</v>
      </c>
      <c r="F161" s="904">
        <f t="shared" si="16"/>
        <v>5.0315909828950603E-3</v>
      </c>
      <c r="G161" s="910">
        <f t="shared" si="13"/>
        <v>8.9503763211172233E-2</v>
      </c>
      <c r="H161" s="910">
        <f>IFERROR(VLOOKUP(B161, base,19,FALSE)*'4. Agricultura PIB'!$K$11/1000000,G161*'4. Agricultura PIB'!$F$54)</f>
        <v>9.503421679707115E-3</v>
      </c>
      <c r="I161" s="910">
        <f>G161*'4. Agricultura PIB'!$F$45</f>
        <v>2.9455688472796782E-2</v>
      </c>
      <c r="J161" s="952">
        <f>IFERROR((VLOOKUP(B161,base,19,FALSE)*'tecnicecon agric'!$D$65)/1000000,H161/3)</f>
        <v>4.0559999999999997E-3</v>
      </c>
      <c r="K161" s="952">
        <f>IFERROR(VLOOKUP(B161,'cultius resum'!$T$6:$AU$306,22,FALSE)/1000000,0)</f>
        <v>1.5277875E-2</v>
      </c>
      <c r="L161" s="915">
        <f>K161*'A. Dades de partida'!$D$10</f>
        <v>0.229168125</v>
      </c>
      <c r="M161" s="956">
        <f>IFERROR(VLOOKUP(B161,'cultius resum'!$T$6:$AU$308,28,FALSE)/1000000,0)</f>
        <v>0.20951060129770113</v>
      </c>
      <c r="N161" s="955">
        <f>M161*'A. Dades de partida'!$D$10+(((I161-M161)*'A. Dades de partida'!$D$10)/2)</f>
        <v>1.7922471732787342</v>
      </c>
      <c r="O161" s="955">
        <f t="shared" si="14"/>
        <v>1.5827365719810331</v>
      </c>
      <c r="P161" s="916">
        <f>J161*'A. Dades de partida'!$D$10</f>
        <v>6.0839999999999998E-2</v>
      </c>
      <c r="Q161" s="916">
        <f>J161+J161*'4. Agricultura PIB'!$D$71</f>
        <v>5.2484639999999996E-3</v>
      </c>
      <c r="R161" s="916">
        <f>(((J161-Q161)*'A. Dades de partida'!$D$10)/2)+('A. Dades de partida'!$D$10*Q161)</f>
        <v>6.9783479999999995E-2</v>
      </c>
      <c r="S161" s="916">
        <f t="shared" si="15"/>
        <v>8.9434799999999967E-3</v>
      </c>
    </row>
    <row r="162" spans="1:19">
      <c r="A162" s="835">
        <v>8159</v>
      </c>
      <c r="B162" s="826" t="s">
        <v>1325</v>
      </c>
      <c r="C162" s="319" t="str">
        <f t="shared" si="12"/>
        <v>Vallès Oriental</v>
      </c>
      <c r="D162" s="908">
        <f>IFERROR(IF(VLOOKUP(B162,'BD ASVICC'!$A$6:$GN$316,193,FALSE)&gt;0,VLOOKUP(B162,'BD ASVICC'!$A$6:$GN$316,193,FALSE),(VLOOKUP(C162,'BD Comarcal'!$A$6:$AB$17,9,)/VLOOKUP(C162,'BD Comarcal'!$A$6:$AB$17,13,))),"")</f>
        <v>3.6614258022830064E-3</v>
      </c>
      <c r="E162" s="910">
        <f>IFERROR(IF(VLOOKUP(B162,'BD ASVICC'!$A$6:$GN$316,192,FALSE)&gt;0,VLOOKUP(B162,'BD ASVICC'!$A$6:$GN$316,192,FALSE),(VLOOKUP(C162,'BD Comarcal'!$A$6:$AB$17,14,)*F162)),"")</f>
        <v>1224</v>
      </c>
      <c r="F162" s="904">
        <f t="shared" si="16"/>
        <v>4.6935500749991282E-2</v>
      </c>
      <c r="G162" s="910">
        <f t="shared" si="13"/>
        <v>4.4815851819943999</v>
      </c>
      <c r="H162" s="910">
        <f>IFERROR(VLOOKUP(B162, base,19,FALSE)*'4. Agricultura PIB'!$K$11/1000000,G162*'4. Agricultura PIB'!$F$54)</f>
        <v>8.0779084277510481E-3</v>
      </c>
      <c r="I162" s="910">
        <f>G162*'4. Agricultura PIB'!$F$45</f>
        <v>1.474889683394357</v>
      </c>
      <c r="J162" s="952">
        <f>IFERROR((VLOOKUP(B162,base,19,FALSE)*'tecnicecon agric'!$D$65)/1000000,H162/3)</f>
        <v>3.4475999999999999E-3</v>
      </c>
      <c r="K162" s="952">
        <f>IFERROR(VLOOKUP(B162,'cultius resum'!$T$6:$AU$306,22,FALSE)/1000000,0)</f>
        <v>0.16550100000000001</v>
      </c>
      <c r="L162" s="915">
        <f>K162*'A. Dades de partida'!$D$10</f>
        <v>2.4825150000000002</v>
      </c>
      <c r="M162" s="956">
        <f>IFERROR(VLOOKUP(B162,'cultius resum'!$T$6:$AU$308,28,FALSE)/1000000,0)</f>
        <v>2.2753702029873448</v>
      </c>
      <c r="N162" s="955">
        <f>M162*'A. Dades de partida'!$D$10+(((I162-M162)*'A. Dades de partida'!$D$10)/2)</f>
        <v>28.12694914786276</v>
      </c>
      <c r="O162" s="955">
        <f t="shared" si="14"/>
        <v>25.851578944875413</v>
      </c>
      <c r="P162" s="916">
        <f>J162*'A. Dades de partida'!$D$10</f>
        <v>5.1713999999999996E-2</v>
      </c>
      <c r="Q162" s="916">
        <f>J162+J162*'4. Agricultura PIB'!$D$71</f>
        <v>4.4611944000000001E-3</v>
      </c>
      <c r="R162" s="916">
        <f>(((J162-Q162)*'A. Dades de partida'!$D$10)/2)+('A. Dades de partida'!$D$10*Q162)</f>
        <v>5.9315957999999995E-2</v>
      </c>
      <c r="S162" s="916">
        <f t="shared" si="15"/>
        <v>7.6019579999999989E-3</v>
      </c>
    </row>
    <row r="163" spans="1:19">
      <c r="A163" s="835">
        <v>8160</v>
      </c>
      <c r="B163" s="826" t="s">
        <v>1326</v>
      </c>
      <c r="C163" s="319" t="str">
        <f t="shared" si="12"/>
        <v>Osona</v>
      </c>
      <c r="D163" s="908">
        <f>IFERROR(IF(VLOOKUP(B163,'BD ASVICC'!$A$6:$GN$316,193,FALSE)&gt;0,VLOOKUP(B163,'BD ASVICC'!$A$6:$GN$316,193,FALSE),(VLOOKUP(C163,'BD Comarcal'!$A$6:$AB$17,9,)/VLOOKUP(C163,'BD Comarcal'!$A$6:$AB$17,13,))),"")</f>
        <v>1.8400340353116357E-2</v>
      </c>
      <c r="E163" s="910">
        <f>IFERROR(IF(VLOOKUP(B163,'BD ASVICC'!$A$6:$GN$316,192,FALSE)&gt;0,VLOOKUP(B163,'BD ASVICC'!$A$6:$GN$316,192,FALSE),(VLOOKUP(C163,'BD Comarcal'!$A$6:$AB$17,14,)*F163)),"")</f>
        <v>10.771912285323276</v>
      </c>
      <c r="F163" s="904">
        <f t="shared" si="16"/>
        <v>2.6406923625522838E-3</v>
      </c>
      <c r="G163" s="910">
        <f t="shared" si="13"/>
        <v>0.19820685230386373</v>
      </c>
      <c r="H163" s="910">
        <f>IFERROR(VLOOKUP(B163, base,19,FALSE)*'4. Agricultura PIB'!$K$11/1000000,G163*'4. Agricultura PIB'!$F$54)</f>
        <v>2.1667801429732223</v>
      </c>
      <c r="I163" s="910">
        <f>G163*'4. Agricultura PIB'!$F$45</f>
        <v>6.522987509320155E-2</v>
      </c>
      <c r="J163" s="952">
        <f>IFERROR((VLOOKUP(B163,base,19,FALSE)*'tecnicecon agric'!$D$65)/1000000,H163/3)</f>
        <v>0.92476799999999992</v>
      </c>
      <c r="K163" s="952">
        <f>IFERROR(VLOOKUP(B163,'cultius resum'!$T$6:$AU$306,22,FALSE)/1000000,0)</f>
        <v>0.206361875</v>
      </c>
      <c r="L163" s="915">
        <f>K163*'A. Dades de partida'!$D$10</f>
        <v>3.0954281250000002</v>
      </c>
      <c r="M163" s="956">
        <f>IFERROR(VLOOKUP(B163,'cultius resum'!$T$6:$AU$308,28,FALSE)/1000000,0)</f>
        <v>1.8800427861519184</v>
      </c>
      <c r="N163" s="955">
        <f>M163*'A. Dades de partida'!$D$10+(((I163-M163)*'A. Dades de partida'!$D$10)/2)</f>
        <v>14.589544959338401</v>
      </c>
      <c r="O163" s="955">
        <f t="shared" si="14"/>
        <v>12.709502173186483</v>
      </c>
      <c r="P163" s="916">
        <f>J163*'A. Dades de partida'!$D$10</f>
        <v>13.871519999999999</v>
      </c>
      <c r="Q163" s="916">
        <f>J163+J163*'4. Agricultura PIB'!$D$71</f>
        <v>1.1966497919999999</v>
      </c>
      <c r="R163" s="916">
        <f>(((J163-Q163)*'A. Dades de partida'!$D$10)/2)+('A. Dades de partida'!$D$10*Q163)</f>
        <v>15.91063344</v>
      </c>
      <c r="S163" s="916">
        <f t="shared" si="15"/>
        <v>2.0391134400000013</v>
      </c>
    </row>
    <row r="164" spans="1:19">
      <c r="A164" s="835">
        <v>8161</v>
      </c>
      <c r="B164" s="826" t="s">
        <v>1330</v>
      </c>
      <c r="C164" s="319" t="str">
        <f t="shared" si="12"/>
        <v>Anoia</v>
      </c>
      <c r="D164" s="908">
        <f>IFERROR(IF(VLOOKUP(B164,'BD ASVICC'!$A$6:$GN$316,193,FALSE)&gt;0,VLOOKUP(B164,'BD ASVICC'!$A$6:$GN$316,193,FALSE),(VLOOKUP(C164,'BD Comarcal'!$A$6:$AB$17,9,)/VLOOKUP(C164,'BD Comarcal'!$A$6:$AB$17,13,))),"")</f>
        <v>1.2E-2</v>
      </c>
      <c r="E164" s="910">
        <f>IFERROR(IF(VLOOKUP(B164,'BD ASVICC'!$A$6:$GN$316,192,FALSE)&gt;0,VLOOKUP(B164,'BD ASVICC'!$A$6:$GN$316,192,FALSE),(VLOOKUP(C164,'BD Comarcal'!$A$6:$AB$17,14,)*F164)),"")</f>
        <v>185</v>
      </c>
      <c r="F164" s="904">
        <f t="shared" si="16"/>
        <v>0.12766373910675383</v>
      </c>
      <c r="G164" s="910">
        <f t="shared" si="13"/>
        <v>2.2200000000000002</v>
      </c>
      <c r="H164" s="910">
        <f>IFERROR(VLOOKUP(B164, base,19,FALSE)*'4. Agricultura PIB'!$K$11/1000000,G164*'4. Agricultura PIB'!$F$54)</f>
        <v>0.42242709366298126</v>
      </c>
      <c r="I164" s="910">
        <f>G164*'4. Agricultura PIB'!$F$45</f>
        <v>0.73060200000000008</v>
      </c>
      <c r="J164" s="952">
        <f>IFERROR((VLOOKUP(B164,base,19,FALSE)*'tecnicecon agric'!$D$65)/1000000,H164/3)</f>
        <v>0.18028919999999998</v>
      </c>
      <c r="K164" s="952">
        <f>IFERROR(VLOOKUP(B164,'cultius resum'!$T$6:$AU$306,22,FALSE)/1000000,0)</f>
        <v>0.19673779166666666</v>
      </c>
      <c r="L164" s="915">
        <f>K164*'A. Dades de partida'!$D$10</f>
        <v>2.951066875</v>
      </c>
      <c r="M164" s="956">
        <f>IFERROR(VLOOKUP(B164,'cultius resum'!$T$6:$AU$308,28,FALSE)/1000000,0)</f>
        <v>1.8097134750687416</v>
      </c>
      <c r="N164" s="955">
        <f>M164*'A. Dades de partida'!$D$10+(((I164-M164)*'A. Dades de partida'!$D$10)/2)</f>
        <v>19.052366063015565</v>
      </c>
      <c r="O164" s="955">
        <f t="shared" si="14"/>
        <v>17.242652587946825</v>
      </c>
      <c r="P164" s="916">
        <f>J164*'A. Dades de partida'!$D$10</f>
        <v>2.7043379999999999</v>
      </c>
      <c r="Q164" s="916">
        <f>J164+J164*'4. Agricultura PIB'!$D$71</f>
        <v>0.23329422479999998</v>
      </c>
      <c r="R164" s="916">
        <f>(((J164-Q164)*'A. Dades de partida'!$D$10)/2)+('A. Dades de partida'!$D$10*Q164)</f>
        <v>3.1018756859999996</v>
      </c>
      <c r="S164" s="916">
        <f t="shared" si="15"/>
        <v>0.39753768599999972</v>
      </c>
    </row>
    <row r="165" spans="1:19">
      <c r="A165" s="835">
        <v>8162</v>
      </c>
      <c r="B165" s="826" t="s">
        <v>1334</v>
      </c>
      <c r="C165" s="319" t="str">
        <f t="shared" si="12"/>
        <v>Anoia</v>
      </c>
      <c r="D165" s="908">
        <f>IFERROR(IF(VLOOKUP(B165,'BD ASVICC'!$A$6:$GN$316,193,FALSE)&gt;0,VLOOKUP(B165,'BD ASVICC'!$A$6:$GN$316,193,FALSE),(VLOOKUP(C165,'BD Comarcal'!$A$6:$AB$17,9,)/VLOOKUP(C165,'BD Comarcal'!$A$6:$AB$17,13,))),"")</f>
        <v>1.049736419894568E-2</v>
      </c>
      <c r="E165" s="910">
        <f>IFERROR(IF(VLOOKUP(B165,'BD ASVICC'!$A$6:$GN$316,192,FALSE)&gt;0,VLOOKUP(B165,'BD ASVICC'!$A$6:$GN$316,192,FALSE),(VLOOKUP(C165,'BD Comarcal'!$A$6:$AB$17,14,)*F165)),"")</f>
        <v>58.216607094226575</v>
      </c>
      <c r="F165" s="904">
        <f t="shared" si="16"/>
        <v>2.4603417755991286E-2</v>
      </c>
      <c r="G165" s="910">
        <f t="shared" si="13"/>
        <v>0.61112092709502108</v>
      </c>
      <c r="H165" s="910">
        <f>IFERROR(VLOOKUP(B165, base,19,FALSE)*'4. Agricultura PIB'!$K$11/1000000,G165*'4. Agricultura PIB'!$F$54)</f>
        <v>3.3261975878974897E-3</v>
      </c>
      <c r="I165" s="910">
        <f>G165*'4. Agricultura PIB'!$F$45</f>
        <v>0.20111989710697145</v>
      </c>
      <c r="J165" s="952">
        <f>IFERROR((VLOOKUP(B165,base,19,FALSE)*'tecnicecon agric'!$D$65)/1000000,H165/3)</f>
        <v>1.4195999999999998E-3</v>
      </c>
      <c r="K165" s="952">
        <f>IFERROR(VLOOKUP(B165,'cultius resum'!$T$6:$AU$306,22,FALSE)/1000000,0)</f>
        <v>0.106653625</v>
      </c>
      <c r="L165" s="915">
        <f>K165*'A. Dades de partida'!$D$10</f>
        <v>1.5998043749999999</v>
      </c>
      <c r="M165" s="956">
        <f>IFERROR(VLOOKUP(B165,'cultius resum'!$T$6:$AU$308,28,FALSE)/1000000,0)</f>
        <v>0.93931245229003824</v>
      </c>
      <c r="N165" s="955">
        <f>M165*'A. Dades de partida'!$D$10+(((I165-M165)*'A. Dades de partida'!$D$10)/2)</f>
        <v>8.5532426204775724</v>
      </c>
      <c r="O165" s="955">
        <f t="shared" si="14"/>
        <v>7.613930168187534</v>
      </c>
      <c r="P165" s="916">
        <f>J165*'A. Dades de partida'!$D$10</f>
        <v>2.1293999999999997E-2</v>
      </c>
      <c r="Q165" s="916">
        <f>J165+J165*'4. Agricultura PIB'!$D$71</f>
        <v>1.8369623999999998E-3</v>
      </c>
      <c r="R165" s="916">
        <f>(((J165-Q165)*'A. Dades de partida'!$D$10)/2)+('A. Dades de partida'!$D$10*Q165)</f>
        <v>2.4424217999999998E-2</v>
      </c>
      <c r="S165" s="916">
        <f t="shared" si="15"/>
        <v>3.1302180000000006E-3</v>
      </c>
    </row>
    <row r="166" spans="1:19">
      <c r="A166" s="835">
        <v>8163</v>
      </c>
      <c r="B166" s="826" t="s">
        <v>347</v>
      </c>
      <c r="C166" s="319" t="str">
        <f t="shared" si="12"/>
        <v>Maresme</v>
      </c>
      <c r="D166" s="908">
        <f>IFERROR(IF(VLOOKUP(B166,'BD ASVICC'!$A$6:$GN$316,193,FALSE)&gt;0,VLOOKUP(B166,'BD ASVICC'!$A$6:$GN$316,193,FALSE),(VLOOKUP(C166,'BD Comarcal'!$A$6:$AB$17,9,)/VLOOKUP(C166,'BD Comarcal'!$A$6:$AB$17,13,))),"")</f>
        <v>4.0000000000000001E-3</v>
      </c>
      <c r="E166" s="910">
        <f>IFERROR(IF(VLOOKUP(B166,'BD ASVICC'!$A$6:$GN$316,192,FALSE)&gt;0,VLOOKUP(B166,'BD ASVICC'!$A$6:$GN$316,192,FALSE),(VLOOKUP(C166,'BD Comarcal'!$A$6:$AB$17,14,)*F166)),"")</f>
        <v>459</v>
      </c>
      <c r="F166" s="904">
        <f t="shared" si="16"/>
        <v>5.9433075503108689E-2</v>
      </c>
      <c r="G166" s="910">
        <f t="shared" si="13"/>
        <v>1.8360000000000001</v>
      </c>
      <c r="H166" s="910">
        <f>IFERROR(VLOOKUP(B166, base,19,FALSE)*'4. Agricultura PIB'!$K$11/1000000,G166*'4. Agricultura PIB'!$F$54)</f>
        <v>0</v>
      </c>
      <c r="I166" s="910">
        <f>G166*'4. Agricultura PIB'!$F$45</f>
        <v>0.60422760000000009</v>
      </c>
      <c r="J166" s="952">
        <f>IFERROR((VLOOKUP(B166,base,19,FALSE)*'tecnicecon agric'!$D$65)/1000000,H166/3)</f>
        <v>0</v>
      </c>
      <c r="K166" s="952">
        <f>IFERROR(VLOOKUP(B166,'cultius resum'!$T$6:$AU$306,22,FALSE)/1000000,0)</f>
        <v>0.13329574999999999</v>
      </c>
      <c r="L166" s="915">
        <f>K166*'A. Dades de partida'!$D$10</f>
        <v>1.9994362499999998</v>
      </c>
      <c r="M166" s="956">
        <f>IFERROR(VLOOKUP(B166,'cultius resum'!$T$6:$AU$308,28,FALSE)/1000000,0)</f>
        <v>1.9800108765899966</v>
      </c>
      <c r="N166" s="955">
        <f>M166*'A. Dades de partida'!$D$10+(((I166-M166)*'A. Dades de partida'!$D$10)/2)</f>
        <v>19.381788574424974</v>
      </c>
      <c r="O166" s="955">
        <f t="shared" si="14"/>
        <v>17.401777697834977</v>
      </c>
      <c r="P166" s="916">
        <f>J166*'A. Dades de partida'!$D$10</f>
        <v>0</v>
      </c>
      <c r="Q166" s="916">
        <f>J166+J166*'4. Agricultura PIB'!$D$71</f>
        <v>0</v>
      </c>
      <c r="R166" s="916">
        <f>(((J166-Q166)*'A. Dades de partida'!$D$10)/2)+('A. Dades de partida'!$D$10*Q166)</f>
        <v>0</v>
      </c>
      <c r="S166" s="916">
        <f t="shared" si="15"/>
        <v>0</v>
      </c>
    </row>
    <row r="167" spans="1:19">
      <c r="A167" s="835">
        <v>8164</v>
      </c>
      <c r="B167" s="826" t="s">
        <v>1339</v>
      </c>
      <c r="C167" s="319" t="str">
        <f t="shared" si="12"/>
        <v>Alt Penedès</v>
      </c>
      <c r="D167" s="908">
        <f>IFERROR(IF(VLOOKUP(B167,'BD ASVICC'!$A$6:$GN$316,193,FALSE)&gt;0,VLOOKUP(B167,'BD ASVICC'!$A$6:$GN$316,193,FALSE),(VLOOKUP(C167,'BD Comarcal'!$A$6:$AB$17,9,)/VLOOKUP(C167,'BD Comarcal'!$A$6:$AB$17,13,))),"")</f>
        <v>1.0966842723004694E-2</v>
      </c>
      <c r="E167" s="910">
        <f>IFERROR(IF(VLOOKUP(B167,'BD ASVICC'!$A$6:$GN$316,192,FALSE)&gt;0,VLOOKUP(B167,'BD ASVICC'!$A$6:$GN$316,192,FALSE),(VLOOKUP(C167,'BD Comarcal'!$A$6:$AB$17,14,)*F167)),"")</f>
        <v>34.865881910138789</v>
      </c>
      <c r="F167" s="904">
        <f t="shared" si="16"/>
        <v>1.1790167019524818E-2</v>
      </c>
      <c r="G167" s="910">
        <f t="shared" si="13"/>
        <v>0.38236864330734655</v>
      </c>
      <c r="H167" s="910">
        <f>IFERROR(VLOOKUP(B167, base,19,FALSE)*'4. Agricultura PIB'!$K$11/1000000,G167*'4. Agricultura PIB'!$F$54)</f>
        <v>0.19482014443399587</v>
      </c>
      <c r="I167" s="910">
        <f>G167*'4. Agricultura PIB'!$F$45</f>
        <v>0.12583752051244776</v>
      </c>
      <c r="J167" s="952">
        <f>IFERROR((VLOOKUP(B167,base,19,FALSE)*'tecnicecon agric'!$D$65)/1000000,H167/3)</f>
        <v>8.3148E-2</v>
      </c>
      <c r="K167" s="952">
        <f>IFERROR(VLOOKUP(B167,'cultius resum'!$T$6:$AU$306,22,FALSE)/1000000,0)</f>
        <v>1.5210666666666666E-2</v>
      </c>
      <c r="L167" s="915">
        <f>K167*'A. Dades de partida'!$D$10</f>
        <v>0.22815999999999997</v>
      </c>
      <c r="M167" s="956">
        <f>IFERROR(VLOOKUP(B167,'cultius resum'!$T$6:$AU$308,28,FALSE)/1000000,0)</f>
        <v>0.13297768635655463</v>
      </c>
      <c r="N167" s="955">
        <f>M167*'A. Dades de partida'!$D$10+(((I167-M167)*'A. Dades de partida'!$D$10)/2)</f>
        <v>1.941114051517518</v>
      </c>
      <c r="O167" s="955">
        <f t="shared" si="14"/>
        <v>1.8081363651609634</v>
      </c>
      <c r="P167" s="916">
        <f>J167*'A. Dades de partida'!$D$10</f>
        <v>1.24722</v>
      </c>
      <c r="Q167" s="916">
        <f>J167+J167*'4. Agricultura PIB'!$D$71</f>
        <v>0.107593512</v>
      </c>
      <c r="R167" s="916">
        <f>(((J167-Q167)*'A. Dades de partida'!$D$10)/2)+('A. Dades de partida'!$D$10*Q167)</f>
        <v>1.4305613400000001</v>
      </c>
      <c r="S167" s="916">
        <f t="shared" si="15"/>
        <v>0.18334134000000013</v>
      </c>
    </row>
    <row r="168" spans="1:19">
      <c r="A168" s="835">
        <v>8165</v>
      </c>
      <c r="B168" s="826" t="s">
        <v>1340</v>
      </c>
      <c r="C168" s="319" t="str">
        <f t="shared" si="12"/>
        <v>Anoia</v>
      </c>
      <c r="D168" s="908">
        <f>IFERROR(IF(VLOOKUP(B168,'BD ASVICC'!$A$6:$GN$316,193,FALSE)&gt;0,VLOOKUP(B168,'BD ASVICC'!$A$6:$GN$316,193,FALSE),(VLOOKUP(C168,'BD Comarcal'!$A$6:$AB$17,9,)/VLOOKUP(C168,'BD Comarcal'!$A$6:$AB$17,13,))),"")</f>
        <v>1.049736419894568E-2</v>
      </c>
      <c r="E168" s="910">
        <f>IFERROR(IF(VLOOKUP(B168,'BD ASVICC'!$A$6:$GN$316,192,FALSE)&gt;0,VLOOKUP(B168,'BD ASVICC'!$A$6:$GN$316,192,FALSE),(VLOOKUP(C168,'BD Comarcal'!$A$6:$AB$17,14,)*F168)),"")</f>
        <v>43.476186342592584</v>
      </c>
      <c r="F168" s="904">
        <f t="shared" si="16"/>
        <v>1.8373842592592591E-2</v>
      </c>
      <c r="G168" s="910">
        <f t="shared" si="13"/>
        <v>0.45638536201942248</v>
      </c>
      <c r="H168" s="910">
        <f>IFERROR(VLOOKUP(B168, base,19,FALSE)*'4. Agricultura PIB'!$K$11/1000000,G168*'4. Agricultura PIB'!$F$54)</f>
        <v>2.8510265039121342E-3</v>
      </c>
      <c r="I168" s="910">
        <f>G168*'4. Agricultura PIB'!$F$45</f>
        <v>0.15019642264059194</v>
      </c>
      <c r="J168" s="952">
        <f>IFERROR((VLOOKUP(B168,base,19,FALSE)*'tecnicecon agric'!$D$65)/1000000,H168/3)</f>
        <v>1.2167999999999999E-3</v>
      </c>
      <c r="K168" s="952">
        <f>IFERROR(VLOOKUP(B168,'cultius resum'!$T$6:$AU$306,22,FALSE)/1000000,0)</f>
        <v>6.1496958333333331E-2</v>
      </c>
      <c r="L168" s="915">
        <f>K168*'A. Dades de partida'!$D$10</f>
        <v>0.92245437499999994</v>
      </c>
      <c r="M168" s="956">
        <f>IFERROR(VLOOKUP(B168,'cultius resum'!$T$6:$AU$308,28,FALSE)/1000000,0)</f>
        <v>0.54453494591901674</v>
      </c>
      <c r="N168" s="955">
        <f>M168*'A. Dades de partida'!$D$10+(((I168-M168)*'A. Dades de partida'!$D$10)/2)</f>
        <v>5.2104852641970654</v>
      </c>
      <c r="O168" s="955">
        <f t="shared" si="14"/>
        <v>4.6659503182780488</v>
      </c>
      <c r="P168" s="916">
        <f>J168*'A. Dades de partida'!$D$10</f>
        <v>1.8251999999999997E-2</v>
      </c>
      <c r="Q168" s="916">
        <f>J168+J168*'4. Agricultura PIB'!$D$71</f>
        <v>1.5745391999999999E-3</v>
      </c>
      <c r="R168" s="916">
        <f>(((J168-Q168)*'A. Dades de partida'!$D$10)/2)+('A. Dades de partida'!$D$10*Q168)</f>
        <v>2.0935044E-2</v>
      </c>
      <c r="S168" s="916">
        <f t="shared" si="15"/>
        <v>2.6830440000000025E-3</v>
      </c>
    </row>
    <row r="169" spans="1:19">
      <c r="A169" s="835">
        <v>8166</v>
      </c>
      <c r="B169" s="826" t="s">
        <v>1343</v>
      </c>
      <c r="C169" s="319" t="str">
        <f t="shared" si="12"/>
        <v>Berguedà</v>
      </c>
      <c r="D169" s="908">
        <f>IFERROR(IF(VLOOKUP(B169,'BD ASVICC'!$A$6:$GN$316,193,FALSE)&gt;0,VLOOKUP(B169,'BD ASVICC'!$A$6:$GN$316,193,FALSE),(VLOOKUP(C169,'BD Comarcal'!$A$6:$AB$17,9,)/VLOOKUP(C169,'BD Comarcal'!$A$6:$AB$17,13,))),"")</f>
        <v>4.1611624834874503E-2</v>
      </c>
      <c r="E169" s="910">
        <f>IFERROR(IF(VLOOKUP(B169,'BD ASVICC'!$A$6:$GN$316,192,FALSE)&gt;0,VLOOKUP(B169,'BD ASVICC'!$A$6:$GN$316,192,FALSE),(VLOOKUP(C169,'BD Comarcal'!$A$6:$AB$17,14,)*F169)),"")</f>
        <v>23.263591811731075</v>
      </c>
      <c r="F169" s="904">
        <f t="shared" si="16"/>
        <v>2.8332227270406862E-2</v>
      </c>
      <c r="G169" s="910">
        <f t="shared" si="13"/>
        <v>0.96803585478141196</v>
      </c>
      <c r="H169" s="910">
        <f>IFERROR(VLOOKUP(B169, base,19,FALSE)*'4. Agricultura PIB'!$K$11/1000000,G169*'4. Agricultura PIB'!$F$54)</f>
        <v>0.36920793225662135</v>
      </c>
      <c r="I169" s="910">
        <f>G169*'4. Agricultura PIB'!$F$45</f>
        <v>0.31858059980856268</v>
      </c>
      <c r="J169" s="952">
        <f>IFERROR((VLOOKUP(B169,base,19,FALSE)*'tecnicecon agric'!$D$65)/1000000,H169/3)</f>
        <v>0.15757559999999998</v>
      </c>
      <c r="K169" s="952">
        <f>IFERROR(VLOOKUP(B169,'cultius resum'!$T$6:$AU$306,22,FALSE)/1000000,0)</f>
        <v>4.6951916666666663E-2</v>
      </c>
      <c r="L169" s="915">
        <f>K169*'A. Dades de partida'!$D$10</f>
        <v>0.70427874999999995</v>
      </c>
      <c r="M169" s="956">
        <f>IFERROR(VLOOKUP(B169,'cultius resum'!$T$6:$AU$308,28,FALSE)/1000000,0)</f>
        <v>0.53474650856990225</v>
      </c>
      <c r="N169" s="955">
        <f>M169*'A. Dades de partida'!$D$10+(((I169-M169)*'A. Dades de partida'!$D$10)/2)</f>
        <v>6.3999533128384867</v>
      </c>
      <c r="O169" s="955">
        <f t="shared" si="14"/>
        <v>5.8652068042685848</v>
      </c>
      <c r="P169" s="916">
        <f>J169*'A. Dades de partida'!$D$10</f>
        <v>2.3636339999999998</v>
      </c>
      <c r="Q169" s="916">
        <f>J169+J169*'4. Agricultura PIB'!$D$71</f>
        <v>0.20390282639999996</v>
      </c>
      <c r="R169" s="916">
        <f>(((J169-Q169)*'A. Dades de partida'!$D$10)/2)+('A. Dades de partida'!$D$10*Q169)</f>
        <v>2.7110881979999997</v>
      </c>
      <c r="S169" s="916">
        <f t="shared" si="15"/>
        <v>0.34745419799999988</v>
      </c>
    </row>
    <row r="170" spans="1:19">
      <c r="A170" s="835">
        <v>8167</v>
      </c>
      <c r="B170" s="826" t="s">
        <v>1349</v>
      </c>
      <c r="C170" s="319" t="str">
        <f t="shared" si="12"/>
        <v>Vallès Occidental</v>
      </c>
      <c r="D170" s="908">
        <f>IFERROR(IF(VLOOKUP(B170,'BD ASVICC'!$A$6:$GN$316,193,FALSE)&gt;0,VLOOKUP(B170,'BD ASVICC'!$A$6:$GN$316,193,FALSE),(VLOOKUP(C170,'BD Comarcal'!$A$6:$AB$17,9,)/VLOOKUP(C170,'BD Comarcal'!$A$6:$AB$17,13,))),"")</f>
        <v>3.6775782925402761E-4</v>
      </c>
      <c r="E170" s="910">
        <f>IFERROR(IF(VLOOKUP(B170,'BD ASVICC'!$A$6:$GN$316,192,FALSE)&gt;0,VLOOKUP(B170,'BD ASVICC'!$A$6:$GN$316,192,FALSE),(VLOOKUP(C170,'BD Comarcal'!$A$6:$AB$17,14,)*F170)),"")</f>
        <v>505</v>
      </c>
      <c r="F170" s="904">
        <f t="shared" si="16"/>
        <v>9.178979032115368E-3</v>
      </c>
      <c r="G170" s="910">
        <f t="shared" si="13"/>
        <v>0.18571770377328395</v>
      </c>
      <c r="H170" s="910">
        <f>IFERROR(VLOOKUP(B170, base,19,FALSE)*'4. Agricultura PIB'!$K$11/1000000,G170*'4. Agricultura PIB'!$F$54)</f>
        <v>0.13494858785184102</v>
      </c>
      <c r="I170" s="910">
        <f>G170*'4. Agricultura PIB'!$F$45</f>
        <v>6.111969631178775E-2</v>
      </c>
      <c r="J170" s="952">
        <f>IFERROR((VLOOKUP(B170,base,19,FALSE)*'tecnicecon agric'!$D$65)/1000000,H170/3)</f>
        <v>5.7595199999999999E-2</v>
      </c>
      <c r="K170" s="952">
        <f>IFERROR(VLOOKUP(B170,'cultius resum'!$T$6:$AU$306,22,FALSE)/1000000,0)</f>
        <v>0.127339125</v>
      </c>
      <c r="L170" s="915">
        <f>K170*'A. Dades de partida'!$D$10</f>
        <v>1.910086875</v>
      </c>
      <c r="M170" s="956">
        <f>IFERROR(VLOOKUP(B170,'cultius resum'!$T$6:$AU$308,28,FALSE)/1000000,0)</f>
        <v>1.203002781066961</v>
      </c>
      <c r="N170" s="955">
        <f>M170*'A. Dades de partida'!$D$10+(((I170-M170)*'A. Dades de partida'!$D$10)/2)</f>
        <v>9.4809185803406155</v>
      </c>
      <c r="O170" s="955">
        <f t="shared" si="14"/>
        <v>8.2779157992736536</v>
      </c>
      <c r="P170" s="916">
        <f>J170*'A. Dades de partida'!$D$10</f>
        <v>0.86392800000000003</v>
      </c>
      <c r="Q170" s="916">
        <f>J170+J170*'4. Agricultura PIB'!$D$71</f>
        <v>7.4528188800000006E-2</v>
      </c>
      <c r="R170" s="916">
        <f>(((J170-Q170)*'A. Dades de partida'!$D$10)/2)+('A. Dades de partida'!$D$10*Q170)</f>
        <v>0.99092541600000006</v>
      </c>
      <c r="S170" s="916">
        <f t="shared" si="15"/>
        <v>0.12699741600000003</v>
      </c>
    </row>
    <row r="171" spans="1:19">
      <c r="A171" s="835">
        <v>8168</v>
      </c>
      <c r="B171" s="826" t="s">
        <v>1352</v>
      </c>
      <c r="C171" s="319" t="str">
        <f t="shared" si="12"/>
        <v>Alt Penedès</v>
      </c>
      <c r="D171" s="908">
        <f>IFERROR(IF(VLOOKUP(B171,'BD ASVICC'!$A$6:$GN$316,193,FALSE)&gt;0,VLOOKUP(B171,'BD ASVICC'!$A$6:$GN$316,193,FALSE),(VLOOKUP(C171,'BD Comarcal'!$A$6:$AB$17,9,)/VLOOKUP(C171,'BD Comarcal'!$A$6:$AB$17,13,))),"")</f>
        <v>1.0966842723004694E-2</v>
      </c>
      <c r="E171" s="910">
        <f>IFERROR(IF(VLOOKUP(B171,'BD ASVICC'!$A$6:$GN$316,192,FALSE)&gt;0,VLOOKUP(B171,'BD ASVICC'!$A$6:$GN$316,192,FALSE),(VLOOKUP(C171,'BD Comarcal'!$A$6:$AB$17,14,)*F171)),"")</f>
        <v>12.605143260409315</v>
      </c>
      <c r="F171" s="904">
        <f t="shared" si="16"/>
        <v>4.2625264643613272E-3</v>
      </c>
      <c r="G171" s="910">
        <f t="shared" si="13"/>
        <v>0.13823862363785155</v>
      </c>
      <c r="H171" s="910">
        <f>IFERROR(VLOOKUP(B171, base,19,FALSE)*'4. Agricultura PIB'!$K$11/1000000,G171*'4. Agricultura PIB'!$F$54)</f>
        <v>2.0432356611370293E-2</v>
      </c>
      <c r="I171" s="910">
        <f>G171*'4. Agricultura PIB'!$F$45</f>
        <v>4.5494331039216948E-2</v>
      </c>
      <c r="J171" s="952">
        <f>IFERROR((VLOOKUP(B171,base,19,FALSE)*'tecnicecon agric'!$D$65)/1000000,H171/3)</f>
        <v>8.7203999999999997E-3</v>
      </c>
      <c r="K171" s="952">
        <f>IFERROR(VLOOKUP(B171,'cultius resum'!$T$6:$AU$306,22,FALSE)/1000000,0)</f>
        <v>5.7694291666666661E-2</v>
      </c>
      <c r="L171" s="915">
        <f>K171*'A. Dades de partida'!$D$10</f>
        <v>0.86541437499999996</v>
      </c>
      <c r="M171" s="956">
        <f>IFERROR(VLOOKUP(B171,'cultius resum'!$T$6:$AU$308,28,FALSE)/1000000,0)</f>
        <v>0.5112905243298782</v>
      </c>
      <c r="N171" s="955">
        <f>M171*'A. Dades de partida'!$D$10+(((I171-M171)*'A. Dades de partida'!$D$10)/2)</f>
        <v>4.1758864152682138</v>
      </c>
      <c r="O171" s="955">
        <f t="shared" si="14"/>
        <v>3.6645958909383358</v>
      </c>
      <c r="P171" s="916">
        <f>J171*'A. Dades de partida'!$D$10</f>
        <v>0.13080600000000001</v>
      </c>
      <c r="Q171" s="916">
        <f>J171+J171*'4. Agricultura PIB'!$D$71</f>
        <v>1.12841976E-2</v>
      </c>
      <c r="R171" s="916">
        <f>(((J171-Q171)*'A. Dades de partida'!$D$10)/2)+('A. Dades de partida'!$D$10*Q171)</f>
        <v>0.15003448200000002</v>
      </c>
      <c r="S171" s="916">
        <f t="shared" si="15"/>
        <v>1.9228482000000019E-2</v>
      </c>
    </row>
    <row r="172" spans="1:19">
      <c r="A172" s="835">
        <v>8169</v>
      </c>
      <c r="B172" s="826" t="s">
        <v>348</v>
      </c>
      <c r="C172" s="319" t="str">
        <f t="shared" si="12"/>
        <v>Baix Llobregat</v>
      </c>
      <c r="D172" s="908">
        <f>IFERROR(IF(VLOOKUP(B172,'BD ASVICC'!$A$6:$GN$316,193,FALSE)&gt;0,VLOOKUP(B172,'BD ASVICC'!$A$6:$GN$316,193,FALSE),(VLOOKUP(C172,'BD Comarcal'!$A$6:$AB$17,9,)/VLOOKUP(C172,'BD Comarcal'!$A$6:$AB$17,13,))),"")</f>
        <v>7.8252861716696001E-4</v>
      </c>
      <c r="E172" s="910">
        <f>IFERROR(IF(VLOOKUP(B172,'BD ASVICC'!$A$6:$GN$316,192,FALSE)&gt;0,VLOOKUP(B172,'BD ASVICC'!$A$6:$GN$316,192,FALSE),(VLOOKUP(C172,'BD Comarcal'!$A$6:$AB$17,14,)*F172)),"")</f>
        <v>3801</v>
      </c>
      <c r="F172" s="904">
        <f t="shared" si="16"/>
        <v>7.8353293006520691E-2</v>
      </c>
      <c r="G172" s="910">
        <f t="shared" si="13"/>
        <v>2.9743912738516149</v>
      </c>
      <c r="H172" s="910">
        <f>IFERROR(VLOOKUP(B172, base,19,FALSE)*'4. Agricultura PIB'!$K$11/1000000,G172*'4. Agricultura PIB'!$F$54)</f>
        <v>0.13209756134792888</v>
      </c>
      <c r="I172" s="910">
        <f>G172*'4. Agricultura PIB'!$F$45</f>
        <v>0.97887216822456646</v>
      </c>
      <c r="J172" s="952">
        <f>IFERROR((VLOOKUP(B172,base,19,FALSE)*'tecnicecon agric'!$D$65)/1000000,H172/3)</f>
        <v>5.6378399999999995E-2</v>
      </c>
      <c r="K172" s="952">
        <f>IFERROR(VLOOKUP(B172,'cultius resum'!$T$6:$AU$306,22,FALSE)/1000000,0)</f>
        <v>0.28799283333333331</v>
      </c>
      <c r="L172" s="915">
        <f>K172*'A. Dades de partida'!$D$10</f>
        <v>4.3198924999999999</v>
      </c>
      <c r="M172" s="956">
        <f>IFERROR(VLOOKUP(B172,'cultius resum'!$T$6:$AU$308,28,FALSE)/1000000,0)</f>
        <v>4.2575866731335408</v>
      </c>
      <c r="N172" s="955">
        <f>M172*'A. Dades de partida'!$D$10+(((I172-M172)*'A. Dades de partida'!$D$10)/2)</f>
        <v>39.27344131018581</v>
      </c>
      <c r="O172" s="955">
        <f t="shared" si="14"/>
        <v>35.015854637052271</v>
      </c>
      <c r="P172" s="916">
        <f>J172*'A. Dades de partida'!$D$10</f>
        <v>0.84567599999999987</v>
      </c>
      <c r="Q172" s="916">
        <f>J172+J172*'4. Agricultura PIB'!$D$71</f>
        <v>7.295364959999999E-2</v>
      </c>
      <c r="R172" s="916">
        <f>(((J172-Q172)*'A. Dades de partida'!$D$10)/2)+('A. Dades de partida'!$D$10*Q172)</f>
        <v>0.96999037199999982</v>
      </c>
      <c r="S172" s="916">
        <f t="shared" si="15"/>
        <v>0.12431437199999995</v>
      </c>
    </row>
    <row r="173" spans="1:19">
      <c r="A173" s="835">
        <v>8170</v>
      </c>
      <c r="B173" s="826" t="s">
        <v>1359</v>
      </c>
      <c r="C173" s="319" t="str">
        <f t="shared" si="12"/>
        <v>Anoia</v>
      </c>
      <c r="D173" s="908">
        <f>IFERROR(IF(VLOOKUP(B173,'BD ASVICC'!$A$6:$GN$316,193,FALSE)&gt;0,VLOOKUP(B173,'BD ASVICC'!$A$6:$GN$316,193,FALSE),(VLOOKUP(C173,'BD Comarcal'!$A$6:$AB$17,9,)/VLOOKUP(C173,'BD Comarcal'!$A$6:$AB$17,13,))),"")</f>
        <v>1.049736419894568E-2</v>
      </c>
      <c r="E173" s="910">
        <f>IFERROR(IF(VLOOKUP(B173,'BD ASVICC'!$A$6:$GN$316,192,FALSE)&gt;0,VLOOKUP(B173,'BD ASVICC'!$A$6:$GN$316,192,FALSE),(VLOOKUP(C173,'BD Comarcal'!$A$6:$AB$17,14,)*F173)),"")</f>
        <v>10.77339494825708</v>
      </c>
      <c r="F173" s="904">
        <f t="shared" si="16"/>
        <v>4.5530364923747277E-3</v>
      </c>
      <c r="G173" s="910">
        <f t="shared" si="13"/>
        <v>0.11309225043093611</v>
      </c>
      <c r="H173" s="910">
        <f>IFERROR(VLOOKUP(B173, base,19,FALSE)*'4. Agricultura PIB'!$K$11/1000000,G173*'4. Agricultura PIB'!$F$54)</f>
        <v>2.9166001135021138</v>
      </c>
      <c r="I173" s="910">
        <f>G173*'4. Agricultura PIB'!$F$45</f>
        <v>3.7218659616821075E-2</v>
      </c>
      <c r="J173" s="952">
        <f>IFERROR((VLOOKUP(B173,base,19,FALSE)*'tecnicecon agric'!$D$65)/1000000,H173/3)</f>
        <v>1.2447864</v>
      </c>
      <c r="K173" s="952">
        <f>IFERROR(VLOOKUP(B173,'cultius resum'!$T$6:$AU$306,22,FALSE)/1000000,0)</f>
        <v>0.76623733333333321</v>
      </c>
      <c r="L173" s="915">
        <f>K173*'A. Dades de partida'!$D$10</f>
        <v>11.493559999999999</v>
      </c>
      <c r="M173" s="956">
        <f>IFERROR(VLOOKUP(B173,'cultius resum'!$T$6:$AU$308,28,FALSE)/1000000,0)</f>
        <v>6.6987509502114388</v>
      </c>
      <c r="N173" s="955">
        <f>M173*'A. Dades de partida'!$D$10+(((I173-M173)*'A. Dades de partida'!$D$10)/2)</f>
        <v>50.519772073711955</v>
      </c>
      <c r="O173" s="955">
        <f t="shared" si="14"/>
        <v>43.821021123500515</v>
      </c>
      <c r="P173" s="916">
        <f>J173*'A. Dades de partida'!$D$10</f>
        <v>18.671796000000001</v>
      </c>
      <c r="Q173" s="916">
        <f>J173+J173*'4. Agricultura PIB'!$D$71</f>
        <v>1.6107536015999999</v>
      </c>
      <c r="R173" s="916">
        <f>(((J173-Q173)*'A. Dades de partida'!$D$10)/2)+('A. Dades de partida'!$D$10*Q173)</f>
        <v>21.416550012000002</v>
      </c>
      <c r="S173" s="916">
        <f t="shared" si="15"/>
        <v>2.7447540120000014</v>
      </c>
    </row>
    <row r="174" spans="1:19">
      <c r="A174" s="835">
        <v>8171</v>
      </c>
      <c r="B174" s="826" t="s">
        <v>1363</v>
      </c>
      <c r="C174" s="319" t="str">
        <f t="shared" si="12"/>
        <v>Osona</v>
      </c>
      <c r="D174" s="908">
        <f>IFERROR(IF(VLOOKUP(B174,'BD ASVICC'!$A$6:$GN$316,193,FALSE)&gt;0,VLOOKUP(B174,'BD ASVICC'!$A$6:$GN$316,193,FALSE),(VLOOKUP(C174,'BD Comarcal'!$A$6:$AB$17,9,)/VLOOKUP(C174,'BD Comarcal'!$A$6:$AB$17,13,))),"")</f>
        <v>1.8400340353116357E-2</v>
      </c>
      <c r="E174" s="910">
        <f>IFERROR(IF(VLOOKUP(B174,'BD ASVICC'!$A$6:$GN$316,192,FALSE)&gt;0,VLOOKUP(B174,'BD ASVICC'!$A$6:$GN$316,192,FALSE),(VLOOKUP(C174,'BD Comarcal'!$A$6:$AB$17,14,)*F174)),"")</f>
        <v>67.226167912054024</v>
      </c>
      <c r="F174" s="904">
        <f t="shared" si="16"/>
        <v>1.6480233357534325E-2</v>
      </c>
      <c r="G174" s="910">
        <f t="shared" si="13"/>
        <v>1.2369843702175436</v>
      </c>
      <c r="H174" s="910">
        <f>IFERROR(VLOOKUP(B174, base,19,FALSE)*'4. Agricultura PIB'!$K$11/1000000,G174*'4. Agricultura PIB'!$F$54)</f>
        <v>0.89949886198427842</v>
      </c>
      <c r="I174" s="910">
        <f>G174*'4. Agricultura PIB'!$F$45</f>
        <v>0.40709155623859361</v>
      </c>
      <c r="J174" s="952">
        <f>IFERROR((VLOOKUP(B174,base,19,FALSE)*'tecnicecon agric'!$D$65)/1000000,H174/3)</f>
        <v>0.38390039999999997</v>
      </c>
      <c r="K174" s="952">
        <f>IFERROR(VLOOKUP(B174,'cultius resum'!$T$6:$AU$306,22,FALSE)/1000000,0)</f>
        <v>0.19619524999999999</v>
      </c>
      <c r="L174" s="915">
        <f>K174*'A. Dades de partida'!$D$10</f>
        <v>2.9429287499999996</v>
      </c>
      <c r="M174" s="956">
        <f>IFERROR(VLOOKUP(B174,'cultius resum'!$T$6:$AU$308,28,FALSE)/1000000,0)</f>
        <v>1.7290250074289526</v>
      </c>
      <c r="N174" s="955">
        <f>M174*'A. Dades de partida'!$D$10+(((I174-M174)*'A. Dades de partida'!$D$10)/2)</f>
        <v>16.020874227506596</v>
      </c>
      <c r="O174" s="955">
        <f t="shared" si="14"/>
        <v>14.291849220077644</v>
      </c>
      <c r="P174" s="916">
        <f>J174*'A. Dades de partida'!$D$10</f>
        <v>5.7585059999999997</v>
      </c>
      <c r="Q174" s="916">
        <f>J174+J174*'4. Agricultura PIB'!$D$71</f>
        <v>0.49676711759999997</v>
      </c>
      <c r="R174" s="916">
        <f>(((J174-Q174)*'A. Dades de partida'!$D$10)/2)+('A. Dades de partida'!$D$10*Q174)</f>
        <v>6.6050063819999991</v>
      </c>
      <c r="S174" s="916">
        <f t="shared" si="15"/>
        <v>0.84650038199999944</v>
      </c>
    </row>
    <row r="175" spans="1:19">
      <c r="A175" s="835">
        <v>8172</v>
      </c>
      <c r="B175" s="826" t="s">
        <v>349</v>
      </c>
      <c r="C175" s="319" t="str">
        <f t="shared" si="12"/>
        <v>Maresme</v>
      </c>
      <c r="D175" s="908">
        <f>IFERROR(IF(VLOOKUP(B175,'BD ASVICC'!$A$6:$GN$316,193,FALSE)&gt;0,VLOOKUP(B175,'BD ASVICC'!$A$6:$GN$316,193,FALSE),(VLOOKUP(C175,'BD Comarcal'!$A$6:$AB$17,9,)/VLOOKUP(C175,'BD Comarcal'!$A$6:$AB$17,13,))),"")</f>
        <v>2E-3</v>
      </c>
      <c r="E175" s="910">
        <f>IFERROR(IF(VLOOKUP(B175,'BD ASVICC'!$A$6:$GN$316,192,FALSE)&gt;0,VLOOKUP(B175,'BD ASVICC'!$A$6:$GN$316,192,FALSE),(VLOOKUP(C175,'BD Comarcal'!$A$6:$AB$17,14,)*F175)),"")</f>
        <v>358</v>
      </c>
      <c r="F175" s="904">
        <f t="shared" si="16"/>
        <v>6.3115933001891264E-2</v>
      </c>
      <c r="G175" s="910">
        <f t="shared" si="13"/>
        <v>0.71599999999999997</v>
      </c>
      <c r="H175" s="910">
        <f>IFERROR(VLOOKUP(B175, base,19,FALSE)*'4. Agricultura PIB'!$K$11/1000000,G175*'4. Agricultura PIB'!$F$54)</f>
        <v>0</v>
      </c>
      <c r="I175" s="910">
        <f>G175*'4. Agricultura PIB'!$F$45</f>
        <v>0.2356356</v>
      </c>
      <c r="J175" s="952">
        <f>IFERROR((VLOOKUP(B175,base,19,FALSE)*'tecnicecon agric'!$D$65)/1000000,H175/3)</f>
        <v>0</v>
      </c>
      <c r="K175" s="952">
        <f>IFERROR(VLOOKUP(B175,'cultius resum'!$T$6:$AU$306,22,FALSE)/1000000,0)</f>
        <v>1.1296250000000001E-2</v>
      </c>
      <c r="L175" s="915">
        <f>K175*'A. Dades de partida'!$D$10</f>
        <v>0.16944375</v>
      </c>
      <c r="M175" s="956">
        <f>IFERROR(VLOOKUP(B175,'cultius resum'!$T$6:$AU$308,28,FALSE)/1000000,0)</f>
        <v>0.16779753191440649</v>
      </c>
      <c r="N175" s="955">
        <f>M175*'A. Dades de partida'!$D$10+(((I175-M175)*'A. Dades de partida'!$D$10)/2)</f>
        <v>3.0257484893580489</v>
      </c>
      <c r="O175" s="955">
        <f t="shared" si="14"/>
        <v>2.8579509574436424</v>
      </c>
      <c r="P175" s="916">
        <f>J175*'A. Dades de partida'!$D$10</f>
        <v>0</v>
      </c>
      <c r="Q175" s="916">
        <f>J175+J175*'4. Agricultura PIB'!$D$71</f>
        <v>0</v>
      </c>
      <c r="R175" s="916">
        <f>(((J175-Q175)*'A. Dades de partida'!$D$10)/2)+('A. Dades de partida'!$D$10*Q175)</f>
        <v>0</v>
      </c>
      <c r="S175" s="916">
        <f t="shared" si="15"/>
        <v>0</v>
      </c>
    </row>
    <row r="176" spans="1:19">
      <c r="A176" s="835">
        <v>8174</v>
      </c>
      <c r="B176" s="826" t="s">
        <v>1365</v>
      </c>
      <c r="C176" s="319" t="str">
        <f t="shared" si="12"/>
        <v>Alt Penedès</v>
      </c>
      <c r="D176" s="908">
        <f>IFERROR(IF(VLOOKUP(B176,'BD ASVICC'!$A$6:$GN$316,193,FALSE)&gt;0,VLOOKUP(B176,'BD ASVICC'!$A$6:$GN$316,193,FALSE),(VLOOKUP(C176,'BD Comarcal'!$A$6:$AB$17,9,)/VLOOKUP(C176,'BD Comarcal'!$A$6:$AB$17,13,))),"")</f>
        <v>1.0966842723004694E-2</v>
      </c>
      <c r="E176" s="910">
        <f>IFERROR(IF(VLOOKUP(B176,'BD ASVICC'!$A$6:$GN$316,192,FALSE)&gt;0,VLOOKUP(B176,'BD ASVICC'!$A$6:$GN$316,192,FALSE),(VLOOKUP(C176,'BD Comarcal'!$A$6:$AB$17,14,)*F176)),"")</f>
        <v>14.246872735826862</v>
      </c>
      <c r="F176" s="904">
        <f t="shared" si="16"/>
        <v>4.817689955304634E-3</v>
      </c>
      <c r="G176" s="910">
        <f t="shared" si="13"/>
        <v>0.15624321258847679</v>
      </c>
      <c r="H176" s="910">
        <f>IFERROR(VLOOKUP(B176, base,19,FALSE)*'4. Agricultura PIB'!$K$11/1000000,G176*'4. Agricultura PIB'!$F$54)</f>
        <v>0</v>
      </c>
      <c r="I176" s="910">
        <f>G176*'4. Agricultura PIB'!$F$45</f>
        <v>5.1419641262867709E-2</v>
      </c>
      <c r="J176" s="952">
        <f>IFERROR((VLOOKUP(B176,base,19,FALSE)*'tecnicecon agric'!$D$65)/1000000,H176/3)</f>
        <v>0</v>
      </c>
      <c r="K176" s="952">
        <f>IFERROR(VLOOKUP(B176,'cultius resum'!$T$6:$AU$306,22,FALSE)/1000000,0)</f>
        <v>4.753333333333333E-4</v>
      </c>
      <c r="L176" s="915">
        <f>K176*'A. Dades de partida'!$D$10</f>
        <v>7.1299999999999992E-3</v>
      </c>
      <c r="M176" s="956">
        <f>IFERROR(VLOOKUP(B176,'cultius resum'!$T$6:$AU$308,28,FALSE)/1000000,0)</f>
        <v>4.1555526986423322E-3</v>
      </c>
      <c r="N176" s="955">
        <f>M176*'A. Dades de partida'!$D$10+(((I176-M176)*'A. Dades de partida'!$D$10)/2)</f>
        <v>0.41681395471132532</v>
      </c>
      <c r="O176" s="955">
        <f t="shared" si="14"/>
        <v>0.412658402012683</v>
      </c>
      <c r="P176" s="916">
        <f>J176*'A. Dades de partida'!$D$10</f>
        <v>0</v>
      </c>
      <c r="Q176" s="916">
        <f>J176+J176*'4. Agricultura PIB'!$D$71</f>
        <v>0</v>
      </c>
      <c r="R176" s="916">
        <f>(((J176-Q176)*'A. Dades de partida'!$D$10)/2)+('A. Dades de partida'!$D$10*Q176)</f>
        <v>0</v>
      </c>
      <c r="S176" s="916">
        <f t="shared" si="15"/>
        <v>0</v>
      </c>
    </row>
    <row r="177" spans="1:19">
      <c r="A177" s="835">
        <v>8175</v>
      </c>
      <c r="B177" s="826" t="s">
        <v>1366</v>
      </c>
      <c r="C177" s="319" t="str">
        <f t="shared" si="12"/>
        <v>Berguedà</v>
      </c>
      <c r="D177" s="908">
        <f>IFERROR(IF(VLOOKUP(B177,'BD ASVICC'!$A$6:$GN$316,193,FALSE)&gt;0,VLOOKUP(B177,'BD ASVICC'!$A$6:$GN$316,193,FALSE),(VLOOKUP(C177,'BD Comarcal'!$A$6:$AB$17,9,)/VLOOKUP(C177,'BD Comarcal'!$A$6:$AB$17,13,))),"")</f>
        <v>4.1611624834874503E-2</v>
      </c>
      <c r="E177" s="910">
        <f>IFERROR(IF(VLOOKUP(B177,'BD ASVICC'!$A$6:$GN$316,192,FALSE)&gt;0,VLOOKUP(B177,'BD ASVICC'!$A$6:$GN$316,192,FALSE),(VLOOKUP(C177,'BD Comarcal'!$A$6:$AB$17,14,)*F177)),"")</f>
        <v>86.410620756547047</v>
      </c>
      <c r="F177" s="904">
        <f t="shared" si="16"/>
        <v>0.1052376333656644</v>
      </c>
      <c r="G177" s="910">
        <f t="shared" si="13"/>
        <v>3.5956863326700552</v>
      </c>
      <c r="H177" s="910">
        <f>IFERROR(VLOOKUP(B177, base,19,FALSE)*'4. Agricultura PIB'!$K$11/1000000,G177*'4. Agricultura PIB'!$F$54)</f>
        <v>3.0111591592151994</v>
      </c>
      <c r="I177" s="910">
        <f>G177*'4. Agricultura PIB'!$F$45</f>
        <v>1.1833403720817153</v>
      </c>
      <c r="J177" s="952">
        <f>IFERROR((VLOOKUP(B177,base,19,FALSE)*'tecnicecon agric'!$D$65)/1000000,H177/3)</f>
        <v>1.2851435999999998</v>
      </c>
      <c r="K177" s="952">
        <f>IFERROR(VLOOKUP(B177,'cultius resum'!$T$6:$AU$306,22,FALSE)/1000000,0)</f>
        <v>0.31657200000000002</v>
      </c>
      <c r="L177" s="915">
        <f>K177*'A. Dades de partida'!$D$10</f>
        <v>4.7485800000000005</v>
      </c>
      <c r="M177" s="956">
        <f>IFERROR(VLOOKUP(B177,'cultius resum'!$T$6:$AU$308,28,FALSE)/1000000,0)</f>
        <v>2.7675980972957928</v>
      </c>
      <c r="N177" s="955">
        <f>M177*'A. Dades de partida'!$D$10+(((I177-M177)*'A. Dades de partida'!$D$10)/2)</f>
        <v>29.632038520331307</v>
      </c>
      <c r="O177" s="955">
        <f t="shared" si="14"/>
        <v>26.864440423035514</v>
      </c>
      <c r="P177" s="916">
        <f>J177*'A. Dades de partida'!$D$10</f>
        <v>19.277153999999996</v>
      </c>
      <c r="Q177" s="916">
        <f>J177+J177*'4. Agricultura PIB'!$D$71</f>
        <v>1.6629758183999996</v>
      </c>
      <c r="R177" s="916">
        <f>(((J177-Q177)*'A. Dades de partida'!$D$10)/2)+('A. Dades de partida'!$D$10*Q177)</f>
        <v>22.110895637999995</v>
      </c>
      <c r="S177" s="916">
        <f t="shared" si="15"/>
        <v>2.8337416379999993</v>
      </c>
    </row>
    <row r="178" spans="1:19">
      <c r="A178" s="835">
        <v>8176</v>
      </c>
      <c r="B178" s="826" t="s">
        <v>1368</v>
      </c>
      <c r="C178" s="319" t="str">
        <f t="shared" si="12"/>
        <v>Anoia</v>
      </c>
      <c r="D178" s="908">
        <f>IFERROR(IF(VLOOKUP(B178,'BD ASVICC'!$A$6:$GN$316,193,FALSE)&gt;0,VLOOKUP(B178,'BD ASVICC'!$A$6:$GN$316,193,FALSE),(VLOOKUP(C178,'BD Comarcal'!$A$6:$AB$17,9,)/VLOOKUP(C178,'BD Comarcal'!$A$6:$AB$17,13,))),"")</f>
        <v>1.049736419894568E-2</v>
      </c>
      <c r="E178" s="910">
        <f>IFERROR(IF(VLOOKUP(B178,'BD ASVICC'!$A$6:$GN$316,192,FALSE)&gt;0,VLOOKUP(B178,'BD ASVICC'!$A$6:$GN$316,192,FALSE),(VLOOKUP(C178,'BD Comarcal'!$A$6:$AB$17,14,)*F178)),"")</f>
        <v>3.9871629901960781</v>
      </c>
      <c r="F178" s="904">
        <f t="shared" si="16"/>
        <v>1.6850490196078432E-3</v>
      </c>
      <c r="G178" s="910">
        <f t="shared" si="13"/>
        <v>4.1854702028645517E-2</v>
      </c>
      <c r="H178" s="910">
        <f>IFERROR(VLOOKUP(B178, base,19,FALSE)*'4. Agricultura PIB'!$K$11/1000000,G178*'4. Agricultura PIB'!$F$54)</f>
        <v>2.520782600542312</v>
      </c>
      <c r="I178" s="910">
        <f>G178*'4. Agricultura PIB'!$F$45</f>
        <v>1.377438243762724E-2</v>
      </c>
      <c r="J178" s="952">
        <f>IFERROR((VLOOKUP(B178,base,19,FALSE)*'tecnicecon agric'!$D$65)/1000000,H178/3)</f>
        <v>1.0758540000000001</v>
      </c>
      <c r="K178" s="952">
        <f>IFERROR(VLOOKUP(B178,'cultius resum'!$T$6:$AU$306,22,FALSE)/1000000,0)</f>
        <v>0.93403000000000003</v>
      </c>
      <c r="L178" s="915">
        <f>K178*'A. Dades de partida'!$D$10</f>
        <v>14.010450000000001</v>
      </c>
      <c r="M178" s="956">
        <f>IFERROR(VLOOKUP(B178,'cultius resum'!$T$6:$AU$308,28,FALSE)/1000000,0)</f>
        <v>8.1656610528321814</v>
      </c>
      <c r="N178" s="955">
        <f>M178*'A. Dades de partida'!$D$10+(((I178-M178)*'A. Dades de partida'!$D$10)/2)</f>
        <v>61.345765764523577</v>
      </c>
      <c r="O178" s="955">
        <f t="shared" si="14"/>
        <v>53.180104711691399</v>
      </c>
      <c r="P178" s="916">
        <f>J178*'A. Dades de partida'!$D$10</f>
        <v>16.137810000000002</v>
      </c>
      <c r="Q178" s="916">
        <f>J178+J178*'4. Agricultura PIB'!$D$71</f>
        <v>1.3921550760000001</v>
      </c>
      <c r="R178" s="916">
        <f>(((J178-Q178)*'A. Dades de partida'!$D$10)/2)+('A. Dades de partida'!$D$10*Q178)</f>
        <v>18.510068069999999</v>
      </c>
      <c r="S178" s="916">
        <f t="shared" si="15"/>
        <v>2.3722580699999973</v>
      </c>
    </row>
    <row r="179" spans="1:19">
      <c r="A179" s="835">
        <v>8177</v>
      </c>
      <c r="B179" s="826" t="s">
        <v>1372</v>
      </c>
      <c r="C179" s="319" t="str">
        <f t="shared" si="12"/>
        <v>Berguedà</v>
      </c>
      <c r="D179" s="908">
        <f>IFERROR(IF(VLOOKUP(B179,'BD ASVICC'!$A$6:$GN$316,193,FALSE)&gt;0,VLOOKUP(B179,'BD ASVICC'!$A$6:$GN$316,193,FALSE),(VLOOKUP(C179,'BD Comarcal'!$A$6:$AB$17,9,)/VLOOKUP(C179,'BD Comarcal'!$A$6:$AB$17,13,))),"")</f>
        <v>4.1611624834874503E-2</v>
      </c>
      <c r="E179" s="910">
        <f>IFERROR(IF(VLOOKUP(B179,'BD ASVICC'!$A$6:$GN$316,192,FALSE)&gt;0,VLOOKUP(B179,'BD ASVICC'!$A$6:$GN$316,192,FALSE),(VLOOKUP(C179,'BD Comarcal'!$A$6:$AB$17,14,)*F179)),"")</f>
        <v>1.1317423043544848</v>
      </c>
      <c r="F179" s="904">
        <f t="shared" si="16"/>
        <v>1.3783245699116851E-3</v>
      </c>
      <c r="G179" s="910">
        <f t="shared" si="13"/>
        <v>4.7093636178555179E-2</v>
      </c>
      <c r="H179" s="910">
        <f>IFERROR(VLOOKUP(B179, base,19,FALSE)*'4. Agricultura PIB'!$K$11/1000000,G179*'4. Agricultura PIB'!$F$54)</f>
        <v>1.2078848954907742</v>
      </c>
      <c r="I179" s="910">
        <f>G179*'4. Agricultura PIB'!$F$45</f>
        <v>1.5498515666362509E-2</v>
      </c>
      <c r="J179" s="952">
        <f>IFERROR((VLOOKUP(B179,base,19,FALSE)*'tecnicecon agric'!$D$65)/1000000,H179/3)</f>
        <v>0.51551760000000002</v>
      </c>
      <c r="K179" s="952">
        <f>IFERROR(VLOOKUP(B179,'cultius resum'!$T$6:$AU$306,22,FALSE)/1000000,0)</f>
        <v>4.1354000000000002E-2</v>
      </c>
      <c r="L179" s="915">
        <f>K179*'A. Dades de partida'!$D$10</f>
        <v>0.62031000000000003</v>
      </c>
      <c r="M179" s="956">
        <f>IFERROR(VLOOKUP(B179,'cultius resum'!$T$6:$AU$308,28,FALSE)/1000000,0)</f>
        <v>0.3615330847818829</v>
      </c>
      <c r="N179" s="955">
        <f>M179*'A. Dades de partida'!$D$10+(((I179-M179)*'A. Dades de partida'!$D$10)/2)</f>
        <v>2.827737003361841</v>
      </c>
      <c r="O179" s="955">
        <f t="shared" si="14"/>
        <v>2.466203918579958</v>
      </c>
      <c r="P179" s="916">
        <f>J179*'A. Dades de partida'!$D$10</f>
        <v>7.7327640000000004</v>
      </c>
      <c r="Q179" s="916">
        <f>J179+J179*'4. Agricultura PIB'!$D$71</f>
        <v>0.66707977439999999</v>
      </c>
      <c r="R179" s="916">
        <f>(((J179-Q179)*'A. Dades de partida'!$D$10)/2)+('A. Dades de partida'!$D$10*Q179)</f>
        <v>8.869480308</v>
      </c>
      <c r="S179" s="916">
        <f t="shared" si="15"/>
        <v>1.1367163079999996</v>
      </c>
    </row>
    <row r="180" spans="1:19">
      <c r="A180" s="835">
        <v>8178</v>
      </c>
      <c r="B180" s="826" t="s">
        <v>1375</v>
      </c>
      <c r="C180" s="319" t="str">
        <f t="shared" si="12"/>
        <v>Bages</v>
      </c>
      <c r="D180" s="908">
        <f>IFERROR(IF(VLOOKUP(B180,'BD ASVICC'!$A$6:$GN$316,193,FALSE)&gt;0,VLOOKUP(B180,'BD ASVICC'!$A$6:$GN$316,193,FALSE),(VLOOKUP(C180,'BD Comarcal'!$A$6:$AB$17,9,)/VLOOKUP(C180,'BD Comarcal'!$A$6:$AB$17,13,))),"")</f>
        <v>9.2529216416964537E-3</v>
      </c>
      <c r="E180" s="910">
        <f>IFERROR(IF(VLOOKUP(B180,'BD ASVICC'!$A$6:$GN$316,192,FALSE)&gt;0,VLOOKUP(B180,'BD ASVICC'!$A$6:$GN$316,192,FALSE),(VLOOKUP(C180,'BD Comarcal'!$A$6:$AB$17,14,)*F180)),"")</f>
        <v>13.077956314047976</v>
      </c>
      <c r="F180" s="904">
        <f t="shared" si="16"/>
        <v>3.0565256535975823E-3</v>
      </c>
      <c r="G180" s="910">
        <f t="shared" si="13"/>
        <v>0.1210093050074153</v>
      </c>
      <c r="H180" s="910">
        <f>IFERROR(VLOOKUP(B180, base,19,FALSE)*'4. Agricultura PIB'!$K$11/1000000,G180*'4. Agricultura PIB'!$F$54)</f>
        <v>0.89237129572449803</v>
      </c>
      <c r="I180" s="910">
        <f>G180*'4. Agricultura PIB'!$F$45</f>
        <v>3.9824162277940375E-2</v>
      </c>
      <c r="J180" s="952">
        <f>IFERROR((VLOOKUP(B180,base,19,FALSE)*'tecnicecon agric'!$D$65)/1000000,H180/3)</f>
        <v>0.38085839999999999</v>
      </c>
      <c r="K180" s="952">
        <f>IFERROR(VLOOKUP(B180,'cultius resum'!$T$6:$AU$306,22,FALSE)/1000000,0)</f>
        <v>0.3794949583333333</v>
      </c>
      <c r="L180" s="915">
        <f>K180*'A. Dades de partida'!$D$10</f>
        <v>5.6924243749999999</v>
      </c>
      <c r="M180" s="956">
        <f>IFERROR(VLOOKUP(B180,'cultius resum'!$T$6:$AU$308,28,FALSE)/1000000,0)</f>
        <v>3.3245997013107367</v>
      </c>
      <c r="N180" s="955">
        <f>M180*'A. Dades de partida'!$D$10+(((I180-M180)*'A. Dades de partida'!$D$10)/2)</f>
        <v>25.233178976915074</v>
      </c>
      <c r="O180" s="955">
        <f t="shared" si="14"/>
        <v>21.908579275604339</v>
      </c>
      <c r="P180" s="916">
        <f>J180*'A. Dades de partida'!$D$10</f>
        <v>5.7128759999999996</v>
      </c>
      <c r="Q180" s="916">
        <f>J180+J180*'4. Agricultura PIB'!$D$71</f>
        <v>0.4928307696</v>
      </c>
      <c r="R180" s="916">
        <f>(((J180-Q180)*'A. Dades de partida'!$D$10)/2)+('A. Dades de partida'!$D$10*Q180)</f>
        <v>6.5526687719999996</v>
      </c>
      <c r="S180" s="916">
        <f t="shared" si="15"/>
        <v>0.83979277200000002</v>
      </c>
    </row>
    <row r="181" spans="1:19">
      <c r="A181" s="835">
        <v>8179</v>
      </c>
      <c r="B181" s="826" t="s">
        <v>1377</v>
      </c>
      <c r="C181" s="319" t="str">
        <f t="shared" si="12"/>
        <v>Vallès Occidental</v>
      </c>
      <c r="D181" s="908">
        <f>IFERROR(IF(VLOOKUP(B181,'BD ASVICC'!$A$6:$GN$316,193,FALSE)&gt;0,VLOOKUP(B181,'BD ASVICC'!$A$6:$GN$316,193,FALSE),(VLOOKUP(C181,'BD Comarcal'!$A$6:$AB$17,9,)/VLOOKUP(C181,'BD Comarcal'!$A$6:$AB$17,13,))),"")</f>
        <v>3.6775782925402761E-4</v>
      </c>
      <c r="E181" s="910">
        <f>IFERROR(IF(VLOOKUP(B181,'BD ASVICC'!$A$6:$GN$316,192,FALSE)&gt;0,VLOOKUP(B181,'BD ASVICC'!$A$6:$GN$316,192,FALSE),(VLOOKUP(C181,'BD Comarcal'!$A$6:$AB$17,14,)*F181)),"")</f>
        <v>19.573307639564721</v>
      </c>
      <c r="F181" s="904">
        <f t="shared" si="16"/>
        <v>7.9956648677342304E-4</v>
      </c>
      <c r="G181" s="910">
        <f t="shared" si="13"/>
        <v>7.1982371288475972E-3</v>
      </c>
      <c r="H181" s="910">
        <f>IFERROR(VLOOKUP(B181, base,19,FALSE)*'4. Agricultura PIB'!$K$11/1000000,G181*'4. Agricultura PIB'!$F$54)</f>
        <v>4.6853325471669016E-3</v>
      </c>
      <c r="I181" s="910">
        <f>G181*'4. Agricultura PIB'!$F$45</f>
        <v>2.3689398391037444E-3</v>
      </c>
      <c r="J181" s="952">
        <f>IFERROR((VLOOKUP(B181,base,19,FALSE)*'tecnicecon agric'!$D$65)/1000000,H181/3)</f>
        <v>1.5617775157223005E-3</v>
      </c>
      <c r="K181" s="952">
        <f>IFERROR(VLOOKUP(B181,'cultius resum'!$T$6:$AU$306,22,FALSE)/1000000,0)</f>
        <v>2.0802916666666665E-3</v>
      </c>
      <c r="L181" s="915">
        <f>K181*'A. Dades de partida'!$D$10</f>
        <v>3.1204374999999996E-2</v>
      </c>
      <c r="M181" s="956">
        <f>IFERROR(VLOOKUP(B181,'cultius resum'!$T$6:$AU$308,28,FALSE)/1000000,0)</f>
        <v>2.5090858588725312E-2</v>
      </c>
      <c r="N181" s="955">
        <f>M181*'A. Dades de partida'!$D$10+(((I181-M181)*'A. Dades de partida'!$D$10)/2)</f>
        <v>0.20594848820871797</v>
      </c>
      <c r="O181" s="955">
        <f t="shared" si="14"/>
        <v>0.18085762961999266</v>
      </c>
      <c r="P181" s="916">
        <f>J181*'A. Dades de partida'!$D$10</f>
        <v>2.3426662735834505E-2</v>
      </c>
      <c r="Q181" s="916">
        <f>J181+J181*'4. Agricultura PIB'!$D$71</f>
        <v>2.0209401053446568E-3</v>
      </c>
      <c r="R181" s="916">
        <f>(((J181-Q181)*'A. Dades de partida'!$D$10)/2)+('A. Dades de partida'!$D$10*Q181)</f>
        <v>2.6870382158002179E-2</v>
      </c>
      <c r="S181" s="916">
        <f t="shared" si="15"/>
        <v>3.4437194221676737E-3</v>
      </c>
    </row>
    <row r="182" spans="1:19">
      <c r="A182" s="835">
        <v>8180</v>
      </c>
      <c r="B182" s="826" t="s">
        <v>1383</v>
      </c>
      <c r="C182" s="319" t="str">
        <f t="shared" si="12"/>
        <v>Vallès Occidental</v>
      </c>
      <c r="D182" s="908">
        <f>IFERROR(IF(VLOOKUP(B182,'BD ASVICC'!$A$6:$GN$316,193,FALSE)&gt;0,VLOOKUP(B182,'BD ASVICC'!$A$6:$GN$316,193,FALSE),(VLOOKUP(C182,'BD Comarcal'!$A$6:$AB$17,9,)/VLOOKUP(C182,'BD Comarcal'!$A$6:$AB$17,13,))),"")</f>
        <v>3.6775782925402761E-4</v>
      </c>
      <c r="E182" s="910">
        <f>IFERROR(IF(VLOOKUP(B182,'BD ASVICC'!$A$6:$GN$316,192,FALSE)&gt;0,VLOOKUP(B182,'BD ASVICC'!$A$6:$GN$316,192,FALSE),(VLOOKUP(C182,'BD Comarcal'!$A$6:$AB$17,14,)*F182)),"")</f>
        <v>596</v>
      </c>
      <c r="F182" s="904">
        <f t="shared" si="16"/>
        <v>4.1634964168804744E-2</v>
      </c>
      <c r="G182" s="910">
        <f t="shared" si="13"/>
        <v>0.21918366623540045</v>
      </c>
      <c r="H182" s="910">
        <f>IFERROR(VLOOKUP(B182, base,19,FALSE)*'4. Agricultura PIB'!$K$11/1000000,G182*'4. Agricultura PIB'!$F$54)</f>
        <v>0.14266664835262216</v>
      </c>
      <c r="I182" s="910">
        <f>G182*'4. Agricultura PIB'!$F$45</f>
        <v>7.2133344558070286E-2</v>
      </c>
      <c r="J182" s="952">
        <f>IFERROR((VLOOKUP(B182,base,19,FALSE)*'tecnicecon agric'!$D$65)/1000000,H182/3)</f>
        <v>4.7555549450874056E-2</v>
      </c>
      <c r="K182" s="952">
        <f>IFERROR(VLOOKUP(B182,'cultius resum'!$T$6:$AU$306,22,FALSE)/1000000,0)</f>
        <v>2.3766666666666667E-3</v>
      </c>
      <c r="L182" s="915">
        <f>K182*'A. Dades de partida'!$D$10</f>
        <v>3.5650000000000001E-2</v>
      </c>
      <c r="M182" s="956">
        <f>IFERROR(VLOOKUP(B182,'cultius resum'!$T$6:$AU$308,28,FALSE)/1000000,0)</f>
        <v>2.0777763493211657E-2</v>
      </c>
      <c r="N182" s="955">
        <f>M182*'A. Dades de partida'!$D$10+(((I182-M182)*'A. Dades de partida'!$D$10)/2)</f>
        <v>0.6968333103846146</v>
      </c>
      <c r="O182" s="955">
        <f t="shared" si="14"/>
        <v>0.6760555468914029</v>
      </c>
      <c r="P182" s="916">
        <f>J182*'A. Dades de partida'!$D$10</f>
        <v>0.71333324176311086</v>
      </c>
      <c r="Q182" s="916">
        <f>J182+J182*'4. Agricultura PIB'!$D$71</f>
        <v>6.1536880989431025E-2</v>
      </c>
      <c r="R182" s="916">
        <f>(((J182-Q182)*'A. Dades de partida'!$D$10)/2)+('A. Dades de partida'!$D$10*Q182)</f>
        <v>0.81819322830228813</v>
      </c>
      <c r="S182" s="916">
        <f t="shared" si="15"/>
        <v>0.10485998653917727</v>
      </c>
    </row>
    <row r="183" spans="1:19">
      <c r="A183" s="835">
        <v>8181</v>
      </c>
      <c r="B183" s="826" t="s">
        <v>1384</v>
      </c>
      <c r="C183" s="319" t="str">
        <f t="shared" si="12"/>
        <v>Vallès Oriental</v>
      </c>
      <c r="D183" s="908">
        <f>IFERROR(IF(VLOOKUP(B183,'BD ASVICC'!$A$6:$GN$316,193,FALSE)&gt;0,VLOOKUP(B183,'BD ASVICC'!$A$6:$GN$316,193,FALSE),(VLOOKUP(C183,'BD Comarcal'!$A$6:$AB$17,9,)/VLOOKUP(C183,'BD Comarcal'!$A$6:$AB$17,13,))),"")</f>
        <v>2.1999999999999999E-2</v>
      </c>
      <c r="E183" s="910">
        <f>IFERROR(IF(VLOOKUP(B183,'BD ASVICC'!$A$6:$GN$316,192,FALSE)&gt;0,VLOOKUP(B183,'BD ASVICC'!$A$6:$GN$316,192,FALSE),(VLOOKUP(C183,'BD Comarcal'!$A$6:$AB$17,14,)*F183)),"")</f>
        <v>398</v>
      </c>
      <c r="F183" s="904">
        <f t="shared" si="16"/>
        <v>2.6409161355266633E-2</v>
      </c>
      <c r="G183" s="910">
        <f t="shared" si="13"/>
        <v>8.7560000000000002</v>
      </c>
      <c r="H183" s="910">
        <f>IFERROR(VLOOKUP(B183, base,19,FALSE)*'4. Agricultura PIB'!$K$11/1000000,G183*'4. Agricultura PIB'!$F$54)</f>
        <v>0.96174627398635992</v>
      </c>
      <c r="I183" s="910">
        <f>G183*'4. Agricultura PIB'!$F$45</f>
        <v>2.8815995999999999</v>
      </c>
      <c r="J183" s="952">
        <f>IFERROR((VLOOKUP(B183,base,19,FALSE)*'tecnicecon agric'!$D$65)/1000000,H183/3)</f>
        <v>0.41046719999999998</v>
      </c>
      <c r="K183" s="952">
        <f>IFERROR(VLOOKUP(B183,'cultius resum'!$T$6:$AU$306,22,FALSE)/1000000,0)</f>
        <v>0.489807875</v>
      </c>
      <c r="L183" s="915">
        <f>K183*'A. Dades de partida'!$D$10</f>
        <v>7.3471181249999997</v>
      </c>
      <c r="M183" s="956">
        <f>IFERROR(VLOOKUP(B183,'cultius resum'!$T$6:$AU$308,28,FALSE)/1000000,0)</f>
        <v>5.7940978252330924</v>
      </c>
      <c r="N183" s="955">
        <f>M183*'A. Dades de partida'!$D$10+(((I183-M183)*'A. Dades de partida'!$D$10)/2)</f>
        <v>65.067730689248194</v>
      </c>
      <c r="O183" s="955">
        <f t="shared" si="14"/>
        <v>59.273632864015099</v>
      </c>
      <c r="P183" s="916">
        <f>J183*'A. Dades de partida'!$D$10</f>
        <v>6.1570079999999994</v>
      </c>
      <c r="Q183" s="916">
        <f>J183+J183*'4. Agricultura PIB'!$D$71</f>
        <v>0.53114455679999995</v>
      </c>
      <c r="R183" s="916">
        <f>(((J183-Q183)*'A. Dades de partida'!$D$10)/2)+('A. Dades de partida'!$D$10*Q183)</f>
        <v>7.0620881759999996</v>
      </c>
      <c r="S183" s="916">
        <f t="shared" si="15"/>
        <v>0.90508017600000024</v>
      </c>
    </row>
    <row r="184" spans="1:19" ht="30">
      <c r="A184" s="835">
        <v>8182</v>
      </c>
      <c r="B184" s="826" t="s">
        <v>1387</v>
      </c>
      <c r="C184" s="319" t="str">
        <f t="shared" si="12"/>
        <v>Bages</v>
      </c>
      <c r="D184" s="908">
        <f>IFERROR(IF(VLOOKUP(B184,'BD ASVICC'!$A$6:$GN$316,193,FALSE)&gt;0,VLOOKUP(B184,'BD ASVICC'!$A$6:$GN$316,193,FALSE),(VLOOKUP(C184,'BD Comarcal'!$A$6:$AB$17,9,)/VLOOKUP(C184,'BD Comarcal'!$A$6:$AB$17,13,))),"")</f>
        <v>9.2529216416964537E-3</v>
      </c>
      <c r="E184" s="910">
        <f>IFERROR(IF(VLOOKUP(B184,'BD ASVICC'!$A$6:$GN$316,192,FALSE)&gt;0,VLOOKUP(B184,'BD ASVICC'!$A$6:$GN$316,192,FALSE),(VLOOKUP(C184,'BD Comarcal'!$A$6:$AB$17,14,)*F184)),"")</f>
        <v>91.37393867451155</v>
      </c>
      <c r="F184" s="904">
        <f t="shared" si="16"/>
        <v>2.1355537587237142E-2</v>
      </c>
      <c r="G184" s="910">
        <f t="shared" si="13"/>
        <v>0.84547589464843254</v>
      </c>
      <c r="H184" s="910">
        <f>IFERROR(VLOOKUP(B184, base,19,FALSE)*'4. Agricultura PIB'!$K$11/1000000,G184*'4. Agricultura PIB'!$F$54)</f>
        <v>1.4730303603546028E-2</v>
      </c>
      <c r="I184" s="910">
        <f>G184*'4. Agricultura PIB'!$F$45</f>
        <v>0.27824611692879914</v>
      </c>
      <c r="J184" s="952">
        <f>IFERROR((VLOOKUP(B184,base,19,FALSE)*'tecnicecon agric'!$D$65)/1000000,H184/3)</f>
        <v>6.2867999999999995E-3</v>
      </c>
      <c r="K184" s="952">
        <f>IFERROR(VLOOKUP(B184,'cultius resum'!$T$6:$AU$306,22,FALSE)/1000000,0)</f>
        <v>2.5371624999999998E-2</v>
      </c>
      <c r="L184" s="915">
        <f>K184*'A. Dades de partida'!$D$10</f>
        <v>0.38057437499999996</v>
      </c>
      <c r="M184" s="956">
        <f>IFERROR(VLOOKUP(B184,'cultius resum'!$T$6:$AU$308,28,FALSE)/1000000,0)</f>
        <v>0.22871294082219959</v>
      </c>
      <c r="N184" s="955">
        <f>M184*'A. Dades de partida'!$D$10+(((I184-M184)*'A. Dades de partida'!$D$10)/2)</f>
        <v>3.8021929331324906</v>
      </c>
      <c r="O184" s="955">
        <f t="shared" si="14"/>
        <v>3.5734799923102911</v>
      </c>
      <c r="P184" s="916">
        <f>J184*'A. Dades de partida'!$D$10</f>
        <v>9.4301999999999997E-2</v>
      </c>
      <c r="Q184" s="916">
        <f>J184+J184*'4. Agricultura PIB'!$D$71</f>
        <v>8.1351191999999989E-3</v>
      </c>
      <c r="R184" s="916">
        <f>(((J184-Q184)*'A. Dades de partida'!$D$10)/2)+('A. Dades de partida'!$D$10*Q184)</f>
        <v>0.10816439399999998</v>
      </c>
      <c r="S184" s="916">
        <f t="shared" si="15"/>
        <v>1.3862393999999986E-2</v>
      </c>
    </row>
    <row r="185" spans="1:19">
      <c r="A185" s="835">
        <v>8183</v>
      </c>
      <c r="B185" s="826" t="s">
        <v>1390</v>
      </c>
      <c r="C185" s="319" t="str">
        <f t="shared" si="12"/>
        <v>Osona</v>
      </c>
      <c r="D185" s="908">
        <f>IFERROR(IF(VLOOKUP(B185,'BD ASVICC'!$A$6:$GN$316,193,FALSE)&gt;0,VLOOKUP(B185,'BD ASVICC'!$A$6:$GN$316,193,FALSE),(VLOOKUP(C185,'BD Comarcal'!$A$6:$AB$17,9,)/VLOOKUP(C185,'BD Comarcal'!$A$6:$AB$17,13,))),"")</f>
        <v>3.0000000000000001E-3</v>
      </c>
      <c r="E185" s="910">
        <f>IFERROR(IF(VLOOKUP(B185,'BD ASVICC'!$A$6:$GN$316,192,FALSE)&gt;0,VLOOKUP(B185,'BD ASVICC'!$A$6:$GN$316,192,FALSE),(VLOOKUP(C185,'BD Comarcal'!$A$6:$AB$17,14,)*F185)),"")</f>
        <v>62</v>
      </c>
      <c r="F185" s="904">
        <f t="shared" si="16"/>
        <v>3.929555836829627E-2</v>
      </c>
      <c r="G185" s="910">
        <f t="shared" si="13"/>
        <v>0.186</v>
      </c>
      <c r="H185" s="910">
        <f>IFERROR(VLOOKUP(B185, base,19,FALSE)*'4. Agricultura PIB'!$K$11/1000000,G185*'4. Agricultura PIB'!$F$54)</f>
        <v>0.22285523838913185</v>
      </c>
      <c r="I185" s="910">
        <f>G185*'4. Agricultura PIB'!$F$45</f>
        <v>6.1212599999999999E-2</v>
      </c>
      <c r="J185" s="952">
        <f>IFERROR((VLOOKUP(B185,base,19,FALSE)*'tecnicecon agric'!$D$65)/1000000,H185/3)</f>
        <v>9.5113199999999995E-2</v>
      </c>
      <c r="K185" s="952">
        <f>IFERROR(VLOOKUP(B185,'cultius resum'!$T$6:$AU$306,22,FALSE)/1000000,0)</f>
        <v>2.2815999999999999E-2</v>
      </c>
      <c r="L185" s="915">
        <f>K185*'A. Dades de partida'!$D$10</f>
        <v>0.34223999999999999</v>
      </c>
      <c r="M185" s="956">
        <f>IFERROR(VLOOKUP(B185,'cultius resum'!$T$6:$AU$308,28,FALSE)/1000000,0)</f>
        <v>0.19946652953483193</v>
      </c>
      <c r="N185" s="955">
        <f>M185*'A. Dades de partida'!$D$10+(((I185-M185)*'A. Dades de partida'!$D$10)/2)</f>
        <v>1.9550934715112394</v>
      </c>
      <c r="O185" s="955">
        <f t="shared" si="14"/>
        <v>1.7556269419764075</v>
      </c>
      <c r="P185" s="916">
        <f>J185*'A. Dades de partida'!$D$10</f>
        <v>1.426698</v>
      </c>
      <c r="Q185" s="916">
        <f>J185+J185*'4. Agricultura PIB'!$D$71</f>
        <v>0.1230764808</v>
      </c>
      <c r="R185" s="916">
        <f>(((J185-Q185)*'A. Dades de partida'!$D$10)/2)+('A. Dades de partida'!$D$10*Q185)</f>
        <v>1.636422606</v>
      </c>
      <c r="S185" s="916">
        <f t="shared" si="15"/>
        <v>0.20972460599999998</v>
      </c>
    </row>
    <row r="186" spans="1:19">
      <c r="A186" s="835">
        <v>8184</v>
      </c>
      <c r="B186" s="826" t="s">
        <v>1394</v>
      </c>
      <c r="C186" s="319" t="str">
        <f t="shared" si="12"/>
        <v>Vallès Occidental</v>
      </c>
      <c r="D186" s="908">
        <f>IFERROR(IF(VLOOKUP(B186,'BD ASVICC'!$A$6:$GN$316,193,FALSE)&gt;0,VLOOKUP(B186,'BD ASVICC'!$A$6:$GN$316,193,FALSE),(VLOOKUP(C186,'BD Comarcal'!$A$6:$AB$17,9,)/VLOOKUP(C186,'BD Comarcal'!$A$6:$AB$17,13,))),"")</f>
        <v>3.6775782925402761E-4</v>
      </c>
      <c r="E186" s="910">
        <f>IFERROR(IF(VLOOKUP(B186,'BD ASVICC'!$A$6:$GN$316,192,FALSE)&gt;0,VLOOKUP(B186,'BD ASVICC'!$A$6:$GN$316,192,FALSE),(VLOOKUP(C186,'BD Comarcal'!$A$6:$AB$17,14,)*F186)),"")</f>
        <v>2084</v>
      </c>
      <c r="F186" s="904">
        <f t="shared" si="16"/>
        <v>8.3127267097230825E-2</v>
      </c>
      <c r="G186" s="910">
        <f t="shared" si="13"/>
        <v>0.76640731616539359</v>
      </c>
      <c r="H186" s="910">
        <f>IFERROR(VLOOKUP(B186, base,19,FALSE)*'4. Agricultura PIB'!$K$11/1000000,G186*'4. Agricultura PIB'!$F$54)</f>
        <v>0.11451623124047074</v>
      </c>
      <c r="I186" s="910">
        <f>G186*'4. Agricultura PIB'!$F$45</f>
        <v>0.25222464775003106</v>
      </c>
      <c r="J186" s="952">
        <f>IFERROR((VLOOKUP(B186,base,19,FALSE)*'tecnicecon agric'!$D$65)/1000000,H186/3)</f>
        <v>4.8874799999999996E-2</v>
      </c>
      <c r="K186" s="952">
        <f>IFERROR(VLOOKUP(B186,'cultius resum'!$T$6:$AU$306,22,FALSE)/1000000,0)</f>
        <v>0.113190875</v>
      </c>
      <c r="L186" s="915">
        <f>K186*'A. Dades de partida'!$D$10</f>
        <v>1.697863125</v>
      </c>
      <c r="M186" s="956">
        <f>IFERROR(VLOOKUP(B186,'cultius resum'!$T$6:$AU$308,28,FALSE)/1000000,0)</f>
        <v>1.0102719329607004</v>
      </c>
      <c r="N186" s="955">
        <f>M186*'A. Dades de partida'!$D$10+(((I186-M186)*'A. Dades de partida'!$D$10)/2)</f>
        <v>9.4687243553304867</v>
      </c>
      <c r="O186" s="955">
        <f t="shared" si="14"/>
        <v>8.4584524223697866</v>
      </c>
      <c r="P186" s="916">
        <f>J186*'A. Dades de partida'!$D$10</f>
        <v>0.73312199999999994</v>
      </c>
      <c r="Q186" s="916">
        <f>J186+J186*'4. Agricultura PIB'!$D$71</f>
        <v>6.3243991199999988E-2</v>
      </c>
      <c r="R186" s="916">
        <f>(((J186-Q186)*'A. Dades de partida'!$D$10)/2)+('A. Dades de partida'!$D$10*Q186)</f>
        <v>0.84089093399999981</v>
      </c>
      <c r="S186" s="916">
        <f t="shared" si="15"/>
        <v>0.10776893399999987</v>
      </c>
    </row>
    <row r="187" spans="1:19">
      <c r="A187" s="835">
        <v>8185</v>
      </c>
      <c r="B187" s="826" t="s">
        <v>1399</v>
      </c>
      <c r="C187" s="319" t="str">
        <f t="shared" si="12"/>
        <v>Anoia</v>
      </c>
      <c r="D187" s="908">
        <f>IFERROR(IF(VLOOKUP(B187,'BD ASVICC'!$A$6:$GN$316,193,FALSE)&gt;0,VLOOKUP(B187,'BD ASVICC'!$A$6:$GN$316,193,FALSE),(VLOOKUP(C187,'BD Comarcal'!$A$6:$AB$17,9,)/VLOOKUP(C187,'BD Comarcal'!$A$6:$AB$17,13,))),"")</f>
        <v>1.049736419894568E-2</v>
      </c>
      <c r="E187" s="910">
        <f>IFERROR(IF(VLOOKUP(B187,'BD ASVICC'!$A$6:$GN$316,192,FALSE)&gt;0,VLOOKUP(B187,'BD ASVICC'!$A$6:$GN$316,192,FALSE),(VLOOKUP(C187,'BD Comarcal'!$A$6:$AB$17,14,)*F187)),"")</f>
        <v>4.6516901552287573</v>
      </c>
      <c r="F187" s="904">
        <f t="shared" si="16"/>
        <v>1.9658905228758169E-3</v>
      </c>
      <c r="G187" s="910">
        <f t="shared" si="13"/>
        <v>4.8830485700086426E-2</v>
      </c>
      <c r="H187" s="910">
        <f>IFERROR(VLOOKUP(B187, base,19,FALSE)*'4. Agricultura PIB'!$K$11/1000000,G187*'4. Agricultura PIB'!$F$54)</f>
        <v>0.32406667927801258</v>
      </c>
      <c r="I187" s="910">
        <f>G187*'4. Agricultura PIB'!$F$45</f>
        <v>1.6070112843898442E-2</v>
      </c>
      <c r="J187" s="952">
        <f>IFERROR((VLOOKUP(B187,base,19,FALSE)*'tecnicecon agric'!$D$65)/1000000,H187/3)</f>
        <v>0.13830959999999998</v>
      </c>
      <c r="K187" s="952">
        <f>IFERROR(VLOOKUP(B187,'cultius resum'!$T$6:$AU$306,22,FALSE)/1000000,0)</f>
        <v>0.42038495833333334</v>
      </c>
      <c r="L187" s="915">
        <f>K187*'A. Dades de partida'!$D$10</f>
        <v>6.3057743750000004</v>
      </c>
      <c r="M187" s="956">
        <f>IFERROR(VLOOKUP(B187,'cultius resum'!$T$6:$AU$308,28,FALSE)/1000000,0)</f>
        <v>3.7925422819086188</v>
      </c>
      <c r="N187" s="955">
        <f>M187*'A. Dades de partida'!$D$10+(((I187-M187)*'A. Dades de partida'!$D$10)/2)</f>
        <v>28.564592960643878</v>
      </c>
      <c r="O187" s="955">
        <f t="shared" si="14"/>
        <v>24.772050678735258</v>
      </c>
      <c r="P187" s="916">
        <f>J187*'A. Dades de partida'!$D$10</f>
        <v>2.0746439999999997</v>
      </c>
      <c r="Q187" s="916">
        <f>J187+J187*'4. Agricultura PIB'!$D$71</f>
        <v>0.17897262239999998</v>
      </c>
      <c r="R187" s="916">
        <f>(((J187-Q187)*'A. Dades de partida'!$D$10)/2)+('A. Dades de partida'!$D$10*Q187)</f>
        <v>2.3796166679999997</v>
      </c>
      <c r="S187" s="916">
        <f t="shared" si="15"/>
        <v>0.304972668</v>
      </c>
    </row>
    <row r="188" spans="1:19">
      <c r="A188" s="835">
        <v>8187</v>
      </c>
      <c r="B188" s="826" t="s">
        <v>947</v>
      </c>
      <c r="C188" s="319" t="str">
        <f t="shared" si="12"/>
        <v>Vallès Occidental</v>
      </c>
      <c r="D188" s="908">
        <f>IFERROR(IF(VLOOKUP(B188,'BD ASVICC'!$A$6:$GN$316,193,FALSE)&gt;0,VLOOKUP(B188,'BD ASVICC'!$A$6:$GN$316,193,FALSE),(VLOOKUP(C188,'BD Comarcal'!$A$6:$AB$17,9,)/VLOOKUP(C188,'BD Comarcal'!$A$6:$AB$17,13,))),"")</f>
        <v>3.6775782925402761E-4</v>
      </c>
      <c r="E188" s="910">
        <f>IFERROR(IF(VLOOKUP(B188,'BD ASVICC'!$A$6:$GN$316,192,FALSE)&gt;0,VLOOKUP(B188,'BD ASVICC'!$A$6:$GN$316,192,FALSE),(VLOOKUP(C188,'BD Comarcal'!$A$6:$AB$17,14,)*F188)),"")</f>
        <v>4449</v>
      </c>
      <c r="F188" s="904">
        <f t="shared" si="16"/>
        <v>0.23029947801468637</v>
      </c>
      <c r="G188" s="910">
        <f t="shared" si="13"/>
        <v>1.6361545823511687</v>
      </c>
      <c r="H188" s="910">
        <f>IFERROR(VLOOKUP(B188, base,19,FALSE)*'4. Agricultura PIB'!$K$11/1000000,G188*'4. Agricultura PIB'!$F$54)</f>
        <v>0.5003551514365796</v>
      </c>
      <c r="I188" s="910">
        <f>G188*'4. Agricultura PIB'!$F$45</f>
        <v>0.53845847305176964</v>
      </c>
      <c r="J188" s="952">
        <f>IFERROR((VLOOKUP(B188,base,19,FALSE)*'tecnicecon agric'!$D$65)/1000000,H188/3)</f>
        <v>0.2135484</v>
      </c>
      <c r="K188" s="952">
        <f>IFERROR(VLOOKUP(B188,'cultius resum'!$T$6:$AU$306,22,FALSE)/1000000,0)</f>
        <v>0.23654837500000001</v>
      </c>
      <c r="L188" s="915">
        <f>K188*'A. Dades de partida'!$D$10</f>
        <v>3.5482256250000002</v>
      </c>
      <c r="M188" s="956">
        <f>IFERROR(VLOOKUP(B188,'cultius resum'!$T$6:$AU$308,28,FALSE)/1000000,0)</f>
        <v>2.1715616446443669</v>
      </c>
      <c r="N188" s="955">
        <f>M188*'A. Dades de partida'!$D$10+(((I188-M188)*'A. Dades de partida'!$D$10)/2)</f>
        <v>20.325150882721019</v>
      </c>
      <c r="O188" s="955">
        <f t="shared" si="14"/>
        <v>18.153589238076652</v>
      </c>
      <c r="P188" s="916">
        <f>J188*'A. Dades de partida'!$D$10</f>
        <v>3.2032259999999999</v>
      </c>
      <c r="Q188" s="916">
        <f>J188+J188*'4. Agricultura PIB'!$D$71</f>
        <v>0.27633162960000002</v>
      </c>
      <c r="R188" s="916">
        <f>(((J188-Q188)*'A. Dades de partida'!$D$10)/2)+('A. Dades de partida'!$D$10*Q188)</f>
        <v>3.6741002220000007</v>
      </c>
      <c r="S188" s="916">
        <f t="shared" si="15"/>
        <v>0.47087422200000084</v>
      </c>
    </row>
    <row r="189" spans="1:19">
      <c r="A189" s="835">
        <v>8188</v>
      </c>
      <c r="B189" s="826" t="s">
        <v>1409</v>
      </c>
      <c r="C189" s="319" t="str">
        <f t="shared" si="12"/>
        <v>Berguedà</v>
      </c>
      <c r="D189" s="908">
        <f>IFERROR(IF(VLOOKUP(B189,'BD ASVICC'!$A$6:$GN$316,193,FALSE)&gt;0,VLOOKUP(B189,'BD ASVICC'!$A$6:$GN$316,193,FALSE),(VLOOKUP(C189,'BD Comarcal'!$A$6:$AB$17,9,)/VLOOKUP(C189,'BD Comarcal'!$A$6:$AB$17,13,))),"")</f>
        <v>4.1611624834874503E-2</v>
      </c>
      <c r="E189" s="910">
        <f>IFERROR(IF(VLOOKUP(B189,'BD ASVICC'!$A$6:$GN$316,192,FALSE)&gt;0,VLOOKUP(B189,'BD ASVICC'!$A$6:$GN$316,192,FALSE),(VLOOKUP(C189,'BD Comarcal'!$A$6:$AB$17,14,)*F189)),"")</f>
        <v>3.1856450048496607</v>
      </c>
      <c r="F189" s="904">
        <f t="shared" si="16"/>
        <v>3.8797284190106693E-3</v>
      </c>
      <c r="G189" s="910">
        <f t="shared" si="13"/>
        <v>0.13255986479889606</v>
      </c>
      <c r="H189" s="910">
        <f>IFERROR(VLOOKUP(B189, base,19,FALSE)*'4. Agricultura PIB'!$K$11/1000000,G189*'4. Agricultura PIB'!$F$54)</f>
        <v>2.2081200272799477</v>
      </c>
      <c r="I189" s="910">
        <f>G189*'4. Agricultura PIB'!$F$45</f>
        <v>4.3625451505316694E-2</v>
      </c>
      <c r="J189" s="952">
        <f>IFERROR((VLOOKUP(B189,base,19,FALSE)*'tecnicecon agric'!$D$65)/1000000,H189/3)</f>
        <v>0.94241160000000002</v>
      </c>
      <c r="K189" s="952">
        <f>IFERROR(VLOOKUP(B189,'cultius resum'!$T$6:$AU$306,22,FALSE)/1000000,0)</f>
        <v>0.4411093333333333</v>
      </c>
      <c r="L189" s="915">
        <f>K189*'A. Dades de partida'!$D$10</f>
        <v>6.6166399999999994</v>
      </c>
      <c r="M189" s="956">
        <f>IFERROR(VLOOKUP(B189,'cultius resum'!$T$6:$AU$308,28,FALSE)/1000000,0)</f>
        <v>3.8563529043400839</v>
      </c>
      <c r="N189" s="955">
        <f>M189*'A. Dades de partida'!$D$10+(((I189-M189)*'A. Dades de partida'!$D$10)/2)</f>
        <v>29.249837668840502</v>
      </c>
      <c r="O189" s="955">
        <f t="shared" si="14"/>
        <v>25.393484764500418</v>
      </c>
      <c r="P189" s="916">
        <f>J189*'A. Dades de partida'!$D$10</f>
        <v>14.136174</v>
      </c>
      <c r="Q189" s="916">
        <f>J189+J189*'4. Agricultura PIB'!$D$71</f>
        <v>1.2194806104</v>
      </c>
      <c r="R189" s="916">
        <f>(((J189-Q189)*'A. Dades de partida'!$D$10)/2)+('A. Dades de partida'!$D$10*Q189)</f>
        <v>16.214191577999998</v>
      </c>
      <c r="S189" s="916">
        <f t="shared" si="15"/>
        <v>2.0780175779999972</v>
      </c>
    </row>
    <row r="190" spans="1:19">
      <c r="A190" s="835">
        <v>8189</v>
      </c>
      <c r="B190" s="826" t="s">
        <v>1411</v>
      </c>
      <c r="C190" s="319" t="str">
        <f t="shared" si="12"/>
        <v>Anoia</v>
      </c>
      <c r="D190" s="908">
        <f>IFERROR(IF(VLOOKUP(B190,'BD ASVICC'!$A$6:$GN$316,193,FALSE)&gt;0,VLOOKUP(B190,'BD ASVICC'!$A$6:$GN$316,193,FALSE),(VLOOKUP(C190,'BD Comarcal'!$A$6:$AB$17,9,)/VLOOKUP(C190,'BD Comarcal'!$A$6:$AB$17,13,))),"")</f>
        <v>1.049736419894568E-2</v>
      </c>
      <c r="E190" s="910">
        <f>IFERROR(IF(VLOOKUP(B190,'BD ASVICC'!$A$6:$GN$316,192,FALSE)&gt;0,VLOOKUP(B190,'BD ASVICC'!$A$6:$GN$316,192,FALSE),(VLOOKUP(C190,'BD Comarcal'!$A$6:$AB$17,14,)*F190)),"")</f>
        <v>3.181675517429194</v>
      </c>
      <c r="F190" s="904">
        <f t="shared" si="16"/>
        <v>1.3446350762527234E-3</v>
      </c>
      <c r="G190" s="910">
        <f t="shared" si="13"/>
        <v>3.3399206669323195E-2</v>
      </c>
      <c r="H190" s="910">
        <f>IFERROR(VLOOKUP(B190, base,19,FALSE)*'4. Agricultura PIB'!$K$11/1000000,G190*'4. Agricultura PIB'!$F$54)</f>
        <v>0.57923355137814858</v>
      </c>
      <c r="I190" s="910">
        <f>G190*'4. Agricultura PIB'!$F$45</f>
        <v>1.0991678914874263E-2</v>
      </c>
      <c r="J190" s="952">
        <f>IFERROR((VLOOKUP(B190,base,19,FALSE)*'tecnicecon agric'!$D$65)/1000000,H190/3)</f>
        <v>0.24721319999999999</v>
      </c>
      <c r="K190" s="952">
        <f>IFERROR(VLOOKUP(B190,'cultius resum'!$T$6:$AU$306,22,FALSE)/1000000,0)</f>
        <v>0.43255333333333329</v>
      </c>
      <c r="L190" s="915">
        <f>K190*'A. Dades de partida'!$D$10</f>
        <v>6.4882999999999997</v>
      </c>
      <c r="M190" s="956">
        <f>IFERROR(VLOOKUP(B190,'cultius resum'!$T$6:$AU$308,28,FALSE)/1000000,0)</f>
        <v>3.7815529557645218</v>
      </c>
      <c r="N190" s="955">
        <f>M190*'A. Dades de partida'!$D$10+(((I190-M190)*'A. Dades de partida'!$D$10)/2)</f>
        <v>28.444084760095468</v>
      </c>
      <c r="O190" s="955">
        <f t="shared" si="14"/>
        <v>24.662531804330946</v>
      </c>
      <c r="P190" s="916">
        <f>J190*'A. Dades de partida'!$D$10</f>
        <v>3.7081979999999999</v>
      </c>
      <c r="Q190" s="916">
        <f>J190+J190*'4. Agricultura PIB'!$D$71</f>
        <v>0.31989388079999997</v>
      </c>
      <c r="R190" s="916">
        <f>(((J190-Q190)*'A. Dades de partida'!$D$10)/2)+('A. Dades de partida'!$D$10*Q190)</f>
        <v>4.2533031060000006</v>
      </c>
      <c r="S190" s="916">
        <f t="shared" si="15"/>
        <v>0.54510510600000073</v>
      </c>
    </row>
    <row r="191" spans="1:19">
      <c r="A191" s="835">
        <v>8190</v>
      </c>
      <c r="B191" s="826" t="s">
        <v>1413</v>
      </c>
      <c r="C191" s="319" t="str">
        <f t="shared" si="12"/>
        <v>Berguedà</v>
      </c>
      <c r="D191" s="908">
        <f>IFERROR(IF(VLOOKUP(B191,'BD ASVICC'!$A$6:$GN$316,193,FALSE)&gt;0,VLOOKUP(B191,'BD ASVICC'!$A$6:$GN$316,193,FALSE),(VLOOKUP(C191,'BD Comarcal'!$A$6:$AB$17,9,)/VLOOKUP(C191,'BD Comarcal'!$A$6:$AB$17,13,))),"")</f>
        <v>4.1611624834874503E-2</v>
      </c>
      <c r="E191" s="910">
        <f>IFERROR(IF(VLOOKUP(B191,'BD ASVICC'!$A$6:$GN$316,192,FALSE)&gt;0,VLOOKUP(B191,'BD ASVICC'!$A$6:$GN$316,192,FALSE),(VLOOKUP(C191,'BD Comarcal'!$A$6:$AB$17,14,)*F191)),"")</f>
        <v>5.7844606667006992</v>
      </c>
      <c r="F191" s="904">
        <f t="shared" si="16"/>
        <v>7.0447700239930572E-3</v>
      </c>
      <c r="G191" s="910">
        <f t="shared" si="13"/>
        <v>0.24070080713483755</v>
      </c>
      <c r="H191" s="910">
        <f>IFERROR(VLOOKUP(B191, base,19,FALSE)*'4. Agricultura PIB'!$K$11/1000000,G191*'4. Agricultura PIB'!$F$54)</f>
        <v>0.23045797573289753</v>
      </c>
      <c r="I191" s="910">
        <f>G191*'4. Agricultura PIB'!$F$45</f>
        <v>7.9214635628075042E-2</v>
      </c>
      <c r="J191" s="952">
        <f>IFERROR((VLOOKUP(B191,base,19,FALSE)*'tecnicecon agric'!$D$65)/1000000,H191/3)</f>
        <v>9.8357999999999987E-2</v>
      </c>
      <c r="K191" s="952">
        <f>IFERROR(VLOOKUP(B191,'cultius resum'!$T$6:$AU$306,22,FALSE)/1000000,0)</f>
        <v>4.7533333333333334E-3</v>
      </c>
      <c r="L191" s="915">
        <f>K191*'A. Dades de partida'!$D$10</f>
        <v>7.1300000000000002E-2</v>
      </c>
      <c r="M191" s="956">
        <f>IFERROR(VLOOKUP(B191,'cultius resum'!$T$6:$AU$308,28,FALSE)/1000000,0)</f>
        <v>4.1555526986423313E-2</v>
      </c>
      <c r="N191" s="955">
        <f>M191*'A. Dades de partida'!$D$10+(((I191-M191)*'A. Dades de partida'!$D$10)/2)</f>
        <v>0.90577621960873766</v>
      </c>
      <c r="O191" s="955">
        <f t="shared" si="14"/>
        <v>0.86422069262231438</v>
      </c>
      <c r="P191" s="916">
        <f>J191*'A. Dades de partida'!$D$10</f>
        <v>1.4753699999999998</v>
      </c>
      <c r="Q191" s="916">
        <f>J191+J191*'4. Agricultura PIB'!$D$71</f>
        <v>0.12727525199999998</v>
      </c>
      <c r="R191" s="916">
        <f>(((J191-Q191)*'A. Dades de partida'!$D$10)/2)+('A. Dades de partida'!$D$10*Q191)</f>
        <v>1.6922493899999997</v>
      </c>
      <c r="S191" s="916">
        <f t="shared" si="15"/>
        <v>0.21687938999999989</v>
      </c>
    </row>
    <row r="192" spans="1:19">
      <c r="A192" s="835">
        <v>8191</v>
      </c>
      <c r="B192" s="826" t="s">
        <v>1416</v>
      </c>
      <c r="C192" s="319" t="str">
        <f t="shared" si="12"/>
        <v>Bages</v>
      </c>
      <c r="D192" s="908">
        <f>IFERROR(IF(VLOOKUP(B192,'BD ASVICC'!$A$6:$GN$316,193,FALSE)&gt;0,VLOOKUP(B192,'BD ASVICC'!$A$6:$GN$316,193,FALSE),(VLOOKUP(C192,'BD Comarcal'!$A$6:$AB$17,9,)/VLOOKUP(C192,'BD Comarcal'!$A$6:$AB$17,13,))),"")</f>
        <v>1.0999999999999999E-2</v>
      </c>
      <c r="E192" s="910">
        <f>IFERROR(IF(VLOOKUP(B192,'BD ASVICC'!$A$6:$GN$316,192,FALSE)&gt;0,VLOOKUP(B192,'BD ASVICC'!$A$6:$GN$316,192,FALSE),(VLOOKUP(C192,'BD Comarcal'!$A$6:$AB$17,14,)*F192)),"")</f>
        <v>269</v>
      </c>
      <c r="F192" s="904">
        <f t="shared" si="16"/>
        <v>3.7802283505657154E-2</v>
      </c>
      <c r="G192" s="910">
        <f t="shared" si="13"/>
        <v>2.9589999999999996</v>
      </c>
      <c r="H192" s="910">
        <f>IFERROR(VLOOKUP(B192, base,19,FALSE)*'4. Agricultura PIB'!$K$11/1000000,G192*'4. Agricultura PIB'!$F$54)</f>
        <v>2.8728843737754608</v>
      </c>
      <c r="I192" s="910">
        <f>G192*'4. Agricultura PIB'!$F$45</f>
        <v>0.97380689999999992</v>
      </c>
      <c r="J192" s="952">
        <f>IFERROR((VLOOKUP(B192,base,19,FALSE)*'tecnicecon agric'!$D$65)/1000000,H192/3)</f>
        <v>1.2261287999999999</v>
      </c>
      <c r="K192" s="952">
        <f>IFERROR(VLOOKUP(B192,'cultius resum'!$T$6:$AU$306,22,FALSE)/1000000,0)</f>
        <v>0.83393062500000004</v>
      </c>
      <c r="L192" s="915">
        <f>K192*'A. Dades de partida'!$D$10</f>
        <v>12.508959375</v>
      </c>
      <c r="M192" s="956">
        <f>IFERROR(VLOOKUP(B192,'cultius resum'!$T$6:$AU$308,28,FALSE)/1000000,0)</f>
        <v>7.4631556539847681</v>
      </c>
      <c r="N192" s="955">
        <f>M192*'A. Dades de partida'!$D$10+(((I192-M192)*'A. Dades de partida'!$D$10)/2)</f>
        <v>63.277219154885756</v>
      </c>
      <c r="O192" s="955">
        <f t="shared" si="14"/>
        <v>55.814063500900986</v>
      </c>
      <c r="P192" s="916">
        <f>J192*'A. Dades de partida'!$D$10</f>
        <v>18.391931999999997</v>
      </c>
      <c r="Q192" s="916">
        <f>J192+J192*'4. Agricultura PIB'!$D$71</f>
        <v>1.5866106672</v>
      </c>
      <c r="R192" s="916">
        <f>(((J192-Q192)*'A. Dades de partida'!$D$10)/2)+('A. Dades de partida'!$D$10*Q192)</f>
        <v>21.095546003999999</v>
      </c>
      <c r="S192" s="916">
        <f t="shared" si="15"/>
        <v>2.7036140040000021</v>
      </c>
    </row>
    <row r="193" spans="1:19">
      <c r="A193" s="835">
        <v>8192</v>
      </c>
      <c r="B193" s="826" t="s">
        <v>1418</v>
      </c>
      <c r="C193" s="319" t="str">
        <f t="shared" si="12"/>
        <v>Bages</v>
      </c>
      <c r="D193" s="908">
        <f>IFERROR(IF(VLOOKUP(B193,'BD ASVICC'!$A$6:$GN$316,193,FALSE)&gt;0,VLOOKUP(B193,'BD ASVICC'!$A$6:$GN$316,193,FALSE),(VLOOKUP(C193,'BD Comarcal'!$A$6:$AB$17,9,)/VLOOKUP(C193,'BD Comarcal'!$A$6:$AB$17,13,))),"")</f>
        <v>9.2529216416964537E-3</v>
      </c>
      <c r="E193" s="910">
        <f>IFERROR(IF(VLOOKUP(B193,'BD ASVICC'!$A$6:$GN$316,192,FALSE)&gt;0,VLOOKUP(B193,'BD ASVICC'!$A$6:$GN$316,192,FALSE),(VLOOKUP(C193,'BD Comarcal'!$A$6:$AB$17,14,)*F193)),"")</f>
        <v>228</v>
      </c>
      <c r="F193" s="904">
        <f t="shared" si="16"/>
        <v>4.3123964193346749E-2</v>
      </c>
      <c r="G193" s="910">
        <f t="shared" si="13"/>
        <v>2.1096661343067913</v>
      </c>
      <c r="H193" s="910">
        <f>IFERROR(VLOOKUP(B193, base,19,FALSE)*'4. Agricultura PIB'!$K$11/1000000,G193*'4. Agricultura PIB'!$F$54)</f>
        <v>2.4238476994092997</v>
      </c>
      <c r="I193" s="910">
        <f>G193*'4. Agricultura PIB'!$F$45</f>
        <v>0.69429112480036503</v>
      </c>
      <c r="J193" s="952">
        <f>IFERROR((VLOOKUP(B193,base,19,FALSE)*'tecnicecon agric'!$D$65)/1000000,H193/3)</f>
        <v>1.0344827999999999</v>
      </c>
      <c r="K193" s="952">
        <f>IFERROR(VLOOKUP(B193,'cultius resum'!$T$6:$AU$306,22,FALSE)/1000000,0)</f>
        <v>0.39245204166666664</v>
      </c>
      <c r="L193" s="915">
        <f>K193*'A. Dades de partida'!$D$10</f>
        <v>5.8867806249999992</v>
      </c>
      <c r="M193" s="956">
        <f>IFERROR(VLOOKUP(B193,'cultius resum'!$T$6:$AU$308,28,FALSE)/1000000,0)</f>
        <v>3.4793004055417311</v>
      </c>
      <c r="N193" s="955">
        <f>M193*'A. Dades de partida'!$D$10+(((I193-M193)*'A. Dades de partida'!$D$10)/2)</f>
        <v>31.301936477565722</v>
      </c>
      <c r="O193" s="955">
        <f t="shared" si="14"/>
        <v>27.82263607202399</v>
      </c>
      <c r="P193" s="916">
        <f>J193*'A. Dades de partida'!$D$10</f>
        <v>15.517242</v>
      </c>
      <c r="Q193" s="916">
        <f>J193+J193*'4. Agricultura PIB'!$D$71</f>
        <v>1.3386207431999999</v>
      </c>
      <c r="R193" s="916">
        <f>(((J193-Q193)*'A. Dades de partida'!$D$10)/2)+('A. Dades de partida'!$D$10*Q193)</f>
        <v>17.798276573999999</v>
      </c>
      <c r="S193" s="916">
        <f t="shared" si="15"/>
        <v>2.2810345739999995</v>
      </c>
    </row>
    <row r="194" spans="1:19">
      <c r="A194" s="835">
        <v>8193</v>
      </c>
      <c r="B194" s="826" t="s">
        <v>1421</v>
      </c>
      <c r="C194" s="319" t="str">
        <f t="shared" si="12"/>
        <v>Maresme</v>
      </c>
      <c r="D194" s="908">
        <f>IFERROR(IF(VLOOKUP(B194,'BD ASVICC'!$A$6:$GN$316,193,FALSE)&gt;0,VLOOKUP(B194,'BD ASVICC'!$A$6:$GN$316,193,FALSE),(VLOOKUP(C194,'BD Comarcal'!$A$6:$AB$17,9,)/VLOOKUP(C194,'BD Comarcal'!$A$6:$AB$17,13,))),"")</f>
        <v>1.0968348480100282E-2</v>
      </c>
      <c r="E194" s="910">
        <f>IFERROR(IF(VLOOKUP(B194,'BD ASVICC'!$A$6:$GN$316,192,FALSE)&gt;0,VLOOKUP(B194,'BD ASVICC'!$A$6:$GN$316,192,FALSE),(VLOOKUP(C194,'BD Comarcal'!$A$6:$AB$17,14,)*F194)),"")</f>
        <v>24.308638860262057</v>
      </c>
      <c r="F194" s="904">
        <f t="shared" si="16"/>
        <v>2.9263541749244065E-3</v>
      </c>
      <c r="G194" s="910">
        <f t="shared" si="13"/>
        <v>0.266625622096262</v>
      </c>
      <c r="H194" s="910">
        <f>IFERROR(VLOOKUP(B194, base,19,FALSE)*'4. Agricultura PIB'!$K$11/1000000,G194*'4. Agricultura PIB'!$F$54)</f>
        <v>3.7538515634843103E-2</v>
      </c>
      <c r="I194" s="910">
        <f>G194*'4. Agricultura PIB'!$F$45</f>
        <v>8.774649223187983E-2</v>
      </c>
      <c r="J194" s="952">
        <f>IFERROR((VLOOKUP(B194,base,19,FALSE)*'tecnicecon agric'!$D$65)/1000000,H194/3)</f>
        <v>1.6021199999999999E-2</v>
      </c>
      <c r="K194" s="952">
        <f>IFERROR(VLOOKUP(B194,'cultius resum'!$T$6:$AU$306,22,FALSE)/1000000,0)</f>
        <v>3.9536874999999999E-2</v>
      </c>
      <c r="L194" s="915">
        <f>K194*'A. Dades de partida'!$D$10</f>
        <v>0.59305312499999996</v>
      </c>
      <c r="M194" s="956">
        <f>IFERROR(VLOOKUP(B194,'cultius resum'!$T$6:$AU$308,28,FALSE)/1000000,0)</f>
        <v>0.58729136170042284</v>
      </c>
      <c r="N194" s="955">
        <f>M194*'A. Dades de partida'!$D$10+(((I194-M194)*'A. Dades de partida'!$D$10)/2)</f>
        <v>5.0627839044922691</v>
      </c>
      <c r="O194" s="955">
        <f t="shared" si="14"/>
        <v>4.4754925427918462</v>
      </c>
      <c r="P194" s="916">
        <f>J194*'A. Dades de partida'!$D$10</f>
        <v>0.24031799999999998</v>
      </c>
      <c r="Q194" s="916">
        <f>J194+J194*'4. Agricultura PIB'!$D$71</f>
        <v>2.0731432799999998E-2</v>
      </c>
      <c r="R194" s="916">
        <f>(((J194-Q194)*'A. Dades de partida'!$D$10)/2)+('A. Dades de partida'!$D$10*Q194)</f>
        <v>0.275644746</v>
      </c>
      <c r="S194" s="916">
        <f t="shared" si="15"/>
        <v>3.532674600000002E-2</v>
      </c>
    </row>
    <row r="195" spans="1:19">
      <c r="A195" s="835">
        <v>8194</v>
      </c>
      <c r="B195" s="826" t="s">
        <v>350</v>
      </c>
      <c r="C195" s="319" t="str">
        <f t="shared" si="12"/>
        <v>Barcelonès</v>
      </c>
      <c r="D195" s="908">
        <f>IFERROR(IF(VLOOKUP(B195,'BD ASVICC'!$A$6:$GN$316,193,FALSE)&gt;0,VLOOKUP(B195,'BD ASVICC'!$A$6:$GN$316,193,FALSE),(VLOOKUP(C195,'BD Comarcal'!$A$6:$AB$17,9,)/VLOOKUP(C195,'BD Comarcal'!$A$6:$AB$17,13,))),"")</f>
        <v>1.5031028337067232E-4</v>
      </c>
      <c r="E195" s="910">
        <f>IFERROR(IF(VLOOKUP(B195,'BD ASVICC'!$A$6:$GN$316,192,FALSE)&gt;0,VLOOKUP(B195,'BD ASVICC'!$A$6:$GN$316,192,FALSE),(VLOOKUP(C195,'BD Comarcal'!$A$6:$AB$17,14,)*F195)),"")</f>
        <v>869</v>
      </c>
      <c r="F195" s="904">
        <f t="shared" si="16"/>
        <v>1.6345154339800601E-2</v>
      </c>
      <c r="G195" s="910">
        <f t="shared" si="13"/>
        <v>0.13061963624911424</v>
      </c>
      <c r="H195" s="910">
        <f>IFERROR(VLOOKUP(B195, base,19,FALSE)*'4. Agricultura PIB'!$K$11/1000000,G195*'4. Agricultura PIB'!$F$54)</f>
        <v>0</v>
      </c>
      <c r="I195" s="910">
        <f>G195*'4. Agricultura PIB'!$F$45</f>
        <v>4.29869222895835E-2</v>
      </c>
      <c r="J195" s="952">
        <f>IFERROR((VLOOKUP(B195,base,19,FALSE)*'tecnicecon agric'!$D$65)/1000000,H195/3)</f>
        <v>0</v>
      </c>
      <c r="K195" s="952">
        <f>IFERROR(VLOOKUP(B195,'cultius resum'!$T$6:$AU$306,22,FALSE)/1000000,0)</f>
        <v>0</v>
      </c>
      <c r="L195" s="915">
        <f>K195*'A. Dades de partida'!$D$10</f>
        <v>0</v>
      </c>
      <c r="M195" s="956">
        <f>IFERROR(VLOOKUP(B195,'cultius resum'!$T$6:$AU$308,28,FALSE)/1000000,0)</f>
        <v>0</v>
      </c>
      <c r="N195" s="955">
        <f>M195*'A. Dades de partida'!$D$10+(((I195-M195)*'A. Dades de partida'!$D$10)/2)</f>
        <v>0.32240191717187627</v>
      </c>
      <c r="O195" s="955">
        <f t="shared" si="14"/>
        <v>0.32240191717187627</v>
      </c>
      <c r="P195" s="916">
        <f>J195*'A. Dades de partida'!$D$10</f>
        <v>0</v>
      </c>
      <c r="Q195" s="916">
        <f>J195+J195*'4. Agricultura PIB'!$D$71</f>
        <v>0</v>
      </c>
      <c r="R195" s="916">
        <f>(((J195-Q195)*'A. Dades de partida'!$D$10)/2)+('A. Dades de partida'!$D$10*Q195)</f>
        <v>0</v>
      </c>
      <c r="S195" s="916">
        <f t="shared" si="15"/>
        <v>0</v>
      </c>
    </row>
    <row r="196" spans="1:19">
      <c r="A196" s="835">
        <v>8195</v>
      </c>
      <c r="B196" s="826" t="s">
        <v>1424</v>
      </c>
      <c r="C196" s="319" t="str">
        <f t="shared" ref="C196:C259" si="17">VLOOKUP(B196,base,201,FALSE)</f>
        <v>Osona</v>
      </c>
      <c r="D196" s="908">
        <f>IFERROR(IF(VLOOKUP(B196,'BD ASVICC'!$A$6:$GN$316,193,FALSE)&gt;0,VLOOKUP(B196,'BD ASVICC'!$A$6:$GN$316,193,FALSE),(VLOOKUP(C196,'BD Comarcal'!$A$6:$AB$17,9,)/VLOOKUP(C196,'BD Comarcal'!$A$6:$AB$17,13,))),"")</f>
        <v>1.8400340353116357E-2</v>
      </c>
      <c r="E196" s="910">
        <f>IFERROR(IF(VLOOKUP(B196,'BD ASVICC'!$A$6:$GN$316,192,FALSE)&gt;0,VLOOKUP(B196,'BD ASVICC'!$A$6:$GN$316,192,FALSE),(VLOOKUP(C196,'BD Comarcal'!$A$6:$AB$17,14,)*F196)),"")</f>
        <v>2.4112309738436526</v>
      </c>
      <c r="F196" s="904">
        <f t="shared" si="16"/>
        <v>5.9110388650805376E-4</v>
      </c>
      <c r="G196" s="910">
        <f t="shared" si="13"/>
        <v>4.4367470588699415E-2</v>
      </c>
      <c r="H196" s="910">
        <f>IFERROR(VLOOKUP(B196, base,19,FALSE)*'4. Agricultura PIB'!$K$11/1000000,G196*'4. Agricultura PIB'!$F$54)</f>
        <v>1.3608899845340587</v>
      </c>
      <c r="I196" s="910">
        <f>G196*'4. Agricultura PIB'!$F$45</f>
        <v>1.4601334570740978E-2</v>
      </c>
      <c r="J196" s="952">
        <f>IFERROR((VLOOKUP(B196,base,19,FALSE)*'tecnicecon agric'!$D$65)/1000000,H196/3)</f>
        <v>0.58081919999999998</v>
      </c>
      <c r="K196" s="952">
        <f>IFERROR(VLOOKUP(B196,'cultius resum'!$T$6:$AU$306,22,FALSE)/1000000,0)</f>
        <v>0.13261800000000001</v>
      </c>
      <c r="L196" s="915">
        <f>K196*'A. Dades de partida'!$D$10</f>
        <v>1.9892700000000003</v>
      </c>
      <c r="M196" s="956">
        <f>IFERROR(VLOOKUP(B196,'cultius resum'!$T$6:$AU$308,28,FALSE)/1000000,0)</f>
        <v>1.1593992029212106</v>
      </c>
      <c r="N196" s="955">
        <f>M196*'A. Dades de partida'!$D$10+(((I196-M196)*'A. Dades de partida'!$D$10)/2)</f>
        <v>8.805004031189636</v>
      </c>
      <c r="O196" s="955">
        <f t="shared" si="14"/>
        <v>7.645604828268425</v>
      </c>
      <c r="P196" s="916">
        <f>J196*'A. Dades de partida'!$D$10</f>
        <v>8.7122879999999991</v>
      </c>
      <c r="Q196" s="916">
        <f>J196+J196*'4. Agricultura PIB'!$D$71</f>
        <v>0.75158004479999996</v>
      </c>
      <c r="R196" s="916">
        <f>(((J196-Q196)*'A. Dades de partida'!$D$10)/2)+('A. Dades de partida'!$D$10*Q196)</f>
        <v>9.9929943359999989</v>
      </c>
      <c r="S196" s="916">
        <f t="shared" si="15"/>
        <v>1.2807063359999997</v>
      </c>
    </row>
    <row r="197" spans="1:19">
      <c r="A197" s="835">
        <v>8196</v>
      </c>
      <c r="B197" s="826" t="s">
        <v>1426</v>
      </c>
      <c r="C197" s="319" t="str">
        <f t="shared" si="17"/>
        <v>Baix Llobregat</v>
      </c>
      <c r="D197" s="908">
        <f>IFERROR(IF(VLOOKUP(B197,'BD ASVICC'!$A$6:$GN$316,193,FALSE)&gt;0,VLOOKUP(B197,'BD ASVICC'!$A$6:$GN$316,193,FALSE),(VLOOKUP(C197,'BD Comarcal'!$A$6:$AB$17,9,)/VLOOKUP(C197,'BD Comarcal'!$A$6:$AB$17,13,))),"")</f>
        <v>7.8252861716696001E-4</v>
      </c>
      <c r="E197" s="910">
        <f>IFERROR(IF(VLOOKUP(B197,'BD ASVICC'!$A$6:$GN$316,192,FALSE)&gt;0,VLOOKUP(B197,'BD ASVICC'!$A$6:$GN$316,192,FALSE),(VLOOKUP(C197,'BD Comarcal'!$A$6:$AB$17,14,)*F197)),"")</f>
        <v>698</v>
      </c>
      <c r="F197" s="904">
        <f t="shared" si="16"/>
        <v>3.3874028717728363E-2</v>
      </c>
      <c r="G197" s="910">
        <f t="shared" ref="G197:G260" si="18">D197*E197</f>
        <v>0.54620497478253804</v>
      </c>
      <c r="H197" s="910">
        <f>IFERROR(VLOOKUP(B197, base,19,FALSE)*'4. Agricultura PIB'!$K$11/1000000,G197*'4. Agricultura PIB'!$F$54)</f>
        <v>0.35552481808595404</v>
      </c>
      <c r="I197" s="910">
        <f>G197*'4. Agricultura PIB'!$F$45</f>
        <v>0.17975605720093327</v>
      </c>
      <c r="J197" s="952">
        <f>IFERROR((VLOOKUP(B197,base,19,FALSE)*'tecnicecon agric'!$D$65)/1000000,H197/3)</f>
        <v>0.11850827269531801</v>
      </c>
      <c r="K197" s="952">
        <f>IFERROR(VLOOKUP(B197,'cultius resum'!$T$6:$AU$306,22,FALSE)/1000000,0)</f>
        <v>0</v>
      </c>
      <c r="L197" s="915">
        <f>K197*'A. Dades de partida'!$D$10</f>
        <v>0</v>
      </c>
      <c r="M197" s="956">
        <f>IFERROR(VLOOKUP(B197,'cultius resum'!$T$6:$AU$308,28,FALSE)/1000000,0)</f>
        <v>0</v>
      </c>
      <c r="N197" s="955">
        <f>M197*'A. Dades de partida'!$D$10+(((I197-M197)*'A. Dades de partida'!$D$10)/2)</f>
        <v>1.3481704290069996</v>
      </c>
      <c r="O197" s="955">
        <f t="shared" ref="O197:O260" si="19">N197-M197</f>
        <v>1.3481704290069996</v>
      </c>
      <c r="P197" s="916">
        <f>J197*'A. Dades de partida'!$D$10</f>
        <v>1.7776240904297702</v>
      </c>
      <c r="Q197" s="916">
        <f>J197+J197*'4. Agricultura PIB'!$D$71</f>
        <v>0.15334970486774149</v>
      </c>
      <c r="R197" s="916">
        <f>(((J197-Q197)*'A. Dades de partida'!$D$10)/2)+('A. Dades de partida'!$D$10*Q197)</f>
        <v>2.0389348317229463</v>
      </c>
      <c r="S197" s="916">
        <f t="shared" ref="S197:S260" si="20">R197-P197</f>
        <v>0.26131074129317611</v>
      </c>
    </row>
    <row r="198" spans="1:19" ht="30">
      <c r="A198" s="835">
        <v>8197</v>
      </c>
      <c r="B198" s="826" t="s">
        <v>351</v>
      </c>
      <c r="C198" s="319" t="str">
        <f t="shared" si="17"/>
        <v>Maresme</v>
      </c>
      <c r="D198" s="908">
        <f>IFERROR(IF(VLOOKUP(B198,'BD ASVICC'!$A$6:$GN$316,193,FALSE)&gt;0,VLOOKUP(B198,'BD ASVICC'!$A$6:$GN$316,193,FALSE),(VLOOKUP(C198,'BD Comarcal'!$A$6:$AB$17,9,)/VLOOKUP(C198,'BD Comarcal'!$A$6:$AB$17,13,))),"")</f>
        <v>3.5999999999999997E-2</v>
      </c>
      <c r="E198" s="910">
        <f>IFERROR(IF(VLOOKUP(B198,'BD ASVICC'!$A$6:$GN$316,192,FALSE)&gt;0,VLOOKUP(B198,'BD ASVICC'!$A$6:$GN$316,192,FALSE),(VLOOKUP(C198,'BD Comarcal'!$A$6:$AB$17,14,)*F198)),"")</f>
        <v>143</v>
      </c>
      <c r="F198" s="904">
        <f t="shared" si="16"/>
        <v>2.4151481863172557E-2</v>
      </c>
      <c r="G198" s="910">
        <f t="shared" si="18"/>
        <v>5.1479999999999997</v>
      </c>
      <c r="H198" s="910">
        <f>IFERROR(VLOOKUP(B198, base,19,FALSE)*'4. Agricultura PIB'!$K$11/1000000,G198*'4. Agricultura PIB'!$F$54)</f>
        <v>2.8510265039121342E-3</v>
      </c>
      <c r="I198" s="910">
        <f>G198*'4. Agricultura PIB'!$F$45</f>
        <v>1.6942067999999999</v>
      </c>
      <c r="J198" s="952">
        <f>IFERROR((VLOOKUP(B198,base,19,FALSE)*'tecnicecon agric'!$D$65)/1000000,H198/3)</f>
        <v>1.2167999999999999E-3</v>
      </c>
      <c r="K198" s="952">
        <f>IFERROR(VLOOKUP(B198,'cultius resum'!$T$6:$AU$306,22,FALSE)/1000000,0)</f>
        <v>6.6647874999999995E-2</v>
      </c>
      <c r="L198" s="915">
        <f>K198*'A. Dades de partida'!$D$10</f>
        <v>0.9997181249999999</v>
      </c>
      <c r="M198" s="956">
        <f>IFERROR(VLOOKUP(B198,'cultius resum'!$T$6:$AU$308,28,FALSE)/1000000,0)</f>
        <v>0.99000543829499832</v>
      </c>
      <c r="N198" s="955">
        <f>M198*'A. Dades de partida'!$D$10+(((I198-M198)*'A. Dades de partida'!$D$10)/2)</f>
        <v>20.131591787212486</v>
      </c>
      <c r="O198" s="955">
        <f t="shared" si="19"/>
        <v>19.141586348917489</v>
      </c>
      <c r="P198" s="916">
        <f>J198*'A. Dades de partida'!$D$10</f>
        <v>1.8251999999999997E-2</v>
      </c>
      <c r="Q198" s="916">
        <f>J198+J198*'4. Agricultura PIB'!$D$71</f>
        <v>1.5745391999999999E-3</v>
      </c>
      <c r="R198" s="916">
        <f>(((J198-Q198)*'A. Dades de partida'!$D$10)/2)+('A. Dades de partida'!$D$10*Q198)</f>
        <v>2.0935044E-2</v>
      </c>
      <c r="S198" s="916">
        <f t="shared" si="20"/>
        <v>2.6830440000000025E-3</v>
      </c>
    </row>
    <row r="199" spans="1:19">
      <c r="A199" s="835">
        <v>8198</v>
      </c>
      <c r="B199" s="826" t="s">
        <v>1429</v>
      </c>
      <c r="C199" s="319" t="str">
        <f t="shared" si="17"/>
        <v>Vallès Oriental</v>
      </c>
      <c r="D199" s="908">
        <f>IFERROR(IF(VLOOKUP(B199,'BD ASVICC'!$A$6:$GN$316,193,FALSE)&gt;0,VLOOKUP(B199,'BD ASVICC'!$A$6:$GN$316,193,FALSE),(VLOOKUP(C199,'BD Comarcal'!$A$6:$AB$17,9,)/VLOOKUP(C199,'BD Comarcal'!$A$6:$AB$17,13,))),"")</f>
        <v>1.7999999999999999E-2</v>
      </c>
      <c r="E199" s="910">
        <f>IFERROR(IF(VLOOKUP(B199,'BD ASVICC'!$A$6:$GN$316,192,FALSE)&gt;0,VLOOKUP(B199,'BD ASVICC'!$A$6:$GN$316,192,FALSE),(VLOOKUP(C199,'BD Comarcal'!$A$6:$AB$17,14,)*F199)),"")</f>
        <v>79</v>
      </c>
      <c r="F199" s="904">
        <f t="shared" si="16"/>
        <v>1.4606142453493065E-2</v>
      </c>
      <c r="G199" s="910">
        <f t="shared" si="18"/>
        <v>1.4219999999999999</v>
      </c>
      <c r="H199" s="910">
        <f>IFERROR(VLOOKUP(B199, base,19,FALSE)*'4. Agricultura PIB'!$K$11/1000000,G199*'4. Agricultura PIB'!$F$54)</f>
        <v>1.8612451359706383</v>
      </c>
      <c r="I199" s="910">
        <f>G199*'4. Agricultura PIB'!$F$45</f>
        <v>0.46798019999999996</v>
      </c>
      <c r="J199" s="952">
        <f>IFERROR((VLOOKUP(B199,base,19,FALSE)*'tecnicecon agric'!$D$65)/1000000,H199/3)</f>
        <v>0.79436759999999995</v>
      </c>
      <c r="K199" s="952">
        <f>IFERROR(VLOOKUP(B199,'cultius resum'!$T$6:$AU$306,22,FALSE)/1000000,0)</f>
        <v>0.32312704166666661</v>
      </c>
      <c r="L199" s="915">
        <f>K199*'A. Dades de partida'!$D$10</f>
        <v>4.8469056249999989</v>
      </c>
      <c r="M199" s="956">
        <f>IFERROR(VLOOKUP(B199,'cultius resum'!$T$6:$AU$308,28,FALSE)/1000000,0)</f>
        <v>3.5912625268851222</v>
      </c>
      <c r="N199" s="955">
        <f>M199*'A. Dades de partida'!$D$10+(((I199-M199)*'A. Dades de partida'!$D$10)/2)</f>
        <v>30.444320451638415</v>
      </c>
      <c r="O199" s="955">
        <f t="shared" si="19"/>
        <v>26.853057924753294</v>
      </c>
      <c r="P199" s="916">
        <f>J199*'A. Dades de partida'!$D$10</f>
        <v>11.915514</v>
      </c>
      <c r="Q199" s="916">
        <f>J199+J199*'4. Agricultura PIB'!$D$71</f>
        <v>1.0279116743999999</v>
      </c>
      <c r="R199" s="916">
        <f>(((J199-Q199)*'A. Dades de partida'!$D$10)/2)+('A. Dades de partida'!$D$10*Q199)</f>
        <v>13.667094557999999</v>
      </c>
      <c r="S199" s="916">
        <f t="shared" si="20"/>
        <v>1.7515805579999988</v>
      </c>
    </row>
    <row r="200" spans="1:19">
      <c r="A200" s="835">
        <v>8199</v>
      </c>
      <c r="B200" s="826" t="s">
        <v>1431</v>
      </c>
      <c r="C200" s="319" t="str">
        <f t="shared" si="17"/>
        <v>Osona</v>
      </c>
      <c r="D200" s="908">
        <f>IFERROR(IF(VLOOKUP(B200,'BD ASVICC'!$A$6:$GN$316,193,FALSE)&gt;0,VLOOKUP(B200,'BD ASVICC'!$A$6:$GN$316,193,FALSE),(VLOOKUP(C200,'BD Comarcal'!$A$6:$AB$17,9,)/VLOOKUP(C200,'BD Comarcal'!$A$6:$AB$17,13,))),"")</f>
        <v>1.8400340353116357E-2</v>
      </c>
      <c r="E200" s="910">
        <f>IFERROR(IF(VLOOKUP(B200,'BD ASVICC'!$A$6:$GN$316,192,FALSE)&gt;0,VLOOKUP(B200,'BD ASVICC'!$A$6:$GN$316,192,FALSE),(VLOOKUP(C200,'BD Comarcal'!$A$6:$AB$17,14,)*F200)),"")</f>
        <v>22.277677475729401</v>
      </c>
      <c r="F200" s="904">
        <f t="shared" si="16"/>
        <v>5.4612859079548447E-3</v>
      </c>
      <c r="G200" s="910">
        <f t="shared" si="18"/>
        <v>0.40991684783037502</v>
      </c>
      <c r="H200" s="910">
        <f>IFERROR(VLOOKUP(B200, base,19,FALSE)*'4. Agricultura PIB'!$K$11/1000000,G200*'4. Agricultura PIB'!$F$54)</f>
        <v>7.191714356118359</v>
      </c>
      <c r="I200" s="910">
        <f>G200*'4. Agricultura PIB'!$F$45</f>
        <v>0.13490363462097643</v>
      </c>
      <c r="J200" s="952">
        <f>IFERROR((VLOOKUP(B200,base,19,FALSE)*'tecnicecon agric'!$D$65)/1000000,H200/3)</f>
        <v>3.0693779999999995</v>
      </c>
      <c r="K200" s="952">
        <f>IFERROR(VLOOKUP(B200,'cultius resum'!$T$6:$AU$306,22,FALSE)/1000000,0)</f>
        <v>0.41534091666666662</v>
      </c>
      <c r="L200" s="915">
        <f>K200*'A. Dades de partida'!$D$10</f>
        <v>6.2301137499999992</v>
      </c>
      <c r="M200" s="956">
        <f>IFERROR(VLOOKUP(B200,'cultius resum'!$T$6:$AU$308,28,FALSE)/1000000,0)</f>
        <v>3.8105823742750302</v>
      </c>
      <c r="N200" s="955">
        <f>M200*'A. Dades de partida'!$D$10+(((I200-M200)*'A. Dades de partida'!$D$10)/2)</f>
        <v>29.591145066720049</v>
      </c>
      <c r="O200" s="955">
        <f t="shared" si="19"/>
        <v>25.78056269244502</v>
      </c>
      <c r="P200" s="916">
        <f>J200*'A. Dades de partida'!$D$10</f>
        <v>46.040669999999992</v>
      </c>
      <c r="Q200" s="916">
        <f>J200+J200*'4. Agricultura PIB'!$D$71</f>
        <v>3.9717751319999994</v>
      </c>
      <c r="R200" s="916">
        <f>(((J200-Q200)*'A. Dades de partida'!$D$10)/2)+('A. Dades de partida'!$D$10*Q200)</f>
        <v>52.808648489999996</v>
      </c>
      <c r="S200" s="916">
        <f t="shared" si="20"/>
        <v>6.7679784900000044</v>
      </c>
    </row>
    <row r="201" spans="1:19">
      <c r="A201" s="835">
        <v>8200</v>
      </c>
      <c r="B201" s="826" t="s">
        <v>1094</v>
      </c>
      <c r="C201" s="319" t="str">
        <f t="shared" si="17"/>
        <v>Baix Llobregat</v>
      </c>
      <c r="D201" s="908">
        <f>IFERROR(IF(VLOOKUP(B201,'BD ASVICC'!$A$6:$GN$316,193,FALSE)&gt;0,VLOOKUP(B201,'BD ASVICC'!$A$6:$GN$316,193,FALSE),(VLOOKUP(C201,'BD Comarcal'!$A$6:$AB$17,9,)/VLOOKUP(C201,'BD Comarcal'!$A$6:$AB$17,13,))),"")</f>
        <v>1E-3</v>
      </c>
      <c r="E201" s="910">
        <f>IFERROR(IF(VLOOKUP(B201,'BD ASVICC'!$A$6:$GN$316,192,FALSE)&gt;0,VLOOKUP(B201,'BD ASVICC'!$A$6:$GN$316,192,FALSE),(VLOOKUP(C201,'BD Comarcal'!$A$6:$AB$17,14,)*F201)),"")</f>
        <v>1798</v>
      </c>
      <c r="F201" s="904">
        <f t="shared" si="16"/>
        <v>0.10174556077853221</v>
      </c>
      <c r="G201" s="910">
        <f t="shared" si="18"/>
        <v>1.798</v>
      </c>
      <c r="H201" s="910">
        <f>IFERROR(VLOOKUP(B201, base,19,FALSE)*'4. Agricultura PIB'!$K$11/1000000,G201*'4. Agricultura PIB'!$F$54)</f>
        <v>8.7431479453305455E-2</v>
      </c>
      <c r="I201" s="910">
        <f>G201*'4. Agricultura PIB'!$F$45</f>
        <v>0.59172180000000008</v>
      </c>
      <c r="J201" s="952">
        <f>IFERROR((VLOOKUP(B201,base,19,FALSE)*'tecnicecon agric'!$D$65)/1000000,H201/3)</f>
        <v>3.73152E-2</v>
      </c>
      <c r="K201" s="952">
        <f>IFERROR(VLOOKUP(B201,'cultius resum'!$T$6:$AU$306,22,FALSE)/1000000,0)</f>
        <v>0.61659629166666663</v>
      </c>
      <c r="L201" s="915">
        <f>K201*'A. Dades de partida'!$D$10</f>
        <v>9.2489443749999989</v>
      </c>
      <c r="M201" s="956">
        <f>IFERROR(VLOOKUP(B201,'cultius resum'!$T$6:$AU$308,28,FALSE)/1000000,0)</f>
        <v>9.1532765947324393</v>
      </c>
      <c r="N201" s="955">
        <f>M201*'A. Dades de partida'!$D$10+(((I201-M201)*'A. Dades de partida'!$D$10)/2)</f>
        <v>73.087487960493306</v>
      </c>
      <c r="O201" s="955">
        <f t="shared" si="19"/>
        <v>63.934211365760866</v>
      </c>
      <c r="P201" s="916">
        <f>J201*'A. Dades de partida'!$D$10</f>
        <v>0.559728</v>
      </c>
      <c r="Q201" s="916">
        <f>J201+J201*'4. Agricultura PIB'!$D$71</f>
        <v>4.8285868799999999E-2</v>
      </c>
      <c r="R201" s="916">
        <f>(((J201-Q201)*'A. Dades de partida'!$D$10)/2)+('A. Dades de partida'!$D$10*Q201)</f>
        <v>0.64200801600000001</v>
      </c>
      <c r="S201" s="916">
        <f t="shared" si="20"/>
        <v>8.2280016000000011E-2</v>
      </c>
    </row>
    <row r="202" spans="1:19">
      <c r="A202" s="835">
        <v>8201</v>
      </c>
      <c r="B202" s="826" t="s">
        <v>1435</v>
      </c>
      <c r="C202" s="319" t="str">
        <f t="shared" si="17"/>
        <v>Osona</v>
      </c>
      <c r="D202" s="908">
        <f>IFERROR(IF(VLOOKUP(B202,'BD ASVICC'!$A$6:$GN$316,193,FALSE)&gt;0,VLOOKUP(B202,'BD ASVICC'!$A$6:$GN$316,193,FALSE),(VLOOKUP(C202,'BD Comarcal'!$A$6:$AB$17,9,)/VLOOKUP(C202,'BD Comarcal'!$A$6:$AB$17,13,))),"")</f>
        <v>1.8400340353116357E-2</v>
      </c>
      <c r="E202" s="910">
        <f>IFERROR(IF(VLOOKUP(B202,'BD ASVICC'!$A$6:$GN$316,192,FALSE)&gt;0,VLOOKUP(B202,'BD ASVICC'!$A$6:$GN$316,192,FALSE),(VLOOKUP(C202,'BD Comarcal'!$A$6:$AB$17,14,)*F202)),"")</f>
        <v>13.81216003495223</v>
      </c>
      <c r="F202" s="904">
        <f t="shared" si="16"/>
        <v>3.3859972629320038E-3</v>
      </c>
      <c r="G202" s="910">
        <f t="shared" si="18"/>
        <v>0.25414844565483252</v>
      </c>
      <c r="H202" s="910">
        <f>IFERROR(VLOOKUP(B202, base,19,FALSE)*'4. Agricultura PIB'!$K$11/1000000,G202*'4. Agricultura PIB'!$F$54)</f>
        <v>2.3677775114990278</v>
      </c>
      <c r="I202" s="910">
        <f>G202*'4. Agricultura PIB'!$F$45</f>
        <v>8.3640253465005379E-2</v>
      </c>
      <c r="J202" s="952">
        <f>IFERROR((VLOOKUP(B202,base,19,FALSE)*'tecnicecon agric'!$D$65)/1000000,H202/3)</f>
        <v>1.0105523999999999</v>
      </c>
      <c r="K202" s="952">
        <f>IFERROR(VLOOKUP(B202,'cultius resum'!$T$6:$AU$306,22,FALSE)/1000000,0)</f>
        <v>0.27806999999999998</v>
      </c>
      <c r="L202" s="915">
        <f>K202*'A. Dades de partida'!$D$10</f>
        <v>4.1710500000000001</v>
      </c>
      <c r="M202" s="956">
        <f>IFERROR(VLOOKUP(B202,'cultius resum'!$T$6:$AU$308,28,FALSE)/1000000,0)</f>
        <v>2.4309983287057637</v>
      </c>
      <c r="N202" s="955">
        <f>M202*'A. Dades de partida'!$D$10+(((I202-M202)*'A. Dades de partida'!$D$10)/2)</f>
        <v>18.859789366280769</v>
      </c>
      <c r="O202" s="955">
        <f t="shared" si="19"/>
        <v>16.428791037575003</v>
      </c>
      <c r="P202" s="916">
        <f>J202*'A. Dades de partida'!$D$10</f>
        <v>15.158285999999999</v>
      </c>
      <c r="Q202" s="916">
        <f>J202+J202*'4. Agricultura PIB'!$D$71</f>
        <v>1.3076548055999999</v>
      </c>
      <c r="R202" s="916">
        <f>(((J202-Q202)*'A. Dades de partida'!$D$10)/2)+('A. Dades de partida'!$D$10*Q202)</f>
        <v>17.386554042</v>
      </c>
      <c r="S202" s="916">
        <f t="shared" si="20"/>
        <v>2.2282680420000016</v>
      </c>
    </row>
    <row r="203" spans="1:19">
      <c r="A203" s="835">
        <v>8202</v>
      </c>
      <c r="B203" s="826" t="s">
        <v>1437</v>
      </c>
      <c r="C203" s="319" t="str">
        <f t="shared" si="17"/>
        <v>Vallès Oriental</v>
      </c>
      <c r="D203" s="908">
        <f>IFERROR(IF(VLOOKUP(B203,'BD ASVICC'!$A$6:$GN$316,193,FALSE)&gt;0,VLOOKUP(B203,'BD ASVICC'!$A$6:$GN$316,193,FALSE),(VLOOKUP(C203,'BD Comarcal'!$A$6:$AB$17,9,)/VLOOKUP(C203,'BD Comarcal'!$A$6:$AB$17,13,))),"")</f>
        <v>6.0000000000000001E-3</v>
      </c>
      <c r="E203" s="910">
        <f>IFERROR(IF(VLOOKUP(B203,'BD ASVICC'!$A$6:$GN$316,192,FALSE)&gt;0,VLOOKUP(B203,'BD ASVICC'!$A$6:$GN$316,192,FALSE),(VLOOKUP(C203,'BD Comarcal'!$A$6:$AB$17,14,)*F203)),"")</f>
        <v>426</v>
      </c>
      <c r="F203" s="904">
        <f t="shared" si="16"/>
        <v>4.3703810753031112E-2</v>
      </c>
      <c r="G203" s="910">
        <f t="shared" si="18"/>
        <v>2.556</v>
      </c>
      <c r="H203" s="910">
        <f>IFERROR(VLOOKUP(B203, base,19,FALSE)*'4. Agricultura PIB'!$K$11/1000000,G203*'4. Agricultura PIB'!$F$54)</f>
        <v>0.2713226889556381</v>
      </c>
      <c r="I203" s="910">
        <f>G203*'4. Agricultura PIB'!$F$45</f>
        <v>0.84117960000000003</v>
      </c>
      <c r="J203" s="952">
        <f>IFERROR((VLOOKUP(B203,base,19,FALSE)*'tecnicecon agric'!$D$65)/1000000,H203/3)</f>
        <v>0.11579879999999999</v>
      </c>
      <c r="K203" s="952">
        <f>IFERROR(VLOOKUP(B203,'cultius resum'!$T$6:$AU$306,22,FALSE)/1000000,0)</f>
        <v>9.184054166666665E-2</v>
      </c>
      <c r="L203" s="915">
        <f>K203*'A. Dades de partida'!$D$10</f>
        <v>1.3776081249999999</v>
      </c>
      <c r="M203" s="956">
        <f>IFERROR(VLOOKUP(B203,'cultius resum'!$T$6:$AU$308,28,FALSE)/1000000,0)</f>
        <v>1.210249731323042</v>
      </c>
      <c r="N203" s="955">
        <f>M203*'A. Dades de partida'!$D$10+(((I203-M203)*'A. Dades de partida'!$D$10)/2)</f>
        <v>15.385719984922815</v>
      </c>
      <c r="O203" s="955">
        <f t="shared" si="19"/>
        <v>14.175470253599773</v>
      </c>
      <c r="P203" s="916">
        <f>J203*'A. Dades de partida'!$D$10</f>
        <v>1.7369819999999998</v>
      </c>
      <c r="Q203" s="916">
        <f>J203+J203*'4. Agricultura PIB'!$D$71</f>
        <v>0.14984364719999999</v>
      </c>
      <c r="R203" s="916">
        <f>(((J203-Q203)*'A. Dades de partida'!$D$10)/2)+('A. Dades de partida'!$D$10*Q203)</f>
        <v>1.9923183539999998</v>
      </c>
      <c r="S203" s="916">
        <f t="shared" si="20"/>
        <v>0.25533635399999999</v>
      </c>
    </row>
    <row r="204" spans="1:19">
      <c r="A204" s="835">
        <v>8203</v>
      </c>
      <c r="B204" s="826" t="s">
        <v>1443</v>
      </c>
      <c r="C204" s="319" t="str">
        <f t="shared" si="17"/>
        <v>Maresme</v>
      </c>
      <c r="D204" s="908">
        <f>IFERROR(IF(VLOOKUP(B204,'BD ASVICC'!$A$6:$GN$316,193,FALSE)&gt;0,VLOOKUP(B204,'BD ASVICC'!$A$6:$GN$316,193,FALSE),(VLOOKUP(C204,'BD Comarcal'!$A$6:$AB$17,9,)/VLOOKUP(C204,'BD Comarcal'!$A$6:$AB$17,13,))),"")</f>
        <v>1.0968348480100282E-2</v>
      </c>
      <c r="E204" s="910">
        <f>IFERROR(IF(VLOOKUP(B204,'BD ASVICC'!$A$6:$GN$316,192,FALSE)&gt;0,VLOOKUP(B204,'BD ASVICC'!$A$6:$GN$316,192,FALSE),(VLOOKUP(C204,'BD Comarcal'!$A$6:$AB$17,14,)*F204)),"")</f>
        <v>62.634256010690699</v>
      </c>
      <c r="F204" s="904">
        <f t="shared" si="16"/>
        <v>7.5401184584546043E-3</v>
      </c>
      <c r="G204" s="910">
        <f t="shared" si="18"/>
        <v>0.68699434671707127</v>
      </c>
      <c r="H204" s="910">
        <f>IFERROR(VLOOKUP(B204, base,19,FALSE)*'4. Agricultura PIB'!$K$11/1000000,G204*'4. Agricultura PIB'!$F$54)</f>
        <v>6.6523951757949795E-3</v>
      </c>
      <c r="I204" s="910">
        <f>G204*'4. Agricultura PIB'!$F$45</f>
        <v>0.22608983950458816</v>
      </c>
      <c r="J204" s="952">
        <f>IFERROR((VLOOKUP(B204,base,19,FALSE)*'tecnicecon agric'!$D$65)/1000000,H204/3)</f>
        <v>2.8391999999999996E-3</v>
      </c>
      <c r="K204" s="952">
        <f>IFERROR(VLOOKUP(B204,'cultius resum'!$T$6:$AU$306,22,FALSE)/1000000,0)</f>
        <v>5.8678958333333336E-2</v>
      </c>
      <c r="L204" s="915">
        <f>K204*'A. Dades de partida'!$D$10</f>
        <v>0.88018437500000002</v>
      </c>
      <c r="M204" s="956">
        <f>IFERROR(VLOOKUP(B204,'cultius resum'!$T$6:$AU$308,28,FALSE)/1000000,0)</f>
        <v>0.85129677527108827</v>
      </c>
      <c r="N204" s="955">
        <f>M204*'A. Dades de partida'!$D$10+(((I204-M204)*'A. Dades de partida'!$D$10)/2)</f>
        <v>8.0803996108175724</v>
      </c>
      <c r="O204" s="955">
        <f t="shared" si="19"/>
        <v>7.2291028355464846</v>
      </c>
      <c r="P204" s="916">
        <f>J204*'A. Dades de partida'!$D$10</f>
        <v>4.2587999999999994E-2</v>
      </c>
      <c r="Q204" s="916">
        <f>J204+J204*'4. Agricultura PIB'!$D$71</f>
        <v>3.6739247999999997E-3</v>
      </c>
      <c r="R204" s="916">
        <f>(((J204-Q204)*'A. Dades de partida'!$D$10)/2)+('A. Dades de partida'!$D$10*Q204)</f>
        <v>4.8848435999999995E-2</v>
      </c>
      <c r="S204" s="916">
        <f t="shared" si="20"/>
        <v>6.2604360000000012E-3</v>
      </c>
    </row>
    <row r="205" spans="1:19">
      <c r="A205" s="835">
        <v>8204</v>
      </c>
      <c r="B205" s="826" t="s">
        <v>1446</v>
      </c>
      <c r="C205" s="319" t="str">
        <f t="shared" si="17"/>
        <v>Baix Llobregat</v>
      </c>
      <c r="D205" s="908">
        <f>IFERROR(IF(VLOOKUP(B205,'BD ASVICC'!$A$6:$GN$316,193,FALSE)&gt;0,VLOOKUP(B205,'BD ASVICC'!$A$6:$GN$316,193,FALSE),(VLOOKUP(C205,'BD Comarcal'!$A$6:$AB$17,9,)/VLOOKUP(C205,'BD Comarcal'!$A$6:$AB$17,13,))),"")</f>
        <v>7.8252861716696001E-4</v>
      </c>
      <c r="E205" s="910">
        <f>IFERROR(IF(VLOOKUP(B205,'BD ASVICC'!$A$6:$GN$316,192,FALSE)&gt;0,VLOOKUP(B205,'BD ASVICC'!$A$6:$GN$316,192,FALSE),(VLOOKUP(C205,'BD Comarcal'!$A$6:$AB$17,14,)*F205)),"")</f>
        <v>112.94614851774887</v>
      </c>
      <c r="F205" s="904">
        <f t="shared" si="16"/>
        <v>4.9686189239680299E-3</v>
      </c>
      <c r="G205" s="910">
        <f t="shared" si="18"/>
        <v>8.838359341392811E-2</v>
      </c>
      <c r="H205" s="910">
        <f>IFERROR(VLOOKUP(B205, base,19,FALSE)*'4. Agricultura PIB'!$K$11/1000000,G205*'4. Agricultura PIB'!$F$54)</f>
        <v>1.995718552738494E-2</v>
      </c>
      <c r="I205" s="910">
        <f>G205*'4. Agricultura PIB'!$F$45</f>
        <v>2.908704059252374E-2</v>
      </c>
      <c r="J205" s="952">
        <f>IFERROR((VLOOKUP(B205,base,19,FALSE)*'tecnicecon agric'!$D$65)/1000000,H205/3)</f>
        <v>8.5175999999999984E-3</v>
      </c>
      <c r="K205" s="952">
        <f>IFERROR(VLOOKUP(B205,'cultius resum'!$T$6:$AU$306,22,FALSE)/1000000,0)</f>
        <v>4.9938333333333328E-3</v>
      </c>
      <c r="L205" s="915">
        <f>K205*'A. Dades de partida'!$D$10</f>
        <v>7.4907499999999988E-2</v>
      </c>
      <c r="M205" s="956">
        <f>IFERROR(VLOOKUP(B205,'cultius resum'!$T$6:$AU$308,28,FALSE)/1000000,0)</f>
        <v>7.1274565464404929E-2</v>
      </c>
      <c r="N205" s="955">
        <f>M205*'A. Dades de partida'!$D$10+(((I205-M205)*'A. Dades de partida'!$D$10)/2)</f>
        <v>0.75271204542696502</v>
      </c>
      <c r="O205" s="955">
        <f t="shared" si="19"/>
        <v>0.6814374799625601</v>
      </c>
      <c r="P205" s="916">
        <f>J205*'A. Dades de partida'!$D$10</f>
        <v>0.12776399999999999</v>
      </c>
      <c r="Q205" s="916">
        <f>J205+J205*'4. Agricultura PIB'!$D$71</f>
        <v>1.1021774399999998E-2</v>
      </c>
      <c r="R205" s="916">
        <f>(((J205-Q205)*'A. Dades de partida'!$D$10)/2)+('A. Dades de partida'!$D$10*Q205)</f>
        <v>0.14654530799999999</v>
      </c>
      <c r="S205" s="916">
        <f t="shared" si="20"/>
        <v>1.8781307999999997E-2</v>
      </c>
    </row>
    <row r="206" spans="1:19">
      <c r="A206" s="835">
        <v>8205</v>
      </c>
      <c r="B206" s="826" t="s">
        <v>1450</v>
      </c>
      <c r="C206" s="319" t="str">
        <f t="shared" si="17"/>
        <v>Vallès Occidental</v>
      </c>
      <c r="D206" s="908">
        <f>IFERROR(IF(VLOOKUP(B206,'BD ASVICC'!$A$6:$GN$316,193,FALSE)&gt;0,VLOOKUP(B206,'BD ASVICC'!$A$6:$GN$316,193,FALSE),(VLOOKUP(C206,'BD Comarcal'!$A$6:$AB$17,9,)/VLOOKUP(C206,'BD Comarcal'!$A$6:$AB$17,13,))),"")</f>
        <v>3.6775782925402761E-4</v>
      </c>
      <c r="E206" s="910">
        <f>IFERROR(IF(VLOOKUP(B206,'BD ASVICC'!$A$6:$GN$316,192,FALSE)&gt;0,VLOOKUP(B206,'BD ASVICC'!$A$6:$GN$316,192,FALSE),(VLOOKUP(C206,'BD Comarcal'!$A$6:$AB$17,14,)*F206)),"")</f>
        <v>3993</v>
      </c>
      <c r="F206" s="904">
        <f t="shared" si="16"/>
        <v>9.8337830664425377E-2</v>
      </c>
      <c r="G206" s="910">
        <f t="shared" si="18"/>
        <v>1.4684570122113323</v>
      </c>
      <c r="H206" s="910">
        <f>IFERROR(VLOOKUP(B206, base,19,FALSE)*'4. Agricultura PIB'!$K$11/1000000,G206*'4. Agricultura PIB'!$F$54)</f>
        <v>9.0757677041202939E-2</v>
      </c>
      <c r="I206" s="910">
        <f>G206*'4. Agricultura PIB'!$F$45</f>
        <v>0.48326920271874946</v>
      </c>
      <c r="J206" s="952">
        <f>IFERROR((VLOOKUP(B206,base,19,FALSE)*'tecnicecon agric'!$D$65)/1000000,H206/3)</f>
        <v>3.8734799999999993E-2</v>
      </c>
      <c r="K206" s="952">
        <f>IFERROR(VLOOKUP(B206,'cultius resum'!$T$6:$AU$306,22,FALSE)/1000000,0)</f>
        <v>3.0186500000000002E-2</v>
      </c>
      <c r="L206" s="915">
        <f>K206*'A. Dades de partida'!$D$10</f>
        <v>0.45279750000000002</v>
      </c>
      <c r="M206" s="956">
        <f>IFERROR(VLOOKUP(B206,'cultius resum'!$T$6:$AU$308,28,FALSE)/1000000,0)</f>
        <v>0.29151885849244846</v>
      </c>
      <c r="N206" s="955">
        <f>M206*'A. Dades de partida'!$D$10+(((I206-M206)*'A. Dades de partida'!$D$10)/2)</f>
        <v>5.810910459083984</v>
      </c>
      <c r="O206" s="955">
        <f t="shared" si="19"/>
        <v>5.5193916005915353</v>
      </c>
      <c r="P206" s="916">
        <f>J206*'A. Dades de partida'!$D$10</f>
        <v>0.58102199999999993</v>
      </c>
      <c r="Q206" s="916">
        <f>J206+J206*'4. Agricultura PIB'!$D$71</f>
        <v>5.0122831199999988E-2</v>
      </c>
      <c r="R206" s="916">
        <f>(((J206-Q206)*'A. Dades de partida'!$D$10)/2)+('A. Dades de partida'!$D$10*Q206)</f>
        <v>0.66643223399999996</v>
      </c>
      <c r="S206" s="916">
        <f t="shared" si="20"/>
        <v>8.5410234000000029E-2</v>
      </c>
    </row>
    <row r="207" spans="1:19">
      <c r="A207" s="835">
        <v>8206</v>
      </c>
      <c r="B207" s="826" t="s">
        <v>1457</v>
      </c>
      <c r="C207" s="319" t="str">
        <f t="shared" si="17"/>
        <v>Alt Penedès</v>
      </c>
      <c r="D207" s="908">
        <f>IFERROR(IF(VLOOKUP(B207,'BD ASVICC'!$A$6:$GN$316,193,FALSE)&gt;0,VLOOKUP(B207,'BD ASVICC'!$A$6:$GN$316,193,FALSE),(VLOOKUP(C207,'BD Comarcal'!$A$6:$AB$17,9,)/VLOOKUP(C207,'BD Comarcal'!$A$6:$AB$17,13,))),"")</f>
        <v>1.0966842723004694E-2</v>
      </c>
      <c r="E207" s="910">
        <f>IFERROR(IF(VLOOKUP(B207,'BD ASVICC'!$A$6:$GN$316,192,FALSE)&gt;0,VLOOKUP(B207,'BD ASVICC'!$A$6:$GN$316,192,FALSE),(VLOOKUP(C207,'BD Comarcal'!$A$6:$AB$17,14,)*F207)),"")</f>
        <v>27.074623382733471</v>
      </c>
      <c r="F207" s="904">
        <f t="shared" si="16"/>
        <v>9.1554928252175951E-3</v>
      </c>
      <c r="G207" s="910">
        <f t="shared" si="18"/>
        <v>0.29692313642302326</v>
      </c>
      <c r="H207" s="910">
        <f>IFERROR(VLOOKUP(B207, base,19,FALSE)*'4. Agricultura PIB'!$K$11/1000000,G207*'4. Agricultura PIB'!$F$54)</f>
        <v>1.4255132519560671E-3</v>
      </c>
      <c r="I207" s="910">
        <f>G207*'4. Agricultura PIB'!$F$45</f>
        <v>9.7717404196816959E-2</v>
      </c>
      <c r="J207" s="952">
        <f>IFERROR((VLOOKUP(B207,base,19,FALSE)*'tecnicecon agric'!$D$65)/1000000,H207/3)</f>
        <v>6.0839999999999993E-4</v>
      </c>
      <c r="K207" s="952">
        <f>IFERROR(VLOOKUP(B207,'cultius resum'!$T$6:$AU$306,22,FALSE)/1000000,0)</f>
        <v>1.4735333333333333E-2</v>
      </c>
      <c r="L207" s="915">
        <f>K207*'A. Dades de partida'!$D$10</f>
        <v>0.22103</v>
      </c>
      <c r="M207" s="956">
        <f>IFERROR(VLOOKUP(B207,'cultius resum'!$T$6:$AU$308,28,FALSE)/1000000,0)</f>
        <v>0.12882213365791229</v>
      </c>
      <c r="N207" s="955">
        <f>M207*'A. Dades de partida'!$D$10+(((I207-M207)*'A. Dades de partida'!$D$10)/2)</f>
        <v>1.6990465339104692</v>
      </c>
      <c r="O207" s="955">
        <f t="shared" si="19"/>
        <v>1.5702244002525569</v>
      </c>
      <c r="P207" s="916">
        <f>J207*'A. Dades de partida'!$D$10</f>
        <v>9.1259999999999987E-3</v>
      </c>
      <c r="Q207" s="916">
        <f>J207+J207*'4. Agricultura PIB'!$D$71</f>
        <v>7.8726959999999993E-4</v>
      </c>
      <c r="R207" s="916">
        <f>(((J207-Q207)*'A. Dades de partida'!$D$10)/2)+('A. Dades de partida'!$D$10*Q207)</f>
        <v>1.0467522E-2</v>
      </c>
      <c r="S207" s="916">
        <f t="shared" si="20"/>
        <v>1.3415220000000012E-3</v>
      </c>
    </row>
    <row r="208" spans="1:19" ht="30">
      <c r="A208" s="835">
        <v>8207</v>
      </c>
      <c r="B208" s="826" t="s">
        <v>1458</v>
      </c>
      <c r="C208" s="319" t="str">
        <f t="shared" si="17"/>
        <v>Vallès Oriental</v>
      </c>
      <c r="D208" s="908">
        <f>IFERROR(IF(VLOOKUP(B208,'BD ASVICC'!$A$6:$GN$316,193,FALSE)&gt;0,VLOOKUP(B208,'BD ASVICC'!$A$6:$GN$316,193,FALSE),(VLOOKUP(C208,'BD Comarcal'!$A$6:$AB$17,9,)/VLOOKUP(C208,'BD Comarcal'!$A$6:$AB$17,13,))),"")</f>
        <v>3.6614258022830064E-3</v>
      </c>
      <c r="E208" s="910">
        <f>IFERROR(IF(VLOOKUP(B208,'BD ASVICC'!$A$6:$GN$316,192,FALSE)&gt;0,VLOOKUP(B208,'BD ASVICC'!$A$6:$GN$316,192,FALSE),(VLOOKUP(C208,'BD Comarcal'!$A$6:$AB$17,14,)*F208)),"")</f>
        <v>71.747755507826312</v>
      </c>
      <c r="F208" s="904">
        <f t="shared" si="16"/>
        <v>6.4758383208168672E-3</v>
      </c>
      <c r="G208" s="910">
        <f t="shared" si="18"/>
        <v>0.26269908327224795</v>
      </c>
      <c r="H208" s="910">
        <f>IFERROR(VLOOKUP(B208, base,19,FALSE)*'4. Agricultura PIB'!$K$11/1000000,G208*'4. Agricultura PIB'!$F$54)</f>
        <v>0.19624565768595192</v>
      </c>
      <c r="I208" s="910">
        <f>G208*'4. Agricultura PIB'!$F$45</f>
        <v>8.6454268304896803E-2</v>
      </c>
      <c r="J208" s="952">
        <f>IFERROR((VLOOKUP(B208,base,19,FALSE)*'tecnicecon agric'!$D$65)/1000000,H208/3)</f>
        <v>8.3756399999999995E-2</v>
      </c>
      <c r="K208" s="952">
        <f>IFERROR(VLOOKUP(B208,'cultius resum'!$T$6:$AU$306,22,FALSE)/1000000,0)</f>
        <v>0.11455612499999999</v>
      </c>
      <c r="L208" s="915">
        <f>K208*'A. Dades de partida'!$D$10</f>
        <v>1.7183418749999999</v>
      </c>
      <c r="M208" s="956">
        <f>IFERROR(VLOOKUP(B208,'cultius resum'!$T$6:$AU$308,28,FALSE)/1000000,0)</f>
        <v>1.588345576519506</v>
      </c>
      <c r="N208" s="955">
        <f>M208*'A. Dades de partida'!$D$10+(((I208-M208)*'A. Dades de partida'!$D$10)/2)</f>
        <v>12.560998836183023</v>
      </c>
      <c r="O208" s="955">
        <f t="shared" si="19"/>
        <v>10.972653259663517</v>
      </c>
      <c r="P208" s="916">
        <f>J208*'A. Dades de partida'!$D$10</f>
        <v>1.256346</v>
      </c>
      <c r="Q208" s="916">
        <f>J208+J208*'4. Agricultura PIB'!$D$71</f>
        <v>0.10838078159999999</v>
      </c>
      <c r="R208" s="916">
        <f>(((J208-Q208)*'A. Dades de partida'!$D$10)/2)+('A. Dades de partida'!$D$10*Q208)</f>
        <v>1.441028862</v>
      </c>
      <c r="S208" s="916">
        <f t="shared" si="20"/>
        <v>0.18468286200000006</v>
      </c>
    </row>
    <row r="209" spans="1:19">
      <c r="A209" s="835">
        <v>8208</v>
      </c>
      <c r="B209" s="826" t="s">
        <v>1463</v>
      </c>
      <c r="C209" s="319" t="str">
        <f t="shared" si="17"/>
        <v>Baix Llobregat</v>
      </c>
      <c r="D209" s="908">
        <f>IFERROR(IF(VLOOKUP(B209,'BD ASVICC'!$A$6:$GN$316,193,FALSE)&gt;0,VLOOKUP(B209,'BD ASVICC'!$A$6:$GN$316,193,FALSE),(VLOOKUP(C209,'BD Comarcal'!$A$6:$AB$17,9,)/VLOOKUP(C209,'BD Comarcal'!$A$6:$AB$17,13,))),"")</f>
        <v>1E-3</v>
      </c>
      <c r="E209" s="910">
        <f>IFERROR(IF(VLOOKUP(B209,'BD ASVICC'!$A$6:$GN$316,192,FALSE)&gt;0,VLOOKUP(B209,'BD ASVICC'!$A$6:$GN$316,192,FALSE),(VLOOKUP(C209,'BD Comarcal'!$A$6:$AB$17,14,)*F209)),"")</f>
        <v>487</v>
      </c>
      <c r="F209" s="904">
        <f t="shared" si="16"/>
        <v>9.4384003615337036E-3</v>
      </c>
      <c r="G209" s="910">
        <f t="shared" si="18"/>
        <v>0.48699999999999999</v>
      </c>
      <c r="H209" s="910">
        <f>IFERROR(VLOOKUP(B209, base,19,FALSE)*'4. Agricultura PIB'!$K$11/1000000,G209*'4. Agricultura PIB'!$F$54)</f>
        <v>2.1382698779341007E-2</v>
      </c>
      <c r="I209" s="910">
        <f>G209*'4. Agricultura PIB'!$F$45</f>
        <v>0.16027169999999999</v>
      </c>
      <c r="J209" s="952">
        <f>IFERROR((VLOOKUP(B209,base,19,FALSE)*'tecnicecon agric'!$D$65)/1000000,H209/3)</f>
        <v>9.1260000000000004E-3</v>
      </c>
      <c r="K209" s="952">
        <f>IFERROR(VLOOKUP(B209,'cultius resum'!$T$6:$AU$306,22,FALSE)/1000000,0)</f>
        <v>6.5959583333333335E-2</v>
      </c>
      <c r="L209" s="915">
        <f>K209*'A. Dades de partida'!$D$10</f>
        <v>0.98939375000000007</v>
      </c>
      <c r="M209" s="956">
        <f>IFERROR(VLOOKUP(B209,'cultius resum'!$T$6:$AU$308,28,FALSE)/1000000,0)</f>
        <v>0.64568609225827467</v>
      </c>
      <c r="N209" s="955">
        <f>M209*'A. Dades de partida'!$D$10+(((I209-M209)*'A. Dades de partida'!$D$10)/2)</f>
        <v>6.0446834419370594</v>
      </c>
      <c r="O209" s="955">
        <f t="shared" si="19"/>
        <v>5.3989973496787851</v>
      </c>
      <c r="P209" s="916">
        <f>J209*'A. Dades de partida'!$D$10</f>
        <v>0.13689000000000001</v>
      </c>
      <c r="Q209" s="916">
        <f>J209+J209*'4. Agricultura PIB'!$D$71</f>
        <v>1.1809044000000001E-2</v>
      </c>
      <c r="R209" s="916">
        <f>(((J209-Q209)*'A. Dades de partida'!$D$10)/2)+('A. Dades de partida'!$D$10*Q209)</f>
        <v>0.15701283000000002</v>
      </c>
      <c r="S209" s="916">
        <f t="shared" si="20"/>
        <v>2.0122830000000008E-2</v>
      </c>
    </row>
    <row r="210" spans="1:19" ht="30">
      <c r="A210" s="835">
        <v>8209</v>
      </c>
      <c r="B210" s="826" t="s">
        <v>1464</v>
      </c>
      <c r="C210" s="319" t="str">
        <f t="shared" si="17"/>
        <v>Vallès Oriental</v>
      </c>
      <c r="D210" s="908">
        <f>IFERROR(IF(VLOOKUP(B210,'BD ASVICC'!$A$6:$GN$316,193,FALSE)&gt;0,VLOOKUP(B210,'BD ASVICC'!$A$6:$GN$316,193,FALSE),(VLOOKUP(C210,'BD Comarcal'!$A$6:$AB$17,9,)/VLOOKUP(C210,'BD Comarcal'!$A$6:$AB$17,13,))),"")</f>
        <v>3.6614258022830064E-3</v>
      </c>
      <c r="E210" s="910">
        <f>IFERROR(IF(VLOOKUP(B210,'BD ASVICC'!$A$6:$GN$316,192,FALSE)&gt;0,VLOOKUP(B210,'BD ASVICC'!$A$6:$GN$316,192,FALSE),(VLOOKUP(C210,'BD Comarcal'!$A$6:$AB$17,14,)*F210)),"")</f>
        <v>159</v>
      </c>
      <c r="F210" s="904">
        <f t="shared" si="16"/>
        <v>2.1552905530998808E-2</v>
      </c>
      <c r="G210" s="910">
        <f t="shared" si="18"/>
        <v>0.58216670256299796</v>
      </c>
      <c r="H210" s="910">
        <f>IFERROR(VLOOKUP(B210, base,19,FALSE)*'4. Agricultura PIB'!$K$11/1000000,G210*'4. Agricultura PIB'!$F$54)</f>
        <v>0.37893230669825539</v>
      </c>
      <c r="I210" s="910">
        <f>G210*'4. Agricultura PIB'!$F$45</f>
        <v>0.19159106181348262</v>
      </c>
      <c r="J210" s="952">
        <f>IFERROR((VLOOKUP(B210,base,19,FALSE)*'tecnicecon agric'!$D$65)/1000000,H210/3)</f>
        <v>0.12631076889941847</v>
      </c>
      <c r="K210" s="952">
        <f>IFERROR(VLOOKUP(B210,'cultius resum'!$T$6:$AU$306,22,FALSE)/1000000,0)</f>
        <v>1.129625E-3</v>
      </c>
      <c r="L210" s="915">
        <f>K210*'A. Dades de partida'!$D$10</f>
        <v>1.6944375000000001E-2</v>
      </c>
      <c r="M210" s="956">
        <f>IFERROR(VLOOKUP(B210,'cultius resum'!$T$6:$AU$308,28,FALSE)/1000000,0)</f>
        <v>1.6779753191440649E-2</v>
      </c>
      <c r="N210" s="955">
        <f>M210*'A. Dades de partida'!$D$10+(((I210-M210)*'A. Dades de partida'!$D$10)/2)</f>
        <v>1.5627811125369246</v>
      </c>
      <c r="O210" s="955">
        <f t="shared" si="19"/>
        <v>1.546001359345484</v>
      </c>
      <c r="P210" s="916">
        <f>J210*'A. Dades de partida'!$D$10</f>
        <v>1.8946615334912771</v>
      </c>
      <c r="Q210" s="916">
        <f>J210+J210*'4. Agricultura PIB'!$D$71</f>
        <v>0.16344613495584751</v>
      </c>
      <c r="R210" s="916">
        <f>(((J210-Q210)*'A. Dades de partida'!$D$10)/2)+('A. Dades de partida'!$D$10*Q210)</f>
        <v>2.1731767789144949</v>
      </c>
      <c r="S210" s="916">
        <f t="shared" si="20"/>
        <v>0.27851524542321782</v>
      </c>
    </row>
    <row r="211" spans="1:19">
      <c r="A211" s="835">
        <v>8210</v>
      </c>
      <c r="B211" s="826" t="s">
        <v>1466</v>
      </c>
      <c r="C211" s="319" t="str">
        <f t="shared" si="17"/>
        <v>Vallès Oriental</v>
      </c>
      <c r="D211" s="908">
        <f>IFERROR(IF(VLOOKUP(B211,'BD ASVICC'!$A$6:$GN$316,193,FALSE)&gt;0,VLOOKUP(B211,'BD ASVICC'!$A$6:$GN$316,193,FALSE),(VLOOKUP(C211,'BD Comarcal'!$A$6:$AB$17,9,)/VLOOKUP(C211,'BD Comarcal'!$A$6:$AB$17,13,))),"")</f>
        <v>4.0000000000000001E-3</v>
      </c>
      <c r="E211" s="910">
        <f>IFERROR(IF(VLOOKUP(B211,'BD ASVICC'!$A$6:$GN$316,192,FALSE)&gt;0,VLOOKUP(B211,'BD ASVICC'!$A$6:$GN$316,192,FALSE),(VLOOKUP(C211,'BD Comarcal'!$A$6:$AB$17,14,)*F211)),"")</f>
        <v>75</v>
      </c>
      <c r="F211" s="904">
        <f t="shared" si="16"/>
        <v>1.4870258983699525E-2</v>
      </c>
      <c r="G211" s="910">
        <f t="shared" si="18"/>
        <v>0.3</v>
      </c>
      <c r="H211" s="910">
        <f>IFERROR(VLOOKUP(B211, base,19,FALSE)*'4. Agricultura PIB'!$K$11/1000000,G211*'4. Agricultura PIB'!$F$54)</f>
        <v>0.51175925745222806</v>
      </c>
      <c r="I211" s="910">
        <f>G211*'4. Agricultura PIB'!$F$45</f>
        <v>9.8729999999999998E-2</v>
      </c>
      <c r="J211" s="952">
        <f>IFERROR((VLOOKUP(B211,base,19,FALSE)*'tecnicecon agric'!$D$65)/1000000,H211/3)</f>
        <v>0.21841559999999999</v>
      </c>
      <c r="K211" s="952">
        <f>IFERROR(VLOOKUP(B211,'cultius resum'!$T$6:$AU$306,22,FALSE)/1000000,0)</f>
        <v>2.6501250000000001E-2</v>
      </c>
      <c r="L211" s="915">
        <f>K211*'A. Dades de partida'!$D$10</f>
        <v>0.39751875000000003</v>
      </c>
      <c r="M211" s="956">
        <f>IFERROR(VLOOKUP(B211,'cultius resum'!$T$6:$AU$308,28,FALSE)/1000000,0)</f>
        <v>0.24549269401364018</v>
      </c>
      <c r="N211" s="955">
        <f>M211*'A. Dades de partida'!$D$10+(((I211-M211)*'A. Dades de partida'!$D$10)/2)</f>
        <v>2.5816702051023013</v>
      </c>
      <c r="O211" s="955">
        <f t="shared" si="19"/>
        <v>2.3361775110886609</v>
      </c>
      <c r="P211" s="916">
        <f>J211*'A. Dades de partida'!$D$10</f>
        <v>3.2762339999999996</v>
      </c>
      <c r="Q211" s="916">
        <f>J211+J211*'4. Agricultura PIB'!$D$71</f>
        <v>0.28262978639999997</v>
      </c>
      <c r="R211" s="916">
        <f>(((J211-Q211)*'A. Dades de partida'!$D$10)/2)+('A. Dades de partida'!$D$10*Q211)</f>
        <v>3.7578403979999995</v>
      </c>
      <c r="S211" s="916">
        <f t="shared" si="20"/>
        <v>0.48160639799999982</v>
      </c>
    </row>
    <row r="212" spans="1:19">
      <c r="A212" s="835">
        <v>8211</v>
      </c>
      <c r="B212" s="826" t="s">
        <v>1028</v>
      </c>
      <c r="C212" s="319" t="str">
        <f t="shared" si="17"/>
        <v>Baix Llobregat</v>
      </c>
      <c r="D212" s="908">
        <f>IFERROR(IF(VLOOKUP(B212,'BD ASVICC'!$A$6:$GN$316,193,FALSE)&gt;0,VLOOKUP(B212,'BD ASVICC'!$A$6:$GN$316,193,FALSE),(VLOOKUP(C212,'BD Comarcal'!$A$6:$AB$17,9,)/VLOOKUP(C212,'BD Comarcal'!$A$6:$AB$17,13,))),"")</f>
        <v>1E-3</v>
      </c>
      <c r="E212" s="910">
        <f>IFERROR(IF(VLOOKUP(B212,'BD ASVICC'!$A$6:$GN$316,192,FALSE)&gt;0,VLOOKUP(B212,'BD ASVICC'!$A$6:$GN$316,192,FALSE),(VLOOKUP(C212,'BD Comarcal'!$A$6:$AB$17,14,)*F212)),"")</f>
        <v>881</v>
      </c>
      <c r="F212" s="904">
        <f t="shared" si="16"/>
        <v>5.4435023330530456E-2</v>
      </c>
      <c r="G212" s="910">
        <f t="shared" si="18"/>
        <v>0.88100000000000001</v>
      </c>
      <c r="H212" s="910">
        <f>IFERROR(VLOOKUP(B212, base,19,FALSE)*'4. Agricultura PIB'!$K$11/1000000,G212*'4. Agricultura PIB'!$F$54)</f>
        <v>4.0389542138755237E-2</v>
      </c>
      <c r="I212" s="910">
        <f>G212*'4. Agricultura PIB'!$F$45</f>
        <v>0.2899371</v>
      </c>
      <c r="J212" s="952">
        <f>IFERROR((VLOOKUP(B212,base,19,FALSE)*'tecnicecon agric'!$D$65)/1000000,H212/3)</f>
        <v>1.7238E-2</v>
      </c>
      <c r="K212" s="952">
        <f>IFERROR(VLOOKUP(B212,'cultius resum'!$T$6:$AU$306,22,FALSE)/1000000,0)</f>
        <v>4.8573875000000002E-2</v>
      </c>
      <c r="L212" s="915">
        <f>K212*'A. Dades de partida'!$D$10</f>
        <v>0.72860812500000005</v>
      </c>
      <c r="M212" s="956">
        <f>IFERROR(VLOOKUP(B212,'cultius resum'!$T$6:$AU$308,28,FALSE)/1000000,0)</f>
        <v>0.72152938723194793</v>
      </c>
      <c r="N212" s="955">
        <f>M212*'A. Dades de partida'!$D$10+(((I212-M212)*'A. Dades de partida'!$D$10)/2)</f>
        <v>7.5859986542396092</v>
      </c>
      <c r="O212" s="955">
        <f t="shared" si="19"/>
        <v>6.864469267007661</v>
      </c>
      <c r="P212" s="916">
        <f>J212*'A. Dades de partida'!$D$10</f>
        <v>0.25857000000000002</v>
      </c>
      <c r="Q212" s="916">
        <f>J212+J212*'4. Agricultura PIB'!$D$71</f>
        <v>2.2305972E-2</v>
      </c>
      <c r="R212" s="916">
        <f>(((J212-Q212)*'A. Dades de partida'!$D$10)/2)+('A. Dades de partida'!$D$10*Q212)</f>
        <v>0.29657979000000001</v>
      </c>
      <c r="S212" s="916">
        <f t="shared" si="20"/>
        <v>3.8009789999999988E-2</v>
      </c>
    </row>
    <row r="213" spans="1:19">
      <c r="A213" s="835">
        <v>8212</v>
      </c>
      <c r="B213" s="826" t="s">
        <v>1470</v>
      </c>
      <c r="C213" s="319" t="str">
        <f t="shared" si="17"/>
        <v>Bages</v>
      </c>
      <c r="D213" s="908">
        <f>IFERROR(IF(VLOOKUP(B213,'BD ASVICC'!$A$6:$GN$316,193,FALSE)&gt;0,VLOOKUP(B213,'BD ASVICC'!$A$6:$GN$316,193,FALSE),(VLOOKUP(C213,'BD Comarcal'!$A$6:$AB$17,9,)/VLOOKUP(C213,'BD Comarcal'!$A$6:$AB$17,13,))),"")</f>
        <v>9.2529216416964537E-3</v>
      </c>
      <c r="E213" s="910">
        <f>IFERROR(IF(VLOOKUP(B213,'BD ASVICC'!$A$6:$GN$316,192,FALSE)&gt;0,VLOOKUP(B213,'BD ASVICC'!$A$6:$GN$316,192,FALSE),(VLOOKUP(C213,'BD Comarcal'!$A$6:$AB$17,14,)*F213)),"")</f>
        <v>15.016340082921879</v>
      </c>
      <c r="F213" s="904">
        <f t="shared" si="16"/>
        <v>3.5095566604159858E-3</v>
      </c>
      <c r="G213" s="910">
        <f t="shared" si="18"/>
        <v>0.13894501813234178</v>
      </c>
      <c r="H213" s="910">
        <f>IFERROR(VLOOKUP(B213, base,19,FALSE)*'4. Agricultura PIB'!$K$11/1000000,G213*'4. Agricultura PIB'!$F$54)</f>
        <v>1.4939378880499583</v>
      </c>
      <c r="I213" s="910">
        <f>G213*'4. Agricultura PIB'!$F$45</f>
        <v>4.5726805467353679E-2</v>
      </c>
      <c r="J213" s="952">
        <f>IFERROR((VLOOKUP(B213,base,19,FALSE)*'tecnicecon agric'!$D$65)/1000000,H213/3)</f>
        <v>0.63760319999999993</v>
      </c>
      <c r="K213" s="952">
        <f>IFERROR(VLOOKUP(B213,'cultius resum'!$T$6:$AU$306,22,FALSE)/1000000,0)</f>
        <v>0.26131591666666665</v>
      </c>
      <c r="L213" s="915">
        <f>K213*'A. Dades de partida'!$D$10</f>
        <v>3.9197387499999996</v>
      </c>
      <c r="M213" s="956">
        <f>IFERROR(VLOOKUP(B213,'cultius resum'!$T$6:$AU$308,28,FALSE)/1000000,0)</f>
        <v>2.2983357271429519</v>
      </c>
      <c r="N213" s="955">
        <f>M213*'A. Dades de partida'!$D$10+(((I213-M213)*'A. Dades de partida'!$D$10)/2)</f>
        <v>17.580468994577288</v>
      </c>
      <c r="O213" s="955">
        <f t="shared" si="19"/>
        <v>15.282133267434336</v>
      </c>
      <c r="P213" s="916">
        <f>J213*'A. Dades de partida'!$D$10</f>
        <v>9.5640479999999997</v>
      </c>
      <c r="Q213" s="916">
        <f>J213+J213*'4. Agricultura PIB'!$D$71</f>
        <v>0.82505854079999996</v>
      </c>
      <c r="R213" s="916">
        <f>(((J213-Q213)*'A. Dades de partida'!$D$10)/2)+('A. Dades de partida'!$D$10*Q213)</f>
        <v>10.969963055999999</v>
      </c>
      <c r="S213" s="916">
        <f t="shared" si="20"/>
        <v>1.4059150559999996</v>
      </c>
    </row>
    <row r="214" spans="1:19">
      <c r="A214" s="835">
        <v>8213</v>
      </c>
      <c r="B214" s="826" t="s">
        <v>1473</v>
      </c>
      <c r="C214" s="319" t="str">
        <f t="shared" si="17"/>
        <v>Bages</v>
      </c>
      <c r="D214" s="908">
        <f>IFERROR(IF(VLOOKUP(B214,'BD ASVICC'!$A$6:$GN$316,193,FALSE)&gt;0,VLOOKUP(B214,'BD ASVICC'!$A$6:$GN$316,193,FALSE),(VLOOKUP(C214,'BD Comarcal'!$A$6:$AB$17,9,)/VLOOKUP(C214,'BD Comarcal'!$A$6:$AB$17,13,))),"")</f>
        <v>5.0000000000000001E-3</v>
      </c>
      <c r="E214" s="910">
        <f>IFERROR(IF(VLOOKUP(B214,'BD ASVICC'!$A$6:$GN$316,192,FALSE)&gt;0,VLOOKUP(B214,'BD ASVICC'!$A$6:$GN$316,192,FALSE),(VLOOKUP(C214,'BD Comarcal'!$A$6:$AB$17,14,)*F214)),"")</f>
        <v>428</v>
      </c>
      <c r="F214" s="904">
        <f t="shared" ref="F214:F277" si="21">VLOOKUP(B214,base,24,FALSE)/VLOOKUP(C214,basec,26,FALSE)</f>
        <v>4.8095836128936066E-2</v>
      </c>
      <c r="G214" s="910">
        <f t="shared" si="18"/>
        <v>2.14</v>
      </c>
      <c r="H214" s="910">
        <f>IFERROR(VLOOKUP(B214, base,19,FALSE)*'4. Agricultura PIB'!$K$11/1000000,G214*'4. Agricultura PIB'!$F$54)</f>
        <v>2.1848366441646654</v>
      </c>
      <c r="I214" s="910">
        <f>G214*'4. Agricultura PIB'!$F$45</f>
        <v>0.70427400000000007</v>
      </c>
      <c r="J214" s="952">
        <f>IFERROR((VLOOKUP(B214,base,19,FALSE)*'tecnicecon agric'!$D$65)/1000000,H214/3)</f>
        <v>0.93247439999999993</v>
      </c>
      <c r="K214" s="952">
        <f>IFERROR(VLOOKUP(B214,'cultius resum'!$T$6:$AU$306,22,FALSE)/1000000,0)</f>
        <v>0.45134316666666663</v>
      </c>
      <c r="L214" s="915">
        <f>K214*'A. Dades de partida'!$D$10</f>
        <v>6.7701474999999993</v>
      </c>
      <c r="M214" s="956">
        <f>IFERROR(VLOOKUP(B214,'cultius resum'!$T$6:$AU$308,28,FALSE)/1000000,0)</f>
        <v>4.0839035980041958</v>
      </c>
      <c r="N214" s="955">
        <f>M214*'A. Dades de partida'!$D$10+(((I214-M214)*'A. Dades de partida'!$D$10)/2)</f>
        <v>35.911331985031467</v>
      </c>
      <c r="O214" s="955">
        <f t="shared" si="19"/>
        <v>31.827428387027272</v>
      </c>
      <c r="P214" s="916">
        <f>J214*'A. Dades de partida'!$D$10</f>
        <v>13.987115999999999</v>
      </c>
      <c r="Q214" s="916">
        <f>J214+J214*'4. Agricultura PIB'!$D$71</f>
        <v>1.2066218735999998</v>
      </c>
      <c r="R214" s="916">
        <f>(((J214-Q214)*'A. Dades de partida'!$D$10)/2)+('A. Dades de partida'!$D$10*Q214)</f>
        <v>16.043222051999997</v>
      </c>
      <c r="S214" s="916">
        <f t="shared" si="20"/>
        <v>2.0561060519999987</v>
      </c>
    </row>
    <row r="215" spans="1:19">
      <c r="A215" s="835">
        <v>8214</v>
      </c>
      <c r="B215" s="826" t="s">
        <v>1474</v>
      </c>
      <c r="C215" s="319" t="str">
        <f t="shared" si="17"/>
        <v>Maresme</v>
      </c>
      <c r="D215" s="908">
        <f>IFERROR(IF(VLOOKUP(B215,'BD ASVICC'!$A$6:$GN$316,193,FALSE)&gt;0,VLOOKUP(B215,'BD ASVICC'!$A$6:$GN$316,193,FALSE),(VLOOKUP(C215,'BD Comarcal'!$A$6:$AB$17,9,)/VLOOKUP(C215,'BD Comarcal'!$A$6:$AB$17,13,))),"")</f>
        <v>2.4E-2</v>
      </c>
      <c r="E215" s="910">
        <f>IFERROR(IF(VLOOKUP(B215,'BD ASVICC'!$A$6:$GN$316,192,FALSE)&gt;0,VLOOKUP(B215,'BD ASVICC'!$A$6:$GN$316,192,FALSE),(VLOOKUP(C215,'BD Comarcal'!$A$6:$AB$17,14,)*F215)),"")</f>
        <v>280</v>
      </c>
      <c r="F215" s="904">
        <f t="shared" si="21"/>
        <v>2.0278366043419666E-2</v>
      </c>
      <c r="G215" s="910">
        <f t="shared" si="18"/>
        <v>6.72</v>
      </c>
      <c r="H215" s="910">
        <f>IFERROR(VLOOKUP(B215, base,19,FALSE)*'4. Agricultura PIB'!$K$11/1000000,G215*'4. Agricultura PIB'!$F$54)</f>
        <v>5.0843305986433066E-2</v>
      </c>
      <c r="I215" s="910">
        <f>G215*'4. Agricultura PIB'!$F$45</f>
        <v>2.2115519999999997</v>
      </c>
      <c r="J215" s="952">
        <f>IFERROR((VLOOKUP(B215,base,19,FALSE)*'tecnicecon agric'!$D$65)/1000000,H215/3)</f>
        <v>2.1699599999999999E-2</v>
      </c>
      <c r="K215" s="952">
        <f>IFERROR(VLOOKUP(B215,'cultius resum'!$T$6:$AU$306,22,FALSE)/1000000,0)</f>
        <v>7.2117041666666673E-2</v>
      </c>
      <c r="L215" s="915">
        <f>K215*'A. Dades de partida'!$D$10</f>
        <v>1.081755625</v>
      </c>
      <c r="M215" s="956">
        <f>IFERROR(VLOOKUP(B215,'cultius resum'!$T$6:$AU$308,28,FALSE)/1000000,0)</f>
        <v>1.0654355564580458</v>
      </c>
      <c r="N215" s="955">
        <f>M215*'A. Dades de partida'!$D$10+(((I215-M215)*'A. Dades de partida'!$D$10)/2)</f>
        <v>24.577406673435341</v>
      </c>
      <c r="O215" s="955">
        <f t="shared" si="19"/>
        <v>23.511971116977296</v>
      </c>
      <c r="P215" s="916">
        <f>J215*'A. Dades de partida'!$D$10</f>
        <v>0.32549400000000001</v>
      </c>
      <c r="Q215" s="916">
        <f>J215+J215*'4. Agricultura PIB'!$D$71</f>
        <v>2.8079282399999999E-2</v>
      </c>
      <c r="R215" s="916">
        <f>(((J215-Q215)*'A. Dades de partida'!$D$10)/2)+('A. Dades de partida'!$D$10*Q215)</f>
        <v>0.37334161799999999</v>
      </c>
      <c r="S215" s="916">
        <f t="shared" si="20"/>
        <v>4.7847617999999981E-2</v>
      </c>
    </row>
    <row r="216" spans="1:19">
      <c r="A216" s="835">
        <v>8215</v>
      </c>
      <c r="B216" s="826" t="s">
        <v>1477</v>
      </c>
      <c r="C216" s="319" t="str">
        <f t="shared" si="17"/>
        <v>Osona</v>
      </c>
      <c r="D216" s="908">
        <f>IFERROR(IF(VLOOKUP(B216,'BD ASVICC'!$A$6:$GN$316,193,FALSE)&gt;0,VLOOKUP(B216,'BD ASVICC'!$A$6:$GN$316,193,FALSE),(VLOOKUP(C216,'BD Comarcal'!$A$6:$AB$17,9,)/VLOOKUP(C216,'BD Comarcal'!$A$6:$AB$17,13,))),"")</f>
        <v>1.8400340353116357E-2</v>
      </c>
      <c r="E216" s="910">
        <f>IFERROR(IF(VLOOKUP(B216,'BD ASVICC'!$A$6:$GN$316,192,FALSE)&gt;0,VLOOKUP(B216,'BD ASVICC'!$A$6:$GN$316,192,FALSE),(VLOOKUP(C216,'BD Comarcal'!$A$6:$AB$17,14,)*F216)),"")</f>
        <v>90.735669907029632</v>
      </c>
      <c r="F216" s="904">
        <f t="shared" si="21"/>
        <v>2.224349625098785E-2</v>
      </c>
      <c r="G216" s="910">
        <f t="shared" si="18"/>
        <v>1.6695672084573627</v>
      </c>
      <c r="H216" s="910">
        <f>IFERROR(VLOOKUP(B216, base,19,FALSE)*'4. Agricultura PIB'!$K$11/1000000,G216*'4. Agricultura PIB'!$F$54)</f>
        <v>1.0867212959848975</v>
      </c>
      <c r="I216" s="910">
        <f>G216*'4. Agricultura PIB'!$F$45</f>
        <v>0.54945456830331807</v>
      </c>
      <c r="J216" s="952">
        <f>IFERROR((VLOOKUP(B216,base,19,FALSE)*'tecnicecon agric'!$D$65)/1000000,H216/3)</f>
        <v>0.36224043199496586</v>
      </c>
      <c r="K216" s="952">
        <f>IFERROR(VLOOKUP(B216,'cultius resum'!$T$6:$AU$306,22,FALSE)/1000000,0)</f>
        <v>6.6546666666666664E-3</v>
      </c>
      <c r="L216" s="915">
        <f>K216*'A. Dades de partida'!$D$10</f>
        <v>9.9819999999999992E-2</v>
      </c>
      <c r="M216" s="956">
        <f>IFERROR(VLOOKUP(B216,'cultius resum'!$T$6:$AU$308,28,FALSE)/1000000,0)</f>
        <v>5.8177737780992639E-2</v>
      </c>
      <c r="N216" s="955">
        <f>M216*'A. Dades de partida'!$D$10+(((I216-M216)*'A. Dades de partida'!$D$10)/2)</f>
        <v>4.5572422956323297</v>
      </c>
      <c r="O216" s="955">
        <f t="shared" si="19"/>
        <v>4.4990645578513373</v>
      </c>
      <c r="P216" s="916">
        <f>J216*'A. Dades de partida'!$D$10</f>
        <v>5.4336064799244879</v>
      </c>
      <c r="Q216" s="916">
        <f>J216+J216*'4. Agricultura PIB'!$D$71</f>
        <v>0.46873911900148579</v>
      </c>
      <c r="R216" s="916">
        <f>(((J216-Q216)*'A. Dades de partida'!$D$10)/2)+('A. Dades de partida'!$D$10*Q216)</f>
        <v>6.232346632473388</v>
      </c>
      <c r="S216" s="916">
        <f t="shared" si="20"/>
        <v>0.79874015254890018</v>
      </c>
    </row>
    <row r="217" spans="1:19">
      <c r="A217" s="835">
        <v>8216</v>
      </c>
      <c r="B217" s="826" t="s">
        <v>1479</v>
      </c>
      <c r="C217" s="319" t="str">
        <f t="shared" si="17"/>
        <v>Berguedà</v>
      </c>
      <c r="D217" s="908">
        <f>IFERROR(IF(VLOOKUP(B217,'BD ASVICC'!$A$6:$GN$316,193,FALSE)&gt;0,VLOOKUP(B217,'BD ASVICC'!$A$6:$GN$316,193,FALSE),(VLOOKUP(C217,'BD Comarcal'!$A$6:$AB$17,9,)/VLOOKUP(C217,'BD Comarcal'!$A$6:$AB$17,13,))),"")</f>
        <v>4.1611624834874503E-2</v>
      </c>
      <c r="E217" s="910">
        <f>IFERROR(IF(VLOOKUP(B217,'BD ASVICC'!$A$6:$GN$316,192,FALSE)&gt;0,VLOOKUP(B217,'BD ASVICC'!$A$6:$GN$316,192,FALSE),(VLOOKUP(C217,'BD Comarcal'!$A$6:$AB$17,14,)*F217)),"")</f>
        <v>0.56587115217724238</v>
      </c>
      <c r="F217" s="904">
        <f t="shared" si="21"/>
        <v>6.8916228495584256E-4</v>
      </c>
      <c r="G217" s="910">
        <f t="shared" si="18"/>
        <v>2.3546818089277589E-2</v>
      </c>
      <c r="H217" s="910">
        <f>IFERROR(VLOOKUP(B217, base,19,FALSE)*'4. Agricultura PIB'!$K$11/1000000,G217*'4. Agricultura PIB'!$F$54)</f>
        <v>0.2371103709086925</v>
      </c>
      <c r="I217" s="910">
        <f>G217*'4. Agricultura PIB'!$F$45</f>
        <v>7.7492578331812547E-3</v>
      </c>
      <c r="J217" s="952">
        <f>IFERROR((VLOOKUP(B217,base,19,FALSE)*'tecnicecon agric'!$D$65)/1000000,H217/3)</f>
        <v>0.1011972</v>
      </c>
      <c r="K217" s="952">
        <f>IFERROR(VLOOKUP(B217,'cultius resum'!$T$6:$AU$306,22,FALSE)/1000000,0)</f>
        <v>4.2779999999999997E-3</v>
      </c>
      <c r="L217" s="915">
        <f>K217*'A. Dades de partida'!$D$10</f>
        <v>6.4169999999999991E-2</v>
      </c>
      <c r="M217" s="956">
        <f>IFERROR(VLOOKUP(B217,'cultius resum'!$T$6:$AU$308,28,FALSE)/1000000,0)</f>
        <v>3.7399974287780982E-2</v>
      </c>
      <c r="N217" s="955">
        <f>M217*'A. Dades de partida'!$D$10+(((I217-M217)*'A. Dades de partida'!$D$10)/2)</f>
        <v>0.33861924090721679</v>
      </c>
      <c r="O217" s="955">
        <f t="shared" si="19"/>
        <v>0.30121926661943582</v>
      </c>
      <c r="P217" s="916">
        <f>J217*'A. Dades de partida'!$D$10</f>
        <v>1.5179579999999999</v>
      </c>
      <c r="Q217" s="916">
        <f>J217+J217*'4. Agricultura PIB'!$D$71</f>
        <v>0.13094917680000001</v>
      </c>
      <c r="R217" s="916">
        <f>(((J217-Q217)*'A. Dades de partida'!$D$10)/2)+('A. Dades de partida'!$D$10*Q217)</f>
        <v>1.7410978260000001</v>
      </c>
      <c r="S217" s="916">
        <f t="shared" si="20"/>
        <v>0.22313982600000015</v>
      </c>
    </row>
    <row r="218" spans="1:19">
      <c r="A218" s="835">
        <v>8217</v>
      </c>
      <c r="B218" s="826" t="s">
        <v>1481</v>
      </c>
      <c r="C218" s="319" t="str">
        <f t="shared" si="17"/>
        <v>Baix Llobregat</v>
      </c>
      <c r="D218" s="908">
        <f>IFERROR(IF(VLOOKUP(B218,'BD ASVICC'!$A$6:$GN$316,193,FALSE)&gt;0,VLOOKUP(B218,'BD ASVICC'!$A$6:$GN$316,193,FALSE),(VLOOKUP(C218,'BD Comarcal'!$A$6:$AB$17,9,)/VLOOKUP(C218,'BD Comarcal'!$A$6:$AB$17,13,))),"")</f>
        <v>7.8252861716696001E-4</v>
      </c>
      <c r="E218" s="910">
        <f>IFERROR(IF(VLOOKUP(B218,'BD ASVICC'!$A$6:$GN$316,192,FALSE)&gt;0,VLOOKUP(B218,'BD ASVICC'!$A$6:$GN$316,192,FALSE),(VLOOKUP(C218,'BD Comarcal'!$A$6:$AB$17,14,)*F218)),"")</f>
        <v>1180</v>
      </c>
      <c r="F218" s="904">
        <f t="shared" si="21"/>
        <v>4.1366468983791489E-2</v>
      </c>
      <c r="G218" s="910">
        <f t="shared" si="18"/>
        <v>0.92338376825701285</v>
      </c>
      <c r="H218" s="910">
        <f>IFERROR(VLOOKUP(B218, base,19,FALSE)*'4. Agricultura PIB'!$K$11/1000000,G218*'4. Agricultura PIB'!$F$54)</f>
        <v>0</v>
      </c>
      <c r="I218" s="910">
        <f>G218*'4. Agricultura PIB'!$F$45</f>
        <v>0.30388559813338295</v>
      </c>
      <c r="J218" s="952">
        <f>IFERROR((VLOOKUP(B218,base,19,FALSE)*'tecnicecon agric'!$D$65)/1000000,H218/3)</f>
        <v>0</v>
      </c>
      <c r="K218" s="952">
        <f>IFERROR(VLOOKUP(B218,'cultius resum'!$T$6:$AU$306,22,FALSE)/1000000,0)</f>
        <v>3.3888750000000002E-2</v>
      </c>
      <c r="L218" s="915">
        <f>K218*'A. Dades de partida'!$D$10</f>
        <v>0.50833125000000001</v>
      </c>
      <c r="M218" s="956">
        <f>IFERROR(VLOOKUP(B218,'cultius resum'!$T$6:$AU$308,28,FALSE)/1000000,0)</f>
        <v>0.50339259574321948</v>
      </c>
      <c r="N218" s="955">
        <f>M218*'A. Dades de partida'!$D$10+(((I218-M218)*'A. Dades de partida'!$D$10)/2)</f>
        <v>6.054586454074518</v>
      </c>
      <c r="O218" s="955">
        <f t="shared" si="19"/>
        <v>5.551193858331299</v>
      </c>
      <c r="P218" s="916">
        <f>J218*'A. Dades de partida'!$D$10</f>
        <v>0</v>
      </c>
      <c r="Q218" s="916">
        <f>J218+J218*'4. Agricultura PIB'!$D$71</f>
        <v>0</v>
      </c>
      <c r="R218" s="916">
        <f>(((J218-Q218)*'A. Dades de partida'!$D$10)/2)+('A. Dades de partida'!$D$10*Q218)</f>
        <v>0</v>
      </c>
      <c r="S218" s="916">
        <f t="shared" si="20"/>
        <v>0</v>
      </c>
    </row>
    <row r="219" spans="1:19">
      <c r="A219" s="835">
        <v>8218</v>
      </c>
      <c r="B219" s="826" t="s">
        <v>1482</v>
      </c>
      <c r="C219" s="319" t="str">
        <f t="shared" si="17"/>
        <v>Bages</v>
      </c>
      <c r="D219" s="908">
        <f>IFERROR(IF(VLOOKUP(B219,'BD ASVICC'!$A$6:$GN$316,193,FALSE)&gt;0,VLOOKUP(B219,'BD ASVICC'!$A$6:$GN$316,193,FALSE),(VLOOKUP(C219,'BD Comarcal'!$A$6:$AB$17,9,)/VLOOKUP(C219,'BD Comarcal'!$A$6:$AB$17,13,))),"")</f>
        <v>6.0000000000000001E-3</v>
      </c>
      <c r="E219" s="910">
        <f>IFERROR(IF(VLOOKUP(B219,'BD ASVICC'!$A$6:$GN$316,192,FALSE)&gt;0,VLOOKUP(B219,'BD ASVICC'!$A$6:$GN$316,192,FALSE),(VLOOKUP(C219,'BD Comarcal'!$A$6:$AB$17,14,)*F219)),"")</f>
        <v>186</v>
      </c>
      <c r="F219" s="904">
        <f t="shared" si="21"/>
        <v>6.1698235472901292E-2</v>
      </c>
      <c r="G219" s="910">
        <f t="shared" si="18"/>
        <v>1.1160000000000001</v>
      </c>
      <c r="H219" s="910">
        <f>IFERROR(VLOOKUP(B219, base,19,FALSE)*'4. Agricultura PIB'!$K$11/1000000,G219*'4. Agricultura PIB'!$F$54)</f>
        <v>0.45473872737398541</v>
      </c>
      <c r="I219" s="910">
        <f>G219*'4. Agricultura PIB'!$F$45</f>
        <v>0.36727560000000004</v>
      </c>
      <c r="J219" s="952">
        <f>IFERROR((VLOOKUP(B219,base,19,FALSE)*'tecnicecon agric'!$D$65)/1000000,H219/3)</f>
        <v>0.19407959999999996</v>
      </c>
      <c r="K219" s="952">
        <f>IFERROR(VLOOKUP(B219,'cultius resum'!$T$6:$AU$306,22,FALSE)/1000000,0)</f>
        <v>0.32756620833333333</v>
      </c>
      <c r="L219" s="915">
        <f>K219*'A. Dades de partida'!$D$10</f>
        <v>4.9134931249999996</v>
      </c>
      <c r="M219" s="956">
        <f>IFERROR(VLOOKUP(B219,'cultius resum'!$T$6:$AU$308,28,FALSE)/1000000,0)</f>
        <v>2.8844262000483925</v>
      </c>
      <c r="N219" s="955">
        <f>M219*'A. Dades de partida'!$D$10+(((I219-M219)*'A. Dades de partida'!$D$10)/2)</f>
        <v>24.387763500362944</v>
      </c>
      <c r="O219" s="955">
        <f t="shared" si="19"/>
        <v>21.503337300314552</v>
      </c>
      <c r="P219" s="916">
        <f>J219*'A. Dades de partida'!$D$10</f>
        <v>2.9111939999999996</v>
      </c>
      <c r="Q219" s="916">
        <f>J219+J219*'4. Agricultura PIB'!$D$71</f>
        <v>0.25113900239999998</v>
      </c>
      <c r="R219" s="916">
        <f>(((J219-Q219)*'A. Dades de partida'!$D$10)/2)+('A. Dades de partida'!$D$10*Q219)</f>
        <v>3.3391395179999996</v>
      </c>
      <c r="S219" s="916">
        <f t="shared" si="20"/>
        <v>0.42794551800000002</v>
      </c>
    </row>
    <row r="220" spans="1:19">
      <c r="A220" s="835">
        <v>8219</v>
      </c>
      <c r="B220" s="826" t="s">
        <v>352</v>
      </c>
      <c r="C220" s="319" t="str">
        <f t="shared" si="17"/>
        <v>Maresme</v>
      </c>
      <c r="D220" s="908">
        <f>IFERROR(IF(VLOOKUP(B220,'BD ASVICC'!$A$6:$GN$316,193,FALSE)&gt;0,VLOOKUP(B220,'BD ASVICC'!$A$6:$GN$316,193,FALSE),(VLOOKUP(C220,'BD Comarcal'!$A$6:$AB$17,9,)/VLOOKUP(C220,'BD Comarcal'!$A$6:$AB$17,13,))),"")</f>
        <v>4.3999999999999997E-2</v>
      </c>
      <c r="E220" s="910">
        <f>IFERROR(IF(VLOOKUP(B220,'BD ASVICC'!$A$6:$GN$316,192,FALSE)&gt;0,VLOOKUP(B220,'BD ASVICC'!$A$6:$GN$316,192,FALSE),(VLOOKUP(C220,'BD Comarcal'!$A$6:$AB$17,14,)*F220)),"")</f>
        <v>399</v>
      </c>
      <c r="F220" s="904">
        <f t="shared" si="21"/>
        <v>4.6835256678859807E-2</v>
      </c>
      <c r="G220" s="910">
        <f t="shared" si="18"/>
        <v>17.555999999999997</v>
      </c>
      <c r="H220" s="910">
        <f>IFERROR(VLOOKUP(B220, base,19,FALSE)*'4. Agricultura PIB'!$K$11/1000000,G220*'4. Agricultura PIB'!$F$54)</f>
        <v>3.5162660214916326E-2</v>
      </c>
      <c r="I220" s="910">
        <f>G220*'4. Agricultura PIB'!$F$45</f>
        <v>5.777679599999999</v>
      </c>
      <c r="J220" s="952">
        <f>IFERROR((VLOOKUP(B220,base,19,FALSE)*'tecnicecon agric'!$D$65)/1000000,H220/3)</f>
        <v>1.5007199999999998E-2</v>
      </c>
      <c r="K220" s="952">
        <f>IFERROR(VLOOKUP(B220,'cultius resum'!$T$6:$AU$306,22,FALSE)/1000000,0)</f>
        <v>0.19881399999999999</v>
      </c>
      <c r="L220" s="915">
        <f>K220*'A. Dades de partida'!$D$10</f>
        <v>2.9822099999999998</v>
      </c>
      <c r="M220" s="956">
        <f>IFERROR(VLOOKUP(B220,'cultius resum'!$T$6:$AU$308,28,FALSE)/1000000,0)</f>
        <v>2.9532365616935548</v>
      </c>
      <c r="N220" s="955">
        <f>M220*'A. Dades de partida'!$D$10+(((I220-M220)*'A. Dades de partida'!$D$10)/2)</f>
        <v>65.481871212701648</v>
      </c>
      <c r="O220" s="955">
        <f t="shared" si="19"/>
        <v>62.52863465100809</v>
      </c>
      <c r="P220" s="916">
        <f>J220*'A. Dades de partida'!$D$10</f>
        <v>0.22510799999999997</v>
      </c>
      <c r="Q220" s="916">
        <f>J220+J220*'4. Agricultura PIB'!$D$71</f>
        <v>1.9419316799999996E-2</v>
      </c>
      <c r="R220" s="916">
        <f>(((J220-Q220)*'A. Dades de partida'!$D$10)/2)+('A. Dades de partida'!$D$10*Q220)</f>
        <v>0.25819887599999997</v>
      </c>
      <c r="S220" s="916">
        <f t="shared" si="20"/>
        <v>3.3090875999999991E-2</v>
      </c>
    </row>
    <row r="221" spans="1:19">
      <c r="A221" s="835">
        <v>8220</v>
      </c>
      <c r="B221" s="826" t="s">
        <v>1485</v>
      </c>
      <c r="C221" s="319" t="str">
        <f t="shared" si="17"/>
        <v>Osona</v>
      </c>
      <c r="D221" s="908">
        <f>IFERROR(IF(VLOOKUP(B221,'BD ASVICC'!$A$6:$GN$316,193,FALSE)&gt;0,VLOOKUP(B221,'BD ASVICC'!$A$6:$GN$316,193,FALSE),(VLOOKUP(C221,'BD Comarcal'!$A$6:$AB$17,9,)/VLOOKUP(C221,'BD Comarcal'!$A$6:$AB$17,13,))),"")</f>
        <v>1.8400340353116357E-2</v>
      </c>
      <c r="E221" s="910">
        <f>IFERROR(IF(VLOOKUP(B221,'BD ASVICC'!$A$6:$GN$316,192,FALSE)&gt;0,VLOOKUP(B221,'BD ASVICC'!$A$6:$GN$316,192,FALSE),(VLOOKUP(C221,'BD Comarcal'!$A$6:$AB$17,14,)*F221)),"")</f>
        <v>81.58871762581839</v>
      </c>
      <c r="F221" s="904">
        <f t="shared" si="21"/>
        <v>2.0001156507604038E-2</v>
      </c>
      <c r="G221" s="910">
        <f t="shared" si="18"/>
        <v>1.5012601732893618</v>
      </c>
      <c r="H221" s="910">
        <f>IFERROR(VLOOKUP(B221, base,19,FALSE)*'4. Agricultura PIB'!$K$11/1000000,G221*'4. Agricultura PIB'!$F$54)</f>
        <v>2.560696971597082</v>
      </c>
      <c r="I221" s="910">
        <f>G221*'4. Agricultura PIB'!$F$45</f>
        <v>0.49406472302952897</v>
      </c>
      <c r="J221" s="952">
        <f>IFERROR((VLOOKUP(B221,base,19,FALSE)*'tecnicecon agric'!$D$65)/1000000,H221/3)</f>
        <v>1.0928891999999999</v>
      </c>
      <c r="K221" s="952">
        <f>IFERROR(VLOOKUP(B221,'cultius resum'!$T$6:$AU$306,22,FALSE)/1000000,0)</f>
        <v>0.20757004166666665</v>
      </c>
      <c r="L221" s="915">
        <f>K221*'A. Dades de partida'!$D$10</f>
        <v>3.1135506249999998</v>
      </c>
      <c r="M221" s="956">
        <f>IFERROR(VLOOKUP(B221,'cultius resum'!$T$6:$AU$308,28,FALSE)/1000000,0)</f>
        <v>2.0839205027991476</v>
      </c>
      <c r="N221" s="955">
        <f>M221*'A. Dades de partida'!$D$10+(((I221-M221)*'A. Dades de partida'!$D$10)/2)</f>
        <v>19.334889193715071</v>
      </c>
      <c r="O221" s="955">
        <f t="shared" si="19"/>
        <v>17.250968690915922</v>
      </c>
      <c r="P221" s="916">
        <f>J221*'A. Dades de partida'!$D$10</f>
        <v>16.393338</v>
      </c>
      <c r="Q221" s="916">
        <f>J221+J221*'4. Agricultura PIB'!$D$71</f>
        <v>1.4141986247999998</v>
      </c>
      <c r="R221" s="916">
        <f>(((J221-Q221)*'A. Dades de partida'!$D$10)/2)+('A. Dades de partida'!$D$10*Q221)</f>
        <v>18.803158685999996</v>
      </c>
      <c r="S221" s="916">
        <f t="shared" si="20"/>
        <v>2.4098206859999962</v>
      </c>
    </row>
    <row r="222" spans="1:19">
      <c r="A222" s="835">
        <v>8221</v>
      </c>
      <c r="B222" s="826" t="s">
        <v>1489</v>
      </c>
      <c r="C222" s="319" t="str">
        <f t="shared" si="17"/>
        <v>Baix Llobregat</v>
      </c>
      <c r="D222" s="908">
        <f>IFERROR(IF(VLOOKUP(B222,'BD ASVICC'!$A$6:$GN$316,193,FALSE)&gt;0,VLOOKUP(B222,'BD ASVICC'!$A$6:$GN$316,193,FALSE),(VLOOKUP(C222,'BD Comarcal'!$A$6:$AB$17,9,)/VLOOKUP(C222,'BD Comarcal'!$A$6:$AB$17,13,))),"")</f>
        <v>7.8252861716696001E-4</v>
      </c>
      <c r="E222" s="910">
        <f>IFERROR(IF(VLOOKUP(B222,'BD ASVICC'!$A$6:$GN$316,192,FALSE)&gt;0,VLOOKUP(B222,'BD ASVICC'!$A$6:$GN$316,192,FALSE),(VLOOKUP(C222,'BD Comarcal'!$A$6:$AB$17,14,)*F222)),"")</f>
        <v>902</v>
      </c>
      <c r="F222" s="904">
        <f t="shared" si="21"/>
        <v>2.0900549832506672E-2</v>
      </c>
      <c r="G222" s="910">
        <f t="shared" si="18"/>
        <v>0.70584081268459797</v>
      </c>
      <c r="H222" s="910">
        <f>IFERROR(VLOOKUP(B222, base,19,FALSE)*'4. Agricultura PIB'!$K$11/1000000,G222*'4. Agricultura PIB'!$F$54)</f>
        <v>0.45943178497640486</v>
      </c>
      <c r="I222" s="910">
        <f>G222*'4. Agricultura PIB'!$F$45</f>
        <v>0.23229221145450119</v>
      </c>
      <c r="J222" s="952">
        <f>IFERROR((VLOOKUP(B222,base,19,FALSE)*'tecnicecon agric'!$D$65)/1000000,H222/3)</f>
        <v>0.15314392832546828</v>
      </c>
      <c r="K222" s="952">
        <f>IFERROR(VLOOKUP(B222,'cultius resum'!$T$6:$AU$306,22,FALSE)/1000000,0)</f>
        <v>7.9073749999999995E-3</v>
      </c>
      <c r="L222" s="915">
        <f>K222*'A. Dades de partida'!$D$10</f>
        <v>0.118610625</v>
      </c>
      <c r="M222" s="956">
        <f>IFERROR(VLOOKUP(B222,'cultius resum'!$T$6:$AU$308,28,FALSE)/1000000,0)</f>
        <v>0.11745827234008456</v>
      </c>
      <c r="N222" s="955">
        <f>M222*'A. Dades de partida'!$D$10+(((I222-M222)*'A. Dades de partida'!$D$10)/2)</f>
        <v>2.6231286284593933</v>
      </c>
      <c r="O222" s="955">
        <f t="shared" si="19"/>
        <v>2.5056703561193086</v>
      </c>
      <c r="P222" s="916">
        <f>J222*'A. Dades de partida'!$D$10</f>
        <v>2.2971589248820243</v>
      </c>
      <c r="Q222" s="916">
        <f>J222+J222*'4. Agricultura PIB'!$D$71</f>
        <v>0.19816824325315596</v>
      </c>
      <c r="R222" s="916">
        <f>(((J222-Q222)*'A. Dades de partida'!$D$10)/2)+('A. Dades de partida'!$D$10*Q222)</f>
        <v>2.6348412868396816</v>
      </c>
      <c r="S222" s="916">
        <f t="shared" si="20"/>
        <v>0.33768236195765722</v>
      </c>
    </row>
    <row r="223" spans="1:19">
      <c r="A223" s="835">
        <v>8222</v>
      </c>
      <c r="B223" s="826" t="s">
        <v>1490</v>
      </c>
      <c r="C223" s="319" t="str">
        <f t="shared" si="17"/>
        <v>Alt Penedès</v>
      </c>
      <c r="D223" s="908">
        <f>IFERROR(IF(VLOOKUP(B223,'BD ASVICC'!$A$6:$GN$316,193,FALSE)&gt;0,VLOOKUP(B223,'BD ASVICC'!$A$6:$GN$316,193,FALSE),(VLOOKUP(C223,'BD Comarcal'!$A$6:$AB$17,9,)/VLOOKUP(C223,'BD Comarcal'!$A$6:$AB$17,13,))),"")</f>
        <v>1.0966842723004694E-2</v>
      </c>
      <c r="E223" s="910">
        <f>IFERROR(IF(VLOOKUP(B223,'BD ASVICC'!$A$6:$GN$316,192,FALSE)&gt;0,VLOOKUP(B223,'BD ASVICC'!$A$6:$GN$316,192,FALSE),(VLOOKUP(C223,'BD Comarcal'!$A$6:$AB$17,14,)*F223)),"")</f>
        <v>71.290015525758633</v>
      </c>
      <c r="F223" s="904">
        <f t="shared" si="21"/>
        <v>2.4107268877911078E-2</v>
      </c>
      <c r="G223" s="910">
        <f t="shared" si="18"/>
        <v>0.78182638799155768</v>
      </c>
      <c r="H223" s="910">
        <f>IFERROR(VLOOKUP(B223, base,19,FALSE)*'4. Agricultura PIB'!$K$11/1000000,G223*'4. Agricultura PIB'!$F$54)</f>
        <v>0.23901105524463392</v>
      </c>
      <c r="I223" s="910">
        <f>G223*'4. Agricultura PIB'!$F$45</f>
        <v>0.25729906428802163</v>
      </c>
      <c r="J223" s="952">
        <f>IFERROR((VLOOKUP(B223,base,19,FALSE)*'tecnicecon agric'!$D$65)/1000000,H223/3)</f>
        <v>0.1020084</v>
      </c>
      <c r="K223" s="952">
        <f>IFERROR(VLOOKUP(B223,'cultius resum'!$T$6:$AU$306,22,FALSE)/1000000,0)</f>
        <v>5.5317625000000002E-2</v>
      </c>
      <c r="L223" s="915">
        <f>K223*'A. Dades de partida'!$D$10</f>
        <v>0.829764375</v>
      </c>
      <c r="M223" s="956">
        <f>IFERROR(VLOOKUP(B223,'cultius resum'!$T$6:$AU$308,28,FALSE)/1000000,0)</f>
        <v>0.49051276083666645</v>
      </c>
      <c r="N223" s="955">
        <f>M223*'A. Dades de partida'!$D$10+(((I223-M223)*'A. Dades de partida'!$D$10)/2)</f>
        <v>5.6085886884351606</v>
      </c>
      <c r="O223" s="955">
        <f t="shared" si="19"/>
        <v>5.1180759275984942</v>
      </c>
      <c r="P223" s="916">
        <f>J223*'A. Dades de partida'!$D$10</f>
        <v>1.5301260000000001</v>
      </c>
      <c r="Q223" s="916">
        <f>J223+J223*'4. Agricultura PIB'!$D$71</f>
        <v>0.13199886959999999</v>
      </c>
      <c r="R223" s="916">
        <f>(((J223-Q223)*'A. Dades de partida'!$D$10)/2)+('A. Dades de partida'!$D$10*Q223)</f>
        <v>1.7550545219999998</v>
      </c>
      <c r="S223" s="916">
        <f t="shared" si="20"/>
        <v>0.22492852199999969</v>
      </c>
    </row>
    <row r="224" spans="1:19">
      <c r="A224" s="835">
        <v>8223</v>
      </c>
      <c r="B224" s="826" t="s">
        <v>1494</v>
      </c>
      <c r="C224" s="319" t="str">
        <f t="shared" si="17"/>
        <v>Vallès Occidental</v>
      </c>
      <c r="D224" s="908">
        <f>IFERROR(IF(VLOOKUP(B224,'BD ASVICC'!$A$6:$GN$316,193,FALSE)&gt;0,VLOOKUP(B224,'BD ASVICC'!$A$6:$GN$316,193,FALSE),(VLOOKUP(C224,'BD Comarcal'!$A$6:$AB$17,9,)/VLOOKUP(C224,'BD Comarcal'!$A$6:$AB$17,13,))),"")</f>
        <v>3.6775782925402761E-4</v>
      </c>
      <c r="E224" s="910">
        <f>IFERROR(IF(VLOOKUP(B224,'BD ASVICC'!$A$6:$GN$316,192,FALSE)&gt;0,VLOOKUP(B224,'BD ASVICC'!$A$6:$GN$316,192,FALSE),(VLOOKUP(C224,'BD Comarcal'!$A$6:$AB$17,14,)*F224)),"")</f>
        <v>64.296826616827389</v>
      </c>
      <c r="F224" s="904">
        <f t="shared" si="21"/>
        <v>2.626515084490843E-3</v>
      </c>
      <c r="G224" s="910">
        <f t="shared" si="18"/>
        <v>2.3645661384527023E-2</v>
      </c>
      <c r="H224" s="910">
        <f>IFERROR(VLOOKUP(B224, base,19,FALSE)*'4. Agricultura PIB'!$K$11/1000000,G224*'4. Agricultura PIB'!$F$54)</f>
        <v>5.5119845742301263E-2</v>
      </c>
      <c r="I224" s="910">
        <f>G224*'4. Agricultura PIB'!$F$45</f>
        <v>7.7817871616478436E-3</v>
      </c>
      <c r="J224" s="952">
        <f>IFERROR((VLOOKUP(B224,base,19,FALSE)*'tecnicecon agric'!$D$65)/1000000,H224/3)</f>
        <v>2.3524799999999998E-2</v>
      </c>
      <c r="K224" s="952">
        <f>IFERROR(VLOOKUP(B224,'cultius resum'!$T$6:$AU$306,22,FALSE)/1000000,0)</f>
        <v>2.9946E-2</v>
      </c>
      <c r="L224" s="915">
        <f>K224*'A. Dades de partida'!$D$10</f>
        <v>0.44918999999999998</v>
      </c>
      <c r="M224" s="956">
        <f>IFERROR(VLOOKUP(B224,'cultius resum'!$T$6:$AU$308,28,FALSE)/1000000,0)</f>
        <v>0.26179982001446689</v>
      </c>
      <c r="N224" s="955">
        <f>M224*'A. Dades de partida'!$D$10+(((I224-M224)*'A. Dades de partida'!$D$10)/2)</f>
        <v>2.0218620538208603</v>
      </c>
      <c r="O224" s="955">
        <f t="shared" si="19"/>
        <v>1.7600622338063934</v>
      </c>
      <c r="P224" s="916">
        <f>J224*'A. Dades de partida'!$D$10</f>
        <v>0.35287199999999996</v>
      </c>
      <c r="Q224" s="916">
        <f>J224+J224*'4. Agricultura PIB'!$D$71</f>
        <v>3.0441091199999999E-2</v>
      </c>
      <c r="R224" s="916">
        <f>(((J224-Q224)*'A. Dades de partida'!$D$10)/2)+('A. Dades de partida'!$D$10*Q224)</f>
        <v>0.40474418400000001</v>
      </c>
      <c r="S224" s="916">
        <f t="shared" si="20"/>
        <v>5.1872184000000043E-2</v>
      </c>
    </row>
    <row r="225" spans="1:19">
      <c r="A225" s="835">
        <v>8224</v>
      </c>
      <c r="B225" s="826" t="s">
        <v>1496</v>
      </c>
      <c r="C225" s="319" t="str">
        <f t="shared" si="17"/>
        <v>Osona</v>
      </c>
      <c r="D225" s="908">
        <f>IFERROR(IF(VLOOKUP(B225,'BD ASVICC'!$A$6:$GN$316,193,FALSE)&gt;0,VLOOKUP(B225,'BD ASVICC'!$A$6:$GN$316,193,FALSE),(VLOOKUP(C225,'BD Comarcal'!$A$6:$AB$17,9,)/VLOOKUP(C225,'BD Comarcal'!$A$6:$AB$17,13,))),"")</f>
        <v>1.8400340353116357E-2</v>
      </c>
      <c r="E225" s="910">
        <f>IFERROR(IF(VLOOKUP(B225,'BD ASVICC'!$A$6:$GN$316,192,FALSE)&gt;0,VLOOKUP(B225,'BD ASVICC'!$A$6:$GN$316,192,FALSE),(VLOOKUP(C225,'BD Comarcal'!$A$6:$AB$17,14,)*F225)),"")</f>
        <v>29.406534267962808</v>
      </c>
      <c r="F225" s="904">
        <f t="shared" si="21"/>
        <v>7.2088973985003947E-3</v>
      </c>
      <c r="G225" s="910">
        <f t="shared" si="18"/>
        <v>0.541090239136095</v>
      </c>
      <c r="H225" s="910">
        <f>IFERROR(VLOOKUP(B225, base,19,FALSE)*'4. Agricultura PIB'!$K$11/1000000,G225*'4. Agricultura PIB'!$F$54)</f>
        <v>0.53741849598743729</v>
      </c>
      <c r="I225" s="910">
        <f>G225*'4. Agricultura PIB'!$F$45</f>
        <v>0.17807279769968887</v>
      </c>
      <c r="J225" s="952">
        <f>IFERROR((VLOOKUP(B225,base,19,FALSE)*'tecnicecon agric'!$D$65)/1000000,H225/3)</f>
        <v>0.22936679999999998</v>
      </c>
      <c r="K225" s="952">
        <f>IFERROR(VLOOKUP(B225,'cultius resum'!$T$6:$AU$306,22,FALSE)/1000000,0)</f>
        <v>0.18373616666666664</v>
      </c>
      <c r="L225" s="915">
        <f>K225*'A. Dades de partida'!$D$10</f>
        <v>2.7560424999999995</v>
      </c>
      <c r="M225" s="956">
        <f>IFERROR(VLOOKUP(B225,'cultius resum'!$T$6:$AU$308,28,FALSE)/1000000,0)</f>
        <v>1.7996099529258847</v>
      </c>
      <c r="N225" s="955">
        <f>M225*'A. Dades de partida'!$D$10+(((I225-M225)*'A. Dades de partida'!$D$10)/2)</f>
        <v>14.832620629691801</v>
      </c>
      <c r="O225" s="955">
        <f t="shared" si="19"/>
        <v>13.033010676765917</v>
      </c>
      <c r="P225" s="916">
        <f>J225*'A. Dades de partida'!$D$10</f>
        <v>3.4405019999999995</v>
      </c>
      <c r="Q225" s="916">
        <f>J225+J225*'4. Agricultura PIB'!$D$71</f>
        <v>0.29680063919999999</v>
      </c>
      <c r="R225" s="916">
        <f>(((J225-Q225)*'A. Dades de partida'!$D$10)/2)+('A. Dades de partida'!$D$10*Q225)</f>
        <v>3.9462557939999998</v>
      </c>
      <c r="S225" s="916">
        <f t="shared" si="20"/>
        <v>0.50575379400000031</v>
      </c>
    </row>
    <row r="226" spans="1:19">
      <c r="A226" s="835">
        <v>8225</v>
      </c>
      <c r="B226" s="826" t="s">
        <v>1499</v>
      </c>
      <c r="C226" s="319" t="str">
        <f t="shared" si="17"/>
        <v>Osona</v>
      </c>
      <c r="D226" s="908">
        <f>IFERROR(IF(VLOOKUP(B226,'BD ASVICC'!$A$6:$GN$316,193,FALSE)&gt;0,VLOOKUP(B226,'BD ASVICC'!$A$6:$GN$316,193,FALSE),(VLOOKUP(C226,'BD Comarcal'!$A$6:$AB$17,9,)/VLOOKUP(C226,'BD Comarcal'!$A$6:$AB$17,13,))),"")</f>
        <v>1.8400340353116357E-2</v>
      </c>
      <c r="E226" s="910">
        <f>IFERROR(IF(VLOOKUP(B226,'BD ASVICC'!$A$6:$GN$316,192,FALSE)&gt;0,VLOOKUP(B226,'BD ASVICC'!$A$6:$GN$316,192,FALSE),(VLOOKUP(C226,'BD Comarcal'!$A$6:$AB$17,14,)*F226)),"")</f>
        <v>2.8305754910338536</v>
      </c>
      <c r="F226" s="904">
        <f t="shared" si="21"/>
        <v>6.9390456242249797E-4</v>
      </c>
      <c r="G226" s="910">
        <f t="shared" si="18"/>
        <v>5.2083552430212364E-2</v>
      </c>
      <c r="H226" s="910">
        <f>IFERROR(VLOOKUP(B226, base,19,FALSE)*'4. Agricultura PIB'!$K$11/1000000,G226*'4. Agricultura PIB'!$F$54)</f>
        <v>1.9239677190567053</v>
      </c>
      <c r="I226" s="910">
        <f>G226*'4. Agricultura PIB'!$F$45</f>
        <v>1.7140697104782891E-2</v>
      </c>
      <c r="J226" s="952">
        <f>IFERROR((VLOOKUP(B226,base,19,FALSE)*'tecnicecon agric'!$D$65)/1000000,H226/3)</f>
        <v>0.8211371999999999</v>
      </c>
      <c r="K226" s="952">
        <f>IFERROR(VLOOKUP(B226,'cultius resum'!$T$6:$AU$306,22,FALSE)/1000000,0)</f>
        <v>0.24907466666666667</v>
      </c>
      <c r="L226" s="915">
        <f>K226*'A. Dades de partida'!$D$10</f>
        <v>3.7361200000000001</v>
      </c>
      <c r="M226" s="956">
        <f>IFERROR(VLOOKUP(B226,'cultius resum'!$T$6:$AU$308,28,FALSE)/1000000,0)</f>
        <v>2.1775096140885819</v>
      </c>
      <c r="N226" s="955">
        <f>M226*'A. Dades de partida'!$D$10+(((I226-M226)*'A. Dades de partida'!$D$10)/2)</f>
        <v>16.459877333950232</v>
      </c>
      <c r="O226" s="955">
        <f t="shared" si="19"/>
        <v>14.28236771986165</v>
      </c>
      <c r="P226" s="916">
        <f>J226*'A. Dades de partida'!$D$10</f>
        <v>12.317057999999999</v>
      </c>
      <c r="Q226" s="916">
        <f>J226+J226*'4. Agricultura PIB'!$D$71</f>
        <v>1.0625515367999998</v>
      </c>
      <c r="R226" s="916">
        <f>(((J226-Q226)*'A. Dades de partida'!$D$10)/2)+('A. Dades de partida'!$D$10*Q226)</f>
        <v>14.127665525999998</v>
      </c>
      <c r="S226" s="916">
        <f t="shared" si="20"/>
        <v>1.8106075259999983</v>
      </c>
    </row>
    <row r="227" spans="1:19">
      <c r="A227" s="835">
        <v>8226</v>
      </c>
      <c r="B227" s="826" t="s">
        <v>1501</v>
      </c>
      <c r="C227" s="319" t="str">
        <f t="shared" si="17"/>
        <v>Anoia</v>
      </c>
      <c r="D227" s="908">
        <f>IFERROR(IF(VLOOKUP(B227,'BD ASVICC'!$A$6:$GN$316,193,FALSE)&gt;0,VLOOKUP(B227,'BD ASVICC'!$A$6:$GN$316,193,FALSE),(VLOOKUP(C227,'BD Comarcal'!$A$6:$AB$17,9,)/VLOOKUP(C227,'BD Comarcal'!$A$6:$AB$17,13,))),"")</f>
        <v>1.049736419894568E-2</v>
      </c>
      <c r="E227" s="910">
        <f>IFERROR(IF(VLOOKUP(B227,'BD ASVICC'!$A$6:$GN$316,192,FALSE)&gt;0,VLOOKUP(B227,'BD ASVICC'!$A$6:$GN$316,192,FALSE),(VLOOKUP(C227,'BD Comarcal'!$A$6:$AB$17,14,)*F227)),"")</f>
        <v>23.963252314814813</v>
      </c>
      <c r="F227" s="904">
        <f t="shared" si="21"/>
        <v>1.0127314814814815E-2</v>
      </c>
      <c r="G227" s="910">
        <f t="shared" si="18"/>
        <v>0.25155098693983918</v>
      </c>
      <c r="H227" s="910">
        <f>IFERROR(VLOOKUP(B227, base,19,FALSE)*'4. Agricultura PIB'!$K$11/1000000,G227*'4. Agricultura PIB'!$F$54)</f>
        <v>1.6155816855502096E-2</v>
      </c>
      <c r="I227" s="910">
        <f>G227*'4. Agricultura PIB'!$F$45</f>
        <v>8.2785429801901081E-2</v>
      </c>
      <c r="J227" s="952">
        <f>IFERROR((VLOOKUP(B227,base,19,FALSE)*'tecnicecon agric'!$D$65)/1000000,H227/3)</f>
        <v>6.8951999999999998E-3</v>
      </c>
      <c r="K227" s="952">
        <f>IFERROR(VLOOKUP(B227,'cultius resum'!$T$6:$AU$306,22,FALSE)/1000000,0)</f>
        <v>0.52293387499999999</v>
      </c>
      <c r="L227" s="915">
        <f>K227*'A. Dades de partida'!$D$10</f>
        <v>7.8440081250000002</v>
      </c>
      <c r="M227" s="956">
        <f>IFERROR(VLOOKUP(B227,'cultius resum'!$T$6:$AU$308,28,FALSE)/1000000,0)</f>
        <v>4.6476408834477114</v>
      </c>
      <c r="N227" s="955">
        <f>M227*'A. Dades de partida'!$D$10+(((I227-M227)*'A. Dades de partida'!$D$10)/2)</f>
        <v>35.478197349372095</v>
      </c>
      <c r="O227" s="955">
        <f t="shared" si="19"/>
        <v>30.830556465924385</v>
      </c>
      <c r="P227" s="916">
        <f>J227*'A. Dades de partida'!$D$10</f>
        <v>0.10342799999999999</v>
      </c>
      <c r="Q227" s="916">
        <f>J227+J227*'4. Agricultura PIB'!$D$71</f>
        <v>8.9223888000000001E-3</v>
      </c>
      <c r="R227" s="916">
        <f>(((J227-Q227)*'A. Dades de partida'!$D$10)/2)+('A. Dades de partida'!$D$10*Q227)</f>
        <v>0.11863191599999999</v>
      </c>
      <c r="S227" s="916">
        <f t="shared" si="20"/>
        <v>1.5203915999999998E-2</v>
      </c>
    </row>
    <row r="228" spans="1:19">
      <c r="A228" s="835">
        <v>8227</v>
      </c>
      <c r="B228" s="826" t="s">
        <v>1506</v>
      </c>
      <c r="C228" s="319" t="str">
        <f t="shared" si="17"/>
        <v>Alt Penedès</v>
      </c>
      <c r="D228" s="908">
        <f>IFERROR(IF(VLOOKUP(B228,'BD ASVICC'!$A$6:$GN$316,193,FALSE)&gt;0,VLOOKUP(B228,'BD ASVICC'!$A$6:$GN$316,193,FALSE),(VLOOKUP(C228,'BD Comarcal'!$A$6:$AB$17,9,)/VLOOKUP(C228,'BD Comarcal'!$A$6:$AB$17,13,))),"")</f>
        <v>1.0966842723004694E-2</v>
      </c>
      <c r="E228" s="910">
        <f>IFERROR(IF(VLOOKUP(B228,'BD ASVICC'!$A$6:$GN$316,192,FALSE)&gt;0,VLOOKUP(B228,'BD ASVICC'!$A$6:$GN$316,192,FALSE),(VLOOKUP(C228,'BD Comarcal'!$A$6:$AB$17,14,)*F228)),"")</f>
        <v>86.232536344389544</v>
      </c>
      <c r="F228" s="904">
        <f t="shared" si="21"/>
        <v>2.9160197600564573E-2</v>
      </c>
      <c r="G228" s="910">
        <f t="shared" si="18"/>
        <v>0.94569866369470623</v>
      </c>
      <c r="H228" s="910">
        <f>IFERROR(VLOOKUP(B228, base,19,FALSE)*'4. Agricultura PIB'!$K$11/1000000,G228*'4. Agricultura PIB'!$F$54)</f>
        <v>1.6070286060384731</v>
      </c>
      <c r="I228" s="910">
        <f>G228*'4. Agricultura PIB'!$F$45</f>
        <v>0.31122943022192784</v>
      </c>
      <c r="J228" s="952">
        <f>IFERROR((VLOOKUP(B228,base,19,FALSE)*'tecnicecon agric'!$D$65)/1000000,H228/3)</f>
        <v>0.68586959999999997</v>
      </c>
      <c r="K228" s="952">
        <f>IFERROR(VLOOKUP(B228,'cultius resum'!$T$6:$AU$306,22,FALSE)/1000000,0)</f>
        <v>6.2453291666666667E-2</v>
      </c>
      <c r="L228" s="915">
        <f>K228*'A. Dades de partida'!$D$10</f>
        <v>0.93679937499999999</v>
      </c>
      <c r="M228" s="956">
        <f>IFERROR(VLOOKUP(B228,'cultius resum'!$T$6:$AU$308,28,FALSE)/1000000,0)</f>
        <v>0.60812857557362232</v>
      </c>
      <c r="N228" s="955">
        <f>M228*'A. Dades de partida'!$D$10+(((I228-M228)*'A. Dades de partida'!$D$10)/2)</f>
        <v>6.8951850434666255</v>
      </c>
      <c r="O228" s="955">
        <f t="shared" si="19"/>
        <v>6.2870564678930032</v>
      </c>
      <c r="P228" s="916">
        <f>J228*'A. Dades de partida'!$D$10</f>
        <v>10.288043999999999</v>
      </c>
      <c r="Q228" s="916">
        <f>J228+J228*'4. Agricultura PIB'!$D$71</f>
        <v>0.8875152624</v>
      </c>
      <c r="R228" s="916">
        <f>(((J228-Q228)*'A. Dades de partida'!$D$10)/2)+('A. Dades de partida'!$D$10*Q228)</f>
        <v>11.800386467999999</v>
      </c>
      <c r="S228" s="916">
        <f t="shared" si="20"/>
        <v>1.5123424679999999</v>
      </c>
    </row>
    <row r="229" spans="1:19">
      <c r="A229" s="835">
        <v>8228</v>
      </c>
      <c r="B229" s="826" t="s">
        <v>1510</v>
      </c>
      <c r="C229" s="319" t="str">
        <f t="shared" si="17"/>
        <v>Anoia</v>
      </c>
      <c r="D229" s="908">
        <f>IFERROR(IF(VLOOKUP(B229,'BD ASVICC'!$A$6:$GN$316,193,FALSE)&gt;0,VLOOKUP(B229,'BD ASVICC'!$A$6:$GN$316,193,FALSE),(VLOOKUP(C229,'BD Comarcal'!$A$6:$AB$17,9,)/VLOOKUP(C229,'BD Comarcal'!$A$6:$AB$17,13,))),"")</f>
        <v>1.049736419894568E-2</v>
      </c>
      <c r="E229" s="910">
        <f>IFERROR(IF(VLOOKUP(B229,'BD ASVICC'!$A$6:$GN$316,192,FALSE)&gt;0,VLOOKUP(B229,'BD ASVICC'!$A$6:$GN$316,192,FALSE),(VLOOKUP(C229,'BD Comarcal'!$A$6:$AB$17,14,)*F229)),"")</f>
        <v>7.4708963099128534</v>
      </c>
      <c r="F229" s="904">
        <f t="shared" si="21"/>
        <v>3.1573393246187363E-3</v>
      </c>
      <c r="G229" s="910">
        <f t="shared" si="18"/>
        <v>7.8424719457714578E-2</v>
      </c>
      <c r="H229" s="910">
        <f>IFERROR(VLOOKUP(B229, base,19,FALSE)*'4. Agricultura PIB'!$K$11/1000000,G229*'4. Agricultura PIB'!$F$54)</f>
        <v>0.36635690575270924</v>
      </c>
      <c r="I229" s="910">
        <f>G229*'4. Agricultura PIB'!$F$45</f>
        <v>2.5809575173533869E-2</v>
      </c>
      <c r="J229" s="952">
        <f>IFERROR((VLOOKUP(B229,base,19,FALSE)*'tecnicecon agric'!$D$65)/1000000,H229/3)</f>
        <v>0.15635879999999999</v>
      </c>
      <c r="K229" s="952">
        <f>IFERROR(VLOOKUP(B229,'cultius resum'!$T$6:$AU$306,22,FALSE)/1000000,0)</f>
        <v>0.119784</v>
      </c>
      <c r="L229" s="915">
        <f>K229*'A. Dades de partida'!$D$10</f>
        <v>1.7967599999999999</v>
      </c>
      <c r="M229" s="956">
        <f>IFERROR(VLOOKUP(B229,'cultius resum'!$T$6:$AU$308,28,FALSE)/1000000,0)</f>
        <v>1.0471992800578676</v>
      </c>
      <c r="N229" s="955">
        <f>M229*'A. Dades de partida'!$D$10+(((I229-M229)*'A. Dades de partida'!$D$10)/2)</f>
        <v>8.0475664142355114</v>
      </c>
      <c r="O229" s="955">
        <f t="shared" si="19"/>
        <v>7.0003671341776439</v>
      </c>
      <c r="P229" s="916">
        <f>J229*'A. Dades de partida'!$D$10</f>
        <v>2.3453819999999999</v>
      </c>
      <c r="Q229" s="916">
        <f>J229+J229*'4. Agricultura PIB'!$D$71</f>
        <v>0.20232828719999998</v>
      </c>
      <c r="R229" s="916">
        <f>(((J229-Q229)*'A. Dades de partida'!$D$10)/2)+('A. Dades de partida'!$D$10*Q229)</f>
        <v>2.6901531539999999</v>
      </c>
      <c r="S229" s="916">
        <f t="shared" si="20"/>
        <v>0.34477115400000002</v>
      </c>
    </row>
    <row r="230" spans="1:19">
      <c r="A230" s="835">
        <v>8229</v>
      </c>
      <c r="B230" s="826" t="s">
        <v>1511</v>
      </c>
      <c r="C230" s="319" t="str">
        <f t="shared" si="17"/>
        <v>Bages</v>
      </c>
      <c r="D230" s="908">
        <f>IFERROR(IF(VLOOKUP(B230,'BD ASVICC'!$A$6:$GN$316,193,FALSE)&gt;0,VLOOKUP(B230,'BD ASVICC'!$A$6:$GN$316,193,FALSE),(VLOOKUP(C230,'BD Comarcal'!$A$6:$AB$17,9,)/VLOOKUP(C230,'BD Comarcal'!$A$6:$AB$17,13,))),"")</f>
        <v>9.2529216416964537E-3</v>
      </c>
      <c r="E230" s="910">
        <f>IFERROR(IF(VLOOKUP(B230,'BD ASVICC'!$A$6:$GN$316,192,FALSE)&gt;0,VLOOKUP(B230,'BD ASVICC'!$A$6:$GN$316,192,FALSE),(VLOOKUP(C230,'BD Comarcal'!$A$6:$AB$17,14,)*F230)),"")</f>
        <v>15.16355910334268</v>
      </c>
      <c r="F230" s="904">
        <f t="shared" si="21"/>
        <v>3.543964078655358E-3</v>
      </c>
      <c r="G230" s="910">
        <f t="shared" si="18"/>
        <v>0.14030722419246275</v>
      </c>
      <c r="H230" s="910">
        <f>IFERROR(VLOOKUP(B230, base,19,FALSE)*'4. Agricultura PIB'!$K$11/1000000,G230*'4. Agricultura PIB'!$F$54)</f>
        <v>3.537173549186988</v>
      </c>
      <c r="I230" s="910">
        <f>G230*'4. Agricultura PIB'!$F$45</f>
        <v>4.6175107481739489E-2</v>
      </c>
      <c r="J230" s="952">
        <f>IFERROR((VLOOKUP(B230,base,19,FALSE)*'tecnicecon agric'!$D$65)/1000000,H230/3)</f>
        <v>1.5096432</v>
      </c>
      <c r="K230" s="952">
        <f>IFERROR(VLOOKUP(B230,'cultius resum'!$T$6:$AU$306,22,FALSE)/1000000,0)</f>
        <v>0.62019258333333327</v>
      </c>
      <c r="L230" s="915">
        <f>K230*'A. Dades de partida'!$D$10</f>
        <v>9.3028887499999993</v>
      </c>
      <c r="M230" s="956">
        <f>IFERROR(VLOOKUP(B230,'cultius resum'!$T$6:$AU$308,28,FALSE)/1000000,0)</f>
        <v>5.4357780146179122</v>
      </c>
      <c r="N230" s="955">
        <f>M230*'A. Dades de partida'!$D$10+(((I230-M230)*'A. Dades de partida'!$D$10)/2)</f>
        <v>41.114648415747396</v>
      </c>
      <c r="O230" s="955">
        <f t="shared" si="19"/>
        <v>35.678870401129487</v>
      </c>
      <c r="P230" s="916">
        <f>J230*'A. Dades de partida'!$D$10</f>
        <v>22.644648</v>
      </c>
      <c r="Q230" s="916">
        <f>J230+J230*'4. Agricultura PIB'!$D$71</f>
        <v>1.9534783007999998</v>
      </c>
      <c r="R230" s="916">
        <f>(((J230-Q230)*'A. Dades de partida'!$D$10)/2)+('A. Dades de partida'!$D$10*Q230)</f>
        <v>25.973411255999999</v>
      </c>
      <c r="S230" s="916">
        <f t="shared" si="20"/>
        <v>3.3287632559999984</v>
      </c>
    </row>
    <row r="231" spans="1:19">
      <c r="A231" s="835">
        <v>8230</v>
      </c>
      <c r="B231" s="826" t="s">
        <v>1513</v>
      </c>
      <c r="C231" s="319" t="str">
        <f t="shared" si="17"/>
        <v>Maresme</v>
      </c>
      <c r="D231" s="908">
        <f>IFERROR(IF(VLOOKUP(B231,'BD ASVICC'!$A$6:$GN$316,193,FALSE)&gt;0,VLOOKUP(B231,'BD ASVICC'!$A$6:$GN$316,193,FALSE),(VLOOKUP(C231,'BD Comarcal'!$A$6:$AB$17,9,)/VLOOKUP(C231,'BD Comarcal'!$A$6:$AB$17,13,))),"")</f>
        <v>2.8000000000000001E-2</v>
      </c>
      <c r="E231" s="910">
        <f>IFERROR(IF(VLOOKUP(B231,'BD ASVICC'!$A$6:$GN$316,192,FALSE)&gt;0,VLOOKUP(B231,'BD ASVICC'!$A$6:$GN$316,192,FALSE),(VLOOKUP(C231,'BD Comarcal'!$A$6:$AB$17,14,)*F231)),"")</f>
        <v>154</v>
      </c>
      <c r="F231" s="904">
        <f t="shared" si="21"/>
        <v>2.3659981200665904E-2</v>
      </c>
      <c r="G231" s="910">
        <f t="shared" si="18"/>
        <v>4.3120000000000003</v>
      </c>
      <c r="H231" s="910">
        <f>IFERROR(VLOOKUP(B231, base,19,FALSE)*'4. Agricultura PIB'!$K$11/1000000,G231*'4. Agricultura PIB'!$F$54)</f>
        <v>0</v>
      </c>
      <c r="I231" s="910">
        <f>G231*'4. Agricultura PIB'!$F$45</f>
        <v>1.4190792000000001</v>
      </c>
      <c r="J231" s="952">
        <f>IFERROR((VLOOKUP(B231,base,19,FALSE)*'tecnicecon agric'!$D$65)/1000000,H231/3)</f>
        <v>0</v>
      </c>
      <c r="K231" s="952">
        <f>IFERROR(VLOOKUP(B231,'cultius resum'!$T$6:$AU$306,22,FALSE)/1000000,0)</f>
        <v>3.7574000000000003E-2</v>
      </c>
      <c r="L231" s="915">
        <f>K231*'A. Dades de partida'!$D$10</f>
        <v>0.56361000000000006</v>
      </c>
      <c r="M231" s="956">
        <f>IFERROR(VLOOKUP(B231,'cultius resum'!$T$6:$AU$308,28,FALSE)/1000000,0)</f>
        <v>0.54941876022202774</v>
      </c>
      <c r="N231" s="955">
        <f>M231*'A. Dades de partida'!$D$10+(((I231-M231)*'A. Dades de partida'!$D$10)/2)</f>
        <v>14.763734701665207</v>
      </c>
      <c r="O231" s="955">
        <f t="shared" si="19"/>
        <v>14.214315941443179</v>
      </c>
      <c r="P231" s="916">
        <f>J231*'A. Dades de partida'!$D$10</f>
        <v>0</v>
      </c>
      <c r="Q231" s="916">
        <f>J231+J231*'4. Agricultura PIB'!$D$71</f>
        <v>0</v>
      </c>
      <c r="R231" s="916">
        <f>(((J231-Q231)*'A. Dades de partida'!$D$10)/2)+('A. Dades de partida'!$D$10*Q231)</f>
        <v>0</v>
      </c>
      <c r="S231" s="916">
        <f t="shared" si="20"/>
        <v>0</v>
      </c>
    </row>
    <row r="232" spans="1:19">
      <c r="A232" s="835">
        <v>8231</v>
      </c>
      <c r="B232" s="826" t="s">
        <v>1518</v>
      </c>
      <c r="C232" s="319" t="str">
        <f t="shared" si="17"/>
        <v>Garraf</v>
      </c>
      <c r="D232" s="908">
        <f>IFERROR(IF(VLOOKUP(B232,'BD ASVICC'!$A$6:$GN$316,193,FALSE)&gt;0,VLOOKUP(B232,'BD ASVICC'!$A$6:$GN$316,193,FALSE),(VLOOKUP(C232,'BD Comarcal'!$A$6:$AB$17,9,)/VLOOKUP(C232,'BD Comarcal'!$A$6:$AB$17,13,))),"")</f>
        <v>2E-3</v>
      </c>
      <c r="E232" s="910">
        <f>IFERROR(IF(VLOOKUP(B232,'BD ASVICC'!$A$6:$GN$316,192,FALSE)&gt;0,VLOOKUP(B232,'BD ASVICC'!$A$6:$GN$316,192,FALSE),(VLOOKUP(C232,'BD Comarcal'!$A$6:$AB$17,14,)*F232)),"")</f>
        <v>394</v>
      </c>
      <c r="F232" s="904">
        <f t="shared" si="21"/>
        <v>0.20317819112720933</v>
      </c>
      <c r="G232" s="910">
        <f t="shared" si="18"/>
        <v>0.78800000000000003</v>
      </c>
      <c r="H232" s="910">
        <f>IFERROR(VLOOKUP(B232, base,19,FALSE)*'4. Agricultura PIB'!$K$11/1000000,G232*'4. Agricultura PIB'!$F$54)</f>
        <v>8.1729426445481174E-2</v>
      </c>
      <c r="I232" s="910">
        <f>G232*'4. Agricultura PIB'!$F$45</f>
        <v>0.25933080000000003</v>
      </c>
      <c r="J232" s="952">
        <f>IFERROR((VLOOKUP(B232,base,19,FALSE)*'tecnicecon agric'!$D$65)/1000000,H232/3)</f>
        <v>3.4881599999999999E-2</v>
      </c>
      <c r="K232" s="952">
        <f>IFERROR(VLOOKUP(B232,'cultius resum'!$T$6:$AU$306,22,FALSE)/1000000,0)</f>
        <v>6.1441083333333327E-2</v>
      </c>
      <c r="L232" s="915">
        <f>K232*'A. Dades de partida'!$D$10</f>
        <v>0.92161624999999991</v>
      </c>
      <c r="M232" s="956">
        <f>IFERROR(VLOOKUP(B232,'cultius resum'!$T$6:$AU$308,28,FALSE)/1000000,0)</f>
        <v>0.57856707949251207</v>
      </c>
      <c r="N232" s="955">
        <f>M232*'A. Dades de partida'!$D$10+(((I232-M232)*'A. Dades de partida'!$D$10)/2)</f>
        <v>6.284234096193841</v>
      </c>
      <c r="O232" s="955">
        <f t="shared" si="19"/>
        <v>5.7056670167013293</v>
      </c>
      <c r="P232" s="916">
        <f>J232*'A. Dades de partida'!$D$10</f>
        <v>0.52322400000000002</v>
      </c>
      <c r="Q232" s="916">
        <f>J232+J232*'4. Agricultura PIB'!$D$71</f>
        <v>4.5136790400000001E-2</v>
      </c>
      <c r="R232" s="916">
        <f>(((J232-Q232)*'A. Dades de partida'!$D$10)/2)+('A. Dades de partida'!$D$10*Q232)</f>
        <v>0.6001379280000001</v>
      </c>
      <c r="S232" s="916">
        <f t="shared" si="20"/>
        <v>7.6913928000000076E-2</v>
      </c>
    </row>
    <row r="233" spans="1:19">
      <c r="A233" s="835">
        <v>8232</v>
      </c>
      <c r="B233" s="826" t="s">
        <v>1523</v>
      </c>
      <c r="C233" s="319" t="str">
        <f t="shared" si="17"/>
        <v>Alt Penedès</v>
      </c>
      <c r="D233" s="908">
        <f>IFERROR(IF(VLOOKUP(B233,'BD ASVICC'!$A$6:$GN$316,193,FALSE)&gt;0,VLOOKUP(B233,'BD ASVICC'!$A$6:$GN$316,193,FALSE),(VLOOKUP(C233,'BD Comarcal'!$A$6:$AB$17,9,)/VLOOKUP(C233,'BD Comarcal'!$A$6:$AB$17,13,))),"")</f>
        <v>1.0966842723004694E-2</v>
      </c>
      <c r="E233" s="910">
        <f>IFERROR(IF(VLOOKUP(B233,'BD ASVICC'!$A$6:$GN$316,192,FALSE)&gt;0,VLOOKUP(B233,'BD ASVICC'!$A$6:$GN$316,192,FALSE),(VLOOKUP(C233,'BD Comarcal'!$A$6:$AB$17,14,)*F233)),"")</f>
        <v>65.919612326511412</v>
      </c>
      <c r="F233" s="904">
        <f t="shared" si="21"/>
        <v>2.2291225593977889E-2</v>
      </c>
      <c r="G233" s="910">
        <f t="shared" si="18"/>
        <v>0.7229300207462922</v>
      </c>
      <c r="H233" s="910">
        <f>IFERROR(VLOOKUP(B233, base,19,FALSE)*'4. Agricultura PIB'!$K$11/1000000,G233*'4. Agricultura PIB'!$F$54)</f>
        <v>0.10073626980489542</v>
      </c>
      <c r="I233" s="910">
        <f>G233*'4. Agricultura PIB'!$F$45</f>
        <v>0.23791626982760478</v>
      </c>
      <c r="J233" s="952">
        <f>IFERROR((VLOOKUP(B233,base,19,FALSE)*'tecnicecon agric'!$D$65)/1000000,H233/3)</f>
        <v>4.29936E-2</v>
      </c>
      <c r="K233" s="952">
        <f>IFERROR(VLOOKUP(B233,'cultius resum'!$T$6:$AU$306,22,FALSE)/1000000,0)</f>
        <v>2.02045E-2</v>
      </c>
      <c r="L233" s="915">
        <f>K233*'A. Dades de partida'!$D$10</f>
        <v>0.30306749999999999</v>
      </c>
      <c r="M233" s="956">
        <f>IFERROR(VLOOKUP(B233,'cultius resum'!$T$6:$AU$308,28,FALSE)/1000000,0)</f>
        <v>0.20425225182095955</v>
      </c>
      <c r="N233" s="955">
        <f>M233*'A. Dades de partida'!$D$10+(((I233-M233)*'A. Dades de partida'!$D$10)/2)</f>
        <v>3.3162639123642323</v>
      </c>
      <c r="O233" s="955">
        <f t="shared" si="19"/>
        <v>3.1120116605432728</v>
      </c>
      <c r="P233" s="916">
        <f>J233*'A. Dades de partida'!$D$10</f>
        <v>0.64490400000000003</v>
      </c>
      <c r="Q233" s="916">
        <f>J233+J233*'4. Agricultura PIB'!$D$71</f>
        <v>5.5633718399999997E-2</v>
      </c>
      <c r="R233" s="916">
        <f>(((J233-Q233)*'A. Dades de partida'!$D$10)/2)+('A. Dades de partida'!$D$10*Q233)</f>
        <v>0.739704888</v>
      </c>
      <c r="S233" s="916">
        <f t="shared" si="20"/>
        <v>9.4800887999999972E-2</v>
      </c>
    </row>
    <row r="234" spans="1:19">
      <c r="A234" s="835">
        <v>8233</v>
      </c>
      <c r="B234" s="826" t="s">
        <v>1524</v>
      </c>
      <c r="C234" s="319" t="str">
        <f t="shared" si="17"/>
        <v>Osona</v>
      </c>
      <c r="D234" s="908">
        <f>IFERROR(IF(VLOOKUP(B234,'BD ASVICC'!$A$6:$GN$316,193,FALSE)&gt;0,VLOOKUP(B234,'BD ASVICC'!$A$6:$GN$316,193,FALSE),(VLOOKUP(C234,'BD Comarcal'!$A$6:$AB$17,9,)/VLOOKUP(C234,'BD Comarcal'!$A$6:$AB$17,13,))),"")</f>
        <v>1.8400340353116357E-2</v>
      </c>
      <c r="E234" s="910">
        <f>IFERROR(IF(VLOOKUP(B234,'BD ASVICC'!$A$6:$GN$316,192,FALSE)&gt;0,VLOOKUP(B234,'BD ASVICC'!$A$6:$GN$316,192,FALSE),(VLOOKUP(C234,'BD Comarcal'!$A$6:$AB$17,14,)*F234)),"")</f>
        <v>63.609321451288537</v>
      </c>
      <c r="F234" s="904">
        <f t="shared" si="21"/>
        <v>1.5593577527772245E-2</v>
      </c>
      <c r="G234" s="910">
        <f t="shared" si="18"/>
        <v>1.1704331643344943</v>
      </c>
      <c r="H234" s="910">
        <f>IFERROR(VLOOKUP(B234, base,19,FALSE)*'4. Agricultura PIB'!$K$11/1000000,G234*'4. Agricultura PIB'!$F$54)</f>
        <v>1.9966688949064648</v>
      </c>
      <c r="I234" s="910">
        <f>G234*'4. Agricultura PIB'!$F$45</f>
        <v>0.38518955438248209</v>
      </c>
      <c r="J234" s="952">
        <f>IFERROR((VLOOKUP(B234,base,19,FALSE)*'tecnicecon agric'!$D$65)/1000000,H234/3)</f>
        <v>0.85216559999999997</v>
      </c>
      <c r="K234" s="952">
        <f>IFERROR(VLOOKUP(B234,'cultius resum'!$T$6:$AU$306,22,FALSE)/1000000,0)</f>
        <v>0.24446141666666665</v>
      </c>
      <c r="L234" s="915">
        <f>K234*'A. Dades de partida'!$D$10</f>
        <v>3.6669212499999997</v>
      </c>
      <c r="M234" s="956">
        <f>IFERROR(VLOOKUP(B234,'cultius resum'!$T$6:$AU$308,28,FALSE)/1000000,0)</f>
        <v>2.3443024412417723</v>
      </c>
      <c r="N234" s="955">
        <f>M234*'A. Dades de partida'!$D$10+(((I234-M234)*'A. Dades de partida'!$D$10)/2)</f>
        <v>20.471189967181907</v>
      </c>
      <c r="O234" s="955">
        <f t="shared" si="19"/>
        <v>18.126887525940134</v>
      </c>
      <c r="P234" s="916">
        <f>J234*'A. Dades de partida'!$D$10</f>
        <v>12.782484</v>
      </c>
      <c r="Q234" s="916">
        <f>J234+J234*'4. Agricultura PIB'!$D$71</f>
        <v>1.1027022864</v>
      </c>
      <c r="R234" s="916">
        <f>(((J234-Q234)*'A. Dades de partida'!$D$10)/2)+('A. Dades de partida'!$D$10*Q234)</f>
        <v>14.661509148</v>
      </c>
      <c r="S234" s="916">
        <f t="shared" si="20"/>
        <v>1.8790251480000002</v>
      </c>
    </row>
    <row r="235" spans="1:19">
      <c r="A235" s="835">
        <v>8234</v>
      </c>
      <c r="B235" s="826" t="s">
        <v>1530</v>
      </c>
      <c r="C235" s="319" t="str">
        <f t="shared" si="17"/>
        <v>Vallès Oriental</v>
      </c>
      <c r="D235" s="908">
        <f>IFERROR(IF(VLOOKUP(B235,'BD ASVICC'!$A$6:$GN$316,193,FALSE)&gt;0,VLOOKUP(B235,'BD ASVICC'!$A$6:$GN$316,193,FALSE),(VLOOKUP(C235,'BD Comarcal'!$A$6:$AB$17,9,)/VLOOKUP(C235,'BD Comarcal'!$A$6:$AB$17,13,))),"")</f>
        <v>3.6614258022830064E-3</v>
      </c>
      <c r="E235" s="910">
        <f>IFERROR(IF(VLOOKUP(B235,'BD ASVICC'!$A$6:$GN$316,192,FALSE)&gt;0,VLOOKUP(B235,'BD ASVICC'!$A$6:$GN$316,192,FALSE),(VLOOKUP(C235,'BD Comarcal'!$A$6:$AB$17,14,)*F235)),"")</f>
        <v>117.51835136468513</v>
      </c>
      <c r="F235" s="904">
        <f t="shared" si="21"/>
        <v>1.0607019519706582E-2</v>
      </c>
      <c r="G235" s="910">
        <f t="shared" si="18"/>
        <v>0.43028472392841849</v>
      </c>
      <c r="H235" s="910">
        <f>IFERROR(VLOOKUP(B235, base,19,FALSE)*'4. Agricultura PIB'!$K$11/1000000,G235*'4. Agricultura PIB'!$F$54)</f>
        <v>2.7274820220759417</v>
      </c>
      <c r="I235" s="910">
        <f>G235*'4. Agricultura PIB'!$F$45</f>
        <v>0.14160670264484251</v>
      </c>
      <c r="J235" s="952">
        <f>IFERROR((VLOOKUP(B235,base,19,FALSE)*'tecnicecon agric'!$D$65)/1000000,H235/3)</f>
        <v>1.164072</v>
      </c>
      <c r="K235" s="952">
        <f>IFERROR(VLOOKUP(B235,'cultius resum'!$T$6:$AU$306,22,FALSE)/1000000,0)</f>
        <v>0.19417729166666667</v>
      </c>
      <c r="L235" s="915">
        <f>K235*'A. Dades de partida'!$D$10</f>
        <v>2.9126593750000001</v>
      </c>
      <c r="M235" s="956">
        <f>IFERROR(VLOOKUP(B235,'cultius resum'!$T$6:$AU$308,28,FALSE)/1000000,0)</f>
        <v>2.3120419156707568</v>
      </c>
      <c r="N235" s="955">
        <f>M235*'A. Dades de partida'!$D$10+(((I235-M235)*'A. Dades de partida'!$D$10)/2)</f>
        <v>18.402364637366997</v>
      </c>
      <c r="O235" s="955">
        <f t="shared" si="19"/>
        <v>16.090322721696239</v>
      </c>
      <c r="P235" s="916">
        <f>J235*'A. Dades de partida'!$D$10</f>
        <v>17.461079999999999</v>
      </c>
      <c r="Q235" s="916">
        <f>J235+J235*'4. Agricultura PIB'!$D$71</f>
        <v>1.506309168</v>
      </c>
      <c r="R235" s="916">
        <f>(((J235-Q235)*'A. Dades de partida'!$D$10)/2)+('A. Dades de partida'!$D$10*Q235)</f>
        <v>20.027858760000001</v>
      </c>
      <c r="S235" s="916">
        <f t="shared" si="20"/>
        <v>2.5667787600000018</v>
      </c>
    </row>
    <row r="236" spans="1:19">
      <c r="A236" s="835">
        <v>8235</v>
      </c>
      <c r="B236" s="826" t="s">
        <v>353</v>
      </c>
      <c r="C236" s="319" t="str">
        <f t="shared" si="17"/>
        <v>Maresme</v>
      </c>
      <c r="D236" s="908">
        <f>IFERROR(IF(VLOOKUP(B236,'BD ASVICC'!$A$6:$GN$316,193,FALSE)&gt;0,VLOOKUP(B236,'BD ASVICC'!$A$6:$GN$316,193,FALSE),(VLOOKUP(C236,'BD Comarcal'!$A$6:$AB$17,9,)/VLOOKUP(C236,'BD Comarcal'!$A$6:$AB$17,13,))),"")</f>
        <v>1.0999999999999999E-2</v>
      </c>
      <c r="E236" s="910">
        <f>IFERROR(IF(VLOOKUP(B236,'BD ASVICC'!$A$6:$GN$316,192,FALSE)&gt;0,VLOOKUP(B236,'BD ASVICC'!$A$6:$GN$316,192,FALSE),(VLOOKUP(C236,'BD Comarcal'!$A$6:$AB$17,14,)*F236)),"")</f>
        <v>99</v>
      </c>
      <c r="F236" s="904">
        <f t="shared" si="21"/>
        <v>1.1213916037190972E-2</v>
      </c>
      <c r="G236" s="910">
        <f t="shared" si="18"/>
        <v>1.089</v>
      </c>
      <c r="H236" s="910">
        <f>IFERROR(VLOOKUP(B236, base,19,FALSE)*'4. Agricultura PIB'!$K$11/1000000,G236*'4. Agricultura PIB'!$F$54)</f>
        <v>0.36065485274488501</v>
      </c>
      <c r="I236" s="910">
        <f>G236*'4. Agricultura PIB'!$F$45</f>
        <v>0.35838989999999998</v>
      </c>
      <c r="J236" s="952">
        <f>IFERROR((VLOOKUP(B236,base,19,FALSE)*'tecnicecon agric'!$D$65)/1000000,H236/3)</f>
        <v>0.15392519999999998</v>
      </c>
      <c r="K236" s="952">
        <f>IFERROR(VLOOKUP(B236,'cultius resum'!$T$6:$AU$306,22,FALSE)/1000000,0)</f>
        <v>6.3258999999999996E-2</v>
      </c>
      <c r="L236" s="915">
        <f>K236*'A. Dades de partida'!$D$10</f>
        <v>0.94888499999999998</v>
      </c>
      <c r="M236" s="956">
        <f>IFERROR(VLOOKUP(B236,'cultius resum'!$T$6:$AU$308,28,FALSE)/1000000,0)</f>
        <v>0.93966617872067648</v>
      </c>
      <c r="N236" s="955">
        <f>M236*'A. Dades de partida'!$D$10+(((I236-M236)*'A. Dades de partida'!$D$10)/2)</f>
        <v>9.7354205904050737</v>
      </c>
      <c r="O236" s="955">
        <f t="shared" si="19"/>
        <v>8.7957544116843973</v>
      </c>
      <c r="P236" s="916">
        <f>J236*'A. Dades de partida'!$D$10</f>
        <v>2.308878</v>
      </c>
      <c r="Q236" s="916">
        <f>J236+J236*'4. Agricultura PIB'!$D$71</f>
        <v>0.19917920879999998</v>
      </c>
      <c r="R236" s="916">
        <f>(((J236-Q236)*'A. Dades de partida'!$D$10)/2)+('A. Dades de partida'!$D$10*Q236)</f>
        <v>2.6482830659999999</v>
      </c>
      <c r="S236" s="916">
        <f t="shared" si="20"/>
        <v>0.33940506599999987</v>
      </c>
    </row>
    <row r="237" spans="1:19">
      <c r="A237" s="835">
        <v>8236</v>
      </c>
      <c r="B237" s="826" t="s">
        <v>1532</v>
      </c>
      <c r="C237" s="319" t="str">
        <f t="shared" si="17"/>
        <v>Alt Penedès</v>
      </c>
      <c r="D237" s="908">
        <f>IFERROR(IF(VLOOKUP(B237,'BD ASVICC'!$A$6:$GN$316,193,FALSE)&gt;0,VLOOKUP(B237,'BD ASVICC'!$A$6:$GN$316,193,FALSE),(VLOOKUP(C237,'BD Comarcal'!$A$6:$AB$17,9,)/VLOOKUP(C237,'BD Comarcal'!$A$6:$AB$17,13,))),"")</f>
        <v>1.0966842723004694E-2</v>
      </c>
      <c r="E237" s="910">
        <f>IFERROR(IF(VLOOKUP(B237,'BD ASVICC'!$A$6:$GN$316,192,FALSE)&gt;0,VLOOKUP(B237,'BD ASVICC'!$A$6:$GN$316,192,FALSE),(VLOOKUP(C237,'BD Comarcal'!$A$6:$AB$17,14,)*F237)),"")</f>
        <v>59.018783345095265</v>
      </c>
      <c r="F237" s="904">
        <f t="shared" si="21"/>
        <v>1.9957657021877205E-2</v>
      </c>
      <c r="G237" s="910">
        <f t="shared" si="18"/>
        <v>0.64724971464874859</v>
      </c>
      <c r="H237" s="910">
        <f>IFERROR(VLOOKUP(B237, base,19,FALSE)*'4. Agricultura PIB'!$K$11/1000000,G237*'4. Agricultura PIB'!$F$54)</f>
        <v>0.13779961435575314</v>
      </c>
      <c r="I237" s="910">
        <f>G237*'4. Agricultura PIB'!$F$45</f>
        <v>0.21300988109090316</v>
      </c>
      <c r="J237" s="952">
        <f>IFERROR((VLOOKUP(B237,base,19,FALSE)*'tecnicecon agric'!$D$65)/1000000,H237/3)</f>
        <v>5.8811999999999989E-2</v>
      </c>
      <c r="K237" s="952">
        <f>IFERROR(VLOOKUP(B237,'cultius resum'!$T$6:$AU$306,22,FALSE)/1000000,0)</f>
        <v>3.0124958333333333E-2</v>
      </c>
      <c r="L237" s="915">
        <f>K237*'A. Dades de partida'!$D$10</f>
        <v>0.45187437499999999</v>
      </c>
      <c r="M237" s="956">
        <f>IFERROR(VLOOKUP(B237,'cultius resum'!$T$6:$AU$308,28,FALSE)/1000000,0)</f>
        <v>0.27026846780862285</v>
      </c>
      <c r="N237" s="955">
        <f>M237*'A. Dades de partida'!$D$10+(((I237-M237)*'A. Dades de partida'!$D$10)/2)</f>
        <v>3.624587616746445</v>
      </c>
      <c r="O237" s="955">
        <f t="shared" si="19"/>
        <v>3.3543191489378223</v>
      </c>
      <c r="P237" s="916">
        <f>J237*'A. Dades de partida'!$D$10</f>
        <v>0.88217999999999985</v>
      </c>
      <c r="Q237" s="916">
        <f>J237+J237*'4. Agricultura PIB'!$D$71</f>
        <v>7.6102727999999981E-2</v>
      </c>
      <c r="R237" s="916">
        <f>(((J237-Q237)*'A. Dades de partida'!$D$10)/2)+('A. Dades de partida'!$D$10*Q237)</f>
        <v>1.0118604599999999</v>
      </c>
      <c r="S237" s="916">
        <f t="shared" si="20"/>
        <v>0.12968046</v>
      </c>
    </row>
    <row r="238" spans="1:19">
      <c r="A238" s="835">
        <v>8237</v>
      </c>
      <c r="B238" s="826" t="s">
        <v>1536</v>
      </c>
      <c r="C238" s="319" t="str">
        <f t="shared" si="17"/>
        <v>Osona</v>
      </c>
      <c r="D238" s="908">
        <f>IFERROR(IF(VLOOKUP(B238,'BD ASVICC'!$A$6:$GN$316,193,FALSE)&gt;0,VLOOKUP(B238,'BD ASVICC'!$A$6:$GN$316,193,FALSE),(VLOOKUP(C238,'BD Comarcal'!$A$6:$AB$17,9,)/VLOOKUP(C238,'BD Comarcal'!$A$6:$AB$17,13,))),"")</f>
        <v>1.8400340353116357E-2</v>
      </c>
      <c r="E238" s="910">
        <f>IFERROR(IF(VLOOKUP(B238,'BD ASVICC'!$A$6:$GN$316,192,FALSE)&gt;0,VLOOKUP(B238,'BD ASVICC'!$A$6:$GN$316,192,FALSE),(VLOOKUP(C238,'BD Comarcal'!$A$6:$AB$17,14,)*F238)),"")</f>
        <v>55.694193689323505</v>
      </c>
      <c r="F238" s="904">
        <f t="shared" si="21"/>
        <v>1.3653214769887113E-2</v>
      </c>
      <c r="G238" s="910">
        <f t="shared" si="18"/>
        <v>1.0247921195759377</v>
      </c>
      <c r="H238" s="910">
        <f>IFERROR(VLOOKUP(B238, base,19,FALSE)*'4. Agricultura PIB'!$K$11/1000000,G238*'4. Agricultura PIB'!$F$54)</f>
        <v>0.50368134902447703</v>
      </c>
      <c r="I238" s="910">
        <f>G238*'4. Agricultura PIB'!$F$45</f>
        <v>0.33725908655244113</v>
      </c>
      <c r="J238" s="952">
        <f>IFERROR((VLOOKUP(B238,base,19,FALSE)*'tecnicecon agric'!$D$65)/1000000,H238/3)</f>
        <v>0.21496799999999996</v>
      </c>
      <c r="K238" s="952">
        <f>IFERROR(VLOOKUP(B238,'cultius resum'!$T$6:$AU$306,22,FALSE)/1000000,0)</f>
        <v>4.4815750000000001E-2</v>
      </c>
      <c r="L238" s="915">
        <f>K238*'A. Dades de partida'!$D$10</f>
        <v>0.67223624999999998</v>
      </c>
      <c r="M238" s="956">
        <f>IFERROR(VLOOKUP(B238,'cultius resum'!$T$6:$AU$308,28,FALSE)/1000000,0)</f>
        <v>0.54368778355467229</v>
      </c>
      <c r="N238" s="955">
        <f>M238*'A. Dades de partida'!$D$10+(((I238-M238)*'A. Dades de partida'!$D$10)/2)</f>
        <v>6.6071015258033512</v>
      </c>
      <c r="O238" s="955">
        <f t="shared" si="19"/>
        <v>6.0634137422486791</v>
      </c>
      <c r="P238" s="916">
        <f>J238*'A. Dades de partida'!$D$10</f>
        <v>3.2245199999999996</v>
      </c>
      <c r="Q238" s="916">
        <f>J238+J238*'4. Agricultura PIB'!$D$71</f>
        <v>0.27816859199999994</v>
      </c>
      <c r="R238" s="916">
        <f>(((J238-Q238)*'A. Dades de partida'!$D$10)/2)+('A. Dades de partida'!$D$10*Q238)</f>
        <v>3.698524439999999</v>
      </c>
      <c r="S238" s="916">
        <f t="shared" si="20"/>
        <v>0.47400443999999942</v>
      </c>
    </row>
    <row r="239" spans="1:19">
      <c r="A239" s="835">
        <v>8238</v>
      </c>
      <c r="B239" s="826" t="s">
        <v>1538</v>
      </c>
      <c r="C239" s="319" t="str">
        <f t="shared" si="17"/>
        <v>Vallès Occidental</v>
      </c>
      <c r="D239" s="908">
        <f>IFERROR(IF(VLOOKUP(B239,'BD ASVICC'!$A$6:$GN$316,193,FALSE)&gt;0,VLOOKUP(B239,'BD ASVICC'!$A$6:$GN$316,193,FALSE),(VLOOKUP(C239,'BD Comarcal'!$A$6:$AB$17,9,)/VLOOKUP(C239,'BD Comarcal'!$A$6:$AB$17,13,))),"")</f>
        <v>3.6775782925402761E-4</v>
      </c>
      <c r="E239" s="910">
        <f>IFERROR(IF(VLOOKUP(B239,'BD ASVICC'!$A$6:$GN$316,192,FALSE)&gt;0,VLOOKUP(B239,'BD ASVICC'!$A$6:$GN$316,192,FALSE),(VLOOKUP(C239,'BD Comarcal'!$A$6:$AB$17,14,)*F239)),"")</f>
        <v>637</v>
      </c>
      <c r="F239" s="904">
        <f t="shared" si="21"/>
        <v>2.1746438998495973E-2</v>
      </c>
      <c r="G239" s="910">
        <f t="shared" si="18"/>
        <v>0.23426173723481558</v>
      </c>
      <c r="H239" s="910">
        <f>IFERROR(VLOOKUP(B239, base,19,FALSE)*'4. Agricultura PIB'!$K$11/1000000,G239*'4. Agricultura PIB'!$F$54)</f>
        <v>2.1857869863326364E-2</v>
      </c>
      <c r="I239" s="910">
        <f>G239*'4. Agricultura PIB'!$F$45</f>
        <v>7.7095537723977814E-2</v>
      </c>
      <c r="J239" s="952">
        <f>IFERROR((VLOOKUP(B239,base,19,FALSE)*'tecnicecon agric'!$D$65)/1000000,H239/3)</f>
        <v>9.3287999999999999E-3</v>
      </c>
      <c r="K239" s="952">
        <f>IFERROR(VLOOKUP(B239,'cultius resum'!$T$6:$AU$306,22,FALSE)/1000000,0)</f>
        <v>3.8977333333333329E-2</v>
      </c>
      <c r="L239" s="915">
        <f>K239*'A. Dades de partida'!$D$10</f>
        <v>0.58465999999999996</v>
      </c>
      <c r="M239" s="956">
        <f>IFERROR(VLOOKUP(B239,'cultius resum'!$T$6:$AU$308,28,FALSE)/1000000,0)</f>
        <v>0.34075532128867125</v>
      </c>
      <c r="N239" s="955">
        <f>M239*'A. Dades de partida'!$D$10+(((I239-M239)*'A. Dades de partida'!$D$10)/2)</f>
        <v>3.1338814425948684</v>
      </c>
      <c r="O239" s="955">
        <f t="shared" si="19"/>
        <v>2.7931261213061971</v>
      </c>
      <c r="P239" s="916">
        <f>J239*'A. Dades de partida'!$D$10</f>
        <v>0.139932</v>
      </c>
      <c r="Q239" s="916">
        <f>J239+J239*'4. Agricultura PIB'!$D$71</f>
        <v>1.20714672E-2</v>
      </c>
      <c r="R239" s="916">
        <f>(((J239-Q239)*'A. Dades de partida'!$D$10)/2)+('A. Dades de partida'!$D$10*Q239)</f>
        <v>0.160502004</v>
      </c>
      <c r="S239" s="916">
        <f t="shared" si="20"/>
        <v>2.0570004000000003E-2</v>
      </c>
    </row>
    <row r="240" spans="1:19">
      <c r="A240" s="835">
        <v>8239</v>
      </c>
      <c r="B240" s="826" t="s">
        <v>1542</v>
      </c>
      <c r="C240" s="319" t="str">
        <f t="shared" si="17"/>
        <v>Moianès</v>
      </c>
      <c r="D240" s="908">
        <f>IFERROR(IF(VLOOKUP(B240,'BD ASVICC'!$A$6:$GN$316,193,FALSE)&gt;0,VLOOKUP(B240,'BD ASVICC'!$A$6:$GN$316,193,FALSE),(VLOOKUP(C240,'BD Comarcal'!$A$6:$AB$17,9,)/VLOOKUP(C240,'BD Comarcal'!$A$6:$AB$17,13,))),"")</f>
        <v>2.4061990212071782E-2</v>
      </c>
      <c r="E240" s="910">
        <f>IFERROR(IF(VLOOKUP(B240,'BD ASVICC'!$A$6:$GN$316,192,FALSE)&gt;0,VLOOKUP(B240,'BD ASVICC'!$A$6:$GN$316,192,FALSE),(VLOOKUP(C240,'BD Comarcal'!$A$6:$AB$17,14,)*F240)),"")</f>
        <v>12.822946475887651</v>
      </c>
      <c r="F240" s="904">
        <f t="shared" si="21"/>
        <v>4.8224695283518811E-2</v>
      </c>
      <c r="G240" s="910">
        <f t="shared" si="18"/>
        <v>0.308545612592729</v>
      </c>
      <c r="H240" s="910">
        <f>IFERROR(VLOOKUP(B240, base,19,FALSE)*'4. Agricultura PIB'!$K$11/1000000,G240*'4. Agricultura PIB'!$F$54)</f>
        <v>6.082189875012553E-2</v>
      </c>
      <c r="I240" s="910">
        <f>G240*'4. Agricultura PIB'!$F$45</f>
        <v>0.10154236110426712</v>
      </c>
      <c r="J240" s="952">
        <f>IFERROR((VLOOKUP(B240,base,19,FALSE)*'tecnicecon agric'!$D$65)/1000000,H240/3)</f>
        <v>2.59584E-2</v>
      </c>
      <c r="K240" s="952">
        <f>IFERROR(VLOOKUP(B240,'cultius resum'!$T$6:$AU$306,22,FALSE)/1000000,0)</f>
        <v>5.0385333333333331E-2</v>
      </c>
      <c r="L240" s="915">
        <f>K240*'A. Dades de partida'!$D$10</f>
        <v>0.75578000000000001</v>
      </c>
      <c r="M240" s="956">
        <f>IFERROR(VLOOKUP(B240,'cultius resum'!$T$6:$AU$308,28,FALSE)/1000000,0)</f>
        <v>0.44048858605608715</v>
      </c>
      <c r="N240" s="955">
        <f>M240*'A. Dades de partida'!$D$10+(((I240-M240)*'A. Dades de partida'!$D$10)/2)</f>
        <v>4.0652321037026571</v>
      </c>
      <c r="O240" s="955">
        <f t="shared" si="19"/>
        <v>3.6247435176465701</v>
      </c>
      <c r="P240" s="916">
        <f>J240*'A. Dades de partida'!$D$10</f>
        <v>0.389376</v>
      </c>
      <c r="Q240" s="916">
        <f>J240+J240*'4. Agricultura PIB'!$D$71</f>
        <v>3.3590169599999997E-2</v>
      </c>
      <c r="R240" s="916">
        <f>(((J240-Q240)*'A. Dades de partida'!$D$10)/2)+('A. Dades de partida'!$D$10*Q240)</f>
        <v>0.44661427199999992</v>
      </c>
      <c r="S240" s="916">
        <f t="shared" si="20"/>
        <v>5.7238271999999923E-2</v>
      </c>
    </row>
    <row r="241" spans="1:19">
      <c r="A241" s="835">
        <v>8240</v>
      </c>
      <c r="B241" s="826" t="s">
        <v>1544</v>
      </c>
      <c r="C241" s="319" t="str">
        <f t="shared" si="17"/>
        <v>Alt Penedès</v>
      </c>
      <c r="D241" s="908">
        <f>IFERROR(IF(VLOOKUP(B241,'BD ASVICC'!$A$6:$GN$316,193,FALSE)&gt;0,VLOOKUP(B241,'BD ASVICC'!$A$6:$GN$316,193,FALSE),(VLOOKUP(C241,'BD Comarcal'!$A$6:$AB$17,9,)/VLOOKUP(C241,'BD Comarcal'!$A$6:$AB$17,13,))),"")</f>
        <v>3.0000000000000001E-3</v>
      </c>
      <c r="E241" s="910">
        <f>IFERROR(IF(VLOOKUP(B241,'BD ASVICC'!$A$6:$GN$316,192,FALSE)&gt;0,VLOOKUP(B241,'BD ASVICC'!$A$6:$GN$316,192,FALSE),(VLOOKUP(C241,'BD Comarcal'!$A$6:$AB$17,14,)*F241)),"")</f>
        <v>405</v>
      </c>
      <c r="F241" s="904">
        <f t="shared" si="21"/>
        <v>0.11906845448129852</v>
      </c>
      <c r="G241" s="910">
        <f t="shared" si="18"/>
        <v>1.2150000000000001</v>
      </c>
      <c r="H241" s="910">
        <f>IFERROR(VLOOKUP(B241, base,19,FALSE)*'4. Agricultura PIB'!$K$11/1000000,G241*'4. Agricultura PIB'!$F$54)</f>
        <v>0.24043656849658998</v>
      </c>
      <c r="I241" s="910">
        <f>G241*'4. Agricultura PIB'!$F$45</f>
        <v>0.3998565</v>
      </c>
      <c r="J241" s="952">
        <f>IFERROR((VLOOKUP(B241,base,19,FALSE)*'tecnicecon agric'!$D$65)/1000000,H241/3)</f>
        <v>0.10261679999999999</v>
      </c>
      <c r="K241" s="952">
        <f>IFERROR(VLOOKUP(B241,'cultius resum'!$T$6:$AU$306,22,FALSE)/1000000,0)</f>
        <v>3.2680583333333332E-2</v>
      </c>
      <c r="L241" s="915">
        <f>K241*'A. Dades de partida'!$D$10</f>
        <v>0.49020874999999997</v>
      </c>
      <c r="M241" s="956">
        <f>IFERROR(VLOOKUP(B241,'cultius resum'!$T$6:$AU$308,28,FALSE)/1000000,0)</f>
        <v>0.29951487909599056</v>
      </c>
      <c r="N241" s="955">
        <f>M241*'A. Dades de partida'!$D$10+(((I241-M241)*'A. Dades de partida'!$D$10)/2)</f>
        <v>5.2452853432199289</v>
      </c>
      <c r="O241" s="955">
        <f t="shared" si="19"/>
        <v>4.9457704641239379</v>
      </c>
      <c r="P241" s="916">
        <f>J241*'A. Dades de partida'!$D$10</f>
        <v>1.5392519999999998</v>
      </c>
      <c r="Q241" s="916">
        <f>J241+J241*'4. Agricultura PIB'!$D$71</f>
        <v>0.13278613919999999</v>
      </c>
      <c r="R241" s="916">
        <f>(((J241-Q241)*'A. Dades de partida'!$D$10)/2)+('A. Dades de partida'!$D$10*Q241)</f>
        <v>1.7655220439999999</v>
      </c>
      <c r="S241" s="916">
        <f t="shared" si="20"/>
        <v>0.22627004400000006</v>
      </c>
    </row>
    <row r="242" spans="1:19">
      <c r="A242" s="835">
        <v>8241</v>
      </c>
      <c r="B242" s="826" t="s">
        <v>1549</v>
      </c>
      <c r="C242" s="319" t="str">
        <f t="shared" si="17"/>
        <v>Osona</v>
      </c>
      <c r="D242" s="908">
        <f>IFERROR(IF(VLOOKUP(B242,'BD ASVICC'!$A$6:$GN$316,193,FALSE)&gt;0,VLOOKUP(B242,'BD ASVICC'!$A$6:$GN$316,193,FALSE),(VLOOKUP(C242,'BD Comarcal'!$A$6:$AB$17,9,)/VLOOKUP(C242,'BD Comarcal'!$A$6:$AB$17,13,))),"")</f>
        <v>1.8400340353116357E-2</v>
      </c>
      <c r="E242" s="910">
        <f>IFERROR(IF(VLOOKUP(B242,'BD ASVICC'!$A$6:$GN$316,192,FALSE)&gt;0,VLOOKUP(B242,'BD ASVICC'!$A$6:$GN$316,192,FALSE),(VLOOKUP(C242,'BD Comarcal'!$A$6:$AB$17,14,)*F242)),"")</f>
        <v>2.0967225859510026</v>
      </c>
      <c r="F242" s="904">
        <f t="shared" si="21"/>
        <v>5.1400337957222073E-4</v>
      </c>
      <c r="G242" s="910">
        <f t="shared" si="18"/>
        <v>3.8580409207564711E-2</v>
      </c>
      <c r="H242" s="910">
        <f>IFERROR(VLOOKUP(B242, base,19,FALSE)*'4. Agricultura PIB'!$K$11/1000000,G242*'4. Agricultura PIB'!$F$54)</f>
        <v>0.54929777308707128</v>
      </c>
      <c r="I242" s="910">
        <f>G242*'4. Agricultura PIB'!$F$45</f>
        <v>1.2696812670209546E-2</v>
      </c>
      <c r="J242" s="952">
        <f>IFERROR((VLOOKUP(B242,base,19,FALSE)*'tecnicecon agric'!$D$65)/1000000,H242/3)</f>
        <v>0.2344368</v>
      </c>
      <c r="K242" s="952">
        <f>IFERROR(VLOOKUP(B242,'cultius resum'!$T$6:$AU$306,22,FALSE)/1000000,0)</f>
        <v>6.0367333333333328E-2</v>
      </c>
      <c r="L242" s="915">
        <f>K242*'A. Dades de partida'!$D$10</f>
        <v>0.90550999999999993</v>
      </c>
      <c r="M242" s="956">
        <f>IFERROR(VLOOKUP(B242,'cultius resum'!$T$6:$AU$308,28,FALSE)/1000000,0)</f>
        <v>0.52775519272757609</v>
      </c>
      <c r="N242" s="955">
        <f>M242*'A. Dades de partida'!$D$10+(((I242-M242)*'A. Dades de partida'!$D$10)/2)</f>
        <v>4.053390040483392</v>
      </c>
      <c r="O242" s="955">
        <f t="shared" si="19"/>
        <v>3.5256348477558159</v>
      </c>
      <c r="P242" s="916">
        <f>J242*'A. Dades de partida'!$D$10</f>
        <v>3.5165519999999999</v>
      </c>
      <c r="Q242" s="916">
        <f>J242+J242*'4. Agricultura PIB'!$D$71</f>
        <v>0.30336121919999998</v>
      </c>
      <c r="R242" s="916">
        <f>(((J242-Q242)*'A. Dades de partida'!$D$10)/2)+('A. Dades de partida'!$D$10*Q242)</f>
        <v>4.0334851440000001</v>
      </c>
      <c r="S242" s="916">
        <f t="shared" si="20"/>
        <v>0.51693314400000023</v>
      </c>
    </row>
    <row r="243" spans="1:19">
      <c r="A243" s="835">
        <v>8242</v>
      </c>
      <c r="B243" s="826" t="s">
        <v>1555</v>
      </c>
      <c r="C243" s="319" t="str">
        <f t="shared" si="17"/>
        <v>Bages</v>
      </c>
      <c r="D243" s="908">
        <f>IFERROR(IF(VLOOKUP(B243,'BD ASVICC'!$A$6:$GN$316,193,FALSE)&gt;0,VLOOKUP(B243,'BD ASVICC'!$A$6:$GN$316,193,FALSE),(VLOOKUP(C243,'BD Comarcal'!$A$6:$AB$17,9,)/VLOOKUP(C243,'BD Comarcal'!$A$6:$AB$17,13,))),"")</f>
        <v>9.2529216416964537E-3</v>
      </c>
      <c r="E243" s="910">
        <f>IFERROR(IF(VLOOKUP(B243,'BD ASVICC'!$A$6:$GN$316,192,FALSE)&gt;0,VLOOKUP(B243,'BD ASVICC'!$A$6:$GN$316,192,FALSE),(VLOOKUP(C243,'BD Comarcal'!$A$6:$AB$17,14,)*F243)),"")</f>
        <v>6.7966114427603923</v>
      </c>
      <c r="F243" s="904">
        <f t="shared" si="21"/>
        <v>1.5884758087176929E-3</v>
      </c>
      <c r="G243" s="910">
        <f t="shared" si="18"/>
        <v>6.2888513108919394E-2</v>
      </c>
      <c r="H243" s="910">
        <f>IFERROR(VLOOKUP(B243, base,19,FALSE)*'4. Agricultura PIB'!$K$11/1000000,G243*'4. Agricultura PIB'!$F$54)</f>
        <v>7.6027373437656913E-3</v>
      </c>
      <c r="I243" s="910">
        <f>G243*'4. Agricultura PIB'!$F$45</f>
        <v>2.0696609664145372E-2</v>
      </c>
      <c r="J243" s="952">
        <f>IFERROR((VLOOKUP(B243,base,19,FALSE)*'tecnicecon agric'!$D$65)/1000000,H243/3)</f>
        <v>3.2447999999999999E-3</v>
      </c>
      <c r="K243" s="952">
        <f>IFERROR(VLOOKUP(B243,'cultius resum'!$T$6:$AU$306,22,FALSE)/1000000,0)</f>
        <v>2.5192666666666665E-2</v>
      </c>
      <c r="L243" s="915">
        <f>K243*'A. Dades de partida'!$D$10</f>
        <v>0.37789</v>
      </c>
      <c r="M243" s="956">
        <f>IFERROR(VLOOKUP(B243,'cultius resum'!$T$6:$AU$308,28,FALSE)/1000000,0)</f>
        <v>0.22024429302804358</v>
      </c>
      <c r="N243" s="955">
        <f>M243*'A. Dades de partida'!$D$10+(((I243-M243)*'A. Dades de partida'!$D$10)/2)</f>
        <v>1.8070567701914171</v>
      </c>
      <c r="O243" s="955">
        <f t="shared" si="19"/>
        <v>1.5868124771633736</v>
      </c>
      <c r="P243" s="916">
        <f>J243*'A. Dades de partida'!$D$10</f>
        <v>4.8672E-2</v>
      </c>
      <c r="Q243" s="916">
        <f>J243+J243*'4. Agricultura PIB'!$D$71</f>
        <v>4.1987711999999996E-3</v>
      </c>
      <c r="R243" s="916">
        <f>(((J243-Q243)*'A. Dades de partida'!$D$10)/2)+('A. Dades de partida'!$D$10*Q243)</f>
        <v>5.582678399999999E-2</v>
      </c>
      <c r="S243" s="916">
        <f t="shared" si="20"/>
        <v>7.1547839999999904E-3</v>
      </c>
    </row>
    <row r="244" spans="1:19">
      <c r="A244" s="835">
        <v>8243</v>
      </c>
      <c r="B244" s="826" t="s">
        <v>1556</v>
      </c>
      <c r="C244" s="319" t="str">
        <f t="shared" si="17"/>
        <v>Osona</v>
      </c>
      <c r="D244" s="908">
        <f>IFERROR(IF(VLOOKUP(B244,'BD ASVICC'!$A$6:$GN$316,193,FALSE)&gt;0,VLOOKUP(B244,'BD ASVICC'!$A$6:$GN$316,193,FALSE),(VLOOKUP(C244,'BD Comarcal'!$A$6:$AB$17,9,)/VLOOKUP(C244,'BD Comarcal'!$A$6:$AB$17,13,))),"")</f>
        <v>1.8400340353116357E-2</v>
      </c>
      <c r="E244" s="910">
        <f>IFERROR(IF(VLOOKUP(B244,'BD ASVICC'!$A$6:$GN$316,192,FALSE)&gt;0,VLOOKUP(B244,'BD ASVICC'!$A$6:$GN$316,192,FALSE),(VLOOKUP(C244,'BD Comarcal'!$A$6:$AB$17,14,)*F244)),"")</f>
        <v>4.7962529153629188</v>
      </c>
      <c r="F244" s="904">
        <f t="shared" si="21"/>
        <v>1.1757827307714548E-3</v>
      </c>
      <c r="G244" s="910">
        <f t="shared" si="18"/>
        <v>8.8252686062304284E-2</v>
      </c>
      <c r="H244" s="910">
        <f>IFERROR(VLOOKUP(B244, base,19,FALSE)*'4. Agricultura PIB'!$K$11/1000000,G244*'4. Agricultura PIB'!$F$54)</f>
        <v>2.0622425044964436</v>
      </c>
      <c r="I244" s="910">
        <f>G244*'4. Agricultura PIB'!$F$45</f>
        <v>2.9043958983104339E-2</v>
      </c>
      <c r="J244" s="952">
        <f>IFERROR((VLOOKUP(B244,base,19,FALSE)*'tecnicecon agric'!$D$65)/1000000,H244/3)</f>
        <v>0.88015199999999993</v>
      </c>
      <c r="K244" s="952">
        <f>IFERROR(VLOOKUP(B244,'cultius resum'!$T$6:$AU$306,22,FALSE)/1000000,0)</f>
        <v>0.18229316666666665</v>
      </c>
      <c r="L244" s="915">
        <f>K244*'A. Dades de partida'!$D$10</f>
        <v>2.7343974999999996</v>
      </c>
      <c r="M244" s="956">
        <f>IFERROR(VLOOKUP(B244,'cultius resum'!$T$6:$AU$308,28,FALSE)/1000000,0)</f>
        <v>1.6212957220579947</v>
      </c>
      <c r="N244" s="955">
        <f>M244*'A. Dades de partida'!$D$10+(((I244-M244)*'A. Dades de partida'!$D$10)/2)</f>
        <v>12.377547607808244</v>
      </c>
      <c r="O244" s="955">
        <f t="shared" si="19"/>
        <v>10.756251885750249</v>
      </c>
      <c r="P244" s="916">
        <f>J244*'A. Dades de partida'!$D$10</f>
        <v>13.202279999999998</v>
      </c>
      <c r="Q244" s="916">
        <f>J244+J244*'4. Agricultura PIB'!$D$71</f>
        <v>1.1389166879999999</v>
      </c>
      <c r="R244" s="916">
        <f>(((J244-Q244)*'A. Dades de partida'!$D$10)/2)+('A. Dades de partida'!$D$10*Q244)</f>
        <v>15.143015160000001</v>
      </c>
      <c r="S244" s="916">
        <f t="shared" si="20"/>
        <v>1.9407351600000027</v>
      </c>
    </row>
    <row r="245" spans="1:19">
      <c r="A245" s="835">
        <v>8244</v>
      </c>
      <c r="B245" s="826" t="s">
        <v>1558</v>
      </c>
      <c r="C245" s="319" t="str">
        <f t="shared" si="17"/>
        <v>Baix Llobregat</v>
      </c>
      <c r="D245" s="908">
        <f>IFERROR(IF(VLOOKUP(B245,'BD ASVICC'!$A$6:$GN$316,193,FALSE)&gt;0,VLOOKUP(B245,'BD ASVICC'!$A$6:$GN$316,193,FALSE),(VLOOKUP(C245,'BD Comarcal'!$A$6:$AB$17,9,)/VLOOKUP(C245,'BD Comarcal'!$A$6:$AB$17,13,))),"")</f>
        <v>5.0000000000000001E-3</v>
      </c>
      <c r="E245" s="910">
        <f>IFERROR(IF(VLOOKUP(B245,'BD ASVICC'!$A$6:$GN$316,192,FALSE)&gt;0,VLOOKUP(B245,'BD ASVICC'!$A$6:$GN$316,192,FALSE),(VLOOKUP(C245,'BD Comarcal'!$A$6:$AB$17,14,)*F245)),"")</f>
        <v>172</v>
      </c>
      <c r="F245" s="904">
        <f t="shared" si="21"/>
        <v>9.9681065042728396E-3</v>
      </c>
      <c r="G245" s="910">
        <f t="shared" si="18"/>
        <v>0.86</v>
      </c>
      <c r="H245" s="910">
        <f>IFERROR(VLOOKUP(B245, base,19,FALSE)*'4. Agricultura PIB'!$K$11/1000000,G245*'4. Agricultura PIB'!$F$54)</f>
        <v>0</v>
      </c>
      <c r="I245" s="910">
        <f>G245*'4. Agricultura PIB'!$F$45</f>
        <v>0.283026</v>
      </c>
      <c r="J245" s="952">
        <f>IFERROR((VLOOKUP(B245,base,19,FALSE)*'tecnicecon agric'!$D$65)/1000000,H245/3)</f>
        <v>0</v>
      </c>
      <c r="K245" s="952">
        <f>IFERROR(VLOOKUP(B245,'cultius resum'!$T$6:$AU$306,22,FALSE)/1000000,0)</f>
        <v>7.8117416666666675E-2</v>
      </c>
      <c r="L245" s="915">
        <f>K245*'A. Dades de partida'!$D$10</f>
        <v>1.1717612500000001</v>
      </c>
      <c r="M245" s="956">
        <f>IFERROR(VLOOKUP(B245,'cultius resum'!$T$6:$AU$308,28,FALSE)/1000000,0)</f>
        <v>1.1109890937462401</v>
      </c>
      <c r="N245" s="955">
        <f>M245*'A. Dades de partida'!$D$10+(((I245-M245)*'A. Dades de partida'!$D$10)/2)</f>
        <v>10.455113203096801</v>
      </c>
      <c r="O245" s="955">
        <f t="shared" si="19"/>
        <v>9.3441241093505596</v>
      </c>
      <c r="P245" s="916">
        <f>J245*'A. Dades de partida'!$D$10</f>
        <v>0</v>
      </c>
      <c r="Q245" s="916">
        <f>J245+J245*'4. Agricultura PIB'!$D$71</f>
        <v>0</v>
      </c>
      <c r="R245" s="916">
        <f>(((J245-Q245)*'A. Dades de partida'!$D$10)/2)+('A. Dades de partida'!$D$10*Q245)</f>
        <v>0</v>
      </c>
      <c r="S245" s="916">
        <f t="shared" si="20"/>
        <v>0</v>
      </c>
    </row>
    <row r="246" spans="1:19" ht="30">
      <c r="A246" s="835">
        <v>8245</v>
      </c>
      <c r="B246" s="826" t="s">
        <v>1559</v>
      </c>
      <c r="C246" s="319" t="str">
        <f t="shared" si="17"/>
        <v>Barcelonès</v>
      </c>
      <c r="D246" s="908">
        <f>IFERROR(IF(VLOOKUP(B246,'BD ASVICC'!$A$6:$GN$316,193,FALSE)&gt;0,VLOOKUP(B246,'BD ASVICC'!$A$6:$GN$316,193,FALSE),(VLOOKUP(C246,'BD Comarcal'!$A$6:$AB$17,9,)/VLOOKUP(C246,'BD Comarcal'!$A$6:$AB$17,13,))),"")</f>
        <v>1.5031028337067232E-4</v>
      </c>
      <c r="E246" s="910">
        <f>IFERROR(IF(VLOOKUP(B246,'BD ASVICC'!$A$6:$GN$316,192,FALSE)&gt;0,VLOOKUP(B246,'BD ASVICC'!$A$6:$GN$316,192,FALSE),(VLOOKUP(C246,'BD Comarcal'!$A$6:$AB$17,14,)*F246)),"")</f>
        <v>1325</v>
      </c>
      <c r="F246" s="904">
        <f t="shared" si="21"/>
        <v>5.2468321634443774E-2</v>
      </c>
      <c r="G246" s="910">
        <f t="shared" si="18"/>
        <v>0.19916112546614081</v>
      </c>
      <c r="H246" s="910">
        <f>IFERROR(VLOOKUP(B246, base,19,FALSE)*'4. Agricultura PIB'!$K$11/1000000,G246*'4. Agricultura PIB'!$F$54)</f>
        <v>0.12963397656591105</v>
      </c>
      <c r="I246" s="910">
        <f>G246*'4. Agricultura PIB'!$F$45</f>
        <v>6.5543926390906948E-2</v>
      </c>
      <c r="J246" s="952">
        <f>IFERROR((VLOOKUP(B246,base,19,FALSE)*'tecnicecon agric'!$D$65)/1000000,H246/3)</f>
        <v>4.3211325521970351E-2</v>
      </c>
      <c r="K246" s="952">
        <f>IFERROR(VLOOKUP(B246,'cultius resum'!$T$6:$AU$306,22,FALSE)/1000000,0)</f>
        <v>0</v>
      </c>
      <c r="L246" s="915">
        <f>K246*'A. Dades de partida'!$D$10</f>
        <v>0</v>
      </c>
      <c r="M246" s="956">
        <f>IFERROR(VLOOKUP(B246,'cultius resum'!$T$6:$AU$308,28,FALSE)/1000000,0)</f>
        <v>0</v>
      </c>
      <c r="N246" s="955">
        <f>M246*'A. Dades de partida'!$D$10+(((I246-M246)*'A. Dades de partida'!$D$10)/2)</f>
        <v>0.49157944793180208</v>
      </c>
      <c r="O246" s="955">
        <f t="shared" si="19"/>
        <v>0.49157944793180208</v>
      </c>
      <c r="P246" s="916">
        <f>J246*'A. Dades de partida'!$D$10</f>
        <v>0.64816988282955523</v>
      </c>
      <c r="Q246" s="916">
        <f>J246+J246*'4. Agricultura PIB'!$D$71</f>
        <v>5.5915455225429636E-2</v>
      </c>
      <c r="R246" s="916">
        <f>(((J246-Q246)*'A. Dades de partida'!$D$10)/2)+('A. Dades de partida'!$D$10*Q246)</f>
        <v>0.74345085560549995</v>
      </c>
      <c r="S246" s="916">
        <f t="shared" si="20"/>
        <v>9.5280972775944717E-2</v>
      </c>
    </row>
    <row r="247" spans="1:19">
      <c r="A247" s="835">
        <v>8246</v>
      </c>
      <c r="B247" s="826" t="s">
        <v>1561</v>
      </c>
      <c r="C247" s="319" t="str">
        <f t="shared" si="17"/>
        <v>Osona</v>
      </c>
      <c r="D247" s="908">
        <f>IFERROR(IF(VLOOKUP(B247,'BD ASVICC'!$A$6:$GN$316,193,FALSE)&gt;0,VLOOKUP(B247,'BD ASVICC'!$A$6:$GN$316,193,FALSE),(VLOOKUP(C247,'BD Comarcal'!$A$6:$AB$17,9,)/VLOOKUP(C247,'BD Comarcal'!$A$6:$AB$17,13,))),"")</f>
        <v>1.8400340353116357E-2</v>
      </c>
      <c r="E247" s="910">
        <f>IFERROR(IF(VLOOKUP(B247,'BD ASVICC'!$A$6:$GN$316,192,FALSE)&gt;0,VLOOKUP(B247,'BD ASVICC'!$A$6:$GN$316,192,FALSE),(VLOOKUP(C247,'BD Comarcal'!$A$6:$AB$17,14,)*F247)),"")</f>
        <v>58.865486600574393</v>
      </c>
      <c r="F247" s="904">
        <f t="shared" si="21"/>
        <v>1.4430644881490096E-2</v>
      </c>
      <c r="G247" s="910">
        <f t="shared" si="18"/>
        <v>1.0831449885023792</v>
      </c>
      <c r="H247" s="910">
        <f>IFERROR(VLOOKUP(B247, base,19,FALSE)*'4. Agricultura PIB'!$K$11/1000000,G247*'4. Agricultura PIB'!$F$54)</f>
        <v>1.4535483459112031</v>
      </c>
      <c r="I247" s="910">
        <f>G247*'4. Agricultura PIB'!$F$45</f>
        <v>0.35646301571613298</v>
      </c>
      <c r="J247" s="952">
        <f>IFERROR((VLOOKUP(B247,base,19,FALSE)*'tecnicecon agric'!$D$65)/1000000,H247/3)</f>
        <v>0.62036519999999995</v>
      </c>
      <c r="K247" s="952">
        <f>IFERROR(VLOOKUP(B247,'cultius resum'!$T$6:$AU$306,22,FALSE)/1000000,0)</f>
        <v>0.22720933333333332</v>
      </c>
      <c r="L247" s="915">
        <f>K247*'A. Dades de partida'!$D$10</f>
        <v>3.4081399999999999</v>
      </c>
      <c r="M247" s="956">
        <f>IFERROR(VLOOKUP(B247,'cultius resum'!$T$6:$AU$308,28,FALSE)/1000000,0)</f>
        <v>1.9863541899510344</v>
      </c>
      <c r="N247" s="955">
        <f>M247*'A. Dades de partida'!$D$10+(((I247-M247)*'A. Dades de partida'!$D$10)/2)</f>
        <v>17.571129042503756</v>
      </c>
      <c r="O247" s="955">
        <f t="shared" si="19"/>
        <v>15.584774852552721</v>
      </c>
      <c r="P247" s="916">
        <f>J247*'A. Dades de partida'!$D$10</f>
        <v>9.305477999999999</v>
      </c>
      <c r="Q247" s="916">
        <f>J247+J247*'4. Agricultura PIB'!$D$71</f>
        <v>0.8027525687999999</v>
      </c>
      <c r="R247" s="916">
        <f>(((J247-Q247)*'A. Dades de partida'!$D$10)/2)+('A. Dades de partida'!$D$10*Q247)</f>
        <v>10.673383266</v>
      </c>
      <c r="S247" s="916">
        <f t="shared" si="20"/>
        <v>1.3679052660000011</v>
      </c>
    </row>
    <row r="248" spans="1:19" ht="30">
      <c r="A248" s="835">
        <v>8247</v>
      </c>
      <c r="B248" s="826" t="s">
        <v>1562</v>
      </c>
      <c r="C248" s="319" t="str">
        <f t="shared" si="17"/>
        <v>Osona</v>
      </c>
      <c r="D248" s="908">
        <f>IFERROR(IF(VLOOKUP(B248,'BD ASVICC'!$A$6:$GN$316,193,FALSE)&gt;0,VLOOKUP(B248,'BD ASVICC'!$A$6:$GN$316,193,FALSE),(VLOOKUP(C248,'BD Comarcal'!$A$6:$AB$17,9,)/VLOOKUP(C248,'BD Comarcal'!$A$6:$AB$17,13,))),"")</f>
        <v>1.8400340353116357E-2</v>
      </c>
      <c r="E248" s="910">
        <f>IFERROR(IF(VLOOKUP(B248,'BD ASVICC'!$A$6:$GN$316,192,FALSE)&gt;0,VLOOKUP(B248,'BD ASVICC'!$A$6:$GN$316,192,FALSE),(VLOOKUP(C248,'BD Comarcal'!$A$6:$AB$17,14,)*F248)),"")</f>
        <v>33.180634922674614</v>
      </c>
      <c r="F248" s="904">
        <f t="shared" si="21"/>
        <v>8.1341034817303919E-3</v>
      </c>
      <c r="G248" s="910">
        <f t="shared" si="18"/>
        <v>0.61053497570971149</v>
      </c>
      <c r="H248" s="910">
        <f>IFERROR(VLOOKUP(B248, base,19,FALSE)*'4. Agricultura PIB'!$K$11/1000000,G248*'4. Agricultura PIB'!$F$54)</f>
        <v>1.2900894930202407</v>
      </c>
      <c r="I248" s="910">
        <f>G248*'4. Agricultura PIB'!$F$45</f>
        <v>0.20092706050606604</v>
      </c>
      <c r="J248" s="952">
        <f>IFERROR((VLOOKUP(B248,base,19,FALSE)*'tecnicecon agric'!$D$65)/1000000,H248/3)</f>
        <v>0.55060200000000004</v>
      </c>
      <c r="K248" s="952">
        <f>IFERROR(VLOOKUP(B248,'cultius resum'!$T$6:$AU$306,22,FALSE)/1000000,0)</f>
        <v>0.19448987500000001</v>
      </c>
      <c r="L248" s="915">
        <f>K248*'A. Dades de partida'!$D$10</f>
        <v>2.9173481250000002</v>
      </c>
      <c r="M248" s="956">
        <f>IFERROR(VLOOKUP(B248,'cultius resum'!$T$6:$AU$308,28,FALSE)/1000000,0)</f>
        <v>1.8867190172005019</v>
      </c>
      <c r="N248" s="955">
        <f>M248*'A. Dades de partida'!$D$10+(((I248-M248)*'A. Dades de partida'!$D$10)/2)</f>
        <v>15.657345582799261</v>
      </c>
      <c r="O248" s="955">
        <f t="shared" si="19"/>
        <v>13.770626565598759</v>
      </c>
      <c r="P248" s="916">
        <f>J248*'A. Dades de partida'!$D$10</f>
        <v>8.259030000000001</v>
      </c>
      <c r="Q248" s="916">
        <f>J248+J248*'4. Agricultura PIB'!$D$71</f>
        <v>0.71247898799999998</v>
      </c>
      <c r="R248" s="916">
        <f>(((J248-Q248)*'A. Dades de partida'!$D$10)/2)+('A. Dades de partida'!$D$10*Q248)</f>
        <v>9.473107409999999</v>
      </c>
      <c r="S248" s="916">
        <f t="shared" si="20"/>
        <v>1.214077409999998</v>
      </c>
    </row>
    <row r="249" spans="1:19">
      <c r="A249" s="835">
        <v>8248</v>
      </c>
      <c r="B249" s="826" t="s">
        <v>1564</v>
      </c>
      <c r="C249" s="319" t="str">
        <f t="shared" si="17"/>
        <v>Vallès Oriental</v>
      </c>
      <c r="D249" s="908">
        <f>IFERROR(IF(VLOOKUP(B249,'BD ASVICC'!$A$6:$GN$316,193,FALSE)&gt;0,VLOOKUP(B249,'BD ASVICC'!$A$6:$GN$316,193,FALSE),(VLOOKUP(C249,'BD Comarcal'!$A$6:$AB$17,9,)/VLOOKUP(C249,'BD Comarcal'!$A$6:$AB$17,13,))),"")</f>
        <v>1.7000000000000001E-2</v>
      </c>
      <c r="E249" s="910">
        <f>IFERROR(IF(VLOOKUP(B249,'BD ASVICC'!$A$6:$GN$316,192,FALSE)&gt;0,VLOOKUP(B249,'BD ASVICC'!$A$6:$GN$316,192,FALSE),(VLOOKUP(C249,'BD Comarcal'!$A$6:$AB$17,14,)*F249)),"")</f>
        <v>117</v>
      </c>
      <c r="F249" s="904">
        <f t="shared" si="21"/>
        <v>1.7563749258729548E-2</v>
      </c>
      <c r="G249" s="910">
        <f t="shared" si="18"/>
        <v>1.9890000000000001</v>
      </c>
      <c r="H249" s="910">
        <f>IFERROR(VLOOKUP(B249, base,19,FALSE)*'4. Agricultura PIB'!$K$11/1000000,G249*'4. Agricultura PIB'!$F$54)</f>
        <v>0.65953746457167373</v>
      </c>
      <c r="I249" s="910">
        <f>G249*'4. Agricultura PIB'!$F$45</f>
        <v>0.65457989999999999</v>
      </c>
      <c r="J249" s="952">
        <f>IFERROR((VLOOKUP(B249,base,19,FALSE)*'tecnicecon agric'!$D$65)/1000000,H249/3)</f>
        <v>0.28148639999999997</v>
      </c>
      <c r="K249" s="952">
        <f>IFERROR(VLOOKUP(B249,'cultius resum'!$T$6:$AU$306,22,FALSE)/1000000,0)</f>
        <v>0.19513929166666666</v>
      </c>
      <c r="L249" s="915">
        <f>K249*'A. Dades de partida'!$D$10</f>
        <v>2.927089375</v>
      </c>
      <c r="M249" s="956">
        <f>IFERROR(VLOOKUP(B249,'cultius resum'!$T$6:$AU$308,28,FALSE)/1000000,0)</f>
        <v>2.4309180695826833</v>
      </c>
      <c r="N249" s="955">
        <f>M249*'A. Dades de partida'!$D$10+(((I249-M249)*'A. Dades de partida'!$D$10)/2)</f>
        <v>23.141234771870124</v>
      </c>
      <c r="O249" s="955">
        <f t="shared" si="19"/>
        <v>20.710316702287439</v>
      </c>
      <c r="P249" s="916">
        <f>J249*'A. Dades de partida'!$D$10</f>
        <v>4.2222959999999992</v>
      </c>
      <c r="Q249" s="916">
        <f>J249+J249*'4. Agricultura PIB'!$D$71</f>
        <v>0.36424340159999996</v>
      </c>
      <c r="R249" s="916">
        <f>(((J249-Q249)*'A. Dades de partida'!$D$10)/2)+('A. Dades de partida'!$D$10*Q249)</f>
        <v>4.8429735120000004</v>
      </c>
      <c r="S249" s="916">
        <f t="shared" si="20"/>
        <v>0.62067751200000121</v>
      </c>
    </row>
    <row r="250" spans="1:19">
      <c r="A250" s="835">
        <v>8249</v>
      </c>
      <c r="B250" s="826" t="s">
        <v>1566</v>
      </c>
      <c r="C250" s="319" t="str">
        <f t="shared" si="17"/>
        <v>Alt Penedès</v>
      </c>
      <c r="D250" s="908">
        <f>IFERROR(IF(VLOOKUP(B250,'BD ASVICC'!$A$6:$GN$316,193,FALSE)&gt;0,VLOOKUP(B250,'BD ASVICC'!$A$6:$GN$316,193,FALSE),(VLOOKUP(C250,'BD Comarcal'!$A$6:$AB$17,9,)/VLOOKUP(C250,'BD Comarcal'!$A$6:$AB$17,13,))),"")</f>
        <v>1.0966842723004694E-2</v>
      </c>
      <c r="E250" s="910">
        <f>IFERROR(IF(VLOOKUP(B250,'BD ASVICC'!$A$6:$GN$316,192,FALSE)&gt;0,VLOOKUP(B250,'BD ASVICC'!$A$6:$GN$316,192,FALSE),(VLOOKUP(C250,'BD Comarcal'!$A$6:$AB$17,14,)*F250)),"")</f>
        <v>10.406895318748528</v>
      </c>
      <c r="F250" s="904">
        <f t="shared" si="21"/>
        <v>3.519171959538932E-3</v>
      </c>
      <c r="G250" s="910">
        <f t="shared" si="18"/>
        <v>0.11413078419548892</v>
      </c>
      <c r="H250" s="910">
        <f>IFERROR(VLOOKUP(B250, base,19,FALSE)*'4. Agricultura PIB'!$K$11/1000000,G250*'4. Agricultura PIB'!$F$54)</f>
        <v>0</v>
      </c>
      <c r="I250" s="910">
        <f>G250*'4. Agricultura PIB'!$F$45</f>
        <v>3.75604410787354E-2</v>
      </c>
      <c r="J250" s="952">
        <f>IFERROR((VLOOKUP(B250,base,19,FALSE)*'tecnicecon agric'!$D$65)/1000000,H250/3)</f>
        <v>0</v>
      </c>
      <c r="K250" s="952">
        <f>IFERROR(VLOOKUP(B250,'cultius resum'!$T$6:$AU$306,22,FALSE)/1000000,0)</f>
        <v>1.0457333333333332E-2</v>
      </c>
      <c r="L250" s="915">
        <f>K250*'A. Dades de partida'!$D$10</f>
        <v>0.15686</v>
      </c>
      <c r="M250" s="956">
        <f>IFERROR(VLOOKUP(B250,'cultius resum'!$T$6:$AU$308,28,FALSE)/1000000,0)</f>
        <v>9.142215937013129E-2</v>
      </c>
      <c r="N250" s="955">
        <f>M250*'A. Dades de partida'!$D$10+(((I250-M250)*'A. Dades de partida'!$D$10)/2)</f>
        <v>0.96736950336650018</v>
      </c>
      <c r="O250" s="955">
        <f t="shared" si="19"/>
        <v>0.87594734399636887</v>
      </c>
      <c r="P250" s="916">
        <f>J250*'A. Dades de partida'!$D$10</f>
        <v>0</v>
      </c>
      <c r="Q250" s="916">
        <f>J250+J250*'4. Agricultura PIB'!$D$71</f>
        <v>0</v>
      </c>
      <c r="R250" s="916">
        <f>(((J250-Q250)*'A. Dades de partida'!$D$10)/2)+('A. Dades de partida'!$D$10*Q250)</f>
        <v>0</v>
      </c>
      <c r="S250" s="916">
        <f t="shared" si="20"/>
        <v>0</v>
      </c>
    </row>
    <row r="251" spans="1:19" ht="30">
      <c r="A251" s="835">
        <v>8250</v>
      </c>
      <c r="B251" s="826" t="s">
        <v>1567</v>
      </c>
      <c r="C251" s="319" t="str">
        <f t="shared" si="17"/>
        <v>Anoia</v>
      </c>
      <c r="D251" s="908">
        <f>IFERROR(IF(VLOOKUP(B251,'BD ASVICC'!$A$6:$GN$316,193,FALSE)&gt;0,VLOOKUP(B251,'BD ASVICC'!$A$6:$GN$316,193,FALSE),(VLOOKUP(C251,'BD Comarcal'!$A$6:$AB$17,9,)/VLOOKUP(C251,'BD Comarcal'!$A$6:$AB$17,13,))),"")</f>
        <v>6.0000000000000001E-3</v>
      </c>
      <c r="E251" s="910">
        <f>IFERROR(IF(VLOOKUP(B251,'BD ASVICC'!$A$6:$GN$316,192,FALSE)&gt;0,VLOOKUP(B251,'BD ASVICC'!$A$6:$GN$316,192,FALSE),(VLOOKUP(C251,'BD Comarcal'!$A$6:$AB$17,14,)*F251)),"")</f>
        <v>80</v>
      </c>
      <c r="F251" s="904">
        <f t="shared" si="21"/>
        <v>8.1792960239651422E-2</v>
      </c>
      <c r="G251" s="910">
        <f t="shared" si="18"/>
        <v>0.48</v>
      </c>
      <c r="H251" s="910">
        <f>IFERROR(VLOOKUP(B251, base,19,FALSE)*'4. Agricultura PIB'!$K$11/1000000,G251*'4. Agricultura PIB'!$F$54)</f>
        <v>0.27322337329157953</v>
      </c>
      <c r="I251" s="910">
        <f>G251*'4. Agricultura PIB'!$F$45</f>
        <v>0.157968</v>
      </c>
      <c r="J251" s="952">
        <f>IFERROR((VLOOKUP(B251,base,19,FALSE)*'tecnicecon agric'!$D$65)/1000000,H251/3)</f>
        <v>0.11660999999999999</v>
      </c>
      <c r="K251" s="952">
        <f>IFERROR(VLOOKUP(B251,'cultius resum'!$T$6:$AU$306,22,FALSE)/1000000,0)</f>
        <v>0.43992383333333329</v>
      </c>
      <c r="L251" s="915">
        <f>K251*'A. Dades de partida'!$D$10</f>
        <v>6.5988574999999994</v>
      </c>
      <c r="M251" s="956">
        <f>IFERROR(VLOOKUP(B251,'cultius resum'!$T$6:$AU$308,28,FALSE)/1000000,0)</f>
        <v>3.8736052847221387</v>
      </c>
      <c r="N251" s="955">
        <f>M251*'A. Dades de partida'!$D$10+(((I251-M251)*'A. Dades de partida'!$D$10)/2)</f>
        <v>30.236799635416041</v>
      </c>
      <c r="O251" s="955">
        <f t="shared" si="19"/>
        <v>26.363194350693902</v>
      </c>
      <c r="P251" s="916">
        <f>J251*'A. Dades de partida'!$D$10</f>
        <v>1.7491499999999998</v>
      </c>
      <c r="Q251" s="916">
        <f>J251+J251*'4. Agricultura PIB'!$D$71</f>
        <v>0.15089333999999999</v>
      </c>
      <c r="R251" s="916">
        <f>(((J251-Q251)*'A. Dades de partida'!$D$10)/2)+('A. Dades de partida'!$D$10*Q251)</f>
        <v>2.0062750499999997</v>
      </c>
      <c r="S251" s="916">
        <f t="shared" si="20"/>
        <v>0.25712504999999997</v>
      </c>
    </row>
    <row r="252" spans="1:19" ht="30">
      <c r="A252" s="835">
        <v>8251</v>
      </c>
      <c r="B252" s="826" t="s">
        <v>1571</v>
      </c>
      <c r="C252" s="319" t="str">
        <f t="shared" si="17"/>
        <v>Alt Penedès</v>
      </c>
      <c r="D252" s="908">
        <f>IFERROR(IF(VLOOKUP(B252,'BD ASVICC'!$A$6:$GN$316,193,FALSE)&gt;0,VLOOKUP(B252,'BD ASVICC'!$A$6:$GN$316,193,FALSE),(VLOOKUP(C252,'BD Comarcal'!$A$6:$AB$17,9,)/VLOOKUP(C252,'BD Comarcal'!$A$6:$AB$17,13,))),"")</f>
        <v>3.0000000000000001E-3</v>
      </c>
      <c r="E252" s="910">
        <f>IFERROR(IF(VLOOKUP(B252,'BD ASVICC'!$A$6:$GN$316,192,FALSE)&gt;0,VLOOKUP(B252,'BD ASVICC'!$A$6:$GN$316,192,FALSE),(VLOOKUP(C252,'BD Comarcal'!$A$6:$AB$17,14,)*F252)),"")</f>
        <v>392</v>
      </c>
      <c r="F252" s="904">
        <f t="shared" si="21"/>
        <v>6.9254293107504111E-2</v>
      </c>
      <c r="G252" s="910">
        <f t="shared" si="18"/>
        <v>1.1759999999999999</v>
      </c>
      <c r="H252" s="910">
        <f>IFERROR(VLOOKUP(B252, base,19,FALSE)*'4. Agricultura PIB'!$K$11/1000000,G252*'4. Agricultura PIB'!$F$54)</f>
        <v>0.12211896858423643</v>
      </c>
      <c r="I252" s="910">
        <f>G252*'4. Agricultura PIB'!$F$45</f>
        <v>0.38702159999999997</v>
      </c>
      <c r="J252" s="952">
        <f>IFERROR((VLOOKUP(B252,base,19,FALSE)*'tecnicecon agric'!$D$65)/1000000,H252/3)</f>
        <v>5.2119599999999995E-2</v>
      </c>
      <c r="K252" s="952">
        <f>IFERROR(VLOOKUP(B252,'cultius resum'!$T$6:$AU$306,22,FALSE)/1000000,0)</f>
        <v>2.8106208333333334E-2</v>
      </c>
      <c r="L252" s="915">
        <f>K252*'A. Dades de partida'!$D$10</f>
        <v>0.42159312500000001</v>
      </c>
      <c r="M252" s="956">
        <f>IFERROR(VLOOKUP(B252,'cultius resum'!$T$6:$AU$308,28,FALSE)/1000000,0)</f>
        <v>0.26642799990372318</v>
      </c>
      <c r="N252" s="955">
        <f>M252*'A. Dades de partida'!$D$10+(((I252-M252)*'A. Dades de partida'!$D$10)/2)</f>
        <v>4.9008719992779239</v>
      </c>
      <c r="O252" s="955">
        <f t="shared" si="19"/>
        <v>4.6344439993742004</v>
      </c>
      <c r="P252" s="916">
        <f>J252*'A. Dades de partida'!$D$10</f>
        <v>0.78179399999999988</v>
      </c>
      <c r="Q252" s="916">
        <f>J252+J252*'4. Agricultura PIB'!$D$71</f>
        <v>6.7442762399999995E-2</v>
      </c>
      <c r="R252" s="916">
        <f>(((J252-Q252)*'A. Dades de partida'!$D$10)/2)+('A. Dades de partida'!$D$10*Q252)</f>
        <v>0.89671771799999989</v>
      </c>
      <c r="S252" s="916">
        <f t="shared" si="20"/>
        <v>0.11492371800000001</v>
      </c>
    </row>
    <row r="253" spans="1:19">
      <c r="A253" s="835">
        <v>8252</v>
      </c>
      <c r="B253" s="826" t="s">
        <v>1572</v>
      </c>
      <c r="C253" s="319" t="str">
        <f t="shared" si="17"/>
        <v>Vallès Occidental</v>
      </c>
      <c r="D253" s="908">
        <f>IFERROR(IF(VLOOKUP(B253,'BD ASVICC'!$A$6:$GN$316,193,FALSE)&gt;0,VLOOKUP(B253,'BD ASVICC'!$A$6:$GN$316,193,FALSE),(VLOOKUP(C253,'BD Comarcal'!$A$6:$AB$17,9,)/VLOOKUP(C253,'BD Comarcal'!$A$6:$AB$17,13,))),"")</f>
        <v>3.6775782925402761E-4</v>
      </c>
      <c r="E253" s="910">
        <f>IFERROR(IF(VLOOKUP(B253,'BD ASVICC'!$A$6:$GN$316,192,FALSE)&gt;0,VLOOKUP(B253,'BD ASVICC'!$A$6:$GN$316,192,FALSE),(VLOOKUP(C253,'BD Comarcal'!$A$6:$AB$17,14,)*F253)),"")</f>
        <v>1603</v>
      </c>
      <c r="F253" s="904">
        <f t="shared" si="21"/>
        <v>3.6308944528001416E-2</v>
      </c>
      <c r="G253" s="910">
        <f t="shared" si="18"/>
        <v>0.58951580029420625</v>
      </c>
      <c r="H253" s="910">
        <f>IFERROR(VLOOKUP(B253, base,19,FALSE)*'4. Agricultura PIB'!$K$11/1000000,G253*'4. Agricultura PIB'!$F$54)</f>
        <v>2.4708896367238498E-2</v>
      </c>
      <c r="I253" s="910">
        <f>G253*'4. Agricultura PIB'!$F$45</f>
        <v>0.19400964987682329</v>
      </c>
      <c r="J253" s="952">
        <f>IFERROR((VLOOKUP(B253,base,19,FALSE)*'tecnicecon agric'!$D$65)/1000000,H253/3)</f>
        <v>1.0545599999999999E-2</v>
      </c>
      <c r="K253" s="952">
        <f>IFERROR(VLOOKUP(B253,'cultius resum'!$T$6:$AU$306,22,FALSE)/1000000,0)</f>
        <v>1.4735333333333333E-2</v>
      </c>
      <c r="L253" s="915">
        <f>K253*'A. Dades de partida'!$D$10</f>
        <v>0.22103</v>
      </c>
      <c r="M253" s="956">
        <f>IFERROR(VLOOKUP(B253,'cultius resum'!$T$6:$AU$308,28,FALSE)/1000000,0)</f>
        <v>0.12882213365791229</v>
      </c>
      <c r="N253" s="955">
        <f>M253*'A. Dades de partida'!$D$10+(((I253-M253)*'A. Dades de partida'!$D$10)/2)</f>
        <v>2.4212383765105168</v>
      </c>
      <c r="O253" s="955">
        <f t="shared" si="19"/>
        <v>2.2924162428526045</v>
      </c>
      <c r="P253" s="916">
        <f>J253*'A. Dades de partida'!$D$10</f>
        <v>0.15818399999999999</v>
      </c>
      <c r="Q253" s="916">
        <f>J253+J253*'4. Agricultura PIB'!$D$71</f>
        <v>1.3646006399999997E-2</v>
      </c>
      <c r="R253" s="916">
        <f>(((J253-Q253)*'A. Dades de partida'!$D$10)/2)+('A. Dades de partida'!$D$10*Q253)</f>
        <v>0.18143704799999996</v>
      </c>
      <c r="S253" s="916">
        <f t="shared" si="20"/>
        <v>2.3253047999999971E-2</v>
      </c>
    </row>
    <row r="254" spans="1:19">
      <c r="A254" s="835">
        <v>8253</v>
      </c>
      <c r="B254" s="826" t="s">
        <v>1574</v>
      </c>
      <c r="C254" s="319" t="str">
        <f t="shared" si="17"/>
        <v>Osona</v>
      </c>
      <c r="D254" s="908">
        <f>IFERROR(IF(VLOOKUP(B254,'BD ASVICC'!$A$6:$GN$316,193,FALSE)&gt;0,VLOOKUP(B254,'BD ASVICC'!$A$6:$GN$316,193,FALSE),(VLOOKUP(C254,'BD Comarcal'!$A$6:$AB$17,9,)/VLOOKUP(C254,'BD Comarcal'!$A$6:$AB$17,13,))),"")</f>
        <v>1.8400340353116357E-2</v>
      </c>
      <c r="E254" s="910">
        <f>IFERROR(IF(VLOOKUP(B254,'BD ASVICC'!$A$6:$GN$316,192,FALSE)&gt;0,VLOOKUP(B254,'BD ASVICC'!$A$6:$GN$316,192,FALSE),(VLOOKUP(C254,'BD Comarcal'!$A$6:$AB$17,14,)*F254)),"")</f>
        <v>3.8789367840093547</v>
      </c>
      <c r="F254" s="904">
        <f t="shared" si="21"/>
        <v>9.5090625220860822E-4</v>
      </c>
      <c r="G254" s="910">
        <f t="shared" si="18"/>
        <v>7.137375703399472E-2</v>
      </c>
      <c r="H254" s="910">
        <f>IFERROR(VLOOKUP(B254, base,19,FALSE)*'4. Agricultura PIB'!$K$11/1000000,G254*'4. Agricultura PIB'!$F$54)</f>
        <v>0.76740130063634948</v>
      </c>
      <c r="I254" s="910">
        <f>G254*'4. Agricultura PIB'!$F$45</f>
        <v>2.3489103439887662E-2</v>
      </c>
      <c r="J254" s="952">
        <f>IFERROR((VLOOKUP(B254,base,19,FALSE)*'tecnicecon agric'!$D$65)/1000000,H254/3)</f>
        <v>0.32752199999999998</v>
      </c>
      <c r="K254" s="952">
        <f>IFERROR(VLOOKUP(B254,'cultius resum'!$T$6:$AU$306,22,FALSE)/1000000,0)</f>
        <v>6.3694666666666663E-2</v>
      </c>
      <c r="L254" s="915">
        <f>K254*'A. Dades de partida'!$D$10</f>
        <v>0.95541999999999994</v>
      </c>
      <c r="M254" s="956">
        <f>IFERROR(VLOOKUP(B254,'cultius resum'!$T$6:$AU$308,28,FALSE)/1000000,0)</f>
        <v>0.55684406161807243</v>
      </c>
      <c r="N254" s="955">
        <f>M254*'A. Dades de partida'!$D$10+(((I254-M254)*'A. Dades de partida'!$D$10)/2)</f>
        <v>4.3524987379347007</v>
      </c>
      <c r="O254" s="955">
        <f t="shared" si="19"/>
        <v>3.7956546763166283</v>
      </c>
      <c r="P254" s="916">
        <f>J254*'A. Dades de partida'!$D$10</f>
        <v>4.9128299999999996</v>
      </c>
      <c r="Q254" s="916">
        <f>J254+J254*'4. Agricultura PIB'!$D$71</f>
        <v>0.42381346799999997</v>
      </c>
      <c r="R254" s="916">
        <f>(((J254-Q254)*'A. Dades de partida'!$D$10)/2)+('A. Dades de partida'!$D$10*Q254)</f>
        <v>5.6350160100000002</v>
      </c>
      <c r="S254" s="916">
        <f t="shared" si="20"/>
        <v>0.7221860100000006</v>
      </c>
    </row>
    <row r="255" spans="1:19">
      <c r="A255" s="835">
        <v>8254</v>
      </c>
      <c r="B255" s="826" t="s">
        <v>1578</v>
      </c>
      <c r="C255" s="319" t="str">
        <f t="shared" si="17"/>
        <v>Osona</v>
      </c>
      <c r="D255" s="908">
        <f>IFERROR(IF(VLOOKUP(B255,'BD ASVICC'!$A$6:$GN$316,193,FALSE)&gt;0,VLOOKUP(B255,'BD ASVICC'!$A$6:$GN$316,193,FALSE),(VLOOKUP(C255,'BD Comarcal'!$A$6:$AB$17,9,)/VLOOKUP(C255,'BD Comarcal'!$A$6:$AB$17,13,))),"")</f>
        <v>1.8400340353116357E-2</v>
      </c>
      <c r="E255" s="910">
        <f>IFERROR(IF(VLOOKUP(B255,'BD ASVICC'!$A$6:$GN$316,192,FALSE)&gt;0,VLOOKUP(B255,'BD ASVICC'!$A$6:$GN$316,192,FALSE),(VLOOKUP(C255,'BD Comarcal'!$A$6:$AB$17,14,)*F255)),"")</f>
        <v>56.82118207927217</v>
      </c>
      <c r="F255" s="904">
        <f t="shared" si="21"/>
        <v>1.392949158640718E-2</v>
      </c>
      <c r="G255" s="910">
        <f t="shared" si="18"/>
        <v>1.0455290895250036</v>
      </c>
      <c r="H255" s="910">
        <f>IFERROR(VLOOKUP(B255, base,19,FALSE)*'4. Agricultura PIB'!$K$11/1000000,G255*'4. Agricultura PIB'!$F$54)</f>
        <v>9.3252325232126054</v>
      </c>
      <c r="I255" s="910">
        <f>G255*'4. Agricultura PIB'!$F$45</f>
        <v>0.34408362336267867</v>
      </c>
      <c r="J255" s="952">
        <f>IFERROR((VLOOKUP(B255,base,19,FALSE)*'tecnicecon agric'!$D$65)/1000000,H255/3)</f>
        <v>3.9799499999999997</v>
      </c>
      <c r="K255" s="952">
        <f>IFERROR(VLOOKUP(B255,'cultius resum'!$T$6:$AU$306,22,FALSE)/1000000,0)</f>
        <v>0.73647029166666667</v>
      </c>
      <c r="L255" s="915">
        <f>K255*'A. Dades de partida'!$D$10</f>
        <v>11.047054375</v>
      </c>
      <c r="M255" s="956">
        <f>IFERROR(VLOOKUP(B255,'cultius resum'!$T$6:$AU$308,28,FALSE)/1000000,0)</f>
        <v>6.4454197779911269</v>
      </c>
      <c r="N255" s="955">
        <f>M255*'A. Dades de partida'!$D$10+(((I255-M255)*'A. Dades de partida'!$D$10)/2)</f>
        <v>50.921275510153535</v>
      </c>
      <c r="O255" s="955">
        <f t="shared" si="19"/>
        <v>44.475855732162408</v>
      </c>
      <c r="P255" s="916">
        <f>J255*'A. Dades de partida'!$D$10</f>
        <v>59.699249999999992</v>
      </c>
      <c r="Q255" s="916">
        <f>J255+J255*'4. Agricultura PIB'!$D$71</f>
        <v>5.1500553</v>
      </c>
      <c r="R255" s="916">
        <f>(((J255-Q255)*'A. Dades de partida'!$D$10)/2)+('A. Dades de partida'!$D$10*Q255)</f>
        <v>68.475039749999993</v>
      </c>
      <c r="S255" s="916">
        <f t="shared" si="20"/>
        <v>8.7757897500000013</v>
      </c>
    </row>
    <row r="256" spans="1:19">
      <c r="A256" s="835">
        <v>8255</v>
      </c>
      <c r="B256" s="826" t="s">
        <v>1580</v>
      </c>
      <c r="C256" s="319" t="str">
        <f t="shared" si="17"/>
        <v>Berguedà</v>
      </c>
      <c r="D256" s="908">
        <f>IFERROR(IF(VLOOKUP(B256,'BD ASVICC'!$A$6:$GN$316,193,FALSE)&gt;0,VLOOKUP(B256,'BD ASVICC'!$A$6:$GN$316,193,FALSE),(VLOOKUP(C256,'BD Comarcal'!$A$6:$AB$17,9,)/VLOOKUP(C256,'BD Comarcal'!$A$6:$AB$17,13,))),"")</f>
        <v>4.1611624834874503E-2</v>
      </c>
      <c r="E256" s="910">
        <f>IFERROR(IF(VLOOKUP(B256,'BD ASVICC'!$A$6:$GN$316,192,FALSE)&gt;0,VLOOKUP(B256,'BD ASVICC'!$A$6:$GN$316,192,FALSE),(VLOOKUP(C256,'BD Comarcal'!$A$6:$AB$17,14,)*F256)),"")</f>
        <v>3.7305579662055237</v>
      </c>
      <c r="F256" s="904">
        <f t="shared" si="21"/>
        <v>4.5433661748940733E-3</v>
      </c>
      <c r="G256" s="910">
        <f t="shared" si="18"/>
        <v>0.15523457851449668</v>
      </c>
      <c r="H256" s="910">
        <f>IFERROR(VLOOKUP(B256, base,19,FALSE)*'4. Agricultura PIB'!$K$11/1000000,G256*'4. Agricultura PIB'!$F$54)</f>
        <v>3.8621905706329716</v>
      </c>
      <c r="I256" s="910">
        <f>G256*'4. Agricultura PIB'!$F$45</f>
        <v>5.1087699789120859E-2</v>
      </c>
      <c r="J256" s="952">
        <f>IFERROR((VLOOKUP(B256,base,19,FALSE)*'tecnicecon agric'!$D$65)/1000000,H256/3)</f>
        <v>1.6483584</v>
      </c>
      <c r="K256" s="952">
        <f>IFERROR(VLOOKUP(B256,'cultius resum'!$T$6:$AU$306,22,FALSE)/1000000,0)</f>
        <v>0.38739666666666661</v>
      </c>
      <c r="L256" s="915">
        <f>K256*'A. Dades de partida'!$D$10</f>
        <v>5.8109499999999992</v>
      </c>
      <c r="M256" s="956">
        <f>IFERROR(VLOOKUP(B256,'cultius resum'!$T$6:$AU$308,28,FALSE)/1000000,0)</f>
        <v>3.3867754493935007</v>
      </c>
      <c r="N256" s="955">
        <f>M256*'A. Dades de partida'!$D$10+(((I256-M256)*'A. Dades de partida'!$D$10)/2)</f>
        <v>25.783973618869659</v>
      </c>
      <c r="O256" s="955">
        <f t="shared" si="19"/>
        <v>22.397198169476159</v>
      </c>
      <c r="P256" s="916">
        <f>J256*'A. Dades de partida'!$D$10</f>
        <v>24.725376000000001</v>
      </c>
      <c r="Q256" s="916">
        <f>J256+J256*'4. Agricultura PIB'!$D$71</f>
        <v>2.1329757695999998</v>
      </c>
      <c r="R256" s="916">
        <f>(((J256-Q256)*'A. Dades de partida'!$D$10)/2)+('A. Dades de partida'!$D$10*Q256)</f>
        <v>28.360006271999996</v>
      </c>
      <c r="S256" s="916">
        <f t="shared" si="20"/>
        <v>3.6346302719999954</v>
      </c>
    </row>
    <row r="257" spans="1:19" ht="30">
      <c r="A257" s="835">
        <v>8256</v>
      </c>
      <c r="B257" s="826" t="s">
        <v>1584</v>
      </c>
      <c r="C257" s="319" t="str">
        <f t="shared" si="17"/>
        <v>Vallès Oriental</v>
      </c>
      <c r="D257" s="908">
        <f>IFERROR(IF(VLOOKUP(B257,'BD ASVICC'!$A$6:$GN$316,193,FALSE)&gt;0,VLOOKUP(B257,'BD ASVICC'!$A$6:$GN$316,193,FALSE),(VLOOKUP(C257,'BD Comarcal'!$A$6:$AB$17,9,)/VLOOKUP(C257,'BD Comarcal'!$A$6:$AB$17,13,))),"")</f>
        <v>3.6614258022830064E-3</v>
      </c>
      <c r="E257" s="910">
        <f>IFERROR(IF(VLOOKUP(B257,'BD ASVICC'!$A$6:$GN$316,192,FALSE)&gt;0,VLOOKUP(B257,'BD ASVICC'!$A$6:$GN$316,192,FALSE),(VLOOKUP(C257,'BD Comarcal'!$A$6:$AB$17,14,)*F257)),"")</f>
        <v>23.76868699201172</v>
      </c>
      <c r="F257" s="904">
        <f t="shared" si="21"/>
        <v>2.145323891582656E-3</v>
      </c>
      <c r="G257" s="910">
        <f t="shared" si="18"/>
        <v>8.7027283838940164E-2</v>
      </c>
      <c r="H257" s="910">
        <f>IFERROR(VLOOKUP(B257, base,19,FALSE)*'4. Agricultura PIB'!$K$11/1000000,G257*'4. Agricultura PIB'!$F$54)</f>
        <v>0</v>
      </c>
      <c r="I257" s="910">
        <f>G257*'4. Agricultura PIB'!$F$45</f>
        <v>2.8640679111395208E-2</v>
      </c>
      <c r="J257" s="952">
        <f>IFERROR((VLOOKUP(B257,base,19,FALSE)*'tecnicecon agric'!$D$65)/1000000,H257/3)</f>
        <v>0</v>
      </c>
      <c r="K257" s="952">
        <f>IFERROR(VLOOKUP(B257,'cultius resum'!$T$6:$AU$306,22,FALSE)/1000000,0)</f>
        <v>9.38925E-3</v>
      </c>
      <c r="L257" s="915">
        <f>K257*'A. Dades de partida'!$D$10</f>
        <v>0.14083875000000001</v>
      </c>
      <c r="M257" s="956">
        <f>IFERROR(VLOOKUP(B257,'cultius resum'!$T$6:$AU$308,28,FALSE)/1000000,0)</f>
        <v>9.5892796862516269E-2</v>
      </c>
      <c r="N257" s="955">
        <f>M257*'A. Dades de partida'!$D$10+(((I257-M257)*'A. Dades de partida'!$D$10)/2)</f>
        <v>0.93400106980433617</v>
      </c>
      <c r="O257" s="955">
        <f t="shared" si="19"/>
        <v>0.83810827294181989</v>
      </c>
      <c r="P257" s="916">
        <f>J257*'A. Dades de partida'!$D$10</f>
        <v>0</v>
      </c>
      <c r="Q257" s="916">
        <f>J257+J257*'4. Agricultura PIB'!$D$71</f>
        <v>0</v>
      </c>
      <c r="R257" s="916">
        <f>(((J257-Q257)*'A. Dades de partida'!$D$10)/2)+('A. Dades de partida'!$D$10*Q257)</f>
        <v>0</v>
      </c>
      <c r="S257" s="916">
        <f t="shared" si="20"/>
        <v>0</v>
      </c>
    </row>
    <row r="258" spans="1:19">
      <c r="A258" s="835">
        <v>8257</v>
      </c>
      <c r="B258" s="826" t="s">
        <v>1587</v>
      </c>
      <c r="C258" s="319" t="str">
        <f t="shared" si="17"/>
        <v>Anoia</v>
      </c>
      <c r="D258" s="908">
        <f>IFERROR(IF(VLOOKUP(B258,'BD ASVICC'!$A$6:$GN$316,193,FALSE)&gt;0,VLOOKUP(B258,'BD ASVICC'!$A$6:$GN$316,193,FALSE),(VLOOKUP(C258,'BD Comarcal'!$A$6:$AB$17,9,)/VLOOKUP(C258,'BD Comarcal'!$A$6:$AB$17,13,))),"")</f>
        <v>1.049736419894568E-2</v>
      </c>
      <c r="E258" s="910">
        <f>IFERROR(IF(VLOOKUP(B258,'BD ASVICC'!$A$6:$GN$316,192,FALSE)&gt;0,VLOOKUP(B258,'BD ASVICC'!$A$6:$GN$316,192,FALSE),(VLOOKUP(C258,'BD Comarcal'!$A$6:$AB$17,14,)*F258)),"")</f>
        <v>2.6581086601307184</v>
      </c>
      <c r="F258" s="904">
        <f t="shared" si="21"/>
        <v>1.1233660130718953E-3</v>
      </c>
      <c r="G258" s="910">
        <f t="shared" si="18"/>
        <v>2.7903134685763675E-2</v>
      </c>
      <c r="H258" s="910">
        <f>IFERROR(VLOOKUP(B258, base,19,FALSE)*'4. Agricultura PIB'!$K$11/1000000,G258*'4. Agricultura PIB'!$F$54)</f>
        <v>0.32881839011786618</v>
      </c>
      <c r="I258" s="910">
        <f>G258*'4. Agricultura PIB'!$F$45</f>
        <v>9.1829216250848261E-3</v>
      </c>
      <c r="J258" s="952">
        <f>IFERROR((VLOOKUP(B258,base,19,FALSE)*'tecnicecon agric'!$D$65)/1000000,H258/3)</f>
        <v>0.14033759999999998</v>
      </c>
      <c r="K258" s="952">
        <f>IFERROR(VLOOKUP(B258,'cultius resum'!$T$6:$AU$306,22,FALSE)/1000000,0)</f>
        <v>0.19488666666666665</v>
      </c>
      <c r="L258" s="915">
        <f>K258*'A. Dades de partida'!$D$10</f>
        <v>2.9232999999999998</v>
      </c>
      <c r="M258" s="956">
        <f>IFERROR(VLOOKUP(B258,'cultius resum'!$T$6:$AU$308,28,FALSE)/1000000,0)</f>
        <v>1.7037766064433559</v>
      </c>
      <c r="N258" s="955">
        <f>M258*'A. Dades de partida'!$D$10+(((I258-M258)*'A. Dades de partida'!$D$10)/2)</f>
        <v>12.847196460513306</v>
      </c>
      <c r="O258" s="955">
        <f t="shared" si="19"/>
        <v>11.143419854069951</v>
      </c>
      <c r="P258" s="916">
        <f>J258*'A. Dades de partida'!$D$10</f>
        <v>2.1050639999999996</v>
      </c>
      <c r="Q258" s="916">
        <f>J258+J258*'4. Agricultura PIB'!$D$71</f>
        <v>0.18159685439999998</v>
      </c>
      <c r="R258" s="916">
        <f>(((J258-Q258)*'A. Dades de partida'!$D$10)/2)+('A. Dades de partida'!$D$10*Q258)</f>
        <v>2.4145084079999997</v>
      </c>
      <c r="S258" s="916">
        <f t="shared" si="20"/>
        <v>0.30944440800000006</v>
      </c>
    </row>
    <row r="259" spans="1:19">
      <c r="A259" s="835">
        <v>8258</v>
      </c>
      <c r="B259" s="826" t="s">
        <v>1591</v>
      </c>
      <c r="C259" s="319" t="str">
        <f t="shared" si="17"/>
        <v>Moianès</v>
      </c>
      <c r="D259" s="908">
        <f>IFERROR(IF(VLOOKUP(B259,'BD ASVICC'!$A$6:$GN$316,193,FALSE)&gt;0,VLOOKUP(B259,'BD ASVICC'!$A$6:$GN$316,193,FALSE),(VLOOKUP(C259,'BD Comarcal'!$A$6:$AB$17,9,)/VLOOKUP(C259,'BD Comarcal'!$A$6:$AB$17,13,))),"")</f>
        <v>2.4061990212071782E-2</v>
      </c>
      <c r="E259" s="910">
        <f>IFERROR(IF(VLOOKUP(B259,'BD ASVICC'!$A$6:$GN$316,192,FALSE)&gt;0,VLOOKUP(B259,'BD ASVICC'!$A$6:$GN$316,192,FALSE),(VLOOKUP(C259,'BD Comarcal'!$A$6:$AB$17,14,)*F259)),"")</f>
        <v>21.217245817245814</v>
      </c>
      <c r="F259" s="904">
        <f t="shared" si="21"/>
        <v>7.9794079794079792E-2</v>
      </c>
      <c r="G259" s="910">
        <f t="shared" si="18"/>
        <v>0.51052916118168978</v>
      </c>
      <c r="H259" s="910">
        <f>IFERROR(VLOOKUP(B259, base,19,FALSE)*'4. Agricultura PIB'!$K$11/1000000,G259*'4. Agricultura PIB'!$F$54)</f>
        <v>3.0952644410806069</v>
      </c>
      <c r="I259" s="910">
        <f>G259*'4. Agricultura PIB'!$F$45</f>
        <v>0.16801514694489411</v>
      </c>
      <c r="J259" s="952">
        <f>IFERROR((VLOOKUP(B259,base,19,FALSE)*'tecnicecon agric'!$D$65)/1000000,H259/3)</f>
        <v>1.3210392</v>
      </c>
      <c r="K259" s="952">
        <f>IFERROR(VLOOKUP(B259,'cultius resum'!$T$6:$AU$306,22,FALSE)/1000000,0)</f>
        <v>0.40724891666666663</v>
      </c>
      <c r="L259" s="915">
        <f>K259*'A. Dades de partida'!$D$10</f>
        <v>6.108733749999999</v>
      </c>
      <c r="M259" s="956">
        <f>IFERROR(VLOOKUP(B259,'cultius resum'!$T$6:$AU$308,28,FALSE)/1000000,0)</f>
        <v>3.6293729298834689</v>
      </c>
      <c r="N259" s="955">
        <f>M259*'A. Dades de partida'!$D$10+(((I259-M259)*'A. Dades de partida'!$D$10)/2)</f>
        <v>28.480410576212726</v>
      </c>
      <c r="O259" s="955">
        <f t="shared" si="19"/>
        <v>24.851037646329257</v>
      </c>
      <c r="P259" s="916">
        <f>J259*'A. Dades de partida'!$D$10</f>
        <v>19.815587999999998</v>
      </c>
      <c r="Q259" s="916">
        <f>J259+J259*'4. Agricultura PIB'!$D$71</f>
        <v>1.7094247247999999</v>
      </c>
      <c r="R259" s="916">
        <f>(((J259-Q259)*'A. Dades de partida'!$D$10)/2)+('A. Dades de partida'!$D$10*Q259)</f>
        <v>22.728479435999997</v>
      </c>
      <c r="S259" s="916">
        <f t="shared" si="20"/>
        <v>2.9128914359999989</v>
      </c>
    </row>
    <row r="260" spans="1:19" ht="30">
      <c r="A260" s="835">
        <v>8259</v>
      </c>
      <c r="B260" s="826" t="s">
        <v>1594</v>
      </c>
      <c r="C260" s="319" t="str">
        <f t="shared" ref="C260:C314" si="22">VLOOKUP(B260,base,201,FALSE)</f>
        <v>Vallès Oriental</v>
      </c>
      <c r="D260" s="908">
        <f>IFERROR(IF(VLOOKUP(B260,'BD ASVICC'!$A$6:$GN$316,193,FALSE)&gt;0,VLOOKUP(B260,'BD ASVICC'!$A$6:$GN$316,193,FALSE),(VLOOKUP(C260,'BD Comarcal'!$A$6:$AB$17,9,)/VLOOKUP(C260,'BD Comarcal'!$A$6:$AB$17,13,))),"")</f>
        <v>3.0000000000000001E-3</v>
      </c>
      <c r="E260" s="910">
        <f>IFERROR(IF(VLOOKUP(B260,'BD ASVICC'!$A$6:$GN$316,192,FALSE)&gt;0,VLOOKUP(B260,'BD ASVICC'!$A$6:$GN$316,192,FALSE),(VLOOKUP(C260,'BD Comarcal'!$A$6:$AB$17,14,)*F260)),"")</f>
        <v>181</v>
      </c>
      <c r="F260" s="904">
        <f t="shared" si="21"/>
        <v>2.2908371497341394E-2</v>
      </c>
      <c r="G260" s="910">
        <f t="shared" si="18"/>
        <v>0.54300000000000004</v>
      </c>
      <c r="H260" s="910">
        <f>IFERROR(VLOOKUP(B260, base,19,FALSE)*'4. Agricultura PIB'!$K$11/1000000,G260*'4. Agricultura PIB'!$F$54)</f>
        <v>0.49465309842875532</v>
      </c>
      <c r="I260" s="910">
        <f>G260*'4. Agricultura PIB'!$F$45</f>
        <v>0.17870130000000001</v>
      </c>
      <c r="J260" s="952">
        <f>IFERROR((VLOOKUP(B260,base,19,FALSE)*'tecnicecon agric'!$D$65)/1000000,H260/3)</f>
        <v>0.21111479999999999</v>
      </c>
      <c r="K260" s="952">
        <f>IFERROR(VLOOKUP(B260,'cultius resum'!$T$6:$AU$306,22,FALSE)/1000000,0)</f>
        <v>0.22747329166666666</v>
      </c>
      <c r="L260" s="915">
        <f>K260*'A. Dades de partida'!$D$10</f>
        <v>3.4120993749999999</v>
      </c>
      <c r="M260" s="956">
        <f>IFERROR(VLOOKUP(B260,'cultius resum'!$T$6:$AU$308,28,FALSE)/1000000,0)</f>
        <v>2.8240607016050041</v>
      </c>
      <c r="N260" s="955">
        <f>M260*'A. Dades de partida'!$D$10+(((I260-M260)*'A. Dades de partida'!$D$10)/2)</f>
        <v>22.520715012037531</v>
      </c>
      <c r="O260" s="955">
        <f t="shared" si="19"/>
        <v>19.696654310432528</v>
      </c>
      <c r="P260" s="916">
        <f>J260*'A. Dades de partida'!$D$10</f>
        <v>3.166722</v>
      </c>
      <c r="Q260" s="916">
        <f>J260+J260*'4. Agricultura PIB'!$D$71</f>
        <v>0.27318255120000001</v>
      </c>
      <c r="R260" s="916">
        <f>(((J260-Q260)*'A. Dades de partida'!$D$10)/2)+('A. Dades de partida'!$D$10*Q260)</f>
        <v>3.6322301340000003</v>
      </c>
      <c r="S260" s="916">
        <f t="shared" si="20"/>
        <v>0.46550813400000024</v>
      </c>
    </row>
    <row r="261" spans="1:19" ht="30">
      <c r="A261" s="835">
        <v>8260</v>
      </c>
      <c r="B261" s="826" t="s">
        <v>1598</v>
      </c>
      <c r="C261" s="319" t="str">
        <f t="shared" si="22"/>
        <v>Vallès Occidental</v>
      </c>
      <c r="D261" s="908">
        <f>IFERROR(IF(VLOOKUP(B261,'BD ASVICC'!$A$6:$GN$316,193,FALSE)&gt;0,VLOOKUP(B261,'BD ASVICC'!$A$6:$GN$316,193,FALSE),(VLOOKUP(C261,'BD Comarcal'!$A$6:$AB$17,9,)/VLOOKUP(C261,'BD Comarcal'!$A$6:$AB$17,13,))),"")</f>
        <v>1E-3</v>
      </c>
      <c r="E261" s="910">
        <f>IFERROR(IF(VLOOKUP(B261,'BD ASVICC'!$A$6:$GN$316,192,FALSE)&gt;0,VLOOKUP(B261,'BD ASVICC'!$A$6:$GN$316,192,FALSE),(VLOOKUP(C261,'BD Comarcal'!$A$6:$AB$17,14,)*F261)),"")</f>
        <v>1175</v>
      </c>
      <c r="F261" s="904">
        <f t="shared" si="21"/>
        <v>2.8262408210209679E-2</v>
      </c>
      <c r="G261" s="910">
        <f t="shared" ref="G261:G314" si="23">D261*E261</f>
        <v>1.175</v>
      </c>
      <c r="H261" s="910">
        <f>IFERROR(VLOOKUP(B261, base,19,FALSE)*'4. Agricultura PIB'!$K$11/1000000,G261*'4. Agricultura PIB'!$F$54)</f>
        <v>0.58636111763792897</v>
      </c>
      <c r="I261" s="910">
        <f>G261*'4. Agricultura PIB'!$F$45</f>
        <v>0.38669249999999999</v>
      </c>
      <c r="J261" s="952">
        <f>IFERROR((VLOOKUP(B261,base,19,FALSE)*'tecnicecon agric'!$D$65)/1000000,H261/3)</f>
        <v>0.25025519999999996</v>
      </c>
      <c r="K261" s="952">
        <f>IFERROR(VLOOKUP(B261,'cultius resum'!$T$6:$AU$306,22,FALSE)/1000000,0)</f>
        <v>0.21794883333333331</v>
      </c>
      <c r="L261" s="915">
        <f>K261*'A. Dades de partida'!$D$10</f>
        <v>3.2692324999999998</v>
      </c>
      <c r="M261" s="956">
        <f>IFERROR(VLOOKUP(B261,'cultius resum'!$T$6:$AU$308,28,FALSE)/1000000,0)</f>
        <v>1.9882446987134901</v>
      </c>
      <c r="N261" s="955">
        <f>M261*'A. Dades de partida'!$D$10+(((I261-M261)*'A. Dades de partida'!$D$10)/2)</f>
        <v>17.812028990351177</v>
      </c>
      <c r="O261" s="955">
        <f t="shared" ref="O261:O314" si="24">N261-M261</f>
        <v>15.823784291637686</v>
      </c>
      <c r="P261" s="916">
        <f>J261*'A. Dades de partida'!$D$10</f>
        <v>3.7538279999999995</v>
      </c>
      <c r="Q261" s="916">
        <f>J261+J261*'4. Agricultura PIB'!$D$71</f>
        <v>0.32383022879999995</v>
      </c>
      <c r="R261" s="916">
        <f>(((J261-Q261)*'A. Dades de partida'!$D$10)/2)+('A. Dades de partida'!$D$10*Q261)</f>
        <v>4.3056407159999992</v>
      </c>
      <c r="S261" s="916">
        <f t="shared" ref="S261:S314" si="25">R261-P261</f>
        <v>0.5518127159999997</v>
      </c>
    </row>
    <row r="262" spans="1:19">
      <c r="A262" s="835">
        <v>8261</v>
      </c>
      <c r="B262" s="826" t="s">
        <v>354</v>
      </c>
      <c r="C262" s="319" t="str">
        <f t="shared" si="22"/>
        <v>Maresme</v>
      </c>
      <c r="D262" s="908">
        <f>IFERROR(IF(VLOOKUP(B262,'BD ASVICC'!$A$6:$GN$316,193,FALSE)&gt;0,VLOOKUP(B262,'BD ASVICC'!$A$6:$GN$316,193,FALSE),(VLOOKUP(C262,'BD Comarcal'!$A$6:$AB$17,9,)/VLOOKUP(C262,'BD Comarcal'!$A$6:$AB$17,13,))),"")</f>
        <v>1.0968348480100282E-2</v>
      </c>
      <c r="E262" s="910">
        <f>IFERROR(IF(VLOOKUP(B262,'BD ASVICC'!$A$6:$GN$316,192,FALSE)&gt;0,VLOOKUP(B262,'BD ASVICC'!$A$6:$GN$316,192,FALSE),(VLOOKUP(C262,'BD Comarcal'!$A$6:$AB$17,14,)*F262)),"")</f>
        <v>62.521367594930965</v>
      </c>
      <c r="F262" s="904">
        <f t="shared" si="21"/>
        <v>7.5265285783852956E-3</v>
      </c>
      <c r="G262" s="910">
        <f t="shared" si="23"/>
        <v>0.68575614723365208</v>
      </c>
      <c r="H262" s="910">
        <f>IFERROR(VLOOKUP(B262, base,19,FALSE)*'4. Agricultura PIB'!$K$11/1000000,G262*'4. Agricultura PIB'!$F$54)</f>
        <v>7.4126689101715493E-2</v>
      </c>
      <c r="I262" s="910">
        <f>G262*'4. Agricultura PIB'!$F$45</f>
        <v>0.22568234805459489</v>
      </c>
      <c r="J262" s="952">
        <f>IFERROR((VLOOKUP(B262,base,19,FALSE)*'tecnicecon agric'!$D$65)/1000000,H262/3)</f>
        <v>3.1636799999999993E-2</v>
      </c>
      <c r="K262" s="952">
        <f>IFERROR(VLOOKUP(B262,'cultius resum'!$T$6:$AU$306,22,FALSE)/1000000,0)</f>
        <v>8.2758999999999999E-2</v>
      </c>
      <c r="L262" s="915">
        <f>K262*'A. Dades de partida'!$D$10</f>
        <v>1.241385</v>
      </c>
      <c r="M262" s="956">
        <f>IFERROR(VLOOKUP(B262,'cultius resum'!$T$6:$AU$308,28,FALSE)/1000000,0)</f>
        <v>1.2206088878796542</v>
      </c>
      <c r="N262" s="955">
        <f>M262*'A. Dades de partida'!$D$10+(((I262-M262)*'A. Dades de partida'!$D$10)/2)</f>
        <v>10.847184269506869</v>
      </c>
      <c r="O262" s="955">
        <f t="shared" si="24"/>
        <v>9.6265753816272142</v>
      </c>
      <c r="P262" s="916">
        <f>J262*'A. Dades de partida'!$D$10</f>
        <v>0.47455199999999986</v>
      </c>
      <c r="Q262" s="916">
        <f>J262+J262*'4. Agricultura PIB'!$D$71</f>
        <v>4.0938019199999988E-2</v>
      </c>
      <c r="R262" s="916">
        <f>(((J262-Q262)*'A. Dades de partida'!$D$10)/2)+('A. Dades de partida'!$D$10*Q262)</f>
        <v>0.54431114399999991</v>
      </c>
      <c r="S262" s="916">
        <f t="shared" si="25"/>
        <v>6.9759144000000051E-2</v>
      </c>
    </row>
    <row r="263" spans="1:19">
      <c r="A263" s="835">
        <v>8262</v>
      </c>
      <c r="B263" s="826" t="s">
        <v>1600</v>
      </c>
      <c r="C263" s="319" t="str">
        <f t="shared" si="22"/>
        <v>Bages</v>
      </c>
      <c r="D263" s="908">
        <f>IFERROR(IF(VLOOKUP(B263,'BD ASVICC'!$A$6:$GN$316,193,FALSE)&gt;0,VLOOKUP(B263,'BD ASVICC'!$A$6:$GN$316,193,FALSE),(VLOOKUP(C263,'BD Comarcal'!$A$6:$AB$17,9,)/VLOOKUP(C263,'BD Comarcal'!$A$6:$AB$17,13,))),"")</f>
        <v>1E-3</v>
      </c>
      <c r="E263" s="910">
        <f>IFERROR(IF(VLOOKUP(B263,'BD ASVICC'!$A$6:$GN$316,192,FALSE)&gt;0,VLOOKUP(B263,'BD ASVICC'!$A$6:$GN$316,192,FALSE),(VLOOKUP(C263,'BD Comarcal'!$A$6:$AB$17,14,)*F263)),"")</f>
        <v>169</v>
      </c>
      <c r="F263" s="904">
        <f t="shared" si="21"/>
        <v>5.2958751240100702E-2</v>
      </c>
      <c r="G263" s="910">
        <f t="shared" si="23"/>
        <v>0.16900000000000001</v>
      </c>
      <c r="H263" s="910">
        <f>IFERROR(VLOOKUP(B263, base,19,FALSE)*'4. Agricultura PIB'!$K$11/1000000,G263*'4. Agricultura PIB'!$F$54)</f>
        <v>4.2765397558682014E-2</v>
      </c>
      <c r="I263" s="910">
        <f>G263*'4. Agricultura PIB'!$F$45</f>
        <v>5.5617900000000005E-2</v>
      </c>
      <c r="J263" s="952">
        <f>IFERROR((VLOOKUP(B263,base,19,FALSE)*'tecnicecon agric'!$D$65)/1000000,H263/3)</f>
        <v>1.8252000000000001E-2</v>
      </c>
      <c r="K263" s="952">
        <f>IFERROR(VLOOKUP(B263,'cultius resum'!$T$6:$AU$306,22,FALSE)/1000000,0)</f>
        <v>5.3002500000000001E-2</v>
      </c>
      <c r="L263" s="915">
        <f>K263*'A. Dades de partida'!$D$10</f>
        <v>0.79503750000000006</v>
      </c>
      <c r="M263" s="956">
        <f>IFERROR(VLOOKUP(B263,'cultius resum'!$T$6:$AU$308,28,FALSE)/1000000,0)</f>
        <v>0.49098538802728037</v>
      </c>
      <c r="N263" s="955">
        <f>M263*'A. Dades de partida'!$D$10+(((I263-M263)*'A. Dades de partida'!$D$10)/2)</f>
        <v>4.0995246602046027</v>
      </c>
      <c r="O263" s="955">
        <f t="shared" si="24"/>
        <v>3.6085392721773224</v>
      </c>
      <c r="P263" s="916">
        <f>J263*'A. Dades de partida'!$D$10</f>
        <v>0.27378000000000002</v>
      </c>
      <c r="Q263" s="916">
        <f>J263+J263*'4. Agricultura PIB'!$D$71</f>
        <v>2.3618088000000002E-2</v>
      </c>
      <c r="R263" s="916">
        <f>(((J263-Q263)*'A. Dades de partida'!$D$10)/2)+('A. Dades de partida'!$D$10*Q263)</f>
        <v>0.31402566000000004</v>
      </c>
      <c r="S263" s="916">
        <f t="shared" si="25"/>
        <v>4.0245660000000016E-2</v>
      </c>
    </row>
    <row r="264" spans="1:19">
      <c r="A264" s="835">
        <v>8263</v>
      </c>
      <c r="B264" s="826" t="s">
        <v>1602</v>
      </c>
      <c r="C264" s="319" t="str">
        <f t="shared" si="22"/>
        <v>Baix Llobregat</v>
      </c>
      <c r="D264" s="908">
        <f>IFERROR(IF(VLOOKUP(B264,'BD ASVICC'!$A$6:$GN$316,193,FALSE)&gt;0,VLOOKUP(B264,'BD ASVICC'!$A$6:$GN$316,193,FALSE),(VLOOKUP(C264,'BD Comarcal'!$A$6:$AB$17,9,)/VLOOKUP(C264,'BD Comarcal'!$A$6:$AB$17,13,))),"")</f>
        <v>2E-3</v>
      </c>
      <c r="E264" s="910">
        <f>IFERROR(IF(VLOOKUP(B264,'BD ASVICC'!$A$6:$GN$316,192,FALSE)&gt;0,VLOOKUP(B264,'BD ASVICC'!$A$6:$GN$316,192,FALSE),(VLOOKUP(C264,'BD Comarcal'!$A$6:$AB$17,14,)*F264)),"")</f>
        <v>634</v>
      </c>
      <c r="F264" s="904">
        <f t="shared" si="21"/>
        <v>3.4524739993307678E-2</v>
      </c>
      <c r="G264" s="910">
        <f t="shared" si="23"/>
        <v>1.268</v>
      </c>
      <c r="H264" s="910">
        <f>IFERROR(VLOOKUP(B264, base,19,FALSE)*'4. Agricultura PIB'!$K$11/1000000,G264*'4. Agricultura PIB'!$F$54)</f>
        <v>0</v>
      </c>
      <c r="I264" s="910">
        <f>G264*'4. Agricultura PIB'!$F$45</f>
        <v>0.41729880000000003</v>
      </c>
      <c r="J264" s="952">
        <f>IFERROR((VLOOKUP(B264,base,19,FALSE)*'tecnicecon agric'!$D$65)/1000000,H264/3)</f>
        <v>0</v>
      </c>
      <c r="K264" s="952">
        <f>IFERROR(VLOOKUP(B264,'cultius resum'!$T$6:$AU$306,22,FALSE)/1000000,0)</f>
        <v>4.1796125000000003E-2</v>
      </c>
      <c r="L264" s="915">
        <f>K264*'A. Dades de partida'!$D$10</f>
        <v>0.62694187500000009</v>
      </c>
      <c r="M264" s="956">
        <f>IFERROR(VLOOKUP(B264,'cultius resum'!$T$6:$AU$308,28,FALSE)/1000000,0)</f>
        <v>0.62085086808330403</v>
      </c>
      <c r="N264" s="955">
        <f>M264*'A. Dades de partida'!$D$10+(((I264-M264)*'A. Dades de partida'!$D$10)/2)</f>
        <v>7.7861225106247804</v>
      </c>
      <c r="O264" s="955">
        <f t="shared" si="24"/>
        <v>7.1652716425414766</v>
      </c>
      <c r="P264" s="916">
        <f>J264*'A. Dades de partida'!$D$10</f>
        <v>0</v>
      </c>
      <c r="Q264" s="916">
        <f>J264+J264*'4. Agricultura PIB'!$D$71</f>
        <v>0</v>
      </c>
      <c r="R264" s="916">
        <f>(((J264-Q264)*'A. Dades de partida'!$D$10)/2)+('A. Dades de partida'!$D$10*Q264)</f>
        <v>0</v>
      </c>
      <c r="S264" s="916">
        <f t="shared" si="25"/>
        <v>0</v>
      </c>
    </row>
    <row r="265" spans="1:19">
      <c r="A265" s="835">
        <v>8264</v>
      </c>
      <c r="B265" s="826" t="s">
        <v>355</v>
      </c>
      <c r="C265" s="319" t="str">
        <f t="shared" si="22"/>
        <v>Maresme</v>
      </c>
      <c r="D265" s="908">
        <f>IFERROR(IF(VLOOKUP(B265,'BD ASVICC'!$A$6:$GN$316,193,FALSE)&gt;0,VLOOKUP(B265,'BD ASVICC'!$A$6:$GN$316,193,FALSE),(VLOOKUP(C265,'BD Comarcal'!$A$6:$AB$17,9,)/VLOOKUP(C265,'BD Comarcal'!$A$6:$AB$17,13,))),"")</f>
        <v>2.5000000000000001E-2</v>
      </c>
      <c r="E265" s="910">
        <f>IFERROR(IF(VLOOKUP(B265,'BD ASVICC'!$A$6:$GN$316,192,FALSE)&gt;0,VLOOKUP(B265,'BD ASVICC'!$A$6:$GN$316,192,FALSE),(VLOOKUP(C265,'BD Comarcal'!$A$6:$AB$17,14,)*F265)),"")</f>
        <v>101</v>
      </c>
      <c r="F265" s="904">
        <f t="shared" si="21"/>
        <v>1.4002106431410742E-2</v>
      </c>
      <c r="G265" s="910">
        <f t="shared" si="23"/>
        <v>2.5250000000000004</v>
      </c>
      <c r="H265" s="910">
        <f>IFERROR(VLOOKUP(B265, base,19,FALSE)*'4. Agricultura PIB'!$K$11/1000000,G265*'4. Agricultura PIB'!$F$54)</f>
        <v>4.7517108398535571E-4</v>
      </c>
      <c r="I265" s="910">
        <f>G265*'4. Agricultura PIB'!$F$45</f>
        <v>0.83097750000000015</v>
      </c>
      <c r="J265" s="952">
        <f>IFERROR((VLOOKUP(B265,base,19,FALSE)*'tecnicecon agric'!$D$65)/1000000,H265/3)</f>
        <v>2.028E-4</v>
      </c>
      <c r="K265" s="952">
        <f>IFERROR(VLOOKUP(B265,'cultius resum'!$T$6:$AU$306,22,FALSE)/1000000,0)</f>
        <v>2.2592500000000001E-2</v>
      </c>
      <c r="L265" s="915">
        <f>K265*'A. Dades de partida'!$D$10</f>
        <v>0.33888750000000001</v>
      </c>
      <c r="M265" s="956">
        <f>IFERROR(VLOOKUP(B265,'cultius resum'!$T$6:$AU$308,28,FALSE)/1000000,0)</f>
        <v>0.33559506382881299</v>
      </c>
      <c r="N265" s="955">
        <f>M265*'A. Dades de partida'!$D$10+(((I265-M265)*'A. Dades de partida'!$D$10)/2)</f>
        <v>8.7492942287160993</v>
      </c>
      <c r="O265" s="955">
        <f t="shared" si="24"/>
        <v>8.4136991648872872</v>
      </c>
      <c r="P265" s="916">
        <f>J265*'A. Dades de partida'!$D$10</f>
        <v>3.042E-3</v>
      </c>
      <c r="Q265" s="916">
        <f>J265+J265*'4. Agricultura PIB'!$D$71</f>
        <v>2.6242319999999998E-4</v>
      </c>
      <c r="R265" s="916">
        <f>(((J265-Q265)*'A. Dades de partida'!$D$10)/2)+('A. Dades de partida'!$D$10*Q265)</f>
        <v>3.4891739999999994E-3</v>
      </c>
      <c r="S265" s="916">
        <f t="shared" si="25"/>
        <v>4.471739999999994E-4</v>
      </c>
    </row>
    <row r="266" spans="1:19">
      <c r="A266" s="835">
        <v>8265</v>
      </c>
      <c r="B266" s="826" t="s">
        <v>1604</v>
      </c>
      <c r="C266" s="319" t="str">
        <f t="shared" si="22"/>
        <v>Osona</v>
      </c>
      <c r="D266" s="908">
        <f>IFERROR(IF(VLOOKUP(B266,'BD ASVICC'!$A$6:$GN$316,193,FALSE)&gt;0,VLOOKUP(B266,'BD ASVICC'!$A$6:$GN$316,193,FALSE),(VLOOKUP(C266,'BD Comarcal'!$A$6:$AB$17,9,)/VLOOKUP(C266,'BD Comarcal'!$A$6:$AB$17,13,))),"")</f>
        <v>1.8400340353116357E-2</v>
      </c>
      <c r="E266" s="910">
        <f>IFERROR(IF(VLOOKUP(B266,'BD ASVICC'!$A$6:$GN$316,192,FALSE)&gt;0,VLOOKUP(B266,'BD ASVICC'!$A$6:$GN$316,192,FALSE),(VLOOKUP(C266,'BD Comarcal'!$A$6:$AB$17,14,)*F266)),"")</f>
        <v>52.313228519477519</v>
      </c>
      <c r="F266" s="904">
        <f t="shared" si="21"/>
        <v>1.2824384320326907E-2</v>
      </c>
      <c r="G266" s="910">
        <f t="shared" si="23"/>
        <v>0.96258120972873962</v>
      </c>
      <c r="H266" s="910">
        <f>IFERROR(VLOOKUP(B266, base,19,FALSE)*'4. Agricultura PIB'!$K$11/1000000,G266*'4. Agricultura PIB'!$F$54)</f>
        <v>0.60631830316531388</v>
      </c>
      <c r="I266" s="910">
        <f>G266*'4. Agricultura PIB'!$F$45</f>
        <v>0.31678547612172819</v>
      </c>
      <c r="J266" s="952">
        <f>IFERROR((VLOOKUP(B266,base,19,FALSE)*'tecnicecon agric'!$D$65)/1000000,H266/3)</f>
        <v>0.25877279999999997</v>
      </c>
      <c r="K266" s="952">
        <f>IFERROR(VLOOKUP(B266,'cultius resum'!$T$6:$AU$306,22,FALSE)/1000000,0)</f>
        <v>0.10599933333333333</v>
      </c>
      <c r="L266" s="915">
        <f>K266*'A. Dades de partida'!$D$10</f>
        <v>1.58999</v>
      </c>
      <c r="M266" s="956">
        <f>IFERROR(VLOOKUP(B266,'cultius resum'!$T$6:$AU$308,28,FALSE)/1000000,0)</f>
        <v>0.92668825179724001</v>
      </c>
      <c r="N266" s="955">
        <f>M266*'A. Dades de partida'!$D$10+(((I266-M266)*'A. Dades de partida'!$D$10)/2)</f>
        <v>9.3260529593922623</v>
      </c>
      <c r="O266" s="955">
        <f t="shared" si="24"/>
        <v>8.3993647075950228</v>
      </c>
      <c r="P266" s="916">
        <f>J266*'A. Dades de partida'!$D$10</f>
        <v>3.8815919999999995</v>
      </c>
      <c r="Q266" s="916">
        <f>J266+J266*'4. Agricultura PIB'!$D$71</f>
        <v>0.33485200319999997</v>
      </c>
      <c r="R266" s="916">
        <f>(((J266-Q266)*'A. Dades de partida'!$D$10)/2)+('A. Dades de partida'!$D$10*Q266)</f>
        <v>4.4521860239999995</v>
      </c>
      <c r="S266" s="916">
        <f t="shared" si="25"/>
        <v>0.57059402400000003</v>
      </c>
    </row>
    <row r="267" spans="1:19">
      <c r="A267" s="835">
        <v>8266</v>
      </c>
      <c r="B267" s="826" t="s">
        <v>1605</v>
      </c>
      <c r="C267" s="319" t="str">
        <f t="shared" si="22"/>
        <v>Vallès Occidental</v>
      </c>
      <c r="D267" s="908">
        <f>IFERROR(IF(VLOOKUP(B267,'BD ASVICC'!$A$6:$GN$316,193,FALSE)&gt;0,VLOOKUP(B267,'BD ASVICC'!$A$6:$GN$316,193,FALSE),(VLOOKUP(C267,'BD Comarcal'!$A$6:$AB$17,9,)/VLOOKUP(C267,'BD Comarcal'!$A$6:$AB$17,13,))),"")</f>
        <v>3.6775782925402761E-4</v>
      </c>
      <c r="E267" s="910">
        <f>IFERROR(IF(VLOOKUP(B267,'BD ASVICC'!$A$6:$GN$316,192,FALSE)&gt;0,VLOOKUP(B267,'BD ASVICC'!$A$6:$GN$316,192,FALSE),(VLOOKUP(C267,'BD Comarcal'!$A$6:$AB$17,14,)*F267)),"")</f>
        <v>1659</v>
      </c>
      <c r="F267" s="904">
        <f t="shared" si="21"/>
        <v>6.363686631867646E-2</v>
      </c>
      <c r="G267" s="910">
        <f t="shared" si="23"/>
        <v>0.61011023873243175</v>
      </c>
      <c r="H267" s="910">
        <f>IFERROR(VLOOKUP(B267, base,19,FALSE)*'4. Agricultura PIB'!$K$11/1000000,G267*'4. Agricultura PIB'!$F$54)</f>
        <v>6.4148096338023028E-2</v>
      </c>
      <c r="I267" s="910">
        <f>G267*'4. Agricultura PIB'!$F$45</f>
        <v>0.20078727956684328</v>
      </c>
      <c r="J267" s="952">
        <f>IFERROR((VLOOKUP(B267,base,19,FALSE)*'tecnicecon agric'!$D$65)/1000000,H267/3)</f>
        <v>2.7377999999999996E-2</v>
      </c>
      <c r="K267" s="952">
        <f>IFERROR(VLOOKUP(B267,'cultius resum'!$T$6:$AU$306,22,FALSE)/1000000,0)</f>
        <v>8.9306791666666663E-2</v>
      </c>
      <c r="L267" s="915">
        <f>K267*'A. Dades de partida'!$D$10</f>
        <v>1.3396018750000001</v>
      </c>
      <c r="M267" s="956">
        <f>IFERROR(VLOOKUP(B267,'cultius resum'!$T$6:$AU$308,28,FALSE)/1000000,0)</f>
        <v>0.81527604091825345</v>
      </c>
      <c r="N267" s="955">
        <f>M267*'A. Dades de partida'!$D$10+(((I267-M267)*'A. Dades de partida'!$D$10)/2)</f>
        <v>7.6204749036382262</v>
      </c>
      <c r="O267" s="955">
        <f t="shared" si="24"/>
        <v>6.8051988627199727</v>
      </c>
      <c r="P267" s="916">
        <f>J267*'A. Dades de partida'!$D$10</f>
        <v>0.41066999999999992</v>
      </c>
      <c r="Q267" s="916">
        <f>J267+J267*'4. Agricultura PIB'!$D$71</f>
        <v>3.5427131999999993E-2</v>
      </c>
      <c r="R267" s="916">
        <f>(((J267-Q267)*'A. Dades de partida'!$D$10)/2)+('A. Dades de partida'!$D$10*Q267)</f>
        <v>0.47103848999999987</v>
      </c>
      <c r="S267" s="916">
        <f t="shared" si="25"/>
        <v>6.0368489999999941E-2</v>
      </c>
    </row>
    <row r="268" spans="1:19">
      <c r="A268" s="835">
        <v>8267</v>
      </c>
      <c r="B268" s="826" t="s">
        <v>1608</v>
      </c>
      <c r="C268" s="319" t="str">
        <f t="shared" si="22"/>
        <v>Vallès Occidental</v>
      </c>
      <c r="D268" s="908">
        <f>IFERROR(IF(VLOOKUP(B268,'BD ASVICC'!$A$6:$GN$316,193,FALSE)&gt;0,VLOOKUP(B268,'BD ASVICC'!$A$6:$GN$316,193,FALSE),(VLOOKUP(C268,'BD Comarcal'!$A$6:$AB$17,9,)/VLOOKUP(C268,'BD Comarcal'!$A$6:$AB$17,13,))),"")</f>
        <v>6.0000000000000001E-3</v>
      </c>
      <c r="E268" s="910">
        <f>IFERROR(IF(VLOOKUP(B268,'BD ASVICC'!$A$6:$GN$316,192,FALSE)&gt;0,VLOOKUP(B268,'BD ASVICC'!$A$6:$GN$316,192,FALSE),(VLOOKUP(C268,'BD Comarcal'!$A$6:$AB$17,14,)*F268)),"")</f>
        <v>319</v>
      </c>
      <c r="F268" s="904">
        <f t="shared" si="21"/>
        <v>9.6213394673980365E-3</v>
      </c>
      <c r="G268" s="910">
        <f t="shared" si="23"/>
        <v>1.9140000000000001</v>
      </c>
      <c r="H268" s="910">
        <f>IFERROR(VLOOKUP(B268, base,19,FALSE)*'4. Agricultura PIB'!$K$11/1000000,G268*'4. Agricultura PIB'!$F$54)</f>
        <v>0.75077031269686201</v>
      </c>
      <c r="I268" s="910">
        <f>G268*'4. Agricultura PIB'!$F$45</f>
        <v>0.62989740000000005</v>
      </c>
      <c r="J268" s="952">
        <f>IFERROR((VLOOKUP(B268,base,19,FALSE)*'tecnicecon agric'!$D$65)/1000000,H268/3)</f>
        <v>0.32042399999999999</v>
      </c>
      <c r="K268" s="952">
        <f>IFERROR(VLOOKUP(B268,'cultius resum'!$T$6:$AU$306,22,FALSE)/1000000,0)</f>
        <v>0.22662225</v>
      </c>
      <c r="L268" s="915">
        <f>K268*'A. Dades de partida'!$D$10</f>
        <v>3.3993337499999998</v>
      </c>
      <c r="M268" s="956">
        <f>IFERROR(VLOOKUP(B268,'cultius resum'!$T$6:$AU$308,28,FALSE)/1000000,0)</f>
        <v>2.0502629043993825</v>
      </c>
      <c r="N268" s="955">
        <f>M268*'A. Dades de partida'!$D$10+(((I268-M268)*'A. Dades de partida'!$D$10)/2)</f>
        <v>20.101202282995366</v>
      </c>
      <c r="O268" s="955">
        <f t="shared" si="24"/>
        <v>18.050939378595984</v>
      </c>
      <c r="P268" s="916">
        <f>J268*'A. Dades de partida'!$D$10</f>
        <v>4.8063599999999997</v>
      </c>
      <c r="Q268" s="916">
        <f>J268+J268*'4. Agricultura PIB'!$D$71</f>
        <v>0.41462865599999998</v>
      </c>
      <c r="R268" s="916">
        <f>(((J268-Q268)*'A. Dades de partida'!$D$10)/2)+('A. Dades de partida'!$D$10*Q268)</f>
        <v>5.5128949199999999</v>
      </c>
      <c r="S268" s="916">
        <f t="shared" si="25"/>
        <v>0.70653492000000018</v>
      </c>
    </row>
    <row r="269" spans="1:19">
      <c r="A269" s="835">
        <v>8268</v>
      </c>
      <c r="B269" s="826" t="s">
        <v>1610</v>
      </c>
      <c r="C269" s="319" t="str">
        <f t="shared" si="22"/>
        <v>Berguedà</v>
      </c>
      <c r="D269" s="908">
        <f>IFERROR(IF(VLOOKUP(B269,'BD ASVICC'!$A$6:$GN$316,193,FALSE)&gt;0,VLOOKUP(B269,'BD ASVICC'!$A$6:$GN$316,193,FALSE),(VLOOKUP(C269,'BD Comarcal'!$A$6:$AB$17,9,)/VLOOKUP(C269,'BD Comarcal'!$A$6:$AB$17,13,))),"")</f>
        <v>4.1611624834874503E-2</v>
      </c>
      <c r="E269" s="910">
        <f>IFERROR(IF(VLOOKUP(B269,'BD ASVICC'!$A$6:$GN$316,192,FALSE)&gt;0,VLOOKUP(B269,'BD ASVICC'!$A$6:$GN$316,192,FALSE),(VLOOKUP(C269,'BD Comarcal'!$A$6:$AB$17,14,)*F269)),"")</f>
        <v>24.793539741691767</v>
      </c>
      <c r="F269" s="904">
        <f t="shared" si="21"/>
        <v>3.0195517892694881E-2</v>
      </c>
      <c r="G269" s="910">
        <f t="shared" si="23"/>
        <v>1.0316994740598291</v>
      </c>
      <c r="H269" s="910">
        <f>IFERROR(VLOOKUP(B269, base,19,FALSE)*'4. Agricultura PIB'!$K$11/1000000,G269*'4. Agricultura PIB'!$F$54)</f>
        <v>0.58588594655394355</v>
      </c>
      <c r="I269" s="910">
        <f>G269*'4. Agricultura PIB'!$F$45</f>
        <v>0.33953229691308978</v>
      </c>
      <c r="J269" s="952">
        <f>IFERROR((VLOOKUP(B269,base,19,FALSE)*'tecnicecon agric'!$D$65)/1000000,H269/3)</f>
        <v>0.25005239999999995</v>
      </c>
      <c r="K269" s="952">
        <f>IFERROR(VLOOKUP(B269,'cultius resum'!$T$6:$AU$306,22,FALSE)/1000000,0)</f>
        <v>9.5066666666666667E-3</v>
      </c>
      <c r="L269" s="915">
        <f>K269*'A. Dades de partida'!$D$10</f>
        <v>0.1426</v>
      </c>
      <c r="M269" s="956">
        <f>IFERROR(VLOOKUP(B269,'cultius resum'!$T$6:$AU$308,28,FALSE)/1000000,0)</f>
        <v>8.3111053972846627E-2</v>
      </c>
      <c r="N269" s="955">
        <f>M269*'A. Dades de partida'!$D$10+(((I269-M269)*'A. Dades de partida'!$D$10)/2)</f>
        <v>3.1698251316445232</v>
      </c>
      <c r="O269" s="955">
        <f t="shared" si="24"/>
        <v>3.0867140776716764</v>
      </c>
      <c r="P269" s="916">
        <f>J269*'A. Dades de partida'!$D$10</f>
        <v>3.7507859999999993</v>
      </c>
      <c r="Q269" s="916">
        <f>J269+J269*'4. Agricultura PIB'!$D$71</f>
        <v>0.32356780559999992</v>
      </c>
      <c r="R269" s="916">
        <f>(((J269-Q269)*'A. Dades de partida'!$D$10)/2)+('A. Dades de partida'!$D$10*Q269)</f>
        <v>4.3021515419999989</v>
      </c>
      <c r="S269" s="916">
        <f t="shared" si="25"/>
        <v>0.55136554199999965</v>
      </c>
    </row>
    <row r="270" spans="1:19">
      <c r="A270" s="835">
        <v>8269</v>
      </c>
      <c r="B270" s="826" t="s">
        <v>1614</v>
      </c>
      <c r="C270" s="319" t="str">
        <f t="shared" si="22"/>
        <v>Osona</v>
      </c>
      <c r="D270" s="908">
        <f>IFERROR(IF(VLOOKUP(B270,'BD ASVICC'!$A$6:$GN$316,193,FALSE)&gt;0,VLOOKUP(B270,'BD ASVICC'!$A$6:$GN$316,193,FALSE),(VLOOKUP(C270,'BD Comarcal'!$A$6:$AB$17,9,)/VLOOKUP(C270,'BD Comarcal'!$A$6:$AB$17,13,))),"")</f>
        <v>1.2999999999999999E-2</v>
      </c>
      <c r="E270" s="910">
        <f>IFERROR(IF(VLOOKUP(B270,'BD ASVICC'!$A$6:$GN$316,192,FALSE)&gt;0,VLOOKUP(B270,'BD ASVICC'!$A$6:$GN$316,192,FALSE),(VLOOKUP(C270,'BD Comarcal'!$A$6:$AB$17,14,)*F270)),"")</f>
        <v>90.316325389839434</v>
      </c>
      <c r="F270" s="904">
        <f t="shared" si="21"/>
        <v>2.2140695575073407E-2</v>
      </c>
      <c r="G270" s="910">
        <f t="shared" si="23"/>
        <v>1.1741122300679125</v>
      </c>
      <c r="H270" s="910">
        <f>IFERROR(VLOOKUP(B270, base,19,FALSE)*'4. Agricultura PIB'!$K$11/1000000,G270*'4. Agricultura PIB'!$F$54)</f>
        <v>1.2625295701490902</v>
      </c>
      <c r="I270" s="910">
        <f>G270*'4. Agricultura PIB'!$F$45</f>
        <v>0.38640033491535003</v>
      </c>
      <c r="J270" s="952">
        <f>IFERROR((VLOOKUP(B270,base,19,FALSE)*'tecnicecon agric'!$D$65)/1000000,H270/3)</f>
        <v>0.53883959999999997</v>
      </c>
      <c r="K270" s="952">
        <f>IFERROR(VLOOKUP(B270,'cultius resum'!$T$6:$AU$306,22,FALSE)/1000000,0)</f>
        <v>0.29003187499999999</v>
      </c>
      <c r="L270" s="915">
        <f>K270*'A. Dades de partida'!$D$10</f>
        <v>4.3504781249999995</v>
      </c>
      <c r="M270" s="956">
        <f>IFERROR(VLOOKUP(B270,'cultius resum'!$T$6:$AU$308,28,FALSE)/1000000,0)</f>
        <v>2.7219851096276111</v>
      </c>
      <c r="N270" s="955">
        <f>M270*'A. Dades de partida'!$D$10+(((I270-M270)*'A. Dades de partida'!$D$10)/2)</f>
        <v>23.31289083407221</v>
      </c>
      <c r="O270" s="955">
        <f t="shared" si="24"/>
        <v>20.5909057244446</v>
      </c>
      <c r="P270" s="916">
        <f>J270*'A. Dades de partida'!$D$10</f>
        <v>8.0825940000000003</v>
      </c>
      <c r="Q270" s="916">
        <f>J270+J270*'4. Agricultura PIB'!$D$71</f>
        <v>0.6972584423999999</v>
      </c>
      <c r="R270" s="916">
        <f>(((J270-Q270)*'A. Dades de partida'!$D$10)/2)+('A. Dades de partida'!$D$10*Q270)</f>
        <v>9.2707353179999998</v>
      </c>
      <c r="S270" s="916">
        <f t="shared" si="25"/>
        <v>1.1881413179999996</v>
      </c>
    </row>
    <row r="271" spans="1:19">
      <c r="A271" s="835">
        <v>8270</v>
      </c>
      <c r="B271" s="826" t="s">
        <v>356</v>
      </c>
      <c r="C271" s="319" t="str">
        <f t="shared" si="22"/>
        <v>Garraf</v>
      </c>
      <c r="D271" s="908">
        <f>IFERROR(IF(VLOOKUP(B271,'BD ASVICC'!$A$6:$GN$316,193,FALSE)&gt;0,VLOOKUP(B271,'BD ASVICC'!$A$6:$GN$316,193,FALSE),(VLOOKUP(C271,'BD Comarcal'!$A$6:$AB$17,9,)/VLOOKUP(C271,'BD Comarcal'!$A$6:$AB$17,13,))),"")</f>
        <v>6.2881618518180991E-3</v>
      </c>
      <c r="E271" s="910">
        <f>IFERROR(IF(VLOOKUP(B271,'BD ASVICC'!$A$6:$GN$316,192,FALSE)&gt;0,VLOOKUP(B271,'BD ASVICC'!$A$6:$GN$316,192,FALSE),(VLOOKUP(C271,'BD Comarcal'!$A$6:$AB$17,14,)*F271)),"")</f>
        <v>595</v>
      </c>
      <c r="F271" s="904">
        <f t="shared" si="21"/>
        <v>0.1938914458454751</v>
      </c>
      <c r="G271" s="910">
        <f t="shared" si="23"/>
        <v>3.7414563018317688</v>
      </c>
      <c r="H271" s="910">
        <f>IFERROR(VLOOKUP(B271, base,19,FALSE)*'4. Agricultura PIB'!$K$11/1000000,G271*'4. Agricultura PIB'!$F$54)</f>
        <v>2.3758554199267787E-2</v>
      </c>
      <c r="I271" s="910">
        <f>G271*'4. Agricultura PIB'!$F$45</f>
        <v>1.2313132689328352</v>
      </c>
      <c r="J271" s="952">
        <f>IFERROR((VLOOKUP(B271,base,19,FALSE)*'tecnicecon agric'!$D$65)/1000000,H271/3)</f>
        <v>1.014E-2</v>
      </c>
      <c r="K271" s="952">
        <f>IFERROR(VLOOKUP(B271,'cultius resum'!$T$6:$AU$306,22,FALSE)/1000000,0)</f>
        <v>1.7766291666666663E-2</v>
      </c>
      <c r="L271" s="915">
        <f>K271*'A. Dades de partida'!$D$10</f>
        <v>0.26649437499999995</v>
      </c>
      <c r="M271" s="956">
        <f>IFERROR(VLOOKUP(B271,'cultius resum'!$T$6:$AU$308,28,FALSE)/1000000,0)</f>
        <v>0.16222409764392229</v>
      </c>
      <c r="N271" s="955">
        <f>M271*'A. Dades de partida'!$D$10+(((I271-M271)*'A. Dades de partida'!$D$10)/2)</f>
        <v>10.451530249325682</v>
      </c>
      <c r="O271" s="955">
        <f t="shared" si="24"/>
        <v>10.28930615168176</v>
      </c>
      <c r="P271" s="916">
        <f>J271*'A. Dades de partida'!$D$10</f>
        <v>0.15209999999999999</v>
      </c>
      <c r="Q271" s="916">
        <f>J271+J271*'4. Agricultura PIB'!$D$71</f>
        <v>1.312116E-2</v>
      </c>
      <c r="R271" s="916">
        <f>(((J271-Q271)*'A. Dades de partida'!$D$10)/2)+('A. Dades de partida'!$D$10*Q271)</f>
        <v>0.17445869999999999</v>
      </c>
      <c r="S271" s="916">
        <f t="shared" si="25"/>
        <v>2.2358700000000009E-2</v>
      </c>
    </row>
    <row r="272" spans="1:19">
      <c r="A272" s="835">
        <v>8271</v>
      </c>
      <c r="B272" s="826" t="s">
        <v>1621</v>
      </c>
      <c r="C272" s="319" t="str">
        <f t="shared" si="22"/>
        <v>Osona</v>
      </c>
      <c r="D272" s="908">
        <f>IFERROR(IF(VLOOKUP(B272,'BD ASVICC'!$A$6:$GN$316,193,FALSE)&gt;0,VLOOKUP(B272,'BD ASVICC'!$A$6:$GN$316,193,FALSE),(VLOOKUP(C272,'BD Comarcal'!$A$6:$AB$17,9,)/VLOOKUP(C272,'BD Comarcal'!$A$6:$AB$17,13,))),"")</f>
        <v>1.8400340353116357E-2</v>
      </c>
      <c r="E272" s="910">
        <f>IFERROR(IF(VLOOKUP(B272,'BD ASVICC'!$A$6:$GN$316,192,FALSE)&gt;0,VLOOKUP(B272,'BD ASVICC'!$A$6:$GN$316,192,FALSE),(VLOOKUP(C272,'BD Comarcal'!$A$6:$AB$17,14,)*F272)),"")</f>
        <v>2.175349682924165</v>
      </c>
      <c r="F272" s="904">
        <f t="shared" si="21"/>
        <v>5.3327850630617893E-4</v>
      </c>
      <c r="G272" s="910">
        <f t="shared" si="23"/>
        <v>4.0027174552848384E-2</v>
      </c>
      <c r="H272" s="910">
        <f>IFERROR(VLOOKUP(B272, base,19,FALSE)*'4. Agricultura PIB'!$K$11/1000000,G272*'4. Agricultura PIB'!$F$54)</f>
        <v>9.1708019209173652E-2</v>
      </c>
      <c r="I272" s="910">
        <f>G272*'4. Agricultura PIB'!$F$45</f>
        <v>1.3172943145342403E-2</v>
      </c>
      <c r="J272" s="952">
        <f>IFERROR((VLOOKUP(B272,base,19,FALSE)*'tecnicecon agric'!$D$65)/1000000,H272/3)</f>
        <v>3.9140399999999992E-2</v>
      </c>
      <c r="K272" s="952">
        <f>IFERROR(VLOOKUP(B272,'cultius resum'!$T$6:$AU$306,22,FALSE)/1000000,0)</f>
        <v>5.5138666666666662E-2</v>
      </c>
      <c r="L272" s="915">
        <f>K272*'A. Dades de partida'!$D$10</f>
        <v>0.82707999999999993</v>
      </c>
      <c r="M272" s="956">
        <f>IFERROR(VLOOKUP(B272,'cultius resum'!$T$6:$AU$308,28,FALSE)/1000000,0)</f>
        <v>0.48204411304251049</v>
      </c>
      <c r="N272" s="955">
        <f>M272*'A. Dades de partida'!$D$10+(((I272-M272)*'A. Dades de partida'!$D$10)/2)</f>
        <v>3.7141279214088967</v>
      </c>
      <c r="O272" s="955">
        <f t="shared" si="24"/>
        <v>3.2320838083663861</v>
      </c>
      <c r="P272" s="916">
        <f>J272*'A. Dades de partida'!$D$10</f>
        <v>0.58710599999999991</v>
      </c>
      <c r="Q272" s="916">
        <f>J272+J272*'4. Agricultura PIB'!$D$71</f>
        <v>5.0647677599999989E-2</v>
      </c>
      <c r="R272" s="916">
        <f>(((J272-Q272)*'A. Dades de partida'!$D$10)/2)+('A. Dades de partida'!$D$10*Q272)</f>
        <v>0.67341058199999981</v>
      </c>
      <c r="S272" s="916">
        <f t="shared" si="25"/>
        <v>8.6304581999999908E-2</v>
      </c>
    </row>
    <row r="273" spans="1:19">
      <c r="A273" s="835">
        <v>8272</v>
      </c>
      <c r="B273" s="826" t="s">
        <v>1625</v>
      </c>
      <c r="C273" s="319" t="str">
        <f t="shared" si="22"/>
        <v>Osona</v>
      </c>
      <c r="D273" s="908">
        <f>IFERROR(IF(VLOOKUP(B273,'BD ASVICC'!$A$6:$GN$316,193,FALSE)&gt;0,VLOOKUP(B273,'BD ASVICC'!$A$6:$GN$316,193,FALSE),(VLOOKUP(C273,'BD Comarcal'!$A$6:$AB$17,9,)/VLOOKUP(C273,'BD Comarcal'!$A$6:$AB$17,13,))),"")</f>
        <v>1.8400340353116357E-2</v>
      </c>
      <c r="E273" s="910">
        <f>IFERROR(IF(VLOOKUP(B273,'BD ASVICC'!$A$6:$GN$316,192,FALSE)&gt;0,VLOOKUP(B273,'BD ASVICC'!$A$6:$GN$316,192,FALSE),(VLOOKUP(C273,'BD Comarcal'!$A$6:$AB$17,14,)*F273)),"")</f>
        <v>4.9535071093092435</v>
      </c>
      <c r="F273" s="904">
        <f t="shared" si="21"/>
        <v>1.2143329842393715E-3</v>
      </c>
      <c r="G273" s="910">
        <f t="shared" si="23"/>
        <v>9.1146216752871628E-2</v>
      </c>
      <c r="H273" s="910">
        <f>IFERROR(VLOOKUP(B273, base,19,FALSE)*'4. Agricultura PIB'!$K$11/1000000,G273*'4. Agricultura PIB'!$F$54)</f>
        <v>2.4457055692726257</v>
      </c>
      <c r="I273" s="910">
        <f>G273*'4. Agricultura PIB'!$F$45</f>
        <v>2.9996219933370052E-2</v>
      </c>
      <c r="J273" s="952">
        <f>IFERROR((VLOOKUP(B273,base,19,FALSE)*'tecnicecon agric'!$D$65)/1000000,H273/3)</f>
        <v>1.0438116</v>
      </c>
      <c r="K273" s="952">
        <f>IFERROR(VLOOKUP(B273,'cultius resum'!$T$6:$AU$306,22,FALSE)/1000000,0)</f>
        <v>0.20724533333333331</v>
      </c>
      <c r="L273" s="915">
        <f>K273*'A. Dades de partida'!$D$10</f>
        <v>3.1086799999999997</v>
      </c>
      <c r="M273" s="956">
        <f>IFERROR(VLOOKUP(B273,'cultius resum'!$T$6:$AU$308,28,FALSE)/1000000,0)</f>
        <v>1.8118209766080566</v>
      </c>
      <c r="N273" s="955">
        <f>M273*'A. Dades de partida'!$D$10+(((I273-M273)*'A. Dades de partida'!$D$10)/2)</f>
        <v>13.8136289740607</v>
      </c>
      <c r="O273" s="955">
        <f t="shared" si="24"/>
        <v>12.001807997452644</v>
      </c>
      <c r="P273" s="916">
        <f>J273*'A. Dades de partida'!$D$10</f>
        <v>15.657173999999999</v>
      </c>
      <c r="Q273" s="916">
        <f>J273+J273*'4. Agricultura PIB'!$D$71</f>
        <v>1.3506922103999999</v>
      </c>
      <c r="R273" s="916">
        <f>(((J273-Q273)*'A. Dades de partida'!$D$10)/2)+('A. Dades de partida'!$D$10*Q273)</f>
        <v>17.958778578</v>
      </c>
      <c r="S273" s="916">
        <f t="shared" si="25"/>
        <v>2.301604578000001</v>
      </c>
    </row>
    <row r="274" spans="1:19">
      <c r="A274" s="835">
        <v>8273</v>
      </c>
      <c r="B274" s="826" t="s">
        <v>1627</v>
      </c>
      <c r="C274" s="319" t="str">
        <f t="shared" si="22"/>
        <v>Alt Penedès</v>
      </c>
      <c r="D274" s="908">
        <f>IFERROR(IF(VLOOKUP(B274,'BD ASVICC'!$A$6:$GN$316,193,FALSE)&gt;0,VLOOKUP(B274,'BD ASVICC'!$A$6:$GN$316,193,FALSE),(VLOOKUP(C274,'BD Comarcal'!$A$6:$AB$17,9,)/VLOOKUP(C274,'BD Comarcal'!$A$6:$AB$17,13,))),"")</f>
        <v>1.0966842723004694E-2</v>
      </c>
      <c r="E274" s="910">
        <f>IFERROR(IF(VLOOKUP(B274,'BD ASVICC'!$A$6:$GN$316,192,FALSE)&gt;0,VLOOKUP(B274,'BD ASVICC'!$A$6:$GN$316,192,FALSE),(VLOOKUP(C274,'BD Comarcal'!$A$6:$AB$17,14,)*F274)),"")</f>
        <v>83.394292166549036</v>
      </c>
      <c r="F274" s="904">
        <f t="shared" si="21"/>
        <v>2.8200423429781227E-2</v>
      </c>
      <c r="G274" s="910">
        <f t="shared" si="23"/>
        <v>0.9145720861868456</v>
      </c>
      <c r="H274" s="910">
        <f>IFERROR(VLOOKUP(B274, base,19,FALSE)*'4. Agricultura PIB'!$K$11/1000000,G274*'4. Agricultura PIB'!$F$54)</f>
        <v>0.70562905971825318</v>
      </c>
      <c r="I274" s="910">
        <f>G274*'4. Agricultura PIB'!$F$45</f>
        <v>0.30098567356409089</v>
      </c>
      <c r="J274" s="952">
        <f>IFERROR((VLOOKUP(B274,base,19,FALSE)*'tecnicecon agric'!$D$65)/1000000,H274/3)</f>
        <v>0.30115799999999998</v>
      </c>
      <c r="K274" s="952">
        <f>IFERROR(VLOOKUP(B274,'cultius resum'!$T$6:$AU$306,22,FALSE)/1000000,0)</f>
        <v>5.1576499999999997E-2</v>
      </c>
      <c r="L274" s="915">
        <f>K274*'A. Dades de partida'!$D$10</f>
        <v>0.77364749999999993</v>
      </c>
      <c r="M274" s="956">
        <f>IFERROR(VLOOKUP(B274,'cultius resum'!$T$6:$AU$308,28,FALSE)/1000000,0)</f>
        <v>0.47851872993135341</v>
      </c>
      <c r="N274" s="955">
        <f>M274*'A. Dades de partida'!$D$10+(((I274-M274)*'A. Dades de partida'!$D$10)/2)</f>
        <v>5.8462830262158318</v>
      </c>
      <c r="O274" s="955">
        <f t="shared" si="24"/>
        <v>5.367764296284478</v>
      </c>
      <c r="P274" s="916">
        <f>J274*'A. Dades de partida'!$D$10</f>
        <v>4.5173699999999997</v>
      </c>
      <c r="Q274" s="916">
        <f>J274+J274*'4. Agricultura PIB'!$D$71</f>
        <v>0.38969845199999997</v>
      </c>
      <c r="R274" s="916">
        <f>(((J274-Q274)*'A. Dades de partida'!$D$10)/2)+('A. Dades de partida'!$D$10*Q274)</f>
        <v>5.1814233899999991</v>
      </c>
      <c r="S274" s="916">
        <f t="shared" si="25"/>
        <v>0.66405338999999941</v>
      </c>
    </row>
    <row r="275" spans="1:19">
      <c r="A275" s="835">
        <v>8274</v>
      </c>
      <c r="B275" s="826" t="s">
        <v>1631</v>
      </c>
      <c r="C275" s="319" t="str">
        <f t="shared" si="22"/>
        <v>Bages</v>
      </c>
      <c r="D275" s="908">
        <f>IFERROR(IF(VLOOKUP(B275,'BD ASVICC'!$A$6:$GN$316,193,FALSE)&gt;0,VLOOKUP(B275,'BD ASVICC'!$A$6:$GN$316,193,FALSE),(VLOOKUP(C275,'BD Comarcal'!$A$6:$AB$17,9,)/VLOOKUP(C275,'BD Comarcal'!$A$6:$AB$17,13,))),"")</f>
        <v>6.0000000000000001E-3</v>
      </c>
      <c r="E275" s="910">
        <f>IFERROR(IF(VLOOKUP(B275,'BD ASVICC'!$A$6:$GN$316,192,FALSE)&gt;0,VLOOKUP(B275,'BD ASVICC'!$A$6:$GN$316,192,FALSE),(VLOOKUP(C275,'BD Comarcal'!$A$6:$AB$17,14,)*F275)),"")</f>
        <v>134</v>
      </c>
      <c r="F275" s="904">
        <f t="shared" si="21"/>
        <v>3.3679127886639029E-2</v>
      </c>
      <c r="G275" s="910">
        <f t="shared" si="23"/>
        <v>0.80400000000000005</v>
      </c>
      <c r="H275" s="910">
        <f>IFERROR(VLOOKUP(B275, base,19,FALSE)*'4. Agricultura PIB'!$K$11/1000000,G275*'4. Agricultura PIB'!$F$54)</f>
        <v>0.75362133920077423</v>
      </c>
      <c r="I275" s="910">
        <f>G275*'4. Agricultura PIB'!$F$45</f>
        <v>0.26459640000000001</v>
      </c>
      <c r="J275" s="952">
        <f>IFERROR((VLOOKUP(B275,base,19,FALSE)*'tecnicecon agric'!$D$65)/1000000,H275/3)</f>
        <v>0.3216408</v>
      </c>
      <c r="K275" s="952">
        <f>IFERROR(VLOOKUP(B275,'cultius resum'!$T$6:$AU$306,22,FALSE)/1000000,0)</f>
        <v>0.10654754166666666</v>
      </c>
      <c r="L275" s="915">
        <f>K275*'A. Dades de partida'!$D$10</f>
        <v>1.598213125</v>
      </c>
      <c r="M275" s="956">
        <f>IFERROR(VLOOKUP(B275,'cultius resum'!$T$6:$AU$308,28,FALSE)/1000000,0)</f>
        <v>1.0626592436943496</v>
      </c>
      <c r="N275" s="955">
        <f>M275*'A. Dades de partida'!$D$10+(((I275-M275)*'A. Dades de partida'!$D$10)/2)</f>
        <v>9.9544173277076222</v>
      </c>
      <c r="O275" s="955">
        <f t="shared" si="24"/>
        <v>8.8917580840132722</v>
      </c>
      <c r="P275" s="916">
        <f>J275*'A. Dades de partida'!$D$10</f>
        <v>4.8246120000000001</v>
      </c>
      <c r="Q275" s="916">
        <f>J275+J275*'4. Agricultura PIB'!$D$71</f>
        <v>0.41620319519999999</v>
      </c>
      <c r="R275" s="916">
        <f>(((J275-Q275)*'A. Dades de partida'!$D$10)/2)+('A. Dades de partida'!$D$10*Q275)</f>
        <v>5.5338299640000006</v>
      </c>
      <c r="S275" s="916">
        <f t="shared" si="25"/>
        <v>0.70921796400000048</v>
      </c>
    </row>
    <row r="276" spans="1:19">
      <c r="A276" s="835">
        <v>8275</v>
      </c>
      <c r="B276" s="826" t="s">
        <v>1634</v>
      </c>
      <c r="C276" s="319" t="str">
        <f t="shared" si="22"/>
        <v>Osona</v>
      </c>
      <c r="D276" s="908">
        <f>IFERROR(IF(VLOOKUP(B276,'BD ASVICC'!$A$6:$GN$316,193,FALSE)&gt;0,VLOOKUP(B276,'BD ASVICC'!$A$6:$GN$316,193,FALSE),(VLOOKUP(C276,'BD Comarcal'!$A$6:$AB$17,9,)/VLOOKUP(C276,'BD Comarcal'!$A$6:$AB$17,13,))),"")</f>
        <v>1.8400340353116357E-2</v>
      </c>
      <c r="E276" s="910">
        <f>IFERROR(IF(VLOOKUP(B276,'BD ASVICC'!$A$6:$GN$316,192,FALSE)&gt;0,VLOOKUP(B276,'BD ASVICC'!$A$6:$GN$316,192,FALSE),(VLOOKUP(C276,'BD Comarcal'!$A$6:$AB$17,14,)*F276)),"")</f>
        <v>8.3344722791552357</v>
      </c>
      <c r="F276" s="904">
        <f t="shared" si="21"/>
        <v>2.0431634337995772E-3</v>
      </c>
      <c r="G276" s="910">
        <f t="shared" si="23"/>
        <v>0.15335712660006973</v>
      </c>
      <c r="H276" s="910">
        <f>IFERROR(VLOOKUP(B276, base,19,FALSE)*'4. Agricultura PIB'!$K$11/1000000,G276*'4. Agricultura PIB'!$F$54)</f>
        <v>0.89522232222841014</v>
      </c>
      <c r="I276" s="910">
        <f>G276*'4. Agricultura PIB'!$F$45</f>
        <v>5.0469830364082945E-2</v>
      </c>
      <c r="J276" s="952">
        <f>IFERROR((VLOOKUP(B276,base,19,FALSE)*'tecnicecon agric'!$D$65)/1000000,H276/3)</f>
        <v>0.38207519999999995</v>
      </c>
      <c r="K276" s="952">
        <f>IFERROR(VLOOKUP(B276,'cultius resum'!$T$6:$AU$306,22,FALSE)/1000000,0)</f>
        <v>0.15793375000000001</v>
      </c>
      <c r="L276" s="915">
        <f>K276*'A. Dades de partida'!$D$10</f>
        <v>2.36900625</v>
      </c>
      <c r="M276" s="956">
        <f>IFERROR(VLOOKUP(B276,'cultius resum'!$T$6:$AU$308,28,FALSE)/1000000,0)</f>
        <v>1.4221442773169053</v>
      </c>
      <c r="N276" s="955">
        <f>M276*'A. Dades de partida'!$D$10+(((I276-M276)*'A. Dades de partida'!$D$10)/2)</f>
        <v>11.044605807607411</v>
      </c>
      <c r="O276" s="955">
        <f t="shared" si="24"/>
        <v>9.6224615302905061</v>
      </c>
      <c r="P276" s="916">
        <f>J276*'A. Dades de partida'!$D$10</f>
        <v>5.7311279999999991</v>
      </c>
      <c r="Q276" s="916">
        <f>J276+J276*'4. Agricultura PIB'!$D$71</f>
        <v>0.49440530879999994</v>
      </c>
      <c r="R276" s="916">
        <f>(((J276-Q276)*'A. Dades de partida'!$D$10)/2)+('A. Dades de partida'!$D$10*Q276)</f>
        <v>6.5736038159999985</v>
      </c>
      <c r="S276" s="916">
        <f t="shared" si="25"/>
        <v>0.84247581599999943</v>
      </c>
    </row>
    <row r="277" spans="1:19">
      <c r="A277" s="835">
        <v>8276</v>
      </c>
      <c r="B277" s="826" t="s">
        <v>1636</v>
      </c>
      <c r="C277" s="319" t="str">
        <f t="shared" si="22"/>
        <v>Vallès Oriental</v>
      </c>
      <c r="D277" s="908">
        <f>IFERROR(IF(VLOOKUP(B277,'BD ASVICC'!$A$6:$GN$316,193,FALSE)&gt;0,VLOOKUP(B277,'BD ASVICC'!$A$6:$GN$316,193,FALSE),(VLOOKUP(C277,'BD Comarcal'!$A$6:$AB$17,9,)/VLOOKUP(C277,'BD Comarcal'!$A$6:$AB$17,13,))),"")</f>
        <v>3.6614258022830064E-3</v>
      </c>
      <c r="E277" s="910">
        <f>IFERROR(IF(VLOOKUP(B277,'BD ASVICC'!$A$6:$GN$316,192,FALSE)&gt;0,VLOOKUP(B277,'BD ASVICC'!$A$6:$GN$316,192,FALSE),(VLOOKUP(C277,'BD Comarcal'!$A$6:$AB$17,14,)*F277)),"")</f>
        <v>8.7234670028753811</v>
      </c>
      <c r="F277" s="904">
        <f t="shared" si="21"/>
        <v>7.8736625986076578E-4</v>
      </c>
      <c r="G277" s="910">
        <f t="shared" si="23"/>
        <v>3.1940327169692327E-2</v>
      </c>
      <c r="H277" s="910">
        <f>IFERROR(VLOOKUP(B277, base,19,FALSE)*'4. Agricultura PIB'!$K$11/1000000,G277*'4. Agricultura PIB'!$F$54)</f>
        <v>7.460186018570085E-2</v>
      </c>
      <c r="I277" s="910">
        <f>G277*'4. Agricultura PIB'!$F$45</f>
        <v>1.0511561671545745E-2</v>
      </c>
      <c r="J277" s="952">
        <f>IFERROR((VLOOKUP(B277,base,19,FALSE)*'tecnicecon agric'!$D$65)/1000000,H277/3)</f>
        <v>3.1839599999999996E-2</v>
      </c>
      <c r="K277" s="952">
        <f>IFERROR(VLOOKUP(B277,'cultius resum'!$T$6:$AU$306,22,FALSE)/1000000,0)</f>
        <v>1.426E-3</v>
      </c>
      <c r="L277" s="915">
        <f>K277*'A. Dades de partida'!$D$10</f>
        <v>2.1389999999999999E-2</v>
      </c>
      <c r="M277" s="956">
        <f>IFERROR(VLOOKUP(B277,'cultius resum'!$T$6:$AU$308,28,FALSE)/1000000,0)</f>
        <v>1.2466658095926996E-2</v>
      </c>
      <c r="N277" s="955">
        <f>M277*'A. Dades de partida'!$D$10+(((I277-M277)*'A. Dades de partida'!$D$10)/2)</f>
        <v>0.17233664825604555</v>
      </c>
      <c r="O277" s="955">
        <f t="shared" si="24"/>
        <v>0.15986999016011855</v>
      </c>
      <c r="P277" s="916">
        <f>J277*'A. Dades de partida'!$D$10</f>
        <v>0.47759399999999996</v>
      </c>
      <c r="Q277" s="916">
        <f>J277+J277*'4. Agricultura PIB'!$D$71</f>
        <v>4.1200442399999995E-2</v>
      </c>
      <c r="R277" s="916">
        <f>(((J277-Q277)*'A. Dades de partida'!$D$10)/2)+('A. Dades de partida'!$D$10*Q277)</f>
        <v>0.54780031799999995</v>
      </c>
      <c r="S277" s="916">
        <f t="shared" si="25"/>
        <v>7.020631799999999E-2</v>
      </c>
    </row>
    <row r="278" spans="1:19">
      <c r="A278" s="835">
        <v>8277</v>
      </c>
      <c r="B278" s="826" t="s">
        <v>1639</v>
      </c>
      <c r="C278" s="319" t="str">
        <f t="shared" si="22"/>
        <v>Bages</v>
      </c>
      <c r="D278" s="908">
        <f>IFERROR(IF(VLOOKUP(B278,'BD ASVICC'!$A$6:$GN$316,193,FALSE)&gt;0,VLOOKUP(B278,'BD ASVICC'!$A$6:$GN$316,193,FALSE),(VLOOKUP(C278,'BD Comarcal'!$A$6:$AB$17,9,)/VLOOKUP(C278,'BD Comarcal'!$A$6:$AB$17,13,))),"")</f>
        <v>9.2529216416964537E-3</v>
      </c>
      <c r="E278" s="910">
        <f>IFERROR(IF(VLOOKUP(B278,'BD ASVICC'!$A$6:$GN$316,192,FALSE)&gt;0,VLOOKUP(B278,'BD ASVICC'!$A$6:$GN$316,192,FALSE),(VLOOKUP(C278,'BD Comarcal'!$A$6:$AB$17,14,)*F278)),"")</f>
        <v>4.5637896330448839</v>
      </c>
      <c r="F278" s="904">
        <f t="shared" ref="F278:F314" si="26">VLOOKUP(B278,base,24,FALSE)/VLOOKUP(C278,basec,26,FALSE)</f>
        <v>1.0666299654205447E-3</v>
      </c>
      <c r="G278" s="910">
        <f t="shared" si="23"/>
        <v>4.2228387863750924E-2</v>
      </c>
      <c r="H278" s="910">
        <f>IFERROR(VLOOKUP(B278, base,19,FALSE)*'4. Agricultura PIB'!$K$11/1000000,G278*'4. Agricultura PIB'!$F$54)</f>
        <v>2.7486457660515478E-2</v>
      </c>
      <c r="I278" s="910">
        <f>G278*'4. Agricultura PIB'!$F$45</f>
        <v>1.389736244596043E-2</v>
      </c>
      <c r="J278" s="952">
        <f>IFERROR((VLOOKUP(B278,base,19,FALSE)*'tecnicecon agric'!$D$65)/1000000,H278/3)</f>
        <v>9.1621525535051599E-3</v>
      </c>
      <c r="K278" s="952">
        <f>IFERROR(VLOOKUP(B278,'cultius resum'!$T$6:$AU$306,22,FALSE)/1000000,0)</f>
        <v>4.2304666666666664E-2</v>
      </c>
      <c r="L278" s="915">
        <f>K278*'A. Dades de partida'!$D$10</f>
        <v>0.63456999999999997</v>
      </c>
      <c r="M278" s="956">
        <f>IFERROR(VLOOKUP(B278,'cultius resum'!$T$6:$AU$308,28,FALSE)/1000000,0)</f>
        <v>0.36984419017916748</v>
      </c>
      <c r="N278" s="955">
        <f>M278*'A. Dades de partida'!$D$10+(((I278-M278)*'A. Dades de partida'!$D$10)/2)</f>
        <v>2.8780616446884593</v>
      </c>
      <c r="O278" s="955">
        <f t="shared" si="24"/>
        <v>2.5082174545092917</v>
      </c>
      <c r="P278" s="916">
        <f>J278*'A. Dades de partida'!$D$10</f>
        <v>0.13743228830257739</v>
      </c>
      <c r="Q278" s="916">
        <f>J278+J278*'4. Agricultura PIB'!$D$71</f>
        <v>1.1855825404235677E-2</v>
      </c>
      <c r="R278" s="916">
        <f>(((J278-Q278)*'A. Dades de partida'!$D$10)/2)+('A. Dades de partida'!$D$10*Q278)</f>
        <v>0.15763483468305625</v>
      </c>
      <c r="S278" s="916">
        <f t="shared" si="25"/>
        <v>2.0202546380478859E-2</v>
      </c>
    </row>
    <row r="279" spans="1:19">
      <c r="A279" s="835">
        <v>8278</v>
      </c>
      <c r="B279" s="826" t="s">
        <v>1641</v>
      </c>
      <c r="C279" s="319" t="str">
        <f t="shared" si="22"/>
        <v>Osona</v>
      </c>
      <c r="D279" s="908">
        <f>IFERROR(IF(VLOOKUP(B279,'BD ASVICC'!$A$6:$GN$316,193,FALSE)&gt;0,VLOOKUP(B279,'BD ASVICC'!$A$6:$GN$316,193,FALSE),(VLOOKUP(C279,'BD Comarcal'!$A$6:$AB$17,9,)/VLOOKUP(C279,'BD Comarcal'!$A$6:$AB$17,13,))),"")</f>
        <v>3.1E-2</v>
      </c>
      <c r="E279" s="910">
        <f>IFERROR(IF(VLOOKUP(B279,'BD ASVICC'!$A$6:$GN$316,192,FALSE)&gt;0,VLOOKUP(B279,'BD ASVICC'!$A$6:$GN$316,192,FALSE),(VLOOKUP(C279,'BD Comarcal'!$A$6:$AB$17,14,)*F279)),"")</f>
        <v>101</v>
      </c>
      <c r="F279" s="904">
        <f t="shared" si="26"/>
        <v>4.0612692028450088E-2</v>
      </c>
      <c r="G279" s="910">
        <f t="shared" si="23"/>
        <v>3.1309999999999998</v>
      </c>
      <c r="H279" s="910">
        <f>IFERROR(VLOOKUP(B279, base,19,FALSE)*'4. Agricultura PIB'!$K$11/1000000,G279*'4. Agricultura PIB'!$F$54)</f>
        <v>3.5609321033862558</v>
      </c>
      <c r="I279" s="910">
        <f>G279*'4. Agricultura PIB'!$F$45</f>
        <v>1.0304120999999999</v>
      </c>
      <c r="J279" s="952">
        <f>IFERROR((VLOOKUP(B279,base,19,FALSE)*'tecnicecon agric'!$D$65)/1000000,H279/3)</f>
        <v>1.5197832</v>
      </c>
      <c r="K279" s="952">
        <f>IFERROR(VLOOKUP(B279,'cultius resum'!$T$6:$AU$306,22,FALSE)/1000000,0)</f>
        <v>0.40569983333333332</v>
      </c>
      <c r="L279" s="915">
        <f>K279*'A. Dades de partida'!$D$10</f>
        <v>6.0854974999999998</v>
      </c>
      <c r="M279" s="956">
        <f>IFERROR(VLOOKUP(B279,'cultius resum'!$T$6:$AU$308,28,FALSE)/1000000,0)</f>
        <v>3.5744054904198905</v>
      </c>
      <c r="N279" s="955">
        <f>M279*'A. Dades de partida'!$D$10+(((I279-M279)*'A. Dades de partida'!$D$10)/2)</f>
        <v>34.536131928149175</v>
      </c>
      <c r="O279" s="955">
        <f t="shared" si="24"/>
        <v>30.961726437729283</v>
      </c>
      <c r="P279" s="916">
        <f>J279*'A. Dades de partida'!$D$10</f>
        <v>22.796748000000001</v>
      </c>
      <c r="Q279" s="916">
        <f>J279+J279*'4. Agricultura PIB'!$D$71</f>
        <v>1.9665994607999999</v>
      </c>
      <c r="R279" s="916">
        <f>(((J279-Q279)*'A. Dades de partida'!$D$10)/2)+('A. Dades de partida'!$D$10*Q279)</f>
        <v>26.147869955999997</v>
      </c>
      <c r="S279" s="916">
        <f t="shared" si="25"/>
        <v>3.3511219559999965</v>
      </c>
    </row>
    <row r="280" spans="1:19">
      <c r="A280" s="835">
        <v>8279</v>
      </c>
      <c r="B280" s="826" t="s">
        <v>967</v>
      </c>
      <c r="C280" s="319" t="str">
        <f t="shared" si="22"/>
        <v>Vallès Occidental</v>
      </c>
      <c r="D280" s="908">
        <f>IFERROR(IF(VLOOKUP(B280,'BD ASVICC'!$A$6:$GN$316,193,FALSE)&gt;0,VLOOKUP(B280,'BD ASVICC'!$A$6:$GN$316,193,FALSE),(VLOOKUP(C280,'BD Comarcal'!$A$6:$AB$17,9,)/VLOOKUP(C280,'BD Comarcal'!$A$6:$AB$17,13,))),"")</f>
        <v>3.6775782925402761E-4</v>
      </c>
      <c r="E280" s="910">
        <f>IFERROR(IF(VLOOKUP(B280,'BD ASVICC'!$A$6:$GN$316,192,FALSE)&gt;0,VLOOKUP(B280,'BD ASVICC'!$A$6:$GN$316,192,FALSE),(VLOOKUP(C280,'BD Comarcal'!$A$6:$AB$17,14,)*F280)),"")</f>
        <v>4783</v>
      </c>
      <c r="F280" s="904">
        <f t="shared" si="26"/>
        <v>0.23790254799610722</v>
      </c>
      <c r="G280" s="910">
        <f t="shared" si="23"/>
        <v>1.7589856973220142</v>
      </c>
      <c r="H280" s="910">
        <f>IFERROR(VLOOKUP(B280, base,19,FALSE)*'4. Agricultura PIB'!$K$11/1000000,G280*'4. Agricultura PIB'!$F$54)</f>
        <v>0.26086892510796028</v>
      </c>
      <c r="I280" s="910">
        <f>G280*'4. Agricultura PIB'!$F$45</f>
        <v>0.57888219298867483</v>
      </c>
      <c r="J280" s="952">
        <f>IFERROR((VLOOKUP(B280,base,19,FALSE)*'tecnicecon agric'!$D$65)/1000000,H280/3)</f>
        <v>0.1113372</v>
      </c>
      <c r="K280" s="952">
        <f>IFERROR(VLOOKUP(B280,'cultius resum'!$T$6:$AU$306,22,FALSE)/1000000,0)</f>
        <v>0.22519058333333331</v>
      </c>
      <c r="L280" s="915">
        <f>K280*'A. Dades de partida'!$D$10</f>
        <v>3.3778587499999997</v>
      </c>
      <c r="M280" s="956">
        <f>IFERROR(VLOOKUP(B280,'cultius resum'!$T$6:$AU$308,28,FALSE)/1000000,0)</f>
        <v>1.9825137220461349</v>
      </c>
      <c r="N280" s="955">
        <f>M280*'A. Dades de partida'!$D$10+(((I280-M280)*'A. Dades de partida'!$D$10)/2)</f>
        <v>19.210469362761074</v>
      </c>
      <c r="O280" s="955">
        <f t="shared" si="24"/>
        <v>17.227955640714939</v>
      </c>
      <c r="P280" s="916">
        <f>J280*'A. Dades de partida'!$D$10</f>
        <v>1.670058</v>
      </c>
      <c r="Q280" s="916">
        <f>J280+J280*'4. Agricultura PIB'!$D$71</f>
        <v>0.1440703368</v>
      </c>
      <c r="R280" s="916">
        <f>(((J280-Q280)*'A. Dades de partida'!$D$10)/2)+('A. Dades de partida'!$D$10*Q280)</f>
        <v>1.915556526</v>
      </c>
      <c r="S280" s="916">
        <f t="shared" si="25"/>
        <v>0.24549852599999999</v>
      </c>
    </row>
    <row r="281" spans="1:19">
      <c r="A281" s="835">
        <v>8280</v>
      </c>
      <c r="B281" s="826" t="s">
        <v>1650</v>
      </c>
      <c r="C281" s="319" t="str">
        <f t="shared" si="22"/>
        <v>Osona</v>
      </c>
      <c r="D281" s="908">
        <f>IFERROR(IF(VLOOKUP(B281,'BD ASVICC'!$A$6:$GN$316,193,FALSE)&gt;0,VLOOKUP(B281,'BD ASVICC'!$A$6:$GN$316,193,FALSE),(VLOOKUP(C281,'BD Comarcal'!$A$6:$AB$17,9,)/VLOOKUP(C281,'BD Comarcal'!$A$6:$AB$17,13,))),"")</f>
        <v>1.8400340353116357E-2</v>
      </c>
      <c r="E281" s="910">
        <f>IFERROR(IF(VLOOKUP(B281,'BD ASVICC'!$A$6:$GN$316,192,FALSE)&gt;0,VLOOKUP(B281,'BD ASVICC'!$A$6:$GN$316,192,FALSE),(VLOOKUP(C281,'BD Comarcal'!$A$6:$AB$17,14,)*F281)),"")</f>
        <v>2.9354116203314033</v>
      </c>
      <c r="F281" s="904">
        <f t="shared" si="26"/>
        <v>7.1960473140110894E-4</v>
      </c>
      <c r="G281" s="910">
        <f t="shared" si="23"/>
        <v>5.4012572890590589E-2</v>
      </c>
      <c r="H281" s="910">
        <f>IFERROR(VLOOKUP(B281, base,19,FALSE)*'4. Agricultura PIB'!$K$11/1000000,G281*'4. Agricultura PIB'!$F$54)</f>
        <v>0.9113781390839123</v>
      </c>
      <c r="I281" s="910">
        <f>G281*'4. Agricultura PIB'!$F$45</f>
        <v>1.7775537738293361E-2</v>
      </c>
      <c r="J281" s="952">
        <f>IFERROR((VLOOKUP(B281,base,19,FALSE)*'tecnicecon agric'!$D$65)/1000000,H281/3)</f>
        <v>0.38897039999999994</v>
      </c>
      <c r="K281" s="952">
        <f>IFERROR(VLOOKUP(B281,'cultius resum'!$T$6:$AU$306,22,FALSE)/1000000,0)</f>
        <v>7.0824666666666661E-2</v>
      </c>
      <c r="L281" s="915">
        <f>K281*'A. Dades de partida'!$D$10</f>
        <v>1.0623699999999998</v>
      </c>
      <c r="M281" s="956">
        <f>IFERROR(VLOOKUP(B281,'cultius resum'!$T$6:$AU$308,28,FALSE)/1000000,0)</f>
        <v>0.61917735209770741</v>
      </c>
      <c r="N281" s="955">
        <f>M281*'A. Dades de partida'!$D$10+(((I281-M281)*'A. Dades de partida'!$D$10)/2)</f>
        <v>4.7771466737700052</v>
      </c>
      <c r="O281" s="955">
        <f t="shared" si="24"/>
        <v>4.1579693216722982</v>
      </c>
      <c r="P281" s="916">
        <f>J281*'A. Dades de partida'!$D$10</f>
        <v>5.8345559999999992</v>
      </c>
      <c r="Q281" s="916">
        <f>J281+J281*'4. Agricultura PIB'!$D$71</f>
        <v>0.50332769759999996</v>
      </c>
      <c r="R281" s="916">
        <f>(((J281-Q281)*'A. Dades de partida'!$D$10)/2)+('A. Dades de partida'!$D$10*Q281)</f>
        <v>6.6922357319999994</v>
      </c>
      <c r="S281" s="916">
        <f t="shared" si="25"/>
        <v>0.85767973200000025</v>
      </c>
    </row>
    <row r="282" spans="1:19">
      <c r="A282" s="835">
        <v>8281</v>
      </c>
      <c r="B282" s="826" t="s">
        <v>1652</v>
      </c>
      <c r="C282" s="319" t="str">
        <f t="shared" si="22"/>
        <v>Maresme</v>
      </c>
      <c r="D282" s="908">
        <f>IFERROR(IF(VLOOKUP(B282,'BD ASVICC'!$A$6:$GN$316,193,FALSE)&gt;0,VLOOKUP(B282,'BD ASVICC'!$A$6:$GN$316,193,FALSE),(VLOOKUP(C282,'BD Comarcal'!$A$6:$AB$17,9,)/VLOOKUP(C282,'BD Comarcal'!$A$6:$AB$17,13,))),"")</f>
        <v>1.0999999999999999E-2</v>
      </c>
      <c r="E282" s="910">
        <f>IFERROR(IF(VLOOKUP(B282,'BD ASVICC'!$A$6:$GN$316,192,FALSE)&gt;0,VLOOKUP(B282,'BD ASVICC'!$A$6:$GN$316,192,FALSE),(VLOOKUP(C282,'BD Comarcal'!$A$6:$AB$17,14,)*F282)),"")</f>
        <v>118</v>
      </c>
      <c r="F282" s="904">
        <f t="shared" si="26"/>
        <v>1.4165184992242444E-2</v>
      </c>
      <c r="G282" s="910">
        <f t="shared" si="23"/>
        <v>1.2979999999999998</v>
      </c>
      <c r="H282" s="910">
        <f>IFERROR(VLOOKUP(B282, base,19,FALSE)*'4. Agricultura PIB'!$K$11/1000000,G282*'4. Agricultura PIB'!$F$54)</f>
        <v>2.8510265039121342E-3</v>
      </c>
      <c r="I282" s="910">
        <f>G282*'4. Agricultura PIB'!$F$45</f>
        <v>0.42717179999999993</v>
      </c>
      <c r="J282" s="952">
        <f>IFERROR((VLOOKUP(B282,base,19,FALSE)*'tecnicecon agric'!$D$65)/1000000,H282/3)</f>
        <v>1.2167999999999999E-3</v>
      </c>
      <c r="K282" s="952">
        <f>IFERROR(VLOOKUP(B282,'cultius resum'!$T$6:$AU$306,22,FALSE)/1000000,0)</f>
        <v>2.4851749999999999E-2</v>
      </c>
      <c r="L282" s="915">
        <f>K282*'A. Dades de partida'!$D$10</f>
        <v>0.37277624999999998</v>
      </c>
      <c r="M282" s="956">
        <f>IFERROR(VLOOKUP(B282,'cultius resum'!$T$6:$AU$308,28,FALSE)/1000000,0)</f>
        <v>0.36915457021169434</v>
      </c>
      <c r="N282" s="955">
        <f>M282*'A. Dades de partida'!$D$10+(((I282-M282)*'A. Dades de partida'!$D$10)/2)</f>
        <v>5.9724477765877069</v>
      </c>
      <c r="O282" s="955">
        <f t="shared" si="24"/>
        <v>5.6032932063760121</v>
      </c>
      <c r="P282" s="916">
        <f>J282*'A. Dades de partida'!$D$10</f>
        <v>1.8251999999999997E-2</v>
      </c>
      <c r="Q282" s="916">
        <f>J282+J282*'4. Agricultura PIB'!$D$71</f>
        <v>1.5745391999999999E-3</v>
      </c>
      <c r="R282" s="916">
        <f>(((J282-Q282)*'A. Dades de partida'!$D$10)/2)+('A. Dades de partida'!$D$10*Q282)</f>
        <v>2.0935044E-2</v>
      </c>
      <c r="S282" s="916">
        <f t="shared" si="25"/>
        <v>2.6830440000000025E-3</v>
      </c>
    </row>
    <row r="283" spans="1:19">
      <c r="A283" s="835">
        <v>8282</v>
      </c>
      <c r="B283" s="826" t="s">
        <v>1655</v>
      </c>
      <c r="C283" s="319" t="str">
        <f t="shared" si="22"/>
        <v>Maresme</v>
      </c>
      <c r="D283" s="908">
        <f>IFERROR(IF(VLOOKUP(B283,'BD ASVICC'!$A$6:$GN$316,193,FALSE)&gt;0,VLOOKUP(B283,'BD ASVICC'!$A$6:$GN$316,193,FALSE),(VLOOKUP(C283,'BD Comarcal'!$A$6:$AB$17,9,)/VLOOKUP(C283,'BD Comarcal'!$A$6:$AB$17,13,))),"")</f>
        <v>1.2999999999999999E-2</v>
      </c>
      <c r="E283" s="910">
        <f>IFERROR(IF(VLOOKUP(B283,'BD ASVICC'!$A$6:$GN$316,192,FALSE)&gt;0,VLOOKUP(B283,'BD ASVICC'!$A$6:$GN$316,192,FALSE),(VLOOKUP(C283,'BD Comarcal'!$A$6:$AB$17,14,)*F283)),"")</f>
        <v>93</v>
      </c>
      <c r="F283" s="904">
        <f t="shared" si="26"/>
        <v>1.9372374038799108E-2</v>
      </c>
      <c r="G283" s="910">
        <f t="shared" si="23"/>
        <v>1.2089999999999999</v>
      </c>
      <c r="H283" s="910">
        <f>IFERROR(VLOOKUP(B283, base,19,FALSE)*'4. Agricultura PIB'!$K$11/1000000,G283*'4. Agricultura PIB'!$F$54)</f>
        <v>9.5034216797071141E-4</v>
      </c>
      <c r="I283" s="910">
        <f>G283*'4. Agricultura PIB'!$F$45</f>
        <v>0.39788189999999996</v>
      </c>
      <c r="J283" s="952">
        <f>IFERROR((VLOOKUP(B283,base,19,FALSE)*'tecnicecon agric'!$D$65)/1000000,H283/3)</f>
        <v>4.0559999999999999E-4</v>
      </c>
      <c r="K283" s="952">
        <f>IFERROR(VLOOKUP(B283,'cultius resum'!$T$6:$AU$306,22,FALSE)/1000000,0)</f>
        <v>3.5018374999999997E-2</v>
      </c>
      <c r="L283" s="915">
        <f>K283*'A. Dades de partida'!$D$10</f>
        <v>0.52527562499999991</v>
      </c>
      <c r="M283" s="956">
        <f>IFERROR(VLOOKUP(B283,'cultius resum'!$T$6:$AU$308,28,FALSE)/1000000,0)</f>
        <v>0.52017234893466024</v>
      </c>
      <c r="N283" s="955">
        <f>M283*'A. Dades de partida'!$D$10+(((I283-M283)*'A. Dades de partida'!$D$10)/2)</f>
        <v>6.8854068670099515</v>
      </c>
      <c r="O283" s="955">
        <f t="shared" si="24"/>
        <v>6.3652345180752912</v>
      </c>
      <c r="P283" s="916">
        <f>J283*'A. Dades de partida'!$D$10</f>
        <v>6.084E-3</v>
      </c>
      <c r="Q283" s="916">
        <f>J283+J283*'4. Agricultura PIB'!$D$71</f>
        <v>5.2484639999999996E-4</v>
      </c>
      <c r="R283" s="916">
        <f>(((J283-Q283)*'A. Dades de partida'!$D$10)/2)+('A. Dades de partida'!$D$10*Q283)</f>
        <v>6.9783479999999988E-3</v>
      </c>
      <c r="S283" s="916">
        <f t="shared" si="25"/>
        <v>8.943479999999988E-4</v>
      </c>
    </row>
    <row r="284" spans="1:19">
      <c r="A284" s="835">
        <v>8283</v>
      </c>
      <c r="B284" s="826" t="s">
        <v>1658</v>
      </c>
      <c r="C284" s="319" t="str">
        <f t="shared" si="22"/>
        <v>Osona</v>
      </c>
      <c r="D284" s="908">
        <f>IFERROR(IF(VLOOKUP(B284,'BD ASVICC'!$A$6:$GN$316,193,FALSE)&gt;0,VLOOKUP(B284,'BD ASVICC'!$A$6:$GN$316,193,FALSE),(VLOOKUP(C284,'BD Comarcal'!$A$6:$AB$17,9,)/VLOOKUP(C284,'BD Comarcal'!$A$6:$AB$17,13,))),"")</f>
        <v>1.4999999999999999E-2</v>
      </c>
      <c r="E284" s="910">
        <f>IFERROR(IF(VLOOKUP(B284,'BD ASVICC'!$A$6:$GN$316,192,FALSE)&gt;0,VLOOKUP(B284,'BD ASVICC'!$A$6:$GN$316,192,FALSE),(VLOOKUP(C284,'BD Comarcal'!$A$6:$AB$17,14,)*F284)),"")</f>
        <v>149</v>
      </c>
      <c r="F284" s="904">
        <f t="shared" si="26"/>
        <v>5.1085510887234085E-2</v>
      </c>
      <c r="G284" s="910">
        <f t="shared" si="23"/>
        <v>2.2349999999999999</v>
      </c>
      <c r="H284" s="910">
        <f>IFERROR(VLOOKUP(B284, base,19,FALSE)*'4. Agricultura PIB'!$K$11/1000000,G284*'4. Agricultura PIB'!$F$54)</f>
        <v>2.0380087792131909</v>
      </c>
      <c r="I284" s="910">
        <f>G284*'4. Agricultura PIB'!$F$45</f>
        <v>0.73553849999999998</v>
      </c>
      <c r="J284" s="952">
        <f>IFERROR((VLOOKUP(B284,base,19,FALSE)*'tecnicecon agric'!$D$65)/1000000,H284/3)</f>
        <v>0.86980919999999995</v>
      </c>
      <c r="K284" s="952">
        <f>IFERROR(VLOOKUP(B284,'cultius resum'!$T$6:$AU$306,22,FALSE)/1000000,0)</f>
        <v>0.30803866666666663</v>
      </c>
      <c r="L284" s="915">
        <f>K284*'A. Dades de partida'!$D$10</f>
        <v>4.6205799999999995</v>
      </c>
      <c r="M284" s="956">
        <f>IFERROR(VLOOKUP(B284,'cultius resum'!$T$6:$AU$308,28,FALSE)/1000000,0)</f>
        <v>2.9139282457495139</v>
      </c>
      <c r="N284" s="955">
        <f>M284*'A. Dades de partida'!$D$10+(((I284-M284)*'A. Dades de partida'!$D$10)/2)</f>
        <v>27.371000593121352</v>
      </c>
      <c r="O284" s="955">
        <f t="shared" si="24"/>
        <v>24.457072347371838</v>
      </c>
      <c r="P284" s="916">
        <f>J284*'A. Dades de partida'!$D$10</f>
        <v>13.047137999999999</v>
      </c>
      <c r="Q284" s="916">
        <f>J284+J284*'4. Agricultura PIB'!$D$71</f>
        <v>1.1255331047999999</v>
      </c>
      <c r="R284" s="916">
        <f>(((J284-Q284)*'A. Dades de partida'!$D$10)/2)+('A. Dades de partida'!$D$10*Q284)</f>
        <v>14.965067286</v>
      </c>
      <c r="S284" s="916">
        <f t="shared" si="25"/>
        <v>1.9179292860000015</v>
      </c>
    </row>
    <row r="285" spans="1:19">
      <c r="A285" s="835">
        <v>8284</v>
      </c>
      <c r="B285" s="826" t="s">
        <v>1660</v>
      </c>
      <c r="C285" s="319" t="str">
        <f t="shared" si="22"/>
        <v>Maresme</v>
      </c>
      <c r="D285" s="908">
        <f>IFERROR(IF(VLOOKUP(B285,'BD ASVICC'!$A$6:$GN$316,193,FALSE)&gt;0,VLOOKUP(B285,'BD ASVICC'!$A$6:$GN$316,193,FALSE),(VLOOKUP(C285,'BD Comarcal'!$A$6:$AB$17,9,)/VLOOKUP(C285,'BD Comarcal'!$A$6:$AB$17,13,))),"")</f>
        <v>1.4E-2</v>
      </c>
      <c r="E285" s="910">
        <f>IFERROR(IF(VLOOKUP(B285,'BD ASVICC'!$A$6:$GN$316,192,FALSE)&gt;0,VLOOKUP(B285,'BD ASVICC'!$A$6:$GN$316,192,FALSE),(VLOOKUP(C285,'BD Comarcal'!$A$6:$AB$17,14,)*F285)),"")</f>
        <v>353</v>
      </c>
      <c r="F285" s="904">
        <f t="shared" si="26"/>
        <v>3.7265716130055151E-2</v>
      </c>
      <c r="G285" s="910">
        <f t="shared" si="23"/>
        <v>4.9420000000000002</v>
      </c>
      <c r="H285" s="910">
        <f>IFERROR(VLOOKUP(B285, base,19,FALSE)*'4. Agricultura PIB'!$K$11/1000000,G285*'4. Agricultura PIB'!$F$54)</f>
        <v>2.5036764415188393</v>
      </c>
      <c r="I285" s="910">
        <f>G285*'4. Agricultura PIB'!$F$45</f>
        <v>1.6264122000000001</v>
      </c>
      <c r="J285" s="952">
        <f>IFERROR((VLOOKUP(B285,base,19,FALSE)*'tecnicecon agric'!$D$65)/1000000,H285/3)</f>
        <v>1.0685532</v>
      </c>
      <c r="K285" s="952">
        <f>IFERROR(VLOOKUP(B285,'cultius resum'!$T$6:$AU$306,22,FALSE)/1000000,0)</f>
        <v>0.83343329166666658</v>
      </c>
      <c r="L285" s="915">
        <f>K285*'A. Dades de partida'!$D$10</f>
        <v>12.501499374999998</v>
      </c>
      <c r="M285" s="956">
        <f>IFERROR(VLOOKUP(B285,'cultius resum'!$T$6:$AU$308,28,FALSE)/1000000,0)</f>
        <v>11.877446489173158</v>
      </c>
      <c r="N285" s="955">
        <f>M285*'A. Dades de partida'!$D$10+(((I285-M285)*'A. Dades de partida'!$D$10)/2)</f>
        <v>101.27894016879868</v>
      </c>
      <c r="O285" s="955">
        <f t="shared" si="24"/>
        <v>89.401493679625531</v>
      </c>
      <c r="P285" s="916">
        <f>J285*'A. Dades de partida'!$D$10</f>
        <v>16.028297999999999</v>
      </c>
      <c r="Q285" s="916">
        <f>J285+J285*'4. Agricultura PIB'!$D$71</f>
        <v>1.3827078408</v>
      </c>
      <c r="R285" s="916">
        <f>(((J285-Q285)*'A. Dades de partida'!$D$10)/2)+('A. Dades de partida'!$D$10*Q285)</f>
        <v>18.384457806</v>
      </c>
      <c r="S285" s="916">
        <f t="shared" si="25"/>
        <v>2.3561598060000009</v>
      </c>
    </row>
    <row r="286" spans="1:19">
      <c r="A286" s="835">
        <v>8285</v>
      </c>
      <c r="B286" s="826" t="s">
        <v>1667</v>
      </c>
      <c r="C286" s="319" t="str">
        <f t="shared" si="22"/>
        <v>Osona</v>
      </c>
      <c r="D286" s="908">
        <f>IFERROR(IF(VLOOKUP(B286,'BD ASVICC'!$A$6:$GN$316,193,FALSE)&gt;0,VLOOKUP(B286,'BD ASVICC'!$A$6:$GN$316,193,FALSE),(VLOOKUP(C286,'BD Comarcal'!$A$6:$AB$17,9,)/VLOOKUP(C286,'BD Comarcal'!$A$6:$AB$17,13,))),"")</f>
        <v>7.0000000000000001E-3</v>
      </c>
      <c r="E286" s="910">
        <f>IFERROR(IF(VLOOKUP(B286,'BD ASVICC'!$A$6:$GN$316,192,FALSE)&gt;0,VLOOKUP(B286,'BD ASVICC'!$A$6:$GN$316,192,FALSE),(VLOOKUP(C286,'BD Comarcal'!$A$6:$AB$17,14,)*F286)),"")</f>
        <v>279</v>
      </c>
      <c r="F286" s="904">
        <f t="shared" si="26"/>
        <v>8.916031122904633E-2</v>
      </c>
      <c r="G286" s="910">
        <f t="shared" si="23"/>
        <v>1.9530000000000001</v>
      </c>
      <c r="H286" s="910">
        <f>IFERROR(VLOOKUP(B286, base,19,FALSE)*'4. Agricultura PIB'!$K$11/1000000,G286*'4. Agricultura PIB'!$F$54)</f>
        <v>1.7590833529137868</v>
      </c>
      <c r="I286" s="910">
        <f>G286*'4. Agricultura PIB'!$F$45</f>
        <v>0.64273230000000003</v>
      </c>
      <c r="J286" s="952">
        <f>IFERROR((VLOOKUP(B286,base,19,FALSE)*'tecnicecon agric'!$D$65)/1000000,H286/3)</f>
        <v>0.75076559999999992</v>
      </c>
      <c r="K286" s="952">
        <f>IFERROR(VLOOKUP(B286,'cultius resum'!$T$6:$AU$306,22,FALSE)/1000000,0)</f>
        <v>0.39787179166666664</v>
      </c>
      <c r="L286" s="915">
        <f>K286*'A. Dades de partida'!$D$10</f>
        <v>5.9680768749999995</v>
      </c>
      <c r="M286" s="956">
        <f>IFERROR(VLOOKUP(B286,'cultius resum'!$T$6:$AU$308,28,FALSE)/1000000,0)</f>
        <v>4.2309025576822981</v>
      </c>
      <c r="N286" s="955">
        <f>M286*'A. Dades de partida'!$D$10+(((I286-M286)*'A. Dades de partida'!$D$10)/2)</f>
        <v>36.552261432617236</v>
      </c>
      <c r="O286" s="955">
        <f t="shared" si="24"/>
        <v>32.321358874934937</v>
      </c>
      <c r="P286" s="916">
        <f>J286*'A. Dades de partida'!$D$10</f>
        <v>11.261483999999999</v>
      </c>
      <c r="Q286" s="916">
        <f>J286+J286*'4. Agricultura PIB'!$D$71</f>
        <v>0.97149068639999991</v>
      </c>
      <c r="R286" s="916">
        <f>(((J286-Q286)*'A. Dades de partida'!$D$10)/2)+('A. Dades de partida'!$D$10*Q286)</f>
        <v>12.916922147999999</v>
      </c>
      <c r="S286" s="916">
        <f t="shared" si="25"/>
        <v>1.655438148</v>
      </c>
    </row>
    <row r="287" spans="1:19">
      <c r="A287" s="835">
        <v>8286</v>
      </c>
      <c r="B287" s="826" t="s">
        <v>1670</v>
      </c>
      <c r="C287" s="319" t="str">
        <f t="shared" si="22"/>
        <v>Anoia</v>
      </c>
      <c r="D287" s="908">
        <f>IFERROR(IF(VLOOKUP(B287,'BD ASVICC'!$A$6:$GN$316,193,FALSE)&gt;0,VLOOKUP(B287,'BD ASVICC'!$A$6:$GN$316,193,FALSE),(VLOOKUP(C287,'BD Comarcal'!$A$6:$AB$17,9,)/VLOOKUP(C287,'BD Comarcal'!$A$6:$AB$17,13,))),"")</f>
        <v>1.049736419894568E-2</v>
      </c>
      <c r="E287" s="910">
        <f>IFERROR(IF(VLOOKUP(B287,'BD ASVICC'!$A$6:$GN$316,192,FALSE)&gt;0,VLOOKUP(B287,'BD ASVICC'!$A$6:$GN$316,192,FALSE),(VLOOKUP(C287,'BD Comarcal'!$A$6:$AB$17,14,)*F287)),"")</f>
        <v>74.950609340958607</v>
      </c>
      <c r="F287" s="904">
        <f t="shared" si="26"/>
        <v>3.1675517429193903E-2</v>
      </c>
      <c r="G287" s="910">
        <f t="shared" si="23"/>
        <v>0.78678384318494254</v>
      </c>
      <c r="H287" s="910">
        <f>IFERROR(VLOOKUP(B287, base,19,FALSE)*'4. Agricultura PIB'!$K$11/1000000,G287*'4. Agricultura PIB'!$F$54)</f>
        <v>2.4233725283253141E-2</v>
      </c>
      <c r="I287" s="910">
        <f>G287*'4. Agricultura PIB'!$F$45</f>
        <v>0.25893056279216459</v>
      </c>
      <c r="J287" s="952">
        <f>IFERROR((VLOOKUP(B287,base,19,FALSE)*'tecnicecon agric'!$D$65)/1000000,H287/3)</f>
        <v>1.0342799999999999E-2</v>
      </c>
      <c r="K287" s="952">
        <f>IFERROR(VLOOKUP(B287,'cultius resum'!$T$6:$AU$306,22,FALSE)/1000000,0)</f>
        <v>0.11170333333333334</v>
      </c>
      <c r="L287" s="915">
        <f>K287*'A. Dades de partida'!$D$10</f>
        <v>1.6755500000000001</v>
      </c>
      <c r="M287" s="956">
        <f>IFERROR(VLOOKUP(B287,'cultius resum'!$T$6:$AU$308,28,FALSE)/1000000,0)</f>
        <v>0.97655488418094794</v>
      </c>
      <c r="N287" s="955">
        <f>M287*'A. Dades de partida'!$D$10+(((I287-M287)*'A. Dades de partida'!$D$10)/2)</f>
        <v>9.2661408522983439</v>
      </c>
      <c r="O287" s="955">
        <f t="shared" si="24"/>
        <v>8.2895859681173967</v>
      </c>
      <c r="P287" s="916">
        <f>J287*'A. Dades de partida'!$D$10</f>
        <v>0.155142</v>
      </c>
      <c r="Q287" s="916">
        <f>J287+J287*'4. Agricultura PIB'!$D$71</f>
        <v>1.3383583199999998E-2</v>
      </c>
      <c r="R287" s="916">
        <f>(((J287-Q287)*'A. Dades de partida'!$D$10)/2)+('A. Dades de partida'!$D$10*Q287)</f>
        <v>0.17794787399999998</v>
      </c>
      <c r="S287" s="916">
        <f t="shared" si="25"/>
        <v>2.2805873999999976E-2</v>
      </c>
    </row>
    <row r="288" spans="1:19">
      <c r="A288" s="835">
        <v>8287</v>
      </c>
      <c r="B288" s="826" t="s">
        <v>1673</v>
      </c>
      <c r="C288" s="319" t="str">
        <f t="shared" si="22"/>
        <v>Alt Penedès</v>
      </c>
      <c r="D288" s="908">
        <f>IFERROR(IF(VLOOKUP(B288,'BD ASVICC'!$A$6:$GN$316,193,FALSE)&gt;0,VLOOKUP(B288,'BD ASVICC'!$A$6:$GN$316,193,FALSE),(VLOOKUP(C288,'BD Comarcal'!$A$6:$AB$17,9,)/VLOOKUP(C288,'BD Comarcal'!$A$6:$AB$17,13,))),"")</f>
        <v>1.0966842723004694E-2</v>
      </c>
      <c r="E288" s="910">
        <f>IFERROR(IF(VLOOKUP(B288,'BD ASVICC'!$A$6:$GN$316,192,FALSE)&gt;0,VLOOKUP(B288,'BD ASVICC'!$A$6:$GN$316,192,FALSE),(VLOOKUP(C288,'BD Comarcal'!$A$6:$AB$17,14,)*F288)),"")</f>
        <v>39.318029640084681</v>
      </c>
      <c r="F288" s="904">
        <f t="shared" si="26"/>
        <v>1.3295695130557516E-2</v>
      </c>
      <c r="G288" s="910">
        <f t="shared" si="23"/>
        <v>0.43119464724124551</v>
      </c>
      <c r="H288" s="910">
        <f>IFERROR(VLOOKUP(B288, base,19,FALSE)*'4. Agricultura PIB'!$K$11/1000000,G288*'4. Agricultura PIB'!$F$54)</f>
        <v>0.1857918938382741</v>
      </c>
      <c r="I288" s="910">
        <f>G288*'4. Agricultura PIB'!$F$45</f>
        <v>0.14190615840709389</v>
      </c>
      <c r="J288" s="952">
        <f>IFERROR((VLOOKUP(B288,base,19,FALSE)*'tecnicecon agric'!$D$65)/1000000,H288/3)</f>
        <v>7.9294799999999985E-2</v>
      </c>
      <c r="K288" s="952">
        <f>IFERROR(VLOOKUP(B288,'cultius resum'!$T$6:$AU$306,22,FALSE)/1000000,0)</f>
        <v>7.8089083333333323E-2</v>
      </c>
      <c r="L288" s="915">
        <f>K288*'A. Dades de partida'!$D$10</f>
        <v>1.1713362499999997</v>
      </c>
      <c r="M288" s="956">
        <f>IFERROR(VLOOKUP(B288,'cultius resum'!$T$6:$AU$308,28,FALSE)/1000000,0)</f>
        <v>0.83457647245963551</v>
      </c>
      <c r="N288" s="955">
        <f>M288*'A. Dades de partida'!$D$10+(((I288-M288)*'A. Dades de partida'!$D$10)/2)</f>
        <v>7.3236197315004699</v>
      </c>
      <c r="O288" s="955">
        <f t="shared" si="24"/>
        <v>6.4890432590408347</v>
      </c>
      <c r="P288" s="916">
        <f>J288*'A. Dades de partida'!$D$10</f>
        <v>1.1894219999999998</v>
      </c>
      <c r="Q288" s="916">
        <f>J288+J288*'4. Agricultura PIB'!$D$71</f>
        <v>0.10260747119999998</v>
      </c>
      <c r="R288" s="916">
        <f>(((J288-Q288)*'A. Dades de partida'!$D$10)/2)+('A. Dades de partida'!$D$10*Q288)</f>
        <v>1.3642670339999996</v>
      </c>
      <c r="S288" s="916">
        <f t="shared" si="25"/>
        <v>0.17484503399999984</v>
      </c>
    </row>
    <row r="289" spans="1:19">
      <c r="A289" s="835">
        <v>8288</v>
      </c>
      <c r="B289" s="826" t="s">
        <v>1677</v>
      </c>
      <c r="C289" s="319" t="str">
        <f t="shared" si="22"/>
        <v>Alt Penedès</v>
      </c>
      <c r="D289" s="908">
        <f>IFERROR(IF(VLOOKUP(B289,'BD ASVICC'!$A$6:$GN$316,193,FALSE)&gt;0,VLOOKUP(B289,'BD ASVICC'!$A$6:$GN$316,193,FALSE),(VLOOKUP(C289,'BD Comarcal'!$A$6:$AB$17,9,)/VLOOKUP(C289,'BD Comarcal'!$A$6:$AB$17,13,))),"")</f>
        <v>1.0966842723004694E-2</v>
      </c>
      <c r="E289" s="910">
        <f>IFERROR(IF(VLOOKUP(B289,'BD ASVICC'!$A$6:$GN$316,192,FALSE)&gt;0,VLOOKUP(B289,'BD ASVICC'!$A$6:$GN$316,192,FALSE),(VLOOKUP(C289,'BD Comarcal'!$A$6:$AB$17,14,)*F289)),"")</f>
        <v>61.244857210068211</v>
      </c>
      <c r="F289" s="904">
        <f t="shared" si="26"/>
        <v>2.0710421077393553E-2</v>
      </c>
      <c r="G289" s="910">
        <f t="shared" si="23"/>
        <v>0.6716627166156981</v>
      </c>
      <c r="H289" s="910">
        <f>IFERROR(VLOOKUP(B289, base,19,FALSE)*'4. Agricultura PIB'!$K$11/1000000,G289*'4. Agricultura PIB'!$F$54)</f>
        <v>0.62912651519661089</v>
      </c>
      <c r="I289" s="910">
        <f>G289*'4. Agricultura PIB'!$F$45</f>
        <v>0.22104420003822625</v>
      </c>
      <c r="J289" s="952">
        <f>IFERROR((VLOOKUP(B289,base,19,FALSE)*'tecnicecon agric'!$D$65)/1000000,H289/3)</f>
        <v>0.26850719999999995</v>
      </c>
      <c r="K289" s="952">
        <f>IFERROR(VLOOKUP(B289,'cultius resum'!$T$6:$AU$306,22,FALSE)/1000000,0)</f>
        <v>7.884945833333333E-2</v>
      </c>
      <c r="L289" s="915">
        <f>K289*'A. Dades de partida'!$D$10</f>
        <v>1.1827418750000001</v>
      </c>
      <c r="M289" s="956">
        <f>IFERROR(VLOOKUP(B289,'cultius resum'!$T$6:$AU$308,28,FALSE)/1000000,0)</f>
        <v>0.72385388154812225</v>
      </c>
      <c r="N289" s="955">
        <f>M289*'A. Dades de partida'!$D$10+(((I289-M289)*'A. Dades de partida'!$D$10)/2)</f>
        <v>7.0867356118976144</v>
      </c>
      <c r="O289" s="955">
        <f t="shared" si="24"/>
        <v>6.3628817303494918</v>
      </c>
      <c r="P289" s="916">
        <f>J289*'A. Dades de partida'!$D$10</f>
        <v>4.027607999999999</v>
      </c>
      <c r="Q289" s="916">
        <f>J289+J289*'4. Agricultura PIB'!$D$71</f>
        <v>0.34744831679999993</v>
      </c>
      <c r="R289" s="916">
        <f>(((J289-Q289)*'A. Dades de partida'!$D$10)/2)+('A. Dades de partida'!$D$10*Q289)</f>
        <v>4.6196663759999996</v>
      </c>
      <c r="S289" s="916">
        <f t="shared" si="25"/>
        <v>0.59205837600000066</v>
      </c>
    </row>
    <row r="290" spans="1:19">
      <c r="A290" s="835">
        <v>8289</v>
      </c>
      <c r="B290" s="826" t="s">
        <v>1681</v>
      </c>
      <c r="C290" s="319" t="str">
        <f t="shared" si="22"/>
        <v>Baix Llobregat</v>
      </c>
      <c r="D290" s="908">
        <f>IFERROR(IF(VLOOKUP(B290,'BD ASVICC'!$A$6:$GN$316,193,FALSE)&gt;0,VLOOKUP(B290,'BD ASVICC'!$A$6:$GN$316,193,FALSE),(VLOOKUP(C290,'BD Comarcal'!$A$6:$AB$17,9,)/VLOOKUP(C290,'BD Comarcal'!$A$6:$AB$17,13,))),"")</f>
        <v>8.9999999999999993E-3</v>
      </c>
      <c r="E290" s="910">
        <f>IFERROR(IF(VLOOKUP(B290,'BD ASVICC'!$A$6:$GN$316,192,FALSE)&gt;0,VLOOKUP(B290,'BD ASVICC'!$A$6:$GN$316,192,FALSE),(VLOOKUP(C290,'BD Comarcal'!$A$6:$AB$17,14,)*F290)),"")</f>
        <v>66</v>
      </c>
      <c r="F290" s="904">
        <f t="shared" si="26"/>
        <v>7.3257495218445132E-3</v>
      </c>
      <c r="G290" s="910">
        <f t="shared" si="23"/>
        <v>0.59399999999999997</v>
      </c>
      <c r="H290" s="910">
        <f>IFERROR(VLOOKUP(B290, base,19,FALSE)*'4. Agricultura PIB'!$K$11/1000000,G290*'4. Agricultura PIB'!$F$54)</f>
        <v>1.1404106015648537E-2</v>
      </c>
      <c r="I290" s="910">
        <f>G290*'4. Agricultura PIB'!$F$45</f>
        <v>0.1954854</v>
      </c>
      <c r="J290" s="952">
        <f>IFERROR((VLOOKUP(B290,base,19,FALSE)*'tecnicecon agric'!$D$65)/1000000,H290/3)</f>
        <v>4.8671999999999995E-3</v>
      </c>
      <c r="K290" s="952">
        <f>IFERROR(VLOOKUP(B290,'cultius resum'!$T$6:$AU$306,22,FALSE)/1000000,0)</f>
        <v>1.8074E-2</v>
      </c>
      <c r="L290" s="915">
        <f>K290*'A. Dades de partida'!$D$10</f>
        <v>0.27111000000000002</v>
      </c>
      <c r="M290" s="956">
        <f>IFERROR(VLOOKUP(B290,'cultius resum'!$T$6:$AU$308,28,FALSE)/1000000,0)</f>
        <v>0.26847605106305039</v>
      </c>
      <c r="N290" s="955">
        <f>M290*'A. Dades de partida'!$D$10+(((I290-M290)*'A. Dades de partida'!$D$10)/2)</f>
        <v>3.4797108829728778</v>
      </c>
      <c r="O290" s="955">
        <f t="shared" si="24"/>
        <v>3.2112348319098274</v>
      </c>
      <c r="P290" s="916">
        <f>J290*'A. Dades de partida'!$D$10</f>
        <v>7.300799999999999E-2</v>
      </c>
      <c r="Q290" s="916">
        <f>J290+J290*'4. Agricultura PIB'!$D$71</f>
        <v>6.2981567999999995E-3</v>
      </c>
      <c r="R290" s="916">
        <f>(((J290-Q290)*'A. Dades de partida'!$D$10)/2)+('A. Dades de partida'!$D$10*Q290)</f>
        <v>8.3740176E-2</v>
      </c>
      <c r="S290" s="916">
        <f t="shared" si="25"/>
        <v>1.073217600000001E-2</v>
      </c>
    </row>
    <row r="291" spans="1:19">
      <c r="A291" s="835">
        <v>8290</v>
      </c>
      <c r="B291" s="826" t="s">
        <v>1682</v>
      </c>
      <c r="C291" s="319" t="str">
        <f t="shared" si="22"/>
        <v>Vallès Occidental</v>
      </c>
      <c r="D291" s="908">
        <f>IFERROR(IF(VLOOKUP(B291,'BD ASVICC'!$A$6:$GN$316,193,FALSE)&gt;0,VLOOKUP(B291,'BD ASVICC'!$A$6:$GN$316,193,FALSE),(VLOOKUP(C291,'BD Comarcal'!$A$6:$AB$17,9,)/VLOOKUP(C291,'BD Comarcal'!$A$6:$AB$17,13,))),"")</f>
        <v>3.6775782925402761E-4</v>
      </c>
      <c r="E291" s="910">
        <f>IFERROR(IF(VLOOKUP(B291,'BD ASVICC'!$A$6:$GN$316,192,FALSE)&gt;0,VLOOKUP(B291,'BD ASVICC'!$A$6:$GN$316,192,FALSE),(VLOOKUP(C291,'BD Comarcal'!$A$6:$AB$17,14,)*F291)),"")</f>
        <v>55.200517672299398</v>
      </c>
      <c r="F291" s="904">
        <f t="shared" si="26"/>
        <v>2.2549323188534019E-3</v>
      </c>
      <c r="G291" s="910">
        <f t="shared" si="23"/>
        <v>2.0300422552863417E-2</v>
      </c>
      <c r="H291" s="910">
        <f>IFERROR(VLOOKUP(B291, base,19,FALSE)*'4. Agricultura PIB'!$K$11/1000000,G291*'4. Agricultura PIB'!$F$54)</f>
        <v>0.46091595146579506</v>
      </c>
      <c r="I291" s="910">
        <f>G291*'4. Agricultura PIB'!$F$45</f>
        <v>6.6808690621473505E-3</v>
      </c>
      <c r="J291" s="952">
        <f>IFERROR((VLOOKUP(B291,base,19,FALSE)*'tecnicecon agric'!$D$65)/1000000,H291/3)</f>
        <v>0.19671599999999997</v>
      </c>
      <c r="K291" s="952">
        <f>IFERROR(VLOOKUP(B291,'cultius resum'!$T$6:$AU$306,22,FALSE)/1000000,0)</f>
        <v>9.0928750000000003E-3</v>
      </c>
      <c r="L291" s="915">
        <f>K291*'A. Dades de partida'!$D$10</f>
        <v>0.136393125</v>
      </c>
      <c r="M291" s="956">
        <f>IFERROR(VLOOKUP(B291,'cultius resum'!$T$6:$AU$308,28,FALSE)/1000000,0)</f>
        <v>0.10020589195802994</v>
      </c>
      <c r="N291" s="955">
        <f>M291*'A. Dades de partida'!$D$10+(((I291-M291)*'A. Dades de partida'!$D$10)/2)</f>
        <v>0.80165070765132962</v>
      </c>
      <c r="O291" s="955">
        <f t="shared" si="24"/>
        <v>0.70144481569329964</v>
      </c>
      <c r="P291" s="916">
        <f>J291*'A. Dades de partida'!$D$10</f>
        <v>2.9507399999999997</v>
      </c>
      <c r="Q291" s="916">
        <f>J291+J291*'4. Agricultura PIB'!$D$71</f>
        <v>0.25455050399999996</v>
      </c>
      <c r="R291" s="916">
        <f>(((J291-Q291)*'A. Dades de partida'!$D$10)/2)+('A. Dades de partida'!$D$10*Q291)</f>
        <v>3.3844987799999995</v>
      </c>
      <c r="S291" s="916">
        <f t="shared" si="25"/>
        <v>0.43375877999999979</v>
      </c>
    </row>
    <row r="292" spans="1:19">
      <c r="A292" s="835">
        <v>8291</v>
      </c>
      <c r="B292" s="826" t="s">
        <v>1684</v>
      </c>
      <c r="C292" s="319" t="str">
        <f t="shared" si="22"/>
        <v>Vallès Occidental</v>
      </c>
      <c r="D292" s="908">
        <f>IFERROR(IF(VLOOKUP(B292,'BD ASVICC'!$A$6:$GN$316,193,FALSE)&gt;0,VLOOKUP(B292,'BD ASVICC'!$A$6:$GN$316,193,FALSE),(VLOOKUP(C292,'BD Comarcal'!$A$6:$AB$17,9,)/VLOOKUP(C292,'BD Comarcal'!$A$6:$AB$17,13,))),"")</f>
        <v>3.6775782925402761E-4</v>
      </c>
      <c r="E292" s="910">
        <f>IFERROR(IF(VLOOKUP(B292,'BD ASVICC'!$A$6:$GN$316,192,FALSE)&gt;0,VLOOKUP(B292,'BD ASVICC'!$A$6:$GN$316,192,FALSE),(VLOOKUP(C292,'BD Comarcal'!$A$6:$AB$17,14,)*F292)),"")</f>
        <v>210</v>
      </c>
      <c r="F292" s="904">
        <f t="shared" si="26"/>
        <v>6.8477395381757056E-3</v>
      </c>
      <c r="G292" s="910">
        <f t="shared" si="23"/>
        <v>7.7229144143345793E-2</v>
      </c>
      <c r="H292" s="910">
        <f>IFERROR(VLOOKUP(B292, base,19,FALSE)*'4. Agricultura PIB'!$K$11/1000000,G292*'4. Agricultura PIB'!$F$54)</f>
        <v>1.0453763847677827E-2</v>
      </c>
      <c r="I292" s="910">
        <f>G292*'4. Agricultura PIB'!$F$45</f>
        <v>2.5416111337575101E-2</v>
      </c>
      <c r="J292" s="952">
        <f>IFERROR((VLOOKUP(B292,base,19,FALSE)*'tecnicecon agric'!$D$65)/1000000,H292/3)</f>
        <v>4.4615999999999996E-3</v>
      </c>
      <c r="K292" s="952">
        <f>IFERROR(VLOOKUP(B292,'cultius resum'!$T$6:$AU$306,22,FALSE)/1000000,0)</f>
        <v>4.7058000000000003E-2</v>
      </c>
      <c r="L292" s="915">
        <f>K292*'A. Dades de partida'!$D$10</f>
        <v>0.70587</v>
      </c>
      <c r="M292" s="956">
        <f>IFERROR(VLOOKUP(B292,'cultius resum'!$T$6:$AU$308,28,FALSE)/1000000,0)</f>
        <v>0.41139971716559076</v>
      </c>
      <c r="N292" s="955">
        <f>M292*'A. Dades de partida'!$D$10+(((I292-M292)*'A. Dades de partida'!$D$10)/2)</f>
        <v>3.2761187137737444</v>
      </c>
      <c r="O292" s="955">
        <f t="shared" si="24"/>
        <v>2.8647189966081537</v>
      </c>
      <c r="P292" s="916">
        <f>J292*'A. Dades de partida'!$D$10</f>
        <v>6.6923999999999997E-2</v>
      </c>
      <c r="Q292" s="916">
        <f>J292+J292*'4. Agricultura PIB'!$D$71</f>
        <v>5.7733103999999995E-3</v>
      </c>
      <c r="R292" s="916">
        <f>(((J292-Q292)*'A. Dades de partida'!$D$10)/2)+('A. Dades de partida'!$D$10*Q292)</f>
        <v>7.6761828000000004E-2</v>
      </c>
      <c r="S292" s="916">
        <f t="shared" si="25"/>
        <v>9.8378280000000068E-3</v>
      </c>
    </row>
    <row r="293" spans="1:19">
      <c r="A293" s="835">
        <v>8292</v>
      </c>
      <c r="B293" s="826" t="s">
        <v>1686</v>
      </c>
      <c r="C293" s="319" t="str">
        <f t="shared" si="22"/>
        <v>Anoia</v>
      </c>
      <c r="D293" s="908">
        <f>IFERROR(IF(VLOOKUP(B293,'BD ASVICC'!$A$6:$GN$316,193,FALSE)&gt;0,VLOOKUP(B293,'BD ASVICC'!$A$6:$GN$316,193,FALSE),(VLOOKUP(C293,'BD Comarcal'!$A$6:$AB$17,9,)/VLOOKUP(C293,'BD Comarcal'!$A$6:$AB$17,13,))),"")</f>
        <v>1.049736419894568E-2</v>
      </c>
      <c r="E293" s="910">
        <f>IFERROR(IF(VLOOKUP(B293,'BD ASVICC'!$A$6:$GN$316,192,FALSE)&gt;0,VLOOKUP(B293,'BD ASVICC'!$A$6:$GN$316,192,FALSE),(VLOOKUP(C293,'BD Comarcal'!$A$6:$AB$17,14,)*F293)),"")</f>
        <v>28.433707788671022</v>
      </c>
      <c r="F293" s="904">
        <f t="shared" si="26"/>
        <v>1.201661220043573E-2</v>
      </c>
      <c r="G293" s="910">
        <f t="shared" si="23"/>
        <v>0.29847898618407814</v>
      </c>
      <c r="H293" s="910">
        <f>IFERROR(VLOOKUP(B293, base,19,FALSE)*'4. Agricultura PIB'!$K$11/1000000,G293*'4. Agricultura PIB'!$F$54)</f>
        <v>4.7517108398535575E-3</v>
      </c>
      <c r="I293" s="910">
        <f>G293*'4. Agricultura PIB'!$F$45</f>
        <v>9.8229434353180115E-2</v>
      </c>
      <c r="J293" s="952">
        <f>IFERROR((VLOOKUP(B293,base,19,FALSE)*'tecnicecon agric'!$D$65)/1000000,H293/3)</f>
        <v>2.0279999999999999E-3</v>
      </c>
      <c r="K293" s="952">
        <f>IFERROR(VLOOKUP(B293,'cultius resum'!$T$6:$AU$306,22,FALSE)/1000000,0)</f>
        <v>9.9819999999999996E-3</v>
      </c>
      <c r="L293" s="915">
        <f>K293*'A. Dades de partida'!$D$10</f>
        <v>0.14973</v>
      </c>
      <c r="M293" s="956">
        <f>IFERROR(VLOOKUP(B293,'cultius resum'!$T$6:$AU$308,28,FALSE)/1000000,0)</f>
        <v>8.7266606671488958E-2</v>
      </c>
      <c r="N293" s="955">
        <f>M293*'A. Dades de partida'!$D$10+(((I293-M293)*'A. Dades de partida'!$D$10)/2)</f>
        <v>1.391220307685018</v>
      </c>
      <c r="O293" s="955">
        <f t="shared" si="24"/>
        <v>1.3039537010135291</v>
      </c>
      <c r="P293" s="916">
        <f>J293*'A. Dades de partida'!$D$10</f>
        <v>3.0419999999999999E-2</v>
      </c>
      <c r="Q293" s="916">
        <f>J293+J293*'4. Agricultura PIB'!$D$71</f>
        <v>2.6242319999999998E-3</v>
      </c>
      <c r="R293" s="916">
        <f>(((J293-Q293)*'A. Dades de partida'!$D$10)/2)+('A. Dades de partida'!$D$10*Q293)</f>
        <v>3.4891739999999997E-2</v>
      </c>
      <c r="S293" s="916">
        <f t="shared" si="25"/>
        <v>4.4717399999999984E-3</v>
      </c>
    </row>
    <row r="294" spans="1:19">
      <c r="A294" s="835">
        <v>8293</v>
      </c>
      <c r="B294" s="826" t="s">
        <v>1690</v>
      </c>
      <c r="C294" s="319" t="str">
        <f t="shared" si="22"/>
        <v>Berguedà</v>
      </c>
      <c r="D294" s="908">
        <f>IFERROR(IF(VLOOKUP(B294,'BD ASVICC'!$A$6:$GN$316,193,FALSE)&gt;0,VLOOKUP(B294,'BD ASVICC'!$A$6:$GN$316,193,FALSE),(VLOOKUP(C294,'BD Comarcal'!$A$6:$AB$17,9,)/VLOOKUP(C294,'BD Comarcal'!$A$6:$AB$17,13,))),"")</f>
        <v>4.1611624834874503E-2</v>
      </c>
      <c r="E294" s="910">
        <f>IFERROR(IF(VLOOKUP(B294,'BD ASVICC'!$A$6:$GN$316,192,FALSE)&gt;0,VLOOKUP(B294,'BD ASVICC'!$A$6:$GN$316,192,FALSE),(VLOOKUP(C294,'BD Comarcal'!$A$6:$AB$17,14,)*F294)),"")</f>
        <v>5.3233804686303534</v>
      </c>
      <c r="F294" s="904">
        <f t="shared" si="26"/>
        <v>6.4832303843994077E-3</v>
      </c>
      <c r="G294" s="910">
        <f t="shared" si="23"/>
        <v>0.2215145109139447</v>
      </c>
      <c r="H294" s="910">
        <f>IFERROR(VLOOKUP(B294, base,19,FALSE)*'4. Agricultura PIB'!$K$11/1000000,G294*'4. Agricultura PIB'!$F$54)</f>
        <v>3.7538515634843103E-2</v>
      </c>
      <c r="I294" s="910">
        <f>G294*'4. Agricultura PIB'!$F$45</f>
        <v>7.2900425541779196E-2</v>
      </c>
      <c r="J294" s="952">
        <f>IFERROR((VLOOKUP(B294,base,19,FALSE)*'tecnicecon agric'!$D$65)/1000000,H294/3)</f>
        <v>1.6021199999999999E-2</v>
      </c>
      <c r="K294" s="952">
        <f>IFERROR(VLOOKUP(B294,'cultius resum'!$T$6:$AU$306,22,FALSE)/1000000,0)</f>
        <v>5.2286666666666662E-3</v>
      </c>
      <c r="L294" s="915">
        <f>K294*'A. Dades de partida'!$D$10</f>
        <v>7.843E-2</v>
      </c>
      <c r="M294" s="956">
        <f>IFERROR(VLOOKUP(B294,'cultius resum'!$T$6:$AU$308,28,FALSE)/1000000,0)</f>
        <v>4.5711079685065645E-2</v>
      </c>
      <c r="N294" s="955">
        <f>M294*'A. Dades de partida'!$D$10+(((I294-M294)*'A. Dades de partida'!$D$10)/2)</f>
        <v>0.88958628920133631</v>
      </c>
      <c r="O294" s="955">
        <f t="shared" si="24"/>
        <v>0.84387520951627071</v>
      </c>
      <c r="P294" s="916">
        <f>J294*'A. Dades de partida'!$D$10</f>
        <v>0.24031799999999998</v>
      </c>
      <c r="Q294" s="916">
        <f>J294+J294*'4. Agricultura PIB'!$D$71</f>
        <v>2.0731432799999998E-2</v>
      </c>
      <c r="R294" s="916">
        <f>(((J294-Q294)*'A. Dades de partida'!$D$10)/2)+('A. Dades de partida'!$D$10*Q294)</f>
        <v>0.275644746</v>
      </c>
      <c r="S294" s="916">
        <f t="shared" si="25"/>
        <v>3.532674600000002E-2</v>
      </c>
    </row>
    <row r="295" spans="1:19">
      <c r="A295" s="835">
        <v>8294</v>
      </c>
      <c r="B295" s="826" t="s">
        <v>1692</v>
      </c>
      <c r="C295" s="319" t="str">
        <f t="shared" si="22"/>
        <v>Vallès Oriental</v>
      </c>
      <c r="D295" s="908">
        <f>IFERROR(IF(VLOOKUP(B295,'BD ASVICC'!$A$6:$GN$316,193,FALSE)&gt;0,VLOOKUP(B295,'BD ASVICC'!$A$6:$GN$316,193,FALSE),(VLOOKUP(C295,'BD Comarcal'!$A$6:$AB$17,9,)/VLOOKUP(C295,'BD Comarcal'!$A$6:$AB$17,13,))),"")</f>
        <v>3.6614258022830064E-3</v>
      </c>
      <c r="E295" s="910">
        <f>IFERROR(IF(VLOOKUP(B295,'BD ASVICC'!$A$6:$GN$316,192,FALSE)&gt;0,VLOOKUP(B295,'BD ASVICC'!$A$6:$GN$316,192,FALSE),(VLOOKUP(C295,'BD Comarcal'!$A$6:$AB$17,14,)*F295)),"")</f>
        <v>76.523577632818217</v>
      </c>
      <c r="F295" s="904">
        <f t="shared" si="26"/>
        <v>6.9068964314368438E-3</v>
      </c>
      <c r="G295" s="910">
        <f t="shared" si="23"/>
        <v>0.28018540162780736</v>
      </c>
      <c r="H295" s="910">
        <f>IFERROR(VLOOKUP(B295, base,19,FALSE)*'4. Agricultura PIB'!$K$11/1000000,G295*'4. Agricultura PIB'!$F$54)</f>
        <v>0.1739126167386402</v>
      </c>
      <c r="I295" s="910">
        <f>G295*'4. Agricultura PIB'!$F$45</f>
        <v>9.2209015675711409E-2</v>
      </c>
      <c r="J295" s="952">
        <f>IFERROR((VLOOKUP(B295,base,19,FALSE)*'tecnicecon agric'!$D$65)/1000000,H295/3)</f>
        <v>7.4224799999999994E-2</v>
      </c>
      <c r="K295" s="952">
        <f>IFERROR(VLOOKUP(B295,'cultius resum'!$T$6:$AU$306,22,FALSE)/1000000,0)</f>
        <v>8.9139166666666655E-3</v>
      </c>
      <c r="L295" s="915">
        <f>K295*'A. Dades de partida'!$D$10</f>
        <v>0.13370874999999999</v>
      </c>
      <c r="M295" s="956">
        <f>IFERROR(VLOOKUP(B295,'cultius resum'!$T$6:$AU$308,28,FALSE)/1000000,0)</f>
        <v>9.1737244163873938E-2</v>
      </c>
      <c r="N295" s="955">
        <f>M295*'A. Dades de partida'!$D$10+(((I295-M295)*'A. Dades de partida'!$D$10)/2)</f>
        <v>1.37959694879689</v>
      </c>
      <c r="O295" s="955">
        <f t="shared" si="24"/>
        <v>1.287859704633016</v>
      </c>
      <c r="P295" s="916">
        <f>J295*'A. Dades de partida'!$D$10</f>
        <v>1.1133719999999998</v>
      </c>
      <c r="Q295" s="916">
        <f>J295+J295*'4. Agricultura PIB'!$D$71</f>
        <v>9.6046891199999984E-2</v>
      </c>
      <c r="R295" s="916">
        <f>(((J295-Q295)*'A. Dades de partida'!$D$10)/2)+('A. Dades de partida'!$D$10*Q295)</f>
        <v>1.277037684</v>
      </c>
      <c r="S295" s="916">
        <f t="shared" si="25"/>
        <v>0.16366568400000014</v>
      </c>
    </row>
    <row r="296" spans="1:19">
      <c r="A296" s="835">
        <v>8295</v>
      </c>
      <c r="B296" s="826" t="s">
        <v>1697</v>
      </c>
      <c r="C296" s="319" t="str">
        <f t="shared" si="22"/>
        <v>Baix Llobregat</v>
      </c>
      <c r="D296" s="908">
        <f>IFERROR(IF(VLOOKUP(B296,'BD ASVICC'!$A$6:$GN$316,193,FALSE)&gt;0,VLOOKUP(B296,'BD ASVICC'!$A$6:$GN$316,193,FALSE),(VLOOKUP(C296,'BD Comarcal'!$A$6:$AB$17,9,)/VLOOKUP(C296,'BD Comarcal'!$A$6:$AB$17,13,))),"")</f>
        <v>7.8252861716696001E-4</v>
      </c>
      <c r="E296" s="910">
        <f>IFERROR(IF(VLOOKUP(B296,'BD ASVICC'!$A$6:$GN$316,192,FALSE)&gt;0,VLOOKUP(B296,'BD ASVICC'!$A$6:$GN$316,192,FALSE),(VLOOKUP(C296,'BD Comarcal'!$A$6:$AB$17,14,)*F296)),"")</f>
        <v>205</v>
      </c>
      <c r="F296" s="904">
        <f t="shared" si="26"/>
        <v>1.8121136015943045E-2</v>
      </c>
      <c r="G296" s="910">
        <f t="shared" si="23"/>
        <v>0.16041836651922681</v>
      </c>
      <c r="H296" s="910">
        <f>IFERROR(VLOOKUP(B296, base,19,FALSE)*'4. Agricultura PIB'!$K$11/1000000,G296*'4. Agricultura PIB'!$F$54)</f>
        <v>0.10441631476736474</v>
      </c>
      <c r="I296" s="910">
        <f>G296*'4. Agricultura PIB'!$F$45</f>
        <v>5.2793684421477541E-2</v>
      </c>
      <c r="J296" s="952">
        <f>IFERROR((VLOOKUP(B296,base,19,FALSE)*'tecnicecon agric'!$D$65)/1000000,H296/3)</f>
        <v>3.4805438255788246E-2</v>
      </c>
      <c r="K296" s="952">
        <f>IFERROR(VLOOKUP(B296,'cultius resum'!$T$6:$AU$306,22,FALSE)/1000000,0)</f>
        <v>6.7162083333333327E-3</v>
      </c>
      <c r="L296" s="915">
        <f>K296*'A. Dades de partida'!$D$10</f>
        <v>0.10074312499999999</v>
      </c>
      <c r="M296" s="956">
        <f>IFERROR(VLOOKUP(B296,'cultius resum'!$T$6:$AU$308,28,FALSE)/1000000,0)</f>
        <v>7.9428128464818282E-2</v>
      </c>
      <c r="N296" s="955">
        <f>M296*'A. Dades de partida'!$D$10+(((I296-M296)*'A. Dades de partida'!$D$10)/2)</f>
        <v>0.99166359664721859</v>
      </c>
      <c r="O296" s="955">
        <f t="shared" si="24"/>
        <v>0.91223546818240031</v>
      </c>
      <c r="P296" s="916">
        <f>J296*'A. Dades de partida'!$D$10</f>
        <v>0.52208157383682363</v>
      </c>
      <c r="Q296" s="916">
        <f>J296+J296*'4. Agricultura PIB'!$D$71</f>
        <v>4.5038237102989986E-2</v>
      </c>
      <c r="R296" s="916">
        <f>(((J296-Q296)*'A. Dades de partida'!$D$10)/2)+('A. Dades de partida'!$D$10*Q296)</f>
        <v>0.59882756519083669</v>
      </c>
      <c r="S296" s="916">
        <f t="shared" si="25"/>
        <v>7.6745991354013054E-2</v>
      </c>
    </row>
    <row r="297" spans="1:19">
      <c r="A297" s="835">
        <v>8296</v>
      </c>
      <c r="B297" s="826" t="s">
        <v>1700</v>
      </c>
      <c r="C297" s="319" t="str">
        <f t="shared" si="22"/>
        <v>Vallès Oriental</v>
      </c>
      <c r="D297" s="908">
        <f>IFERROR(IF(VLOOKUP(B297,'BD ASVICC'!$A$6:$GN$316,193,FALSE)&gt;0,VLOOKUP(B297,'BD ASVICC'!$A$6:$GN$316,193,FALSE),(VLOOKUP(C297,'BD Comarcal'!$A$6:$AB$17,9,)/VLOOKUP(C297,'BD Comarcal'!$A$6:$AB$17,13,))),"")</f>
        <v>3.6614258022830064E-3</v>
      </c>
      <c r="E297" s="910">
        <f>IFERROR(IF(VLOOKUP(B297,'BD ASVICC'!$A$6:$GN$316,192,FALSE)&gt;0,VLOOKUP(B297,'BD ASVICC'!$A$6:$GN$316,192,FALSE),(VLOOKUP(C297,'BD Comarcal'!$A$6:$AB$17,14,)*F297)),"")</f>
        <v>69.704918298292213</v>
      </c>
      <c r="F297" s="904">
        <f t="shared" si="26"/>
        <v>6.2914550827482072E-3</v>
      </c>
      <c r="G297" s="910">
        <f t="shared" si="23"/>
        <v>0.25521938640339598</v>
      </c>
      <c r="H297" s="910">
        <f>IFERROR(VLOOKUP(B297, base,19,FALSE)*'4. Agricultura PIB'!$K$11/1000000,G297*'4. Agricultura PIB'!$F$54)</f>
        <v>0.16612229860997044</v>
      </c>
      <c r="I297" s="910">
        <f>G297*'4. Agricultura PIB'!$F$45</f>
        <v>8.3992700065357612E-2</v>
      </c>
      <c r="J297" s="952">
        <f>IFERROR((VLOOKUP(B297,base,19,FALSE)*'tecnicecon agric'!$D$65)/1000000,H297/3)</f>
        <v>5.5374099536656812E-2</v>
      </c>
      <c r="K297" s="952">
        <f>IFERROR(VLOOKUP(B297,'cultius resum'!$T$6:$AU$306,22,FALSE)/1000000,0)</f>
        <v>2.5556250000000002E-3</v>
      </c>
      <c r="L297" s="915">
        <f>K297*'A. Dades de partida'!$D$10</f>
        <v>3.8334375000000004E-2</v>
      </c>
      <c r="M297" s="956">
        <f>IFERROR(VLOOKUP(B297,'cultius resum'!$T$6:$AU$308,28,FALSE)/1000000,0)</f>
        <v>2.9246411287367647E-2</v>
      </c>
      <c r="N297" s="955">
        <f>M297*'A. Dades de partida'!$D$10+(((I297-M297)*'A. Dades de partida'!$D$10)/2)</f>
        <v>0.84929333514543948</v>
      </c>
      <c r="O297" s="955">
        <f t="shared" si="24"/>
        <v>0.82004692385807187</v>
      </c>
      <c r="P297" s="916">
        <f>J297*'A. Dades de partida'!$D$10</f>
        <v>0.83061149304985216</v>
      </c>
      <c r="Q297" s="916">
        <f>J297+J297*'4. Agricultura PIB'!$D$71</f>
        <v>7.165408480043392E-2</v>
      </c>
      <c r="R297" s="916">
        <f>(((J297-Q297)*'A. Dades de partida'!$D$10)/2)+('A. Dades de partida'!$D$10*Q297)</f>
        <v>0.95271138252818055</v>
      </c>
      <c r="S297" s="916">
        <f t="shared" si="25"/>
        <v>0.12209988947832839</v>
      </c>
    </row>
    <row r="298" spans="1:19">
      <c r="A298" s="835">
        <v>8297</v>
      </c>
      <c r="B298" s="826" t="s">
        <v>1702</v>
      </c>
      <c r="C298" s="319" t="str">
        <f t="shared" si="22"/>
        <v>Anoia</v>
      </c>
      <c r="D298" s="908">
        <f>IFERROR(IF(VLOOKUP(B298,'BD ASVICC'!$A$6:$GN$316,193,FALSE)&gt;0,VLOOKUP(B298,'BD ASVICC'!$A$6:$GN$316,193,FALSE),(VLOOKUP(C298,'BD Comarcal'!$A$6:$AB$17,9,)/VLOOKUP(C298,'BD Comarcal'!$A$6:$AB$17,13,))),"")</f>
        <v>1.049736419894568E-2</v>
      </c>
      <c r="E298" s="910">
        <f>IFERROR(IF(VLOOKUP(B298,'BD ASVICC'!$A$6:$GN$316,192,FALSE)&gt;0,VLOOKUP(B298,'BD ASVICC'!$A$6:$GN$316,192,FALSE),(VLOOKUP(C298,'BD Comarcal'!$A$6:$AB$17,14,)*F298)),"")</f>
        <v>3.4837333197167752</v>
      </c>
      <c r="F298" s="904">
        <f t="shared" si="26"/>
        <v>1.4722903050108933E-3</v>
      </c>
      <c r="G298" s="910">
        <f t="shared" si="23"/>
        <v>3.6570017429069061E-2</v>
      </c>
      <c r="H298" s="910">
        <f>IFERROR(VLOOKUP(B298, base,19,FALSE)*'4. Agricultura PIB'!$K$11/1000000,G298*'4. Agricultura PIB'!$F$54)</f>
        <v>2.0470370298089122</v>
      </c>
      <c r="I298" s="910">
        <f>G298*'4. Agricultura PIB'!$F$45</f>
        <v>1.2035192735906627E-2</v>
      </c>
      <c r="J298" s="952">
        <f>IFERROR((VLOOKUP(B298,base,19,FALSE)*'tecnicecon agric'!$D$65)/1000000,H298/3)</f>
        <v>0.87366239999999995</v>
      </c>
      <c r="K298" s="952">
        <f>IFERROR(VLOOKUP(B298,'cultius resum'!$T$6:$AU$306,22,FALSE)/1000000,0)</f>
        <v>0.72250666666666663</v>
      </c>
      <c r="L298" s="915">
        <f>K298*'A. Dades de partida'!$D$10</f>
        <v>10.8376</v>
      </c>
      <c r="M298" s="956">
        <f>IFERROR(VLOOKUP(B298,'cultius resum'!$T$6:$AU$308,28,FALSE)/1000000,0)</f>
        <v>6.3164401019363448</v>
      </c>
      <c r="N298" s="955">
        <f>M298*'A. Dades de partida'!$D$10+(((I298-M298)*'A. Dades de partida'!$D$10)/2)</f>
        <v>47.463564710041879</v>
      </c>
      <c r="O298" s="955">
        <f t="shared" si="24"/>
        <v>41.147124608105536</v>
      </c>
      <c r="P298" s="916">
        <f>J298*'A. Dades de partida'!$D$10</f>
        <v>13.104935999999999</v>
      </c>
      <c r="Q298" s="916">
        <f>J298+J298*'4. Agricultura PIB'!$D$71</f>
        <v>1.1305191455999999</v>
      </c>
      <c r="R298" s="916">
        <f>(((J298-Q298)*'A. Dades de partida'!$D$10)/2)+('A. Dades de partida'!$D$10*Q298)</f>
        <v>15.031361591999998</v>
      </c>
      <c r="S298" s="916">
        <f t="shared" si="25"/>
        <v>1.9264255919999993</v>
      </c>
    </row>
    <row r="299" spans="1:19">
      <c r="A299" s="835">
        <v>8298</v>
      </c>
      <c r="B299" s="826" t="s">
        <v>815</v>
      </c>
      <c r="C299" s="319" t="str">
        <f t="shared" si="22"/>
        <v>Osona</v>
      </c>
      <c r="D299" s="908">
        <f>IFERROR(IF(VLOOKUP(B299,'BD ASVICC'!$A$6:$GN$316,193,FALSE)&gt;0,VLOOKUP(B299,'BD ASVICC'!$A$6:$GN$316,193,FALSE),(VLOOKUP(C299,'BD Comarcal'!$A$6:$AB$17,9,)/VLOOKUP(C299,'BD Comarcal'!$A$6:$AB$17,13,))),"")</f>
        <v>3.0000000000000001E-3</v>
      </c>
      <c r="E299" s="910">
        <f>IFERROR(IF(VLOOKUP(B299,'BD ASVICC'!$A$6:$GN$316,192,FALSE)&gt;0,VLOOKUP(B299,'BD ASVICC'!$A$6:$GN$316,192,FALSE),(VLOOKUP(C299,'BD Comarcal'!$A$6:$AB$17,14,)*F299)),"")</f>
        <v>1584</v>
      </c>
      <c r="F299" s="904">
        <f t="shared" si="26"/>
        <v>0.27812080364428399</v>
      </c>
      <c r="G299" s="910">
        <f t="shared" si="23"/>
        <v>4.7519999999999998</v>
      </c>
      <c r="H299" s="910">
        <f>IFERROR(VLOOKUP(B299, base,19,FALSE)*'4. Agricultura PIB'!$K$11/1000000,G299*'4. Agricultura PIB'!$F$54)</f>
        <v>6.5958498168007225</v>
      </c>
      <c r="I299" s="910">
        <f>G299*'4. Agricultura PIB'!$F$45</f>
        <v>1.5638832</v>
      </c>
      <c r="J299" s="952">
        <f>IFERROR((VLOOKUP(B299,base,19,FALSE)*'tecnicecon agric'!$D$65)/1000000,H299/3)</f>
        <v>2.8150667999999999</v>
      </c>
      <c r="K299" s="952">
        <f>IFERROR(VLOOKUP(B299,'cultius resum'!$T$6:$AU$306,22,FALSE)/1000000,0)</f>
        <v>0.69602808333333321</v>
      </c>
      <c r="L299" s="915">
        <f>K299*'A. Dades de partida'!$D$10</f>
        <v>10.440421249999998</v>
      </c>
      <c r="M299" s="956">
        <f>IFERROR(VLOOKUP(B299,'cultius resum'!$T$6:$AU$308,28,FALSE)/1000000,0)</f>
        <v>6.2920775049519886</v>
      </c>
      <c r="N299" s="955">
        <f>M299*'A. Dades de partida'!$D$10+(((I299-M299)*'A. Dades de partida'!$D$10)/2)</f>
        <v>58.919705287139912</v>
      </c>
      <c r="O299" s="955">
        <f t="shared" si="24"/>
        <v>52.627627782187922</v>
      </c>
      <c r="P299" s="916">
        <f>J299*'A. Dades de partida'!$D$10</f>
        <v>42.226002000000001</v>
      </c>
      <c r="Q299" s="916">
        <f>J299+J299*'4. Agricultura PIB'!$D$71</f>
        <v>3.6426964391999999</v>
      </c>
      <c r="R299" s="916">
        <f>(((J299-Q299)*'A. Dades de partida'!$D$10)/2)+('A. Dades de partida'!$D$10*Q299)</f>
        <v>48.433224293999999</v>
      </c>
      <c r="S299" s="916">
        <f t="shared" si="25"/>
        <v>6.2072222939999975</v>
      </c>
    </row>
    <row r="300" spans="1:19">
      <c r="A300" s="835">
        <v>8299</v>
      </c>
      <c r="B300" s="826" t="s">
        <v>1708</v>
      </c>
      <c r="C300" s="319" t="str">
        <f t="shared" si="22"/>
        <v>Berguedà</v>
      </c>
      <c r="D300" s="908">
        <f>IFERROR(IF(VLOOKUP(B300,'BD ASVICC'!$A$6:$GN$316,193,FALSE)&gt;0,VLOOKUP(B300,'BD ASVICC'!$A$6:$GN$316,193,FALSE),(VLOOKUP(C300,'BD Comarcal'!$A$6:$AB$17,9,)/VLOOKUP(C300,'BD Comarcal'!$A$6:$AB$17,13,))),"")</f>
        <v>4.1611624834874503E-2</v>
      </c>
      <c r="E300" s="910">
        <f>IFERROR(IF(VLOOKUP(B300,'BD ASVICC'!$A$6:$GN$316,192,FALSE)&gt;0,VLOOKUP(B300,'BD ASVICC'!$A$6:$GN$316,192,FALSE),(VLOOKUP(C300,'BD Comarcal'!$A$6:$AB$17,14,)*F300)),"")</f>
        <v>9.0120220531931192</v>
      </c>
      <c r="F300" s="904">
        <f t="shared" si="26"/>
        <v>1.0975547501148604E-2</v>
      </c>
      <c r="G300" s="910">
        <f t="shared" si="23"/>
        <v>0.3750048806810875</v>
      </c>
      <c r="H300" s="910">
        <f>IFERROR(VLOOKUP(B300, base,19,FALSE)*'4. Agricultura PIB'!$K$11/1000000,G300*'4. Agricultura PIB'!$F$54)</f>
        <v>1.4730303603546028E-2</v>
      </c>
      <c r="I300" s="910">
        <f>G300*'4. Agricultura PIB'!$F$45</f>
        <v>0.1234141062321459</v>
      </c>
      <c r="J300" s="952">
        <f>IFERROR((VLOOKUP(B300,base,19,FALSE)*'tecnicecon agric'!$D$65)/1000000,H300/3)</f>
        <v>6.2867999999999995E-3</v>
      </c>
      <c r="K300" s="952">
        <f>IFERROR(VLOOKUP(B300,'cultius resum'!$T$6:$AU$306,22,FALSE)/1000000,0)</f>
        <v>1.2834E-2</v>
      </c>
      <c r="L300" s="915">
        <f>K300*'A. Dades de partida'!$D$10</f>
        <v>0.19250999999999999</v>
      </c>
      <c r="M300" s="956">
        <f>IFERROR(VLOOKUP(B300,'cultius resum'!$T$6:$AU$308,28,FALSE)/1000000,0)</f>
        <v>0.11219992286334295</v>
      </c>
      <c r="N300" s="955">
        <f>M300*'A. Dades de partida'!$D$10+(((I300-M300)*'A. Dades de partida'!$D$10)/2)</f>
        <v>1.7671052182161662</v>
      </c>
      <c r="O300" s="955">
        <f t="shared" si="24"/>
        <v>1.6549052953528232</v>
      </c>
      <c r="P300" s="916">
        <f>J300*'A. Dades de partida'!$D$10</f>
        <v>9.4301999999999997E-2</v>
      </c>
      <c r="Q300" s="916">
        <f>J300+J300*'4. Agricultura PIB'!$D$71</f>
        <v>8.1351191999999989E-3</v>
      </c>
      <c r="R300" s="916">
        <f>(((J300-Q300)*'A. Dades de partida'!$D$10)/2)+('A. Dades de partida'!$D$10*Q300)</f>
        <v>0.10816439399999998</v>
      </c>
      <c r="S300" s="916">
        <f t="shared" si="25"/>
        <v>1.3862393999999986E-2</v>
      </c>
    </row>
    <row r="301" spans="1:19">
      <c r="A301" s="835">
        <v>8300</v>
      </c>
      <c r="B301" s="826" t="s">
        <v>1710</v>
      </c>
      <c r="C301" s="319" t="str">
        <f t="shared" si="22"/>
        <v>Vallès Occidental</v>
      </c>
      <c r="D301" s="908">
        <f>IFERROR(IF(VLOOKUP(B301,'BD ASVICC'!$A$6:$GN$316,193,FALSE)&gt;0,VLOOKUP(B301,'BD ASVICC'!$A$6:$GN$316,193,FALSE),(VLOOKUP(C301,'BD Comarcal'!$A$6:$AB$17,9,)/VLOOKUP(C301,'BD Comarcal'!$A$6:$AB$17,13,))),"")</f>
        <v>3.6775782925402761E-4</v>
      </c>
      <c r="E301" s="910">
        <f>IFERROR(IF(VLOOKUP(B301,'BD ASVICC'!$A$6:$GN$316,192,FALSE)&gt;0,VLOOKUP(B301,'BD ASVICC'!$A$6:$GN$316,192,FALSE),(VLOOKUP(C301,'BD Comarcal'!$A$6:$AB$17,14,)*F301)),"")</f>
        <v>221</v>
      </c>
      <c r="F301" s="904">
        <f t="shared" si="26"/>
        <v>8.1327966026718563E-3</v>
      </c>
      <c r="G301" s="910">
        <f t="shared" si="23"/>
        <v>8.12744802651401E-2</v>
      </c>
      <c r="H301" s="910">
        <f>IFERROR(VLOOKUP(B301, base,19,FALSE)*'4. Agricultura PIB'!$K$11/1000000,G301*'4. Agricultura PIB'!$F$54)</f>
        <v>1.3304790351589959E-2</v>
      </c>
      <c r="I301" s="910">
        <f>G301*'4. Agricultura PIB'!$F$45</f>
        <v>2.6747431455257608E-2</v>
      </c>
      <c r="J301" s="952">
        <f>IFERROR((VLOOKUP(B301,base,19,FALSE)*'tecnicecon agric'!$D$65)/1000000,H301/3)</f>
        <v>5.6783999999999992E-3</v>
      </c>
      <c r="K301" s="952">
        <f>IFERROR(VLOOKUP(B301,'cultius resum'!$T$6:$AU$306,22,FALSE)/1000000,0)</f>
        <v>7.1300000000000001E-3</v>
      </c>
      <c r="L301" s="915">
        <f>K301*'A. Dades de partida'!$D$10</f>
        <v>0.10695</v>
      </c>
      <c r="M301" s="956">
        <f>IFERROR(VLOOKUP(B301,'cultius resum'!$T$6:$AU$308,28,FALSE)/1000000,0)</f>
        <v>6.2333290479634977E-2</v>
      </c>
      <c r="N301" s="955">
        <f>M301*'A. Dades de partida'!$D$10+(((I301-M301)*'A. Dades de partida'!$D$10)/2)</f>
        <v>0.66810541451169436</v>
      </c>
      <c r="O301" s="955">
        <f t="shared" si="24"/>
        <v>0.60577212403205938</v>
      </c>
      <c r="P301" s="916">
        <f>J301*'A. Dades de partida'!$D$10</f>
        <v>8.5175999999999988E-2</v>
      </c>
      <c r="Q301" s="916">
        <f>J301+J301*'4. Agricultura PIB'!$D$71</f>
        <v>7.3478495999999994E-3</v>
      </c>
      <c r="R301" s="916">
        <f>(((J301-Q301)*'A. Dades de partida'!$D$10)/2)+('A. Dades de partida'!$D$10*Q301)</f>
        <v>9.769687199999999E-2</v>
      </c>
      <c r="S301" s="916">
        <f t="shared" si="25"/>
        <v>1.2520872000000002E-2</v>
      </c>
    </row>
    <row r="302" spans="1:19">
      <c r="A302" s="835">
        <v>8301</v>
      </c>
      <c r="B302" s="826" t="s">
        <v>357</v>
      </c>
      <c r="C302" s="319" t="str">
        <f t="shared" si="22"/>
        <v>Baix Llobregat</v>
      </c>
      <c r="D302" s="908">
        <f>IFERROR(IF(VLOOKUP(B302,'BD ASVICC'!$A$6:$GN$316,193,FALSE)&gt;0,VLOOKUP(B302,'BD ASVICC'!$A$6:$GN$316,193,FALSE),(VLOOKUP(C302,'BD Comarcal'!$A$6:$AB$17,9,)/VLOOKUP(C302,'BD Comarcal'!$A$6:$AB$17,13,))),"")</f>
        <v>3.0000000000000001E-3</v>
      </c>
      <c r="E302" s="910">
        <f>IFERROR(IF(VLOOKUP(B302,'BD ASVICC'!$A$6:$GN$316,192,FALSE)&gt;0,VLOOKUP(B302,'BD ASVICC'!$A$6:$GN$316,192,FALSE),(VLOOKUP(C302,'BD Comarcal'!$A$6:$AB$17,14,)*F302)),"")</f>
        <v>1164</v>
      </c>
      <c r="F302" s="904">
        <f t="shared" si="26"/>
        <v>8.1220373807080776E-2</v>
      </c>
      <c r="G302" s="910">
        <f t="shared" si="23"/>
        <v>3.492</v>
      </c>
      <c r="H302" s="910">
        <f>IFERROR(VLOOKUP(B302, base,19,FALSE)*'4. Agricultura PIB'!$K$11/1000000,G302*'4. Agricultura PIB'!$F$54)</f>
        <v>6.4148096338023028E-2</v>
      </c>
      <c r="I302" s="910">
        <f>G302*'4. Agricultura PIB'!$F$45</f>
        <v>1.1492172</v>
      </c>
      <c r="J302" s="952">
        <f>IFERROR((VLOOKUP(B302,base,19,FALSE)*'tecnicecon agric'!$D$65)/1000000,H302/3)</f>
        <v>2.7377999999999996E-2</v>
      </c>
      <c r="K302" s="952">
        <f>IFERROR(VLOOKUP(B302,'cultius resum'!$T$6:$AU$306,22,FALSE)/1000000,0)</f>
        <v>0.23912258333333333</v>
      </c>
      <c r="L302" s="915">
        <f>K302*'A. Dades de partida'!$D$10</f>
        <v>3.5868387500000001</v>
      </c>
      <c r="M302" s="956">
        <f>IFERROR(VLOOKUP(B302,'cultius resum'!$T$6:$AU$308,28,FALSE)/1000000,0)</f>
        <v>3.5403703809971065</v>
      </c>
      <c r="N302" s="955">
        <f>M302*'A. Dades de partida'!$D$10+(((I302-M302)*'A. Dades de partida'!$D$10)/2)</f>
        <v>35.171906857478305</v>
      </c>
      <c r="O302" s="955">
        <f t="shared" si="24"/>
        <v>31.631536476481198</v>
      </c>
      <c r="P302" s="916">
        <f>J302*'A. Dades de partida'!$D$10</f>
        <v>0.41066999999999992</v>
      </c>
      <c r="Q302" s="916">
        <f>J302+J302*'4. Agricultura PIB'!$D$71</f>
        <v>3.5427131999999993E-2</v>
      </c>
      <c r="R302" s="916">
        <f>(((J302-Q302)*'A. Dades de partida'!$D$10)/2)+('A. Dades de partida'!$D$10*Q302)</f>
        <v>0.47103848999999987</v>
      </c>
      <c r="S302" s="916">
        <f t="shared" si="25"/>
        <v>6.0368489999999941E-2</v>
      </c>
    </row>
    <row r="303" spans="1:19">
      <c r="A303" s="835">
        <v>8302</v>
      </c>
      <c r="B303" s="826" t="s">
        <v>1718</v>
      </c>
      <c r="C303" s="319" t="str">
        <f t="shared" si="22"/>
        <v>Anoia</v>
      </c>
      <c r="D303" s="908">
        <f>IFERROR(IF(VLOOKUP(B303,'BD ASVICC'!$A$6:$GN$316,193,FALSE)&gt;0,VLOOKUP(B303,'BD ASVICC'!$A$6:$GN$316,193,FALSE),(VLOOKUP(C303,'BD Comarcal'!$A$6:$AB$17,9,)/VLOOKUP(C303,'BD Comarcal'!$A$6:$AB$17,13,))),"")</f>
        <v>1E-3</v>
      </c>
      <c r="E303" s="910">
        <f>IFERROR(IF(VLOOKUP(B303,'BD ASVICC'!$A$6:$GN$316,192,FALSE)&gt;0,VLOOKUP(B303,'BD ASVICC'!$A$6:$GN$316,192,FALSE),(VLOOKUP(C303,'BD Comarcal'!$A$6:$AB$17,14,)*F303)),"")</f>
        <v>133</v>
      </c>
      <c r="F303" s="904">
        <f t="shared" si="26"/>
        <v>0.10560491557734204</v>
      </c>
      <c r="G303" s="910">
        <f t="shared" si="23"/>
        <v>0.13300000000000001</v>
      </c>
      <c r="H303" s="910">
        <f>IFERROR(VLOOKUP(B303, base,19,FALSE)*'4. Agricultura PIB'!$K$11/1000000,G303*'4. Agricultura PIB'!$F$54)</f>
        <v>6.3672925254037671E-2</v>
      </c>
      <c r="I303" s="910">
        <f>G303*'4. Agricultura PIB'!$F$45</f>
        <v>4.3770300000000005E-2</v>
      </c>
      <c r="J303" s="952">
        <f>IFERROR((VLOOKUP(B303,base,19,FALSE)*'tecnicecon agric'!$D$65)/1000000,H303/3)</f>
        <v>2.7175199999999997E-2</v>
      </c>
      <c r="K303" s="952">
        <f>IFERROR(VLOOKUP(B303,'cultius resum'!$T$6:$AU$306,22,FALSE)/1000000,0)</f>
        <v>9.8572958333333335E-2</v>
      </c>
      <c r="L303" s="915">
        <f>K303*'A. Dades de partida'!$D$10</f>
        <v>1.4785943750000001</v>
      </c>
      <c r="M303" s="956">
        <f>IFERROR(VLOOKUP(B303,'cultius resum'!$T$6:$AU$308,28,FALSE)/1000000,0)</f>
        <v>0.86866805641311862</v>
      </c>
      <c r="N303" s="955">
        <f>M303*'A. Dades de partida'!$D$10+(((I303-M303)*'A. Dades de partida'!$D$10)/2)</f>
        <v>6.8432876730983896</v>
      </c>
      <c r="O303" s="955">
        <f t="shared" si="24"/>
        <v>5.9746196166852705</v>
      </c>
      <c r="P303" s="916">
        <f>J303*'A. Dades de partida'!$D$10</f>
        <v>0.40762799999999993</v>
      </c>
      <c r="Q303" s="916">
        <f>J303+J303*'4. Agricultura PIB'!$D$71</f>
        <v>3.5164708799999993E-2</v>
      </c>
      <c r="R303" s="916">
        <f>(((J303-Q303)*'A. Dades de partida'!$D$10)/2)+('A. Dades de partida'!$D$10*Q303)</f>
        <v>0.46754931599999994</v>
      </c>
      <c r="S303" s="916">
        <f t="shared" si="25"/>
        <v>5.9921316000000002E-2</v>
      </c>
    </row>
    <row r="304" spans="1:19">
      <c r="A304" s="835">
        <v>8303</v>
      </c>
      <c r="B304" s="826" t="s">
        <v>1722</v>
      </c>
      <c r="C304" s="319" t="str">
        <f t="shared" si="22"/>
        <v>Osona</v>
      </c>
      <c r="D304" s="908">
        <f>IFERROR(IF(VLOOKUP(B304,'BD ASVICC'!$A$6:$GN$316,193,FALSE)&gt;0,VLOOKUP(B304,'BD ASVICC'!$A$6:$GN$316,193,FALSE),(VLOOKUP(C304,'BD Comarcal'!$A$6:$AB$17,9,)/VLOOKUP(C304,'BD Comarcal'!$A$6:$AB$17,13,))),"")</f>
        <v>1.8400340353116357E-2</v>
      </c>
      <c r="E304" s="910">
        <f>IFERROR(IF(VLOOKUP(B304,'BD ASVICC'!$A$6:$GN$316,192,FALSE)&gt;0,VLOOKUP(B304,'BD ASVICC'!$A$6:$GN$316,192,FALSE),(VLOOKUP(C304,'BD Comarcal'!$A$6:$AB$17,14,)*F304)),"")</f>
        <v>8.0985909882357472</v>
      </c>
      <c r="F304" s="904">
        <f t="shared" si="26"/>
        <v>1.9853380535977024E-3</v>
      </c>
      <c r="G304" s="910">
        <f t="shared" si="23"/>
        <v>0.14901683056421869</v>
      </c>
      <c r="H304" s="910">
        <f>IFERROR(VLOOKUP(B304, base,19,FALSE)*'4. Agricultura PIB'!$K$11/1000000,G304*'4. Agricultura PIB'!$F$54)</f>
        <v>0.18816774925820087</v>
      </c>
      <c r="I304" s="910">
        <f>G304*'4. Agricultura PIB'!$F$45</f>
        <v>4.9041438938684373E-2</v>
      </c>
      <c r="J304" s="952">
        <f>IFERROR((VLOOKUP(B304,base,19,FALSE)*'tecnicecon agric'!$D$65)/1000000,H304/3)</f>
        <v>8.0308799999999986E-2</v>
      </c>
      <c r="K304" s="952">
        <f>IFERROR(VLOOKUP(B304,'cultius resum'!$T$6:$AU$306,22,FALSE)/1000000,0)</f>
        <v>4.2248791666666667E-2</v>
      </c>
      <c r="L304" s="915">
        <f>K304*'A. Dades de partida'!$D$10</f>
        <v>0.63373187500000006</v>
      </c>
      <c r="M304" s="956">
        <f>IFERROR(VLOOKUP(B304,'cultius resum'!$T$6:$AU$308,28,FALSE)/1000000,0)</f>
        <v>0.40387632375266286</v>
      </c>
      <c r="N304" s="955">
        <f>M304*'A. Dades de partida'!$D$10+(((I304-M304)*'A. Dades de partida'!$D$10)/2)</f>
        <v>3.3968832201851038</v>
      </c>
      <c r="O304" s="955">
        <f t="shared" si="24"/>
        <v>2.993006896432441</v>
      </c>
      <c r="P304" s="916">
        <f>J304*'A. Dades de partida'!$D$10</f>
        <v>1.2046319999999997</v>
      </c>
      <c r="Q304" s="916">
        <f>J304+J304*'4. Agricultura PIB'!$D$71</f>
        <v>0.10391958719999998</v>
      </c>
      <c r="R304" s="916">
        <f>(((J304-Q304)*'A. Dades de partida'!$D$10)/2)+('A. Dades de partida'!$D$10*Q304)</f>
        <v>1.3817129039999996</v>
      </c>
      <c r="S304" s="916">
        <f t="shared" si="25"/>
        <v>0.17708090399999987</v>
      </c>
    </row>
    <row r="305" spans="1:19">
      <c r="A305" s="835">
        <v>8304</v>
      </c>
      <c r="B305" s="826" t="s">
        <v>1728</v>
      </c>
      <c r="C305" s="319" t="str">
        <f t="shared" si="22"/>
        <v>Alt Penedès</v>
      </c>
      <c r="D305" s="908">
        <f>IFERROR(IF(VLOOKUP(B305,'BD ASVICC'!$A$6:$GN$316,193,FALSE)&gt;0,VLOOKUP(B305,'BD ASVICC'!$A$6:$GN$316,193,FALSE),(VLOOKUP(C305,'BD Comarcal'!$A$6:$AB$17,9,)/VLOOKUP(C305,'BD Comarcal'!$A$6:$AB$17,13,))),"")</f>
        <v>1.0966842723004694E-2</v>
      </c>
      <c r="E305" s="910">
        <f>IFERROR(IF(VLOOKUP(B305,'BD ASVICC'!$A$6:$GN$316,192,FALSE)&gt;0,VLOOKUP(B305,'BD ASVICC'!$A$6:$GN$316,192,FALSE),(VLOOKUP(C305,'BD Comarcal'!$A$6:$AB$17,14,)*F305)),"")</f>
        <v>30.691993413314513</v>
      </c>
      <c r="F305" s="904">
        <f t="shared" si="26"/>
        <v>1.0378734415431664E-2</v>
      </c>
      <c r="G305" s="910">
        <f t="shared" si="23"/>
        <v>0.33659426461931624</v>
      </c>
      <c r="H305" s="910">
        <f>IFERROR(VLOOKUP(B305, base,19,FALSE)*'4. Agricultura PIB'!$K$11/1000000,G305*'4. Agricultura PIB'!$F$54)</f>
        <v>0.1083390071486611</v>
      </c>
      <c r="I305" s="910">
        <f>G305*'4. Agricultura PIB'!$F$45</f>
        <v>0.11077317248621697</v>
      </c>
      <c r="J305" s="952">
        <f>IFERROR((VLOOKUP(B305,base,19,FALSE)*'tecnicecon agric'!$D$65)/1000000,H305/3)</f>
        <v>4.6238399999999992E-2</v>
      </c>
      <c r="K305" s="952">
        <f>IFERROR(VLOOKUP(B305,'cultius resum'!$T$6:$AU$306,22,FALSE)/1000000,0)</f>
        <v>2.2044291666666663E-2</v>
      </c>
      <c r="L305" s="915">
        <f>K305*'A. Dades de partida'!$D$10</f>
        <v>0.33066437499999995</v>
      </c>
      <c r="M305" s="956">
        <f>IFERROR(VLOOKUP(B305,'cultius resum'!$T$6:$AU$308,28,FALSE)/1000000,0)</f>
        <v>0.19962407193170326</v>
      </c>
      <c r="N305" s="955">
        <f>M305*'A. Dades de partida'!$D$10+(((I305-M305)*'A. Dades de partida'!$D$10)/2)</f>
        <v>2.3279793331344019</v>
      </c>
      <c r="O305" s="955">
        <f t="shared" si="24"/>
        <v>2.1283552612026986</v>
      </c>
      <c r="P305" s="916">
        <f>J305*'A. Dades de partida'!$D$10</f>
        <v>0.69357599999999986</v>
      </c>
      <c r="Q305" s="916">
        <f>J305+J305*'4. Agricultura PIB'!$D$71</f>
        <v>5.983248959999999E-2</v>
      </c>
      <c r="R305" s="916">
        <f>(((J305-Q305)*'A. Dades de partida'!$D$10)/2)+('A. Dades de partida'!$D$10*Q305)</f>
        <v>0.79553167199999986</v>
      </c>
      <c r="S305" s="916">
        <f t="shared" si="25"/>
        <v>0.101955672</v>
      </c>
    </row>
    <row r="306" spans="1:19">
      <c r="A306" s="835">
        <v>8305</v>
      </c>
      <c r="B306" s="826" t="s">
        <v>1729</v>
      </c>
      <c r="C306" s="319" t="str">
        <f t="shared" si="22"/>
        <v>Alt Penedès</v>
      </c>
      <c r="D306" s="908">
        <f>IFERROR(IF(VLOOKUP(B306,'BD ASVICC'!$A$6:$GN$316,193,FALSE)&gt;0,VLOOKUP(B306,'BD ASVICC'!$A$6:$GN$316,193,FALSE),(VLOOKUP(C306,'BD Comarcal'!$A$6:$AB$17,9,)/VLOOKUP(C306,'BD Comarcal'!$A$6:$AB$17,13,))),"")</f>
        <v>2E-3</v>
      </c>
      <c r="E306" s="910">
        <f>IFERROR(IF(VLOOKUP(B306,'BD ASVICC'!$A$6:$GN$316,192,FALSE)&gt;0,VLOOKUP(B306,'BD ASVICC'!$A$6:$GN$316,192,FALSE),(VLOOKUP(C306,'BD Comarcal'!$A$6:$AB$17,14,)*F306)),"")</f>
        <v>955</v>
      </c>
      <c r="F306" s="904">
        <f t="shared" si="26"/>
        <v>0.37040696306751353</v>
      </c>
      <c r="G306" s="910">
        <f t="shared" si="23"/>
        <v>1.9100000000000001</v>
      </c>
      <c r="H306" s="910">
        <f>IFERROR(VLOOKUP(B306, base,19,FALSE)*'4. Agricultura PIB'!$K$11/1000000,G306*'4. Agricultura PIB'!$F$54)</f>
        <v>0.21335181670942471</v>
      </c>
      <c r="I306" s="910">
        <f>G306*'4. Agricultura PIB'!$F$45</f>
        <v>0.62858100000000006</v>
      </c>
      <c r="J306" s="952">
        <f>IFERROR((VLOOKUP(B306,base,19,FALSE)*'tecnicecon agric'!$D$65)/1000000,H306/3)</f>
        <v>9.1057199999999991E-2</v>
      </c>
      <c r="K306" s="952">
        <f>IFERROR(VLOOKUP(B306,'cultius resum'!$T$6:$AU$306,22,FALSE)/1000000,0)</f>
        <v>7.7898791666666661E-2</v>
      </c>
      <c r="L306" s="915">
        <f>K306*'A. Dades de partida'!$D$10</f>
        <v>1.1684818749999999</v>
      </c>
      <c r="M306" s="956">
        <f>IFERROR(VLOOKUP(B306,'cultius resum'!$T$6:$AU$308,28,FALSE)/1000000,0)</f>
        <v>0.71554277615083761</v>
      </c>
      <c r="N306" s="955">
        <f>M306*'A. Dades de partida'!$D$10+(((I306-M306)*'A. Dades de partida'!$D$10)/2)</f>
        <v>10.080928321131283</v>
      </c>
      <c r="O306" s="955">
        <f t="shared" si="24"/>
        <v>9.3653855449804464</v>
      </c>
      <c r="P306" s="916">
        <f>J306*'A. Dades de partida'!$D$10</f>
        <v>1.3658579999999998</v>
      </c>
      <c r="Q306" s="916">
        <f>J306+J306*'4. Agricultura PIB'!$D$71</f>
        <v>0.11782801679999999</v>
      </c>
      <c r="R306" s="916">
        <f>(((J306-Q306)*'A. Dades de partida'!$D$10)/2)+('A. Dades de partida'!$D$10*Q306)</f>
        <v>1.5666391259999999</v>
      </c>
      <c r="S306" s="916">
        <f t="shared" si="25"/>
        <v>0.20078112600000009</v>
      </c>
    </row>
    <row r="307" spans="1:19">
      <c r="A307" s="835">
        <v>8306</v>
      </c>
      <c r="B307" s="826" t="s">
        <v>1730</v>
      </c>
      <c r="C307" s="319" t="str">
        <f t="shared" si="22"/>
        <v>Vallès Oriental</v>
      </c>
      <c r="D307" s="908">
        <f>IFERROR(IF(VLOOKUP(B307,'BD ASVICC'!$A$6:$GN$316,193,FALSE)&gt;0,VLOOKUP(B307,'BD ASVICC'!$A$6:$GN$316,193,FALSE),(VLOOKUP(C307,'BD Comarcal'!$A$6:$AB$17,9,)/VLOOKUP(C307,'BD Comarcal'!$A$6:$AB$17,13,))),"")</f>
        <v>3.6614258022830064E-3</v>
      </c>
      <c r="E307" s="910">
        <f>IFERROR(IF(VLOOKUP(B307,'BD ASVICC'!$A$6:$GN$316,192,FALSE)&gt;0,VLOOKUP(B307,'BD ASVICC'!$A$6:$GN$316,192,FALSE),(VLOOKUP(C307,'BD Comarcal'!$A$6:$AB$17,14,)*F307)),"")</f>
        <v>18.882441234072026</v>
      </c>
      <c r="F307" s="904">
        <f t="shared" si="26"/>
        <v>1.7042991194454549E-3</v>
      </c>
      <c r="G307" s="910">
        <f t="shared" si="23"/>
        <v>6.9136657544523888E-2</v>
      </c>
      <c r="H307" s="910">
        <f>IFERROR(VLOOKUP(B307, base,19,FALSE)*'4. Agricultura PIB'!$K$11/1000000,G307*'4. Agricultura PIB'!$F$54)</f>
        <v>4.1339884306725951E-2</v>
      </c>
      <c r="I307" s="910">
        <f>G307*'4. Agricultura PIB'!$F$45</f>
        <v>2.2752873997902812E-2</v>
      </c>
      <c r="J307" s="952">
        <f>IFERROR((VLOOKUP(B307,base,19,FALSE)*'tecnicecon agric'!$D$65)/1000000,H307/3)</f>
        <v>1.7643599999999999E-2</v>
      </c>
      <c r="K307" s="952">
        <f>IFERROR(VLOOKUP(B307,'cultius resum'!$T$6:$AU$306,22,FALSE)/1000000,0)</f>
        <v>1.5093250000000001E-2</v>
      </c>
      <c r="L307" s="915">
        <f>K307*'A. Dades de partida'!$D$10</f>
        <v>0.22639875000000001</v>
      </c>
      <c r="M307" s="956">
        <f>IFERROR(VLOOKUP(B307,'cultius resum'!$T$6:$AU$308,28,FALSE)/1000000,0)</f>
        <v>0.14575942924622423</v>
      </c>
      <c r="N307" s="955">
        <f>M307*'A. Dades de partida'!$D$10+(((I307-M307)*'A. Dades de partida'!$D$10)/2)</f>
        <v>1.2638422743309528</v>
      </c>
      <c r="O307" s="955">
        <f t="shared" si="24"/>
        <v>1.1180828450847284</v>
      </c>
      <c r="P307" s="916">
        <f>J307*'A. Dades de partida'!$D$10</f>
        <v>0.264654</v>
      </c>
      <c r="Q307" s="916">
        <f>J307+J307*'4. Agricultura PIB'!$D$71</f>
        <v>2.2830818399999998E-2</v>
      </c>
      <c r="R307" s="916">
        <f>(((J307-Q307)*'A. Dades de partida'!$D$10)/2)+('A. Dades de partida'!$D$10*Q307)</f>
        <v>0.30355813799999998</v>
      </c>
      <c r="S307" s="916">
        <f t="shared" si="25"/>
        <v>3.8904137999999977E-2</v>
      </c>
    </row>
    <row r="308" spans="1:19">
      <c r="A308" s="835">
        <v>8307</v>
      </c>
      <c r="B308" s="826" t="s">
        <v>358</v>
      </c>
      <c r="C308" s="319" t="str">
        <f t="shared" si="22"/>
        <v>Garraf</v>
      </c>
      <c r="D308" s="908">
        <f>IFERROR(IF(VLOOKUP(B308,'BD ASVICC'!$A$6:$GN$316,193,FALSE)&gt;0,VLOOKUP(B308,'BD ASVICC'!$A$6:$GN$316,193,FALSE),(VLOOKUP(C308,'BD Comarcal'!$A$6:$AB$17,9,)/VLOOKUP(C308,'BD Comarcal'!$A$6:$AB$17,13,))),"")</f>
        <v>1.2E-2</v>
      </c>
      <c r="E308" s="910">
        <f>IFERROR(IF(VLOOKUP(B308,'BD ASVICC'!$A$6:$GN$316,192,FALSE)&gt;0,VLOOKUP(B308,'BD ASVICC'!$A$6:$GN$316,192,FALSE),(VLOOKUP(C308,'BD Comarcal'!$A$6:$AB$17,14,)*F308)),"")</f>
        <v>1219</v>
      </c>
      <c r="F308" s="904">
        <f t="shared" si="26"/>
        <v>0.44916800566464227</v>
      </c>
      <c r="G308" s="910">
        <f t="shared" si="23"/>
        <v>14.628</v>
      </c>
      <c r="H308" s="910">
        <f>IFERROR(VLOOKUP(B308, base,19,FALSE)*'4. Agricultura PIB'!$K$11/1000000,G308*'4. Agricultura PIB'!$F$54)</f>
        <v>0.5127095996201988</v>
      </c>
      <c r="I308" s="910">
        <f>G308*'4. Agricultura PIB'!$F$45</f>
        <v>4.8140748000000002</v>
      </c>
      <c r="J308" s="952">
        <f>IFERROR((VLOOKUP(B308,base,19,FALSE)*'tecnicecon agric'!$D$65)/1000000,H308/3)</f>
        <v>0.21882119999999999</v>
      </c>
      <c r="K308" s="952">
        <f>IFERROR(VLOOKUP(B308,'cultius resum'!$T$6:$AU$306,22,FALSE)/1000000,0)</f>
        <v>0.117262375</v>
      </c>
      <c r="L308" s="915">
        <f>K308*'A. Dades de partida'!$D$10</f>
        <v>1.7589356250000001</v>
      </c>
      <c r="M308" s="956">
        <f>IFERROR(VLOOKUP(B308,'cultius resum'!$T$6:$AU$308,28,FALSE)/1000000,0)</f>
        <v>1.3496480143144252</v>
      </c>
      <c r="N308" s="955">
        <f>M308*'A. Dades de partida'!$D$10+(((I308-M308)*'A. Dades de partida'!$D$10)/2)</f>
        <v>46.227921107358185</v>
      </c>
      <c r="O308" s="955">
        <f t="shared" si="24"/>
        <v>44.878273093043759</v>
      </c>
      <c r="P308" s="916">
        <f>J308*'A. Dades de partida'!$D$10</f>
        <v>3.2823180000000001</v>
      </c>
      <c r="Q308" s="916">
        <f>J308+J308*'4. Agricultura PIB'!$D$71</f>
        <v>0.28315463279999997</v>
      </c>
      <c r="R308" s="916">
        <f>(((J308-Q308)*'A. Dades de partida'!$D$10)/2)+('A. Dades de partida'!$D$10*Q308)</f>
        <v>3.764818746</v>
      </c>
      <c r="S308" s="916">
        <f t="shared" si="25"/>
        <v>0.48250074599999992</v>
      </c>
    </row>
    <row r="309" spans="1:19">
      <c r="A309" s="835">
        <v>8308</v>
      </c>
      <c r="B309" s="826" t="s">
        <v>1737</v>
      </c>
      <c r="C309" s="319" t="str">
        <f t="shared" si="22"/>
        <v>Berguedà</v>
      </c>
      <c r="D309" s="908">
        <f>IFERROR(IF(VLOOKUP(B309,'BD ASVICC'!$A$6:$GN$316,193,FALSE)&gt;0,VLOOKUP(B309,'BD ASVICC'!$A$6:$GN$316,193,FALSE),(VLOOKUP(C309,'BD Comarcal'!$A$6:$AB$17,9,)/VLOOKUP(C309,'BD Comarcal'!$A$6:$AB$17,13,))),"")</f>
        <v>4.1611624834874503E-2</v>
      </c>
      <c r="E309" s="910">
        <f>IFERROR(IF(VLOOKUP(B309,'BD ASVICC'!$A$6:$GN$316,192,FALSE)&gt;0,VLOOKUP(B309,'BD ASVICC'!$A$6:$GN$316,192,FALSE),(VLOOKUP(C309,'BD Comarcal'!$A$6:$AB$17,14,)*F309)),"")</f>
        <v>3.3952269130634543</v>
      </c>
      <c r="F309" s="904">
        <f t="shared" si="26"/>
        <v>4.1349737097350556E-3</v>
      </c>
      <c r="G309" s="910">
        <f t="shared" si="23"/>
        <v>0.14128090853566552</v>
      </c>
      <c r="H309" s="910">
        <f>IFERROR(VLOOKUP(B309, base,19,FALSE)*'4. Agricultura PIB'!$K$11/1000000,G309*'4. Agricultura PIB'!$F$54)</f>
        <v>2.8144383304452623</v>
      </c>
      <c r="I309" s="910">
        <f>G309*'4. Agricultura PIB'!$F$45</f>
        <v>4.6495546999087527E-2</v>
      </c>
      <c r="J309" s="952">
        <f>IFERROR((VLOOKUP(B309,base,19,FALSE)*'tecnicecon agric'!$D$65)/1000000,H309/3)</f>
        <v>1.2011843999999998</v>
      </c>
      <c r="K309" s="952">
        <f>IFERROR(VLOOKUP(B309,'cultius resum'!$T$6:$AU$306,22,FALSE)/1000000,0)</f>
        <v>0.40260733333333332</v>
      </c>
      <c r="L309" s="915">
        <f>K309*'A. Dades de partida'!$D$10</f>
        <v>6.03911</v>
      </c>
      <c r="M309" s="956">
        <f>IFERROR(VLOOKUP(B309,'cultius resum'!$T$6:$AU$308,28,FALSE)/1000000,0)</f>
        <v>3.5197531357500549</v>
      </c>
      <c r="N309" s="955">
        <f>M309*'A. Dades de partida'!$D$10+(((I309-M309)*'A. Dades de partida'!$D$10)/2)</f>
        <v>26.746865120618565</v>
      </c>
      <c r="O309" s="955">
        <f t="shared" si="24"/>
        <v>23.227111984868511</v>
      </c>
      <c r="P309" s="916">
        <f>J309*'A. Dades de partida'!$D$10</f>
        <v>18.017765999999998</v>
      </c>
      <c r="Q309" s="916">
        <f>J309+J309*'4. Agricultura PIB'!$D$71</f>
        <v>1.5543326135999997</v>
      </c>
      <c r="R309" s="916">
        <f>(((J309-Q309)*'A. Dades de partida'!$D$10)/2)+('A. Dades de partida'!$D$10*Q309)</f>
        <v>20.666377601999997</v>
      </c>
      <c r="S309" s="916">
        <f t="shared" si="25"/>
        <v>2.648611601999999</v>
      </c>
    </row>
    <row r="310" spans="1:19">
      <c r="A310" s="835">
        <v>8901</v>
      </c>
      <c r="B310" s="826" t="s">
        <v>1742</v>
      </c>
      <c r="C310" s="319" t="str">
        <f t="shared" si="22"/>
        <v>Osona</v>
      </c>
      <c r="D310" s="908">
        <f>IFERROR(IF(VLOOKUP(B310,'BD ASVICC'!$A$6:$GN$316,193,FALSE)&gt;0,VLOOKUP(B310,'BD ASVICC'!$A$6:$GN$316,193,FALSE),(VLOOKUP(C310,'BD Comarcal'!$A$6:$AB$17,9,)/VLOOKUP(C310,'BD Comarcal'!$A$6:$AB$17,13,))),"")</f>
        <v>1.8400340353116357E-2</v>
      </c>
      <c r="E310" s="910">
        <f>IFERROR(IF(VLOOKUP(B310,'BD ASVICC'!$A$6:$GN$316,192,FALSE)&gt;0,VLOOKUP(B310,'BD ASVICC'!$A$6:$GN$316,192,FALSE),(VLOOKUP(C310,'BD Comarcal'!$A$6:$AB$17,14,)*F310)),"")</f>
        <v>7.259901953855346</v>
      </c>
      <c r="F310" s="904">
        <f t="shared" si="26"/>
        <v>1.7797367017688141E-3</v>
      </c>
      <c r="G310" s="910">
        <f t="shared" si="23"/>
        <v>0.1335846668811928</v>
      </c>
      <c r="H310" s="910">
        <f>IFERROR(VLOOKUP(B310, base,19,FALSE)*'4. Agricultura PIB'!$K$11/1000000,G310*'4. Agricultura PIB'!$F$54)</f>
        <v>0.5350426405675105</v>
      </c>
      <c r="I310" s="910">
        <f>G310*'4. Agricultura PIB'!$F$45</f>
        <v>4.396271387060055E-2</v>
      </c>
      <c r="J310" s="952">
        <f>IFERROR((VLOOKUP(B310,base,19,FALSE)*'tecnicecon agric'!$D$65)/1000000,H310/3)</f>
        <v>0.22835279999999999</v>
      </c>
      <c r="K310" s="952">
        <f>IFERROR(VLOOKUP(B310,'cultius resum'!$T$6:$AU$306,22,FALSE)/1000000,0)</f>
        <v>0.12643866666666664</v>
      </c>
      <c r="L310" s="915">
        <f>K310*'A. Dades de partida'!$D$10</f>
        <v>1.8965799999999997</v>
      </c>
      <c r="M310" s="956">
        <f>IFERROR(VLOOKUP(B310,'cultius resum'!$T$6:$AU$308,28,FALSE)/1000000,0)</f>
        <v>1.1053770178388602</v>
      </c>
      <c r="N310" s="955">
        <f>M310*'A. Dades de partida'!$D$10+(((I310-M310)*'A. Dades de partida'!$D$10)/2)</f>
        <v>8.6200479878209535</v>
      </c>
      <c r="O310" s="955">
        <f t="shared" si="24"/>
        <v>7.5146709699820935</v>
      </c>
      <c r="P310" s="916">
        <f>J310*'A. Dades de partida'!$D$10</f>
        <v>3.4252919999999998</v>
      </c>
      <c r="Q310" s="916">
        <f>J310+J310*'4. Agricultura PIB'!$D$71</f>
        <v>0.29548852319999996</v>
      </c>
      <c r="R310" s="916">
        <f>(((J310-Q310)*'A. Dades de partida'!$D$10)/2)+('A. Dades de partida'!$D$10*Q310)</f>
        <v>3.9288099240000003</v>
      </c>
      <c r="S310" s="916">
        <f t="shared" si="25"/>
        <v>0.50351792400000051</v>
      </c>
    </row>
    <row r="311" spans="1:19">
      <c r="A311" s="835">
        <v>8902</v>
      </c>
      <c r="B311" s="826" t="s">
        <v>1743</v>
      </c>
      <c r="C311" s="319" t="str">
        <f t="shared" si="22"/>
        <v>Vallès Oriental</v>
      </c>
      <c r="D311" s="908">
        <f>IFERROR(IF(VLOOKUP(B311,'BD ASVICC'!$A$6:$GN$316,193,FALSE)&gt;0,VLOOKUP(B311,'BD ASVICC'!$A$6:$GN$316,193,FALSE),(VLOOKUP(C311,'BD Comarcal'!$A$6:$AB$17,9,)/VLOOKUP(C311,'BD Comarcal'!$A$6:$AB$17,13,))),"")</f>
        <v>4.0000000000000001E-3</v>
      </c>
      <c r="E311" s="910">
        <f>IFERROR(IF(VLOOKUP(B311,'BD ASVICC'!$A$6:$GN$316,192,FALSE)&gt;0,VLOOKUP(B311,'BD ASVICC'!$A$6:$GN$316,192,FALSE),(VLOOKUP(C311,'BD Comarcal'!$A$6:$AB$17,14,)*F311)),"")</f>
        <v>89</v>
      </c>
      <c r="F311" s="904">
        <f t="shared" si="26"/>
        <v>1.2999018283840553E-2</v>
      </c>
      <c r="G311" s="910">
        <f t="shared" si="23"/>
        <v>0.35599999999999998</v>
      </c>
      <c r="H311" s="910">
        <f>IFERROR(VLOOKUP(B311, base,19,FALSE)*'4. Agricultura PIB'!$K$11/1000000,G311*'4. Agricultura PIB'!$F$54)</f>
        <v>0.33642112746163183</v>
      </c>
      <c r="I311" s="910">
        <f>G311*'4. Agricultura PIB'!$F$45</f>
        <v>0.1171596</v>
      </c>
      <c r="J311" s="952">
        <f>IFERROR((VLOOKUP(B311,base,19,FALSE)*'tecnicecon agric'!$D$65)/1000000,H311/3)</f>
        <v>0.1435824</v>
      </c>
      <c r="K311" s="952">
        <f>IFERROR(VLOOKUP(B311,'cultius resum'!$T$6:$AU$306,22,FALSE)/1000000,0)</f>
        <v>0.15596599999999999</v>
      </c>
      <c r="L311" s="915">
        <f>K311*'A. Dades de partida'!$D$10</f>
        <v>2.3394900000000001</v>
      </c>
      <c r="M311" s="956">
        <f>IFERROR(VLOOKUP(B311,'cultius resum'!$T$6:$AU$308,28,FALSE)/1000000,0)</f>
        <v>1.9158465277278938</v>
      </c>
      <c r="N311" s="955">
        <f>M311*'A. Dades de partida'!$D$10+(((I311-M311)*'A. Dades de partida'!$D$10)/2)</f>
        <v>15.247545957959202</v>
      </c>
      <c r="O311" s="955">
        <f t="shared" si="24"/>
        <v>13.331699430231309</v>
      </c>
      <c r="P311" s="916">
        <f>J311*'A. Dades de partida'!$D$10</f>
        <v>2.1537359999999999</v>
      </c>
      <c r="Q311" s="916">
        <f>J311+J311*'4. Agricultura PIB'!$D$71</f>
        <v>0.18579562559999999</v>
      </c>
      <c r="R311" s="916">
        <f>(((J311-Q311)*'A. Dades de partida'!$D$10)/2)+('A. Dades de partida'!$D$10*Q311)</f>
        <v>2.4703351919999998</v>
      </c>
      <c r="S311" s="916">
        <f t="shared" si="25"/>
        <v>0.31659919199999997</v>
      </c>
    </row>
    <row r="312" spans="1:19">
      <c r="A312" s="835">
        <v>8903</v>
      </c>
      <c r="B312" s="826" t="s">
        <v>1746</v>
      </c>
      <c r="C312" s="319" t="str">
        <f t="shared" si="22"/>
        <v>Berguedà</v>
      </c>
      <c r="D312" s="908">
        <f>IFERROR(IF(VLOOKUP(B312,'BD ASVICC'!$A$6:$GN$316,193,FALSE)&gt;0,VLOOKUP(B312,'BD ASVICC'!$A$6:$GN$316,193,FALSE),(VLOOKUP(C312,'BD Comarcal'!$A$6:$AB$17,9,)/VLOOKUP(C312,'BD Comarcal'!$A$6:$AB$17,13,))),"")</f>
        <v>4.1611624834874503E-2</v>
      </c>
      <c r="E312" s="910">
        <f>IFERROR(IF(VLOOKUP(B312,'BD ASVICC'!$A$6:$GN$316,192,FALSE)&gt;0,VLOOKUP(B312,'BD ASVICC'!$A$6:$GN$316,192,FALSE),(VLOOKUP(C312,'BD Comarcal'!$A$6:$AB$17,14,)*F312)),"")</f>
        <v>5.2605058961662161</v>
      </c>
      <c r="F312" s="904">
        <f t="shared" si="26"/>
        <v>6.4066567971820922E-3</v>
      </c>
      <c r="G312" s="910">
        <f t="shared" si="23"/>
        <v>0.21889819779291386</v>
      </c>
      <c r="H312" s="910">
        <f>IFERROR(VLOOKUP(B312, base,19,FALSE)*'4. Agricultura PIB'!$K$11/1000000,G312*'4. Agricultura PIB'!$F$54)</f>
        <v>1.5205474687531383E-2</v>
      </c>
      <c r="I312" s="910">
        <f>G312*'4. Agricultura PIB'!$F$45</f>
        <v>7.2039396893647953E-2</v>
      </c>
      <c r="J312" s="952">
        <f>IFERROR((VLOOKUP(B312,base,19,FALSE)*'tecnicecon agric'!$D$65)/1000000,H312/3)</f>
        <v>6.4895999999999999E-3</v>
      </c>
      <c r="K312" s="952">
        <f>IFERROR(VLOOKUP(B312,'cultius resum'!$T$6:$AU$306,22,FALSE)/1000000,0)</f>
        <v>1.426E-3</v>
      </c>
      <c r="L312" s="915">
        <f>K312*'A. Dades de partida'!$D$10</f>
        <v>2.1389999999999999E-2</v>
      </c>
      <c r="M312" s="956">
        <f>IFERROR(VLOOKUP(B312,'cultius resum'!$T$6:$AU$308,28,FALSE)/1000000,0)</f>
        <v>1.2466658095926996E-2</v>
      </c>
      <c r="N312" s="955">
        <f>M312*'A. Dades de partida'!$D$10+(((I312-M312)*'A. Dades de partida'!$D$10)/2)</f>
        <v>0.63379541242181214</v>
      </c>
      <c r="O312" s="955">
        <f t="shared" si="24"/>
        <v>0.62132875432588519</v>
      </c>
      <c r="P312" s="916">
        <f>J312*'A. Dades de partida'!$D$10</f>
        <v>9.7344E-2</v>
      </c>
      <c r="Q312" s="916">
        <f>J312+J312*'4. Agricultura PIB'!$D$71</f>
        <v>8.3975423999999993E-3</v>
      </c>
      <c r="R312" s="916">
        <f>(((J312-Q312)*'A. Dades de partida'!$D$10)/2)+('A. Dades de partida'!$D$10*Q312)</f>
        <v>0.11165356799999998</v>
      </c>
      <c r="S312" s="916">
        <f t="shared" si="25"/>
        <v>1.4309567999999981E-2</v>
      </c>
    </row>
    <row r="313" spans="1:19">
      <c r="A313" s="835">
        <v>8904</v>
      </c>
      <c r="B313" s="826" t="s">
        <v>1748</v>
      </c>
      <c r="C313" s="319" t="str">
        <f t="shared" si="22"/>
        <v>Vallès Occidental</v>
      </c>
      <c r="D313" s="908">
        <f>IFERROR(IF(VLOOKUP(B313,'BD ASVICC'!$A$6:$GN$316,193,FALSE)&gt;0,VLOOKUP(B313,'BD ASVICC'!$A$6:$GN$316,193,FALSE),(VLOOKUP(C313,'BD Comarcal'!$A$6:$AB$17,9,)/VLOOKUP(C313,'BD Comarcal'!$A$6:$AB$17,13,))),"")</f>
        <v>3.6775782925402761E-4</v>
      </c>
      <c r="E313" s="910">
        <f>IFERROR(IF(VLOOKUP(B313,'BD ASVICC'!$A$6:$GN$316,192,FALSE)&gt;0,VLOOKUP(B313,'BD ASVICC'!$A$6:$GN$316,192,FALSE),(VLOOKUP(C313,'BD Comarcal'!$A$6:$AB$17,14,)*F313)),"")</f>
        <v>76</v>
      </c>
      <c r="F313" s="904">
        <f t="shared" si="26"/>
        <v>1.4909758471202336E-2</v>
      </c>
      <c r="G313" s="910">
        <f t="shared" si="23"/>
        <v>2.7949595023306097E-2</v>
      </c>
      <c r="H313" s="910">
        <f>IFERROR(VLOOKUP(B313, base,19,FALSE)*'4. Agricultura PIB'!$K$11/1000000,G313*'4. Agricultura PIB'!$F$54)</f>
        <v>1.819239140066994E-2</v>
      </c>
      <c r="I313" s="910">
        <f>G313*'4. Agricultura PIB'!$F$45</f>
        <v>9.1982117221700369E-3</v>
      </c>
      <c r="J313" s="952">
        <f>IFERROR((VLOOKUP(B313,base,19,FALSE)*'tecnicecon agric'!$D$65)/1000000,H313/3)</f>
        <v>6.0641304668899798E-3</v>
      </c>
      <c r="K313" s="952">
        <f>IFERROR(VLOOKUP(B313,'cultius resum'!$T$6:$AU$306,22,FALSE)/1000000,0)</f>
        <v>0</v>
      </c>
      <c r="L313" s="915">
        <f>K313*'A. Dades de partida'!$D$10</f>
        <v>0</v>
      </c>
      <c r="M313" s="956">
        <f>IFERROR(VLOOKUP(B313,'cultius resum'!$T$6:$AU$308,28,FALSE)/1000000,0)</f>
        <v>0</v>
      </c>
      <c r="N313" s="955">
        <f>M313*'A. Dades de partida'!$D$10+(((I313-M313)*'A. Dades de partida'!$D$10)/2)</f>
        <v>6.898658791627528E-2</v>
      </c>
      <c r="O313" s="955">
        <f t="shared" si="24"/>
        <v>6.898658791627528E-2</v>
      </c>
      <c r="P313" s="916">
        <f>J313*'A. Dades de partida'!$D$10</f>
        <v>9.0961957003349692E-2</v>
      </c>
      <c r="Q313" s="916">
        <f>J313+J313*'4. Agricultura PIB'!$D$71</f>
        <v>7.8469848241556339E-3</v>
      </c>
      <c r="R313" s="916">
        <f>(((J313-Q313)*'A. Dades de partida'!$D$10)/2)+('A. Dades de partida'!$D$10*Q313)</f>
        <v>0.1043333646828421</v>
      </c>
      <c r="S313" s="916">
        <f t="shared" si="25"/>
        <v>1.3371407679492409E-2</v>
      </c>
    </row>
    <row r="314" spans="1:19" ht="15.75" thickBot="1">
      <c r="A314" s="836">
        <v>8905</v>
      </c>
      <c r="B314" s="827" t="s">
        <v>1749</v>
      </c>
      <c r="C314" s="319" t="str">
        <f t="shared" si="22"/>
        <v>Baix Llobregat</v>
      </c>
      <c r="D314" s="908">
        <f>IFERROR(IF(VLOOKUP(B314,'BD ASVICC'!$A$6:$GN$316,193,FALSE)&gt;0,VLOOKUP(B314,'BD ASVICC'!$A$6:$GN$316,193,FALSE),(VLOOKUP(C314,'BD Comarcal'!$A$6:$AB$17,9,)/VLOOKUP(C314,'BD Comarcal'!$A$6:$AB$17,13,))),"")</f>
        <v>7.8252861716696001E-4</v>
      </c>
      <c r="E314" s="910">
        <f>IFERROR(IF(VLOOKUP(B314,'BD ASVICC'!$A$6:$GN$316,192,FALSE)&gt;0,VLOOKUP(B314,'BD ASVICC'!$A$6:$GN$316,192,FALSE),(VLOOKUP(C314,'BD Comarcal'!$A$6:$AB$17,14,)*F314)),"")</f>
        <v>84.204385077844577</v>
      </c>
      <c r="F314" s="904">
        <f t="shared" si="26"/>
        <v>3.7042387604135411E-3</v>
      </c>
      <c r="G314" s="910">
        <f t="shared" si="23"/>
        <v>6.5892341014359923E-2</v>
      </c>
      <c r="H314" s="910">
        <f>IFERROR(VLOOKUP(B314, base,19,FALSE)*'4. Agricultura PIB'!$K$11/1000000,G314*'4. Agricultura PIB'!$F$54)</f>
        <v>0</v>
      </c>
      <c r="I314" s="910">
        <f>G314*'4. Agricultura PIB'!$F$45</f>
        <v>2.1685169427825852E-2</v>
      </c>
      <c r="J314" s="952">
        <f>IFERROR((VLOOKUP(B314,base,19,FALSE)*'tecnicecon agric'!$D$65)/1000000,H314/3)</f>
        <v>0</v>
      </c>
      <c r="K314" s="952">
        <f>IFERROR(VLOOKUP(B314,'cultius resum'!$T$6:$AU$306,22,FALSE)/1000000,0)</f>
        <v>5.6481250000000004E-3</v>
      </c>
      <c r="L314" s="915">
        <f>K314*'A. Dades de partida'!$D$10</f>
        <v>8.4721875000000002E-2</v>
      </c>
      <c r="M314" s="956">
        <f>IFERROR(VLOOKUP(B314,'cultius resum'!$T$6:$AU$308,28,FALSE)/1000000,0)</f>
        <v>8.3898765957203247E-2</v>
      </c>
      <c r="N314" s="955">
        <f>M314*'A. Dades de partida'!$D$10+(((I314-M314)*'A. Dades de partida'!$D$10)/2)</f>
        <v>0.79187951538771828</v>
      </c>
      <c r="O314" s="955">
        <f t="shared" si="24"/>
        <v>0.70798074943051503</v>
      </c>
      <c r="P314" s="916">
        <f>J314*'A. Dades de partida'!$D$10</f>
        <v>0</v>
      </c>
      <c r="Q314" s="916">
        <f>J314+J314*'4. Agricultura PIB'!$D$71</f>
        <v>0</v>
      </c>
      <c r="R314" s="916">
        <f>(((J314-Q314)*'A. Dades de partida'!$D$10)/2)+('A. Dades de partida'!$D$10*Q314)</f>
        <v>0</v>
      </c>
      <c r="S314" s="916">
        <f t="shared" si="25"/>
        <v>0</v>
      </c>
    </row>
  </sheetData>
  <mergeCells count="2">
    <mergeCell ref="L2:N2"/>
    <mergeCell ref="P2:S2"/>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E96"/>
  <sheetViews>
    <sheetView zoomScaleNormal="100" workbookViewId="0">
      <selection activeCell="G37" sqref="G37"/>
    </sheetView>
  </sheetViews>
  <sheetFormatPr defaultColWidth="11.5703125" defaultRowHeight="12.75"/>
  <cols>
    <col min="1" max="1" width="9.28515625" style="3" customWidth="1"/>
    <col min="2" max="2" width="30.28515625" style="3" customWidth="1"/>
    <col min="3" max="3" width="32.42578125" style="3" customWidth="1"/>
    <col min="4" max="4" width="18.28515625" style="3" customWidth="1"/>
    <col min="5" max="5" width="23.85546875" style="3" customWidth="1"/>
    <col min="6" max="6" width="11.5703125" style="3"/>
    <col min="7" max="7" width="15.5703125" style="3" customWidth="1"/>
    <col min="8" max="8" width="20.7109375" style="3" customWidth="1"/>
    <col min="9" max="9" width="15.7109375" style="3" customWidth="1"/>
    <col min="10" max="16384" width="11.5703125" style="3"/>
  </cols>
  <sheetData>
    <row r="1" spans="1:11">
      <c r="A1" s="53"/>
    </row>
    <row r="2" spans="1:11" ht="21" customHeight="1">
      <c r="A2" s="53"/>
      <c r="B2" s="1130" t="s">
        <v>2428</v>
      </c>
      <c r="C2" s="1130"/>
      <c r="D2" s="1130"/>
    </row>
    <row r="3" spans="1:11">
      <c r="A3" s="53"/>
      <c r="B3" s="53"/>
      <c r="C3" s="53"/>
      <c r="D3" s="53"/>
      <c r="E3" s="53"/>
    </row>
    <row r="4" spans="1:11">
      <c r="A4" s="53"/>
      <c r="B4" s="54" t="s">
        <v>425</v>
      </c>
    </row>
    <row r="5" spans="1:11">
      <c r="A5" s="53"/>
      <c r="B5" s="138" t="s">
        <v>2460</v>
      </c>
    </row>
    <row r="6" spans="1:11">
      <c r="A6" s="53"/>
      <c r="K6" s="951"/>
    </row>
    <row r="7" spans="1:11">
      <c r="A7" s="53" t="s">
        <v>197</v>
      </c>
      <c r="B7" s="4" t="s">
        <v>1763</v>
      </c>
      <c r="K7" s="951"/>
    </row>
    <row r="8" spans="1:11">
      <c r="A8" s="53"/>
      <c r="B8" s="4"/>
    </row>
    <row r="9" spans="1:11">
      <c r="A9" s="53"/>
      <c r="B9" s="6" t="s">
        <v>66</v>
      </c>
      <c r="C9" s="44" t="str">
        <f>'A. Dades de partida'!D7</f>
        <v>Vilalba Sasserra</v>
      </c>
    </row>
    <row r="10" spans="1:11">
      <c r="A10" s="53"/>
      <c r="B10" s="6" t="s">
        <v>1760</v>
      </c>
      <c r="C10" s="347">
        <f>'A. Dades de partida'!D8</f>
        <v>8306</v>
      </c>
      <c r="G10" s="3" t="s">
        <v>2784</v>
      </c>
      <c r="H10" s="3">
        <v>208115</v>
      </c>
      <c r="J10" s="3" t="s">
        <v>2786</v>
      </c>
      <c r="K10" s="4" t="s">
        <v>2787</v>
      </c>
    </row>
    <row r="11" spans="1:11">
      <c r="A11" s="53"/>
      <c r="B11" s="6" t="s">
        <v>153</v>
      </c>
      <c r="C11" s="44" t="str">
        <f>'A. Dades de partida'!D24</f>
        <v>Vallès Oriental</v>
      </c>
      <c r="G11" s="3" t="s">
        <v>2785</v>
      </c>
      <c r="H11" s="3">
        <v>1999</v>
      </c>
      <c r="I11" s="950">
        <f>H11/H10</f>
        <v>9.6052663191024193E-3</v>
      </c>
      <c r="J11" s="3">
        <f>H11*F54</f>
        <v>1301.1491000000001</v>
      </c>
      <c r="K11" s="4">
        <f>J11*1000000/H12</f>
        <v>475.17108398535572</v>
      </c>
    </row>
    <row r="12" spans="1:11">
      <c r="A12" s="53"/>
      <c r="B12" s="6" t="s">
        <v>1761</v>
      </c>
      <c r="C12" s="347" t="str">
        <f>'A. Dades de partida'!D25</f>
        <v>41</v>
      </c>
      <c r="G12" s="3" t="s">
        <v>2788</v>
      </c>
      <c r="H12" s="3">
        <v>2738275</v>
      </c>
    </row>
    <row r="13" spans="1:11">
      <c r="A13" s="53"/>
      <c r="B13" s="6" t="s">
        <v>135</v>
      </c>
      <c r="C13" s="347">
        <f>'A. Dades de partida'!D10</f>
        <v>15</v>
      </c>
    </row>
    <row r="14" spans="1:11">
      <c r="A14" s="53"/>
      <c r="B14" s="6" t="s">
        <v>124</v>
      </c>
      <c r="C14" s="347">
        <f>'A. Dades de partida'!D11</f>
        <v>0</v>
      </c>
    </row>
    <row r="15" spans="1:11">
      <c r="A15" s="53"/>
      <c r="B15" s="6" t="s">
        <v>125</v>
      </c>
      <c r="C15" s="347">
        <f>'A. Dades de partida'!D12</f>
        <v>15</v>
      </c>
    </row>
    <row r="16" spans="1:11">
      <c r="A16" s="53"/>
      <c r="B16" s="6" t="s">
        <v>1769</v>
      </c>
      <c r="C16" s="348">
        <f>'A. Dades de partida'!D14</f>
        <v>684</v>
      </c>
    </row>
    <row r="17" spans="1:31">
      <c r="A17" s="53"/>
      <c r="B17" s="6" t="s">
        <v>1771</v>
      </c>
      <c r="C17" s="348">
        <f>'A. Dades de partida'!D15</f>
        <v>587</v>
      </c>
    </row>
    <row r="18" spans="1:31">
      <c r="A18" s="53"/>
      <c r="B18" s="6" t="s">
        <v>1768</v>
      </c>
      <c r="C18" s="348">
        <f>'A. Dades de partida'!D18</f>
        <v>889241.73</v>
      </c>
    </row>
    <row r="19" spans="1:31">
      <c r="A19" s="53"/>
      <c r="B19" s="53"/>
      <c r="C19" s="53"/>
      <c r="D19" s="53"/>
      <c r="E19" s="53"/>
    </row>
    <row r="20" spans="1:31">
      <c r="A20" s="53"/>
    </row>
    <row r="21" spans="1:31">
      <c r="B21" s="12"/>
    </row>
    <row r="22" spans="1:31">
      <c r="A22" s="3" t="s">
        <v>2360</v>
      </c>
      <c r="B22" s="4" t="s">
        <v>2362</v>
      </c>
      <c r="C22" s="412"/>
      <c r="D22" s="412"/>
      <c r="E22" s="412"/>
      <c r="F22" s="412"/>
      <c r="G22" s="412"/>
    </row>
    <row r="23" spans="1:31">
      <c r="B23" s="138" t="s">
        <v>2089</v>
      </c>
    </row>
    <row r="24" spans="1:31">
      <c r="B24" s="138" t="s">
        <v>2364</v>
      </c>
    </row>
    <row r="26" spans="1:31">
      <c r="B26" s="6" t="s">
        <v>2363</v>
      </c>
    </row>
    <row r="27" spans="1:31" s="53" customFormat="1">
      <c r="B27" s="627">
        <f>'A. Dades de partida'!D44</f>
        <v>6.9136657544523888E-2</v>
      </c>
      <c r="C27" s="22"/>
      <c r="D27" s="391"/>
      <c r="E27" s="391"/>
      <c r="F27" s="40"/>
      <c r="G27" s="3"/>
    </row>
    <row r="28" spans="1:31">
      <c r="F28" s="40"/>
    </row>
    <row r="29" spans="1:31" ht="15">
      <c r="B29" s="4" t="s">
        <v>2367</v>
      </c>
      <c r="D29"/>
      <c r="E29"/>
      <c r="F29"/>
      <c r="G29"/>
      <c r="H29"/>
      <c r="I29"/>
      <c r="J29"/>
      <c r="K29"/>
      <c r="L29"/>
      <c r="M29"/>
      <c r="N29"/>
      <c r="O29"/>
      <c r="P29"/>
      <c r="Q29"/>
      <c r="R29"/>
      <c r="S29"/>
      <c r="T29"/>
      <c r="U29"/>
      <c r="V29"/>
      <c r="W29"/>
      <c r="X29"/>
      <c r="Y29"/>
      <c r="Z29"/>
      <c r="AA29"/>
      <c r="AB29"/>
      <c r="AC29"/>
      <c r="AD29"/>
      <c r="AE29"/>
    </row>
    <row r="30" spans="1:31" ht="15">
      <c r="B30" s="4"/>
      <c r="D30"/>
      <c r="E30"/>
      <c r="F30"/>
      <c r="G30"/>
      <c r="H30">
        <v>2016</v>
      </c>
      <c r="I30" s="1059" t="s">
        <v>19</v>
      </c>
      <c r="J30" s="1059" t="s">
        <v>4518</v>
      </c>
      <c r="K30" t="s">
        <v>4525</v>
      </c>
      <c r="L30"/>
      <c r="M30"/>
      <c r="N30"/>
      <c r="O30"/>
      <c r="P30"/>
      <c r="Q30"/>
      <c r="R30"/>
      <c r="S30"/>
      <c r="T30"/>
      <c r="U30"/>
      <c r="V30"/>
      <c r="W30"/>
      <c r="X30"/>
      <c r="Y30"/>
      <c r="Z30"/>
      <c r="AA30"/>
      <c r="AB30"/>
      <c r="AC30"/>
      <c r="AD30"/>
      <c r="AE30"/>
    </row>
    <row r="31" spans="1:31" ht="15" customHeight="1">
      <c r="A31"/>
      <c r="B31" s="481" t="s">
        <v>26</v>
      </c>
      <c r="C31" s="6" t="s">
        <v>441</v>
      </c>
      <c r="D31" s="425" t="s">
        <v>317</v>
      </c>
      <c r="E31" s="442" t="s">
        <v>2757</v>
      </c>
      <c r="F31"/>
      <c r="G31"/>
      <c r="H31" t="s">
        <v>4516</v>
      </c>
      <c r="I31" s="847">
        <f>I37</f>
        <v>4355678978</v>
      </c>
      <c r="J31" s="779">
        <v>783689</v>
      </c>
      <c r="K31">
        <f>I31/J35</f>
        <v>2844.0644245046356</v>
      </c>
      <c r="L31"/>
      <c r="M31"/>
      <c r="N31"/>
      <c r="O31"/>
      <c r="P31"/>
      <c r="Q31"/>
      <c r="R31"/>
      <c r="S31"/>
      <c r="T31"/>
      <c r="U31"/>
      <c r="V31"/>
      <c r="W31"/>
      <c r="X31"/>
      <c r="Y31"/>
      <c r="Z31"/>
      <c r="AA31"/>
      <c r="AB31"/>
      <c r="AC31"/>
      <c r="AD31"/>
      <c r="AE31"/>
    </row>
    <row r="32" spans="1:31" ht="15">
      <c r="A32"/>
      <c r="B32" s="1161" t="s">
        <v>2095</v>
      </c>
      <c r="C32" s="24" t="s">
        <v>2096</v>
      </c>
      <c r="D32" s="443">
        <v>1.1000000000000001E-3</v>
      </c>
      <c r="E32" s="50">
        <f>D32*$B$27</f>
        <v>7.6050323298976287E-5</v>
      </c>
      <c r="F32"/>
      <c r="G32"/>
      <c r="H32" t="s">
        <v>4517</v>
      </c>
      <c r="I32">
        <v>2637170</v>
      </c>
      <c r="J32" s="779">
        <v>2591406</v>
      </c>
      <c r="K32">
        <f>I32/J32</f>
        <v>1.017659911260528</v>
      </c>
      <c r="L32"/>
      <c r="M32"/>
      <c r="N32"/>
      <c r="O32"/>
      <c r="P32"/>
      <c r="Q32"/>
      <c r="R32"/>
      <c r="S32"/>
      <c r="T32"/>
      <c r="U32"/>
      <c r="V32"/>
      <c r="W32"/>
      <c r="X32"/>
      <c r="Y32"/>
      <c r="Z32"/>
      <c r="AA32"/>
      <c r="AB32"/>
      <c r="AC32"/>
      <c r="AD32"/>
      <c r="AE32"/>
    </row>
    <row r="33" spans="1:31" ht="15">
      <c r="A33"/>
      <c r="B33" s="1162"/>
      <c r="C33" s="24" t="s">
        <v>2097</v>
      </c>
      <c r="D33" s="443">
        <v>3.9000000000000003E-3</v>
      </c>
      <c r="E33" s="50">
        <f t="shared" ref="E33:E56" si="0">D33*$B$27</f>
        <v>2.6963296442364317E-4</v>
      </c>
      <c r="F33"/>
      <c r="G33"/>
      <c r="H33"/>
      <c r="I33"/>
      <c r="J33"/>
      <c r="K33"/>
      <c r="L33"/>
      <c r="M33"/>
      <c r="N33"/>
      <c r="O33"/>
      <c r="P33"/>
      <c r="Q33"/>
      <c r="R33"/>
      <c r="S33"/>
      <c r="T33"/>
      <c r="U33"/>
      <c r="V33"/>
      <c r="W33"/>
      <c r="X33"/>
      <c r="Y33"/>
      <c r="Z33"/>
      <c r="AA33"/>
      <c r="AB33"/>
      <c r="AC33"/>
      <c r="AD33"/>
      <c r="AE33"/>
    </row>
    <row r="34" spans="1:31" ht="15">
      <c r="A34"/>
      <c r="B34" s="1162"/>
      <c r="C34" s="24" t="s">
        <v>2098</v>
      </c>
      <c r="D34" s="443">
        <v>8.8000000000000005E-3</v>
      </c>
      <c r="E34" s="50">
        <f t="shared" si="0"/>
        <v>6.0840258639181029E-4</v>
      </c>
      <c r="F34"/>
      <c r="G34"/>
      <c r="H34" t="s">
        <v>4522</v>
      </c>
      <c r="I34" t="s">
        <v>4523</v>
      </c>
      <c r="J34" t="s">
        <v>4524</v>
      </c>
      <c r="K34"/>
      <c r="L34"/>
      <c r="M34"/>
      <c r="N34"/>
      <c r="O34"/>
      <c r="P34"/>
      <c r="Q34"/>
      <c r="R34"/>
      <c r="S34"/>
      <c r="T34"/>
      <c r="U34"/>
      <c r="V34"/>
      <c r="W34"/>
      <c r="X34"/>
      <c r="Y34"/>
      <c r="Z34"/>
      <c r="AA34"/>
      <c r="AB34"/>
      <c r="AC34"/>
      <c r="AD34"/>
      <c r="AE34"/>
    </row>
    <row r="35" spans="1:31" ht="15">
      <c r="A35"/>
      <c r="B35" s="1162"/>
      <c r="C35" s="24" t="s">
        <v>2099</v>
      </c>
      <c r="D35" s="443">
        <v>1.2999999999999999E-3</v>
      </c>
      <c r="E35" s="50">
        <f t="shared" si="0"/>
        <v>8.9877654807881047E-5</v>
      </c>
      <c r="F35"/>
      <c r="G35"/>
      <c r="H35" s="1060">
        <v>561466</v>
      </c>
      <c r="I35" s="1060">
        <v>230960</v>
      </c>
      <c r="J35">
        <f>H35+'tecnicecon agric'!J65*'4. Agricultura PIB'!I35</f>
        <v>1531498</v>
      </c>
      <c r="K35"/>
      <c r="L35"/>
      <c r="M35"/>
      <c r="N35"/>
      <c r="O35"/>
      <c r="P35"/>
      <c r="Q35"/>
      <c r="R35"/>
      <c r="S35"/>
      <c r="T35"/>
      <c r="U35"/>
      <c r="V35"/>
      <c r="W35"/>
      <c r="X35"/>
      <c r="Y35"/>
      <c r="Z35"/>
      <c r="AA35"/>
      <c r="AB35"/>
      <c r="AC35"/>
      <c r="AD35"/>
      <c r="AE35"/>
    </row>
    <row r="36" spans="1:31" ht="15">
      <c r="A36"/>
      <c r="B36" s="1162"/>
      <c r="C36" s="24" t="s">
        <v>2100</v>
      </c>
      <c r="D36" s="443">
        <v>3.0099999999999998E-2</v>
      </c>
      <c r="E36" s="50">
        <f t="shared" si="0"/>
        <v>2.081013392090169E-3</v>
      </c>
      <c r="F36"/>
      <c r="G36"/>
      <c r="H36"/>
      <c r="I36"/>
      <c r="J36"/>
      <c r="K36"/>
      <c r="L36"/>
      <c r="M36"/>
      <c r="N36"/>
      <c r="O36"/>
      <c r="P36"/>
      <c r="Q36"/>
      <c r="R36"/>
      <c r="S36"/>
      <c r="T36"/>
      <c r="U36"/>
      <c r="V36"/>
      <c r="W36"/>
      <c r="X36"/>
      <c r="Y36"/>
      <c r="Z36"/>
      <c r="AA36"/>
      <c r="AB36"/>
      <c r="AC36"/>
      <c r="AD36"/>
      <c r="AE36"/>
    </row>
    <row r="37" spans="1:31" ht="15">
      <c r="A37"/>
      <c r="B37" s="1162"/>
      <c r="C37" s="24" t="s">
        <v>2101</v>
      </c>
      <c r="D37" s="443">
        <v>1.5700000000000002E-2</v>
      </c>
      <c r="E37" s="50">
        <f t="shared" si="0"/>
        <v>1.0854455234490252E-3</v>
      </c>
      <c r="F37"/>
      <c r="G37" t="s">
        <v>4533</v>
      </c>
      <c r="H37" t="s">
        <v>4532</v>
      </c>
      <c r="I37" s="848">
        <f>4472067958-116388980</f>
        <v>4355678978</v>
      </c>
      <c r="J37"/>
      <c r="K37"/>
      <c r="L37"/>
      <c r="M37"/>
      <c r="N37"/>
      <c r="O37"/>
      <c r="P37"/>
      <c r="Q37"/>
      <c r="R37"/>
      <c r="S37"/>
      <c r="T37"/>
      <c r="U37"/>
      <c r="V37"/>
      <c r="W37"/>
      <c r="X37"/>
      <c r="Y37"/>
      <c r="Z37"/>
      <c r="AA37"/>
      <c r="AB37"/>
      <c r="AC37"/>
      <c r="AD37"/>
      <c r="AE37"/>
    </row>
    <row r="38" spans="1:31" ht="15">
      <c r="A38"/>
      <c r="B38" s="1162"/>
      <c r="C38" s="24" t="s">
        <v>1909</v>
      </c>
      <c r="D38" s="443">
        <v>1.4199999999999999E-2</v>
      </c>
      <c r="E38" s="50">
        <f t="shared" si="0"/>
        <v>9.8174053713223912E-4</v>
      </c>
      <c r="F38"/>
      <c r="G38"/>
      <c r="H38"/>
      <c r="I38"/>
      <c r="J38"/>
      <c r="K38"/>
      <c r="L38"/>
      <c r="M38"/>
      <c r="N38"/>
      <c r="O38"/>
      <c r="P38"/>
      <c r="Q38"/>
      <c r="R38"/>
      <c r="S38"/>
      <c r="T38"/>
      <c r="U38"/>
      <c r="V38"/>
      <c r="W38"/>
      <c r="X38"/>
      <c r="Y38"/>
      <c r="Z38"/>
      <c r="AA38"/>
      <c r="AB38"/>
      <c r="AC38"/>
      <c r="AD38"/>
      <c r="AE38"/>
    </row>
    <row r="39" spans="1:31" ht="15">
      <c r="A39"/>
      <c r="B39" s="1162"/>
      <c r="C39" s="24" t="s">
        <v>2102</v>
      </c>
      <c r="D39" s="443">
        <v>1.4800000000000001E-2</v>
      </c>
      <c r="E39" s="50">
        <f t="shared" si="0"/>
        <v>1.0232225316589537E-3</v>
      </c>
      <c r="F39"/>
      <c r="G39"/>
      <c r="H39"/>
      <c r="I39"/>
      <c r="J39"/>
      <c r="K39"/>
      <c r="L39"/>
      <c r="M39"/>
      <c r="N39"/>
      <c r="O39"/>
      <c r="P39"/>
      <c r="Q39"/>
      <c r="R39"/>
      <c r="S39"/>
      <c r="T39"/>
      <c r="U39"/>
      <c r="V39"/>
      <c r="W39"/>
      <c r="X39"/>
      <c r="Y39"/>
      <c r="Z39"/>
      <c r="AA39"/>
      <c r="AB39"/>
      <c r="AC39"/>
      <c r="AD39"/>
      <c r="AE39"/>
    </row>
    <row r="40" spans="1:31" ht="15">
      <c r="A40"/>
      <c r="B40" s="1162"/>
      <c r="C40" s="24" t="s">
        <v>2103</v>
      </c>
      <c r="D40" s="443">
        <v>1.78E-2</v>
      </c>
      <c r="E40" s="50">
        <f t="shared" si="0"/>
        <v>1.2306325042925252E-3</v>
      </c>
      <c r="F40"/>
      <c r="G40"/>
      <c r="H40"/>
      <c r="I40"/>
      <c r="J40"/>
      <c r="K40"/>
      <c r="L40"/>
      <c r="M40"/>
      <c r="N40"/>
      <c r="O40"/>
      <c r="P40"/>
      <c r="Q40"/>
      <c r="R40"/>
      <c r="S40"/>
      <c r="T40"/>
      <c r="U40"/>
      <c r="V40"/>
      <c r="W40"/>
      <c r="X40"/>
      <c r="Y40"/>
      <c r="Z40"/>
      <c r="AA40"/>
      <c r="AB40"/>
      <c r="AC40"/>
      <c r="AD40"/>
      <c r="AE40"/>
    </row>
    <row r="41" spans="1:31" ht="15">
      <c r="A41"/>
      <c r="B41" s="1162"/>
      <c r="C41" s="24" t="s">
        <v>2104</v>
      </c>
      <c r="D41" s="443">
        <v>4.2599999999999999E-2</v>
      </c>
      <c r="E41" s="50">
        <f t="shared" si="0"/>
        <v>2.9452216113967176E-3</v>
      </c>
      <c r="F41"/>
      <c r="G41"/>
      <c r="H41"/>
      <c r="I41"/>
      <c r="J41"/>
      <c r="K41"/>
      <c r="L41"/>
      <c r="M41"/>
      <c r="N41"/>
      <c r="O41"/>
      <c r="P41"/>
      <c r="Q41"/>
      <c r="R41"/>
      <c r="S41"/>
      <c r="T41"/>
      <c r="U41"/>
      <c r="V41"/>
      <c r="W41"/>
      <c r="X41"/>
      <c r="Y41"/>
      <c r="Z41"/>
      <c r="AA41"/>
      <c r="AB41"/>
      <c r="AC41"/>
      <c r="AD41"/>
      <c r="AE41"/>
    </row>
    <row r="42" spans="1:31" ht="15">
      <c r="A42"/>
      <c r="B42" s="1162"/>
      <c r="C42" s="24" t="s">
        <v>1893</v>
      </c>
      <c r="D42" s="443">
        <v>3.2799999999999996E-2</v>
      </c>
      <c r="E42" s="50">
        <f t="shared" si="0"/>
        <v>2.2676823674603833E-3</v>
      </c>
      <c r="F42"/>
      <c r="G42"/>
      <c r="H42"/>
      <c r="I42"/>
      <c r="J42"/>
      <c r="K42"/>
      <c r="L42"/>
      <c r="M42"/>
      <c r="N42"/>
      <c r="O42"/>
      <c r="P42"/>
      <c r="Q42"/>
      <c r="R42"/>
      <c r="S42"/>
      <c r="T42"/>
      <c r="U42"/>
      <c r="V42"/>
      <c r="W42"/>
      <c r="X42"/>
      <c r="Y42"/>
      <c r="Z42"/>
      <c r="AA42"/>
      <c r="AB42"/>
      <c r="AC42"/>
      <c r="AD42"/>
      <c r="AE42"/>
    </row>
    <row r="43" spans="1:31" ht="15">
      <c r="A43"/>
      <c r="B43" s="1162"/>
      <c r="C43" s="24" t="s">
        <v>2105</v>
      </c>
      <c r="D43" s="443">
        <v>5.8099999999999999E-2</v>
      </c>
      <c r="E43" s="50">
        <f t="shared" si="0"/>
        <v>4.0168398033368375E-3</v>
      </c>
      <c r="F43"/>
      <c r="G43"/>
      <c r="H43"/>
      <c r="I43"/>
      <c r="J43"/>
      <c r="K43"/>
      <c r="L43"/>
      <c r="M43"/>
      <c r="N43"/>
      <c r="O43"/>
      <c r="P43"/>
      <c r="Q43"/>
      <c r="R43"/>
      <c r="S43"/>
      <c r="T43"/>
      <c r="U43"/>
      <c r="V43"/>
      <c r="W43"/>
      <c r="X43"/>
      <c r="Y43"/>
      <c r="Z43"/>
      <c r="AA43"/>
      <c r="AB43"/>
      <c r="AC43"/>
      <c r="AD43"/>
      <c r="AE43"/>
    </row>
    <row r="44" spans="1:31" ht="15">
      <c r="A44"/>
      <c r="B44" s="1162"/>
      <c r="C44" s="24" t="s">
        <v>2106</v>
      </c>
      <c r="D44" s="443">
        <v>7.7300000000000008E-2</v>
      </c>
      <c r="E44" s="50">
        <f t="shared" si="0"/>
        <v>5.3442636281916967E-3</v>
      </c>
      <c r="F44"/>
      <c r="G44"/>
      <c r="H44"/>
      <c r="I44"/>
      <c r="J44"/>
      <c r="K44"/>
      <c r="L44"/>
      <c r="M44"/>
      <c r="N44"/>
      <c r="O44"/>
      <c r="P44"/>
      <c r="Q44"/>
      <c r="R44"/>
      <c r="S44"/>
      <c r="T44"/>
      <c r="U44"/>
      <c r="V44"/>
      <c r="W44"/>
      <c r="X44"/>
      <c r="Y44"/>
      <c r="Z44"/>
      <c r="AA44"/>
      <c r="AB44"/>
      <c r="AC44"/>
      <c r="AD44"/>
      <c r="AE44"/>
    </row>
    <row r="45" spans="1:31" ht="15">
      <c r="A45"/>
      <c r="B45" s="1163"/>
      <c r="C45" s="24" t="s">
        <v>2107</v>
      </c>
      <c r="D45" s="443">
        <v>1.06E-2</v>
      </c>
      <c r="E45" s="50">
        <f t="shared" si="0"/>
        <v>7.3284856997195323E-4</v>
      </c>
      <c r="F45" s="912">
        <f>SUM(D32:D45)</f>
        <v>0.3291</v>
      </c>
      <c r="G45"/>
      <c r="H45"/>
      <c r="I45"/>
      <c r="J45"/>
      <c r="K45"/>
      <c r="L45"/>
      <c r="M45"/>
      <c r="N45"/>
      <c r="O45"/>
      <c r="P45"/>
      <c r="Q45"/>
      <c r="R45"/>
      <c r="S45"/>
      <c r="T45"/>
      <c r="U45"/>
      <c r="V45"/>
      <c r="W45"/>
      <c r="X45"/>
      <c r="Y45"/>
      <c r="Z45"/>
      <c r="AA45"/>
      <c r="AB45"/>
      <c r="AC45"/>
      <c r="AD45"/>
      <c r="AE45"/>
    </row>
    <row r="46" spans="1:31" ht="15">
      <c r="A46"/>
      <c r="B46" s="1161" t="s">
        <v>2108</v>
      </c>
      <c r="C46" s="24" t="s">
        <v>2109</v>
      </c>
      <c r="D46" s="443">
        <v>0.37140000000000001</v>
      </c>
      <c r="E46" s="50">
        <f t="shared" si="0"/>
        <v>2.5677354612036171E-2</v>
      </c>
      <c r="F46"/>
      <c r="G46"/>
      <c r="H46"/>
      <c r="I46"/>
      <c r="J46"/>
      <c r="K46"/>
      <c r="L46"/>
      <c r="M46"/>
      <c r="N46"/>
      <c r="O46"/>
      <c r="P46"/>
      <c r="Q46"/>
      <c r="R46"/>
      <c r="S46"/>
      <c r="T46"/>
      <c r="U46"/>
      <c r="V46"/>
      <c r="W46"/>
      <c r="X46"/>
      <c r="Y46"/>
      <c r="Z46"/>
      <c r="AA46"/>
      <c r="AB46"/>
      <c r="AC46"/>
      <c r="AD46"/>
      <c r="AE46"/>
    </row>
    <row r="47" spans="1:31" ht="15">
      <c r="A47"/>
      <c r="B47" s="1162"/>
      <c r="C47" s="24" t="s">
        <v>2110</v>
      </c>
      <c r="D47" s="443">
        <v>1.4000000000000002E-3</v>
      </c>
      <c r="E47" s="50">
        <f t="shared" si="0"/>
        <v>9.6791320562333462E-5</v>
      </c>
      <c r="F47"/>
      <c r="G47"/>
      <c r="H47"/>
      <c r="I47"/>
      <c r="J47"/>
      <c r="K47"/>
      <c r="L47"/>
      <c r="M47"/>
      <c r="N47"/>
      <c r="O47"/>
      <c r="P47"/>
      <c r="Q47"/>
      <c r="R47"/>
      <c r="S47"/>
      <c r="T47"/>
      <c r="U47"/>
      <c r="V47"/>
      <c r="W47"/>
      <c r="X47"/>
      <c r="Y47"/>
      <c r="Z47"/>
      <c r="AA47"/>
      <c r="AB47"/>
      <c r="AC47"/>
      <c r="AD47"/>
      <c r="AE47"/>
    </row>
    <row r="48" spans="1:31" ht="15">
      <c r="A48"/>
      <c r="B48" s="1162"/>
      <c r="C48" s="24" t="s">
        <v>2111</v>
      </c>
      <c r="D48" s="443">
        <v>1.38E-2</v>
      </c>
      <c r="E48" s="50">
        <f t="shared" si="0"/>
        <v>9.5408587411442963E-4</v>
      </c>
      <c r="F48"/>
      <c r="G48"/>
      <c r="H48"/>
      <c r="I48"/>
      <c r="J48"/>
      <c r="K48"/>
      <c r="L48"/>
      <c r="M48"/>
      <c r="N48"/>
      <c r="O48"/>
      <c r="P48"/>
      <c r="Q48"/>
      <c r="R48"/>
      <c r="S48"/>
      <c r="T48"/>
      <c r="U48"/>
      <c r="V48"/>
      <c r="W48"/>
      <c r="X48"/>
      <c r="Y48"/>
      <c r="Z48"/>
      <c r="AA48"/>
      <c r="AB48"/>
      <c r="AC48"/>
      <c r="AD48"/>
      <c r="AE48"/>
    </row>
    <row r="49" spans="1:31" ht="15">
      <c r="A49"/>
      <c r="B49" s="1162"/>
      <c r="C49" s="24" t="s">
        <v>2112</v>
      </c>
      <c r="D49" s="443">
        <v>1.23E-2</v>
      </c>
      <c r="E49" s="50">
        <f t="shared" si="0"/>
        <v>8.5038088779764386E-4</v>
      </c>
      <c r="F49"/>
      <c r="G49"/>
      <c r="H49"/>
      <c r="I49"/>
      <c r="J49"/>
      <c r="K49"/>
      <c r="L49"/>
      <c r="M49"/>
      <c r="N49"/>
      <c r="O49"/>
      <c r="P49"/>
      <c r="Q49"/>
      <c r="R49"/>
      <c r="S49"/>
      <c r="T49"/>
      <c r="U49"/>
      <c r="V49"/>
      <c r="W49"/>
      <c r="X49"/>
      <c r="Y49"/>
      <c r="Z49"/>
      <c r="AA49"/>
      <c r="AB49"/>
      <c r="AC49"/>
      <c r="AD49"/>
      <c r="AE49"/>
    </row>
    <row r="50" spans="1:31" ht="15">
      <c r="A50"/>
      <c r="B50" s="1162"/>
      <c r="C50" s="24" t="s">
        <v>2113</v>
      </c>
      <c r="D50" s="443">
        <v>1.4999999999999999E-2</v>
      </c>
      <c r="E50" s="50">
        <f t="shared" si="0"/>
        <v>1.0370498631678583E-3</v>
      </c>
      <c r="F50"/>
      <c r="G50"/>
      <c r="H50"/>
      <c r="I50"/>
      <c r="J50"/>
      <c r="K50"/>
      <c r="L50"/>
      <c r="M50"/>
      <c r="N50"/>
      <c r="O50"/>
      <c r="P50"/>
      <c r="Q50"/>
      <c r="R50"/>
      <c r="S50"/>
      <c r="T50"/>
      <c r="U50"/>
      <c r="V50"/>
      <c r="W50"/>
      <c r="X50"/>
      <c r="Y50"/>
      <c r="Z50"/>
      <c r="AA50"/>
      <c r="AB50"/>
      <c r="AC50"/>
      <c r="AD50"/>
      <c r="AE50"/>
    </row>
    <row r="51" spans="1:31" ht="15">
      <c r="A51"/>
      <c r="B51" s="1162"/>
      <c r="C51" s="24" t="s">
        <v>2114</v>
      </c>
      <c r="D51" s="443">
        <v>5.5800000000000002E-2</v>
      </c>
      <c r="E51" s="50">
        <f t="shared" si="0"/>
        <v>3.8578254909844333E-3</v>
      </c>
      <c r="F51"/>
      <c r="G51"/>
      <c r="H51"/>
      <c r="I51"/>
      <c r="J51"/>
      <c r="K51"/>
      <c r="L51"/>
      <c r="M51"/>
      <c r="N51"/>
      <c r="O51"/>
      <c r="P51"/>
      <c r="Q51"/>
      <c r="R51"/>
      <c r="S51"/>
      <c r="T51"/>
      <c r="U51"/>
      <c r="V51"/>
      <c r="W51"/>
      <c r="X51"/>
      <c r="Y51"/>
      <c r="Z51"/>
      <c r="AA51"/>
      <c r="AB51"/>
      <c r="AC51"/>
      <c r="AD51"/>
      <c r="AE51"/>
    </row>
    <row r="52" spans="1:31" ht="15">
      <c r="A52"/>
      <c r="B52" s="1162"/>
      <c r="C52" s="24" t="s">
        <v>2115</v>
      </c>
      <c r="D52" s="443">
        <v>6.6600000000000006E-2</v>
      </c>
      <c r="E52" s="50">
        <f t="shared" si="0"/>
        <v>4.6045013924652916E-3</v>
      </c>
      <c r="F52"/>
      <c r="G52"/>
      <c r="H52"/>
      <c r="I52"/>
      <c r="J52"/>
      <c r="K52"/>
      <c r="L52"/>
      <c r="M52"/>
      <c r="N52"/>
      <c r="O52"/>
      <c r="P52"/>
      <c r="Q52"/>
      <c r="R52"/>
      <c r="S52"/>
      <c r="T52"/>
      <c r="U52"/>
      <c r="V52"/>
      <c r="W52"/>
      <c r="X52"/>
      <c r="Y52"/>
      <c r="Z52"/>
      <c r="AA52"/>
      <c r="AB52"/>
      <c r="AC52"/>
      <c r="AD52"/>
      <c r="AE52"/>
    </row>
    <row r="53" spans="1:31" ht="15">
      <c r="A53"/>
      <c r="B53" s="1162"/>
      <c r="C53" s="24" t="s">
        <v>2116</v>
      </c>
      <c r="D53" s="443">
        <v>0.1115</v>
      </c>
      <c r="E53" s="50">
        <f t="shared" si="0"/>
        <v>7.7087373162144134E-3</v>
      </c>
      <c r="F53"/>
      <c r="G53"/>
      <c r="H53"/>
      <c r="I53"/>
      <c r="J53"/>
      <c r="K53"/>
      <c r="L53"/>
      <c r="M53"/>
      <c r="N53"/>
      <c r="O53"/>
      <c r="P53"/>
      <c r="Q53"/>
      <c r="R53"/>
      <c r="S53"/>
      <c r="T53"/>
      <c r="U53"/>
      <c r="V53"/>
      <c r="W53"/>
      <c r="X53"/>
      <c r="Y53"/>
      <c r="Z53"/>
      <c r="AA53"/>
      <c r="AB53"/>
      <c r="AC53"/>
      <c r="AD53"/>
      <c r="AE53"/>
    </row>
    <row r="54" spans="1:31" ht="15">
      <c r="A54"/>
      <c r="B54" s="1163"/>
      <c r="C54" s="24" t="s">
        <v>2117</v>
      </c>
      <c r="D54" s="443">
        <v>3.0999999999999999E-3</v>
      </c>
      <c r="E54" s="50">
        <f t="shared" si="0"/>
        <v>2.1432363838802404E-4</v>
      </c>
      <c r="F54" s="913">
        <f>SUM(D46:D54)</f>
        <v>0.65090000000000003</v>
      </c>
      <c r="G54"/>
      <c r="H54"/>
      <c r="I54"/>
      <c r="J54"/>
      <c r="K54"/>
      <c r="L54"/>
      <c r="M54"/>
      <c r="N54"/>
      <c r="O54"/>
      <c r="P54"/>
      <c r="Q54"/>
      <c r="R54"/>
      <c r="S54"/>
      <c r="T54"/>
      <c r="U54"/>
      <c r="V54"/>
      <c r="W54"/>
      <c r="X54"/>
      <c r="Y54"/>
      <c r="Z54"/>
      <c r="AA54"/>
      <c r="AB54"/>
      <c r="AC54"/>
      <c r="AD54"/>
      <c r="AE54"/>
    </row>
    <row r="55" spans="1:31" ht="15">
      <c r="A55"/>
      <c r="B55" s="1161" t="s">
        <v>528</v>
      </c>
      <c r="C55" s="24" t="s">
        <v>2118</v>
      </c>
      <c r="D55" s="443">
        <v>1.7899999999999999E-2</v>
      </c>
      <c r="E55" s="50">
        <f t="shared" si="0"/>
        <v>1.2375461700469775E-3</v>
      </c>
      <c r="F55"/>
      <c r="G55"/>
      <c r="H55"/>
      <c r="I55"/>
      <c r="J55"/>
      <c r="K55"/>
      <c r="L55"/>
      <c r="M55"/>
      <c r="N55"/>
      <c r="O55"/>
      <c r="P55"/>
      <c r="Q55"/>
      <c r="R55"/>
      <c r="S55"/>
      <c r="T55"/>
      <c r="U55"/>
      <c r="V55"/>
      <c r="W55"/>
      <c r="X55"/>
      <c r="Y55"/>
      <c r="Z55"/>
      <c r="AA55"/>
      <c r="AB55"/>
      <c r="AC55"/>
      <c r="AD55"/>
      <c r="AE55"/>
    </row>
    <row r="56" spans="1:31" ht="15">
      <c r="A56"/>
      <c r="B56" s="1163"/>
      <c r="C56" s="24" t="s">
        <v>2119</v>
      </c>
      <c r="D56" s="443">
        <v>2.0999999999999999E-3</v>
      </c>
      <c r="E56" s="50">
        <f t="shared" si="0"/>
        <v>1.4518698084350015E-4</v>
      </c>
      <c r="F56"/>
      <c r="G56"/>
      <c r="H56"/>
      <c r="I56"/>
      <c r="J56"/>
      <c r="K56"/>
      <c r="L56"/>
      <c r="M56"/>
      <c r="N56"/>
      <c r="O56"/>
      <c r="P56"/>
      <c r="Q56"/>
      <c r="R56"/>
      <c r="S56"/>
      <c r="T56"/>
      <c r="U56"/>
      <c r="V56"/>
      <c r="W56"/>
      <c r="X56"/>
      <c r="Y56"/>
      <c r="Z56"/>
      <c r="AA56"/>
      <c r="AB56"/>
      <c r="AC56"/>
      <c r="AD56"/>
      <c r="AE56"/>
    </row>
    <row r="57" spans="1:31" ht="15">
      <c r="A57"/>
      <c r="B57" s="59" t="s">
        <v>38</v>
      </c>
      <c r="C57" s="34" t="s">
        <v>38</v>
      </c>
      <c r="D57" s="444">
        <f>SUM(D32:D56)</f>
        <v>1</v>
      </c>
      <c r="E57" s="911">
        <f>SUM(E32:E56)</f>
        <v>6.9136657544523888E-2</v>
      </c>
      <c r="F57"/>
      <c r="G57"/>
      <c r="H57"/>
      <c r="I57"/>
      <c r="J57"/>
      <c r="K57"/>
      <c r="L57"/>
      <c r="M57"/>
      <c r="N57"/>
      <c r="O57"/>
      <c r="P57"/>
      <c r="Q57"/>
      <c r="R57"/>
      <c r="S57"/>
      <c r="T57"/>
      <c r="U57"/>
      <c r="V57"/>
      <c r="W57"/>
      <c r="X57"/>
      <c r="Y57"/>
      <c r="Z57"/>
      <c r="AA57"/>
      <c r="AB57"/>
      <c r="AC57"/>
      <c r="AD57"/>
      <c r="AE57"/>
    </row>
    <row r="58" spans="1:31" ht="15">
      <c r="A58"/>
      <c r="B58" s="67" t="s">
        <v>2120</v>
      </c>
      <c r="C58" s="13"/>
      <c r="D58" s="40"/>
      <c r="E58" s="40"/>
      <c r="F58"/>
      <c r="G58"/>
      <c r="H58"/>
      <c r="I58"/>
      <c r="J58"/>
      <c r="K58"/>
      <c r="L58"/>
      <c r="M58"/>
      <c r="N58"/>
      <c r="O58"/>
      <c r="P58"/>
      <c r="Q58"/>
      <c r="R58"/>
      <c r="S58"/>
      <c r="T58"/>
      <c r="U58"/>
      <c r="V58"/>
      <c r="W58"/>
      <c r="X58"/>
      <c r="Y58"/>
      <c r="Z58"/>
      <c r="AA58"/>
      <c r="AB58"/>
      <c r="AC58"/>
      <c r="AD58"/>
      <c r="AE58"/>
    </row>
    <row r="59" spans="1:31" ht="15">
      <c r="D59"/>
      <c r="E59"/>
      <c r="F59"/>
      <c r="G59"/>
      <c r="H59"/>
      <c r="I59"/>
      <c r="J59"/>
      <c r="K59"/>
      <c r="L59"/>
      <c r="M59"/>
      <c r="N59"/>
      <c r="O59"/>
      <c r="P59"/>
      <c r="Q59"/>
      <c r="R59"/>
      <c r="S59"/>
      <c r="T59"/>
      <c r="U59"/>
      <c r="V59"/>
      <c r="W59"/>
      <c r="X59"/>
      <c r="Y59"/>
      <c r="Z59"/>
      <c r="AA59"/>
      <c r="AB59"/>
      <c r="AC59"/>
      <c r="AD59"/>
      <c r="AE59"/>
    </row>
    <row r="60" spans="1:31">
      <c r="F60" s="40"/>
    </row>
    <row r="61" spans="1:31">
      <c r="A61" s="53" t="s">
        <v>47</v>
      </c>
      <c r="B61" s="105" t="s">
        <v>2090</v>
      </c>
      <c r="C61" s="438">
        <f>B27*(SUM(D32:D45))</f>
        <v>2.2752873997902812E-2</v>
      </c>
      <c r="F61" s="40"/>
      <c r="J61" s="13"/>
    </row>
    <row r="62" spans="1:31">
      <c r="A62" s="53"/>
    </row>
    <row r="63" spans="1:31">
      <c r="A63" s="53" t="s">
        <v>48</v>
      </c>
      <c r="B63" s="34" t="s">
        <v>2584</v>
      </c>
      <c r="C63" s="439">
        <f>C61*C13</f>
        <v>0.34129310996854217</v>
      </c>
      <c r="D63" s="4"/>
    </row>
    <row r="66" spans="1:4">
      <c r="A66" s="3" t="s">
        <v>44</v>
      </c>
      <c r="B66" s="4" t="s">
        <v>471</v>
      </c>
    </row>
    <row r="67" spans="1:4">
      <c r="B67" s="4"/>
    </row>
    <row r="68" spans="1:4">
      <c r="B68" s="70" t="s">
        <v>75</v>
      </c>
    </row>
    <row r="70" spans="1:4">
      <c r="B70" s="6" t="s">
        <v>26</v>
      </c>
      <c r="C70" s="37" t="s">
        <v>36</v>
      </c>
    </row>
    <row r="71" spans="1:4">
      <c r="B71" s="34" t="s">
        <v>2095</v>
      </c>
      <c r="C71" s="355">
        <v>-0.29399999999999998</v>
      </c>
      <c r="D71" s="3">
        <f>29.4%</f>
        <v>0.29399999999999998</v>
      </c>
    </row>
    <row r="72" spans="1:4">
      <c r="B72" s="6" t="s">
        <v>28</v>
      </c>
      <c r="C72" s="354">
        <v>-7.4999999999999997E-2</v>
      </c>
    </row>
    <row r="73" spans="1:4">
      <c r="B73" s="6" t="s">
        <v>29</v>
      </c>
      <c r="C73" s="354">
        <v>-5.7000000000000002E-2</v>
      </c>
    </row>
    <row r="74" spans="1:4">
      <c r="B74" s="6" t="s">
        <v>30</v>
      </c>
      <c r="C74" s="354">
        <v>-6.8000000000000005E-2</v>
      </c>
    </row>
    <row r="75" spans="1:4">
      <c r="B75" s="6" t="s">
        <v>31</v>
      </c>
      <c r="C75" s="354">
        <v>-7.4999999999999997E-2</v>
      </c>
    </row>
    <row r="76" spans="1:4">
      <c r="B76" s="6" t="s">
        <v>32</v>
      </c>
      <c r="C76" s="354">
        <v>-6.8000000000000005E-2</v>
      </c>
    </row>
    <row r="77" spans="1:4">
      <c r="B77" s="6" t="s">
        <v>33</v>
      </c>
      <c r="C77" s="354">
        <v>-6.6000000000000003E-2</v>
      </c>
    </row>
    <row r="78" spans="1:4">
      <c r="B78" s="6" t="s">
        <v>34</v>
      </c>
      <c r="C78" s="354">
        <v>-9.0999999999999998E-2</v>
      </c>
    </row>
    <row r="79" spans="1:4">
      <c r="B79" s="34" t="s">
        <v>38</v>
      </c>
      <c r="C79" s="355">
        <v>-7.2999999999999995E-2</v>
      </c>
    </row>
    <row r="80" spans="1:4">
      <c r="B80" s="13" t="s">
        <v>1931</v>
      </c>
    </row>
    <row r="81" spans="1:18">
      <c r="B81" s="73"/>
    </row>
    <row r="82" spans="1:18">
      <c r="B82" s="4"/>
    </row>
    <row r="83" spans="1:18">
      <c r="A83" s="3" t="s">
        <v>49</v>
      </c>
      <c r="B83" s="4" t="s">
        <v>1984</v>
      </c>
    </row>
    <row r="84" spans="1:18">
      <c r="B84" s="120"/>
    </row>
    <row r="87" spans="1:18">
      <c r="C87" s="6">
        <v>0</v>
      </c>
      <c r="D87" s="6">
        <v>1</v>
      </c>
      <c r="E87" s="6">
        <v>2</v>
      </c>
      <c r="F87" s="6">
        <v>3</v>
      </c>
      <c r="G87" s="6">
        <v>4</v>
      </c>
      <c r="H87" s="6">
        <v>5</v>
      </c>
      <c r="I87" s="6">
        <v>6</v>
      </c>
      <c r="J87" s="6">
        <v>7</v>
      </c>
      <c r="K87" s="6">
        <v>8</v>
      </c>
      <c r="L87" s="6">
        <v>9</v>
      </c>
      <c r="M87" s="6">
        <v>10</v>
      </c>
      <c r="N87" s="6">
        <v>11</v>
      </c>
      <c r="O87" s="6">
        <v>12</v>
      </c>
      <c r="P87" s="6">
        <v>13</v>
      </c>
      <c r="Q87" s="6">
        <v>14</v>
      </c>
      <c r="R87" s="6">
        <v>15</v>
      </c>
    </row>
    <row r="88" spans="1:18">
      <c r="B88" s="6" t="s">
        <v>59</v>
      </c>
      <c r="C88" s="48">
        <f>$C$14+C87</f>
        <v>0</v>
      </c>
      <c r="D88" s="48">
        <f t="shared" ref="D88:R88" si="1">$C$14+D87</f>
        <v>1</v>
      </c>
      <c r="E88" s="48">
        <f t="shared" si="1"/>
        <v>2</v>
      </c>
      <c r="F88" s="48">
        <f t="shared" si="1"/>
        <v>3</v>
      </c>
      <c r="G88" s="48">
        <f t="shared" si="1"/>
        <v>4</v>
      </c>
      <c r="H88" s="48">
        <f t="shared" si="1"/>
        <v>5</v>
      </c>
      <c r="I88" s="48">
        <f t="shared" si="1"/>
        <v>6</v>
      </c>
      <c r="J88" s="48">
        <f t="shared" si="1"/>
        <v>7</v>
      </c>
      <c r="K88" s="48">
        <f t="shared" si="1"/>
        <v>8</v>
      </c>
      <c r="L88" s="48">
        <f t="shared" si="1"/>
        <v>9</v>
      </c>
      <c r="M88" s="48">
        <f t="shared" si="1"/>
        <v>10</v>
      </c>
      <c r="N88" s="48">
        <f t="shared" si="1"/>
        <v>11</v>
      </c>
      <c r="O88" s="48">
        <f t="shared" si="1"/>
        <v>12</v>
      </c>
      <c r="P88" s="48">
        <f t="shared" si="1"/>
        <v>13</v>
      </c>
      <c r="Q88" s="48">
        <f t="shared" si="1"/>
        <v>14</v>
      </c>
      <c r="R88" s="48">
        <f t="shared" si="1"/>
        <v>15</v>
      </c>
    </row>
    <row r="89" spans="1:18">
      <c r="B89" s="6" t="s">
        <v>2091</v>
      </c>
      <c r="C89" s="6">
        <v>0</v>
      </c>
      <c r="D89" s="440">
        <f t="shared" ref="D89:Q89" si="2">(($R$89-$C$89)/($C$13))+C89</f>
        <v>-1.9599999999999999E-2</v>
      </c>
      <c r="E89" s="440">
        <f t="shared" si="2"/>
        <v>-3.9199999999999999E-2</v>
      </c>
      <c r="F89" s="440">
        <f t="shared" si="2"/>
        <v>-5.8799999999999998E-2</v>
      </c>
      <c r="G89" s="440">
        <f t="shared" si="2"/>
        <v>-7.8399999999999997E-2</v>
      </c>
      <c r="H89" s="440">
        <f t="shared" si="2"/>
        <v>-9.8000000000000004E-2</v>
      </c>
      <c r="I89" s="440">
        <f t="shared" si="2"/>
        <v>-0.11760000000000001</v>
      </c>
      <c r="J89" s="440">
        <f t="shared" si="2"/>
        <v>-0.13720000000000002</v>
      </c>
      <c r="K89" s="440">
        <f t="shared" si="2"/>
        <v>-0.15680000000000002</v>
      </c>
      <c r="L89" s="440">
        <f t="shared" si="2"/>
        <v>-0.17640000000000003</v>
      </c>
      <c r="M89" s="440">
        <f t="shared" si="2"/>
        <v>-0.19600000000000004</v>
      </c>
      <c r="N89" s="440">
        <f t="shared" si="2"/>
        <v>-0.21560000000000004</v>
      </c>
      <c r="O89" s="440">
        <f t="shared" si="2"/>
        <v>-0.23520000000000005</v>
      </c>
      <c r="P89" s="440">
        <f t="shared" si="2"/>
        <v>-0.25480000000000003</v>
      </c>
      <c r="Q89" s="440">
        <f t="shared" si="2"/>
        <v>-0.27440000000000003</v>
      </c>
      <c r="R89" s="94">
        <f>C71</f>
        <v>-0.29399999999999998</v>
      </c>
    </row>
    <row r="90" spans="1:18">
      <c r="B90" s="6" t="s">
        <v>2583</v>
      </c>
      <c r="C90" s="92">
        <f>C61</f>
        <v>2.2752873997902812E-2</v>
      </c>
      <c r="D90" s="92">
        <f t="shared" ref="D90:R90" si="3">($C$90)*(1+D89)</f>
        <v>2.2306917667543918E-2</v>
      </c>
      <c r="E90" s="92">
        <f t="shared" si="3"/>
        <v>2.1860961337185021E-2</v>
      </c>
      <c r="F90" s="92">
        <f t="shared" si="3"/>
        <v>2.1415005006826127E-2</v>
      </c>
      <c r="G90" s="92">
        <f t="shared" si="3"/>
        <v>2.096904867646723E-2</v>
      </c>
      <c r="H90" s="92">
        <f t="shared" si="3"/>
        <v>2.0523092346108336E-2</v>
      </c>
      <c r="I90" s="92">
        <f t="shared" si="3"/>
        <v>2.0077136015749442E-2</v>
      </c>
      <c r="J90" s="92">
        <f t="shared" si="3"/>
        <v>1.9631179685390545E-2</v>
      </c>
      <c r="K90" s="92">
        <f t="shared" si="3"/>
        <v>1.9185223355031651E-2</v>
      </c>
      <c r="L90" s="92">
        <f t="shared" si="3"/>
        <v>1.8739267024672757E-2</v>
      </c>
      <c r="M90" s="92">
        <f t="shared" si="3"/>
        <v>1.829331069431386E-2</v>
      </c>
      <c r="N90" s="92">
        <f t="shared" si="3"/>
        <v>1.7847354363954966E-2</v>
      </c>
      <c r="O90" s="92">
        <f t="shared" si="3"/>
        <v>1.7401398033596069E-2</v>
      </c>
      <c r="P90" s="92">
        <f t="shared" si="3"/>
        <v>1.6955441703237175E-2</v>
      </c>
      <c r="Q90" s="92">
        <f t="shared" si="3"/>
        <v>1.6509485372878281E-2</v>
      </c>
      <c r="R90" s="92">
        <f t="shared" si="3"/>
        <v>1.6063529042519384E-2</v>
      </c>
    </row>
    <row r="93" spans="1:18">
      <c r="A93" s="53" t="s">
        <v>50</v>
      </c>
      <c r="B93" s="417" t="s">
        <v>2010</v>
      </c>
      <c r="C93" s="139">
        <f>SUM(D90:R90)</f>
        <v>0.28777835032547477</v>
      </c>
    </row>
    <row r="94" spans="1:18">
      <c r="A94" s="53"/>
      <c r="B94" s="53"/>
      <c r="C94" s="53"/>
    </row>
    <row r="95" spans="1:18">
      <c r="A95" s="53"/>
      <c r="B95" s="53"/>
      <c r="C95" s="53"/>
    </row>
    <row r="96" spans="1:18">
      <c r="A96" s="3" t="s">
        <v>70</v>
      </c>
      <c r="B96" s="34" t="s">
        <v>1957</v>
      </c>
      <c r="C96" s="415">
        <f>(C63-C93)</f>
        <v>5.35147596430674E-2</v>
      </c>
    </row>
  </sheetData>
  <mergeCells count="4">
    <mergeCell ref="B32:B45"/>
    <mergeCell ref="B46:B54"/>
    <mergeCell ref="B55:B56"/>
    <mergeCell ref="B2:D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E142"/>
  <sheetViews>
    <sheetView topLeftCell="A55" zoomScaleNormal="100" workbookViewId="0">
      <selection activeCell="F87" sqref="F87"/>
    </sheetView>
  </sheetViews>
  <sheetFormatPr defaultColWidth="11.42578125" defaultRowHeight="15"/>
  <cols>
    <col min="1" max="1" width="7.42578125" customWidth="1"/>
    <col min="2" max="2" width="36.7109375" customWidth="1"/>
    <col min="3" max="3" width="19.7109375" customWidth="1"/>
    <col min="4" max="4" width="15.5703125" customWidth="1"/>
    <col min="5" max="5" width="20.28515625" customWidth="1"/>
    <col min="6" max="6" width="20.5703125" customWidth="1"/>
    <col min="7" max="7" width="19" customWidth="1"/>
    <col min="8" max="8" width="19.7109375" customWidth="1"/>
    <col min="9" max="9" width="26.7109375" customWidth="1"/>
    <col min="10" max="10" width="16.28515625" customWidth="1"/>
    <col min="12" max="12" width="14.28515625" customWidth="1"/>
  </cols>
  <sheetData>
    <row r="1" spans="1:4">
      <c r="A1" s="53"/>
      <c r="B1" s="3"/>
      <c r="C1" s="3"/>
    </row>
    <row r="2" spans="1:4" ht="21.4" customHeight="1">
      <c r="A2" s="53"/>
      <c r="B2" s="1130" t="s">
        <v>2429</v>
      </c>
      <c r="C2" s="1130"/>
      <c r="D2" s="1130"/>
    </row>
    <row r="3" spans="1:4">
      <c r="A3" s="53"/>
      <c r="B3" s="53"/>
      <c r="C3" s="53"/>
      <c r="D3" s="53"/>
    </row>
    <row r="4" spans="1:4">
      <c r="A4" s="53"/>
      <c r="B4" s="54" t="s">
        <v>2430</v>
      </c>
      <c r="C4" s="3"/>
    </row>
    <row r="5" spans="1:4">
      <c r="A5" s="53"/>
      <c r="B5" s="3"/>
      <c r="C5" s="3"/>
    </row>
    <row r="6" spans="1:4">
      <c r="A6" s="53" t="s">
        <v>197</v>
      </c>
      <c r="B6" s="4" t="s">
        <v>1763</v>
      </c>
      <c r="C6" s="3"/>
    </row>
    <row r="7" spans="1:4">
      <c r="A7" s="53"/>
      <c r="B7" s="4"/>
      <c r="C7" s="3"/>
    </row>
    <row r="8" spans="1:4">
      <c r="A8" s="53"/>
      <c r="B8" s="6" t="s">
        <v>66</v>
      </c>
      <c r="C8" s="44" t="str">
        <f>'A. Dades de partida'!D7</f>
        <v>Vilalba Sasserra</v>
      </c>
    </row>
    <row r="9" spans="1:4">
      <c r="A9" s="53"/>
      <c r="B9" s="6" t="s">
        <v>1760</v>
      </c>
      <c r="C9" s="347">
        <f>'A. Dades de partida'!D8</f>
        <v>8306</v>
      </c>
    </row>
    <row r="10" spans="1:4">
      <c r="A10" s="53"/>
      <c r="B10" s="6" t="s">
        <v>153</v>
      </c>
      <c r="C10" s="44" t="str">
        <f>'A. Dades de partida'!D24</f>
        <v>Vallès Oriental</v>
      </c>
    </row>
    <row r="11" spans="1:4">
      <c r="A11" s="53"/>
      <c r="B11" s="6" t="s">
        <v>1761</v>
      </c>
      <c r="C11" s="347" t="str">
        <f>'A. Dades de partida'!D25</f>
        <v>41</v>
      </c>
    </row>
    <row r="12" spans="1:4">
      <c r="A12" s="53"/>
      <c r="B12" s="6" t="s">
        <v>135</v>
      </c>
      <c r="C12" s="347">
        <f>'A. Dades de partida'!D10</f>
        <v>15</v>
      </c>
    </row>
    <row r="13" spans="1:4">
      <c r="A13" s="53"/>
      <c r="B13" s="6" t="s">
        <v>124</v>
      </c>
      <c r="C13" s="347">
        <f>'A. Dades de partida'!D11</f>
        <v>0</v>
      </c>
    </row>
    <row r="14" spans="1:4">
      <c r="A14" s="53"/>
      <c r="B14" s="6" t="s">
        <v>125</v>
      </c>
      <c r="C14" s="347">
        <f>'A. Dades de partida'!D12</f>
        <v>15</v>
      </c>
    </row>
    <row r="15" spans="1:4">
      <c r="A15" s="53"/>
      <c r="B15" s="6" t="s">
        <v>1769</v>
      </c>
      <c r="C15" s="348">
        <f>'A. Dades de partida'!D14</f>
        <v>684</v>
      </c>
    </row>
    <row r="16" spans="1:4">
      <c r="A16" s="53"/>
      <c r="B16" s="6" t="s">
        <v>1771</v>
      </c>
      <c r="C16" s="348">
        <f>'A. Dades de partida'!D15</f>
        <v>587</v>
      </c>
    </row>
    <row r="17" spans="1:31">
      <c r="A17" s="53"/>
      <c r="B17" s="6" t="s">
        <v>1768</v>
      </c>
      <c r="C17" s="348">
        <f>'A. Dades de partida'!D18</f>
        <v>889241.73</v>
      </c>
    </row>
    <row r="18" spans="1:31">
      <c r="A18" s="53"/>
      <c r="B18" s="53"/>
      <c r="C18" s="53"/>
    </row>
    <row r="19" spans="1:31">
      <c r="A19" s="53"/>
      <c r="B19" s="3"/>
      <c r="C19" s="3"/>
    </row>
    <row r="20" spans="1:31">
      <c r="A20" s="3"/>
      <c r="B20" s="12"/>
      <c r="C20" s="3"/>
      <c r="F20" s="3"/>
      <c r="G20" s="3"/>
      <c r="H20" s="3"/>
      <c r="I20" s="3"/>
    </row>
    <row r="21" spans="1:31">
      <c r="A21" s="3" t="s">
        <v>2366</v>
      </c>
      <c r="B21" s="4" t="s">
        <v>2365</v>
      </c>
      <c r="C21" s="426"/>
    </row>
    <row r="22" spans="1:31">
      <c r="A22" s="3"/>
      <c r="B22" s="138" t="s">
        <v>2089</v>
      </c>
      <c r="C22" s="3"/>
    </row>
    <row r="23" spans="1:31">
      <c r="A23" s="3"/>
      <c r="B23" s="138" t="s">
        <v>2364</v>
      </c>
      <c r="C23" s="3"/>
    </row>
    <row r="24" spans="1:31">
      <c r="A24" s="3"/>
      <c r="B24" s="3"/>
      <c r="C24" s="3"/>
    </row>
    <row r="25" spans="1:31">
      <c r="A25" s="3"/>
      <c r="B25" s="6" t="s">
        <v>2363</v>
      </c>
      <c r="C25" s="3"/>
    </row>
    <row r="26" spans="1:31">
      <c r="A26" s="53"/>
      <c r="B26" s="627">
        <f>'A. Dades de partida'!D44</f>
        <v>6.9136657544523888E-2</v>
      </c>
      <c r="C26" s="22"/>
    </row>
    <row r="27" spans="1:31">
      <c r="A27" s="323"/>
      <c r="B27" s="323"/>
      <c r="C27" s="323"/>
      <c r="D27" s="448"/>
      <c r="E27" s="448"/>
      <c r="F27" s="448"/>
      <c r="G27" s="448"/>
      <c r="H27" s="448"/>
      <c r="I27" s="448"/>
      <c r="J27" s="448"/>
      <c r="K27" s="448"/>
      <c r="L27" s="448"/>
      <c r="M27" s="448"/>
      <c r="N27" s="448"/>
      <c r="O27" s="448"/>
      <c r="P27" s="448"/>
      <c r="Q27" s="448"/>
      <c r="R27" s="448"/>
      <c r="S27" s="448"/>
      <c r="T27" s="448"/>
      <c r="U27" s="448"/>
      <c r="V27" s="448"/>
      <c r="W27" s="448"/>
      <c r="X27" s="448"/>
      <c r="Y27" s="448"/>
      <c r="Z27" s="448"/>
      <c r="AA27" s="448"/>
      <c r="AB27" s="448"/>
      <c r="AC27" s="448"/>
      <c r="AD27" s="448"/>
      <c r="AE27" s="448"/>
    </row>
    <row r="28" spans="1:31">
      <c r="A28" s="323"/>
      <c r="B28" s="323"/>
      <c r="C28" s="323"/>
      <c r="D28" s="448"/>
      <c r="E28" s="448"/>
      <c r="F28" s="448"/>
      <c r="G28" s="448"/>
      <c r="H28" s="448"/>
      <c r="I28" s="448"/>
      <c r="J28" s="448"/>
      <c r="K28" s="448"/>
      <c r="L28" s="448"/>
      <c r="M28" s="448"/>
      <c r="N28" s="448"/>
      <c r="O28" s="448"/>
      <c r="P28" s="448"/>
      <c r="Q28" s="448"/>
      <c r="R28" s="448"/>
      <c r="S28" s="448"/>
      <c r="T28" s="448"/>
      <c r="U28" s="448"/>
      <c r="V28" s="448"/>
      <c r="W28" s="448"/>
      <c r="X28" s="448"/>
      <c r="Y28" s="448"/>
      <c r="Z28" s="448"/>
      <c r="AA28" s="448"/>
      <c r="AB28" s="448"/>
      <c r="AC28" s="448"/>
      <c r="AD28" s="448"/>
      <c r="AE28" s="448"/>
    </row>
    <row r="29" spans="1:31" ht="26.25">
      <c r="A29" s="448"/>
      <c r="B29" s="481" t="s">
        <v>26</v>
      </c>
      <c r="C29" s="149" t="s">
        <v>441</v>
      </c>
      <c r="D29" s="425" t="s">
        <v>317</v>
      </c>
      <c r="E29" s="442" t="s">
        <v>2094</v>
      </c>
      <c r="F29" s="448"/>
      <c r="G29" s="448"/>
      <c r="H29" s="448"/>
      <c r="I29" s="448"/>
      <c r="J29" s="448"/>
      <c r="K29" s="448"/>
      <c r="L29" s="448"/>
      <c r="M29" s="448"/>
      <c r="N29" s="448"/>
      <c r="O29" s="448"/>
      <c r="P29" s="448"/>
      <c r="Q29" s="448"/>
      <c r="R29" s="448"/>
      <c r="S29" s="448"/>
      <c r="T29" s="448"/>
      <c r="U29" s="448"/>
      <c r="V29" s="448"/>
      <c r="W29" s="448"/>
      <c r="X29" s="448"/>
      <c r="Y29" s="448"/>
      <c r="Z29" s="448"/>
      <c r="AA29" s="448"/>
      <c r="AB29" s="448"/>
      <c r="AC29" s="448"/>
      <c r="AD29" s="448"/>
      <c r="AE29" s="448"/>
    </row>
    <row r="30" spans="1:31">
      <c r="A30" s="448"/>
      <c r="B30" s="1161" t="s">
        <v>2095</v>
      </c>
      <c r="C30" s="451" t="s">
        <v>2096</v>
      </c>
      <c r="D30" s="449">
        <v>1.1000000000000001E-3</v>
      </c>
      <c r="E30" s="450">
        <f>D30*$B$26</f>
        <v>7.6050323298976287E-5</v>
      </c>
      <c r="F30" s="448"/>
      <c r="G30" s="448"/>
      <c r="H30" s="448"/>
      <c r="I30" s="448"/>
      <c r="J30" s="448"/>
      <c r="K30" s="448"/>
      <c r="L30" s="448"/>
      <c r="M30" s="448"/>
      <c r="N30" s="448"/>
      <c r="O30" s="448"/>
      <c r="P30" s="448"/>
      <c r="Q30" s="448"/>
      <c r="R30" s="448"/>
      <c r="S30" s="448"/>
      <c r="T30" s="448"/>
      <c r="U30" s="448"/>
      <c r="V30" s="448"/>
      <c r="W30" s="448"/>
      <c r="X30" s="448"/>
      <c r="Y30" s="448"/>
      <c r="Z30" s="448"/>
      <c r="AA30" s="448"/>
      <c r="AB30" s="448"/>
      <c r="AC30" s="448"/>
      <c r="AD30" s="448"/>
      <c r="AE30" s="448"/>
    </row>
    <row r="31" spans="1:31">
      <c r="A31" s="448"/>
      <c r="B31" s="1162"/>
      <c r="C31" s="451" t="s">
        <v>2097</v>
      </c>
      <c r="D31" s="449">
        <v>3.9000000000000003E-3</v>
      </c>
      <c r="E31" s="450">
        <f t="shared" ref="E31:E54" si="0">D31*$B$26</f>
        <v>2.6963296442364317E-4</v>
      </c>
      <c r="F31" s="448"/>
      <c r="G31" s="448"/>
      <c r="H31" s="448"/>
      <c r="I31" s="448"/>
      <c r="J31" s="448"/>
      <c r="K31" s="448"/>
      <c r="L31" s="448"/>
      <c r="M31" s="448"/>
      <c r="N31" s="448"/>
      <c r="O31" s="448"/>
      <c r="P31" s="448"/>
      <c r="Q31" s="448"/>
      <c r="R31" s="448"/>
      <c r="S31" s="448"/>
      <c r="T31" s="448"/>
      <c r="U31" s="448"/>
      <c r="V31" s="448"/>
      <c r="W31" s="448"/>
      <c r="X31" s="448"/>
      <c r="Y31" s="448"/>
      <c r="Z31" s="448"/>
      <c r="AA31" s="448"/>
      <c r="AB31" s="448"/>
      <c r="AC31" s="448"/>
      <c r="AD31" s="448"/>
      <c r="AE31" s="448"/>
    </row>
    <row r="32" spans="1:31">
      <c r="A32" s="448"/>
      <c r="B32" s="1162"/>
      <c r="C32" s="451" t="s">
        <v>2098</v>
      </c>
      <c r="D32" s="449">
        <v>8.8000000000000005E-3</v>
      </c>
      <c r="E32" s="450">
        <f t="shared" si="0"/>
        <v>6.0840258639181029E-4</v>
      </c>
      <c r="F32" s="448"/>
      <c r="G32" s="448"/>
      <c r="H32" s="448"/>
      <c r="I32" s="448"/>
      <c r="J32" s="448"/>
      <c r="K32" s="448"/>
      <c r="L32" s="448"/>
      <c r="M32" s="448"/>
      <c r="N32" s="448"/>
      <c r="O32" s="448"/>
      <c r="P32" s="448"/>
      <c r="Q32" s="448"/>
      <c r="R32" s="448"/>
      <c r="S32" s="448"/>
      <c r="T32" s="448"/>
      <c r="U32" s="448"/>
      <c r="V32" s="448"/>
      <c r="W32" s="448"/>
      <c r="X32" s="448"/>
      <c r="Y32" s="448"/>
      <c r="Z32" s="448"/>
      <c r="AA32" s="448"/>
      <c r="AB32" s="448"/>
      <c r="AC32" s="448"/>
      <c r="AD32" s="448"/>
      <c r="AE32" s="448"/>
    </row>
    <row r="33" spans="1:31">
      <c r="A33" s="448"/>
      <c r="B33" s="1162"/>
      <c r="C33" s="451" t="s">
        <v>2099</v>
      </c>
      <c r="D33" s="449">
        <v>1.2999999999999999E-3</v>
      </c>
      <c r="E33" s="450">
        <f t="shared" si="0"/>
        <v>8.9877654807881047E-5</v>
      </c>
      <c r="F33" s="448"/>
      <c r="G33" s="448"/>
      <c r="H33" s="448"/>
      <c r="I33" s="448"/>
      <c r="J33" s="448"/>
      <c r="K33" s="448"/>
      <c r="L33" s="448"/>
      <c r="M33" s="448"/>
      <c r="N33" s="448"/>
      <c r="O33" s="448"/>
      <c r="P33" s="448"/>
      <c r="Q33" s="448"/>
      <c r="R33" s="448"/>
      <c r="S33" s="448"/>
      <c r="T33" s="448"/>
      <c r="U33" s="448"/>
      <c r="V33" s="448"/>
      <c r="W33" s="448"/>
      <c r="X33" s="448"/>
      <c r="Y33" s="448"/>
      <c r="Z33" s="448"/>
      <c r="AA33" s="448"/>
      <c r="AB33" s="448"/>
      <c r="AC33" s="448"/>
      <c r="AD33" s="448"/>
      <c r="AE33" s="448"/>
    </row>
    <row r="34" spans="1:31">
      <c r="A34" s="448"/>
      <c r="B34" s="1162"/>
      <c r="C34" s="451" t="s">
        <v>2100</v>
      </c>
      <c r="D34" s="449">
        <v>3.0099999999999998E-2</v>
      </c>
      <c r="E34" s="450">
        <f t="shared" si="0"/>
        <v>2.081013392090169E-3</v>
      </c>
      <c r="F34" s="448"/>
      <c r="G34" s="448"/>
      <c r="H34" s="448"/>
      <c r="I34" s="448"/>
      <c r="J34" s="448"/>
      <c r="K34" s="448"/>
      <c r="L34" s="448"/>
      <c r="M34" s="448"/>
      <c r="N34" s="448"/>
      <c r="O34" s="448"/>
      <c r="P34" s="448"/>
      <c r="Q34" s="448"/>
      <c r="R34" s="448"/>
      <c r="S34" s="448"/>
      <c r="T34" s="448"/>
      <c r="U34" s="448"/>
      <c r="V34" s="448"/>
      <c r="W34" s="448"/>
      <c r="X34" s="448"/>
      <c r="Y34" s="448"/>
      <c r="Z34" s="448"/>
      <c r="AA34" s="448"/>
      <c r="AB34" s="448"/>
      <c r="AC34" s="448"/>
      <c r="AD34" s="448"/>
      <c r="AE34" s="448"/>
    </row>
    <row r="35" spans="1:31">
      <c r="A35" s="448"/>
      <c r="B35" s="1162"/>
      <c r="C35" s="451" t="s">
        <v>2101</v>
      </c>
      <c r="D35" s="449">
        <v>1.5700000000000002E-2</v>
      </c>
      <c r="E35" s="450">
        <f t="shared" si="0"/>
        <v>1.0854455234490252E-3</v>
      </c>
      <c r="F35" s="448"/>
      <c r="G35" s="448"/>
      <c r="H35" s="448"/>
      <c r="I35" s="448"/>
      <c r="J35" s="448"/>
      <c r="K35" s="448"/>
      <c r="L35" s="448"/>
      <c r="M35" s="448"/>
      <c r="N35" s="448"/>
      <c r="O35" s="448"/>
      <c r="P35" s="448"/>
      <c r="Q35" s="448"/>
      <c r="R35" s="448"/>
      <c r="S35" s="448"/>
      <c r="T35" s="448"/>
      <c r="U35" s="448"/>
      <c r="V35" s="448"/>
      <c r="W35" s="448"/>
      <c r="X35" s="448"/>
      <c r="Y35" s="448"/>
      <c r="Z35" s="448"/>
      <c r="AA35" s="448"/>
      <c r="AB35" s="448"/>
      <c r="AC35" s="448"/>
      <c r="AD35" s="448"/>
      <c r="AE35" s="448"/>
    </row>
    <row r="36" spans="1:31">
      <c r="A36" s="448"/>
      <c r="B36" s="1162"/>
      <c r="C36" s="451" t="s">
        <v>1909</v>
      </c>
      <c r="D36" s="449">
        <v>1.4199999999999999E-2</v>
      </c>
      <c r="E36" s="450">
        <f t="shared" si="0"/>
        <v>9.8174053713223912E-4</v>
      </c>
      <c r="F36" s="448"/>
      <c r="G36" s="448"/>
      <c r="H36" s="448"/>
      <c r="I36" s="448"/>
      <c r="J36" s="448"/>
      <c r="K36" s="448"/>
      <c r="L36" s="448"/>
      <c r="M36" s="448"/>
      <c r="N36" s="448"/>
      <c r="O36" s="448"/>
      <c r="P36" s="448"/>
      <c r="Q36" s="448"/>
      <c r="R36" s="448"/>
      <c r="S36" s="448"/>
      <c r="T36" s="448"/>
      <c r="U36" s="448"/>
      <c r="V36" s="448"/>
      <c r="W36" s="448"/>
      <c r="X36" s="448"/>
      <c r="Y36" s="448"/>
      <c r="Z36" s="448"/>
      <c r="AA36" s="448"/>
      <c r="AB36" s="448"/>
      <c r="AC36" s="448"/>
      <c r="AD36" s="448"/>
      <c r="AE36" s="448"/>
    </row>
    <row r="37" spans="1:31">
      <c r="A37" s="448"/>
      <c r="B37" s="1162"/>
      <c r="C37" s="451" t="s">
        <v>2102</v>
      </c>
      <c r="D37" s="449">
        <v>1.4800000000000001E-2</v>
      </c>
      <c r="E37" s="450">
        <f t="shared" si="0"/>
        <v>1.0232225316589537E-3</v>
      </c>
      <c r="F37" s="448"/>
      <c r="G37" s="448"/>
      <c r="H37" s="448"/>
      <c r="I37" s="448"/>
      <c r="J37" s="448"/>
      <c r="K37" s="448"/>
      <c r="L37" s="448"/>
      <c r="M37" s="448"/>
      <c r="N37" s="448"/>
      <c r="O37" s="448"/>
      <c r="P37" s="448"/>
      <c r="Q37" s="448"/>
      <c r="R37" s="448"/>
      <c r="S37" s="448"/>
      <c r="T37" s="448"/>
      <c r="U37" s="448"/>
      <c r="V37" s="448"/>
      <c r="W37" s="448"/>
      <c r="X37" s="448"/>
      <c r="Y37" s="448"/>
      <c r="Z37" s="448"/>
      <c r="AA37" s="448"/>
      <c r="AB37" s="448"/>
      <c r="AC37" s="448"/>
      <c r="AD37" s="448"/>
      <c r="AE37" s="448"/>
    </row>
    <row r="38" spans="1:31">
      <c r="A38" s="448"/>
      <c r="B38" s="1162"/>
      <c r="C38" s="451" t="s">
        <v>2103</v>
      </c>
      <c r="D38" s="449">
        <v>1.78E-2</v>
      </c>
      <c r="E38" s="450">
        <f t="shared" si="0"/>
        <v>1.2306325042925252E-3</v>
      </c>
      <c r="F38" s="448"/>
      <c r="G38" s="448"/>
      <c r="H38" s="448"/>
      <c r="I38" s="448"/>
      <c r="J38" s="448"/>
      <c r="K38" s="448"/>
      <c r="L38" s="448"/>
      <c r="M38" s="448"/>
      <c r="N38" s="448"/>
      <c r="O38" s="448"/>
      <c r="P38" s="448"/>
      <c r="Q38" s="448"/>
      <c r="R38" s="448"/>
      <c r="S38" s="448"/>
      <c r="T38" s="448"/>
      <c r="U38" s="448"/>
      <c r="V38" s="448"/>
      <c r="W38" s="448"/>
      <c r="X38" s="448"/>
      <c r="Y38" s="448"/>
      <c r="Z38" s="448"/>
      <c r="AA38" s="448"/>
      <c r="AB38" s="448"/>
      <c r="AC38" s="448"/>
      <c r="AD38" s="448"/>
      <c r="AE38" s="448"/>
    </row>
    <row r="39" spans="1:31">
      <c r="A39" s="448"/>
      <c r="B39" s="1162"/>
      <c r="C39" s="451" t="s">
        <v>2104</v>
      </c>
      <c r="D39" s="449">
        <v>4.2599999999999999E-2</v>
      </c>
      <c r="E39" s="450">
        <f t="shared" si="0"/>
        <v>2.9452216113967176E-3</v>
      </c>
      <c r="F39" s="448"/>
      <c r="G39" s="448"/>
      <c r="H39" s="448"/>
      <c r="I39" s="448"/>
      <c r="J39" s="448"/>
      <c r="K39" s="448"/>
      <c r="L39" s="448"/>
      <c r="M39" s="448"/>
      <c r="N39" s="448"/>
      <c r="O39" s="448"/>
      <c r="P39" s="448"/>
      <c r="Q39" s="448"/>
      <c r="R39" s="448"/>
      <c r="S39" s="448"/>
      <c r="T39" s="448"/>
      <c r="U39" s="448"/>
      <c r="V39" s="448"/>
      <c r="W39" s="448"/>
      <c r="X39" s="448"/>
      <c r="Y39" s="448"/>
      <c r="Z39" s="448"/>
      <c r="AA39" s="448"/>
      <c r="AB39" s="448"/>
      <c r="AC39" s="448"/>
      <c r="AD39" s="448"/>
      <c r="AE39" s="448"/>
    </row>
    <row r="40" spans="1:31">
      <c r="A40" s="448"/>
      <c r="B40" s="1162"/>
      <c r="C40" s="451" t="s">
        <v>1893</v>
      </c>
      <c r="D40" s="449">
        <v>3.2799999999999996E-2</v>
      </c>
      <c r="E40" s="450">
        <f t="shared" si="0"/>
        <v>2.2676823674603833E-3</v>
      </c>
      <c r="F40" s="448"/>
      <c r="G40" s="448"/>
      <c r="H40" s="448"/>
      <c r="I40" s="448"/>
      <c r="J40" s="448"/>
      <c r="K40" s="448"/>
      <c r="L40" s="448"/>
      <c r="M40" s="448"/>
      <c r="N40" s="448"/>
      <c r="O40" s="448"/>
      <c r="P40" s="448"/>
      <c r="Q40" s="448"/>
      <c r="R40" s="448"/>
      <c r="S40" s="448"/>
      <c r="T40" s="448"/>
      <c r="U40" s="448"/>
      <c r="V40" s="448"/>
      <c r="W40" s="448"/>
      <c r="X40" s="448"/>
      <c r="Y40" s="448"/>
      <c r="Z40" s="448"/>
      <c r="AA40" s="448"/>
      <c r="AB40" s="448"/>
      <c r="AC40" s="448"/>
      <c r="AD40" s="448"/>
      <c r="AE40" s="448"/>
    </row>
    <row r="41" spans="1:31">
      <c r="A41" s="448"/>
      <c r="B41" s="1162"/>
      <c r="C41" s="451" t="s">
        <v>2105</v>
      </c>
      <c r="D41" s="449">
        <v>5.8099999999999999E-2</v>
      </c>
      <c r="E41" s="450">
        <f t="shared" si="0"/>
        <v>4.0168398033368375E-3</v>
      </c>
      <c r="F41" s="448"/>
      <c r="G41" s="448"/>
      <c r="H41" s="448"/>
      <c r="I41" s="448"/>
      <c r="J41" s="448"/>
      <c r="K41" s="448"/>
      <c r="L41" s="448"/>
      <c r="M41" s="448"/>
      <c r="N41" s="448"/>
      <c r="O41" s="448"/>
      <c r="P41" s="448"/>
      <c r="Q41" s="448"/>
      <c r="R41" s="448"/>
      <c r="S41" s="448"/>
      <c r="T41" s="448"/>
      <c r="U41" s="448"/>
      <c r="V41" s="448"/>
      <c r="W41" s="448"/>
      <c r="X41" s="448"/>
      <c r="Y41" s="448"/>
      <c r="Z41" s="448"/>
      <c r="AA41" s="448"/>
      <c r="AB41" s="448"/>
      <c r="AC41" s="448"/>
      <c r="AD41" s="448"/>
      <c r="AE41" s="448"/>
    </row>
    <row r="42" spans="1:31">
      <c r="A42" s="448"/>
      <c r="B42" s="1162"/>
      <c r="C42" s="451" t="s">
        <v>2106</v>
      </c>
      <c r="D42" s="449">
        <v>7.7300000000000008E-2</v>
      </c>
      <c r="E42" s="450">
        <f t="shared" si="0"/>
        <v>5.3442636281916967E-3</v>
      </c>
      <c r="F42" s="448"/>
      <c r="G42" s="448"/>
      <c r="H42" s="448"/>
      <c r="I42" s="448"/>
      <c r="J42" s="448"/>
      <c r="K42" s="448"/>
      <c r="L42" s="448"/>
      <c r="M42" s="448"/>
      <c r="N42" s="448"/>
      <c r="O42" s="448"/>
      <c r="P42" s="448"/>
      <c r="Q42" s="448"/>
      <c r="R42" s="448"/>
      <c r="S42" s="448"/>
      <c r="T42" s="448"/>
      <c r="U42" s="448"/>
      <c r="V42" s="448"/>
      <c r="W42" s="448"/>
      <c r="X42" s="448"/>
      <c r="Y42" s="448"/>
      <c r="Z42" s="448"/>
      <c r="AA42" s="448"/>
      <c r="AB42" s="448"/>
      <c r="AC42" s="448"/>
      <c r="AD42" s="448"/>
      <c r="AE42" s="448"/>
    </row>
    <row r="43" spans="1:31">
      <c r="A43" s="448"/>
      <c r="B43" s="1163"/>
      <c r="C43" s="451" t="s">
        <v>2107</v>
      </c>
      <c r="D43" s="449">
        <v>1.06E-2</v>
      </c>
      <c r="E43" s="450">
        <f t="shared" si="0"/>
        <v>7.3284856997195323E-4</v>
      </c>
      <c r="F43" s="448"/>
      <c r="G43" s="448"/>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row>
    <row r="44" spans="1:31">
      <c r="A44" s="448"/>
      <c r="B44" s="1161" t="s">
        <v>2108</v>
      </c>
      <c r="C44" s="451" t="s">
        <v>2109</v>
      </c>
      <c r="D44" s="449">
        <v>0.37140000000000001</v>
      </c>
      <c r="E44" s="450">
        <f t="shared" si="0"/>
        <v>2.5677354612036171E-2</v>
      </c>
      <c r="F44" s="448"/>
      <c r="G44" s="448"/>
      <c r="H44" s="448"/>
      <c r="I44" s="448"/>
      <c r="J44" s="448"/>
      <c r="K44" s="448"/>
      <c r="L44" s="448"/>
      <c r="M44" s="448"/>
      <c r="N44" s="448"/>
      <c r="O44" s="448"/>
      <c r="P44" s="448"/>
      <c r="Q44" s="448"/>
      <c r="R44" s="448"/>
      <c r="S44" s="448"/>
      <c r="T44" s="448"/>
      <c r="U44" s="448"/>
      <c r="V44" s="448"/>
      <c r="W44" s="448"/>
      <c r="X44" s="448"/>
      <c r="Y44" s="448"/>
      <c r="Z44" s="448"/>
      <c r="AA44" s="448"/>
      <c r="AB44" s="448"/>
      <c r="AC44" s="448"/>
      <c r="AD44" s="448"/>
      <c r="AE44" s="448"/>
    </row>
    <row r="45" spans="1:31">
      <c r="A45" s="448"/>
      <c r="B45" s="1162"/>
      <c r="C45" s="451" t="s">
        <v>2110</v>
      </c>
      <c r="D45" s="449">
        <v>1.4000000000000002E-3</v>
      </c>
      <c r="E45" s="450">
        <f t="shared" si="0"/>
        <v>9.6791320562333462E-5</v>
      </c>
      <c r="F45" s="448"/>
      <c r="G45" s="448"/>
      <c r="H45" s="448"/>
      <c r="I45" s="448"/>
      <c r="J45" s="448"/>
      <c r="K45" s="448"/>
      <c r="L45" s="448"/>
      <c r="M45" s="448"/>
      <c r="N45" s="448"/>
      <c r="O45" s="448"/>
      <c r="P45" s="448"/>
      <c r="Q45" s="448"/>
      <c r="R45" s="448"/>
      <c r="S45" s="448"/>
      <c r="T45" s="448"/>
      <c r="U45" s="448"/>
      <c r="V45" s="448"/>
      <c r="W45" s="448"/>
      <c r="X45" s="448"/>
      <c r="Y45" s="448"/>
      <c r="Z45" s="448"/>
      <c r="AA45" s="448"/>
      <c r="AB45" s="448"/>
      <c r="AC45" s="448"/>
      <c r="AD45" s="448"/>
      <c r="AE45" s="448"/>
    </row>
    <row r="46" spans="1:31">
      <c r="A46" s="448"/>
      <c r="B46" s="1162"/>
      <c r="C46" s="451" t="s">
        <v>2111</v>
      </c>
      <c r="D46" s="449">
        <v>1.38E-2</v>
      </c>
      <c r="E46" s="450">
        <f t="shared" si="0"/>
        <v>9.5408587411442963E-4</v>
      </c>
      <c r="F46" s="448"/>
      <c r="G46" s="448"/>
      <c r="H46" s="448"/>
      <c r="I46" s="448"/>
      <c r="J46" s="448"/>
      <c r="K46" s="448"/>
      <c r="L46" s="448"/>
      <c r="M46" s="448"/>
      <c r="N46" s="448"/>
      <c r="O46" s="448"/>
      <c r="P46" s="448"/>
      <c r="Q46" s="448"/>
      <c r="R46" s="448"/>
      <c r="S46" s="448"/>
      <c r="T46" s="448"/>
      <c r="U46" s="448"/>
      <c r="V46" s="448"/>
      <c r="W46" s="448"/>
      <c r="X46" s="448"/>
      <c r="Y46" s="448"/>
      <c r="Z46" s="448"/>
      <c r="AA46" s="448"/>
      <c r="AB46" s="448"/>
      <c r="AC46" s="448"/>
      <c r="AD46" s="448"/>
      <c r="AE46" s="448"/>
    </row>
    <row r="47" spans="1:31">
      <c r="A47" s="448"/>
      <c r="B47" s="1162"/>
      <c r="C47" s="451" t="s">
        <v>2112</v>
      </c>
      <c r="D47" s="449">
        <v>1.23E-2</v>
      </c>
      <c r="E47" s="450">
        <f t="shared" si="0"/>
        <v>8.5038088779764386E-4</v>
      </c>
      <c r="F47" s="448"/>
      <c r="G47" s="448"/>
      <c r="H47" s="448"/>
      <c r="I47" s="448"/>
      <c r="J47" s="448"/>
      <c r="K47" s="448"/>
      <c r="L47" s="448"/>
      <c r="M47" s="448"/>
      <c r="N47" s="448"/>
      <c r="O47" s="448"/>
      <c r="P47" s="448"/>
      <c r="Q47" s="448"/>
      <c r="R47" s="448"/>
      <c r="S47" s="448"/>
      <c r="T47" s="448"/>
      <c r="U47" s="448"/>
      <c r="V47" s="448"/>
      <c r="W47" s="448"/>
      <c r="X47" s="448"/>
      <c r="Y47" s="448"/>
      <c r="Z47" s="448"/>
      <c r="AA47" s="448"/>
      <c r="AB47" s="448"/>
      <c r="AC47" s="448"/>
      <c r="AD47" s="448"/>
      <c r="AE47" s="448"/>
    </row>
    <row r="48" spans="1:31">
      <c r="A48" s="448"/>
      <c r="B48" s="1162"/>
      <c r="C48" s="451" t="s">
        <v>2113</v>
      </c>
      <c r="D48" s="449">
        <v>1.4999999999999999E-2</v>
      </c>
      <c r="E48" s="450">
        <f t="shared" si="0"/>
        <v>1.0370498631678583E-3</v>
      </c>
      <c r="F48" s="448"/>
      <c r="G48" s="448"/>
      <c r="H48" s="448"/>
      <c r="I48" s="448"/>
      <c r="J48" s="448"/>
      <c r="K48" s="448"/>
      <c r="L48" s="448"/>
      <c r="M48" s="448"/>
      <c r="N48" s="448"/>
      <c r="O48" s="448"/>
      <c r="P48" s="448"/>
      <c r="Q48" s="448"/>
      <c r="R48" s="448"/>
      <c r="S48" s="448"/>
      <c r="T48" s="448"/>
      <c r="U48" s="448"/>
      <c r="V48" s="448"/>
      <c r="W48" s="448"/>
      <c r="X48" s="448"/>
      <c r="Y48" s="448"/>
      <c r="Z48" s="448"/>
      <c r="AA48" s="448"/>
      <c r="AB48" s="448"/>
      <c r="AC48" s="448"/>
      <c r="AD48" s="448"/>
      <c r="AE48" s="448"/>
    </row>
    <row r="49" spans="1:31">
      <c r="A49" s="448"/>
      <c r="B49" s="1162"/>
      <c r="C49" s="451" t="s">
        <v>2114</v>
      </c>
      <c r="D49" s="449">
        <v>5.5800000000000002E-2</v>
      </c>
      <c r="E49" s="450">
        <f t="shared" si="0"/>
        <v>3.8578254909844333E-3</v>
      </c>
      <c r="F49" s="448"/>
      <c r="G49" s="448"/>
      <c r="H49" s="448"/>
      <c r="I49" s="448"/>
      <c r="J49" s="448"/>
      <c r="K49" s="448"/>
      <c r="L49" s="448"/>
      <c r="M49" s="448"/>
      <c r="N49" s="448"/>
      <c r="O49" s="448"/>
      <c r="P49" s="448"/>
      <c r="Q49" s="448"/>
      <c r="R49" s="448"/>
      <c r="S49" s="448"/>
      <c r="T49" s="448"/>
      <c r="U49" s="448"/>
      <c r="V49" s="448"/>
      <c r="W49" s="448"/>
      <c r="X49" s="448"/>
      <c r="Y49" s="448"/>
      <c r="Z49" s="448"/>
      <c r="AA49" s="448"/>
      <c r="AB49" s="448"/>
      <c r="AC49" s="448"/>
      <c r="AD49" s="448"/>
      <c r="AE49" s="448"/>
    </row>
    <row r="50" spans="1:31">
      <c r="A50" s="448"/>
      <c r="B50" s="1162"/>
      <c r="C50" s="451" t="s">
        <v>2115</v>
      </c>
      <c r="D50" s="449">
        <v>6.6600000000000006E-2</v>
      </c>
      <c r="E50" s="450">
        <f t="shared" si="0"/>
        <v>4.6045013924652916E-3</v>
      </c>
      <c r="F50" s="448"/>
      <c r="G50" s="448"/>
      <c r="H50" s="448"/>
      <c r="I50" s="448"/>
      <c r="J50" s="448"/>
      <c r="K50" s="448"/>
      <c r="L50" s="448"/>
      <c r="M50" s="448"/>
      <c r="N50" s="448"/>
      <c r="O50" s="448"/>
      <c r="P50" s="448"/>
      <c r="Q50" s="448"/>
      <c r="R50" s="448"/>
      <c r="S50" s="448"/>
      <c r="T50" s="448"/>
      <c r="U50" s="448"/>
      <c r="V50" s="448"/>
      <c r="W50" s="448"/>
      <c r="X50" s="448"/>
      <c r="Y50" s="448"/>
      <c r="Z50" s="448"/>
      <c r="AA50" s="448"/>
      <c r="AB50" s="448"/>
      <c r="AC50" s="448"/>
      <c r="AD50" s="448"/>
      <c r="AE50" s="448"/>
    </row>
    <row r="51" spans="1:31">
      <c r="A51" s="448"/>
      <c r="B51" s="1162"/>
      <c r="C51" s="451" t="s">
        <v>2116</v>
      </c>
      <c r="D51" s="449">
        <v>0.1115</v>
      </c>
      <c r="E51" s="450">
        <f t="shared" si="0"/>
        <v>7.7087373162144134E-3</v>
      </c>
      <c r="F51" s="448"/>
      <c r="G51" s="448"/>
      <c r="H51" s="448"/>
      <c r="I51" s="448"/>
      <c r="J51" s="448"/>
      <c r="K51" s="448"/>
      <c r="L51" s="448"/>
      <c r="M51" s="448"/>
      <c r="N51" s="448"/>
      <c r="O51" s="448"/>
      <c r="P51" s="448"/>
      <c r="Q51" s="448"/>
      <c r="R51" s="448"/>
      <c r="S51" s="448"/>
      <c r="T51" s="448"/>
      <c r="U51" s="448"/>
      <c r="V51" s="448"/>
      <c r="W51" s="448"/>
      <c r="X51" s="448"/>
      <c r="Y51" s="448"/>
      <c r="Z51" s="448"/>
      <c r="AA51" s="448"/>
      <c r="AB51" s="448"/>
      <c r="AC51" s="448"/>
      <c r="AD51" s="448"/>
      <c r="AE51" s="448"/>
    </row>
    <row r="52" spans="1:31">
      <c r="A52" s="448"/>
      <c r="B52" s="1163"/>
      <c r="C52" s="451" t="s">
        <v>2117</v>
      </c>
      <c r="D52" s="449">
        <v>3.0999999999999999E-3</v>
      </c>
      <c r="E52" s="450">
        <f t="shared" si="0"/>
        <v>2.1432363838802404E-4</v>
      </c>
      <c r="F52" s="448"/>
      <c r="G52" s="448"/>
      <c r="H52" s="448"/>
      <c r="I52" s="448"/>
      <c r="J52" s="448"/>
      <c r="K52" s="448"/>
      <c r="L52" s="448"/>
      <c r="M52" s="448"/>
      <c r="N52" s="448"/>
      <c r="O52" s="448"/>
      <c r="P52" s="448"/>
      <c r="Q52" s="448"/>
      <c r="R52" s="448"/>
      <c r="S52" s="448"/>
      <c r="T52" s="448"/>
      <c r="U52" s="448"/>
      <c r="V52" s="448"/>
      <c r="W52" s="448"/>
      <c r="X52" s="448"/>
      <c r="Y52" s="448"/>
      <c r="Z52" s="448"/>
      <c r="AA52" s="448"/>
      <c r="AB52" s="448"/>
      <c r="AC52" s="448"/>
      <c r="AD52" s="448"/>
      <c r="AE52" s="448"/>
    </row>
    <row r="53" spans="1:31">
      <c r="A53" s="448"/>
      <c r="B53" s="1161" t="s">
        <v>528</v>
      </c>
      <c r="C53" s="451" t="s">
        <v>2118</v>
      </c>
      <c r="D53" s="449">
        <v>1.7899999999999999E-2</v>
      </c>
      <c r="E53" s="450">
        <f t="shared" si="0"/>
        <v>1.2375461700469775E-3</v>
      </c>
      <c r="F53" s="448"/>
      <c r="G53" s="448"/>
      <c r="H53" s="448"/>
      <c r="I53" s="448"/>
      <c r="J53" s="448"/>
      <c r="K53" s="448"/>
      <c r="L53" s="448"/>
      <c r="M53" s="448"/>
      <c r="N53" s="448"/>
      <c r="O53" s="448"/>
      <c r="P53" s="448"/>
      <c r="Q53" s="448"/>
      <c r="R53" s="448"/>
      <c r="S53" s="448"/>
      <c r="T53" s="448"/>
      <c r="U53" s="448"/>
      <c r="V53" s="448"/>
      <c r="W53" s="448"/>
      <c r="X53" s="448"/>
      <c r="Y53" s="448"/>
      <c r="Z53" s="448"/>
      <c r="AA53" s="448"/>
      <c r="AB53" s="448"/>
      <c r="AC53" s="448"/>
      <c r="AD53" s="448"/>
      <c r="AE53" s="448"/>
    </row>
    <row r="54" spans="1:31">
      <c r="A54" s="448"/>
      <c r="B54" s="1163"/>
      <c r="C54" s="451" t="s">
        <v>2119</v>
      </c>
      <c r="D54" s="449">
        <v>2.0999999999999999E-3</v>
      </c>
      <c r="E54" s="450">
        <f t="shared" si="0"/>
        <v>1.4518698084350015E-4</v>
      </c>
      <c r="F54" s="448"/>
      <c r="G54" s="448"/>
      <c r="H54" s="448"/>
      <c r="I54" s="448"/>
      <c r="J54" s="448"/>
      <c r="K54" s="448"/>
      <c r="L54" s="448"/>
      <c r="M54" s="448"/>
      <c r="N54" s="448"/>
      <c r="O54" s="448"/>
      <c r="P54" s="448"/>
      <c r="Q54" s="448"/>
      <c r="R54" s="448"/>
      <c r="S54" s="448"/>
      <c r="T54" s="448"/>
      <c r="U54" s="448"/>
      <c r="V54" s="448"/>
      <c r="W54" s="448"/>
      <c r="X54" s="448"/>
      <c r="Y54" s="448"/>
      <c r="Z54" s="448"/>
      <c r="AA54" s="448"/>
      <c r="AB54" s="448"/>
      <c r="AC54" s="448"/>
      <c r="AD54" s="448"/>
      <c r="AE54" s="448"/>
    </row>
    <row r="55" spans="1:31">
      <c r="A55" s="448"/>
      <c r="B55" s="59" t="s">
        <v>38</v>
      </c>
      <c r="C55" s="452" t="s">
        <v>38</v>
      </c>
      <c r="D55" s="453">
        <f>SUM(D30:D54)</f>
        <v>1</v>
      </c>
      <c r="E55" s="628">
        <f>SUM(E30:E54)</f>
        <v>6.9136657544523888E-2</v>
      </c>
      <c r="F55" s="448"/>
      <c r="G55" s="448"/>
      <c r="H55" s="448"/>
      <c r="I55" s="448"/>
      <c r="J55" s="448"/>
      <c r="K55" s="448"/>
      <c r="L55" s="448"/>
      <c r="M55" s="448"/>
      <c r="N55" s="448"/>
      <c r="O55" s="448"/>
      <c r="P55" s="448"/>
      <c r="Q55" s="448"/>
      <c r="R55" s="448"/>
      <c r="S55" s="448"/>
      <c r="T55" s="448"/>
      <c r="U55" s="448"/>
      <c r="V55" s="448"/>
      <c r="W55" s="448"/>
      <c r="X55" s="448"/>
      <c r="Y55" s="448"/>
      <c r="Z55" s="448"/>
      <c r="AA55" s="448"/>
      <c r="AB55" s="448"/>
      <c r="AC55" s="448"/>
      <c r="AD55" s="448"/>
      <c r="AE55" s="448"/>
    </row>
    <row r="56" spans="1:31">
      <c r="A56" s="448"/>
      <c r="B56" s="447" t="s">
        <v>2120</v>
      </c>
      <c r="C56" s="454"/>
      <c r="D56" s="455"/>
      <c r="E56" s="455"/>
      <c r="F56" s="448"/>
      <c r="G56" s="448"/>
      <c r="H56" s="448"/>
      <c r="I56" s="448"/>
      <c r="J56" s="448"/>
      <c r="K56" s="448"/>
      <c r="L56" s="448"/>
      <c r="M56" s="448"/>
      <c r="N56" s="448"/>
      <c r="O56" s="448"/>
      <c r="P56" s="448"/>
      <c r="Q56" s="448"/>
      <c r="R56" s="448"/>
      <c r="S56" s="448"/>
      <c r="T56" s="448"/>
      <c r="U56" s="448"/>
      <c r="V56" s="448"/>
      <c r="W56" s="448"/>
      <c r="X56" s="448"/>
      <c r="Y56" s="448"/>
      <c r="Z56" s="448"/>
      <c r="AA56" s="448"/>
      <c r="AB56" s="448"/>
      <c r="AC56" s="448"/>
      <c r="AD56" s="448"/>
      <c r="AE56" s="448"/>
    </row>
    <row r="57" spans="1:31">
      <c r="A57" s="323"/>
      <c r="B57" s="323"/>
      <c r="C57" s="323"/>
      <c r="D57" s="448"/>
      <c r="E57" s="448"/>
      <c r="F57" s="448"/>
      <c r="G57" s="448"/>
      <c r="H57" s="448"/>
      <c r="I57" s="448"/>
      <c r="J57" s="448"/>
      <c r="K57" s="448"/>
      <c r="L57" s="448"/>
      <c r="M57" s="448"/>
      <c r="N57" s="448"/>
      <c r="O57" s="448"/>
      <c r="P57" s="448"/>
      <c r="Q57" s="448"/>
      <c r="R57" s="448"/>
      <c r="S57" s="448"/>
      <c r="T57" s="448"/>
      <c r="U57" s="448"/>
      <c r="V57" s="448"/>
      <c r="W57" s="448"/>
      <c r="X57" s="448"/>
      <c r="Y57" s="448"/>
      <c r="Z57" s="448"/>
      <c r="AA57" s="448"/>
      <c r="AB57" s="448"/>
      <c r="AC57" s="448"/>
      <c r="AD57" s="448"/>
      <c r="AE57" s="448"/>
    </row>
    <row r="58" spans="1:31">
      <c r="A58" s="53" t="s">
        <v>47</v>
      </c>
      <c r="B58" s="105" t="s">
        <v>2122</v>
      </c>
      <c r="C58" s="438">
        <f>B26*(SUM(D44:D52))</f>
        <v>4.5001050395730602E-2</v>
      </c>
    </row>
    <row r="59" spans="1:31">
      <c r="A59" s="53"/>
      <c r="B59" s="3"/>
      <c r="C59" s="3"/>
    </row>
    <row r="60" spans="1:31">
      <c r="A60" s="53" t="s">
        <v>48</v>
      </c>
      <c r="B60" s="34" t="s">
        <v>2584</v>
      </c>
      <c r="C60" s="414">
        <f>C58*C12</f>
        <v>0.67501575593595908</v>
      </c>
    </row>
    <row r="61" spans="1:31">
      <c r="A61" s="3"/>
      <c r="B61" s="3"/>
      <c r="C61" s="3"/>
    </row>
    <row r="62" spans="1:31">
      <c r="A62" s="3"/>
      <c r="B62" s="3"/>
      <c r="C62" s="3"/>
    </row>
    <row r="63" spans="1:31">
      <c r="A63" s="3" t="s">
        <v>44</v>
      </c>
      <c r="B63" s="4" t="s">
        <v>471</v>
      </c>
      <c r="C63" s="3"/>
    </row>
    <row r="64" spans="1:31">
      <c r="A64" s="3"/>
      <c r="B64" s="138" t="s">
        <v>1981</v>
      </c>
      <c r="C64" s="3"/>
    </row>
    <row r="65" spans="1:18">
      <c r="A65" s="3"/>
      <c r="B65" s="3"/>
      <c r="C65" s="3"/>
    </row>
    <row r="66" spans="1:18">
      <c r="A66" s="3" t="s">
        <v>49</v>
      </c>
      <c r="B66" s="4" t="s">
        <v>1984</v>
      </c>
      <c r="C66" s="3"/>
    </row>
    <row r="67" spans="1:18">
      <c r="A67" s="3"/>
      <c r="B67" s="4"/>
      <c r="C67" s="3"/>
    </row>
    <row r="68" spans="1:18">
      <c r="A68" s="3"/>
      <c r="B68" s="71" t="s">
        <v>2124</v>
      </c>
      <c r="C68" s="3"/>
    </row>
    <row r="69" spans="1:18" s="3" customFormat="1" ht="12.75">
      <c r="B69" s="6" t="s">
        <v>2121</v>
      </c>
      <c r="C69" s="133">
        <v>-0.3</v>
      </c>
    </row>
    <row r="70" spans="1:18" s="3" customFormat="1" ht="14.25" customHeight="1">
      <c r="B70" s="13"/>
      <c r="C70" s="13"/>
    </row>
    <row r="71" spans="1:18" s="3" customFormat="1" ht="12.75">
      <c r="B71" s="13"/>
      <c r="C71" s="13"/>
    </row>
    <row r="72" spans="1:18" s="3" customFormat="1" ht="12.75">
      <c r="B72" s="13"/>
      <c r="C72" s="13"/>
    </row>
    <row r="73" spans="1:18" s="3" customFormat="1" ht="12.75">
      <c r="C73" s="6">
        <v>0</v>
      </c>
      <c r="D73" s="6">
        <v>1</v>
      </c>
      <c r="E73" s="6">
        <v>2</v>
      </c>
      <c r="F73" s="6">
        <v>3</v>
      </c>
      <c r="G73" s="6">
        <v>4</v>
      </c>
      <c r="H73" s="6">
        <v>5</v>
      </c>
      <c r="I73" s="6">
        <v>6</v>
      </c>
      <c r="J73" s="6">
        <v>7</v>
      </c>
      <c r="K73" s="6">
        <v>8</v>
      </c>
      <c r="L73" s="6">
        <v>9</v>
      </c>
      <c r="M73" s="6">
        <v>10</v>
      </c>
      <c r="N73" s="6">
        <v>11</v>
      </c>
      <c r="O73" s="6">
        <v>12</v>
      </c>
      <c r="P73" s="6">
        <v>13</v>
      </c>
      <c r="Q73" s="6">
        <v>14</v>
      </c>
      <c r="R73" s="6">
        <v>15</v>
      </c>
    </row>
    <row r="74" spans="1:18" s="3" customFormat="1" ht="12.75">
      <c r="B74" s="6" t="s">
        <v>59</v>
      </c>
      <c r="C74" s="48">
        <f>$C$13+C73</f>
        <v>0</v>
      </c>
      <c r="D74" s="48">
        <f t="shared" ref="D74:R74" si="1">$C$13+D73</f>
        <v>1</v>
      </c>
      <c r="E74" s="48">
        <f t="shared" si="1"/>
        <v>2</v>
      </c>
      <c r="F74" s="48">
        <f t="shared" si="1"/>
        <v>3</v>
      </c>
      <c r="G74" s="48">
        <f t="shared" si="1"/>
        <v>4</v>
      </c>
      <c r="H74" s="48">
        <f t="shared" si="1"/>
        <v>5</v>
      </c>
      <c r="I74" s="48">
        <f t="shared" si="1"/>
        <v>6</v>
      </c>
      <c r="J74" s="48">
        <f t="shared" si="1"/>
        <v>7</v>
      </c>
      <c r="K74" s="48">
        <f t="shared" si="1"/>
        <v>8</v>
      </c>
      <c r="L74" s="48">
        <f t="shared" si="1"/>
        <v>9</v>
      </c>
      <c r="M74" s="48">
        <f t="shared" si="1"/>
        <v>10</v>
      </c>
      <c r="N74" s="48">
        <f t="shared" si="1"/>
        <v>11</v>
      </c>
      <c r="O74" s="48">
        <f t="shared" si="1"/>
        <v>12</v>
      </c>
      <c r="P74" s="48">
        <f t="shared" si="1"/>
        <v>13</v>
      </c>
      <c r="Q74" s="48">
        <f t="shared" si="1"/>
        <v>14</v>
      </c>
      <c r="R74" s="48">
        <f t="shared" si="1"/>
        <v>15</v>
      </c>
    </row>
    <row r="75" spans="1:18" s="3" customFormat="1" ht="12.75">
      <c r="B75" s="6" t="s">
        <v>2091</v>
      </c>
      <c r="C75" s="6">
        <v>0</v>
      </c>
      <c r="D75" s="440">
        <f t="shared" ref="D75:Q75" si="2">(($R$75-$C$75)/($C$12))+C75</f>
        <v>-0.02</v>
      </c>
      <c r="E75" s="440">
        <f t="shared" si="2"/>
        <v>-0.04</v>
      </c>
      <c r="F75" s="440">
        <f t="shared" si="2"/>
        <v>-0.06</v>
      </c>
      <c r="G75" s="440">
        <f t="shared" si="2"/>
        <v>-0.08</v>
      </c>
      <c r="H75" s="440">
        <f t="shared" si="2"/>
        <v>-0.1</v>
      </c>
      <c r="I75" s="440">
        <f t="shared" si="2"/>
        <v>-0.12000000000000001</v>
      </c>
      <c r="J75" s="440">
        <f t="shared" si="2"/>
        <v>-0.14000000000000001</v>
      </c>
      <c r="K75" s="440">
        <f t="shared" si="2"/>
        <v>-0.16</v>
      </c>
      <c r="L75" s="440">
        <f t="shared" si="2"/>
        <v>-0.18</v>
      </c>
      <c r="M75" s="440">
        <f t="shared" si="2"/>
        <v>-0.19999999999999998</v>
      </c>
      <c r="N75" s="440">
        <f t="shared" si="2"/>
        <v>-0.21999999999999997</v>
      </c>
      <c r="O75" s="440">
        <f t="shared" si="2"/>
        <v>-0.23999999999999996</v>
      </c>
      <c r="P75" s="440">
        <f t="shared" si="2"/>
        <v>-0.25999999999999995</v>
      </c>
      <c r="Q75" s="440">
        <f t="shared" si="2"/>
        <v>-0.27999999999999997</v>
      </c>
      <c r="R75" s="94">
        <f>C69</f>
        <v>-0.3</v>
      </c>
    </row>
    <row r="76" spans="1:18" s="3" customFormat="1" ht="12.75">
      <c r="B76" s="6" t="s">
        <v>2125</v>
      </c>
      <c r="C76" s="92">
        <f>C58</f>
        <v>4.5001050395730602E-2</v>
      </c>
      <c r="D76" s="92">
        <f>($C$76)*(1+D75)</f>
        <v>4.4101029387815988E-2</v>
      </c>
      <c r="E76" s="92">
        <f t="shared" ref="E76:R76" si="3">($C$76)*(1+E75)</f>
        <v>4.3201008379901373E-2</v>
      </c>
      <c r="F76" s="92">
        <f t="shared" si="3"/>
        <v>4.2300987371986766E-2</v>
      </c>
      <c r="G76" s="92">
        <f t="shared" si="3"/>
        <v>4.1400966364072159E-2</v>
      </c>
      <c r="H76" s="92">
        <f t="shared" si="3"/>
        <v>4.0500945356157544E-2</v>
      </c>
      <c r="I76" s="92">
        <f t="shared" si="3"/>
        <v>3.960092434824293E-2</v>
      </c>
      <c r="J76" s="92">
        <f t="shared" si="3"/>
        <v>3.8700903340328316E-2</v>
      </c>
      <c r="K76" s="92">
        <f t="shared" si="3"/>
        <v>3.7800882332413702E-2</v>
      </c>
      <c r="L76" s="92">
        <f t="shared" si="3"/>
        <v>3.6900861324499094E-2</v>
      </c>
      <c r="M76" s="92">
        <f t="shared" si="3"/>
        <v>3.600084031658448E-2</v>
      </c>
      <c r="N76" s="92">
        <f t="shared" si="3"/>
        <v>3.5100819308669873E-2</v>
      </c>
      <c r="O76" s="92">
        <f t="shared" si="3"/>
        <v>3.4200798300755259E-2</v>
      </c>
      <c r="P76" s="92">
        <f t="shared" si="3"/>
        <v>3.3300777292840644E-2</v>
      </c>
      <c r="Q76" s="92">
        <f t="shared" si="3"/>
        <v>3.240075628492603E-2</v>
      </c>
      <c r="R76" s="92">
        <f t="shared" si="3"/>
        <v>3.1500735277011423E-2</v>
      </c>
    </row>
    <row r="77" spans="1:18" s="3" customFormat="1" ht="12.75"/>
    <row r="78" spans="1:18">
      <c r="A78" s="3"/>
      <c r="B78" s="120"/>
      <c r="C78" s="3"/>
    </row>
    <row r="79" spans="1:18">
      <c r="A79" s="53" t="s">
        <v>50</v>
      </c>
      <c r="B79" s="427" t="s">
        <v>2010</v>
      </c>
      <c r="C79" s="414">
        <f>SUM(D76:R76)</f>
        <v>0.56701323498620559</v>
      </c>
    </row>
    <row r="80" spans="1:18">
      <c r="A80" s="53"/>
      <c r="B80" s="53"/>
      <c r="C80" s="53"/>
    </row>
    <row r="81" spans="1:3">
      <c r="A81" s="53"/>
      <c r="B81" s="53"/>
      <c r="C81" s="53"/>
    </row>
    <row r="82" spans="1:3">
      <c r="A82" s="3" t="s">
        <v>70</v>
      </c>
      <c r="B82" s="34" t="s">
        <v>1957</v>
      </c>
      <c r="C82" s="415">
        <f>(C60-C79)</f>
        <v>0.10800252094975349</v>
      </c>
    </row>
    <row r="116" spans="2:7">
      <c r="B116" s="2" t="s">
        <v>2047</v>
      </c>
      <c r="C116" s="3" t="s">
        <v>2048</v>
      </c>
      <c r="D116" s="3" t="s">
        <v>2049</v>
      </c>
      <c r="E116" s="3" t="s">
        <v>2051</v>
      </c>
      <c r="F116" s="2" t="s">
        <v>2053</v>
      </c>
      <c r="G116" s="3" t="s">
        <v>2055</v>
      </c>
    </row>
    <row r="117" spans="2:7">
      <c r="B117" s="3"/>
      <c r="C117" s="3"/>
      <c r="D117" s="3" t="s">
        <v>2050</v>
      </c>
      <c r="E117" s="3" t="s">
        <v>2052</v>
      </c>
      <c r="F117" s="3" t="s">
        <v>2054</v>
      </c>
      <c r="G117" s="3" t="s">
        <v>2056</v>
      </c>
    </row>
    <row r="118" spans="2:7">
      <c r="B118" s="24" t="s">
        <v>2057</v>
      </c>
      <c r="C118" s="24" t="s">
        <v>2058</v>
      </c>
      <c r="D118" s="446">
        <v>6</v>
      </c>
      <c r="E118" s="445">
        <v>2.2000000000000002</v>
      </c>
      <c r="F118" s="24">
        <v>154</v>
      </c>
      <c r="G118" s="24">
        <v>2.0329999999999999</v>
      </c>
    </row>
    <row r="119" spans="2:7">
      <c r="B119" s="24"/>
      <c r="C119" s="24" t="s">
        <v>2059</v>
      </c>
      <c r="D119" s="446">
        <v>11</v>
      </c>
      <c r="E119" s="445">
        <v>1</v>
      </c>
      <c r="F119" s="24">
        <v>365</v>
      </c>
      <c r="G119" s="24">
        <v>4.0149999999999997</v>
      </c>
    </row>
    <row r="120" spans="2:7">
      <c r="B120" s="24"/>
      <c r="C120" s="24" t="s">
        <v>2060</v>
      </c>
      <c r="D120" s="446">
        <v>2.5</v>
      </c>
      <c r="E120" s="445">
        <v>5.5</v>
      </c>
      <c r="F120" s="24">
        <v>60</v>
      </c>
      <c r="G120" s="24">
        <v>0.82499999999999996</v>
      </c>
    </row>
    <row r="121" spans="2:7">
      <c r="B121" s="24"/>
      <c r="C121" s="24" t="s">
        <v>2061</v>
      </c>
      <c r="D121" s="446">
        <v>25</v>
      </c>
      <c r="E121" s="445">
        <v>1</v>
      </c>
      <c r="F121" s="24">
        <v>365</v>
      </c>
      <c r="G121" s="24">
        <v>9.125</v>
      </c>
    </row>
    <row r="122" spans="2:7">
      <c r="B122" s="24" t="s">
        <v>2062</v>
      </c>
      <c r="C122" s="24" t="s">
        <v>2063</v>
      </c>
      <c r="D122" s="446">
        <v>0.3</v>
      </c>
      <c r="E122" s="445">
        <v>3.5</v>
      </c>
      <c r="F122" s="24">
        <v>104</v>
      </c>
      <c r="G122" s="24">
        <v>0.109</v>
      </c>
    </row>
    <row r="123" spans="2:7">
      <c r="B123" s="24"/>
      <c r="C123" s="24" t="s">
        <v>2064</v>
      </c>
      <c r="D123" s="446">
        <v>0.03</v>
      </c>
      <c r="E123" s="445">
        <v>8</v>
      </c>
      <c r="F123" s="24">
        <v>37</v>
      </c>
      <c r="G123" s="24">
        <v>8.9999999999999993E-3</v>
      </c>
    </row>
    <row r="124" spans="2:7">
      <c r="B124" s="24"/>
      <c r="C124" s="24" t="s">
        <v>2065</v>
      </c>
      <c r="D124" s="446">
        <v>0.18</v>
      </c>
      <c r="E124" s="445">
        <v>5</v>
      </c>
      <c r="F124" s="24">
        <v>48</v>
      </c>
      <c r="G124" s="24">
        <v>4.2999999999999997E-2</v>
      </c>
    </row>
    <row r="125" spans="2:7">
      <c r="B125" s="24"/>
      <c r="C125" s="24" t="s">
        <v>2066</v>
      </c>
      <c r="D125" s="446">
        <v>0.3</v>
      </c>
      <c r="E125" s="445">
        <v>3</v>
      </c>
      <c r="F125" s="24">
        <v>122</v>
      </c>
      <c r="G125" s="24">
        <v>0.111</v>
      </c>
    </row>
    <row r="126" spans="2:7">
      <c r="B126" s="24"/>
      <c r="C126" s="24" t="s">
        <v>2067</v>
      </c>
      <c r="D126" s="446">
        <v>0.09</v>
      </c>
      <c r="E126" s="445">
        <v>4</v>
      </c>
      <c r="F126" s="24">
        <v>81</v>
      </c>
      <c r="G126" s="24">
        <v>2.9000000000000001E-2</v>
      </c>
    </row>
    <row r="127" spans="2:7">
      <c r="B127" s="24"/>
      <c r="C127" s="24" t="s">
        <v>2068</v>
      </c>
      <c r="D127" s="446">
        <v>0.2</v>
      </c>
      <c r="E127" s="445">
        <v>1</v>
      </c>
      <c r="F127" s="24">
        <v>365</v>
      </c>
      <c r="G127" s="24">
        <v>7.4999999999999997E-2</v>
      </c>
    </row>
    <row r="128" spans="2:7">
      <c r="B128" s="24"/>
      <c r="C128" s="24" t="s">
        <v>2069</v>
      </c>
      <c r="D128" s="446">
        <v>0.19</v>
      </c>
      <c r="E128" s="445">
        <v>2.5</v>
      </c>
      <c r="F128" s="24">
        <v>146</v>
      </c>
      <c r="G128" s="24">
        <v>6.9000000000000006E-2</v>
      </c>
    </row>
    <row r="129" spans="2:7">
      <c r="B129" s="24" t="s">
        <v>2070</v>
      </c>
      <c r="C129" s="24" t="s">
        <v>2071</v>
      </c>
      <c r="D129" s="446">
        <v>6</v>
      </c>
      <c r="E129" s="445">
        <v>3</v>
      </c>
      <c r="F129" s="24">
        <v>113</v>
      </c>
      <c r="G129" s="24">
        <v>2.0339999999999998</v>
      </c>
    </row>
    <row r="130" spans="2:7">
      <c r="B130" s="24"/>
      <c r="C130" s="24" t="s">
        <v>2072</v>
      </c>
      <c r="D130" s="446">
        <v>22</v>
      </c>
      <c r="E130" s="445">
        <v>1.2</v>
      </c>
      <c r="F130" s="24">
        <v>296</v>
      </c>
      <c r="G130" s="24">
        <v>7.8140000000000001</v>
      </c>
    </row>
    <row r="131" spans="2:7">
      <c r="B131" s="24"/>
      <c r="C131" s="24" t="s">
        <v>2073</v>
      </c>
      <c r="D131" s="446">
        <v>50</v>
      </c>
      <c r="E131" s="445">
        <v>1</v>
      </c>
      <c r="F131" s="24">
        <v>365</v>
      </c>
      <c r="G131" s="24">
        <v>18.25</v>
      </c>
    </row>
    <row r="132" spans="2:7">
      <c r="B132" s="24"/>
      <c r="C132" s="24" t="s">
        <v>2074</v>
      </c>
      <c r="D132" s="446">
        <v>100</v>
      </c>
      <c r="E132" s="445">
        <v>1</v>
      </c>
      <c r="F132" s="24">
        <v>365</v>
      </c>
      <c r="G132" s="24">
        <v>40.880000000000003</v>
      </c>
    </row>
    <row r="133" spans="2:7">
      <c r="B133" s="24"/>
      <c r="C133" s="24" t="s">
        <v>2075</v>
      </c>
      <c r="D133" s="446">
        <v>22</v>
      </c>
      <c r="E133" s="445">
        <v>1</v>
      </c>
      <c r="F133" s="24">
        <v>365</v>
      </c>
      <c r="G133" s="24">
        <v>8.0299999999999994</v>
      </c>
    </row>
    <row r="134" spans="2:7">
      <c r="B134" s="24" t="s">
        <v>2076</v>
      </c>
      <c r="C134" s="24" t="s">
        <v>2077</v>
      </c>
      <c r="D134" s="446">
        <v>3</v>
      </c>
      <c r="E134" s="445">
        <v>2</v>
      </c>
      <c r="F134" s="24">
        <v>183</v>
      </c>
      <c r="G134" s="24">
        <v>1.095</v>
      </c>
    </row>
    <row r="135" spans="2:7">
      <c r="B135" s="24"/>
      <c r="C135" s="24" t="s">
        <v>2078</v>
      </c>
      <c r="D135" s="446">
        <v>6</v>
      </c>
      <c r="E135" s="445">
        <v>1</v>
      </c>
      <c r="F135" s="24">
        <v>365</v>
      </c>
      <c r="G135" s="24">
        <v>2.19</v>
      </c>
    </row>
    <row r="136" spans="2:7">
      <c r="B136" s="24"/>
      <c r="C136" s="24" t="s">
        <v>2079</v>
      </c>
      <c r="D136" s="446">
        <v>3</v>
      </c>
      <c r="E136" s="445">
        <v>1</v>
      </c>
      <c r="F136" s="24">
        <v>365</v>
      </c>
      <c r="G136" s="24">
        <v>1.095</v>
      </c>
    </row>
    <row r="137" spans="2:7">
      <c r="B137" s="24" t="s">
        <v>2080</v>
      </c>
      <c r="C137" s="24" t="s">
        <v>2081</v>
      </c>
      <c r="D137" s="446">
        <v>4</v>
      </c>
      <c r="E137" s="445">
        <v>1</v>
      </c>
      <c r="F137" s="24">
        <v>365</v>
      </c>
      <c r="G137" s="24">
        <v>1.46</v>
      </c>
    </row>
    <row r="138" spans="2:7">
      <c r="B138" s="24"/>
      <c r="C138" s="24" t="s">
        <v>2082</v>
      </c>
      <c r="D138" s="446">
        <v>2</v>
      </c>
      <c r="E138" s="445">
        <v>1</v>
      </c>
      <c r="F138" s="24">
        <v>365</v>
      </c>
      <c r="G138" s="24">
        <v>0.73</v>
      </c>
    </row>
    <row r="139" spans="2:7">
      <c r="B139" s="24"/>
      <c r="C139" s="24" t="s">
        <v>2083</v>
      </c>
      <c r="D139" s="446">
        <v>2</v>
      </c>
      <c r="E139" s="445">
        <v>1</v>
      </c>
      <c r="F139" s="24">
        <v>365</v>
      </c>
      <c r="G139" s="24">
        <v>0.73</v>
      </c>
    </row>
    <row r="140" spans="2:7">
      <c r="B140" s="24" t="s">
        <v>2084</v>
      </c>
      <c r="C140" s="24" t="s">
        <v>2085</v>
      </c>
      <c r="D140" s="446">
        <v>50</v>
      </c>
      <c r="E140" s="445">
        <v>1</v>
      </c>
      <c r="F140" s="24">
        <v>365</v>
      </c>
      <c r="G140" s="24">
        <v>18.25</v>
      </c>
    </row>
    <row r="141" spans="2:7">
      <c r="B141" s="24" t="s">
        <v>2086</v>
      </c>
      <c r="C141" s="24" t="s">
        <v>2087</v>
      </c>
      <c r="D141" s="446">
        <v>1.5</v>
      </c>
      <c r="E141" s="445">
        <v>1</v>
      </c>
      <c r="F141" s="24">
        <v>365</v>
      </c>
      <c r="G141" s="24">
        <v>0.54800000000000004</v>
      </c>
    </row>
    <row r="142" spans="2:7">
      <c r="B142" t="s">
        <v>2088</v>
      </c>
    </row>
  </sheetData>
  <mergeCells count="4">
    <mergeCell ref="B30:B43"/>
    <mergeCell ref="B44:B52"/>
    <mergeCell ref="B53:B54"/>
    <mergeCell ref="B2:D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2:X82"/>
  <sheetViews>
    <sheetView zoomScale="85" zoomScaleNormal="85" workbookViewId="0">
      <selection activeCell="H13" sqref="H13"/>
    </sheetView>
  </sheetViews>
  <sheetFormatPr defaultColWidth="11.5703125" defaultRowHeight="12.75"/>
  <cols>
    <col min="1" max="1" width="7" style="3" customWidth="1"/>
    <col min="2" max="2" width="24.7109375" style="3" customWidth="1"/>
    <col min="3" max="3" width="14.28515625" style="3" customWidth="1"/>
    <col min="4" max="8" width="11.5703125" style="3"/>
    <col min="9" max="9" width="16.28515625" style="3" customWidth="1"/>
    <col min="10" max="16384" width="11.5703125" style="3"/>
  </cols>
  <sheetData>
    <row r="2" spans="1:12" ht="25.15" customHeight="1">
      <c r="B2" s="1130" t="s">
        <v>2431</v>
      </c>
      <c r="C2" s="1130"/>
      <c r="D2" s="1130"/>
      <c r="E2" s="1130"/>
      <c r="F2" s="1130"/>
      <c r="G2" s="1130"/>
      <c r="H2" s="1130"/>
      <c r="I2" s="1130"/>
      <c r="J2" s="1130"/>
      <c r="K2" s="1130"/>
      <c r="L2" s="1130"/>
    </row>
    <row r="4" spans="1:12">
      <c r="B4" s="4" t="s">
        <v>71</v>
      </c>
    </row>
    <row r="6" spans="1:12">
      <c r="A6" s="53" t="s">
        <v>197</v>
      </c>
      <c r="B6" s="4" t="s">
        <v>1763</v>
      </c>
    </row>
    <row r="7" spans="1:12">
      <c r="A7" s="53"/>
      <c r="B7" s="4"/>
    </row>
    <row r="8" spans="1:12">
      <c r="A8" s="53"/>
      <c r="B8" s="6" t="s">
        <v>66</v>
      </c>
      <c r="C8" s="347" t="str">
        <f>'A. Dades de partida'!D7</f>
        <v>Vilalba Sasserra</v>
      </c>
    </row>
    <row r="9" spans="1:12">
      <c r="A9" s="53"/>
      <c r="B9" s="6" t="s">
        <v>1760</v>
      </c>
      <c r="C9" s="347">
        <f>'A. Dades de partida'!D8</f>
        <v>8306</v>
      </c>
    </row>
    <row r="10" spans="1:12">
      <c r="A10" s="53"/>
      <c r="B10" s="6" t="s">
        <v>153</v>
      </c>
      <c r="C10" s="347" t="str">
        <f>'A. Dades de partida'!D24</f>
        <v>Vallès Oriental</v>
      </c>
    </row>
    <row r="11" spans="1:12">
      <c r="A11" s="53"/>
      <c r="B11" s="6" t="s">
        <v>1761</v>
      </c>
      <c r="C11" s="347" t="str">
        <f>'A. Dades de partida'!D25</f>
        <v>41</v>
      </c>
    </row>
    <row r="12" spans="1:12">
      <c r="A12" s="53"/>
      <c r="B12" s="6" t="s">
        <v>135</v>
      </c>
      <c r="C12" s="347">
        <f>'A. Dades de partida'!D10</f>
        <v>15</v>
      </c>
    </row>
    <row r="13" spans="1:12">
      <c r="A13" s="53"/>
      <c r="B13" s="6" t="s">
        <v>124</v>
      </c>
      <c r="C13" s="347">
        <f>'A. Dades de partida'!D11</f>
        <v>0</v>
      </c>
    </row>
    <row r="14" spans="1:12">
      <c r="A14" s="53"/>
      <c r="B14" s="6" t="s">
        <v>125</v>
      </c>
      <c r="C14" s="347">
        <f>'A. Dades de partida'!D12</f>
        <v>15</v>
      </c>
    </row>
    <row r="15" spans="1:12">
      <c r="A15" s="53"/>
      <c r="B15" s="6" t="s">
        <v>1769</v>
      </c>
      <c r="C15" s="348">
        <f>'A. Dades de partida'!D14</f>
        <v>684</v>
      </c>
    </row>
    <row r="16" spans="1:12">
      <c r="A16" s="53"/>
      <c r="B16" s="6" t="s">
        <v>1771</v>
      </c>
      <c r="C16" s="348">
        <f>'A. Dades de partida'!D15</f>
        <v>587</v>
      </c>
    </row>
    <row r="17" spans="1:24">
      <c r="A17" s="53"/>
      <c r="B17" s="6" t="s">
        <v>1768</v>
      </c>
      <c r="C17" s="348">
        <f>'A. Dades de partida'!D18</f>
        <v>889241.73</v>
      </c>
    </row>
    <row r="18" spans="1:24">
      <c r="A18" s="53"/>
      <c r="B18" s="53"/>
      <c r="C18" s="53"/>
      <c r="D18" s="53"/>
      <c r="E18" s="53"/>
    </row>
    <row r="20" spans="1:24">
      <c r="A20" s="3" t="s">
        <v>41</v>
      </c>
      <c r="B20" s="4" t="s">
        <v>108</v>
      </c>
    </row>
    <row r="21" spans="1:24">
      <c r="B21" s="138" t="s">
        <v>104</v>
      </c>
    </row>
    <row r="22" spans="1:24">
      <c r="B22" s="5" t="s">
        <v>2368</v>
      </c>
    </row>
    <row r="23" spans="1:24">
      <c r="B23" s="138"/>
    </row>
    <row r="24" spans="1:24">
      <c r="B24" s="5"/>
      <c r="C24" s="5"/>
      <c r="D24" s="5"/>
      <c r="E24" s="5"/>
    </row>
    <row r="25" spans="1:24">
      <c r="B25" s="46" t="s">
        <v>51</v>
      </c>
      <c r="C25" s="46" t="s">
        <v>0</v>
      </c>
      <c r="D25" s="46" t="s">
        <v>1</v>
      </c>
      <c r="E25" s="5"/>
      <c r="F25" s="13"/>
      <c r="G25" s="13"/>
    </row>
    <row r="26" spans="1:24">
      <c r="B26" s="57" t="s">
        <v>3</v>
      </c>
      <c r="C26" s="722">
        <f>'A. Dades de partida'!D82</f>
        <v>0</v>
      </c>
      <c r="D26" s="722">
        <f>'A. Dades de partida'!E82</f>
        <v>0</v>
      </c>
      <c r="E26" s="349" t="s">
        <v>5</v>
      </c>
      <c r="G26" s="13"/>
    </row>
    <row r="27" spans="1:24">
      <c r="B27" s="57" t="s">
        <v>2</v>
      </c>
      <c r="C27" s="722">
        <f>'A. Dades de partida'!D83</f>
        <v>0</v>
      </c>
      <c r="D27" s="722">
        <f>'A. Dades de partida'!E83</f>
        <v>0</v>
      </c>
      <c r="E27" s="349" t="s">
        <v>5</v>
      </c>
      <c r="G27" s="13"/>
    </row>
    <row r="29" spans="1:24">
      <c r="W29" s="3">
        <v>50</v>
      </c>
      <c r="X29" s="3">
        <v>20.647400000000001</v>
      </c>
    </row>
    <row r="30" spans="1:24">
      <c r="A30" s="21" t="s">
        <v>42</v>
      </c>
      <c r="B30" s="4" t="s">
        <v>121</v>
      </c>
    </row>
    <row r="31" spans="1:24">
      <c r="A31" s="21"/>
      <c r="B31" s="4"/>
    </row>
    <row r="32" spans="1:24">
      <c r="A32" s="21"/>
      <c r="B32" s="34" t="s">
        <v>1799</v>
      </c>
      <c r="C32" s="59" t="s">
        <v>4</v>
      </c>
    </row>
    <row r="33" spans="1:24">
      <c r="B33" s="6" t="s">
        <v>3</v>
      </c>
      <c r="C33" s="62">
        <v>350</v>
      </c>
    </row>
    <row r="34" spans="1:24">
      <c r="B34" s="6" t="s">
        <v>2</v>
      </c>
      <c r="C34" s="62">
        <v>380</v>
      </c>
      <c r="W34" s="3">
        <v>50</v>
      </c>
      <c r="X34" s="3">
        <v>61.9422</v>
      </c>
    </row>
    <row r="35" spans="1:24">
      <c r="B35" s="9" t="s">
        <v>1928</v>
      </c>
      <c r="C35" s="13"/>
      <c r="D35" s="13"/>
    </row>
    <row r="37" spans="1:24">
      <c r="B37" s="4" t="s">
        <v>109</v>
      </c>
    </row>
    <row r="38" spans="1:24">
      <c r="B38" s="4"/>
    </row>
    <row r="39" spans="1:24">
      <c r="B39" s="34" t="s">
        <v>78</v>
      </c>
      <c r="C39" s="59" t="s">
        <v>106</v>
      </c>
      <c r="W39" s="3">
        <v>50</v>
      </c>
      <c r="X39" s="3">
        <v>92.913300000000007</v>
      </c>
    </row>
    <row r="40" spans="1:24">
      <c r="B40" s="6" t="s">
        <v>9</v>
      </c>
      <c r="C40" s="62">
        <v>0.2</v>
      </c>
      <c r="W40" s="3">
        <v>50</v>
      </c>
      <c r="X40" s="3">
        <v>103.23699999999999</v>
      </c>
    </row>
    <row r="41" spans="1:24">
      <c r="B41" s="6" t="s">
        <v>8</v>
      </c>
      <c r="C41" s="62">
        <v>0.6</v>
      </c>
      <c r="W41" s="3">
        <v>100</v>
      </c>
      <c r="X41" s="3">
        <v>33.466411999999998</v>
      </c>
    </row>
    <row r="42" spans="1:24">
      <c r="B42" s="6" t="s">
        <v>7</v>
      </c>
      <c r="C42" s="62">
        <v>0.9</v>
      </c>
    </row>
    <row r="43" spans="1:24">
      <c r="B43" s="6" t="s">
        <v>6</v>
      </c>
      <c r="C43" s="62">
        <v>1</v>
      </c>
      <c r="R43" s="26"/>
    </row>
    <row r="44" spans="1:24">
      <c r="B44" s="9" t="s">
        <v>1928</v>
      </c>
      <c r="R44" s="27"/>
      <c r="W44" s="3">
        <v>100</v>
      </c>
      <c r="X44" s="3">
        <v>100.399236</v>
      </c>
    </row>
    <row r="45" spans="1:24">
      <c r="R45" s="28"/>
      <c r="W45" s="3">
        <v>100</v>
      </c>
      <c r="X45" s="3">
        <v>150.59885399999999</v>
      </c>
    </row>
    <row r="46" spans="1:24">
      <c r="R46" s="58"/>
    </row>
    <row r="47" spans="1:24">
      <c r="A47" s="3" t="s">
        <v>47</v>
      </c>
      <c r="B47" s="4" t="s">
        <v>110</v>
      </c>
    </row>
    <row r="48" spans="1:24">
      <c r="B48" s="3" t="s">
        <v>107</v>
      </c>
    </row>
    <row r="49" spans="1:20">
      <c r="B49" s="60" t="s">
        <v>151</v>
      </c>
    </row>
    <row r="50" spans="1:20">
      <c r="F50" s="8"/>
    </row>
    <row r="51" spans="1:20">
      <c r="E51" s="1149" t="s">
        <v>115</v>
      </c>
      <c r="F51" s="1150"/>
      <c r="G51" s="1151"/>
    </row>
    <row r="52" spans="1:20">
      <c r="C52" s="46" t="s">
        <v>76</v>
      </c>
      <c r="D52" s="46" t="s">
        <v>77</v>
      </c>
      <c r="E52" s="44" t="s">
        <v>39</v>
      </c>
      <c r="F52" s="44" t="s">
        <v>40</v>
      </c>
      <c r="G52" s="46" t="s">
        <v>119</v>
      </c>
    </row>
    <row r="53" spans="1:20">
      <c r="B53" s="43" t="s">
        <v>78</v>
      </c>
      <c r="C53" s="47">
        <v>50</v>
      </c>
      <c r="D53" s="47">
        <v>100</v>
      </c>
      <c r="E53" s="38"/>
      <c r="F53" s="38"/>
      <c r="G53" s="44">
        <f>'A. Dades de partida'!D10</f>
        <v>15</v>
      </c>
      <c r="H53" s="6" t="s">
        <v>10</v>
      </c>
    </row>
    <row r="54" spans="1:20">
      <c r="B54" s="44" t="s">
        <v>9</v>
      </c>
      <c r="C54" s="30">
        <f>($C$26*$C$33+$C$27*$C$34)*C40/1000000</f>
        <v>0</v>
      </c>
      <c r="D54" s="30">
        <f>($D$26*$C$33+$D$27*$C$34)*C40/1000000</f>
        <v>0</v>
      </c>
      <c r="E54" s="35">
        <f>(D54-C54)/(D$53-C$53)</f>
        <v>0</v>
      </c>
      <c r="F54" s="35">
        <f>C54-(E54*C$53)</f>
        <v>0</v>
      </c>
      <c r="G54" s="35">
        <f>(E54*G$53)+F54</f>
        <v>0</v>
      </c>
      <c r="H54" s="6" t="s">
        <v>62</v>
      </c>
      <c r="T54" s="29"/>
    </row>
    <row r="55" spans="1:20">
      <c r="B55" s="44" t="s">
        <v>8</v>
      </c>
      <c r="C55" s="30">
        <f>($C$26*$C$33+$C$27*$C$34)*C41/1000000</f>
        <v>0</v>
      </c>
      <c r="D55" s="30">
        <f>($D$26*$C$33+$D$27*$C$34)*C41/1000000</f>
        <v>0</v>
      </c>
      <c r="E55" s="35">
        <f>(D55-C55)/(D$53-C$53)</f>
        <v>0</v>
      </c>
      <c r="F55" s="35">
        <f>C55-(E55*C$53)</f>
        <v>0</v>
      </c>
      <c r="G55" s="35">
        <f>(E55*G$53)+F55</f>
        <v>0</v>
      </c>
      <c r="H55" s="6" t="s">
        <v>62</v>
      </c>
      <c r="T55" s="27"/>
    </row>
    <row r="56" spans="1:20">
      <c r="B56" s="44" t="s">
        <v>7</v>
      </c>
      <c r="C56" s="30">
        <f>($C$26*$C$33+$C$27*$C$34)*C42/1000000</f>
        <v>0</v>
      </c>
      <c r="D56" s="30">
        <f>($D$26*$C$33+$D$27*$C$34)*C42/1000000</f>
        <v>0</v>
      </c>
      <c r="E56" s="35">
        <f>(D56-C56)/(D$53-C$53)</f>
        <v>0</v>
      </c>
      <c r="F56" s="35">
        <f>C56-(E56*C$53)</f>
        <v>0</v>
      </c>
      <c r="G56" s="35">
        <f>(E56*G$53)+F56</f>
        <v>0</v>
      </c>
      <c r="H56" s="6" t="s">
        <v>62</v>
      </c>
    </row>
    <row r="57" spans="1:20">
      <c r="B57" s="45" t="s">
        <v>6</v>
      </c>
      <c r="C57" s="41">
        <f>($C$26*$C$33+$C$27*$C$34)*C43/1000000</f>
        <v>0</v>
      </c>
      <c r="D57" s="41">
        <f>($D$26*$C$33+$D$27*$C$34)*C43/1000000</f>
        <v>0</v>
      </c>
      <c r="E57" s="39">
        <f>(D57-C57)/(D$53-C$53)</f>
        <v>0</v>
      </c>
      <c r="F57" s="39">
        <f>C57-(E57*C$53)</f>
        <v>0</v>
      </c>
      <c r="G57" s="39">
        <f>(E57*G$53)+F57</f>
        <v>0</v>
      </c>
      <c r="H57" s="6" t="s">
        <v>62</v>
      </c>
    </row>
    <row r="58" spans="1:20">
      <c r="A58" s="3" t="s">
        <v>48</v>
      </c>
      <c r="B58" s="46" t="s">
        <v>11</v>
      </c>
      <c r="C58" s="6"/>
      <c r="D58" s="6"/>
      <c r="E58" s="6"/>
      <c r="F58" s="6"/>
      <c r="G58" s="25" t="e">
        <f>GEOMEAN(G54:G57)</f>
        <v>#NUM!</v>
      </c>
      <c r="H58" s="6" t="s">
        <v>62</v>
      </c>
    </row>
    <row r="59" spans="1:20">
      <c r="G59" s="40"/>
    </row>
    <row r="60" spans="1:20">
      <c r="B60" s="61" t="s">
        <v>111</v>
      </c>
    </row>
    <row r="61" spans="1:20">
      <c r="B61" s="61" t="s">
        <v>46</v>
      </c>
    </row>
    <row r="62" spans="1:20">
      <c r="B62" s="61" t="s">
        <v>68</v>
      </c>
    </row>
    <row r="63" spans="1:20">
      <c r="B63" s="61" t="s">
        <v>69</v>
      </c>
    </row>
    <row r="66" spans="1:7">
      <c r="A66" s="3" t="s">
        <v>44</v>
      </c>
      <c r="B66" s="4" t="s">
        <v>113</v>
      </c>
    </row>
    <row r="67" spans="1:7">
      <c r="B67" s="12" t="s">
        <v>1931</v>
      </c>
    </row>
    <row r="69" spans="1:7">
      <c r="A69" s="3" t="s">
        <v>49</v>
      </c>
      <c r="B69" s="4" t="s">
        <v>116</v>
      </c>
    </row>
    <row r="72" spans="1:7">
      <c r="B72" s="46" t="s">
        <v>78</v>
      </c>
      <c r="C72" s="46" t="s">
        <v>118</v>
      </c>
    </row>
    <row r="73" spans="1:7">
      <c r="B73" s="6" t="s">
        <v>9</v>
      </c>
      <c r="C73" s="18">
        <f>G54*2</f>
        <v>0</v>
      </c>
      <c r="D73" s="6" t="s">
        <v>62</v>
      </c>
    </row>
    <row r="74" spans="1:7">
      <c r="B74" s="6" t="s">
        <v>8</v>
      </c>
      <c r="C74" s="18">
        <f>G55*2</f>
        <v>0</v>
      </c>
      <c r="D74" s="6" t="s">
        <v>62</v>
      </c>
    </row>
    <row r="75" spans="1:7">
      <c r="B75" s="6" t="s">
        <v>7</v>
      </c>
      <c r="C75" s="18">
        <f>G56*2</f>
        <v>0</v>
      </c>
      <c r="D75" s="6" t="s">
        <v>62</v>
      </c>
    </row>
    <row r="76" spans="1:7">
      <c r="B76" s="6" t="s">
        <v>6</v>
      </c>
      <c r="C76" s="18">
        <f>G57*2</f>
        <v>0</v>
      </c>
      <c r="D76" s="6" t="s">
        <v>62</v>
      </c>
      <c r="F76" s="33"/>
      <c r="G76" s="33"/>
    </row>
    <row r="77" spans="1:7">
      <c r="A77" s="3" t="s">
        <v>50</v>
      </c>
      <c r="B77" s="31" t="s">
        <v>45</v>
      </c>
      <c r="C77" s="32" t="e">
        <f>GEOMEAN(C73:C76)</f>
        <v>#NUM!</v>
      </c>
      <c r="D77" s="6" t="s">
        <v>62</v>
      </c>
      <c r="F77" s="8"/>
      <c r="G77" s="8"/>
    </row>
    <row r="80" spans="1:7">
      <c r="A80" s="3" t="s">
        <v>70</v>
      </c>
      <c r="B80" s="4" t="s">
        <v>117</v>
      </c>
    </row>
    <row r="82" spans="2:3">
      <c r="B82" s="34" t="s">
        <v>1957</v>
      </c>
      <c r="C82" s="42" t="e">
        <f>C77-G58</f>
        <v>#NUM!</v>
      </c>
    </row>
  </sheetData>
  <sheetProtection algorithmName="SHA-512" hashValue="q9xxgXcAMUzS6X4OzpSnZbnLWtMp1xM/VkZ56Gk3PynNRSS5+kh+f7NASRMH+dAGvfq553Oj1P6eVgL3iEdvQg==" saltValue="H4LE2ZlP6rkIzuHlIF3UwA==" spinCount="100000" sheet="1" objects="1" scenarios="1"/>
  <mergeCells count="2">
    <mergeCell ref="E51:G51"/>
    <mergeCell ref="B2:L2"/>
  </mergeCells>
  <hyperlinks>
    <hyperlink ref="B61" r:id="rId1" tooltip="Estadística" display="https://ca.wikipedia.org/wiki/Estad%C3%ADstic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K97"/>
  <sheetViews>
    <sheetView tabSelected="1" topLeftCell="J1" zoomScaleNormal="100" workbookViewId="0">
      <selection activeCell="U11" sqref="U10:U11"/>
    </sheetView>
  </sheetViews>
  <sheetFormatPr defaultColWidth="11.42578125" defaultRowHeight="12.75"/>
  <cols>
    <col min="1" max="1" width="4.140625" style="335" customWidth="1"/>
    <col min="2" max="2" width="2.28515625" style="335" customWidth="1"/>
    <col min="3" max="3" width="43.28515625" style="335" customWidth="1"/>
    <col min="4" max="4" width="14.7109375" style="335" customWidth="1"/>
    <col min="5" max="5" width="17" style="335" customWidth="1"/>
    <col min="6" max="6" width="17.28515625" style="335" customWidth="1"/>
    <col min="7" max="7" width="12.5703125" style="335" customWidth="1"/>
    <col min="8" max="16384" width="11.42578125" style="335"/>
  </cols>
  <sheetData>
    <row r="1" spans="1:11">
      <c r="A1" s="812"/>
      <c r="B1" s="813"/>
      <c r="C1" s="813"/>
      <c r="D1" s="813"/>
      <c r="E1" s="813"/>
      <c r="F1" s="813"/>
      <c r="G1" s="813"/>
      <c r="H1" s="813"/>
      <c r="I1" s="813"/>
      <c r="J1" s="813"/>
      <c r="K1" s="814"/>
    </row>
    <row r="2" spans="1:11" ht="25.15" customHeight="1">
      <c r="A2" s="815"/>
      <c r="B2" s="1125" t="s">
        <v>2127</v>
      </c>
      <c r="C2" s="1125"/>
      <c r="D2" s="1125"/>
      <c r="E2" s="1125"/>
      <c r="F2" s="1125"/>
      <c r="G2" s="357"/>
      <c r="H2" s="357"/>
      <c r="I2" s="357"/>
      <c r="J2" s="357"/>
      <c r="K2" s="816"/>
    </row>
    <row r="3" spans="1:11">
      <c r="A3" s="815"/>
      <c r="B3" s="357"/>
      <c r="C3" s="541" t="s">
        <v>2380</v>
      </c>
      <c r="D3" s="357"/>
      <c r="E3" s="357"/>
      <c r="F3" s="357"/>
      <c r="G3" s="357"/>
      <c r="H3" s="357"/>
      <c r="I3" s="357"/>
      <c r="J3" s="357"/>
      <c r="K3" s="816"/>
    </row>
    <row r="4" spans="1:11">
      <c r="A4" s="815"/>
      <c r="B4" s="357"/>
      <c r="C4" s="357"/>
      <c r="D4" s="357"/>
      <c r="E4" s="357"/>
      <c r="F4" s="357"/>
      <c r="G4" s="357"/>
      <c r="H4" s="357"/>
      <c r="I4" s="357"/>
      <c r="J4" s="357"/>
      <c r="K4" s="816"/>
    </row>
    <row r="5" spans="1:11" ht="14.65" customHeight="1">
      <c r="A5" s="815"/>
      <c r="B5" s="1119" t="s">
        <v>2135</v>
      </c>
      <c r="C5" s="1120"/>
      <c r="D5" s="1120"/>
      <c r="E5" s="1120"/>
      <c r="F5" s="1121"/>
      <c r="G5" s="357"/>
      <c r="H5" s="357"/>
      <c r="I5" s="357"/>
      <c r="J5" s="357"/>
      <c r="K5" s="816"/>
    </row>
    <row r="6" spans="1:11">
      <c r="A6" s="815"/>
      <c r="B6" s="686"/>
      <c r="C6" s="357"/>
      <c r="D6" s="357"/>
      <c r="E6" s="357"/>
      <c r="F6" s="687"/>
      <c r="G6" s="357"/>
      <c r="H6" s="357"/>
      <c r="I6" s="357"/>
      <c r="J6" s="357"/>
      <c r="K6" s="816"/>
    </row>
    <row r="7" spans="1:11">
      <c r="A7" s="815"/>
      <c r="B7" s="686"/>
      <c r="C7" s="334" t="s">
        <v>66</v>
      </c>
      <c r="D7" s="785" t="s">
        <v>1730</v>
      </c>
      <c r="E7" s="357"/>
      <c r="F7" s="687"/>
      <c r="G7" s="357"/>
      <c r="H7" s="357"/>
      <c r="I7" s="357"/>
      <c r="J7" s="357"/>
      <c r="K7" s="816"/>
    </row>
    <row r="8" spans="1:11">
      <c r="A8" s="815"/>
      <c r="B8" s="686"/>
      <c r="C8" s="334" t="s">
        <v>1759</v>
      </c>
      <c r="D8" s="334">
        <f>IFERROR(VLOOKUP($D$7,'BD ASVICC'!$A$6:$GO$316,197,FALSE)," ")</f>
        <v>8306</v>
      </c>
      <c r="E8" s="357"/>
      <c r="F8" s="687"/>
      <c r="G8" s="357"/>
      <c r="H8" s="357"/>
      <c r="I8" s="357"/>
      <c r="J8" s="357"/>
      <c r="K8" s="816"/>
    </row>
    <row r="9" spans="1:11">
      <c r="A9" s="815"/>
      <c r="B9" s="686"/>
      <c r="C9" s="357"/>
      <c r="D9" s="357"/>
      <c r="E9" s="357"/>
      <c r="F9" s="687"/>
      <c r="G9" s="357"/>
      <c r="H9" s="357"/>
      <c r="I9" s="357"/>
      <c r="J9" s="357"/>
      <c r="K9" s="816"/>
    </row>
    <row r="10" spans="1:11">
      <c r="A10" s="815"/>
      <c r="B10" s="686"/>
      <c r="C10" s="334" t="s">
        <v>135</v>
      </c>
      <c r="D10" s="24">
        <v>15</v>
      </c>
      <c r="E10" s="357"/>
      <c r="F10" s="687"/>
      <c r="G10" s="357"/>
      <c r="H10" s="357"/>
      <c r="I10" s="357"/>
      <c r="J10" s="357"/>
      <c r="K10" s="816"/>
    </row>
    <row r="11" spans="1:11">
      <c r="A11" s="815"/>
      <c r="B11" s="686"/>
      <c r="C11" s="334" t="s">
        <v>124</v>
      </c>
      <c r="D11" s="749"/>
      <c r="E11" s="357"/>
      <c r="F11" s="687"/>
      <c r="G11" s="357"/>
      <c r="H11" s="357"/>
      <c r="I11" s="357"/>
      <c r="J11" s="357"/>
      <c r="K11" s="816"/>
    </row>
    <row r="12" spans="1:11">
      <c r="A12" s="815"/>
      <c r="B12" s="686"/>
      <c r="C12" s="334" t="s">
        <v>125</v>
      </c>
      <c r="D12" s="24">
        <f>D11+D10</f>
        <v>15</v>
      </c>
      <c r="E12" s="357"/>
      <c r="F12" s="687"/>
      <c r="G12" s="357"/>
      <c r="H12" s="357"/>
      <c r="I12" s="357"/>
      <c r="J12" s="357"/>
      <c r="K12" s="816"/>
    </row>
    <row r="13" spans="1:11">
      <c r="A13" s="815"/>
      <c r="B13" s="686"/>
      <c r="C13" s="357"/>
      <c r="D13" s="357"/>
      <c r="E13" s="357"/>
      <c r="F13" s="687"/>
      <c r="G13" s="357"/>
      <c r="H13" s="357"/>
      <c r="I13" s="357"/>
      <c r="J13" s="357"/>
      <c r="K13" s="816"/>
    </row>
    <row r="14" spans="1:11">
      <c r="A14" s="815"/>
      <c r="B14" s="686"/>
      <c r="C14" s="334" t="s">
        <v>1769</v>
      </c>
      <c r="D14" s="83">
        <f>IFERROR(VLOOKUP(D7,'BD ASVICC'!A6:GP316,24,),"")</f>
        <v>684</v>
      </c>
      <c r="E14" s="604" t="str">
        <f>'BD ASVICC'!X4</f>
        <v>Any 2016</v>
      </c>
      <c r="F14" s="687"/>
      <c r="G14" s="357"/>
      <c r="H14" s="357"/>
      <c r="I14" s="357"/>
      <c r="J14" s="357"/>
      <c r="K14" s="816"/>
    </row>
    <row r="15" spans="1:11">
      <c r="A15" s="815"/>
      <c r="B15" s="686"/>
      <c r="C15" s="334" t="s">
        <v>2126</v>
      </c>
      <c r="D15" s="83">
        <f>IFERROR(VLOOKUP(D7,'BD ASVICC'!A6:GP316,4,),"")</f>
        <v>587</v>
      </c>
      <c r="E15" s="604" t="str">
        <f>'BD ASVICC'!A2</f>
        <v>Any 2015</v>
      </c>
      <c r="F15" s="687"/>
      <c r="G15" s="357"/>
      <c r="H15" s="357"/>
      <c r="I15" s="357"/>
      <c r="J15" s="357"/>
      <c r="K15" s="816"/>
    </row>
    <row r="16" spans="1:11">
      <c r="A16" s="815"/>
      <c r="B16" s="686"/>
      <c r="C16" s="334" t="s">
        <v>1953</v>
      </c>
      <c r="D16" s="420">
        <f>IFERROR(D15/D27,"")</f>
        <v>7.9863945578231288E-3</v>
      </c>
      <c r="E16" s="604" t="str">
        <f>E15</f>
        <v>Any 2015</v>
      </c>
      <c r="F16" s="687"/>
      <c r="G16" s="357"/>
      <c r="H16" s="357"/>
      <c r="I16" s="357"/>
      <c r="J16" s="357"/>
      <c r="K16" s="816"/>
    </row>
    <row r="17" spans="1:11">
      <c r="A17" s="815"/>
      <c r="B17" s="686"/>
      <c r="C17" s="357"/>
      <c r="D17" s="357"/>
      <c r="E17" s="630"/>
      <c r="F17" s="687"/>
      <c r="G17" s="357"/>
      <c r="H17" s="357"/>
      <c r="I17" s="357"/>
      <c r="J17" s="357"/>
      <c r="K17" s="816"/>
    </row>
    <row r="18" spans="1:11">
      <c r="A18" s="815"/>
      <c r="B18" s="686"/>
      <c r="C18" s="334" t="s">
        <v>1768</v>
      </c>
      <c r="D18" s="83">
        <f>IFERROR(VLOOKUP($D$7,'BD ASVICC'!A6:GO316,32,FALSE),"")</f>
        <v>889241.73</v>
      </c>
      <c r="E18" s="604" t="str">
        <f>'BD ASVICC'!AF4</f>
        <v>Any 2016</v>
      </c>
      <c r="F18" s="687"/>
      <c r="G18" s="357"/>
      <c r="H18" s="357"/>
      <c r="I18" s="357"/>
      <c r="J18" s="357"/>
      <c r="K18" s="816"/>
    </row>
    <row r="19" spans="1:11">
      <c r="A19" s="815"/>
      <c r="B19" s="688"/>
      <c r="C19" s="689"/>
      <c r="D19" s="689"/>
      <c r="E19" s="689"/>
      <c r="F19" s="690"/>
      <c r="G19" s="357"/>
      <c r="H19" s="357"/>
      <c r="I19" s="357"/>
      <c r="J19" s="357"/>
      <c r="K19" s="816"/>
    </row>
    <row r="20" spans="1:11">
      <c r="A20" s="815"/>
      <c r="B20" s="357"/>
      <c r="C20" s="357"/>
      <c r="D20" s="357"/>
      <c r="E20" s="357"/>
      <c r="F20" s="357"/>
      <c r="G20" s="357"/>
      <c r="H20" s="357"/>
      <c r="I20" s="357"/>
      <c r="J20" s="357"/>
      <c r="K20" s="816"/>
    </row>
    <row r="21" spans="1:11">
      <c r="A21" s="815"/>
      <c r="B21" s="357"/>
      <c r="C21" s="357"/>
      <c r="D21" s="357"/>
      <c r="E21" s="357"/>
      <c r="F21" s="357"/>
      <c r="G21" s="357"/>
      <c r="H21" s="357"/>
      <c r="I21" s="357"/>
      <c r="J21" s="357"/>
      <c r="K21" s="816"/>
    </row>
    <row r="22" spans="1:11" ht="14.65" customHeight="1">
      <c r="A22" s="815"/>
      <c r="B22" s="1122" t="s">
        <v>2136</v>
      </c>
      <c r="C22" s="1123"/>
      <c r="D22" s="1123"/>
      <c r="E22" s="1123"/>
      <c r="F22" s="1124"/>
      <c r="G22" s="357"/>
      <c r="H22" s="357"/>
      <c r="I22" s="357"/>
      <c r="J22" s="357"/>
      <c r="K22" s="816"/>
    </row>
    <row r="23" spans="1:11">
      <c r="A23" s="815"/>
      <c r="B23" s="686"/>
      <c r="C23" s="357"/>
      <c r="D23" s="357"/>
      <c r="E23" s="357"/>
      <c r="F23" s="687"/>
      <c r="G23" s="357"/>
      <c r="H23" s="357"/>
      <c r="I23" s="357"/>
      <c r="J23" s="357"/>
      <c r="K23" s="816"/>
    </row>
    <row r="24" spans="1:11">
      <c r="A24" s="815"/>
      <c r="B24" s="686"/>
      <c r="C24" s="334" t="s">
        <v>153</v>
      </c>
      <c r="D24" s="343" t="str">
        <f>IFERROR(VLOOKUP(D7,'BD ASVICC'!$A$6:$GS$316,201,),"")</f>
        <v>Vallès Oriental</v>
      </c>
      <c r="E24" s="357"/>
      <c r="F24" s="687"/>
      <c r="G24" s="357"/>
      <c r="H24" s="357"/>
      <c r="I24" s="357"/>
      <c r="J24" s="357"/>
      <c r="K24" s="816"/>
    </row>
    <row r="25" spans="1:11">
      <c r="A25" s="815"/>
      <c r="B25" s="686"/>
      <c r="C25" s="334" t="s">
        <v>1762</v>
      </c>
      <c r="D25" s="838" t="str">
        <f>IFERROR(VLOOKUP(D7,'BD ASVICC'!A6:GP316,198,),"")</f>
        <v>41</v>
      </c>
      <c r="E25" s="357"/>
      <c r="F25" s="687"/>
      <c r="G25" s="357"/>
      <c r="H25" s="357"/>
      <c r="I25" s="357"/>
      <c r="J25" s="357"/>
      <c r="K25" s="816"/>
    </row>
    <row r="26" spans="1:11">
      <c r="A26" s="815"/>
      <c r="B26" s="686"/>
      <c r="C26" s="334" t="s">
        <v>1775</v>
      </c>
      <c r="D26" s="79">
        <f>IFERROR(VLOOKUP(D24,'BD Comarcal'!A6:Z17,26,),"")</f>
        <v>401338</v>
      </c>
      <c r="E26" s="605" t="str">
        <f>'BD Comarcal'!Z3</f>
        <v>Any 2016</v>
      </c>
      <c r="F26" s="687"/>
      <c r="G26" s="357"/>
      <c r="H26" s="357"/>
      <c r="I26" s="357"/>
      <c r="J26" s="357"/>
      <c r="K26" s="816"/>
    </row>
    <row r="27" spans="1:11">
      <c r="A27" s="815"/>
      <c r="B27" s="686"/>
      <c r="C27" s="334" t="s">
        <v>1776</v>
      </c>
      <c r="D27" s="330">
        <f>IFERROR(VLOOKUP(D24,'BD Comarcal'!A6:Z17,25,)*100,"")</f>
        <v>73500</v>
      </c>
      <c r="E27" s="605" t="str">
        <f>E26</f>
        <v>Any 2016</v>
      </c>
      <c r="F27" s="687"/>
      <c r="G27" s="357"/>
      <c r="H27" s="357"/>
      <c r="I27" s="357"/>
      <c r="J27" s="357"/>
      <c r="K27" s="816"/>
    </row>
    <row r="28" spans="1:11">
      <c r="A28" s="815"/>
      <c r="B28" s="686"/>
      <c r="C28" s="334" t="s">
        <v>2006</v>
      </c>
      <c r="D28" s="458">
        <f>IFERROR(VLOOKUP('A. Dades de partida'!D24,'BD Comarcal'!$A$6:$Z$17,21,),"")</f>
        <v>50831</v>
      </c>
      <c r="E28" s="605" t="str">
        <f>E27</f>
        <v>Any 2016</v>
      </c>
      <c r="F28" s="687"/>
      <c r="G28" s="357"/>
      <c r="H28" s="357"/>
      <c r="I28" s="357"/>
      <c r="J28" s="357"/>
      <c r="K28" s="816"/>
    </row>
    <row r="29" spans="1:11">
      <c r="A29" s="815"/>
      <c r="B29" s="688"/>
      <c r="C29" s="689"/>
      <c r="D29" s="689"/>
      <c r="E29" s="689"/>
      <c r="F29" s="690"/>
      <c r="G29" s="357"/>
      <c r="H29" s="357"/>
      <c r="I29" s="357"/>
      <c r="J29" s="357"/>
      <c r="K29" s="816"/>
    </row>
    <row r="30" spans="1:11">
      <c r="A30" s="815"/>
      <c r="B30" s="357"/>
      <c r="C30" s="357"/>
      <c r="D30" s="357"/>
      <c r="E30" s="357"/>
      <c r="F30" s="357"/>
      <c r="G30" s="357"/>
      <c r="H30" s="357"/>
      <c r="I30" s="357"/>
      <c r="J30" s="357"/>
      <c r="K30" s="816"/>
    </row>
    <row r="31" spans="1:11">
      <c r="A31" s="815"/>
      <c r="B31" s="357"/>
      <c r="C31" s="357"/>
      <c r="D31" s="357"/>
      <c r="E31" s="357"/>
      <c r="F31" s="357"/>
      <c r="G31" s="357"/>
      <c r="H31" s="357"/>
      <c r="I31" s="357"/>
      <c r="J31" s="357"/>
      <c r="K31" s="816"/>
    </row>
    <row r="32" spans="1:11" ht="14.65" customHeight="1">
      <c r="A32" s="815"/>
      <c r="B32" s="1120" t="s">
        <v>2134</v>
      </c>
      <c r="C32" s="1120"/>
      <c r="D32" s="1120"/>
      <c r="E32" s="1120"/>
      <c r="F32" s="1120"/>
      <c r="G32" s="357"/>
      <c r="H32" s="357"/>
      <c r="I32" s="357"/>
      <c r="J32" s="357"/>
      <c r="K32" s="816"/>
    </row>
    <row r="33" spans="1:11">
      <c r="A33" s="815"/>
      <c r="B33" s="686"/>
      <c r="C33" s="357"/>
      <c r="D33" s="691" t="s">
        <v>682</v>
      </c>
      <c r="E33" s="357"/>
      <c r="F33" s="687"/>
      <c r="G33" s="357"/>
      <c r="H33" s="357"/>
      <c r="I33" s="357"/>
      <c r="J33" s="357"/>
      <c r="K33" s="816"/>
    </row>
    <row r="34" spans="1:11">
      <c r="A34" s="815"/>
      <c r="B34" s="686"/>
      <c r="C34" s="334" t="s">
        <v>2210</v>
      </c>
      <c r="D34" s="748" t="s">
        <v>529</v>
      </c>
      <c r="E34" s="357"/>
      <c r="F34" s="687"/>
      <c r="G34" s="357"/>
      <c r="H34" s="357"/>
      <c r="I34" s="541"/>
      <c r="J34" s="357"/>
      <c r="K34" s="816"/>
    </row>
    <row r="35" spans="1:11">
      <c r="A35" s="815"/>
      <c r="B35" s="686"/>
      <c r="C35" s="334" t="s">
        <v>2130</v>
      </c>
      <c r="D35" s="786">
        <f>IFERROR(IF(D34="No",0, IF(D36="NA",0, IF(D36="SD", "demana les dades a l'ajuntament",D36/D18))),"")</f>
        <v>0</v>
      </c>
      <c r="E35" s="772" t="s">
        <v>2263</v>
      </c>
      <c r="F35" s="687"/>
      <c r="G35" s="357"/>
      <c r="H35" s="357"/>
      <c r="I35" s="357"/>
      <c r="J35" s="357"/>
      <c r="K35" s="816"/>
    </row>
    <row r="36" spans="1:11">
      <c r="A36" s="815"/>
      <c r="B36" s="686"/>
      <c r="C36" s="334" t="s">
        <v>2200</v>
      </c>
      <c r="D36" s="79" t="str">
        <f>IFERROR(VLOOKUP($D$8,'consums energètics residencial'!$A$4:$G$314,7,FALSE),"")</f>
        <v>NA</v>
      </c>
      <c r="E36" s="605" t="str">
        <f>E35</f>
        <v>Any 2016</v>
      </c>
      <c r="F36" s="687"/>
      <c r="G36" s="357"/>
      <c r="H36" s="357"/>
      <c r="I36" s="357"/>
      <c r="J36" s="357"/>
      <c r="K36" s="816"/>
    </row>
    <row r="37" spans="1:11">
      <c r="A37" s="815"/>
      <c r="B37" s="688"/>
      <c r="C37" s="689"/>
      <c r="D37" s="689"/>
      <c r="E37" s="689"/>
      <c r="F37" s="690"/>
      <c r="G37" s="357"/>
      <c r="H37" s="357"/>
      <c r="I37" s="357"/>
      <c r="J37" s="357"/>
      <c r="K37" s="816"/>
    </row>
    <row r="38" spans="1:11">
      <c r="A38" s="815"/>
      <c r="B38" s="357"/>
      <c r="C38" s="357"/>
      <c r="D38" s="357"/>
      <c r="E38" s="357"/>
      <c r="F38" s="357"/>
      <c r="G38" s="357"/>
      <c r="H38" s="357"/>
      <c r="I38" s="357"/>
      <c r="J38" s="357"/>
      <c r="K38" s="816"/>
    </row>
    <row r="39" spans="1:11">
      <c r="A39" s="815"/>
      <c r="B39" s="357"/>
      <c r="C39" s="357"/>
      <c r="D39" s="357"/>
      <c r="E39" s="357"/>
      <c r="F39" s="357"/>
      <c r="G39" s="357"/>
      <c r="H39" s="357"/>
      <c r="I39" s="357"/>
      <c r="J39" s="357"/>
      <c r="K39" s="816"/>
    </row>
    <row r="40" spans="1:11" ht="14.65" customHeight="1">
      <c r="A40" s="815"/>
      <c r="B40" s="1122" t="s">
        <v>74</v>
      </c>
      <c r="C40" s="1123"/>
      <c r="D40" s="1123"/>
      <c r="E40" s="1123"/>
      <c r="F40" s="1123"/>
      <c r="G40" s="1123"/>
      <c r="H40" s="1123"/>
      <c r="I40" s="1123"/>
      <c r="J40" s="1124"/>
      <c r="K40" s="816"/>
    </row>
    <row r="41" spans="1:11">
      <c r="A41" s="815"/>
      <c r="B41" s="686"/>
      <c r="C41" s="357"/>
      <c r="D41" s="357"/>
      <c r="E41" s="357"/>
      <c r="F41" s="357"/>
      <c r="G41" s="357"/>
      <c r="H41" s="357"/>
      <c r="I41" s="357"/>
      <c r="J41" s="687"/>
      <c r="K41" s="816"/>
    </row>
    <row r="42" spans="1:11">
      <c r="A42" s="815"/>
      <c r="B42" s="686"/>
      <c r="C42" s="334" t="s">
        <v>26</v>
      </c>
      <c r="D42" s="645" t="s">
        <v>27</v>
      </c>
      <c r="E42" s="460" t="s">
        <v>28</v>
      </c>
      <c r="F42" s="460" t="s">
        <v>29</v>
      </c>
      <c r="G42" s="460" t="s">
        <v>152</v>
      </c>
      <c r="H42" s="336" t="s">
        <v>38</v>
      </c>
      <c r="I42" s="480" t="s">
        <v>59</v>
      </c>
      <c r="J42" s="687"/>
      <c r="K42" s="816"/>
    </row>
    <row r="43" spans="1:11">
      <c r="A43" s="815"/>
      <c r="B43" s="686"/>
      <c r="C43" s="334" t="s">
        <v>317</v>
      </c>
      <c r="D43" s="75">
        <f>IFERROR(IF(VLOOKUP(D7,'BD ASVICC'!A6:GN316,193,FALSE)&gt;0,VLOOKUP(D7,'BD ASVICC'!A6:GN316,193,FALSE),(VLOOKUP(D24,'BD Comarcal'!A6:AB17,9,)/VLOOKUP(D24,'BD Comarcal'!A6:AB17,13,))),"")</f>
        <v>3.6614258022830064E-3</v>
      </c>
      <c r="E43" s="75">
        <f>IFERROR(IF(VLOOKUP(D7,'BD ASVICC'!A6:GN316,194,FALSE)&gt;0,VLOOKUP(D7,'BD ASVICC'!A6:GN316,194,FALSE),(VLOOKUP(D24,'BD Comarcal'!A6:AB17,10,)/VLOOKUP(D24,'BD Comarcal'!A6:AB17,13,))),"")</f>
        <v>0.38823840385330799</v>
      </c>
      <c r="F43" s="75">
        <f>IFERROR(IF(VLOOKUP(D7,'BD ASVICC'!A6:GN316,195,FALSE)&gt;0,VLOOKUP(D7,'BD ASVICC'!A6:GN316,195,FALSE),(VLOOKUP(D24,'BD Comarcal'!A6:AB17,11,)/VLOOKUP(D24,'BD Comarcal'!A6:AB17,13,))),"")</f>
        <v>4.5405595911734181E-2</v>
      </c>
      <c r="G43" s="75">
        <f>IFERROR(IF(VLOOKUP(D7,'BD ASVICC'!A6:GN316,196,)&gt;0,VLOOKUP(D7,'BD ASVICC'!A6:GN316,196,),(VLOOKUP(D24,'BD Comarcal'!A6:AB17,12,)/VLOOKUP(D24,'BD Comarcal'!A6:AB17,13,))),"")</f>
        <v>0.56268478452411252</v>
      </c>
      <c r="H43" s="461">
        <f>SUM(D43:G43)</f>
        <v>0.99999021009143774</v>
      </c>
      <c r="I43" s="604" t="str">
        <f>I44</f>
        <v>Any 2015</v>
      </c>
      <c r="J43" s="687"/>
      <c r="K43" s="816"/>
    </row>
    <row r="44" spans="1:11">
      <c r="A44" s="815"/>
      <c r="B44" s="686"/>
      <c r="C44" s="337" t="s">
        <v>318</v>
      </c>
      <c r="D44" s="620">
        <f>IFERROR($H44*D43,"")</f>
        <v>6.9136657544523888E-2</v>
      </c>
      <c r="E44" s="620">
        <f>IFERROR($H44*E43,"")</f>
        <v>7.3308888455700103</v>
      </c>
      <c r="F44" s="620">
        <f>IFERROR($H44*F43,"")</f>
        <v>0.85736849650134173</v>
      </c>
      <c r="G44" s="620">
        <f>IFERROR($H44*G43,"")</f>
        <v>10.624862377083035</v>
      </c>
      <c r="H44" s="356">
        <f>IFERROR(IF(VLOOKUP(D7,'BD ASVICC'!A6:GN316,192,FALSE)&gt;0,VLOOKUP(D7,'BD ASVICC'!A6:GN316,192,FALSE),(VLOOKUP(D24,'BD Comarcal'!A6:AB17,14,)*(D14/D26))),"")</f>
        <v>18.882441234072026</v>
      </c>
      <c r="I44" s="604" t="str">
        <f>'BD ASVICC'!A2</f>
        <v>Any 2015</v>
      </c>
      <c r="J44" s="687"/>
      <c r="K44" s="816"/>
    </row>
    <row r="45" spans="1:11">
      <c r="A45" s="815"/>
      <c r="B45" s="686"/>
      <c r="C45" s="692" t="s">
        <v>1772</v>
      </c>
      <c r="D45" s="338"/>
      <c r="E45" s="338"/>
      <c r="F45" s="338"/>
      <c r="G45" s="338"/>
      <c r="H45" s="338"/>
      <c r="I45" s="357"/>
      <c r="J45" s="687"/>
      <c r="K45" s="816"/>
    </row>
    <row r="46" spans="1:11">
      <c r="A46" s="815"/>
      <c r="B46" s="686"/>
      <c r="C46" s="357"/>
      <c r="D46" s="357"/>
      <c r="E46" s="357"/>
      <c r="F46" s="357"/>
      <c r="G46" s="357"/>
      <c r="H46" s="357"/>
      <c r="I46" s="357"/>
      <c r="J46" s="687"/>
      <c r="K46" s="816"/>
    </row>
    <row r="47" spans="1:11">
      <c r="A47" s="815"/>
      <c r="B47" s="686"/>
      <c r="C47" s="334" t="s">
        <v>2268</v>
      </c>
      <c r="D47" s="751"/>
      <c r="E47" s="750" t="s">
        <v>59</v>
      </c>
      <c r="F47" s="357"/>
      <c r="G47" s="357"/>
      <c r="H47" s="357"/>
      <c r="I47" s="357"/>
      <c r="J47" s="687"/>
      <c r="K47" s="816"/>
    </row>
    <row r="48" spans="1:11">
      <c r="A48" s="815"/>
      <c r="B48" s="686"/>
      <c r="C48" s="334" t="s">
        <v>2267</v>
      </c>
      <c r="D48" s="334">
        <f>IFERROR(D47*H44,"")</f>
        <v>0</v>
      </c>
      <c r="E48" s="605" t="str">
        <f>E47</f>
        <v>Any</v>
      </c>
      <c r="F48" s="357"/>
      <c r="G48" s="357"/>
      <c r="H48" s="357"/>
      <c r="I48" s="357"/>
      <c r="J48" s="687"/>
      <c r="K48" s="816"/>
    </row>
    <row r="49" spans="1:11">
      <c r="A49" s="815"/>
      <c r="B49" s="688"/>
      <c r="C49" s="689"/>
      <c r="D49" s="689"/>
      <c r="E49" s="689"/>
      <c r="F49" s="689"/>
      <c r="G49" s="689"/>
      <c r="H49" s="689"/>
      <c r="I49" s="689"/>
      <c r="J49" s="690"/>
      <c r="K49" s="816"/>
    </row>
    <row r="50" spans="1:11">
      <c r="A50" s="815"/>
      <c r="B50" s="357"/>
      <c r="C50" s="357"/>
      <c r="D50" s="357"/>
      <c r="E50" s="357"/>
      <c r="F50" s="357"/>
      <c r="G50" s="357"/>
      <c r="H50" s="357"/>
      <c r="I50" s="357"/>
      <c r="J50" s="357"/>
      <c r="K50" s="816"/>
    </row>
    <row r="51" spans="1:11">
      <c r="A51" s="815"/>
      <c r="B51" s="357"/>
      <c r="C51" s="357"/>
      <c r="D51" s="357"/>
      <c r="E51" s="357"/>
      <c r="F51" s="357"/>
      <c r="G51" s="357"/>
      <c r="H51" s="357"/>
      <c r="I51" s="357"/>
      <c r="J51" s="357"/>
      <c r="K51" s="816"/>
    </row>
    <row r="52" spans="1:11" ht="14.65" customHeight="1">
      <c r="A52" s="815"/>
      <c r="B52" s="1122" t="s">
        <v>2129</v>
      </c>
      <c r="C52" s="1123"/>
      <c r="D52" s="1123"/>
      <c r="E52" s="1123"/>
      <c r="F52" s="1124"/>
      <c r="G52" s="357"/>
      <c r="H52" s="357"/>
      <c r="I52" s="357"/>
      <c r="J52" s="357"/>
      <c r="K52" s="816"/>
    </row>
    <row r="53" spans="1:11">
      <c r="A53" s="815"/>
      <c r="B53" s="686"/>
      <c r="C53" s="357"/>
      <c r="D53" s="357"/>
      <c r="E53" s="357"/>
      <c r="F53" s="687"/>
      <c r="G53" s="357"/>
      <c r="H53" s="357"/>
      <c r="I53" s="357"/>
      <c r="J53" s="357"/>
      <c r="K53" s="816"/>
    </row>
    <row r="54" spans="1:11" ht="14.25">
      <c r="A54" s="815"/>
      <c r="B54" s="686"/>
      <c r="C54" s="334" t="s">
        <v>2209</v>
      </c>
      <c r="D54" s="83">
        <f>IFERROR(D55+D56,"")</f>
        <v>3189925</v>
      </c>
      <c r="E54" s="604" t="str">
        <f>'BD ASVICC'!EN2</f>
        <v>Any 2016</v>
      </c>
      <c r="F54" s="687"/>
      <c r="G54" s="357"/>
      <c r="H54" s="357"/>
      <c r="I54" s="357"/>
      <c r="J54" s="357"/>
      <c r="K54" s="816"/>
    </row>
    <row r="55" spans="1:11" ht="14.25">
      <c r="A55" s="815"/>
      <c r="B55" s="686"/>
      <c r="C55" s="334" t="s">
        <v>2137</v>
      </c>
      <c r="D55" s="83">
        <f>IFERROR(VLOOKUP(D7,'BD ASVICC'!A6:GN316,144,TRUE),"")</f>
        <v>2402318</v>
      </c>
      <c r="E55" s="604" t="str">
        <f>E54</f>
        <v>Any 2016</v>
      </c>
      <c r="F55" s="687"/>
      <c r="G55" s="357"/>
      <c r="H55" s="357"/>
      <c r="I55" s="357"/>
      <c r="J55" s="357"/>
      <c r="K55" s="816"/>
    </row>
    <row r="56" spans="1:11" ht="27">
      <c r="A56" s="815"/>
      <c r="B56" s="686"/>
      <c r="C56" s="339" t="s">
        <v>2138</v>
      </c>
      <c r="D56" s="83">
        <f>IFERROR(VLOOKUP(D7,'BD ASVICC'!A6:GN316,145,TRUE),"")</f>
        <v>787607</v>
      </c>
      <c r="E56" s="604" t="str">
        <f>E55</f>
        <v>Any 2016</v>
      </c>
      <c r="F56" s="687"/>
      <c r="G56" s="357"/>
      <c r="H56" s="357"/>
      <c r="I56" s="357"/>
      <c r="J56" s="357"/>
      <c r="K56" s="816"/>
    </row>
    <row r="57" spans="1:11">
      <c r="A57" s="815"/>
      <c r="B57" s="688"/>
      <c r="C57" s="693"/>
      <c r="D57" s="694"/>
      <c r="E57" s="689"/>
      <c r="F57" s="690"/>
      <c r="G57" s="357"/>
      <c r="H57" s="357"/>
      <c r="I57" s="357"/>
      <c r="J57" s="357"/>
      <c r="K57" s="816"/>
    </row>
    <row r="58" spans="1:11">
      <c r="A58" s="815"/>
      <c r="B58" s="357"/>
      <c r="C58" s="357"/>
      <c r="D58" s="357"/>
      <c r="E58" s="357"/>
      <c r="F58" s="357"/>
      <c r="G58" s="357"/>
      <c r="H58" s="340"/>
      <c r="I58" s="357"/>
      <c r="J58" s="357"/>
      <c r="K58" s="816"/>
    </row>
    <row r="59" spans="1:11">
      <c r="A59" s="815"/>
      <c r="B59" s="357"/>
      <c r="C59" s="357"/>
      <c r="D59" s="357"/>
      <c r="E59" s="357"/>
      <c r="F59" s="357"/>
      <c r="G59" s="357"/>
      <c r="H59" s="340"/>
      <c r="I59" s="357"/>
      <c r="J59" s="357"/>
      <c r="K59" s="816"/>
    </row>
    <row r="60" spans="1:11" ht="14.65" customHeight="1">
      <c r="A60" s="815"/>
      <c r="B60" s="1122" t="s">
        <v>2128</v>
      </c>
      <c r="C60" s="1123"/>
      <c r="D60" s="1123"/>
      <c r="E60" s="1123"/>
      <c r="F60" s="1124"/>
      <c r="G60" s="357"/>
      <c r="H60" s="340"/>
      <c r="I60" s="357"/>
      <c r="J60" s="357"/>
      <c r="K60" s="816"/>
    </row>
    <row r="61" spans="1:11">
      <c r="A61" s="815"/>
      <c r="B61" s="686"/>
      <c r="C61" s="357"/>
      <c r="D61" s="357"/>
      <c r="E61" s="357"/>
      <c r="F61" s="687"/>
      <c r="G61" s="357"/>
      <c r="H61" s="340"/>
      <c r="I61" s="357"/>
      <c r="J61" s="357"/>
      <c r="K61" s="816"/>
    </row>
    <row r="62" spans="1:11">
      <c r="A62" s="815"/>
      <c r="B62" s="686"/>
      <c r="C62" s="334" t="s">
        <v>1952</v>
      </c>
      <c r="D62" s="84">
        <f>IFERROR(+VLOOKUP(D7,'BD ASVICC'!A6:GQ316,5,FALSE),"")</f>
        <v>501</v>
      </c>
      <c r="E62" s="605" t="str">
        <f>+'BD ASVICC'!A2</f>
        <v>Any 2015</v>
      </c>
      <c r="F62" s="687"/>
      <c r="G62" s="357"/>
      <c r="H62" s="357"/>
      <c r="I62" s="357"/>
      <c r="J62" s="357"/>
      <c r="K62" s="816"/>
    </row>
    <row r="63" spans="1:11">
      <c r="A63" s="815"/>
      <c r="B63" s="686"/>
      <c r="C63" s="334" t="s">
        <v>2328</v>
      </c>
      <c r="D63" s="200">
        <f>IFERROR(D62/'A. Dades de partida'!D15,"")</f>
        <v>0.8534923339011925</v>
      </c>
      <c r="E63" s="605" t="str">
        <f>E62</f>
        <v>Any 2015</v>
      </c>
      <c r="F63" s="687"/>
      <c r="G63" s="357"/>
      <c r="H63" s="357"/>
      <c r="I63" s="357"/>
      <c r="J63" s="357"/>
      <c r="K63" s="816"/>
    </row>
    <row r="64" spans="1:11">
      <c r="A64" s="815"/>
      <c r="B64" s="688"/>
      <c r="C64" s="689"/>
      <c r="D64" s="689"/>
      <c r="E64" s="689"/>
      <c r="F64" s="690"/>
      <c r="G64" s="357"/>
      <c r="H64" s="357"/>
      <c r="I64" s="357"/>
      <c r="J64" s="357"/>
      <c r="K64" s="816"/>
    </row>
    <row r="65" spans="1:11">
      <c r="A65" s="815"/>
      <c r="B65" s="357"/>
      <c r="C65" s="698"/>
      <c r="D65" s="357"/>
      <c r="E65" s="357"/>
      <c r="F65" s="357"/>
      <c r="G65" s="357"/>
      <c r="H65" s="357"/>
      <c r="I65" s="357"/>
      <c r="J65" s="357"/>
      <c r="K65" s="816"/>
    </row>
    <row r="66" spans="1:11">
      <c r="A66" s="815"/>
      <c r="B66" s="357"/>
      <c r="C66" s="698"/>
      <c r="D66" s="357"/>
      <c r="E66" s="357"/>
      <c r="F66" s="357"/>
      <c r="G66" s="357"/>
      <c r="H66" s="357"/>
      <c r="I66" s="357"/>
      <c r="J66" s="357"/>
      <c r="K66" s="816"/>
    </row>
    <row r="67" spans="1:11" ht="14.65" customHeight="1">
      <c r="A67" s="815"/>
      <c r="B67" s="1122" t="s">
        <v>2131</v>
      </c>
      <c r="C67" s="1123"/>
      <c r="D67" s="1123"/>
      <c r="E67" s="1123"/>
      <c r="F67" s="1124"/>
      <c r="G67" s="357"/>
      <c r="H67" s="357"/>
      <c r="I67" s="357"/>
      <c r="J67" s="357"/>
      <c r="K67" s="816"/>
    </row>
    <row r="68" spans="1:11">
      <c r="A68" s="815"/>
      <c r="B68" s="686"/>
      <c r="C68" s="695"/>
      <c r="D68" s="357"/>
      <c r="E68" s="357"/>
      <c r="F68" s="687"/>
      <c r="G68" s="357"/>
      <c r="H68" s="357"/>
      <c r="I68" s="357"/>
      <c r="J68" s="357"/>
      <c r="K68" s="816"/>
    </row>
    <row r="69" spans="1:11">
      <c r="A69" s="815"/>
      <c r="B69" s="686"/>
      <c r="C69" s="696"/>
      <c r="D69" s="357"/>
      <c r="E69" s="696"/>
      <c r="F69" s="687"/>
      <c r="G69" s="357"/>
      <c r="H69" s="357"/>
      <c r="I69" s="357"/>
      <c r="J69" s="357"/>
      <c r="K69" s="816"/>
    </row>
    <row r="70" spans="1:11">
      <c r="A70" s="815"/>
      <c r="B70" s="686"/>
      <c r="C70" s="334" t="s">
        <v>2384</v>
      </c>
      <c r="D70" s="463" t="s">
        <v>2295</v>
      </c>
      <c r="E70" s="480" t="s">
        <v>59</v>
      </c>
      <c r="F70" s="687"/>
      <c r="G70" s="357"/>
      <c r="H70" s="357"/>
      <c r="I70" s="357"/>
      <c r="J70" s="357"/>
      <c r="K70" s="816"/>
    </row>
    <row r="71" spans="1:11">
      <c r="A71" s="815"/>
      <c r="B71" s="686"/>
      <c r="C71" s="334" t="s">
        <v>12</v>
      </c>
      <c r="D71" s="632">
        <f>(VLOOKUP(D24,'BD Altres'!D74:H84,5,FALSE) * 1000 / 12) * (D14/D26)*0.035</f>
        <v>12.061038158919416</v>
      </c>
      <c r="E71" s="605" t="str">
        <f>'BD Altres'!B27</f>
        <v>Any 2014</v>
      </c>
      <c r="F71" s="687"/>
      <c r="G71" s="357"/>
      <c r="H71" s="357"/>
      <c r="I71" s="357"/>
      <c r="J71" s="357"/>
      <c r="K71" s="816"/>
    </row>
    <row r="72" spans="1:11">
      <c r="A72" s="815"/>
      <c r="B72" s="686"/>
      <c r="C72" s="334" t="s">
        <v>18</v>
      </c>
      <c r="D72" s="632">
        <f>(VLOOKUP(D24,'BD Altres'!D74:H84,3,FALSE) / 12) * (D14/D26)*0.25</f>
        <v>2.7115652746737577</v>
      </c>
      <c r="E72" s="605" t="str">
        <f>E71</f>
        <v>Any 2014</v>
      </c>
      <c r="F72" s="687"/>
      <c r="G72" s="357"/>
      <c r="H72" s="357"/>
      <c r="I72" s="357"/>
      <c r="J72" s="357"/>
      <c r="K72" s="816"/>
    </row>
    <row r="73" spans="1:11">
      <c r="A73" s="815"/>
      <c r="B73" s="686"/>
      <c r="C73" s="334" t="s">
        <v>2139</v>
      </c>
      <c r="D73" s="632">
        <f>(VLOOKUP(D7,'BD ASVICC'!A6:GR316,199,FALSE) / 12)*0.3</f>
        <v>0.27499999999999997</v>
      </c>
      <c r="E73" s="605" t="str">
        <f>E71</f>
        <v>Any 2014</v>
      </c>
      <c r="F73" s="687"/>
      <c r="G73" s="357"/>
      <c r="H73" s="357"/>
      <c r="I73" s="357"/>
      <c r="J73" s="357"/>
      <c r="K73" s="816"/>
    </row>
    <row r="74" spans="1:11">
      <c r="A74" s="815"/>
      <c r="B74" s="688"/>
      <c r="C74" s="689"/>
      <c r="D74" s="689"/>
      <c r="E74" s="697"/>
      <c r="F74" s="690"/>
      <c r="G74" s="357"/>
      <c r="H74" s="357"/>
      <c r="I74" s="357"/>
      <c r="J74" s="357"/>
      <c r="K74" s="816"/>
    </row>
    <row r="75" spans="1:11">
      <c r="A75" s="815"/>
      <c r="B75" s="357"/>
      <c r="C75" s="357"/>
      <c r="D75" s="357"/>
      <c r="E75" s="357"/>
      <c r="F75" s="357"/>
      <c r="G75" s="357"/>
      <c r="H75" s="357"/>
      <c r="I75" s="357"/>
      <c r="J75" s="357"/>
      <c r="K75" s="816"/>
    </row>
    <row r="76" spans="1:11">
      <c r="A76" s="815"/>
      <c r="B76" s="357"/>
      <c r="C76" s="357"/>
      <c r="D76" s="357"/>
      <c r="E76" s="357"/>
      <c r="F76" s="357"/>
      <c r="G76" s="357"/>
      <c r="H76" s="357"/>
      <c r="I76" s="357"/>
      <c r="J76" s="357"/>
      <c r="K76" s="816"/>
    </row>
    <row r="77" spans="1:11" ht="14.65" hidden="1" customHeight="1">
      <c r="A77" s="815"/>
      <c r="B77" s="1122" t="s">
        <v>2160</v>
      </c>
      <c r="C77" s="1123"/>
      <c r="D77" s="1123"/>
      <c r="E77" s="1123"/>
      <c r="F77" s="1123"/>
      <c r="G77" s="1124"/>
      <c r="H77" s="357"/>
      <c r="I77" s="357"/>
      <c r="J77" s="357"/>
      <c r="K77" s="816"/>
    </row>
    <row r="78" spans="1:11" hidden="1">
      <c r="A78" s="815"/>
      <c r="B78" s="686"/>
      <c r="C78" s="695" t="s">
        <v>2416</v>
      </c>
      <c r="D78" s="357"/>
      <c r="E78" s="357"/>
      <c r="F78" s="357"/>
      <c r="G78" s="687"/>
      <c r="H78" s="357"/>
      <c r="I78" s="357"/>
      <c r="J78" s="357"/>
      <c r="K78" s="816"/>
    </row>
    <row r="79" spans="1:11" hidden="1">
      <c r="A79" s="815"/>
      <c r="B79" s="686"/>
      <c r="C79" s="357"/>
      <c r="D79" s="357"/>
      <c r="E79" s="357"/>
      <c r="F79" s="357"/>
      <c r="G79" s="687"/>
      <c r="H79" s="357"/>
      <c r="I79" s="357"/>
      <c r="J79" s="357"/>
      <c r="K79" s="816"/>
    </row>
    <row r="80" spans="1:11" hidden="1">
      <c r="A80" s="815"/>
      <c r="B80" s="686"/>
      <c r="C80" s="698"/>
      <c r="D80" s="698"/>
      <c r="E80" s="698"/>
      <c r="F80" s="357"/>
      <c r="G80" s="687"/>
      <c r="H80" s="357"/>
      <c r="I80" s="357"/>
      <c r="J80" s="357"/>
      <c r="K80" s="816"/>
    </row>
    <row r="81" spans="1:11" hidden="1">
      <c r="A81" s="815"/>
      <c r="B81" s="686"/>
      <c r="C81" s="343" t="s">
        <v>51</v>
      </c>
      <c r="D81" s="343" t="s">
        <v>0</v>
      </c>
      <c r="E81" s="343" t="s">
        <v>1</v>
      </c>
      <c r="F81" s="480" t="s">
        <v>59</v>
      </c>
      <c r="G81" s="687"/>
      <c r="H81" s="357"/>
      <c r="I81" s="357"/>
      <c r="J81" s="357"/>
      <c r="K81" s="816"/>
    </row>
    <row r="82" spans="1:11" ht="14.25" hidden="1">
      <c r="A82" s="815"/>
      <c r="B82" s="686"/>
      <c r="C82" s="345" t="s">
        <v>2132</v>
      </c>
      <c r="D82" s="752"/>
      <c r="E82" s="752"/>
      <c r="F82" s="750" t="s">
        <v>2623</v>
      </c>
      <c r="G82" s="687"/>
      <c r="H82" s="357"/>
      <c r="I82" s="357"/>
      <c r="J82" s="357"/>
      <c r="K82" s="816"/>
    </row>
    <row r="83" spans="1:11" ht="14.25" hidden="1">
      <c r="A83" s="815"/>
      <c r="B83" s="686"/>
      <c r="C83" s="345" t="s">
        <v>2133</v>
      </c>
      <c r="D83" s="752"/>
      <c r="E83" s="752"/>
      <c r="F83" s="750" t="s">
        <v>59</v>
      </c>
      <c r="G83" s="687"/>
      <c r="H83" s="357"/>
      <c r="I83" s="357"/>
      <c r="J83" s="357"/>
      <c r="K83" s="816"/>
    </row>
    <row r="84" spans="1:11" hidden="1">
      <c r="A84" s="815"/>
      <c r="B84" s="688"/>
      <c r="C84" s="699"/>
      <c r="D84" s="700"/>
      <c r="E84" s="700"/>
      <c r="F84" s="699"/>
      <c r="G84" s="690"/>
      <c r="H84" s="357"/>
      <c r="I84" s="357"/>
      <c r="J84" s="357"/>
      <c r="K84" s="816"/>
    </row>
    <row r="85" spans="1:11">
      <c r="A85" s="815"/>
      <c r="B85" s="357"/>
      <c r="C85" s="357"/>
      <c r="D85" s="340"/>
      <c r="E85" s="357"/>
      <c r="F85" s="357"/>
      <c r="G85" s="357"/>
      <c r="H85" s="357"/>
      <c r="I85" s="357"/>
      <c r="J85" s="357"/>
      <c r="K85" s="816"/>
    </row>
    <row r="86" spans="1:11">
      <c r="A86" s="815"/>
      <c r="B86" s="357"/>
      <c r="C86" s="357"/>
      <c r="D86" s="340"/>
      <c r="E86" s="357"/>
      <c r="F86" s="357"/>
      <c r="G86" s="357"/>
      <c r="H86" s="357"/>
      <c r="I86" s="357"/>
      <c r="J86" s="357"/>
      <c r="K86" s="816"/>
    </row>
    <row r="87" spans="1:11" ht="14.65" customHeight="1">
      <c r="A87" s="815"/>
      <c r="B87" s="1122" t="s">
        <v>2161</v>
      </c>
      <c r="C87" s="1123"/>
      <c r="D87" s="1123"/>
      <c r="E87" s="1123"/>
      <c r="F87" s="1124"/>
      <c r="G87" s="357"/>
      <c r="H87" s="357"/>
      <c r="I87" s="357"/>
      <c r="J87" s="357"/>
      <c r="K87" s="816"/>
    </row>
    <row r="88" spans="1:11">
      <c r="A88" s="815"/>
      <c r="B88" s="686"/>
      <c r="C88" s="541"/>
      <c r="D88" s="357"/>
      <c r="E88" s="357"/>
      <c r="F88" s="687"/>
      <c r="G88" s="357"/>
      <c r="H88" s="357"/>
      <c r="I88" s="357"/>
      <c r="J88" s="357"/>
      <c r="K88" s="816"/>
    </row>
    <row r="89" spans="1:11">
      <c r="A89" s="815"/>
      <c r="B89" s="686"/>
      <c r="C89" s="344"/>
      <c r="D89" s="344"/>
      <c r="E89" s="357"/>
      <c r="F89" s="687"/>
      <c r="G89" s="357"/>
      <c r="H89" s="357"/>
      <c r="I89" s="357"/>
      <c r="J89" s="357"/>
      <c r="K89" s="816"/>
    </row>
    <row r="90" spans="1:11" ht="38.25">
      <c r="A90" s="815"/>
      <c r="B90" s="686"/>
      <c r="C90" s="343" t="s">
        <v>2212</v>
      </c>
      <c r="D90" s="463" t="s">
        <v>2383</v>
      </c>
      <c r="E90" s="480" t="s">
        <v>59</v>
      </c>
      <c r="F90" s="687"/>
      <c r="G90" s="357"/>
      <c r="H90" s="357"/>
      <c r="I90" s="357"/>
      <c r="J90" s="357"/>
      <c r="K90" s="816"/>
    </row>
    <row r="91" spans="1:11">
      <c r="A91" s="815"/>
      <c r="B91" s="686"/>
      <c r="C91" s="428" t="s">
        <v>206</v>
      </c>
      <c r="D91" s="771">
        <f>VLOOKUP($D$7,'consums energètics residencial'!$B$4:$F$314,2,FALSE)</f>
        <v>996553</v>
      </c>
      <c r="E91" s="775" t="str">
        <f>CONCATENATE("Any ",'consums energètics residencial'!$G$1)</f>
        <v>Any 2016</v>
      </c>
      <c r="F91" s="687"/>
      <c r="G91" s="357"/>
      <c r="H91" s="357"/>
      <c r="I91" s="357"/>
      <c r="J91" s="357"/>
      <c r="K91" s="816"/>
    </row>
    <row r="92" spans="1:11">
      <c r="A92" s="815"/>
      <c r="B92" s="686"/>
      <c r="C92" s="428" t="s">
        <v>2021</v>
      </c>
      <c r="D92" s="771">
        <f>VLOOKUP($D$7,'consums energètics residencial'!$B$4:$F$314,3,FALSE)</f>
        <v>148034</v>
      </c>
      <c r="E92" s="773" t="str">
        <f>CONCATENATE("Any ",'consums energètics residencial'!$G$1)</f>
        <v>Any 2016</v>
      </c>
      <c r="F92" s="687"/>
      <c r="G92" s="357"/>
      <c r="H92" s="357"/>
      <c r="I92" s="357"/>
      <c r="J92" s="357"/>
      <c r="K92" s="816"/>
    </row>
    <row r="93" spans="1:11">
      <c r="A93" s="815"/>
      <c r="B93" s="686"/>
      <c r="C93" s="428" t="s">
        <v>1824</v>
      </c>
      <c r="D93" s="771">
        <f>VLOOKUP($D$7,'consums energètics residencial'!$B$4:$F$314,4,FALSE)</f>
        <v>711080.3310683294</v>
      </c>
      <c r="E93" s="772" t="str">
        <f>CONCATENATE("Any ",'consums energètics residencial'!$G$1)</f>
        <v>Any 2016</v>
      </c>
      <c r="F93" s="687"/>
      <c r="G93" s="357"/>
      <c r="H93" s="357"/>
      <c r="I93" s="357"/>
      <c r="J93" s="357"/>
      <c r="K93" s="816"/>
    </row>
    <row r="94" spans="1:11">
      <c r="A94" s="815"/>
      <c r="B94" s="686"/>
      <c r="C94" s="428" t="s">
        <v>1825</v>
      </c>
      <c r="D94" s="771">
        <f>VLOOKUP($D$7,'consums energètics residencial'!$B$4:$F$314,5,FALSE)</f>
        <v>19757.454172014688</v>
      </c>
      <c r="E94" s="772" t="str">
        <f>CONCATENATE("Any ",'consums energètics residencial'!$G$1)</f>
        <v>Any 2016</v>
      </c>
      <c r="F94" s="687"/>
      <c r="G94" s="357"/>
      <c r="H94" s="357"/>
      <c r="I94" s="357"/>
      <c r="J94" s="357"/>
      <c r="K94" s="816"/>
    </row>
    <row r="95" spans="1:11">
      <c r="A95" s="815"/>
      <c r="B95" s="686"/>
      <c r="C95" s="435" t="s">
        <v>38</v>
      </c>
      <c r="D95" s="644">
        <f>SUM(D91:D93)</f>
        <v>1855667.3310683295</v>
      </c>
      <c r="E95" s="605" t="str">
        <f>E91</f>
        <v>Any 2016</v>
      </c>
      <c r="F95" s="687"/>
      <c r="G95" s="357"/>
      <c r="H95" s="357"/>
      <c r="I95" s="357"/>
      <c r="J95" s="357"/>
      <c r="K95" s="816"/>
    </row>
    <row r="96" spans="1:11">
      <c r="A96" s="815"/>
      <c r="B96" s="688"/>
      <c r="C96" s="701"/>
      <c r="D96" s="689"/>
      <c r="E96" s="689"/>
      <c r="F96" s="690"/>
      <c r="G96" s="357"/>
      <c r="H96" s="357"/>
      <c r="I96" s="357"/>
      <c r="J96" s="357"/>
      <c r="K96" s="816"/>
    </row>
    <row r="97" spans="1:11" ht="13.5" thickBot="1">
      <c r="A97" s="817"/>
      <c r="B97" s="818"/>
      <c r="C97" s="818"/>
      <c r="D97" s="818"/>
      <c r="E97" s="818"/>
      <c r="F97" s="818"/>
      <c r="G97" s="818"/>
      <c r="H97" s="818"/>
      <c r="I97" s="818"/>
      <c r="J97" s="818"/>
      <c r="K97" s="819"/>
    </row>
  </sheetData>
  <protectedRanges>
    <protectedRange sqref="D7" name="Rango1"/>
  </protectedRanges>
  <mergeCells count="10">
    <mergeCell ref="B52:F52"/>
    <mergeCell ref="B60:F60"/>
    <mergeCell ref="B67:F67"/>
    <mergeCell ref="B77:G77"/>
    <mergeCell ref="B87:F87"/>
    <mergeCell ref="B5:F5"/>
    <mergeCell ref="B22:F22"/>
    <mergeCell ref="B2:F2"/>
    <mergeCell ref="B32:F32"/>
    <mergeCell ref="B40:J40"/>
  </mergeCells>
  <dataValidations count="2">
    <dataValidation type="list" allowBlank="1" showInputMessage="1" showErrorMessage="1" sqref="D7">
      <formula1>Municipis</formula1>
    </dataValidation>
    <dataValidation type="list" allowBlank="1" showInputMessage="1" showErrorMessage="1" sqref="D34">
      <formula1>"Sí,No"</formula1>
    </dataValidation>
  </dataValidation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408"/>
  <sheetViews>
    <sheetView topLeftCell="J100" workbookViewId="0">
      <selection activeCell="AO59" sqref="AO59"/>
    </sheetView>
  </sheetViews>
  <sheetFormatPr defaultRowHeight="15"/>
  <cols>
    <col min="1" max="1" width="9.140625" style="822"/>
    <col min="2" max="2" width="24.28515625" style="821" customWidth="1"/>
    <col min="3" max="3" width="9.140625" style="822"/>
    <col min="4" max="4" width="15.5703125" style="925" customWidth="1"/>
    <col min="5" max="5" width="15.5703125" style="933" customWidth="1"/>
    <col min="6" max="7" width="15.5703125" style="925" customWidth="1"/>
    <col min="8" max="8" width="10.7109375" style="925" customWidth="1"/>
    <col min="9" max="9" width="8.5703125" style="939" customWidth="1"/>
    <col min="10" max="10" width="7.85546875" style="925" customWidth="1"/>
    <col min="11" max="14" width="6.85546875" style="933" customWidth="1"/>
    <col min="15" max="24" width="6.85546875" style="846" customWidth="1"/>
    <col min="25" max="25" width="9.140625" style="846"/>
    <col min="26" max="41" width="7.5703125" style="800" customWidth="1"/>
    <col min="42" max="42" width="8.28515625" style="895" customWidth="1"/>
  </cols>
  <sheetData>
    <row r="2" spans="1:42">
      <c r="A2" s="832"/>
      <c r="B2" s="823"/>
      <c r="C2" s="832"/>
      <c r="D2" s="920"/>
      <c r="E2" s="928"/>
      <c r="F2" s="920"/>
      <c r="G2" s="920"/>
      <c r="H2" s="1164" t="s">
        <v>2764</v>
      </c>
      <c r="I2" s="1164"/>
      <c r="J2" s="1164" t="s">
        <v>2765</v>
      </c>
      <c r="K2" s="1164"/>
      <c r="L2" s="1164"/>
      <c r="M2" s="1164"/>
      <c r="N2" s="1164"/>
      <c r="O2" s="1164"/>
      <c r="P2" s="1164"/>
      <c r="Q2" s="1164"/>
      <c r="R2" s="1164"/>
      <c r="S2" s="1164"/>
      <c r="T2" s="1164"/>
      <c r="U2" s="1164"/>
      <c r="V2" s="1164"/>
      <c r="W2" s="1164"/>
      <c r="X2" s="1164"/>
      <c r="Y2" s="1164"/>
      <c r="Z2" s="1165" t="s">
        <v>405</v>
      </c>
      <c r="AA2" s="1165"/>
      <c r="AB2" s="1165"/>
      <c r="AC2" s="1165"/>
      <c r="AD2" s="1165"/>
      <c r="AE2" s="1165"/>
      <c r="AF2" s="1165"/>
      <c r="AG2" s="1165"/>
      <c r="AH2" s="1165"/>
      <c r="AI2" s="1165"/>
      <c r="AJ2" s="1165"/>
      <c r="AK2" s="1165"/>
      <c r="AL2" s="1165"/>
      <c r="AM2" s="1165"/>
      <c r="AN2" s="1165"/>
      <c r="AO2" s="1165"/>
    </row>
    <row r="3" spans="1:42" ht="35.25" thickBot="1">
      <c r="A3" s="833" t="s">
        <v>2579</v>
      </c>
      <c r="B3" s="824" t="s">
        <v>66</v>
      </c>
      <c r="C3" s="833" t="s">
        <v>332</v>
      </c>
      <c r="D3" s="921" t="s">
        <v>2761</v>
      </c>
      <c r="E3" s="929" t="s">
        <v>330</v>
      </c>
      <c r="F3" s="921" t="s">
        <v>521</v>
      </c>
      <c r="G3" s="921" t="s">
        <v>380</v>
      </c>
      <c r="H3" s="921" t="s">
        <v>2762</v>
      </c>
      <c r="I3" s="935" t="s">
        <v>2763</v>
      </c>
      <c r="J3" s="921" t="s">
        <v>2767</v>
      </c>
      <c r="K3" s="929" t="s">
        <v>2768</v>
      </c>
      <c r="L3" s="929" t="s">
        <v>2766</v>
      </c>
      <c r="M3" s="929" t="s">
        <v>2769</v>
      </c>
      <c r="N3" s="929" t="s">
        <v>2770</v>
      </c>
      <c r="O3" s="929" t="s">
        <v>2771</v>
      </c>
      <c r="P3" s="929" t="s">
        <v>2772</v>
      </c>
      <c r="Q3" s="929" t="s">
        <v>2773</v>
      </c>
      <c r="R3" s="929" t="s">
        <v>2774</v>
      </c>
      <c r="S3" s="929" t="s">
        <v>2775</v>
      </c>
      <c r="T3" s="929" t="s">
        <v>2776</v>
      </c>
      <c r="U3" s="929" t="s">
        <v>2777</v>
      </c>
      <c r="V3" s="929" t="s">
        <v>2778</v>
      </c>
      <c r="W3" s="929" t="s">
        <v>2779</v>
      </c>
      <c r="X3" s="929" t="s">
        <v>2780</v>
      </c>
      <c r="Y3" s="929" t="s">
        <v>2781</v>
      </c>
      <c r="Z3" s="940" t="s">
        <v>2767</v>
      </c>
      <c r="AA3" s="875" t="s">
        <v>2768</v>
      </c>
      <c r="AB3" s="875" t="s">
        <v>2766</v>
      </c>
      <c r="AC3" s="875" t="s">
        <v>2769</v>
      </c>
      <c r="AD3" s="875" t="s">
        <v>2770</v>
      </c>
      <c r="AE3" s="875" t="s">
        <v>2771</v>
      </c>
      <c r="AF3" s="875" t="s">
        <v>2772</v>
      </c>
      <c r="AG3" s="875" t="s">
        <v>2773</v>
      </c>
      <c r="AH3" s="875" t="s">
        <v>2774</v>
      </c>
      <c r="AI3" s="875" t="s">
        <v>2775</v>
      </c>
      <c r="AJ3" s="875" t="s">
        <v>2776</v>
      </c>
      <c r="AK3" s="875" t="s">
        <v>2777</v>
      </c>
      <c r="AL3" s="875" t="s">
        <v>2778</v>
      </c>
      <c r="AM3" s="875" t="s">
        <v>2779</v>
      </c>
      <c r="AN3" s="875" t="s">
        <v>2780</v>
      </c>
      <c r="AO3" s="875" t="s">
        <v>2781</v>
      </c>
      <c r="AP3" s="942" t="s">
        <v>2782</v>
      </c>
    </row>
    <row r="4" spans="1:42">
      <c r="A4" s="834">
        <v>8001</v>
      </c>
      <c r="B4" s="825" t="s">
        <v>672</v>
      </c>
      <c r="C4" s="834" t="str">
        <f t="shared" ref="C4:C67" si="0">IFERROR(VLOOKUP($B4,costa,2,FALSE),"NA")</f>
        <v>NA</v>
      </c>
      <c r="D4" s="922" t="str">
        <f t="shared" ref="D4:D67" si="1">IFERROR(VLOOKUP($B4,costa,3,FALSE),"NA")</f>
        <v>NA</v>
      </c>
      <c r="E4" s="930" t="str">
        <f t="shared" ref="E4:E67" si="2">IFERROR(VLOOKUP(C4,mermes,3,FALSE),"NA")</f>
        <v>NA</v>
      </c>
      <c r="F4" s="930" t="str">
        <f t="shared" ref="F4:F67" si="3">IFERROR(VLOOKUP(C4,mermes,5,FALSE),"NA")</f>
        <v>NA</v>
      </c>
      <c r="G4" s="922" t="str">
        <f>IFERROR(-1*D4*E4*F4,"NA")</f>
        <v>NA</v>
      </c>
      <c r="H4" s="922" t="str">
        <f>IFERROR(IF((G4*'7. Erosió de costa'!$C$86/1000000)&lt;0,"guanya sorra",G4*'7. Erosió de costa'!$C$86/1000000),"")</f>
        <v/>
      </c>
      <c r="I4" s="936" t="str">
        <f>IFERROR(IF(('A. Dades de partida'!$D$10*G4*'7. Erosió de costa'!$C$86/1000000)&lt;0,"guanya sorra",'A. Dades de partida'!$D$10*G4*'7. Erosió de costa'!$C$86/1000000),"")</f>
        <v/>
      </c>
      <c r="J4" s="922"/>
      <c r="K4" s="922"/>
      <c r="L4" s="922"/>
      <c r="M4" s="922"/>
      <c r="N4" s="922"/>
      <c r="O4" s="922"/>
      <c r="P4" s="922"/>
      <c r="Q4" s="922"/>
      <c r="R4" s="922"/>
      <c r="S4" s="922"/>
      <c r="T4" s="922"/>
      <c r="U4" s="922"/>
      <c r="V4" s="922"/>
      <c r="W4" s="922"/>
      <c r="X4" s="922"/>
      <c r="Y4" s="922"/>
      <c r="Z4" s="800" t="str">
        <f t="shared" ref="Z4:AO5" si="4">IFERROR(-1*J4*$D4*$F4,"")</f>
        <v/>
      </c>
      <c r="AA4" s="800" t="str">
        <f t="shared" si="4"/>
        <v/>
      </c>
      <c r="AB4" s="800" t="str">
        <f t="shared" si="4"/>
        <v/>
      </c>
      <c r="AC4" s="800" t="str">
        <f t="shared" si="4"/>
        <v/>
      </c>
      <c r="AD4" s="800" t="str">
        <f t="shared" si="4"/>
        <v/>
      </c>
      <c r="AE4" s="800" t="str">
        <f t="shared" si="4"/>
        <v/>
      </c>
      <c r="AF4" s="800" t="str">
        <f t="shared" si="4"/>
        <v/>
      </c>
      <c r="AG4" s="800" t="str">
        <f t="shared" si="4"/>
        <v/>
      </c>
      <c r="AH4" s="800" t="str">
        <f t="shared" si="4"/>
        <v/>
      </c>
      <c r="AI4" s="800" t="str">
        <f t="shared" si="4"/>
        <v/>
      </c>
      <c r="AJ4" s="800" t="str">
        <f t="shared" si="4"/>
        <v/>
      </c>
      <c r="AK4" s="800" t="str">
        <f t="shared" si="4"/>
        <v/>
      </c>
      <c r="AL4" s="800" t="str">
        <f t="shared" si="4"/>
        <v/>
      </c>
      <c r="AM4" s="800" t="str">
        <f t="shared" si="4"/>
        <v/>
      </c>
      <c r="AN4" s="800" t="str">
        <f t="shared" si="4"/>
        <v/>
      </c>
      <c r="AO4" s="800" t="str">
        <f t="shared" si="4"/>
        <v/>
      </c>
      <c r="AP4" s="895">
        <f>IF(AO4&lt;0,"No hi ha pèrdua",IFERROR(SUM(AA4:AO4)*'7. Erosió de costa'!$C$86/1000000,""))</f>
        <v>0</v>
      </c>
    </row>
    <row r="5" spans="1:42">
      <c r="A5" s="835">
        <v>8002</v>
      </c>
      <c r="B5" s="826" t="s">
        <v>694</v>
      </c>
      <c r="C5" s="835" t="str">
        <f t="shared" si="0"/>
        <v>NA</v>
      </c>
      <c r="D5" s="923" t="str">
        <f t="shared" si="1"/>
        <v>NA</v>
      </c>
      <c r="E5" s="931" t="str">
        <f t="shared" si="2"/>
        <v>NA</v>
      </c>
      <c r="F5" s="926" t="str">
        <f t="shared" si="3"/>
        <v>NA</v>
      </c>
      <c r="G5" s="923" t="str">
        <f t="shared" ref="G5:G68" si="5">IFERROR(-1*D5*E5*F5,"NA")</f>
        <v>NA</v>
      </c>
      <c r="H5" s="931" t="str">
        <f>IFERROR(IF((G5*'7. Erosió de costa'!$C$86/1000000)&lt;0,"guanya sorra",G5*'7. Erosió de costa'!$C$86/1000000),"")</f>
        <v/>
      </c>
      <c r="I5" s="937" t="str">
        <f>IFERROR(IF(('A. Dades de partida'!$D$10*G5*'7. Erosió de costa'!$C$86/1000000)&lt;0,"guanya sorra",'A. Dades de partida'!$D$10*G5*'7. Erosió de costa'!$C$86/1000000),"")</f>
        <v/>
      </c>
      <c r="J5" s="923"/>
      <c r="K5" s="923"/>
      <c r="L5" s="923"/>
      <c r="M5" s="923"/>
      <c r="N5" s="923"/>
      <c r="O5" s="923"/>
      <c r="P5" s="923"/>
      <c r="Q5" s="923"/>
      <c r="R5" s="923"/>
      <c r="S5" s="923"/>
      <c r="T5" s="923"/>
      <c r="U5" s="923"/>
      <c r="V5" s="923"/>
      <c r="W5" s="923"/>
      <c r="X5" s="923"/>
      <c r="Y5" s="923"/>
      <c r="Z5" s="941" t="str">
        <f t="shared" si="4"/>
        <v/>
      </c>
      <c r="AA5" s="941" t="str">
        <f t="shared" si="4"/>
        <v/>
      </c>
      <c r="AB5" s="941" t="str">
        <f t="shared" si="4"/>
        <v/>
      </c>
      <c r="AC5" s="941" t="str">
        <f t="shared" si="4"/>
        <v/>
      </c>
      <c r="AD5" s="941" t="str">
        <f t="shared" si="4"/>
        <v/>
      </c>
      <c r="AE5" s="941" t="str">
        <f t="shared" si="4"/>
        <v/>
      </c>
      <c r="AF5" s="941" t="str">
        <f t="shared" si="4"/>
        <v/>
      </c>
      <c r="AG5" s="941" t="str">
        <f t="shared" si="4"/>
        <v/>
      </c>
      <c r="AH5" s="941" t="str">
        <f t="shared" si="4"/>
        <v/>
      </c>
      <c r="AI5" s="941" t="str">
        <f t="shared" si="4"/>
        <v/>
      </c>
      <c r="AJ5" s="941" t="str">
        <f t="shared" si="4"/>
        <v/>
      </c>
      <c r="AK5" s="941" t="str">
        <f t="shared" si="4"/>
        <v/>
      </c>
      <c r="AL5" s="941" t="str">
        <f t="shared" si="4"/>
        <v/>
      </c>
      <c r="AM5" s="941" t="str">
        <f t="shared" si="4"/>
        <v/>
      </c>
      <c r="AN5" s="941" t="str">
        <f t="shared" si="4"/>
        <v/>
      </c>
      <c r="AO5" s="941" t="str">
        <f t="shared" si="4"/>
        <v/>
      </c>
      <c r="AP5" s="895">
        <f>IF(AO5&lt;0,"No hi ha pèrdua",IFERROR(SUM(AA5:AO5)*'7. Erosió de costa'!$C$86/1000000,""))</f>
        <v>0</v>
      </c>
    </row>
    <row r="6" spans="1:42">
      <c r="A6" s="835">
        <v>8003</v>
      </c>
      <c r="B6" s="826" t="s">
        <v>707</v>
      </c>
      <c r="C6" s="835" t="str">
        <f t="shared" si="0"/>
        <v>NA</v>
      </c>
      <c r="D6" s="923" t="str">
        <f t="shared" si="1"/>
        <v>NA</v>
      </c>
      <c r="E6" s="931" t="str">
        <f t="shared" si="2"/>
        <v>NA</v>
      </c>
      <c r="F6" s="926" t="str">
        <f t="shared" si="3"/>
        <v>NA</v>
      </c>
      <c r="G6" s="923" t="str">
        <f t="shared" si="5"/>
        <v>NA</v>
      </c>
      <c r="H6" s="931" t="str">
        <f>IFERROR(IF((G6*'7. Erosió de costa'!$C$86/1000000)&lt;0,"guanya sorra",G6*'7. Erosió de costa'!$C$86/1000000),"")</f>
        <v/>
      </c>
      <c r="I6" s="937" t="str">
        <f>IFERROR(IF(('A. Dades de partida'!$D$10*G6*'7. Erosió de costa'!$C$86/1000000)&lt;0,"guanya sorra",'A. Dades de partida'!$D$10*G6*'7. Erosió de costa'!$C$86/1000000),"")</f>
        <v/>
      </c>
      <c r="J6" s="923"/>
      <c r="K6" s="923"/>
      <c r="L6" s="923"/>
      <c r="M6" s="923"/>
      <c r="N6" s="923"/>
      <c r="O6" s="923"/>
      <c r="P6" s="923"/>
      <c r="Q6" s="923"/>
      <c r="R6" s="923"/>
      <c r="S6" s="923"/>
      <c r="T6" s="923"/>
      <c r="U6" s="923"/>
      <c r="V6" s="923"/>
      <c r="W6" s="923"/>
      <c r="X6" s="923"/>
      <c r="Y6" s="923"/>
      <c r="Z6" s="941" t="str">
        <f t="shared" ref="Z6:Z69" si="6">IFERROR(-1*J6*$D6*$F6,"")</f>
        <v/>
      </c>
      <c r="AA6" s="941" t="str">
        <f t="shared" ref="AA6:AA69" si="7">IFERROR(-1*K6*$D6*$F6,"")</f>
        <v/>
      </c>
      <c r="AB6" s="941" t="str">
        <f t="shared" ref="AB6:AB69" si="8">IFERROR(-1*L6*$D6*$F6,"")</f>
        <v/>
      </c>
      <c r="AC6" s="941" t="str">
        <f t="shared" ref="AC6:AC69" si="9">IFERROR(-1*M6*$D6*$F6,"")</f>
        <v/>
      </c>
      <c r="AD6" s="941" t="str">
        <f t="shared" ref="AD6:AD69" si="10">IFERROR(-1*N6*$D6*$F6,"")</f>
        <v/>
      </c>
      <c r="AE6" s="941" t="str">
        <f t="shared" ref="AE6:AE69" si="11">IFERROR(-1*O6*$D6*$F6,"")</f>
        <v/>
      </c>
      <c r="AF6" s="941" t="str">
        <f t="shared" ref="AF6:AF69" si="12">IFERROR(-1*P6*$D6*$F6,"")</f>
        <v/>
      </c>
      <c r="AG6" s="941" t="str">
        <f t="shared" ref="AG6:AG69" si="13">IFERROR(-1*Q6*$D6*$F6,"")</f>
        <v/>
      </c>
      <c r="AH6" s="941" t="str">
        <f t="shared" ref="AH6:AH69" si="14">IFERROR(-1*R6*$D6*$F6,"")</f>
        <v/>
      </c>
      <c r="AI6" s="941" t="str">
        <f t="shared" ref="AI6:AI69" si="15">IFERROR(-1*S6*$D6*$F6,"")</f>
        <v/>
      </c>
      <c r="AJ6" s="941" t="str">
        <f t="shared" ref="AJ6:AJ69" si="16">IFERROR(-1*T6*$D6*$F6,"")</f>
        <v/>
      </c>
      <c r="AK6" s="941" t="str">
        <f t="shared" ref="AK6:AK69" si="17">IFERROR(-1*U6*$D6*$F6,"")</f>
        <v/>
      </c>
      <c r="AL6" s="941" t="str">
        <f t="shared" ref="AL6:AL69" si="18">IFERROR(-1*V6*$D6*$F6,"")</f>
        <v/>
      </c>
      <c r="AM6" s="941" t="str">
        <f t="shared" ref="AM6:AM69" si="19">IFERROR(-1*W6*$D6*$F6,"")</f>
        <v/>
      </c>
      <c r="AN6" s="941" t="str">
        <f t="shared" ref="AN6:AN69" si="20">IFERROR(-1*X6*$D6*$F6,"")</f>
        <v/>
      </c>
      <c r="AO6" s="941" t="str">
        <f t="shared" ref="AO6:AO69" si="21">IFERROR(-1*Y6*$D6*$F6,"")</f>
        <v/>
      </c>
      <c r="AP6" s="895">
        <f>IF(AO6&lt;0,"No hi ha pèrdua",IFERROR(SUM(AA6:AO6)*'7. Erosió de costa'!$C$86/1000000,""))</f>
        <v>0</v>
      </c>
    </row>
    <row r="7" spans="1:42">
      <c r="A7" s="835">
        <v>8004</v>
      </c>
      <c r="B7" s="826" t="s">
        <v>716</v>
      </c>
      <c r="C7" s="835" t="str">
        <f t="shared" si="0"/>
        <v>NA</v>
      </c>
      <c r="D7" s="923" t="str">
        <f t="shared" si="1"/>
        <v>NA</v>
      </c>
      <c r="E7" s="931" t="str">
        <f t="shared" si="2"/>
        <v>NA</v>
      </c>
      <c r="F7" s="926" t="str">
        <f t="shared" si="3"/>
        <v>NA</v>
      </c>
      <c r="G7" s="923" t="str">
        <f t="shared" si="5"/>
        <v>NA</v>
      </c>
      <c r="H7" s="931" t="str">
        <f>IFERROR(IF((G7*'7. Erosió de costa'!$C$86/1000000)&lt;0,"guanya sorra",G7*'7. Erosió de costa'!$C$86/1000000),"")</f>
        <v/>
      </c>
      <c r="I7" s="937" t="str">
        <f>IFERROR(IF(('A. Dades de partida'!$D$10*G7*'7. Erosió de costa'!$C$86/1000000)&lt;0,"guanya sorra",'A. Dades de partida'!$D$10*G7*'7. Erosió de costa'!$C$86/1000000),"")</f>
        <v/>
      </c>
      <c r="J7" s="923"/>
      <c r="K7" s="923"/>
      <c r="L7" s="923"/>
      <c r="M7" s="923"/>
      <c r="N7" s="923"/>
      <c r="O7" s="923"/>
      <c r="P7" s="923"/>
      <c r="Q7" s="923"/>
      <c r="R7" s="923"/>
      <c r="S7" s="923"/>
      <c r="T7" s="923"/>
      <c r="U7" s="923"/>
      <c r="V7" s="923"/>
      <c r="W7" s="923"/>
      <c r="X7" s="923"/>
      <c r="Y7" s="923"/>
      <c r="Z7" s="941" t="str">
        <f t="shared" si="6"/>
        <v/>
      </c>
      <c r="AA7" s="941" t="str">
        <f t="shared" si="7"/>
        <v/>
      </c>
      <c r="AB7" s="941" t="str">
        <f t="shared" si="8"/>
        <v/>
      </c>
      <c r="AC7" s="941" t="str">
        <f t="shared" si="9"/>
        <v/>
      </c>
      <c r="AD7" s="941" t="str">
        <f t="shared" si="10"/>
        <v/>
      </c>
      <c r="AE7" s="941" t="str">
        <f t="shared" si="11"/>
        <v/>
      </c>
      <c r="AF7" s="941" t="str">
        <f t="shared" si="12"/>
        <v/>
      </c>
      <c r="AG7" s="941" t="str">
        <f t="shared" si="13"/>
        <v/>
      </c>
      <c r="AH7" s="941" t="str">
        <f t="shared" si="14"/>
        <v/>
      </c>
      <c r="AI7" s="941" t="str">
        <f t="shared" si="15"/>
        <v/>
      </c>
      <c r="AJ7" s="941" t="str">
        <f t="shared" si="16"/>
        <v/>
      </c>
      <c r="AK7" s="941" t="str">
        <f t="shared" si="17"/>
        <v/>
      </c>
      <c r="AL7" s="941" t="str">
        <f t="shared" si="18"/>
        <v/>
      </c>
      <c r="AM7" s="941" t="str">
        <f t="shared" si="19"/>
        <v/>
      </c>
      <c r="AN7" s="941" t="str">
        <f t="shared" si="20"/>
        <v/>
      </c>
      <c r="AO7" s="941" t="str">
        <f t="shared" si="21"/>
        <v/>
      </c>
      <c r="AP7" s="895">
        <f>IF(AO7&lt;0,"No hi ha pèrdua",IFERROR(SUM(AA7:AO7)*'7. Erosió de costa'!$C$86/1000000,""))</f>
        <v>0</v>
      </c>
    </row>
    <row r="8" spans="1:42">
      <c r="A8" s="835">
        <v>8005</v>
      </c>
      <c r="B8" s="826" t="s">
        <v>725</v>
      </c>
      <c r="C8" s="835" t="str">
        <f t="shared" si="0"/>
        <v>NA</v>
      </c>
      <c r="D8" s="923" t="str">
        <f t="shared" si="1"/>
        <v>NA</v>
      </c>
      <c r="E8" s="931" t="str">
        <f t="shared" si="2"/>
        <v>NA</v>
      </c>
      <c r="F8" s="926" t="str">
        <f t="shared" si="3"/>
        <v>NA</v>
      </c>
      <c r="G8" s="923" t="str">
        <f t="shared" si="5"/>
        <v>NA</v>
      </c>
      <c r="H8" s="931" t="str">
        <f>IFERROR(IF((G8*'7. Erosió de costa'!$C$86/1000000)&lt;0,"guanya sorra",G8*'7. Erosió de costa'!$C$86/1000000),"")</f>
        <v/>
      </c>
      <c r="I8" s="937" t="str">
        <f>IFERROR(IF(('A. Dades de partida'!$D$10*G8*'7. Erosió de costa'!$C$86/1000000)&lt;0,"guanya sorra",'A. Dades de partida'!$D$10*G8*'7. Erosió de costa'!$C$86/1000000),"")</f>
        <v/>
      </c>
      <c r="J8" s="923"/>
      <c r="K8" s="923"/>
      <c r="L8" s="923"/>
      <c r="M8" s="923"/>
      <c r="N8" s="923"/>
      <c r="O8" s="923"/>
      <c r="P8" s="923"/>
      <c r="Q8" s="923"/>
      <c r="R8" s="923"/>
      <c r="S8" s="923"/>
      <c r="T8" s="923"/>
      <c r="U8" s="923"/>
      <c r="V8" s="923"/>
      <c r="W8" s="923"/>
      <c r="X8" s="923"/>
      <c r="Y8" s="923"/>
      <c r="Z8" s="941" t="str">
        <f t="shared" si="6"/>
        <v/>
      </c>
      <c r="AA8" s="941" t="str">
        <f t="shared" si="7"/>
        <v/>
      </c>
      <c r="AB8" s="941" t="str">
        <f t="shared" si="8"/>
        <v/>
      </c>
      <c r="AC8" s="941" t="str">
        <f t="shared" si="9"/>
        <v/>
      </c>
      <c r="AD8" s="941" t="str">
        <f t="shared" si="10"/>
        <v/>
      </c>
      <c r="AE8" s="941" t="str">
        <f t="shared" si="11"/>
        <v/>
      </c>
      <c r="AF8" s="941" t="str">
        <f t="shared" si="12"/>
        <v/>
      </c>
      <c r="AG8" s="941" t="str">
        <f t="shared" si="13"/>
        <v/>
      </c>
      <c r="AH8" s="941" t="str">
        <f t="shared" si="14"/>
        <v/>
      </c>
      <c r="AI8" s="941" t="str">
        <f t="shared" si="15"/>
        <v/>
      </c>
      <c r="AJ8" s="941" t="str">
        <f t="shared" si="16"/>
        <v/>
      </c>
      <c r="AK8" s="941" t="str">
        <f t="shared" si="17"/>
        <v/>
      </c>
      <c r="AL8" s="941" t="str">
        <f t="shared" si="18"/>
        <v/>
      </c>
      <c r="AM8" s="941" t="str">
        <f t="shared" si="19"/>
        <v/>
      </c>
      <c r="AN8" s="941" t="str">
        <f t="shared" si="20"/>
        <v/>
      </c>
      <c r="AO8" s="941" t="str">
        <f t="shared" si="21"/>
        <v/>
      </c>
      <c r="AP8" s="895">
        <f>IF(AO8&lt;0,"No hi ha pèrdua",IFERROR(SUM(AA8:AO8)*'7. Erosió de costa'!$C$86/1000000,""))</f>
        <v>0</v>
      </c>
    </row>
    <row r="9" spans="1:42">
      <c r="A9" s="835">
        <v>8006</v>
      </c>
      <c r="B9" s="826" t="s">
        <v>334</v>
      </c>
      <c r="C9" s="835">
        <f t="shared" si="0"/>
        <v>14</v>
      </c>
      <c r="D9" s="923">
        <f t="shared" si="1"/>
        <v>2850</v>
      </c>
      <c r="E9" s="931">
        <f t="shared" si="2"/>
        <v>-3.81</v>
      </c>
      <c r="F9" s="926">
        <f t="shared" si="3"/>
        <v>8.807232429279674</v>
      </c>
      <c r="G9" s="923">
        <f t="shared" si="5"/>
        <v>95633.333333333343</v>
      </c>
      <c r="H9" s="931">
        <f>IFERROR(IF((G9*'7. Erosió de costa'!$C$86/1000000)&lt;0,"guanya sorra",G9*'7. Erosió de costa'!$C$86/1000000),"")</f>
        <v>3.1559000000000004</v>
      </c>
      <c r="I9" s="937">
        <f>IFERROR(IF(('A. Dades de partida'!$D$10*G9*'7. Erosió de costa'!$C$86/1000000)&lt;0,"guanya sorra",'A. Dades de partida'!$D$10*G9*'7. Erosió de costa'!$C$86/1000000),"")</f>
        <v>47.33850000000001</v>
      </c>
      <c r="J9" s="931">
        <f>E9</f>
        <v>-3.81</v>
      </c>
      <c r="K9" s="931">
        <f>IF($J9&gt;0, $J9-($J9*'7. Erosió de costa'!D$140*'7. Erosió de costa'!$D$111),$J9+($J9*'7. Erosió de costa'!D$140*'7. Erosió de costa'!$D$111))</f>
        <v>-3.8834128959276017</v>
      </c>
      <c r="L9" s="931">
        <f>IF($J9&gt;0, $J9-($J9*'7. Erosió de costa'!E$140*'7. Erosió de costa'!$D$111),$J9+($J9*'7. Erosió de costa'!E$140*'7. Erosió de costa'!$D$111))</f>
        <v>-3.9568257918552039</v>
      </c>
      <c r="M9" s="931">
        <f>IF($J9&gt;0, $J9-($J9*'7. Erosió de costa'!F$140*'7. Erosió de costa'!$D$111),$J9+($J9*'7. Erosió de costa'!F$140*'7. Erosió de costa'!$D$111))</f>
        <v>-4.0302386877828056</v>
      </c>
      <c r="N9" s="931">
        <f>IF($J9&gt;0, $J9-($J9*'7. Erosió de costa'!G$140*'7. Erosió de costa'!$D$111),$J9+($J9*'7. Erosió de costa'!G$140*'7. Erosió de costa'!$D$111))</f>
        <v>-4.1036515837104073</v>
      </c>
      <c r="O9" s="931">
        <f>IF($J9&gt;0, $J9-($J9*'7. Erosió de costa'!H$140*'7. Erosió de costa'!$D$111),$J9+($J9*'7. Erosió de costa'!H$140*'7. Erosió de costa'!$D$111))</f>
        <v>-4.177064479638009</v>
      </c>
      <c r="P9" s="931">
        <f>IF($J9&gt;0, $J9-($J9*'7. Erosió de costa'!I$140*'7. Erosió de costa'!$D$111),$J9+($J9*'7. Erosió de costa'!I$140*'7. Erosió de costa'!$D$111))</f>
        <v>-4.2504773755656107</v>
      </c>
      <c r="Q9" s="931">
        <f>IF($J9&gt;0, $J9-($J9*'7. Erosió de costa'!J$140*'7. Erosió de costa'!$D$111),$J9+($J9*'7. Erosió de costa'!J$140*'7. Erosió de costa'!$D$111))</f>
        <v>-4.3238902714932124</v>
      </c>
      <c r="R9" s="931">
        <f>IF($J9&gt;0, $J9-($J9*'7. Erosió de costa'!K$140*'7. Erosió de costa'!$D$111),$J9+($J9*'7. Erosió de costa'!K$140*'7. Erosió de costa'!$D$111))</f>
        <v>-4.3973031674208141</v>
      </c>
      <c r="S9" s="931">
        <f>IF($J9&gt;0, $J9-($J9*'7. Erosió de costa'!L$140*'7. Erosió de costa'!$D$111),$J9+($J9*'7. Erosió de costa'!L$140*'7. Erosió de costa'!$D$111))</f>
        <v>-4.4707160633484166</v>
      </c>
      <c r="T9" s="931">
        <f>IF($J9&gt;0, $J9-($J9*'7. Erosió de costa'!M$140*'7. Erosió de costa'!$D$111),$J9+($J9*'7. Erosió de costa'!M$140*'7. Erosió de costa'!$D$111))</f>
        <v>-4.5441289592760183</v>
      </c>
      <c r="U9" s="931">
        <f>IF($J9&gt;0, $J9-($J9*'7. Erosió de costa'!N$140*'7. Erosió de costa'!$D$111),$J9+($J9*'7. Erosió de costa'!N$140*'7. Erosió de costa'!$D$111))</f>
        <v>-4.61754185520362</v>
      </c>
      <c r="V9" s="931">
        <f>IF($J9&gt;0, $J9-($J9*'7. Erosió de costa'!O$140*'7. Erosió de costa'!$D$111),$J9+($J9*'7. Erosió de costa'!O$140*'7. Erosió de costa'!$D$111))</f>
        <v>-4.6909547511312217</v>
      </c>
      <c r="W9" s="931">
        <f>IF($J9&gt;0, $J9-($J9*'7. Erosió de costa'!P$140*'7. Erosió de costa'!$D$111),$J9+($J9*'7. Erosió de costa'!P$140*'7. Erosió de costa'!$D$111))</f>
        <v>-4.7643676470588234</v>
      </c>
      <c r="X9" s="931">
        <f>IF($J9&gt;0, $J9-($J9*'7. Erosió de costa'!Q$140*'7. Erosió de costa'!$D$111),$J9+($J9*'7. Erosió de costa'!Q$140*'7. Erosió de costa'!$D$111))</f>
        <v>-4.8377805429864251</v>
      </c>
      <c r="Y9" s="931">
        <f>IF($J9&gt;0, $J9-($J9*'7. Erosió de costa'!R$140*'7. Erosió de costa'!$D$111),$J9+($J9*'7. Erosió de costa'!R$140*'7. Erosió de costa'!$D$111))</f>
        <v>-4.9111934389140277</v>
      </c>
      <c r="Z9" s="941">
        <f t="shared" si="6"/>
        <v>95633.333333333343</v>
      </c>
      <c r="AA9" s="941">
        <f t="shared" si="7"/>
        <v>97476.041980894923</v>
      </c>
      <c r="AB9" s="941">
        <f t="shared" si="8"/>
        <v>99318.750628456532</v>
      </c>
      <c r="AC9" s="941">
        <f t="shared" si="9"/>
        <v>101161.45927601811</v>
      </c>
      <c r="AD9" s="941">
        <f t="shared" si="10"/>
        <v>103004.16792357969</v>
      </c>
      <c r="AE9" s="941">
        <f t="shared" si="11"/>
        <v>104846.87657114129</v>
      </c>
      <c r="AF9" s="941">
        <f t="shared" si="12"/>
        <v>106689.58521870286</v>
      </c>
      <c r="AG9" s="941">
        <f t="shared" si="13"/>
        <v>108532.29386626444</v>
      </c>
      <c r="AH9" s="941">
        <f t="shared" si="14"/>
        <v>110375.00251382604</v>
      </c>
      <c r="AI9" s="941">
        <f t="shared" si="15"/>
        <v>112217.71116138765</v>
      </c>
      <c r="AJ9" s="941">
        <f t="shared" si="16"/>
        <v>114060.41980894924</v>
      </c>
      <c r="AK9" s="941">
        <f t="shared" si="17"/>
        <v>115903.12845651082</v>
      </c>
      <c r="AL9" s="941">
        <f t="shared" si="18"/>
        <v>117745.8371040724</v>
      </c>
      <c r="AM9" s="941">
        <f t="shared" si="19"/>
        <v>119588.545751634</v>
      </c>
      <c r="AN9" s="941">
        <f t="shared" si="20"/>
        <v>121431.25439919558</v>
      </c>
      <c r="AO9" s="941">
        <f t="shared" si="21"/>
        <v>123273.9630467572</v>
      </c>
      <c r="AP9" s="895">
        <f>IF(AO9&lt;0,"No hi ha pèrdua",IFERROR(SUM(AA9:AO9)*'7. Erosió de costa'!$C$86/1000000,""))</f>
        <v>54.635626244343889</v>
      </c>
    </row>
    <row r="10" spans="1:42">
      <c r="A10" s="835">
        <v>8007</v>
      </c>
      <c r="B10" s="826" t="s">
        <v>742</v>
      </c>
      <c r="C10" s="835" t="str">
        <f t="shared" si="0"/>
        <v>NA</v>
      </c>
      <c r="D10" s="923" t="str">
        <f t="shared" si="1"/>
        <v>NA</v>
      </c>
      <c r="E10" s="931" t="str">
        <f t="shared" si="2"/>
        <v>NA</v>
      </c>
      <c r="F10" s="926" t="str">
        <f t="shared" si="3"/>
        <v>NA</v>
      </c>
      <c r="G10" s="923" t="str">
        <f t="shared" si="5"/>
        <v>NA</v>
      </c>
      <c r="H10" s="931" t="str">
        <f>IFERROR(IF((G10*'7. Erosió de costa'!$C$86/1000000)&lt;0,"guanya sorra",G10*'7. Erosió de costa'!$C$86/1000000),"")</f>
        <v/>
      </c>
      <c r="I10" s="937" t="str">
        <f>IFERROR(IF(('A. Dades de partida'!$D$10*G10*'7. Erosió de costa'!$C$86/1000000)&lt;0,"guanya sorra",'A. Dades de partida'!$D$10*G10*'7. Erosió de costa'!$C$86/1000000),"")</f>
        <v/>
      </c>
      <c r="J10" s="923"/>
      <c r="K10" s="923"/>
      <c r="L10" s="923"/>
      <c r="M10" s="923"/>
      <c r="N10" s="923"/>
      <c r="O10" s="923"/>
      <c r="P10" s="923"/>
      <c r="Q10" s="923"/>
      <c r="R10" s="923"/>
      <c r="S10" s="923"/>
      <c r="T10" s="923"/>
      <c r="U10" s="923"/>
      <c r="V10" s="923"/>
      <c r="W10" s="923"/>
      <c r="X10" s="923"/>
      <c r="Y10" s="923"/>
      <c r="Z10" s="941" t="str">
        <f t="shared" si="6"/>
        <v/>
      </c>
      <c r="AA10" s="941" t="str">
        <f t="shared" si="7"/>
        <v/>
      </c>
      <c r="AB10" s="941" t="str">
        <f t="shared" si="8"/>
        <v/>
      </c>
      <c r="AC10" s="941" t="str">
        <f t="shared" si="9"/>
        <v/>
      </c>
      <c r="AD10" s="941" t="str">
        <f t="shared" si="10"/>
        <v/>
      </c>
      <c r="AE10" s="941" t="str">
        <f t="shared" si="11"/>
        <v/>
      </c>
      <c r="AF10" s="941" t="str">
        <f t="shared" si="12"/>
        <v/>
      </c>
      <c r="AG10" s="941" t="str">
        <f t="shared" si="13"/>
        <v/>
      </c>
      <c r="AH10" s="941" t="str">
        <f t="shared" si="14"/>
        <v/>
      </c>
      <c r="AI10" s="941" t="str">
        <f t="shared" si="15"/>
        <v/>
      </c>
      <c r="AJ10" s="941" t="str">
        <f t="shared" si="16"/>
        <v/>
      </c>
      <c r="AK10" s="941" t="str">
        <f t="shared" si="17"/>
        <v/>
      </c>
      <c r="AL10" s="941" t="str">
        <f t="shared" si="18"/>
        <v/>
      </c>
      <c r="AM10" s="941" t="str">
        <f t="shared" si="19"/>
        <v/>
      </c>
      <c r="AN10" s="941" t="str">
        <f t="shared" si="20"/>
        <v/>
      </c>
      <c r="AO10" s="941" t="str">
        <f t="shared" si="21"/>
        <v/>
      </c>
      <c r="AP10" s="895">
        <f>IF(AO10&lt;0,"No hi ha pèrdua",IFERROR(SUM(AA10:AO10)*'7. Erosió de costa'!$C$86/1000000,""))</f>
        <v>0</v>
      </c>
    </row>
    <row r="11" spans="1:42">
      <c r="A11" s="835">
        <v>8008</v>
      </c>
      <c r="B11" s="826" t="s">
        <v>751</v>
      </c>
      <c r="C11" s="835" t="str">
        <f t="shared" si="0"/>
        <v>NA</v>
      </c>
      <c r="D11" s="923" t="str">
        <f t="shared" si="1"/>
        <v>NA</v>
      </c>
      <c r="E11" s="931" t="str">
        <f t="shared" si="2"/>
        <v>NA</v>
      </c>
      <c r="F11" s="926" t="str">
        <f t="shared" si="3"/>
        <v>NA</v>
      </c>
      <c r="G11" s="923" t="str">
        <f t="shared" si="5"/>
        <v>NA</v>
      </c>
      <c r="H11" s="931" t="str">
        <f>IFERROR(IF((G11*'7. Erosió de costa'!$C$86/1000000)&lt;0,"guanya sorra",G11*'7. Erosió de costa'!$C$86/1000000),"")</f>
        <v/>
      </c>
      <c r="I11" s="937" t="str">
        <f>IFERROR(IF(('A. Dades de partida'!$D$10*G11*'7. Erosió de costa'!$C$86/1000000)&lt;0,"guanya sorra",'A. Dades de partida'!$D$10*G11*'7. Erosió de costa'!$C$86/1000000),"")</f>
        <v/>
      </c>
      <c r="J11" s="923"/>
      <c r="K11" s="923"/>
      <c r="L11" s="923"/>
      <c r="M11" s="923"/>
      <c r="N11" s="923"/>
      <c r="O11" s="923"/>
      <c r="P11" s="923"/>
      <c r="Q11" s="923"/>
      <c r="R11" s="923"/>
      <c r="S11" s="923"/>
      <c r="T11" s="923"/>
      <c r="U11" s="923"/>
      <c r="V11" s="923"/>
      <c r="W11" s="923"/>
      <c r="X11" s="923"/>
      <c r="Y11" s="923"/>
      <c r="Z11" s="941" t="str">
        <f t="shared" si="6"/>
        <v/>
      </c>
      <c r="AA11" s="941" t="str">
        <f t="shared" si="7"/>
        <v/>
      </c>
      <c r="AB11" s="941" t="str">
        <f t="shared" si="8"/>
        <v/>
      </c>
      <c r="AC11" s="941" t="str">
        <f t="shared" si="9"/>
        <v/>
      </c>
      <c r="AD11" s="941" t="str">
        <f t="shared" si="10"/>
        <v/>
      </c>
      <c r="AE11" s="941" t="str">
        <f t="shared" si="11"/>
        <v/>
      </c>
      <c r="AF11" s="941" t="str">
        <f t="shared" si="12"/>
        <v/>
      </c>
      <c r="AG11" s="941" t="str">
        <f t="shared" si="13"/>
        <v/>
      </c>
      <c r="AH11" s="941" t="str">
        <f t="shared" si="14"/>
        <v/>
      </c>
      <c r="AI11" s="941" t="str">
        <f t="shared" si="15"/>
        <v/>
      </c>
      <c r="AJ11" s="941" t="str">
        <f t="shared" si="16"/>
        <v/>
      </c>
      <c r="AK11" s="941" t="str">
        <f t="shared" si="17"/>
        <v/>
      </c>
      <c r="AL11" s="941" t="str">
        <f t="shared" si="18"/>
        <v/>
      </c>
      <c r="AM11" s="941" t="str">
        <f t="shared" si="19"/>
        <v/>
      </c>
      <c r="AN11" s="941" t="str">
        <f t="shared" si="20"/>
        <v/>
      </c>
      <c r="AO11" s="941" t="str">
        <f t="shared" si="21"/>
        <v/>
      </c>
      <c r="AP11" s="895">
        <f>IF(AO11&lt;0,"No hi ha pèrdua",IFERROR(SUM(AA11:AO11)*'7. Erosió de costa'!$C$86/1000000,""))</f>
        <v>0</v>
      </c>
    </row>
    <row r="12" spans="1:42">
      <c r="A12" s="835">
        <v>8009</v>
      </c>
      <c r="B12" s="826" t="s">
        <v>761</v>
      </c>
      <c r="C12" s="835" t="str">
        <f t="shared" si="0"/>
        <v>NA</v>
      </c>
      <c r="D12" s="923" t="str">
        <f t="shared" si="1"/>
        <v>NA</v>
      </c>
      <c r="E12" s="931" t="str">
        <f t="shared" si="2"/>
        <v>NA</v>
      </c>
      <c r="F12" s="926" t="str">
        <f t="shared" si="3"/>
        <v>NA</v>
      </c>
      <c r="G12" s="923" t="str">
        <f t="shared" si="5"/>
        <v>NA</v>
      </c>
      <c r="H12" s="931" t="str">
        <f>IFERROR(IF((G12*'7. Erosió de costa'!$C$86/1000000)&lt;0,"guanya sorra",G12*'7. Erosió de costa'!$C$86/1000000),"")</f>
        <v/>
      </c>
      <c r="I12" s="937" t="str">
        <f>IFERROR(IF(('A. Dades de partida'!$D$10*G12*'7. Erosió de costa'!$C$86/1000000)&lt;0,"guanya sorra",'A. Dades de partida'!$D$10*G12*'7. Erosió de costa'!$C$86/1000000),"")</f>
        <v/>
      </c>
      <c r="J12" s="923"/>
      <c r="K12" s="923"/>
      <c r="L12" s="923"/>
      <c r="M12" s="923"/>
      <c r="N12" s="923"/>
      <c r="O12" s="923"/>
      <c r="P12" s="923"/>
      <c r="Q12" s="923"/>
      <c r="R12" s="923"/>
      <c r="S12" s="923"/>
      <c r="T12" s="923"/>
      <c r="U12" s="923"/>
      <c r="V12" s="923"/>
      <c r="W12" s="923"/>
      <c r="X12" s="923"/>
      <c r="Y12" s="923"/>
      <c r="Z12" s="941" t="str">
        <f t="shared" si="6"/>
        <v/>
      </c>
      <c r="AA12" s="941" t="str">
        <f t="shared" si="7"/>
        <v/>
      </c>
      <c r="AB12" s="941" t="str">
        <f t="shared" si="8"/>
        <v/>
      </c>
      <c r="AC12" s="941" t="str">
        <f t="shared" si="9"/>
        <v/>
      </c>
      <c r="AD12" s="941" t="str">
        <f t="shared" si="10"/>
        <v/>
      </c>
      <c r="AE12" s="941" t="str">
        <f t="shared" si="11"/>
        <v/>
      </c>
      <c r="AF12" s="941" t="str">
        <f t="shared" si="12"/>
        <v/>
      </c>
      <c r="AG12" s="941" t="str">
        <f t="shared" si="13"/>
        <v/>
      </c>
      <c r="AH12" s="941" t="str">
        <f t="shared" si="14"/>
        <v/>
      </c>
      <c r="AI12" s="941" t="str">
        <f t="shared" si="15"/>
        <v/>
      </c>
      <c r="AJ12" s="941" t="str">
        <f t="shared" si="16"/>
        <v/>
      </c>
      <c r="AK12" s="941" t="str">
        <f t="shared" si="17"/>
        <v/>
      </c>
      <c r="AL12" s="941" t="str">
        <f t="shared" si="18"/>
        <v/>
      </c>
      <c r="AM12" s="941" t="str">
        <f t="shared" si="19"/>
        <v/>
      </c>
      <c r="AN12" s="941" t="str">
        <f t="shared" si="20"/>
        <v/>
      </c>
      <c r="AO12" s="941" t="str">
        <f t="shared" si="21"/>
        <v/>
      </c>
      <c r="AP12" s="895">
        <f>IF(AO12&lt;0,"No hi ha pèrdua",IFERROR(SUM(AA12:AO12)*'7. Erosió de costa'!$C$86/1000000,""))</f>
        <v>0</v>
      </c>
    </row>
    <row r="13" spans="1:42">
      <c r="A13" s="835">
        <v>8010</v>
      </c>
      <c r="B13" s="826" t="s">
        <v>767</v>
      </c>
      <c r="C13" s="835" t="str">
        <f t="shared" si="0"/>
        <v>NA</v>
      </c>
      <c r="D13" s="923" t="str">
        <f t="shared" si="1"/>
        <v>NA</v>
      </c>
      <c r="E13" s="931" t="str">
        <f t="shared" si="2"/>
        <v>NA</v>
      </c>
      <c r="F13" s="926" t="str">
        <f t="shared" si="3"/>
        <v>NA</v>
      </c>
      <c r="G13" s="923" t="str">
        <f t="shared" si="5"/>
        <v>NA</v>
      </c>
      <c r="H13" s="931" t="str">
        <f>IFERROR(IF((G13*'7. Erosió de costa'!$C$86/1000000)&lt;0,"guanya sorra",G13*'7. Erosió de costa'!$C$86/1000000),"")</f>
        <v/>
      </c>
      <c r="I13" s="937" t="str">
        <f>IFERROR(IF(('A. Dades de partida'!$D$10*G13*'7. Erosió de costa'!$C$86/1000000)&lt;0,"guanya sorra",'A. Dades de partida'!$D$10*G13*'7. Erosió de costa'!$C$86/1000000),"")</f>
        <v/>
      </c>
      <c r="J13" s="923"/>
      <c r="K13" s="923"/>
      <c r="L13" s="923"/>
      <c r="M13" s="923"/>
      <c r="N13" s="923"/>
      <c r="O13" s="923"/>
      <c r="P13" s="923"/>
      <c r="Q13" s="923"/>
      <c r="R13" s="923"/>
      <c r="S13" s="923"/>
      <c r="T13" s="923"/>
      <c r="U13" s="923"/>
      <c r="V13" s="923"/>
      <c r="W13" s="923"/>
      <c r="X13" s="923"/>
      <c r="Y13" s="923"/>
      <c r="Z13" s="941" t="str">
        <f t="shared" si="6"/>
        <v/>
      </c>
      <c r="AA13" s="941" t="str">
        <f t="shared" si="7"/>
        <v/>
      </c>
      <c r="AB13" s="941" t="str">
        <f t="shared" si="8"/>
        <v/>
      </c>
      <c r="AC13" s="941" t="str">
        <f t="shared" si="9"/>
        <v/>
      </c>
      <c r="AD13" s="941" t="str">
        <f t="shared" si="10"/>
        <v/>
      </c>
      <c r="AE13" s="941" t="str">
        <f t="shared" si="11"/>
        <v/>
      </c>
      <c r="AF13" s="941" t="str">
        <f t="shared" si="12"/>
        <v/>
      </c>
      <c r="AG13" s="941" t="str">
        <f t="shared" si="13"/>
        <v/>
      </c>
      <c r="AH13" s="941" t="str">
        <f t="shared" si="14"/>
        <v/>
      </c>
      <c r="AI13" s="941" t="str">
        <f t="shared" si="15"/>
        <v/>
      </c>
      <c r="AJ13" s="941" t="str">
        <f t="shared" si="16"/>
        <v/>
      </c>
      <c r="AK13" s="941" t="str">
        <f t="shared" si="17"/>
        <v/>
      </c>
      <c r="AL13" s="941" t="str">
        <f t="shared" si="18"/>
        <v/>
      </c>
      <c r="AM13" s="941" t="str">
        <f t="shared" si="19"/>
        <v/>
      </c>
      <c r="AN13" s="941" t="str">
        <f t="shared" si="20"/>
        <v/>
      </c>
      <c r="AO13" s="941" t="str">
        <f t="shared" si="21"/>
        <v/>
      </c>
      <c r="AP13" s="895">
        <f>IF(AO13&lt;0,"No hi ha pèrdua",IFERROR(SUM(AA13:AO13)*'7. Erosió de costa'!$C$86/1000000,""))</f>
        <v>0</v>
      </c>
    </row>
    <row r="14" spans="1:42">
      <c r="A14" s="835">
        <v>8011</v>
      </c>
      <c r="B14" s="826" t="s">
        <v>774</v>
      </c>
      <c r="C14" s="835" t="str">
        <f t="shared" si="0"/>
        <v>NA</v>
      </c>
      <c r="D14" s="923" t="str">
        <f t="shared" si="1"/>
        <v>NA</v>
      </c>
      <c r="E14" s="931" t="str">
        <f t="shared" si="2"/>
        <v>NA</v>
      </c>
      <c r="F14" s="926" t="str">
        <f t="shared" si="3"/>
        <v>NA</v>
      </c>
      <c r="G14" s="923" t="str">
        <f t="shared" si="5"/>
        <v>NA</v>
      </c>
      <c r="H14" s="931" t="str">
        <f>IFERROR(IF((G14*'7. Erosió de costa'!$C$86/1000000)&lt;0,"guanya sorra",G14*'7. Erosió de costa'!$C$86/1000000),"")</f>
        <v/>
      </c>
      <c r="I14" s="937" t="str">
        <f>IFERROR(IF(('A. Dades de partida'!$D$10*G14*'7. Erosió de costa'!$C$86/1000000)&lt;0,"guanya sorra",'A. Dades de partida'!$D$10*G14*'7. Erosió de costa'!$C$86/1000000),"")</f>
        <v/>
      </c>
      <c r="J14" s="923"/>
      <c r="K14" s="923"/>
      <c r="L14" s="923"/>
      <c r="M14" s="923"/>
      <c r="N14" s="923"/>
      <c r="O14" s="923"/>
      <c r="P14" s="923"/>
      <c r="Q14" s="923"/>
      <c r="R14" s="923"/>
      <c r="S14" s="923"/>
      <c r="T14" s="923"/>
      <c r="U14" s="923"/>
      <c r="V14" s="923"/>
      <c r="W14" s="923"/>
      <c r="X14" s="923"/>
      <c r="Y14" s="923"/>
      <c r="Z14" s="941" t="str">
        <f t="shared" si="6"/>
        <v/>
      </c>
      <c r="AA14" s="941" t="str">
        <f t="shared" si="7"/>
        <v/>
      </c>
      <c r="AB14" s="941" t="str">
        <f t="shared" si="8"/>
        <v/>
      </c>
      <c r="AC14" s="941" t="str">
        <f t="shared" si="9"/>
        <v/>
      </c>
      <c r="AD14" s="941" t="str">
        <f t="shared" si="10"/>
        <v/>
      </c>
      <c r="AE14" s="941" t="str">
        <f t="shared" si="11"/>
        <v/>
      </c>
      <c r="AF14" s="941" t="str">
        <f t="shared" si="12"/>
        <v/>
      </c>
      <c r="AG14" s="941" t="str">
        <f t="shared" si="13"/>
        <v/>
      </c>
      <c r="AH14" s="941" t="str">
        <f t="shared" si="14"/>
        <v/>
      </c>
      <c r="AI14" s="941" t="str">
        <f t="shared" si="15"/>
        <v/>
      </c>
      <c r="AJ14" s="941" t="str">
        <f t="shared" si="16"/>
        <v/>
      </c>
      <c r="AK14" s="941" t="str">
        <f t="shared" si="17"/>
        <v/>
      </c>
      <c r="AL14" s="941" t="str">
        <f t="shared" si="18"/>
        <v/>
      </c>
      <c r="AM14" s="941" t="str">
        <f t="shared" si="19"/>
        <v/>
      </c>
      <c r="AN14" s="941" t="str">
        <f t="shared" si="20"/>
        <v/>
      </c>
      <c r="AO14" s="941" t="str">
        <f t="shared" si="21"/>
        <v/>
      </c>
      <c r="AP14" s="895">
        <f>IF(AO14&lt;0,"No hi ha pèrdua",IFERROR(SUM(AA14:AO14)*'7. Erosió de costa'!$C$86/1000000,""))</f>
        <v>0</v>
      </c>
    </row>
    <row r="15" spans="1:42">
      <c r="A15" s="835">
        <v>8012</v>
      </c>
      <c r="B15" s="826" t="s">
        <v>781</v>
      </c>
      <c r="C15" s="835" t="str">
        <f t="shared" si="0"/>
        <v>NA</v>
      </c>
      <c r="D15" s="923" t="str">
        <f t="shared" si="1"/>
        <v>NA</v>
      </c>
      <c r="E15" s="931" t="str">
        <f t="shared" si="2"/>
        <v>NA</v>
      </c>
      <c r="F15" s="926" t="str">
        <f t="shared" si="3"/>
        <v>NA</v>
      </c>
      <c r="G15" s="923" t="str">
        <f t="shared" si="5"/>
        <v>NA</v>
      </c>
      <c r="H15" s="931" t="str">
        <f>IFERROR(IF((G15*'7. Erosió de costa'!$C$86/1000000)&lt;0,"guanya sorra",G15*'7. Erosió de costa'!$C$86/1000000),"")</f>
        <v/>
      </c>
      <c r="I15" s="937" t="str">
        <f>IFERROR(IF(('A. Dades de partida'!$D$10*G15*'7. Erosió de costa'!$C$86/1000000)&lt;0,"guanya sorra",'A. Dades de partida'!$D$10*G15*'7. Erosió de costa'!$C$86/1000000),"")</f>
        <v/>
      </c>
      <c r="J15" s="923"/>
      <c r="K15" s="923"/>
      <c r="L15" s="923"/>
      <c r="M15" s="923"/>
      <c r="N15" s="923"/>
      <c r="O15" s="923"/>
      <c r="P15" s="923"/>
      <c r="Q15" s="923"/>
      <c r="R15" s="923"/>
      <c r="S15" s="923"/>
      <c r="T15" s="923"/>
      <c r="U15" s="923"/>
      <c r="V15" s="923"/>
      <c r="W15" s="923"/>
      <c r="X15" s="923"/>
      <c r="Y15" s="923"/>
      <c r="Z15" s="941" t="str">
        <f t="shared" si="6"/>
        <v/>
      </c>
      <c r="AA15" s="941" t="str">
        <f t="shared" si="7"/>
        <v/>
      </c>
      <c r="AB15" s="941" t="str">
        <f t="shared" si="8"/>
        <v/>
      </c>
      <c r="AC15" s="941" t="str">
        <f t="shared" si="9"/>
        <v/>
      </c>
      <c r="AD15" s="941" t="str">
        <f t="shared" si="10"/>
        <v/>
      </c>
      <c r="AE15" s="941" t="str">
        <f t="shared" si="11"/>
        <v/>
      </c>
      <c r="AF15" s="941" t="str">
        <f t="shared" si="12"/>
        <v/>
      </c>
      <c r="AG15" s="941" t="str">
        <f t="shared" si="13"/>
        <v/>
      </c>
      <c r="AH15" s="941" t="str">
        <f t="shared" si="14"/>
        <v/>
      </c>
      <c r="AI15" s="941" t="str">
        <f t="shared" si="15"/>
        <v/>
      </c>
      <c r="AJ15" s="941" t="str">
        <f t="shared" si="16"/>
        <v/>
      </c>
      <c r="AK15" s="941" t="str">
        <f t="shared" si="17"/>
        <v/>
      </c>
      <c r="AL15" s="941" t="str">
        <f t="shared" si="18"/>
        <v/>
      </c>
      <c r="AM15" s="941" t="str">
        <f t="shared" si="19"/>
        <v/>
      </c>
      <c r="AN15" s="941" t="str">
        <f t="shared" si="20"/>
        <v/>
      </c>
      <c r="AO15" s="941" t="str">
        <f t="shared" si="21"/>
        <v/>
      </c>
      <c r="AP15" s="895">
        <f>IF(AO15&lt;0,"No hi ha pèrdua",IFERROR(SUM(AA15:AO15)*'7. Erosió de costa'!$C$86/1000000,""))</f>
        <v>0</v>
      </c>
    </row>
    <row r="16" spans="1:42">
      <c r="A16" s="835">
        <v>8013</v>
      </c>
      <c r="B16" s="826" t="s">
        <v>787</v>
      </c>
      <c r="C16" s="835" t="str">
        <f t="shared" si="0"/>
        <v>NA</v>
      </c>
      <c r="D16" s="923" t="str">
        <f t="shared" si="1"/>
        <v>NA</v>
      </c>
      <c r="E16" s="931" t="str">
        <f t="shared" si="2"/>
        <v>NA</v>
      </c>
      <c r="F16" s="926" t="str">
        <f t="shared" si="3"/>
        <v>NA</v>
      </c>
      <c r="G16" s="923" t="str">
        <f t="shared" si="5"/>
        <v>NA</v>
      </c>
      <c r="H16" s="931" t="str">
        <f>IFERROR(IF((G16*'7. Erosió de costa'!$C$86/1000000)&lt;0,"guanya sorra",G16*'7. Erosió de costa'!$C$86/1000000),"")</f>
        <v/>
      </c>
      <c r="I16" s="937" t="str">
        <f>IFERROR(IF(('A. Dades de partida'!$D$10*G16*'7. Erosió de costa'!$C$86/1000000)&lt;0,"guanya sorra",'A. Dades de partida'!$D$10*G16*'7. Erosió de costa'!$C$86/1000000),"")</f>
        <v/>
      </c>
      <c r="J16" s="923"/>
      <c r="K16" s="923"/>
      <c r="L16" s="923"/>
      <c r="M16" s="923"/>
      <c r="N16" s="923"/>
      <c r="O16" s="923"/>
      <c r="P16" s="923"/>
      <c r="Q16" s="923"/>
      <c r="R16" s="923"/>
      <c r="S16" s="923"/>
      <c r="T16" s="923"/>
      <c r="U16" s="923"/>
      <c r="V16" s="923"/>
      <c r="W16" s="923"/>
      <c r="X16" s="923"/>
      <c r="Y16" s="923"/>
      <c r="Z16" s="941" t="str">
        <f t="shared" si="6"/>
        <v/>
      </c>
      <c r="AA16" s="941" t="str">
        <f t="shared" si="7"/>
        <v/>
      </c>
      <c r="AB16" s="941" t="str">
        <f t="shared" si="8"/>
        <v/>
      </c>
      <c r="AC16" s="941" t="str">
        <f t="shared" si="9"/>
        <v/>
      </c>
      <c r="AD16" s="941" t="str">
        <f t="shared" si="10"/>
        <v/>
      </c>
      <c r="AE16" s="941" t="str">
        <f t="shared" si="11"/>
        <v/>
      </c>
      <c r="AF16" s="941" t="str">
        <f t="shared" si="12"/>
        <v/>
      </c>
      <c r="AG16" s="941" t="str">
        <f t="shared" si="13"/>
        <v/>
      </c>
      <c r="AH16" s="941" t="str">
        <f t="shared" si="14"/>
        <v/>
      </c>
      <c r="AI16" s="941" t="str">
        <f t="shared" si="15"/>
        <v/>
      </c>
      <c r="AJ16" s="941" t="str">
        <f t="shared" si="16"/>
        <v/>
      </c>
      <c r="AK16" s="941" t="str">
        <f t="shared" si="17"/>
        <v/>
      </c>
      <c r="AL16" s="941" t="str">
        <f t="shared" si="18"/>
        <v/>
      </c>
      <c r="AM16" s="941" t="str">
        <f t="shared" si="19"/>
        <v/>
      </c>
      <c r="AN16" s="941" t="str">
        <f t="shared" si="20"/>
        <v/>
      </c>
      <c r="AO16" s="941" t="str">
        <f t="shared" si="21"/>
        <v/>
      </c>
      <c r="AP16" s="895">
        <f>IF(AO16&lt;0,"No hi ha pèrdua",IFERROR(SUM(AA16:AO16)*'7. Erosió de costa'!$C$86/1000000,""))</f>
        <v>0</v>
      </c>
    </row>
    <row r="17" spans="1:42">
      <c r="A17" s="835">
        <v>8014</v>
      </c>
      <c r="B17" s="826" t="s">
        <v>797</v>
      </c>
      <c r="C17" s="835" t="str">
        <f t="shared" si="0"/>
        <v>NA</v>
      </c>
      <c r="D17" s="923" t="str">
        <f t="shared" si="1"/>
        <v>NA</v>
      </c>
      <c r="E17" s="931" t="str">
        <f t="shared" si="2"/>
        <v>NA</v>
      </c>
      <c r="F17" s="926" t="str">
        <f t="shared" si="3"/>
        <v>NA</v>
      </c>
      <c r="G17" s="923" t="str">
        <f t="shared" si="5"/>
        <v>NA</v>
      </c>
      <c r="H17" s="931" t="str">
        <f>IFERROR(IF((G17*'7. Erosió de costa'!$C$86/1000000)&lt;0,"guanya sorra",G17*'7. Erosió de costa'!$C$86/1000000),"")</f>
        <v/>
      </c>
      <c r="I17" s="937" t="str">
        <f>IFERROR(IF(('A. Dades de partida'!$D$10*G17*'7. Erosió de costa'!$C$86/1000000)&lt;0,"guanya sorra",'A. Dades de partida'!$D$10*G17*'7. Erosió de costa'!$C$86/1000000),"")</f>
        <v/>
      </c>
      <c r="J17" s="923"/>
      <c r="K17" s="923"/>
      <c r="L17" s="923"/>
      <c r="M17" s="923"/>
      <c r="N17" s="923"/>
      <c r="O17" s="923"/>
      <c r="P17" s="923"/>
      <c r="Q17" s="923"/>
      <c r="R17" s="923"/>
      <c r="S17" s="923"/>
      <c r="T17" s="923"/>
      <c r="U17" s="923"/>
      <c r="V17" s="923"/>
      <c r="W17" s="923"/>
      <c r="X17" s="923"/>
      <c r="Y17" s="923"/>
      <c r="Z17" s="941" t="str">
        <f t="shared" si="6"/>
        <v/>
      </c>
      <c r="AA17" s="941" t="str">
        <f t="shared" si="7"/>
        <v/>
      </c>
      <c r="AB17" s="941" t="str">
        <f t="shared" si="8"/>
        <v/>
      </c>
      <c r="AC17" s="941" t="str">
        <f t="shared" si="9"/>
        <v/>
      </c>
      <c r="AD17" s="941" t="str">
        <f t="shared" si="10"/>
        <v/>
      </c>
      <c r="AE17" s="941" t="str">
        <f t="shared" si="11"/>
        <v/>
      </c>
      <c r="AF17" s="941" t="str">
        <f t="shared" si="12"/>
        <v/>
      </c>
      <c r="AG17" s="941" t="str">
        <f t="shared" si="13"/>
        <v/>
      </c>
      <c r="AH17" s="941" t="str">
        <f t="shared" si="14"/>
        <v/>
      </c>
      <c r="AI17" s="941" t="str">
        <f t="shared" si="15"/>
        <v/>
      </c>
      <c r="AJ17" s="941" t="str">
        <f t="shared" si="16"/>
        <v/>
      </c>
      <c r="AK17" s="941" t="str">
        <f t="shared" si="17"/>
        <v/>
      </c>
      <c r="AL17" s="941" t="str">
        <f t="shared" si="18"/>
        <v/>
      </c>
      <c r="AM17" s="941" t="str">
        <f t="shared" si="19"/>
        <v/>
      </c>
      <c r="AN17" s="941" t="str">
        <f t="shared" si="20"/>
        <v/>
      </c>
      <c r="AO17" s="941" t="str">
        <f t="shared" si="21"/>
        <v/>
      </c>
      <c r="AP17" s="895">
        <f>IF(AO17&lt;0,"No hi ha pèrdua",IFERROR(SUM(AA17:AO17)*'7. Erosió de costa'!$C$86/1000000,""))</f>
        <v>0</v>
      </c>
    </row>
    <row r="18" spans="1:42">
      <c r="A18" s="835">
        <v>8015</v>
      </c>
      <c r="B18" s="826" t="s">
        <v>335</v>
      </c>
      <c r="C18" s="835">
        <f t="shared" si="0"/>
        <v>10</v>
      </c>
      <c r="D18" s="923">
        <f t="shared" si="1"/>
        <v>4370</v>
      </c>
      <c r="E18" s="931">
        <f t="shared" si="2"/>
        <v>-2.33</v>
      </c>
      <c r="F18" s="926">
        <f t="shared" si="3"/>
        <v>8.524898583103063</v>
      </c>
      <c r="G18" s="923">
        <f t="shared" si="5"/>
        <v>86801.369863013708</v>
      </c>
      <c r="H18" s="931">
        <f>IFERROR(IF((G18*'7. Erosió de costa'!$C$86/1000000)&lt;0,"guanya sorra",G18*'7. Erosió de costa'!$C$86/1000000),"")</f>
        <v>2.8644452054794525</v>
      </c>
      <c r="I18" s="937">
        <f>IFERROR(IF(('A. Dades de partida'!$D$10*G18*'7. Erosió de costa'!$C$86/1000000)&lt;0,"guanya sorra",'A. Dades de partida'!$D$10*G18*'7. Erosió de costa'!$C$86/1000000),"")</f>
        <v>42.966678082191791</v>
      </c>
      <c r="J18" s="931">
        <f>E18</f>
        <v>-2.33</v>
      </c>
      <c r="K18" s="931">
        <f>IF($J18&gt;0, $J18-($J18*'7. Erosió de costa'!D$140*'7. Erosió de costa'!$D$111),$J18+($J18*'7. Erosió de costa'!D$140*'7. Erosió de costa'!$D$111))</f>
        <v>-2.3748955505279037</v>
      </c>
      <c r="L18" s="931">
        <f>IF($J18&gt;0, $J18-($J18*'7. Erosió de costa'!E$140*'7. Erosió de costa'!$D$111),$J18+($J18*'7. Erosió de costa'!E$140*'7. Erosió de costa'!$D$111))</f>
        <v>-2.4197911010558069</v>
      </c>
      <c r="M18" s="931">
        <f>IF($J18&gt;0, $J18-($J18*'7. Erosió de costa'!F$140*'7. Erosió de costa'!$D$111),$J18+($J18*'7. Erosió de costa'!F$140*'7. Erosió de costa'!$D$111))</f>
        <v>-2.4646866515837105</v>
      </c>
      <c r="N18" s="931">
        <f>IF($J18&gt;0, $J18-($J18*'7. Erosió de costa'!G$140*'7. Erosió de costa'!$D$111),$J18+($J18*'7. Erosió de costa'!G$140*'7. Erosió de costa'!$D$111))</f>
        <v>-2.5095822021116141</v>
      </c>
      <c r="O18" s="931">
        <f>IF($J18&gt;0, $J18-($J18*'7. Erosió de costa'!H$140*'7. Erosió de costa'!$D$111),$J18+($J18*'7. Erosió de costa'!H$140*'7. Erosió de costa'!$D$111))</f>
        <v>-2.5544777526395173</v>
      </c>
      <c r="P18" s="931">
        <f>IF($J18&gt;0, $J18-($J18*'7. Erosió de costa'!I$140*'7. Erosió de costa'!$D$111),$J18+($J18*'7. Erosió de costa'!I$140*'7. Erosió de costa'!$D$111))</f>
        <v>-2.5993733031674209</v>
      </c>
      <c r="Q18" s="931">
        <f>IF($J18&gt;0, $J18-($J18*'7. Erosió de costa'!J$140*'7. Erosió de costa'!$D$111),$J18+($J18*'7. Erosió de costa'!J$140*'7. Erosió de costa'!$D$111))</f>
        <v>-2.6442688536953245</v>
      </c>
      <c r="R18" s="931">
        <f>IF($J18&gt;0, $J18-($J18*'7. Erosió de costa'!K$140*'7. Erosió de costa'!$D$111),$J18+($J18*'7. Erosió de costa'!K$140*'7. Erosió de costa'!$D$111))</f>
        <v>-2.6891644042232277</v>
      </c>
      <c r="S18" s="931">
        <f>IF($J18&gt;0, $J18-($J18*'7. Erosió de costa'!L$140*'7. Erosió de costa'!$D$111),$J18+($J18*'7. Erosió de costa'!L$140*'7. Erosió de costa'!$D$111))</f>
        <v>-2.7340599547511313</v>
      </c>
      <c r="T18" s="931">
        <f>IF($J18&gt;0, $J18-($J18*'7. Erosió de costa'!M$140*'7. Erosió de costa'!$D$111),$J18+($J18*'7. Erosió de costa'!M$140*'7. Erosió de costa'!$D$111))</f>
        <v>-2.7789555052790349</v>
      </c>
      <c r="U18" s="931">
        <f>IF($J18&gt;0, $J18-($J18*'7. Erosió de costa'!N$140*'7. Erosió de costa'!$D$111),$J18+($J18*'7. Erosió de costa'!N$140*'7. Erosió de costa'!$D$111))</f>
        <v>-2.8238510558069381</v>
      </c>
      <c r="V18" s="931">
        <f>IF($J18&gt;0, $J18-($J18*'7. Erosió de costa'!O$140*'7. Erosió de costa'!$D$111),$J18+($J18*'7. Erosió de costa'!O$140*'7. Erosió de costa'!$D$111))</f>
        <v>-2.8687466063348417</v>
      </c>
      <c r="W18" s="931">
        <f>IF($J18&gt;0, $J18-($J18*'7. Erosió de costa'!P$140*'7. Erosió de costa'!$D$111),$J18+($J18*'7. Erosió de costa'!P$140*'7. Erosió de costa'!$D$111))</f>
        <v>-2.9136421568627453</v>
      </c>
      <c r="X18" s="931">
        <f>IF($J18&gt;0, $J18-($J18*'7. Erosió de costa'!Q$140*'7. Erosió de costa'!$D$111),$J18+($J18*'7. Erosió de costa'!Q$140*'7. Erosió de costa'!$D$111))</f>
        <v>-2.9585377073906485</v>
      </c>
      <c r="Y18" s="931">
        <f>IF($J18&gt;0, $J18-($J18*'7. Erosió de costa'!R$140*'7. Erosió de costa'!$D$111),$J18+($J18*'7. Erosió de costa'!R$140*'7. Erosió de costa'!$D$111))</f>
        <v>-3.0034332579185521</v>
      </c>
      <c r="Z18" s="941">
        <f t="shared" si="6"/>
        <v>86801.369863013708</v>
      </c>
      <c r="AA18" s="941">
        <f t="shared" si="7"/>
        <v>88473.900028926219</v>
      </c>
      <c r="AB18" s="941">
        <f t="shared" si="8"/>
        <v>90146.430194838744</v>
      </c>
      <c r="AC18" s="941">
        <f t="shared" si="9"/>
        <v>91818.960360751254</v>
      </c>
      <c r="AD18" s="941">
        <f t="shared" si="10"/>
        <v>93491.49052666378</v>
      </c>
      <c r="AE18" s="941">
        <f t="shared" si="11"/>
        <v>95164.02069257629</v>
      </c>
      <c r="AF18" s="941">
        <f t="shared" si="12"/>
        <v>96836.550858488816</v>
      </c>
      <c r="AG18" s="941">
        <f t="shared" si="13"/>
        <v>98509.081024401341</v>
      </c>
      <c r="AH18" s="941">
        <f t="shared" si="14"/>
        <v>100181.61119031385</v>
      </c>
      <c r="AI18" s="941">
        <f t="shared" si="15"/>
        <v>101854.14135622636</v>
      </c>
      <c r="AJ18" s="941">
        <f t="shared" si="16"/>
        <v>103526.6715221389</v>
      </c>
      <c r="AK18" s="941">
        <f t="shared" si="17"/>
        <v>105199.2016880514</v>
      </c>
      <c r="AL18" s="941">
        <f t="shared" si="18"/>
        <v>106871.73185396392</v>
      </c>
      <c r="AM18" s="941">
        <f t="shared" si="19"/>
        <v>108544.26201987645</v>
      </c>
      <c r="AN18" s="941">
        <f t="shared" si="20"/>
        <v>110216.79218578896</v>
      </c>
      <c r="AO18" s="941">
        <f t="shared" si="21"/>
        <v>111889.32235170147</v>
      </c>
      <c r="AP18" s="895">
        <f>IF(AO18&lt;0,"No hi ha pèrdua",IFERROR(SUM(AA18:AO18)*'7. Erosió de costa'!$C$86/1000000,""))</f>
        <v>49.58989753920536</v>
      </c>
    </row>
    <row r="19" spans="1:42">
      <c r="A19" s="835">
        <v>8016</v>
      </c>
      <c r="B19" s="826" t="s">
        <v>807</v>
      </c>
      <c r="C19" s="835" t="str">
        <f t="shared" si="0"/>
        <v>NA</v>
      </c>
      <c r="D19" s="923" t="str">
        <f t="shared" si="1"/>
        <v>NA</v>
      </c>
      <c r="E19" s="931" t="str">
        <f t="shared" si="2"/>
        <v>NA</v>
      </c>
      <c r="F19" s="926" t="str">
        <f t="shared" si="3"/>
        <v>NA</v>
      </c>
      <c r="G19" s="923" t="str">
        <f t="shared" si="5"/>
        <v>NA</v>
      </c>
      <c r="H19" s="931" t="str">
        <f>IFERROR(IF((G19*'7. Erosió de costa'!$C$86/1000000)&lt;0,"guanya sorra",G19*'7. Erosió de costa'!$C$86/1000000),"")</f>
        <v/>
      </c>
      <c r="I19" s="937" t="str">
        <f>IFERROR(IF(('A. Dades de partida'!$D$10*G19*'7. Erosió de costa'!$C$86/1000000)&lt;0,"guanya sorra",'A. Dades de partida'!$D$10*G19*'7. Erosió de costa'!$C$86/1000000),"")</f>
        <v/>
      </c>
      <c r="J19" s="923"/>
      <c r="K19" s="923"/>
      <c r="L19" s="923"/>
      <c r="M19" s="923"/>
      <c r="N19" s="923"/>
      <c r="O19"/>
      <c r="P19"/>
      <c r="Q19"/>
      <c r="R19"/>
      <c r="S19"/>
      <c r="T19"/>
      <c r="U19"/>
      <c r="V19"/>
      <c r="W19"/>
      <c r="X19"/>
      <c r="Y19"/>
      <c r="Z19" s="941" t="str">
        <f t="shared" si="6"/>
        <v/>
      </c>
      <c r="AA19" s="941" t="str">
        <f t="shared" si="7"/>
        <v/>
      </c>
      <c r="AB19" s="941" t="str">
        <f t="shared" si="8"/>
        <v/>
      </c>
      <c r="AC19" s="941" t="str">
        <f t="shared" si="9"/>
        <v/>
      </c>
      <c r="AD19" s="941" t="str">
        <f t="shared" si="10"/>
        <v/>
      </c>
      <c r="AE19" s="941" t="str">
        <f t="shared" si="11"/>
        <v/>
      </c>
      <c r="AF19" s="941" t="str">
        <f t="shared" si="12"/>
        <v/>
      </c>
      <c r="AG19" s="941" t="str">
        <f t="shared" si="13"/>
        <v/>
      </c>
      <c r="AH19" s="941" t="str">
        <f t="shared" si="14"/>
        <v/>
      </c>
      <c r="AI19" s="941" t="str">
        <f t="shared" si="15"/>
        <v/>
      </c>
      <c r="AJ19" s="941" t="str">
        <f t="shared" si="16"/>
        <v/>
      </c>
      <c r="AK19" s="941" t="str">
        <f t="shared" si="17"/>
        <v/>
      </c>
      <c r="AL19" s="941" t="str">
        <f t="shared" si="18"/>
        <v/>
      </c>
      <c r="AM19" s="941" t="str">
        <f t="shared" si="19"/>
        <v/>
      </c>
      <c r="AN19" s="941" t="str">
        <f t="shared" si="20"/>
        <v/>
      </c>
      <c r="AO19" s="941" t="str">
        <f t="shared" si="21"/>
        <v/>
      </c>
      <c r="AP19" s="895">
        <f>IF(AO19&lt;0,"No hi ha pèrdua",IFERROR(SUM(AA19:AO19)*'7. Erosió de costa'!$C$86/1000000,""))</f>
        <v>0</v>
      </c>
    </row>
    <row r="20" spans="1:42">
      <c r="A20" s="835">
        <v>8017</v>
      </c>
      <c r="B20" s="826" t="s">
        <v>812</v>
      </c>
      <c r="C20" s="835" t="str">
        <f t="shared" si="0"/>
        <v>NA</v>
      </c>
      <c r="D20" s="923" t="str">
        <f t="shared" si="1"/>
        <v>NA</v>
      </c>
      <c r="E20" s="931" t="str">
        <f t="shared" si="2"/>
        <v>NA</v>
      </c>
      <c r="F20" s="926" t="str">
        <f t="shared" si="3"/>
        <v>NA</v>
      </c>
      <c r="G20" s="923" t="str">
        <f t="shared" si="5"/>
        <v>NA</v>
      </c>
      <c r="H20" s="931" t="str">
        <f>IFERROR(IF((G20*'7. Erosió de costa'!$C$86/1000000)&lt;0,"guanya sorra",G20*'7. Erosió de costa'!$C$86/1000000),"")</f>
        <v/>
      </c>
      <c r="I20" s="937" t="str">
        <f>IFERROR(IF(('A. Dades de partida'!$D$10*G20*'7. Erosió de costa'!$C$86/1000000)&lt;0,"guanya sorra",'A. Dades de partida'!$D$10*G20*'7. Erosió de costa'!$C$86/1000000),"")</f>
        <v/>
      </c>
      <c r="J20" s="923"/>
      <c r="K20" s="923"/>
      <c r="L20" s="923"/>
      <c r="M20" s="923"/>
      <c r="N20" s="923"/>
      <c r="O20"/>
      <c r="P20"/>
      <c r="Q20"/>
      <c r="R20"/>
      <c r="S20"/>
      <c r="T20"/>
      <c r="U20"/>
      <c r="V20"/>
      <c r="W20"/>
      <c r="X20"/>
      <c r="Y20"/>
      <c r="Z20" s="941" t="str">
        <f t="shared" si="6"/>
        <v/>
      </c>
      <c r="AA20" s="941" t="str">
        <f t="shared" si="7"/>
        <v/>
      </c>
      <c r="AB20" s="941" t="str">
        <f t="shared" si="8"/>
        <v/>
      </c>
      <c r="AC20" s="941" t="str">
        <f t="shared" si="9"/>
        <v/>
      </c>
      <c r="AD20" s="941" t="str">
        <f t="shared" si="10"/>
        <v/>
      </c>
      <c r="AE20" s="941" t="str">
        <f t="shared" si="11"/>
        <v/>
      </c>
      <c r="AF20" s="941" t="str">
        <f t="shared" si="12"/>
        <v/>
      </c>
      <c r="AG20" s="941" t="str">
        <f t="shared" si="13"/>
        <v/>
      </c>
      <c r="AH20" s="941" t="str">
        <f t="shared" si="14"/>
        <v/>
      </c>
      <c r="AI20" s="941" t="str">
        <f t="shared" si="15"/>
        <v/>
      </c>
      <c r="AJ20" s="941" t="str">
        <f t="shared" si="16"/>
        <v/>
      </c>
      <c r="AK20" s="941" t="str">
        <f t="shared" si="17"/>
        <v/>
      </c>
      <c r="AL20" s="941" t="str">
        <f t="shared" si="18"/>
        <v/>
      </c>
      <c r="AM20" s="941" t="str">
        <f t="shared" si="19"/>
        <v/>
      </c>
      <c r="AN20" s="941" t="str">
        <f t="shared" si="20"/>
        <v/>
      </c>
      <c r="AO20" s="941" t="str">
        <f t="shared" si="21"/>
        <v/>
      </c>
      <c r="AP20" s="895">
        <f>IF(AO20&lt;0,"No hi ha pèrdua",IFERROR(SUM(AA20:AO20)*'7. Erosió de costa'!$C$86/1000000,""))</f>
        <v>0</v>
      </c>
    </row>
    <row r="21" spans="1:42">
      <c r="A21" s="835">
        <v>8018</v>
      </c>
      <c r="B21" s="826" t="s">
        <v>817</v>
      </c>
      <c r="C21" s="835" t="str">
        <f t="shared" si="0"/>
        <v>NA</v>
      </c>
      <c r="D21" s="923" t="str">
        <f t="shared" si="1"/>
        <v>NA</v>
      </c>
      <c r="E21" s="931" t="str">
        <f t="shared" si="2"/>
        <v>NA</v>
      </c>
      <c r="F21" s="926" t="str">
        <f t="shared" si="3"/>
        <v>NA</v>
      </c>
      <c r="G21" s="923" t="str">
        <f t="shared" si="5"/>
        <v>NA</v>
      </c>
      <c r="H21" s="931" t="str">
        <f>IFERROR(IF((G21*'7. Erosió de costa'!$C$86/1000000)&lt;0,"guanya sorra",G21*'7. Erosió de costa'!$C$86/1000000),"")</f>
        <v/>
      </c>
      <c r="I21" s="937" t="str">
        <f>IFERROR(IF(('A. Dades de partida'!$D$10*G21*'7. Erosió de costa'!$C$86/1000000)&lt;0,"guanya sorra",'A. Dades de partida'!$D$10*G21*'7. Erosió de costa'!$C$86/1000000),"")</f>
        <v/>
      </c>
      <c r="J21" s="923"/>
      <c r="K21" s="923"/>
      <c r="L21" s="923"/>
      <c r="M21" s="923"/>
      <c r="N21" s="923"/>
      <c r="O21"/>
      <c r="P21"/>
      <c r="Q21"/>
      <c r="R21"/>
      <c r="S21"/>
      <c r="T21"/>
      <c r="U21"/>
      <c r="V21"/>
      <c r="W21"/>
      <c r="X21"/>
      <c r="Y21"/>
      <c r="Z21" s="941" t="str">
        <f t="shared" si="6"/>
        <v/>
      </c>
      <c r="AA21" s="941" t="str">
        <f t="shared" si="7"/>
        <v/>
      </c>
      <c r="AB21" s="941" t="str">
        <f t="shared" si="8"/>
        <v/>
      </c>
      <c r="AC21" s="941" t="str">
        <f t="shared" si="9"/>
        <v/>
      </c>
      <c r="AD21" s="941" t="str">
        <f t="shared" si="10"/>
        <v/>
      </c>
      <c r="AE21" s="941" t="str">
        <f t="shared" si="11"/>
        <v/>
      </c>
      <c r="AF21" s="941" t="str">
        <f t="shared" si="12"/>
        <v/>
      </c>
      <c r="AG21" s="941" t="str">
        <f t="shared" si="13"/>
        <v/>
      </c>
      <c r="AH21" s="941" t="str">
        <f t="shared" si="14"/>
        <v/>
      </c>
      <c r="AI21" s="941" t="str">
        <f t="shared" si="15"/>
        <v/>
      </c>
      <c r="AJ21" s="941" t="str">
        <f t="shared" si="16"/>
        <v/>
      </c>
      <c r="AK21" s="941" t="str">
        <f t="shared" si="17"/>
        <v/>
      </c>
      <c r="AL21" s="941" t="str">
        <f t="shared" si="18"/>
        <v/>
      </c>
      <c r="AM21" s="941" t="str">
        <f t="shared" si="19"/>
        <v/>
      </c>
      <c r="AN21" s="941" t="str">
        <f t="shared" si="20"/>
        <v/>
      </c>
      <c r="AO21" s="941" t="str">
        <f t="shared" si="21"/>
        <v/>
      </c>
      <c r="AP21" s="895">
        <f>IF(AO21&lt;0,"No hi ha pèrdua",IFERROR(SUM(AA21:AO21)*'7. Erosió de costa'!$C$86/1000000,""))</f>
        <v>0</v>
      </c>
    </row>
    <row r="22" spans="1:42">
      <c r="A22" s="835">
        <v>8019</v>
      </c>
      <c r="B22" s="826" t="s">
        <v>331</v>
      </c>
      <c r="C22" s="835">
        <f t="shared" si="0"/>
        <v>9</v>
      </c>
      <c r="D22" s="923">
        <f t="shared" si="1"/>
        <v>4200</v>
      </c>
      <c r="E22" s="931">
        <f t="shared" si="2"/>
        <v>-1.93</v>
      </c>
      <c r="F22" s="926">
        <f t="shared" si="3"/>
        <v>8.7684336388999604</v>
      </c>
      <c r="G22" s="923">
        <f t="shared" si="5"/>
        <v>71076.923076923078</v>
      </c>
      <c r="H22" s="931">
        <f>IFERROR(IF((G22*'7. Erosió de costa'!$C$86/1000000)&lt;0,"guanya sorra",G22*'7. Erosió de costa'!$C$86/1000000),"")</f>
        <v>2.3455384615384616</v>
      </c>
      <c r="I22" s="937">
        <f>IFERROR(IF(('A. Dades de partida'!$D$10*G22*'7. Erosió de costa'!$C$86/1000000)&lt;0,"guanya sorra",'A. Dades de partida'!$D$10*G22*'7. Erosió de costa'!$C$86/1000000),"")</f>
        <v>35.183076923076925</v>
      </c>
      <c r="J22" s="931">
        <f>E22</f>
        <v>-1.93</v>
      </c>
      <c r="K22" s="931">
        <f>IF($J22&gt;0, $J22-($J22*'7. Erosió de costa'!D$140*'7. Erosió de costa'!$D$111),$J22+($J22*'7. Erosió de costa'!D$140*'7. Erosió de costa'!$D$111))</f>
        <v>-1.9671881598793364</v>
      </c>
      <c r="L22" s="931">
        <f>IF($J22&gt;0, $J22-($J22*'7. Erosió de costa'!E$140*'7. Erosió de costa'!$D$111),$J22+($J22*'7. Erosió de costa'!E$140*'7. Erosió de costa'!$D$111))</f>
        <v>-2.0043763197586726</v>
      </c>
      <c r="M22" s="931">
        <f>IF($J22&gt;0, $J22-($J22*'7. Erosió de costa'!F$140*'7. Erosió de costa'!$D$111),$J22+($J22*'7. Erosió de costa'!F$140*'7. Erosió de costa'!$D$111))</f>
        <v>-2.041564479638009</v>
      </c>
      <c r="N22" s="931">
        <f>IF($J22&gt;0, $J22-($J22*'7. Erosió de costa'!G$140*'7. Erosió de costa'!$D$111),$J22+($J22*'7. Erosió de costa'!G$140*'7. Erosió de costa'!$D$111))</f>
        <v>-2.0787526395173455</v>
      </c>
      <c r="O22" s="931">
        <f>IF($J22&gt;0, $J22-($J22*'7. Erosió de costa'!H$140*'7. Erosió de costa'!$D$111),$J22+($J22*'7. Erosió de costa'!H$140*'7. Erosió de costa'!$D$111))</f>
        <v>-2.1159407993966814</v>
      </c>
      <c r="P22" s="931">
        <f>IF($J22&gt;0, $J22-($J22*'7. Erosió de costa'!I$140*'7. Erosió de costa'!$D$111),$J22+($J22*'7. Erosió de costa'!I$140*'7. Erosió de costa'!$D$111))</f>
        <v>-2.1531289592760179</v>
      </c>
      <c r="Q22" s="931">
        <f>IF($J22&gt;0, $J22-($J22*'7. Erosió de costa'!J$140*'7. Erosió de costa'!$D$111),$J22+($J22*'7. Erosió de costa'!J$140*'7. Erosió de costa'!$D$111))</f>
        <v>-2.1903171191553543</v>
      </c>
      <c r="R22" s="931">
        <f>IF($J22&gt;0, $J22-($J22*'7. Erosió de costa'!K$140*'7. Erosió de costa'!$D$111),$J22+($J22*'7. Erosió de costa'!K$140*'7. Erosió de costa'!$D$111))</f>
        <v>-2.2275052790346908</v>
      </c>
      <c r="S22" s="931">
        <f>IF($J22&gt;0, $J22-($J22*'7. Erosió de costa'!L$140*'7. Erosió de costa'!$D$111),$J22+($J22*'7. Erosió de costa'!L$140*'7. Erosió de costa'!$D$111))</f>
        <v>-2.2646934389140272</v>
      </c>
      <c r="T22" s="931">
        <f>IF($J22&gt;0, $J22-($J22*'7. Erosió de costa'!M$140*'7. Erosió de costa'!$D$111),$J22+($J22*'7. Erosió de costa'!M$140*'7. Erosió de costa'!$D$111))</f>
        <v>-2.3018815987933632</v>
      </c>
      <c r="U22" s="931">
        <f>IF($J22&gt;0, $J22-($J22*'7. Erosió de costa'!N$140*'7. Erosió de costa'!$D$111),$J22+($J22*'7. Erosió de costa'!N$140*'7. Erosió de costa'!$D$111))</f>
        <v>-2.3390697586726996</v>
      </c>
      <c r="V22" s="931">
        <f>IF($J22&gt;0, $J22-($J22*'7. Erosió de costa'!O$140*'7. Erosió de costa'!$D$111),$J22+($J22*'7. Erosió de costa'!O$140*'7. Erosió de costa'!$D$111))</f>
        <v>-2.3762579185520361</v>
      </c>
      <c r="W22" s="931">
        <f>IF($J22&gt;0, $J22-($J22*'7. Erosió de costa'!P$140*'7. Erosió de costa'!$D$111),$J22+($J22*'7. Erosió de costa'!P$140*'7. Erosió de costa'!$D$111))</f>
        <v>-2.4134460784313725</v>
      </c>
      <c r="X22" s="931">
        <f>IF($J22&gt;0, $J22-($J22*'7. Erosió de costa'!Q$140*'7. Erosió de costa'!$D$111),$J22+($J22*'7. Erosió de costa'!Q$140*'7. Erosió de costa'!$D$111))</f>
        <v>-2.4506342383107089</v>
      </c>
      <c r="Y22" s="931">
        <f>IF($J22&gt;0, $J22-($J22*'7. Erosió de costa'!R$140*'7. Erosió de costa'!$D$111),$J22+($J22*'7. Erosió de costa'!R$140*'7. Erosió de costa'!$D$111))</f>
        <v>-2.4878223981900449</v>
      </c>
      <c r="Z22" s="941">
        <f t="shared" si="6"/>
        <v>71076.923076923078</v>
      </c>
      <c r="AA22" s="941">
        <f t="shared" si="7"/>
        <v>72446.467107553079</v>
      </c>
      <c r="AB22" s="941">
        <f t="shared" si="8"/>
        <v>73816.011138183079</v>
      </c>
      <c r="AC22" s="941">
        <f t="shared" si="9"/>
        <v>75185.55516881308</v>
      </c>
      <c r="AD22" s="941">
        <f t="shared" si="10"/>
        <v>76555.099199443095</v>
      </c>
      <c r="AE22" s="941">
        <f t="shared" si="11"/>
        <v>77924.643230073081</v>
      </c>
      <c r="AF22" s="941">
        <f t="shared" si="12"/>
        <v>79294.187260703082</v>
      </c>
      <c r="AG22" s="941">
        <f t="shared" si="13"/>
        <v>80663.731291333097</v>
      </c>
      <c r="AH22" s="941">
        <f t="shared" si="14"/>
        <v>82033.275321963098</v>
      </c>
      <c r="AI22" s="941">
        <f t="shared" si="15"/>
        <v>83402.819352593098</v>
      </c>
      <c r="AJ22" s="941">
        <f t="shared" si="16"/>
        <v>84772.363383223099</v>
      </c>
      <c r="AK22" s="941">
        <f t="shared" si="17"/>
        <v>86141.9074138531</v>
      </c>
      <c r="AL22" s="941">
        <f t="shared" si="18"/>
        <v>87511.451444483115</v>
      </c>
      <c r="AM22" s="941">
        <f t="shared" si="19"/>
        <v>88880.995475113115</v>
      </c>
      <c r="AN22" s="941">
        <f t="shared" si="20"/>
        <v>90250.539505743116</v>
      </c>
      <c r="AO22" s="941">
        <f t="shared" si="21"/>
        <v>91620.083536373117</v>
      </c>
      <c r="AP22" s="895">
        <f>IF(AO22&lt;0,"No hi ha pèrdua",IFERROR(SUM(AA22:AO22)*'7. Erosió de costa'!$C$86/1000000,""))</f>
        <v>40.606471284371743</v>
      </c>
    </row>
    <row r="23" spans="1:42">
      <c r="A23" s="835">
        <v>8020</v>
      </c>
      <c r="B23" s="826" t="s">
        <v>825</v>
      </c>
      <c r="C23" s="835" t="str">
        <f t="shared" si="0"/>
        <v>NA</v>
      </c>
      <c r="D23" s="923" t="str">
        <f t="shared" si="1"/>
        <v>NA</v>
      </c>
      <c r="E23" s="931" t="str">
        <f t="shared" si="2"/>
        <v>NA</v>
      </c>
      <c r="F23" s="926" t="str">
        <f t="shared" si="3"/>
        <v>NA</v>
      </c>
      <c r="G23" s="923" t="str">
        <f t="shared" si="5"/>
        <v>NA</v>
      </c>
      <c r="H23" s="931" t="str">
        <f>IFERROR(IF((G23*'7. Erosió de costa'!$C$86/1000000)&lt;0,"guanya sorra",G23*'7. Erosió de costa'!$C$86/1000000),"")</f>
        <v/>
      </c>
      <c r="I23" s="937" t="str">
        <f>IFERROR(IF(('A. Dades de partida'!$D$10*G23*'7. Erosió de costa'!$C$86/1000000)&lt;0,"guanya sorra",'A. Dades de partida'!$D$10*G23*'7. Erosió de costa'!$C$86/1000000),"")</f>
        <v/>
      </c>
      <c r="J23" s="931"/>
      <c r="K23" s="931"/>
      <c r="L23" s="931"/>
      <c r="M23" s="931"/>
      <c r="N23" s="931"/>
      <c r="O23" s="931"/>
      <c r="P23" s="931"/>
      <c r="Q23" s="931"/>
      <c r="R23" s="931"/>
      <c r="S23" s="931"/>
      <c r="T23" s="931"/>
      <c r="U23" s="931"/>
      <c r="V23" s="931"/>
      <c r="W23" s="931"/>
      <c r="X23" s="931"/>
      <c r="Y23" s="931"/>
      <c r="Z23" s="941" t="str">
        <f t="shared" si="6"/>
        <v/>
      </c>
      <c r="AA23" s="941" t="str">
        <f t="shared" si="7"/>
        <v/>
      </c>
      <c r="AB23" s="941" t="str">
        <f t="shared" si="8"/>
        <v/>
      </c>
      <c r="AC23" s="941" t="str">
        <f t="shared" si="9"/>
        <v/>
      </c>
      <c r="AD23" s="941" t="str">
        <f t="shared" si="10"/>
        <v/>
      </c>
      <c r="AE23" s="941" t="str">
        <f t="shared" si="11"/>
        <v/>
      </c>
      <c r="AF23" s="941" t="str">
        <f t="shared" si="12"/>
        <v/>
      </c>
      <c r="AG23" s="941" t="str">
        <f t="shared" si="13"/>
        <v/>
      </c>
      <c r="AH23" s="941" t="str">
        <f t="shared" si="14"/>
        <v/>
      </c>
      <c r="AI23" s="941" t="str">
        <f t="shared" si="15"/>
        <v/>
      </c>
      <c r="AJ23" s="941" t="str">
        <f t="shared" si="16"/>
        <v/>
      </c>
      <c r="AK23" s="941" t="str">
        <f t="shared" si="17"/>
        <v/>
      </c>
      <c r="AL23" s="941" t="str">
        <f t="shared" si="18"/>
        <v/>
      </c>
      <c r="AM23" s="941" t="str">
        <f t="shared" si="19"/>
        <v/>
      </c>
      <c r="AN23" s="941" t="str">
        <f t="shared" si="20"/>
        <v/>
      </c>
      <c r="AO23" s="941" t="str">
        <f t="shared" si="21"/>
        <v/>
      </c>
      <c r="AP23" s="895">
        <f>IF(AO23&lt;0,"No hi ha pèrdua",IFERROR(SUM(AA23:AO23)*'7. Erosió de costa'!$C$86/1000000,""))</f>
        <v>0</v>
      </c>
    </row>
    <row r="24" spans="1:42">
      <c r="A24" s="835">
        <v>8021</v>
      </c>
      <c r="B24" s="826" t="s">
        <v>829</v>
      </c>
      <c r="C24" s="835" t="str">
        <f t="shared" si="0"/>
        <v>NA</v>
      </c>
      <c r="D24" s="923" t="str">
        <f t="shared" si="1"/>
        <v>NA</v>
      </c>
      <c r="E24" s="931" t="str">
        <f t="shared" si="2"/>
        <v>NA</v>
      </c>
      <c r="F24" s="926" t="str">
        <f t="shared" si="3"/>
        <v>NA</v>
      </c>
      <c r="G24" s="923" t="str">
        <f t="shared" si="5"/>
        <v>NA</v>
      </c>
      <c r="H24" s="931" t="str">
        <f>IFERROR(IF((G24*'7. Erosió de costa'!$C$86/1000000)&lt;0,"guanya sorra",G24*'7. Erosió de costa'!$C$86/1000000),"")</f>
        <v/>
      </c>
      <c r="I24" s="937" t="str">
        <f>IFERROR(IF(('A. Dades de partida'!$D$10*G24*'7. Erosió de costa'!$C$86/1000000)&lt;0,"guanya sorra",'A. Dades de partida'!$D$10*G24*'7. Erosió de costa'!$C$86/1000000),"")</f>
        <v/>
      </c>
      <c r="J24" s="931"/>
      <c r="K24" s="931"/>
      <c r="L24" s="931"/>
      <c r="M24" s="931"/>
      <c r="N24" s="931"/>
      <c r="O24" s="931"/>
      <c r="P24" s="931"/>
      <c r="Q24" s="931"/>
      <c r="R24" s="931"/>
      <c r="S24" s="931"/>
      <c r="T24" s="931"/>
      <c r="U24" s="931"/>
      <c r="V24" s="931"/>
      <c r="W24" s="931"/>
      <c r="X24" s="931"/>
      <c r="Y24" s="931"/>
      <c r="Z24" s="941" t="str">
        <f t="shared" si="6"/>
        <v/>
      </c>
      <c r="AA24" s="941" t="str">
        <f t="shared" si="7"/>
        <v/>
      </c>
      <c r="AB24" s="941" t="str">
        <f t="shared" si="8"/>
        <v/>
      </c>
      <c r="AC24" s="941" t="str">
        <f t="shared" si="9"/>
        <v/>
      </c>
      <c r="AD24" s="941" t="str">
        <f t="shared" si="10"/>
        <v/>
      </c>
      <c r="AE24" s="941" t="str">
        <f t="shared" si="11"/>
        <v/>
      </c>
      <c r="AF24" s="941" t="str">
        <f t="shared" si="12"/>
        <v/>
      </c>
      <c r="AG24" s="941" t="str">
        <f t="shared" si="13"/>
        <v/>
      </c>
      <c r="AH24" s="941" t="str">
        <f t="shared" si="14"/>
        <v/>
      </c>
      <c r="AI24" s="941" t="str">
        <f t="shared" si="15"/>
        <v/>
      </c>
      <c r="AJ24" s="941" t="str">
        <f t="shared" si="16"/>
        <v/>
      </c>
      <c r="AK24" s="941" t="str">
        <f t="shared" si="17"/>
        <v/>
      </c>
      <c r="AL24" s="941" t="str">
        <f t="shared" si="18"/>
        <v/>
      </c>
      <c r="AM24" s="941" t="str">
        <f t="shared" si="19"/>
        <v/>
      </c>
      <c r="AN24" s="941" t="str">
        <f t="shared" si="20"/>
        <v/>
      </c>
      <c r="AO24" s="941" t="str">
        <f t="shared" si="21"/>
        <v/>
      </c>
      <c r="AP24" s="895">
        <f>IF(AO24&lt;0,"No hi ha pèrdua",IFERROR(SUM(AA24:AO24)*'7. Erosió de costa'!$C$86/1000000,""))</f>
        <v>0</v>
      </c>
    </row>
    <row r="25" spans="1:42">
      <c r="A25" s="835">
        <v>8022</v>
      </c>
      <c r="B25" s="826" t="s">
        <v>777</v>
      </c>
      <c r="C25" s="835" t="str">
        <f t="shared" si="0"/>
        <v>NA</v>
      </c>
      <c r="D25" s="923" t="str">
        <f t="shared" si="1"/>
        <v>NA</v>
      </c>
      <c r="E25" s="931" t="str">
        <f t="shared" si="2"/>
        <v>NA</v>
      </c>
      <c r="F25" s="926" t="str">
        <f t="shared" si="3"/>
        <v>NA</v>
      </c>
      <c r="G25" s="923" t="str">
        <f t="shared" si="5"/>
        <v>NA</v>
      </c>
      <c r="H25" s="931" t="str">
        <f>IFERROR(IF((G25*'7. Erosió de costa'!$C$86/1000000)&lt;0,"guanya sorra",G25*'7. Erosió de costa'!$C$86/1000000),"")</f>
        <v/>
      </c>
      <c r="I25" s="937" t="str">
        <f>IFERROR(IF(('A. Dades de partida'!$D$10*G25*'7. Erosió de costa'!$C$86/1000000)&lt;0,"guanya sorra",'A. Dades de partida'!$D$10*G25*'7. Erosió de costa'!$C$86/1000000),"")</f>
        <v/>
      </c>
      <c r="J25" s="931"/>
      <c r="K25" s="931"/>
      <c r="L25" s="931"/>
      <c r="M25" s="931"/>
      <c r="N25" s="931"/>
      <c r="O25" s="931"/>
      <c r="P25" s="931"/>
      <c r="Q25" s="931"/>
      <c r="R25" s="931"/>
      <c r="S25" s="931"/>
      <c r="T25" s="931"/>
      <c r="U25" s="931"/>
      <c r="V25" s="931"/>
      <c r="W25" s="931"/>
      <c r="X25" s="931"/>
      <c r="Y25" s="931"/>
      <c r="Z25" s="941" t="str">
        <f t="shared" si="6"/>
        <v/>
      </c>
      <c r="AA25" s="941" t="str">
        <f t="shared" si="7"/>
        <v/>
      </c>
      <c r="AB25" s="941" t="str">
        <f t="shared" si="8"/>
        <v/>
      </c>
      <c r="AC25" s="941" t="str">
        <f t="shared" si="9"/>
        <v/>
      </c>
      <c r="AD25" s="941" t="str">
        <f t="shared" si="10"/>
        <v/>
      </c>
      <c r="AE25" s="941" t="str">
        <f t="shared" si="11"/>
        <v/>
      </c>
      <c r="AF25" s="941" t="str">
        <f t="shared" si="12"/>
        <v/>
      </c>
      <c r="AG25" s="941" t="str">
        <f t="shared" si="13"/>
        <v/>
      </c>
      <c r="AH25" s="941" t="str">
        <f t="shared" si="14"/>
        <v/>
      </c>
      <c r="AI25" s="941" t="str">
        <f t="shared" si="15"/>
        <v/>
      </c>
      <c r="AJ25" s="941" t="str">
        <f t="shared" si="16"/>
        <v/>
      </c>
      <c r="AK25" s="941" t="str">
        <f t="shared" si="17"/>
        <v/>
      </c>
      <c r="AL25" s="941" t="str">
        <f t="shared" si="18"/>
        <v/>
      </c>
      <c r="AM25" s="941" t="str">
        <f t="shared" si="19"/>
        <v/>
      </c>
      <c r="AN25" s="941" t="str">
        <f t="shared" si="20"/>
        <v/>
      </c>
      <c r="AO25" s="941" t="str">
        <f t="shared" si="21"/>
        <v/>
      </c>
      <c r="AP25" s="895">
        <f>IF(AO25&lt;0,"No hi ha pèrdua",IFERROR(SUM(AA25:AO25)*'7. Erosió de costa'!$C$86/1000000,""))</f>
        <v>0</v>
      </c>
    </row>
    <row r="26" spans="1:42">
      <c r="A26" s="835">
        <v>8023</v>
      </c>
      <c r="B26" s="826" t="s">
        <v>838</v>
      </c>
      <c r="C26" s="835" t="str">
        <f t="shared" si="0"/>
        <v>NA</v>
      </c>
      <c r="D26" s="923" t="str">
        <f t="shared" si="1"/>
        <v>NA</v>
      </c>
      <c r="E26" s="931" t="str">
        <f t="shared" si="2"/>
        <v>NA</v>
      </c>
      <c r="F26" s="926" t="str">
        <f t="shared" si="3"/>
        <v>NA</v>
      </c>
      <c r="G26" s="923" t="str">
        <f t="shared" si="5"/>
        <v>NA</v>
      </c>
      <c r="H26" s="931" t="str">
        <f>IFERROR(IF((G26*'7. Erosió de costa'!$C$86/1000000)&lt;0,"guanya sorra",G26*'7. Erosió de costa'!$C$86/1000000),"")</f>
        <v/>
      </c>
      <c r="I26" s="937" t="str">
        <f>IFERROR(IF(('A. Dades de partida'!$D$10*G26*'7. Erosió de costa'!$C$86/1000000)&lt;0,"guanya sorra",'A. Dades de partida'!$D$10*G26*'7. Erosió de costa'!$C$86/1000000),"")</f>
        <v/>
      </c>
      <c r="J26" s="931"/>
      <c r="K26" s="931"/>
      <c r="L26" s="931"/>
      <c r="M26" s="931"/>
      <c r="N26" s="931"/>
      <c r="O26" s="931"/>
      <c r="P26" s="931"/>
      <c r="Q26" s="931"/>
      <c r="R26" s="931"/>
      <c r="S26" s="931"/>
      <c r="T26" s="931"/>
      <c r="U26" s="931"/>
      <c r="V26" s="931"/>
      <c r="W26" s="931"/>
      <c r="X26" s="931"/>
      <c r="Y26" s="931"/>
      <c r="Z26" s="941" t="str">
        <f t="shared" si="6"/>
        <v/>
      </c>
      <c r="AA26" s="941" t="str">
        <f t="shared" si="7"/>
        <v/>
      </c>
      <c r="AB26" s="941" t="str">
        <f t="shared" si="8"/>
        <v/>
      </c>
      <c r="AC26" s="941" t="str">
        <f t="shared" si="9"/>
        <v/>
      </c>
      <c r="AD26" s="941" t="str">
        <f t="shared" si="10"/>
        <v/>
      </c>
      <c r="AE26" s="941" t="str">
        <f t="shared" si="11"/>
        <v/>
      </c>
      <c r="AF26" s="941" t="str">
        <f t="shared" si="12"/>
        <v/>
      </c>
      <c r="AG26" s="941" t="str">
        <f t="shared" si="13"/>
        <v/>
      </c>
      <c r="AH26" s="941" t="str">
        <f t="shared" si="14"/>
        <v/>
      </c>
      <c r="AI26" s="941" t="str">
        <f t="shared" si="15"/>
        <v/>
      </c>
      <c r="AJ26" s="941" t="str">
        <f t="shared" si="16"/>
        <v/>
      </c>
      <c r="AK26" s="941" t="str">
        <f t="shared" si="17"/>
        <v/>
      </c>
      <c r="AL26" s="941" t="str">
        <f t="shared" si="18"/>
        <v/>
      </c>
      <c r="AM26" s="941" t="str">
        <f t="shared" si="19"/>
        <v/>
      </c>
      <c r="AN26" s="941" t="str">
        <f t="shared" si="20"/>
        <v/>
      </c>
      <c r="AO26" s="941" t="str">
        <f t="shared" si="21"/>
        <v/>
      </c>
      <c r="AP26" s="895">
        <f>IF(AO26&lt;0,"No hi ha pèrdua",IFERROR(SUM(AA26:AO26)*'7. Erosió de costa'!$C$86/1000000,""))</f>
        <v>0</v>
      </c>
    </row>
    <row r="27" spans="1:42">
      <c r="A27" s="835">
        <v>8024</v>
      </c>
      <c r="B27" s="826" t="s">
        <v>843</v>
      </c>
      <c r="C27" s="835" t="str">
        <f t="shared" si="0"/>
        <v>NA</v>
      </c>
      <c r="D27" s="923" t="str">
        <f t="shared" si="1"/>
        <v>NA</v>
      </c>
      <c r="E27" s="931" t="str">
        <f t="shared" si="2"/>
        <v>NA</v>
      </c>
      <c r="F27" s="926" t="str">
        <f t="shared" si="3"/>
        <v>NA</v>
      </c>
      <c r="G27" s="923" t="str">
        <f t="shared" si="5"/>
        <v>NA</v>
      </c>
      <c r="H27" s="931" t="str">
        <f>IFERROR(IF((G27*'7. Erosió de costa'!$C$86/1000000)&lt;0,"guanya sorra",G27*'7. Erosió de costa'!$C$86/1000000),"")</f>
        <v/>
      </c>
      <c r="I27" s="937" t="str">
        <f>IFERROR(IF(('A. Dades de partida'!$D$10*G27*'7. Erosió de costa'!$C$86/1000000)&lt;0,"guanya sorra",'A. Dades de partida'!$D$10*G27*'7. Erosió de costa'!$C$86/1000000),"")</f>
        <v/>
      </c>
      <c r="J27" s="931"/>
      <c r="K27" s="931"/>
      <c r="L27" s="931"/>
      <c r="M27" s="931"/>
      <c r="N27" s="931"/>
      <c r="O27" s="931"/>
      <c r="P27" s="931"/>
      <c r="Q27" s="931"/>
      <c r="R27" s="931"/>
      <c r="S27" s="931"/>
      <c r="T27" s="931"/>
      <c r="U27" s="931"/>
      <c r="V27" s="931"/>
      <c r="W27" s="931"/>
      <c r="X27" s="931"/>
      <c r="Y27" s="931"/>
      <c r="Z27" s="941" t="str">
        <f t="shared" si="6"/>
        <v/>
      </c>
      <c r="AA27" s="941" t="str">
        <f t="shared" si="7"/>
        <v/>
      </c>
      <c r="AB27" s="941" t="str">
        <f t="shared" si="8"/>
        <v/>
      </c>
      <c r="AC27" s="941" t="str">
        <f t="shared" si="9"/>
        <v/>
      </c>
      <c r="AD27" s="941" t="str">
        <f t="shared" si="10"/>
        <v/>
      </c>
      <c r="AE27" s="941" t="str">
        <f t="shared" si="11"/>
        <v/>
      </c>
      <c r="AF27" s="941" t="str">
        <f t="shared" si="12"/>
        <v/>
      </c>
      <c r="AG27" s="941" t="str">
        <f t="shared" si="13"/>
        <v/>
      </c>
      <c r="AH27" s="941" t="str">
        <f t="shared" si="14"/>
        <v/>
      </c>
      <c r="AI27" s="941" t="str">
        <f t="shared" si="15"/>
        <v/>
      </c>
      <c r="AJ27" s="941" t="str">
        <f t="shared" si="16"/>
        <v/>
      </c>
      <c r="AK27" s="941" t="str">
        <f t="shared" si="17"/>
        <v/>
      </c>
      <c r="AL27" s="941" t="str">
        <f t="shared" si="18"/>
        <v/>
      </c>
      <c r="AM27" s="941" t="str">
        <f t="shared" si="19"/>
        <v/>
      </c>
      <c r="AN27" s="941" t="str">
        <f t="shared" si="20"/>
        <v/>
      </c>
      <c r="AO27" s="941" t="str">
        <f t="shared" si="21"/>
        <v/>
      </c>
      <c r="AP27" s="895">
        <f>IF(AO27&lt;0,"No hi ha pèrdua",IFERROR(SUM(AA27:AO27)*'7. Erosió de costa'!$C$86/1000000,""))</f>
        <v>0</v>
      </c>
    </row>
    <row r="28" spans="1:42">
      <c r="A28" s="835">
        <v>8025</v>
      </c>
      <c r="B28" s="826" t="s">
        <v>846</v>
      </c>
      <c r="C28" s="835" t="str">
        <f t="shared" si="0"/>
        <v>NA</v>
      </c>
      <c r="D28" s="923" t="str">
        <f t="shared" si="1"/>
        <v>NA</v>
      </c>
      <c r="E28" s="931" t="str">
        <f t="shared" si="2"/>
        <v>NA</v>
      </c>
      <c r="F28" s="926" t="str">
        <f t="shared" si="3"/>
        <v>NA</v>
      </c>
      <c r="G28" s="923" t="str">
        <f t="shared" si="5"/>
        <v>NA</v>
      </c>
      <c r="H28" s="931" t="str">
        <f>IFERROR(IF((G28*'7. Erosió de costa'!$C$86/1000000)&lt;0,"guanya sorra",G28*'7. Erosió de costa'!$C$86/1000000),"")</f>
        <v/>
      </c>
      <c r="I28" s="937" t="str">
        <f>IFERROR(IF(('A. Dades de partida'!$D$10*G28*'7. Erosió de costa'!$C$86/1000000)&lt;0,"guanya sorra",'A. Dades de partida'!$D$10*G28*'7. Erosió de costa'!$C$86/1000000),"")</f>
        <v/>
      </c>
      <c r="J28" s="931"/>
      <c r="K28" s="931"/>
      <c r="L28" s="931"/>
      <c r="M28" s="931"/>
      <c r="N28" s="931"/>
      <c r="O28" s="931"/>
      <c r="P28" s="931"/>
      <c r="Q28" s="931"/>
      <c r="R28" s="931"/>
      <c r="S28" s="931"/>
      <c r="T28" s="931"/>
      <c r="U28" s="931"/>
      <c r="V28" s="931"/>
      <c r="W28" s="931"/>
      <c r="X28" s="931"/>
      <c r="Y28" s="931"/>
      <c r="Z28" s="941" t="str">
        <f t="shared" si="6"/>
        <v/>
      </c>
      <c r="AA28" s="941" t="str">
        <f t="shared" si="7"/>
        <v/>
      </c>
      <c r="AB28" s="941" t="str">
        <f t="shared" si="8"/>
        <v/>
      </c>
      <c r="AC28" s="941" t="str">
        <f t="shared" si="9"/>
        <v/>
      </c>
      <c r="AD28" s="941" t="str">
        <f t="shared" si="10"/>
        <v/>
      </c>
      <c r="AE28" s="941" t="str">
        <f t="shared" si="11"/>
        <v/>
      </c>
      <c r="AF28" s="941" t="str">
        <f t="shared" si="12"/>
        <v/>
      </c>
      <c r="AG28" s="941" t="str">
        <f t="shared" si="13"/>
        <v/>
      </c>
      <c r="AH28" s="941" t="str">
        <f t="shared" si="14"/>
        <v/>
      </c>
      <c r="AI28" s="941" t="str">
        <f t="shared" si="15"/>
        <v/>
      </c>
      <c r="AJ28" s="941" t="str">
        <f t="shared" si="16"/>
        <v/>
      </c>
      <c r="AK28" s="941" t="str">
        <f t="shared" si="17"/>
        <v/>
      </c>
      <c r="AL28" s="941" t="str">
        <f t="shared" si="18"/>
        <v/>
      </c>
      <c r="AM28" s="941" t="str">
        <f t="shared" si="19"/>
        <v/>
      </c>
      <c r="AN28" s="941" t="str">
        <f t="shared" si="20"/>
        <v/>
      </c>
      <c r="AO28" s="941" t="str">
        <f t="shared" si="21"/>
        <v/>
      </c>
      <c r="AP28" s="895">
        <f>IF(AO28&lt;0,"No hi ha pèrdua",IFERROR(SUM(AA28:AO28)*'7. Erosió de costa'!$C$86/1000000,""))</f>
        <v>0</v>
      </c>
    </row>
    <row r="29" spans="1:42">
      <c r="A29" s="835">
        <v>8026</v>
      </c>
      <c r="B29" s="826" t="s">
        <v>850</v>
      </c>
      <c r="C29" s="835" t="str">
        <f t="shared" si="0"/>
        <v>NA</v>
      </c>
      <c r="D29" s="923" t="str">
        <f t="shared" si="1"/>
        <v>NA</v>
      </c>
      <c r="E29" s="931" t="str">
        <f t="shared" si="2"/>
        <v>NA</v>
      </c>
      <c r="F29" s="926" t="str">
        <f t="shared" si="3"/>
        <v>NA</v>
      </c>
      <c r="G29" s="923" t="str">
        <f t="shared" si="5"/>
        <v>NA</v>
      </c>
      <c r="H29" s="931" t="str">
        <f>IFERROR(IF((G29*'7. Erosió de costa'!$C$86/1000000)&lt;0,"guanya sorra",G29*'7. Erosió de costa'!$C$86/1000000),"")</f>
        <v/>
      </c>
      <c r="I29" s="937" t="str">
        <f>IFERROR(IF(('A. Dades de partida'!$D$10*G29*'7. Erosió de costa'!$C$86/1000000)&lt;0,"guanya sorra",'A. Dades de partida'!$D$10*G29*'7. Erosió de costa'!$C$86/1000000),"")</f>
        <v/>
      </c>
      <c r="J29" s="931"/>
      <c r="K29" s="931"/>
      <c r="L29" s="931"/>
      <c r="M29" s="931"/>
      <c r="N29" s="931"/>
      <c r="O29" s="931"/>
      <c r="P29" s="931"/>
      <c r="Q29" s="931"/>
      <c r="R29" s="931"/>
      <c r="S29" s="931"/>
      <c r="T29" s="931"/>
      <c r="U29" s="931"/>
      <c r="V29" s="931"/>
      <c r="W29" s="931"/>
      <c r="X29" s="931"/>
      <c r="Y29" s="931"/>
      <c r="Z29" s="941" t="str">
        <f t="shared" si="6"/>
        <v/>
      </c>
      <c r="AA29" s="941" t="str">
        <f t="shared" si="7"/>
        <v/>
      </c>
      <c r="AB29" s="941" t="str">
        <f t="shared" si="8"/>
        <v/>
      </c>
      <c r="AC29" s="941" t="str">
        <f t="shared" si="9"/>
        <v/>
      </c>
      <c r="AD29" s="941" t="str">
        <f t="shared" si="10"/>
        <v/>
      </c>
      <c r="AE29" s="941" t="str">
        <f t="shared" si="11"/>
        <v/>
      </c>
      <c r="AF29" s="941" t="str">
        <f t="shared" si="12"/>
        <v/>
      </c>
      <c r="AG29" s="941" t="str">
        <f t="shared" si="13"/>
        <v/>
      </c>
      <c r="AH29" s="941" t="str">
        <f t="shared" si="14"/>
        <v/>
      </c>
      <c r="AI29" s="941" t="str">
        <f t="shared" si="15"/>
        <v/>
      </c>
      <c r="AJ29" s="941" t="str">
        <f t="shared" si="16"/>
        <v/>
      </c>
      <c r="AK29" s="941" t="str">
        <f t="shared" si="17"/>
        <v/>
      </c>
      <c r="AL29" s="941" t="str">
        <f t="shared" si="18"/>
        <v/>
      </c>
      <c r="AM29" s="941" t="str">
        <f t="shared" si="19"/>
        <v/>
      </c>
      <c r="AN29" s="941" t="str">
        <f t="shared" si="20"/>
        <v/>
      </c>
      <c r="AO29" s="941" t="str">
        <f t="shared" si="21"/>
        <v/>
      </c>
      <c r="AP29" s="895">
        <f>IF(AO29&lt;0,"No hi ha pèrdua",IFERROR(SUM(AA29:AO29)*'7. Erosió de costa'!$C$86/1000000,""))</f>
        <v>0</v>
      </c>
    </row>
    <row r="30" spans="1:42">
      <c r="A30" s="835">
        <v>8027</v>
      </c>
      <c r="B30" s="826" t="s">
        <v>854</v>
      </c>
      <c r="C30" s="835" t="str">
        <f t="shared" si="0"/>
        <v>NA</v>
      </c>
      <c r="D30" s="923" t="str">
        <f t="shared" si="1"/>
        <v>NA</v>
      </c>
      <c r="E30" s="931" t="str">
        <f t="shared" si="2"/>
        <v>NA</v>
      </c>
      <c r="F30" s="926" t="str">
        <f t="shared" si="3"/>
        <v>NA</v>
      </c>
      <c r="G30" s="923" t="str">
        <f t="shared" si="5"/>
        <v>NA</v>
      </c>
      <c r="H30" s="931" t="str">
        <f>IFERROR(IF((G30*'7. Erosió de costa'!$C$86/1000000)&lt;0,"guanya sorra",G30*'7. Erosió de costa'!$C$86/1000000),"")</f>
        <v/>
      </c>
      <c r="I30" s="937" t="str">
        <f>IFERROR(IF(('A. Dades de partida'!$D$10*G30*'7. Erosió de costa'!$C$86/1000000)&lt;0,"guanya sorra",'A. Dades de partida'!$D$10*G30*'7. Erosió de costa'!$C$86/1000000),"")</f>
        <v/>
      </c>
      <c r="J30" s="931"/>
      <c r="K30" s="931"/>
      <c r="L30" s="931"/>
      <c r="M30" s="931"/>
      <c r="N30" s="931"/>
      <c r="O30" s="931"/>
      <c r="P30" s="931"/>
      <c r="Q30" s="931"/>
      <c r="R30" s="931"/>
      <c r="S30" s="931"/>
      <c r="T30" s="931"/>
      <c r="U30" s="931"/>
      <c r="V30" s="931"/>
      <c r="W30" s="931"/>
      <c r="X30" s="931"/>
      <c r="Y30" s="931"/>
      <c r="Z30" s="941" t="str">
        <f t="shared" si="6"/>
        <v/>
      </c>
      <c r="AA30" s="941" t="str">
        <f t="shared" si="7"/>
        <v/>
      </c>
      <c r="AB30" s="941" t="str">
        <f t="shared" si="8"/>
        <v/>
      </c>
      <c r="AC30" s="941" t="str">
        <f t="shared" si="9"/>
        <v/>
      </c>
      <c r="AD30" s="941" t="str">
        <f t="shared" si="10"/>
        <v/>
      </c>
      <c r="AE30" s="941" t="str">
        <f t="shared" si="11"/>
        <v/>
      </c>
      <c r="AF30" s="941" t="str">
        <f t="shared" si="12"/>
        <v/>
      </c>
      <c r="AG30" s="941" t="str">
        <f t="shared" si="13"/>
        <v/>
      </c>
      <c r="AH30" s="941" t="str">
        <f t="shared" si="14"/>
        <v/>
      </c>
      <c r="AI30" s="941" t="str">
        <f t="shared" si="15"/>
        <v/>
      </c>
      <c r="AJ30" s="941" t="str">
        <f t="shared" si="16"/>
        <v/>
      </c>
      <c r="AK30" s="941" t="str">
        <f t="shared" si="17"/>
        <v/>
      </c>
      <c r="AL30" s="941" t="str">
        <f t="shared" si="18"/>
        <v/>
      </c>
      <c r="AM30" s="941" t="str">
        <f t="shared" si="19"/>
        <v/>
      </c>
      <c r="AN30" s="941" t="str">
        <f t="shared" si="20"/>
        <v/>
      </c>
      <c r="AO30" s="941" t="str">
        <f t="shared" si="21"/>
        <v/>
      </c>
      <c r="AP30" s="895">
        <f>IF(AO30&lt;0,"No hi ha pèrdua",IFERROR(SUM(AA30:AO30)*'7. Erosió de costa'!$C$86/1000000,""))</f>
        <v>0</v>
      </c>
    </row>
    <row r="31" spans="1:42">
      <c r="A31" s="835">
        <v>8028</v>
      </c>
      <c r="B31" s="826" t="s">
        <v>856</v>
      </c>
      <c r="C31" s="835" t="str">
        <f t="shared" si="0"/>
        <v>NA</v>
      </c>
      <c r="D31" s="923" t="str">
        <f t="shared" si="1"/>
        <v>NA</v>
      </c>
      <c r="E31" s="931" t="str">
        <f t="shared" si="2"/>
        <v>NA</v>
      </c>
      <c r="F31" s="926" t="str">
        <f t="shared" si="3"/>
        <v>NA</v>
      </c>
      <c r="G31" s="923" t="str">
        <f t="shared" si="5"/>
        <v>NA</v>
      </c>
      <c r="H31" s="931" t="str">
        <f>IFERROR(IF((G31*'7. Erosió de costa'!$C$86/1000000)&lt;0,"guanya sorra",G31*'7. Erosió de costa'!$C$86/1000000),"")</f>
        <v/>
      </c>
      <c r="I31" s="937" t="str">
        <f>IFERROR(IF(('A. Dades de partida'!$D$10*G31*'7. Erosió de costa'!$C$86/1000000)&lt;0,"guanya sorra",'A. Dades de partida'!$D$10*G31*'7. Erosió de costa'!$C$86/1000000),"")</f>
        <v/>
      </c>
      <c r="J31" s="931"/>
      <c r="K31" s="931"/>
      <c r="L31" s="931"/>
      <c r="M31" s="931"/>
      <c r="N31" s="931"/>
      <c r="O31" s="931"/>
      <c r="P31" s="931"/>
      <c r="Q31" s="931"/>
      <c r="R31" s="931"/>
      <c r="S31" s="931"/>
      <c r="T31" s="931"/>
      <c r="U31" s="931"/>
      <c r="V31" s="931"/>
      <c r="W31" s="931"/>
      <c r="X31" s="931"/>
      <c r="Y31" s="931"/>
      <c r="Z31" s="941" t="str">
        <f t="shared" si="6"/>
        <v/>
      </c>
      <c r="AA31" s="941" t="str">
        <f t="shared" si="7"/>
        <v/>
      </c>
      <c r="AB31" s="941" t="str">
        <f t="shared" si="8"/>
        <v/>
      </c>
      <c r="AC31" s="941" t="str">
        <f t="shared" si="9"/>
        <v/>
      </c>
      <c r="AD31" s="941" t="str">
        <f t="shared" si="10"/>
        <v/>
      </c>
      <c r="AE31" s="941" t="str">
        <f t="shared" si="11"/>
        <v/>
      </c>
      <c r="AF31" s="941" t="str">
        <f t="shared" si="12"/>
        <v/>
      </c>
      <c r="AG31" s="941" t="str">
        <f t="shared" si="13"/>
        <v/>
      </c>
      <c r="AH31" s="941" t="str">
        <f t="shared" si="14"/>
        <v/>
      </c>
      <c r="AI31" s="941" t="str">
        <f t="shared" si="15"/>
        <v/>
      </c>
      <c r="AJ31" s="941" t="str">
        <f t="shared" si="16"/>
        <v/>
      </c>
      <c r="AK31" s="941" t="str">
        <f t="shared" si="17"/>
        <v/>
      </c>
      <c r="AL31" s="941" t="str">
        <f t="shared" si="18"/>
        <v/>
      </c>
      <c r="AM31" s="941" t="str">
        <f t="shared" si="19"/>
        <v/>
      </c>
      <c r="AN31" s="941" t="str">
        <f t="shared" si="20"/>
        <v/>
      </c>
      <c r="AO31" s="941" t="str">
        <f t="shared" si="21"/>
        <v/>
      </c>
      <c r="AP31" s="895">
        <f>IF(AO31&lt;0,"No hi ha pèrdua",IFERROR(SUM(AA31:AO31)*'7. Erosió de costa'!$C$86/1000000,""))</f>
        <v>0</v>
      </c>
    </row>
    <row r="32" spans="1:42">
      <c r="A32" s="835">
        <v>8029</v>
      </c>
      <c r="B32" s="826" t="s">
        <v>336</v>
      </c>
      <c r="C32" s="835">
        <f t="shared" si="0"/>
        <v>12</v>
      </c>
      <c r="D32" s="923">
        <f t="shared" si="1"/>
        <v>900</v>
      </c>
      <c r="E32" s="931">
        <f t="shared" si="2"/>
        <v>-1.1100000000000001</v>
      </c>
      <c r="F32" s="926">
        <f t="shared" si="3"/>
        <v>9.0090090090090076</v>
      </c>
      <c r="G32" s="923">
        <f t="shared" si="5"/>
        <v>9000</v>
      </c>
      <c r="H32" s="931">
        <f>IFERROR(IF((G32*'7. Erosió de costa'!$C$86/1000000)&lt;0,"guanya sorra",G32*'7. Erosió de costa'!$C$86/1000000),"")</f>
        <v>0.29699999999999999</v>
      </c>
      <c r="I32" s="937">
        <f>IFERROR(IF(('A. Dades de partida'!$D$10*G32*'7. Erosió de costa'!$C$86/1000000)&lt;0,"guanya sorra",'A. Dades de partida'!$D$10*G32*'7. Erosió de costa'!$C$86/1000000),"")</f>
        <v>4.4550000000000001</v>
      </c>
      <c r="J32" s="931">
        <f>E32</f>
        <v>-1.1100000000000001</v>
      </c>
      <c r="K32" s="931">
        <f>IF($J32&gt;0, $J32-($J32*'7. Erosió de costa'!D$140*'7. Erosió de costa'!$D$111),$J32+($J32*'7. Erosió de costa'!D$140*'7. Erosió de costa'!$D$111))</f>
        <v>-1.1313880090497739</v>
      </c>
      <c r="L32" s="931">
        <f>IF($J32&gt;0, $J32-($J32*'7. Erosió de costa'!E$140*'7. Erosió de costa'!$D$111),$J32+($J32*'7. Erosió de costa'!E$140*'7. Erosió de costa'!$D$111))</f>
        <v>-1.1527760180995477</v>
      </c>
      <c r="M32" s="931">
        <f>IF($J32&gt;0, $J32-($J32*'7. Erosió de costa'!F$140*'7. Erosió de costa'!$D$111),$J32+($J32*'7. Erosió de costa'!F$140*'7. Erosió de costa'!$D$111))</f>
        <v>-1.1741640271493214</v>
      </c>
      <c r="N32" s="931">
        <f>IF($J32&gt;0, $J32-($J32*'7. Erosió de costa'!G$140*'7. Erosió de costa'!$D$111),$J32+($J32*'7. Erosió de costa'!G$140*'7. Erosió de costa'!$D$111))</f>
        <v>-1.195552036199095</v>
      </c>
      <c r="O32" s="931">
        <f>IF($J32&gt;0, $J32-($J32*'7. Erosió de costa'!H$140*'7. Erosió de costa'!$D$111),$J32+($J32*'7. Erosió de costa'!H$140*'7. Erosió de costa'!$D$111))</f>
        <v>-1.2169400452488688</v>
      </c>
      <c r="P32" s="931">
        <f>IF($J32&gt;0, $J32-($J32*'7. Erosió de costa'!I$140*'7. Erosió de costa'!$D$111),$J32+($J32*'7. Erosió de costa'!I$140*'7. Erosió de costa'!$D$111))</f>
        <v>-1.2383280542986426</v>
      </c>
      <c r="Q32" s="931">
        <f>IF($J32&gt;0, $J32-($J32*'7. Erosió de costa'!J$140*'7. Erosió de costa'!$D$111),$J32+($J32*'7. Erosió de costa'!J$140*'7. Erosió de costa'!$D$111))</f>
        <v>-1.2597160633484163</v>
      </c>
      <c r="R32" s="931">
        <f>IF($J32&gt;0, $J32-($J32*'7. Erosió de costa'!K$140*'7. Erosió de costa'!$D$111),$J32+($J32*'7. Erosió de costa'!K$140*'7. Erosió de costa'!$D$111))</f>
        <v>-1.2811040723981901</v>
      </c>
      <c r="S32" s="931">
        <f>IF($J32&gt;0, $J32-($J32*'7. Erosió de costa'!L$140*'7. Erosió de costa'!$D$111),$J32+($J32*'7. Erosió de costa'!L$140*'7. Erosió de costa'!$D$111))</f>
        <v>-1.3024920814479639</v>
      </c>
      <c r="T32" s="931">
        <f>IF($J32&gt;0, $J32-($J32*'7. Erosió de costa'!M$140*'7. Erosió de costa'!$D$111),$J32+($J32*'7. Erosió de costa'!M$140*'7. Erosió de costa'!$D$111))</f>
        <v>-1.3238800904977377</v>
      </c>
      <c r="U32" s="931">
        <f>IF($J32&gt;0, $J32-($J32*'7. Erosió de costa'!N$140*'7. Erosió de costa'!$D$111),$J32+($J32*'7. Erosió de costa'!N$140*'7. Erosió de costa'!$D$111))</f>
        <v>-1.3452680995475115</v>
      </c>
      <c r="V32" s="931">
        <f>IF($J32&gt;0, $J32-($J32*'7. Erosió de costa'!O$140*'7. Erosió de costa'!$D$111),$J32+($J32*'7. Erosió de costa'!O$140*'7. Erosió de costa'!$D$111))</f>
        <v>-1.3666561085972853</v>
      </c>
      <c r="W32" s="931">
        <f>IF($J32&gt;0, $J32-($J32*'7. Erosió de costa'!P$140*'7. Erosió de costa'!$D$111),$J32+($J32*'7. Erosió de costa'!P$140*'7. Erosió de costa'!$D$111))</f>
        <v>-1.388044117647059</v>
      </c>
      <c r="X32" s="931">
        <f>IF($J32&gt;0, $J32-($J32*'7. Erosió de costa'!Q$140*'7. Erosió de costa'!$D$111),$J32+($J32*'7. Erosió de costa'!Q$140*'7. Erosió de costa'!$D$111))</f>
        <v>-1.4094321266968328</v>
      </c>
      <c r="Y32" s="931">
        <f>IF($J32&gt;0, $J32-($J32*'7. Erosió de costa'!R$140*'7. Erosió de costa'!$D$111),$J32+($J32*'7. Erosió de costa'!R$140*'7. Erosió de costa'!$D$111))</f>
        <v>-1.4308201357466064</v>
      </c>
      <c r="Z32" s="941">
        <f t="shared" si="6"/>
        <v>9000</v>
      </c>
      <c r="AA32" s="941">
        <f t="shared" si="7"/>
        <v>9173.4162895927602</v>
      </c>
      <c r="AB32" s="941">
        <f t="shared" si="8"/>
        <v>9346.8325791855186</v>
      </c>
      <c r="AC32" s="941">
        <f t="shared" si="9"/>
        <v>9520.2488687782807</v>
      </c>
      <c r="AD32" s="941">
        <f t="shared" si="10"/>
        <v>9693.6651583710391</v>
      </c>
      <c r="AE32" s="941">
        <f t="shared" si="11"/>
        <v>9867.0814479637993</v>
      </c>
      <c r="AF32" s="941">
        <f t="shared" si="12"/>
        <v>10040.497737556561</v>
      </c>
      <c r="AG32" s="941">
        <f t="shared" si="13"/>
        <v>10213.91402714932</v>
      </c>
      <c r="AH32" s="941">
        <f t="shared" si="14"/>
        <v>10387.330316742082</v>
      </c>
      <c r="AI32" s="941">
        <f t="shared" si="15"/>
        <v>10560.74660633484</v>
      </c>
      <c r="AJ32" s="941">
        <f t="shared" si="16"/>
        <v>10734.162895927602</v>
      </c>
      <c r="AK32" s="941">
        <f t="shared" si="17"/>
        <v>10907.579185520361</v>
      </c>
      <c r="AL32" s="941">
        <f t="shared" si="18"/>
        <v>11080.995475113123</v>
      </c>
      <c r="AM32" s="941">
        <f t="shared" si="19"/>
        <v>11254.411764705881</v>
      </c>
      <c r="AN32" s="941">
        <f t="shared" si="20"/>
        <v>11427.828054298643</v>
      </c>
      <c r="AO32" s="941">
        <f t="shared" si="21"/>
        <v>11601.2443438914</v>
      </c>
      <c r="AP32" s="895">
        <f>IF(AO32&lt;0,"No hi ha pèrdua",IFERROR(SUM(AA32:AO32)*'7. Erosió de costa'!$C$86/1000000,""))</f>
        <v>5.1417285067873291</v>
      </c>
    </row>
    <row r="33" spans="1:42">
      <c r="A33" s="835">
        <v>8030</v>
      </c>
      <c r="B33" s="826" t="s">
        <v>864</v>
      </c>
      <c r="C33" s="835" t="str">
        <f t="shared" si="0"/>
        <v>NA</v>
      </c>
      <c r="D33" s="923" t="str">
        <f t="shared" si="1"/>
        <v>NA</v>
      </c>
      <c r="E33" s="931" t="str">
        <f t="shared" si="2"/>
        <v>NA</v>
      </c>
      <c r="F33" s="926" t="str">
        <f t="shared" si="3"/>
        <v>NA</v>
      </c>
      <c r="G33" s="923" t="str">
        <f t="shared" si="5"/>
        <v>NA</v>
      </c>
      <c r="H33" s="931" t="str">
        <f>IFERROR(IF((G33*'7. Erosió de costa'!$C$86/1000000)&lt;0,"guanya sorra",G33*'7. Erosió de costa'!$C$86/1000000),"")</f>
        <v/>
      </c>
      <c r="I33" s="937" t="str">
        <f>IFERROR(IF(('A. Dades de partida'!$D$10*G33*'7. Erosió de costa'!$C$86/1000000)&lt;0,"guanya sorra",'A. Dades de partida'!$D$10*G33*'7. Erosió de costa'!$C$86/1000000),"")</f>
        <v/>
      </c>
      <c r="J33" s="931"/>
      <c r="K33" s="931"/>
      <c r="L33" s="931"/>
      <c r="M33" s="931"/>
      <c r="N33" s="931"/>
      <c r="O33" s="931"/>
      <c r="P33" s="931"/>
      <c r="Q33" s="931"/>
      <c r="R33" s="931"/>
      <c r="S33" s="931"/>
      <c r="T33" s="931"/>
      <c r="U33" s="931"/>
      <c r="V33" s="931"/>
      <c r="W33" s="931"/>
      <c r="X33" s="931"/>
      <c r="Y33" s="931"/>
      <c r="Z33" s="941" t="str">
        <f t="shared" si="6"/>
        <v/>
      </c>
      <c r="AA33" s="941" t="str">
        <f t="shared" si="7"/>
        <v/>
      </c>
      <c r="AB33" s="941" t="str">
        <f t="shared" si="8"/>
        <v/>
      </c>
      <c r="AC33" s="941" t="str">
        <f t="shared" si="9"/>
        <v/>
      </c>
      <c r="AD33" s="941" t="str">
        <f t="shared" si="10"/>
        <v/>
      </c>
      <c r="AE33" s="941" t="str">
        <f t="shared" si="11"/>
        <v/>
      </c>
      <c r="AF33" s="941" t="str">
        <f t="shared" si="12"/>
        <v/>
      </c>
      <c r="AG33" s="941" t="str">
        <f t="shared" si="13"/>
        <v/>
      </c>
      <c r="AH33" s="941" t="str">
        <f t="shared" si="14"/>
        <v/>
      </c>
      <c r="AI33" s="941" t="str">
        <f t="shared" si="15"/>
        <v/>
      </c>
      <c r="AJ33" s="941" t="str">
        <f t="shared" si="16"/>
        <v/>
      </c>
      <c r="AK33" s="941" t="str">
        <f t="shared" si="17"/>
        <v/>
      </c>
      <c r="AL33" s="941" t="str">
        <f t="shared" si="18"/>
        <v/>
      </c>
      <c r="AM33" s="941" t="str">
        <f t="shared" si="19"/>
        <v/>
      </c>
      <c r="AN33" s="941" t="str">
        <f t="shared" si="20"/>
        <v/>
      </c>
      <c r="AO33" s="941" t="str">
        <f t="shared" si="21"/>
        <v/>
      </c>
      <c r="AP33" s="895">
        <f>IF(AO33&lt;0,"No hi ha pèrdua",IFERROR(SUM(AA33:AO33)*'7. Erosió de costa'!$C$86/1000000,""))</f>
        <v>0</v>
      </c>
    </row>
    <row r="34" spans="1:42">
      <c r="A34" s="835">
        <v>8031</v>
      </c>
      <c r="B34" s="826" t="s">
        <v>865</v>
      </c>
      <c r="C34" s="835" t="str">
        <f t="shared" si="0"/>
        <v>NA</v>
      </c>
      <c r="D34" s="923" t="str">
        <f t="shared" si="1"/>
        <v>NA</v>
      </c>
      <c r="E34" s="931" t="str">
        <f t="shared" si="2"/>
        <v>NA</v>
      </c>
      <c r="F34" s="926" t="str">
        <f t="shared" si="3"/>
        <v>NA</v>
      </c>
      <c r="G34" s="923" t="str">
        <f t="shared" si="5"/>
        <v>NA</v>
      </c>
      <c r="H34" s="931" t="str">
        <f>IFERROR(IF((G34*'7. Erosió de costa'!$C$86/1000000)&lt;0,"guanya sorra",G34*'7. Erosió de costa'!$C$86/1000000),"")</f>
        <v/>
      </c>
      <c r="I34" s="937" t="str">
        <f>IFERROR(IF(('A. Dades de partida'!$D$10*G34*'7. Erosió de costa'!$C$86/1000000)&lt;0,"guanya sorra",'A. Dades de partida'!$D$10*G34*'7. Erosió de costa'!$C$86/1000000),"")</f>
        <v/>
      </c>
      <c r="J34" s="931"/>
      <c r="K34" s="931"/>
      <c r="L34" s="931"/>
      <c r="M34" s="931"/>
      <c r="N34" s="931"/>
      <c r="O34" s="931"/>
      <c r="P34" s="931"/>
      <c r="Q34" s="931"/>
      <c r="R34" s="931"/>
      <c r="S34" s="931"/>
      <c r="T34" s="931"/>
      <c r="U34" s="931"/>
      <c r="V34" s="931"/>
      <c r="W34" s="931"/>
      <c r="X34" s="931"/>
      <c r="Y34" s="931"/>
      <c r="Z34" s="941" t="str">
        <f t="shared" si="6"/>
        <v/>
      </c>
      <c r="AA34" s="941" t="str">
        <f t="shared" si="7"/>
        <v/>
      </c>
      <c r="AB34" s="941" t="str">
        <f t="shared" si="8"/>
        <v/>
      </c>
      <c r="AC34" s="941" t="str">
        <f t="shared" si="9"/>
        <v/>
      </c>
      <c r="AD34" s="941" t="str">
        <f t="shared" si="10"/>
        <v/>
      </c>
      <c r="AE34" s="941" t="str">
        <f t="shared" si="11"/>
        <v/>
      </c>
      <c r="AF34" s="941" t="str">
        <f t="shared" si="12"/>
        <v/>
      </c>
      <c r="AG34" s="941" t="str">
        <f t="shared" si="13"/>
        <v/>
      </c>
      <c r="AH34" s="941" t="str">
        <f t="shared" si="14"/>
        <v/>
      </c>
      <c r="AI34" s="941" t="str">
        <f t="shared" si="15"/>
        <v/>
      </c>
      <c r="AJ34" s="941" t="str">
        <f t="shared" si="16"/>
        <v/>
      </c>
      <c r="AK34" s="941" t="str">
        <f t="shared" si="17"/>
        <v/>
      </c>
      <c r="AL34" s="941" t="str">
        <f t="shared" si="18"/>
        <v/>
      </c>
      <c r="AM34" s="941" t="str">
        <f t="shared" si="19"/>
        <v/>
      </c>
      <c r="AN34" s="941" t="str">
        <f t="shared" si="20"/>
        <v/>
      </c>
      <c r="AO34" s="941" t="str">
        <f t="shared" si="21"/>
        <v/>
      </c>
      <c r="AP34" s="895">
        <f>IF(AO34&lt;0,"No hi ha pèrdua",IFERROR(SUM(AA34:AO34)*'7. Erosió de costa'!$C$86/1000000,""))</f>
        <v>0</v>
      </c>
    </row>
    <row r="35" spans="1:42">
      <c r="A35" s="835">
        <v>8032</v>
      </c>
      <c r="B35" s="826" t="s">
        <v>337</v>
      </c>
      <c r="C35" s="835">
        <f t="shared" si="0"/>
        <v>14</v>
      </c>
      <c r="D35" s="923">
        <f t="shared" si="1"/>
        <v>850</v>
      </c>
      <c r="E35" s="931">
        <f t="shared" si="2"/>
        <v>-3.81</v>
      </c>
      <c r="F35" s="926">
        <f t="shared" si="3"/>
        <v>8.807232429279674</v>
      </c>
      <c r="G35" s="923">
        <f t="shared" si="5"/>
        <v>28522.222222222223</v>
      </c>
      <c r="H35" s="931">
        <f>IFERROR(IF((G35*'7. Erosió de costa'!$C$86/1000000)&lt;0,"guanya sorra",G35*'7. Erosió de costa'!$C$86/1000000),"")</f>
        <v>0.94123333333333337</v>
      </c>
      <c r="I35" s="937">
        <f>IFERROR(IF(('A. Dades de partida'!$D$10*G35*'7. Erosió de costa'!$C$86/1000000)&lt;0,"guanya sorra",'A. Dades de partida'!$D$10*G35*'7. Erosió de costa'!$C$86/1000000),"")</f>
        <v>14.118499999999999</v>
      </c>
      <c r="J35" s="931">
        <f>E35</f>
        <v>-3.81</v>
      </c>
      <c r="K35" s="931">
        <f>IF($J35&gt;0, $J35-($J35*'7. Erosió de costa'!D$140*'7. Erosió de costa'!$D$111),$J35+($J35*'7. Erosió de costa'!D$140*'7. Erosió de costa'!$D$111))</f>
        <v>-3.8834128959276017</v>
      </c>
      <c r="L35" s="931">
        <f>IF($J35&gt;0, $J35-($J35*'7. Erosió de costa'!E$140*'7. Erosió de costa'!$D$111),$J35+($J35*'7. Erosió de costa'!E$140*'7. Erosió de costa'!$D$111))</f>
        <v>-3.9568257918552039</v>
      </c>
      <c r="M35" s="931">
        <f>IF($J35&gt;0, $J35-($J35*'7. Erosió de costa'!F$140*'7. Erosió de costa'!$D$111),$J35+($J35*'7. Erosió de costa'!F$140*'7. Erosió de costa'!$D$111))</f>
        <v>-4.0302386877828056</v>
      </c>
      <c r="N35" s="931">
        <f>IF($J35&gt;0, $J35-($J35*'7. Erosió de costa'!G$140*'7. Erosió de costa'!$D$111),$J35+($J35*'7. Erosió de costa'!G$140*'7. Erosió de costa'!$D$111))</f>
        <v>-4.1036515837104073</v>
      </c>
      <c r="O35" s="931">
        <f>IF($J35&gt;0, $J35-($J35*'7. Erosió de costa'!H$140*'7. Erosió de costa'!$D$111),$J35+($J35*'7. Erosió de costa'!H$140*'7. Erosió de costa'!$D$111))</f>
        <v>-4.177064479638009</v>
      </c>
      <c r="P35" s="931">
        <f>IF($J35&gt;0, $J35-($J35*'7. Erosió de costa'!I$140*'7. Erosió de costa'!$D$111),$J35+($J35*'7. Erosió de costa'!I$140*'7. Erosió de costa'!$D$111))</f>
        <v>-4.2504773755656107</v>
      </c>
      <c r="Q35" s="931">
        <f>IF($J35&gt;0, $J35-($J35*'7. Erosió de costa'!J$140*'7. Erosió de costa'!$D$111),$J35+($J35*'7. Erosió de costa'!J$140*'7. Erosió de costa'!$D$111))</f>
        <v>-4.3238902714932124</v>
      </c>
      <c r="R35" s="931">
        <f>IF($J35&gt;0, $J35-($J35*'7. Erosió de costa'!K$140*'7. Erosió de costa'!$D$111),$J35+($J35*'7. Erosió de costa'!K$140*'7. Erosió de costa'!$D$111))</f>
        <v>-4.3973031674208141</v>
      </c>
      <c r="S35" s="931">
        <f>IF($J35&gt;0, $J35-($J35*'7. Erosió de costa'!L$140*'7. Erosió de costa'!$D$111),$J35+($J35*'7. Erosió de costa'!L$140*'7. Erosió de costa'!$D$111))</f>
        <v>-4.4707160633484166</v>
      </c>
      <c r="T35" s="931">
        <f>IF($J35&gt;0, $J35-($J35*'7. Erosió de costa'!M$140*'7. Erosió de costa'!$D$111),$J35+($J35*'7. Erosió de costa'!M$140*'7. Erosió de costa'!$D$111))</f>
        <v>-4.5441289592760183</v>
      </c>
      <c r="U35" s="931">
        <f>IF($J35&gt;0, $J35-($J35*'7. Erosió de costa'!N$140*'7. Erosió de costa'!$D$111),$J35+($J35*'7. Erosió de costa'!N$140*'7. Erosió de costa'!$D$111))</f>
        <v>-4.61754185520362</v>
      </c>
      <c r="V35" s="931">
        <f>IF($J35&gt;0, $J35-($J35*'7. Erosió de costa'!O$140*'7. Erosió de costa'!$D$111),$J35+($J35*'7. Erosió de costa'!O$140*'7. Erosió de costa'!$D$111))</f>
        <v>-4.6909547511312217</v>
      </c>
      <c r="W35" s="931">
        <f>IF($J35&gt;0, $J35-($J35*'7. Erosió de costa'!P$140*'7. Erosió de costa'!$D$111),$J35+($J35*'7. Erosió de costa'!P$140*'7. Erosió de costa'!$D$111))</f>
        <v>-4.7643676470588234</v>
      </c>
      <c r="X35" s="931">
        <f>IF($J35&gt;0, $J35-($J35*'7. Erosió de costa'!Q$140*'7. Erosió de costa'!$D$111),$J35+($J35*'7. Erosió de costa'!Q$140*'7. Erosió de costa'!$D$111))</f>
        <v>-4.8377805429864251</v>
      </c>
      <c r="Y35" s="931">
        <f>IF($J35&gt;0, $J35-($J35*'7. Erosió de costa'!R$140*'7. Erosió de costa'!$D$111),$J35+($J35*'7. Erosió de costa'!R$140*'7. Erosió de costa'!$D$111))</f>
        <v>-4.9111934389140277</v>
      </c>
      <c r="Z35" s="941">
        <f t="shared" si="6"/>
        <v>28522.222222222223</v>
      </c>
      <c r="AA35" s="941">
        <f t="shared" si="7"/>
        <v>29071.801994301997</v>
      </c>
      <c r="AB35" s="941">
        <f t="shared" si="8"/>
        <v>29621.381766381768</v>
      </c>
      <c r="AC35" s="941">
        <f t="shared" si="9"/>
        <v>30170.961538461543</v>
      </c>
      <c r="AD35" s="941">
        <f t="shared" si="10"/>
        <v>30720.54131054131</v>
      </c>
      <c r="AE35" s="941">
        <f t="shared" si="11"/>
        <v>31270.121082621084</v>
      </c>
      <c r="AF35" s="941">
        <f t="shared" si="12"/>
        <v>31819.700854700855</v>
      </c>
      <c r="AG35" s="941">
        <f t="shared" si="13"/>
        <v>32369.280626780626</v>
      </c>
      <c r="AH35" s="941">
        <f t="shared" si="14"/>
        <v>32918.860398860401</v>
      </c>
      <c r="AI35" s="941">
        <f t="shared" si="15"/>
        <v>33468.440170940172</v>
      </c>
      <c r="AJ35" s="941">
        <f t="shared" si="16"/>
        <v>34018.01994301995</v>
      </c>
      <c r="AK35" s="941">
        <f t="shared" si="17"/>
        <v>34567.599715099714</v>
      </c>
      <c r="AL35" s="941">
        <f t="shared" si="18"/>
        <v>35117.179487179492</v>
      </c>
      <c r="AM35" s="941">
        <f t="shared" si="19"/>
        <v>35666.759259259263</v>
      </c>
      <c r="AN35" s="941">
        <f t="shared" si="20"/>
        <v>36216.339031339034</v>
      </c>
      <c r="AO35" s="941">
        <f t="shared" si="21"/>
        <v>36765.918803418812</v>
      </c>
      <c r="AP35" s="895">
        <f>IF(AO35&lt;0,"No hi ha pèrdua",IFERROR(SUM(AA35:AO35)*'7. Erosió de costa'!$C$86/1000000,""))</f>
        <v>16.294835897435899</v>
      </c>
    </row>
    <row r="36" spans="1:42">
      <c r="A36" s="835">
        <v>8033</v>
      </c>
      <c r="B36" s="826" t="s">
        <v>867</v>
      </c>
      <c r="C36" s="835" t="str">
        <f t="shared" si="0"/>
        <v>NA</v>
      </c>
      <c r="D36" s="923" t="str">
        <f t="shared" si="1"/>
        <v>NA</v>
      </c>
      <c r="E36" s="931" t="str">
        <f t="shared" si="2"/>
        <v>NA</v>
      </c>
      <c r="F36" s="926" t="str">
        <f t="shared" si="3"/>
        <v>NA</v>
      </c>
      <c r="G36" s="923" t="str">
        <f t="shared" si="5"/>
        <v>NA</v>
      </c>
      <c r="H36" s="931" t="str">
        <f>IFERROR(IF((G36*'7. Erosió de costa'!$C$86/1000000)&lt;0,"guanya sorra",G36*'7. Erosió de costa'!$C$86/1000000),"")</f>
        <v/>
      </c>
      <c r="I36" s="937" t="str">
        <f>IFERROR(IF(('A. Dades de partida'!$D$10*G36*'7. Erosió de costa'!$C$86/1000000)&lt;0,"guanya sorra",'A. Dades de partida'!$D$10*G36*'7. Erosió de costa'!$C$86/1000000),"")</f>
        <v/>
      </c>
      <c r="J36" s="931"/>
      <c r="K36" s="931"/>
      <c r="L36" s="931"/>
      <c r="M36" s="931"/>
      <c r="N36" s="931"/>
      <c r="O36" s="931"/>
      <c r="P36" s="931"/>
      <c r="Q36" s="931"/>
      <c r="R36" s="931"/>
      <c r="S36" s="931"/>
      <c r="T36" s="931"/>
      <c r="U36" s="931"/>
      <c r="V36" s="931"/>
      <c r="W36" s="931"/>
      <c r="X36" s="931"/>
      <c r="Y36" s="931"/>
      <c r="Z36" s="941" t="str">
        <f t="shared" si="6"/>
        <v/>
      </c>
      <c r="AA36" s="941" t="str">
        <f t="shared" si="7"/>
        <v/>
      </c>
      <c r="AB36" s="941" t="str">
        <f t="shared" si="8"/>
        <v/>
      </c>
      <c r="AC36" s="941" t="str">
        <f t="shared" si="9"/>
        <v/>
      </c>
      <c r="AD36" s="941" t="str">
        <f t="shared" si="10"/>
        <v/>
      </c>
      <c r="AE36" s="941" t="str">
        <f t="shared" si="11"/>
        <v/>
      </c>
      <c r="AF36" s="941" t="str">
        <f t="shared" si="12"/>
        <v/>
      </c>
      <c r="AG36" s="941" t="str">
        <f t="shared" si="13"/>
        <v/>
      </c>
      <c r="AH36" s="941" t="str">
        <f t="shared" si="14"/>
        <v/>
      </c>
      <c r="AI36" s="941" t="str">
        <f t="shared" si="15"/>
        <v/>
      </c>
      <c r="AJ36" s="941" t="str">
        <f t="shared" si="16"/>
        <v/>
      </c>
      <c r="AK36" s="941" t="str">
        <f t="shared" si="17"/>
        <v/>
      </c>
      <c r="AL36" s="941" t="str">
        <f t="shared" si="18"/>
        <v/>
      </c>
      <c r="AM36" s="941" t="str">
        <f t="shared" si="19"/>
        <v/>
      </c>
      <c r="AN36" s="941" t="str">
        <f t="shared" si="20"/>
        <v/>
      </c>
      <c r="AO36" s="941" t="str">
        <f t="shared" si="21"/>
        <v/>
      </c>
      <c r="AP36" s="895">
        <f>IF(AO36&lt;0,"No hi ha pèrdua",IFERROR(SUM(AA36:AO36)*'7. Erosió de costa'!$C$86/1000000,""))</f>
        <v>0</v>
      </c>
    </row>
    <row r="37" spans="1:42">
      <c r="A37" s="835">
        <v>8034</v>
      </c>
      <c r="B37" s="826" t="s">
        <v>875</v>
      </c>
      <c r="C37" s="835" t="str">
        <f t="shared" si="0"/>
        <v>NA</v>
      </c>
      <c r="D37" s="923" t="str">
        <f t="shared" si="1"/>
        <v>NA</v>
      </c>
      <c r="E37" s="931" t="str">
        <f t="shared" si="2"/>
        <v>NA</v>
      </c>
      <c r="F37" s="926" t="str">
        <f t="shared" si="3"/>
        <v>NA</v>
      </c>
      <c r="G37" s="923" t="str">
        <f t="shared" si="5"/>
        <v>NA</v>
      </c>
      <c r="H37" s="931" t="str">
        <f>IFERROR(IF((G37*'7. Erosió de costa'!$C$86/1000000)&lt;0,"guanya sorra",G37*'7. Erosió de costa'!$C$86/1000000),"")</f>
        <v/>
      </c>
      <c r="I37" s="937" t="str">
        <f>IFERROR(IF(('A. Dades de partida'!$D$10*G37*'7. Erosió de costa'!$C$86/1000000)&lt;0,"guanya sorra",'A. Dades de partida'!$D$10*G37*'7. Erosió de costa'!$C$86/1000000),"")</f>
        <v/>
      </c>
      <c r="J37" s="931"/>
      <c r="K37" s="931"/>
      <c r="L37" s="931"/>
      <c r="M37" s="931"/>
      <c r="N37" s="931"/>
      <c r="O37" s="931"/>
      <c r="P37" s="931"/>
      <c r="Q37" s="931"/>
      <c r="R37" s="931"/>
      <c r="S37" s="931"/>
      <c r="T37" s="931"/>
      <c r="U37" s="931"/>
      <c r="V37" s="931"/>
      <c r="W37" s="931"/>
      <c r="X37" s="931"/>
      <c r="Y37" s="931"/>
      <c r="Z37" s="941" t="str">
        <f t="shared" si="6"/>
        <v/>
      </c>
      <c r="AA37" s="941" t="str">
        <f t="shared" si="7"/>
        <v/>
      </c>
      <c r="AB37" s="941" t="str">
        <f t="shared" si="8"/>
        <v/>
      </c>
      <c r="AC37" s="941" t="str">
        <f t="shared" si="9"/>
        <v/>
      </c>
      <c r="AD37" s="941" t="str">
        <f t="shared" si="10"/>
        <v/>
      </c>
      <c r="AE37" s="941" t="str">
        <f t="shared" si="11"/>
        <v/>
      </c>
      <c r="AF37" s="941" t="str">
        <f t="shared" si="12"/>
        <v/>
      </c>
      <c r="AG37" s="941" t="str">
        <f t="shared" si="13"/>
        <v/>
      </c>
      <c r="AH37" s="941" t="str">
        <f t="shared" si="14"/>
        <v/>
      </c>
      <c r="AI37" s="941" t="str">
        <f t="shared" si="15"/>
        <v/>
      </c>
      <c r="AJ37" s="941" t="str">
        <f t="shared" si="16"/>
        <v/>
      </c>
      <c r="AK37" s="941" t="str">
        <f t="shared" si="17"/>
        <v/>
      </c>
      <c r="AL37" s="941" t="str">
        <f t="shared" si="18"/>
        <v/>
      </c>
      <c r="AM37" s="941" t="str">
        <f t="shared" si="19"/>
        <v/>
      </c>
      <c r="AN37" s="941" t="str">
        <f t="shared" si="20"/>
        <v/>
      </c>
      <c r="AO37" s="941" t="str">
        <f t="shared" si="21"/>
        <v/>
      </c>
      <c r="AP37" s="895">
        <f>IF(AO37&lt;0,"No hi ha pèrdua",IFERROR(SUM(AA37:AO37)*'7. Erosió de costa'!$C$86/1000000,""))</f>
        <v>0</v>
      </c>
    </row>
    <row r="38" spans="1:42">
      <c r="A38" s="835">
        <v>8035</v>
      </c>
      <c r="B38" s="826" t="s">
        <v>338</v>
      </c>
      <c r="C38" s="835">
        <f t="shared" si="0"/>
        <v>15</v>
      </c>
      <c r="D38" s="923">
        <f t="shared" si="1"/>
        <v>2330</v>
      </c>
      <c r="E38" s="931">
        <f t="shared" si="2"/>
        <v>-0.78</v>
      </c>
      <c r="F38" s="926">
        <f t="shared" si="3"/>
        <v>9.6853655805620864</v>
      </c>
      <c r="G38" s="923">
        <f t="shared" si="5"/>
        <v>17602.183406113538</v>
      </c>
      <c r="H38" s="931">
        <f>IFERROR(IF((G38*'7. Erosió de costa'!$C$86/1000000)&lt;0,"guanya sorra",G38*'7. Erosió de costa'!$C$86/1000000),"")</f>
        <v>0.58087205240174677</v>
      </c>
      <c r="I38" s="937">
        <f>IFERROR(IF(('A. Dades de partida'!$D$10*G38*'7. Erosió de costa'!$C$86/1000000)&lt;0,"guanya sorra",'A. Dades de partida'!$D$10*G38*'7. Erosió de costa'!$C$86/1000000),"")</f>
        <v>8.7130807860262021</v>
      </c>
      <c r="J38" s="931">
        <f>E38</f>
        <v>-0.78</v>
      </c>
      <c r="K38" s="931">
        <f>IF($J38&gt;0, $J38-($J38*'7. Erosió de costa'!D$140*'7. Erosió de costa'!$D$111),$J38+($J38*'7. Erosió de costa'!D$140*'7. Erosió de costa'!$D$111))</f>
        <v>-0.79502941176470587</v>
      </c>
      <c r="L38" s="931">
        <f>IF($J38&gt;0, $J38-($J38*'7. Erosió de costa'!E$140*'7. Erosió de costa'!$D$111),$J38+($J38*'7. Erosió de costa'!E$140*'7. Erosió de costa'!$D$111))</f>
        <v>-0.81005882352941183</v>
      </c>
      <c r="M38" s="931">
        <f>IF($J38&gt;0, $J38-($J38*'7. Erosió de costa'!F$140*'7. Erosió de costa'!$D$111),$J38+($J38*'7. Erosió de costa'!F$140*'7. Erosió de costa'!$D$111))</f>
        <v>-0.82508823529411768</v>
      </c>
      <c r="N38" s="931">
        <f>IF($J38&gt;0, $J38-($J38*'7. Erosió de costa'!G$140*'7. Erosió de costa'!$D$111),$J38+($J38*'7. Erosió de costa'!G$140*'7. Erosió de costa'!$D$111))</f>
        <v>-0.84011764705882352</v>
      </c>
      <c r="O38" s="931">
        <f>IF($J38&gt;0, $J38-($J38*'7. Erosió de costa'!H$140*'7. Erosió de costa'!$D$111),$J38+($J38*'7. Erosió de costa'!H$140*'7. Erosió de costa'!$D$111))</f>
        <v>-0.85514705882352948</v>
      </c>
      <c r="P38" s="931">
        <f>IF($J38&gt;0, $J38-($J38*'7. Erosió de costa'!I$140*'7. Erosió de costa'!$D$111),$J38+($J38*'7. Erosió de costa'!I$140*'7. Erosió de costa'!$D$111))</f>
        <v>-0.87017647058823533</v>
      </c>
      <c r="Q38" s="931">
        <f>IF($J38&gt;0, $J38-($J38*'7. Erosió de costa'!J$140*'7. Erosió de costa'!$D$111),$J38+($J38*'7. Erosió de costa'!J$140*'7. Erosió de costa'!$D$111))</f>
        <v>-0.88520588235294118</v>
      </c>
      <c r="R38" s="931">
        <f>IF($J38&gt;0, $J38-($J38*'7. Erosió de costa'!K$140*'7. Erosió de costa'!$D$111),$J38+($J38*'7. Erosió de costa'!K$140*'7. Erosió de costa'!$D$111))</f>
        <v>-0.90023529411764713</v>
      </c>
      <c r="S38" s="931">
        <f>IF($J38&gt;0, $J38-($J38*'7. Erosió de costa'!L$140*'7. Erosió de costa'!$D$111),$J38+($J38*'7. Erosió de costa'!L$140*'7. Erosió de costa'!$D$111))</f>
        <v>-0.91526470588235298</v>
      </c>
      <c r="T38" s="931">
        <f>IF($J38&gt;0, $J38-($J38*'7. Erosió de costa'!M$140*'7. Erosió de costa'!$D$111),$J38+($J38*'7. Erosió de costa'!M$140*'7. Erosió de costa'!$D$111))</f>
        <v>-0.93029411764705883</v>
      </c>
      <c r="U38" s="931">
        <f>IF($J38&gt;0, $J38-($J38*'7. Erosió de costa'!N$140*'7. Erosió de costa'!$D$111),$J38+($J38*'7. Erosió de costa'!N$140*'7. Erosió de costa'!$D$111))</f>
        <v>-0.94532352941176478</v>
      </c>
      <c r="V38" s="931">
        <f>IF($J38&gt;0, $J38-($J38*'7. Erosió de costa'!O$140*'7. Erosió de costa'!$D$111),$J38+($J38*'7. Erosió de costa'!O$140*'7. Erosió de costa'!$D$111))</f>
        <v>-0.96035294117647063</v>
      </c>
      <c r="W38" s="931">
        <f>IF($J38&gt;0, $J38-($J38*'7. Erosió de costa'!P$140*'7. Erosió de costa'!$D$111),$J38+($J38*'7. Erosió de costa'!P$140*'7. Erosió de costa'!$D$111))</f>
        <v>-0.97538235294117648</v>
      </c>
      <c r="X38" s="931">
        <f>IF($J38&gt;0, $J38-($J38*'7. Erosió de costa'!Q$140*'7. Erosió de costa'!$D$111),$J38+($J38*'7. Erosió de costa'!Q$140*'7. Erosió de costa'!$D$111))</f>
        <v>-0.99041176470588232</v>
      </c>
      <c r="Y38" s="931">
        <f>IF($J38&gt;0, $J38-($J38*'7. Erosió de costa'!R$140*'7. Erosió de costa'!$D$111),$J38+($J38*'7. Erosió de costa'!R$140*'7. Erosió de costa'!$D$111))</f>
        <v>-1.0054411764705882</v>
      </c>
      <c r="Z38" s="941">
        <f t="shared" si="6"/>
        <v>17602.183406113538</v>
      </c>
      <c r="AA38" s="941">
        <f t="shared" si="7"/>
        <v>17941.350665560141</v>
      </c>
      <c r="AB38" s="941">
        <f t="shared" si="8"/>
        <v>18280.517925006749</v>
      </c>
      <c r="AC38" s="941">
        <f t="shared" si="9"/>
        <v>18619.685184453359</v>
      </c>
      <c r="AD38" s="941">
        <f t="shared" si="10"/>
        <v>18958.852443899963</v>
      </c>
      <c r="AE38" s="941">
        <f t="shared" si="11"/>
        <v>19298.01970334657</v>
      </c>
      <c r="AF38" s="941">
        <f t="shared" si="12"/>
        <v>19637.186962793177</v>
      </c>
      <c r="AG38" s="941">
        <f t="shared" si="13"/>
        <v>19976.354222239785</v>
      </c>
      <c r="AH38" s="941">
        <f t="shared" si="14"/>
        <v>20315.521481686392</v>
      </c>
      <c r="AI38" s="941">
        <f t="shared" si="15"/>
        <v>20654.688741133003</v>
      </c>
      <c r="AJ38" s="941">
        <f t="shared" si="16"/>
        <v>20993.856000579606</v>
      </c>
      <c r="AK38" s="941">
        <f t="shared" si="17"/>
        <v>21333.023260026213</v>
      </c>
      <c r="AL38" s="941">
        <f t="shared" si="18"/>
        <v>21672.190519472817</v>
      </c>
      <c r="AM38" s="941">
        <f t="shared" si="19"/>
        <v>22011.357778919428</v>
      </c>
      <c r="AN38" s="941">
        <f t="shared" si="20"/>
        <v>22350.525038366035</v>
      </c>
      <c r="AO38" s="941">
        <f t="shared" si="21"/>
        <v>22689.692297812639</v>
      </c>
      <c r="AP38" s="895">
        <f>IF(AO38&lt;0,"No hi ha pèrdua",IFERROR(SUM(AA38:AO38)*'7. Erosió de costa'!$C$86/1000000,""))</f>
        <v>10.056183133434761</v>
      </c>
    </row>
    <row r="39" spans="1:42">
      <c r="A39" s="835">
        <v>8036</v>
      </c>
      <c r="B39" s="826" t="s">
        <v>881</v>
      </c>
      <c r="C39" s="835" t="str">
        <f t="shared" si="0"/>
        <v>NA</v>
      </c>
      <c r="D39" s="923" t="str">
        <f t="shared" si="1"/>
        <v>NA</v>
      </c>
      <c r="E39" s="931" t="str">
        <f t="shared" si="2"/>
        <v>NA</v>
      </c>
      <c r="F39" s="926" t="str">
        <f t="shared" si="3"/>
        <v>NA</v>
      </c>
      <c r="G39" s="923" t="str">
        <f t="shared" si="5"/>
        <v>NA</v>
      </c>
      <c r="H39" s="931" t="str">
        <f>IFERROR(IF((G39*'7. Erosió de costa'!$C$86/1000000)&lt;0,"guanya sorra",G39*'7. Erosió de costa'!$C$86/1000000),"")</f>
        <v/>
      </c>
      <c r="I39" s="937" t="str">
        <f>IFERROR(IF(('A. Dades de partida'!$D$10*G39*'7. Erosió de costa'!$C$86/1000000)&lt;0,"guanya sorra",'A. Dades de partida'!$D$10*G39*'7. Erosió de costa'!$C$86/1000000),"")</f>
        <v/>
      </c>
      <c r="J39" s="931"/>
      <c r="K39" s="931"/>
      <c r="L39" s="931"/>
      <c r="M39" s="931"/>
      <c r="N39" s="931"/>
      <c r="O39" s="931"/>
      <c r="P39" s="931"/>
      <c r="Q39" s="931"/>
      <c r="R39" s="931"/>
      <c r="S39" s="931"/>
      <c r="T39" s="931"/>
      <c r="U39" s="931"/>
      <c r="V39" s="931"/>
      <c r="W39" s="931"/>
      <c r="X39" s="931"/>
      <c r="Y39" s="931"/>
      <c r="Z39" s="941" t="str">
        <f t="shared" si="6"/>
        <v/>
      </c>
      <c r="AA39" s="941" t="str">
        <f t="shared" si="7"/>
        <v/>
      </c>
      <c r="AB39" s="941" t="str">
        <f t="shared" si="8"/>
        <v/>
      </c>
      <c r="AC39" s="941" t="str">
        <f t="shared" si="9"/>
        <v/>
      </c>
      <c r="AD39" s="941" t="str">
        <f t="shared" si="10"/>
        <v/>
      </c>
      <c r="AE39" s="941" t="str">
        <f t="shared" si="11"/>
        <v/>
      </c>
      <c r="AF39" s="941" t="str">
        <f t="shared" si="12"/>
        <v/>
      </c>
      <c r="AG39" s="941" t="str">
        <f t="shared" si="13"/>
        <v/>
      </c>
      <c r="AH39" s="941" t="str">
        <f t="shared" si="14"/>
        <v/>
      </c>
      <c r="AI39" s="941" t="str">
        <f t="shared" si="15"/>
        <v/>
      </c>
      <c r="AJ39" s="941" t="str">
        <f t="shared" si="16"/>
        <v/>
      </c>
      <c r="AK39" s="941" t="str">
        <f t="shared" si="17"/>
        <v/>
      </c>
      <c r="AL39" s="941" t="str">
        <f t="shared" si="18"/>
        <v/>
      </c>
      <c r="AM39" s="941" t="str">
        <f t="shared" si="19"/>
        <v/>
      </c>
      <c r="AN39" s="941" t="str">
        <f t="shared" si="20"/>
        <v/>
      </c>
      <c r="AO39" s="941" t="str">
        <f t="shared" si="21"/>
        <v/>
      </c>
      <c r="AP39" s="895">
        <f>IF(AO39&lt;0,"No hi ha pèrdua",IFERROR(SUM(AA39:AO39)*'7. Erosió de costa'!$C$86/1000000,""))</f>
        <v>0</v>
      </c>
    </row>
    <row r="40" spans="1:42">
      <c r="A40" s="835">
        <v>8037</v>
      </c>
      <c r="B40" s="826" t="s">
        <v>886</v>
      </c>
      <c r="C40" s="835" t="str">
        <f t="shared" si="0"/>
        <v>NA</v>
      </c>
      <c r="D40" s="923" t="str">
        <f t="shared" si="1"/>
        <v>NA</v>
      </c>
      <c r="E40" s="931" t="str">
        <f t="shared" si="2"/>
        <v>NA</v>
      </c>
      <c r="F40" s="926" t="str">
        <f t="shared" si="3"/>
        <v>NA</v>
      </c>
      <c r="G40" s="923" t="str">
        <f t="shared" si="5"/>
        <v>NA</v>
      </c>
      <c r="H40" s="931" t="str">
        <f>IFERROR(IF((G40*'7. Erosió de costa'!$C$86/1000000)&lt;0,"guanya sorra",G40*'7. Erosió de costa'!$C$86/1000000),"")</f>
        <v/>
      </c>
      <c r="I40" s="937" t="str">
        <f>IFERROR(IF(('A. Dades de partida'!$D$10*G40*'7. Erosió de costa'!$C$86/1000000)&lt;0,"guanya sorra",'A. Dades de partida'!$D$10*G40*'7. Erosió de costa'!$C$86/1000000),"")</f>
        <v/>
      </c>
      <c r="J40" s="931"/>
      <c r="K40" s="931"/>
      <c r="L40" s="931"/>
      <c r="M40" s="931"/>
      <c r="N40" s="931"/>
      <c r="O40" s="931"/>
      <c r="P40" s="931"/>
      <c r="Q40" s="931"/>
      <c r="R40" s="931"/>
      <c r="S40" s="931"/>
      <c r="T40" s="931"/>
      <c r="U40" s="931"/>
      <c r="V40" s="931"/>
      <c r="W40" s="931"/>
      <c r="X40" s="931"/>
      <c r="Y40" s="931"/>
      <c r="Z40" s="941" t="str">
        <f t="shared" si="6"/>
        <v/>
      </c>
      <c r="AA40" s="941" t="str">
        <f t="shared" si="7"/>
        <v/>
      </c>
      <c r="AB40" s="941" t="str">
        <f t="shared" si="8"/>
        <v/>
      </c>
      <c r="AC40" s="941" t="str">
        <f t="shared" si="9"/>
        <v/>
      </c>
      <c r="AD40" s="941" t="str">
        <f t="shared" si="10"/>
        <v/>
      </c>
      <c r="AE40" s="941" t="str">
        <f t="shared" si="11"/>
        <v/>
      </c>
      <c r="AF40" s="941" t="str">
        <f t="shared" si="12"/>
        <v/>
      </c>
      <c r="AG40" s="941" t="str">
        <f t="shared" si="13"/>
        <v/>
      </c>
      <c r="AH40" s="941" t="str">
        <f t="shared" si="14"/>
        <v/>
      </c>
      <c r="AI40" s="941" t="str">
        <f t="shared" si="15"/>
        <v/>
      </c>
      <c r="AJ40" s="941" t="str">
        <f t="shared" si="16"/>
        <v/>
      </c>
      <c r="AK40" s="941" t="str">
        <f t="shared" si="17"/>
        <v/>
      </c>
      <c r="AL40" s="941" t="str">
        <f t="shared" si="18"/>
        <v/>
      </c>
      <c r="AM40" s="941" t="str">
        <f t="shared" si="19"/>
        <v/>
      </c>
      <c r="AN40" s="941" t="str">
        <f t="shared" si="20"/>
        <v/>
      </c>
      <c r="AO40" s="941" t="str">
        <f t="shared" si="21"/>
        <v/>
      </c>
      <c r="AP40" s="895">
        <f>IF(AO40&lt;0,"No hi ha pèrdua",IFERROR(SUM(AA40:AO40)*'7. Erosió de costa'!$C$86/1000000,""))</f>
        <v>0</v>
      </c>
    </row>
    <row r="41" spans="1:42">
      <c r="A41" s="835">
        <v>8038</v>
      </c>
      <c r="B41" s="826" t="s">
        <v>890</v>
      </c>
      <c r="C41" s="835" t="str">
        <f t="shared" si="0"/>
        <v>NA</v>
      </c>
      <c r="D41" s="923" t="str">
        <f t="shared" si="1"/>
        <v>NA</v>
      </c>
      <c r="E41" s="931" t="str">
        <f t="shared" si="2"/>
        <v>NA</v>
      </c>
      <c r="F41" s="926" t="str">
        <f t="shared" si="3"/>
        <v>NA</v>
      </c>
      <c r="G41" s="923" t="str">
        <f t="shared" si="5"/>
        <v>NA</v>
      </c>
      <c r="H41" s="931" t="str">
        <f>IFERROR(IF((G41*'7. Erosió de costa'!$C$86/1000000)&lt;0,"guanya sorra",G41*'7. Erosió de costa'!$C$86/1000000),"")</f>
        <v/>
      </c>
      <c r="I41" s="937" t="str">
        <f>IFERROR(IF(('A. Dades de partida'!$D$10*G41*'7. Erosió de costa'!$C$86/1000000)&lt;0,"guanya sorra",'A. Dades de partida'!$D$10*G41*'7. Erosió de costa'!$C$86/1000000),"")</f>
        <v/>
      </c>
      <c r="J41" s="931"/>
      <c r="K41" s="931"/>
      <c r="L41" s="931"/>
      <c r="M41" s="931"/>
      <c r="N41" s="931"/>
      <c r="O41" s="931"/>
      <c r="P41" s="931"/>
      <c r="Q41" s="931"/>
      <c r="R41" s="931"/>
      <c r="S41" s="931"/>
      <c r="T41" s="931"/>
      <c r="U41" s="931"/>
      <c r="V41" s="931"/>
      <c r="W41" s="931"/>
      <c r="X41" s="931"/>
      <c r="Y41" s="931"/>
      <c r="Z41" s="941" t="str">
        <f t="shared" si="6"/>
        <v/>
      </c>
      <c r="AA41" s="941" t="str">
        <f t="shared" si="7"/>
        <v/>
      </c>
      <c r="AB41" s="941" t="str">
        <f t="shared" si="8"/>
        <v/>
      </c>
      <c r="AC41" s="941" t="str">
        <f t="shared" si="9"/>
        <v/>
      </c>
      <c r="AD41" s="941" t="str">
        <f t="shared" si="10"/>
        <v/>
      </c>
      <c r="AE41" s="941" t="str">
        <f t="shared" si="11"/>
        <v/>
      </c>
      <c r="AF41" s="941" t="str">
        <f t="shared" si="12"/>
        <v/>
      </c>
      <c r="AG41" s="941" t="str">
        <f t="shared" si="13"/>
        <v/>
      </c>
      <c r="AH41" s="941" t="str">
        <f t="shared" si="14"/>
        <v/>
      </c>
      <c r="AI41" s="941" t="str">
        <f t="shared" si="15"/>
        <v/>
      </c>
      <c r="AJ41" s="941" t="str">
        <f t="shared" si="16"/>
        <v/>
      </c>
      <c r="AK41" s="941" t="str">
        <f t="shared" si="17"/>
        <v/>
      </c>
      <c r="AL41" s="941" t="str">
        <f t="shared" si="18"/>
        <v/>
      </c>
      <c r="AM41" s="941" t="str">
        <f t="shared" si="19"/>
        <v/>
      </c>
      <c r="AN41" s="941" t="str">
        <f t="shared" si="20"/>
        <v/>
      </c>
      <c r="AO41" s="941" t="str">
        <f t="shared" si="21"/>
        <v/>
      </c>
      <c r="AP41" s="895">
        <f>IF(AO41&lt;0,"No hi ha pèrdua",IFERROR(SUM(AA41:AO41)*'7. Erosió de costa'!$C$86/1000000,""))</f>
        <v>0</v>
      </c>
    </row>
    <row r="42" spans="1:42">
      <c r="A42" s="835">
        <v>8039</v>
      </c>
      <c r="B42" s="826" t="s">
        <v>894</v>
      </c>
      <c r="C42" s="835" t="str">
        <f t="shared" si="0"/>
        <v>NA</v>
      </c>
      <c r="D42" s="923" t="str">
        <f t="shared" si="1"/>
        <v>NA</v>
      </c>
      <c r="E42" s="931" t="str">
        <f t="shared" si="2"/>
        <v>NA</v>
      </c>
      <c r="F42" s="926" t="str">
        <f t="shared" si="3"/>
        <v>NA</v>
      </c>
      <c r="G42" s="923" t="str">
        <f t="shared" si="5"/>
        <v>NA</v>
      </c>
      <c r="H42" s="931" t="str">
        <f>IFERROR(IF((G42*'7. Erosió de costa'!$C$86/1000000)&lt;0,"guanya sorra",G42*'7. Erosió de costa'!$C$86/1000000),"")</f>
        <v/>
      </c>
      <c r="I42" s="937" t="str">
        <f>IFERROR(IF(('A. Dades de partida'!$D$10*G42*'7. Erosió de costa'!$C$86/1000000)&lt;0,"guanya sorra",'A. Dades de partida'!$D$10*G42*'7. Erosió de costa'!$C$86/1000000),"")</f>
        <v/>
      </c>
      <c r="J42" s="931"/>
      <c r="K42" s="931"/>
      <c r="L42" s="931"/>
      <c r="M42" s="931"/>
      <c r="N42" s="931"/>
      <c r="O42" s="931"/>
      <c r="P42" s="931"/>
      <c r="Q42" s="931"/>
      <c r="R42" s="931"/>
      <c r="S42" s="931"/>
      <c r="T42" s="931"/>
      <c r="U42" s="931"/>
      <c r="V42" s="931"/>
      <c r="W42" s="931"/>
      <c r="X42" s="931"/>
      <c r="Y42" s="931"/>
      <c r="Z42" s="941" t="str">
        <f t="shared" si="6"/>
        <v/>
      </c>
      <c r="AA42" s="941" t="str">
        <f t="shared" si="7"/>
        <v/>
      </c>
      <c r="AB42" s="941" t="str">
        <f t="shared" si="8"/>
        <v/>
      </c>
      <c r="AC42" s="941" t="str">
        <f t="shared" si="9"/>
        <v/>
      </c>
      <c r="AD42" s="941" t="str">
        <f t="shared" si="10"/>
        <v/>
      </c>
      <c r="AE42" s="941" t="str">
        <f t="shared" si="11"/>
        <v/>
      </c>
      <c r="AF42" s="941" t="str">
        <f t="shared" si="12"/>
        <v/>
      </c>
      <c r="AG42" s="941" t="str">
        <f t="shared" si="13"/>
        <v/>
      </c>
      <c r="AH42" s="941" t="str">
        <f t="shared" si="14"/>
        <v/>
      </c>
      <c r="AI42" s="941" t="str">
        <f t="shared" si="15"/>
        <v/>
      </c>
      <c r="AJ42" s="941" t="str">
        <f t="shared" si="16"/>
        <v/>
      </c>
      <c r="AK42" s="941" t="str">
        <f t="shared" si="17"/>
        <v/>
      </c>
      <c r="AL42" s="941" t="str">
        <f t="shared" si="18"/>
        <v/>
      </c>
      <c r="AM42" s="941" t="str">
        <f t="shared" si="19"/>
        <v/>
      </c>
      <c r="AN42" s="941" t="str">
        <f t="shared" si="20"/>
        <v/>
      </c>
      <c r="AO42" s="941" t="str">
        <f t="shared" si="21"/>
        <v/>
      </c>
      <c r="AP42" s="895">
        <f>IF(AO42&lt;0,"No hi ha pèrdua",IFERROR(SUM(AA42:AO42)*'7. Erosió de costa'!$C$86/1000000,""))</f>
        <v>0</v>
      </c>
    </row>
    <row r="43" spans="1:42">
      <c r="A43" s="835">
        <v>8040</v>
      </c>
      <c r="B43" s="826" t="s">
        <v>339</v>
      </c>
      <c r="C43" s="835">
        <f t="shared" si="0"/>
        <v>15</v>
      </c>
      <c r="D43" s="923">
        <f t="shared" si="1"/>
        <v>2230</v>
      </c>
      <c r="E43" s="931">
        <f t="shared" si="2"/>
        <v>-0.78</v>
      </c>
      <c r="F43" s="926">
        <f t="shared" si="3"/>
        <v>9.6853655805620864</v>
      </c>
      <c r="G43" s="923">
        <f t="shared" si="5"/>
        <v>16846.724890829693</v>
      </c>
      <c r="H43" s="931">
        <f>IFERROR(IF((G43*'7. Erosió de costa'!$C$86/1000000)&lt;0,"guanya sorra",G43*'7. Erosió de costa'!$C$86/1000000),"")</f>
        <v>0.55594192139737986</v>
      </c>
      <c r="I43" s="937">
        <f>IFERROR(IF(('A. Dades de partida'!$D$10*G43*'7. Erosió de costa'!$C$86/1000000)&lt;0,"guanya sorra",'A. Dades de partida'!$D$10*G43*'7. Erosió de costa'!$C$86/1000000),"")</f>
        <v>8.3391288209606973</v>
      </c>
      <c r="J43" s="931">
        <f>E43</f>
        <v>-0.78</v>
      </c>
      <c r="K43" s="931">
        <f>IF($J43&gt;0, $J43-($J43*'7. Erosió de costa'!D$140*'7. Erosió de costa'!$D$111),$J43+($J43*'7. Erosió de costa'!D$140*'7. Erosió de costa'!$D$111))</f>
        <v>-0.79502941176470587</v>
      </c>
      <c r="L43" s="931">
        <f>IF($J43&gt;0, $J43-($J43*'7. Erosió de costa'!E$140*'7. Erosió de costa'!$D$111),$J43+($J43*'7. Erosió de costa'!E$140*'7. Erosió de costa'!$D$111))</f>
        <v>-0.81005882352941183</v>
      </c>
      <c r="M43" s="931">
        <f>IF($J43&gt;0, $J43-($J43*'7. Erosió de costa'!F$140*'7. Erosió de costa'!$D$111),$J43+($J43*'7. Erosió de costa'!F$140*'7. Erosió de costa'!$D$111))</f>
        <v>-0.82508823529411768</v>
      </c>
      <c r="N43" s="931">
        <f>IF($J43&gt;0, $J43-($J43*'7. Erosió de costa'!G$140*'7. Erosió de costa'!$D$111),$J43+($J43*'7. Erosió de costa'!G$140*'7. Erosió de costa'!$D$111))</f>
        <v>-0.84011764705882352</v>
      </c>
      <c r="O43" s="931">
        <f>IF($J43&gt;0, $J43-($J43*'7. Erosió de costa'!H$140*'7. Erosió de costa'!$D$111),$J43+($J43*'7. Erosió de costa'!H$140*'7. Erosió de costa'!$D$111))</f>
        <v>-0.85514705882352948</v>
      </c>
      <c r="P43" s="931">
        <f>IF($J43&gt;0, $J43-($J43*'7. Erosió de costa'!I$140*'7. Erosió de costa'!$D$111),$J43+($J43*'7. Erosió de costa'!I$140*'7. Erosió de costa'!$D$111))</f>
        <v>-0.87017647058823533</v>
      </c>
      <c r="Q43" s="931">
        <f>IF($J43&gt;0, $J43-($J43*'7. Erosió de costa'!J$140*'7. Erosió de costa'!$D$111),$J43+($J43*'7. Erosió de costa'!J$140*'7. Erosió de costa'!$D$111))</f>
        <v>-0.88520588235294118</v>
      </c>
      <c r="R43" s="931">
        <f>IF($J43&gt;0, $J43-($J43*'7. Erosió de costa'!K$140*'7. Erosió de costa'!$D$111),$J43+($J43*'7. Erosió de costa'!K$140*'7. Erosió de costa'!$D$111))</f>
        <v>-0.90023529411764713</v>
      </c>
      <c r="S43" s="931">
        <f>IF($J43&gt;0, $J43-($J43*'7. Erosió de costa'!L$140*'7. Erosió de costa'!$D$111),$J43+($J43*'7. Erosió de costa'!L$140*'7. Erosió de costa'!$D$111))</f>
        <v>-0.91526470588235298</v>
      </c>
      <c r="T43" s="931">
        <f>IF($J43&gt;0, $J43-($J43*'7. Erosió de costa'!M$140*'7. Erosió de costa'!$D$111),$J43+($J43*'7. Erosió de costa'!M$140*'7. Erosió de costa'!$D$111))</f>
        <v>-0.93029411764705883</v>
      </c>
      <c r="U43" s="931">
        <f>IF($J43&gt;0, $J43-($J43*'7. Erosió de costa'!N$140*'7. Erosió de costa'!$D$111),$J43+($J43*'7. Erosió de costa'!N$140*'7. Erosió de costa'!$D$111))</f>
        <v>-0.94532352941176478</v>
      </c>
      <c r="V43" s="931">
        <f>IF($J43&gt;0, $J43-($J43*'7. Erosió de costa'!O$140*'7. Erosió de costa'!$D$111),$J43+($J43*'7. Erosió de costa'!O$140*'7. Erosió de costa'!$D$111))</f>
        <v>-0.96035294117647063</v>
      </c>
      <c r="W43" s="931">
        <f>IF($J43&gt;0, $J43-($J43*'7. Erosió de costa'!P$140*'7. Erosió de costa'!$D$111),$J43+($J43*'7. Erosió de costa'!P$140*'7. Erosió de costa'!$D$111))</f>
        <v>-0.97538235294117648</v>
      </c>
      <c r="X43" s="931">
        <f>IF($J43&gt;0, $J43-($J43*'7. Erosió de costa'!Q$140*'7. Erosió de costa'!$D$111),$J43+($J43*'7. Erosió de costa'!Q$140*'7. Erosió de costa'!$D$111))</f>
        <v>-0.99041176470588232</v>
      </c>
      <c r="Y43" s="931">
        <f>IF($J43&gt;0, $J43-($J43*'7. Erosió de costa'!R$140*'7. Erosió de costa'!$D$111),$J43+($J43*'7. Erosió de costa'!R$140*'7. Erosió de costa'!$D$111))</f>
        <v>-1.0054411764705882</v>
      </c>
      <c r="Z43" s="941">
        <f t="shared" si="6"/>
        <v>16846.724890829693</v>
      </c>
      <c r="AA43" s="941">
        <f t="shared" si="7"/>
        <v>17171.335615536103</v>
      </c>
      <c r="AB43" s="941">
        <f t="shared" si="8"/>
        <v>17495.946340242514</v>
      </c>
      <c r="AC43" s="941">
        <f t="shared" si="9"/>
        <v>17820.557064948924</v>
      </c>
      <c r="AD43" s="941">
        <f t="shared" si="10"/>
        <v>18145.16778965533</v>
      </c>
      <c r="AE43" s="941">
        <f t="shared" si="11"/>
        <v>18469.77851436174</v>
      </c>
      <c r="AF43" s="941">
        <f t="shared" si="12"/>
        <v>18794.38923906815</v>
      </c>
      <c r="AG43" s="941">
        <f t="shared" si="13"/>
        <v>19118.99996377456</v>
      </c>
      <c r="AH43" s="941">
        <f t="shared" si="14"/>
        <v>19443.610688480971</v>
      </c>
      <c r="AI43" s="941">
        <f t="shared" si="15"/>
        <v>19768.221413187377</v>
      </c>
      <c r="AJ43" s="941">
        <f t="shared" si="16"/>
        <v>20092.832137893787</v>
      </c>
      <c r="AK43" s="941">
        <f t="shared" si="17"/>
        <v>20417.442862600197</v>
      </c>
      <c r="AL43" s="941">
        <f t="shared" si="18"/>
        <v>20742.053587306604</v>
      </c>
      <c r="AM43" s="941">
        <f t="shared" si="19"/>
        <v>21066.664312013014</v>
      </c>
      <c r="AN43" s="941">
        <f t="shared" si="20"/>
        <v>21391.275036719424</v>
      </c>
      <c r="AO43" s="941">
        <f t="shared" si="21"/>
        <v>21715.88576142583</v>
      </c>
      <c r="AP43" s="895">
        <f>IF(AO43&lt;0,"No hi ha pèrdua",IFERROR(SUM(AA43:AO43)*'7. Erosió de costa'!$C$86/1000000,""))</f>
        <v>9.624587290798079</v>
      </c>
    </row>
    <row r="44" spans="1:42">
      <c r="A44" s="835">
        <v>8041</v>
      </c>
      <c r="B44" s="826" t="s">
        <v>900</v>
      </c>
      <c r="C44" s="835" t="str">
        <f t="shared" si="0"/>
        <v>NA</v>
      </c>
      <c r="D44" s="923" t="str">
        <f t="shared" si="1"/>
        <v>NA</v>
      </c>
      <c r="E44" s="931" t="str">
        <f t="shared" si="2"/>
        <v>NA</v>
      </c>
      <c r="F44" s="926" t="str">
        <f t="shared" si="3"/>
        <v>NA</v>
      </c>
      <c r="G44" s="923" t="str">
        <f t="shared" si="5"/>
        <v>NA</v>
      </c>
      <c r="H44" s="931" t="str">
        <f>IFERROR(IF((G44*'7. Erosió de costa'!$C$86/1000000)&lt;0,"guanya sorra",G44*'7. Erosió de costa'!$C$86/1000000),"")</f>
        <v/>
      </c>
      <c r="I44" s="937" t="str">
        <f>IFERROR(IF(('A. Dades de partida'!$D$10*G44*'7. Erosió de costa'!$C$86/1000000)&lt;0,"guanya sorra",'A. Dades de partida'!$D$10*G44*'7. Erosió de costa'!$C$86/1000000),"")</f>
        <v/>
      </c>
      <c r="J44" s="931"/>
      <c r="K44" s="931"/>
      <c r="L44" s="931"/>
      <c r="M44" s="931"/>
      <c r="N44" s="931"/>
      <c r="O44" s="931"/>
      <c r="P44" s="931"/>
      <c r="Q44" s="931"/>
      <c r="R44" s="931"/>
      <c r="S44" s="931"/>
      <c r="T44" s="931"/>
      <c r="U44" s="931"/>
      <c r="V44" s="931"/>
      <c r="W44" s="931"/>
      <c r="X44" s="931"/>
      <c r="Y44" s="931"/>
      <c r="Z44" s="941" t="str">
        <f t="shared" si="6"/>
        <v/>
      </c>
      <c r="AA44" s="941" t="str">
        <f t="shared" si="7"/>
        <v/>
      </c>
      <c r="AB44" s="941" t="str">
        <f t="shared" si="8"/>
        <v/>
      </c>
      <c r="AC44" s="941" t="str">
        <f t="shared" si="9"/>
        <v/>
      </c>
      <c r="AD44" s="941" t="str">
        <f t="shared" si="10"/>
        <v/>
      </c>
      <c r="AE44" s="941" t="str">
        <f t="shared" si="11"/>
        <v/>
      </c>
      <c r="AF44" s="941" t="str">
        <f t="shared" si="12"/>
        <v/>
      </c>
      <c r="AG44" s="941" t="str">
        <f t="shared" si="13"/>
        <v/>
      </c>
      <c r="AH44" s="941" t="str">
        <f t="shared" si="14"/>
        <v/>
      </c>
      <c r="AI44" s="941" t="str">
        <f t="shared" si="15"/>
        <v/>
      </c>
      <c r="AJ44" s="941" t="str">
        <f t="shared" si="16"/>
        <v/>
      </c>
      <c r="AK44" s="941" t="str">
        <f t="shared" si="17"/>
        <v/>
      </c>
      <c r="AL44" s="941" t="str">
        <f t="shared" si="18"/>
        <v/>
      </c>
      <c r="AM44" s="941" t="str">
        <f t="shared" si="19"/>
        <v/>
      </c>
      <c r="AN44" s="941" t="str">
        <f t="shared" si="20"/>
        <v/>
      </c>
      <c r="AO44" s="941" t="str">
        <f t="shared" si="21"/>
        <v/>
      </c>
      <c r="AP44" s="895">
        <f>IF(AO44&lt;0,"No hi ha pèrdua",IFERROR(SUM(AA44:AO44)*'7. Erosió de costa'!$C$86/1000000,""))</f>
        <v>0</v>
      </c>
    </row>
    <row r="45" spans="1:42">
      <c r="A45" s="835">
        <v>8042</v>
      </c>
      <c r="B45" s="826" t="s">
        <v>901</v>
      </c>
      <c r="C45" s="835" t="str">
        <f t="shared" si="0"/>
        <v>NA</v>
      </c>
      <c r="D45" s="923" t="str">
        <f t="shared" si="1"/>
        <v>NA</v>
      </c>
      <c r="E45" s="931" t="str">
        <f t="shared" si="2"/>
        <v>NA</v>
      </c>
      <c r="F45" s="926" t="str">
        <f t="shared" si="3"/>
        <v>NA</v>
      </c>
      <c r="G45" s="923" t="str">
        <f t="shared" si="5"/>
        <v>NA</v>
      </c>
      <c r="H45" s="931" t="str">
        <f>IFERROR(IF((G45*'7. Erosió de costa'!$C$86/1000000)&lt;0,"guanya sorra",G45*'7. Erosió de costa'!$C$86/1000000),"")</f>
        <v/>
      </c>
      <c r="I45" s="937" t="str">
        <f>IFERROR(IF(('A. Dades de partida'!$D$10*G45*'7. Erosió de costa'!$C$86/1000000)&lt;0,"guanya sorra",'A. Dades de partida'!$D$10*G45*'7. Erosió de costa'!$C$86/1000000),"")</f>
        <v/>
      </c>
      <c r="J45" s="931"/>
      <c r="K45" s="931"/>
      <c r="L45" s="931"/>
      <c r="M45" s="931"/>
      <c r="N45" s="931"/>
      <c r="O45" s="931"/>
      <c r="P45" s="931"/>
      <c r="Q45" s="931"/>
      <c r="R45" s="931"/>
      <c r="S45" s="931"/>
      <c r="T45" s="931"/>
      <c r="U45" s="931"/>
      <c r="V45" s="931"/>
      <c r="W45" s="931"/>
      <c r="X45" s="931"/>
      <c r="Y45" s="931"/>
      <c r="Z45" s="941" t="str">
        <f t="shared" si="6"/>
        <v/>
      </c>
      <c r="AA45" s="941" t="str">
        <f t="shared" si="7"/>
        <v/>
      </c>
      <c r="AB45" s="941" t="str">
        <f t="shared" si="8"/>
        <v/>
      </c>
      <c r="AC45" s="941" t="str">
        <f t="shared" si="9"/>
        <v/>
      </c>
      <c r="AD45" s="941" t="str">
        <f t="shared" si="10"/>
        <v/>
      </c>
      <c r="AE45" s="941" t="str">
        <f t="shared" si="11"/>
        <v/>
      </c>
      <c r="AF45" s="941" t="str">
        <f t="shared" si="12"/>
        <v/>
      </c>
      <c r="AG45" s="941" t="str">
        <f t="shared" si="13"/>
        <v/>
      </c>
      <c r="AH45" s="941" t="str">
        <f t="shared" si="14"/>
        <v/>
      </c>
      <c r="AI45" s="941" t="str">
        <f t="shared" si="15"/>
        <v/>
      </c>
      <c r="AJ45" s="941" t="str">
        <f t="shared" si="16"/>
        <v/>
      </c>
      <c r="AK45" s="941" t="str">
        <f t="shared" si="17"/>
        <v/>
      </c>
      <c r="AL45" s="941" t="str">
        <f t="shared" si="18"/>
        <v/>
      </c>
      <c r="AM45" s="941" t="str">
        <f t="shared" si="19"/>
        <v/>
      </c>
      <c r="AN45" s="941" t="str">
        <f t="shared" si="20"/>
        <v/>
      </c>
      <c r="AO45" s="941" t="str">
        <f t="shared" si="21"/>
        <v/>
      </c>
      <c r="AP45" s="895">
        <f>IF(AO45&lt;0,"No hi ha pèrdua",IFERROR(SUM(AA45:AO45)*'7. Erosió de costa'!$C$86/1000000,""))</f>
        <v>0</v>
      </c>
    </row>
    <row r="46" spans="1:42">
      <c r="A46" s="835">
        <v>8043</v>
      </c>
      <c r="B46" s="826" t="s">
        <v>906</v>
      </c>
      <c r="C46" s="835" t="str">
        <f t="shared" si="0"/>
        <v>NA</v>
      </c>
      <c r="D46" s="923" t="str">
        <f t="shared" si="1"/>
        <v>NA</v>
      </c>
      <c r="E46" s="931" t="str">
        <f t="shared" si="2"/>
        <v>NA</v>
      </c>
      <c r="F46" s="926" t="str">
        <f t="shared" si="3"/>
        <v>NA</v>
      </c>
      <c r="G46" s="923" t="str">
        <f t="shared" si="5"/>
        <v>NA</v>
      </c>
      <c r="H46" s="931" t="str">
        <f>IFERROR(IF((G46*'7. Erosió de costa'!$C$86/1000000)&lt;0,"guanya sorra",G46*'7. Erosió de costa'!$C$86/1000000),"")</f>
        <v/>
      </c>
      <c r="I46" s="937" t="str">
        <f>IFERROR(IF(('A. Dades de partida'!$D$10*G46*'7. Erosió de costa'!$C$86/1000000)&lt;0,"guanya sorra",'A. Dades de partida'!$D$10*G46*'7. Erosió de costa'!$C$86/1000000),"")</f>
        <v/>
      </c>
      <c r="J46" s="931"/>
      <c r="K46" s="931"/>
      <c r="L46" s="931"/>
      <c r="M46" s="931"/>
      <c r="N46" s="931"/>
      <c r="O46" s="931"/>
      <c r="P46" s="931"/>
      <c r="Q46" s="931"/>
      <c r="R46" s="931"/>
      <c r="S46" s="931"/>
      <c r="T46" s="931"/>
      <c r="U46" s="931"/>
      <c r="V46" s="931"/>
      <c r="W46" s="931"/>
      <c r="X46" s="931"/>
      <c r="Y46" s="931"/>
      <c r="Z46" s="941" t="str">
        <f t="shared" si="6"/>
        <v/>
      </c>
      <c r="AA46" s="941" t="str">
        <f t="shared" si="7"/>
        <v/>
      </c>
      <c r="AB46" s="941" t="str">
        <f t="shared" si="8"/>
        <v/>
      </c>
      <c r="AC46" s="941" t="str">
        <f t="shared" si="9"/>
        <v/>
      </c>
      <c r="AD46" s="941" t="str">
        <f t="shared" si="10"/>
        <v/>
      </c>
      <c r="AE46" s="941" t="str">
        <f t="shared" si="11"/>
        <v/>
      </c>
      <c r="AF46" s="941" t="str">
        <f t="shared" si="12"/>
        <v/>
      </c>
      <c r="AG46" s="941" t="str">
        <f t="shared" si="13"/>
        <v/>
      </c>
      <c r="AH46" s="941" t="str">
        <f t="shared" si="14"/>
        <v/>
      </c>
      <c r="AI46" s="941" t="str">
        <f t="shared" si="15"/>
        <v/>
      </c>
      <c r="AJ46" s="941" t="str">
        <f t="shared" si="16"/>
        <v/>
      </c>
      <c r="AK46" s="941" t="str">
        <f t="shared" si="17"/>
        <v/>
      </c>
      <c r="AL46" s="941" t="str">
        <f t="shared" si="18"/>
        <v/>
      </c>
      <c r="AM46" s="941" t="str">
        <f t="shared" si="19"/>
        <v/>
      </c>
      <c r="AN46" s="941" t="str">
        <f t="shared" si="20"/>
        <v/>
      </c>
      <c r="AO46" s="941" t="str">
        <f t="shared" si="21"/>
        <v/>
      </c>
      <c r="AP46" s="895">
        <f>IF(AO46&lt;0,"No hi ha pèrdua",IFERROR(SUM(AA46:AO46)*'7. Erosió de costa'!$C$86/1000000,""))</f>
        <v>0</v>
      </c>
    </row>
    <row r="47" spans="1:42">
      <c r="A47" s="835">
        <v>8044</v>
      </c>
      <c r="B47" s="826" t="s">
        <v>912</v>
      </c>
      <c r="C47" s="835" t="str">
        <f t="shared" si="0"/>
        <v>NA</v>
      </c>
      <c r="D47" s="923" t="str">
        <f t="shared" si="1"/>
        <v>NA</v>
      </c>
      <c r="E47" s="931" t="str">
        <f t="shared" si="2"/>
        <v>NA</v>
      </c>
      <c r="F47" s="926" t="str">
        <f t="shared" si="3"/>
        <v>NA</v>
      </c>
      <c r="G47" s="923" t="str">
        <f t="shared" si="5"/>
        <v>NA</v>
      </c>
      <c r="H47" s="931" t="str">
        <f>IFERROR(IF((G47*'7. Erosió de costa'!$C$86/1000000)&lt;0,"guanya sorra",G47*'7. Erosió de costa'!$C$86/1000000),"")</f>
        <v/>
      </c>
      <c r="I47" s="937" t="str">
        <f>IFERROR(IF(('A. Dades de partida'!$D$10*G47*'7. Erosió de costa'!$C$86/1000000)&lt;0,"guanya sorra",'A. Dades de partida'!$D$10*G47*'7. Erosió de costa'!$C$86/1000000),"")</f>
        <v/>
      </c>
      <c r="J47" s="931"/>
      <c r="K47" s="931"/>
      <c r="L47" s="931"/>
      <c r="M47" s="931"/>
      <c r="N47" s="931"/>
      <c r="O47" s="931"/>
      <c r="P47" s="931"/>
      <c r="Q47" s="931"/>
      <c r="R47" s="931"/>
      <c r="S47" s="931"/>
      <c r="T47" s="931"/>
      <c r="U47" s="931"/>
      <c r="V47" s="931"/>
      <c r="W47" s="931"/>
      <c r="X47" s="931"/>
      <c r="Y47" s="931"/>
      <c r="Z47" s="941" t="str">
        <f t="shared" si="6"/>
        <v/>
      </c>
      <c r="AA47" s="941" t="str">
        <f t="shared" si="7"/>
        <v/>
      </c>
      <c r="AB47" s="941" t="str">
        <f t="shared" si="8"/>
        <v/>
      </c>
      <c r="AC47" s="941" t="str">
        <f t="shared" si="9"/>
        <v/>
      </c>
      <c r="AD47" s="941" t="str">
        <f t="shared" si="10"/>
        <v/>
      </c>
      <c r="AE47" s="941" t="str">
        <f t="shared" si="11"/>
        <v/>
      </c>
      <c r="AF47" s="941" t="str">
        <f t="shared" si="12"/>
        <v/>
      </c>
      <c r="AG47" s="941" t="str">
        <f t="shared" si="13"/>
        <v/>
      </c>
      <c r="AH47" s="941" t="str">
        <f t="shared" si="14"/>
        <v/>
      </c>
      <c r="AI47" s="941" t="str">
        <f t="shared" si="15"/>
        <v/>
      </c>
      <c r="AJ47" s="941" t="str">
        <f t="shared" si="16"/>
        <v/>
      </c>
      <c r="AK47" s="941" t="str">
        <f t="shared" si="17"/>
        <v/>
      </c>
      <c r="AL47" s="941" t="str">
        <f t="shared" si="18"/>
        <v/>
      </c>
      <c r="AM47" s="941" t="str">
        <f t="shared" si="19"/>
        <v/>
      </c>
      <c r="AN47" s="941" t="str">
        <f t="shared" si="20"/>
        <v/>
      </c>
      <c r="AO47" s="941" t="str">
        <f t="shared" si="21"/>
        <v/>
      </c>
      <c r="AP47" s="895">
        <f>IF(AO47&lt;0,"No hi ha pèrdua",IFERROR(SUM(AA47:AO47)*'7. Erosió de costa'!$C$86/1000000,""))</f>
        <v>0</v>
      </c>
    </row>
    <row r="48" spans="1:42">
      <c r="A48" s="835">
        <v>8045</v>
      </c>
      <c r="B48" s="826" t="s">
        <v>916</v>
      </c>
      <c r="C48" s="835" t="str">
        <f t="shared" si="0"/>
        <v>NA</v>
      </c>
      <c r="D48" s="923" t="str">
        <f t="shared" si="1"/>
        <v>NA</v>
      </c>
      <c r="E48" s="931" t="str">
        <f t="shared" si="2"/>
        <v>NA</v>
      </c>
      <c r="F48" s="926" t="str">
        <f t="shared" si="3"/>
        <v>NA</v>
      </c>
      <c r="G48" s="923" t="str">
        <f t="shared" si="5"/>
        <v>NA</v>
      </c>
      <c r="H48" s="931" t="str">
        <f>IFERROR(IF((G48*'7. Erosió de costa'!$C$86/1000000)&lt;0,"guanya sorra",G48*'7. Erosió de costa'!$C$86/1000000),"")</f>
        <v/>
      </c>
      <c r="I48" s="937" t="str">
        <f>IFERROR(IF(('A. Dades de partida'!$D$10*G48*'7. Erosió de costa'!$C$86/1000000)&lt;0,"guanya sorra",'A. Dades de partida'!$D$10*G48*'7. Erosió de costa'!$C$86/1000000),"")</f>
        <v/>
      </c>
      <c r="J48" s="931"/>
      <c r="K48" s="931"/>
      <c r="L48" s="931"/>
      <c r="M48" s="931"/>
      <c r="N48" s="931"/>
      <c r="O48" s="931"/>
      <c r="P48" s="931"/>
      <c r="Q48" s="931"/>
      <c r="R48" s="931"/>
      <c r="S48" s="931"/>
      <c r="T48" s="931"/>
      <c r="U48" s="931"/>
      <c r="V48" s="931"/>
      <c r="W48" s="931"/>
      <c r="X48" s="931"/>
      <c r="Y48" s="931"/>
      <c r="Z48" s="941" t="str">
        <f t="shared" si="6"/>
        <v/>
      </c>
      <c r="AA48" s="941" t="str">
        <f t="shared" si="7"/>
        <v/>
      </c>
      <c r="AB48" s="941" t="str">
        <f t="shared" si="8"/>
        <v/>
      </c>
      <c r="AC48" s="941" t="str">
        <f t="shared" si="9"/>
        <v/>
      </c>
      <c r="AD48" s="941" t="str">
        <f t="shared" si="10"/>
        <v/>
      </c>
      <c r="AE48" s="941" t="str">
        <f t="shared" si="11"/>
        <v/>
      </c>
      <c r="AF48" s="941" t="str">
        <f t="shared" si="12"/>
        <v/>
      </c>
      <c r="AG48" s="941" t="str">
        <f t="shared" si="13"/>
        <v/>
      </c>
      <c r="AH48" s="941" t="str">
        <f t="shared" si="14"/>
        <v/>
      </c>
      <c r="AI48" s="941" t="str">
        <f t="shared" si="15"/>
        <v/>
      </c>
      <c r="AJ48" s="941" t="str">
        <f t="shared" si="16"/>
        <v/>
      </c>
      <c r="AK48" s="941" t="str">
        <f t="shared" si="17"/>
        <v/>
      </c>
      <c r="AL48" s="941" t="str">
        <f t="shared" si="18"/>
        <v/>
      </c>
      <c r="AM48" s="941" t="str">
        <f t="shared" si="19"/>
        <v/>
      </c>
      <c r="AN48" s="941" t="str">
        <f t="shared" si="20"/>
        <v/>
      </c>
      <c r="AO48" s="941" t="str">
        <f t="shared" si="21"/>
        <v/>
      </c>
      <c r="AP48" s="895">
        <f>IF(AO48&lt;0,"No hi ha pèrdua",IFERROR(SUM(AA48:AO48)*'7. Erosió de costa'!$C$86/1000000,""))</f>
        <v>0</v>
      </c>
    </row>
    <row r="49" spans="1:42">
      <c r="A49" s="835">
        <v>8046</v>
      </c>
      <c r="B49" s="826" t="s">
        <v>920</v>
      </c>
      <c r="C49" s="835" t="str">
        <f t="shared" si="0"/>
        <v>NA</v>
      </c>
      <c r="D49" s="923" t="str">
        <f t="shared" si="1"/>
        <v>NA</v>
      </c>
      <c r="E49" s="931" t="str">
        <f t="shared" si="2"/>
        <v>NA</v>
      </c>
      <c r="F49" s="926" t="str">
        <f t="shared" si="3"/>
        <v>NA</v>
      </c>
      <c r="G49" s="923" t="str">
        <f t="shared" si="5"/>
        <v>NA</v>
      </c>
      <c r="H49" s="931" t="str">
        <f>IFERROR(IF((G49*'7. Erosió de costa'!$C$86/1000000)&lt;0,"guanya sorra",G49*'7. Erosió de costa'!$C$86/1000000),"")</f>
        <v/>
      </c>
      <c r="I49" s="937" t="str">
        <f>IFERROR(IF(('A. Dades de partida'!$D$10*G49*'7. Erosió de costa'!$C$86/1000000)&lt;0,"guanya sorra",'A. Dades de partida'!$D$10*G49*'7. Erosió de costa'!$C$86/1000000),"")</f>
        <v/>
      </c>
      <c r="J49" s="931"/>
      <c r="K49" s="931"/>
      <c r="L49" s="931"/>
      <c r="M49" s="931"/>
      <c r="N49" s="931"/>
      <c r="O49" s="931"/>
      <c r="P49" s="931"/>
      <c r="Q49" s="931"/>
      <c r="R49" s="931"/>
      <c r="S49" s="931"/>
      <c r="T49" s="931"/>
      <c r="U49" s="931"/>
      <c r="V49" s="931"/>
      <c r="W49" s="931"/>
      <c r="X49" s="931"/>
      <c r="Y49" s="931"/>
      <c r="Z49" s="941" t="str">
        <f t="shared" si="6"/>
        <v/>
      </c>
      <c r="AA49" s="941" t="str">
        <f t="shared" si="7"/>
        <v/>
      </c>
      <c r="AB49" s="941" t="str">
        <f t="shared" si="8"/>
        <v/>
      </c>
      <c r="AC49" s="941" t="str">
        <f t="shared" si="9"/>
        <v/>
      </c>
      <c r="AD49" s="941" t="str">
        <f t="shared" si="10"/>
        <v/>
      </c>
      <c r="AE49" s="941" t="str">
        <f t="shared" si="11"/>
        <v/>
      </c>
      <c r="AF49" s="941" t="str">
        <f t="shared" si="12"/>
        <v/>
      </c>
      <c r="AG49" s="941" t="str">
        <f t="shared" si="13"/>
        <v/>
      </c>
      <c r="AH49" s="941" t="str">
        <f t="shared" si="14"/>
        <v/>
      </c>
      <c r="AI49" s="941" t="str">
        <f t="shared" si="15"/>
        <v/>
      </c>
      <c r="AJ49" s="941" t="str">
        <f t="shared" si="16"/>
        <v/>
      </c>
      <c r="AK49" s="941" t="str">
        <f t="shared" si="17"/>
        <v/>
      </c>
      <c r="AL49" s="941" t="str">
        <f t="shared" si="18"/>
        <v/>
      </c>
      <c r="AM49" s="941" t="str">
        <f t="shared" si="19"/>
        <v/>
      </c>
      <c r="AN49" s="941" t="str">
        <f t="shared" si="20"/>
        <v/>
      </c>
      <c r="AO49" s="941" t="str">
        <f t="shared" si="21"/>
        <v/>
      </c>
      <c r="AP49" s="895">
        <f>IF(AO49&lt;0,"No hi ha pèrdua",IFERROR(SUM(AA49:AO49)*'7. Erosió de costa'!$C$86/1000000,""))</f>
        <v>0</v>
      </c>
    </row>
    <row r="50" spans="1:42">
      <c r="A50" s="835">
        <v>8047</v>
      </c>
      <c r="B50" s="826" t="s">
        <v>924</v>
      </c>
      <c r="C50" s="835" t="str">
        <f t="shared" si="0"/>
        <v>NA</v>
      </c>
      <c r="D50" s="923" t="str">
        <f t="shared" si="1"/>
        <v>NA</v>
      </c>
      <c r="E50" s="931" t="str">
        <f t="shared" si="2"/>
        <v>NA</v>
      </c>
      <c r="F50" s="926" t="str">
        <f t="shared" si="3"/>
        <v>NA</v>
      </c>
      <c r="G50" s="923" t="str">
        <f t="shared" si="5"/>
        <v>NA</v>
      </c>
      <c r="H50" s="931" t="str">
        <f>IFERROR(IF((G50*'7. Erosió de costa'!$C$86/1000000)&lt;0,"guanya sorra",G50*'7. Erosió de costa'!$C$86/1000000),"")</f>
        <v/>
      </c>
      <c r="I50" s="937" t="str">
        <f>IFERROR(IF(('A. Dades de partida'!$D$10*G50*'7. Erosió de costa'!$C$86/1000000)&lt;0,"guanya sorra",'A. Dades de partida'!$D$10*G50*'7. Erosió de costa'!$C$86/1000000),"")</f>
        <v/>
      </c>
      <c r="J50" s="931"/>
      <c r="K50" s="931"/>
      <c r="L50" s="931"/>
      <c r="M50" s="931"/>
      <c r="N50" s="931"/>
      <c r="O50" s="931"/>
      <c r="P50" s="931"/>
      <c r="Q50" s="931"/>
      <c r="R50" s="931"/>
      <c r="S50" s="931"/>
      <c r="T50" s="931"/>
      <c r="U50" s="931"/>
      <c r="V50" s="931"/>
      <c r="W50" s="931"/>
      <c r="X50" s="931"/>
      <c r="Y50" s="931"/>
      <c r="Z50" s="941" t="str">
        <f t="shared" si="6"/>
        <v/>
      </c>
      <c r="AA50" s="941" t="str">
        <f t="shared" si="7"/>
        <v/>
      </c>
      <c r="AB50" s="941" t="str">
        <f t="shared" si="8"/>
        <v/>
      </c>
      <c r="AC50" s="941" t="str">
        <f t="shared" si="9"/>
        <v/>
      </c>
      <c r="AD50" s="941" t="str">
        <f t="shared" si="10"/>
        <v/>
      </c>
      <c r="AE50" s="941" t="str">
        <f t="shared" si="11"/>
        <v/>
      </c>
      <c r="AF50" s="941" t="str">
        <f t="shared" si="12"/>
        <v/>
      </c>
      <c r="AG50" s="941" t="str">
        <f t="shared" si="13"/>
        <v/>
      </c>
      <c r="AH50" s="941" t="str">
        <f t="shared" si="14"/>
        <v/>
      </c>
      <c r="AI50" s="941" t="str">
        <f t="shared" si="15"/>
        <v/>
      </c>
      <c r="AJ50" s="941" t="str">
        <f t="shared" si="16"/>
        <v/>
      </c>
      <c r="AK50" s="941" t="str">
        <f t="shared" si="17"/>
        <v/>
      </c>
      <c r="AL50" s="941" t="str">
        <f t="shared" si="18"/>
        <v/>
      </c>
      <c r="AM50" s="941" t="str">
        <f t="shared" si="19"/>
        <v/>
      </c>
      <c r="AN50" s="941" t="str">
        <f t="shared" si="20"/>
        <v/>
      </c>
      <c r="AO50" s="941" t="str">
        <f t="shared" si="21"/>
        <v/>
      </c>
      <c r="AP50" s="895">
        <f>IF(AO50&lt;0,"No hi ha pèrdua",IFERROR(SUM(AA50:AO50)*'7. Erosió de costa'!$C$86/1000000,""))</f>
        <v>0</v>
      </c>
    </row>
    <row r="51" spans="1:42">
      <c r="A51" s="835">
        <v>8048</v>
      </c>
      <c r="B51" s="826" t="s">
        <v>929</v>
      </c>
      <c r="C51" s="835" t="str">
        <f t="shared" si="0"/>
        <v>NA</v>
      </c>
      <c r="D51" s="923" t="str">
        <f t="shared" si="1"/>
        <v>NA</v>
      </c>
      <c r="E51" s="931" t="str">
        <f t="shared" si="2"/>
        <v>NA</v>
      </c>
      <c r="F51" s="926" t="str">
        <f t="shared" si="3"/>
        <v>NA</v>
      </c>
      <c r="G51" s="923" t="str">
        <f t="shared" si="5"/>
        <v>NA</v>
      </c>
      <c r="H51" s="931" t="str">
        <f>IFERROR(IF((G51*'7. Erosió de costa'!$C$86/1000000)&lt;0,"guanya sorra",G51*'7. Erosió de costa'!$C$86/1000000),"")</f>
        <v/>
      </c>
      <c r="I51" s="937" t="str">
        <f>IFERROR(IF(('A. Dades de partida'!$D$10*G51*'7. Erosió de costa'!$C$86/1000000)&lt;0,"guanya sorra",'A. Dades de partida'!$D$10*G51*'7. Erosió de costa'!$C$86/1000000),"")</f>
        <v/>
      </c>
      <c r="J51" s="931"/>
      <c r="K51" s="931"/>
      <c r="L51" s="931"/>
      <c r="M51" s="931"/>
      <c r="N51" s="931"/>
      <c r="O51" s="931"/>
      <c r="P51" s="931"/>
      <c r="Q51" s="931"/>
      <c r="R51" s="931"/>
      <c r="S51" s="931"/>
      <c r="T51" s="931"/>
      <c r="U51" s="931"/>
      <c r="V51" s="931"/>
      <c r="W51" s="931"/>
      <c r="X51" s="931"/>
      <c r="Y51" s="931"/>
      <c r="Z51" s="941" t="str">
        <f t="shared" si="6"/>
        <v/>
      </c>
      <c r="AA51" s="941" t="str">
        <f t="shared" si="7"/>
        <v/>
      </c>
      <c r="AB51" s="941" t="str">
        <f t="shared" si="8"/>
        <v/>
      </c>
      <c r="AC51" s="941" t="str">
        <f t="shared" si="9"/>
        <v/>
      </c>
      <c r="AD51" s="941" t="str">
        <f t="shared" si="10"/>
        <v/>
      </c>
      <c r="AE51" s="941" t="str">
        <f t="shared" si="11"/>
        <v/>
      </c>
      <c r="AF51" s="941" t="str">
        <f t="shared" si="12"/>
        <v/>
      </c>
      <c r="AG51" s="941" t="str">
        <f t="shared" si="13"/>
        <v/>
      </c>
      <c r="AH51" s="941" t="str">
        <f t="shared" si="14"/>
        <v/>
      </c>
      <c r="AI51" s="941" t="str">
        <f t="shared" si="15"/>
        <v/>
      </c>
      <c r="AJ51" s="941" t="str">
        <f t="shared" si="16"/>
        <v/>
      </c>
      <c r="AK51" s="941" t="str">
        <f t="shared" si="17"/>
        <v/>
      </c>
      <c r="AL51" s="941" t="str">
        <f t="shared" si="18"/>
        <v/>
      </c>
      <c r="AM51" s="941" t="str">
        <f t="shared" si="19"/>
        <v/>
      </c>
      <c r="AN51" s="941" t="str">
        <f t="shared" si="20"/>
        <v/>
      </c>
      <c r="AO51" s="941" t="str">
        <f t="shared" si="21"/>
        <v/>
      </c>
      <c r="AP51" s="895">
        <f>IF(AO51&lt;0,"No hi ha pèrdua",IFERROR(SUM(AA51:AO51)*'7. Erosió de costa'!$C$86/1000000,""))</f>
        <v>0</v>
      </c>
    </row>
    <row r="52" spans="1:42">
      <c r="A52" s="835">
        <v>8049</v>
      </c>
      <c r="B52" s="826" t="s">
        <v>934</v>
      </c>
      <c r="C52" s="835" t="str">
        <f t="shared" si="0"/>
        <v>NA</v>
      </c>
      <c r="D52" s="923" t="str">
        <f t="shared" si="1"/>
        <v>NA</v>
      </c>
      <c r="E52" s="931" t="str">
        <f t="shared" si="2"/>
        <v>NA</v>
      </c>
      <c r="F52" s="926" t="str">
        <f t="shared" si="3"/>
        <v>NA</v>
      </c>
      <c r="G52" s="923" t="str">
        <f t="shared" si="5"/>
        <v>NA</v>
      </c>
      <c r="H52" s="931" t="str">
        <f>IFERROR(IF((G52*'7. Erosió de costa'!$C$86/1000000)&lt;0,"guanya sorra",G52*'7. Erosió de costa'!$C$86/1000000),"")</f>
        <v/>
      </c>
      <c r="I52" s="937" t="str">
        <f>IFERROR(IF(('A. Dades de partida'!$D$10*G52*'7. Erosió de costa'!$C$86/1000000)&lt;0,"guanya sorra",'A. Dades de partida'!$D$10*G52*'7. Erosió de costa'!$C$86/1000000),"")</f>
        <v/>
      </c>
      <c r="J52" s="931"/>
      <c r="K52" s="931"/>
      <c r="L52" s="931"/>
      <c r="M52" s="931"/>
      <c r="N52" s="931"/>
      <c r="O52" s="931"/>
      <c r="P52" s="931"/>
      <c r="Q52" s="931"/>
      <c r="R52" s="931"/>
      <c r="S52" s="931"/>
      <c r="T52" s="931"/>
      <c r="U52" s="931"/>
      <c r="V52" s="931"/>
      <c r="W52" s="931"/>
      <c r="X52" s="931"/>
      <c r="Y52" s="931"/>
      <c r="Z52" s="941" t="str">
        <f t="shared" si="6"/>
        <v/>
      </c>
      <c r="AA52" s="941" t="str">
        <f t="shared" si="7"/>
        <v/>
      </c>
      <c r="AB52" s="941" t="str">
        <f t="shared" si="8"/>
        <v/>
      </c>
      <c r="AC52" s="941" t="str">
        <f t="shared" si="9"/>
        <v/>
      </c>
      <c r="AD52" s="941" t="str">
        <f t="shared" si="10"/>
        <v/>
      </c>
      <c r="AE52" s="941" t="str">
        <f t="shared" si="11"/>
        <v/>
      </c>
      <c r="AF52" s="941" t="str">
        <f t="shared" si="12"/>
        <v/>
      </c>
      <c r="AG52" s="941" t="str">
        <f t="shared" si="13"/>
        <v/>
      </c>
      <c r="AH52" s="941" t="str">
        <f t="shared" si="14"/>
        <v/>
      </c>
      <c r="AI52" s="941" t="str">
        <f t="shared" si="15"/>
        <v/>
      </c>
      <c r="AJ52" s="941" t="str">
        <f t="shared" si="16"/>
        <v/>
      </c>
      <c r="AK52" s="941" t="str">
        <f t="shared" si="17"/>
        <v/>
      </c>
      <c r="AL52" s="941" t="str">
        <f t="shared" si="18"/>
        <v/>
      </c>
      <c r="AM52" s="941" t="str">
        <f t="shared" si="19"/>
        <v/>
      </c>
      <c r="AN52" s="941" t="str">
        <f t="shared" si="20"/>
        <v/>
      </c>
      <c r="AO52" s="941" t="str">
        <f t="shared" si="21"/>
        <v/>
      </c>
      <c r="AP52" s="895">
        <f>IF(AO52&lt;0,"No hi ha pèrdua",IFERROR(SUM(AA52:AO52)*'7. Erosió de costa'!$C$86/1000000,""))</f>
        <v>0</v>
      </c>
    </row>
    <row r="53" spans="1:42">
      <c r="A53" s="835">
        <v>8050</v>
      </c>
      <c r="B53" s="826" t="s">
        <v>942</v>
      </c>
      <c r="C53" s="835" t="str">
        <f t="shared" si="0"/>
        <v>NA</v>
      </c>
      <c r="D53" s="923" t="str">
        <f t="shared" si="1"/>
        <v>NA</v>
      </c>
      <c r="E53" s="931" t="str">
        <f t="shared" si="2"/>
        <v>NA</v>
      </c>
      <c r="F53" s="926" t="str">
        <f t="shared" si="3"/>
        <v>NA</v>
      </c>
      <c r="G53" s="923" t="str">
        <f t="shared" si="5"/>
        <v>NA</v>
      </c>
      <c r="H53" s="931" t="str">
        <f>IFERROR(IF((G53*'7. Erosió de costa'!$C$86/1000000)&lt;0,"guanya sorra",G53*'7. Erosió de costa'!$C$86/1000000),"")</f>
        <v/>
      </c>
      <c r="I53" s="937" t="str">
        <f>IFERROR(IF(('A. Dades de partida'!$D$10*G53*'7. Erosió de costa'!$C$86/1000000)&lt;0,"guanya sorra",'A. Dades de partida'!$D$10*G53*'7. Erosió de costa'!$C$86/1000000),"")</f>
        <v/>
      </c>
      <c r="J53" s="931"/>
      <c r="K53" s="931"/>
      <c r="L53" s="931"/>
      <c r="M53" s="931"/>
      <c r="N53" s="931"/>
      <c r="O53" s="931"/>
      <c r="P53" s="931"/>
      <c r="Q53" s="931"/>
      <c r="R53" s="931"/>
      <c r="S53" s="931"/>
      <c r="T53" s="931"/>
      <c r="U53" s="931"/>
      <c r="V53" s="931"/>
      <c r="W53" s="931"/>
      <c r="X53" s="931"/>
      <c r="Y53" s="931"/>
      <c r="Z53" s="941" t="str">
        <f t="shared" si="6"/>
        <v/>
      </c>
      <c r="AA53" s="941" t="str">
        <f t="shared" si="7"/>
        <v/>
      </c>
      <c r="AB53" s="941" t="str">
        <f t="shared" si="8"/>
        <v/>
      </c>
      <c r="AC53" s="941" t="str">
        <f t="shared" si="9"/>
        <v/>
      </c>
      <c r="AD53" s="941" t="str">
        <f t="shared" si="10"/>
        <v/>
      </c>
      <c r="AE53" s="941" t="str">
        <f t="shared" si="11"/>
        <v/>
      </c>
      <c r="AF53" s="941" t="str">
        <f t="shared" si="12"/>
        <v/>
      </c>
      <c r="AG53" s="941" t="str">
        <f t="shared" si="13"/>
        <v/>
      </c>
      <c r="AH53" s="941" t="str">
        <f t="shared" si="14"/>
        <v/>
      </c>
      <c r="AI53" s="941" t="str">
        <f t="shared" si="15"/>
        <v/>
      </c>
      <c r="AJ53" s="941" t="str">
        <f t="shared" si="16"/>
        <v/>
      </c>
      <c r="AK53" s="941" t="str">
        <f t="shared" si="17"/>
        <v/>
      </c>
      <c r="AL53" s="941" t="str">
        <f t="shared" si="18"/>
        <v/>
      </c>
      <c r="AM53" s="941" t="str">
        <f t="shared" si="19"/>
        <v/>
      </c>
      <c r="AN53" s="941" t="str">
        <f t="shared" si="20"/>
        <v/>
      </c>
      <c r="AO53" s="941" t="str">
        <f t="shared" si="21"/>
        <v/>
      </c>
      <c r="AP53" s="895">
        <f>IF(AO53&lt;0,"No hi ha pèrdua",IFERROR(SUM(AA53:AO53)*'7. Erosió de costa'!$C$86/1000000,""))</f>
        <v>0</v>
      </c>
    </row>
    <row r="54" spans="1:42">
      <c r="A54" s="835">
        <v>8051</v>
      </c>
      <c r="B54" s="826" t="s">
        <v>944</v>
      </c>
      <c r="C54" s="835" t="str">
        <f t="shared" si="0"/>
        <v>NA</v>
      </c>
      <c r="D54" s="923" t="str">
        <f t="shared" si="1"/>
        <v>NA</v>
      </c>
      <c r="E54" s="931" t="str">
        <f t="shared" si="2"/>
        <v>NA</v>
      </c>
      <c r="F54" s="926" t="str">
        <f t="shared" si="3"/>
        <v>NA</v>
      </c>
      <c r="G54" s="923" t="str">
        <f t="shared" si="5"/>
        <v>NA</v>
      </c>
      <c r="H54" s="931" t="str">
        <f>IFERROR(IF((G54*'7. Erosió de costa'!$C$86/1000000)&lt;0,"guanya sorra",G54*'7. Erosió de costa'!$C$86/1000000),"")</f>
        <v/>
      </c>
      <c r="I54" s="937" t="str">
        <f>IFERROR(IF(('A. Dades de partida'!$D$10*G54*'7. Erosió de costa'!$C$86/1000000)&lt;0,"guanya sorra",'A. Dades de partida'!$D$10*G54*'7. Erosió de costa'!$C$86/1000000),"")</f>
        <v/>
      </c>
      <c r="J54" s="931"/>
      <c r="K54" s="931"/>
      <c r="L54" s="931"/>
      <c r="M54" s="931"/>
      <c r="N54" s="931"/>
      <c r="O54" s="931"/>
      <c r="P54" s="931"/>
      <c r="Q54" s="931"/>
      <c r="R54" s="931"/>
      <c r="S54" s="931"/>
      <c r="T54" s="931"/>
      <c r="U54" s="931"/>
      <c r="V54" s="931"/>
      <c r="W54" s="931"/>
      <c r="X54" s="931"/>
      <c r="Y54" s="931"/>
      <c r="Z54" s="941" t="str">
        <f t="shared" si="6"/>
        <v/>
      </c>
      <c r="AA54" s="941" t="str">
        <f t="shared" si="7"/>
        <v/>
      </c>
      <c r="AB54" s="941" t="str">
        <f t="shared" si="8"/>
        <v/>
      </c>
      <c r="AC54" s="941" t="str">
        <f t="shared" si="9"/>
        <v/>
      </c>
      <c r="AD54" s="941" t="str">
        <f t="shared" si="10"/>
        <v/>
      </c>
      <c r="AE54" s="941" t="str">
        <f t="shared" si="11"/>
        <v/>
      </c>
      <c r="AF54" s="941" t="str">
        <f t="shared" si="12"/>
        <v/>
      </c>
      <c r="AG54" s="941" t="str">
        <f t="shared" si="13"/>
        <v/>
      </c>
      <c r="AH54" s="941" t="str">
        <f t="shared" si="14"/>
        <v/>
      </c>
      <c r="AI54" s="941" t="str">
        <f t="shared" si="15"/>
        <v/>
      </c>
      <c r="AJ54" s="941" t="str">
        <f t="shared" si="16"/>
        <v/>
      </c>
      <c r="AK54" s="941" t="str">
        <f t="shared" si="17"/>
        <v/>
      </c>
      <c r="AL54" s="941" t="str">
        <f t="shared" si="18"/>
        <v/>
      </c>
      <c r="AM54" s="941" t="str">
        <f t="shared" si="19"/>
        <v/>
      </c>
      <c r="AN54" s="941" t="str">
        <f t="shared" si="20"/>
        <v/>
      </c>
      <c r="AO54" s="941" t="str">
        <f t="shared" si="21"/>
        <v/>
      </c>
      <c r="AP54" s="895">
        <f>IF(AO54&lt;0,"No hi ha pèrdua",IFERROR(SUM(AA54:AO54)*'7. Erosió de costa'!$C$86/1000000,""))</f>
        <v>0</v>
      </c>
    </row>
    <row r="55" spans="1:42">
      <c r="A55" s="835">
        <v>8052</v>
      </c>
      <c r="B55" s="826" t="s">
        <v>951</v>
      </c>
      <c r="C55" s="835" t="str">
        <f t="shared" si="0"/>
        <v>NA</v>
      </c>
      <c r="D55" s="923" t="str">
        <f t="shared" si="1"/>
        <v>NA</v>
      </c>
      <c r="E55" s="931" t="str">
        <f t="shared" si="2"/>
        <v>NA</v>
      </c>
      <c r="F55" s="926" t="str">
        <f t="shared" si="3"/>
        <v>NA</v>
      </c>
      <c r="G55" s="923" t="str">
        <f t="shared" si="5"/>
        <v>NA</v>
      </c>
      <c r="H55" s="931" t="str">
        <f>IFERROR(IF((G55*'7. Erosió de costa'!$C$86/1000000)&lt;0,"guanya sorra",G55*'7. Erosió de costa'!$C$86/1000000),"")</f>
        <v/>
      </c>
      <c r="I55" s="937" t="str">
        <f>IFERROR(IF(('A. Dades de partida'!$D$10*G55*'7. Erosió de costa'!$C$86/1000000)&lt;0,"guanya sorra",'A. Dades de partida'!$D$10*G55*'7. Erosió de costa'!$C$86/1000000),"")</f>
        <v/>
      </c>
      <c r="J55" s="931"/>
      <c r="K55" s="931"/>
      <c r="L55" s="931"/>
      <c r="M55" s="931"/>
      <c r="N55" s="931"/>
      <c r="O55" s="931"/>
      <c r="P55" s="931"/>
      <c r="Q55" s="931"/>
      <c r="R55" s="931"/>
      <c r="S55" s="931"/>
      <c r="T55" s="931"/>
      <c r="U55" s="931"/>
      <c r="V55" s="931"/>
      <c r="W55" s="931"/>
      <c r="X55" s="931"/>
      <c r="Y55" s="931"/>
      <c r="Z55" s="941" t="str">
        <f t="shared" si="6"/>
        <v/>
      </c>
      <c r="AA55" s="941" t="str">
        <f t="shared" si="7"/>
        <v/>
      </c>
      <c r="AB55" s="941" t="str">
        <f t="shared" si="8"/>
        <v/>
      </c>
      <c r="AC55" s="941" t="str">
        <f t="shared" si="9"/>
        <v/>
      </c>
      <c r="AD55" s="941" t="str">
        <f t="shared" si="10"/>
        <v/>
      </c>
      <c r="AE55" s="941" t="str">
        <f t="shared" si="11"/>
        <v/>
      </c>
      <c r="AF55" s="941" t="str">
        <f t="shared" si="12"/>
        <v/>
      </c>
      <c r="AG55" s="941" t="str">
        <f t="shared" si="13"/>
        <v/>
      </c>
      <c r="AH55" s="941" t="str">
        <f t="shared" si="14"/>
        <v/>
      </c>
      <c r="AI55" s="941" t="str">
        <f t="shared" si="15"/>
        <v/>
      </c>
      <c r="AJ55" s="941" t="str">
        <f t="shared" si="16"/>
        <v/>
      </c>
      <c r="AK55" s="941" t="str">
        <f t="shared" si="17"/>
        <v/>
      </c>
      <c r="AL55" s="941" t="str">
        <f t="shared" si="18"/>
        <v/>
      </c>
      <c r="AM55" s="941" t="str">
        <f t="shared" si="19"/>
        <v/>
      </c>
      <c r="AN55" s="941" t="str">
        <f t="shared" si="20"/>
        <v/>
      </c>
      <c r="AO55" s="941" t="str">
        <f t="shared" si="21"/>
        <v/>
      </c>
      <c r="AP55" s="895">
        <f>IF(AO55&lt;0,"No hi ha pèrdua",IFERROR(SUM(AA55:AO55)*'7. Erosió de costa'!$C$86/1000000,""))</f>
        <v>0</v>
      </c>
    </row>
    <row r="56" spans="1:42">
      <c r="A56" s="835">
        <v>8053</v>
      </c>
      <c r="B56" s="826" t="s">
        <v>958</v>
      </c>
      <c r="C56" s="835" t="str">
        <f t="shared" si="0"/>
        <v>NA</v>
      </c>
      <c r="D56" s="923" t="str">
        <f t="shared" si="1"/>
        <v>NA</v>
      </c>
      <c r="E56" s="931" t="str">
        <f t="shared" si="2"/>
        <v>NA</v>
      </c>
      <c r="F56" s="926" t="str">
        <f t="shared" si="3"/>
        <v>NA</v>
      </c>
      <c r="G56" s="923" t="str">
        <f t="shared" si="5"/>
        <v>NA</v>
      </c>
      <c r="H56" s="931" t="str">
        <f>IFERROR(IF((G56*'7. Erosió de costa'!$C$86/1000000)&lt;0,"guanya sorra",G56*'7. Erosió de costa'!$C$86/1000000),"")</f>
        <v/>
      </c>
      <c r="I56" s="937" t="str">
        <f>IFERROR(IF(('A. Dades de partida'!$D$10*G56*'7. Erosió de costa'!$C$86/1000000)&lt;0,"guanya sorra",'A. Dades de partida'!$D$10*G56*'7. Erosió de costa'!$C$86/1000000),"")</f>
        <v/>
      </c>
      <c r="J56" s="931"/>
      <c r="K56" s="931"/>
      <c r="L56" s="931"/>
      <c r="M56" s="931"/>
      <c r="N56" s="931"/>
      <c r="O56" s="931"/>
      <c r="P56" s="931"/>
      <c r="Q56" s="931"/>
      <c r="R56" s="931"/>
      <c r="S56" s="931"/>
      <c r="T56" s="931"/>
      <c r="U56" s="931"/>
      <c r="V56" s="931"/>
      <c r="W56" s="931"/>
      <c r="X56" s="931"/>
      <c r="Y56" s="931"/>
      <c r="Z56" s="941" t="str">
        <f t="shared" si="6"/>
        <v/>
      </c>
      <c r="AA56" s="941" t="str">
        <f t="shared" si="7"/>
        <v/>
      </c>
      <c r="AB56" s="941" t="str">
        <f t="shared" si="8"/>
        <v/>
      </c>
      <c r="AC56" s="941" t="str">
        <f t="shared" si="9"/>
        <v/>
      </c>
      <c r="AD56" s="941" t="str">
        <f t="shared" si="10"/>
        <v/>
      </c>
      <c r="AE56" s="941" t="str">
        <f t="shared" si="11"/>
        <v/>
      </c>
      <c r="AF56" s="941" t="str">
        <f t="shared" si="12"/>
        <v/>
      </c>
      <c r="AG56" s="941" t="str">
        <f t="shared" si="13"/>
        <v/>
      </c>
      <c r="AH56" s="941" t="str">
        <f t="shared" si="14"/>
        <v/>
      </c>
      <c r="AI56" s="941" t="str">
        <f t="shared" si="15"/>
        <v/>
      </c>
      <c r="AJ56" s="941" t="str">
        <f t="shared" si="16"/>
        <v/>
      </c>
      <c r="AK56" s="941" t="str">
        <f t="shared" si="17"/>
        <v/>
      </c>
      <c r="AL56" s="941" t="str">
        <f t="shared" si="18"/>
        <v/>
      </c>
      <c r="AM56" s="941" t="str">
        <f t="shared" si="19"/>
        <v/>
      </c>
      <c r="AN56" s="941" t="str">
        <f t="shared" si="20"/>
        <v/>
      </c>
      <c r="AO56" s="941" t="str">
        <f t="shared" si="21"/>
        <v/>
      </c>
      <c r="AP56" s="895">
        <f>IF(AO56&lt;0,"No hi ha pèrdua",IFERROR(SUM(AA56:AO56)*'7. Erosió de costa'!$C$86/1000000,""))</f>
        <v>0</v>
      </c>
    </row>
    <row r="57" spans="1:42">
      <c r="A57" s="835">
        <v>8054</v>
      </c>
      <c r="B57" s="826" t="s">
        <v>964</v>
      </c>
      <c r="C57" s="835" t="str">
        <f t="shared" si="0"/>
        <v>NA</v>
      </c>
      <c r="D57" s="923" t="str">
        <f t="shared" si="1"/>
        <v>NA</v>
      </c>
      <c r="E57" s="931" t="str">
        <f t="shared" si="2"/>
        <v>NA</v>
      </c>
      <c r="F57" s="926" t="str">
        <f t="shared" si="3"/>
        <v>NA</v>
      </c>
      <c r="G57" s="923" t="str">
        <f t="shared" si="5"/>
        <v>NA</v>
      </c>
      <c r="H57" s="931" t="str">
        <f>IFERROR(IF((G57*'7. Erosió de costa'!$C$86/1000000)&lt;0,"guanya sorra",G57*'7. Erosió de costa'!$C$86/1000000),"")</f>
        <v/>
      </c>
      <c r="I57" s="937" t="str">
        <f>IFERROR(IF(('A. Dades de partida'!$D$10*G57*'7. Erosió de costa'!$C$86/1000000)&lt;0,"guanya sorra",'A. Dades de partida'!$D$10*G57*'7. Erosió de costa'!$C$86/1000000),"")</f>
        <v/>
      </c>
      <c r="J57" s="931"/>
      <c r="K57" s="931"/>
      <c r="L57" s="931"/>
      <c r="M57" s="931"/>
      <c r="N57" s="931"/>
      <c r="O57" s="931"/>
      <c r="P57" s="931"/>
      <c r="Q57" s="931"/>
      <c r="R57" s="931"/>
      <c r="S57" s="931"/>
      <c r="T57" s="931"/>
      <c r="U57" s="931"/>
      <c r="V57" s="931"/>
      <c r="W57" s="931"/>
      <c r="X57" s="931"/>
      <c r="Y57" s="931"/>
      <c r="Z57" s="941" t="str">
        <f t="shared" si="6"/>
        <v/>
      </c>
      <c r="AA57" s="941" t="str">
        <f t="shared" si="7"/>
        <v/>
      </c>
      <c r="AB57" s="941" t="str">
        <f t="shared" si="8"/>
        <v/>
      </c>
      <c r="AC57" s="941" t="str">
        <f t="shared" si="9"/>
        <v/>
      </c>
      <c r="AD57" s="941" t="str">
        <f t="shared" si="10"/>
        <v/>
      </c>
      <c r="AE57" s="941" t="str">
        <f t="shared" si="11"/>
        <v/>
      </c>
      <c r="AF57" s="941" t="str">
        <f t="shared" si="12"/>
        <v/>
      </c>
      <c r="AG57" s="941" t="str">
        <f t="shared" si="13"/>
        <v/>
      </c>
      <c r="AH57" s="941" t="str">
        <f t="shared" si="14"/>
        <v/>
      </c>
      <c r="AI57" s="941" t="str">
        <f t="shared" si="15"/>
        <v/>
      </c>
      <c r="AJ57" s="941" t="str">
        <f t="shared" si="16"/>
        <v/>
      </c>
      <c r="AK57" s="941" t="str">
        <f t="shared" si="17"/>
        <v/>
      </c>
      <c r="AL57" s="941" t="str">
        <f t="shared" si="18"/>
        <v/>
      </c>
      <c r="AM57" s="941" t="str">
        <f t="shared" si="19"/>
        <v/>
      </c>
      <c r="AN57" s="941" t="str">
        <f t="shared" si="20"/>
        <v/>
      </c>
      <c r="AO57" s="941" t="str">
        <f t="shared" si="21"/>
        <v/>
      </c>
      <c r="AP57" s="895">
        <f>IF(AO57&lt;0,"No hi ha pèrdua",IFERROR(SUM(AA57:AO57)*'7. Erosió de costa'!$C$86/1000000,""))</f>
        <v>0</v>
      </c>
    </row>
    <row r="58" spans="1:42">
      <c r="A58" s="835">
        <v>8055</v>
      </c>
      <c r="B58" s="826" t="s">
        <v>970</v>
      </c>
      <c r="C58" s="835" t="str">
        <f t="shared" si="0"/>
        <v>NA</v>
      </c>
      <c r="D58" s="923" t="str">
        <f t="shared" si="1"/>
        <v>NA</v>
      </c>
      <c r="E58" s="931" t="str">
        <f t="shared" si="2"/>
        <v>NA</v>
      </c>
      <c r="F58" s="926" t="str">
        <f t="shared" si="3"/>
        <v>NA</v>
      </c>
      <c r="G58" s="923" t="str">
        <f t="shared" si="5"/>
        <v>NA</v>
      </c>
      <c r="H58" s="931" t="str">
        <f>IFERROR(IF((G58*'7. Erosió de costa'!$C$86/1000000)&lt;0,"guanya sorra",G58*'7. Erosió de costa'!$C$86/1000000),"")</f>
        <v/>
      </c>
      <c r="I58" s="937" t="str">
        <f>IFERROR(IF(('A. Dades de partida'!$D$10*G58*'7. Erosió de costa'!$C$86/1000000)&lt;0,"guanya sorra",'A. Dades de partida'!$D$10*G58*'7. Erosió de costa'!$C$86/1000000),"")</f>
        <v/>
      </c>
      <c r="J58" s="931"/>
      <c r="K58" s="931"/>
      <c r="L58" s="931"/>
      <c r="M58" s="931"/>
      <c r="N58" s="931"/>
      <c r="O58" s="931"/>
      <c r="P58" s="931"/>
      <c r="Q58" s="931"/>
      <c r="R58" s="931"/>
      <c r="S58" s="931"/>
      <c r="T58" s="931"/>
      <c r="U58" s="931"/>
      <c r="V58" s="931"/>
      <c r="W58" s="931"/>
      <c r="X58" s="931"/>
      <c r="Y58" s="931"/>
      <c r="Z58" s="941" t="str">
        <f t="shared" si="6"/>
        <v/>
      </c>
      <c r="AA58" s="941" t="str">
        <f t="shared" si="7"/>
        <v/>
      </c>
      <c r="AB58" s="941" t="str">
        <f t="shared" si="8"/>
        <v/>
      </c>
      <c r="AC58" s="941" t="str">
        <f t="shared" si="9"/>
        <v/>
      </c>
      <c r="AD58" s="941" t="str">
        <f t="shared" si="10"/>
        <v/>
      </c>
      <c r="AE58" s="941" t="str">
        <f t="shared" si="11"/>
        <v/>
      </c>
      <c r="AF58" s="941" t="str">
        <f t="shared" si="12"/>
        <v/>
      </c>
      <c r="AG58" s="941" t="str">
        <f t="shared" si="13"/>
        <v/>
      </c>
      <c r="AH58" s="941" t="str">
        <f t="shared" si="14"/>
        <v/>
      </c>
      <c r="AI58" s="941" t="str">
        <f t="shared" si="15"/>
        <v/>
      </c>
      <c r="AJ58" s="941" t="str">
        <f t="shared" si="16"/>
        <v/>
      </c>
      <c r="AK58" s="941" t="str">
        <f t="shared" si="17"/>
        <v/>
      </c>
      <c r="AL58" s="941" t="str">
        <f t="shared" si="18"/>
        <v/>
      </c>
      <c r="AM58" s="941" t="str">
        <f t="shared" si="19"/>
        <v/>
      </c>
      <c r="AN58" s="941" t="str">
        <f t="shared" si="20"/>
        <v/>
      </c>
      <c r="AO58" s="941" t="str">
        <f t="shared" si="21"/>
        <v/>
      </c>
      <c r="AP58" s="895">
        <f>IF(AO58&lt;0,"No hi ha pèrdua",IFERROR(SUM(AA58:AO58)*'7. Erosió de costa'!$C$86/1000000,""))</f>
        <v>0</v>
      </c>
    </row>
    <row r="59" spans="1:42" ht="30">
      <c r="A59" s="835">
        <v>8056</v>
      </c>
      <c r="B59" s="826" t="s">
        <v>340</v>
      </c>
      <c r="C59" s="835">
        <f t="shared" si="0"/>
        <v>8</v>
      </c>
      <c r="D59" s="923">
        <f t="shared" si="1"/>
        <v>4726</v>
      </c>
      <c r="E59" s="931">
        <f t="shared" si="2"/>
        <v>0.54</v>
      </c>
      <c r="F59" s="926">
        <f t="shared" si="3"/>
        <v>8.1275720164609062</v>
      </c>
      <c r="G59" s="923">
        <f t="shared" si="5"/>
        <v>-20741.888888888891</v>
      </c>
      <c r="H59" s="931" t="str">
        <f>IFERROR(IF((G59*'7. Erosió de costa'!$C$86/1000000)&lt;0,"guanya sorra",G59*'7. Erosió de costa'!$C$86/1000000),"")</f>
        <v>guanya sorra</v>
      </c>
      <c r="I59" s="937" t="str">
        <f>IFERROR(IF(('A. Dades de partida'!$D$10*G59*'7. Erosió de costa'!$C$86/1000000)&lt;0,"guanya sorra",'A. Dades de partida'!$D$10*G59*'7. Erosió de costa'!$C$86/1000000),"")</f>
        <v>guanya sorra</v>
      </c>
      <c r="J59" s="931">
        <f>E59</f>
        <v>0.54</v>
      </c>
      <c r="K59" s="931">
        <f>IF($J59&gt;0, $J59-($J59*'7. Erosió de costa'!D$140*'7. Erosió de costa'!$D$111),$J59+($J59*'7. Erosió de costa'!D$140*'7. Erosió de costa'!$D$111))</f>
        <v>0.52959502262443447</v>
      </c>
      <c r="L59" s="931">
        <f>IF($J59&gt;0, $J59-($J59*'7. Erosió de costa'!E$140*'7. Erosió de costa'!$D$111),$J59+($J59*'7. Erosió de costa'!E$140*'7. Erosió de costa'!$D$111))</f>
        <v>0.5191900452488688</v>
      </c>
      <c r="M59" s="931">
        <f>IF($J59&gt;0, $J59-($J59*'7. Erosió de costa'!F$140*'7. Erosió de costa'!$D$111),$J59+($J59*'7. Erosió de costa'!F$140*'7. Erosió de costa'!$D$111))</f>
        <v>0.50878506787330324</v>
      </c>
      <c r="N59" s="931">
        <f>IF($J59&gt;0, $J59-($J59*'7. Erosió de costa'!G$140*'7. Erosió de costa'!$D$111),$J59+($J59*'7. Erosió de costa'!G$140*'7. Erosió de costa'!$D$111))</f>
        <v>0.49838009049773757</v>
      </c>
      <c r="O59" s="931">
        <f>IF($J59&gt;0, $J59-($J59*'7. Erosió de costa'!H$140*'7. Erosió de costa'!$D$111),$J59+($J59*'7. Erosió de costa'!H$140*'7. Erosió de costa'!$D$111))</f>
        <v>0.48797511312217196</v>
      </c>
      <c r="P59" s="931">
        <f>IF($J59&gt;0, $J59-($J59*'7. Erosió de costa'!I$140*'7. Erosió de costa'!$D$111),$J59+($J59*'7. Erosió de costa'!I$140*'7. Erosió de costa'!$D$111))</f>
        <v>0.47757013574660639</v>
      </c>
      <c r="Q59" s="931">
        <f>IF($J59&gt;0, $J59-($J59*'7. Erosió de costa'!J$140*'7. Erosió de costa'!$D$111),$J59+($J59*'7. Erosió de costa'!J$140*'7. Erosió de costa'!$D$111))</f>
        <v>0.46716515837104078</v>
      </c>
      <c r="R59" s="931">
        <f>IF($J59&gt;0, $J59-($J59*'7. Erosió de costa'!K$140*'7. Erosió de costa'!$D$111),$J59+($J59*'7. Erosió de costa'!K$140*'7. Erosió de costa'!$D$111))</f>
        <v>0.45676018099547516</v>
      </c>
      <c r="S59" s="931">
        <f>IF($J59&gt;0, $J59-($J59*'7. Erosió de costa'!L$140*'7. Erosió de costa'!$D$111),$J59+($J59*'7. Erosió de costa'!L$140*'7. Erosió de costa'!$D$111))</f>
        <v>0.44635520361990955</v>
      </c>
      <c r="T59" s="931">
        <f>IF($J59&gt;0, $J59-($J59*'7. Erosió de costa'!M$140*'7. Erosió de costa'!$D$111),$J59+($J59*'7. Erosió de costa'!M$140*'7. Erosió de costa'!$D$111))</f>
        <v>0.43595022624434393</v>
      </c>
      <c r="U59" s="931">
        <f>IF($J59&gt;0, $J59-($J59*'7. Erosió de costa'!N$140*'7. Erosió de costa'!$D$111),$J59+($J59*'7. Erosió de costa'!N$140*'7. Erosió de costa'!$D$111))</f>
        <v>0.42554524886877831</v>
      </c>
      <c r="V59" s="931">
        <f>IF($J59&gt;0, $J59-($J59*'7. Erosió de costa'!O$140*'7. Erosió de costa'!$D$111),$J59+($J59*'7. Erosió de costa'!O$140*'7. Erosió de costa'!$D$111))</f>
        <v>0.4151402714932127</v>
      </c>
      <c r="W59" s="931">
        <f>IF($J59&gt;0, $J59-($J59*'7. Erosió de costa'!P$140*'7. Erosió de costa'!$D$111),$J59+($J59*'7. Erosió de costa'!P$140*'7. Erosió de costa'!$D$111))</f>
        <v>0.40473529411764708</v>
      </c>
      <c r="X59" s="931">
        <f>IF($J59&gt;0, $J59-($J59*'7. Erosió de costa'!Q$140*'7. Erosió de costa'!$D$111),$J59+($J59*'7. Erosió de costa'!Q$140*'7. Erosió de costa'!$D$111))</f>
        <v>0.39433031674208152</v>
      </c>
      <c r="Y59" s="931">
        <f>IF($J59&gt;0, $J59-($J59*'7. Erosió de costa'!R$140*'7. Erosió de costa'!$D$111),$J59+($J59*'7. Erosió de costa'!R$140*'7. Erosió de costa'!$D$111))</f>
        <v>0.38392533936651585</v>
      </c>
      <c r="Z59" s="941">
        <f t="shared" si="6"/>
        <v>-20741.888888888891</v>
      </c>
      <c r="AA59" s="941">
        <f t="shared" si="7"/>
        <v>-20342.224287749294</v>
      </c>
      <c r="AB59" s="941">
        <f t="shared" si="8"/>
        <v>-19942.559686609689</v>
      </c>
      <c r="AC59" s="941">
        <f t="shared" si="9"/>
        <v>-19542.895085470092</v>
      </c>
      <c r="AD59" s="941">
        <f t="shared" si="10"/>
        <v>-19143.230484330485</v>
      </c>
      <c r="AE59" s="941">
        <f t="shared" si="11"/>
        <v>-18743.565883190884</v>
      </c>
      <c r="AF59" s="941">
        <f t="shared" si="12"/>
        <v>-18343.901282051287</v>
      </c>
      <c r="AG59" s="941">
        <f t="shared" si="13"/>
        <v>-17944.236680911687</v>
      </c>
      <c r="AH59" s="941">
        <f t="shared" si="14"/>
        <v>-17544.572079772086</v>
      </c>
      <c r="AI59" s="941">
        <f t="shared" si="15"/>
        <v>-17144.907478632482</v>
      </c>
      <c r="AJ59" s="941">
        <f t="shared" si="16"/>
        <v>-16745.242877492878</v>
      </c>
      <c r="AK59" s="941">
        <f t="shared" si="17"/>
        <v>-16345.578276353281</v>
      </c>
      <c r="AL59" s="941">
        <f t="shared" si="18"/>
        <v>-15945.913675213678</v>
      </c>
      <c r="AM59" s="941">
        <f t="shared" si="19"/>
        <v>-15546.249074074076</v>
      </c>
      <c r="AN59" s="941">
        <f t="shared" si="20"/>
        <v>-15146.584472934479</v>
      </c>
      <c r="AO59" s="941">
        <f t="shared" si="21"/>
        <v>-14746.919871794873</v>
      </c>
      <c r="AP59" s="895" t="str">
        <f>IF(AO59&lt;0,"No hi ha pèrdua",IFERROR(SUM(AA59:AO59)*'7. Erosió de costa'!$C$86/1000000,""))</f>
        <v>No hi ha pèrdua</v>
      </c>
    </row>
    <row r="60" spans="1:42">
      <c r="A60" s="835">
        <v>8057</v>
      </c>
      <c r="B60" s="826" t="s">
        <v>980</v>
      </c>
      <c r="C60" s="835" t="str">
        <f t="shared" si="0"/>
        <v>NA</v>
      </c>
      <c r="D60" s="923" t="str">
        <f t="shared" si="1"/>
        <v>NA</v>
      </c>
      <c r="E60" s="931" t="str">
        <f t="shared" si="2"/>
        <v>NA</v>
      </c>
      <c r="F60" s="926" t="str">
        <f t="shared" si="3"/>
        <v>NA</v>
      </c>
      <c r="G60" s="923" t="str">
        <f t="shared" si="5"/>
        <v>NA</v>
      </c>
      <c r="H60" s="931" t="str">
        <f>IFERROR(IF((G60*'7. Erosió de costa'!$C$86/1000000)&lt;0,"guanya sorra",G60*'7. Erosió de costa'!$C$86/1000000),"")</f>
        <v/>
      </c>
      <c r="I60" s="937" t="str">
        <f>IFERROR(IF(('A. Dades de partida'!$D$10*G60*'7. Erosió de costa'!$C$86/1000000)&lt;0,"guanya sorra",'A. Dades de partida'!$D$10*G60*'7. Erosió de costa'!$C$86/1000000),"")</f>
        <v/>
      </c>
      <c r="J60" s="931"/>
      <c r="K60" s="931"/>
      <c r="L60" s="931"/>
      <c r="M60" s="931"/>
      <c r="N60" s="931"/>
      <c r="O60" s="931"/>
      <c r="P60" s="931"/>
      <c r="Q60" s="931"/>
      <c r="R60" s="931"/>
      <c r="S60" s="931"/>
      <c r="T60" s="931"/>
      <c r="U60" s="931"/>
      <c r="V60" s="931"/>
      <c r="W60" s="931"/>
      <c r="X60" s="931"/>
      <c r="Y60" s="931"/>
      <c r="Z60" s="941" t="str">
        <f t="shared" si="6"/>
        <v/>
      </c>
      <c r="AA60" s="941" t="str">
        <f t="shared" si="7"/>
        <v/>
      </c>
      <c r="AB60" s="941" t="str">
        <f t="shared" si="8"/>
        <v/>
      </c>
      <c r="AC60" s="941" t="str">
        <f t="shared" si="9"/>
        <v/>
      </c>
      <c r="AD60" s="941" t="str">
        <f t="shared" si="10"/>
        <v/>
      </c>
      <c r="AE60" s="941" t="str">
        <f t="shared" si="11"/>
        <v/>
      </c>
      <c r="AF60" s="941" t="str">
        <f t="shared" si="12"/>
        <v/>
      </c>
      <c r="AG60" s="941" t="str">
        <f t="shared" si="13"/>
        <v/>
      </c>
      <c r="AH60" s="941" t="str">
        <f t="shared" si="14"/>
        <v/>
      </c>
      <c r="AI60" s="941" t="str">
        <f t="shared" si="15"/>
        <v/>
      </c>
      <c r="AJ60" s="941" t="str">
        <f t="shared" si="16"/>
        <v/>
      </c>
      <c r="AK60" s="941" t="str">
        <f t="shared" si="17"/>
        <v/>
      </c>
      <c r="AL60" s="941" t="str">
        <f t="shared" si="18"/>
        <v/>
      </c>
      <c r="AM60" s="941" t="str">
        <f t="shared" si="19"/>
        <v/>
      </c>
      <c r="AN60" s="941" t="str">
        <f t="shared" si="20"/>
        <v/>
      </c>
      <c r="AO60" s="941" t="str">
        <f t="shared" si="21"/>
        <v/>
      </c>
      <c r="AP60" s="895">
        <f>IF(AO60&lt;0,"No hi ha pèrdua",IFERROR(SUM(AA60:AO60)*'7. Erosió de costa'!$C$86/1000000,""))</f>
        <v>0</v>
      </c>
    </row>
    <row r="61" spans="1:42">
      <c r="A61" s="835">
        <v>8058</v>
      </c>
      <c r="B61" s="826" t="s">
        <v>984</v>
      </c>
      <c r="C61" s="835" t="str">
        <f t="shared" si="0"/>
        <v>NA</v>
      </c>
      <c r="D61" s="923" t="str">
        <f t="shared" si="1"/>
        <v>NA</v>
      </c>
      <c r="E61" s="931" t="str">
        <f t="shared" si="2"/>
        <v>NA</v>
      </c>
      <c r="F61" s="926" t="str">
        <f t="shared" si="3"/>
        <v>NA</v>
      </c>
      <c r="G61" s="923" t="str">
        <f t="shared" si="5"/>
        <v>NA</v>
      </c>
      <c r="H61" s="931" t="str">
        <f>IFERROR(IF((G61*'7. Erosió de costa'!$C$86/1000000)&lt;0,"guanya sorra",G61*'7. Erosió de costa'!$C$86/1000000),"")</f>
        <v/>
      </c>
      <c r="I61" s="937" t="str">
        <f>IFERROR(IF(('A. Dades de partida'!$D$10*G61*'7. Erosió de costa'!$C$86/1000000)&lt;0,"guanya sorra",'A. Dades de partida'!$D$10*G61*'7. Erosió de costa'!$C$86/1000000),"")</f>
        <v/>
      </c>
      <c r="J61" s="931"/>
      <c r="K61" s="931"/>
      <c r="L61" s="931"/>
      <c r="M61" s="931"/>
      <c r="N61" s="931"/>
      <c r="O61" s="931"/>
      <c r="P61" s="931"/>
      <c r="Q61" s="931"/>
      <c r="R61" s="931"/>
      <c r="S61" s="931"/>
      <c r="T61" s="931"/>
      <c r="U61" s="931"/>
      <c r="V61" s="931"/>
      <c r="W61" s="931"/>
      <c r="X61" s="931"/>
      <c r="Y61" s="931"/>
      <c r="Z61" s="941" t="str">
        <f t="shared" si="6"/>
        <v/>
      </c>
      <c r="AA61" s="941" t="str">
        <f t="shared" si="7"/>
        <v/>
      </c>
      <c r="AB61" s="941" t="str">
        <f t="shared" si="8"/>
        <v/>
      </c>
      <c r="AC61" s="941" t="str">
        <f t="shared" si="9"/>
        <v/>
      </c>
      <c r="AD61" s="941" t="str">
        <f t="shared" si="10"/>
        <v/>
      </c>
      <c r="AE61" s="941" t="str">
        <f t="shared" si="11"/>
        <v/>
      </c>
      <c r="AF61" s="941" t="str">
        <f t="shared" si="12"/>
        <v/>
      </c>
      <c r="AG61" s="941" t="str">
        <f t="shared" si="13"/>
        <v/>
      </c>
      <c r="AH61" s="941" t="str">
        <f t="shared" si="14"/>
        <v/>
      </c>
      <c r="AI61" s="941" t="str">
        <f t="shared" si="15"/>
        <v/>
      </c>
      <c r="AJ61" s="941" t="str">
        <f t="shared" si="16"/>
        <v/>
      </c>
      <c r="AK61" s="941" t="str">
        <f t="shared" si="17"/>
        <v/>
      </c>
      <c r="AL61" s="941" t="str">
        <f t="shared" si="18"/>
        <v/>
      </c>
      <c r="AM61" s="941" t="str">
        <f t="shared" si="19"/>
        <v/>
      </c>
      <c r="AN61" s="941" t="str">
        <f t="shared" si="20"/>
        <v/>
      </c>
      <c r="AO61" s="941" t="str">
        <f t="shared" si="21"/>
        <v/>
      </c>
      <c r="AP61" s="895">
        <f>IF(AO61&lt;0,"No hi ha pèrdua",IFERROR(SUM(AA61:AO61)*'7. Erosió de costa'!$C$86/1000000,""))</f>
        <v>0</v>
      </c>
    </row>
    <row r="62" spans="1:42">
      <c r="A62" s="835">
        <v>8059</v>
      </c>
      <c r="B62" s="826" t="s">
        <v>993</v>
      </c>
      <c r="C62" s="835" t="str">
        <f t="shared" si="0"/>
        <v>NA</v>
      </c>
      <c r="D62" s="923" t="str">
        <f t="shared" si="1"/>
        <v>NA</v>
      </c>
      <c r="E62" s="931" t="str">
        <f t="shared" si="2"/>
        <v>NA</v>
      </c>
      <c r="F62" s="926" t="str">
        <f t="shared" si="3"/>
        <v>NA</v>
      </c>
      <c r="G62" s="923" t="str">
        <f t="shared" si="5"/>
        <v>NA</v>
      </c>
      <c r="H62" s="931" t="str">
        <f>IFERROR(IF((G62*'7. Erosió de costa'!$C$86/1000000)&lt;0,"guanya sorra",G62*'7. Erosió de costa'!$C$86/1000000),"")</f>
        <v/>
      </c>
      <c r="I62" s="937" t="str">
        <f>IFERROR(IF(('A. Dades de partida'!$D$10*G62*'7. Erosió de costa'!$C$86/1000000)&lt;0,"guanya sorra",'A. Dades de partida'!$D$10*G62*'7. Erosió de costa'!$C$86/1000000),"")</f>
        <v/>
      </c>
      <c r="J62" s="931"/>
      <c r="K62" s="931"/>
      <c r="L62" s="931"/>
      <c r="M62" s="931"/>
      <c r="N62" s="931"/>
      <c r="O62" s="931"/>
      <c r="P62" s="931"/>
      <c r="Q62" s="931"/>
      <c r="R62" s="931"/>
      <c r="S62" s="931"/>
      <c r="T62" s="931"/>
      <c r="U62" s="931"/>
      <c r="V62" s="931"/>
      <c r="W62" s="931"/>
      <c r="X62" s="931"/>
      <c r="Y62" s="931"/>
      <c r="Z62" s="941" t="str">
        <f t="shared" si="6"/>
        <v/>
      </c>
      <c r="AA62" s="941" t="str">
        <f t="shared" si="7"/>
        <v/>
      </c>
      <c r="AB62" s="941" t="str">
        <f t="shared" si="8"/>
        <v/>
      </c>
      <c r="AC62" s="941" t="str">
        <f t="shared" si="9"/>
        <v/>
      </c>
      <c r="AD62" s="941" t="str">
        <f t="shared" si="10"/>
        <v/>
      </c>
      <c r="AE62" s="941" t="str">
        <f t="shared" si="11"/>
        <v/>
      </c>
      <c r="AF62" s="941" t="str">
        <f t="shared" si="12"/>
        <v/>
      </c>
      <c r="AG62" s="941" t="str">
        <f t="shared" si="13"/>
        <v/>
      </c>
      <c r="AH62" s="941" t="str">
        <f t="shared" si="14"/>
        <v/>
      </c>
      <c r="AI62" s="941" t="str">
        <f t="shared" si="15"/>
        <v/>
      </c>
      <c r="AJ62" s="941" t="str">
        <f t="shared" si="16"/>
        <v/>
      </c>
      <c r="AK62" s="941" t="str">
        <f t="shared" si="17"/>
        <v/>
      </c>
      <c r="AL62" s="941" t="str">
        <f t="shared" si="18"/>
        <v/>
      </c>
      <c r="AM62" s="941" t="str">
        <f t="shared" si="19"/>
        <v/>
      </c>
      <c r="AN62" s="941" t="str">
        <f t="shared" si="20"/>
        <v/>
      </c>
      <c r="AO62" s="941" t="str">
        <f t="shared" si="21"/>
        <v/>
      </c>
      <c r="AP62" s="895">
        <f>IF(AO62&lt;0,"No hi ha pèrdua",IFERROR(SUM(AA62:AO62)*'7. Erosió de costa'!$C$86/1000000,""))</f>
        <v>0</v>
      </c>
    </row>
    <row r="63" spans="1:42">
      <c r="A63" s="835">
        <v>8060</v>
      </c>
      <c r="B63" s="826" t="s">
        <v>997</v>
      </c>
      <c r="C63" s="835" t="str">
        <f t="shared" si="0"/>
        <v>NA</v>
      </c>
      <c r="D63" s="923" t="str">
        <f t="shared" si="1"/>
        <v>NA</v>
      </c>
      <c r="E63" s="931" t="str">
        <f t="shared" si="2"/>
        <v>NA</v>
      </c>
      <c r="F63" s="926" t="str">
        <f t="shared" si="3"/>
        <v>NA</v>
      </c>
      <c r="G63" s="923" t="str">
        <f t="shared" si="5"/>
        <v>NA</v>
      </c>
      <c r="H63" s="931" t="str">
        <f>IFERROR(IF((G63*'7. Erosió de costa'!$C$86/1000000)&lt;0,"guanya sorra",G63*'7. Erosió de costa'!$C$86/1000000),"")</f>
        <v/>
      </c>
      <c r="I63" s="937" t="str">
        <f>IFERROR(IF(('A. Dades de partida'!$D$10*G63*'7. Erosió de costa'!$C$86/1000000)&lt;0,"guanya sorra",'A. Dades de partida'!$D$10*G63*'7. Erosió de costa'!$C$86/1000000),"")</f>
        <v/>
      </c>
      <c r="J63" s="931"/>
      <c r="K63" s="931"/>
      <c r="L63" s="931"/>
      <c r="M63" s="931"/>
      <c r="N63" s="931"/>
      <c r="O63" s="931"/>
      <c r="P63" s="931"/>
      <c r="Q63" s="931"/>
      <c r="R63" s="931"/>
      <c r="S63" s="931"/>
      <c r="T63" s="931"/>
      <c r="U63" s="931"/>
      <c r="V63" s="931"/>
      <c r="W63" s="931"/>
      <c r="X63" s="931"/>
      <c r="Y63" s="931"/>
      <c r="Z63" s="941" t="str">
        <f t="shared" si="6"/>
        <v/>
      </c>
      <c r="AA63" s="941" t="str">
        <f t="shared" si="7"/>
        <v/>
      </c>
      <c r="AB63" s="941" t="str">
        <f t="shared" si="8"/>
        <v/>
      </c>
      <c r="AC63" s="941" t="str">
        <f t="shared" si="9"/>
        <v/>
      </c>
      <c r="AD63" s="941" t="str">
        <f t="shared" si="10"/>
        <v/>
      </c>
      <c r="AE63" s="941" t="str">
        <f t="shared" si="11"/>
        <v/>
      </c>
      <c r="AF63" s="941" t="str">
        <f t="shared" si="12"/>
        <v/>
      </c>
      <c r="AG63" s="941" t="str">
        <f t="shared" si="13"/>
        <v/>
      </c>
      <c r="AH63" s="941" t="str">
        <f t="shared" si="14"/>
        <v/>
      </c>
      <c r="AI63" s="941" t="str">
        <f t="shared" si="15"/>
        <v/>
      </c>
      <c r="AJ63" s="941" t="str">
        <f t="shared" si="16"/>
        <v/>
      </c>
      <c r="AK63" s="941" t="str">
        <f t="shared" si="17"/>
        <v/>
      </c>
      <c r="AL63" s="941" t="str">
        <f t="shared" si="18"/>
        <v/>
      </c>
      <c r="AM63" s="941" t="str">
        <f t="shared" si="19"/>
        <v/>
      </c>
      <c r="AN63" s="941" t="str">
        <f t="shared" si="20"/>
        <v/>
      </c>
      <c r="AO63" s="941" t="str">
        <f t="shared" si="21"/>
        <v/>
      </c>
      <c r="AP63" s="895">
        <f>IF(AO63&lt;0,"No hi ha pèrdua",IFERROR(SUM(AA63:AO63)*'7. Erosió de costa'!$C$86/1000000,""))</f>
        <v>0</v>
      </c>
    </row>
    <row r="64" spans="1:42">
      <c r="A64" s="835">
        <v>8061</v>
      </c>
      <c r="B64" s="826" t="s">
        <v>1002</v>
      </c>
      <c r="C64" s="835" t="str">
        <f t="shared" si="0"/>
        <v>NA</v>
      </c>
      <c r="D64" s="923" t="str">
        <f t="shared" si="1"/>
        <v>NA</v>
      </c>
      <c r="E64" s="931" t="str">
        <f t="shared" si="2"/>
        <v>NA</v>
      </c>
      <c r="F64" s="926" t="str">
        <f t="shared" si="3"/>
        <v>NA</v>
      </c>
      <c r="G64" s="923" t="str">
        <f t="shared" si="5"/>
        <v>NA</v>
      </c>
      <c r="H64" s="931" t="str">
        <f>IFERROR(IF((G64*'7. Erosió de costa'!$C$86/1000000)&lt;0,"guanya sorra",G64*'7. Erosió de costa'!$C$86/1000000),"")</f>
        <v/>
      </c>
      <c r="I64" s="937" t="str">
        <f>IFERROR(IF(('A. Dades de partida'!$D$10*G64*'7. Erosió de costa'!$C$86/1000000)&lt;0,"guanya sorra",'A. Dades de partida'!$D$10*G64*'7. Erosió de costa'!$C$86/1000000),"")</f>
        <v/>
      </c>
      <c r="J64" s="931"/>
      <c r="K64" s="931"/>
      <c r="L64" s="931"/>
      <c r="M64" s="931"/>
      <c r="N64" s="931"/>
      <c r="O64" s="931"/>
      <c r="P64" s="931"/>
      <c r="Q64" s="931"/>
      <c r="R64" s="931"/>
      <c r="S64" s="931"/>
      <c r="T64" s="931"/>
      <c r="U64" s="931"/>
      <c r="V64" s="931"/>
      <c r="W64" s="931"/>
      <c r="X64" s="931"/>
      <c r="Y64" s="931"/>
      <c r="Z64" s="941" t="str">
        <f t="shared" si="6"/>
        <v/>
      </c>
      <c r="AA64" s="941" t="str">
        <f t="shared" si="7"/>
        <v/>
      </c>
      <c r="AB64" s="941" t="str">
        <f t="shared" si="8"/>
        <v/>
      </c>
      <c r="AC64" s="941" t="str">
        <f t="shared" si="9"/>
        <v/>
      </c>
      <c r="AD64" s="941" t="str">
        <f t="shared" si="10"/>
        <v/>
      </c>
      <c r="AE64" s="941" t="str">
        <f t="shared" si="11"/>
        <v/>
      </c>
      <c r="AF64" s="941" t="str">
        <f t="shared" si="12"/>
        <v/>
      </c>
      <c r="AG64" s="941" t="str">
        <f t="shared" si="13"/>
        <v/>
      </c>
      <c r="AH64" s="941" t="str">
        <f t="shared" si="14"/>
        <v/>
      </c>
      <c r="AI64" s="941" t="str">
        <f t="shared" si="15"/>
        <v/>
      </c>
      <c r="AJ64" s="941" t="str">
        <f t="shared" si="16"/>
        <v/>
      </c>
      <c r="AK64" s="941" t="str">
        <f t="shared" si="17"/>
        <v/>
      </c>
      <c r="AL64" s="941" t="str">
        <f t="shared" si="18"/>
        <v/>
      </c>
      <c r="AM64" s="941" t="str">
        <f t="shared" si="19"/>
        <v/>
      </c>
      <c r="AN64" s="941" t="str">
        <f t="shared" si="20"/>
        <v/>
      </c>
      <c r="AO64" s="941" t="str">
        <f t="shared" si="21"/>
        <v/>
      </c>
      <c r="AP64" s="895">
        <f>IF(AO64&lt;0,"No hi ha pèrdua",IFERROR(SUM(AA64:AO64)*'7. Erosió de costa'!$C$86/1000000,""))</f>
        <v>0</v>
      </c>
    </row>
    <row r="65" spans="1:42">
      <c r="A65" s="835">
        <v>8062</v>
      </c>
      <c r="B65" s="826" t="s">
        <v>1004</v>
      </c>
      <c r="C65" s="835" t="str">
        <f t="shared" si="0"/>
        <v>NA</v>
      </c>
      <c r="D65" s="923" t="str">
        <f t="shared" si="1"/>
        <v>NA</v>
      </c>
      <c r="E65" s="931" t="str">
        <f t="shared" si="2"/>
        <v>NA</v>
      </c>
      <c r="F65" s="926" t="str">
        <f t="shared" si="3"/>
        <v>NA</v>
      </c>
      <c r="G65" s="923" t="str">
        <f t="shared" si="5"/>
        <v>NA</v>
      </c>
      <c r="H65" s="931" t="str">
        <f>IFERROR(IF((G65*'7. Erosió de costa'!$C$86/1000000)&lt;0,"guanya sorra",G65*'7. Erosió de costa'!$C$86/1000000),"")</f>
        <v/>
      </c>
      <c r="I65" s="937" t="str">
        <f>IFERROR(IF(('A. Dades de partida'!$D$10*G65*'7. Erosió de costa'!$C$86/1000000)&lt;0,"guanya sorra",'A. Dades de partida'!$D$10*G65*'7. Erosió de costa'!$C$86/1000000),"")</f>
        <v/>
      </c>
      <c r="J65" s="931"/>
      <c r="K65" s="931"/>
      <c r="L65" s="931"/>
      <c r="M65" s="931"/>
      <c r="N65" s="931"/>
      <c r="O65" s="931"/>
      <c r="P65" s="931"/>
      <c r="Q65" s="931"/>
      <c r="R65" s="931"/>
      <c r="S65" s="931"/>
      <c r="T65" s="931"/>
      <c r="U65" s="931"/>
      <c r="V65" s="931"/>
      <c r="W65" s="931"/>
      <c r="X65" s="931"/>
      <c r="Y65" s="931"/>
      <c r="Z65" s="941" t="str">
        <f t="shared" si="6"/>
        <v/>
      </c>
      <c r="AA65" s="941" t="str">
        <f t="shared" si="7"/>
        <v/>
      </c>
      <c r="AB65" s="941" t="str">
        <f t="shared" si="8"/>
        <v/>
      </c>
      <c r="AC65" s="941" t="str">
        <f t="shared" si="9"/>
        <v/>
      </c>
      <c r="AD65" s="941" t="str">
        <f t="shared" si="10"/>
        <v/>
      </c>
      <c r="AE65" s="941" t="str">
        <f t="shared" si="11"/>
        <v/>
      </c>
      <c r="AF65" s="941" t="str">
        <f t="shared" si="12"/>
        <v/>
      </c>
      <c r="AG65" s="941" t="str">
        <f t="shared" si="13"/>
        <v/>
      </c>
      <c r="AH65" s="941" t="str">
        <f t="shared" si="14"/>
        <v/>
      </c>
      <c r="AI65" s="941" t="str">
        <f t="shared" si="15"/>
        <v/>
      </c>
      <c r="AJ65" s="941" t="str">
        <f t="shared" si="16"/>
        <v/>
      </c>
      <c r="AK65" s="941" t="str">
        <f t="shared" si="17"/>
        <v/>
      </c>
      <c r="AL65" s="941" t="str">
        <f t="shared" si="18"/>
        <v/>
      </c>
      <c r="AM65" s="941" t="str">
        <f t="shared" si="19"/>
        <v/>
      </c>
      <c r="AN65" s="941" t="str">
        <f t="shared" si="20"/>
        <v/>
      </c>
      <c r="AO65" s="941" t="str">
        <f t="shared" si="21"/>
        <v/>
      </c>
      <c r="AP65" s="895">
        <f>IF(AO65&lt;0,"No hi ha pèrdua",IFERROR(SUM(AA65:AO65)*'7. Erosió de costa'!$C$86/1000000,""))</f>
        <v>0</v>
      </c>
    </row>
    <row r="66" spans="1:42">
      <c r="A66" s="835">
        <v>8063</v>
      </c>
      <c r="B66" s="826" t="s">
        <v>1008</v>
      </c>
      <c r="C66" s="835" t="str">
        <f t="shared" si="0"/>
        <v>NA</v>
      </c>
      <c r="D66" s="923" t="str">
        <f t="shared" si="1"/>
        <v>NA</v>
      </c>
      <c r="E66" s="931" t="str">
        <f t="shared" si="2"/>
        <v>NA</v>
      </c>
      <c r="F66" s="926" t="str">
        <f t="shared" si="3"/>
        <v>NA</v>
      </c>
      <c r="G66" s="923" t="str">
        <f t="shared" si="5"/>
        <v>NA</v>
      </c>
      <c r="H66" s="931" t="str">
        <f>IFERROR(IF((G66*'7. Erosió de costa'!$C$86/1000000)&lt;0,"guanya sorra",G66*'7. Erosió de costa'!$C$86/1000000),"")</f>
        <v/>
      </c>
      <c r="I66" s="937" t="str">
        <f>IFERROR(IF(('A. Dades de partida'!$D$10*G66*'7. Erosió de costa'!$C$86/1000000)&lt;0,"guanya sorra",'A. Dades de partida'!$D$10*G66*'7. Erosió de costa'!$C$86/1000000),"")</f>
        <v/>
      </c>
      <c r="J66" s="931"/>
      <c r="K66" s="931"/>
      <c r="L66" s="931"/>
      <c r="M66" s="931"/>
      <c r="N66" s="931"/>
      <c r="O66" s="931"/>
      <c r="P66" s="931"/>
      <c r="Q66" s="931"/>
      <c r="R66" s="931"/>
      <c r="S66" s="931"/>
      <c r="T66" s="931"/>
      <c r="U66" s="931"/>
      <c r="V66" s="931"/>
      <c r="W66" s="931"/>
      <c r="X66" s="931"/>
      <c r="Y66" s="931"/>
      <c r="Z66" s="941" t="str">
        <f t="shared" si="6"/>
        <v/>
      </c>
      <c r="AA66" s="941" t="str">
        <f t="shared" si="7"/>
        <v/>
      </c>
      <c r="AB66" s="941" t="str">
        <f t="shared" si="8"/>
        <v/>
      </c>
      <c r="AC66" s="941" t="str">
        <f t="shared" si="9"/>
        <v/>
      </c>
      <c r="AD66" s="941" t="str">
        <f t="shared" si="10"/>
        <v/>
      </c>
      <c r="AE66" s="941" t="str">
        <f t="shared" si="11"/>
        <v/>
      </c>
      <c r="AF66" s="941" t="str">
        <f t="shared" si="12"/>
        <v/>
      </c>
      <c r="AG66" s="941" t="str">
        <f t="shared" si="13"/>
        <v/>
      </c>
      <c r="AH66" s="941" t="str">
        <f t="shared" si="14"/>
        <v/>
      </c>
      <c r="AI66" s="941" t="str">
        <f t="shared" si="15"/>
        <v/>
      </c>
      <c r="AJ66" s="941" t="str">
        <f t="shared" si="16"/>
        <v/>
      </c>
      <c r="AK66" s="941" t="str">
        <f t="shared" si="17"/>
        <v/>
      </c>
      <c r="AL66" s="941" t="str">
        <f t="shared" si="18"/>
        <v/>
      </c>
      <c r="AM66" s="941" t="str">
        <f t="shared" si="19"/>
        <v/>
      </c>
      <c r="AN66" s="941" t="str">
        <f t="shared" si="20"/>
        <v/>
      </c>
      <c r="AO66" s="941" t="str">
        <f t="shared" si="21"/>
        <v/>
      </c>
      <c r="AP66" s="895">
        <f>IF(AO66&lt;0,"No hi ha pèrdua",IFERROR(SUM(AA66:AO66)*'7. Erosió de costa'!$C$86/1000000,""))</f>
        <v>0</v>
      </c>
    </row>
    <row r="67" spans="1:42">
      <c r="A67" s="835">
        <v>8064</v>
      </c>
      <c r="B67" s="826" t="s">
        <v>1012</v>
      </c>
      <c r="C67" s="835" t="str">
        <f t="shared" si="0"/>
        <v>NA</v>
      </c>
      <c r="D67" s="923" t="str">
        <f t="shared" si="1"/>
        <v>NA</v>
      </c>
      <c r="E67" s="931" t="str">
        <f t="shared" si="2"/>
        <v>NA</v>
      </c>
      <c r="F67" s="926" t="str">
        <f t="shared" si="3"/>
        <v>NA</v>
      </c>
      <c r="G67" s="923" t="str">
        <f t="shared" si="5"/>
        <v>NA</v>
      </c>
      <c r="H67" s="931" t="str">
        <f>IFERROR(IF((G67*'7. Erosió de costa'!$C$86/1000000)&lt;0,"guanya sorra",G67*'7. Erosió de costa'!$C$86/1000000),"")</f>
        <v/>
      </c>
      <c r="I67" s="937" t="str">
        <f>IFERROR(IF(('A. Dades de partida'!$D$10*G67*'7. Erosió de costa'!$C$86/1000000)&lt;0,"guanya sorra",'A. Dades de partida'!$D$10*G67*'7. Erosió de costa'!$C$86/1000000),"")</f>
        <v/>
      </c>
      <c r="J67" s="931"/>
      <c r="K67" s="931"/>
      <c r="L67" s="931"/>
      <c r="M67" s="931"/>
      <c r="N67" s="931"/>
      <c r="O67" s="931"/>
      <c r="P67" s="931"/>
      <c r="Q67" s="931"/>
      <c r="R67" s="931"/>
      <c r="S67" s="931"/>
      <c r="T67" s="931"/>
      <c r="U67" s="931"/>
      <c r="V67" s="931"/>
      <c r="W67" s="931"/>
      <c r="X67" s="931"/>
      <c r="Y67" s="931"/>
      <c r="Z67" s="941" t="str">
        <f t="shared" si="6"/>
        <v/>
      </c>
      <c r="AA67" s="941" t="str">
        <f t="shared" si="7"/>
        <v/>
      </c>
      <c r="AB67" s="941" t="str">
        <f t="shared" si="8"/>
        <v/>
      </c>
      <c r="AC67" s="941" t="str">
        <f t="shared" si="9"/>
        <v/>
      </c>
      <c r="AD67" s="941" t="str">
        <f t="shared" si="10"/>
        <v/>
      </c>
      <c r="AE67" s="941" t="str">
        <f t="shared" si="11"/>
        <v/>
      </c>
      <c r="AF67" s="941" t="str">
        <f t="shared" si="12"/>
        <v/>
      </c>
      <c r="AG67" s="941" t="str">
        <f t="shared" si="13"/>
        <v/>
      </c>
      <c r="AH67" s="941" t="str">
        <f t="shared" si="14"/>
        <v/>
      </c>
      <c r="AI67" s="941" t="str">
        <f t="shared" si="15"/>
        <v/>
      </c>
      <c r="AJ67" s="941" t="str">
        <f t="shared" si="16"/>
        <v/>
      </c>
      <c r="AK67" s="941" t="str">
        <f t="shared" si="17"/>
        <v/>
      </c>
      <c r="AL67" s="941" t="str">
        <f t="shared" si="18"/>
        <v/>
      </c>
      <c r="AM67" s="941" t="str">
        <f t="shared" si="19"/>
        <v/>
      </c>
      <c r="AN67" s="941" t="str">
        <f t="shared" si="20"/>
        <v/>
      </c>
      <c r="AO67" s="941" t="str">
        <f t="shared" si="21"/>
        <v/>
      </c>
      <c r="AP67" s="895">
        <f>IF(AO67&lt;0,"No hi ha pèrdua",IFERROR(SUM(AA67:AO67)*'7. Erosió de costa'!$C$86/1000000,""))</f>
        <v>0</v>
      </c>
    </row>
    <row r="68" spans="1:42">
      <c r="A68" s="835">
        <v>8065</v>
      </c>
      <c r="B68" s="826" t="s">
        <v>1014</v>
      </c>
      <c r="C68" s="835" t="str">
        <f t="shared" ref="C68:C131" si="22">IFERROR(VLOOKUP($B68,costa,2,FALSE),"NA")</f>
        <v>NA</v>
      </c>
      <c r="D68" s="923" t="str">
        <f t="shared" ref="D68:D131" si="23">IFERROR(VLOOKUP($B68,costa,3,FALSE),"NA")</f>
        <v>NA</v>
      </c>
      <c r="E68" s="931" t="str">
        <f t="shared" ref="E68:E131" si="24">IFERROR(VLOOKUP(C68,mermes,3,FALSE),"NA")</f>
        <v>NA</v>
      </c>
      <c r="F68" s="926" t="str">
        <f t="shared" ref="F68:F131" si="25">IFERROR(VLOOKUP(C68,mermes,5,FALSE),"NA")</f>
        <v>NA</v>
      </c>
      <c r="G68" s="923" t="str">
        <f t="shared" si="5"/>
        <v>NA</v>
      </c>
      <c r="H68" s="931" t="str">
        <f>IFERROR(IF((G68*'7. Erosió de costa'!$C$86/1000000)&lt;0,"guanya sorra",G68*'7. Erosió de costa'!$C$86/1000000),"")</f>
        <v/>
      </c>
      <c r="I68" s="937" t="str">
        <f>IFERROR(IF(('A. Dades de partida'!$D$10*G68*'7. Erosió de costa'!$C$86/1000000)&lt;0,"guanya sorra",'A. Dades de partida'!$D$10*G68*'7. Erosió de costa'!$C$86/1000000),"")</f>
        <v/>
      </c>
      <c r="J68" s="931"/>
      <c r="K68" s="931"/>
      <c r="L68" s="931"/>
      <c r="M68" s="931"/>
      <c r="N68" s="931"/>
      <c r="O68" s="931"/>
      <c r="P68" s="931"/>
      <c r="Q68" s="931"/>
      <c r="R68" s="931"/>
      <c r="S68" s="931"/>
      <c r="T68" s="931"/>
      <c r="U68" s="931"/>
      <c r="V68" s="931"/>
      <c r="W68" s="931"/>
      <c r="X68" s="931"/>
      <c r="Y68" s="931"/>
      <c r="Z68" s="941" t="str">
        <f t="shared" si="6"/>
        <v/>
      </c>
      <c r="AA68" s="941" t="str">
        <f t="shared" si="7"/>
        <v/>
      </c>
      <c r="AB68" s="941" t="str">
        <f t="shared" si="8"/>
        <v/>
      </c>
      <c r="AC68" s="941" t="str">
        <f t="shared" si="9"/>
        <v/>
      </c>
      <c r="AD68" s="941" t="str">
        <f t="shared" si="10"/>
        <v/>
      </c>
      <c r="AE68" s="941" t="str">
        <f t="shared" si="11"/>
        <v/>
      </c>
      <c r="AF68" s="941" t="str">
        <f t="shared" si="12"/>
        <v/>
      </c>
      <c r="AG68" s="941" t="str">
        <f t="shared" si="13"/>
        <v/>
      </c>
      <c r="AH68" s="941" t="str">
        <f t="shared" si="14"/>
        <v/>
      </c>
      <c r="AI68" s="941" t="str">
        <f t="shared" si="15"/>
        <v/>
      </c>
      <c r="AJ68" s="941" t="str">
        <f t="shared" si="16"/>
        <v/>
      </c>
      <c r="AK68" s="941" t="str">
        <f t="shared" si="17"/>
        <v/>
      </c>
      <c r="AL68" s="941" t="str">
        <f t="shared" si="18"/>
        <v/>
      </c>
      <c r="AM68" s="941" t="str">
        <f t="shared" si="19"/>
        <v/>
      </c>
      <c r="AN68" s="941" t="str">
        <f t="shared" si="20"/>
        <v/>
      </c>
      <c r="AO68" s="941" t="str">
        <f t="shared" si="21"/>
        <v/>
      </c>
      <c r="AP68" s="895">
        <f>IF(AO68&lt;0,"No hi ha pèrdua",IFERROR(SUM(AA68:AO68)*'7. Erosió de costa'!$C$86/1000000,""))</f>
        <v>0</v>
      </c>
    </row>
    <row r="69" spans="1:42">
      <c r="A69" s="835">
        <v>8066</v>
      </c>
      <c r="B69" s="826" t="s">
        <v>1021</v>
      </c>
      <c r="C69" s="835" t="str">
        <f t="shared" si="22"/>
        <v>NA</v>
      </c>
      <c r="D69" s="923" t="str">
        <f t="shared" si="23"/>
        <v>NA</v>
      </c>
      <c r="E69" s="931" t="str">
        <f t="shared" si="24"/>
        <v>NA</v>
      </c>
      <c r="F69" s="926" t="str">
        <f t="shared" si="25"/>
        <v>NA</v>
      </c>
      <c r="G69" s="923" t="str">
        <f t="shared" ref="G69:G132" si="26">IFERROR(-1*D69*E69*F69,"NA")</f>
        <v>NA</v>
      </c>
      <c r="H69" s="931" t="str">
        <f>IFERROR(IF((G69*'7. Erosió de costa'!$C$86/1000000)&lt;0,"guanya sorra",G69*'7. Erosió de costa'!$C$86/1000000),"")</f>
        <v/>
      </c>
      <c r="I69" s="937" t="str">
        <f>IFERROR(IF(('A. Dades de partida'!$D$10*G69*'7. Erosió de costa'!$C$86/1000000)&lt;0,"guanya sorra",'A. Dades de partida'!$D$10*G69*'7. Erosió de costa'!$C$86/1000000),"")</f>
        <v/>
      </c>
      <c r="J69" s="931"/>
      <c r="K69" s="931"/>
      <c r="L69" s="931"/>
      <c r="M69" s="931"/>
      <c r="N69" s="931"/>
      <c r="O69" s="931"/>
      <c r="P69" s="931"/>
      <c r="Q69" s="931"/>
      <c r="R69" s="931"/>
      <c r="S69" s="931"/>
      <c r="T69" s="931"/>
      <c r="U69" s="931"/>
      <c r="V69" s="931"/>
      <c r="W69" s="931"/>
      <c r="X69" s="931"/>
      <c r="Y69" s="931"/>
      <c r="Z69" s="941" t="str">
        <f t="shared" si="6"/>
        <v/>
      </c>
      <c r="AA69" s="941" t="str">
        <f t="shared" si="7"/>
        <v/>
      </c>
      <c r="AB69" s="941" t="str">
        <f t="shared" si="8"/>
        <v/>
      </c>
      <c r="AC69" s="941" t="str">
        <f t="shared" si="9"/>
        <v/>
      </c>
      <c r="AD69" s="941" t="str">
        <f t="shared" si="10"/>
        <v/>
      </c>
      <c r="AE69" s="941" t="str">
        <f t="shared" si="11"/>
        <v/>
      </c>
      <c r="AF69" s="941" t="str">
        <f t="shared" si="12"/>
        <v/>
      </c>
      <c r="AG69" s="941" t="str">
        <f t="shared" si="13"/>
        <v/>
      </c>
      <c r="AH69" s="941" t="str">
        <f t="shared" si="14"/>
        <v/>
      </c>
      <c r="AI69" s="941" t="str">
        <f t="shared" si="15"/>
        <v/>
      </c>
      <c r="AJ69" s="941" t="str">
        <f t="shared" si="16"/>
        <v/>
      </c>
      <c r="AK69" s="941" t="str">
        <f t="shared" si="17"/>
        <v/>
      </c>
      <c r="AL69" s="941" t="str">
        <f t="shared" si="18"/>
        <v/>
      </c>
      <c r="AM69" s="941" t="str">
        <f t="shared" si="19"/>
        <v/>
      </c>
      <c r="AN69" s="941" t="str">
        <f t="shared" si="20"/>
        <v/>
      </c>
      <c r="AO69" s="941" t="str">
        <f t="shared" si="21"/>
        <v/>
      </c>
      <c r="AP69" s="895">
        <f>IF(AO69&lt;0,"No hi ha pèrdua",IFERROR(SUM(AA69:AO69)*'7. Erosió de costa'!$C$86/1000000,""))</f>
        <v>0</v>
      </c>
    </row>
    <row r="70" spans="1:42">
      <c r="A70" s="835">
        <v>8067</v>
      </c>
      <c r="B70" s="826" t="s">
        <v>1025</v>
      </c>
      <c r="C70" s="835" t="str">
        <f t="shared" si="22"/>
        <v>NA</v>
      </c>
      <c r="D70" s="923" t="str">
        <f t="shared" si="23"/>
        <v>NA</v>
      </c>
      <c r="E70" s="931" t="str">
        <f t="shared" si="24"/>
        <v>NA</v>
      </c>
      <c r="F70" s="926" t="str">
        <f t="shared" si="25"/>
        <v>NA</v>
      </c>
      <c r="G70" s="923" t="str">
        <f t="shared" si="26"/>
        <v>NA</v>
      </c>
      <c r="H70" s="931" t="str">
        <f>IFERROR(IF((G70*'7. Erosió de costa'!$C$86/1000000)&lt;0,"guanya sorra",G70*'7. Erosió de costa'!$C$86/1000000),"")</f>
        <v/>
      </c>
      <c r="I70" s="937" t="str">
        <f>IFERROR(IF(('A. Dades de partida'!$D$10*G70*'7. Erosió de costa'!$C$86/1000000)&lt;0,"guanya sorra",'A. Dades de partida'!$D$10*G70*'7. Erosió de costa'!$C$86/1000000),"")</f>
        <v/>
      </c>
      <c r="J70" s="931"/>
      <c r="K70" s="931"/>
      <c r="L70" s="931"/>
      <c r="M70" s="931"/>
      <c r="N70" s="931"/>
      <c r="O70" s="931"/>
      <c r="P70" s="931"/>
      <c r="Q70" s="931"/>
      <c r="R70" s="931"/>
      <c r="S70" s="931"/>
      <c r="T70" s="931"/>
      <c r="U70" s="931"/>
      <c r="V70" s="931"/>
      <c r="W70" s="931"/>
      <c r="X70" s="931"/>
      <c r="Y70" s="931"/>
      <c r="Z70" s="941" t="str">
        <f t="shared" ref="Z70:Z133" si="27">IFERROR(-1*J70*$D70*$F70,"")</f>
        <v/>
      </c>
      <c r="AA70" s="941" t="str">
        <f t="shared" ref="AA70:AA133" si="28">IFERROR(-1*K70*$D70*$F70,"")</f>
        <v/>
      </c>
      <c r="AB70" s="941" t="str">
        <f t="shared" ref="AB70:AB133" si="29">IFERROR(-1*L70*$D70*$F70,"")</f>
        <v/>
      </c>
      <c r="AC70" s="941" t="str">
        <f t="shared" ref="AC70:AC133" si="30">IFERROR(-1*M70*$D70*$F70,"")</f>
        <v/>
      </c>
      <c r="AD70" s="941" t="str">
        <f t="shared" ref="AD70:AD133" si="31">IFERROR(-1*N70*$D70*$F70,"")</f>
        <v/>
      </c>
      <c r="AE70" s="941" t="str">
        <f t="shared" ref="AE70:AE133" si="32">IFERROR(-1*O70*$D70*$F70,"")</f>
        <v/>
      </c>
      <c r="AF70" s="941" t="str">
        <f t="shared" ref="AF70:AF133" si="33">IFERROR(-1*P70*$D70*$F70,"")</f>
        <v/>
      </c>
      <c r="AG70" s="941" t="str">
        <f t="shared" ref="AG70:AG133" si="34">IFERROR(-1*Q70*$D70*$F70,"")</f>
        <v/>
      </c>
      <c r="AH70" s="941" t="str">
        <f t="shared" ref="AH70:AH133" si="35">IFERROR(-1*R70*$D70*$F70,"")</f>
        <v/>
      </c>
      <c r="AI70" s="941" t="str">
        <f t="shared" ref="AI70:AI133" si="36">IFERROR(-1*S70*$D70*$F70,"")</f>
        <v/>
      </c>
      <c r="AJ70" s="941" t="str">
        <f t="shared" ref="AJ70:AJ133" si="37">IFERROR(-1*T70*$D70*$F70,"")</f>
        <v/>
      </c>
      <c r="AK70" s="941" t="str">
        <f t="shared" ref="AK70:AK133" si="38">IFERROR(-1*U70*$D70*$F70,"")</f>
        <v/>
      </c>
      <c r="AL70" s="941" t="str">
        <f t="shared" ref="AL70:AL133" si="39">IFERROR(-1*V70*$D70*$F70,"")</f>
        <v/>
      </c>
      <c r="AM70" s="941" t="str">
        <f t="shared" ref="AM70:AM133" si="40">IFERROR(-1*W70*$D70*$F70,"")</f>
        <v/>
      </c>
      <c r="AN70" s="941" t="str">
        <f t="shared" ref="AN70:AN133" si="41">IFERROR(-1*X70*$D70*$F70,"")</f>
        <v/>
      </c>
      <c r="AO70" s="941" t="str">
        <f t="shared" ref="AO70:AO133" si="42">IFERROR(-1*Y70*$D70*$F70,"")</f>
        <v/>
      </c>
      <c r="AP70" s="895">
        <f>IF(AO70&lt;0,"No hi ha pèrdua",IFERROR(SUM(AA70:AO70)*'7. Erosió de costa'!$C$86/1000000,""))</f>
        <v>0</v>
      </c>
    </row>
    <row r="71" spans="1:42">
      <c r="A71" s="835">
        <v>8068</v>
      </c>
      <c r="B71" s="826" t="s">
        <v>1027</v>
      </c>
      <c r="C71" s="835" t="str">
        <f t="shared" si="22"/>
        <v>NA</v>
      </c>
      <c r="D71" s="923" t="str">
        <f t="shared" si="23"/>
        <v>NA</v>
      </c>
      <c r="E71" s="931" t="str">
        <f t="shared" si="24"/>
        <v>NA</v>
      </c>
      <c r="F71" s="926" t="str">
        <f t="shared" si="25"/>
        <v>NA</v>
      </c>
      <c r="G71" s="923" t="str">
        <f t="shared" si="26"/>
        <v>NA</v>
      </c>
      <c r="H71" s="931" t="str">
        <f>IFERROR(IF((G71*'7. Erosió de costa'!$C$86/1000000)&lt;0,"guanya sorra",G71*'7. Erosió de costa'!$C$86/1000000),"")</f>
        <v/>
      </c>
      <c r="I71" s="937" t="str">
        <f>IFERROR(IF(('A. Dades de partida'!$D$10*G71*'7. Erosió de costa'!$C$86/1000000)&lt;0,"guanya sorra",'A. Dades de partida'!$D$10*G71*'7. Erosió de costa'!$C$86/1000000),"")</f>
        <v/>
      </c>
      <c r="J71" s="931"/>
      <c r="K71" s="931"/>
      <c r="L71" s="931"/>
      <c r="M71" s="931"/>
      <c r="N71" s="931"/>
      <c r="O71" s="931"/>
      <c r="P71" s="931"/>
      <c r="Q71" s="931"/>
      <c r="R71" s="931"/>
      <c r="S71" s="931"/>
      <c r="T71" s="931"/>
      <c r="U71" s="931"/>
      <c r="V71" s="931"/>
      <c r="W71" s="931"/>
      <c r="X71" s="931"/>
      <c r="Y71" s="931"/>
      <c r="Z71" s="941" t="str">
        <f t="shared" si="27"/>
        <v/>
      </c>
      <c r="AA71" s="941" t="str">
        <f t="shared" si="28"/>
        <v/>
      </c>
      <c r="AB71" s="941" t="str">
        <f t="shared" si="29"/>
        <v/>
      </c>
      <c r="AC71" s="941" t="str">
        <f t="shared" si="30"/>
        <v/>
      </c>
      <c r="AD71" s="941" t="str">
        <f t="shared" si="31"/>
        <v/>
      </c>
      <c r="AE71" s="941" t="str">
        <f t="shared" si="32"/>
        <v/>
      </c>
      <c r="AF71" s="941" t="str">
        <f t="shared" si="33"/>
        <v/>
      </c>
      <c r="AG71" s="941" t="str">
        <f t="shared" si="34"/>
        <v/>
      </c>
      <c r="AH71" s="941" t="str">
        <f t="shared" si="35"/>
        <v/>
      </c>
      <c r="AI71" s="941" t="str">
        <f t="shared" si="36"/>
        <v/>
      </c>
      <c r="AJ71" s="941" t="str">
        <f t="shared" si="37"/>
        <v/>
      </c>
      <c r="AK71" s="941" t="str">
        <f t="shared" si="38"/>
        <v/>
      </c>
      <c r="AL71" s="941" t="str">
        <f t="shared" si="39"/>
        <v/>
      </c>
      <c r="AM71" s="941" t="str">
        <f t="shared" si="40"/>
        <v/>
      </c>
      <c r="AN71" s="941" t="str">
        <f t="shared" si="41"/>
        <v/>
      </c>
      <c r="AO71" s="941" t="str">
        <f t="shared" si="42"/>
        <v/>
      </c>
      <c r="AP71" s="895">
        <f>IF(AO71&lt;0,"No hi ha pèrdua",IFERROR(SUM(AA71:AO71)*'7. Erosió de costa'!$C$86/1000000,""))</f>
        <v>0</v>
      </c>
    </row>
    <row r="72" spans="1:42">
      <c r="A72" s="835">
        <v>8069</v>
      </c>
      <c r="B72" s="826" t="s">
        <v>1030</v>
      </c>
      <c r="C72" s="835" t="str">
        <f t="shared" si="22"/>
        <v>NA</v>
      </c>
      <c r="D72" s="923" t="str">
        <f t="shared" si="23"/>
        <v>NA</v>
      </c>
      <c r="E72" s="931" t="str">
        <f t="shared" si="24"/>
        <v>NA</v>
      </c>
      <c r="F72" s="926" t="str">
        <f t="shared" si="25"/>
        <v>NA</v>
      </c>
      <c r="G72" s="923" t="str">
        <f t="shared" si="26"/>
        <v>NA</v>
      </c>
      <c r="H72" s="931" t="str">
        <f>IFERROR(IF((G72*'7. Erosió de costa'!$C$86/1000000)&lt;0,"guanya sorra",G72*'7. Erosió de costa'!$C$86/1000000),"")</f>
        <v/>
      </c>
      <c r="I72" s="937" t="str">
        <f>IFERROR(IF(('A. Dades de partida'!$D$10*G72*'7. Erosió de costa'!$C$86/1000000)&lt;0,"guanya sorra",'A. Dades de partida'!$D$10*G72*'7. Erosió de costa'!$C$86/1000000),"")</f>
        <v/>
      </c>
      <c r="J72" s="931"/>
      <c r="K72" s="931"/>
      <c r="L72" s="931"/>
      <c r="M72" s="931"/>
      <c r="N72" s="931"/>
      <c r="O72" s="931"/>
      <c r="P72" s="931"/>
      <c r="Q72" s="931"/>
      <c r="R72" s="931"/>
      <c r="S72" s="931"/>
      <c r="T72" s="931"/>
      <c r="U72" s="931"/>
      <c r="V72" s="931"/>
      <c r="W72" s="931"/>
      <c r="X72" s="931"/>
      <c r="Y72" s="931"/>
      <c r="Z72" s="941" t="str">
        <f t="shared" si="27"/>
        <v/>
      </c>
      <c r="AA72" s="941" t="str">
        <f t="shared" si="28"/>
        <v/>
      </c>
      <c r="AB72" s="941" t="str">
        <f t="shared" si="29"/>
        <v/>
      </c>
      <c r="AC72" s="941" t="str">
        <f t="shared" si="30"/>
        <v/>
      </c>
      <c r="AD72" s="941" t="str">
        <f t="shared" si="31"/>
        <v/>
      </c>
      <c r="AE72" s="941" t="str">
        <f t="shared" si="32"/>
        <v/>
      </c>
      <c r="AF72" s="941" t="str">
        <f t="shared" si="33"/>
        <v/>
      </c>
      <c r="AG72" s="941" t="str">
        <f t="shared" si="34"/>
        <v/>
      </c>
      <c r="AH72" s="941" t="str">
        <f t="shared" si="35"/>
        <v/>
      </c>
      <c r="AI72" s="941" t="str">
        <f t="shared" si="36"/>
        <v/>
      </c>
      <c r="AJ72" s="941" t="str">
        <f t="shared" si="37"/>
        <v/>
      </c>
      <c r="AK72" s="941" t="str">
        <f t="shared" si="38"/>
        <v/>
      </c>
      <c r="AL72" s="941" t="str">
        <f t="shared" si="39"/>
        <v/>
      </c>
      <c r="AM72" s="941" t="str">
        <f t="shared" si="40"/>
        <v/>
      </c>
      <c r="AN72" s="941" t="str">
        <f t="shared" si="41"/>
        <v/>
      </c>
      <c r="AO72" s="941" t="str">
        <f t="shared" si="42"/>
        <v/>
      </c>
      <c r="AP72" s="895">
        <f>IF(AO72&lt;0,"No hi ha pèrdua",IFERROR(SUM(AA72:AO72)*'7. Erosió de costa'!$C$86/1000000,""))</f>
        <v>0</v>
      </c>
    </row>
    <row r="73" spans="1:42">
      <c r="A73" s="835">
        <v>8070</v>
      </c>
      <c r="B73" s="826" t="s">
        <v>1034</v>
      </c>
      <c r="C73" s="835" t="str">
        <f t="shared" si="22"/>
        <v>NA</v>
      </c>
      <c r="D73" s="923" t="str">
        <f t="shared" si="23"/>
        <v>NA</v>
      </c>
      <c r="E73" s="931" t="str">
        <f t="shared" si="24"/>
        <v>NA</v>
      </c>
      <c r="F73" s="926" t="str">
        <f t="shared" si="25"/>
        <v>NA</v>
      </c>
      <c r="G73" s="923" t="str">
        <f t="shared" si="26"/>
        <v>NA</v>
      </c>
      <c r="H73" s="931" t="str">
        <f>IFERROR(IF((G73*'7. Erosió de costa'!$C$86/1000000)&lt;0,"guanya sorra",G73*'7. Erosió de costa'!$C$86/1000000),"")</f>
        <v/>
      </c>
      <c r="I73" s="937" t="str">
        <f>IFERROR(IF(('A. Dades de partida'!$D$10*G73*'7. Erosió de costa'!$C$86/1000000)&lt;0,"guanya sorra",'A. Dades de partida'!$D$10*G73*'7. Erosió de costa'!$C$86/1000000),"")</f>
        <v/>
      </c>
      <c r="J73" s="931"/>
      <c r="K73" s="931"/>
      <c r="L73" s="931"/>
      <c r="M73" s="931"/>
      <c r="N73" s="931"/>
      <c r="O73" s="931"/>
      <c r="P73" s="931"/>
      <c r="Q73" s="931"/>
      <c r="R73" s="931"/>
      <c r="S73" s="931"/>
      <c r="T73" s="931"/>
      <c r="U73" s="931"/>
      <c r="V73" s="931"/>
      <c r="W73" s="931"/>
      <c r="X73" s="931"/>
      <c r="Y73" s="931"/>
      <c r="Z73" s="941" t="str">
        <f t="shared" si="27"/>
        <v/>
      </c>
      <c r="AA73" s="941" t="str">
        <f t="shared" si="28"/>
        <v/>
      </c>
      <c r="AB73" s="941" t="str">
        <f t="shared" si="29"/>
        <v/>
      </c>
      <c r="AC73" s="941" t="str">
        <f t="shared" si="30"/>
        <v/>
      </c>
      <c r="AD73" s="941" t="str">
        <f t="shared" si="31"/>
        <v/>
      </c>
      <c r="AE73" s="941" t="str">
        <f t="shared" si="32"/>
        <v/>
      </c>
      <c r="AF73" s="941" t="str">
        <f t="shared" si="33"/>
        <v/>
      </c>
      <c r="AG73" s="941" t="str">
        <f t="shared" si="34"/>
        <v/>
      </c>
      <c r="AH73" s="941" t="str">
        <f t="shared" si="35"/>
        <v/>
      </c>
      <c r="AI73" s="941" t="str">
        <f t="shared" si="36"/>
        <v/>
      </c>
      <c r="AJ73" s="941" t="str">
        <f t="shared" si="37"/>
        <v/>
      </c>
      <c r="AK73" s="941" t="str">
        <f t="shared" si="38"/>
        <v/>
      </c>
      <c r="AL73" s="941" t="str">
        <f t="shared" si="39"/>
        <v/>
      </c>
      <c r="AM73" s="941" t="str">
        <f t="shared" si="40"/>
        <v/>
      </c>
      <c r="AN73" s="941" t="str">
        <f t="shared" si="41"/>
        <v/>
      </c>
      <c r="AO73" s="941" t="str">
        <f t="shared" si="42"/>
        <v/>
      </c>
      <c r="AP73" s="895">
        <f>IF(AO73&lt;0,"No hi ha pèrdua",IFERROR(SUM(AA73:AO73)*'7. Erosió de costa'!$C$86/1000000,""))</f>
        <v>0</v>
      </c>
    </row>
    <row r="74" spans="1:42">
      <c r="A74" s="835">
        <v>8071</v>
      </c>
      <c r="B74" s="826" t="s">
        <v>1037</v>
      </c>
      <c r="C74" s="835" t="str">
        <f t="shared" si="22"/>
        <v>NA</v>
      </c>
      <c r="D74" s="923" t="str">
        <f t="shared" si="23"/>
        <v>NA</v>
      </c>
      <c r="E74" s="931" t="str">
        <f t="shared" si="24"/>
        <v>NA</v>
      </c>
      <c r="F74" s="926" t="str">
        <f t="shared" si="25"/>
        <v>NA</v>
      </c>
      <c r="G74" s="923" t="str">
        <f t="shared" si="26"/>
        <v>NA</v>
      </c>
      <c r="H74" s="931" t="str">
        <f>IFERROR(IF((G74*'7. Erosió de costa'!$C$86/1000000)&lt;0,"guanya sorra",G74*'7. Erosió de costa'!$C$86/1000000),"")</f>
        <v/>
      </c>
      <c r="I74" s="937" t="str">
        <f>IFERROR(IF(('A. Dades de partida'!$D$10*G74*'7. Erosió de costa'!$C$86/1000000)&lt;0,"guanya sorra",'A. Dades de partida'!$D$10*G74*'7. Erosió de costa'!$C$86/1000000),"")</f>
        <v/>
      </c>
      <c r="J74" s="931"/>
      <c r="K74" s="931"/>
      <c r="L74" s="931"/>
      <c r="M74" s="931"/>
      <c r="N74" s="931"/>
      <c r="O74" s="931"/>
      <c r="P74" s="931"/>
      <c r="Q74" s="931"/>
      <c r="R74" s="931"/>
      <c r="S74" s="931"/>
      <c r="T74" s="931"/>
      <c r="U74" s="931"/>
      <c r="V74" s="931"/>
      <c r="W74" s="931"/>
      <c r="X74" s="931"/>
      <c r="Y74" s="931"/>
      <c r="Z74" s="941" t="str">
        <f t="shared" si="27"/>
        <v/>
      </c>
      <c r="AA74" s="941" t="str">
        <f t="shared" si="28"/>
        <v/>
      </c>
      <c r="AB74" s="941" t="str">
        <f t="shared" si="29"/>
        <v/>
      </c>
      <c r="AC74" s="941" t="str">
        <f t="shared" si="30"/>
        <v/>
      </c>
      <c r="AD74" s="941" t="str">
        <f t="shared" si="31"/>
        <v/>
      </c>
      <c r="AE74" s="941" t="str">
        <f t="shared" si="32"/>
        <v/>
      </c>
      <c r="AF74" s="941" t="str">
        <f t="shared" si="33"/>
        <v/>
      </c>
      <c r="AG74" s="941" t="str">
        <f t="shared" si="34"/>
        <v/>
      </c>
      <c r="AH74" s="941" t="str">
        <f t="shared" si="35"/>
        <v/>
      </c>
      <c r="AI74" s="941" t="str">
        <f t="shared" si="36"/>
        <v/>
      </c>
      <c r="AJ74" s="941" t="str">
        <f t="shared" si="37"/>
        <v/>
      </c>
      <c r="AK74" s="941" t="str">
        <f t="shared" si="38"/>
        <v/>
      </c>
      <c r="AL74" s="941" t="str">
        <f t="shared" si="39"/>
        <v/>
      </c>
      <c r="AM74" s="941" t="str">
        <f t="shared" si="40"/>
        <v/>
      </c>
      <c r="AN74" s="941" t="str">
        <f t="shared" si="41"/>
        <v/>
      </c>
      <c r="AO74" s="941" t="str">
        <f t="shared" si="42"/>
        <v/>
      </c>
      <c r="AP74" s="895">
        <f>IF(AO74&lt;0,"No hi ha pèrdua",IFERROR(SUM(AA74:AO74)*'7. Erosió de costa'!$C$86/1000000,""))</f>
        <v>0</v>
      </c>
    </row>
    <row r="75" spans="1:42">
      <c r="A75" s="835">
        <v>8072</v>
      </c>
      <c r="B75" s="826" t="s">
        <v>1043</v>
      </c>
      <c r="C75" s="835" t="str">
        <f t="shared" si="22"/>
        <v>NA</v>
      </c>
      <c r="D75" s="923" t="str">
        <f t="shared" si="23"/>
        <v>NA</v>
      </c>
      <c r="E75" s="931" t="str">
        <f t="shared" si="24"/>
        <v>NA</v>
      </c>
      <c r="F75" s="926" t="str">
        <f t="shared" si="25"/>
        <v>NA</v>
      </c>
      <c r="G75" s="923" t="str">
        <f t="shared" si="26"/>
        <v>NA</v>
      </c>
      <c r="H75" s="931" t="str">
        <f>IFERROR(IF((G75*'7. Erosió de costa'!$C$86/1000000)&lt;0,"guanya sorra",G75*'7. Erosió de costa'!$C$86/1000000),"")</f>
        <v/>
      </c>
      <c r="I75" s="937" t="str">
        <f>IFERROR(IF(('A. Dades de partida'!$D$10*G75*'7. Erosió de costa'!$C$86/1000000)&lt;0,"guanya sorra",'A. Dades de partida'!$D$10*G75*'7. Erosió de costa'!$C$86/1000000),"")</f>
        <v/>
      </c>
      <c r="J75" s="931"/>
      <c r="K75" s="931"/>
      <c r="L75" s="931"/>
      <c r="M75" s="931"/>
      <c r="N75" s="931"/>
      <c r="O75" s="931"/>
      <c r="P75" s="931"/>
      <c r="Q75" s="931"/>
      <c r="R75" s="931"/>
      <c r="S75" s="931"/>
      <c r="T75" s="931"/>
      <c r="U75" s="931"/>
      <c r="V75" s="931"/>
      <c r="W75" s="931"/>
      <c r="X75" s="931"/>
      <c r="Y75" s="931"/>
      <c r="Z75" s="941" t="str">
        <f t="shared" si="27"/>
        <v/>
      </c>
      <c r="AA75" s="941" t="str">
        <f t="shared" si="28"/>
        <v/>
      </c>
      <c r="AB75" s="941" t="str">
        <f t="shared" si="29"/>
        <v/>
      </c>
      <c r="AC75" s="941" t="str">
        <f t="shared" si="30"/>
        <v/>
      </c>
      <c r="AD75" s="941" t="str">
        <f t="shared" si="31"/>
        <v/>
      </c>
      <c r="AE75" s="941" t="str">
        <f t="shared" si="32"/>
        <v/>
      </c>
      <c r="AF75" s="941" t="str">
        <f t="shared" si="33"/>
        <v/>
      </c>
      <c r="AG75" s="941" t="str">
        <f t="shared" si="34"/>
        <v/>
      </c>
      <c r="AH75" s="941" t="str">
        <f t="shared" si="35"/>
        <v/>
      </c>
      <c r="AI75" s="941" t="str">
        <f t="shared" si="36"/>
        <v/>
      </c>
      <c r="AJ75" s="941" t="str">
        <f t="shared" si="37"/>
        <v/>
      </c>
      <c r="AK75" s="941" t="str">
        <f t="shared" si="38"/>
        <v/>
      </c>
      <c r="AL75" s="941" t="str">
        <f t="shared" si="39"/>
        <v/>
      </c>
      <c r="AM75" s="941" t="str">
        <f t="shared" si="40"/>
        <v/>
      </c>
      <c r="AN75" s="941" t="str">
        <f t="shared" si="41"/>
        <v/>
      </c>
      <c r="AO75" s="941" t="str">
        <f t="shared" si="42"/>
        <v/>
      </c>
      <c r="AP75" s="895">
        <f>IF(AO75&lt;0,"No hi ha pèrdua",IFERROR(SUM(AA75:AO75)*'7. Erosió de costa'!$C$86/1000000,""))</f>
        <v>0</v>
      </c>
    </row>
    <row r="76" spans="1:42">
      <c r="A76" s="835">
        <v>8073</v>
      </c>
      <c r="B76" s="826" t="s">
        <v>1046</v>
      </c>
      <c r="C76" s="835" t="str">
        <f t="shared" si="22"/>
        <v>NA</v>
      </c>
      <c r="D76" s="923" t="str">
        <f t="shared" si="23"/>
        <v>NA</v>
      </c>
      <c r="E76" s="931" t="str">
        <f t="shared" si="24"/>
        <v>NA</v>
      </c>
      <c r="F76" s="926" t="str">
        <f t="shared" si="25"/>
        <v>NA</v>
      </c>
      <c r="G76" s="923" t="str">
        <f t="shared" si="26"/>
        <v>NA</v>
      </c>
      <c r="H76" s="931" t="str">
        <f>IFERROR(IF((G76*'7. Erosió de costa'!$C$86/1000000)&lt;0,"guanya sorra",G76*'7. Erosió de costa'!$C$86/1000000),"")</f>
        <v/>
      </c>
      <c r="I76" s="937" t="str">
        <f>IFERROR(IF(('A. Dades de partida'!$D$10*G76*'7. Erosió de costa'!$C$86/1000000)&lt;0,"guanya sorra",'A. Dades de partida'!$D$10*G76*'7. Erosió de costa'!$C$86/1000000),"")</f>
        <v/>
      </c>
      <c r="J76" s="931"/>
      <c r="K76" s="931"/>
      <c r="L76" s="931"/>
      <c r="M76" s="931"/>
      <c r="N76" s="931"/>
      <c r="O76" s="931"/>
      <c r="P76" s="931"/>
      <c r="Q76" s="931"/>
      <c r="R76" s="931"/>
      <c r="S76" s="931"/>
      <c r="T76" s="931"/>
      <c r="U76" s="931"/>
      <c r="V76" s="931"/>
      <c r="W76" s="931"/>
      <c r="X76" s="931"/>
      <c r="Y76" s="931"/>
      <c r="Z76" s="941" t="str">
        <f t="shared" si="27"/>
        <v/>
      </c>
      <c r="AA76" s="941" t="str">
        <f t="shared" si="28"/>
        <v/>
      </c>
      <c r="AB76" s="941" t="str">
        <f t="shared" si="29"/>
        <v/>
      </c>
      <c r="AC76" s="941" t="str">
        <f t="shared" si="30"/>
        <v/>
      </c>
      <c r="AD76" s="941" t="str">
        <f t="shared" si="31"/>
        <v/>
      </c>
      <c r="AE76" s="941" t="str">
        <f t="shared" si="32"/>
        <v/>
      </c>
      <c r="AF76" s="941" t="str">
        <f t="shared" si="33"/>
        <v/>
      </c>
      <c r="AG76" s="941" t="str">
        <f t="shared" si="34"/>
        <v/>
      </c>
      <c r="AH76" s="941" t="str">
        <f t="shared" si="35"/>
        <v/>
      </c>
      <c r="AI76" s="941" t="str">
        <f t="shared" si="36"/>
        <v/>
      </c>
      <c r="AJ76" s="941" t="str">
        <f t="shared" si="37"/>
        <v/>
      </c>
      <c r="AK76" s="941" t="str">
        <f t="shared" si="38"/>
        <v/>
      </c>
      <c r="AL76" s="941" t="str">
        <f t="shared" si="39"/>
        <v/>
      </c>
      <c r="AM76" s="941" t="str">
        <f t="shared" si="40"/>
        <v/>
      </c>
      <c r="AN76" s="941" t="str">
        <f t="shared" si="41"/>
        <v/>
      </c>
      <c r="AO76" s="941" t="str">
        <f t="shared" si="42"/>
        <v/>
      </c>
      <c r="AP76" s="895">
        <f>IF(AO76&lt;0,"No hi ha pèrdua",IFERROR(SUM(AA76:AO76)*'7. Erosió de costa'!$C$86/1000000,""))</f>
        <v>0</v>
      </c>
    </row>
    <row r="77" spans="1:42">
      <c r="A77" s="835">
        <v>8074</v>
      </c>
      <c r="B77" s="826" t="s">
        <v>341</v>
      </c>
      <c r="C77" s="835">
        <f t="shared" si="22"/>
        <v>7</v>
      </c>
      <c r="D77" s="923">
        <f t="shared" si="23"/>
        <v>2980</v>
      </c>
      <c r="E77" s="931">
        <f t="shared" si="24"/>
        <v>-0.01</v>
      </c>
      <c r="F77" s="926">
        <f t="shared" si="25"/>
        <v>10.309278350515465</v>
      </c>
      <c r="G77" s="923">
        <f t="shared" si="26"/>
        <v>307.21649484536084</v>
      </c>
      <c r="H77" s="931">
        <f>IFERROR(IF((G77*'7. Erosió de costa'!$C$86/1000000)&lt;0,"guanya sorra",G77*'7. Erosió de costa'!$C$86/1000000),"")</f>
        <v>1.0138144329896908E-2</v>
      </c>
      <c r="I77" s="937">
        <f>IFERROR(IF(('A. Dades de partida'!$D$10*G77*'7. Erosió de costa'!$C$86/1000000)&lt;0,"guanya sorra",'A. Dades de partida'!$D$10*G77*'7. Erosió de costa'!$C$86/1000000),"")</f>
        <v>0.1520721649484536</v>
      </c>
      <c r="J77" s="931">
        <f>E77</f>
        <v>-0.01</v>
      </c>
      <c r="K77" s="931">
        <f>IF($J77&gt;0, $J77-($J77*'7. Erosió de costa'!D$140*'7. Erosió de costa'!$D$111),$J77+($J77*'7. Erosió de costa'!D$140*'7. Erosió de costa'!$D$111))</f>
        <v>-1.0192684766214178E-2</v>
      </c>
      <c r="L77" s="931">
        <f>IF($J77&gt;0, $J77-($J77*'7. Erosió de costa'!E$140*'7. Erosió de costa'!$D$111),$J77+($J77*'7. Erosió de costa'!E$140*'7. Erosió de costa'!$D$111))</f>
        <v>-1.0385369532428357E-2</v>
      </c>
      <c r="M77" s="931">
        <f>IF($J77&gt;0, $J77-($J77*'7. Erosió de costa'!F$140*'7. Erosió de costa'!$D$111),$J77+($J77*'7. Erosió de costa'!F$140*'7. Erosió de costa'!$D$111))</f>
        <v>-1.0578054298642534E-2</v>
      </c>
      <c r="N77" s="931">
        <f>IF($J77&gt;0, $J77-($J77*'7. Erosió de costa'!G$140*'7. Erosió de costa'!$D$111),$J77+($J77*'7. Erosió de costa'!G$140*'7. Erosió de costa'!$D$111))</f>
        <v>-1.0770739064856712E-2</v>
      </c>
      <c r="O77" s="931">
        <f>IF($J77&gt;0, $J77-($J77*'7. Erosió de costa'!H$140*'7. Erosió de costa'!$D$111),$J77+($J77*'7. Erosió de costa'!H$140*'7. Erosió de costa'!$D$111))</f>
        <v>-1.0963423831070889E-2</v>
      </c>
      <c r="P77" s="931">
        <f>IF($J77&gt;0, $J77-($J77*'7. Erosió de costa'!I$140*'7. Erosió de costa'!$D$111),$J77+($J77*'7. Erosió de costa'!I$140*'7. Erosió de costa'!$D$111))</f>
        <v>-1.1156108597285068E-2</v>
      </c>
      <c r="Q77" s="931">
        <f>IF($J77&gt;0, $J77-($J77*'7. Erosió de costa'!J$140*'7. Erosió de costa'!$D$111),$J77+($J77*'7. Erosió de costa'!J$140*'7. Erosió de costa'!$D$111))</f>
        <v>-1.1348793363499246E-2</v>
      </c>
      <c r="R77" s="931">
        <f>IF($J77&gt;0, $J77-($J77*'7. Erosió de costa'!K$140*'7. Erosió de costa'!$D$111),$J77+($J77*'7. Erosió de costa'!K$140*'7. Erosió de costa'!$D$111))</f>
        <v>-1.1541478129713425E-2</v>
      </c>
      <c r="S77" s="931">
        <f>IF($J77&gt;0, $J77-($J77*'7. Erosió de costa'!L$140*'7. Erosió de costa'!$D$111),$J77+($J77*'7. Erosió de costa'!L$140*'7. Erosió de costa'!$D$111))</f>
        <v>-1.1734162895927602E-2</v>
      </c>
      <c r="T77" s="931">
        <f>IF($J77&gt;0, $J77-($J77*'7. Erosió de costa'!M$140*'7. Erosió de costa'!$D$111),$J77+($J77*'7. Erosió de costa'!M$140*'7. Erosió de costa'!$D$111))</f>
        <v>-1.192684766214178E-2</v>
      </c>
      <c r="U77" s="931">
        <f>IF($J77&gt;0, $J77-($J77*'7. Erosió de costa'!N$140*'7. Erosió de costa'!$D$111),$J77+($J77*'7. Erosió de costa'!N$140*'7. Erosió de costa'!$D$111))</f>
        <v>-1.2119532428355957E-2</v>
      </c>
      <c r="V77" s="931">
        <f>IF($J77&gt;0, $J77-($J77*'7. Erosió de costa'!O$140*'7. Erosió de costa'!$D$111),$J77+($J77*'7. Erosió de costa'!O$140*'7. Erosió de costa'!$D$111))</f>
        <v>-1.2312217194570136E-2</v>
      </c>
      <c r="W77" s="931">
        <f>IF($J77&gt;0, $J77-($J77*'7. Erosió de costa'!P$140*'7. Erosió de costa'!$D$111),$J77+($J77*'7. Erosió de costa'!P$140*'7. Erosió de costa'!$D$111))</f>
        <v>-1.2504901960784314E-2</v>
      </c>
      <c r="X77" s="931">
        <f>IF($J77&gt;0, $J77-($J77*'7. Erosió de costa'!Q$140*'7. Erosió de costa'!$D$111),$J77+($J77*'7. Erosió de costa'!Q$140*'7. Erosió de costa'!$D$111))</f>
        <v>-1.2697586726998493E-2</v>
      </c>
      <c r="Y77" s="931">
        <f>IF($J77&gt;0, $J77-($J77*'7. Erosió de costa'!R$140*'7. Erosió de costa'!$D$111),$J77+($J77*'7. Erosió de costa'!R$140*'7. Erosió de costa'!$D$111))</f>
        <v>-1.289027149321267E-2</v>
      </c>
      <c r="Z77" s="941">
        <f t="shared" si="27"/>
        <v>307.21649484536084</v>
      </c>
      <c r="AA77" s="941">
        <f t="shared" si="28"/>
        <v>313.13608869400258</v>
      </c>
      <c r="AB77" s="941">
        <f t="shared" si="29"/>
        <v>319.05568254264438</v>
      </c>
      <c r="AC77" s="941">
        <f t="shared" si="30"/>
        <v>324.97527639128612</v>
      </c>
      <c r="AD77" s="941">
        <f t="shared" si="31"/>
        <v>330.89487023992791</v>
      </c>
      <c r="AE77" s="941">
        <f t="shared" si="32"/>
        <v>336.81446408856959</v>
      </c>
      <c r="AF77" s="941">
        <f t="shared" si="33"/>
        <v>342.73405793721139</v>
      </c>
      <c r="AG77" s="941">
        <f t="shared" si="34"/>
        <v>348.65365178585313</v>
      </c>
      <c r="AH77" s="941">
        <f t="shared" si="35"/>
        <v>354.57324563449492</v>
      </c>
      <c r="AI77" s="941">
        <f t="shared" si="36"/>
        <v>360.49283948313666</v>
      </c>
      <c r="AJ77" s="941">
        <f t="shared" si="37"/>
        <v>366.4124333317784</v>
      </c>
      <c r="AK77" s="941">
        <f t="shared" si="38"/>
        <v>372.33202718042014</v>
      </c>
      <c r="AL77" s="941">
        <f t="shared" si="39"/>
        <v>378.25162102906199</v>
      </c>
      <c r="AM77" s="941">
        <f t="shared" si="40"/>
        <v>384.17121487770368</v>
      </c>
      <c r="AN77" s="941">
        <f t="shared" si="41"/>
        <v>390.09080872634547</v>
      </c>
      <c r="AO77" s="941">
        <f t="shared" si="42"/>
        <v>396.01040257498721</v>
      </c>
      <c r="AP77" s="895">
        <f>IF(AO77&lt;0,"No hi ha pèrdua",IFERROR(SUM(AA77:AO77)*'7. Erosió de costa'!$C$86/1000000,""))</f>
        <v>0.17551375658907498</v>
      </c>
    </row>
    <row r="78" spans="1:42">
      <c r="A78" s="835">
        <v>8075</v>
      </c>
      <c r="B78" s="826" t="s">
        <v>1050</v>
      </c>
      <c r="C78" s="835" t="str">
        <f t="shared" si="22"/>
        <v>NA</v>
      </c>
      <c r="D78" s="923" t="str">
        <f t="shared" si="23"/>
        <v>NA</v>
      </c>
      <c r="E78" s="931" t="str">
        <f t="shared" si="24"/>
        <v>NA</v>
      </c>
      <c r="F78" s="926" t="str">
        <f t="shared" si="25"/>
        <v>NA</v>
      </c>
      <c r="G78" s="923" t="str">
        <f t="shared" si="26"/>
        <v>NA</v>
      </c>
      <c r="H78" s="931" t="str">
        <f>IFERROR(IF((G78*'7. Erosió de costa'!$C$86/1000000)&lt;0,"guanya sorra",G78*'7. Erosió de costa'!$C$86/1000000),"")</f>
        <v/>
      </c>
      <c r="I78" s="937" t="str">
        <f>IFERROR(IF(('A. Dades de partida'!$D$10*G78*'7. Erosió de costa'!$C$86/1000000)&lt;0,"guanya sorra",'A. Dades de partida'!$D$10*G78*'7. Erosió de costa'!$C$86/1000000),"")</f>
        <v/>
      </c>
      <c r="J78" s="931"/>
      <c r="K78" s="931"/>
      <c r="L78" s="931"/>
      <c r="M78" s="931"/>
      <c r="N78" s="931"/>
      <c r="O78" s="931"/>
      <c r="P78" s="931"/>
      <c r="Q78" s="931"/>
      <c r="R78" s="931"/>
      <c r="S78" s="931"/>
      <c r="T78" s="931"/>
      <c r="U78" s="931"/>
      <c r="V78" s="931"/>
      <c r="W78" s="931"/>
      <c r="X78" s="931"/>
      <c r="Y78" s="931"/>
      <c r="Z78" s="941" t="str">
        <f t="shared" si="27"/>
        <v/>
      </c>
      <c r="AA78" s="941" t="str">
        <f t="shared" si="28"/>
        <v/>
      </c>
      <c r="AB78" s="941" t="str">
        <f t="shared" si="29"/>
        <v/>
      </c>
      <c r="AC78" s="941" t="str">
        <f t="shared" si="30"/>
        <v/>
      </c>
      <c r="AD78" s="941" t="str">
        <f t="shared" si="31"/>
        <v/>
      </c>
      <c r="AE78" s="941" t="str">
        <f t="shared" si="32"/>
        <v/>
      </c>
      <c r="AF78" s="941" t="str">
        <f t="shared" si="33"/>
        <v/>
      </c>
      <c r="AG78" s="941" t="str">
        <f t="shared" si="34"/>
        <v/>
      </c>
      <c r="AH78" s="941" t="str">
        <f t="shared" si="35"/>
        <v/>
      </c>
      <c r="AI78" s="941" t="str">
        <f t="shared" si="36"/>
        <v/>
      </c>
      <c r="AJ78" s="941" t="str">
        <f t="shared" si="37"/>
        <v/>
      </c>
      <c r="AK78" s="941" t="str">
        <f t="shared" si="38"/>
        <v/>
      </c>
      <c r="AL78" s="941" t="str">
        <f t="shared" si="39"/>
        <v/>
      </c>
      <c r="AM78" s="941" t="str">
        <f t="shared" si="40"/>
        <v/>
      </c>
      <c r="AN78" s="941" t="str">
        <f t="shared" si="41"/>
        <v/>
      </c>
      <c r="AO78" s="941" t="str">
        <f t="shared" si="42"/>
        <v/>
      </c>
      <c r="AP78" s="895">
        <f>IF(AO78&lt;0,"No hi ha pèrdua",IFERROR(SUM(AA78:AO78)*'7. Erosió de costa'!$C$86/1000000,""))</f>
        <v>0</v>
      </c>
    </row>
    <row r="79" spans="1:42">
      <c r="A79" s="835">
        <v>8076</v>
      </c>
      <c r="B79" s="826" t="s">
        <v>1053</v>
      </c>
      <c r="C79" s="835" t="str">
        <f t="shared" si="22"/>
        <v>NA</v>
      </c>
      <c r="D79" s="923" t="str">
        <f t="shared" si="23"/>
        <v>NA</v>
      </c>
      <c r="E79" s="931" t="str">
        <f t="shared" si="24"/>
        <v>NA</v>
      </c>
      <c r="F79" s="926" t="str">
        <f t="shared" si="25"/>
        <v>NA</v>
      </c>
      <c r="G79" s="923" t="str">
        <f t="shared" si="26"/>
        <v>NA</v>
      </c>
      <c r="H79" s="931" t="str">
        <f>IFERROR(IF((G79*'7. Erosió de costa'!$C$86/1000000)&lt;0,"guanya sorra",G79*'7. Erosió de costa'!$C$86/1000000),"")</f>
        <v/>
      </c>
      <c r="I79" s="937" t="str">
        <f>IFERROR(IF(('A. Dades de partida'!$D$10*G79*'7. Erosió de costa'!$C$86/1000000)&lt;0,"guanya sorra",'A. Dades de partida'!$D$10*G79*'7. Erosió de costa'!$C$86/1000000),"")</f>
        <v/>
      </c>
      <c r="J79" s="931"/>
      <c r="K79" s="931"/>
      <c r="L79" s="931"/>
      <c r="M79" s="931"/>
      <c r="N79" s="931"/>
      <c r="O79" s="931"/>
      <c r="P79" s="931"/>
      <c r="Q79" s="931"/>
      <c r="R79" s="931"/>
      <c r="S79" s="931"/>
      <c r="T79" s="931"/>
      <c r="U79" s="931"/>
      <c r="V79" s="931"/>
      <c r="W79" s="931"/>
      <c r="X79" s="931"/>
      <c r="Y79" s="931"/>
      <c r="Z79" s="941" t="str">
        <f t="shared" si="27"/>
        <v/>
      </c>
      <c r="AA79" s="941" t="str">
        <f t="shared" si="28"/>
        <v/>
      </c>
      <c r="AB79" s="941" t="str">
        <f t="shared" si="29"/>
        <v/>
      </c>
      <c r="AC79" s="941" t="str">
        <f t="shared" si="30"/>
        <v/>
      </c>
      <c r="AD79" s="941" t="str">
        <f t="shared" si="31"/>
        <v/>
      </c>
      <c r="AE79" s="941" t="str">
        <f t="shared" si="32"/>
        <v/>
      </c>
      <c r="AF79" s="941" t="str">
        <f t="shared" si="33"/>
        <v/>
      </c>
      <c r="AG79" s="941" t="str">
        <f t="shared" si="34"/>
        <v/>
      </c>
      <c r="AH79" s="941" t="str">
        <f t="shared" si="35"/>
        <v/>
      </c>
      <c r="AI79" s="941" t="str">
        <f t="shared" si="36"/>
        <v/>
      </c>
      <c r="AJ79" s="941" t="str">
        <f t="shared" si="37"/>
        <v/>
      </c>
      <c r="AK79" s="941" t="str">
        <f t="shared" si="38"/>
        <v/>
      </c>
      <c r="AL79" s="941" t="str">
        <f t="shared" si="39"/>
        <v/>
      </c>
      <c r="AM79" s="941" t="str">
        <f t="shared" si="40"/>
        <v/>
      </c>
      <c r="AN79" s="941" t="str">
        <f t="shared" si="41"/>
        <v/>
      </c>
      <c r="AO79" s="941" t="str">
        <f t="shared" si="42"/>
        <v/>
      </c>
      <c r="AP79" s="895">
        <f>IF(AO79&lt;0,"No hi ha pèrdua",IFERROR(SUM(AA79:AO79)*'7. Erosió de costa'!$C$86/1000000,""))</f>
        <v>0</v>
      </c>
    </row>
    <row r="80" spans="1:42">
      <c r="A80" s="835">
        <v>8077</v>
      </c>
      <c r="B80" s="826" t="s">
        <v>1061</v>
      </c>
      <c r="C80" s="835" t="str">
        <f t="shared" si="22"/>
        <v>NA</v>
      </c>
      <c r="D80" s="923" t="str">
        <f t="shared" si="23"/>
        <v>NA</v>
      </c>
      <c r="E80" s="931" t="str">
        <f t="shared" si="24"/>
        <v>NA</v>
      </c>
      <c r="F80" s="926" t="str">
        <f t="shared" si="25"/>
        <v>NA</v>
      </c>
      <c r="G80" s="923" t="str">
        <f t="shared" si="26"/>
        <v>NA</v>
      </c>
      <c r="H80" s="931" t="str">
        <f>IFERROR(IF((G80*'7. Erosió de costa'!$C$86/1000000)&lt;0,"guanya sorra",G80*'7. Erosió de costa'!$C$86/1000000),"")</f>
        <v/>
      </c>
      <c r="I80" s="937" t="str">
        <f>IFERROR(IF(('A. Dades de partida'!$D$10*G80*'7. Erosió de costa'!$C$86/1000000)&lt;0,"guanya sorra",'A. Dades de partida'!$D$10*G80*'7. Erosió de costa'!$C$86/1000000),"")</f>
        <v/>
      </c>
      <c r="J80" s="931"/>
      <c r="K80" s="931"/>
      <c r="L80" s="931"/>
      <c r="M80" s="931"/>
      <c r="N80" s="931"/>
      <c r="O80" s="931"/>
      <c r="P80" s="931"/>
      <c r="Q80" s="931"/>
      <c r="R80" s="931"/>
      <c r="S80" s="931"/>
      <c r="T80" s="931"/>
      <c r="U80" s="931"/>
      <c r="V80" s="931"/>
      <c r="W80" s="931"/>
      <c r="X80" s="931"/>
      <c r="Y80" s="931"/>
      <c r="Z80" s="941" t="str">
        <f t="shared" si="27"/>
        <v/>
      </c>
      <c r="AA80" s="941" t="str">
        <f t="shared" si="28"/>
        <v/>
      </c>
      <c r="AB80" s="941" t="str">
        <f t="shared" si="29"/>
        <v/>
      </c>
      <c r="AC80" s="941" t="str">
        <f t="shared" si="30"/>
        <v/>
      </c>
      <c r="AD80" s="941" t="str">
        <f t="shared" si="31"/>
        <v/>
      </c>
      <c r="AE80" s="941" t="str">
        <f t="shared" si="32"/>
        <v/>
      </c>
      <c r="AF80" s="941" t="str">
        <f t="shared" si="33"/>
        <v/>
      </c>
      <c r="AG80" s="941" t="str">
        <f t="shared" si="34"/>
        <v/>
      </c>
      <c r="AH80" s="941" t="str">
        <f t="shared" si="35"/>
        <v/>
      </c>
      <c r="AI80" s="941" t="str">
        <f t="shared" si="36"/>
        <v/>
      </c>
      <c r="AJ80" s="941" t="str">
        <f t="shared" si="37"/>
        <v/>
      </c>
      <c r="AK80" s="941" t="str">
        <f t="shared" si="38"/>
        <v/>
      </c>
      <c r="AL80" s="941" t="str">
        <f t="shared" si="39"/>
        <v/>
      </c>
      <c r="AM80" s="941" t="str">
        <f t="shared" si="40"/>
        <v/>
      </c>
      <c r="AN80" s="941" t="str">
        <f t="shared" si="41"/>
        <v/>
      </c>
      <c r="AO80" s="941" t="str">
        <f t="shared" si="42"/>
        <v/>
      </c>
      <c r="AP80" s="895">
        <f>IF(AO80&lt;0,"No hi ha pèrdua",IFERROR(SUM(AA80:AO80)*'7. Erosió de costa'!$C$86/1000000,""))</f>
        <v>0</v>
      </c>
    </row>
    <row r="81" spans="1:42">
      <c r="A81" s="835">
        <v>8078</v>
      </c>
      <c r="B81" s="826" t="s">
        <v>1062</v>
      </c>
      <c r="C81" s="835" t="str">
        <f t="shared" si="22"/>
        <v>NA</v>
      </c>
      <c r="D81" s="923" t="str">
        <f t="shared" si="23"/>
        <v>NA</v>
      </c>
      <c r="E81" s="931" t="str">
        <f t="shared" si="24"/>
        <v>NA</v>
      </c>
      <c r="F81" s="926" t="str">
        <f t="shared" si="25"/>
        <v>NA</v>
      </c>
      <c r="G81" s="923" t="str">
        <f t="shared" si="26"/>
        <v>NA</v>
      </c>
      <c r="H81" s="931" t="str">
        <f>IFERROR(IF((G81*'7. Erosió de costa'!$C$86/1000000)&lt;0,"guanya sorra",G81*'7. Erosió de costa'!$C$86/1000000),"")</f>
        <v/>
      </c>
      <c r="I81" s="937" t="str">
        <f>IFERROR(IF(('A. Dades de partida'!$D$10*G81*'7. Erosió de costa'!$C$86/1000000)&lt;0,"guanya sorra",'A. Dades de partida'!$D$10*G81*'7. Erosió de costa'!$C$86/1000000),"")</f>
        <v/>
      </c>
      <c r="J81" s="931"/>
      <c r="K81" s="931"/>
      <c r="L81" s="931"/>
      <c r="M81" s="931"/>
      <c r="N81" s="931"/>
      <c r="O81" s="931"/>
      <c r="P81" s="931"/>
      <c r="Q81" s="931"/>
      <c r="R81" s="931"/>
      <c r="S81" s="931"/>
      <c r="T81" s="931"/>
      <c r="U81" s="931"/>
      <c r="V81" s="931"/>
      <c r="W81" s="931"/>
      <c r="X81" s="931"/>
      <c r="Y81" s="931"/>
      <c r="Z81" s="941" t="str">
        <f t="shared" si="27"/>
        <v/>
      </c>
      <c r="AA81" s="941" t="str">
        <f t="shared" si="28"/>
        <v/>
      </c>
      <c r="AB81" s="941" t="str">
        <f t="shared" si="29"/>
        <v/>
      </c>
      <c r="AC81" s="941" t="str">
        <f t="shared" si="30"/>
        <v/>
      </c>
      <c r="AD81" s="941" t="str">
        <f t="shared" si="31"/>
        <v/>
      </c>
      <c r="AE81" s="941" t="str">
        <f t="shared" si="32"/>
        <v/>
      </c>
      <c r="AF81" s="941" t="str">
        <f t="shared" si="33"/>
        <v/>
      </c>
      <c r="AG81" s="941" t="str">
        <f t="shared" si="34"/>
        <v/>
      </c>
      <c r="AH81" s="941" t="str">
        <f t="shared" si="35"/>
        <v/>
      </c>
      <c r="AI81" s="941" t="str">
        <f t="shared" si="36"/>
        <v/>
      </c>
      <c r="AJ81" s="941" t="str">
        <f t="shared" si="37"/>
        <v/>
      </c>
      <c r="AK81" s="941" t="str">
        <f t="shared" si="38"/>
        <v/>
      </c>
      <c r="AL81" s="941" t="str">
        <f t="shared" si="39"/>
        <v/>
      </c>
      <c r="AM81" s="941" t="str">
        <f t="shared" si="40"/>
        <v/>
      </c>
      <c r="AN81" s="941" t="str">
        <f t="shared" si="41"/>
        <v/>
      </c>
      <c r="AO81" s="941" t="str">
        <f t="shared" si="42"/>
        <v/>
      </c>
      <c r="AP81" s="895">
        <f>IF(AO81&lt;0,"No hi ha pèrdua",IFERROR(SUM(AA81:AO81)*'7. Erosió de costa'!$C$86/1000000,""))</f>
        <v>0</v>
      </c>
    </row>
    <row r="82" spans="1:42">
      <c r="A82" s="835">
        <v>8079</v>
      </c>
      <c r="B82" s="826" t="s">
        <v>1063</v>
      </c>
      <c r="C82" s="835" t="str">
        <f t="shared" si="22"/>
        <v>NA</v>
      </c>
      <c r="D82" s="923" t="str">
        <f t="shared" si="23"/>
        <v>NA</v>
      </c>
      <c r="E82" s="931" t="str">
        <f t="shared" si="24"/>
        <v>NA</v>
      </c>
      <c r="F82" s="926" t="str">
        <f t="shared" si="25"/>
        <v>NA</v>
      </c>
      <c r="G82" s="923" t="str">
        <f t="shared" si="26"/>
        <v>NA</v>
      </c>
      <c r="H82" s="931" t="str">
        <f>IFERROR(IF((G82*'7. Erosió de costa'!$C$86/1000000)&lt;0,"guanya sorra",G82*'7. Erosió de costa'!$C$86/1000000),"")</f>
        <v/>
      </c>
      <c r="I82" s="937" t="str">
        <f>IFERROR(IF(('A. Dades de partida'!$D$10*G82*'7. Erosió de costa'!$C$86/1000000)&lt;0,"guanya sorra",'A. Dades de partida'!$D$10*G82*'7. Erosió de costa'!$C$86/1000000),"")</f>
        <v/>
      </c>
      <c r="J82" s="931"/>
      <c r="K82" s="931"/>
      <c r="L82" s="931"/>
      <c r="M82" s="931"/>
      <c r="N82" s="931"/>
      <c r="O82" s="931"/>
      <c r="P82" s="931"/>
      <c r="Q82" s="931"/>
      <c r="R82" s="931"/>
      <c r="S82" s="931"/>
      <c r="T82" s="931"/>
      <c r="U82" s="931"/>
      <c r="V82" s="931"/>
      <c r="W82" s="931"/>
      <c r="X82" s="931"/>
      <c r="Y82" s="931"/>
      <c r="Z82" s="941" t="str">
        <f t="shared" si="27"/>
        <v/>
      </c>
      <c r="AA82" s="941" t="str">
        <f t="shared" si="28"/>
        <v/>
      </c>
      <c r="AB82" s="941" t="str">
        <f t="shared" si="29"/>
        <v/>
      </c>
      <c r="AC82" s="941" t="str">
        <f t="shared" si="30"/>
        <v/>
      </c>
      <c r="AD82" s="941" t="str">
        <f t="shared" si="31"/>
        <v/>
      </c>
      <c r="AE82" s="941" t="str">
        <f t="shared" si="32"/>
        <v/>
      </c>
      <c r="AF82" s="941" t="str">
        <f t="shared" si="33"/>
        <v/>
      </c>
      <c r="AG82" s="941" t="str">
        <f t="shared" si="34"/>
        <v/>
      </c>
      <c r="AH82" s="941" t="str">
        <f t="shared" si="35"/>
        <v/>
      </c>
      <c r="AI82" s="941" t="str">
        <f t="shared" si="36"/>
        <v/>
      </c>
      <c r="AJ82" s="941" t="str">
        <f t="shared" si="37"/>
        <v/>
      </c>
      <c r="AK82" s="941" t="str">
        <f t="shared" si="38"/>
        <v/>
      </c>
      <c r="AL82" s="941" t="str">
        <f t="shared" si="39"/>
        <v/>
      </c>
      <c r="AM82" s="941" t="str">
        <f t="shared" si="40"/>
        <v/>
      </c>
      <c r="AN82" s="941" t="str">
        <f t="shared" si="41"/>
        <v/>
      </c>
      <c r="AO82" s="941" t="str">
        <f t="shared" si="42"/>
        <v/>
      </c>
      <c r="AP82" s="895">
        <f>IF(AO82&lt;0,"No hi ha pèrdua",IFERROR(SUM(AA82:AO82)*'7. Erosió de costa'!$C$86/1000000,""))</f>
        <v>0</v>
      </c>
    </row>
    <row r="83" spans="1:42">
      <c r="A83" s="835">
        <v>8080</v>
      </c>
      <c r="B83" s="826" t="s">
        <v>1067</v>
      </c>
      <c r="C83" s="835" t="str">
        <f t="shared" si="22"/>
        <v>NA</v>
      </c>
      <c r="D83" s="923" t="str">
        <f t="shared" si="23"/>
        <v>NA</v>
      </c>
      <c r="E83" s="931" t="str">
        <f t="shared" si="24"/>
        <v>NA</v>
      </c>
      <c r="F83" s="926" t="str">
        <f t="shared" si="25"/>
        <v>NA</v>
      </c>
      <c r="G83" s="923" t="str">
        <f t="shared" si="26"/>
        <v>NA</v>
      </c>
      <c r="H83" s="931" t="str">
        <f>IFERROR(IF((G83*'7. Erosió de costa'!$C$86/1000000)&lt;0,"guanya sorra",G83*'7. Erosió de costa'!$C$86/1000000),"")</f>
        <v/>
      </c>
      <c r="I83" s="937" t="str">
        <f>IFERROR(IF(('A. Dades de partida'!$D$10*G83*'7. Erosió de costa'!$C$86/1000000)&lt;0,"guanya sorra",'A. Dades de partida'!$D$10*G83*'7. Erosió de costa'!$C$86/1000000),"")</f>
        <v/>
      </c>
      <c r="J83" s="931"/>
      <c r="K83" s="931"/>
      <c r="L83" s="931"/>
      <c r="M83" s="931"/>
      <c r="N83" s="931"/>
      <c r="O83" s="931"/>
      <c r="P83" s="931"/>
      <c r="Q83" s="931"/>
      <c r="R83" s="931"/>
      <c r="S83" s="931"/>
      <c r="T83" s="931"/>
      <c r="U83" s="931"/>
      <c r="V83" s="931"/>
      <c r="W83" s="931"/>
      <c r="X83" s="931"/>
      <c r="Y83" s="931"/>
      <c r="Z83" s="941" t="str">
        <f t="shared" si="27"/>
        <v/>
      </c>
      <c r="AA83" s="941" t="str">
        <f t="shared" si="28"/>
        <v/>
      </c>
      <c r="AB83" s="941" t="str">
        <f t="shared" si="29"/>
        <v/>
      </c>
      <c r="AC83" s="941" t="str">
        <f t="shared" si="30"/>
        <v/>
      </c>
      <c r="AD83" s="941" t="str">
        <f t="shared" si="31"/>
        <v/>
      </c>
      <c r="AE83" s="941" t="str">
        <f t="shared" si="32"/>
        <v/>
      </c>
      <c r="AF83" s="941" t="str">
        <f t="shared" si="33"/>
        <v/>
      </c>
      <c r="AG83" s="941" t="str">
        <f t="shared" si="34"/>
        <v/>
      </c>
      <c r="AH83" s="941" t="str">
        <f t="shared" si="35"/>
        <v/>
      </c>
      <c r="AI83" s="941" t="str">
        <f t="shared" si="36"/>
        <v/>
      </c>
      <c r="AJ83" s="941" t="str">
        <f t="shared" si="37"/>
        <v/>
      </c>
      <c r="AK83" s="941" t="str">
        <f t="shared" si="38"/>
        <v/>
      </c>
      <c r="AL83" s="941" t="str">
        <f t="shared" si="39"/>
        <v/>
      </c>
      <c r="AM83" s="941" t="str">
        <f t="shared" si="40"/>
        <v/>
      </c>
      <c r="AN83" s="941" t="str">
        <f t="shared" si="41"/>
        <v/>
      </c>
      <c r="AO83" s="941" t="str">
        <f t="shared" si="42"/>
        <v/>
      </c>
      <c r="AP83" s="895">
        <f>IF(AO83&lt;0,"No hi ha pèrdua",IFERROR(SUM(AA83:AO83)*'7. Erosió de costa'!$C$86/1000000,""))</f>
        <v>0</v>
      </c>
    </row>
    <row r="84" spans="1:42">
      <c r="A84" s="835">
        <v>8081</v>
      </c>
      <c r="B84" s="826" t="s">
        <v>1068</v>
      </c>
      <c r="C84" s="835" t="str">
        <f t="shared" si="22"/>
        <v>NA</v>
      </c>
      <c r="D84" s="923" t="str">
        <f t="shared" si="23"/>
        <v>NA</v>
      </c>
      <c r="E84" s="931" t="str">
        <f t="shared" si="24"/>
        <v>NA</v>
      </c>
      <c r="F84" s="926" t="str">
        <f t="shared" si="25"/>
        <v>NA</v>
      </c>
      <c r="G84" s="923" t="str">
        <f t="shared" si="26"/>
        <v>NA</v>
      </c>
      <c r="H84" s="931" t="str">
        <f>IFERROR(IF((G84*'7. Erosió de costa'!$C$86/1000000)&lt;0,"guanya sorra",G84*'7. Erosió de costa'!$C$86/1000000),"")</f>
        <v/>
      </c>
      <c r="I84" s="937" t="str">
        <f>IFERROR(IF(('A. Dades de partida'!$D$10*G84*'7. Erosió de costa'!$C$86/1000000)&lt;0,"guanya sorra",'A. Dades de partida'!$D$10*G84*'7. Erosió de costa'!$C$86/1000000),"")</f>
        <v/>
      </c>
      <c r="J84" s="931"/>
      <c r="K84" s="931"/>
      <c r="L84" s="931"/>
      <c r="M84" s="931"/>
      <c r="N84" s="931"/>
      <c r="O84" s="931"/>
      <c r="P84" s="931"/>
      <c r="Q84" s="931"/>
      <c r="R84" s="931"/>
      <c r="S84" s="931"/>
      <c r="T84" s="931"/>
      <c r="U84" s="931"/>
      <c r="V84" s="931"/>
      <c r="W84" s="931"/>
      <c r="X84" s="931"/>
      <c r="Y84" s="931"/>
      <c r="Z84" s="941" t="str">
        <f t="shared" si="27"/>
        <v/>
      </c>
      <c r="AA84" s="941" t="str">
        <f t="shared" si="28"/>
        <v/>
      </c>
      <c r="AB84" s="941" t="str">
        <f t="shared" si="29"/>
        <v/>
      </c>
      <c r="AC84" s="941" t="str">
        <f t="shared" si="30"/>
        <v/>
      </c>
      <c r="AD84" s="941" t="str">
        <f t="shared" si="31"/>
        <v/>
      </c>
      <c r="AE84" s="941" t="str">
        <f t="shared" si="32"/>
        <v/>
      </c>
      <c r="AF84" s="941" t="str">
        <f t="shared" si="33"/>
        <v/>
      </c>
      <c r="AG84" s="941" t="str">
        <f t="shared" si="34"/>
        <v/>
      </c>
      <c r="AH84" s="941" t="str">
        <f t="shared" si="35"/>
        <v/>
      </c>
      <c r="AI84" s="941" t="str">
        <f t="shared" si="36"/>
        <v/>
      </c>
      <c r="AJ84" s="941" t="str">
        <f t="shared" si="37"/>
        <v/>
      </c>
      <c r="AK84" s="941" t="str">
        <f t="shared" si="38"/>
        <v/>
      </c>
      <c r="AL84" s="941" t="str">
        <f t="shared" si="39"/>
        <v/>
      </c>
      <c r="AM84" s="941" t="str">
        <f t="shared" si="40"/>
        <v/>
      </c>
      <c r="AN84" s="941" t="str">
        <f t="shared" si="41"/>
        <v/>
      </c>
      <c r="AO84" s="941" t="str">
        <f t="shared" si="42"/>
        <v/>
      </c>
      <c r="AP84" s="895">
        <f>IF(AO84&lt;0,"No hi ha pèrdua",IFERROR(SUM(AA84:AO84)*'7. Erosió de costa'!$C$86/1000000,""))</f>
        <v>0</v>
      </c>
    </row>
    <row r="85" spans="1:42">
      <c r="A85" s="835">
        <v>8082</v>
      </c>
      <c r="B85" s="826" t="s">
        <v>1071</v>
      </c>
      <c r="C85" s="835" t="str">
        <f t="shared" si="22"/>
        <v>NA</v>
      </c>
      <c r="D85" s="923" t="str">
        <f t="shared" si="23"/>
        <v>NA</v>
      </c>
      <c r="E85" s="931" t="str">
        <f t="shared" si="24"/>
        <v>NA</v>
      </c>
      <c r="F85" s="926" t="str">
        <f t="shared" si="25"/>
        <v>NA</v>
      </c>
      <c r="G85" s="923" t="str">
        <f t="shared" si="26"/>
        <v>NA</v>
      </c>
      <c r="H85" s="931" t="str">
        <f>IFERROR(IF((G85*'7. Erosió de costa'!$C$86/1000000)&lt;0,"guanya sorra",G85*'7. Erosió de costa'!$C$86/1000000),"")</f>
        <v/>
      </c>
      <c r="I85" s="937" t="str">
        <f>IFERROR(IF(('A. Dades de partida'!$D$10*G85*'7. Erosió de costa'!$C$86/1000000)&lt;0,"guanya sorra",'A. Dades de partida'!$D$10*G85*'7. Erosió de costa'!$C$86/1000000),"")</f>
        <v/>
      </c>
      <c r="J85" s="931"/>
      <c r="K85" s="931"/>
      <c r="L85" s="931"/>
      <c r="M85" s="931"/>
      <c r="N85" s="931"/>
      <c r="O85" s="931"/>
      <c r="P85" s="931"/>
      <c r="Q85" s="931"/>
      <c r="R85" s="931"/>
      <c r="S85" s="931"/>
      <c r="T85" s="931"/>
      <c r="U85" s="931"/>
      <c r="V85" s="931"/>
      <c r="W85" s="931"/>
      <c r="X85" s="931"/>
      <c r="Y85" s="931"/>
      <c r="Z85" s="941" t="str">
        <f t="shared" si="27"/>
        <v/>
      </c>
      <c r="AA85" s="941" t="str">
        <f t="shared" si="28"/>
        <v/>
      </c>
      <c r="AB85" s="941" t="str">
        <f t="shared" si="29"/>
        <v/>
      </c>
      <c r="AC85" s="941" t="str">
        <f t="shared" si="30"/>
        <v/>
      </c>
      <c r="AD85" s="941" t="str">
        <f t="shared" si="31"/>
        <v/>
      </c>
      <c r="AE85" s="941" t="str">
        <f t="shared" si="32"/>
        <v/>
      </c>
      <c r="AF85" s="941" t="str">
        <f t="shared" si="33"/>
        <v/>
      </c>
      <c r="AG85" s="941" t="str">
        <f t="shared" si="34"/>
        <v/>
      </c>
      <c r="AH85" s="941" t="str">
        <f t="shared" si="35"/>
        <v/>
      </c>
      <c r="AI85" s="941" t="str">
        <f t="shared" si="36"/>
        <v/>
      </c>
      <c r="AJ85" s="941" t="str">
        <f t="shared" si="37"/>
        <v/>
      </c>
      <c r="AK85" s="941" t="str">
        <f t="shared" si="38"/>
        <v/>
      </c>
      <c r="AL85" s="941" t="str">
        <f t="shared" si="39"/>
        <v/>
      </c>
      <c r="AM85" s="941" t="str">
        <f t="shared" si="40"/>
        <v/>
      </c>
      <c r="AN85" s="941" t="str">
        <f t="shared" si="41"/>
        <v/>
      </c>
      <c r="AO85" s="941" t="str">
        <f t="shared" si="42"/>
        <v/>
      </c>
      <c r="AP85" s="895">
        <f>IF(AO85&lt;0,"No hi ha pèrdua",IFERROR(SUM(AA85:AO85)*'7. Erosió de costa'!$C$86/1000000,""))</f>
        <v>0</v>
      </c>
    </row>
    <row r="86" spans="1:42">
      <c r="A86" s="835">
        <v>8083</v>
      </c>
      <c r="B86" s="826" t="s">
        <v>1077</v>
      </c>
      <c r="C86" s="835" t="str">
        <f t="shared" si="22"/>
        <v>NA</v>
      </c>
      <c r="D86" s="923" t="str">
        <f t="shared" si="23"/>
        <v>NA</v>
      </c>
      <c r="E86" s="931" t="str">
        <f t="shared" si="24"/>
        <v>NA</v>
      </c>
      <c r="F86" s="926" t="str">
        <f t="shared" si="25"/>
        <v>NA</v>
      </c>
      <c r="G86" s="923" t="str">
        <f t="shared" si="26"/>
        <v>NA</v>
      </c>
      <c r="H86" s="931" t="str">
        <f>IFERROR(IF((G86*'7. Erosió de costa'!$C$86/1000000)&lt;0,"guanya sorra",G86*'7. Erosió de costa'!$C$86/1000000),"")</f>
        <v/>
      </c>
      <c r="I86" s="937" t="str">
        <f>IFERROR(IF(('A. Dades de partida'!$D$10*G86*'7. Erosió de costa'!$C$86/1000000)&lt;0,"guanya sorra",'A. Dades de partida'!$D$10*G86*'7. Erosió de costa'!$C$86/1000000),"")</f>
        <v/>
      </c>
      <c r="J86" s="931"/>
      <c r="K86" s="931"/>
      <c r="L86" s="931"/>
      <c r="M86" s="931"/>
      <c r="N86" s="931"/>
      <c r="O86" s="931"/>
      <c r="P86" s="931"/>
      <c r="Q86" s="931"/>
      <c r="R86" s="931"/>
      <c r="S86" s="931"/>
      <c r="T86" s="931"/>
      <c r="U86" s="931"/>
      <c r="V86" s="931"/>
      <c r="W86" s="931"/>
      <c r="X86" s="931"/>
      <c r="Y86" s="931"/>
      <c r="Z86" s="941" t="str">
        <f t="shared" si="27"/>
        <v/>
      </c>
      <c r="AA86" s="941" t="str">
        <f t="shared" si="28"/>
        <v/>
      </c>
      <c r="AB86" s="941" t="str">
        <f t="shared" si="29"/>
        <v/>
      </c>
      <c r="AC86" s="941" t="str">
        <f t="shared" si="30"/>
        <v/>
      </c>
      <c r="AD86" s="941" t="str">
        <f t="shared" si="31"/>
        <v/>
      </c>
      <c r="AE86" s="941" t="str">
        <f t="shared" si="32"/>
        <v/>
      </c>
      <c r="AF86" s="941" t="str">
        <f t="shared" si="33"/>
        <v/>
      </c>
      <c r="AG86" s="941" t="str">
        <f t="shared" si="34"/>
        <v/>
      </c>
      <c r="AH86" s="941" t="str">
        <f t="shared" si="35"/>
        <v/>
      </c>
      <c r="AI86" s="941" t="str">
        <f t="shared" si="36"/>
        <v/>
      </c>
      <c r="AJ86" s="941" t="str">
        <f t="shared" si="37"/>
        <v/>
      </c>
      <c r="AK86" s="941" t="str">
        <f t="shared" si="38"/>
        <v/>
      </c>
      <c r="AL86" s="941" t="str">
        <f t="shared" si="39"/>
        <v/>
      </c>
      <c r="AM86" s="941" t="str">
        <f t="shared" si="40"/>
        <v/>
      </c>
      <c r="AN86" s="941" t="str">
        <f t="shared" si="41"/>
        <v/>
      </c>
      <c r="AO86" s="941" t="str">
        <f t="shared" si="42"/>
        <v/>
      </c>
      <c r="AP86" s="895">
        <f>IF(AO86&lt;0,"No hi ha pèrdua",IFERROR(SUM(AA86:AO86)*'7. Erosió de costa'!$C$86/1000000,""))</f>
        <v>0</v>
      </c>
    </row>
    <row r="87" spans="1:42">
      <c r="A87" s="835">
        <v>8084</v>
      </c>
      <c r="B87" s="826" t="s">
        <v>1078</v>
      </c>
      <c r="C87" s="835" t="str">
        <f t="shared" si="22"/>
        <v>NA</v>
      </c>
      <c r="D87" s="923" t="str">
        <f t="shared" si="23"/>
        <v>NA</v>
      </c>
      <c r="E87" s="931" t="str">
        <f t="shared" si="24"/>
        <v>NA</v>
      </c>
      <c r="F87" s="926" t="str">
        <f t="shared" si="25"/>
        <v>NA</v>
      </c>
      <c r="G87" s="923" t="str">
        <f t="shared" si="26"/>
        <v>NA</v>
      </c>
      <c r="H87" s="931" t="str">
        <f>IFERROR(IF((G87*'7. Erosió de costa'!$C$86/1000000)&lt;0,"guanya sorra",G87*'7. Erosió de costa'!$C$86/1000000),"")</f>
        <v/>
      </c>
      <c r="I87" s="937" t="str">
        <f>IFERROR(IF(('A. Dades de partida'!$D$10*G87*'7. Erosió de costa'!$C$86/1000000)&lt;0,"guanya sorra",'A. Dades de partida'!$D$10*G87*'7. Erosió de costa'!$C$86/1000000),"")</f>
        <v/>
      </c>
      <c r="J87" s="931"/>
      <c r="K87" s="931"/>
      <c r="L87" s="931"/>
      <c r="M87" s="931"/>
      <c r="N87" s="931"/>
      <c r="O87" s="931"/>
      <c r="P87" s="931"/>
      <c r="Q87" s="931"/>
      <c r="R87" s="931"/>
      <c r="S87" s="931"/>
      <c r="T87" s="931"/>
      <c r="U87" s="931"/>
      <c r="V87" s="931"/>
      <c r="W87" s="931"/>
      <c r="X87" s="931"/>
      <c r="Y87" s="931"/>
      <c r="Z87" s="941" t="str">
        <f t="shared" si="27"/>
        <v/>
      </c>
      <c r="AA87" s="941" t="str">
        <f t="shared" si="28"/>
        <v/>
      </c>
      <c r="AB87" s="941" t="str">
        <f t="shared" si="29"/>
        <v/>
      </c>
      <c r="AC87" s="941" t="str">
        <f t="shared" si="30"/>
        <v/>
      </c>
      <c r="AD87" s="941" t="str">
        <f t="shared" si="31"/>
        <v/>
      </c>
      <c r="AE87" s="941" t="str">
        <f t="shared" si="32"/>
        <v/>
      </c>
      <c r="AF87" s="941" t="str">
        <f t="shared" si="33"/>
        <v/>
      </c>
      <c r="AG87" s="941" t="str">
        <f t="shared" si="34"/>
        <v/>
      </c>
      <c r="AH87" s="941" t="str">
        <f t="shared" si="35"/>
        <v/>
      </c>
      <c r="AI87" s="941" t="str">
        <f t="shared" si="36"/>
        <v/>
      </c>
      <c r="AJ87" s="941" t="str">
        <f t="shared" si="37"/>
        <v/>
      </c>
      <c r="AK87" s="941" t="str">
        <f t="shared" si="38"/>
        <v/>
      </c>
      <c r="AL87" s="941" t="str">
        <f t="shared" si="39"/>
        <v/>
      </c>
      <c r="AM87" s="941" t="str">
        <f t="shared" si="40"/>
        <v/>
      </c>
      <c r="AN87" s="941" t="str">
        <f t="shared" si="41"/>
        <v/>
      </c>
      <c r="AO87" s="941" t="str">
        <f t="shared" si="42"/>
        <v/>
      </c>
      <c r="AP87" s="895">
        <f>IF(AO87&lt;0,"No hi ha pèrdua",IFERROR(SUM(AA87:AO87)*'7. Erosió de costa'!$C$86/1000000,""))</f>
        <v>0</v>
      </c>
    </row>
    <row r="88" spans="1:42">
      <c r="A88" s="835">
        <v>8085</v>
      </c>
      <c r="B88" s="826" t="s">
        <v>1080</v>
      </c>
      <c r="C88" s="835" t="str">
        <f t="shared" si="22"/>
        <v>NA</v>
      </c>
      <c r="D88" s="923" t="str">
        <f t="shared" si="23"/>
        <v>NA</v>
      </c>
      <c r="E88" s="931" t="str">
        <f t="shared" si="24"/>
        <v>NA</v>
      </c>
      <c r="F88" s="926" t="str">
        <f t="shared" si="25"/>
        <v>NA</v>
      </c>
      <c r="G88" s="923" t="str">
        <f t="shared" si="26"/>
        <v>NA</v>
      </c>
      <c r="H88" s="931" t="str">
        <f>IFERROR(IF((G88*'7. Erosió de costa'!$C$86/1000000)&lt;0,"guanya sorra",G88*'7. Erosió de costa'!$C$86/1000000),"")</f>
        <v/>
      </c>
      <c r="I88" s="937" t="str">
        <f>IFERROR(IF(('A. Dades de partida'!$D$10*G88*'7. Erosió de costa'!$C$86/1000000)&lt;0,"guanya sorra",'A. Dades de partida'!$D$10*G88*'7. Erosió de costa'!$C$86/1000000),"")</f>
        <v/>
      </c>
      <c r="J88" s="931"/>
      <c r="K88" s="931"/>
      <c r="L88" s="931"/>
      <c r="M88" s="931"/>
      <c r="N88" s="931"/>
      <c r="O88" s="931"/>
      <c r="P88" s="931"/>
      <c r="Q88" s="931"/>
      <c r="R88" s="931"/>
      <c r="S88" s="931"/>
      <c r="T88" s="931"/>
      <c r="U88" s="931"/>
      <c r="V88" s="931"/>
      <c r="W88" s="931"/>
      <c r="X88" s="931"/>
      <c r="Y88" s="931"/>
      <c r="Z88" s="941" t="str">
        <f t="shared" si="27"/>
        <v/>
      </c>
      <c r="AA88" s="941" t="str">
        <f t="shared" si="28"/>
        <v/>
      </c>
      <c r="AB88" s="941" t="str">
        <f t="shared" si="29"/>
        <v/>
      </c>
      <c r="AC88" s="941" t="str">
        <f t="shared" si="30"/>
        <v/>
      </c>
      <c r="AD88" s="941" t="str">
        <f t="shared" si="31"/>
        <v/>
      </c>
      <c r="AE88" s="941" t="str">
        <f t="shared" si="32"/>
        <v/>
      </c>
      <c r="AF88" s="941" t="str">
        <f t="shared" si="33"/>
        <v/>
      </c>
      <c r="AG88" s="941" t="str">
        <f t="shared" si="34"/>
        <v/>
      </c>
      <c r="AH88" s="941" t="str">
        <f t="shared" si="35"/>
        <v/>
      </c>
      <c r="AI88" s="941" t="str">
        <f t="shared" si="36"/>
        <v/>
      </c>
      <c r="AJ88" s="941" t="str">
        <f t="shared" si="37"/>
        <v/>
      </c>
      <c r="AK88" s="941" t="str">
        <f t="shared" si="38"/>
        <v/>
      </c>
      <c r="AL88" s="941" t="str">
        <f t="shared" si="39"/>
        <v/>
      </c>
      <c r="AM88" s="941" t="str">
        <f t="shared" si="40"/>
        <v/>
      </c>
      <c r="AN88" s="941" t="str">
        <f t="shared" si="41"/>
        <v/>
      </c>
      <c r="AO88" s="941" t="str">
        <f t="shared" si="42"/>
        <v/>
      </c>
      <c r="AP88" s="895">
        <f>IF(AO88&lt;0,"No hi ha pèrdua",IFERROR(SUM(AA88:AO88)*'7. Erosió de costa'!$C$86/1000000,""))</f>
        <v>0</v>
      </c>
    </row>
    <row r="89" spans="1:42">
      <c r="A89" s="835">
        <v>8086</v>
      </c>
      <c r="B89" s="826" t="s">
        <v>1084</v>
      </c>
      <c r="C89" s="835" t="str">
        <f t="shared" si="22"/>
        <v>NA</v>
      </c>
      <c r="D89" s="923" t="str">
        <f t="shared" si="23"/>
        <v>NA</v>
      </c>
      <c r="E89" s="931" t="str">
        <f t="shared" si="24"/>
        <v>NA</v>
      </c>
      <c r="F89" s="926" t="str">
        <f t="shared" si="25"/>
        <v>NA</v>
      </c>
      <c r="G89" s="923" t="str">
        <f t="shared" si="26"/>
        <v>NA</v>
      </c>
      <c r="H89" s="931" t="str">
        <f>IFERROR(IF((G89*'7. Erosió de costa'!$C$86/1000000)&lt;0,"guanya sorra",G89*'7. Erosió de costa'!$C$86/1000000),"")</f>
        <v/>
      </c>
      <c r="I89" s="937" t="str">
        <f>IFERROR(IF(('A. Dades de partida'!$D$10*G89*'7. Erosió de costa'!$C$86/1000000)&lt;0,"guanya sorra",'A. Dades de partida'!$D$10*G89*'7. Erosió de costa'!$C$86/1000000),"")</f>
        <v/>
      </c>
      <c r="J89" s="931"/>
      <c r="K89" s="931"/>
      <c r="L89" s="931"/>
      <c r="M89" s="931"/>
      <c r="N89" s="931"/>
      <c r="O89" s="931"/>
      <c r="P89" s="931"/>
      <c r="Q89" s="931"/>
      <c r="R89" s="931"/>
      <c r="S89" s="931"/>
      <c r="T89" s="931"/>
      <c r="U89" s="931"/>
      <c r="V89" s="931"/>
      <c r="W89" s="931"/>
      <c r="X89" s="931"/>
      <c r="Y89" s="931"/>
      <c r="Z89" s="941" t="str">
        <f t="shared" si="27"/>
        <v/>
      </c>
      <c r="AA89" s="941" t="str">
        <f t="shared" si="28"/>
        <v/>
      </c>
      <c r="AB89" s="941" t="str">
        <f t="shared" si="29"/>
        <v/>
      </c>
      <c r="AC89" s="941" t="str">
        <f t="shared" si="30"/>
        <v/>
      </c>
      <c r="AD89" s="941" t="str">
        <f t="shared" si="31"/>
        <v/>
      </c>
      <c r="AE89" s="941" t="str">
        <f t="shared" si="32"/>
        <v/>
      </c>
      <c r="AF89" s="941" t="str">
        <f t="shared" si="33"/>
        <v/>
      </c>
      <c r="AG89" s="941" t="str">
        <f t="shared" si="34"/>
        <v/>
      </c>
      <c r="AH89" s="941" t="str">
        <f t="shared" si="35"/>
        <v/>
      </c>
      <c r="AI89" s="941" t="str">
        <f t="shared" si="36"/>
        <v/>
      </c>
      <c r="AJ89" s="941" t="str">
        <f t="shared" si="37"/>
        <v/>
      </c>
      <c r="AK89" s="941" t="str">
        <f t="shared" si="38"/>
        <v/>
      </c>
      <c r="AL89" s="941" t="str">
        <f t="shared" si="39"/>
        <v/>
      </c>
      <c r="AM89" s="941" t="str">
        <f t="shared" si="40"/>
        <v/>
      </c>
      <c r="AN89" s="941" t="str">
        <f t="shared" si="41"/>
        <v/>
      </c>
      <c r="AO89" s="941" t="str">
        <f t="shared" si="42"/>
        <v/>
      </c>
      <c r="AP89" s="895">
        <f>IF(AO89&lt;0,"No hi ha pèrdua",IFERROR(SUM(AA89:AO89)*'7. Erosió de costa'!$C$86/1000000,""))</f>
        <v>0</v>
      </c>
    </row>
    <row r="90" spans="1:42">
      <c r="A90" s="835">
        <v>8087</v>
      </c>
      <c r="B90" s="826" t="s">
        <v>1087</v>
      </c>
      <c r="C90" s="835" t="str">
        <f t="shared" si="22"/>
        <v>NA</v>
      </c>
      <c r="D90" s="923" t="str">
        <f t="shared" si="23"/>
        <v>NA</v>
      </c>
      <c r="E90" s="931" t="str">
        <f t="shared" si="24"/>
        <v>NA</v>
      </c>
      <c r="F90" s="926" t="str">
        <f t="shared" si="25"/>
        <v>NA</v>
      </c>
      <c r="G90" s="923" t="str">
        <f t="shared" si="26"/>
        <v>NA</v>
      </c>
      <c r="H90" s="931" t="str">
        <f>IFERROR(IF((G90*'7. Erosió de costa'!$C$86/1000000)&lt;0,"guanya sorra",G90*'7. Erosió de costa'!$C$86/1000000),"")</f>
        <v/>
      </c>
      <c r="I90" s="937" t="str">
        <f>IFERROR(IF(('A. Dades de partida'!$D$10*G90*'7. Erosió de costa'!$C$86/1000000)&lt;0,"guanya sorra",'A. Dades de partida'!$D$10*G90*'7. Erosió de costa'!$C$86/1000000),"")</f>
        <v/>
      </c>
      <c r="J90" s="931"/>
      <c r="K90" s="931"/>
      <c r="L90" s="931"/>
      <c r="M90" s="931"/>
      <c r="N90" s="931"/>
      <c r="O90" s="931"/>
      <c r="P90" s="931"/>
      <c r="Q90" s="931"/>
      <c r="R90" s="931"/>
      <c r="S90" s="931"/>
      <c r="T90" s="931"/>
      <c r="U90" s="931"/>
      <c r="V90" s="931"/>
      <c r="W90" s="931"/>
      <c r="X90" s="931"/>
      <c r="Y90" s="931"/>
      <c r="Z90" s="941" t="str">
        <f t="shared" si="27"/>
        <v/>
      </c>
      <c r="AA90" s="941" t="str">
        <f t="shared" si="28"/>
        <v/>
      </c>
      <c r="AB90" s="941" t="str">
        <f t="shared" si="29"/>
        <v/>
      </c>
      <c r="AC90" s="941" t="str">
        <f t="shared" si="30"/>
        <v/>
      </c>
      <c r="AD90" s="941" t="str">
        <f t="shared" si="31"/>
        <v/>
      </c>
      <c r="AE90" s="941" t="str">
        <f t="shared" si="32"/>
        <v/>
      </c>
      <c r="AF90" s="941" t="str">
        <f t="shared" si="33"/>
        <v/>
      </c>
      <c r="AG90" s="941" t="str">
        <f t="shared" si="34"/>
        <v/>
      </c>
      <c r="AH90" s="941" t="str">
        <f t="shared" si="35"/>
        <v/>
      </c>
      <c r="AI90" s="941" t="str">
        <f t="shared" si="36"/>
        <v/>
      </c>
      <c r="AJ90" s="941" t="str">
        <f t="shared" si="37"/>
        <v/>
      </c>
      <c r="AK90" s="941" t="str">
        <f t="shared" si="38"/>
        <v/>
      </c>
      <c r="AL90" s="941" t="str">
        <f t="shared" si="39"/>
        <v/>
      </c>
      <c r="AM90" s="941" t="str">
        <f t="shared" si="40"/>
        <v/>
      </c>
      <c r="AN90" s="941" t="str">
        <f t="shared" si="41"/>
        <v/>
      </c>
      <c r="AO90" s="941" t="str">
        <f t="shared" si="42"/>
        <v/>
      </c>
      <c r="AP90" s="895">
        <f>IF(AO90&lt;0,"No hi ha pèrdua",IFERROR(SUM(AA90:AO90)*'7. Erosió de costa'!$C$86/1000000,""))</f>
        <v>0</v>
      </c>
    </row>
    <row r="91" spans="1:42">
      <c r="A91" s="835">
        <v>8088</v>
      </c>
      <c r="B91" s="826" t="s">
        <v>1091</v>
      </c>
      <c r="C91" s="835" t="str">
        <f t="shared" si="22"/>
        <v>NA</v>
      </c>
      <c r="D91" s="923" t="str">
        <f t="shared" si="23"/>
        <v>NA</v>
      </c>
      <c r="E91" s="931" t="str">
        <f t="shared" si="24"/>
        <v>NA</v>
      </c>
      <c r="F91" s="926" t="str">
        <f t="shared" si="25"/>
        <v>NA</v>
      </c>
      <c r="G91" s="923" t="str">
        <f t="shared" si="26"/>
        <v>NA</v>
      </c>
      <c r="H91" s="931" t="str">
        <f>IFERROR(IF((G91*'7. Erosió de costa'!$C$86/1000000)&lt;0,"guanya sorra",G91*'7. Erosió de costa'!$C$86/1000000),"")</f>
        <v/>
      </c>
      <c r="I91" s="937" t="str">
        <f>IFERROR(IF(('A. Dades de partida'!$D$10*G91*'7. Erosió de costa'!$C$86/1000000)&lt;0,"guanya sorra",'A. Dades de partida'!$D$10*G91*'7. Erosió de costa'!$C$86/1000000),"")</f>
        <v/>
      </c>
      <c r="J91" s="931"/>
      <c r="K91" s="931"/>
      <c r="L91" s="931"/>
      <c r="M91" s="931"/>
      <c r="N91" s="931"/>
      <c r="O91" s="931"/>
      <c r="P91" s="931"/>
      <c r="Q91" s="931"/>
      <c r="R91" s="931"/>
      <c r="S91" s="931"/>
      <c r="T91" s="931"/>
      <c r="U91" s="931"/>
      <c r="V91" s="931"/>
      <c r="W91" s="931"/>
      <c r="X91" s="931"/>
      <c r="Y91" s="931"/>
      <c r="Z91" s="941" t="str">
        <f t="shared" si="27"/>
        <v/>
      </c>
      <c r="AA91" s="941" t="str">
        <f t="shared" si="28"/>
        <v/>
      </c>
      <c r="AB91" s="941" t="str">
        <f t="shared" si="29"/>
        <v/>
      </c>
      <c r="AC91" s="941" t="str">
        <f t="shared" si="30"/>
        <v/>
      </c>
      <c r="AD91" s="941" t="str">
        <f t="shared" si="31"/>
        <v/>
      </c>
      <c r="AE91" s="941" t="str">
        <f t="shared" si="32"/>
        <v/>
      </c>
      <c r="AF91" s="941" t="str">
        <f t="shared" si="33"/>
        <v/>
      </c>
      <c r="AG91" s="941" t="str">
        <f t="shared" si="34"/>
        <v/>
      </c>
      <c r="AH91" s="941" t="str">
        <f t="shared" si="35"/>
        <v/>
      </c>
      <c r="AI91" s="941" t="str">
        <f t="shared" si="36"/>
        <v/>
      </c>
      <c r="AJ91" s="941" t="str">
        <f t="shared" si="37"/>
        <v/>
      </c>
      <c r="AK91" s="941" t="str">
        <f t="shared" si="38"/>
        <v/>
      </c>
      <c r="AL91" s="941" t="str">
        <f t="shared" si="39"/>
        <v/>
      </c>
      <c r="AM91" s="941" t="str">
        <f t="shared" si="40"/>
        <v/>
      </c>
      <c r="AN91" s="941" t="str">
        <f t="shared" si="41"/>
        <v/>
      </c>
      <c r="AO91" s="941" t="str">
        <f t="shared" si="42"/>
        <v/>
      </c>
      <c r="AP91" s="895">
        <f>IF(AO91&lt;0,"No hi ha pèrdua",IFERROR(SUM(AA91:AO91)*'7. Erosió de costa'!$C$86/1000000,""))</f>
        <v>0</v>
      </c>
    </row>
    <row r="92" spans="1:42" ht="30">
      <c r="A92" s="835">
        <v>8089</v>
      </c>
      <c r="B92" s="826" t="s">
        <v>342</v>
      </c>
      <c r="C92" s="835">
        <f t="shared" si="22"/>
        <v>8</v>
      </c>
      <c r="D92" s="923">
        <f t="shared" si="23"/>
        <v>3405</v>
      </c>
      <c r="E92" s="931">
        <f t="shared" si="24"/>
        <v>0.54</v>
      </c>
      <c r="F92" s="926">
        <f t="shared" si="25"/>
        <v>8.1275720164609062</v>
      </c>
      <c r="G92" s="923">
        <f t="shared" si="26"/>
        <v>-14944.166666666668</v>
      </c>
      <c r="H92" s="931" t="str">
        <f>IFERROR(IF((G92*'7. Erosió de costa'!$C$86/1000000)&lt;0,"guanya sorra",G92*'7. Erosió de costa'!$C$86/1000000),"")</f>
        <v>guanya sorra</v>
      </c>
      <c r="I92" s="937" t="str">
        <f>IFERROR(IF(('A. Dades de partida'!$D$10*G92*'7. Erosió de costa'!$C$86/1000000)&lt;0,"guanya sorra",'A. Dades de partida'!$D$10*G92*'7. Erosió de costa'!$C$86/1000000),"")</f>
        <v>guanya sorra</v>
      </c>
      <c r="J92" s="931">
        <f>E92</f>
        <v>0.54</v>
      </c>
      <c r="K92" s="931">
        <f>IF($J92&gt;0, $J92-($J92*'7. Erosió de costa'!D$140*'7. Erosió de costa'!$D$111),$J92+($J92*'7. Erosió de costa'!D$140*'7. Erosió de costa'!$D$111))</f>
        <v>0.52959502262443447</v>
      </c>
      <c r="L92" s="931">
        <f>IF($J92&gt;0, $J92-($J92*'7. Erosió de costa'!E$140*'7. Erosió de costa'!$D$111),$J92+($J92*'7. Erosió de costa'!E$140*'7. Erosió de costa'!$D$111))</f>
        <v>0.5191900452488688</v>
      </c>
      <c r="M92" s="931">
        <f>IF($J92&gt;0, $J92-($J92*'7. Erosió de costa'!F$140*'7. Erosió de costa'!$D$111),$J92+($J92*'7. Erosió de costa'!F$140*'7. Erosió de costa'!$D$111))</f>
        <v>0.50878506787330324</v>
      </c>
      <c r="N92" s="931">
        <f>IF($J92&gt;0, $J92-($J92*'7. Erosió de costa'!G$140*'7. Erosió de costa'!$D$111),$J92+($J92*'7. Erosió de costa'!G$140*'7. Erosió de costa'!$D$111))</f>
        <v>0.49838009049773757</v>
      </c>
      <c r="O92" s="931">
        <f>IF($J92&gt;0, $J92-($J92*'7. Erosió de costa'!H$140*'7. Erosió de costa'!$D$111),$J92+($J92*'7. Erosió de costa'!H$140*'7. Erosió de costa'!$D$111))</f>
        <v>0.48797511312217196</v>
      </c>
      <c r="P92" s="931">
        <f>IF($J92&gt;0, $J92-($J92*'7. Erosió de costa'!I$140*'7. Erosió de costa'!$D$111),$J92+($J92*'7. Erosió de costa'!I$140*'7. Erosió de costa'!$D$111))</f>
        <v>0.47757013574660639</v>
      </c>
      <c r="Q92" s="931">
        <f>IF($J92&gt;0, $J92-($J92*'7. Erosió de costa'!J$140*'7. Erosió de costa'!$D$111),$J92+($J92*'7. Erosió de costa'!J$140*'7. Erosió de costa'!$D$111))</f>
        <v>0.46716515837104078</v>
      </c>
      <c r="R92" s="931">
        <f>IF($J92&gt;0, $J92-($J92*'7. Erosió de costa'!K$140*'7. Erosió de costa'!$D$111),$J92+($J92*'7. Erosió de costa'!K$140*'7. Erosió de costa'!$D$111))</f>
        <v>0.45676018099547516</v>
      </c>
      <c r="S92" s="931">
        <f>IF($J92&gt;0, $J92-($J92*'7. Erosió de costa'!L$140*'7. Erosió de costa'!$D$111),$J92+($J92*'7. Erosió de costa'!L$140*'7. Erosió de costa'!$D$111))</f>
        <v>0.44635520361990955</v>
      </c>
      <c r="T92" s="931">
        <f>IF($J92&gt;0, $J92-($J92*'7. Erosió de costa'!M$140*'7. Erosió de costa'!$D$111),$J92+($J92*'7. Erosió de costa'!M$140*'7. Erosió de costa'!$D$111))</f>
        <v>0.43595022624434393</v>
      </c>
      <c r="U92" s="931">
        <f>IF($J92&gt;0, $J92-($J92*'7. Erosió de costa'!N$140*'7. Erosió de costa'!$D$111),$J92+($J92*'7. Erosió de costa'!N$140*'7. Erosió de costa'!$D$111))</f>
        <v>0.42554524886877831</v>
      </c>
      <c r="V92" s="931">
        <f>IF($J92&gt;0, $J92-($J92*'7. Erosió de costa'!O$140*'7. Erosió de costa'!$D$111),$J92+($J92*'7. Erosió de costa'!O$140*'7. Erosió de costa'!$D$111))</f>
        <v>0.4151402714932127</v>
      </c>
      <c r="W92" s="931">
        <f>IF($J92&gt;0, $J92-($J92*'7. Erosió de costa'!P$140*'7. Erosió de costa'!$D$111),$J92+($J92*'7. Erosió de costa'!P$140*'7. Erosió de costa'!$D$111))</f>
        <v>0.40473529411764708</v>
      </c>
      <c r="X92" s="931">
        <f>IF($J92&gt;0, $J92-($J92*'7. Erosió de costa'!Q$140*'7. Erosió de costa'!$D$111),$J92+($J92*'7. Erosió de costa'!Q$140*'7. Erosió de costa'!$D$111))</f>
        <v>0.39433031674208152</v>
      </c>
      <c r="Y92" s="931">
        <f>IF($J92&gt;0, $J92-($J92*'7. Erosió de costa'!R$140*'7. Erosió de costa'!$D$111),$J92+($J92*'7. Erosió de costa'!R$140*'7. Erosió de costa'!$D$111))</f>
        <v>0.38392533936651585</v>
      </c>
      <c r="Z92" s="941">
        <f t="shared" si="27"/>
        <v>-14944.166666666668</v>
      </c>
      <c r="AA92" s="941">
        <f t="shared" si="28"/>
        <v>-14656.215340623432</v>
      </c>
      <c r="AB92" s="941">
        <f t="shared" si="29"/>
        <v>-14368.264014580194</v>
      </c>
      <c r="AC92" s="941">
        <f t="shared" si="30"/>
        <v>-14080.312688536957</v>
      </c>
      <c r="AD92" s="941">
        <f t="shared" si="31"/>
        <v>-13792.361362493717</v>
      </c>
      <c r="AE92" s="941">
        <f t="shared" si="32"/>
        <v>-13504.410036450479</v>
      </c>
      <c r="AF92" s="941">
        <f t="shared" si="33"/>
        <v>-13216.458710407242</v>
      </c>
      <c r="AG92" s="941">
        <f t="shared" si="34"/>
        <v>-12928.507384364004</v>
      </c>
      <c r="AH92" s="941">
        <f t="shared" si="35"/>
        <v>-12640.556058320768</v>
      </c>
      <c r="AI92" s="941">
        <f t="shared" si="36"/>
        <v>-12352.604732277528</v>
      </c>
      <c r="AJ92" s="941">
        <f t="shared" si="37"/>
        <v>-12064.653406234291</v>
      </c>
      <c r="AK92" s="941">
        <f t="shared" si="38"/>
        <v>-11776.702080191053</v>
      </c>
      <c r="AL92" s="941">
        <f t="shared" si="39"/>
        <v>-11488.750754147813</v>
      </c>
      <c r="AM92" s="941">
        <f t="shared" si="40"/>
        <v>-11200.799428104578</v>
      </c>
      <c r="AN92" s="941">
        <f t="shared" si="41"/>
        <v>-10912.848102061342</v>
      </c>
      <c r="AO92" s="941">
        <f t="shared" si="42"/>
        <v>-10624.8967760181</v>
      </c>
      <c r="AP92" s="895" t="str">
        <f>IF(AO92&lt;0,"No hi ha pèrdua",IFERROR(SUM(AA92:AO92)*'7. Erosió de costa'!$C$86/1000000,""))</f>
        <v>No hi ha pèrdua</v>
      </c>
    </row>
    <row r="93" spans="1:42">
      <c r="A93" s="835">
        <v>8090</v>
      </c>
      <c r="B93" s="826" t="s">
        <v>1100</v>
      </c>
      <c r="C93" s="835" t="str">
        <f t="shared" si="22"/>
        <v>NA</v>
      </c>
      <c r="D93" s="923" t="str">
        <f t="shared" si="23"/>
        <v>NA</v>
      </c>
      <c r="E93" s="931" t="str">
        <f t="shared" si="24"/>
        <v>NA</v>
      </c>
      <c r="F93" s="926" t="str">
        <f t="shared" si="25"/>
        <v>NA</v>
      </c>
      <c r="G93" s="923" t="str">
        <f t="shared" si="26"/>
        <v>NA</v>
      </c>
      <c r="H93" s="931" t="str">
        <f>IFERROR(IF((G93*'7. Erosió de costa'!$C$86/1000000)&lt;0,"guanya sorra",G93*'7. Erosió de costa'!$C$86/1000000),"")</f>
        <v/>
      </c>
      <c r="I93" s="937" t="str">
        <f>IFERROR(IF(('A. Dades de partida'!$D$10*G93*'7. Erosió de costa'!$C$86/1000000)&lt;0,"guanya sorra",'A. Dades de partida'!$D$10*G93*'7. Erosió de costa'!$C$86/1000000),"")</f>
        <v/>
      </c>
      <c r="J93" s="931"/>
      <c r="K93" s="931"/>
      <c r="L93" s="931"/>
      <c r="M93" s="931"/>
      <c r="N93" s="931"/>
      <c r="O93" s="931"/>
      <c r="P93" s="931"/>
      <c r="Q93" s="931"/>
      <c r="R93" s="931"/>
      <c r="S93" s="931"/>
      <c r="T93" s="931"/>
      <c r="U93" s="931"/>
      <c r="V93" s="931"/>
      <c r="W93" s="931"/>
      <c r="X93" s="931"/>
      <c r="Y93" s="931"/>
      <c r="Z93" s="941" t="str">
        <f t="shared" si="27"/>
        <v/>
      </c>
      <c r="AA93" s="941" t="str">
        <f t="shared" si="28"/>
        <v/>
      </c>
      <c r="AB93" s="941" t="str">
        <f t="shared" si="29"/>
        <v/>
      </c>
      <c r="AC93" s="941" t="str">
        <f t="shared" si="30"/>
        <v/>
      </c>
      <c r="AD93" s="941" t="str">
        <f t="shared" si="31"/>
        <v/>
      </c>
      <c r="AE93" s="941" t="str">
        <f t="shared" si="32"/>
        <v/>
      </c>
      <c r="AF93" s="941" t="str">
        <f t="shared" si="33"/>
        <v/>
      </c>
      <c r="AG93" s="941" t="str">
        <f t="shared" si="34"/>
        <v/>
      </c>
      <c r="AH93" s="941" t="str">
        <f t="shared" si="35"/>
        <v/>
      </c>
      <c r="AI93" s="941" t="str">
        <f t="shared" si="36"/>
        <v/>
      </c>
      <c r="AJ93" s="941" t="str">
        <f t="shared" si="37"/>
        <v/>
      </c>
      <c r="AK93" s="941" t="str">
        <f t="shared" si="38"/>
        <v/>
      </c>
      <c r="AL93" s="941" t="str">
        <f t="shared" si="39"/>
        <v/>
      </c>
      <c r="AM93" s="941" t="str">
        <f t="shared" si="40"/>
        <v/>
      </c>
      <c r="AN93" s="941" t="str">
        <f t="shared" si="41"/>
        <v/>
      </c>
      <c r="AO93" s="941" t="str">
        <f t="shared" si="42"/>
        <v/>
      </c>
      <c r="AP93" s="895">
        <f>IF(AO93&lt;0,"No hi ha pèrdua",IFERROR(SUM(AA93:AO93)*'7. Erosió de costa'!$C$86/1000000,""))</f>
        <v>0</v>
      </c>
    </row>
    <row r="94" spans="1:42">
      <c r="A94" s="835">
        <v>8091</v>
      </c>
      <c r="B94" s="826" t="s">
        <v>1102</v>
      </c>
      <c r="C94" s="835" t="str">
        <f t="shared" si="22"/>
        <v>NA</v>
      </c>
      <c r="D94" s="923" t="str">
        <f t="shared" si="23"/>
        <v>NA</v>
      </c>
      <c r="E94" s="931" t="str">
        <f t="shared" si="24"/>
        <v>NA</v>
      </c>
      <c r="F94" s="926" t="str">
        <f t="shared" si="25"/>
        <v>NA</v>
      </c>
      <c r="G94" s="923" t="str">
        <f t="shared" si="26"/>
        <v>NA</v>
      </c>
      <c r="H94" s="931" t="str">
        <f>IFERROR(IF((G94*'7. Erosió de costa'!$C$86/1000000)&lt;0,"guanya sorra",G94*'7. Erosió de costa'!$C$86/1000000),"")</f>
        <v/>
      </c>
      <c r="I94" s="937" t="str">
        <f>IFERROR(IF(('A. Dades de partida'!$D$10*G94*'7. Erosió de costa'!$C$86/1000000)&lt;0,"guanya sorra",'A. Dades de partida'!$D$10*G94*'7. Erosió de costa'!$C$86/1000000),"")</f>
        <v/>
      </c>
      <c r="J94" s="931"/>
      <c r="K94" s="931"/>
      <c r="L94" s="931"/>
      <c r="M94" s="931"/>
      <c r="N94" s="931"/>
      <c r="O94" s="931"/>
      <c r="P94" s="931"/>
      <c r="Q94" s="931"/>
      <c r="R94" s="931"/>
      <c r="S94" s="931"/>
      <c r="T94" s="931"/>
      <c r="U94" s="931"/>
      <c r="V94" s="931"/>
      <c r="W94" s="931"/>
      <c r="X94" s="931"/>
      <c r="Y94" s="931"/>
      <c r="Z94" s="941" t="str">
        <f t="shared" si="27"/>
        <v/>
      </c>
      <c r="AA94" s="941" t="str">
        <f t="shared" si="28"/>
        <v/>
      </c>
      <c r="AB94" s="941" t="str">
        <f t="shared" si="29"/>
        <v/>
      </c>
      <c r="AC94" s="941" t="str">
        <f t="shared" si="30"/>
        <v/>
      </c>
      <c r="AD94" s="941" t="str">
        <f t="shared" si="31"/>
        <v/>
      </c>
      <c r="AE94" s="941" t="str">
        <f t="shared" si="32"/>
        <v/>
      </c>
      <c r="AF94" s="941" t="str">
        <f t="shared" si="33"/>
        <v/>
      </c>
      <c r="AG94" s="941" t="str">
        <f t="shared" si="34"/>
        <v/>
      </c>
      <c r="AH94" s="941" t="str">
        <f t="shared" si="35"/>
        <v/>
      </c>
      <c r="AI94" s="941" t="str">
        <f t="shared" si="36"/>
        <v/>
      </c>
      <c r="AJ94" s="941" t="str">
        <f t="shared" si="37"/>
        <v/>
      </c>
      <c r="AK94" s="941" t="str">
        <f t="shared" si="38"/>
        <v/>
      </c>
      <c r="AL94" s="941" t="str">
        <f t="shared" si="39"/>
        <v/>
      </c>
      <c r="AM94" s="941" t="str">
        <f t="shared" si="40"/>
        <v/>
      </c>
      <c r="AN94" s="941" t="str">
        <f t="shared" si="41"/>
        <v/>
      </c>
      <c r="AO94" s="941" t="str">
        <f t="shared" si="42"/>
        <v/>
      </c>
      <c r="AP94" s="895">
        <f>IF(AO94&lt;0,"No hi ha pèrdua",IFERROR(SUM(AA94:AO94)*'7. Erosió de costa'!$C$86/1000000,""))</f>
        <v>0</v>
      </c>
    </row>
    <row r="95" spans="1:42">
      <c r="A95" s="835">
        <v>8092</v>
      </c>
      <c r="B95" s="826" t="s">
        <v>1104</v>
      </c>
      <c r="C95" s="835" t="str">
        <f t="shared" si="22"/>
        <v>NA</v>
      </c>
      <c r="D95" s="923" t="str">
        <f t="shared" si="23"/>
        <v>NA</v>
      </c>
      <c r="E95" s="931" t="str">
        <f t="shared" si="24"/>
        <v>NA</v>
      </c>
      <c r="F95" s="926" t="str">
        <f t="shared" si="25"/>
        <v>NA</v>
      </c>
      <c r="G95" s="923" t="str">
        <f t="shared" si="26"/>
        <v>NA</v>
      </c>
      <c r="H95" s="931" t="str">
        <f>IFERROR(IF((G95*'7. Erosió de costa'!$C$86/1000000)&lt;0,"guanya sorra",G95*'7. Erosió de costa'!$C$86/1000000),"")</f>
        <v/>
      </c>
      <c r="I95" s="937" t="str">
        <f>IFERROR(IF(('A. Dades de partida'!$D$10*G95*'7. Erosió de costa'!$C$86/1000000)&lt;0,"guanya sorra",'A. Dades de partida'!$D$10*G95*'7. Erosió de costa'!$C$86/1000000),"")</f>
        <v/>
      </c>
      <c r="J95" s="931"/>
      <c r="K95" s="931"/>
      <c r="L95" s="931"/>
      <c r="M95" s="931"/>
      <c r="N95" s="931"/>
      <c r="O95" s="931"/>
      <c r="P95" s="931"/>
      <c r="Q95" s="931"/>
      <c r="R95" s="931"/>
      <c r="S95" s="931"/>
      <c r="T95" s="931"/>
      <c r="U95" s="931"/>
      <c r="V95" s="931"/>
      <c r="W95" s="931"/>
      <c r="X95" s="931"/>
      <c r="Y95" s="931"/>
      <c r="Z95" s="941" t="str">
        <f t="shared" si="27"/>
        <v/>
      </c>
      <c r="AA95" s="941" t="str">
        <f t="shared" si="28"/>
        <v/>
      </c>
      <c r="AB95" s="941" t="str">
        <f t="shared" si="29"/>
        <v/>
      </c>
      <c r="AC95" s="941" t="str">
        <f t="shared" si="30"/>
        <v/>
      </c>
      <c r="AD95" s="941" t="str">
        <f t="shared" si="31"/>
        <v/>
      </c>
      <c r="AE95" s="941" t="str">
        <f t="shared" si="32"/>
        <v/>
      </c>
      <c r="AF95" s="941" t="str">
        <f t="shared" si="33"/>
        <v/>
      </c>
      <c r="AG95" s="941" t="str">
        <f t="shared" si="34"/>
        <v/>
      </c>
      <c r="AH95" s="941" t="str">
        <f t="shared" si="35"/>
        <v/>
      </c>
      <c r="AI95" s="941" t="str">
        <f t="shared" si="36"/>
        <v/>
      </c>
      <c r="AJ95" s="941" t="str">
        <f t="shared" si="37"/>
        <v/>
      </c>
      <c r="AK95" s="941" t="str">
        <f t="shared" si="38"/>
        <v/>
      </c>
      <c r="AL95" s="941" t="str">
        <f t="shared" si="39"/>
        <v/>
      </c>
      <c r="AM95" s="941" t="str">
        <f t="shared" si="40"/>
        <v/>
      </c>
      <c r="AN95" s="941" t="str">
        <f t="shared" si="41"/>
        <v/>
      </c>
      <c r="AO95" s="941" t="str">
        <f t="shared" si="42"/>
        <v/>
      </c>
      <c r="AP95" s="895">
        <f>IF(AO95&lt;0,"No hi ha pèrdua",IFERROR(SUM(AA95:AO95)*'7. Erosió de costa'!$C$86/1000000,""))</f>
        <v>0</v>
      </c>
    </row>
    <row r="96" spans="1:42">
      <c r="A96" s="835">
        <v>8093</v>
      </c>
      <c r="B96" s="826" t="s">
        <v>1105</v>
      </c>
      <c r="C96" s="835" t="str">
        <f t="shared" si="22"/>
        <v>NA</v>
      </c>
      <c r="D96" s="923" t="str">
        <f t="shared" si="23"/>
        <v>NA</v>
      </c>
      <c r="E96" s="931" t="str">
        <f t="shared" si="24"/>
        <v>NA</v>
      </c>
      <c r="F96" s="926" t="str">
        <f t="shared" si="25"/>
        <v>NA</v>
      </c>
      <c r="G96" s="923" t="str">
        <f t="shared" si="26"/>
        <v>NA</v>
      </c>
      <c r="H96" s="931" t="str">
        <f>IFERROR(IF((G96*'7. Erosió de costa'!$C$86/1000000)&lt;0,"guanya sorra",G96*'7. Erosió de costa'!$C$86/1000000),"")</f>
        <v/>
      </c>
      <c r="I96" s="937" t="str">
        <f>IFERROR(IF(('A. Dades de partida'!$D$10*G96*'7. Erosió de costa'!$C$86/1000000)&lt;0,"guanya sorra",'A. Dades de partida'!$D$10*G96*'7. Erosió de costa'!$C$86/1000000),"")</f>
        <v/>
      </c>
      <c r="J96" s="931"/>
      <c r="K96" s="931"/>
      <c r="L96" s="931"/>
      <c r="M96" s="931"/>
      <c r="N96" s="931"/>
      <c r="O96" s="931"/>
      <c r="P96" s="931"/>
      <c r="Q96" s="931"/>
      <c r="R96" s="931"/>
      <c r="S96" s="931"/>
      <c r="T96" s="931"/>
      <c r="U96" s="931"/>
      <c r="V96" s="931"/>
      <c r="W96" s="931"/>
      <c r="X96" s="931"/>
      <c r="Y96" s="931"/>
      <c r="Z96" s="941" t="str">
        <f t="shared" si="27"/>
        <v/>
      </c>
      <c r="AA96" s="941" t="str">
        <f t="shared" si="28"/>
        <v/>
      </c>
      <c r="AB96" s="941" t="str">
        <f t="shared" si="29"/>
        <v/>
      </c>
      <c r="AC96" s="941" t="str">
        <f t="shared" si="30"/>
        <v/>
      </c>
      <c r="AD96" s="941" t="str">
        <f t="shared" si="31"/>
        <v/>
      </c>
      <c r="AE96" s="941" t="str">
        <f t="shared" si="32"/>
        <v/>
      </c>
      <c r="AF96" s="941" t="str">
        <f t="shared" si="33"/>
        <v/>
      </c>
      <c r="AG96" s="941" t="str">
        <f t="shared" si="34"/>
        <v/>
      </c>
      <c r="AH96" s="941" t="str">
        <f t="shared" si="35"/>
        <v/>
      </c>
      <c r="AI96" s="941" t="str">
        <f t="shared" si="36"/>
        <v/>
      </c>
      <c r="AJ96" s="941" t="str">
        <f t="shared" si="37"/>
        <v/>
      </c>
      <c r="AK96" s="941" t="str">
        <f t="shared" si="38"/>
        <v/>
      </c>
      <c r="AL96" s="941" t="str">
        <f t="shared" si="39"/>
        <v/>
      </c>
      <c r="AM96" s="941" t="str">
        <f t="shared" si="40"/>
        <v/>
      </c>
      <c r="AN96" s="941" t="str">
        <f t="shared" si="41"/>
        <v/>
      </c>
      <c r="AO96" s="941" t="str">
        <f t="shared" si="42"/>
        <v/>
      </c>
      <c r="AP96" s="895">
        <f>IF(AO96&lt;0,"No hi ha pèrdua",IFERROR(SUM(AA96:AO96)*'7. Erosió de costa'!$C$86/1000000,""))</f>
        <v>0</v>
      </c>
    </row>
    <row r="97" spans="1:42">
      <c r="A97" s="835">
        <v>8094</v>
      </c>
      <c r="B97" s="826" t="s">
        <v>1108</v>
      </c>
      <c r="C97" s="835" t="str">
        <f t="shared" si="22"/>
        <v>NA</v>
      </c>
      <c r="D97" s="923" t="str">
        <f t="shared" si="23"/>
        <v>NA</v>
      </c>
      <c r="E97" s="931" t="str">
        <f t="shared" si="24"/>
        <v>NA</v>
      </c>
      <c r="F97" s="926" t="str">
        <f t="shared" si="25"/>
        <v>NA</v>
      </c>
      <c r="G97" s="923" t="str">
        <f t="shared" si="26"/>
        <v>NA</v>
      </c>
      <c r="H97" s="931" t="str">
        <f>IFERROR(IF((G97*'7. Erosió de costa'!$C$86/1000000)&lt;0,"guanya sorra",G97*'7. Erosió de costa'!$C$86/1000000),"")</f>
        <v/>
      </c>
      <c r="I97" s="937" t="str">
        <f>IFERROR(IF(('A. Dades de partida'!$D$10*G97*'7. Erosió de costa'!$C$86/1000000)&lt;0,"guanya sorra",'A. Dades de partida'!$D$10*G97*'7. Erosió de costa'!$C$86/1000000),"")</f>
        <v/>
      </c>
      <c r="J97" s="931"/>
      <c r="K97" s="931"/>
      <c r="L97" s="931"/>
      <c r="M97" s="931"/>
      <c r="N97" s="931"/>
      <c r="O97" s="931"/>
      <c r="P97" s="931"/>
      <c r="Q97" s="931"/>
      <c r="R97" s="931"/>
      <c r="S97" s="931"/>
      <c r="T97" s="931"/>
      <c r="U97" s="931"/>
      <c r="V97" s="931"/>
      <c r="W97" s="931"/>
      <c r="X97" s="931"/>
      <c r="Y97" s="931"/>
      <c r="Z97" s="941" t="str">
        <f t="shared" si="27"/>
        <v/>
      </c>
      <c r="AA97" s="941" t="str">
        <f t="shared" si="28"/>
        <v/>
      </c>
      <c r="AB97" s="941" t="str">
        <f t="shared" si="29"/>
        <v/>
      </c>
      <c r="AC97" s="941" t="str">
        <f t="shared" si="30"/>
        <v/>
      </c>
      <c r="AD97" s="941" t="str">
        <f t="shared" si="31"/>
        <v/>
      </c>
      <c r="AE97" s="941" t="str">
        <f t="shared" si="32"/>
        <v/>
      </c>
      <c r="AF97" s="941" t="str">
        <f t="shared" si="33"/>
        <v/>
      </c>
      <c r="AG97" s="941" t="str">
        <f t="shared" si="34"/>
        <v/>
      </c>
      <c r="AH97" s="941" t="str">
        <f t="shared" si="35"/>
        <v/>
      </c>
      <c r="AI97" s="941" t="str">
        <f t="shared" si="36"/>
        <v/>
      </c>
      <c r="AJ97" s="941" t="str">
        <f t="shared" si="37"/>
        <v/>
      </c>
      <c r="AK97" s="941" t="str">
        <f t="shared" si="38"/>
        <v/>
      </c>
      <c r="AL97" s="941" t="str">
        <f t="shared" si="39"/>
        <v/>
      </c>
      <c r="AM97" s="941" t="str">
        <f t="shared" si="40"/>
        <v/>
      </c>
      <c r="AN97" s="941" t="str">
        <f t="shared" si="41"/>
        <v/>
      </c>
      <c r="AO97" s="941" t="str">
        <f t="shared" si="42"/>
        <v/>
      </c>
      <c r="AP97" s="895">
        <f>IF(AO97&lt;0,"No hi ha pèrdua",IFERROR(SUM(AA97:AO97)*'7. Erosió de costa'!$C$86/1000000,""))</f>
        <v>0</v>
      </c>
    </row>
    <row r="98" spans="1:42">
      <c r="A98" s="835">
        <v>8095</v>
      </c>
      <c r="B98" s="826" t="s">
        <v>1110</v>
      </c>
      <c r="C98" s="835" t="str">
        <f t="shared" si="22"/>
        <v>NA</v>
      </c>
      <c r="D98" s="923" t="str">
        <f t="shared" si="23"/>
        <v>NA</v>
      </c>
      <c r="E98" s="931" t="str">
        <f t="shared" si="24"/>
        <v>NA</v>
      </c>
      <c r="F98" s="926" t="str">
        <f t="shared" si="25"/>
        <v>NA</v>
      </c>
      <c r="G98" s="923" t="str">
        <f t="shared" si="26"/>
        <v>NA</v>
      </c>
      <c r="H98" s="931" t="str">
        <f>IFERROR(IF((G98*'7. Erosió de costa'!$C$86/1000000)&lt;0,"guanya sorra",G98*'7. Erosió de costa'!$C$86/1000000),"")</f>
        <v/>
      </c>
      <c r="I98" s="937" t="str">
        <f>IFERROR(IF(('A. Dades de partida'!$D$10*G98*'7. Erosió de costa'!$C$86/1000000)&lt;0,"guanya sorra",'A. Dades de partida'!$D$10*G98*'7. Erosió de costa'!$C$86/1000000),"")</f>
        <v/>
      </c>
      <c r="J98" s="931"/>
      <c r="K98" s="931"/>
      <c r="L98" s="931"/>
      <c r="M98" s="931"/>
      <c r="N98" s="931"/>
      <c r="O98" s="931"/>
      <c r="P98" s="931"/>
      <c r="Q98" s="931"/>
      <c r="R98" s="931"/>
      <c r="S98" s="931"/>
      <c r="T98" s="931"/>
      <c r="U98" s="931"/>
      <c r="V98" s="931"/>
      <c r="W98" s="931"/>
      <c r="X98" s="931"/>
      <c r="Y98" s="931"/>
      <c r="Z98" s="941" t="str">
        <f t="shared" si="27"/>
        <v/>
      </c>
      <c r="AA98" s="941" t="str">
        <f t="shared" si="28"/>
        <v/>
      </c>
      <c r="AB98" s="941" t="str">
        <f t="shared" si="29"/>
        <v/>
      </c>
      <c r="AC98" s="941" t="str">
        <f t="shared" si="30"/>
        <v/>
      </c>
      <c r="AD98" s="941" t="str">
        <f t="shared" si="31"/>
        <v/>
      </c>
      <c r="AE98" s="941" t="str">
        <f t="shared" si="32"/>
        <v/>
      </c>
      <c r="AF98" s="941" t="str">
        <f t="shared" si="33"/>
        <v/>
      </c>
      <c r="AG98" s="941" t="str">
        <f t="shared" si="34"/>
        <v/>
      </c>
      <c r="AH98" s="941" t="str">
        <f t="shared" si="35"/>
        <v/>
      </c>
      <c r="AI98" s="941" t="str">
        <f t="shared" si="36"/>
        <v/>
      </c>
      <c r="AJ98" s="941" t="str">
        <f t="shared" si="37"/>
        <v/>
      </c>
      <c r="AK98" s="941" t="str">
        <f t="shared" si="38"/>
        <v/>
      </c>
      <c r="AL98" s="941" t="str">
        <f t="shared" si="39"/>
        <v/>
      </c>
      <c r="AM98" s="941" t="str">
        <f t="shared" si="40"/>
        <v/>
      </c>
      <c r="AN98" s="941" t="str">
        <f t="shared" si="41"/>
        <v/>
      </c>
      <c r="AO98" s="941" t="str">
        <f t="shared" si="42"/>
        <v/>
      </c>
      <c r="AP98" s="895">
        <f>IF(AO98&lt;0,"No hi ha pèrdua",IFERROR(SUM(AA98:AO98)*'7. Erosió de costa'!$C$86/1000000,""))</f>
        <v>0</v>
      </c>
    </row>
    <row r="99" spans="1:42">
      <c r="A99" s="835">
        <v>8096</v>
      </c>
      <c r="B99" s="826" t="s">
        <v>1113</v>
      </c>
      <c r="C99" s="835" t="str">
        <f t="shared" si="22"/>
        <v>NA</v>
      </c>
      <c r="D99" s="923" t="str">
        <f t="shared" si="23"/>
        <v>NA</v>
      </c>
      <c r="E99" s="931" t="str">
        <f t="shared" si="24"/>
        <v>NA</v>
      </c>
      <c r="F99" s="926" t="str">
        <f t="shared" si="25"/>
        <v>NA</v>
      </c>
      <c r="G99" s="923" t="str">
        <f t="shared" si="26"/>
        <v>NA</v>
      </c>
      <c r="H99" s="931" t="str">
        <f>IFERROR(IF((G99*'7. Erosió de costa'!$C$86/1000000)&lt;0,"guanya sorra",G99*'7. Erosió de costa'!$C$86/1000000),"")</f>
        <v/>
      </c>
      <c r="I99" s="937" t="str">
        <f>IFERROR(IF(('A. Dades de partida'!$D$10*G99*'7. Erosió de costa'!$C$86/1000000)&lt;0,"guanya sorra",'A. Dades de partida'!$D$10*G99*'7. Erosió de costa'!$C$86/1000000),"")</f>
        <v/>
      </c>
      <c r="J99" s="931"/>
      <c r="K99" s="931"/>
      <c r="L99" s="931"/>
      <c r="M99" s="931"/>
      <c r="N99" s="931"/>
      <c r="O99" s="931"/>
      <c r="P99" s="931"/>
      <c r="Q99" s="931"/>
      <c r="R99" s="931"/>
      <c r="S99" s="931"/>
      <c r="T99" s="931"/>
      <c r="U99" s="931"/>
      <c r="V99" s="931"/>
      <c r="W99" s="931"/>
      <c r="X99" s="931"/>
      <c r="Y99" s="931"/>
      <c r="Z99" s="941" t="str">
        <f t="shared" si="27"/>
        <v/>
      </c>
      <c r="AA99" s="941" t="str">
        <f t="shared" si="28"/>
        <v/>
      </c>
      <c r="AB99" s="941" t="str">
        <f t="shared" si="29"/>
        <v/>
      </c>
      <c r="AC99" s="941" t="str">
        <f t="shared" si="30"/>
        <v/>
      </c>
      <c r="AD99" s="941" t="str">
        <f t="shared" si="31"/>
        <v/>
      </c>
      <c r="AE99" s="941" t="str">
        <f t="shared" si="32"/>
        <v/>
      </c>
      <c r="AF99" s="941" t="str">
        <f t="shared" si="33"/>
        <v/>
      </c>
      <c r="AG99" s="941" t="str">
        <f t="shared" si="34"/>
        <v/>
      </c>
      <c r="AH99" s="941" t="str">
        <f t="shared" si="35"/>
        <v/>
      </c>
      <c r="AI99" s="941" t="str">
        <f t="shared" si="36"/>
        <v/>
      </c>
      <c r="AJ99" s="941" t="str">
        <f t="shared" si="37"/>
        <v/>
      </c>
      <c r="AK99" s="941" t="str">
        <f t="shared" si="38"/>
        <v/>
      </c>
      <c r="AL99" s="941" t="str">
        <f t="shared" si="39"/>
        <v/>
      </c>
      <c r="AM99" s="941" t="str">
        <f t="shared" si="40"/>
        <v/>
      </c>
      <c r="AN99" s="941" t="str">
        <f t="shared" si="41"/>
        <v/>
      </c>
      <c r="AO99" s="941" t="str">
        <f t="shared" si="42"/>
        <v/>
      </c>
      <c r="AP99" s="895">
        <f>IF(AO99&lt;0,"No hi ha pèrdua",IFERROR(SUM(AA99:AO99)*'7. Erosió de costa'!$C$86/1000000,""))</f>
        <v>0</v>
      </c>
    </row>
    <row r="100" spans="1:42">
      <c r="A100" s="835">
        <v>8097</v>
      </c>
      <c r="B100" s="826" t="s">
        <v>1116</v>
      </c>
      <c r="C100" s="835" t="str">
        <f t="shared" si="22"/>
        <v>NA</v>
      </c>
      <c r="D100" s="923" t="str">
        <f t="shared" si="23"/>
        <v>NA</v>
      </c>
      <c r="E100" s="931" t="str">
        <f t="shared" si="24"/>
        <v>NA</v>
      </c>
      <c r="F100" s="926" t="str">
        <f t="shared" si="25"/>
        <v>NA</v>
      </c>
      <c r="G100" s="923" t="str">
        <f t="shared" si="26"/>
        <v>NA</v>
      </c>
      <c r="H100" s="931" t="str">
        <f>IFERROR(IF((G100*'7. Erosió de costa'!$C$86/1000000)&lt;0,"guanya sorra",G100*'7. Erosió de costa'!$C$86/1000000),"")</f>
        <v/>
      </c>
      <c r="I100" s="937" t="str">
        <f>IFERROR(IF(('A. Dades de partida'!$D$10*G100*'7. Erosió de costa'!$C$86/1000000)&lt;0,"guanya sorra",'A. Dades de partida'!$D$10*G100*'7. Erosió de costa'!$C$86/1000000),"")</f>
        <v/>
      </c>
      <c r="J100" s="931"/>
      <c r="K100" s="931"/>
      <c r="L100" s="931"/>
      <c r="M100" s="931"/>
      <c r="N100" s="931"/>
      <c r="O100" s="931"/>
      <c r="P100" s="931"/>
      <c r="Q100" s="931"/>
      <c r="R100" s="931"/>
      <c r="S100" s="931"/>
      <c r="T100" s="931"/>
      <c r="U100" s="931"/>
      <c r="V100" s="931"/>
      <c r="W100" s="931"/>
      <c r="X100" s="931"/>
      <c r="Y100" s="931"/>
      <c r="Z100" s="941" t="str">
        <f t="shared" si="27"/>
        <v/>
      </c>
      <c r="AA100" s="941" t="str">
        <f t="shared" si="28"/>
        <v/>
      </c>
      <c r="AB100" s="941" t="str">
        <f t="shared" si="29"/>
        <v/>
      </c>
      <c r="AC100" s="941" t="str">
        <f t="shared" si="30"/>
        <v/>
      </c>
      <c r="AD100" s="941" t="str">
        <f t="shared" si="31"/>
        <v/>
      </c>
      <c r="AE100" s="941" t="str">
        <f t="shared" si="32"/>
        <v/>
      </c>
      <c r="AF100" s="941" t="str">
        <f t="shared" si="33"/>
        <v/>
      </c>
      <c r="AG100" s="941" t="str">
        <f t="shared" si="34"/>
        <v/>
      </c>
      <c r="AH100" s="941" t="str">
        <f t="shared" si="35"/>
        <v/>
      </c>
      <c r="AI100" s="941" t="str">
        <f t="shared" si="36"/>
        <v/>
      </c>
      <c r="AJ100" s="941" t="str">
        <f t="shared" si="37"/>
        <v/>
      </c>
      <c r="AK100" s="941" t="str">
        <f t="shared" si="38"/>
        <v/>
      </c>
      <c r="AL100" s="941" t="str">
        <f t="shared" si="39"/>
        <v/>
      </c>
      <c r="AM100" s="941" t="str">
        <f t="shared" si="40"/>
        <v/>
      </c>
      <c r="AN100" s="941" t="str">
        <f t="shared" si="41"/>
        <v/>
      </c>
      <c r="AO100" s="941" t="str">
        <f t="shared" si="42"/>
        <v/>
      </c>
      <c r="AP100" s="895">
        <f>IF(AO100&lt;0,"No hi ha pèrdua",IFERROR(SUM(AA100:AO100)*'7. Erosió de costa'!$C$86/1000000,""))</f>
        <v>0</v>
      </c>
    </row>
    <row r="101" spans="1:42" ht="30">
      <c r="A101" s="835">
        <v>8098</v>
      </c>
      <c r="B101" s="826" t="s">
        <v>1121</v>
      </c>
      <c r="C101" s="835" t="str">
        <f t="shared" si="22"/>
        <v>NA</v>
      </c>
      <c r="D101" s="923" t="str">
        <f t="shared" si="23"/>
        <v>NA</v>
      </c>
      <c r="E101" s="931" t="str">
        <f t="shared" si="24"/>
        <v>NA</v>
      </c>
      <c r="F101" s="926" t="str">
        <f t="shared" si="25"/>
        <v>NA</v>
      </c>
      <c r="G101" s="923" t="str">
        <f t="shared" si="26"/>
        <v>NA</v>
      </c>
      <c r="H101" s="931" t="str">
        <f>IFERROR(IF((G101*'7. Erosió de costa'!$C$86/1000000)&lt;0,"guanya sorra",G101*'7. Erosió de costa'!$C$86/1000000),"")</f>
        <v/>
      </c>
      <c r="I101" s="937" t="str">
        <f>IFERROR(IF(('A. Dades de partida'!$D$10*G101*'7. Erosió de costa'!$C$86/1000000)&lt;0,"guanya sorra",'A. Dades de partida'!$D$10*G101*'7. Erosió de costa'!$C$86/1000000),"")</f>
        <v/>
      </c>
      <c r="J101" s="931"/>
      <c r="K101" s="931"/>
      <c r="L101" s="931"/>
      <c r="M101" s="931"/>
      <c r="N101" s="931"/>
      <c r="O101" s="931"/>
      <c r="P101" s="931"/>
      <c r="Q101" s="931"/>
      <c r="R101" s="931"/>
      <c r="S101" s="931"/>
      <c r="T101" s="931"/>
      <c r="U101" s="931"/>
      <c r="V101" s="931"/>
      <c r="W101" s="931"/>
      <c r="X101" s="931"/>
      <c r="Y101" s="931"/>
      <c r="Z101" s="941" t="str">
        <f t="shared" si="27"/>
        <v/>
      </c>
      <c r="AA101" s="941" t="str">
        <f t="shared" si="28"/>
        <v/>
      </c>
      <c r="AB101" s="941" t="str">
        <f t="shared" si="29"/>
        <v/>
      </c>
      <c r="AC101" s="941" t="str">
        <f t="shared" si="30"/>
        <v/>
      </c>
      <c r="AD101" s="941" t="str">
        <f t="shared" si="31"/>
        <v/>
      </c>
      <c r="AE101" s="941" t="str">
        <f t="shared" si="32"/>
        <v/>
      </c>
      <c r="AF101" s="941" t="str">
        <f t="shared" si="33"/>
        <v/>
      </c>
      <c r="AG101" s="941" t="str">
        <f t="shared" si="34"/>
        <v/>
      </c>
      <c r="AH101" s="941" t="str">
        <f t="shared" si="35"/>
        <v/>
      </c>
      <c r="AI101" s="941" t="str">
        <f t="shared" si="36"/>
        <v/>
      </c>
      <c r="AJ101" s="941" t="str">
        <f t="shared" si="37"/>
        <v/>
      </c>
      <c r="AK101" s="941" t="str">
        <f t="shared" si="38"/>
        <v/>
      </c>
      <c r="AL101" s="941" t="str">
        <f t="shared" si="39"/>
        <v/>
      </c>
      <c r="AM101" s="941" t="str">
        <f t="shared" si="40"/>
        <v/>
      </c>
      <c r="AN101" s="941" t="str">
        <f t="shared" si="41"/>
        <v/>
      </c>
      <c r="AO101" s="941" t="str">
        <f t="shared" si="42"/>
        <v/>
      </c>
      <c r="AP101" s="895">
        <f>IF(AO101&lt;0,"No hi ha pèrdua",IFERROR(SUM(AA101:AO101)*'7. Erosió de costa'!$C$86/1000000,""))</f>
        <v>0</v>
      </c>
    </row>
    <row r="102" spans="1:42">
      <c r="A102" s="835">
        <v>8099</v>
      </c>
      <c r="B102" s="826" t="s">
        <v>1125</v>
      </c>
      <c r="C102" s="835" t="str">
        <f t="shared" si="22"/>
        <v>NA</v>
      </c>
      <c r="D102" s="923" t="str">
        <f t="shared" si="23"/>
        <v>NA</v>
      </c>
      <c r="E102" s="931" t="str">
        <f t="shared" si="24"/>
        <v>NA</v>
      </c>
      <c r="F102" s="926" t="str">
        <f t="shared" si="25"/>
        <v>NA</v>
      </c>
      <c r="G102" s="923" t="str">
        <f t="shared" si="26"/>
        <v>NA</v>
      </c>
      <c r="H102" s="931" t="str">
        <f>IFERROR(IF((G102*'7. Erosió de costa'!$C$86/1000000)&lt;0,"guanya sorra",G102*'7. Erosió de costa'!$C$86/1000000),"")</f>
        <v/>
      </c>
      <c r="I102" s="937" t="str">
        <f>IFERROR(IF(('A. Dades de partida'!$D$10*G102*'7. Erosió de costa'!$C$86/1000000)&lt;0,"guanya sorra",'A. Dades de partida'!$D$10*G102*'7. Erosió de costa'!$C$86/1000000),"")</f>
        <v/>
      </c>
      <c r="J102" s="931"/>
      <c r="K102" s="931"/>
      <c r="L102" s="931"/>
      <c r="M102" s="931"/>
      <c r="N102" s="931"/>
      <c r="O102" s="931"/>
      <c r="P102" s="931"/>
      <c r="Q102" s="931"/>
      <c r="R102" s="931"/>
      <c r="S102" s="931"/>
      <c r="T102" s="931"/>
      <c r="U102" s="931"/>
      <c r="V102" s="931"/>
      <c r="W102" s="931"/>
      <c r="X102" s="931"/>
      <c r="Y102" s="931"/>
      <c r="Z102" s="941" t="str">
        <f t="shared" si="27"/>
        <v/>
      </c>
      <c r="AA102" s="941" t="str">
        <f t="shared" si="28"/>
        <v/>
      </c>
      <c r="AB102" s="941" t="str">
        <f t="shared" si="29"/>
        <v/>
      </c>
      <c r="AC102" s="941" t="str">
        <f t="shared" si="30"/>
        <v/>
      </c>
      <c r="AD102" s="941" t="str">
        <f t="shared" si="31"/>
        <v/>
      </c>
      <c r="AE102" s="941" t="str">
        <f t="shared" si="32"/>
        <v/>
      </c>
      <c r="AF102" s="941" t="str">
        <f t="shared" si="33"/>
        <v/>
      </c>
      <c r="AG102" s="941" t="str">
        <f t="shared" si="34"/>
        <v/>
      </c>
      <c r="AH102" s="941" t="str">
        <f t="shared" si="35"/>
        <v/>
      </c>
      <c r="AI102" s="941" t="str">
        <f t="shared" si="36"/>
        <v/>
      </c>
      <c r="AJ102" s="941" t="str">
        <f t="shared" si="37"/>
        <v/>
      </c>
      <c r="AK102" s="941" t="str">
        <f t="shared" si="38"/>
        <v/>
      </c>
      <c r="AL102" s="941" t="str">
        <f t="shared" si="39"/>
        <v/>
      </c>
      <c r="AM102" s="941" t="str">
        <f t="shared" si="40"/>
        <v/>
      </c>
      <c r="AN102" s="941" t="str">
        <f t="shared" si="41"/>
        <v/>
      </c>
      <c r="AO102" s="941" t="str">
        <f t="shared" si="42"/>
        <v/>
      </c>
      <c r="AP102" s="895">
        <f>IF(AO102&lt;0,"No hi ha pèrdua",IFERROR(SUM(AA102:AO102)*'7. Erosió de costa'!$C$86/1000000,""))</f>
        <v>0</v>
      </c>
    </row>
    <row r="103" spans="1:42">
      <c r="A103" s="835">
        <v>8100</v>
      </c>
      <c r="B103" s="826" t="s">
        <v>1127</v>
      </c>
      <c r="C103" s="835" t="str">
        <f t="shared" si="22"/>
        <v>NA</v>
      </c>
      <c r="D103" s="923" t="str">
        <f t="shared" si="23"/>
        <v>NA</v>
      </c>
      <c r="E103" s="931" t="str">
        <f t="shared" si="24"/>
        <v>NA</v>
      </c>
      <c r="F103" s="926" t="str">
        <f t="shared" si="25"/>
        <v>NA</v>
      </c>
      <c r="G103" s="923" t="str">
        <f t="shared" si="26"/>
        <v>NA</v>
      </c>
      <c r="H103" s="931" t="str">
        <f>IFERROR(IF((G103*'7. Erosió de costa'!$C$86/1000000)&lt;0,"guanya sorra",G103*'7. Erosió de costa'!$C$86/1000000),"")</f>
        <v/>
      </c>
      <c r="I103" s="937" t="str">
        <f>IFERROR(IF(('A. Dades de partida'!$D$10*G103*'7. Erosió de costa'!$C$86/1000000)&lt;0,"guanya sorra",'A. Dades de partida'!$D$10*G103*'7. Erosió de costa'!$C$86/1000000),"")</f>
        <v/>
      </c>
      <c r="J103" s="931"/>
      <c r="K103" s="931"/>
      <c r="L103" s="931"/>
      <c r="M103" s="931"/>
      <c r="N103" s="931"/>
      <c r="O103" s="931"/>
      <c r="P103" s="931"/>
      <c r="Q103" s="931"/>
      <c r="R103" s="931"/>
      <c r="S103" s="931"/>
      <c r="T103" s="931"/>
      <c r="U103" s="931"/>
      <c r="V103" s="931"/>
      <c r="W103" s="931"/>
      <c r="X103" s="931"/>
      <c r="Y103" s="931"/>
      <c r="Z103" s="941" t="str">
        <f t="shared" si="27"/>
        <v/>
      </c>
      <c r="AA103" s="941" t="str">
        <f t="shared" si="28"/>
        <v/>
      </c>
      <c r="AB103" s="941" t="str">
        <f t="shared" si="29"/>
        <v/>
      </c>
      <c r="AC103" s="941" t="str">
        <f t="shared" si="30"/>
        <v/>
      </c>
      <c r="AD103" s="941" t="str">
        <f t="shared" si="31"/>
        <v/>
      </c>
      <c r="AE103" s="941" t="str">
        <f t="shared" si="32"/>
        <v/>
      </c>
      <c r="AF103" s="941" t="str">
        <f t="shared" si="33"/>
        <v/>
      </c>
      <c r="AG103" s="941" t="str">
        <f t="shared" si="34"/>
        <v/>
      </c>
      <c r="AH103" s="941" t="str">
        <f t="shared" si="35"/>
        <v/>
      </c>
      <c r="AI103" s="941" t="str">
        <f t="shared" si="36"/>
        <v/>
      </c>
      <c r="AJ103" s="941" t="str">
        <f t="shared" si="37"/>
        <v/>
      </c>
      <c r="AK103" s="941" t="str">
        <f t="shared" si="38"/>
        <v/>
      </c>
      <c r="AL103" s="941" t="str">
        <f t="shared" si="39"/>
        <v/>
      </c>
      <c r="AM103" s="941" t="str">
        <f t="shared" si="40"/>
        <v/>
      </c>
      <c r="AN103" s="941" t="str">
        <f t="shared" si="41"/>
        <v/>
      </c>
      <c r="AO103" s="941" t="str">
        <f t="shared" si="42"/>
        <v/>
      </c>
      <c r="AP103" s="895">
        <f>IF(AO103&lt;0,"No hi ha pèrdua",IFERROR(SUM(AA103:AO103)*'7. Erosió de costa'!$C$86/1000000,""))</f>
        <v>0</v>
      </c>
    </row>
    <row r="104" spans="1:42">
      <c r="A104" s="835">
        <v>8101</v>
      </c>
      <c r="B104" s="826" t="s">
        <v>1135</v>
      </c>
      <c r="C104" s="835" t="str">
        <f t="shared" si="22"/>
        <v>NA</v>
      </c>
      <c r="D104" s="923" t="str">
        <f t="shared" si="23"/>
        <v>NA</v>
      </c>
      <c r="E104" s="931" t="str">
        <f t="shared" si="24"/>
        <v>NA</v>
      </c>
      <c r="F104" s="926" t="str">
        <f t="shared" si="25"/>
        <v>NA</v>
      </c>
      <c r="G104" s="923" t="str">
        <f t="shared" si="26"/>
        <v>NA</v>
      </c>
      <c r="H104" s="931" t="str">
        <f>IFERROR(IF((G104*'7. Erosió de costa'!$C$86/1000000)&lt;0,"guanya sorra",G104*'7. Erosió de costa'!$C$86/1000000),"")</f>
        <v/>
      </c>
      <c r="I104" s="937" t="str">
        <f>IFERROR(IF(('A. Dades de partida'!$D$10*G104*'7. Erosió de costa'!$C$86/1000000)&lt;0,"guanya sorra",'A. Dades de partida'!$D$10*G104*'7. Erosió de costa'!$C$86/1000000),"")</f>
        <v/>
      </c>
      <c r="J104" s="931"/>
      <c r="K104" s="931"/>
      <c r="L104" s="931"/>
      <c r="M104" s="931"/>
      <c r="N104" s="931"/>
      <c r="O104" s="931"/>
      <c r="P104" s="931"/>
      <c r="Q104" s="931"/>
      <c r="R104" s="931"/>
      <c r="S104" s="931"/>
      <c r="T104" s="931"/>
      <c r="U104" s="931"/>
      <c r="V104" s="931"/>
      <c r="W104" s="931"/>
      <c r="X104" s="931"/>
      <c r="Y104" s="931"/>
      <c r="Z104" s="941" t="str">
        <f t="shared" si="27"/>
        <v/>
      </c>
      <c r="AA104" s="941" t="str">
        <f t="shared" si="28"/>
        <v/>
      </c>
      <c r="AB104" s="941" t="str">
        <f t="shared" si="29"/>
        <v/>
      </c>
      <c r="AC104" s="941" t="str">
        <f t="shared" si="30"/>
        <v/>
      </c>
      <c r="AD104" s="941" t="str">
        <f t="shared" si="31"/>
        <v/>
      </c>
      <c r="AE104" s="941" t="str">
        <f t="shared" si="32"/>
        <v/>
      </c>
      <c r="AF104" s="941" t="str">
        <f t="shared" si="33"/>
        <v/>
      </c>
      <c r="AG104" s="941" t="str">
        <f t="shared" si="34"/>
        <v/>
      </c>
      <c r="AH104" s="941" t="str">
        <f t="shared" si="35"/>
        <v/>
      </c>
      <c r="AI104" s="941" t="str">
        <f t="shared" si="36"/>
        <v/>
      </c>
      <c r="AJ104" s="941" t="str">
        <f t="shared" si="37"/>
        <v/>
      </c>
      <c r="AK104" s="941" t="str">
        <f t="shared" si="38"/>
        <v/>
      </c>
      <c r="AL104" s="941" t="str">
        <f t="shared" si="39"/>
        <v/>
      </c>
      <c r="AM104" s="941" t="str">
        <f t="shared" si="40"/>
        <v/>
      </c>
      <c r="AN104" s="941" t="str">
        <f t="shared" si="41"/>
        <v/>
      </c>
      <c r="AO104" s="941" t="str">
        <f t="shared" si="42"/>
        <v/>
      </c>
      <c r="AP104" s="895">
        <f>IF(AO104&lt;0,"No hi ha pèrdua",IFERROR(SUM(AA104:AO104)*'7. Erosió de costa'!$C$86/1000000,""))</f>
        <v>0</v>
      </c>
    </row>
    <row r="105" spans="1:42">
      <c r="A105" s="835">
        <v>8102</v>
      </c>
      <c r="B105" s="826" t="s">
        <v>1136</v>
      </c>
      <c r="C105" s="835" t="str">
        <f t="shared" si="22"/>
        <v>NA</v>
      </c>
      <c r="D105" s="923" t="str">
        <f t="shared" si="23"/>
        <v>NA</v>
      </c>
      <c r="E105" s="931" t="str">
        <f t="shared" si="24"/>
        <v>NA</v>
      </c>
      <c r="F105" s="926" t="str">
        <f t="shared" si="25"/>
        <v>NA</v>
      </c>
      <c r="G105" s="923" t="str">
        <f t="shared" si="26"/>
        <v>NA</v>
      </c>
      <c r="H105" s="931" t="str">
        <f>IFERROR(IF((G105*'7. Erosió de costa'!$C$86/1000000)&lt;0,"guanya sorra",G105*'7. Erosió de costa'!$C$86/1000000),"")</f>
        <v/>
      </c>
      <c r="I105" s="937" t="str">
        <f>IFERROR(IF(('A. Dades de partida'!$D$10*G105*'7. Erosió de costa'!$C$86/1000000)&lt;0,"guanya sorra",'A. Dades de partida'!$D$10*G105*'7. Erosió de costa'!$C$86/1000000),"")</f>
        <v/>
      </c>
      <c r="J105" s="931"/>
      <c r="K105" s="931"/>
      <c r="L105" s="931"/>
      <c r="M105" s="931"/>
      <c r="N105" s="931"/>
      <c r="O105" s="931"/>
      <c r="P105" s="931"/>
      <c r="Q105" s="931"/>
      <c r="R105" s="931"/>
      <c r="S105" s="931"/>
      <c r="T105" s="931"/>
      <c r="U105" s="931"/>
      <c r="V105" s="931"/>
      <c r="W105" s="931"/>
      <c r="X105" s="931"/>
      <c r="Y105" s="931"/>
      <c r="Z105" s="941" t="str">
        <f t="shared" si="27"/>
        <v/>
      </c>
      <c r="AA105" s="941" t="str">
        <f t="shared" si="28"/>
        <v/>
      </c>
      <c r="AB105" s="941" t="str">
        <f t="shared" si="29"/>
        <v/>
      </c>
      <c r="AC105" s="941" t="str">
        <f t="shared" si="30"/>
        <v/>
      </c>
      <c r="AD105" s="941" t="str">
        <f t="shared" si="31"/>
        <v/>
      </c>
      <c r="AE105" s="941" t="str">
        <f t="shared" si="32"/>
        <v/>
      </c>
      <c r="AF105" s="941" t="str">
        <f t="shared" si="33"/>
        <v/>
      </c>
      <c r="AG105" s="941" t="str">
        <f t="shared" si="34"/>
        <v/>
      </c>
      <c r="AH105" s="941" t="str">
        <f t="shared" si="35"/>
        <v/>
      </c>
      <c r="AI105" s="941" t="str">
        <f t="shared" si="36"/>
        <v/>
      </c>
      <c r="AJ105" s="941" t="str">
        <f t="shared" si="37"/>
        <v/>
      </c>
      <c r="AK105" s="941" t="str">
        <f t="shared" si="38"/>
        <v/>
      </c>
      <c r="AL105" s="941" t="str">
        <f t="shared" si="39"/>
        <v/>
      </c>
      <c r="AM105" s="941" t="str">
        <f t="shared" si="40"/>
        <v/>
      </c>
      <c r="AN105" s="941" t="str">
        <f t="shared" si="41"/>
        <v/>
      </c>
      <c r="AO105" s="941" t="str">
        <f t="shared" si="42"/>
        <v/>
      </c>
      <c r="AP105" s="895">
        <f>IF(AO105&lt;0,"No hi ha pèrdua",IFERROR(SUM(AA105:AO105)*'7. Erosió de costa'!$C$86/1000000,""))</f>
        <v>0</v>
      </c>
    </row>
    <row r="106" spans="1:42">
      <c r="A106" s="835">
        <v>8103</v>
      </c>
      <c r="B106" s="826" t="s">
        <v>1137</v>
      </c>
      <c r="C106" s="835" t="str">
        <f t="shared" si="22"/>
        <v>NA</v>
      </c>
      <c r="D106" s="923" t="str">
        <f t="shared" si="23"/>
        <v>NA</v>
      </c>
      <c r="E106" s="931" t="str">
        <f t="shared" si="24"/>
        <v>NA</v>
      </c>
      <c r="F106" s="926" t="str">
        <f t="shared" si="25"/>
        <v>NA</v>
      </c>
      <c r="G106" s="923" t="str">
        <f t="shared" si="26"/>
        <v>NA</v>
      </c>
      <c r="H106" s="931" t="str">
        <f>IFERROR(IF((G106*'7. Erosió de costa'!$C$86/1000000)&lt;0,"guanya sorra",G106*'7. Erosió de costa'!$C$86/1000000),"")</f>
        <v/>
      </c>
      <c r="I106" s="937" t="str">
        <f>IFERROR(IF(('A. Dades de partida'!$D$10*G106*'7. Erosió de costa'!$C$86/1000000)&lt;0,"guanya sorra",'A. Dades de partida'!$D$10*G106*'7. Erosió de costa'!$C$86/1000000),"")</f>
        <v/>
      </c>
      <c r="J106" s="931"/>
      <c r="K106" s="931"/>
      <c r="L106" s="931"/>
      <c r="M106" s="931"/>
      <c r="N106" s="931"/>
      <c r="O106" s="931"/>
      <c r="P106" s="931"/>
      <c r="Q106" s="931"/>
      <c r="R106" s="931"/>
      <c r="S106" s="931"/>
      <c r="T106" s="931"/>
      <c r="U106" s="931"/>
      <c r="V106" s="931"/>
      <c r="W106" s="931"/>
      <c r="X106" s="931"/>
      <c r="Y106" s="931"/>
      <c r="Z106" s="941" t="str">
        <f t="shared" si="27"/>
        <v/>
      </c>
      <c r="AA106" s="941" t="str">
        <f t="shared" si="28"/>
        <v/>
      </c>
      <c r="AB106" s="941" t="str">
        <f t="shared" si="29"/>
        <v/>
      </c>
      <c r="AC106" s="941" t="str">
        <f t="shared" si="30"/>
        <v/>
      </c>
      <c r="AD106" s="941" t="str">
        <f t="shared" si="31"/>
        <v/>
      </c>
      <c r="AE106" s="941" t="str">
        <f t="shared" si="32"/>
        <v/>
      </c>
      <c r="AF106" s="941" t="str">
        <f t="shared" si="33"/>
        <v/>
      </c>
      <c r="AG106" s="941" t="str">
        <f t="shared" si="34"/>
        <v/>
      </c>
      <c r="AH106" s="941" t="str">
        <f t="shared" si="35"/>
        <v/>
      </c>
      <c r="AI106" s="941" t="str">
        <f t="shared" si="36"/>
        <v/>
      </c>
      <c r="AJ106" s="941" t="str">
        <f t="shared" si="37"/>
        <v/>
      </c>
      <c r="AK106" s="941" t="str">
        <f t="shared" si="38"/>
        <v/>
      </c>
      <c r="AL106" s="941" t="str">
        <f t="shared" si="39"/>
        <v/>
      </c>
      <c r="AM106" s="941" t="str">
        <f t="shared" si="40"/>
        <v/>
      </c>
      <c r="AN106" s="941" t="str">
        <f t="shared" si="41"/>
        <v/>
      </c>
      <c r="AO106" s="941" t="str">
        <f t="shared" si="42"/>
        <v/>
      </c>
      <c r="AP106" s="895">
        <f>IF(AO106&lt;0,"No hi ha pèrdua",IFERROR(SUM(AA106:AO106)*'7. Erosió de costa'!$C$86/1000000,""))</f>
        <v>0</v>
      </c>
    </row>
    <row r="107" spans="1:42">
      <c r="A107" s="835">
        <v>8104</v>
      </c>
      <c r="B107" s="826" t="s">
        <v>1142</v>
      </c>
      <c r="C107" s="835" t="str">
        <f t="shared" si="22"/>
        <v>NA</v>
      </c>
      <c r="D107" s="923" t="str">
        <f t="shared" si="23"/>
        <v>NA</v>
      </c>
      <c r="E107" s="931" t="str">
        <f t="shared" si="24"/>
        <v>NA</v>
      </c>
      <c r="F107" s="926" t="str">
        <f t="shared" si="25"/>
        <v>NA</v>
      </c>
      <c r="G107" s="923" t="str">
        <f t="shared" si="26"/>
        <v>NA</v>
      </c>
      <c r="H107" s="931" t="str">
        <f>IFERROR(IF((G107*'7. Erosió de costa'!$C$86/1000000)&lt;0,"guanya sorra",G107*'7. Erosió de costa'!$C$86/1000000),"")</f>
        <v/>
      </c>
      <c r="I107" s="937" t="str">
        <f>IFERROR(IF(('A. Dades de partida'!$D$10*G107*'7. Erosió de costa'!$C$86/1000000)&lt;0,"guanya sorra",'A. Dades de partida'!$D$10*G107*'7. Erosió de costa'!$C$86/1000000),"")</f>
        <v/>
      </c>
      <c r="J107" s="931"/>
      <c r="K107" s="931"/>
      <c r="L107" s="931"/>
      <c r="M107" s="931"/>
      <c r="N107" s="931"/>
      <c r="O107" s="931"/>
      <c r="P107" s="931"/>
      <c r="Q107" s="931"/>
      <c r="R107" s="931"/>
      <c r="S107" s="931"/>
      <c r="T107" s="931"/>
      <c r="U107" s="931"/>
      <c r="V107" s="931"/>
      <c r="W107" s="931"/>
      <c r="X107" s="931"/>
      <c r="Y107" s="931"/>
      <c r="Z107" s="941" t="str">
        <f t="shared" si="27"/>
        <v/>
      </c>
      <c r="AA107" s="941" t="str">
        <f t="shared" si="28"/>
        <v/>
      </c>
      <c r="AB107" s="941" t="str">
        <f t="shared" si="29"/>
        <v/>
      </c>
      <c r="AC107" s="941" t="str">
        <f t="shared" si="30"/>
        <v/>
      </c>
      <c r="AD107" s="941" t="str">
        <f t="shared" si="31"/>
        <v/>
      </c>
      <c r="AE107" s="941" t="str">
        <f t="shared" si="32"/>
        <v/>
      </c>
      <c r="AF107" s="941" t="str">
        <f t="shared" si="33"/>
        <v/>
      </c>
      <c r="AG107" s="941" t="str">
        <f t="shared" si="34"/>
        <v/>
      </c>
      <c r="AH107" s="941" t="str">
        <f t="shared" si="35"/>
        <v/>
      </c>
      <c r="AI107" s="941" t="str">
        <f t="shared" si="36"/>
        <v/>
      </c>
      <c r="AJ107" s="941" t="str">
        <f t="shared" si="37"/>
        <v/>
      </c>
      <c r="AK107" s="941" t="str">
        <f t="shared" si="38"/>
        <v/>
      </c>
      <c r="AL107" s="941" t="str">
        <f t="shared" si="39"/>
        <v/>
      </c>
      <c r="AM107" s="941" t="str">
        <f t="shared" si="40"/>
        <v/>
      </c>
      <c r="AN107" s="941" t="str">
        <f t="shared" si="41"/>
        <v/>
      </c>
      <c r="AO107" s="941" t="str">
        <f t="shared" si="42"/>
        <v/>
      </c>
      <c r="AP107" s="895">
        <f>IF(AO107&lt;0,"No hi ha pèrdua",IFERROR(SUM(AA107:AO107)*'7. Erosió de costa'!$C$86/1000000,""))</f>
        <v>0</v>
      </c>
    </row>
    <row r="108" spans="1:42">
      <c r="A108" s="835">
        <v>8105</v>
      </c>
      <c r="B108" s="826" t="s">
        <v>1147</v>
      </c>
      <c r="C108" s="835" t="str">
        <f t="shared" si="22"/>
        <v>NA</v>
      </c>
      <c r="D108" s="923" t="str">
        <f t="shared" si="23"/>
        <v>NA</v>
      </c>
      <c r="E108" s="931" t="str">
        <f t="shared" si="24"/>
        <v>NA</v>
      </c>
      <c r="F108" s="926" t="str">
        <f t="shared" si="25"/>
        <v>NA</v>
      </c>
      <c r="G108" s="923" t="str">
        <f t="shared" si="26"/>
        <v>NA</v>
      </c>
      <c r="H108" s="931" t="str">
        <f>IFERROR(IF((G108*'7. Erosió de costa'!$C$86/1000000)&lt;0,"guanya sorra",G108*'7. Erosió de costa'!$C$86/1000000),"")</f>
        <v/>
      </c>
      <c r="I108" s="937" t="str">
        <f>IFERROR(IF(('A. Dades de partida'!$D$10*G108*'7. Erosió de costa'!$C$86/1000000)&lt;0,"guanya sorra",'A. Dades de partida'!$D$10*G108*'7. Erosió de costa'!$C$86/1000000),"")</f>
        <v/>
      </c>
      <c r="J108" s="931"/>
      <c r="K108" s="931"/>
      <c r="L108" s="931"/>
      <c r="M108" s="931"/>
      <c r="N108" s="931"/>
      <c r="O108" s="931"/>
      <c r="P108" s="931"/>
      <c r="Q108" s="931"/>
      <c r="R108" s="931"/>
      <c r="S108" s="931"/>
      <c r="T108" s="931"/>
      <c r="U108" s="931"/>
      <c r="V108" s="931"/>
      <c r="W108" s="931"/>
      <c r="X108" s="931"/>
      <c r="Y108" s="931"/>
      <c r="Z108" s="941" t="str">
        <f t="shared" si="27"/>
        <v/>
      </c>
      <c r="AA108" s="941" t="str">
        <f t="shared" si="28"/>
        <v/>
      </c>
      <c r="AB108" s="941" t="str">
        <f t="shared" si="29"/>
        <v/>
      </c>
      <c r="AC108" s="941" t="str">
        <f t="shared" si="30"/>
        <v/>
      </c>
      <c r="AD108" s="941" t="str">
        <f t="shared" si="31"/>
        <v/>
      </c>
      <c r="AE108" s="941" t="str">
        <f t="shared" si="32"/>
        <v/>
      </c>
      <c r="AF108" s="941" t="str">
        <f t="shared" si="33"/>
        <v/>
      </c>
      <c r="AG108" s="941" t="str">
        <f t="shared" si="34"/>
        <v/>
      </c>
      <c r="AH108" s="941" t="str">
        <f t="shared" si="35"/>
        <v/>
      </c>
      <c r="AI108" s="941" t="str">
        <f t="shared" si="36"/>
        <v/>
      </c>
      <c r="AJ108" s="941" t="str">
        <f t="shared" si="37"/>
        <v/>
      </c>
      <c r="AK108" s="941" t="str">
        <f t="shared" si="38"/>
        <v/>
      </c>
      <c r="AL108" s="941" t="str">
        <f t="shared" si="39"/>
        <v/>
      </c>
      <c r="AM108" s="941" t="str">
        <f t="shared" si="40"/>
        <v/>
      </c>
      <c r="AN108" s="941" t="str">
        <f t="shared" si="41"/>
        <v/>
      </c>
      <c r="AO108" s="941" t="str">
        <f t="shared" si="42"/>
        <v/>
      </c>
      <c r="AP108" s="895">
        <f>IF(AO108&lt;0,"No hi ha pèrdua",IFERROR(SUM(AA108:AO108)*'7. Erosió de costa'!$C$86/1000000,""))</f>
        <v>0</v>
      </c>
    </row>
    <row r="109" spans="1:42">
      <c r="A109" s="835">
        <v>8106</v>
      </c>
      <c r="B109" s="826" t="s">
        <v>1149</v>
      </c>
      <c r="C109" s="835" t="str">
        <f t="shared" si="22"/>
        <v>NA</v>
      </c>
      <c r="D109" s="923" t="str">
        <f t="shared" si="23"/>
        <v>NA</v>
      </c>
      <c r="E109" s="931" t="str">
        <f t="shared" si="24"/>
        <v>NA</v>
      </c>
      <c r="F109" s="926" t="str">
        <f t="shared" si="25"/>
        <v>NA</v>
      </c>
      <c r="G109" s="923" t="str">
        <f t="shared" si="26"/>
        <v>NA</v>
      </c>
      <c r="H109" s="931" t="str">
        <f>IFERROR(IF((G109*'7. Erosió de costa'!$C$86/1000000)&lt;0,"guanya sorra",G109*'7. Erosió de costa'!$C$86/1000000),"")</f>
        <v/>
      </c>
      <c r="I109" s="937" t="str">
        <f>IFERROR(IF(('A. Dades de partida'!$D$10*G109*'7. Erosió de costa'!$C$86/1000000)&lt;0,"guanya sorra",'A. Dades de partida'!$D$10*G109*'7. Erosió de costa'!$C$86/1000000),"")</f>
        <v/>
      </c>
      <c r="J109" s="931"/>
      <c r="K109" s="931"/>
      <c r="L109" s="931"/>
      <c r="M109" s="931"/>
      <c r="N109" s="931"/>
      <c r="O109" s="931"/>
      <c r="P109" s="931"/>
      <c r="Q109" s="931"/>
      <c r="R109" s="931"/>
      <c r="S109" s="931"/>
      <c r="T109" s="931"/>
      <c r="U109" s="931"/>
      <c r="V109" s="931"/>
      <c r="W109" s="931"/>
      <c r="X109" s="931"/>
      <c r="Y109" s="931"/>
      <c r="Z109" s="941" t="str">
        <f t="shared" si="27"/>
        <v/>
      </c>
      <c r="AA109" s="941" t="str">
        <f t="shared" si="28"/>
        <v/>
      </c>
      <c r="AB109" s="941" t="str">
        <f t="shared" si="29"/>
        <v/>
      </c>
      <c r="AC109" s="941" t="str">
        <f t="shared" si="30"/>
        <v/>
      </c>
      <c r="AD109" s="941" t="str">
        <f t="shared" si="31"/>
        <v/>
      </c>
      <c r="AE109" s="941" t="str">
        <f t="shared" si="32"/>
        <v/>
      </c>
      <c r="AF109" s="941" t="str">
        <f t="shared" si="33"/>
        <v/>
      </c>
      <c r="AG109" s="941" t="str">
        <f t="shared" si="34"/>
        <v/>
      </c>
      <c r="AH109" s="941" t="str">
        <f t="shared" si="35"/>
        <v/>
      </c>
      <c r="AI109" s="941" t="str">
        <f t="shared" si="36"/>
        <v/>
      </c>
      <c r="AJ109" s="941" t="str">
        <f t="shared" si="37"/>
        <v/>
      </c>
      <c r="AK109" s="941" t="str">
        <f t="shared" si="38"/>
        <v/>
      </c>
      <c r="AL109" s="941" t="str">
        <f t="shared" si="39"/>
        <v/>
      </c>
      <c r="AM109" s="941" t="str">
        <f t="shared" si="40"/>
        <v/>
      </c>
      <c r="AN109" s="941" t="str">
        <f t="shared" si="41"/>
        <v/>
      </c>
      <c r="AO109" s="941" t="str">
        <f t="shared" si="42"/>
        <v/>
      </c>
      <c r="AP109" s="895">
        <f>IF(AO109&lt;0,"No hi ha pèrdua",IFERROR(SUM(AA109:AO109)*'7. Erosió de costa'!$C$86/1000000,""))</f>
        <v>0</v>
      </c>
    </row>
    <row r="110" spans="1:42">
      <c r="A110" s="835">
        <v>8107</v>
      </c>
      <c r="B110" s="826" t="s">
        <v>1155</v>
      </c>
      <c r="C110" s="835" t="str">
        <f t="shared" si="22"/>
        <v>NA</v>
      </c>
      <c r="D110" s="923" t="str">
        <f t="shared" si="23"/>
        <v>NA</v>
      </c>
      <c r="E110" s="931" t="str">
        <f t="shared" si="24"/>
        <v>NA</v>
      </c>
      <c r="F110" s="926" t="str">
        <f t="shared" si="25"/>
        <v>NA</v>
      </c>
      <c r="G110" s="923" t="str">
        <f t="shared" si="26"/>
        <v>NA</v>
      </c>
      <c r="H110" s="931" t="str">
        <f>IFERROR(IF((G110*'7. Erosió de costa'!$C$86/1000000)&lt;0,"guanya sorra",G110*'7. Erosió de costa'!$C$86/1000000),"")</f>
        <v/>
      </c>
      <c r="I110" s="937" t="str">
        <f>IFERROR(IF(('A. Dades de partida'!$D$10*G110*'7. Erosió de costa'!$C$86/1000000)&lt;0,"guanya sorra",'A. Dades de partida'!$D$10*G110*'7. Erosió de costa'!$C$86/1000000),"")</f>
        <v/>
      </c>
      <c r="J110" s="931"/>
      <c r="K110" s="931"/>
      <c r="L110" s="931"/>
      <c r="M110" s="931"/>
      <c r="N110" s="931"/>
      <c r="O110" s="931"/>
      <c r="P110" s="931"/>
      <c r="Q110" s="931"/>
      <c r="R110" s="931"/>
      <c r="S110" s="931"/>
      <c r="T110" s="931"/>
      <c r="U110" s="931"/>
      <c r="V110" s="931"/>
      <c r="W110" s="931"/>
      <c r="X110" s="931"/>
      <c r="Y110" s="931"/>
      <c r="Z110" s="941" t="str">
        <f t="shared" si="27"/>
        <v/>
      </c>
      <c r="AA110" s="941" t="str">
        <f t="shared" si="28"/>
        <v/>
      </c>
      <c r="AB110" s="941" t="str">
        <f t="shared" si="29"/>
        <v/>
      </c>
      <c r="AC110" s="941" t="str">
        <f t="shared" si="30"/>
        <v/>
      </c>
      <c r="AD110" s="941" t="str">
        <f t="shared" si="31"/>
        <v/>
      </c>
      <c r="AE110" s="941" t="str">
        <f t="shared" si="32"/>
        <v/>
      </c>
      <c r="AF110" s="941" t="str">
        <f t="shared" si="33"/>
        <v/>
      </c>
      <c r="AG110" s="941" t="str">
        <f t="shared" si="34"/>
        <v/>
      </c>
      <c r="AH110" s="941" t="str">
        <f t="shared" si="35"/>
        <v/>
      </c>
      <c r="AI110" s="941" t="str">
        <f t="shared" si="36"/>
        <v/>
      </c>
      <c r="AJ110" s="941" t="str">
        <f t="shared" si="37"/>
        <v/>
      </c>
      <c r="AK110" s="941" t="str">
        <f t="shared" si="38"/>
        <v/>
      </c>
      <c r="AL110" s="941" t="str">
        <f t="shared" si="39"/>
        <v/>
      </c>
      <c r="AM110" s="941" t="str">
        <f t="shared" si="40"/>
        <v/>
      </c>
      <c r="AN110" s="941" t="str">
        <f t="shared" si="41"/>
        <v/>
      </c>
      <c r="AO110" s="941" t="str">
        <f t="shared" si="42"/>
        <v/>
      </c>
      <c r="AP110" s="895">
        <f>IF(AO110&lt;0,"No hi ha pèrdua",IFERROR(SUM(AA110:AO110)*'7. Erosió de costa'!$C$86/1000000,""))</f>
        <v>0</v>
      </c>
    </row>
    <row r="111" spans="1:42">
      <c r="A111" s="835">
        <v>8108</v>
      </c>
      <c r="B111" s="826" t="s">
        <v>1158</v>
      </c>
      <c r="C111" s="835" t="str">
        <f t="shared" si="22"/>
        <v>NA</v>
      </c>
      <c r="D111" s="923" t="str">
        <f t="shared" si="23"/>
        <v>NA</v>
      </c>
      <c r="E111" s="931" t="str">
        <f t="shared" si="24"/>
        <v>NA</v>
      </c>
      <c r="F111" s="926" t="str">
        <f t="shared" si="25"/>
        <v>NA</v>
      </c>
      <c r="G111" s="923" t="str">
        <f t="shared" si="26"/>
        <v>NA</v>
      </c>
      <c r="H111" s="931" t="str">
        <f>IFERROR(IF((G111*'7. Erosió de costa'!$C$86/1000000)&lt;0,"guanya sorra",G111*'7. Erosió de costa'!$C$86/1000000),"")</f>
        <v/>
      </c>
      <c r="I111" s="937" t="str">
        <f>IFERROR(IF(('A. Dades de partida'!$D$10*G111*'7. Erosió de costa'!$C$86/1000000)&lt;0,"guanya sorra",'A. Dades de partida'!$D$10*G111*'7. Erosió de costa'!$C$86/1000000),"")</f>
        <v/>
      </c>
      <c r="J111" s="931"/>
      <c r="K111" s="931"/>
      <c r="L111" s="931"/>
      <c r="M111" s="931"/>
      <c r="N111" s="931"/>
      <c r="O111" s="931"/>
      <c r="P111" s="931"/>
      <c r="Q111" s="931"/>
      <c r="R111" s="931"/>
      <c r="S111" s="931"/>
      <c r="T111" s="931"/>
      <c r="U111" s="931"/>
      <c r="V111" s="931"/>
      <c r="W111" s="931"/>
      <c r="X111" s="931"/>
      <c r="Y111" s="931"/>
      <c r="Z111" s="941" t="str">
        <f t="shared" si="27"/>
        <v/>
      </c>
      <c r="AA111" s="941" t="str">
        <f t="shared" si="28"/>
        <v/>
      </c>
      <c r="AB111" s="941" t="str">
        <f t="shared" si="29"/>
        <v/>
      </c>
      <c r="AC111" s="941" t="str">
        <f t="shared" si="30"/>
        <v/>
      </c>
      <c r="AD111" s="941" t="str">
        <f t="shared" si="31"/>
        <v/>
      </c>
      <c r="AE111" s="941" t="str">
        <f t="shared" si="32"/>
        <v/>
      </c>
      <c r="AF111" s="941" t="str">
        <f t="shared" si="33"/>
        <v/>
      </c>
      <c r="AG111" s="941" t="str">
        <f t="shared" si="34"/>
        <v/>
      </c>
      <c r="AH111" s="941" t="str">
        <f t="shared" si="35"/>
        <v/>
      </c>
      <c r="AI111" s="941" t="str">
        <f t="shared" si="36"/>
        <v/>
      </c>
      <c r="AJ111" s="941" t="str">
        <f t="shared" si="37"/>
        <v/>
      </c>
      <c r="AK111" s="941" t="str">
        <f t="shared" si="38"/>
        <v/>
      </c>
      <c r="AL111" s="941" t="str">
        <f t="shared" si="39"/>
        <v/>
      </c>
      <c r="AM111" s="941" t="str">
        <f t="shared" si="40"/>
        <v/>
      </c>
      <c r="AN111" s="941" t="str">
        <f t="shared" si="41"/>
        <v/>
      </c>
      <c r="AO111" s="941" t="str">
        <f t="shared" si="42"/>
        <v/>
      </c>
      <c r="AP111" s="895">
        <f>IF(AO111&lt;0,"No hi ha pèrdua",IFERROR(SUM(AA111:AO111)*'7. Erosió de costa'!$C$86/1000000,""))</f>
        <v>0</v>
      </c>
    </row>
    <row r="112" spans="1:42">
      <c r="A112" s="835">
        <v>8109</v>
      </c>
      <c r="B112" s="826" t="s">
        <v>1160</v>
      </c>
      <c r="C112" s="835" t="str">
        <f t="shared" si="22"/>
        <v>NA</v>
      </c>
      <c r="D112" s="923" t="str">
        <f t="shared" si="23"/>
        <v>NA</v>
      </c>
      <c r="E112" s="931" t="str">
        <f t="shared" si="24"/>
        <v>NA</v>
      </c>
      <c r="F112" s="926" t="str">
        <f t="shared" si="25"/>
        <v>NA</v>
      </c>
      <c r="G112" s="923" t="str">
        <f t="shared" si="26"/>
        <v>NA</v>
      </c>
      <c r="H112" s="931" t="str">
        <f>IFERROR(IF((G112*'7. Erosió de costa'!$C$86/1000000)&lt;0,"guanya sorra",G112*'7. Erosió de costa'!$C$86/1000000),"")</f>
        <v/>
      </c>
      <c r="I112" s="937" t="str">
        <f>IFERROR(IF(('A. Dades de partida'!$D$10*G112*'7. Erosió de costa'!$C$86/1000000)&lt;0,"guanya sorra",'A. Dades de partida'!$D$10*G112*'7. Erosió de costa'!$C$86/1000000),"")</f>
        <v/>
      </c>
      <c r="J112" s="931"/>
      <c r="K112" s="931"/>
      <c r="L112" s="931"/>
      <c r="M112" s="931"/>
      <c r="N112" s="931"/>
      <c r="O112" s="931"/>
      <c r="P112" s="931"/>
      <c r="Q112" s="931"/>
      <c r="R112" s="931"/>
      <c r="S112" s="931"/>
      <c r="T112" s="931"/>
      <c r="U112" s="931"/>
      <c r="V112" s="931"/>
      <c r="W112" s="931"/>
      <c r="X112" s="931"/>
      <c r="Y112" s="931"/>
      <c r="Z112" s="941" t="str">
        <f t="shared" si="27"/>
        <v/>
      </c>
      <c r="AA112" s="941" t="str">
        <f t="shared" si="28"/>
        <v/>
      </c>
      <c r="AB112" s="941" t="str">
        <f t="shared" si="29"/>
        <v/>
      </c>
      <c r="AC112" s="941" t="str">
        <f t="shared" si="30"/>
        <v/>
      </c>
      <c r="AD112" s="941" t="str">
        <f t="shared" si="31"/>
        <v/>
      </c>
      <c r="AE112" s="941" t="str">
        <f t="shared" si="32"/>
        <v/>
      </c>
      <c r="AF112" s="941" t="str">
        <f t="shared" si="33"/>
        <v/>
      </c>
      <c r="AG112" s="941" t="str">
        <f t="shared" si="34"/>
        <v/>
      </c>
      <c r="AH112" s="941" t="str">
        <f t="shared" si="35"/>
        <v/>
      </c>
      <c r="AI112" s="941" t="str">
        <f t="shared" si="36"/>
        <v/>
      </c>
      <c r="AJ112" s="941" t="str">
        <f t="shared" si="37"/>
        <v/>
      </c>
      <c r="AK112" s="941" t="str">
        <f t="shared" si="38"/>
        <v/>
      </c>
      <c r="AL112" s="941" t="str">
        <f t="shared" si="39"/>
        <v/>
      </c>
      <c r="AM112" s="941" t="str">
        <f t="shared" si="40"/>
        <v/>
      </c>
      <c r="AN112" s="941" t="str">
        <f t="shared" si="41"/>
        <v/>
      </c>
      <c r="AO112" s="941" t="str">
        <f t="shared" si="42"/>
        <v/>
      </c>
      <c r="AP112" s="895">
        <f>IF(AO112&lt;0,"No hi ha pèrdua",IFERROR(SUM(AA112:AO112)*'7. Erosió de costa'!$C$86/1000000,""))</f>
        <v>0</v>
      </c>
    </row>
    <row r="113" spans="1:42">
      <c r="A113" s="835">
        <v>8110</v>
      </c>
      <c r="B113" s="826" t="s">
        <v>343</v>
      </c>
      <c r="C113" s="835">
        <f t="shared" si="22"/>
        <v>15</v>
      </c>
      <c r="D113" s="923">
        <f t="shared" si="23"/>
        <v>4538</v>
      </c>
      <c r="E113" s="931">
        <f t="shared" si="24"/>
        <v>-0.78</v>
      </c>
      <c r="F113" s="926">
        <f t="shared" si="25"/>
        <v>9.6853655805620864</v>
      </c>
      <c r="G113" s="923">
        <f t="shared" si="26"/>
        <v>34282.707423580789</v>
      </c>
      <c r="H113" s="931">
        <f>IFERROR(IF((G113*'7. Erosió de costa'!$C$86/1000000)&lt;0,"guanya sorra",G113*'7. Erosió de costa'!$C$86/1000000),"")</f>
        <v>1.1313293449781661</v>
      </c>
      <c r="I113" s="937">
        <f>IFERROR(IF(('A. Dades de partida'!$D$10*G113*'7. Erosió de costa'!$C$86/1000000)&lt;0,"guanya sorra",'A. Dades de partida'!$D$10*G113*'7. Erosió de costa'!$C$86/1000000),"")</f>
        <v>16.969940174672487</v>
      </c>
      <c r="J113" s="931">
        <f>E113</f>
        <v>-0.78</v>
      </c>
      <c r="K113" s="931">
        <f>IF($J113&gt;0, $J113-($J113*'7. Erosió de costa'!D$140*'7. Erosió de costa'!$D$111),$J113+($J113*'7. Erosió de costa'!D$140*'7. Erosió de costa'!$D$111))</f>
        <v>-0.79502941176470587</v>
      </c>
      <c r="L113" s="931">
        <f>IF($J113&gt;0, $J113-($J113*'7. Erosió de costa'!E$140*'7. Erosió de costa'!$D$111),$J113+($J113*'7. Erosió de costa'!E$140*'7. Erosió de costa'!$D$111))</f>
        <v>-0.81005882352941183</v>
      </c>
      <c r="M113" s="931">
        <f>IF($J113&gt;0, $J113-($J113*'7. Erosió de costa'!F$140*'7. Erosió de costa'!$D$111),$J113+($J113*'7. Erosió de costa'!F$140*'7. Erosió de costa'!$D$111))</f>
        <v>-0.82508823529411768</v>
      </c>
      <c r="N113" s="931">
        <f>IF($J113&gt;0, $J113-($J113*'7. Erosió de costa'!G$140*'7. Erosió de costa'!$D$111),$J113+($J113*'7. Erosió de costa'!G$140*'7. Erosió de costa'!$D$111))</f>
        <v>-0.84011764705882352</v>
      </c>
      <c r="O113" s="931">
        <f>IF($J113&gt;0, $J113-($J113*'7. Erosió de costa'!H$140*'7. Erosió de costa'!$D$111),$J113+($J113*'7. Erosió de costa'!H$140*'7. Erosió de costa'!$D$111))</f>
        <v>-0.85514705882352948</v>
      </c>
      <c r="P113" s="931">
        <f>IF($J113&gt;0, $J113-($J113*'7. Erosió de costa'!I$140*'7. Erosió de costa'!$D$111),$J113+($J113*'7. Erosió de costa'!I$140*'7. Erosió de costa'!$D$111))</f>
        <v>-0.87017647058823533</v>
      </c>
      <c r="Q113" s="931">
        <f>IF($J113&gt;0, $J113-($J113*'7. Erosió de costa'!J$140*'7. Erosió de costa'!$D$111),$J113+($J113*'7. Erosió de costa'!J$140*'7. Erosió de costa'!$D$111))</f>
        <v>-0.88520588235294118</v>
      </c>
      <c r="R113" s="931">
        <f>IF($J113&gt;0, $J113-($J113*'7. Erosió de costa'!K$140*'7. Erosió de costa'!$D$111),$J113+($J113*'7. Erosió de costa'!K$140*'7. Erosió de costa'!$D$111))</f>
        <v>-0.90023529411764713</v>
      </c>
      <c r="S113" s="931">
        <f>IF($J113&gt;0, $J113-($J113*'7. Erosió de costa'!L$140*'7. Erosió de costa'!$D$111),$J113+($J113*'7. Erosió de costa'!L$140*'7. Erosió de costa'!$D$111))</f>
        <v>-0.91526470588235298</v>
      </c>
      <c r="T113" s="931">
        <f>IF($J113&gt;0, $J113-($J113*'7. Erosió de costa'!M$140*'7. Erosió de costa'!$D$111),$J113+($J113*'7. Erosió de costa'!M$140*'7. Erosió de costa'!$D$111))</f>
        <v>-0.93029411764705883</v>
      </c>
      <c r="U113" s="931">
        <f>IF($J113&gt;0, $J113-($J113*'7. Erosió de costa'!N$140*'7. Erosió de costa'!$D$111),$J113+($J113*'7. Erosió de costa'!N$140*'7. Erosió de costa'!$D$111))</f>
        <v>-0.94532352941176478</v>
      </c>
      <c r="V113" s="931">
        <f>IF($J113&gt;0, $J113-($J113*'7. Erosió de costa'!O$140*'7. Erosió de costa'!$D$111),$J113+($J113*'7. Erosió de costa'!O$140*'7. Erosió de costa'!$D$111))</f>
        <v>-0.96035294117647063</v>
      </c>
      <c r="W113" s="931">
        <f>IF($J113&gt;0, $J113-($J113*'7. Erosió de costa'!P$140*'7. Erosió de costa'!$D$111),$J113+($J113*'7. Erosió de costa'!P$140*'7. Erosió de costa'!$D$111))</f>
        <v>-0.97538235294117648</v>
      </c>
      <c r="X113" s="931">
        <f>IF($J113&gt;0, $J113-($J113*'7. Erosió de costa'!Q$140*'7. Erosió de costa'!$D$111),$J113+($J113*'7. Erosió de costa'!Q$140*'7. Erosió de costa'!$D$111))</f>
        <v>-0.99041176470588232</v>
      </c>
      <c r="Y113" s="931">
        <f>IF($J113&gt;0, $J113-($J113*'7. Erosió de costa'!R$140*'7. Erosió de costa'!$D$111),$J113+($J113*'7. Erosió de costa'!R$140*'7. Erosió de costa'!$D$111))</f>
        <v>-1.0054411764705882</v>
      </c>
      <c r="Z113" s="941">
        <f t="shared" si="27"/>
        <v>34282.707423580789</v>
      </c>
      <c r="AA113" s="941">
        <f t="shared" si="28"/>
        <v>34943.282970090957</v>
      </c>
      <c r="AB113" s="941">
        <f t="shared" si="29"/>
        <v>35603.858516601133</v>
      </c>
      <c r="AC113" s="941">
        <f t="shared" si="30"/>
        <v>36264.434063111301</v>
      </c>
      <c r="AD113" s="941">
        <f t="shared" si="31"/>
        <v>36925.009609621477</v>
      </c>
      <c r="AE113" s="941">
        <f t="shared" si="32"/>
        <v>37585.585156131652</v>
      </c>
      <c r="AF113" s="941">
        <f t="shared" si="33"/>
        <v>38246.160702641821</v>
      </c>
      <c r="AG113" s="941">
        <f t="shared" si="34"/>
        <v>38906.736249151989</v>
      </c>
      <c r="AH113" s="941">
        <f t="shared" si="35"/>
        <v>39567.311795662172</v>
      </c>
      <c r="AI113" s="941">
        <f t="shared" si="36"/>
        <v>40227.88734217234</v>
      </c>
      <c r="AJ113" s="941">
        <f t="shared" si="37"/>
        <v>40888.462888682508</v>
      </c>
      <c r="AK113" s="941">
        <f t="shared" si="38"/>
        <v>41549.038435192684</v>
      </c>
      <c r="AL113" s="941">
        <f t="shared" si="39"/>
        <v>42209.613981702852</v>
      </c>
      <c r="AM113" s="941">
        <f t="shared" si="40"/>
        <v>42870.189528213028</v>
      </c>
      <c r="AN113" s="941">
        <f t="shared" si="41"/>
        <v>43530.765074723196</v>
      </c>
      <c r="AO113" s="941">
        <f t="shared" si="42"/>
        <v>44191.340621233372</v>
      </c>
      <c r="AP113" s="895">
        <f>IF(AO113&lt;0,"No hi ha pèrdua",IFERROR(SUM(AA113:AO113)*'7. Erosió de costa'!$C$86/1000000,""))</f>
        <v>19.585819338852765</v>
      </c>
    </row>
    <row r="114" spans="1:42">
      <c r="A114" s="835">
        <v>8111</v>
      </c>
      <c r="B114" s="826" t="s">
        <v>1171</v>
      </c>
      <c r="C114" s="835" t="str">
        <f t="shared" si="22"/>
        <v>NA</v>
      </c>
      <c r="D114" s="923" t="str">
        <f t="shared" si="23"/>
        <v>NA</v>
      </c>
      <c r="E114" s="931" t="str">
        <f t="shared" si="24"/>
        <v>NA</v>
      </c>
      <c r="F114" s="926" t="str">
        <f t="shared" si="25"/>
        <v>NA</v>
      </c>
      <c r="G114" s="923" t="str">
        <f t="shared" si="26"/>
        <v>NA</v>
      </c>
      <c r="H114" s="931" t="str">
        <f>IFERROR(IF((G114*'7. Erosió de costa'!$C$86/1000000)&lt;0,"guanya sorra",G114*'7. Erosió de costa'!$C$86/1000000),"")</f>
        <v/>
      </c>
      <c r="I114" s="937" t="str">
        <f>IFERROR(IF(('A. Dades de partida'!$D$10*G114*'7. Erosió de costa'!$C$86/1000000)&lt;0,"guanya sorra",'A. Dades de partida'!$D$10*G114*'7. Erosió de costa'!$C$86/1000000),"")</f>
        <v/>
      </c>
      <c r="J114" s="931"/>
      <c r="K114" s="931"/>
      <c r="L114" s="931"/>
      <c r="M114" s="931"/>
      <c r="N114" s="931"/>
      <c r="O114" s="931"/>
      <c r="P114" s="931"/>
      <c r="Q114" s="931"/>
      <c r="R114" s="931"/>
      <c r="S114" s="931"/>
      <c r="T114" s="931"/>
      <c r="U114" s="931"/>
      <c r="V114" s="931"/>
      <c r="W114" s="931"/>
      <c r="X114" s="931"/>
      <c r="Y114" s="931"/>
      <c r="Z114" s="941" t="str">
        <f t="shared" si="27"/>
        <v/>
      </c>
      <c r="AA114" s="941" t="str">
        <f t="shared" si="28"/>
        <v/>
      </c>
      <c r="AB114" s="941" t="str">
        <f t="shared" si="29"/>
        <v/>
      </c>
      <c r="AC114" s="941" t="str">
        <f t="shared" si="30"/>
        <v/>
      </c>
      <c r="AD114" s="941" t="str">
        <f t="shared" si="31"/>
        <v/>
      </c>
      <c r="AE114" s="941" t="str">
        <f t="shared" si="32"/>
        <v/>
      </c>
      <c r="AF114" s="941" t="str">
        <f t="shared" si="33"/>
        <v/>
      </c>
      <c r="AG114" s="941" t="str">
        <f t="shared" si="34"/>
        <v/>
      </c>
      <c r="AH114" s="941" t="str">
        <f t="shared" si="35"/>
        <v/>
      </c>
      <c r="AI114" s="941" t="str">
        <f t="shared" si="36"/>
        <v/>
      </c>
      <c r="AJ114" s="941" t="str">
        <f t="shared" si="37"/>
        <v/>
      </c>
      <c r="AK114" s="941" t="str">
        <f t="shared" si="38"/>
        <v/>
      </c>
      <c r="AL114" s="941" t="str">
        <f t="shared" si="39"/>
        <v/>
      </c>
      <c r="AM114" s="941" t="str">
        <f t="shared" si="40"/>
        <v/>
      </c>
      <c r="AN114" s="941" t="str">
        <f t="shared" si="41"/>
        <v/>
      </c>
      <c r="AO114" s="941" t="str">
        <f t="shared" si="42"/>
        <v/>
      </c>
      <c r="AP114" s="895">
        <f>IF(AO114&lt;0,"No hi ha pèrdua",IFERROR(SUM(AA114:AO114)*'7. Erosió de costa'!$C$86/1000000,""))</f>
        <v>0</v>
      </c>
    </row>
    <row r="115" spans="1:42">
      <c r="A115" s="835">
        <v>8112</v>
      </c>
      <c r="B115" s="826" t="s">
        <v>721</v>
      </c>
      <c r="C115" s="835" t="str">
        <f t="shared" si="22"/>
        <v>NA</v>
      </c>
      <c r="D115" s="923" t="str">
        <f t="shared" si="23"/>
        <v>NA</v>
      </c>
      <c r="E115" s="931" t="str">
        <f t="shared" si="24"/>
        <v>NA</v>
      </c>
      <c r="F115" s="926" t="str">
        <f t="shared" si="25"/>
        <v>NA</v>
      </c>
      <c r="G115" s="923" t="str">
        <f t="shared" si="26"/>
        <v>NA</v>
      </c>
      <c r="H115" s="931" t="str">
        <f>IFERROR(IF((G115*'7. Erosió de costa'!$C$86/1000000)&lt;0,"guanya sorra",G115*'7. Erosió de costa'!$C$86/1000000),"")</f>
        <v/>
      </c>
      <c r="I115" s="937" t="str">
        <f>IFERROR(IF(('A. Dades de partida'!$D$10*G115*'7. Erosió de costa'!$C$86/1000000)&lt;0,"guanya sorra",'A. Dades de partida'!$D$10*G115*'7. Erosió de costa'!$C$86/1000000),"")</f>
        <v/>
      </c>
      <c r="J115" s="931"/>
      <c r="K115" s="931"/>
      <c r="L115" s="931"/>
      <c r="M115" s="931"/>
      <c r="N115" s="931"/>
      <c r="O115" s="931"/>
      <c r="P115" s="931"/>
      <c r="Q115" s="931"/>
      <c r="R115" s="931"/>
      <c r="S115" s="931"/>
      <c r="T115" s="931"/>
      <c r="U115" s="931"/>
      <c r="V115" s="931"/>
      <c r="W115" s="931"/>
      <c r="X115" s="931"/>
      <c r="Y115" s="931"/>
      <c r="Z115" s="941" t="str">
        <f t="shared" si="27"/>
        <v/>
      </c>
      <c r="AA115" s="941" t="str">
        <f t="shared" si="28"/>
        <v/>
      </c>
      <c r="AB115" s="941" t="str">
        <f t="shared" si="29"/>
        <v/>
      </c>
      <c r="AC115" s="941" t="str">
        <f t="shared" si="30"/>
        <v/>
      </c>
      <c r="AD115" s="941" t="str">
        <f t="shared" si="31"/>
        <v/>
      </c>
      <c r="AE115" s="941" t="str">
        <f t="shared" si="32"/>
        <v/>
      </c>
      <c r="AF115" s="941" t="str">
        <f t="shared" si="33"/>
        <v/>
      </c>
      <c r="AG115" s="941" t="str">
        <f t="shared" si="34"/>
        <v/>
      </c>
      <c r="AH115" s="941" t="str">
        <f t="shared" si="35"/>
        <v/>
      </c>
      <c r="AI115" s="941" t="str">
        <f t="shared" si="36"/>
        <v/>
      </c>
      <c r="AJ115" s="941" t="str">
        <f t="shared" si="37"/>
        <v/>
      </c>
      <c r="AK115" s="941" t="str">
        <f t="shared" si="38"/>
        <v/>
      </c>
      <c r="AL115" s="941" t="str">
        <f t="shared" si="39"/>
        <v/>
      </c>
      <c r="AM115" s="941" t="str">
        <f t="shared" si="40"/>
        <v/>
      </c>
      <c r="AN115" s="941" t="str">
        <f t="shared" si="41"/>
        <v/>
      </c>
      <c r="AO115" s="941" t="str">
        <f t="shared" si="42"/>
        <v/>
      </c>
      <c r="AP115" s="895">
        <f>IF(AO115&lt;0,"No hi ha pèrdua",IFERROR(SUM(AA115:AO115)*'7. Erosió de costa'!$C$86/1000000,""))</f>
        <v>0</v>
      </c>
    </row>
    <row r="116" spans="1:42">
      <c r="A116" s="835">
        <v>8113</v>
      </c>
      <c r="B116" s="826" t="s">
        <v>699</v>
      </c>
      <c r="C116" s="835" t="str">
        <f t="shared" si="22"/>
        <v>NA</v>
      </c>
      <c r="D116" s="923" t="str">
        <f t="shared" si="23"/>
        <v>NA</v>
      </c>
      <c r="E116" s="931" t="str">
        <f t="shared" si="24"/>
        <v>NA</v>
      </c>
      <c r="F116" s="926" t="str">
        <f t="shared" si="25"/>
        <v>NA</v>
      </c>
      <c r="G116" s="923" t="str">
        <f t="shared" si="26"/>
        <v>NA</v>
      </c>
      <c r="H116" s="931" t="str">
        <f>IFERROR(IF((G116*'7. Erosió de costa'!$C$86/1000000)&lt;0,"guanya sorra",G116*'7. Erosió de costa'!$C$86/1000000),"")</f>
        <v/>
      </c>
      <c r="I116" s="937" t="str">
        <f>IFERROR(IF(('A. Dades de partida'!$D$10*G116*'7. Erosió de costa'!$C$86/1000000)&lt;0,"guanya sorra",'A. Dades de partida'!$D$10*G116*'7. Erosió de costa'!$C$86/1000000),"")</f>
        <v/>
      </c>
      <c r="J116" s="931"/>
      <c r="K116" s="931"/>
      <c r="L116" s="931"/>
      <c r="M116" s="931"/>
      <c r="N116" s="931"/>
      <c r="O116" s="931"/>
      <c r="P116" s="931"/>
      <c r="Q116" s="931"/>
      <c r="R116" s="931"/>
      <c r="S116" s="931"/>
      <c r="T116" s="931"/>
      <c r="U116" s="931"/>
      <c r="V116" s="931"/>
      <c r="W116" s="931"/>
      <c r="X116" s="931"/>
      <c r="Y116" s="931"/>
      <c r="Z116" s="941" t="str">
        <f t="shared" si="27"/>
        <v/>
      </c>
      <c r="AA116" s="941" t="str">
        <f t="shared" si="28"/>
        <v/>
      </c>
      <c r="AB116" s="941" t="str">
        <f t="shared" si="29"/>
        <v/>
      </c>
      <c r="AC116" s="941" t="str">
        <f t="shared" si="30"/>
        <v/>
      </c>
      <c r="AD116" s="941" t="str">
        <f t="shared" si="31"/>
        <v/>
      </c>
      <c r="AE116" s="941" t="str">
        <f t="shared" si="32"/>
        <v/>
      </c>
      <c r="AF116" s="941" t="str">
        <f t="shared" si="33"/>
        <v/>
      </c>
      <c r="AG116" s="941" t="str">
        <f t="shared" si="34"/>
        <v/>
      </c>
      <c r="AH116" s="941" t="str">
        <f t="shared" si="35"/>
        <v/>
      </c>
      <c r="AI116" s="941" t="str">
        <f t="shared" si="36"/>
        <v/>
      </c>
      <c r="AJ116" s="941" t="str">
        <f t="shared" si="37"/>
        <v/>
      </c>
      <c r="AK116" s="941" t="str">
        <f t="shared" si="38"/>
        <v/>
      </c>
      <c r="AL116" s="941" t="str">
        <f t="shared" si="39"/>
        <v/>
      </c>
      <c r="AM116" s="941" t="str">
        <f t="shared" si="40"/>
        <v/>
      </c>
      <c r="AN116" s="941" t="str">
        <f t="shared" si="41"/>
        <v/>
      </c>
      <c r="AO116" s="941" t="str">
        <f t="shared" si="42"/>
        <v/>
      </c>
      <c r="AP116" s="895">
        <f>IF(AO116&lt;0,"No hi ha pèrdua",IFERROR(SUM(AA116:AO116)*'7. Erosió de costa'!$C$86/1000000,""))</f>
        <v>0</v>
      </c>
    </row>
    <row r="117" spans="1:42">
      <c r="A117" s="835">
        <v>8114</v>
      </c>
      <c r="B117" s="826" t="s">
        <v>677</v>
      </c>
      <c r="C117" s="835" t="str">
        <f t="shared" si="22"/>
        <v>NA</v>
      </c>
      <c r="D117" s="923" t="str">
        <f t="shared" si="23"/>
        <v>NA</v>
      </c>
      <c r="E117" s="931" t="str">
        <f t="shared" si="24"/>
        <v>NA</v>
      </c>
      <c r="F117" s="926" t="str">
        <f t="shared" si="25"/>
        <v>NA</v>
      </c>
      <c r="G117" s="923" t="str">
        <f t="shared" si="26"/>
        <v>NA</v>
      </c>
      <c r="H117" s="931" t="str">
        <f>IFERROR(IF((G117*'7. Erosió de costa'!$C$86/1000000)&lt;0,"guanya sorra",G117*'7. Erosió de costa'!$C$86/1000000),"")</f>
        <v/>
      </c>
      <c r="I117" s="937" t="str">
        <f>IFERROR(IF(('A. Dades de partida'!$D$10*G117*'7. Erosió de costa'!$C$86/1000000)&lt;0,"guanya sorra",'A. Dades de partida'!$D$10*G117*'7. Erosió de costa'!$C$86/1000000),"")</f>
        <v/>
      </c>
      <c r="J117" s="931"/>
      <c r="K117" s="931"/>
      <c r="L117" s="931"/>
      <c r="M117" s="931"/>
      <c r="N117" s="931"/>
      <c r="O117" s="931"/>
      <c r="P117" s="931"/>
      <c r="Q117" s="931"/>
      <c r="R117" s="931"/>
      <c r="S117" s="931"/>
      <c r="T117" s="931"/>
      <c r="U117" s="931"/>
      <c r="V117" s="931"/>
      <c r="W117" s="931"/>
      <c r="X117" s="931"/>
      <c r="Y117" s="931"/>
      <c r="Z117" s="941" t="str">
        <f t="shared" si="27"/>
        <v/>
      </c>
      <c r="AA117" s="941" t="str">
        <f t="shared" si="28"/>
        <v/>
      </c>
      <c r="AB117" s="941" t="str">
        <f t="shared" si="29"/>
        <v/>
      </c>
      <c r="AC117" s="941" t="str">
        <f t="shared" si="30"/>
        <v/>
      </c>
      <c r="AD117" s="941" t="str">
        <f t="shared" si="31"/>
        <v/>
      </c>
      <c r="AE117" s="941" t="str">
        <f t="shared" si="32"/>
        <v/>
      </c>
      <c r="AF117" s="941" t="str">
        <f t="shared" si="33"/>
        <v/>
      </c>
      <c r="AG117" s="941" t="str">
        <f t="shared" si="34"/>
        <v/>
      </c>
      <c r="AH117" s="941" t="str">
        <f t="shared" si="35"/>
        <v/>
      </c>
      <c r="AI117" s="941" t="str">
        <f t="shared" si="36"/>
        <v/>
      </c>
      <c r="AJ117" s="941" t="str">
        <f t="shared" si="37"/>
        <v/>
      </c>
      <c r="AK117" s="941" t="str">
        <f t="shared" si="38"/>
        <v/>
      </c>
      <c r="AL117" s="941" t="str">
        <f t="shared" si="39"/>
        <v/>
      </c>
      <c r="AM117" s="941" t="str">
        <f t="shared" si="40"/>
        <v/>
      </c>
      <c r="AN117" s="941" t="str">
        <f t="shared" si="41"/>
        <v/>
      </c>
      <c r="AO117" s="941" t="str">
        <f t="shared" si="42"/>
        <v/>
      </c>
      <c r="AP117" s="895">
        <f>IF(AO117&lt;0,"No hi ha pèrdua",IFERROR(SUM(AA117:AO117)*'7. Erosió de costa'!$C$86/1000000,""))</f>
        <v>0</v>
      </c>
    </row>
    <row r="118" spans="1:42">
      <c r="A118" s="835">
        <v>8115</v>
      </c>
      <c r="B118" s="826" t="s">
        <v>1183</v>
      </c>
      <c r="C118" s="835" t="str">
        <f t="shared" si="22"/>
        <v>NA</v>
      </c>
      <c r="D118" s="923" t="str">
        <f t="shared" si="23"/>
        <v>NA</v>
      </c>
      <c r="E118" s="931" t="str">
        <f t="shared" si="24"/>
        <v>NA</v>
      </c>
      <c r="F118" s="926" t="str">
        <f t="shared" si="25"/>
        <v>NA</v>
      </c>
      <c r="G118" s="923" t="str">
        <f t="shared" si="26"/>
        <v>NA</v>
      </c>
      <c r="H118" s="931" t="str">
        <f>IFERROR(IF((G118*'7. Erosió de costa'!$C$86/1000000)&lt;0,"guanya sorra",G118*'7. Erosió de costa'!$C$86/1000000),"")</f>
        <v/>
      </c>
      <c r="I118" s="937" t="str">
        <f>IFERROR(IF(('A. Dades de partida'!$D$10*G118*'7. Erosió de costa'!$C$86/1000000)&lt;0,"guanya sorra",'A. Dades de partida'!$D$10*G118*'7. Erosió de costa'!$C$86/1000000),"")</f>
        <v/>
      </c>
      <c r="J118" s="931"/>
      <c r="K118" s="931"/>
      <c r="L118" s="931"/>
      <c r="M118" s="931"/>
      <c r="N118" s="931"/>
      <c r="O118" s="931"/>
      <c r="P118" s="931"/>
      <c r="Q118" s="931"/>
      <c r="R118" s="931"/>
      <c r="S118" s="931"/>
      <c r="T118" s="931"/>
      <c r="U118" s="931"/>
      <c r="V118" s="931"/>
      <c r="W118" s="931"/>
      <c r="X118" s="931"/>
      <c r="Y118" s="931"/>
      <c r="Z118" s="941" t="str">
        <f t="shared" si="27"/>
        <v/>
      </c>
      <c r="AA118" s="941" t="str">
        <f t="shared" si="28"/>
        <v/>
      </c>
      <c r="AB118" s="941" t="str">
        <f t="shared" si="29"/>
        <v/>
      </c>
      <c r="AC118" s="941" t="str">
        <f t="shared" si="30"/>
        <v/>
      </c>
      <c r="AD118" s="941" t="str">
        <f t="shared" si="31"/>
        <v/>
      </c>
      <c r="AE118" s="941" t="str">
        <f t="shared" si="32"/>
        <v/>
      </c>
      <c r="AF118" s="941" t="str">
        <f t="shared" si="33"/>
        <v/>
      </c>
      <c r="AG118" s="941" t="str">
        <f t="shared" si="34"/>
        <v/>
      </c>
      <c r="AH118" s="941" t="str">
        <f t="shared" si="35"/>
        <v/>
      </c>
      <c r="AI118" s="941" t="str">
        <f t="shared" si="36"/>
        <v/>
      </c>
      <c r="AJ118" s="941" t="str">
        <f t="shared" si="37"/>
        <v/>
      </c>
      <c r="AK118" s="941" t="str">
        <f t="shared" si="38"/>
        <v/>
      </c>
      <c r="AL118" s="941" t="str">
        <f t="shared" si="39"/>
        <v/>
      </c>
      <c r="AM118" s="941" t="str">
        <f t="shared" si="40"/>
        <v/>
      </c>
      <c r="AN118" s="941" t="str">
        <f t="shared" si="41"/>
        <v/>
      </c>
      <c r="AO118" s="941" t="str">
        <f t="shared" si="42"/>
        <v/>
      </c>
      <c r="AP118" s="895">
        <f>IF(AO118&lt;0,"No hi ha pèrdua",IFERROR(SUM(AA118:AO118)*'7. Erosió de costa'!$C$86/1000000,""))</f>
        <v>0</v>
      </c>
    </row>
    <row r="119" spans="1:42">
      <c r="A119" s="835">
        <v>8116</v>
      </c>
      <c r="B119" s="826" t="s">
        <v>1184</v>
      </c>
      <c r="C119" s="835" t="str">
        <f t="shared" si="22"/>
        <v>NA</v>
      </c>
      <c r="D119" s="923" t="str">
        <f t="shared" si="23"/>
        <v>NA</v>
      </c>
      <c r="E119" s="931" t="str">
        <f t="shared" si="24"/>
        <v>NA</v>
      </c>
      <c r="F119" s="926" t="str">
        <f t="shared" si="25"/>
        <v>NA</v>
      </c>
      <c r="G119" s="923" t="str">
        <f t="shared" si="26"/>
        <v>NA</v>
      </c>
      <c r="H119" s="931" t="str">
        <f>IFERROR(IF((G119*'7. Erosió de costa'!$C$86/1000000)&lt;0,"guanya sorra",G119*'7. Erosió de costa'!$C$86/1000000),"")</f>
        <v/>
      </c>
      <c r="I119" s="937" t="str">
        <f>IFERROR(IF(('A. Dades de partida'!$D$10*G119*'7. Erosió de costa'!$C$86/1000000)&lt;0,"guanya sorra",'A. Dades de partida'!$D$10*G119*'7. Erosió de costa'!$C$86/1000000),"")</f>
        <v/>
      </c>
      <c r="J119" s="931"/>
      <c r="K119" s="931"/>
      <c r="L119" s="931"/>
      <c r="M119" s="931"/>
      <c r="N119" s="931"/>
      <c r="O119" s="931"/>
      <c r="P119" s="931"/>
      <c r="Q119" s="931"/>
      <c r="R119" s="931"/>
      <c r="S119" s="931"/>
      <c r="T119" s="931"/>
      <c r="U119" s="931"/>
      <c r="V119" s="931"/>
      <c r="W119" s="931"/>
      <c r="X119" s="931"/>
      <c r="Y119" s="931"/>
      <c r="Z119" s="941" t="str">
        <f t="shared" si="27"/>
        <v/>
      </c>
      <c r="AA119" s="941" t="str">
        <f t="shared" si="28"/>
        <v/>
      </c>
      <c r="AB119" s="941" t="str">
        <f t="shared" si="29"/>
        <v/>
      </c>
      <c r="AC119" s="941" t="str">
        <f t="shared" si="30"/>
        <v/>
      </c>
      <c r="AD119" s="941" t="str">
        <f t="shared" si="31"/>
        <v/>
      </c>
      <c r="AE119" s="941" t="str">
        <f t="shared" si="32"/>
        <v/>
      </c>
      <c r="AF119" s="941" t="str">
        <f t="shared" si="33"/>
        <v/>
      </c>
      <c r="AG119" s="941" t="str">
        <f t="shared" si="34"/>
        <v/>
      </c>
      <c r="AH119" s="941" t="str">
        <f t="shared" si="35"/>
        <v/>
      </c>
      <c r="AI119" s="941" t="str">
        <f t="shared" si="36"/>
        <v/>
      </c>
      <c r="AJ119" s="941" t="str">
        <f t="shared" si="37"/>
        <v/>
      </c>
      <c r="AK119" s="941" t="str">
        <f t="shared" si="38"/>
        <v/>
      </c>
      <c r="AL119" s="941" t="str">
        <f t="shared" si="39"/>
        <v/>
      </c>
      <c r="AM119" s="941" t="str">
        <f t="shared" si="40"/>
        <v/>
      </c>
      <c r="AN119" s="941" t="str">
        <f t="shared" si="41"/>
        <v/>
      </c>
      <c r="AO119" s="941" t="str">
        <f t="shared" si="42"/>
        <v/>
      </c>
      <c r="AP119" s="895">
        <f>IF(AO119&lt;0,"No hi ha pèrdua",IFERROR(SUM(AA119:AO119)*'7. Erosió de costa'!$C$86/1000000,""))</f>
        <v>0</v>
      </c>
    </row>
    <row r="120" spans="1:42">
      <c r="A120" s="835">
        <v>8117</v>
      </c>
      <c r="B120" s="826" t="s">
        <v>1187</v>
      </c>
      <c r="C120" s="835" t="str">
        <f t="shared" si="22"/>
        <v>NA</v>
      </c>
      <c r="D120" s="923" t="str">
        <f t="shared" si="23"/>
        <v>NA</v>
      </c>
      <c r="E120" s="931" t="str">
        <f t="shared" si="24"/>
        <v>NA</v>
      </c>
      <c r="F120" s="926" t="str">
        <f t="shared" si="25"/>
        <v>NA</v>
      </c>
      <c r="G120" s="923" t="str">
        <f t="shared" si="26"/>
        <v>NA</v>
      </c>
      <c r="H120" s="931" t="str">
        <f>IFERROR(IF((G120*'7. Erosió de costa'!$C$86/1000000)&lt;0,"guanya sorra",G120*'7. Erosió de costa'!$C$86/1000000),"")</f>
        <v/>
      </c>
      <c r="I120" s="937" t="str">
        <f>IFERROR(IF(('A. Dades de partida'!$D$10*G120*'7. Erosió de costa'!$C$86/1000000)&lt;0,"guanya sorra",'A. Dades de partida'!$D$10*G120*'7. Erosió de costa'!$C$86/1000000),"")</f>
        <v/>
      </c>
      <c r="J120" s="931"/>
      <c r="K120" s="931"/>
      <c r="L120" s="931"/>
      <c r="M120" s="931"/>
      <c r="N120" s="931"/>
      <c r="O120" s="931"/>
      <c r="P120" s="931"/>
      <c r="Q120" s="931"/>
      <c r="R120" s="931"/>
      <c r="S120" s="931"/>
      <c r="T120" s="931"/>
      <c r="U120" s="931"/>
      <c r="V120" s="931"/>
      <c r="W120" s="931"/>
      <c r="X120" s="931"/>
      <c r="Y120" s="931"/>
      <c r="Z120" s="941" t="str">
        <f t="shared" si="27"/>
        <v/>
      </c>
      <c r="AA120" s="941" t="str">
        <f t="shared" si="28"/>
        <v/>
      </c>
      <c r="AB120" s="941" t="str">
        <f t="shared" si="29"/>
        <v/>
      </c>
      <c r="AC120" s="941" t="str">
        <f t="shared" si="30"/>
        <v/>
      </c>
      <c r="AD120" s="941" t="str">
        <f t="shared" si="31"/>
        <v/>
      </c>
      <c r="AE120" s="941" t="str">
        <f t="shared" si="32"/>
        <v/>
      </c>
      <c r="AF120" s="941" t="str">
        <f t="shared" si="33"/>
        <v/>
      </c>
      <c r="AG120" s="941" t="str">
        <f t="shared" si="34"/>
        <v/>
      </c>
      <c r="AH120" s="941" t="str">
        <f t="shared" si="35"/>
        <v/>
      </c>
      <c r="AI120" s="941" t="str">
        <f t="shared" si="36"/>
        <v/>
      </c>
      <c r="AJ120" s="941" t="str">
        <f t="shared" si="37"/>
        <v/>
      </c>
      <c r="AK120" s="941" t="str">
        <f t="shared" si="38"/>
        <v/>
      </c>
      <c r="AL120" s="941" t="str">
        <f t="shared" si="39"/>
        <v/>
      </c>
      <c r="AM120" s="941" t="str">
        <f t="shared" si="40"/>
        <v/>
      </c>
      <c r="AN120" s="941" t="str">
        <f t="shared" si="41"/>
        <v/>
      </c>
      <c r="AO120" s="941" t="str">
        <f t="shared" si="42"/>
        <v/>
      </c>
      <c r="AP120" s="895">
        <f>IF(AO120&lt;0,"No hi ha pèrdua",IFERROR(SUM(AA120:AO120)*'7. Erosió de costa'!$C$86/1000000,""))</f>
        <v>0</v>
      </c>
    </row>
    <row r="121" spans="1:42">
      <c r="A121" s="835">
        <v>8118</v>
      </c>
      <c r="B121" s="826" t="s">
        <v>344</v>
      </c>
      <c r="C121" s="835">
        <f t="shared" si="22"/>
        <v>10</v>
      </c>
      <c r="D121" s="923">
        <f t="shared" si="23"/>
        <v>3500</v>
      </c>
      <c r="E121" s="931">
        <f t="shared" si="24"/>
        <v>-2.33</v>
      </c>
      <c r="F121" s="926">
        <f t="shared" si="25"/>
        <v>8.524898583103063</v>
      </c>
      <c r="G121" s="923">
        <f t="shared" si="26"/>
        <v>69520.547945205486</v>
      </c>
      <c r="H121" s="931">
        <f>IFERROR(IF((G121*'7. Erosió de costa'!$C$86/1000000)&lt;0,"guanya sorra",G121*'7. Erosió de costa'!$C$86/1000000),"")</f>
        <v>2.294178082191781</v>
      </c>
      <c r="I121" s="937">
        <f>IFERROR(IF(('A. Dades de partida'!$D$10*G121*'7. Erosió de costa'!$C$86/1000000)&lt;0,"guanya sorra",'A. Dades de partida'!$D$10*G121*'7. Erosió de costa'!$C$86/1000000),"")</f>
        <v>34.412671232876718</v>
      </c>
      <c r="J121" s="931">
        <f>E121</f>
        <v>-2.33</v>
      </c>
      <c r="K121" s="931">
        <f>IF($J121&gt;0, $J121-($J121*'7. Erosió de costa'!D$140*'7. Erosió de costa'!$D$111),$J121+($J121*'7. Erosió de costa'!D$140*'7. Erosió de costa'!$D$111))</f>
        <v>-2.3748955505279037</v>
      </c>
      <c r="L121" s="931">
        <f>IF($J121&gt;0, $J121-($J121*'7. Erosió de costa'!E$140*'7. Erosió de costa'!$D$111),$J121+($J121*'7. Erosió de costa'!E$140*'7. Erosió de costa'!$D$111))</f>
        <v>-2.4197911010558069</v>
      </c>
      <c r="M121" s="931">
        <f>IF($J121&gt;0, $J121-($J121*'7. Erosió de costa'!F$140*'7. Erosió de costa'!$D$111),$J121+($J121*'7. Erosió de costa'!F$140*'7. Erosió de costa'!$D$111))</f>
        <v>-2.4646866515837105</v>
      </c>
      <c r="N121" s="931">
        <f>IF($J121&gt;0, $J121-($J121*'7. Erosió de costa'!G$140*'7. Erosió de costa'!$D$111),$J121+($J121*'7. Erosió de costa'!G$140*'7. Erosió de costa'!$D$111))</f>
        <v>-2.5095822021116141</v>
      </c>
      <c r="O121" s="931">
        <f>IF($J121&gt;0, $J121-($J121*'7. Erosió de costa'!H$140*'7. Erosió de costa'!$D$111),$J121+($J121*'7. Erosió de costa'!H$140*'7. Erosió de costa'!$D$111))</f>
        <v>-2.5544777526395173</v>
      </c>
      <c r="P121" s="931">
        <f>IF($J121&gt;0, $J121-($J121*'7. Erosió de costa'!I$140*'7. Erosió de costa'!$D$111),$J121+($J121*'7. Erosió de costa'!I$140*'7. Erosió de costa'!$D$111))</f>
        <v>-2.5993733031674209</v>
      </c>
      <c r="Q121" s="931">
        <f>IF($J121&gt;0, $J121-($J121*'7. Erosió de costa'!J$140*'7. Erosió de costa'!$D$111),$J121+($J121*'7. Erosió de costa'!J$140*'7. Erosió de costa'!$D$111))</f>
        <v>-2.6442688536953245</v>
      </c>
      <c r="R121" s="931">
        <f>IF($J121&gt;0, $J121-($J121*'7. Erosió de costa'!K$140*'7. Erosió de costa'!$D$111),$J121+($J121*'7. Erosió de costa'!K$140*'7. Erosió de costa'!$D$111))</f>
        <v>-2.6891644042232277</v>
      </c>
      <c r="S121" s="931">
        <f>IF($J121&gt;0, $J121-($J121*'7. Erosió de costa'!L$140*'7. Erosió de costa'!$D$111),$J121+($J121*'7. Erosió de costa'!L$140*'7. Erosió de costa'!$D$111))</f>
        <v>-2.7340599547511313</v>
      </c>
      <c r="T121" s="931">
        <f>IF($J121&gt;0, $J121-($J121*'7. Erosió de costa'!M$140*'7. Erosió de costa'!$D$111),$J121+($J121*'7. Erosió de costa'!M$140*'7. Erosió de costa'!$D$111))</f>
        <v>-2.7789555052790349</v>
      </c>
      <c r="U121" s="931">
        <f>IF($J121&gt;0, $J121-($J121*'7. Erosió de costa'!N$140*'7. Erosió de costa'!$D$111),$J121+($J121*'7. Erosió de costa'!N$140*'7. Erosió de costa'!$D$111))</f>
        <v>-2.8238510558069381</v>
      </c>
      <c r="V121" s="931">
        <f>IF($J121&gt;0, $J121-($J121*'7. Erosió de costa'!O$140*'7. Erosió de costa'!$D$111),$J121+($J121*'7. Erosió de costa'!O$140*'7. Erosió de costa'!$D$111))</f>
        <v>-2.8687466063348417</v>
      </c>
      <c r="W121" s="931">
        <f>IF($J121&gt;0, $J121-($J121*'7. Erosió de costa'!P$140*'7. Erosió de costa'!$D$111),$J121+($J121*'7. Erosió de costa'!P$140*'7. Erosió de costa'!$D$111))</f>
        <v>-2.9136421568627453</v>
      </c>
      <c r="X121" s="931">
        <f>IF($J121&gt;0, $J121-($J121*'7. Erosió de costa'!Q$140*'7. Erosió de costa'!$D$111),$J121+($J121*'7. Erosió de costa'!Q$140*'7. Erosió de costa'!$D$111))</f>
        <v>-2.9585377073906485</v>
      </c>
      <c r="Y121" s="931">
        <f>IF($J121&gt;0, $J121-($J121*'7. Erosió de costa'!R$140*'7. Erosió de costa'!$D$111),$J121+($J121*'7. Erosió de costa'!R$140*'7. Erosió de costa'!$D$111))</f>
        <v>-3.0034332579185521</v>
      </c>
      <c r="Z121" s="941">
        <f t="shared" si="27"/>
        <v>69520.547945205486</v>
      </c>
      <c r="AA121" s="941">
        <f t="shared" si="28"/>
        <v>70860.102997995826</v>
      </c>
      <c r="AB121" s="941">
        <f t="shared" si="29"/>
        <v>72199.65805078618</v>
      </c>
      <c r="AC121" s="941">
        <f t="shared" si="30"/>
        <v>73539.21310357652</v>
      </c>
      <c r="AD121" s="941">
        <f t="shared" si="31"/>
        <v>74878.768156366874</v>
      </c>
      <c r="AE121" s="941">
        <f t="shared" si="32"/>
        <v>76218.323209157199</v>
      </c>
      <c r="AF121" s="941">
        <f t="shared" si="33"/>
        <v>77557.878261947568</v>
      </c>
      <c r="AG121" s="941">
        <f t="shared" si="34"/>
        <v>78897.433314737922</v>
      </c>
      <c r="AH121" s="941">
        <f t="shared" si="35"/>
        <v>80236.988367528247</v>
      </c>
      <c r="AI121" s="941">
        <f t="shared" si="36"/>
        <v>81576.543420318601</v>
      </c>
      <c r="AJ121" s="941">
        <f t="shared" si="37"/>
        <v>82916.098473108941</v>
      </c>
      <c r="AK121" s="941">
        <f t="shared" si="38"/>
        <v>84255.653525899295</v>
      </c>
      <c r="AL121" s="941">
        <f t="shared" si="39"/>
        <v>85595.20857868965</v>
      </c>
      <c r="AM121" s="941">
        <f t="shared" si="40"/>
        <v>86934.763631479989</v>
      </c>
      <c r="AN121" s="941">
        <f t="shared" si="41"/>
        <v>88274.318684270329</v>
      </c>
      <c r="AO121" s="941">
        <f t="shared" si="42"/>
        <v>89613.873737060698</v>
      </c>
      <c r="AP121" s="895">
        <f>IF(AO121&lt;0,"No hi ha pèrdua",IFERROR(SUM(AA121:AO121)*'7. Erosió de costa'!$C$86/1000000,""))</f>
        <v>39.717309241926493</v>
      </c>
    </row>
    <row r="122" spans="1:42">
      <c r="A122" s="835">
        <v>8119</v>
      </c>
      <c r="B122" s="826" t="s">
        <v>1194</v>
      </c>
      <c r="C122" s="835" t="str">
        <f t="shared" si="22"/>
        <v>NA</v>
      </c>
      <c r="D122" s="923" t="str">
        <f t="shared" si="23"/>
        <v>NA</v>
      </c>
      <c r="E122" s="931" t="str">
        <f t="shared" si="24"/>
        <v>NA</v>
      </c>
      <c r="F122" s="926" t="str">
        <f t="shared" si="25"/>
        <v>NA</v>
      </c>
      <c r="G122" s="923" t="str">
        <f t="shared" si="26"/>
        <v>NA</v>
      </c>
      <c r="H122" s="931" t="str">
        <f>IFERROR(IF((G122*'7. Erosió de costa'!$C$86/1000000)&lt;0,"guanya sorra",G122*'7. Erosió de costa'!$C$86/1000000),"")</f>
        <v/>
      </c>
      <c r="I122" s="937" t="str">
        <f>IFERROR(IF(('A. Dades de partida'!$D$10*G122*'7. Erosió de costa'!$C$86/1000000)&lt;0,"guanya sorra",'A. Dades de partida'!$D$10*G122*'7. Erosió de costa'!$C$86/1000000),"")</f>
        <v/>
      </c>
      <c r="J122" s="931"/>
      <c r="K122" s="931"/>
      <c r="L122" s="931"/>
      <c r="M122" s="931"/>
      <c r="N122" s="931"/>
      <c r="O122" s="931"/>
      <c r="P122" s="931"/>
      <c r="Q122" s="931"/>
      <c r="R122" s="931"/>
      <c r="S122" s="931"/>
      <c r="T122" s="931"/>
      <c r="U122" s="931"/>
      <c r="V122" s="931"/>
      <c r="W122" s="931"/>
      <c r="X122" s="931"/>
      <c r="Y122" s="931"/>
      <c r="Z122" s="941" t="str">
        <f t="shared" si="27"/>
        <v/>
      </c>
      <c r="AA122" s="941" t="str">
        <f t="shared" si="28"/>
        <v/>
      </c>
      <c r="AB122" s="941" t="str">
        <f t="shared" si="29"/>
        <v/>
      </c>
      <c r="AC122" s="941" t="str">
        <f t="shared" si="30"/>
        <v/>
      </c>
      <c r="AD122" s="941" t="str">
        <f t="shared" si="31"/>
        <v/>
      </c>
      <c r="AE122" s="941" t="str">
        <f t="shared" si="32"/>
        <v/>
      </c>
      <c r="AF122" s="941" t="str">
        <f t="shared" si="33"/>
        <v/>
      </c>
      <c r="AG122" s="941" t="str">
        <f t="shared" si="34"/>
        <v/>
      </c>
      <c r="AH122" s="941" t="str">
        <f t="shared" si="35"/>
        <v/>
      </c>
      <c r="AI122" s="941" t="str">
        <f t="shared" si="36"/>
        <v/>
      </c>
      <c r="AJ122" s="941" t="str">
        <f t="shared" si="37"/>
        <v/>
      </c>
      <c r="AK122" s="941" t="str">
        <f t="shared" si="38"/>
        <v/>
      </c>
      <c r="AL122" s="941" t="str">
        <f t="shared" si="39"/>
        <v/>
      </c>
      <c r="AM122" s="941" t="str">
        <f t="shared" si="40"/>
        <v/>
      </c>
      <c r="AN122" s="941" t="str">
        <f t="shared" si="41"/>
        <v/>
      </c>
      <c r="AO122" s="941" t="str">
        <f t="shared" si="42"/>
        <v/>
      </c>
      <c r="AP122" s="895">
        <f>IF(AO122&lt;0,"No hi ha pèrdua",IFERROR(SUM(AA122:AO122)*'7. Erosió de costa'!$C$86/1000000,""))</f>
        <v>0</v>
      </c>
    </row>
    <row r="123" spans="1:42">
      <c r="A123" s="835">
        <v>8120</v>
      </c>
      <c r="B123" s="826" t="s">
        <v>1197</v>
      </c>
      <c r="C123" s="835" t="str">
        <f t="shared" si="22"/>
        <v>NA</v>
      </c>
      <c r="D123" s="923" t="str">
        <f t="shared" si="23"/>
        <v>NA</v>
      </c>
      <c r="E123" s="931" t="str">
        <f t="shared" si="24"/>
        <v>NA</v>
      </c>
      <c r="F123" s="926" t="str">
        <f t="shared" si="25"/>
        <v>NA</v>
      </c>
      <c r="G123" s="923" t="str">
        <f t="shared" si="26"/>
        <v>NA</v>
      </c>
      <c r="H123" s="931" t="str">
        <f>IFERROR(IF((G123*'7. Erosió de costa'!$C$86/1000000)&lt;0,"guanya sorra",G123*'7. Erosió de costa'!$C$86/1000000),"")</f>
        <v/>
      </c>
      <c r="I123" s="937" t="str">
        <f>IFERROR(IF(('A. Dades de partida'!$D$10*G123*'7. Erosió de costa'!$C$86/1000000)&lt;0,"guanya sorra",'A. Dades de partida'!$D$10*G123*'7. Erosió de costa'!$C$86/1000000),"")</f>
        <v/>
      </c>
      <c r="J123" s="931"/>
      <c r="K123" s="931"/>
      <c r="L123" s="931"/>
      <c r="M123" s="931"/>
      <c r="N123" s="931"/>
      <c r="O123" s="931"/>
      <c r="P123" s="931"/>
      <c r="Q123" s="931"/>
      <c r="R123" s="931"/>
      <c r="S123" s="931"/>
      <c r="T123" s="931"/>
      <c r="U123" s="931"/>
      <c r="V123" s="931"/>
      <c r="W123" s="931"/>
      <c r="X123" s="931"/>
      <c r="Y123" s="931"/>
      <c r="Z123" s="941" t="str">
        <f t="shared" si="27"/>
        <v/>
      </c>
      <c r="AA123" s="941" t="str">
        <f t="shared" si="28"/>
        <v/>
      </c>
      <c r="AB123" s="941" t="str">
        <f t="shared" si="29"/>
        <v/>
      </c>
      <c r="AC123" s="941" t="str">
        <f t="shared" si="30"/>
        <v/>
      </c>
      <c r="AD123" s="941" t="str">
        <f t="shared" si="31"/>
        <v/>
      </c>
      <c r="AE123" s="941" t="str">
        <f t="shared" si="32"/>
        <v/>
      </c>
      <c r="AF123" s="941" t="str">
        <f t="shared" si="33"/>
        <v/>
      </c>
      <c r="AG123" s="941" t="str">
        <f t="shared" si="34"/>
        <v/>
      </c>
      <c r="AH123" s="941" t="str">
        <f t="shared" si="35"/>
        <v/>
      </c>
      <c r="AI123" s="941" t="str">
        <f t="shared" si="36"/>
        <v/>
      </c>
      <c r="AJ123" s="941" t="str">
        <f t="shared" si="37"/>
        <v/>
      </c>
      <c r="AK123" s="941" t="str">
        <f t="shared" si="38"/>
        <v/>
      </c>
      <c r="AL123" s="941" t="str">
        <f t="shared" si="39"/>
        <v/>
      </c>
      <c r="AM123" s="941" t="str">
        <f t="shared" si="40"/>
        <v/>
      </c>
      <c r="AN123" s="941" t="str">
        <f t="shared" si="41"/>
        <v/>
      </c>
      <c r="AO123" s="941" t="str">
        <f t="shared" si="42"/>
        <v/>
      </c>
      <c r="AP123" s="895">
        <f>IF(AO123&lt;0,"No hi ha pèrdua",IFERROR(SUM(AA123:AO123)*'7. Erosió de costa'!$C$86/1000000,""))</f>
        <v>0</v>
      </c>
    </row>
    <row r="124" spans="1:42">
      <c r="A124" s="835">
        <v>8121</v>
      </c>
      <c r="B124" s="826" t="s">
        <v>345</v>
      </c>
      <c r="C124" s="835">
        <f t="shared" si="22"/>
        <v>13</v>
      </c>
      <c r="D124" s="923">
        <f t="shared" si="23"/>
        <v>2370</v>
      </c>
      <c r="E124" s="931">
        <f t="shared" si="24"/>
        <v>-1.55</v>
      </c>
      <c r="F124" s="926">
        <f t="shared" si="25"/>
        <v>8.6763070077864288</v>
      </c>
      <c r="G124" s="923">
        <f t="shared" si="26"/>
        <v>31872.413793103446</v>
      </c>
      <c r="H124" s="931">
        <f>IFERROR(IF((G124*'7. Erosió de costa'!$C$86/1000000)&lt;0,"guanya sorra",G124*'7. Erosió de costa'!$C$86/1000000),"")</f>
        <v>1.0517896551724137</v>
      </c>
      <c r="I124" s="937">
        <f>IFERROR(IF(('A. Dades de partida'!$D$10*G124*'7. Erosió de costa'!$C$86/1000000)&lt;0,"guanya sorra",'A. Dades de partida'!$D$10*G124*'7. Erosió de costa'!$C$86/1000000),"")</f>
        <v>15.776844827586206</v>
      </c>
      <c r="J124" s="931">
        <f>E124</f>
        <v>-1.55</v>
      </c>
      <c r="K124" s="931">
        <f>IF($J124&gt;0, $J124-($J124*'7. Erosió de costa'!D$140*'7. Erosió de costa'!$D$111),$J124+($J124*'7. Erosió de costa'!D$140*'7. Erosió de costa'!$D$111))</f>
        <v>-1.5798661387631976</v>
      </c>
      <c r="L124" s="931">
        <f>IF($J124&gt;0, $J124-($J124*'7. Erosió de costa'!E$140*'7. Erosió de costa'!$D$111),$J124+($J124*'7. Erosió de costa'!E$140*'7. Erosió de costa'!$D$111))</f>
        <v>-1.6097322775263951</v>
      </c>
      <c r="M124" s="931">
        <f>IF($J124&gt;0, $J124-($J124*'7. Erosió de costa'!F$140*'7. Erosió de costa'!$D$111),$J124+($J124*'7. Erosió de costa'!F$140*'7. Erosió de costa'!$D$111))</f>
        <v>-1.6395984162895929</v>
      </c>
      <c r="N124" s="931">
        <f>IF($J124&gt;0, $J124-($J124*'7. Erosió de costa'!G$140*'7. Erosió de costa'!$D$111),$J124+($J124*'7. Erosió de costa'!G$140*'7. Erosió de costa'!$D$111))</f>
        <v>-1.6694645550527905</v>
      </c>
      <c r="O124" s="931">
        <f>IF($J124&gt;0, $J124-($J124*'7. Erosió de costa'!H$140*'7. Erosió de costa'!$D$111),$J124+($J124*'7. Erosió de costa'!H$140*'7. Erosió de costa'!$D$111))</f>
        <v>-1.699330693815988</v>
      </c>
      <c r="P124" s="931">
        <f>IF($J124&gt;0, $J124-($J124*'7. Erosió de costa'!I$140*'7. Erosió de costa'!$D$111),$J124+($J124*'7. Erosió de costa'!I$140*'7. Erosió de costa'!$D$111))</f>
        <v>-1.7291968325791855</v>
      </c>
      <c r="Q124" s="931">
        <f>IF($J124&gt;0, $J124-($J124*'7. Erosió de costa'!J$140*'7. Erosió de costa'!$D$111),$J124+($J124*'7. Erosió de costa'!J$140*'7. Erosió de costa'!$D$111))</f>
        <v>-1.7590629713423831</v>
      </c>
      <c r="R124" s="931">
        <f>IF($J124&gt;0, $J124-($J124*'7. Erosió de costa'!K$140*'7. Erosió de costa'!$D$111),$J124+($J124*'7. Erosió de costa'!K$140*'7. Erosió de costa'!$D$111))</f>
        <v>-1.7889291101055806</v>
      </c>
      <c r="S124" s="931">
        <f>IF($J124&gt;0, $J124-($J124*'7. Erosió de costa'!L$140*'7. Erosió de costa'!$D$111),$J124+($J124*'7. Erosió de costa'!L$140*'7. Erosió de costa'!$D$111))</f>
        <v>-1.8187952488687784</v>
      </c>
      <c r="T124" s="931">
        <f>IF($J124&gt;0, $J124-($J124*'7. Erosió de costa'!M$140*'7. Erosió de costa'!$D$111),$J124+($J124*'7. Erosió de costa'!M$140*'7. Erosió de costa'!$D$111))</f>
        <v>-1.848661387631976</v>
      </c>
      <c r="U124" s="931">
        <f>IF($J124&gt;0, $J124-($J124*'7. Erosió de costa'!N$140*'7. Erosió de costa'!$D$111),$J124+($J124*'7. Erosió de costa'!N$140*'7. Erosió de costa'!$D$111))</f>
        <v>-1.8785275263951735</v>
      </c>
      <c r="V124" s="931">
        <f>IF($J124&gt;0, $J124-($J124*'7. Erosió de costa'!O$140*'7. Erosió de costa'!$D$111),$J124+($J124*'7. Erosió de costa'!O$140*'7. Erosió de costa'!$D$111))</f>
        <v>-1.9083936651583711</v>
      </c>
      <c r="W124" s="931">
        <f>IF($J124&gt;0, $J124-($J124*'7. Erosió de costa'!P$140*'7. Erosió de costa'!$D$111),$J124+($J124*'7. Erosió de costa'!P$140*'7. Erosió de costa'!$D$111))</f>
        <v>-1.9382598039215686</v>
      </c>
      <c r="X124" s="931">
        <f>IF($J124&gt;0, $J124-($J124*'7. Erosió de costa'!Q$140*'7. Erosió de costa'!$D$111),$J124+($J124*'7. Erosió de costa'!Q$140*'7. Erosió de costa'!$D$111))</f>
        <v>-1.9681259426847664</v>
      </c>
      <c r="Y124" s="931">
        <f>IF($J124&gt;0, $J124-($J124*'7. Erosió de costa'!R$140*'7. Erosió de costa'!$D$111),$J124+($J124*'7. Erosió de costa'!R$140*'7. Erosió de costa'!$D$111))</f>
        <v>-1.9979920814479639</v>
      </c>
      <c r="Z124" s="941">
        <f t="shared" si="27"/>
        <v>31872.413793103446</v>
      </c>
      <c r="AA124" s="941">
        <f t="shared" si="28"/>
        <v>32486.546653144011</v>
      </c>
      <c r="AB124" s="941">
        <f t="shared" si="29"/>
        <v>33100.679513184579</v>
      </c>
      <c r="AC124" s="941">
        <f t="shared" si="30"/>
        <v>33714.812373225155</v>
      </c>
      <c r="AD124" s="941">
        <f t="shared" si="31"/>
        <v>34328.945233265717</v>
      </c>
      <c r="AE124" s="941">
        <f t="shared" si="32"/>
        <v>34943.078093306285</v>
      </c>
      <c r="AF124" s="941">
        <f t="shared" si="33"/>
        <v>35557.210953346854</v>
      </c>
      <c r="AG124" s="941">
        <f t="shared" si="34"/>
        <v>36171.343813387422</v>
      </c>
      <c r="AH124" s="941">
        <f t="shared" si="35"/>
        <v>36785.476673427991</v>
      </c>
      <c r="AI124" s="941">
        <f t="shared" si="36"/>
        <v>37399.60953346856</v>
      </c>
      <c r="AJ124" s="941">
        <f t="shared" si="37"/>
        <v>38013.742393509128</v>
      </c>
      <c r="AK124" s="941">
        <f t="shared" si="38"/>
        <v>38627.875253549697</v>
      </c>
      <c r="AL124" s="941">
        <f t="shared" si="39"/>
        <v>39242.008113590266</v>
      </c>
      <c r="AM124" s="941">
        <f t="shared" si="40"/>
        <v>39856.140973630827</v>
      </c>
      <c r="AN124" s="941">
        <f t="shared" si="41"/>
        <v>40470.273833671403</v>
      </c>
      <c r="AO124" s="941">
        <f t="shared" si="42"/>
        <v>41084.406693711971</v>
      </c>
      <c r="AP124" s="895">
        <f>IF(AO124&lt;0,"No hi ha pèrdua",IFERROR(SUM(AA124:AO124)*'7. Erosió de costa'!$C$86/1000000,""))</f>
        <v>18.208810953346855</v>
      </c>
    </row>
    <row r="125" spans="1:42">
      <c r="A125" s="835">
        <v>8122</v>
      </c>
      <c r="B125" s="826" t="s">
        <v>1204</v>
      </c>
      <c r="C125" s="835" t="str">
        <f t="shared" si="22"/>
        <v>NA</v>
      </c>
      <c r="D125" s="923" t="str">
        <f t="shared" si="23"/>
        <v>NA</v>
      </c>
      <c r="E125" s="931" t="str">
        <f t="shared" si="24"/>
        <v>NA</v>
      </c>
      <c r="F125" s="926" t="str">
        <f t="shared" si="25"/>
        <v>NA</v>
      </c>
      <c r="G125" s="923" t="str">
        <f t="shared" si="26"/>
        <v>NA</v>
      </c>
      <c r="H125" s="931" t="str">
        <f>IFERROR(IF((G125*'7. Erosió de costa'!$C$86/1000000)&lt;0,"guanya sorra",G125*'7. Erosió de costa'!$C$86/1000000),"")</f>
        <v/>
      </c>
      <c r="I125" s="937" t="str">
        <f>IFERROR(IF(('A. Dades de partida'!$D$10*G125*'7. Erosió de costa'!$C$86/1000000)&lt;0,"guanya sorra",'A. Dades de partida'!$D$10*G125*'7. Erosió de costa'!$C$86/1000000),"")</f>
        <v/>
      </c>
      <c r="J125" s="931" t="str">
        <f t="shared" ref="J125:J187" si="43">E125</f>
        <v>NA</v>
      </c>
      <c r="K125" s="931"/>
      <c r="L125" s="931"/>
      <c r="M125" s="931"/>
      <c r="N125" s="931"/>
      <c r="O125" s="931"/>
      <c r="P125" s="931"/>
      <c r="Q125" s="931"/>
      <c r="R125" s="931"/>
      <c r="S125" s="931"/>
      <c r="T125" s="931"/>
      <c r="U125" s="931"/>
      <c r="V125" s="931"/>
      <c r="W125" s="931"/>
      <c r="X125" s="931"/>
      <c r="Y125" s="931"/>
      <c r="Z125" s="941" t="str">
        <f t="shared" si="27"/>
        <v/>
      </c>
      <c r="AA125" s="941" t="str">
        <f t="shared" si="28"/>
        <v/>
      </c>
      <c r="AB125" s="941" t="str">
        <f t="shared" si="29"/>
        <v/>
      </c>
      <c r="AC125" s="941" t="str">
        <f t="shared" si="30"/>
        <v/>
      </c>
      <c r="AD125" s="941" t="str">
        <f t="shared" si="31"/>
        <v/>
      </c>
      <c r="AE125" s="941" t="str">
        <f t="shared" si="32"/>
        <v/>
      </c>
      <c r="AF125" s="941" t="str">
        <f t="shared" si="33"/>
        <v/>
      </c>
      <c r="AG125" s="941" t="str">
        <f t="shared" si="34"/>
        <v/>
      </c>
      <c r="AH125" s="941" t="str">
        <f t="shared" si="35"/>
        <v/>
      </c>
      <c r="AI125" s="941" t="str">
        <f t="shared" si="36"/>
        <v/>
      </c>
      <c r="AJ125" s="941" t="str">
        <f t="shared" si="37"/>
        <v/>
      </c>
      <c r="AK125" s="941" t="str">
        <f t="shared" si="38"/>
        <v/>
      </c>
      <c r="AL125" s="941" t="str">
        <f t="shared" si="39"/>
        <v/>
      </c>
      <c r="AM125" s="941" t="str">
        <f t="shared" si="40"/>
        <v/>
      </c>
      <c r="AN125" s="941" t="str">
        <f t="shared" si="41"/>
        <v/>
      </c>
      <c r="AO125" s="941" t="str">
        <f t="shared" si="42"/>
        <v/>
      </c>
      <c r="AP125" s="895">
        <f>IF(AO125&lt;0,"No hi ha pèrdua",IFERROR(SUM(AA125:AO125)*'7. Erosió de costa'!$C$86/1000000,""))</f>
        <v>0</v>
      </c>
    </row>
    <row r="126" spans="1:42">
      <c r="A126" s="835">
        <v>8123</v>
      </c>
      <c r="B126" s="826" t="s">
        <v>1208</v>
      </c>
      <c r="C126" s="835" t="str">
        <f t="shared" si="22"/>
        <v>NA</v>
      </c>
      <c r="D126" s="923" t="str">
        <f t="shared" si="23"/>
        <v>NA</v>
      </c>
      <c r="E126" s="931" t="str">
        <f t="shared" si="24"/>
        <v>NA</v>
      </c>
      <c r="F126" s="926" t="str">
        <f t="shared" si="25"/>
        <v>NA</v>
      </c>
      <c r="G126" s="923" t="str">
        <f t="shared" si="26"/>
        <v>NA</v>
      </c>
      <c r="H126" s="931" t="str">
        <f>IFERROR(IF((G126*'7. Erosió de costa'!$C$86/1000000)&lt;0,"guanya sorra",G126*'7. Erosió de costa'!$C$86/1000000),"")</f>
        <v/>
      </c>
      <c r="I126" s="937" t="str">
        <f>IFERROR(IF(('A. Dades de partida'!$D$10*G126*'7. Erosió de costa'!$C$86/1000000)&lt;0,"guanya sorra",'A. Dades de partida'!$D$10*G126*'7. Erosió de costa'!$C$86/1000000),"")</f>
        <v/>
      </c>
      <c r="J126" s="931" t="str">
        <f t="shared" si="43"/>
        <v>NA</v>
      </c>
      <c r="K126" s="931"/>
      <c r="L126" s="931"/>
      <c r="M126" s="931"/>
      <c r="N126" s="931"/>
      <c r="O126" s="931"/>
      <c r="P126" s="931"/>
      <c r="Q126" s="931"/>
      <c r="R126" s="931"/>
      <c r="S126" s="931"/>
      <c r="T126" s="931"/>
      <c r="U126" s="931"/>
      <c r="V126" s="931"/>
      <c r="W126" s="931"/>
      <c r="X126" s="931"/>
      <c r="Y126" s="931"/>
      <c r="Z126" s="941" t="str">
        <f t="shared" si="27"/>
        <v/>
      </c>
      <c r="AA126" s="941" t="str">
        <f t="shared" si="28"/>
        <v/>
      </c>
      <c r="AB126" s="941" t="str">
        <f t="shared" si="29"/>
        <v/>
      </c>
      <c r="AC126" s="941" t="str">
        <f t="shared" si="30"/>
        <v/>
      </c>
      <c r="AD126" s="941" t="str">
        <f t="shared" si="31"/>
        <v/>
      </c>
      <c r="AE126" s="941" t="str">
        <f t="shared" si="32"/>
        <v/>
      </c>
      <c r="AF126" s="941" t="str">
        <f t="shared" si="33"/>
        <v/>
      </c>
      <c r="AG126" s="941" t="str">
        <f t="shared" si="34"/>
        <v/>
      </c>
      <c r="AH126" s="941" t="str">
        <f t="shared" si="35"/>
        <v/>
      </c>
      <c r="AI126" s="941" t="str">
        <f t="shared" si="36"/>
        <v/>
      </c>
      <c r="AJ126" s="941" t="str">
        <f t="shared" si="37"/>
        <v/>
      </c>
      <c r="AK126" s="941" t="str">
        <f t="shared" si="38"/>
        <v/>
      </c>
      <c r="AL126" s="941" t="str">
        <f t="shared" si="39"/>
        <v/>
      </c>
      <c r="AM126" s="941" t="str">
        <f t="shared" si="40"/>
        <v/>
      </c>
      <c r="AN126" s="941" t="str">
        <f t="shared" si="41"/>
        <v/>
      </c>
      <c r="AO126" s="941" t="str">
        <f t="shared" si="42"/>
        <v/>
      </c>
      <c r="AP126" s="895">
        <f>IF(AO126&lt;0,"No hi ha pèrdua",IFERROR(SUM(AA126:AO126)*'7. Erosió de costa'!$C$86/1000000,""))</f>
        <v>0</v>
      </c>
    </row>
    <row r="127" spans="1:42">
      <c r="A127" s="835">
        <v>8124</v>
      </c>
      <c r="B127" s="826" t="s">
        <v>1214</v>
      </c>
      <c r="C127" s="835" t="str">
        <f t="shared" si="22"/>
        <v>NA</v>
      </c>
      <c r="D127" s="923" t="str">
        <f t="shared" si="23"/>
        <v>NA</v>
      </c>
      <c r="E127" s="931" t="str">
        <f t="shared" si="24"/>
        <v>NA</v>
      </c>
      <c r="F127" s="926" t="str">
        <f t="shared" si="25"/>
        <v>NA</v>
      </c>
      <c r="G127" s="923" t="str">
        <f t="shared" si="26"/>
        <v>NA</v>
      </c>
      <c r="H127" s="931" t="str">
        <f>IFERROR(IF((G127*'7. Erosió de costa'!$C$86/1000000)&lt;0,"guanya sorra",G127*'7. Erosió de costa'!$C$86/1000000),"")</f>
        <v/>
      </c>
      <c r="I127" s="937" t="str">
        <f>IFERROR(IF(('A. Dades de partida'!$D$10*G127*'7. Erosió de costa'!$C$86/1000000)&lt;0,"guanya sorra",'A. Dades de partida'!$D$10*G127*'7. Erosió de costa'!$C$86/1000000),"")</f>
        <v/>
      </c>
      <c r="J127" s="931" t="str">
        <f t="shared" si="43"/>
        <v>NA</v>
      </c>
      <c r="K127" s="931"/>
      <c r="L127" s="931"/>
      <c r="M127" s="931"/>
      <c r="N127" s="931"/>
      <c r="O127" s="931"/>
      <c r="P127" s="931"/>
      <c r="Q127" s="931"/>
      <c r="R127" s="931"/>
      <c r="S127" s="931"/>
      <c r="T127" s="931"/>
      <c r="U127" s="931"/>
      <c r="V127" s="931"/>
      <c r="W127" s="931"/>
      <c r="X127" s="931"/>
      <c r="Y127" s="931"/>
      <c r="Z127" s="941" t="str">
        <f t="shared" si="27"/>
        <v/>
      </c>
      <c r="AA127" s="941" t="str">
        <f t="shared" si="28"/>
        <v/>
      </c>
      <c r="AB127" s="941" t="str">
        <f t="shared" si="29"/>
        <v/>
      </c>
      <c r="AC127" s="941" t="str">
        <f t="shared" si="30"/>
        <v/>
      </c>
      <c r="AD127" s="941" t="str">
        <f t="shared" si="31"/>
        <v/>
      </c>
      <c r="AE127" s="941" t="str">
        <f t="shared" si="32"/>
        <v/>
      </c>
      <c r="AF127" s="941" t="str">
        <f t="shared" si="33"/>
        <v/>
      </c>
      <c r="AG127" s="941" t="str">
        <f t="shared" si="34"/>
        <v/>
      </c>
      <c r="AH127" s="941" t="str">
        <f t="shared" si="35"/>
        <v/>
      </c>
      <c r="AI127" s="941" t="str">
        <f t="shared" si="36"/>
        <v/>
      </c>
      <c r="AJ127" s="941" t="str">
        <f t="shared" si="37"/>
        <v/>
      </c>
      <c r="AK127" s="941" t="str">
        <f t="shared" si="38"/>
        <v/>
      </c>
      <c r="AL127" s="941" t="str">
        <f t="shared" si="39"/>
        <v/>
      </c>
      <c r="AM127" s="941" t="str">
        <f t="shared" si="40"/>
        <v/>
      </c>
      <c r="AN127" s="941" t="str">
        <f t="shared" si="41"/>
        <v/>
      </c>
      <c r="AO127" s="941" t="str">
        <f t="shared" si="42"/>
        <v/>
      </c>
      <c r="AP127" s="895">
        <f>IF(AO127&lt;0,"No hi ha pèrdua",IFERROR(SUM(AA127:AO127)*'7. Erosió de costa'!$C$86/1000000,""))</f>
        <v>0</v>
      </c>
    </row>
    <row r="128" spans="1:42">
      <c r="A128" s="835">
        <v>8125</v>
      </c>
      <c r="B128" s="826" t="s">
        <v>1220</v>
      </c>
      <c r="C128" s="835" t="str">
        <f t="shared" si="22"/>
        <v>NA</v>
      </c>
      <c r="D128" s="923" t="str">
        <f t="shared" si="23"/>
        <v>NA</v>
      </c>
      <c r="E128" s="931" t="str">
        <f t="shared" si="24"/>
        <v>NA</v>
      </c>
      <c r="F128" s="926" t="str">
        <f t="shared" si="25"/>
        <v>NA</v>
      </c>
      <c r="G128" s="923" t="str">
        <f t="shared" si="26"/>
        <v>NA</v>
      </c>
      <c r="H128" s="931" t="str">
        <f>IFERROR(IF((G128*'7. Erosió de costa'!$C$86/1000000)&lt;0,"guanya sorra",G128*'7. Erosió de costa'!$C$86/1000000),"")</f>
        <v/>
      </c>
      <c r="I128" s="937" t="str">
        <f>IFERROR(IF(('A. Dades de partida'!$D$10*G128*'7. Erosió de costa'!$C$86/1000000)&lt;0,"guanya sorra",'A. Dades de partida'!$D$10*G128*'7. Erosió de costa'!$C$86/1000000),"")</f>
        <v/>
      </c>
      <c r="J128" s="931" t="str">
        <f t="shared" si="43"/>
        <v>NA</v>
      </c>
      <c r="K128" s="931"/>
      <c r="L128" s="931"/>
      <c r="M128" s="931"/>
      <c r="N128" s="931"/>
      <c r="O128" s="931"/>
      <c r="P128" s="931"/>
      <c r="Q128" s="931"/>
      <c r="R128" s="931"/>
      <c r="S128" s="931"/>
      <c r="T128" s="931"/>
      <c r="U128" s="931"/>
      <c r="V128" s="931"/>
      <c r="W128" s="931"/>
      <c r="X128" s="931"/>
      <c r="Y128" s="931"/>
      <c r="Z128" s="941" t="str">
        <f t="shared" si="27"/>
        <v/>
      </c>
      <c r="AA128" s="941" t="str">
        <f t="shared" si="28"/>
        <v/>
      </c>
      <c r="AB128" s="941" t="str">
        <f t="shared" si="29"/>
        <v/>
      </c>
      <c r="AC128" s="941" t="str">
        <f t="shared" si="30"/>
        <v/>
      </c>
      <c r="AD128" s="941" t="str">
        <f t="shared" si="31"/>
        <v/>
      </c>
      <c r="AE128" s="941" t="str">
        <f t="shared" si="32"/>
        <v/>
      </c>
      <c r="AF128" s="941" t="str">
        <f t="shared" si="33"/>
        <v/>
      </c>
      <c r="AG128" s="941" t="str">
        <f t="shared" si="34"/>
        <v/>
      </c>
      <c r="AH128" s="941" t="str">
        <f t="shared" si="35"/>
        <v/>
      </c>
      <c r="AI128" s="941" t="str">
        <f t="shared" si="36"/>
        <v/>
      </c>
      <c r="AJ128" s="941" t="str">
        <f t="shared" si="37"/>
        <v/>
      </c>
      <c r="AK128" s="941" t="str">
        <f t="shared" si="38"/>
        <v/>
      </c>
      <c r="AL128" s="941" t="str">
        <f t="shared" si="39"/>
        <v/>
      </c>
      <c r="AM128" s="941" t="str">
        <f t="shared" si="40"/>
        <v/>
      </c>
      <c r="AN128" s="941" t="str">
        <f t="shared" si="41"/>
        <v/>
      </c>
      <c r="AO128" s="941" t="str">
        <f t="shared" si="42"/>
        <v/>
      </c>
      <c r="AP128" s="895">
        <f>IF(AO128&lt;0,"No hi ha pèrdua",IFERROR(SUM(AA128:AO128)*'7. Erosió de costa'!$C$86/1000000,""))</f>
        <v>0</v>
      </c>
    </row>
    <row r="129" spans="1:42">
      <c r="A129" s="835">
        <v>8126</v>
      </c>
      <c r="B129" s="826" t="s">
        <v>346</v>
      </c>
      <c r="C129" s="835">
        <f t="shared" si="22"/>
        <v>10</v>
      </c>
      <c r="D129" s="923">
        <f t="shared" si="23"/>
        <v>2000</v>
      </c>
      <c r="E129" s="931">
        <f t="shared" si="24"/>
        <v>-2.33</v>
      </c>
      <c r="F129" s="926">
        <f t="shared" si="25"/>
        <v>8.524898583103063</v>
      </c>
      <c r="G129" s="923">
        <f t="shared" si="26"/>
        <v>39726.027397260274</v>
      </c>
      <c r="H129" s="931">
        <f>IFERROR(IF((G129*'7. Erosió de costa'!$C$86/1000000)&lt;0,"guanya sorra",G129*'7. Erosió de costa'!$C$86/1000000),"")</f>
        <v>1.310958904109589</v>
      </c>
      <c r="I129" s="937">
        <f>IFERROR(IF(('A. Dades de partida'!$D$10*G129*'7. Erosió de costa'!$C$86/1000000)&lt;0,"guanya sorra",'A. Dades de partida'!$D$10*G129*'7. Erosió de costa'!$C$86/1000000),"")</f>
        <v>19.664383561643834</v>
      </c>
      <c r="J129" s="931">
        <f>E129</f>
        <v>-2.33</v>
      </c>
      <c r="K129" s="931">
        <f>IF($J129&gt;0, $J129-($J129*'7. Erosió de costa'!D$140*'7. Erosió de costa'!$D$111),$J129+($J129*'7. Erosió de costa'!D$140*'7. Erosió de costa'!$D$111))</f>
        <v>-2.3748955505279037</v>
      </c>
      <c r="L129" s="931">
        <f>IF($J129&gt;0, $J129-($J129*'7. Erosió de costa'!E$140*'7. Erosió de costa'!$D$111),$J129+($J129*'7. Erosió de costa'!E$140*'7. Erosió de costa'!$D$111))</f>
        <v>-2.4197911010558069</v>
      </c>
      <c r="M129" s="931">
        <f>IF($J129&gt;0, $J129-($J129*'7. Erosió de costa'!F$140*'7. Erosió de costa'!$D$111),$J129+($J129*'7. Erosió de costa'!F$140*'7. Erosió de costa'!$D$111))</f>
        <v>-2.4646866515837105</v>
      </c>
      <c r="N129" s="931">
        <f>IF($J129&gt;0, $J129-($J129*'7. Erosió de costa'!G$140*'7. Erosió de costa'!$D$111),$J129+($J129*'7. Erosió de costa'!G$140*'7. Erosió de costa'!$D$111))</f>
        <v>-2.5095822021116141</v>
      </c>
      <c r="O129" s="931">
        <f>IF($J129&gt;0, $J129-($J129*'7. Erosió de costa'!H$140*'7. Erosió de costa'!$D$111),$J129+($J129*'7. Erosió de costa'!H$140*'7. Erosió de costa'!$D$111))</f>
        <v>-2.5544777526395173</v>
      </c>
      <c r="P129" s="931">
        <f>IF($J129&gt;0, $J129-($J129*'7. Erosió de costa'!I$140*'7. Erosió de costa'!$D$111),$J129+($J129*'7. Erosió de costa'!I$140*'7. Erosió de costa'!$D$111))</f>
        <v>-2.5993733031674209</v>
      </c>
      <c r="Q129" s="931">
        <f>IF($J129&gt;0, $J129-($J129*'7. Erosió de costa'!J$140*'7. Erosió de costa'!$D$111),$J129+($J129*'7. Erosió de costa'!J$140*'7. Erosió de costa'!$D$111))</f>
        <v>-2.6442688536953245</v>
      </c>
      <c r="R129" s="931">
        <f>IF($J129&gt;0, $J129-($J129*'7. Erosió de costa'!K$140*'7. Erosió de costa'!$D$111),$J129+($J129*'7. Erosió de costa'!K$140*'7. Erosió de costa'!$D$111))</f>
        <v>-2.6891644042232277</v>
      </c>
      <c r="S129" s="931">
        <f>IF($J129&gt;0, $J129-($J129*'7. Erosió de costa'!L$140*'7. Erosió de costa'!$D$111),$J129+($J129*'7. Erosió de costa'!L$140*'7. Erosió de costa'!$D$111))</f>
        <v>-2.7340599547511313</v>
      </c>
      <c r="T129" s="931">
        <f>IF($J129&gt;0, $J129-($J129*'7. Erosió de costa'!M$140*'7. Erosió de costa'!$D$111),$J129+($J129*'7. Erosió de costa'!M$140*'7. Erosió de costa'!$D$111))</f>
        <v>-2.7789555052790349</v>
      </c>
      <c r="U129" s="931">
        <f>IF($J129&gt;0, $J129-($J129*'7. Erosió de costa'!N$140*'7. Erosió de costa'!$D$111),$J129+($J129*'7. Erosió de costa'!N$140*'7. Erosió de costa'!$D$111))</f>
        <v>-2.8238510558069381</v>
      </c>
      <c r="V129" s="931">
        <f>IF($J129&gt;0, $J129-($J129*'7. Erosió de costa'!O$140*'7. Erosió de costa'!$D$111),$J129+($J129*'7. Erosió de costa'!O$140*'7. Erosió de costa'!$D$111))</f>
        <v>-2.8687466063348417</v>
      </c>
      <c r="W129" s="931">
        <f>IF($J129&gt;0, $J129-($J129*'7. Erosió de costa'!P$140*'7. Erosió de costa'!$D$111),$J129+($J129*'7. Erosió de costa'!P$140*'7. Erosió de costa'!$D$111))</f>
        <v>-2.9136421568627453</v>
      </c>
      <c r="X129" s="931">
        <f>IF($J129&gt;0, $J129-($J129*'7. Erosió de costa'!Q$140*'7. Erosió de costa'!$D$111),$J129+($J129*'7. Erosió de costa'!Q$140*'7. Erosió de costa'!$D$111))</f>
        <v>-2.9585377073906485</v>
      </c>
      <c r="Y129" s="931">
        <f>IF($J129&gt;0, $J129-($J129*'7. Erosió de costa'!R$140*'7. Erosió de costa'!$D$111),$J129+($J129*'7. Erosió de costa'!R$140*'7. Erosió de costa'!$D$111))</f>
        <v>-3.0034332579185521</v>
      </c>
      <c r="Z129" s="941">
        <f t="shared" si="27"/>
        <v>39726.027397260274</v>
      </c>
      <c r="AA129" s="941">
        <f t="shared" si="28"/>
        <v>40491.487427426189</v>
      </c>
      <c r="AB129" s="941">
        <f t="shared" si="29"/>
        <v>41256.947457592098</v>
      </c>
      <c r="AC129" s="941">
        <f t="shared" si="30"/>
        <v>42022.407487758013</v>
      </c>
      <c r="AD129" s="941">
        <f t="shared" si="31"/>
        <v>42787.867517923929</v>
      </c>
      <c r="AE129" s="941">
        <f t="shared" si="32"/>
        <v>43553.327548089837</v>
      </c>
      <c r="AF129" s="941">
        <f t="shared" si="33"/>
        <v>44318.787578255753</v>
      </c>
      <c r="AG129" s="941">
        <f t="shared" si="34"/>
        <v>45084.247608421669</v>
      </c>
      <c r="AH129" s="941">
        <f t="shared" si="35"/>
        <v>45849.707638587577</v>
      </c>
      <c r="AI129" s="941">
        <f t="shared" si="36"/>
        <v>46615.167668753493</v>
      </c>
      <c r="AJ129" s="941">
        <f t="shared" si="37"/>
        <v>47380.627698919401</v>
      </c>
      <c r="AK129" s="941">
        <f t="shared" si="38"/>
        <v>48146.08772908531</v>
      </c>
      <c r="AL129" s="941">
        <f t="shared" si="39"/>
        <v>48911.547759251225</v>
      </c>
      <c r="AM129" s="941">
        <f t="shared" si="40"/>
        <v>49677.007789417141</v>
      </c>
      <c r="AN129" s="941">
        <f t="shared" si="41"/>
        <v>50442.467819583049</v>
      </c>
      <c r="AO129" s="941">
        <f t="shared" si="42"/>
        <v>51207.927849748965</v>
      </c>
      <c r="AP129" s="895">
        <f>IF(AO129&lt;0,"No hi ha pèrdua",IFERROR(SUM(AA129:AO129)*'7. Erosió de costa'!$C$86/1000000,""))</f>
        <v>22.69560528110085</v>
      </c>
    </row>
    <row r="130" spans="1:42">
      <c r="A130" s="835">
        <v>8127</v>
      </c>
      <c r="B130" s="826" t="s">
        <v>1227</v>
      </c>
      <c r="C130" s="835" t="str">
        <f t="shared" si="22"/>
        <v>NA</v>
      </c>
      <c r="D130" s="923" t="str">
        <f t="shared" si="23"/>
        <v>NA</v>
      </c>
      <c r="E130" s="931" t="str">
        <f t="shared" si="24"/>
        <v>NA</v>
      </c>
      <c r="F130" s="926" t="str">
        <f t="shared" si="25"/>
        <v>NA</v>
      </c>
      <c r="G130" s="923" t="str">
        <f t="shared" si="26"/>
        <v>NA</v>
      </c>
      <c r="H130" s="931" t="str">
        <f>IFERROR(IF((G130*'7. Erosió de costa'!$C$86/1000000)&lt;0,"guanya sorra",G130*'7. Erosió de costa'!$C$86/1000000),"")</f>
        <v/>
      </c>
      <c r="I130" s="937" t="str">
        <f>IFERROR(IF(('A. Dades de partida'!$D$10*G130*'7. Erosió de costa'!$C$86/1000000)&lt;0,"guanya sorra",'A. Dades de partida'!$D$10*G130*'7. Erosió de costa'!$C$86/1000000),"")</f>
        <v/>
      </c>
      <c r="J130" s="931" t="str">
        <f t="shared" si="43"/>
        <v>NA</v>
      </c>
      <c r="K130" s="931"/>
      <c r="L130" s="931"/>
      <c r="M130" s="931"/>
      <c r="N130" s="931"/>
      <c r="O130" s="931"/>
      <c r="P130" s="931"/>
      <c r="Q130" s="931"/>
      <c r="R130" s="931"/>
      <c r="S130" s="931"/>
      <c r="T130" s="931"/>
      <c r="U130" s="931"/>
      <c r="V130" s="931"/>
      <c r="W130" s="931"/>
      <c r="X130" s="931"/>
      <c r="Y130" s="931"/>
      <c r="Z130" s="941" t="str">
        <f t="shared" si="27"/>
        <v/>
      </c>
      <c r="AA130" s="941" t="str">
        <f t="shared" si="28"/>
        <v/>
      </c>
      <c r="AB130" s="941" t="str">
        <f t="shared" si="29"/>
        <v/>
      </c>
      <c r="AC130" s="941" t="str">
        <f t="shared" si="30"/>
        <v/>
      </c>
      <c r="AD130" s="941" t="str">
        <f t="shared" si="31"/>
        <v/>
      </c>
      <c r="AE130" s="941" t="str">
        <f t="shared" si="32"/>
        <v/>
      </c>
      <c r="AF130" s="941" t="str">
        <f t="shared" si="33"/>
        <v/>
      </c>
      <c r="AG130" s="941" t="str">
        <f t="shared" si="34"/>
        <v/>
      </c>
      <c r="AH130" s="941" t="str">
        <f t="shared" si="35"/>
        <v/>
      </c>
      <c r="AI130" s="941" t="str">
        <f t="shared" si="36"/>
        <v/>
      </c>
      <c r="AJ130" s="941" t="str">
        <f t="shared" si="37"/>
        <v/>
      </c>
      <c r="AK130" s="941" t="str">
        <f t="shared" si="38"/>
        <v/>
      </c>
      <c r="AL130" s="941" t="str">
        <f t="shared" si="39"/>
        <v/>
      </c>
      <c r="AM130" s="941" t="str">
        <f t="shared" si="40"/>
        <v/>
      </c>
      <c r="AN130" s="941" t="str">
        <f t="shared" si="41"/>
        <v/>
      </c>
      <c r="AO130" s="941" t="str">
        <f t="shared" si="42"/>
        <v/>
      </c>
      <c r="AP130" s="895">
        <f>IF(AO130&lt;0,"No hi ha pèrdua",IFERROR(SUM(AA130:AO130)*'7. Erosió de costa'!$C$86/1000000,""))</f>
        <v>0</v>
      </c>
    </row>
    <row r="131" spans="1:42">
      <c r="A131" s="835">
        <v>8128</v>
      </c>
      <c r="B131" s="826" t="s">
        <v>1230</v>
      </c>
      <c r="C131" s="835" t="str">
        <f t="shared" si="22"/>
        <v>NA</v>
      </c>
      <c r="D131" s="923" t="str">
        <f t="shared" si="23"/>
        <v>NA</v>
      </c>
      <c r="E131" s="931" t="str">
        <f t="shared" si="24"/>
        <v>NA</v>
      </c>
      <c r="F131" s="926" t="str">
        <f t="shared" si="25"/>
        <v>NA</v>
      </c>
      <c r="G131" s="923" t="str">
        <f t="shared" si="26"/>
        <v>NA</v>
      </c>
      <c r="H131" s="931" t="str">
        <f>IFERROR(IF((G131*'7. Erosió de costa'!$C$86/1000000)&lt;0,"guanya sorra",G131*'7. Erosió de costa'!$C$86/1000000),"")</f>
        <v/>
      </c>
      <c r="I131" s="937" t="str">
        <f>IFERROR(IF(('A. Dades de partida'!$D$10*G131*'7. Erosió de costa'!$C$86/1000000)&lt;0,"guanya sorra",'A. Dades de partida'!$D$10*G131*'7. Erosió de costa'!$C$86/1000000),"")</f>
        <v/>
      </c>
      <c r="J131" s="931" t="str">
        <f t="shared" si="43"/>
        <v>NA</v>
      </c>
      <c r="K131" s="931"/>
      <c r="L131" s="931"/>
      <c r="M131" s="931"/>
      <c r="N131" s="931"/>
      <c r="O131" s="931"/>
      <c r="P131" s="931"/>
      <c r="Q131" s="931"/>
      <c r="R131" s="931"/>
      <c r="S131" s="931"/>
      <c r="T131" s="931"/>
      <c r="U131" s="931"/>
      <c r="V131" s="931"/>
      <c r="W131" s="931"/>
      <c r="X131" s="931"/>
      <c r="Y131" s="931"/>
      <c r="Z131" s="941" t="str">
        <f t="shared" si="27"/>
        <v/>
      </c>
      <c r="AA131" s="941" t="str">
        <f t="shared" si="28"/>
        <v/>
      </c>
      <c r="AB131" s="941" t="str">
        <f t="shared" si="29"/>
        <v/>
      </c>
      <c r="AC131" s="941" t="str">
        <f t="shared" si="30"/>
        <v/>
      </c>
      <c r="AD131" s="941" t="str">
        <f t="shared" si="31"/>
        <v/>
      </c>
      <c r="AE131" s="941" t="str">
        <f t="shared" si="32"/>
        <v/>
      </c>
      <c r="AF131" s="941" t="str">
        <f t="shared" si="33"/>
        <v/>
      </c>
      <c r="AG131" s="941" t="str">
        <f t="shared" si="34"/>
        <v/>
      </c>
      <c r="AH131" s="941" t="str">
        <f t="shared" si="35"/>
        <v/>
      </c>
      <c r="AI131" s="941" t="str">
        <f t="shared" si="36"/>
        <v/>
      </c>
      <c r="AJ131" s="941" t="str">
        <f t="shared" si="37"/>
        <v/>
      </c>
      <c r="AK131" s="941" t="str">
        <f t="shared" si="38"/>
        <v/>
      </c>
      <c r="AL131" s="941" t="str">
        <f t="shared" si="39"/>
        <v/>
      </c>
      <c r="AM131" s="941" t="str">
        <f t="shared" si="40"/>
        <v/>
      </c>
      <c r="AN131" s="941" t="str">
        <f t="shared" si="41"/>
        <v/>
      </c>
      <c r="AO131" s="941" t="str">
        <f t="shared" si="42"/>
        <v/>
      </c>
      <c r="AP131" s="895">
        <f>IF(AO131&lt;0,"No hi ha pèrdua",IFERROR(SUM(AA131:AO131)*'7. Erosió de costa'!$C$86/1000000,""))</f>
        <v>0</v>
      </c>
    </row>
    <row r="132" spans="1:42">
      <c r="A132" s="835">
        <v>8129</v>
      </c>
      <c r="B132" s="826" t="s">
        <v>1233</v>
      </c>
      <c r="C132" s="835" t="str">
        <f t="shared" ref="C132:C195" si="44">IFERROR(VLOOKUP($B132,costa,2,FALSE),"NA")</f>
        <v>NA</v>
      </c>
      <c r="D132" s="923" t="str">
        <f t="shared" ref="D132:D195" si="45">IFERROR(VLOOKUP($B132,costa,3,FALSE),"NA")</f>
        <v>NA</v>
      </c>
      <c r="E132" s="931" t="str">
        <f t="shared" ref="E132:E195" si="46">IFERROR(VLOOKUP(C132,mermes,3,FALSE),"NA")</f>
        <v>NA</v>
      </c>
      <c r="F132" s="926" t="str">
        <f t="shared" ref="F132:F195" si="47">IFERROR(VLOOKUP(C132,mermes,5,FALSE),"NA")</f>
        <v>NA</v>
      </c>
      <c r="G132" s="923" t="str">
        <f t="shared" si="26"/>
        <v>NA</v>
      </c>
      <c r="H132" s="931" t="str">
        <f>IFERROR(IF((G132*'7. Erosió de costa'!$C$86/1000000)&lt;0,"guanya sorra",G132*'7. Erosió de costa'!$C$86/1000000),"")</f>
        <v/>
      </c>
      <c r="I132" s="937" t="str">
        <f>IFERROR(IF(('A. Dades de partida'!$D$10*G132*'7. Erosió de costa'!$C$86/1000000)&lt;0,"guanya sorra",'A. Dades de partida'!$D$10*G132*'7. Erosió de costa'!$C$86/1000000),"")</f>
        <v/>
      </c>
      <c r="J132" s="931" t="str">
        <f t="shared" si="43"/>
        <v>NA</v>
      </c>
      <c r="K132" s="931"/>
      <c r="L132" s="931"/>
      <c r="M132" s="931"/>
      <c r="N132" s="931"/>
      <c r="O132" s="931"/>
      <c r="P132" s="931"/>
      <c r="Q132" s="931"/>
      <c r="R132" s="931"/>
      <c r="S132" s="931"/>
      <c r="T132" s="931"/>
      <c r="U132" s="931"/>
      <c r="V132" s="931"/>
      <c r="W132" s="931"/>
      <c r="X132" s="931"/>
      <c r="Y132" s="931"/>
      <c r="Z132" s="941" t="str">
        <f t="shared" si="27"/>
        <v/>
      </c>
      <c r="AA132" s="941" t="str">
        <f t="shared" si="28"/>
        <v/>
      </c>
      <c r="AB132" s="941" t="str">
        <f t="shared" si="29"/>
        <v/>
      </c>
      <c r="AC132" s="941" t="str">
        <f t="shared" si="30"/>
        <v/>
      </c>
      <c r="AD132" s="941" t="str">
        <f t="shared" si="31"/>
        <v/>
      </c>
      <c r="AE132" s="941" t="str">
        <f t="shared" si="32"/>
        <v/>
      </c>
      <c r="AF132" s="941" t="str">
        <f t="shared" si="33"/>
        <v/>
      </c>
      <c r="AG132" s="941" t="str">
        <f t="shared" si="34"/>
        <v/>
      </c>
      <c r="AH132" s="941" t="str">
        <f t="shared" si="35"/>
        <v/>
      </c>
      <c r="AI132" s="941" t="str">
        <f t="shared" si="36"/>
        <v/>
      </c>
      <c r="AJ132" s="941" t="str">
        <f t="shared" si="37"/>
        <v/>
      </c>
      <c r="AK132" s="941" t="str">
        <f t="shared" si="38"/>
        <v/>
      </c>
      <c r="AL132" s="941" t="str">
        <f t="shared" si="39"/>
        <v/>
      </c>
      <c r="AM132" s="941" t="str">
        <f t="shared" si="40"/>
        <v/>
      </c>
      <c r="AN132" s="941" t="str">
        <f t="shared" si="41"/>
        <v/>
      </c>
      <c r="AO132" s="941" t="str">
        <f t="shared" si="42"/>
        <v/>
      </c>
      <c r="AP132" s="895">
        <f>IF(AO132&lt;0,"No hi ha pèrdua",IFERROR(SUM(AA132:AO132)*'7. Erosió de costa'!$C$86/1000000,""))</f>
        <v>0</v>
      </c>
    </row>
    <row r="133" spans="1:42">
      <c r="A133" s="835">
        <v>8130</v>
      </c>
      <c r="B133" s="826" t="s">
        <v>1237</v>
      </c>
      <c r="C133" s="835" t="str">
        <f t="shared" si="44"/>
        <v>NA</v>
      </c>
      <c r="D133" s="923" t="str">
        <f t="shared" si="45"/>
        <v>NA</v>
      </c>
      <c r="E133" s="931" t="str">
        <f t="shared" si="46"/>
        <v>NA</v>
      </c>
      <c r="F133" s="926" t="str">
        <f t="shared" si="47"/>
        <v>NA</v>
      </c>
      <c r="G133" s="923" t="str">
        <f t="shared" ref="G133:G196" si="48">IFERROR(-1*D133*E133*F133,"NA")</f>
        <v>NA</v>
      </c>
      <c r="H133" s="931" t="str">
        <f>IFERROR(IF((G133*'7. Erosió de costa'!$C$86/1000000)&lt;0,"guanya sorra",G133*'7. Erosió de costa'!$C$86/1000000),"")</f>
        <v/>
      </c>
      <c r="I133" s="937" t="str">
        <f>IFERROR(IF(('A. Dades de partida'!$D$10*G133*'7. Erosió de costa'!$C$86/1000000)&lt;0,"guanya sorra",'A. Dades de partida'!$D$10*G133*'7. Erosió de costa'!$C$86/1000000),"")</f>
        <v/>
      </c>
      <c r="J133" s="931" t="str">
        <f t="shared" si="43"/>
        <v>NA</v>
      </c>
      <c r="K133" s="931"/>
      <c r="L133" s="931"/>
      <c r="M133" s="931"/>
      <c r="N133" s="931"/>
      <c r="O133" s="931"/>
      <c r="P133" s="931"/>
      <c r="Q133" s="931"/>
      <c r="R133" s="931"/>
      <c r="S133" s="931"/>
      <c r="T133" s="931"/>
      <c r="U133" s="931"/>
      <c r="V133" s="931"/>
      <c r="W133" s="931"/>
      <c r="X133" s="931"/>
      <c r="Y133" s="931"/>
      <c r="Z133" s="941" t="str">
        <f t="shared" si="27"/>
        <v/>
      </c>
      <c r="AA133" s="941" t="str">
        <f t="shared" si="28"/>
        <v/>
      </c>
      <c r="AB133" s="941" t="str">
        <f t="shared" si="29"/>
        <v/>
      </c>
      <c r="AC133" s="941" t="str">
        <f t="shared" si="30"/>
        <v/>
      </c>
      <c r="AD133" s="941" t="str">
        <f t="shared" si="31"/>
        <v/>
      </c>
      <c r="AE133" s="941" t="str">
        <f t="shared" si="32"/>
        <v/>
      </c>
      <c r="AF133" s="941" t="str">
        <f t="shared" si="33"/>
        <v/>
      </c>
      <c r="AG133" s="941" t="str">
        <f t="shared" si="34"/>
        <v/>
      </c>
      <c r="AH133" s="941" t="str">
        <f t="shared" si="35"/>
        <v/>
      </c>
      <c r="AI133" s="941" t="str">
        <f t="shared" si="36"/>
        <v/>
      </c>
      <c r="AJ133" s="941" t="str">
        <f t="shared" si="37"/>
        <v/>
      </c>
      <c r="AK133" s="941" t="str">
        <f t="shared" si="38"/>
        <v/>
      </c>
      <c r="AL133" s="941" t="str">
        <f t="shared" si="39"/>
        <v/>
      </c>
      <c r="AM133" s="941" t="str">
        <f t="shared" si="40"/>
        <v/>
      </c>
      <c r="AN133" s="941" t="str">
        <f t="shared" si="41"/>
        <v/>
      </c>
      <c r="AO133" s="941" t="str">
        <f t="shared" si="42"/>
        <v/>
      </c>
      <c r="AP133" s="895">
        <f>IF(AO133&lt;0,"No hi ha pèrdua",IFERROR(SUM(AA133:AO133)*'7. Erosió de costa'!$C$86/1000000,""))</f>
        <v>0</v>
      </c>
    </row>
    <row r="134" spans="1:42">
      <c r="A134" s="835">
        <v>8131</v>
      </c>
      <c r="B134" s="826" t="s">
        <v>1240</v>
      </c>
      <c r="C134" s="835" t="str">
        <f t="shared" si="44"/>
        <v>NA</v>
      </c>
      <c r="D134" s="923" t="str">
        <f t="shared" si="45"/>
        <v>NA</v>
      </c>
      <c r="E134" s="931" t="str">
        <f t="shared" si="46"/>
        <v>NA</v>
      </c>
      <c r="F134" s="926" t="str">
        <f t="shared" si="47"/>
        <v>NA</v>
      </c>
      <c r="G134" s="923" t="str">
        <f t="shared" si="48"/>
        <v>NA</v>
      </c>
      <c r="H134" s="931" t="str">
        <f>IFERROR(IF((G134*'7. Erosió de costa'!$C$86/1000000)&lt;0,"guanya sorra",G134*'7. Erosió de costa'!$C$86/1000000),"")</f>
        <v/>
      </c>
      <c r="I134" s="937" t="str">
        <f>IFERROR(IF(('A. Dades de partida'!$D$10*G134*'7. Erosió de costa'!$C$86/1000000)&lt;0,"guanya sorra",'A. Dades de partida'!$D$10*G134*'7. Erosió de costa'!$C$86/1000000),"")</f>
        <v/>
      </c>
      <c r="J134" s="931" t="str">
        <f t="shared" si="43"/>
        <v>NA</v>
      </c>
      <c r="K134" s="931"/>
      <c r="L134" s="931"/>
      <c r="M134" s="931"/>
      <c r="N134" s="931"/>
      <c r="O134" s="931"/>
      <c r="P134" s="931"/>
      <c r="Q134" s="931"/>
      <c r="R134" s="931"/>
      <c r="S134" s="931"/>
      <c r="T134" s="931"/>
      <c r="U134" s="931"/>
      <c r="V134" s="931"/>
      <c r="W134" s="931"/>
      <c r="X134" s="931"/>
      <c r="Y134" s="931"/>
      <c r="Z134" s="941" t="str">
        <f t="shared" ref="Z134:Z197" si="49">IFERROR(-1*J134*$D134*$F134,"")</f>
        <v/>
      </c>
      <c r="AA134" s="941" t="str">
        <f t="shared" ref="AA134:AA197" si="50">IFERROR(-1*K134*$D134*$F134,"")</f>
        <v/>
      </c>
      <c r="AB134" s="941" t="str">
        <f t="shared" ref="AB134:AB197" si="51">IFERROR(-1*L134*$D134*$F134,"")</f>
        <v/>
      </c>
      <c r="AC134" s="941" t="str">
        <f t="shared" ref="AC134:AC197" si="52">IFERROR(-1*M134*$D134*$F134,"")</f>
        <v/>
      </c>
      <c r="AD134" s="941" t="str">
        <f t="shared" ref="AD134:AD197" si="53">IFERROR(-1*N134*$D134*$F134,"")</f>
        <v/>
      </c>
      <c r="AE134" s="941" t="str">
        <f t="shared" ref="AE134:AE197" si="54">IFERROR(-1*O134*$D134*$F134,"")</f>
        <v/>
      </c>
      <c r="AF134" s="941" t="str">
        <f t="shared" ref="AF134:AF197" si="55">IFERROR(-1*P134*$D134*$F134,"")</f>
        <v/>
      </c>
      <c r="AG134" s="941" t="str">
        <f t="shared" ref="AG134:AG197" si="56">IFERROR(-1*Q134*$D134*$F134,"")</f>
        <v/>
      </c>
      <c r="AH134" s="941" t="str">
        <f t="shared" ref="AH134:AH197" si="57">IFERROR(-1*R134*$D134*$F134,"")</f>
        <v/>
      </c>
      <c r="AI134" s="941" t="str">
        <f t="shared" ref="AI134:AI197" si="58">IFERROR(-1*S134*$D134*$F134,"")</f>
        <v/>
      </c>
      <c r="AJ134" s="941" t="str">
        <f t="shared" ref="AJ134:AJ197" si="59">IFERROR(-1*T134*$D134*$F134,"")</f>
        <v/>
      </c>
      <c r="AK134" s="941" t="str">
        <f t="shared" ref="AK134:AK197" si="60">IFERROR(-1*U134*$D134*$F134,"")</f>
        <v/>
      </c>
      <c r="AL134" s="941" t="str">
        <f t="shared" ref="AL134:AL197" si="61">IFERROR(-1*V134*$D134*$F134,"")</f>
        <v/>
      </c>
      <c r="AM134" s="941" t="str">
        <f t="shared" ref="AM134:AM197" si="62">IFERROR(-1*W134*$D134*$F134,"")</f>
        <v/>
      </c>
      <c r="AN134" s="941" t="str">
        <f t="shared" ref="AN134:AN197" si="63">IFERROR(-1*X134*$D134*$F134,"")</f>
        <v/>
      </c>
      <c r="AO134" s="941" t="str">
        <f t="shared" ref="AO134:AO197" si="64">IFERROR(-1*Y134*$D134*$F134,"")</f>
        <v/>
      </c>
      <c r="AP134" s="895">
        <f>IF(AO134&lt;0,"No hi ha pèrdua",IFERROR(SUM(AA134:AO134)*'7. Erosió de costa'!$C$86/1000000,""))</f>
        <v>0</v>
      </c>
    </row>
    <row r="135" spans="1:42">
      <c r="A135" s="835">
        <v>8132</v>
      </c>
      <c r="B135" s="826" t="s">
        <v>1245</v>
      </c>
      <c r="C135" s="835" t="str">
        <f t="shared" si="44"/>
        <v>NA</v>
      </c>
      <c r="D135" s="923" t="str">
        <f t="shared" si="45"/>
        <v>NA</v>
      </c>
      <c r="E135" s="931" t="str">
        <f t="shared" si="46"/>
        <v>NA</v>
      </c>
      <c r="F135" s="926" t="str">
        <f t="shared" si="47"/>
        <v>NA</v>
      </c>
      <c r="G135" s="923" t="str">
        <f t="shared" si="48"/>
        <v>NA</v>
      </c>
      <c r="H135" s="931" t="str">
        <f>IFERROR(IF((G135*'7. Erosió de costa'!$C$86/1000000)&lt;0,"guanya sorra",G135*'7. Erosió de costa'!$C$86/1000000),"")</f>
        <v/>
      </c>
      <c r="I135" s="937" t="str">
        <f>IFERROR(IF(('A. Dades de partida'!$D$10*G135*'7. Erosió de costa'!$C$86/1000000)&lt;0,"guanya sorra",'A. Dades de partida'!$D$10*G135*'7. Erosió de costa'!$C$86/1000000),"")</f>
        <v/>
      </c>
      <c r="J135" s="931" t="str">
        <f t="shared" si="43"/>
        <v>NA</v>
      </c>
      <c r="K135" s="931"/>
      <c r="L135" s="931"/>
      <c r="M135" s="931"/>
      <c r="N135" s="931"/>
      <c r="O135" s="931"/>
      <c r="P135" s="931"/>
      <c r="Q135" s="931"/>
      <c r="R135" s="931"/>
      <c r="S135" s="931"/>
      <c r="T135" s="931"/>
      <c r="U135" s="931"/>
      <c r="V135" s="931"/>
      <c r="W135" s="931"/>
      <c r="X135" s="931"/>
      <c r="Y135" s="931"/>
      <c r="Z135" s="941" t="str">
        <f t="shared" si="49"/>
        <v/>
      </c>
      <c r="AA135" s="941" t="str">
        <f t="shared" si="50"/>
        <v/>
      </c>
      <c r="AB135" s="941" t="str">
        <f t="shared" si="51"/>
        <v/>
      </c>
      <c r="AC135" s="941" t="str">
        <f t="shared" si="52"/>
        <v/>
      </c>
      <c r="AD135" s="941" t="str">
        <f t="shared" si="53"/>
        <v/>
      </c>
      <c r="AE135" s="941" t="str">
        <f t="shared" si="54"/>
        <v/>
      </c>
      <c r="AF135" s="941" t="str">
        <f t="shared" si="55"/>
        <v/>
      </c>
      <c r="AG135" s="941" t="str">
        <f t="shared" si="56"/>
        <v/>
      </c>
      <c r="AH135" s="941" t="str">
        <f t="shared" si="57"/>
        <v/>
      </c>
      <c r="AI135" s="941" t="str">
        <f t="shared" si="58"/>
        <v/>
      </c>
      <c r="AJ135" s="941" t="str">
        <f t="shared" si="59"/>
        <v/>
      </c>
      <c r="AK135" s="941" t="str">
        <f t="shared" si="60"/>
        <v/>
      </c>
      <c r="AL135" s="941" t="str">
        <f t="shared" si="61"/>
        <v/>
      </c>
      <c r="AM135" s="941" t="str">
        <f t="shared" si="62"/>
        <v/>
      </c>
      <c r="AN135" s="941" t="str">
        <f t="shared" si="63"/>
        <v/>
      </c>
      <c r="AO135" s="941" t="str">
        <f t="shared" si="64"/>
        <v/>
      </c>
      <c r="AP135" s="895">
        <f>IF(AO135&lt;0,"No hi ha pèrdua",IFERROR(SUM(AA135:AO135)*'7. Erosió de costa'!$C$86/1000000,""))</f>
        <v>0</v>
      </c>
    </row>
    <row r="136" spans="1:42">
      <c r="A136" s="835">
        <v>8133</v>
      </c>
      <c r="B136" s="826" t="s">
        <v>1249</v>
      </c>
      <c r="C136" s="835" t="str">
        <f t="shared" si="44"/>
        <v>NA</v>
      </c>
      <c r="D136" s="923" t="str">
        <f t="shared" si="45"/>
        <v>NA</v>
      </c>
      <c r="E136" s="931" t="str">
        <f t="shared" si="46"/>
        <v>NA</v>
      </c>
      <c r="F136" s="926" t="str">
        <f t="shared" si="47"/>
        <v>NA</v>
      </c>
      <c r="G136" s="923" t="str">
        <f t="shared" si="48"/>
        <v>NA</v>
      </c>
      <c r="H136" s="931" t="str">
        <f>IFERROR(IF((G136*'7. Erosió de costa'!$C$86/1000000)&lt;0,"guanya sorra",G136*'7. Erosió de costa'!$C$86/1000000),"")</f>
        <v/>
      </c>
      <c r="I136" s="937" t="str">
        <f>IFERROR(IF(('A. Dades de partida'!$D$10*G136*'7. Erosió de costa'!$C$86/1000000)&lt;0,"guanya sorra",'A. Dades de partida'!$D$10*G136*'7. Erosió de costa'!$C$86/1000000),"")</f>
        <v/>
      </c>
      <c r="J136" s="931" t="str">
        <f t="shared" si="43"/>
        <v>NA</v>
      </c>
      <c r="K136" s="931"/>
      <c r="L136" s="931"/>
      <c r="M136" s="931"/>
      <c r="N136" s="931"/>
      <c r="O136" s="931"/>
      <c r="P136" s="931"/>
      <c r="Q136" s="931"/>
      <c r="R136" s="931"/>
      <c r="S136" s="931"/>
      <c r="T136" s="931"/>
      <c r="U136" s="931"/>
      <c r="V136" s="931"/>
      <c r="W136" s="931"/>
      <c r="X136" s="931"/>
      <c r="Y136" s="931"/>
      <c r="Z136" s="941" t="str">
        <f t="shared" si="49"/>
        <v/>
      </c>
      <c r="AA136" s="941" t="str">
        <f t="shared" si="50"/>
        <v/>
      </c>
      <c r="AB136" s="941" t="str">
        <f t="shared" si="51"/>
        <v/>
      </c>
      <c r="AC136" s="941" t="str">
        <f t="shared" si="52"/>
        <v/>
      </c>
      <c r="AD136" s="941" t="str">
        <f t="shared" si="53"/>
        <v/>
      </c>
      <c r="AE136" s="941" t="str">
        <f t="shared" si="54"/>
        <v/>
      </c>
      <c r="AF136" s="941" t="str">
        <f t="shared" si="55"/>
        <v/>
      </c>
      <c r="AG136" s="941" t="str">
        <f t="shared" si="56"/>
        <v/>
      </c>
      <c r="AH136" s="941" t="str">
        <f t="shared" si="57"/>
        <v/>
      </c>
      <c r="AI136" s="941" t="str">
        <f t="shared" si="58"/>
        <v/>
      </c>
      <c r="AJ136" s="941" t="str">
        <f t="shared" si="59"/>
        <v/>
      </c>
      <c r="AK136" s="941" t="str">
        <f t="shared" si="60"/>
        <v/>
      </c>
      <c r="AL136" s="941" t="str">
        <f t="shared" si="61"/>
        <v/>
      </c>
      <c r="AM136" s="941" t="str">
        <f t="shared" si="62"/>
        <v/>
      </c>
      <c r="AN136" s="941" t="str">
        <f t="shared" si="63"/>
        <v/>
      </c>
      <c r="AO136" s="941" t="str">
        <f t="shared" si="64"/>
        <v/>
      </c>
      <c r="AP136" s="895">
        <f>IF(AO136&lt;0,"No hi ha pèrdua",IFERROR(SUM(AA136:AO136)*'7. Erosió de costa'!$C$86/1000000,""))</f>
        <v>0</v>
      </c>
    </row>
    <row r="137" spans="1:42">
      <c r="A137" s="835">
        <v>8134</v>
      </c>
      <c r="B137" s="826" t="s">
        <v>1253</v>
      </c>
      <c r="C137" s="835" t="str">
        <f t="shared" si="44"/>
        <v>NA</v>
      </c>
      <c r="D137" s="923" t="str">
        <f t="shared" si="45"/>
        <v>NA</v>
      </c>
      <c r="E137" s="931" t="str">
        <f t="shared" si="46"/>
        <v>NA</v>
      </c>
      <c r="F137" s="926" t="str">
        <f t="shared" si="47"/>
        <v>NA</v>
      </c>
      <c r="G137" s="923" t="str">
        <f t="shared" si="48"/>
        <v>NA</v>
      </c>
      <c r="H137" s="931" t="str">
        <f>IFERROR(IF((G137*'7. Erosió de costa'!$C$86/1000000)&lt;0,"guanya sorra",G137*'7. Erosió de costa'!$C$86/1000000),"")</f>
        <v/>
      </c>
      <c r="I137" s="937" t="str">
        <f>IFERROR(IF(('A. Dades de partida'!$D$10*G137*'7. Erosió de costa'!$C$86/1000000)&lt;0,"guanya sorra",'A. Dades de partida'!$D$10*G137*'7. Erosió de costa'!$C$86/1000000),"")</f>
        <v/>
      </c>
      <c r="J137" s="931" t="str">
        <f t="shared" si="43"/>
        <v>NA</v>
      </c>
      <c r="K137" s="931"/>
      <c r="L137" s="931"/>
      <c r="M137" s="931"/>
      <c r="N137" s="931"/>
      <c r="O137" s="931"/>
      <c r="P137" s="931"/>
      <c r="Q137" s="931"/>
      <c r="R137" s="931"/>
      <c r="S137" s="931"/>
      <c r="T137" s="931"/>
      <c r="U137" s="931"/>
      <c r="V137" s="931"/>
      <c r="W137" s="931"/>
      <c r="X137" s="931"/>
      <c r="Y137" s="931"/>
      <c r="Z137" s="941" t="str">
        <f t="shared" si="49"/>
        <v/>
      </c>
      <c r="AA137" s="941" t="str">
        <f t="shared" si="50"/>
        <v/>
      </c>
      <c r="AB137" s="941" t="str">
        <f t="shared" si="51"/>
        <v/>
      </c>
      <c r="AC137" s="941" t="str">
        <f t="shared" si="52"/>
        <v/>
      </c>
      <c r="AD137" s="941" t="str">
        <f t="shared" si="53"/>
        <v/>
      </c>
      <c r="AE137" s="941" t="str">
        <f t="shared" si="54"/>
        <v/>
      </c>
      <c r="AF137" s="941" t="str">
        <f t="shared" si="55"/>
        <v/>
      </c>
      <c r="AG137" s="941" t="str">
        <f t="shared" si="56"/>
        <v/>
      </c>
      <c r="AH137" s="941" t="str">
        <f t="shared" si="57"/>
        <v/>
      </c>
      <c r="AI137" s="941" t="str">
        <f t="shared" si="58"/>
        <v/>
      </c>
      <c r="AJ137" s="941" t="str">
        <f t="shared" si="59"/>
        <v/>
      </c>
      <c r="AK137" s="941" t="str">
        <f t="shared" si="60"/>
        <v/>
      </c>
      <c r="AL137" s="941" t="str">
        <f t="shared" si="61"/>
        <v/>
      </c>
      <c r="AM137" s="941" t="str">
        <f t="shared" si="62"/>
        <v/>
      </c>
      <c r="AN137" s="941" t="str">
        <f t="shared" si="63"/>
        <v/>
      </c>
      <c r="AO137" s="941" t="str">
        <f t="shared" si="64"/>
        <v/>
      </c>
      <c r="AP137" s="895">
        <f>IF(AO137&lt;0,"No hi ha pèrdua",IFERROR(SUM(AA137:AO137)*'7. Erosió de costa'!$C$86/1000000,""))</f>
        <v>0</v>
      </c>
    </row>
    <row r="138" spans="1:42">
      <c r="A138" s="835">
        <v>8135</v>
      </c>
      <c r="B138" s="826" t="s">
        <v>1255</v>
      </c>
      <c r="C138" s="835" t="str">
        <f t="shared" si="44"/>
        <v>NA</v>
      </c>
      <c r="D138" s="923" t="str">
        <f t="shared" si="45"/>
        <v>NA</v>
      </c>
      <c r="E138" s="931" t="str">
        <f t="shared" si="46"/>
        <v>NA</v>
      </c>
      <c r="F138" s="926" t="str">
        <f t="shared" si="47"/>
        <v>NA</v>
      </c>
      <c r="G138" s="923" t="str">
        <f t="shared" si="48"/>
        <v>NA</v>
      </c>
      <c r="H138" s="931" t="str">
        <f>IFERROR(IF((G138*'7. Erosió de costa'!$C$86/1000000)&lt;0,"guanya sorra",G138*'7. Erosió de costa'!$C$86/1000000),"")</f>
        <v/>
      </c>
      <c r="I138" s="937" t="str">
        <f>IFERROR(IF(('A. Dades de partida'!$D$10*G138*'7. Erosió de costa'!$C$86/1000000)&lt;0,"guanya sorra",'A. Dades de partida'!$D$10*G138*'7. Erosió de costa'!$C$86/1000000),"")</f>
        <v/>
      </c>
      <c r="J138" s="931" t="str">
        <f t="shared" si="43"/>
        <v>NA</v>
      </c>
      <c r="K138" s="931"/>
      <c r="L138" s="931"/>
      <c r="M138" s="931"/>
      <c r="N138" s="931"/>
      <c r="O138" s="931"/>
      <c r="P138" s="931"/>
      <c r="Q138" s="931"/>
      <c r="R138" s="931"/>
      <c r="S138" s="931"/>
      <c r="T138" s="931"/>
      <c r="U138" s="931"/>
      <c r="V138" s="931"/>
      <c r="W138" s="931"/>
      <c r="X138" s="931"/>
      <c r="Y138" s="931"/>
      <c r="Z138" s="941" t="str">
        <f t="shared" si="49"/>
        <v/>
      </c>
      <c r="AA138" s="941" t="str">
        <f t="shared" si="50"/>
        <v/>
      </c>
      <c r="AB138" s="941" t="str">
        <f t="shared" si="51"/>
        <v/>
      </c>
      <c r="AC138" s="941" t="str">
        <f t="shared" si="52"/>
        <v/>
      </c>
      <c r="AD138" s="941" t="str">
        <f t="shared" si="53"/>
        <v/>
      </c>
      <c r="AE138" s="941" t="str">
        <f t="shared" si="54"/>
        <v/>
      </c>
      <c r="AF138" s="941" t="str">
        <f t="shared" si="55"/>
        <v/>
      </c>
      <c r="AG138" s="941" t="str">
        <f t="shared" si="56"/>
        <v/>
      </c>
      <c r="AH138" s="941" t="str">
        <f t="shared" si="57"/>
        <v/>
      </c>
      <c r="AI138" s="941" t="str">
        <f t="shared" si="58"/>
        <v/>
      </c>
      <c r="AJ138" s="941" t="str">
        <f t="shared" si="59"/>
        <v/>
      </c>
      <c r="AK138" s="941" t="str">
        <f t="shared" si="60"/>
        <v/>
      </c>
      <c r="AL138" s="941" t="str">
        <f t="shared" si="61"/>
        <v/>
      </c>
      <c r="AM138" s="941" t="str">
        <f t="shared" si="62"/>
        <v/>
      </c>
      <c r="AN138" s="941" t="str">
        <f t="shared" si="63"/>
        <v/>
      </c>
      <c r="AO138" s="941" t="str">
        <f t="shared" si="64"/>
        <v/>
      </c>
      <c r="AP138" s="895">
        <f>IF(AO138&lt;0,"No hi ha pèrdua",IFERROR(SUM(AA138:AO138)*'7. Erosió de costa'!$C$86/1000000,""))</f>
        <v>0</v>
      </c>
    </row>
    <row r="139" spans="1:42">
      <c r="A139" s="835">
        <v>8136</v>
      </c>
      <c r="B139" s="826" t="s">
        <v>1256</v>
      </c>
      <c r="C139" s="835" t="str">
        <f t="shared" si="44"/>
        <v>NA</v>
      </c>
      <c r="D139" s="923" t="str">
        <f t="shared" si="45"/>
        <v>NA</v>
      </c>
      <c r="E139" s="931" t="str">
        <f t="shared" si="46"/>
        <v>NA</v>
      </c>
      <c r="F139" s="926" t="str">
        <f t="shared" si="47"/>
        <v>NA</v>
      </c>
      <c r="G139" s="923" t="str">
        <f t="shared" si="48"/>
        <v>NA</v>
      </c>
      <c r="H139" s="931" t="str">
        <f>IFERROR(IF((G139*'7. Erosió de costa'!$C$86/1000000)&lt;0,"guanya sorra",G139*'7. Erosió de costa'!$C$86/1000000),"")</f>
        <v/>
      </c>
      <c r="I139" s="937" t="str">
        <f>IFERROR(IF(('A. Dades de partida'!$D$10*G139*'7. Erosió de costa'!$C$86/1000000)&lt;0,"guanya sorra",'A. Dades de partida'!$D$10*G139*'7. Erosió de costa'!$C$86/1000000),"")</f>
        <v/>
      </c>
      <c r="J139" s="931" t="str">
        <f t="shared" si="43"/>
        <v>NA</v>
      </c>
      <c r="K139" s="931"/>
      <c r="L139" s="931"/>
      <c r="M139" s="931"/>
      <c r="N139" s="931"/>
      <c r="O139" s="931"/>
      <c r="P139" s="931"/>
      <c r="Q139" s="931"/>
      <c r="R139" s="931"/>
      <c r="S139" s="931"/>
      <c r="T139" s="931"/>
      <c r="U139" s="931"/>
      <c r="V139" s="931"/>
      <c r="W139" s="931"/>
      <c r="X139" s="931"/>
      <c r="Y139" s="931"/>
      <c r="Z139" s="941" t="str">
        <f t="shared" si="49"/>
        <v/>
      </c>
      <c r="AA139" s="941" t="str">
        <f t="shared" si="50"/>
        <v/>
      </c>
      <c r="AB139" s="941" t="str">
        <f t="shared" si="51"/>
        <v/>
      </c>
      <c r="AC139" s="941" t="str">
        <f t="shared" si="52"/>
        <v/>
      </c>
      <c r="AD139" s="941" t="str">
        <f t="shared" si="53"/>
        <v/>
      </c>
      <c r="AE139" s="941" t="str">
        <f t="shared" si="54"/>
        <v/>
      </c>
      <c r="AF139" s="941" t="str">
        <f t="shared" si="55"/>
        <v/>
      </c>
      <c r="AG139" s="941" t="str">
        <f t="shared" si="56"/>
        <v/>
      </c>
      <c r="AH139" s="941" t="str">
        <f t="shared" si="57"/>
        <v/>
      </c>
      <c r="AI139" s="941" t="str">
        <f t="shared" si="58"/>
        <v/>
      </c>
      <c r="AJ139" s="941" t="str">
        <f t="shared" si="59"/>
        <v/>
      </c>
      <c r="AK139" s="941" t="str">
        <f t="shared" si="60"/>
        <v/>
      </c>
      <c r="AL139" s="941" t="str">
        <f t="shared" si="61"/>
        <v/>
      </c>
      <c r="AM139" s="941" t="str">
        <f t="shared" si="62"/>
        <v/>
      </c>
      <c r="AN139" s="941" t="str">
        <f t="shared" si="63"/>
        <v/>
      </c>
      <c r="AO139" s="941" t="str">
        <f t="shared" si="64"/>
        <v/>
      </c>
      <c r="AP139" s="895">
        <f>IF(AO139&lt;0,"No hi ha pèrdua",IFERROR(SUM(AA139:AO139)*'7. Erosió de costa'!$C$86/1000000,""))</f>
        <v>0</v>
      </c>
    </row>
    <row r="140" spans="1:42">
      <c r="A140" s="835">
        <v>8137</v>
      </c>
      <c r="B140" s="826" t="s">
        <v>1258</v>
      </c>
      <c r="C140" s="835" t="str">
        <f t="shared" si="44"/>
        <v>NA</v>
      </c>
      <c r="D140" s="923" t="str">
        <f t="shared" si="45"/>
        <v>NA</v>
      </c>
      <c r="E140" s="931" t="str">
        <f t="shared" si="46"/>
        <v>NA</v>
      </c>
      <c r="F140" s="926" t="str">
        <f t="shared" si="47"/>
        <v>NA</v>
      </c>
      <c r="G140" s="923" t="str">
        <f t="shared" si="48"/>
        <v>NA</v>
      </c>
      <c r="H140" s="931" t="str">
        <f>IFERROR(IF((G140*'7. Erosió de costa'!$C$86/1000000)&lt;0,"guanya sorra",G140*'7. Erosió de costa'!$C$86/1000000),"")</f>
        <v/>
      </c>
      <c r="I140" s="937" t="str">
        <f>IFERROR(IF(('A. Dades de partida'!$D$10*G140*'7. Erosió de costa'!$C$86/1000000)&lt;0,"guanya sorra",'A. Dades de partida'!$D$10*G140*'7. Erosió de costa'!$C$86/1000000),"")</f>
        <v/>
      </c>
      <c r="J140" s="931" t="str">
        <f t="shared" si="43"/>
        <v>NA</v>
      </c>
      <c r="K140" s="931"/>
      <c r="L140" s="931"/>
      <c r="M140" s="931"/>
      <c r="N140" s="931"/>
      <c r="O140" s="931"/>
      <c r="P140" s="931"/>
      <c r="Q140" s="931"/>
      <c r="R140" s="931"/>
      <c r="S140" s="931"/>
      <c r="T140" s="931"/>
      <c r="U140" s="931"/>
      <c r="V140" s="931"/>
      <c r="W140" s="931"/>
      <c r="X140" s="931"/>
      <c r="Y140" s="931"/>
      <c r="Z140" s="941" t="str">
        <f t="shared" si="49"/>
        <v/>
      </c>
      <c r="AA140" s="941" t="str">
        <f t="shared" si="50"/>
        <v/>
      </c>
      <c r="AB140" s="941" t="str">
        <f t="shared" si="51"/>
        <v/>
      </c>
      <c r="AC140" s="941" t="str">
        <f t="shared" si="52"/>
        <v/>
      </c>
      <c r="AD140" s="941" t="str">
        <f t="shared" si="53"/>
        <v/>
      </c>
      <c r="AE140" s="941" t="str">
        <f t="shared" si="54"/>
        <v/>
      </c>
      <c r="AF140" s="941" t="str">
        <f t="shared" si="55"/>
        <v/>
      </c>
      <c r="AG140" s="941" t="str">
        <f t="shared" si="56"/>
        <v/>
      </c>
      <c r="AH140" s="941" t="str">
        <f t="shared" si="57"/>
        <v/>
      </c>
      <c r="AI140" s="941" t="str">
        <f t="shared" si="58"/>
        <v/>
      </c>
      <c r="AJ140" s="941" t="str">
        <f t="shared" si="59"/>
        <v/>
      </c>
      <c r="AK140" s="941" t="str">
        <f t="shared" si="60"/>
        <v/>
      </c>
      <c r="AL140" s="941" t="str">
        <f t="shared" si="61"/>
        <v/>
      </c>
      <c r="AM140" s="941" t="str">
        <f t="shared" si="62"/>
        <v/>
      </c>
      <c r="AN140" s="941" t="str">
        <f t="shared" si="63"/>
        <v/>
      </c>
      <c r="AO140" s="941" t="str">
        <f t="shared" si="64"/>
        <v/>
      </c>
      <c r="AP140" s="895">
        <f>IF(AO140&lt;0,"No hi ha pèrdua",IFERROR(SUM(AA140:AO140)*'7. Erosió de costa'!$C$86/1000000,""))</f>
        <v>0</v>
      </c>
    </row>
    <row r="141" spans="1:42">
      <c r="A141" s="835">
        <v>8138</v>
      </c>
      <c r="B141" s="826" t="s">
        <v>1260</v>
      </c>
      <c r="C141" s="835" t="str">
        <f t="shared" si="44"/>
        <v>NA</v>
      </c>
      <c r="D141" s="923" t="str">
        <f t="shared" si="45"/>
        <v>NA</v>
      </c>
      <c r="E141" s="931" t="str">
        <f t="shared" si="46"/>
        <v>NA</v>
      </c>
      <c r="F141" s="926" t="str">
        <f t="shared" si="47"/>
        <v>NA</v>
      </c>
      <c r="G141" s="923" t="str">
        <f t="shared" si="48"/>
        <v>NA</v>
      </c>
      <c r="H141" s="931" t="str">
        <f>IFERROR(IF((G141*'7. Erosió de costa'!$C$86/1000000)&lt;0,"guanya sorra",G141*'7. Erosió de costa'!$C$86/1000000),"")</f>
        <v/>
      </c>
      <c r="I141" s="937" t="str">
        <f>IFERROR(IF(('A. Dades de partida'!$D$10*G141*'7. Erosió de costa'!$C$86/1000000)&lt;0,"guanya sorra",'A. Dades de partida'!$D$10*G141*'7. Erosió de costa'!$C$86/1000000),"")</f>
        <v/>
      </c>
      <c r="J141" s="931" t="str">
        <f t="shared" si="43"/>
        <v>NA</v>
      </c>
      <c r="K141" s="931"/>
      <c r="L141" s="931"/>
      <c r="M141" s="931"/>
      <c r="N141" s="931"/>
      <c r="O141" s="931"/>
      <c r="P141" s="931"/>
      <c r="Q141" s="931"/>
      <c r="R141" s="931"/>
      <c r="S141" s="931"/>
      <c r="T141" s="931"/>
      <c r="U141" s="931"/>
      <c r="V141" s="931"/>
      <c r="W141" s="931"/>
      <c r="X141" s="931"/>
      <c r="Y141" s="931"/>
      <c r="Z141" s="941" t="str">
        <f t="shared" si="49"/>
        <v/>
      </c>
      <c r="AA141" s="941" t="str">
        <f t="shared" si="50"/>
        <v/>
      </c>
      <c r="AB141" s="941" t="str">
        <f t="shared" si="51"/>
        <v/>
      </c>
      <c r="AC141" s="941" t="str">
        <f t="shared" si="52"/>
        <v/>
      </c>
      <c r="AD141" s="941" t="str">
        <f t="shared" si="53"/>
        <v/>
      </c>
      <c r="AE141" s="941" t="str">
        <f t="shared" si="54"/>
        <v/>
      </c>
      <c r="AF141" s="941" t="str">
        <f t="shared" si="55"/>
        <v/>
      </c>
      <c r="AG141" s="941" t="str">
        <f t="shared" si="56"/>
        <v/>
      </c>
      <c r="AH141" s="941" t="str">
        <f t="shared" si="57"/>
        <v/>
      </c>
      <c r="AI141" s="941" t="str">
        <f t="shared" si="58"/>
        <v/>
      </c>
      <c r="AJ141" s="941" t="str">
        <f t="shared" si="59"/>
        <v/>
      </c>
      <c r="AK141" s="941" t="str">
        <f t="shared" si="60"/>
        <v/>
      </c>
      <c r="AL141" s="941" t="str">
        <f t="shared" si="61"/>
        <v/>
      </c>
      <c r="AM141" s="941" t="str">
        <f t="shared" si="62"/>
        <v/>
      </c>
      <c r="AN141" s="941" t="str">
        <f t="shared" si="63"/>
        <v/>
      </c>
      <c r="AO141" s="941" t="str">
        <f t="shared" si="64"/>
        <v/>
      </c>
      <c r="AP141" s="895">
        <f>IF(AO141&lt;0,"No hi ha pèrdua",IFERROR(SUM(AA141:AO141)*'7. Erosió de costa'!$C$86/1000000,""))</f>
        <v>0</v>
      </c>
    </row>
    <row r="142" spans="1:42">
      <c r="A142" s="835">
        <v>8139</v>
      </c>
      <c r="B142" s="826" t="s">
        <v>1263</v>
      </c>
      <c r="C142" s="835" t="str">
        <f t="shared" si="44"/>
        <v>NA</v>
      </c>
      <c r="D142" s="923" t="str">
        <f t="shared" si="45"/>
        <v>NA</v>
      </c>
      <c r="E142" s="931" t="str">
        <f t="shared" si="46"/>
        <v>NA</v>
      </c>
      <c r="F142" s="926" t="str">
        <f t="shared" si="47"/>
        <v>NA</v>
      </c>
      <c r="G142" s="923" t="str">
        <f t="shared" si="48"/>
        <v>NA</v>
      </c>
      <c r="H142" s="931" t="str">
        <f>IFERROR(IF((G142*'7. Erosió de costa'!$C$86/1000000)&lt;0,"guanya sorra",G142*'7. Erosió de costa'!$C$86/1000000),"")</f>
        <v/>
      </c>
      <c r="I142" s="937" t="str">
        <f>IFERROR(IF(('A. Dades de partida'!$D$10*G142*'7. Erosió de costa'!$C$86/1000000)&lt;0,"guanya sorra",'A. Dades de partida'!$D$10*G142*'7. Erosió de costa'!$C$86/1000000),"")</f>
        <v/>
      </c>
      <c r="J142" s="931" t="str">
        <f t="shared" si="43"/>
        <v>NA</v>
      </c>
      <c r="K142" s="931"/>
      <c r="L142" s="931"/>
      <c r="M142" s="931"/>
      <c r="N142" s="931"/>
      <c r="O142" s="931"/>
      <c r="P142" s="931"/>
      <c r="Q142" s="931"/>
      <c r="R142" s="931"/>
      <c r="S142" s="931"/>
      <c r="T142" s="931"/>
      <c r="U142" s="931"/>
      <c r="V142" s="931"/>
      <c r="W142" s="931"/>
      <c r="X142" s="931"/>
      <c r="Y142" s="931"/>
      <c r="Z142" s="941" t="str">
        <f t="shared" si="49"/>
        <v/>
      </c>
      <c r="AA142" s="941" t="str">
        <f t="shared" si="50"/>
        <v/>
      </c>
      <c r="AB142" s="941" t="str">
        <f t="shared" si="51"/>
        <v/>
      </c>
      <c r="AC142" s="941" t="str">
        <f t="shared" si="52"/>
        <v/>
      </c>
      <c r="AD142" s="941" t="str">
        <f t="shared" si="53"/>
        <v/>
      </c>
      <c r="AE142" s="941" t="str">
        <f t="shared" si="54"/>
        <v/>
      </c>
      <c r="AF142" s="941" t="str">
        <f t="shared" si="55"/>
        <v/>
      </c>
      <c r="AG142" s="941" t="str">
        <f t="shared" si="56"/>
        <v/>
      </c>
      <c r="AH142" s="941" t="str">
        <f t="shared" si="57"/>
        <v/>
      </c>
      <c r="AI142" s="941" t="str">
        <f t="shared" si="58"/>
        <v/>
      </c>
      <c r="AJ142" s="941" t="str">
        <f t="shared" si="59"/>
        <v/>
      </c>
      <c r="AK142" s="941" t="str">
        <f t="shared" si="60"/>
        <v/>
      </c>
      <c r="AL142" s="941" t="str">
        <f t="shared" si="61"/>
        <v/>
      </c>
      <c r="AM142" s="941" t="str">
        <f t="shared" si="62"/>
        <v/>
      </c>
      <c r="AN142" s="941" t="str">
        <f t="shared" si="63"/>
        <v/>
      </c>
      <c r="AO142" s="941" t="str">
        <f t="shared" si="64"/>
        <v/>
      </c>
      <c r="AP142" s="895">
        <f>IF(AO142&lt;0,"No hi ha pèrdua",IFERROR(SUM(AA142:AO142)*'7. Erosió de costa'!$C$86/1000000,""))</f>
        <v>0</v>
      </c>
    </row>
    <row r="143" spans="1:42">
      <c r="A143" s="835">
        <v>8140</v>
      </c>
      <c r="B143" s="826" t="s">
        <v>1268</v>
      </c>
      <c r="C143" s="835" t="str">
        <f t="shared" si="44"/>
        <v>NA</v>
      </c>
      <c r="D143" s="923" t="str">
        <f t="shared" si="45"/>
        <v>NA</v>
      </c>
      <c r="E143" s="931" t="str">
        <f t="shared" si="46"/>
        <v>NA</v>
      </c>
      <c r="F143" s="926" t="str">
        <f t="shared" si="47"/>
        <v>NA</v>
      </c>
      <c r="G143" s="923" t="str">
        <f t="shared" si="48"/>
        <v>NA</v>
      </c>
      <c r="H143" s="931" t="str">
        <f>IFERROR(IF((G143*'7. Erosió de costa'!$C$86/1000000)&lt;0,"guanya sorra",G143*'7. Erosió de costa'!$C$86/1000000),"")</f>
        <v/>
      </c>
      <c r="I143" s="937" t="str">
        <f>IFERROR(IF(('A. Dades de partida'!$D$10*G143*'7. Erosió de costa'!$C$86/1000000)&lt;0,"guanya sorra",'A. Dades de partida'!$D$10*G143*'7. Erosió de costa'!$C$86/1000000),"")</f>
        <v/>
      </c>
      <c r="J143" s="931" t="str">
        <f t="shared" si="43"/>
        <v>NA</v>
      </c>
      <c r="K143" s="931"/>
      <c r="L143" s="931"/>
      <c r="M143" s="931"/>
      <c r="N143" s="931"/>
      <c r="O143" s="931"/>
      <c r="P143" s="931"/>
      <c r="Q143" s="931"/>
      <c r="R143" s="931"/>
      <c r="S143" s="931"/>
      <c r="T143" s="931"/>
      <c r="U143" s="931"/>
      <c r="V143" s="931"/>
      <c r="W143" s="931"/>
      <c r="X143" s="931"/>
      <c r="Y143" s="931"/>
      <c r="Z143" s="941" t="str">
        <f t="shared" si="49"/>
        <v/>
      </c>
      <c r="AA143" s="941" t="str">
        <f t="shared" si="50"/>
        <v/>
      </c>
      <c r="AB143" s="941" t="str">
        <f t="shared" si="51"/>
        <v/>
      </c>
      <c r="AC143" s="941" t="str">
        <f t="shared" si="52"/>
        <v/>
      </c>
      <c r="AD143" s="941" t="str">
        <f t="shared" si="53"/>
        <v/>
      </c>
      <c r="AE143" s="941" t="str">
        <f t="shared" si="54"/>
        <v/>
      </c>
      <c r="AF143" s="941" t="str">
        <f t="shared" si="55"/>
        <v/>
      </c>
      <c r="AG143" s="941" t="str">
        <f t="shared" si="56"/>
        <v/>
      </c>
      <c r="AH143" s="941" t="str">
        <f t="shared" si="57"/>
        <v/>
      </c>
      <c r="AI143" s="941" t="str">
        <f t="shared" si="58"/>
        <v/>
      </c>
      <c r="AJ143" s="941" t="str">
        <f t="shared" si="59"/>
        <v/>
      </c>
      <c r="AK143" s="941" t="str">
        <f t="shared" si="60"/>
        <v/>
      </c>
      <c r="AL143" s="941" t="str">
        <f t="shared" si="61"/>
        <v/>
      </c>
      <c r="AM143" s="941" t="str">
        <f t="shared" si="62"/>
        <v/>
      </c>
      <c r="AN143" s="941" t="str">
        <f t="shared" si="63"/>
        <v/>
      </c>
      <c r="AO143" s="941" t="str">
        <f t="shared" si="64"/>
        <v/>
      </c>
      <c r="AP143" s="895">
        <f>IF(AO143&lt;0,"No hi ha pèrdua",IFERROR(SUM(AA143:AO143)*'7. Erosió de costa'!$C$86/1000000,""))</f>
        <v>0</v>
      </c>
    </row>
    <row r="144" spans="1:42">
      <c r="A144" s="835">
        <v>8141</v>
      </c>
      <c r="B144" s="826" t="s">
        <v>1269</v>
      </c>
      <c r="C144" s="835" t="str">
        <f t="shared" si="44"/>
        <v>NA</v>
      </c>
      <c r="D144" s="923" t="str">
        <f t="shared" si="45"/>
        <v>NA</v>
      </c>
      <c r="E144" s="931" t="str">
        <f t="shared" si="46"/>
        <v>NA</v>
      </c>
      <c r="F144" s="926" t="str">
        <f t="shared" si="47"/>
        <v>NA</v>
      </c>
      <c r="G144" s="923" t="str">
        <f t="shared" si="48"/>
        <v>NA</v>
      </c>
      <c r="H144" s="931" t="str">
        <f>IFERROR(IF((G144*'7. Erosió de costa'!$C$86/1000000)&lt;0,"guanya sorra",G144*'7. Erosió de costa'!$C$86/1000000),"")</f>
        <v/>
      </c>
      <c r="I144" s="937" t="str">
        <f>IFERROR(IF(('A. Dades de partida'!$D$10*G144*'7. Erosió de costa'!$C$86/1000000)&lt;0,"guanya sorra",'A. Dades de partida'!$D$10*G144*'7. Erosió de costa'!$C$86/1000000),"")</f>
        <v/>
      </c>
      <c r="J144" s="931" t="str">
        <f t="shared" si="43"/>
        <v>NA</v>
      </c>
      <c r="K144" s="931"/>
      <c r="L144" s="931"/>
      <c r="M144" s="931"/>
      <c r="N144" s="931"/>
      <c r="O144" s="931"/>
      <c r="P144" s="931"/>
      <c r="Q144" s="931"/>
      <c r="R144" s="931"/>
      <c r="S144" s="931"/>
      <c r="T144" s="931"/>
      <c r="U144" s="931"/>
      <c r="V144" s="931"/>
      <c r="W144" s="931"/>
      <c r="X144" s="931"/>
      <c r="Y144" s="931"/>
      <c r="Z144" s="941" t="str">
        <f t="shared" si="49"/>
        <v/>
      </c>
      <c r="AA144" s="941" t="str">
        <f t="shared" si="50"/>
        <v/>
      </c>
      <c r="AB144" s="941" t="str">
        <f t="shared" si="51"/>
        <v/>
      </c>
      <c r="AC144" s="941" t="str">
        <f t="shared" si="52"/>
        <v/>
      </c>
      <c r="AD144" s="941" t="str">
        <f t="shared" si="53"/>
        <v/>
      </c>
      <c r="AE144" s="941" t="str">
        <f t="shared" si="54"/>
        <v/>
      </c>
      <c r="AF144" s="941" t="str">
        <f t="shared" si="55"/>
        <v/>
      </c>
      <c r="AG144" s="941" t="str">
        <f t="shared" si="56"/>
        <v/>
      </c>
      <c r="AH144" s="941" t="str">
        <f t="shared" si="57"/>
        <v/>
      </c>
      <c r="AI144" s="941" t="str">
        <f t="shared" si="58"/>
        <v/>
      </c>
      <c r="AJ144" s="941" t="str">
        <f t="shared" si="59"/>
        <v/>
      </c>
      <c r="AK144" s="941" t="str">
        <f t="shared" si="60"/>
        <v/>
      </c>
      <c r="AL144" s="941" t="str">
        <f t="shared" si="61"/>
        <v/>
      </c>
      <c r="AM144" s="941" t="str">
        <f t="shared" si="62"/>
        <v/>
      </c>
      <c r="AN144" s="941" t="str">
        <f t="shared" si="63"/>
        <v/>
      </c>
      <c r="AO144" s="941" t="str">
        <f t="shared" si="64"/>
        <v/>
      </c>
      <c r="AP144" s="895">
        <f>IF(AO144&lt;0,"No hi ha pèrdua",IFERROR(SUM(AA144:AO144)*'7. Erosió de costa'!$C$86/1000000,""))</f>
        <v>0</v>
      </c>
    </row>
    <row r="145" spans="1:42">
      <c r="A145" s="835">
        <v>8142</v>
      </c>
      <c r="B145" s="826" t="s">
        <v>1272</v>
      </c>
      <c r="C145" s="835" t="str">
        <f t="shared" si="44"/>
        <v>NA</v>
      </c>
      <c r="D145" s="923" t="str">
        <f t="shared" si="45"/>
        <v>NA</v>
      </c>
      <c r="E145" s="931" t="str">
        <f t="shared" si="46"/>
        <v>NA</v>
      </c>
      <c r="F145" s="926" t="str">
        <f t="shared" si="47"/>
        <v>NA</v>
      </c>
      <c r="G145" s="923" t="str">
        <f t="shared" si="48"/>
        <v>NA</v>
      </c>
      <c r="H145" s="931" t="str">
        <f>IFERROR(IF((G145*'7. Erosió de costa'!$C$86/1000000)&lt;0,"guanya sorra",G145*'7. Erosió de costa'!$C$86/1000000),"")</f>
        <v/>
      </c>
      <c r="I145" s="937" t="str">
        <f>IFERROR(IF(('A. Dades de partida'!$D$10*G145*'7. Erosió de costa'!$C$86/1000000)&lt;0,"guanya sorra",'A. Dades de partida'!$D$10*G145*'7. Erosió de costa'!$C$86/1000000),"")</f>
        <v/>
      </c>
      <c r="J145" s="931" t="str">
        <f t="shared" si="43"/>
        <v>NA</v>
      </c>
      <c r="K145" s="931"/>
      <c r="L145" s="931"/>
      <c r="M145" s="931"/>
      <c r="N145" s="931"/>
      <c r="O145" s="931"/>
      <c r="P145" s="931"/>
      <c r="Q145" s="931"/>
      <c r="R145" s="931"/>
      <c r="S145" s="931"/>
      <c r="T145" s="931"/>
      <c r="U145" s="931"/>
      <c r="V145" s="931"/>
      <c r="W145" s="931"/>
      <c r="X145" s="931"/>
      <c r="Y145" s="931"/>
      <c r="Z145" s="941" t="str">
        <f t="shared" si="49"/>
        <v/>
      </c>
      <c r="AA145" s="941" t="str">
        <f t="shared" si="50"/>
        <v/>
      </c>
      <c r="AB145" s="941" t="str">
        <f t="shared" si="51"/>
        <v/>
      </c>
      <c r="AC145" s="941" t="str">
        <f t="shared" si="52"/>
        <v/>
      </c>
      <c r="AD145" s="941" t="str">
        <f t="shared" si="53"/>
        <v/>
      </c>
      <c r="AE145" s="941" t="str">
        <f t="shared" si="54"/>
        <v/>
      </c>
      <c r="AF145" s="941" t="str">
        <f t="shared" si="55"/>
        <v/>
      </c>
      <c r="AG145" s="941" t="str">
        <f t="shared" si="56"/>
        <v/>
      </c>
      <c r="AH145" s="941" t="str">
        <f t="shared" si="57"/>
        <v/>
      </c>
      <c r="AI145" s="941" t="str">
        <f t="shared" si="58"/>
        <v/>
      </c>
      <c r="AJ145" s="941" t="str">
        <f t="shared" si="59"/>
        <v/>
      </c>
      <c r="AK145" s="941" t="str">
        <f t="shared" si="60"/>
        <v/>
      </c>
      <c r="AL145" s="941" t="str">
        <f t="shared" si="61"/>
        <v/>
      </c>
      <c r="AM145" s="941" t="str">
        <f t="shared" si="62"/>
        <v/>
      </c>
      <c r="AN145" s="941" t="str">
        <f t="shared" si="63"/>
        <v/>
      </c>
      <c r="AO145" s="941" t="str">
        <f t="shared" si="64"/>
        <v/>
      </c>
      <c r="AP145" s="895">
        <f>IF(AO145&lt;0,"No hi ha pèrdua",IFERROR(SUM(AA145:AO145)*'7. Erosió de costa'!$C$86/1000000,""))</f>
        <v>0</v>
      </c>
    </row>
    <row r="146" spans="1:42">
      <c r="A146" s="835">
        <v>8143</v>
      </c>
      <c r="B146" s="826" t="s">
        <v>1274</v>
      </c>
      <c r="C146" s="835" t="str">
        <f t="shared" si="44"/>
        <v>NA</v>
      </c>
      <c r="D146" s="923" t="str">
        <f t="shared" si="45"/>
        <v>NA</v>
      </c>
      <c r="E146" s="931" t="str">
        <f t="shared" si="46"/>
        <v>NA</v>
      </c>
      <c r="F146" s="926" t="str">
        <f t="shared" si="47"/>
        <v>NA</v>
      </c>
      <c r="G146" s="923" t="str">
        <f t="shared" si="48"/>
        <v>NA</v>
      </c>
      <c r="H146" s="931" t="str">
        <f>IFERROR(IF((G146*'7. Erosió de costa'!$C$86/1000000)&lt;0,"guanya sorra",G146*'7. Erosió de costa'!$C$86/1000000),"")</f>
        <v/>
      </c>
      <c r="I146" s="937" t="str">
        <f>IFERROR(IF(('A. Dades de partida'!$D$10*G146*'7. Erosió de costa'!$C$86/1000000)&lt;0,"guanya sorra",'A. Dades de partida'!$D$10*G146*'7. Erosió de costa'!$C$86/1000000),"")</f>
        <v/>
      </c>
      <c r="J146" s="931" t="str">
        <f t="shared" si="43"/>
        <v>NA</v>
      </c>
      <c r="K146" s="931"/>
      <c r="L146" s="931"/>
      <c r="M146" s="931"/>
      <c r="N146" s="931"/>
      <c r="O146" s="931"/>
      <c r="P146" s="931"/>
      <c r="Q146" s="931"/>
      <c r="R146" s="931"/>
      <c r="S146" s="931"/>
      <c r="T146" s="931"/>
      <c r="U146" s="931"/>
      <c r="V146" s="931"/>
      <c r="W146" s="931"/>
      <c r="X146" s="931"/>
      <c r="Y146" s="931"/>
      <c r="Z146" s="941" t="str">
        <f t="shared" si="49"/>
        <v/>
      </c>
      <c r="AA146" s="941" t="str">
        <f t="shared" si="50"/>
        <v/>
      </c>
      <c r="AB146" s="941" t="str">
        <f t="shared" si="51"/>
        <v/>
      </c>
      <c r="AC146" s="941" t="str">
        <f t="shared" si="52"/>
        <v/>
      </c>
      <c r="AD146" s="941" t="str">
        <f t="shared" si="53"/>
        <v/>
      </c>
      <c r="AE146" s="941" t="str">
        <f t="shared" si="54"/>
        <v/>
      </c>
      <c r="AF146" s="941" t="str">
        <f t="shared" si="55"/>
        <v/>
      </c>
      <c r="AG146" s="941" t="str">
        <f t="shared" si="56"/>
        <v/>
      </c>
      <c r="AH146" s="941" t="str">
        <f t="shared" si="57"/>
        <v/>
      </c>
      <c r="AI146" s="941" t="str">
        <f t="shared" si="58"/>
        <v/>
      </c>
      <c r="AJ146" s="941" t="str">
        <f t="shared" si="59"/>
        <v/>
      </c>
      <c r="AK146" s="941" t="str">
        <f t="shared" si="60"/>
        <v/>
      </c>
      <c r="AL146" s="941" t="str">
        <f t="shared" si="61"/>
        <v/>
      </c>
      <c r="AM146" s="941" t="str">
        <f t="shared" si="62"/>
        <v/>
      </c>
      <c r="AN146" s="941" t="str">
        <f t="shared" si="63"/>
        <v/>
      </c>
      <c r="AO146" s="941" t="str">
        <f t="shared" si="64"/>
        <v/>
      </c>
      <c r="AP146" s="895">
        <f>IF(AO146&lt;0,"No hi ha pèrdua",IFERROR(SUM(AA146:AO146)*'7. Erosió de costa'!$C$86/1000000,""))</f>
        <v>0</v>
      </c>
    </row>
    <row r="147" spans="1:42">
      <c r="A147" s="835">
        <v>8144</v>
      </c>
      <c r="B147" s="826" t="s">
        <v>1278</v>
      </c>
      <c r="C147" s="835" t="str">
        <f t="shared" si="44"/>
        <v>NA</v>
      </c>
      <c r="D147" s="923" t="str">
        <f t="shared" si="45"/>
        <v>NA</v>
      </c>
      <c r="E147" s="931" t="str">
        <f t="shared" si="46"/>
        <v>NA</v>
      </c>
      <c r="F147" s="926" t="str">
        <f t="shared" si="47"/>
        <v>NA</v>
      </c>
      <c r="G147" s="923" t="str">
        <f t="shared" si="48"/>
        <v>NA</v>
      </c>
      <c r="H147" s="931" t="str">
        <f>IFERROR(IF((G147*'7. Erosió de costa'!$C$86/1000000)&lt;0,"guanya sorra",G147*'7. Erosió de costa'!$C$86/1000000),"")</f>
        <v/>
      </c>
      <c r="I147" s="937" t="str">
        <f>IFERROR(IF(('A. Dades de partida'!$D$10*G147*'7. Erosió de costa'!$C$86/1000000)&lt;0,"guanya sorra",'A. Dades de partida'!$D$10*G147*'7. Erosió de costa'!$C$86/1000000),"")</f>
        <v/>
      </c>
      <c r="J147" s="931" t="str">
        <f t="shared" si="43"/>
        <v>NA</v>
      </c>
      <c r="K147" s="931"/>
      <c r="L147" s="931"/>
      <c r="M147" s="931"/>
      <c r="N147" s="931"/>
      <c r="O147" s="931"/>
      <c r="P147" s="931"/>
      <c r="Q147" s="931"/>
      <c r="R147" s="931"/>
      <c r="S147" s="931"/>
      <c r="T147" s="931"/>
      <c r="U147" s="931"/>
      <c r="V147" s="931"/>
      <c r="W147" s="931"/>
      <c r="X147" s="931"/>
      <c r="Y147" s="931"/>
      <c r="Z147" s="941" t="str">
        <f t="shared" si="49"/>
        <v/>
      </c>
      <c r="AA147" s="941" t="str">
        <f t="shared" si="50"/>
        <v/>
      </c>
      <c r="AB147" s="941" t="str">
        <f t="shared" si="51"/>
        <v/>
      </c>
      <c r="AC147" s="941" t="str">
        <f t="shared" si="52"/>
        <v/>
      </c>
      <c r="AD147" s="941" t="str">
        <f t="shared" si="53"/>
        <v/>
      </c>
      <c r="AE147" s="941" t="str">
        <f t="shared" si="54"/>
        <v/>
      </c>
      <c r="AF147" s="941" t="str">
        <f t="shared" si="55"/>
        <v/>
      </c>
      <c r="AG147" s="941" t="str">
        <f t="shared" si="56"/>
        <v/>
      </c>
      <c r="AH147" s="941" t="str">
        <f t="shared" si="57"/>
        <v/>
      </c>
      <c r="AI147" s="941" t="str">
        <f t="shared" si="58"/>
        <v/>
      </c>
      <c r="AJ147" s="941" t="str">
        <f t="shared" si="59"/>
        <v/>
      </c>
      <c r="AK147" s="941" t="str">
        <f t="shared" si="60"/>
        <v/>
      </c>
      <c r="AL147" s="941" t="str">
        <f t="shared" si="61"/>
        <v/>
      </c>
      <c r="AM147" s="941" t="str">
        <f t="shared" si="62"/>
        <v/>
      </c>
      <c r="AN147" s="941" t="str">
        <f t="shared" si="63"/>
        <v/>
      </c>
      <c r="AO147" s="941" t="str">
        <f t="shared" si="64"/>
        <v/>
      </c>
      <c r="AP147" s="895">
        <f>IF(AO147&lt;0,"No hi ha pèrdua",IFERROR(SUM(AA147:AO147)*'7. Erosió de costa'!$C$86/1000000,""))</f>
        <v>0</v>
      </c>
    </row>
    <row r="148" spans="1:42">
      <c r="A148" s="835">
        <v>8145</v>
      </c>
      <c r="B148" s="826" t="s">
        <v>1281</v>
      </c>
      <c r="C148" s="835" t="str">
        <f t="shared" si="44"/>
        <v>NA</v>
      </c>
      <c r="D148" s="923" t="str">
        <f t="shared" si="45"/>
        <v>NA</v>
      </c>
      <c r="E148" s="931" t="str">
        <f t="shared" si="46"/>
        <v>NA</v>
      </c>
      <c r="F148" s="926" t="str">
        <f t="shared" si="47"/>
        <v>NA</v>
      </c>
      <c r="G148" s="923" t="str">
        <f t="shared" si="48"/>
        <v>NA</v>
      </c>
      <c r="H148" s="931" t="str">
        <f>IFERROR(IF((G148*'7. Erosió de costa'!$C$86/1000000)&lt;0,"guanya sorra",G148*'7. Erosió de costa'!$C$86/1000000),"")</f>
        <v/>
      </c>
      <c r="I148" s="937" t="str">
        <f>IFERROR(IF(('A. Dades de partida'!$D$10*G148*'7. Erosió de costa'!$C$86/1000000)&lt;0,"guanya sorra",'A. Dades de partida'!$D$10*G148*'7. Erosió de costa'!$C$86/1000000),"")</f>
        <v/>
      </c>
      <c r="J148" s="931" t="str">
        <f t="shared" si="43"/>
        <v>NA</v>
      </c>
      <c r="K148" s="931"/>
      <c r="L148" s="931"/>
      <c r="M148" s="931"/>
      <c r="N148" s="931"/>
      <c r="O148" s="931"/>
      <c r="P148" s="931"/>
      <c r="Q148" s="931"/>
      <c r="R148" s="931"/>
      <c r="S148" s="931"/>
      <c r="T148" s="931"/>
      <c r="U148" s="931"/>
      <c r="V148" s="931"/>
      <c r="W148" s="931"/>
      <c r="X148" s="931"/>
      <c r="Y148" s="931"/>
      <c r="Z148" s="941" t="str">
        <f t="shared" si="49"/>
        <v/>
      </c>
      <c r="AA148" s="941" t="str">
        <f t="shared" si="50"/>
        <v/>
      </c>
      <c r="AB148" s="941" t="str">
        <f t="shared" si="51"/>
        <v/>
      </c>
      <c r="AC148" s="941" t="str">
        <f t="shared" si="52"/>
        <v/>
      </c>
      <c r="AD148" s="941" t="str">
        <f t="shared" si="53"/>
        <v/>
      </c>
      <c r="AE148" s="941" t="str">
        <f t="shared" si="54"/>
        <v/>
      </c>
      <c r="AF148" s="941" t="str">
        <f t="shared" si="55"/>
        <v/>
      </c>
      <c r="AG148" s="941" t="str">
        <f t="shared" si="56"/>
        <v/>
      </c>
      <c r="AH148" s="941" t="str">
        <f t="shared" si="57"/>
        <v/>
      </c>
      <c r="AI148" s="941" t="str">
        <f t="shared" si="58"/>
        <v/>
      </c>
      <c r="AJ148" s="941" t="str">
        <f t="shared" si="59"/>
        <v/>
      </c>
      <c r="AK148" s="941" t="str">
        <f t="shared" si="60"/>
        <v/>
      </c>
      <c r="AL148" s="941" t="str">
        <f t="shared" si="61"/>
        <v/>
      </c>
      <c r="AM148" s="941" t="str">
        <f t="shared" si="62"/>
        <v/>
      </c>
      <c r="AN148" s="941" t="str">
        <f t="shared" si="63"/>
        <v/>
      </c>
      <c r="AO148" s="941" t="str">
        <f t="shared" si="64"/>
        <v/>
      </c>
      <c r="AP148" s="895">
        <f>IF(AO148&lt;0,"No hi ha pèrdua",IFERROR(SUM(AA148:AO148)*'7. Erosió de costa'!$C$86/1000000,""))</f>
        <v>0</v>
      </c>
    </row>
    <row r="149" spans="1:42">
      <c r="A149" s="835">
        <v>8146</v>
      </c>
      <c r="B149" s="826" t="s">
        <v>1286</v>
      </c>
      <c r="C149" s="835" t="str">
        <f t="shared" si="44"/>
        <v>NA</v>
      </c>
      <c r="D149" s="923" t="str">
        <f t="shared" si="45"/>
        <v>NA</v>
      </c>
      <c r="E149" s="931" t="str">
        <f t="shared" si="46"/>
        <v>NA</v>
      </c>
      <c r="F149" s="926" t="str">
        <f t="shared" si="47"/>
        <v>NA</v>
      </c>
      <c r="G149" s="923" t="str">
        <f t="shared" si="48"/>
        <v>NA</v>
      </c>
      <c r="H149" s="931" t="str">
        <f>IFERROR(IF((G149*'7. Erosió de costa'!$C$86/1000000)&lt;0,"guanya sorra",G149*'7. Erosió de costa'!$C$86/1000000),"")</f>
        <v/>
      </c>
      <c r="I149" s="937" t="str">
        <f>IFERROR(IF(('A. Dades de partida'!$D$10*G149*'7. Erosió de costa'!$C$86/1000000)&lt;0,"guanya sorra",'A. Dades de partida'!$D$10*G149*'7. Erosió de costa'!$C$86/1000000),"")</f>
        <v/>
      </c>
      <c r="J149" s="931" t="str">
        <f t="shared" si="43"/>
        <v>NA</v>
      </c>
      <c r="K149" s="931"/>
      <c r="L149" s="931"/>
      <c r="M149" s="931"/>
      <c r="N149" s="931"/>
      <c r="O149" s="931"/>
      <c r="P149" s="931"/>
      <c r="Q149" s="931"/>
      <c r="R149" s="931"/>
      <c r="S149" s="931"/>
      <c r="T149" s="931"/>
      <c r="U149" s="931"/>
      <c r="V149" s="931"/>
      <c r="W149" s="931"/>
      <c r="X149" s="931"/>
      <c r="Y149" s="931"/>
      <c r="Z149" s="941" t="str">
        <f t="shared" si="49"/>
        <v/>
      </c>
      <c r="AA149" s="941" t="str">
        <f t="shared" si="50"/>
        <v/>
      </c>
      <c r="AB149" s="941" t="str">
        <f t="shared" si="51"/>
        <v/>
      </c>
      <c r="AC149" s="941" t="str">
        <f t="shared" si="52"/>
        <v/>
      </c>
      <c r="AD149" s="941" t="str">
        <f t="shared" si="53"/>
        <v/>
      </c>
      <c r="AE149" s="941" t="str">
        <f t="shared" si="54"/>
        <v/>
      </c>
      <c r="AF149" s="941" t="str">
        <f t="shared" si="55"/>
        <v/>
      </c>
      <c r="AG149" s="941" t="str">
        <f t="shared" si="56"/>
        <v/>
      </c>
      <c r="AH149" s="941" t="str">
        <f t="shared" si="57"/>
        <v/>
      </c>
      <c r="AI149" s="941" t="str">
        <f t="shared" si="58"/>
        <v/>
      </c>
      <c r="AJ149" s="941" t="str">
        <f t="shared" si="59"/>
        <v/>
      </c>
      <c r="AK149" s="941" t="str">
        <f t="shared" si="60"/>
        <v/>
      </c>
      <c r="AL149" s="941" t="str">
        <f t="shared" si="61"/>
        <v/>
      </c>
      <c r="AM149" s="941" t="str">
        <f t="shared" si="62"/>
        <v/>
      </c>
      <c r="AN149" s="941" t="str">
        <f t="shared" si="63"/>
        <v/>
      </c>
      <c r="AO149" s="941" t="str">
        <f t="shared" si="64"/>
        <v/>
      </c>
      <c r="AP149" s="895">
        <f>IF(AO149&lt;0,"No hi ha pèrdua",IFERROR(SUM(AA149:AO149)*'7. Erosió de costa'!$C$86/1000000,""))</f>
        <v>0</v>
      </c>
    </row>
    <row r="150" spans="1:42">
      <c r="A150" s="835">
        <v>8147</v>
      </c>
      <c r="B150" s="826" t="s">
        <v>1291</v>
      </c>
      <c r="C150" s="835" t="str">
        <f t="shared" si="44"/>
        <v>NA</v>
      </c>
      <c r="D150" s="923" t="str">
        <f t="shared" si="45"/>
        <v>NA</v>
      </c>
      <c r="E150" s="931" t="str">
        <f t="shared" si="46"/>
        <v>NA</v>
      </c>
      <c r="F150" s="926" t="str">
        <f t="shared" si="47"/>
        <v>NA</v>
      </c>
      <c r="G150" s="923" t="str">
        <f t="shared" si="48"/>
        <v>NA</v>
      </c>
      <c r="H150" s="931" t="str">
        <f>IFERROR(IF((G150*'7. Erosió de costa'!$C$86/1000000)&lt;0,"guanya sorra",G150*'7. Erosió de costa'!$C$86/1000000),"")</f>
        <v/>
      </c>
      <c r="I150" s="937" t="str">
        <f>IFERROR(IF(('A. Dades de partida'!$D$10*G150*'7. Erosió de costa'!$C$86/1000000)&lt;0,"guanya sorra",'A. Dades de partida'!$D$10*G150*'7. Erosió de costa'!$C$86/1000000),"")</f>
        <v/>
      </c>
      <c r="J150" s="931" t="str">
        <f t="shared" si="43"/>
        <v>NA</v>
      </c>
      <c r="K150" s="931"/>
      <c r="L150" s="931"/>
      <c r="M150" s="931"/>
      <c r="N150" s="931"/>
      <c r="O150" s="931"/>
      <c r="P150" s="931"/>
      <c r="Q150" s="931"/>
      <c r="R150" s="931"/>
      <c r="S150" s="931"/>
      <c r="T150" s="931"/>
      <c r="U150" s="931"/>
      <c r="V150" s="931"/>
      <c r="W150" s="931"/>
      <c r="X150" s="931"/>
      <c r="Y150" s="931"/>
      <c r="Z150" s="941" t="str">
        <f t="shared" si="49"/>
        <v/>
      </c>
      <c r="AA150" s="941" t="str">
        <f t="shared" si="50"/>
        <v/>
      </c>
      <c r="AB150" s="941" t="str">
        <f t="shared" si="51"/>
        <v/>
      </c>
      <c r="AC150" s="941" t="str">
        <f t="shared" si="52"/>
        <v/>
      </c>
      <c r="AD150" s="941" t="str">
        <f t="shared" si="53"/>
        <v/>
      </c>
      <c r="AE150" s="941" t="str">
        <f t="shared" si="54"/>
        <v/>
      </c>
      <c r="AF150" s="941" t="str">
        <f t="shared" si="55"/>
        <v/>
      </c>
      <c r="AG150" s="941" t="str">
        <f t="shared" si="56"/>
        <v/>
      </c>
      <c r="AH150" s="941" t="str">
        <f t="shared" si="57"/>
        <v/>
      </c>
      <c r="AI150" s="941" t="str">
        <f t="shared" si="58"/>
        <v/>
      </c>
      <c r="AJ150" s="941" t="str">
        <f t="shared" si="59"/>
        <v/>
      </c>
      <c r="AK150" s="941" t="str">
        <f t="shared" si="60"/>
        <v/>
      </c>
      <c r="AL150" s="941" t="str">
        <f t="shared" si="61"/>
        <v/>
      </c>
      <c r="AM150" s="941" t="str">
        <f t="shared" si="62"/>
        <v/>
      </c>
      <c r="AN150" s="941" t="str">
        <f t="shared" si="63"/>
        <v/>
      </c>
      <c r="AO150" s="941" t="str">
        <f t="shared" si="64"/>
        <v/>
      </c>
      <c r="AP150" s="895">
        <f>IF(AO150&lt;0,"No hi ha pèrdua",IFERROR(SUM(AA150:AO150)*'7. Erosió de costa'!$C$86/1000000,""))</f>
        <v>0</v>
      </c>
    </row>
    <row r="151" spans="1:42">
      <c r="A151" s="835">
        <v>8148</v>
      </c>
      <c r="B151" s="826" t="s">
        <v>1294</v>
      </c>
      <c r="C151" s="835" t="str">
        <f t="shared" si="44"/>
        <v>NA</v>
      </c>
      <c r="D151" s="923" t="str">
        <f t="shared" si="45"/>
        <v>NA</v>
      </c>
      <c r="E151" s="931" t="str">
        <f t="shared" si="46"/>
        <v>NA</v>
      </c>
      <c r="F151" s="926" t="str">
        <f t="shared" si="47"/>
        <v>NA</v>
      </c>
      <c r="G151" s="923" t="str">
        <f t="shared" si="48"/>
        <v>NA</v>
      </c>
      <c r="H151" s="931" t="str">
        <f>IFERROR(IF((G151*'7. Erosió de costa'!$C$86/1000000)&lt;0,"guanya sorra",G151*'7. Erosió de costa'!$C$86/1000000),"")</f>
        <v/>
      </c>
      <c r="I151" s="937" t="str">
        <f>IFERROR(IF(('A. Dades de partida'!$D$10*G151*'7. Erosió de costa'!$C$86/1000000)&lt;0,"guanya sorra",'A. Dades de partida'!$D$10*G151*'7. Erosió de costa'!$C$86/1000000),"")</f>
        <v/>
      </c>
      <c r="J151" s="931" t="str">
        <f t="shared" si="43"/>
        <v>NA</v>
      </c>
      <c r="K151" s="931"/>
      <c r="L151" s="931"/>
      <c r="M151" s="931"/>
      <c r="N151" s="931"/>
      <c r="O151" s="931"/>
      <c r="P151" s="931"/>
      <c r="Q151" s="931"/>
      <c r="R151" s="931"/>
      <c r="S151" s="931"/>
      <c r="T151" s="931"/>
      <c r="U151" s="931"/>
      <c r="V151" s="931"/>
      <c r="W151" s="931"/>
      <c r="X151" s="931"/>
      <c r="Y151" s="931"/>
      <c r="Z151" s="941" t="str">
        <f t="shared" si="49"/>
        <v/>
      </c>
      <c r="AA151" s="941" t="str">
        <f t="shared" si="50"/>
        <v/>
      </c>
      <c r="AB151" s="941" t="str">
        <f t="shared" si="51"/>
        <v/>
      </c>
      <c r="AC151" s="941" t="str">
        <f t="shared" si="52"/>
        <v/>
      </c>
      <c r="AD151" s="941" t="str">
        <f t="shared" si="53"/>
        <v/>
      </c>
      <c r="AE151" s="941" t="str">
        <f t="shared" si="54"/>
        <v/>
      </c>
      <c r="AF151" s="941" t="str">
        <f t="shared" si="55"/>
        <v/>
      </c>
      <c r="AG151" s="941" t="str">
        <f t="shared" si="56"/>
        <v/>
      </c>
      <c r="AH151" s="941" t="str">
        <f t="shared" si="57"/>
        <v/>
      </c>
      <c r="AI151" s="941" t="str">
        <f t="shared" si="58"/>
        <v/>
      </c>
      <c r="AJ151" s="941" t="str">
        <f t="shared" si="59"/>
        <v/>
      </c>
      <c r="AK151" s="941" t="str">
        <f t="shared" si="60"/>
        <v/>
      </c>
      <c r="AL151" s="941" t="str">
        <f t="shared" si="61"/>
        <v/>
      </c>
      <c r="AM151" s="941" t="str">
        <f t="shared" si="62"/>
        <v/>
      </c>
      <c r="AN151" s="941" t="str">
        <f t="shared" si="63"/>
        <v/>
      </c>
      <c r="AO151" s="941" t="str">
        <f t="shared" si="64"/>
        <v/>
      </c>
      <c r="AP151" s="895">
        <f>IF(AO151&lt;0,"No hi ha pèrdua",IFERROR(SUM(AA151:AO151)*'7. Erosió de costa'!$C$86/1000000,""))</f>
        <v>0</v>
      </c>
    </row>
    <row r="152" spans="1:42">
      <c r="A152" s="835">
        <v>8149</v>
      </c>
      <c r="B152" s="826" t="s">
        <v>1298</v>
      </c>
      <c r="C152" s="835" t="str">
        <f t="shared" si="44"/>
        <v>NA</v>
      </c>
      <c r="D152" s="923" t="str">
        <f t="shared" si="45"/>
        <v>NA</v>
      </c>
      <c r="E152" s="931" t="str">
        <f t="shared" si="46"/>
        <v>NA</v>
      </c>
      <c r="F152" s="926" t="str">
        <f t="shared" si="47"/>
        <v>NA</v>
      </c>
      <c r="G152" s="923" t="str">
        <f t="shared" si="48"/>
        <v>NA</v>
      </c>
      <c r="H152" s="931" t="str">
        <f>IFERROR(IF((G152*'7. Erosió de costa'!$C$86/1000000)&lt;0,"guanya sorra",G152*'7. Erosió de costa'!$C$86/1000000),"")</f>
        <v/>
      </c>
      <c r="I152" s="937" t="str">
        <f>IFERROR(IF(('A. Dades de partida'!$D$10*G152*'7. Erosió de costa'!$C$86/1000000)&lt;0,"guanya sorra",'A. Dades de partida'!$D$10*G152*'7. Erosió de costa'!$C$86/1000000),"")</f>
        <v/>
      </c>
      <c r="J152" s="931" t="str">
        <f t="shared" si="43"/>
        <v>NA</v>
      </c>
      <c r="K152" s="931"/>
      <c r="L152" s="931"/>
      <c r="M152" s="931"/>
      <c r="N152" s="931"/>
      <c r="O152" s="931"/>
      <c r="P152" s="931"/>
      <c r="Q152" s="931"/>
      <c r="R152" s="931"/>
      <c r="S152" s="931"/>
      <c r="T152" s="931"/>
      <c r="U152" s="931"/>
      <c r="V152" s="931"/>
      <c r="W152" s="931"/>
      <c r="X152" s="931"/>
      <c r="Y152" s="931"/>
      <c r="Z152" s="941" t="str">
        <f t="shared" si="49"/>
        <v/>
      </c>
      <c r="AA152" s="941" t="str">
        <f t="shared" si="50"/>
        <v/>
      </c>
      <c r="AB152" s="941" t="str">
        <f t="shared" si="51"/>
        <v/>
      </c>
      <c r="AC152" s="941" t="str">
        <f t="shared" si="52"/>
        <v/>
      </c>
      <c r="AD152" s="941" t="str">
        <f t="shared" si="53"/>
        <v/>
      </c>
      <c r="AE152" s="941" t="str">
        <f t="shared" si="54"/>
        <v/>
      </c>
      <c r="AF152" s="941" t="str">
        <f t="shared" si="55"/>
        <v/>
      </c>
      <c r="AG152" s="941" t="str">
        <f t="shared" si="56"/>
        <v/>
      </c>
      <c r="AH152" s="941" t="str">
        <f t="shared" si="57"/>
        <v/>
      </c>
      <c r="AI152" s="941" t="str">
        <f t="shared" si="58"/>
        <v/>
      </c>
      <c r="AJ152" s="941" t="str">
        <f t="shared" si="59"/>
        <v/>
      </c>
      <c r="AK152" s="941" t="str">
        <f t="shared" si="60"/>
        <v/>
      </c>
      <c r="AL152" s="941" t="str">
        <f t="shared" si="61"/>
        <v/>
      </c>
      <c r="AM152" s="941" t="str">
        <f t="shared" si="62"/>
        <v/>
      </c>
      <c r="AN152" s="941" t="str">
        <f t="shared" si="63"/>
        <v/>
      </c>
      <c r="AO152" s="941" t="str">
        <f t="shared" si="64"/>
        <v/>
      </c>
      <c r="AP152" s="895">
        <f>IF(AO152&lt;0,"No hi ha pèrdua",IFERROR(SUM(AA152:AO152)*'7. Erosió de costa'!$C$86/1000000,""))</f>
        <v>0</v>
      </c>
    </row>
    <row r="153" spans="1:42">
      <c r="A153" s="835">
        <v>8150</v>
      </c>
      <c r="B153" s="826" t="s">
        <v>1301</v>
      </c>
      <c r="C153" s="835" t="str">
        <f t="shared" si="44"/>
        <v>NA</v>
      </c>
      <c r="D153" s="923" t="str">
        <f t="shared" si="45"/>
        <v>NA</v>
      </c>
      <c r="E153" s="931" t="str">
        <f t="shared" si="46"/>
        <v>NA</v>
      </c>
      <c r="F153" s="926" t="str">
        <f t="shared" si="47"/>
        <v>NA</v>
      </c>
      <c r="G153" s="923" t="str">
        <f t="shared" si="48"/>
        <v>NA</v>
      </c>
      <c r="H153" s="931" t="str">
        <f>IFERROR(IF((G153*'7. Erosió de costa'!$C$86/1000000)&lt;0,"guanya sorra",G153*'7. Erosió de costa'!$C$86/1000000),"")</f>
        <v/>
      </c>
      <c r="I153" s="937" t="str">
        <f>IFERROR(IF(('A. Dades de partida'!$D$10*G153*'7. Erosió de costa'!$C$86/1000000)&lt;0,"guanya sorra",'A. Dades de partida'!$D$10*G153*'7. Erosió de costa'!$C$86/1000000),"")</f>
        <v/>
      </c>
      <c r="J153" s="931" t="str">
        <f t="shared" si="43"/>
        <v>NA</v>
      </c>
      <c r="K153" s="931"/>
      <c r="L153" s="931"/>
      <c r="M153" s="931"/>
      <c r="N153" s="931"/>
      <c r="O153" s="931"/>
      <c r="P153" s="931"/>
      <c r="Q153" s="931"/>
      <c r="R153" s="931"/>
      <c r="S153" s="931"/>
      <c r="T153" s="931"/>
      <c r="U153" s="931"/>
      <c r="V153" s="931"/>
      <c r="W153" s="931"/>
      <c r="X153" s="931"/>
      <c r="Y153" s="931"/>
      <c r="Z153" s="941" t="str">
        <f t="shared" si="49"/>
        <v/>
      </c>
      <c r="AA153" s="941" t="str">
        <f t="shared" si="50"/>
        <v/>
      </c>
      <c r="AB153" s="941" t="str">
        <f t="shared" si="51"/>
        <v/>
      </c>
      <c r="AC153" s="941" t="str">
        <f t="shared" si="52"/>
        <v/>
      </c>
      <c r="AD153" s="941" t="str">
        <f t="shared" si="53"/>
        <v/>
      </c>
      <c r="AE153" s="941" t="str">
        <f t="shared" si="54"/>
        <v/>
      </c>
      <c r="AF153" s="941" t="str">
        <f t="shared" si="55"/>
        <v/>
      </c>
      <c r="AG153" s="941" t="str">
        <f t="shared" si="56"/>
        <v/>
      </c>
      <c r="AH153" s="941" t="str">
        <f t="shared" si="57"/>
        <v/>
      </c>
      <c r="AI153" s="941" t="str">
        <f t="shared" si="58"/>
        <v/>
      </c>
      <c r="AJ153" s="941" t="str">
        <f t="shared" si="59"/>
        <v/>
      </c>
      <c r="AK153" s="941" t="str">
        <f t="shared" si="60"/>
        <v/>
      </c>
      <c r="AL153" s="941" t="str">
        <f t="shared" si="61"/>
        <v/>
      </c>
      <c r="AM153" s="941" t="str">
        <f t="shared" si="62"/>
        <v/>
      </c>
      <c r="AN153" s="941" t="str">
        <f t="shared" si="63"/>
        <v/>
      </c>
      <c r="AO153" s="941" t="str">
        <f t="shared" si="64"/>
        <v/>
      </c>
      <c r="AP153" s="895">
        <f>IF(AO153&lt;0,"No hi ha pèrdua",IFERROR(SUM(AA153:AO153)*'7. Erosió de costa'!$C$86/1000000,""))</f>
        <v>0</v>
      </c>
    </row>
    <row r="154" spans="1:42">
      <c r="A154" s="835">
        <v>8151</v>
      </c>
      <c r="B154" s="826" t="s">
        <v>1304</v>
      </c>
      <c r="C154" s="835" t="str">
        <f t="shared" si="44"/>
        <v>NA</v>
      </c>
      <c r="D154" s="923" t="str">
        <f t="shared" si="45"/>
        <v>NA</v>
      </c>
      <c r="E154" s="931" t="str">
        <f t="shared" si="46"/>
        <v>NA</v>
      </c>
      <c r="F154" s="926" t="str">
        <f t="shared" si="47"/>
        <v>NA</v>
      </c>
      <c r="G154" s="923" t="str">
        <f t="shared" si="48"/>
        <v>NA</v>
      </c>
      <c r="H154" s="931" t="str">
        <f>IFERROR(IF((G154*'7. Erosió de costa'!$C$86/1000000)&lt;0,"guanya sorra",G154*'7. Erosió de costa'!$C$86/1000000),"")</f>
        <v/>
      </c>
      <c r="I154" s="937" t="str">
        <f>IFERROR(IF(('A. Dades de partida'!$D$10*G154*'7. Erosió de costa'!$C$86/1000000)&lt;0,"guanya sorra",'A. Dades de partida'!$D$10*G154*'7. Erosió de costa'!$C$86/1000000),"")</f>
        <v/>
      </c>
      <c r="J154" s="931" t="str">
        <f t="shared" si="43"/>
        <v>NA</v>
      </c>
      <c r="K154" s="931"/>
      <c r="L154" s="931"/>
      <c r="M154" s="931"/>
      <c r="N154" s="931"/>
      <c r="O154" s="931"/>
      <c r="P154" s="931"/>
      <c r="Q154" s="931"/>
      <c r="R154" s="931"/>
      <c r="S154" s="931"/>
      <c r="T154" s="931"/>
      <c r="U154" s="931"/>
      <c r="V154" s="931"/>
      <c r="W154" s="931"/>
      <c r="X154" s="931"/>
      <c r="Y154" s="931"/>
      <c r="Z154" s="941" t="str">
        <f t="shared" si="49"/>
        <v/>
      </c>
      <c r="AA154" s="941" t="str">
        <f t="shared" si="50"/>
        <v/>
      </c>
      <c r="AB154" s="941" t="str">
        <f t="shared" si="51"/>
        <v/>
      </c>
      <c r="AC154" s="941" t="str">
        <f t="shared" si="52"/>
        <v/>
      </c>
      <c r="AD154" s="941" t="str">
        <f t="shared" si="53"/>
        <v/>
      </c>
      <c r="AE154" s="941" t="str">
        <f t="shared" si="54"/>
        <v/>
      </c>
      <c r="AF154" s="941" t="str">
        <f t="shared" si="55"/>
        <v/>
      </c>
      <c r="AG154" s="941" t="str">
        <f t="shared" si="56"/>
        <v/>
      </c>
      <c r="AH154" s="941" t="str">
        <f t="shared" si="57"/>
        <v/>
      </c>
      <c r="AI154" s="941" t="str">
        <f t="shared" si="58"/>
        <v/>
      </c>
      <c r="AJ154" s="941" t="str">
        <f t="shared" si="59"/>
        <v/>
      </c>
      <c r="AK154" s="941" t="str">
        <f t="shared" si="60"/>
        <v/>
      </c>
      <c r="AL154" s="941" t="str">
        <f t="shared" si="61"/>
        <v/>
      </c>
      <c r="AM154" s="941" t="str">
        <f t="shared" si="62"/>
        <v/>
      </c>
      <c r="AN154" s="941" t="str">
        <f t="shared" si="63"/>
        <v/>
      </c>
      <c r="AO154" s="941" t="str">
        <f t="shared" si="64"/>
        <v/>
      </c>
      <c r="AP154" s="895">
        <f>IF(AO154&lt;0,"No hi ha pèrdua",IFERROR(SUM(AA154:AO154)*'7. Erosió de costa'!$C$86/1000000,""))</f>
        <v>0</v>
      </c>
    </row>
    <row r="155" spans="1:42">
      <c r="A155" s="835">
        <v>8152</v>
      </c>
      <c r="B155" s="826" t="s">
        <v>1306</v>
      </c>
      <c r="C155" s="835" t="str">
        <f t="shared" si="44"/>
        <v>NA</v>
      </c>
      <c r="D155" s="923" t="str">
        <f t="shared" si="45"/>
        <v>NA</v>
      </c>
      <c r="E155" s="931" t="str">
        <f t="shared" si="46"/>
        <v>NA</v>
      </c>
      <c r="F155" s="926" t="str">
        <f t="shared" si="47"/>
        <v>NA</v>
      </c>
      <c r="G155" s="923" t="str">
        <f t="shared" si="48"/>
        <v>NA</v>
      </c>
      <c r="H155" s="931" t="str">
        <f>IFERROR(IF((G155*'7. Erosió de costa'!$C$86/1000000)&lt;0,"guanya sorra",G155*'7. Erosió de costa'!$C$86/1000000),"")</f>
        <v/>
      </c>
      <c r="I155" s="937" t="str">
        <f>IFERROR(IF(('A. Dades de partida'!$D$10*G155*'7. Erosió de costa'!$C$86/1000000)&lt;0,"guanya sorra",'A. Dades de partida'!$D$10*G155*'7. Erosió de costa'!$C$86/1000000),"")</f>
        <v/>
      </c>
      <c r="J155" s="931" t="str">
        <f t="shared" si="43"/>
        <v>NA</v>
      </c>
      <c r="K155" s="931"/>
      <c r="L155" s="931"/>
      <c r="M155" s="931"/>
      <c r="N155" s="931"/>
      <c r="O155" s="931"/>
      <c r="P155" s="931"/>
      <c r="Q155" s="931"/>
      <c r="R155" s="931"/>
      <c r="S155" s="931"/>
      <c r="T155" s="931"/>
      <c r="U155" s="931"/>
      <c r="V155" s="931"/>
      <c r="W155" s="931"/>
      <c r="X155" s="931"/>
      <c r="Y155" s="931"/>
      <c r="Z155" s="941" t="str">
        <f t="shared" si="49"/>
        <v/>
      </c>
      <c r="AA155" s="941" t="str">
        <f t="shared" si="50"/>
        <v/>
      </c>
      <c r="AB155" s="941" t="str">
        <f t="shared" si="51"/>
        <v/>
      </c>
      <c r="AC155" s="941" t="str">
        <f t="shared" si="52"/>
        <v/>
      </c>
      <c r="AD155" s="941" t="str">
        <f t="shared" si="53"/>
        <v/>
      </c>
      <c r="AE155" s="941" t="str">
        <f t="shared" si="54"/>
        <v/>
      </c>
      <c r="AF155" s="941" t="str">
        <f t="shared" si="55"/>
        <v/>
      </c>
      <c r="AG155" s="941" t="str">
        <f t="shared" si="56"/>
        <v/>
      </c>
      <c r="AH155" s="941" t="str">
        <f t="shared" si="57"/>
        <v/>
      </c>
      <c r="AI155" s="941" t="str">
        <f t="shared" si="58"/>
        <v/>
      </c>
      <c r="AJ155" s="941" t="str">
        <f t="shared" si="59"/>
        <v/>
      </c>
      <c r="AK155" s="941" t="str">
        <f t="shared" si="60"/>
        <v/>
      </c>
      <c r="AL155" s="941" t="str">
        <f t="shared" si="61"/>
        <v/>
      </c>
      <c r="AM155" s="941" t="str">
        <f t="shared" si="62"/>
        <v/>
      </c>
      <c r="AN155" s="941" t="str">
        <f t="shared" si="63"/>
        <v/>
      </c>
      <c r="AO155" s="941" t="str">
        <f t="shared" si="64"/>
        <v/>
      </c>
      <c r="AP155" s="895">
        <f>IF(AO155&lt;0,"No hi ha pèrdua",IFERROR(SUM(AA155:AO155)*'7. Erosió de costa'!$C$86/1000000,""))</f>
        <v>0</v>
      </c>
    </row>
    <row r="156" spans="1:42">
      <c r="A156" s="835">
        <v>8153</v>
      </c>
      <c r="B156" s="826" t="s">
        <v>1309</v>
      </c>
      <c r="C156" s="835" t="str">
        <f t="shared" si="44"/>
        <v>NA</v>
      </c>
      <c r="D156" s="923" t="str">
        <f t="shared" si="45"/>
        <v>NA</v>
      </c>
      <c r="E156" s="931" t="str">
        <f t="shared" si="46"/>
        <v>NA</v>
      </c>
      <c r="F156" s="926" t="str">
        <f t="shared" si="47"/>
        <v>NA</v>
      </c>
      <c r="G156" s="923" t="str">
        <f t="shared" si="48"/>
        <v>NA</v>
      </c>
      <c r="H156" s="931" t="str">
        <f>IFERROR(IF((G156*'7. Erosió de costa'!$C$86/1000000)&lt;0,"guanya sorra",G156*'7. Erosió de costa'!$C$86/1000000),"")</f>
        <v/>
      </c>
      <c r="I156" s="937" t="str">
        <f>IFERROR(IF(('A. Dades de partida'!$D$10*G156*'7. Erosió de costa'!$C$86/1000000)&lt;0,"guanya sorra",'A. Dades de partida'!$D$10*G156*'7. Erosió de costa'!$C$86/1000000),"")</f>
        <v/>
      </c>
      <c r="J156" s="931" t="str">
        <f t="shared" si="43"/>
        <v>NA</v>
      </c>
      <c r="K156" s="931"/>
      <c r="L156" s="931"/>
      <c r="M156" s="931"/>
      <c r="N156" s="931"/>
      <c r="O156" s="931"/>
      <c r="P156" s="931"/>
      <c r="Q156" s="931"/>
      <c r="R156" s="931"/>
      <c r="S156" s="931"/>
      <c r="T156" s="931"/>
      <c r="U156" s="931"/>
      <c r="V156" s="931"/>
      <c r="W156" s="931"/>
      <c r="X156" s="931"/>
      <c r="Y156" s="931"/>
      <c r="Z156" s="941" t="str">
        <f t="shared" si="49"/>
        <v/>
      </c>
      <c r="AA156" s="941" t="str">
        <f t="shared" si="50"/>
        <v/>
      </c>
      <c r="AB156" s="941" t="str">
        <f t="shared" si="51"/>
        <v/>
      </c>
      <c r="AC156" s="941" t="str">
        <f t="shared" si="52"/>
        <v/>
      </c>
      <c r="AD156" s="941" t="str">
        <f t="shared" si="53"/>
        <v/>
      </c>
      <c r="AE156" s="941" t="str">
        <f t="shared" si="54"/>
        <v/>
      </c>
      <c r="AF156" s="941" t="str">
        <f t="shared" si="55"/>
        <v/>
      </c>
      <c r="AG156" s="941" t="str">
        <f t="shared" si="56"/>
        <v/>
      </c>
      <c r="AH156" s="941" t="str">
        <f t="shared" si="57"/>
        <v/>
      </c>
      <c r="AI156" s="941" t="str">
        <f t="shared" si="58"/>
        <v/>
      </c>
      <c r="AJ156" s="941" t="str">
        <f t="shared" si="59"/>
        <v/>
      </c>
      <c r="AK156" s="941" t="str">
        <f t="shared" si="60"/>
        <v/>
      </c>
      <c r="AL156" s="941" t="str">
        <f t="shared" si="61"/>
        <v/>
      </c>
      <c r="AM156" s="941" t="str">
        <f t="shared" si="62"/>
        <v/>
      </c>
      <c r="AN156" s="941" t="str">
        <f t="shared" si="63"/>
        <v/>
      </c>
      <c r="AO156" s="941" t="str">
        <f t="shared" si="64"/>
        <v/>
      </c>
      <c r="AP156" s="895">
        <f>IF(AO156&lt;0,"No hi ha pèrdua",IFERROR(SUM(AA156:AO156)*'7. Erosió de costa'!$C$86/1000000,""))</f>
        <v>0</v>
      </c>
    </row>
    <row r="157" spans="1:42">
      <c r="A157" s="835">
        <v>8154</v>
      </c>
      <c r="B157" s="826" t="s">
        <v>1310</v>
      </c>
      <c r="C157" s="835" t="str">
        <f t="shared" si="44"/>
        <v>NA</v>
      </c>
      <c r="D157" s="923" t="str">
        <f t="shared" si="45"/>
        <v>NA</v>
      </c>
      <c r="E157" s="931" t="str">
        <f t="shared" si="46"/>
        <v>NA</v>
      </c>
      <c r="F157" s="926" t="str">
        <f t="shared" si="47"/>
        <v>NA</v>
      </c>
      <c r="G157" s="923" t="str">
        <f t="shared" si="48"/>
        <v>NA</v>
      </c>
      <c r="H157" s="931" t="str">
        <f>IFERROR(IF((G157*'7. Erosió de costa'!$C$86/1000000)&lt;0,"guanya sorra",G157*'7. Erosió de costa'!$C$86/1000000),"")</f>
        <v/>
      </c>
      <c r="I157" s="937" t="str">
        <f>IFERROR(IF(('A. Dades de partida'!$D$10*G157*'7. Erosió de costa'!$C$86/1000000)&lt;0,"guanya sorra",'A. Dades de partida'!$D$10*G157*'7. Erosió de costa'!$C$86/1000000),"")</f>
        <v/>
      </c>
      <c r="J157" s="931" t="str">
        <f t="shared" si="43"/>
        <v>NA</v>
      </c>
      <c r="K157" s="931"/>
      <c r="L157" s="931"/>
      <c r="M157" s="931"/>
      <c r="N157" s="931"/>
      <c r="O157" s="931"/>
      <c r="P157" s="931"/>
      <c r="Q157" s="931"/>
      <c r="R157" s="931"/>
      <c r="S157" s="931"/>
      <c r="T157" s="931"/>
      <c r="U157" s="931"/>
      <c r="V157" s="931"/>
      <c r="W157" s="931"/>
      <c r="X157" s="931"/>
      <c r="Y157" s="931"/>
      <c r="Z157" s="941" t="str">
        <f t="shared" si="49"/>
        <v/>
      </c>
      <c r="AA157" s="941" t="str">
        <f t="shared" si="50"/>
        <v/>
      </c>
      <c r="AB157" s="941" t="str">
        <f t="shared" si="51"/>
        <v/>
      </c>
      <c r="AC157" s="941" t="str">
        <f t="shared" si="52"/>
        <v/>
      </c>
      <c r="AD157" s="941" t="str">
        <f t="shared" si="53"/>
        <v/>
      </c>
      <c r="AE157" s="941" t="str">
        <f t="shared" si="54"/>
        <v/>
      </c>
      <c r="AF157" s="941" t="str">
        <f t="shared" si="55"/>
        <v/>
      </c>
      <c r="AG157" s="941" t="str">
        <f t="shared" si="56"/>
        <v/>
      </c>
      <c r="AH157" s="941" t="str">
        <f t="shared" si="57"/>
        <v/>
      </c>
      <c r="AI157" s="941" t="str">
        <f t="shared" si="58"/>
        <v/>
      </c>
      <c r="AJ157" s="941" t="str">
        <f t="shared" si="59"/>
        <v/>
      </c>
      <c r="AK157" s="941" t="str">
        <f t="shared" si="60"/>
        <v/>
      </c>
      <c r="AL157" s="941" t="str">
        <f t="shared" si="61"/>
        <v/>
      </c>
      <c r="AM157" s="941" t="str">
        <f t="shared" si="62"/>
        <v/>
      </c>
      <c r="AN157" s="941" t="str">
        <f t="shared" si="63"/>
        <v/>
      </c>
      <c r="AO157" s="941" t="str">
        <f t="shared" si="64"/>
        <v/>
      </c>
      <c r="AP157" s="895">
        <f>IF(AO157&lt;0,"No hi ha pèrdua",IFERROR(SUM(AA157:AO157)*'7. Erosió de costa'!$C$86/1000000,""))</f>
        <v>0</v>
      </c>
    </row>
    <row r="158" spans="1:42">
      <c r="A158" s="835">
        <v>8155</v>
      </c>
      <c r="B158" s="826" t="s">
        <v>1311</v>
      </c>
      <c r="C158" s="835" t="str">
        <f t="shared" si="44"/>
        <v>NA</v>
      </c>
      <c r="D158" s="923" t="str">
        <f t="shared" si="45"/>
        <v>NA</v>
      </c>
      <c r="E158" s="931" t="str">
        <f t="shared" si="46"/>
        <v>NA</v>
      </c>
      <c r="F158" s="926" t="str">
        <f t="shared" si="47"/>
        <v>NA</v>
      </c>
      <c r="G158" s="923" t="str">
        <f t="shared" si="48"/>
        <v>NA</v>
      </c>
      <c r="H158" s="931" t="str">
        <f>IFERROR(IF((G158*'7. Erosió de costa'!$C$86/1000000)&lt;0,"guanya sorra",G158*'7. Erosió de costa'!$C$86/1000000),"")</f>
        <v/>
      </c>
      <c r="I158" s="937" t="str">
        <f>IFERROR(IF(('A. Dades de partida'!$D$10*G158*'7. Erosió de costa'!$C$86/1000000)&lt;0,"guanya sorra",'A. Dades de partida'!$D$10*G158*'7. Erosió de costa'!$C$86/1000000),"")</f>
        <v/>
      </c>
      <c r="J158" s="931" t="str">
        <f t="shared" si="43"/>
        <v>NA</v>
      </c>
      <c r="K158" s="931"/>
      <c r="L158" s="931"/>
      <c r="M158" s="931"/>
      <c r="N158" s="931"/>
      <c r="O158" s="931"/>
      <c r="P158" s="931"/>
      <c r="Q158" s="931"/>
      <c r="R158" s="931"/>
      <c r="S158" s="931"/>
      <c r="T158" s="931"/>
      <c r="U158" s="931"/>
      <c r="V158" s="931"/>
      <c r="W158" s="931"/>
      <c r="X158" s="931"/>
      <c r="Y158" s="931"/>
      <c r="Z158" s="941" t="str">
        <f t="shared" si="49"/>
        <v/>
      </c>
      <c r="AA158" s="941" t="str">
        <f t="shared" si="50"/>
        <v/>
      </c>
      <c r="AB158" s="941" t="str">
        <f t="shared" si="51"/>
        <v/>
      </c>
      <c r="AC158" s="941" t="str">
        <f t="shared" si="52"/>
        <v/>
      </c>
      <c r="AD158" s="941" t="str">
        <f t="shared" si="53"/>
        <v/>
      </c>
      <c r="AE158" s="941" t="str">
        <f t="shared" si="54"/>
        <v/>
      </c>
      <c r="AF158" s="941" t="str">
        <f t="shared" si="55"/>
        <v/>
      </c>
      <c r="AG158" s="941" t="str">
        <f t="shared" si="56"/>
        <v/>
      </c>
      <c r="AH158" s="941" t="str">
        <f t="shared" si="57"/>
        <v/>
      </c>
      <c r="AI158" s="941" t="str">
        <f t="shared" si="58"/>
        <v/>
      </c>
      <c r="AJ158" s="941" t="str">
        <f t="shared" si="59"/>
        <v/>
      </c>
      <c r="AK158" s="941" t="str">
        <f t="shared" si="60"/>
        <v/>
      </c>
      <c r="AL158" s="941" t="str">
        <f t="shared" si="61"/>
        <v/>
      </c>
      <c r="AM158" s="941" t="str">
        <f t="shared" si="62"/>
        <v/>
      </c>
      <c r="AN158" s="941" t="str">
        <f t="shared" si="63"/>
        <v/>
      </c>
      <c r="AO158" s="941" t="str">
        <f t="shared" si="64"/>
        <v/>
      </c>
      <c r="AP158" s="895">
        <f>IF(AO158&lt;0,"No hi ha pèrdua",IFERROR(SUM(AA158:AO158)*'7. Erosió de costa'!$C$86/1000000,""))</f>
        <v>0</v>
      </c>
    </row>
    <row r="159" spans="1:42">
      <c r="A159" s="835">
        <v>8156</v>
      </c>
      <c r="B159" s="826" t="s">
        <v>1316</v>
      </c>
      <c r="C159" s="835" t="str">
        <f t="shared" si="44"/>
        <v>NA</v>
      </c>
      <c r="D159" s="923" t="str">
        <f t="shared" si="45"/>
        <v>NA</v>
      </c>
      <c r="E159" s="931" t="str">
        <f t="shared" si="46"/>
        <v>NA</v>
      </c>
      <c r="F159" s="926" t="str">
        <f t="shared" si="47"/>
        <v>NA</v>
      </c>
      <c r="G159" s="923" t="str">
        <f t="shared" si="48"/>
        <v>NA</v>
      </c>
      <c r="H159" s="931" t="str">
        <f>IFERROR(IF((G159*'7. Erosió de costa'!$C$86/1000000)&lt;0,"guanya sorra",G159*'7. Erosió de costa'!$C$86/1000000),"")</f>
        <v/>
      </c>
      <c r="I159" s="937" t="str">
        <f>IFERROR(IF(('A. Dades de partida'!$D$10*G159*'7. Erosió de costa'!$C$86/1000000)&lt;0,"guanya sorra",'A. Dades de partida'!$D$10*G159*'7. Erosió de costa'!$C$86/1000000),"")</f>
        <v/>
      </c>
      <c r="J159" s="931" t="str">
        <f t="shared" si="43"/>
        <v>NA</v>
      </c>
      <c r="K159" s="931"/>
      <c r="L159" s="931"/>
      <c r="M159" s="931"/>
      <c r="N159" s="931"/>
      <c r="O159" s="931"/>
      <c r="P159" s="931"/>
      <c r="Q159" s="931"/>
      <c r="R159" s="931"/>
      <c r="S159" s="931"/>
      <c r="T159" s="931"/>
      <c r="U159" s="931"/>
      <c r="V159" s="931"/>
      <c r="W159" s="931"/>
      <c r="X159" s="931"/>
      <c r="Y159" s="931"/>
      <c r="Z159" s="941" t="str">
        <f t="shared" si="49"/>
        <v/>
      </c>
      <c r="AA159" s="941" t="str">
        <f t="shared" si="50"/>
        <v/>
      </c>
      <c r="AB159" s="941" t="str">
        <f t="shared" si="51"/>
        <v/>
      </c>
      <c r="AC159" s="941" t="str">
        <f t="shared" si="52"/>
        <v/>
      </c>
      <c r="AD159" s="941" t="str">
        <f t="shared" si="53"/>
        <v/>
      </c>
      <c r="AE159" s="941" t="str">
        <f t="shared" si="54"/>
        <v/>
      </c>
      <c r="AF159" s="941" t="str">
        <f t="shared" si="55"/>
        <v/>
      </c>
      <c r="AG159" s="941" t="str">
        <f t="shared" si="56"/>
        <v/>
      </c>
      <c r="AH159" s="941" t="str">
        <f t="shared" si="57"/>
        <v/>
      </c>
      <c r="AI159" s="941" t="str">
        <f t="shared" si="58"/>
        <v/>
      </c>
      <c r="AJ159" s="941" t="str">
        <f t="shared" si="59"/>
        <v/>
      </c>
      <c r="AK159" s="941" t="str">
        <f t="shared" si="60"/>
        <v/>
      </c>
      <c r="AL159" s="941" t="str">
        <f t="shared" si="61"/>
        <v/>
      </c>
      <c r="AM159" s="941" t="str">
        <f t="shared" si="62"/>
        <v/>
      </c>
      <c r="AN159" s="941" t="str">
        <f t="shared" si="63"/>
        <v/>
      </c>
      <c r="AO159" s="941" t="str">
        <f t="shared" si="64"/>
        <v/>
      </c>
      <c r="AP159" s="895">
        <f>IF(AO159&lt;0,"No hi ha pèrdua",IFERROR(SUM(AA159:AO159)*'7. Erosió de costa'!$C$86/1000000,""))</f>
        <v>0</v>
      </c>
    </row>
    <row r="160" spans="1:42">
      <c r="A160" s="835">
        <v>8157</v>
      </c>
      <c r="B160" s="826" t="s">
        <v>1320</v>
      </c>
      <c r="C160" s="835" t="str">
        <f t="shared" si="44"/>
        <v>NA</v>
      </c>
      <c r="D160" s="923" t="str">
        <f t="shared" si="45"/>
        <v>NA</v>
      </c>
      <c r="E160" s="931" t="str">
        <f t="shared" si="46"/>
        <v>NA</v>
      </c>
      <c r="F160" s="926" t="str">
        <f t="shared" si="47"/>
        <v>NA</v>
      </c>
      <c r="G160" s="923" t="str">
        <f t="shared" si="48"/>
        <v>NA</v>
      </c>
      <c r="H160" s="931" t="str">
        <f>IFERROR(IF((G160*'7. Erosió de costa'!$C$86/1000000)&lt;0,"guanya sorra",G160*'7. Erosió de costa'!$C$86/1000000),"")</f>
        <v/>
      </c>
      <c r="I160" s="937" t="str">
        <f>IFERROR(IF(('A. Dades de partida'!$D$10*G160*'7. Erosió de costa'!$C$86/1000000)&lt;0,"guanya sorra",'A. Dades de partida'!$D$10*G160*'7. Erosió de costa'!$C$86/1000000),"")</f>
        <v/>
      </c>
      <c r="J160" s="931" t="str">
        <f t="shared" si="43"/>
        <v>NA</v>
      </c>
      <c r="K160" s="931"/>
      <c r="L160" s="931"/>
      <c r="M160" s="931"/>
      <c r="N160" s="931"/>
      <c r="O160" s="931"/>
      <c r="P160" s="931"/>
      <c r="Q160" s="931"/>
      <c r="R160" s="931"/>
      <c r="S160" s="931"/>
      <c r="T160" s="931"/>
      <c r="U160" s="931"/>
      <c r="V160" s="931"/>
      <c r="W160" s="931"/>
      <c r="X160" s="931"/>
      <c r="Y160" s="931"/>
      <c r="Z160" s="941" t="str">
        <f t="shared" si="49"/>
        <v/>
      </c>
      <c r="AA160" s="941" t="str">
        <f t="shared" si="50"/>
        <v/>
      </c>
      <c r="AB160" s="941" t="str">
        <f t="shared" si="51"/>
        <v/>
      </c>
      <c r="AC160" s="941" t="str">
        <f t="shared" si="52"/>
        <v/>
      </c>
      <c r="AD160" s="941" t="str">
        <f t="shared" si="53"/>
        <v/>
      </c>
      <c r="AE160" s="941" t="str">
        <f t="shared" si="54"/>
        <v/>
      </c>
      <c r="AF160" s="941" t="str">
        <f t="shared" si="55"/>
        <v/>
      </c>
      <c r="AG160" s="941" t="str">
        <f t="shared" si="56"/>
        <v/>
      </c>
      <c r="AH160" s="941" t="str">
        <f t="shared" si="57"/>
        <v/>
      </c>
      <c r="AI160" s="941" t="str">
        <f t="shared" si="58"/>
        <v/>
      </c>
      <c r="AJ160" s="941" t="str">
        <f t="shared" si="59"/>
        <v/>
      </c>
      <c r="AK160" s="941" t="str">
        <f t="shared" si="60"/>
        <v/>
      </c>
      <c r="AL160" s="941" t="str">
        <f t="shared" si="61"/>
        <v/>
      </c>
      <c r="AM160" s="941" t="str">
        <f t="shared" si="62"/>
        <v/>
      </c>
      <c r="AN160" s="941" t="str">
        <f t="shared" si="63"/>
        <v/>
      </c>
      <c r="AO160" s="941" t="str">
        <f t="shared" si="64"/>
        <v/>
      </c>
      <c r="AP160" s="895">
        <f>IF(AO160&lt;0,"No hi ha pèrdua",IFERROR(SUM(AA160:AO160)*'7. Erosió de costa'!$C$86/1000000,""))</f>
        <v>0</v>
      </c>
    </row>
    <row r="161" spans="1:42">
      <c r="A161" s="835">
        <v>8158</v>
      </c>
      <c r="B161" s="826" t="s">
        <v>1324</v>
      </c>
      <c r="C161" s="835" t="str">
        <f t="shared" si="44"/>
        <v>NA</v>
      </c>
      <c r="D161" s="923" t="str">
        <f t="shared" si="45"/>
        <v>NA</v>
      </c>
      <c r="E161" s="931" t="str">
        <f t="shared" si="46"/>
        <v>NA</v>
      </c>
      <c r="F161" s="926" t="str">
        <f t="shared" si="47"/>
        <v>NA</v>
      </c>
      <c r="G161" s="923" t="str">
        <f t="shared" si="48"/>
        <v>NA</v>
      </c>
      <c r="H161" s="931" t="str">
        <f>IFERROR(IF((G161*'7. Erosió de costa'!$C$86/1000000)&lt;0,"guanya sorra",G161*'7. Erosió de costa'!$C$86/1000000),"")</f>
        <v/>
      </c>
      <c r="I161" s="937" t="str">
        <f>IFERROR(IF(('A. Dades de partida'!$D$10*G161*'7. Erosió de costa'!$C$86/1000000)&lt;0,"guanya sorra",'A. Dades de partida'!$D$10*G161*'7. Erosió de costa'!$C$86/1000000),"")</f>
        <v/>
      </c>
      <c r="J161" s="931" t="str">
        <f t="shared" si="43"/>
        <v>NA</v>
      </c>
      <c r="K161" s="931"/>
      <c r="L161" s="931"/>
      <c r="M161" s="931"/>
      <c r="N161" s="931"/>
      <c r="O161" s="931"/>
      <c r="P161" s="931"/>
      <c r="Q161" s="931"/>
      <c r="R161" s="931"/>
      <c r="S161" s="931"/>
      <c r="T161" s="931"/>
      <c r="U161" s="931"/>
      <c r="V161" s="931"/>
      <c r="W161" s="931"/>
      <c r="X161" s="931"/>
      <c r="Y161" s="931"/>
      <c r="Z161" s="941" t="str">
        <f t="shared" si="49"/>
        <v/>
      </c>
      <c r="AA161" s="941" t="str">
        <f t="shared" si="50"/>
        <v/>
      </c>
      <c r="AB161" s="941" t="str">
        <f t="shared" si="51"/>
        <v/>
      </c>
      <c r="AC161" s="941" t="str">
        <f t="shared" si="52"/>
        <v/>
      </c>
      <c r="AD161" s="941" t="str">
        <f t="shared" si="53"/>
        <v/>
      </c>
      <c r="AE161" s="941" t="str">
        <f t="shared" si="54"/>
        <v/>
      </c>
      <c r="AF161" s="941" t="str">
        <f t="shared" si="55"/>
        <v/>
      </c>
      <c r="AG161" s="941" t="str">
        <f t="shared" si="56"/>
        <v/>
      </c>
      <c r="AH161" s="941" t="str">
        <f t="shared" si="57"/>
        <v/>
      </c>
      <c r="AI161" s="941" t="str">
        <f t="shared" si="58"/>
        <v/>
      </c>
      <c r="AJ161" s="941" t="str">
        <f t="shared" si="59"/>
        <v/>
      </c>
      <c r="AK161" s="941" t="str">
        <f t="shared" si="60"/>
        <v/>
      </c>
      <c r="AL161" s="941" t="str">
        <f t="shared" si="61"/>
        <v/>
      </c>
      <c r="AM161" s="941" t="str">
        <f t="shared" si="62"/>
        <v/>
      </c>
      <c r="AN161" s="941" t="str">
        <f t="shared" si="63"/>
        <v/>
      </c>
      <c r="AO161" s="941" t="str">
        <f t="shared" si="64"/>
        <v/>
      </c>
      <c r="AP161" s="895">
        <f>IF(AO161&lt;0,"No hi ha pèrdua",IFERROR(SUM(AA161:AO161)*'7. Erosió de costa'!$C$86/1000000,""))</f>
        <v>0</v>
      </c>
    </row>
    <row r="162" spans="1:42">
      <c r="A162" s="835">
        <v>8159</v>
      </c>
      <c r="B162" s="826" t="s">
        <v>1325</v>
      </c>
      <c r="C162" s="835" t="str">
        <f t="shared" si="44"/>
        <v>NA</v>
      </c>
      <c r="D162" s="923" t="str">
        <f t="shared" si="45"/>
        <v>NA</v>
      </c>
      <c r="E162" s="931" t="str">
        <f t="shared" si="46"/>
        <v>NA</v>
      </c>
      <c r="F162" s="926" t="str">
        <f t="shared" si="47"/>
        <v>NA</v>
      </c>
      <c r="G162" s="923" t="str">
        <f t="shared" si="48"/>
        <v>NA</v>
      </c>
      <c r="H162" s="931" t="str">
        <f>IFERROR(IF((G162*'7. Erosió de costa'!$C$86/1000000)&lt;0,"guanya sorra",G162*'7. Erosió de costa'!$C$86/1000000),"")</f>
        <v/>
      </c>
      <c r="I162" s="937" t="str">
        <f>IFERROR(IF(('A. Dades de partida'!$D$10*G162*'7. Erosió de costa'!$C$86/1000000)&lt;0,"guanya sorra",'A. Dades de partida'!$D$10*G162*'7. Erosió de costa'!$C$86/1000000),"")</f>
        <v/>
      </c>
      <c r="J162" s="931" t="str">
        <f t="shared" si="43"/>
        <v>NA</v>
      </c>
      <c r="K162" s="931"/>
      <c r="L162" s="931"/>
      <c r="M162" s="931"/>
      <c r="N162" s="931"/>
      <c r="O162" s="931"/>
      <c r="P162" s="931"/>
      <c r="Q162" s="931"/>
      <c r="R162" s="931"/>
      <c r="S162" s="931"/>
      <c r="T162" s="931"/>
      <c r="U162" s="931"/>
      <c r="V162" s="931"/>
      <c r="W162" s="931"/>
      <c r="X162" s="931"/>
      <c r="Y162" s="931"/>
      <c r="Z162" s="941" t="str">
        <f t="shared" si="49"/>
        <v/>
      </c>
      <c r="AA162" s="941" t="str">
        <f t="shared" si="50"/>
        <v/>
      </c>
      <c r="AB162" s="941" t="str">
        <f t="shared" si="51"/>
        <v/>
      </c>
      <c r="AC162" s="941" t="str">
        <f t="shared" si="52"/>
        <v/>
      </c>
      <c r="AD162" s="941" t="str">
        <f t="shared" si="53"/>
        <v/>
      </c>
      <c r="AE162" s="941" t="str">
        <f t="shared" si="54"/>
        <v/>
      </c>
      <c r="AF162" s="941" t="str">
        <f t="shared" si="55"/>
        <v/>
      </c>
      <c r="AG162" s="941" t="str">
        <f t="shared" si="56"/>
        <v/>
      </c>
      <c r="AH162" s="941" t="str">
        <f t="shared" si="57"/>
        <v/>
      </c>
      <c r="AI162" s="941" t="str">
        <f t="shared" si="58"/>
        <v/>
      </c>
      <c r="AJ162" s="941" t="str">
        <f t="shared" si="59"/>
        <v/>
      </c>
      <c r="AK162" s="941" t="str">
        <f t="shared" si="60"/>
        <v/>
      </c>
      <c r="AL162" s="941" t="str">
        <f t="shared" si="61"/>
        <v/>
      </c>
      <c r="AM162" s="941" t="str">
        <f t="shared" si="62"/>
        <v/>
      </c>
      <c r="AN162" s="941" t="str">
        <f t="shared" si="63"/>
        <v/>
      </c>
      <c r="AO162" s="941" t="str">
        <f t="shared" si="64"/>
        <v/>
      </c>
      <c r="AP162" s="895">
        <f>IF(AO162&lt;0,"No hi ha pèrdua",IFERROR(SUM(AA162:AO162)*'7. Erosió de costa'!$C$86/1000000,""))</f>
        <v>0</v>
      </c>
    </row>
    <row r="163" spans="1:42">
      <c r="A163" s="835">
        <v>8160</v>
      </c>
      <c r="B163" s="826" t="s">
        <v>1326</v>
      </c>
      <c r="C163" s="835" t="str">
        <f t="shared" si="44"/>
        <v>NA</v>
      </c>
      <c r="D163" s="923" t="str">
        <f t="shared" si="45"/>
        <v>NA</v>
      </c>
      <c r="E163" s="931" t="str">
        <f t="shared" si="46"/>
        <v>NA</v>
      </c>
      <c r="F163" s="926" t="str">
        <f t="shared" si="47"/>
        <v>NA</v>
      </c>
      <c r="G163" s="923" t="str">
        <f t="shared" si="48"/>
        <v>NA</v>
      </c>
      <c r="H163" s="931" t="str">
        <f>IFERROR(IF((G163*'7. Erosió de costa'!$C$86/1000000)&lt;0,"guanya sorra",G163*'7. Erosió de costa'!$C$86/1000000),"")</f>
        <v/>
      </c>
      <c r="I163" s="937" t="str">
        <f>IFERROR(IF(('A. Dades de partida'!$D$10*G163*'7. Erosió de costa'!$C$86/1000000)&lt;0,"guanya sorra",'A. Dades de partida'!$D$10*G163*'7. Erosió de costa'!$C$86/1000000),"")</f>
        <v/>
      </c>
      <c r="J163" s="931" t="str">
        <f t="shared" si="43"/>
        <v>NA</v>
      </c>
      <c r="K163" s="931"/>
      <c r="L163" s="931"/>
      <c r="M163" s="931"/>
      <c r="N163" s="931"/>
      <c r="O163" s="931"/>
      <c r="P163" s="931"/>
      <c r="Q163" s="931"/>
      <c r="R163" s="931"/>
      <c r="S163" s="931"/>
      <c r="T163" s="931"/>
      <c r="U163" s="931"/>
      <c r="V163" s="931"/>
      <c r="W163" s="931"/>
      <c r="X163" s="931"/>
      <c r="Y163" s="931"/>
      <c r="Z163" s="941" t="str">
        <f t="shared" si="49"/>
        <v/>
      </c>
      <c r="AA163" s="941" t="str">
        <f t="shared" si="50"/>
        <v/>
      </c>
      <c r="AB163" s="941" t="str">
        <f t="shared" si="51"/>
        <v/>
      </c>
      <c r="AC163" s="941" t="str">
        <f t="shared" si="52"/>
        <v/>
      </c>
      <c r="AD163" s="941" t="str">
        <f t="shared" si="53"/>
        <v/>
      </c>
      <c r="AE163" s="941" t="str">
        <f t="shared" si="54"/>
        <v/>
      </c>
      <c r="AF163" s="941" t="str">
        <f t="shared" si="55"/>
        <v/>
      </c>
      <c r="AG163" s="941" t="str">
        <f t="shared" si="56"/>
        <v/>
      </c>
      <c r="AH163" s="941" t="str">
        <f t="shared" si="57"/>
        <v/>
      </c>
      <c r="AI163" s="941" t="str">
        <f t="shared" si="58"/>
        <v/>
      </c>
      <c r="AJ163" s="941" t="str">
        <f t="shared" si="59"/>
        <v/>
      </c>
      <c r="AK163" s="941" t="str">
        <f t="shared" si="60"/>
        <v/>
      </c>
      <c r="AL163" s="941" t="str">
        <f t="shared" si="61"/>
        <v/>
      </c>
      <c r="AM163" s="941" t="str">
        <f t="shared" si="62"/>
        <v/>
      </c>
      <c r="AN163" s="941" t="str">
        <f t="shared" si="63"/>
        <v/>
      </c>
      <c r="AO163" s="941" t="str">
        <f t="shared" si="64"/>
        <v/>
      </c>
      <c r="AP163" s="895">
        <f>IF(AO163&lt;0,"No hi ha pèrdua",IFERROR(SUM(AA163:AO163)*'7. Erosió de costa'!$C$86/1000000,""))</f>
        <v>0</v>
      </c>
    </row>
    <row r="164" spans="1:42">
      <c r="A164" s="835">
        <v>8161</v>
      </c>
      <c r="B164" s="826" t="s">
        <v>1330</v>
      </c>
      <c r="C164" s="835" t="str">
        <f t="shared" si="44"/>
        <v>NA</v>
      </c>
      <c r="D164" s="923" t="str">
        <f t="shared" si="45"/>
        <v>NA</v>
      </c>
      <c r="E164" s="931" t="str">
        <f t="shared" si="46"/>
        <v>NA</v>
      </c>
      <c r="F164" s="926" t="str">
        <f t="shared" si="47"/>
        <v>NA</v>
      </c>
      <c r="G164" s="923" t="str">
        <f t="shared" si="48"/>
        <v>NA</v>
      </c>
      <c r="H164" s="931" t="str">
        <f>IFERROR(IF((G164*'7. Erosió de costa'!$C$86/1000000)&lt;0,"guanya sorra",G164*'7. Erosió de costa'!$C$86/1000000),"")</f>
        <v/>
      </c>
      <c r="I164" s="937" t="str">
        <f>IFERROR(IF(('A. Dades de partida'!$D$10*G164*'7. Erosió de costa'!$C$86/1000000)&lt;0,"guanya sorra",'A. Dades de partida'!$D$10*G164*'7. Erosió de costa'!$C$86/1000000),"")</f>
        <v/>
      </c>
      <c r="J164" s="931" t="str">
        <f t="shared" si="43"/>
        <v>NA</v>
      </c>
      <c r="K164" s="931"/>
      <c r="L164" s="931"/>
      <c r="M164" s="931"/>
      <c r="N164" s="931"/>
      <c r="O164" s="931"/>
      <c r="P164" s="931"/>
      <c r="Q164" s="931"/>
      <c r="R164" s="931"/>
      <c r="S164" s="931"/>
      <c r="T164" s="931"/>
      <c r="U164" s="931"/>
      <c r="V164" s="931"/>
      <c r="W164" s="931"/>
      <c r="X164" s="931"/>
      <c r="Y164" s="931"/>
      <c r="Z164" s="941" t="str">
        <f t="shared" si="49"/>
        <v/>
      </c>
      <c r="AA164" s="941" t="str">
        <f t="shared" si="50"/>
        <v/>
      </c>
      <c r="AB164" s="941" t="str">
        <f t="shared" si="51"/>
        <v/>
      </c>
      <c r="AC164" s="941" t="str">
        <f t="shared" si="52"/>
        <v/>
      </c>
      <c r="AD164" s="941" t="str">
        <f t="shared" si="53"/>
        <v/>
      </c>
      <c r="AE164" s="941" t="str">
        <f t="shared" si="54"/>
        <v/>
      </c>
      <c r="AF164" s="941" t="str">
        <f t="shared" si="55"/>
        <v/>
      </c>
      <c r="AG164" s="941" t="str">
        <f t="shared" si="56"/>
        <v/>
      </c>
      <c r="AH164" s="941" t="str">
        <f t="shared" si="57"/>
        <v/>
      </c>
      <c r="AI164" s="941" t="str">
        <f t="shared" si="58"/>
        <v/>
      </c>
      <c r="AJ164" s="941" t="str">
        <f t="shared" si="59"/>
        <v/>
      </c>
      <c r="AK164" s="941" t="str">
        <f t="shared" si="60"/>
        <v/>
      </c>
      <c r="AL164" s="941" t="str">
        <f t="shared" si="61"/>
        <v/>
      </c>
      <c r="AM164" s="941" t="str">
        <f t="shared" si="62"/>
        <v/>
      </c>
      <c r="AN164" s="941" t="str">
        <f t="shared" si="63"/>
        <v/>
      </c>
      <c r="AO164" s="941" t="str">
        <f t="shared" si="64"/>
        <v/>
      </c>
      <c r="AP164" s="895">
        <f>IF(AO164&lt;0,"No hi ha pèrdua",IFERROR(SUM(AA164:AO164)*'7. Erosió de costa'!$C$86/1000000,""))</f>
        <v>0</v>
      </c>
    </row>
    <row r="165" spans="1:42">
      <c r="A165" s="835">
        <v>8162</v>
      </c>
      <c r="B165" s="826" t="s">
        <v>1334</v>
      </c>
      <c r="C165" s="835" t="str">
        <f t="shared" si="44"/>
        <v>NA</v>
      </c>
      <c r="D165" s="923" t="str">
        <f t="shared" si="45"/>
        <v>NA</v>
      </c>
      <c r="E165" s="931" t="str">
        <f t="shared" si="46"/>
        <v>NA</v>
      </c>
      <c r="F165" s="926" t="str">
        <f t="shared" si="47"/>
        <v>NA</v>
      </c>
      <c r="G165" s="923" t="str">
        <f t="shared" si="48"/>
        <v>NA</v>
      </c>
      <c r="H165" s="931" t="str">
        <f>IFERROR(IF((G165*'7. Erosió de costa'!$C$86/1000000)&lt;0,"guanya sorra",G165*'7. Erosió de costa'!$C$86/1000000),"")</f>
        <v/>
      </c>
      <c r="I165" s="937" t="str">
        <f>IFERROR(IF(('A. Dades de partida'!$D$10*G165*'7. Erosió de costa'!$C$86/1000000)&lt;0,"guanya sorra",'A. Dades de partida'!$D$10*G165*'7. Erosió de costa'!$C$86/1000000),"")</f>
        <v/>
      </c>
      <c r="J165" s="931" t="str">
        <f t="shared" si="43"/>
        <v>NA</v>
      </c>
      <c r="K165" s="931"/>
      <c r="L165" s="931"/>
      <c r="M165" s="931"/>
      <c r="N165" s="931"/>
      <c r="O165" s="931"/>
      <c r="P165" s="931"/>
      <c r="Q165" s="931"/>
      <c r="R165" s="931"/>
      <c r="S165" s="931"/>
      <c r="T165" s="931"/>
      <c r="U165" s="931"/>
      <c r="V165" s="931"/>
      <c r="W165" s="931"/>
      <c r="X165" s="931"/>
      <c r="Y165" s="931"/>
      <c r="Z165" s="941" t="str">
        <f t="shared" si="49"/>
        <v/>
      </c>
      <c r="AA165" s="941" t="str">
        <f t="shared" si="50"/>
        <v/>
      </c>
      <c r="AB165" s="941" t="str">
        <f t="shared" si="51"/>
        <v/>
      </c>
      <c r="AC165" s="941" t="str">
        <f t="shared" si="52"/>
        <v/>
      </c>
      <c r="AD165" s="941" t="str">
        <f t="shared" si="53"/>
        <v/>
      </c>
      <c r="AE165" s="941" t="str">
        <f t="shared" si="54"/>
        <v/>
      </c>
      <c r="AF165" s="941" t="str">
        <f t="shared" si="55"/>
        <v/>
      </c>
      <c r="AG165" s="941" t="str">
        <f t="shared" si="56"/>
        <v/>
      </c>
      <c r="AH165" s="941" t="str">
        <f t="shared" si="57"/>
        <v/>
      </c>
      <c r="AI165" s="941" t="str">
        <f t="shared" si="58"/>
        <v/>
      </c>
      <c r="AJ165" s="941" t="str">
        <f t="shared" si="59"/>
        <v/>
      </c>
      <c r="AK165" s="941" t="str">
        <f t="shared" si="60"/>
        <v/>
      </c>
      <c r="AL165" s="941" t="str">
        <f t="shared" si="61"/>
        <v/>
      </c>
      <c r="AM165" s="941" t="str">
        <f t="shared" si="62"/>
        <v/>
      </c>
      <c r="AN165" s="941" t="str">
        <f t="shared" si="63"/>
        <v/>
      </c>
      <c r="AO165" s="941" t="str">
        <f t="shared" si="64"/>
        <v/>
      </c>
      <c r="AP165" s="895">
        <f>IF(AO165&lt;0,"No hi ha pèrdua",IFERROR(SUM(AA165:AO165)*'7. Erosió de costa'!$C$86/1000000,""))</f>
        <v>0</v>
      </c>
    </row>
    <row r="166" spans="1:42">
      <c r="A166" s="835">
        <v>8163</v>
      </c>
      <c r="B166" s="826" t="s">
        <v>347</v>
      </c>
      <c r="C166" s="835">
        <f t="shared" si="44"/>
        <v>15</v>
      </c>
      <c r="D166" s="923">
        <f t="shared" si="45"/>
        <v>2910</v>
      </c>
      <c r="E166" s="931">
        <f t="shared" si="46"/>
        <v>-0.78</v>
      </c>
      <c r="F166" s="926">
        <f t="shared" si="47"/>
        <v>9.6853655805620864</v>
      </c>
      <c r="G166" s="923">
        <f t="shared" si="48"/>
        <v>21983.842794759825</v>
      </c>
      <c r="H166" s="931">
        <f>IFERROR(IF((G166*'7. Erosió de costa'!$C$86/1000000)&lt;0,"guanya sorra",G166*'7. Erosió de costa'!$C$86/1000000),"")</f>
        <v>0.72546681222707421</v>
      </c>
      <c r="I166" s="937">
        <f>IFERROR(IF(('A. Dades de partida'!$D$10*G166*'7. Erosió de costa'!$C$86/1000000)&lt;0,"guanya sorra",'A. Dades de partida'!$D$10*G166*'7. Erosió de costa'!$C$86/1000000),"")</f>
        <v>10.882002183406113</v>
      </c>
      <c r="J166" s="931">
        <f>E166</f>
        <v>-0.78</v>
      </c>
      <c r="K166" s="931">
        <f>IF($J166&gt;0, $J166-($J166*'7. Erosió de costa'!D$140*'7. Erosió de costa'!$D$111),$J166+($J166*'7. Erosió de costa'!D$140*'7. Erosió de costa'!$D$111))</f>
        <v>-0.79502941176470587</v>
      </c>
      <c r="L166" s="931">
        <f>IF($J166&gt;0, $J166-($J166*'7. Erosió de costa'!E$140*'7. Erosió de costa'!$D$111),$J166+($J166*'7. Erosió de costa'!E$140*'7. Erosió de costa'!$D$111))</f>
        <v>-0.81005882352941183</v>
      </c>
      <c r="M166" s="931">
        <f>IF($J166&gt;0, $J166-($J166*'7. Erosió de costa'!F$140*'7. Erosió de costa'!$D$111),$J166+($J166*'7. Erosió de costa'!F$140*'7. Erosió de costa'!$D$111))</f>
        <v>-0.82508823529411768</v>
      </c>
      <c r="N166" s="931">
        <f>IF($J166&gt;0, $J166-($J166*'7. Erosió de costa'!G$140*'7. Erosió de costa'!$D$111),$J166+($J166*'7. Erosió de costa'!G$140*'7. Erosió de costa'!$D$111))</f>
        <v>-0.84011764705882352</v>
      </c>
      <c r="O166" s="931">
        <f>IF($J166&gt;0, $J166-($J166*'7. Erosió de costa'!H$140*'7. Erosió de costa'!$D$111),$J166+($J166*'7. Erosió de costa'!H$140*'7. Erosió de costa'!$D$111))</f>
        <v>-0.85514705882352948</v>
      </c>
      <c r="P166" s="931">
        <f>IF($J166&gt;0, $J166-($J166*'7. Erosió de costa'!I$140*'7. Erosió de costa'!$D$111),$J166+($J166*'7. Erosió de costa'!I$140*'7. Erosió de costa'!$D$111))</f>
        <v>-0.87017647058823533</v>
      </c>
      <c r="Q166" s="931">
        <f>IF($J166&gt;0, $J166-($J166*'7. Erosió de costa'!J$140*'7. Erosió de costa'!$D$111),$J166+($J166*'7. Erosió de costa'!J$140*'7. Erosió de costa'!$D$111))</f>
        <v>-0.88520588235294118</v>
      </c>
      <c r="R166" s="931">
        <f>IF($J166&gt;0, $J166-($J166*'7. Erosió de costa'!K$140*'7. Erosió de costa'!$D$111),$J166+($J166*'7. Erosió de costa'!K$140*'7. Erosió de costa'!$D$111))</f>
        <v>-0.90023529411764713</v>
      </c>
      <c r="S166" s="931">
        <f>IF($J166&gt;0, $J166-($J166*'7. Erosió de costa'!L$140*'7. Erosió de costa'!$D$111),$J166+($J166*'7. Erosió de costa'!L$140*'7. Erosió de costa'!$D$111))</f>
        <v>-0.91526470588235298</v>
      </c>
      <c r="T166" s="931">
        <f>IF($J166&gt;0, $J166-($J166*'7. Erosió de costa'!M$140*'7. Erosió de costa'!$D$111),$J166+($J166*'7. Erosió de costa'!M$140*'7. Erosió de costa'!$D$111))</f>
        <v>-0.93029411764705883</v>
      </c>
      <c r="U166" s="931">
        <f>IF($J166&gt;0, $J166-($J166*'7. Erosió de costa'!N$140*'7. Erosió de costa'!$D$111),$J166+($J166*'7. Erosió de costa'!N$140*'7. Erosió de costa'!$D$111))</f>
        <v>-0.94532352941176478</v>
      </c>
      <c r="V166" s="931">
        <f>IF($J166&gt;0, $J166-($J166*'7. Erosió de costa'!O$140*'7. Erosió de costa'!$D$111),$J166+($J166*'7. Erosió de costa'!O$140*'7. Erosió de costa'!$D$111))</f>
        <v>-0.96035294117647063</v>
      </c>
      <c r="W166" s="931">
        <f>IF($J166&gt;0, $J166-($J166*'7. Erosió de costa'!P$140*'7. Erosió de costa'!$D$111),$J166+($J166*'7. Erosió de costa'!P$140*'7. Erosió de costa'!$D$111))</f>
        <v>-0.97538235294117648</v>
      </c>
      <c r="X166" s="931">
        <f>IF($J166&gt;0, $J166-($J166*'7. Erosió de costa'!Q$140*'7. Erosió de costa'!$D$111),$J166+($J166*'7. Erosió de costa'!Q$140*'7. Erosió de costa'!$D$111))</f>
        <v>-0.99041176470588232</v>
      </c>
      <c r="Y166" s="931">
        <f>IF($J166&gt;0, $J166-($J166*'7. Erosió de costa'!R$140*'7. Erosió de costa'!$D$111),$J166+($J166*'7. Erosió de costa'!R$140*'7. Erosió de costa'!$D$111))</f>
        <v>-1.0054411764705882</v>
      </c>
      <c r="Z166" s="941">
        <f t="shared" si="49"/>
        <v>21983.842794759825</v>
      </c>
      <c r="AA166" s="941">
        <f t="shared" si="50"/>
        <v>22407.437955699577</v>
      </c>
      <c r="AB166" s="941">
        <f t="shared" si="51"/>
        <v>22831.03311663933</v>
      </c>
      <c r="AC166" s="941">
        <f t="shared" si="52"/>
        <v>23254.628277579082</v>
      </c>
      <c r="AD166" s="941">
        <f t="shared" si="53"/>
        <v>23678.223438518835</v>
      </c>
      <c r="AE166" s="941">
        <f t="shared" si="54"/>
        <v>24101.818599458595</v>
      </c>
      <c r="AF166" s="941">
        <f t="shared" si="55"/>
        <v>24525.413760398347</v>
      </c>
      <c r="AG166" s="941">
        <f t="shared" si="56"/>
        <v>24949.0089213381</v>
      </c>
      <c r="AH166" s="941">
        <f t="shared" si="57"/>
        <v>25372.604082277856</v>
      </c>
      <c r="AI166" s="941">
        <f t="shared" si="58"/>
        <v>25796.199243217608</v>
      </c>
      <c r="AJ166" s="941">
        <f t="shared" si="59"/>
        <v>26219.794404157361</v>
      </c>
      <c r="AK166" s="941">
        <f t="shared" si="60"/>
        <v>26643.389565097121</v>
      </c>
      <c r="AL166" s="941">
        <f t="shared" si="61"/>
        <v>27066.984726036873</v>
      </c>
      <c r="AM166" s="941">
        <f t="shared" si="62"/>
        <v>27490.579886976626</v>
      </c>
      <c r="AN166" s="941">
        <f t="shared" si="63"/>
        <v>27914.175047916378</v>
      </c>
      <c r="AO166" s="941">
        <f t="shared" si="64"/>
        <v>28337.770208856131</v>
      </c>
      <c r="AP166" s="895">
        <f>IF(AO166&lt;0,"No hi ha pèrdua",IFERROR(SUM(AA166:AO166)*'7. Erosió de costa'!$C$86/1000000,""))</f>
        <v>12.55943902072754</v>
      </c>
    </row>
    <row r="167" spans="1:42">
      <c r="A167" s="835">
        <v>8164</v>
      </c>
      <c r="B167" s="826" t="s">
        <v>1339</v>
      </c>
      <c r="C167" s="835" t="str">
        <f t="shared" si="44"/>
        <v>NA</v>
      </c>
      <c r="D167" s="923" t="str">
        <f t="shared" si="45"/>
        <v>NA</v>
      </c>
      <c r="E167" s="931" t="str">
        <f t="shared" si="46"/>
        <v>NA</v>
      </c>
      <c r="F167" s="926" t="str">
        <f t="shared" si="47"/>
        <v>NA</v>
      </c>
      <c r="G167" s="923" t="str">
        <f t="shared" si="48"/>
        <v>NA</v>
      </c>
      <c r="H167" s="931" t="str">
        <f>IFERROR(IF((G167*'7. Erosió de costa'!$C$86/1000000)&lt;0,"guanya sorra",G167*'7. Erosió de costa'!$C$86/1000000),"")</f>
        <v/>
      </c>
      <c r="I167" s="937" t="str">
        <f>IFERROR(IF(('A. Dades de partida'!$D$10*G167*'7. Erosió de costa'!$C$86/1000000)&lt;0,"guanya sorra",'A. Dades de partida'!$D$10*G167*'7. Erosió de costa'!$C$86/1000000),"")</f>
        <v/>
      </c>
      <c r="J167" s="931" t="str">
        <f t="shared" si="43"/>
        <v>NA</v>
      </c>
      <c r="K167" s="931"/>
      <c r="L167" s="931"/>
      <c r="M167" s="931"/>
      <c r="N167" s="931"/>
      <c r="O167" s="931"/>
      <c r="P167" s="931"/>
      <c r="Q167" s="931"/>
      <c r="R167" s="931"/>
      <c r="S167" s="931"/>
      <c r="T167" s="931"/>
      <c r="U167" s="931"/>
      <c r="V167" s="931"/>
      <c r="W167" s="931"/>
      <c r="X167" s="931"/>
      <c r="Y167" s="931"/>
      <c r="Z167" s="941" t="str">
        <f t="shared" si="49"/>
        <v/>
      </c>
      <c r="AA167" s="941" t="str">
        <f t="shared" si="50"/>
        <v/>
      </c>
      <c r="AB167" s="941" t="str">
        <f t="shared" si="51"/>
        <v/>
      </c>
      <c r="AC167" s="941" t="str">
        <f t="shared" si="52"/>
        <v/>
      </c>
      <c r="AD167" s="941" t="str">
        <f t="shared" si="53"/>
        <v/>
      </c>
      <c r="AE167" s="941" t="str">
        <f t="shared" si="54"/>
        <v/>
      </c>
      <c r="AF167" s="941" t="str">
        <f t="shared" si="55"/>
        <v/>
      </c>
      <c r="AG167" s="941" t="str">
        <f t="shared" si="56"/>
        <v/>
      </c>
      <c r="AH167" s="941" t="str">
        <f t="shared" si="57"/>
        <v/>
      </c>
      <c r="AI167" s="941" t="str">
        <f t="shared" si="58"/>
        <v/>
      </c>
      <c r="AJ167" s="941" t="str">
        <f t="shared" si="59"/>
        <v/>
      </c>
      <c r="AK167" s="941" t="str">
        <f t="shared" si="60"/>
        <v/>
      </c>
      <c r="AL167" s="941" t="str">
        <f t="shared" si="61"/>
        <v/>
      </c>
      <c r="AM167" s="941" t="str">
        <f t="shared" si="62"/>
        <v/>
      </c>
      <c r="AN167" s="941" t="str">
        <f t="shared" si="63"/>
        <v/>
      </c>
      <c r="AO167" s="941" t="str">
        <f t="shared" si="64"/>
        <v/>
      </c>
      <c r="AP167" s="895">
        <f>IF(AO167&lt;0,"No hi ha pèrdua",IFERROR(SUM(AA167:AO167)*'7. Erosió de costa'!$C$86/1000000,""))</f>
        <v>0</v>
      </c>
    </row>
    <row r="168" spans="1:42">
      <c r="A168" s="835">
        <v>8165</v>
      </c>
      <c r="B168" s="826" t="s">
        <v>1340</v>
      </c>
      <c r="C168" s="835" t="str">
        <f t="shared" si="44"/>
        <v>NA</v>
      </c>
      <c r="D168" s="923" t="str">
        <f t="shared" si="45"/>
        <v>NA</v>
      </c>
      <c r="E168" s="931" t="str">
        <f t="shared" si="46"/>
        <v>NA</v>
      </c>
      <c r="F168" s="926" t="str">
        <f t="shared" si="47"/>
        <v>NA</v>
      </c>
      <c r="G168" s="923" t="str">
        <f t="shared" si="48"/>
        <v>NA</v>
      </c>
      <c r="H168" s="931" t="str">
        <f>IFERROR(IF((G168*'7. Erosió de costa'!$C$86/1000000)&lt;0,"guanya sorra",G168*'7. Erosió de costa'!$C$86/1000000),"")</f>
        <v/>
      </c>
      <c r="I168" s="937" t="str">
        <f>IFERROR(IF(('A. Dades de partida'!$D$10*G168*'7. Erosió de costa'!$C$86/1000000)&lt;0,"guanya sorra",'A. Dades de partida'!$D$10*G168*'7. Erosió de costa'!$C$86/1000000),"")</f>
        <v/>
      </c>
      <c r="J168" s="931" t="str">
        <f t="shared" si="43"/>
        <v>NA</v>
      </c>
      <c r="K168" s="931"/>
      <c r="L168" s="931"/>
      <c r="M168" s="931"/>
      <c r="N168" s="931"/>
      <c r="O168" s="931"/>
      <c r="P168" s="931"/>
      <c r="Q168" s="931"/>
      <c r="R168" s="931"/>
      <c r="S168" s="931"/>
      <c r="T168" s="931"/>
      <c r="U168" s="931"/>
      <c r="V168" s="931"/>
      <c r="W168" s="931"/>
      <c r="X168" s="931"/>
      <c r="Y168" s="931"/>
      <c r="Z168" s="941" t="str">
        <f t="shared" si="49"/>
        <v/>
      </c>
      <c r="AA168" s="941" t="str">
        <f t="shared" si="50"/>
        <v/>
      </c>
      <c r="AB168" s="941" t="str">
        <f t="shared" si="51"/>
        <v/>
      </c>
      <c r="AC168" s="941" t="str">
        <f t="shared" si="52"/>
        <v/>
      </c>
      <c r="AD168" s="941" t="str">
        <f t="shared" si="53"/>
        <v/>
      </c>
      <c r="AE168" s="941" t="str">
        <f t="shared" si="54"/>
        <v/>
      </c>
      <c r="AF168" s="941" t="str">
        <f t="shared" si="55"/>
        <v/>
      </c>
      <c r="AG168" s="941" t="str">
        <f t="shared" si="56"/>
        <v/>
      </c>
      <c r="AH168" s="941" t="str">
        <f t="shared" si="57"/>
        <v/>
      </c>
      <c r="AI168" s="941" t="str">
        <f t="shared" si="58"/>
        <v/>
      </c>
      <c r="AJ168" s="941" t="str">
        <f t="shared" si="59"/>
        <v/>
      </c>
      <c r="AK168" s="941" t="str">
        <f t="shared" si="60"/>
        <v/>
      </c>
      <c r="AL168" s="941" t="str">
        <f t="shared" si="61"/>
        <v/>
      </c>
      <c r="AM168" s="941" t="str">
        <f t="shared" si="62"/>
        <v/>
      </c>
      <c r="AN168" s="941" t="str">
        <f t="shared" si="63"/>
        <v/>
      </c>
      <c r="AO168" s="941" t="str">
        <f t="shared" si="64"/>
        <v/>
      </c>
      <c r="AP168" s="895">
        <f>IF(AO168&lt;0,"No hi ha pèrdua",IFERROR(SUM(AA168:AO168)*'7. Erosió de costa'!$C$86/1000000,""))</f>
        <v>0</v>
      </c>
    </row>
    <row r="169" spans="1:42">
      <c r="A169" s="835">
        <v>8166</v>
      </c>
      <c r="B169" s="826" t="s">
        <v>1343</v>
      </c>
      <c r="C169" s="835" t="str">
        <f t="shared" si="44"/>
        <v>NA</v>
      </c>
      <c r="D169" s="923" t="str">
        <f t="shared" si="45"/>
        <v>NA</v>
      </c>
      <c r="E169" s="931" t="str">
        <f t="shared" si="46"/>
        <v>NA</v>
      </c>
      <c r="F169" s="926" t="str">
        <f t="shared" si="47"/>
        <v>NA</v>
      </c>
      <c r="G169" s="923" t="str">
        <f t="shared" si="48"/>
        <v>NA</v>
      </c>
      <c r="H169" s="931" t="str">
        <f>IFERROR(IF((G169*'7. Erosió de costa'!$C$86/1000000)&lt;0,"guanya sorra",G169*'7. Erosió de costa'!$C$86/1000000),"")</f>
        <v/>
      </c>
      <c r="I169" s="937" t="str">
        <f>IFERROR(IF(('A. Dades de partida'!$D$10*G169*'7. Erosió de costa'!$C$86/1000000)&lt;0,"guanya sorra",'A. Dades de partida'!$D$10*G169*'7. Erosió de costa'!$C$86/1000000),"")</f>
        <v/>
      </c>
      <c r="J169" s="931" t="str">
        <f t="shared" si="43"/>
        <v>NA</v>
      </c>
      <c r="K169" s="931"/>
      <c r="L169" s="931"/>
      <c r="M169" s="931"/>
      <c r="N169" s="931"/>
      <c r="O169" s="931"/>
      <c r="P169" s="931"/>
      <c r="Q169" s="931"/>
      <c r="R169" s="931"/>
      <c r="S169" s="931"/>
      <c r="T169" s="931"/>
      <c r="U169" s="931"/>
      <c r="V169" s="931"/>
      <c r="W169" s="931"/>
      <c r="X169" s="931"/>
      <c r="Y169" s="931"/>
      <c r="Z169" s="941" t="str">
        <f t="shared" si="49"/>
        <v/>
      </c>
      <c r="AA169" s="941" t="str">
        <f t="shared" si="50"/>
        <v/>
      </c>
      <c r="AB169" s="941" t="str">
        <f t="shared" si="51"/>
        <v/>
      </c>
      <c r="AC169" s="941" t="str">
        <f t="shared" si="52"/>
        <v/>
      </c>
      <c r="AD169" s="941" t="str">
        <f t="shared" si="53"/>
        <v/>
      </c>
      <c r="AE169" s="941" t="str">
        <f t="shared" si="54"/>
        <v/>
      </c>
      <c r="AF169" s="941" t="str">
        <f t="shared" si="55"/>
        <v/>
      </c>
      <c r="AG169" s="941" t="str">
        <f t="shared" si="56"/>
        <v/>
      </c>
      <c r="AH169" s="941" t="str">
        <f t="shared" si="57"/>
        <v/>
      </c>
      <c r="AI169" s="941" t="str">
        <f t="shared" si="58"/>
        <v/>
      </c>
      <c r="AJ169" s="941" t="str">
        <f t="shared" si="59"/>
        <v/>
      </c>
      <c r="AK169" s="941" t="str">
        <f t="shared" si="60"/>
        <v/>
      </c>
      <c r="AL169" s="941" t="str">
        <f t="shared" si="61"/>
        <v/>
      </c>
      <c r="AM169" s="941" t="str">
        <f t="shared" si="62"/>
        <v/>
      </c>
      <c r="AN169" s="941" t="str">
        <f t="shared" si="63"/>
        <v/>
      </c>
      <c r="AO169" s="941" t="str">
        <f t="shared" si="64"/>
        <v/>
      </c>
      <c r="AP169" s="895">
        <f>IF(AO169&lt;0,"No hi ha pèrdua",IFERROR(SUM(AA169:AO169)*'7. Erosió de costa'!$C$86/1000000,""))</f>
        <v>0</v>
      </c>
    </row>
    <row r="170" spans="1:42">
      <c r="A170" s="835">
        <v>8167</v>
      </c>
      <c r="B170" s="826" t="s">
        <v>1349</v>
      </c>
      <c r="C170" s="835" t="str">
        <f t="shared" si="44"/>
        <v>NA</v>
      </c>
      <c r="D170" s="923" t="str">
        <f t="shared" si="45"/>
        <v>NA</v>
      </c>
      <c r="E170" s="931" t="str">
        <f t="shared" si="46"/>
        <v>NA</v>
      </c>
      <c r="F170" s="926" t="str">
        <f t="shared" si="47"/>
        <v>NA</v>
      </c>
      <c r="G170" s="923" t="str">
        <f t="shared" si="48"/>
        <v>NA</v>
      </c>
      <c r="H170" s="931" t="str">
        <f>IFERROR(IF((G170*'7. Erosió de costa'!$C$86/1000000)&lt;0,"guanya sorra",G170*'7. Erosió de costa'!$C$86/1000000),"")</f>
        <v/>
      </c>
      <c r="I170" s="937" t="str">
        <f>IFERROR(IF(('A. Dades de partida'!$D$10*G170*'7. Erosió de costa'!$C$86/1000000)&lt;0,"guanya sorra",'A. Dades de partida'!$D$10*G170*'7. Erosió de costa'!$C$86/1000000),"")</f>
        <v/>
      </c>
      <c r="J170" s="931" t="str">
        <f t="shared" si="43"/>
        <v>NA</v>
      </c>
      <c r="K170" s="931"/>
      <c r="L170" s="931"/>
      <c r="M170" s="931"/>
      <c r="N170" s="931"/>
      <c r="O170" s="931"/>
      <c r="P170" s="931"/>
      <c r="Q170" s="931"/>
      <c r="R170" s="931"/>
      <c r="S170" s="931"/>
      <c r="T170" s="931"/>
      <c r="U170" s="931"/>
      <c r="V170" s="931"/>
      <c r="W170" s="931"/>
      <c r="X170" s="931"/>
      <c r="Y170" s="931"/>
      <c r="Z170" s="941" t="str">
        <f t="shared" si="49"/>
        <v/>
      </c>
      <c r="AA170" s="941" t="str">
        <f t="shared" si="50"/>
        <v/>
      </c>
      <c r="AB170" s="941" t="str">
        <f t="shared" si="51"/>
        <v/>
      </c>
      <c r="AC170" s="941" t="str">
        <f t="shared" si="52"/>
        <v/>
      </c>
      <c r="AD170" s="941" t="str">
        <f t="shared" si="53"/>
        <v/>
      </c>
      <c r="AE170" s="941" t="str">
        <f t="shared" si="54"/>
        <v/>
      </c>
      <c r="AF170" s="941" t="str">
        <f t="shared" si="55"/>
        <v/>
      </c>
      <c r="AG170" s="941" t="str">
        <f t="shared" si="56"/>
        <v/>
      </c>
      <c r="AH170" s="941" t="str">
        <f t="shared" si="57"/>
        <v/>
      </c>
      <c r="AI170" s="941" t="str">
        <f t="shared" si="58"/>
        <v/>
      </c>
      <c r="AJ170" s="941" t="str">
        <f t="shared" si="59"/>
        <v/>
      </c>
      <c r="AK170" s="941" t="str">
        <f t="shared" si="60"/>
        <v/>
      </c>
      <c r="AL170" s="941" t="str">
        <f t="shared" si="61"/>
        <v/>
      </c>
      <c r="AM170" s="941" t="str">
        <f t="shared" si="62"/>
        <v/>
      </c>
      <c r="AN170" s="941" t="str">
        <f t="shared" si="63"/>
        <v/>
      </c>
      <c r="AO170" s="941" t="str">
        <f t="shared" si="64"/>
        <v/>
      </c>
      <c r="AP170" s="895">
        <f>IF(AO170&lt;0,"No hi ha pèrdua",IFERROR(SUM(AA170:AO170)*'7. Erosió de costa'!$C$86/1000000,""))</f>
        <v>0</v>
      </c>
    </row>
    <row r="171" spans="1:42">
      <c r="A171" s="835">
        <v>8168</v>
      </c>
      <c r="B171" s="826" t="s">
        <v>1352</v>
      </c>
      <c r="C171" s="835" t="str">
        <f t="shared" si="44"/>
        <v>NA</v>
      </c>
      <c r="D171" s="923" t="str">
        <f t="shared" si="45"/>
        <v>NA</v>
      </c>
      <c r="E171" s="931" t="str">
        <f t="shared" si="46"/>
        <v>NA</v>
      </c>
      <c r="F171" s="926" t="str">
        <f t="shared" si="47"/>
        <v>NA</v>
      </c>
      <c r="G171" s="923" t="str">
        <f t="shared" si="48"/>
        <v>NA</v>
      </c>
      <c r="H171" s="931" t="str">
        <f>IFERROR(IF((G171*'7. Erosió de costa'!$C$86/1000000)&lt;0,"guanya sorra",G171*'7. Erosió de costa'!$C$86/1000000),"")</f>
        <v/>
      </c>
      <c r="I171" s="937" t="str">
        <f>IFERROR(IF(('A. Dades de partida'!$D$10*G171*'7. Erosió de costa'!$C$86/1000000)&lt;0,"guanya sorra",'A. Dades de partida'!$D$10*G171*'7. Erosió de costa'!$C$86/1000000),"")</f>
        <v/>
      </c>
      <c r="J171" s="931" t="str">
        <f t="shared" si="43"/>
        <v>NA</v>
      </c>
      <c r="K171" s="931"/>
      <c r="L171" s="931"/>
      <c r="M171" s="931"/>
      <c r="N171" s="931"/>
      <c r="O171" s="931"/>
      <c r="P171" s="931"/>
      <c r="Q171" s="931"/>
      <c r="R171" s="931"/>
      <c r="S171" s="931"/>
      <c r="T171" s="931"/>
      <c r="U171" s="931"/>
      <c r="V171" s="931"/>
      <c r="W171" s="931"/>
      <c r="X171" s="931"/>
      <c r="Y171" s="931"/>
      <c r="Z171" s="941" t="str">
        <f t="shared" si="49"/>
        <v/>
      </c>
      <c r="AA171" s="941" t="str">
        <f t="shared" si="50"/>
        <v/>
      </c>
      <c r="AB171" s="941" t="str">
        <f t="shared" si="51"/>
        <v/>
      </c>
      <c r="AC171" s="941" t="str">
        <f t="shared" si="52"/>
        <v/>
      </c>
      <c r="AD171" s="941" t="str">
        <f t="shared" si="53"/>
        <v/>
      </c>
      <c r="AE171" s="941" t="str">
        <f t="shared" si="54"/>
        <v/>
      </c>
      <c r="AF171" s="941" t="str">
        <f t="shared" si="55"/>
        <v/>
      </c>
      <c r="AG171" s="941" t="str">
        <f t="shared" si="56"/>
        <v/>
      </c>
      <c r="AH171" s="941" t="str">
        <f t="shared" si="57"/>
        <v/>
      </c>
      <c r="AI171" s="941" t="str">
        <f t="shared" si="58"/>
        <v/>
      </c>
      <c r="AJ171" s="941" t="str">
        <f t="shared" si="59"/>
        <v/>
      </c>
      <c r="AK171" s="941" t="str">
        <f t="shared" si="60"/>
        <v/>
      </c>
      <c r="AL171" s="941" t="str">
        <f t="shared" si="61"/>
        <v/>
      </c>
      <c r="AM171" s="941" t="str">
        <f t="shared" si="62"/>
        <v/>
      </c>
      <c r="AN171" s="941" t="str">
        <f t="shared" si="63"/>
        <v/>
      </c>
      <c r="AO171" s="941" t="str">
        <f t="shared" si="64"/>
        <v/>
      </c>
      <c r="AP171" s="895">
        <f>IF(AO171&lt;0,"No hi ha pèrdua",IFERROR(SUM(AA171:AO171)*'7. Erosió de costa'!$C$86/1000000,""))</f>
        <v>0</v>
      </c>
    </row>
    <row r="172" spans="1:42" ht="30">
      <c r="A172" s="835">
        <v>8169</v>
      </c>
      <c r="B172" s="826" t="s">
        <v>348</v>
      </c>
      <c r="C172" s="835">
        <f t="shared" si="44"/>
        <v>8</v>
      </c>
      <c r="D172" s="923">
        <f t="shared" si="45"/>
        <v>7985</v>
      </c>
      <c r="E172" s="931">
        <f t="shared" si="46"/>
        <v>0.54</v>
      </c>
      <c r="F172" s="926">
        <f t="shared" si="47"/>
        <v>8.1275720164609062</v>
      </c>
      <c r="G172" s="923">
        <f t="shared" si="48"/>
        <v>-35045.277777777788</v>
      </c>
      <c r="H172" s="931" t="str">
        <f>IFERROR(IF((G172*'7. Erosió de costa'!$C$86/1000000)&lt;0,"guanya sorra",G172*'7. Erosió de costa'!$C$86/1000000),"")</f>
        <v>guanya sorra</v>
      </c>
      <c r="I172" s="937" t="str">
        <f>IFERROR(IF(('A. Dades de partida'!$D$10*G172*'7. Erosió de costa'!$C$86/1000000)&lt;0,"guanya sorra",'A. Dades de partida'!$D$10*G172*'7. Erosió de costa'!$C$86/1000000),"")</f>
        <v>guanya sorra</v>
      </c>
      <c r="J172" s="931">
        <f>E172</f>
        <v>0.54</v>
      </c>
      <c r="K172" s="931">
        <f>IF($J172&gt;0, $J172-($J172*'7. Erosió de costa'!D$140*'7. Erosió de costa'!$D$111),$J172+($J172*'7. Erosió de costa'!D$140*'7. Erosió de costa'!$D$111))</f>
        <v>0.52959502262443447</v>
      </c>
      <c r="L172" s="931">
        <f>IF($J172&gt;0, $J172-($J172*'7. Erosió de costa'!E$140*'7. Erosió de costa'!$D$111),$J172+($J172*'7. Erosió de costa'!E$140*'7. Erosió de costa'!$D$111))</f>
        <v>0.5191900452488688</v>
      </c>
      <c r="M172" s="931">
        <f>IF($J172&gt;0, $J172-($J172*'7. Erosió de costa'!F$140*'7. Erosió de costa'!$D$111),$J172+($J172*'7. Erosió de costa'!F$140*'7. Erosió de costa'!$D$111))</f>
        <v>0.50878506787330324</v>
      </c>
      <c r="N172" s="931">
        <f>IF($J172&gt;0, $J172-($J172*'7. Erosió de costa'!G$140*'7. Erosió de costa'!$D$111),$J172+($J172*'7. Erosió de costa'!G$140*'7. Erosió de costa'!$D$111))</f>
        <v>0.49838009049773757</v>
      </c>
      <c r="O172" s="931">
        <f>IF($J172&gt;0, $J172-($J172*'7. Erosió de costa'!H$140*'7. Erosió de costa'!$D$111),$J172+($J172*'7. Erosió de costa'!H$140*'7. Erosió de costa'!$D$111))</f>
        <v>0.48797511312217196</v>
      </c>
      <c r="P172" s="931">
        <f>IF($J172&gt;0, $J172-($J172*'7. Erosió de costa'!I$140*'7. Erosió de costa'!$D$111),$J172+($J172*'7. Erosió de costa'!I$140*'7. Erosió de costa'!$D$111))</f>
        <v>0.47757013574660639</v>
      </c>
      <c r="Q172" s="931">
        <f>IF($J172&gt;0, $J172-($J172*'7. Erosió de costa'!J$140*'7. Erosió de costa'!$D$111),$J172+($J172*'7. Erosió de costa'!J$140*'7. Erosió de costa'!$D$111))</f>
        <v>0.46716515837104078</v>
      </c>
      <c r="R172" s="931">
        <f>IF($J172&gt;0, $J172-($J172*'7. Erosió de costa'!K$140*'7. Erosió de costa'!$D$111),$J172+($J172*'7. Erosió de costa'!K$140*'7. Erosió de costa'!$D$111))</f>
        <v>0.45676018099547516</v>
      </c>
      <c r="S172" s="931">
        <f>IF($J172&gt;0, $J172-($J172*'7. Erosió de costa'!L$140*'7. Erosió de costa'!$D$111),$J172+($J172*'7. Erosió de costa'!L$140*'7. Erosió de costa'!$D$111))</f>
        <v>0.44635520361990955</v>
      </c>
      <c r="T172" s="931">
        <f>IF($J172&gt;0, $J172-($J172*'7. Erosió de costa'!M$140*'7. Erosió de costa'!$D$111),$J172+($J172*'7. Erosió de costa'!M$140*'7. Erosió de costa'!$D$111))</f>
        <v>0.43595022624434393</v>
      </c>
      <c r="U172" s="931">
        <f>IF($J172&gt;0, $J172-($J172*'7. Erosió de costa'!N$140*'7. Erosió de costa'!$D$111),$J172+($J172*'7. Erosió de costa'!N$140*'7. Erosió de costa'!$D$111))</f>
        <v>0.42554524886877831</v>
      </c>
      <c r="V172" s="931">
        <f>IF($J172&gt;0, $J172-($J172*'7. Erosió de costa'!O$140*'7. Erosió de costa'!$D$111),$J172+($J172*'7. Erosió de costa'!O$140*'7. Erosió de costa'!$D$111))</f>
        <v>0.4151402714932127</v>
      </c>
      <c r="W172" s="931">
        <f>IF($J172&gt;0, $J172-($J172*'7. Erosió de costa'!P$140*'7. Erosió de costa'!$D$111),$J172+($J172*'7. Erosió de costa'!P$140*'7. Erosió de costa'!$D$111))</f>
        <v>0.40473529411764708</v>
      </c>
      <c r="X172" s="931">
        <f>IF($J172&gt;0, $J172-($J172*'7. Erosió de costa'!Q$140*'7. Erosió de costa'!$D$111),$J172+($J172*'7. Erosió de costa'!Q$140*'7. Erosió de costa'!$D$111))</f>
        <v>0.39433031674208152</v>
      </c>
      <c r="Y172" s="931">
        <f>IF($J172&gt;0, $J172-($J172*'7. Erosió de costa'!R$140*'7. Erosió de costa'!$D$111),$J172+($J172*'7. Erosió de costa'!R$140*'7. Erosió de costa'!$D$111))</f>
        <v>0.38392533936651585</v>
      </c>
      <c r="Z172" s="941">
        <f t="shared" si="49"/>
        <v>-35045.277777777788</v>
      </c>
      <c r="AA172" s="941">
        <f t="shared" si="50"/>
        <v>-34370.008662225584</v>
      </c>
      <c r="AB172" s="941">
        <f t="shared" si="51"/>
        <v>-33694.739546673372</v>
      </c>
      <c r="AC172" s="941">
        <f t="shared" si="52"/>
        <v>-33019.470431121175</v>
      </c>
      <c r="AD172" s="941">
        <f t="shared" si="53"/>
        <v>-32344.201315568967</v>
      </c>
      <c r="AE172" s="941">
        <f t="shared" si="54"/>
        <v>-31668.932200016763</v>
      </c>
      <c r="AF172" s="941">
        <f t="shared" si="55"/>
        <v>-30993.663084464562</v>
      </c>
      <c r="AG172" s="941">
        <f t="shared" si="56"/>
        <v>-30318.393968912358</v>
      </c>
      <c r="AH172" s="941">
        <f t="shared" si="57"/>
        <v>-29643.124853360154</v>
      </c>
      <c r="AI172" s="941">
        <f t="shared" si="58"/>
        <v>-28967.855737807949</v>
      </c>
      <c r="AJ172" s="941">
        <f t="shared" si="59"/>
        <v>-28292.586622255745</v>
      </c>
      <c r="AK172" s="941">
        <f t="shared" si="60"/>
        <v>-27617.317506703541</v>
      </c>
      <c r="AL172" s="941">
        <f t="shared" si="61"/>
        <v>-26942.04839115134</v>
      </c>
      <c r="AM172" s="941">
        <f t="shared" si="62"/>
        <v>-26266.779275599132</v>
      </c>
      <c r="AN172" s="941">
        <f t="shared" si="63"/>
        <v>-25591.510160046932</v>
      </c>
      <c r="AO172" s="941">
        <f t="shared" si="64"/>
        <v>-24916.241044494724</v>
      </c>
      <c r="AP172" s="895" t="str">
        <f>IF(AO172&lt;0,"No hi ha pèrdua",IFERROR(SUM(AA172:AO172)*'7. Erosió de costa'!$C$86/1000000,""))</f>
        <v>No hi ha pèrdua</v>
      </c>
    </row>
    <row r="173" spans="1:42">
      <c r="A173" s="835">
        <v>8170</v>
      </c>
      <c r="B173" s="826" t="s">
        <v>1359</v>
      </c>
      <c r="C173" s="835" t="str">
        <f t="shared" si="44"/>
        <v>NA</v>
      </c>
      <c r="D173" s="923" t="str">
        <f t="shared" si="45"/>
        <v>NA</v>
      </c>
      <c r="E173" s="931" t="str">
        <f t="shared" si="46"/>
        <v>NA</v>
      </c>
      <c r="F173" s="926" t="str">
        <f t="shared" si="47"/>
        <v>NA</v>
      </c>
      <c r="G173" s="923" t="str">
        <f t="shared" si="48"/>
        <v>NA</v>
      </c>
      <c r="H173" s="931" t="str">
        <f>IFERROR(IF((G173*'7. Erosió de costa'!$C$86/1000000)&lt;0,"guanya sorra",G173*'7. Erosió de costa'!$C$86/1000000),"")</f>
        <v/>
      </c>
      <c r="I173" s="937" t="str">
        <f>IFERROR(IF(('A. Dades de partida'!$D$10*G173*'7. Erosió de costa'!$C$86/1000000)&lt;0,"guanya sorra",'A. Dades de partida'!$D$10*G173*'7. Erosió de costa'!$C$86/1000000),"")</f>
        <v/>
      </c>
      <c r="J173" s="931" t="str">
        <f t="shared" si="43"/>
        <v>NA</v>
      </c>
      <c r="K173" s="931"/>
      <c r="L173" s="931"/>
      <c r="M173" s="931"/>
      <c r="N173" s="931"/>
      <c r="O173" s="931"/>
      <c r="P173" s="931"/>
      <c r="Q173" s="931"/>
      <c r="R173" s="931"/>
      <c r="S173" s="931"/>
      <c r="T173" s="931"/>
      <c r="U173" s="931"/>
      <c r="V173" s="931"/>
      <c r="W173" s="931"/>
      <c r="X173" s="931"/>
      <c r="Y173" s="931"/>
      <c r="Z173" s="941" t="str">
        <f t="shared" si="49"/>
        <v/>
      </c>
      <c r="AA173" s="941" t="str">
        <f t="shared" si="50"/>
        <v/>
      </c>
      <c r="AB173" s="941" t="str">
        <f t="shared" si="51"/>
        <v/>
      </c>
      <c r="AC173" s="941" t="str">
        <f t="shared" si="52"/>
        <v/>
      </c>
      <c r="AD173" s="941" t="str">
        <f t="shared" si="53"/>
        <v/>
      </c>
      <c r="AE173" s="941" t="str">
        <f t="shared" si="54"/>
        <v/>
      </c>
      <c r="AF173" s="941" t="str">
        <f t="shared" si="55"/>
        <v/>
      </c>
      <c r="AG173" s="941" t="str">
        <f t="shared" si="56"/>
        <v/>
      </c>
      <c r="AH173" s="941" t="str">
        <f t="shared" si="57"/>
        <v/>
      </c>
      <c r="AI173" s="941" t="str">
        <f t="shared" si="58"/>
        <v/>
      </c>
      <c r="AJ173" s="941" t="str">
        <f t="shared" si="59"/>
        <v/>
      </c>
      <c r="AK173" s="941" t="str">
        <f t="shared" si="60"/>
        <v/>
      </c>
      <c r="AL173" s="941" t="str">
        <f t="shared" si="61"/>
        <v/>
      </c>
      <c r="AM173" s="941" t="str">
        <f t="shared" si="62"/>
        <v/>
      </c>
      <c r="AN173" s="941" t="str">
        <f t="shared" si="63"/>
        <v/>
      </c>
      <c r="AO173" s="941" t="str">
        <f t="shared" si="64"/>
        <v/>
      </c>
      <c r="AP173" s="895">
        <f>IF(AO173&lt;0,"No hi ha pèrdua",IFERROR(SUM(AA173:AO173)*'7. Erosió de costa'!$C$86/1000000,""))</f>
        <v>0</v>
      </c>
    </row>
    <row r="174" spans="1:42">
      <c r="A174" s="835">
        <v>8171</v>
      </c>
      <c r="B174" s="826" t="s">
        <v>1363</v>
      </c>
      <c r="C174" s="835" t="str">
        <f t="shared" si="44"/>
        <v>NA</v>
      </c>
      <c r="D174" s="923" t="str">
        <f t="shared" si="45"/>
        <v>NA</v>
      </c>
      <c r="E174" s="931" t="str">
        <f t="shared" si="46"/>
        <v>NA</v>
      </c>
      <c r="F174" s="926" t="str">
        <f t="shared" si="47"/>
        <v>NA</v>
      </c>
      <c r="G174" s="923" t="str">
        <f t="shared" si="48"/>
        <v>NA</v>
      </c>
      <c r="H174" s="931" t="str">
        <f>IFERROR(IF((G174*'7. Erosió de costa'!$C$86/1000000)&lt;0,"guanya sorra",G174*'7. Erosió de costa'!$C$86/1000000),"")</f>
        <v/>
      </c>
      <c r="I174" s="937" t="str">
        <f>IFERROR(IF(('A. Dades de partida'!$D$10*G174*'7. Erosió de costa'!$C$86/1000000)&lt;0,"guanya sorra",'A. Dades de partida'!$D$10*G174*'7. Erosió de costa'!$C$86/1000000),"")</f>
        <v/>
      </c>
      <c r="J174" s="931" t="str">
        <f t="shared" si="43"/>
        <v>NA</v>
      </c>
      <c r="K174" s="931"/>
      <c r="L174" s="931"/>
      <c r="M174" s="931"/>
      <c r="N174" s="931"/>
      <c r="O174" s="931"/>
      <c r="P174" s="931"/>
      <c r="Q174" s="931"/>
      <c r="R174" s="931"/>
      <c r="S174" s="931"/>
      <c r="T174" s="931"/>
      <c r="U174" s="931"/>
      <c r="V174" s="931"/>
      <c r="W174" s="931"/>
      <c r="X174" s="931"/>
      <c r="Y174" s="931"/>
      <c r="Z174" s="941" t="str">
        <f t="shared" si="49"/>
        <v/>
      </c>
      <c r="AA174" s="941" t="str">
        <f t="shared" si="50"/>
        <v/>
      </c>
      <c r="AB174" s="941" t="str">
        <f t="shared" si="51"/>
        <v/>
      </c>
      <c r="AC174" s="941" t="str">
        <f t="shared" si="52"/>
        <v/>
      </c>
      <c r="AD174" s="941" t="str">
        <f t="shared" si="53"/>
        <v/>
      </c>
      <c r="AE174" s="941" t="str">
        <f t="shared" si="54"/>
        <v/>
      </c>
      <c r="AF174" s="941" t="str">
        <f t="shared" si="55"/>
        <v/>
      </c>
      <c r="AG174" s="941" t="str">
        <f t="shared" si="56"/>
        <v/>
      </c>
      <c r="AH174" s="941" t="str">
        <f t="shared" si="57"/>
        <v/>
      </c>
      <c r="AI174" s="941" t="str">
        <f t="shared" si="58"/>
        <v/>
      </c>
      <c r="AJ174" s="941" t="str">
        <f t="shared" si="59"/>
        <v/>
      </c>
      <c r="AK174" s="941" t="str">
        <f t="shared" si="60"/>
        <v/>
      </c>
      <c r="AL174" s="941" t="str">
        <f t="shared" si="61"/>
        <v/>
      </c>
      <c r="AM174" s="941" t="str">
        <f t="shared" si="62"/>
        <v/>
      </c>
      <c r="AN174" s="941" t="str">
        <f t="shared" si="63"/>
        <v/>
      </c>
      <c r="AO174" s="941" t="str">
        <f t="shared" si="64"/>
        <v/>
      </c>
      <c r="AP174" s="895">
        <f>IF(AO174&lt;0,"No hi ha pèrdua",IFERROR(SUM(AA174:AO174)*'7. Erosió de costa'!$C$86/1000000,""))</f>
        <v>0</v>
      </c>
    </row>
    <row r="175" spans="1:42">
      <c r="A175" s="835">
        <v>8172</v>
      </c>
      <c r="B175" s="826" t="s">
        <v>349</v>
      </c>
      <c r="C175" s="835">
        <f t="shared" si="44"/>
        <v>11</v>
      </c>
      <c r="D175" s="923">
        <f t="shared" si="45"/>
        <v>2650</v>
      </c>
      <c r="E175" s="931">
        <f t="shared" si="46"/>
        <v>-4.13</v>
      </c>
      <c r="F175" s="926">
        <f t="shared" si="47"/>
        <v>8.7051769860486559</v>
      </c>
      <c r="G175" s="923">
        <f t="shared" si="48"/>
        <v>95273.809523809512</v>
      </c>
      <c r="H175" s="931">
        <f>IFERROR(IF((G175*'7. Erosió de costa'!$C$86/1000000)&lt;0,"guanya sorra",G175*'7. Erosió de costa'!$C$86/1000000),"")</f>
        <v>3.1440357142857143</v>
      </c>
      <c r="I175" s="937">
        <f>IFERROR(IF(('A. Dades de partida'!$D$10*G175*'7. Erosió de costa'!$C$86/1000000)&lt;0,"guanya sorra",'A. Dades de partida'!$D$10*G175*'7. Erosió de costa'!$C$86/1000000),"")</f>
        <v>47.160535714285707</v>
      </c>
      <c r="J175" s="931">
        <f>E175</f>
        <v>-4.13</v>
      </c>
      <c r="K175" s="931">
        <f>IF($J175&gt;0, $J175-($J175*'7. Erosió de costa'!D$140*'7. Erosió de costa'!$D$111),$J175+($J175*'7. Erosió de costa'!D$140*'7. Erosió de costa'!$D$111))</f>
        <v>-4.2095788084464552</v>
      </c>
      <c r="L175" s="931">
        <f>IF($J175&gt;0, $J175-($J175*'7. Erosió de costa'!E$140*'7. Erosió de costa'!$D$111),$J175+($J175*'7. Erosió de costa'!E$140*'7. Erosió de costa'!$D$111))</f>
        <v>-4.2891576168929113</v>
      </c>
      <c r="M175" s="931">
        <f>IF($J175&gt;0, $J175-($J175*'7. Erosió de costa'!F$140*'7. Erosió de costa'!$D$111),$J175+($J175*'7. Erosió de costa'!F$140*'7. Erosió de costa'!$D$111))</f>
        <v>-4.3687364253393666</v>
      </c>
      <c r="N175" s="931">
        <f>IF($J175&gt;0, $J175-($J175*'7. Erosió de costa'!G$140*'7. Erosió de costa'!$D$111),$J175+($J175*'7. Erosió de costa'!G$140*'7. Erosió de costa'!$D$111))</f>
        <v>-4.4483152337858218</v>
      </c>
      <c r="O175" s="931">
        <f>IF($J175&gt;0, $J175-($J175*'7. Erosió de costa'!H$140*'7. Erosió de costa'!$D$111),$J175+($J175*'7. Erosió de costa'!H$140*'7. Erosió de costa'!$D$111))</f>
        <v>-4.5278940422322771</v>
      </c>
      <c r="P175" s="931">
        <f>IF($J175&gt;0, $J175-($J175*'7. Erosió de costa'!I$140*'7. Erosió de costa'!$D$111),$J175+($J175*'7. Erosió de costa'!I$140*'7. Erosió de costa'!$D$111))</f>
        <v>-4.6074728506787332</v>
      </c>
      <c r="Q175" s="931">
        <f>IF($J175&gt;0, $J175-($J175*'7. Erosió de costa'!J$140*'7. Erosió de costa'!$D$111),$J175+($J175*'7. Erosió de costa'!J$140*'7. Erosió de costa'!$D$111))</f>
        <v>-4.6870516591251885</v>
      </c>
      <c r="R175" s="931">
        <f>IF($J175&gt;0, $J175-($J175*'7. Erosió de costa'!K$140*'7. Erosió de costa'!$D$111),$J175+($J175*'7. Erosió de costa'!K$140*'7. Erosió de costa'!$D$111))</f>
        <v>-4.7666304675716438</v>
      </c>
      <c r="S175" s="931">
        <f>IF($J175&gt;0, $J175-($J175*'7. Erosió de costa'!L$140*'7. Erosió de costa'!$D$111),$J175+($J175*'7. Erosió de costa'!L$140*'7. Erosió de costa'!$D$111))</f>
        <v>-4.846209276018099</v>
      </c>
      <c r="T175" s="931">
        <f>IF($J175&gt;0, $J175-($J175*'7. Erosió de costa'!M$140*'7. Erosió de costa'!$D$111),$J175+($J175*'7. Erosió de costa'!M$140*'7. Erosió de costa'!$D$111))</f>
        <v>-4.9257880844645552</v>
      </c>
      <c r="U175" s="931">
        <f>IF($J175&gt;0, $J175-($J175*'7. Erosió de costa'!N$140*'7. Erosió de costa'!$D$111),$J175+($J175*'7. Erosió de costa'!N$140*'7. Erosió de costa'!$D$111))</f>
        <v>-5.0053668929110104</v>
      </c>
      <c r="V175" s="931">
        <f>IF($J175&gt;0, $J175-($J175*'7. Erosió de costa'!O$140*'7. Erosió de costa'!$D$111),$J175+($J175*'7. Erosió de costa'!O$140*'7. Erosió de costa'!$D$111))</f>
        <v>-5.0849457013574657</v>
      </c>
      <c r="W175" s="931">
        <f>IF($J175&gt;0, $J175-($J175*'7. Erosió de costa'!P$140*'7. Erosió de costa'!$D$111),$J175+($J175*'7. Erosió de costa'!P$140*'7. Erosió de costa'!$D$111))</f>
        <v>-5.1645245098039219</v>
      </c>
      <c r="X175" s="931">
        <f>IF($J175&gt;0, $J175-($J175*'7. Erosió de costa'!Q$140*'7. Erosió de costa'!$D$111),$J175+($J175*'7. Erosió de costa'!Q$140*'7. Erosió de costa'!$D$111))</f>
        <v>-5.2441033182503771</v>
      </c>
      <c r="Y175" s="931">
        <f>IF($J175&gt;0, $J175-($J175*'7. Erosió de costa'!R$140*'7. Erosió de costa'!$D$111),$J175+($J175*'7. Erosió de costa'!R$140*'7. Erosió de costa'!$D$111))</f>
        <v>-5.3236821266968324</v>
      </c>
      <c r="Z175" s="941">
        <f t="shared" si="49"/>
        <v>95273.809523809512</v>
      </c>
      <c r="AA175" s="941">
        <f t="shared" si="50"/>
        <v>97109.590695252438</v>
      </c>
      <c r="AB175" s="941">
        <f t="shared" si="51"/>
        <v>98945.371866695394</v>
      </c>
      <c r="AC175" s="941">
        <f t="shared" si="52"/>
        <v>100781.15303813832</v>
      </c>
      <c r="AD175" s="941">
        <f t="shared" si="53"/>
        <v>102616.93420958126</v>
      </c>
      <c r="AE175" s="941">
        <f t="shared" si="54"/>
        <v>104452.71538102419</v>
      </c>
      <c r="AF175" s="941">
        <f t="shared" si="55"/>
        <v>106288.49655246714</v>
      </c>
      <c r="AG175" s="941">
        <f t="shared" si="56"/>
        <v>108124.27772391007</v>
      </c>
      <c r="AH175" s="941">
        <f t="shared" si="57"/>
        <v>109960.058895353</v>
      </c>
      <c r="AI175" s="941">
        <f t="shared" si="58"/>
        <v>111795.84006679592</v>
      </c>
      <c r="AJ175" s="941">
        <f t="shared" si="59"/>
        <v>113631.62123823888</v>
      </c>
      <c r="AK175" s="941">
        <f t="shared" si="60"/>
        <v>115467.4024096818</v>
      </c>
      <c r="AL175" s="941">
        <f t="shared" si="61"/>
        <v>117303.18358112473</v>
      </c>
      <c r="AM175" s="941">
        <f t="shared" si="62"/>
        <v>119138.96475256768</v>
      </c>
      <c r="AN175" s="941">
        <f t="shared" si="63"/>
        <v>120974.74592401063</v>
      </c>
      <c r="AO175" s="941">
        <f t="shared" si="64"/>
        <v>122810.52709545355</v>
      </c>
      <c r="AP175" s="895">
        <f>IF(AO175&lt;0,"No hi ha pèrdua",IFERROR(SUM(AA175:AO175)*'7. Erosió de costa'!$C$86/1000000,""))</f>
        <v>54.430229153199733</v>
      </c>
    </row>
    <row r="176" spans="1:42">
      <c r="A176" s="835">
        <v>8174</v>
      </c>
      <c r="B176" s="826" t="s">
        <v>1365</v>
      </c>
      <c r="C176" s="835" t="str">
        <f t="shared" si="44"/>
        <v>NA</v>
      </c>
      <c r="D176" s="923" t="str">
        <f t="shared" si="45"/>
        <v>NA</v>
      </c>
      <c r="E176" s="931" t="str">
        <f t="shared" si="46"/>
        <v>NA</v>
      </c>
      <c r="F176" s="926" t="str">
        <f t="shared" si="47"/>
        <v>NA</v>
      </c>
      <c r="G176" s="923" t="str">
        <f t="shared" si="48"/>
        <v>NA</v>
      </c>
      <c r="H176" s="931" t="str">
        <f>IFERROR(IF((G176*'7. Erosió de costa'!$C$86/1000000)&lt;0,"guanya sorra",G176*'7. Erosió de costa'!$C$86/1000000),"")</f>
        <v/>
      </c>
      <c r="I176" s="937" t="str">
        <f>IFERROR(IF(('A. Dades de partida'!$D$10*G176*'7. Erosió de costa'!$C$86/1000000)&lt;0,"guanya sorra",'A. Dades de partida'!$D$10*G176*'7. Erosió de costa'!$C$86/1000000),"")</f>
        <v/>
      </c>
      <c r="J176" s="931" t="str">
        <f t="shared" si="43"/>
        <v>NA</v>
      </c>
      <c r="K176" s="931"/>
      <c r="L176" s="931"/>
      <c r="M176" s="931"/>
      <c r="N176" s="931"/>
      <c r="O176" s="931"/>
      <c r="P176" s="931"/>
      <c r="Q176" s="931"/>
      <c r="R176" s="931"/>
      <c r="S176" s="931"/>
      <c r="T176" s="931"/>
      <c r="U176" s="931"/>
      <c r="V176" s="931"/>
      <c r="W176" s="931"/>
      <c r="X176" s="931"/>
      <c r="Y176" s="931"/>
      <c r="Z176" s="941" t="str">
        <f t="shared" si="49"/>
        <v/>
      </c>
      <c r="AA176" s="941" t="str">
        <f t="shared" si="50"/>
        <v/>
      </c>
      <c r="AB176" s="941" t="str">
        <f t="shared" si="51"/>
        <v/>
      </c>
      <c r="AC176" s="941" t="str">
        <f t="shared" si="52"/>
        <v/>
      </c>
      <c r="AD176" s="941" t="str">
        <f t="shared" si="53"/>
        <v/>
      </c>
      <c r="AE176" s="941" t="str">
        <f t="shared" si="54"/>
        <v/>
      </c>
      <c r="AF176" s="941" t="str">
        <f t="shared" si="55"/>
        <v/>
      </c>
      <c r="AG176" s="941" t="str">
        <f t="shared" si="56"/>
        <v/>
      </c>
      <c r="AH176" s="941" t="str">
        <f t="shared" si="57"/>
        <v/>
      </c>
      <c r="AI176" s="941" t="str">
        <f t="shared" si="58"/>
        <v/>
      </c>
      <c r="AJ176" s="941" t="str">
        <f t="shared" si="59"/>
        <v/>
      </c>
      <c r="AK176" s="941" t="str">
        <f t="shared" si="60"/>
        <v/>
      </c>
      <c r="AL176" s="941" t="str">
        <f t="shared" si="61"/>
        <v/>
      </c>
      <c r="AM176" s="941" t="str">
        <f t="shared" si="62"/>
        <v/>
      </c>
      <c r="AN176" s="941" t="str">
        <f t="shared" si="63"/>
        <v/>
      </c>
      <c r="AO176" s="941" t="str">
        <f t="shared" si="64"/>
        <v/>
      </c>
      <c r="AP176" s="895">
        <f>IF(AO176&lt;0,"No hi ha pèrdua",IFERROR(SUM(AA176:AO176)*'7. Erosió de costa'!$C$86/1000000,""))</f>
        <v>0</v>
      </c>
    </row>
    <row r="177" spans="1:42">
      <c r="A177" s="835">
        <v>8175</v>
      </c>
      <c r="B177" s="826" t="s">
        <v>1366</v>
      </c>
      <c r="C177" s="835" t="str">
        <f t="shared" si="44"/>
        <v>NA</v>
      </c>
      <c r="D177" s="923" t="str">
        <f t="shared" si="45"/>
        <v>NA</v>
      </c>
      <c r="E177" s="931" t="str">
        <f t="shared" si="46"/>
        <v>NA</v>
      </c>
      <c r="F177" s="926" t="str">
        <f t="shared" si="47"/>
        <v>NA</v>
      </c>
      <c r="G177" s="923" t="str">
        <f t="shared" si="48"/>
        <v>NA</v>
      </c>
      <c r="H177" s="931" t="str">
        <f>IFERROR(IF((G177*'7. Erosió de costa'!$C$86/1000000)&lt;0,"guanya sorra",G177*'7. Erosió de costa'!$C$86/1000000),"")</f>
        <v/>
      </c>
      <c r="I177" s="937" t="str">
        <f>IFERROR(IF(('A. Dades de partida'!$D$10*G177*'7. Erosió de costa'!$C$86/1000000)&lt;0,"guanya sorra",'A. Dades de partida'!$D$10*G177*'7. Erosió de costa'!$C$86/1000000),"")</f>
        <v/>
      </c>
      <c r="J177" s="931" t="str">
        <f t="shared" si="43"/>
        <v>NA</v>
      </c>
      <c r="K177" s="931"/>
      <c r="L177" s="931"/>
      <c r="M177" s="931"/>
      <c r="N177" s="931"/>
      <c r="O177" s="931"/>
      <c r="P177" s="931"/>
      <c r="Q177" s="931"/>
      <c r="R177" s="931"/>
      <c r="S177" s="931"/>
      <c r="T177" s="931"/>
      <c r="U177" s="931"/>
      <c r="V177" s="931"/>
      <c r="W177" s="931"/>
      <c r="X177" s="931"/>
      <c r="Y177" s="931"/>
      <c r="Z177" s="941" t="str">
        <f t="shared" si="49"/>
        <v/>
      </c>
      <c r="AA177" s="941" t="str">
        <f t="shared" si="50"/>
        <v/>
      </c>
      <c r="AB177" s="941" t="str">
        <f t="shared" si="51"/>
        <v/>
      </c>
      <c r="AC177" s="941" t="str">
        <f t="shared" si="52"/>
        <v/>
      </c>
      <c r="AD177" s="941" t="str">
        <f t="shared" si="53"/>
        <v/>
      </c>
      <c r="AE177" s="941" t="str">
        <f t="shared" si="54"/>
        <v/>
      </c>
      <c r="AF177" s="941" t="str">
        <f t="shared" si="55"/>
        <v/>
      </c>
      <c r="AG177" s="941" t="str">
        <f t="shared" si="56"/>
        <v/>
      </c>
      <c r="AH177" s="941" t="str">
        <f t="shared" si="57"/>
        <v/>
      </c>
      <c r="AI177" s="941" t="str">
        <f t="shared" si="58"/>
        <v/>
      </c>
      <c r="AJ177" s="941" t="str">
        <f t="shared" si="59"/>
        <v/>
      </c>
      <c r="AK177" s="941" t="str">
        <f t="shared" si="60"/>
        <v/>
      </c>
      <c r="AL177" s="941" t="str">
        <f t="shared" si="61"/>
        <v/>
      </c>
      <c r="AM177" s="941" t="str">
        <f t="shared" si="62"/>
        <v/>
      </c>
      <c r="AN177" s="941" t="str">
        <f t="shared" si="63"/>
        <v/>
      </c>
      <c r="AO177" s="941" t="str">
        <f t="shared" si="64"/>
        <v/>
      </c>
      <c r="AP177" s="895">
        <f>IF(AO177&lt;0,"No hi ha pèrdua",IFERROR(SUM(AA177:AO177)*'7. Erosió de costa'!$C$86/1000000,""))</f>
        <v>0</v>
      </c>
    </row>
    <row r="178" spans="1:42">
      <c r="A178" s="835">
        <v>8176</v>
      </c>
      <c r="B178" s="826" t="s">
        <v>1368</v>
      </c>
      <c r="C178" s="835" t="str">
        <f t="shared" si="44"/>
        <v>NA</v>
      </c>
      <c r="D178" s="923" t="str">
        <f t="shared" si="45"/>
        <v>NA</v>
      </c>
      <c r="E178" s="931" t="str">
        <f t="shared" si="46"/>
        <v>NA</v>
      </c>
      <c r="F178" s="926" t="str">
        <f t="shared" si="47"/>
        <v>NA</v>
      </c>
      <c r="G178" s="923" t="str">
        <f t="shared" si="48"/>
        <v>NA</v>
      </c>
      <c r="H178" s="931" t="str">
        <f>IFERROR(IF((G178*'7. Erosió de costa'!$C$86/1000000)&lt;0,"guanya sorra",G178*'7. Erosió de costa'!$C$86/1000000),"")</f>
        <v/>
      </c>
      <c r="I178" s="937" t="str">
        <f>IFERROR(IF(('A. Dades de partida'!$D$10*G178*'7. Erosió de costa'!$C$86/1000000)&lt;0,"guanya sorra",'A. Dades de partida'!$D$10*G178*'7. Erosió de costa'!$C$86/1000000),"")</f>
        <v/>
      </c>
      <c r="J178" s="931" t="str">
        <f t="shared" si="43"/>
        <v>NA</v>
      </c>
      <c r="K178" s="931"/>
      <c r="L178" s="931"/>
      <c r="M178" s="931"/>
      <c r="N178" s="931"/>
      <c r="O178" s="931"/>
      <c r="P178" s="931"/>
      <c r="Q178" s="931"/>
      <c r="R178" s="931"/>
      <c r="S178" s="931"/>
      <c r="T178" s="931"/>
      <c r="U178" s="931"/>
      <c r="V178" s="931"/>
      <c r="W178" s="931"/>
      <c r="X178" s="931"/>
      <c r="Y178" s="931"/>
      <c r="Z178" s="941" t="str">
        <f t="shared" si="49"/>
        <v/>
      </c>
      <c r="AA178" s="941" t="str">
        <f t="shared" si="50"/>
        <v/>
      </c>
      <c r="AB178" s="941" t="str">
        <f t="shared" si="51"/>
        <v/>
      </c>
      <c r="AC178" s="941" t="str">
        <f t="shared" si="52"/>
        <v/>
      </c>
      <c r="AD178" s="941" t="str">
        <f t="shared" si="53"/>
        <v/>
      </c>
      <c r="AE178" s="941" t="str">
        <f t="shared" si="54"/>
        <v/>
      </c>
      <c r="AF178" s="941" t="str">
        <f t="shared" si="55"/>
        <v/>
      </c>
      <c r="AG178" s="941" t="str">
        <f t="shared" si="56"/>
        <v/>
      </c>
      <c r="AH178" s="941" t="str">
        <f t="shared" si="57"/>
        <v/>
      </c>
      <c r="AI178" s="941" t="str">
        <f t="shared" si="58"/>
        <v/>
      </c>
      <c r="AJ178" s="941" t="str">
        <f t="shared" si="59"/>
        <v/>
      </c>
      <c r="AK178" s="941" t="str">
        <f t="shared" si="60"/>
        <v/>
      </c>
      <c r="AL178" s="941" t="str">
        <f t="shared" si="61"/>
        <v/>
      </c>
      <c r="AM178" s="941" t="str">
        <f t="shared" si="62"/>
        <v/>
      </c>
      <c r="AN178" s="941" t="str">
        <f t="shared" si="63"/>
        <v/>
      </c>
      <c r="AO178" s="941" t="str">
        <f t="shared" si="64"/>
        <v/>
      </c>
      <c r="AP178" s="895">
        <f>IF(AO178&lt;0,"No hi ha pèrdua",IFERROR(SUM(AA178:AO178)*'7. Erosió de costa'!$C$86/1000000,""))</f>
        <v>0</v>
      </c>
    </row>
    <row r="179" spans="1:42">
      <c r="A179" s="835">
        <v>8177</v>
      </c>
      <c r="B179" s="826" t="s">
        <v>1372</v>
      </c>
      <c r="C179" s="835" t="str">
        <f t="shared" si="44"/>
        <v>NA</v>
      </c>
      <c r="D179" s="923" t="str">
        <f t="shared" si="45"/>
        <v>NA</v>
      </c>
      <c r="E179" s="931" t="str">
        <f t="shared" si="46"/>
        <v>NA</v>
      </c>
      <c r="F179" s="926" t="str">
        <f t="shared" si="47"/>
        <v>NA</v>
      </c>
      <c r="G179" s="923" t="str">
        <f t="shared" si="48"/>
        <v>NA</v>
      </c>
      <c r="H179" s="931" t="str">
        <f>IFERROR(IF((G179*'7. Erosió de costa'!$C$86/1000000)&lt;0,"guanya sorra",G179*'7. Erosió de costa'!$C$86/1000000),"")</f>
        <v/>
      </c>
      <c r="I179" s="937" t="str">
        <f>IFERROR(IF(('A. Dades de partida'!$D$10*G179*'7. Erosió de costa'!$C$86/1000000)&lt;0,"guanya sorra",'A. Dades de partida'!$D$10*G179*'7. Erosió de costa'!$C$86/1000000),"")</f>
        <v/>
      </c>
      <c r="J179" s="931" t="str">
        <f t="shared" si="43"/>
        <v>NA</v>
      </c>
      <c r="K179" s="931"/>
      <c r="L179" s="931"/>
      <c r="M179" s="931"/>
      <c r="N179" s="931"/>
      <c r="O179" s="931"/>
      <c r="P179" s="931"/>
      <c r="Q179" s="931"/>
      <c r="R179" s="931"/>
      <c r="S179" s="931"/>
      <c r="T179" s="931"/>
      <c r="U179" s="931"/>
      <c r="V179" s="931"/>
      <c r="W179" s="931"/>
      <c r="X179" s="931"/>
      <c r="Y179" s="931"/>
      <c r="Z179" s="941" t="str">
        <f t="shared" si="49"/>
        <v/>
      </c>
      <c r="AA179" s="941" t="str">
        <f t="shared" si="50"/>
        <v/>
      </c>
      <c r="AB179" s="941" t="str">
        <f t="shared" si="51"/>
        <v/>
      </c>
      <c r="AC179" s="941" t="str">
        <f t="shared" si="52"/>
        <v/>
      </c>
      <c r="AD179" s="941" t="str">
        <f t="shared" si="53"/>
        <v/>
      </c>
      <c r="AE179" s="941" t="str">
        <f t="shared" si="54"/>
        <v/>
      </c>
      <c r="AF179" s="941" t="str">
        <f t="shared" si="55"/>
        <v/>
      </c>
      <c r="AG179" s="941" t="str">
        <f t="shared" si="56"/>
        <v/>
      </c>
      <c r="AH179" s="941" t="str">
        <f t="shared" si="57"/>
        <v/>
      </c>
      <c r="AI179" s="941" t="str">
        <f t="shared" si="58"/>
        <v/>
      </c>
      <c r="AJ179" s="941" t="str">
        <f t="shared" si="59"/>
        <v/>
      </c>
      <c r="AK179" s="941" t="str">
        <f t="shared" si="60"/>
        <v/>
      </c>
      <c r="AL179" s="941" t="str">
        <f t="shared" si="61"/>
        <v/>
      </c>
      <c r="AM179" s="941" t="str">
        <f t="shared" si="62"/>
        <v/>
      </c>
      <c r="AN179" s="941" t="str">
        <f t="shared" si="63"/>
        <v/>
      </c>
      <c r="AO179" s="941" t="str">
        <f t="shared" si="64"/>
        <v/>
      </c>
      <c r="AP179" s="895">
        <f>IF(AO179&lt;0,"No hi ha pèrdua",IFERROR(SUM(AA179:AO179)*'7. Erosió de costa'!$C$86/1000000,""))</f>
        <v>0</v>
      </c>
    </row>
    <row r="180" spans="1:42">
      <c r="A180" s="835">
        <v>8178</v>
      </c>
      <c r="B180" s="826" t="s">
        <v>1375</v>
      </c>
      <c r="C180" s="835" t="str">
        <f t="shared" si="44"/>
        <v>NA</v>
      </c>
      <c r="D180" s="923" t="str">
        <f t="shared" si="45"/>
        <v>NA</v>
      </c>
      <c r="E180" s="931" t="str">
        <f t="shared" si="46"/>
        <v>NA</v>
      </c>
      <c r="F180" s="926" t="str">
        <f t="shared" si="47"/>
        <v>NA</v>
      </c>
      <c r="G180" s="923" t="str">
        <f t="shared" si="48"/>
        <v>NA</v>
      </c>
      <c r="H180" s="931" t="str">
        <f>IFERROR(IF((G180*'7. Erosió de costa'!$C$86/1000000)&lt;0,"guanya sorra",G180*'7. Erosió de costa'!$C$86/1000000),"")</f>
        <v/>
      </c>
      <c r="I180" s="937" t="str">
        <f>IFERROR(IF(('A. Dades de partida'!$D$10*G180*'7. Erosió de costa'!$C$86/1000000)&lt;0,"guanya sorra",'A. Dades de partida'!$D$10*G180*'7. Erosió de costa'!$C$86/1000000),"")</f>
        <v/>
      </c>
      <c r="J180" s="931" t="str">
        <f t="shared" si="43"/>
        <v>NA</v>
      </c>
      <c r="K180" s="931"/>
      <c r="L180" s="931"/>
      <c r="M180" s="931"/>
      <c r="N180" s="931"/>
      <c r="O180" s="931"/>
      <c r="P180" s="931"/>
      <c r="Q180" s="931"/>
      <c r="R180" s="931"/>
      <c r="S180" s="931"/>
      <c r="T180" s="931"/>
      <c r="U180" s="931"/>
      <c r="V180" s="931"/>
      <c r="W180" s="931"/>
      <c r="X180" s="931"/>
      <c r="Y180" s="931"/>
      <c r="Z180" s="941" t="str">
        <f t="shared" si="49"/>
        <v/>
      </c>
      <c r="AA180" s="941" t="str">
        <f t="shared" si="50"/>
        <v/>
      </c>
      <c r="AB180" s="941" t="str">
        <f t="shared" si="51"/>
        <v/>
      </c>
      <c r="AC180" s="941" t="str">
        <f t="shared" si="52"/>
        <v/>
      </c>
      <c r="AD180" s="941" t="str">
        <f t="shared" si="53"/>
        <v/>
      </c>
      <c r="AE180" s="941" t="str">
        <f t="shared" si="54"/>
        <v/>
      </c>
      <c r="AF180" s="941" t="str">
        <f t="shared" si="55"/>
        <v/>
      </c>
      <c r="AG180" s="941" t="str">
        <f t="shared" si="56"/>
        <v/>
      </c>
      <c r="AH180" s="941" t="str">
        <f t="shared" si="57"/>
        <v/>
      </c>
      <c r="AI180" s="941" t="str">
        <f t="shared" si="58"/>
        <v/>
      </c>
      <c r="AJ180" s="941" t="str">
        <f t="shared" si="59"/>
        <v/>
      </c>
      <c r="AK180" s="941" t="str">
        <f t="shared" si="60"/>
        <v/>
      </c>
      <c r="AL180" s="941" t="str">
        <f t="shared" si="61"/>
        <v/>
      </c>
      <c r="AM180" s="941" t="str">
        <f t="shared" si="62"/>
        <v/>
      </c>
      <c r="AN180" s="941" t="str">
        <f t="shared" si="63"/>
        <v/>
      </c>
      <c r="AO180" s="941" t="str">
        <f t="shared" si="64"/>
        <v/>
      </c>
      <c r="AP180" s="895">
        <f>IF(AO180&lt;0,"No hi ha pèrdua",IFERROR(SUM(AA180:AO180)*'7. Erosió de costa'!$C$86/1000000,""))</f>
        <v>0</v>
      </c>
    </row>
    <row r="181" spans="1:42">
      <c r="A181" s="835">
        <v>8179</v>
      </c>
      <c r="B181" s="826" t="s">
        <v>1377</v>
      </c>
      <c r="C181" s="835" t="str">
        <f t="shared" si="44"/>
        <v>NA</v>
      </c>
      <c r="D181" s="923" t="str">
        <f t="shared" si="45"/>
        <v>NA</v>
      </c>
      <c r="E181" s="931" t="str">
        <f t="shared" si="46"/>
        <v>NA</v>
      </c>
      <c r="F181" s="926" t="str">
        <f t="shared" si="47"/>
        <v>NA</v>
      </c>
      <c r="G181" s="923" t="str">
        <f t="shared" si="48"/>
        <v>NA</v>
      </c>
      <c r="H181" s="931" t="str">
        <f>IFERROR(IF((G181*'7. Erosió de costa'!$C$86/1000000)&lt;0,"guanya sorra",G181*'7. Erosió de costa'!$C$86/1000000),"")</f>
        <v/>
      </c>
      <c r="I181" s="937" t="str">
        <f>IFERROR(IF(('A. Dades de partida'!$D$10*G181*'7. Erosió de costa'!$C$86/1000000)&lt;0,"guanya sorra",'A. Dades de partida'!$D$10*G181*'7. Erosió de costa'!$C$86/1000000),"")</f>
        <v/>
      </c>
      <c r="J181" s="931" t="str">
        <f t="shared" si="43"/>
        <v>NA</v>
      </c>
      <c r="K181" s="931"/>
      <c r="L181" s="931"/>
      <c r="M181" s="931"/>
      <c r="N181" s="931"/>
      <c r="O181" s="931"/>
      <c r="P181" s="931"/>
      <c r="Q181" s="931"/>
      <c r="R181" s="931"/>
      <c r="S181" s="931"/>
      <c r="T181" s="931"/>
      <c r="U181" s="931"/>
      <c r="V181" s="931"/>
      <c r="W181" s="931"/>
      <c r="X181" s="931"/>
      <c r="Y181" s="931"/>
      <c r="Z181" s="941" t="str">
        <f t="shared" si="49"/>
        <v/>
      </c>
      <c r="AA181" s="941" t="str">
        <f t="shared" si="50"/>
        <v/>
      </c>
      <c r="AB181" s="941" t="str">
        <f t="shared" si="51"/>
        <v/>
      </c>
      <c r="AC181" s="941" t="str">
        <f t="shared" si="52"/>
        <v/>
      </c>
      <c r="AD181" s="941" t="str">
        <f t="shared" si="53"/>
        <v/>
      </c>
      <c r="AE181" s="941" t="str">
        <f t="shared" si="54"/>
        <v/>
      </c>
      <c r="AF181" s="941" t="str">
        <f t="shared" si="55"/>
        <v/>
      </c>
      <c r="AG181" s="941" t="str">
        <f t="shared" si="56"/>
        <v/>
      </c>
      <c r="AH181" s="941" t="str">
        <f t="shared" si="57"/>
        <v/>
      </c>
      <c r="AI181" s="941" t="str">
        <f t="shared" si="58"/>
        <v/>
      </c>
      <c r="AJ181" s="941" t="str">
        <f t="shared" si="59"/>
        <v/>
      </c>
      <c r="AK181" s="941" t="str">
        <f t="shared" si="60"/>
        <v/>
      </c>
      <c r="AL181" s="941" t="str">
        <f t="shared" si="61"/>
        <v/>
      </c>
      <c r="AM181" s="941" t="str">
        <f t="shared" si="62"/>
        <v/>
      </c>
      <c r="AN181" s="941" t="str">
        <f t="shared" si="63"/>
        <v/>
      </c>
      <c r="AO181" s="941" t="str">
        <f t="shared" si="64"/>
        <v/>
      </c>
      <c r="AP181" s="895">
        <f>IF(AO181&lt;0,"No hi ha pèrdua",IFERROR(SUM(AA181:AO181)*'7. Erosió de costa'!$C$86/1000000,""))</f>
        <v>0</v>
      </c>
    </row>
    <row r="182" spans="1:42">
      <c r="A182" s="835">
        <v>8180</v>
      </c>
      <c r="B182" s="826" t="s">
        <v>1383</v>
      </c>
      <c r="C182" s="835" t="str">
        <f t="shared" si="44"/>
        <v>NA</v>
      </c>
      <c r="D182" s="923" t="str">
        <f t="shared" si="45"/>
        <v>NA</v>
      </c>
      <c r="E182" s="931" t="str">
        <f t="shared" si="46"/>
        <v>NA</v>
      </c>
      <c r="F182" s="926" t="str">
        <f t="shared" si="47"/>
        <v>NA</v>
      </c>
      <c r="G182" s="923" t="str">
        <f t="shared" si="48"/>
        <v>NA</v>
      </c>
      <c r="H182" s="931" t="str">
        <f>IFERROR(IF((G182*'7. Erosió de costa'!$C$86/1000000)&lt;0,"guanya sorra",G182*'7. Erosió de costa'!$C$86/1000000),"")</f>
        <v/>
      </c>
      <c r="I182" s="937" t="str">
        <f>IFERROR(IF(('A. Dades de partida'!$D$10*G182*'7. Erosió de costa'!$C$86/1000000)&lt;0,"guanya sorra",'A. Dades de partida'!$D$10*G182*'7. Erosió de costa'!$C$86/1000000),"")</f>
        <v/>
      </c>
      <c r="J182" s="931" t="str">
        <f t="shared" si="43"/>
        <v>NA</v>
      </c>
      <c r="K182" s="931"/>
      <c r="L182" s="931"/>
      <c r="M182" s="931"/>
      <c r="N182" s="931"/>
      <c r="O182" s="931"/>
      <c r="P182" s="931"/>
      <c r="Q182" s="931"/>
      <c r="R182" s="931"/>
      <c r="S182" s="931"/>
      <c r="T182" s="931"/>
      <c r="U182" s="931"/>
      <c r="V182" s="931"/>
      <c r="W182" s="931"/>
      <c r="X182" s="931"/>
      <c r="Y182" s="931"/>
      <c r="Z182" s="941" t="str">
        <f t="shared" si="49"/>
        <v/>
      </c>
      <c r="AA182" s="941" t="str">
        <f t="shared" si="50"/>
        <v/>
      </c>
      <c r="AB182" s="941" t="str">
        <f t="shared" si="51"/>
        <v/>
      </c>
      <c r="AC182" s="941" t="str">
        <f t="shared" si="52"/>
        <v/>
      </c>
      <c r="AD182" s="941" t="str">
        <f t="shared" si="53"/>
        <v/>
      </c>
      <c r="AE182" s="941" t="str">
        <f t="shared" si="54"/>
        <v/>
      </c>
      <c r="AF182" s="941" t="str">
        <f t="shared" si="55"/>
        <v/>
      </c>
      <c r="AG182" s="941" t="str">
        <f t="shared" si="56"/>
        <v/>
      </c>
      <c r="AH182" s="941" t="str">
        <f t="shared" si="57"/>
        <v/>
      </c>
      <c r="AI182" s="941" t="str">
        <f t="shared" si="58"/>
        <v/>
      </c>
      <c r="AJ182" s="941" t="str">
        <f t="shared" si="59"/>
        <v/>
      </c>
      <c r="AK182" s="941" t="str">
        <f t="shared" si="60"/>
        <v/>
      </c>
      <c r="AL182" s="941" t="str">
        <f t="shared" si="61"/>
        <v/>
      </c>
      <c r="AM182" s="941" t="str">
        <f t="shared" si="62"/>
        <v/>
      </c>
      <c r="AN182" s="941" t="str">
        <f t="shared" si="63"/>
        <v/>
      </c>
      <c r="AO182" s="941" t="str">
        <f t="shared" si="64"/>
        <v/>
      </c>
      <c r="AP182" s="895">
        <f>IF(AO182&lt;0,"No hi ha pèrdua",IFERROR(SUM(AA182:AO182)*'7. Erosió de costa'!$C$86/1000000,""))</f>
        <v>0</v>
      </c>
    </row>
    <row r="183" spans="1:42">
      <c r="A183" s="835">
        <v>8181</v>
      </c>
      <c r="B183" s="826" t="s">
        <v>1384</v>
      </c>
      <c r="C183" s="835" t="str">
        <f t="shared" si="44"/>
        <v>NA</v>
      </c>
      <c r="D183" s="923" t="str">
        <f t="shared" si="45"/>
        <v>NA</v>
      </c>
      <c r="E183" s="931" t="str">
        <f t="shared" si="46"/>
        <v>NA</v>
      </c>
      <c r="F183" s="926" t="str">
        <f t="shared" si="47"/>
        <v>NA</v>
      </c>
      <c r="G183" s="923" t="str">
        <f t="shared" si="48"/>
        <v>NA</v>
      </c>
      <c r="H183" s="931" t="str">
        <f>IFERROR(IF((G183*'7. Erosió de costa'!$C$86/1000000)&lt;0,"guanya sorra",G183*'7. Erosió de costa'!$C$86/1000000),"")</f>
        <v/>
      </c>
      <c r="I183" s="937" t="str">
        <f>IFERROR(IF(('A. Dades de partida'!$D$10*G183*'7. Erosió de costa'!$C$86/1000000)&lt;0,"guanya sorra",'A. Dades de partida'!$D$10*G183*'7. Erosió de costa'!$C$86/1000000),"")</f>
        <v/>
      </c>
      <c r="J183" s="931" t="str">
        <f t="shared" si="43"/>
        <v>NA</v>
      </c>
      <c r="K183" s="931"/>
      <c r="L183" s="931"/>
      <c r="M183" s="931"/>
      <c r="N183" s="931"/>
      <c r="O183" s="931"/>
      <c r="P183" s="931"/>
      <c r="Q183" s="931"/>
      <c r="R183" s="931"/>
      <c r="S183" s="931"/>
      <c r="T183" s="931"/>
      <c r="U183" s="931"/>
      <c r="V183" s="931"/>
      <c r="W183" s="931"/>
      <c r="X183" s="931"/>
      <c r="Y183" s="931"/>
      <c r="Z183" s="941" t="str">
        <f t="shared" si="49"/>
        <v/>
      </c>
      <c r="AA183" s="941" t="str">
        <f t="shared" si="50"/>
        <v/>
      </c>
      <c r="AB183" s="941" t="str">
        <f t="shared" si="51"/>
        <v/>
      </c>
      <c r="AC183" s="941" t="str">
        <f t="shared" si="52"/>
        <v/>
      </c>
      <c r="AD183" s="941" t="str">
        <f t="shared" si="53"/>
        <v/>
      </c>
      <c r="AE183" s="941" t="str">
        <f t="shared" si="54"/>
        <v/>
      </c>
      <c r="AF183" s="941" t="str">
        <f t="shared" si="55"/>
        <v/>
      </c>
      <c r="AG183" s="941" t="str">
        <f t="shared" si="56"/>
        <v/>
      </c>
      <c r="AH183" s="941" t="str">
        <f t="shared" si="57"/>
        <v/>
      </c>
      <c r="AI183" s="941" t="str">
        <f t="shared" si="58"/>
        <v/>
      </c>
      <c r="AJ183" s="941" t="str">
        <f t="shared" si="59"/>
        <v/>
      </c>
      <c r="AK183" s="941" t="str">
        <f t="shared" si="60"/>
        <v/>
      </c>
      <c r="AL183" s="941" t="str">
        <f t="shared" si="61"/>
        <v/>
      </c>
      <c r="AM183" s="941" t="str">
        <f t="shared" si="62"/>
        <v/>
      </c>
      <c r="AN183" s="941" t="str">
        <f t="shared" si="63"/>
        <v/>
      </c>
      <c r="AO183" s="941" t="str">
        <f t="shared" si="64"/>
        <v/>
      </c>
      <c r="AP183" s="895">
        <f>IF(AO183&lt;0,"No hi ha pèrdua",IFERROR(SUM(AA183:AO183)*'7. Erosió de costa'!$C$86/1000000,""))</f>
        <v>0</v>
      </c>
    </row>
    <row r="184" spans="1:42" ht="30">
      <c r="A184" s="835">
        <v>8182</v>
      </c>
      <c r="B184" s="826" t="s">
        <v>1387</v>
      </c>
      <c r="C184" s="835" t="str">
        <f t="shared" si="44"/>
        <v>NA</v>
      </c>
      <c r="D184" s="923" t="str">
        <f t="shared" si="45"/>
        <v>NA</v>
      </c>
      <c r="E184" s="931" t="str">
        <f t="shared" si="46"/>
        <v>NA</v>
      </c>
      <c r="F184" s="926" t="str">
        <f t="shared" si="47"/>
        <v>NA</v>
      </c>
      <c r="G184" s="923" t="str">
        <f t="shared" si="48"/>
        <v>NA</v>
      </c>
      <c r="H184" s="931" t="str">
        <f>IFERROR(IF((G184*'7. Erosió de costa'!$C$86/1000000)&lt;0,"guanya sorra",G184*'7. Erosió de costa'!$C$86/1000000),"")</f>
        <v/>
      </c>
      <c r="I184" s="937" t="str">
        <f>IFERROR(IF(('A. Dades de partida'!$D$10*G184*'7. Erosió de costa'!$C$86/1000000)&lt;0,"guanya sorra",'A. Dades de partida'!$D$10*G184*'7. Erosió de costa'!$C$86/1000000),"")</f>
        <v/>
      </c>
      <c r="J184" s="931" t="str">
        <f t="shared" si="43"/>
        <v>NA</v>
      </c>
      <c r="K184" s="931"/>
      <c r="L184" s="931"/>
      <c r="M184" s="931"/>
      <c r="N184" s="931"/>
      <c r="O184" s="931"/>
      <c r="P184" s="931"/>
      <c r="Q184" s="931"/>
      <c r="R184" s="931"/>
      <c r="S184" s="931"/>
      <c r="T184" s="931"/>
      <c r="U184" s="931"/>
      <c r="V184" s="931"/>
      <c r="W184" s="931"/>
      <c r="X184" s="931"/>
      <c r="Y184" s="931"/>
      <c r="Z184" s="941" t="str">
        <f t="shared" si="49"/>
        <v/>
      </c>
      <c r="AA184" s="941" t="str">
        <f t="shared" si="50"/>
        <v/>
      </c>
      <c r="AB184" s="941" t="str">
        <f t="shared" si="51"/>
        <v/>
      </c>
      <c r="AC184" s="941" t="str">
        <f t="shared" si="52"/>
        <v/>
      </c>
      <c r="AD184" s="941" t="str">
        <f t="shared" si="53"/>
        <v/>
      </c>
      <c r="AE184" s="941" t="str">
        <f t="shared" si="54"/>
        <v/>
      </c>
      <c r="AF184" s="941" t="str">
        <f t="shared" si="55"/>
        <v/>
      </c>
      <c r="AG184" s="941" t="str">
        <f t="shared" si="56"/>
        <v/>
      </c>
      <c r="AH184" s="941" t="str">
        <f t="shared" si="57"/>
        <v/>
      </c>
      <c r="AI184" s="941" t="str">
        <f t="shared" si="58"/>
        <v/>
      </c>
      <c r="AJ184" s="941" t="str">
        <f t="shared" si="59"/>
        <v/>
      </c>
      <c r="AK184" s="941" t="str">
        <f t="shared" si="60"/>
        <v/>
      </c>
      <c r="AL184" s="941" t="str">
        <f t="shared" si="61"/>
        <v/>
      </c>
      <c r="AM184" s="941" t="str">
        <f t="shared" si="62"/>
        <v/>
      </c>
      <c r="AN184" s="941" t="str">
        <f t="shared" si="63"/>
        <v/>
      </c>
      <c r="AO184" s="941" t="str">
        <f t="shared" si="64"/>
        <v/>
      </c>
      <c r="AP184" s="895">
        <f>IF(AO184&lt;0,"No hi ha pèrdua",IFERROR(SUM(AA184:AO184)*'7. Erosió de costa'!$C$86/1000000,""))</f>
        <v>0</v>
      </c>
    </row>
    <row r="185" spans="1:42">
      <c r="A185" s="835">
        <v>8183</v>
      </c>
      <c r="B185" s="826" t="s">
        <v>1390</v>
      </c>
      <c r="C185" s="835" t="str">
        <f t="shared" si="44"/>
        <v>NA</v>
      </c>
      <c r="D185" s="923" t="str">
        <f t="shared" si="45"/>
        <v>NA</v>
      </c>
      <c r="E185" s="931" t="str">
        <f t="shared" si="46"/>
        <v>NA</v>
      </c>
      <c r="F185" s="926" t="str">
        <f t="shared" si="47"/>
        <v>NA</v>
      </c>
      <c r="G185" s="923" t="str">
        <f t="shared" si="48"/>
        <v>NA</v>
      </c>
      <c r="H185" s="931" t="str">
        <f>IFERROR(IF((G185*'7. Erosió de costa'!$C$86/1000000)&lt;0,"guanya sorra",G185*'7. Erosió de costa'!$C$86/1000000),"")</f>
        <v/>
      </c>
      <c r="I185" s="937" t="str">
        <f>IFERROR(IF(('A. Dades de partida'!$D$10*G185*'7. Erosió de costa'!$C$86/1000000)&lt;0,"guanya sorra",'A. Dades de partida'!$D$10*G185*'7. Erosió de costa'!$C$86/1000000),"")</f>
        <v/>
      </c>
      <c r="J185" s="931" t="str">
        <f t="shared" si="43"/>
        <v>NA</v>
      </c>
      <c r="K185" s="931"/>
      <c r="L185" s="931"/>
      <c r="M185" s="931"/>
      <c r="N185" s="931"/>
      <c r="O185" s="931"/>
      <c r="P185" s="931"/>
      <c r="Q185" s="931"/>
      <c r="R185" s="931"/>
      <c r="S185" s="931"/>
      <c r="T185" s="931"/>
      <c r="U185" s="931"/>
      <c r="V185" s="931"/>
      <c r="W185" s="931"/>
      <c r="X185" s="931"/>
      <c r="Y185" s="931"/>
      <c r="Z185" s="941" t="str">
        <f t="shared" si="49"/>
        <v/>
      </c>
      <c r="AA185" s="941" t="str">
        <f t="shared" si="50"/>
        <v/>
      </c>
      <c r="AB185" s="941" t="str">
        <f t="shared" si="51"/>
        <v/>
      </c>
      <c r="AC185" s="941" t="str">
        <f t="shared" si="52"/>
        <v/>
      </c>
      <c r="AD185" s="941" t="str">
        <f t="shared" si="53"/>
        <v/>
      </c>
      <c r="AE185" s="941" t="str">
        <f t="shared" si="54"/>
        <v/>
      </c>
      <c r="AF185" s="941" t="str">
        <f t="shared" si="55"/>
        <v/>
      </c>
      <c r="AG185" s="941" t="str">
        <f t="shared" si="56"/>
        <v/>
      </c>
      <c r="AH185" s="941" t="str">
        <f t="shared" si="57"/>
        <v/>
      </c>
      <c r="AI185" s="941" t="str">
        <f t="shared" si="58"/>
        <v/>
      </c>
      <c r="AJ185" s="941" t="str">
        <f t="shared" si="59"/>
        <v/>
      </c>
      <c r="AK185" s="941" t="str">
        <f t="shared" si="60"/>
        <v/>
      </c>
      <c r="AL185" s="941" t="str">
        <f t="shared" si="61"/>
        <v/>
      </c>
      <c r="AM185" s="941" t="str">
        <f t="shared" si="62"/>
        <v/>
      </c>
      <c r="AN185" s="941" t="str">
        <f t="shared" si="63"/>
        <v/>
      </c>
      <c r="AO185" s="941" t="str">
        <f t="shared" si="64"/>
        <v/>
      </c>
      <c r="AP185" s="895">
        <f>IF(AO185&lt;0,"No hi ha pèrdua",IFERROR(SUM(AA185:AO185)*'7. Erosió de costa'!$C$86/1000000,""))</f>
        <v>0</v>
      </c>
    </row>
    <row r="186" spans="1:42">
      <c r="A186" s="835">
        <v>8184</v>
      </c>
      <c r="B186" s="826" t="s">
        <v>1394</v>
      </c>
      <c r="C186" s="835" t="str">
        <f t="shared" si="44"/>
        <v>NA</v>
      </c>
      <c r="D186" s="923" t="str">
        <f t="shared" si="45"/>
        <v>NA</v>
      </c>
      <c r="E186" s="931" t="str">
        <f t="shared" si="46"/>
        <v>NA</v>
      </c>
      <c r="F186" s="926" t="str">
        <f t="shared" si="47"/>
        <v>NA</v>
      </c>
      <c r="G186" s="923" t="str">
        <f t="shared" si="48"/>
        <v>NA</v>
      </c>
      <c r="H186" s="931" t="str">
        <f>IFERROR(IF((G186*'7. Erosió de costa'!$C$86/1000000)&lt;0,"guanya sorra",G186*'7. Erosió de costa'!$C$86/1000000),"")</f>
        <v/>
      </c>
      <c r="I186" s="937" t="str">
        <f>IFERROR(IF(('A. Dades de partida'!$D$10*G186*'7. Erosió de costa'!$C$86/1000000)&lt;0,"guanya sorra",'A. Dades de partida'!$D$10*G186*'7. Erosió de costa'!$C$86/1000000),"")</f>
        <v/>
      </c>
      <c r="J186" s="931" t="str">
        <f t="shared" si="43"/>
        <v>NA</v>
      </c>
      <c r="K186" s="931"/>
      <c r="L186" s="931"/>
      <c r="M186" s="931"/>
      <c r="N186" s="931"/>
      <c r="O186" s="931"/>
      <c r="P186" s="931"/>
      <c r="Q186" s="931"/>
      <c r="R186" s="931"/>
      <c r="S186" s="931"/>
      <c r="T186" s="931"/>
      <c r="U186" s="931"/>
      <c r="V186" s="931"/>
      <c r="W186" s="931"/>
      <c r="X186" s="931"/>
      <c r="Y186" s="931"/>
      <c r="Z186" s="941" t="str">
        <f t="shared" si="49"/>
        <v/>
      </c>
      <c r="AA186" s="941" t="str">
        <f t="shared" si="50"/>
        <v/>
      </c>
      <c r="AB186" s="941" t="str">
        <f t="shared" si="51"/>
        <v/>
      </c>
      <c r="AC186" s="941" t="str">
        <f t="shared" si="52"/>
        <v/>
      </c>
      <c r="AD186" s="941" t="str">
        <f t="shared" si="53"/>
        <v/>
      </c>
      <c r="AE186" s="941" t="str">
        <f t="shared" si="54"/>
        <v/>
      </c>
      <c r="AF186" s="941" t="str">
        <f t="shared" si="55"/>
        <v/>
      </c>
      <c r="AG186" s="941" t="str">
        <f t="shared" si="56"/>
        <v/>
      </c>
      <c r="AH186" s="941" t="str">
        <f t="shared" si="57"/>
        <v/>
      </c>
      <c r="AI186" s="941" t="str">
        <f t="shared" si="58"/>
        <v/>
      </c>
      <c r="AJ186" s="941" t="str">
        <f t="shared" si="59"/>
        <v/>
      </c>
      <c r="AK186" s="941" t="str">
        <f t="shared" si="60"/>
        <v/>
      </c>
      <c r="AL186" s="941" t="str">
        <f t="shared" si="61"/>
        <v/>
      </c>
      <c r="AM186" s="941" t="str">
        <f t="shared" si="62"/>
        <v/>
      </c>
      <c r="AN186" s="941" t="str">
        <f t="shared" si="63"/>
        <v/>
      </c>
      <c r="AO186" s="941" t="str">
        <f t="shared" si="64"/>
        <v/>
      </c>
      <c r="AP186" s="895">
        <f>IF(AO186&lt;0,"No hi ha pèrdua",IFERROR(SUM(AA186:AO186)*'7. Erosió de costa'!$C$86/1000000,""))</f>
        <v>0</v>
      </c>
    </row>
    <row r="187" spans="1:42">
      <c r="A187" s="835">
        <v>8185</v>
      </c>
      <c r="B187" s="826" t="s">
        <v>1399</v>
      </c>
      <c r="C187" s="835" t="str">
        <f t="shared" si="44"/>
        <v>NA</v>
      </c>
      <c r="D187" s="923" t="str">
        <f t="shared" si="45"/>
        <v>NA</v>
      </c>
      <c r="E187" s="931" t="str">
        <f t="shared" si="46"/>
        <v>NA</v>
      </c>
      <c r="F187" s="926" t="str">
        <f t="shared" si="47"/>
        <v>NA</v>
      </c>
      <c r="G187" s="923" t="str">
        <f t="shared" si="48"/>
        <v>NA</v>
      </c>
      <c r="H187" s="931" t="str">
        <f>IFERROR(IF((G187*'7. Erosió de costa'!$C$86/1000000)&lt;0,"guanya sorra",G187*'7. Erosió de costa'!$C$86/1000000),"")</f>
        <v/>
      </c>
      <c r="I187" s="937" t="str">
        <f>IFERROR(IF(('A. Dades de partida'!$D$10*G187*'7. Erosió de costa'!$C$86/1000000)&lt;0,"guanya sorra",'A. Dades de partida'!$D$10*G187*'7. Erosió de costa'!$C$86/1000000),"")</f>
        <v/>
      </c>
      <c r="J187" s="931" t="str">
        <f t="shared" si="43"/>
        <v>NA</v>
      </c>
      <c r="K187" s="931"/>
      <c r="L187" s="931"/>
      <c r="M187" s="931"/>
      <c r="N187" s="931"/>
      <c r="O187" s="931"/>
      <c r="P187" s="931"/>
      <c r="Q187" s="931"/>
      <c r="R187" s="931"/>
      <c r="S187" s="931"/>
      <c r="T187" s="931"/>
      <c r="U187" s="931"/>
      <c r="V187" s="931"/>
      <c r="W187" s="931"/>
      <c r="X187" s="931"/>
      <c r="Y187" s="931"/>
      <c r="Z187" s="941" t="str">
        <f t="shared" si="49"/>
        <v/>
      </c>
      <c r="AA187" s="941" t="str">
        <f t="shared" si="50"/>
        <v/>
      </c>
      <c r="AB187" s="941" t="str">
        <f t="shared" si="51"/>
        <v/>
      </c>
      <c r="AC187" s="941" t="str">
        <f t="shared" si="52"/>
        <v/>
      </c>
      <c r="AD187" s="941" t="str">
        <f t="shared" si="53"/>
        <v/>
      </c>
      <c r="AE187" s="941" t="str">
        <f t="shared" si="54"/>
        <v/>
      </c>
      <c r="AF187" s="941" t="str">
        <f t="shared" si="55"/>
        <v/>
      </c>
      <c r="AG187" s="941" t="str">
        <f t="shared" si="56"/>
        <v/>
      </c>
      <c r="AH187" s="941" t="str">
        <f t="shared" si="57"/>
        <v/>
      </c>
      <c r="AI187" s="941" t="str">
        <f t="shared" si="58"/>
        <v/>
      </c>
      <c r="AJ187" s="941" t="str">
        <f t="shared" si="59"/>
        <v/>
      </c>
      <c r="AK187" s="941" t="str">
        <f t="shared" si="60"/>
        <v/>
      </c>
      <c r="AL187" s="941" t="str">
        <f t="shared" si="61"/>
        <v/>
      </c>
      <c r="AM187" s="941" t="str">
        <f t="shared" si="62"/>
        <v/>
      </c>
      <c r="AN187" s="941" t="str">
        <f t="shared" si="63"/>
        <v/>
      </c>
      <c r="AO187" s="941" t="str">
        <f t="shared" si="64"/>
        <v/>
      </c>
      <c r="AP187" s="895">
        <f>IF(AO187&lt;0,"No hi ha pèrdua",IFERROR(SUM(AA187:AO187)*'7. Erosió de costa'!$C$86/1000000,""))</f>
        <v>0</v>
      </c>
    </row>
    <row r="188" spans="1:42">
      <c r="A188" s="835">
        <v>8187</v>
      </c>
      <c r="B188" s="826" t="s">
        <v>947</v>
      </c>
      <c r="C188" s="835" t="str">
        <f t="shared" si="44"/>
        <v>NA</v>
      </c>
      <c r="D188" s="923" t="str">
        <f t="shared" si="45"/>
        <v>NA</v>
      </c>
      <c r="E188" s="931" t="str">
        <f t="shared" si="46"/>
        <v>NA</v>
      </c>
      <c r="F188" s="926" t="str">
        <f t="shared" si="47"/>
        <v>NA</v>
      </c>
      <c r="G188" s="923" t="str">
        <f t="shared" si="48"/>
        <v>NA</v>
      </c>
      <c r="H188" s="931" t="str">
        <f>IFERROR(IF((G188*'7. Erosió de costa'!$C$86/1000000)&lt;0,"guanya sorra",G188*'7. Erosió de costa'!$C$86/1000000),"")</f>
        <v/>
      </c>
      <c r="I188" s="937" t="str">
        <f>IFERROR(IF(('A. Dades de partida'!$D$10*G188*'7. Erosió de costa'!$C$86/1000000)&lt;0,"guanya sorra",'A. Dades de partida'!$D$10*G188*'7. Erosió de costa'!$C$86/1000000),"")</f>
        <v/>
      </c>
      <c r="J188" s="931" t="str">
        <f t="shared" ref="J188:J251" si="65">E188</f>
        <v>NA</v>
      </c>
      <c r="K188" s="931"/>
      <c r="L188" s="931"/>
      <c r="M188" s="931"/>
      <c r="N188" s="931"/>
      <c r="O188" s="931"/>
      <c r="P188" s="931"/>
      <c r="Q188" s="931"/>
      <c r="R188" s="931"/>
      <c r="S188" s="931"/>
      <c r="T188" s="931"/>
      <c r="U188" s="931"/>
      <c r="V188" s="931"/>
      <c r="W188" s="931"/>
      <c r="X188" s="931"/>
      <c r="Y188" s="931"/>
      <c r="Z188" s="941" t="str">
        <f t="shared" si="49"/>
        <v/>
      </c>
      <c r="AA188" s="941" t="str">
        <f t="shared" si="50"/>
        <v/>
      </c>
      <c r="AB188" s="941" t="str">
        <f t="shared" si="51"/>
        <v/>
      </c>
      <c r="AC188" s="941" t="str">
        <f t="shared" si="52"/>
        <v/>
      </c>
      <c r="AD188" s="941" t="str">
        <f t="shared" si="53"/>
        <v/>
      </c>
      <c r="AE188" s="941" t="str">
        <f t="shared" si="54"/>
        <v/>
      </c>
      <c r="AF188" s="941" t="str">
        <f t="shared" si="55"/>
        <v/>
      </c>
      <c r="AG188" s="941" t="str">
        <f t="shared" si="56"/>
        <v/>
      </c>
      <c r="AH188" s="941" t="str">
        <f t="shared" si="57"/>
        <v/>
      </c>
      <c r="AI188" s="941" t="str">
        <f t="shared" si="58"/>
        <v/>
      </c>
      <c r="AJ188" s="941" t="str">
        <f t="shared" si="59"/>
        <v/>
      </c>
      <c r="AK188" s="941" t="str">
        <f t="shared" si="60"/>
        <v/>
      </c>
      <c r="AL188" s="941" t="str">
        <f t="shared" si="61"/>
        <v/>
      </c>
      <c r="AM188" s="941" t="str">
        <f t="shared" si="62"/>
        <v/>
      </c>
      <c r="AN188" s="941" t="str">
        <f t="shared" si="63"/>
        <v/>
      </c>
      <c r="AO188" s="941" t="str">
        <f t="shared" si="64"/>
        <v/>
      </c>
      <c r="AP188" s="895">
        <f>IF(AO188&lt;0,"No hi ha pèrdua",IFERROR(SUM(AA188:AO188)*'7. Erosió de costa'!$C$86/1000000,""))</f>
        <v>0</v>
      </c>
    </row>
    <row r="189" spans="1:42">
      <c r="A189" s="835">
        <v>8188</v>
      </c>
      <c r="B189" s="826" t="s">
        <v>1409</v>
      </c>
      <c r="C189" s="835" t="str">
        <f t="shared" si="44"/>
        <v>NA</v>
      </c>
      <c r="D189" s="923" t="str">
        <f t="shared" si="45"/>
        <v>NA</v>
      </c>
      <c r="E189" s="931" t="str">
        <f t="shared" si="46"/>
        <v>NA</v>
      </c>
      <c r="F189" s="926" t="str">
        <f t="shared" si="47"/>
        <v>NA</v>
      </c>
      <c r="G189" s="923" t="str">
        <f t="shared" si="48"/>
        <v>NA</v>
      </c>
      <c r="H189" s="931" t="str">
        <f>IFERROR(IF((G189*'7. Erosió de costa'!$C$86/1000000)&lt;0,"guanya sorra",G189*'7. Erosió de costa'!$C$86/1000000),"")</f>
        <v/>
      </c>
      <c r="I189" s="937" t="str">
        <f>IFERROR(IF(('A. Dades de partida'!$D$10*G189*'7. Erosió de costa'!$C$86/1000000)&lt;0,"guanya sorra",'A. Dades de partida'!$D$10*G189*'7. Erosió de costa'!$C$86/1000000),"")</f>
        <v/>
      </c>
      <c r="J189" s="931" t="str">
        <f t="shared" si="65"/>
        <v>NA</v>
      </c>
      <c r="K189" s="931"/>
      <c r="L189" s="931"/>
      <c r="M189" s="931"/>
      <c r="N189" s="931"/>
      <c r="O189" s="931"/>
      <c r="P189" s="931"/>
      <c r="Q189" s="931"/>
      <c r="R189" s="931"/>
      <c r="S189" s="931"/>
      <c r="T189" s="931"/>
      <c r="U189" s="931"/>
      <c r="V189" s="931"/>
      <c r="W189" s="931"/>
      <c r="X189" s="931"/>
      <c r="Y189" s="931"/>
      <c r="Z189" s="941" t="str">
        <f t="shared" si="49"/>
        <v/>
      </c>
      <c r="AA189" s="941" t="str">
        <f t="shared" si="50"/>
        <v/>
      </c>
      <c r="AB189" s="941" t="str">
        <f t="shared" si="51"/>
        <v/>
      </c>
      <c r="AC189" s="941" t="str">
        <f t="shared" si="52"/>
        <v/>
      </c>
      <c r="AD189" s="941" t="str">
        <f t="shared" si="53"/>
        <v/>
      </c>
      <c r="AE189" s="941" t="str">
        <f t="shared" si="54"/>
        <v/>
      </c>
      <c r="AF189" s="941" t="str">
        <f t="shared" si="55"/>
        <v/>
      </c>
      <c r="AG189" s="941" t="str">
        <f t="shared" si="56"/>
        <v/>
      </c>
      <c r="AH189" s="941" t="str">
        <f t="shared" si="57"/>
        <v/>
      </c>
      <c r="AI189" s="941" t="str">
        <f t="shared" si="58"/>
        <v/>
      </c>
      <c r="AJ189" s="941" t="str">
        <f t="shared" si="59"/>
        <v/>
      </c>
      <c r="AK189" s="941" t="str">
        <f t="shared" si="60"/>
        <v/>
      </c>
      <c r="AL189" s="941" t="str">
        <f t="shared" si="61"/>
        <v/>
      </c>
      <c r="AM189" s="941" t="str">
        <f t="shared" si="62"/>
        <v/>
      </c>
      <c r="AN189" s="941" t="str">
        <f t="shared" si="63"/>
        <v/>
      </c>
      <c r="AO189" s="941" t="str">
        <f t="shared" si="64"/>
        <v/>
      </c>
      <c r="AP189" s="895">
        <f>IF(AO189&lt;0,"No hi ha pèrdua",IFERROR(SUM(AA189:AO189)*'7. Erosió de costa'!$C$86/1000000,""))</f>
        <v>0</v>
      </c>
    </row>
    <row r="190" spans="1:42">
      <c r="A190" s="835">
        <v>8189</v>
      </c>
      <c r="B190" s="826" t="s">
        <v>1411</v>
      </c>
      <c r="C190" s="835" t="str">
        <f t="shared" si="44"/>
        <v>NA</v>
      </c>
      <c r="D190" s="923" t="str">
        <f t="shared" si="45"/>
        <v>NA</v>
      </c>
      <c r="E190" s="931" t="str">
        <f t="shared" si="46"/>
        <v>NA</v>
      </c>
      <c r="F190" s="926" t="str">
        <f t="shared" si="47"/>
        <v>NA</v>
      </c>
      <c r="G190" s="923" t="str">
        <f t="shared" si="48"/>
        <v>NA</v>
      </c>
      <c r="H190" s="931" t="str">
        <f>IFERROR(IF((G190*'7. Erosió de costa'!$C$86/1000000)&lt;0,"guanya sorra",G190*'7. Erosió de costa'!$C$86/1000000),"")</f>
        <v/>
      </c>
      <c r="I190" s="937" t="str">
        <f>IFERROR(IF(('A. Dades de partida'!$D$10*G190*'7. Erosió de costa'!$C$86/1000000)&lt;0,"guanya sorra",'A. Dades de partida'!$D$10*G190*'7. Erosió de costa'!$C$86/1000000),"")</f>
        <v/>
      </c>
      <c r="J190" s="931" t="str">
        <f t="shared" si="65"/>
        <v>NA</v>
      </c>
      <c r="K190" s="931"/>
      <c r="L190" s="931"/>
      <c r="M190" s="931"/>
      <c r="N190" s="931"/>
      <c r="O190" s="931"/>
      <c r="P190" s="931"/>
      <c r="Q190" s="931"/>
      <c r="R190" s="931"/>
      <c r="S190" s="931"/>
      <c r="T190" s="931"/>
      <c r="U190" s="931"/>
      <c r="V190" s="931"/>
      <c r="W190" s="931"/>
      <c r="X190" s="931"/>
      <c r="Y190" s="931"/>
      <c r="Z190" s="941" t="str">
        <f t="shared" si="49"/>
        <v/>
      </c>
      <c r="AA190" s="941" t="str">
        <f t="shared" si="50"/>
        <v/>
      </c>
      <c r="AB190" s="941" t="str">
        <f t="shared" si="51"/>
        <v/>
      </c>
      <c r="AC190" s="941" t="str">
        <f t="shared" si="52"/>
        <v/>
      </c>
      <c r="AD190" s="941" t="str">
        <f t="shared" si="53"/>
        <v/>
      </c>
      <c r="AE190" s="941" t="str">
        <f t="shared" si="54"/>
        <v/>
      </c>
      <c r="AF190" s="941" t="str">
        <f t="shared" si="55"/>
        <v/>
      </c>
      <c r="AG190" s="941" t="str">
        <f t="shared" si="56"/>
        <v/>
      </c>
      <c r="AH190" s="941" t="str">
        <f t="shared" si="57"/>
        <v/>
      </c>
      <c r="AI190" s="941" t="str">
        <f t="shared" si="58"/>
        <v/>
      </c>
      <c r="AJ190" s="941" t="str">
        <f t="shared" si="59"/>
        <v/>
      </c>
      <c r="AK190" s="941" t="str">
        <f t="shared" si="60"/>
        <v/>
      </c>
      <c r="AL190" s="941" t="str">
        <f t="shared" si="61"/>
        <v/>
      </c>
      <c r="AM190" s="941" t="str">
        <f t="shared" si="62"/>
        <v/>
      </c>
      <c r="AN190" s="941" t="str">
        <f t="shared" si="63"/>
        <v/>
      </c>
      <c r="AO190" s="941" t="str">
        <f t="shared" si="64"/>
        <v/>
      </c>
      <c r="AP190" s="895">
        <f>IF(AO190&lt;0,"No hi ha pèrdua",IFERROR(SUM(AA190:AO190)*'7. Erosió de costa'!$C$86/1000000,""))</f>
        <v>0</v>
      </c>
    </row>
    <row r="191" spans="1:42">
      <c r="A191" s="835">
        <v>8190</v>
      </c>
      <c r="B191" s="826" t="s">
        <v>1413</v>
      </c>
      <c r="C191" s="835" t="str">
        <f t="shared" si="44"/>
        <v>NA</v>
      </c>
      <c r="D191" s="923" t="str">
        <f t="shared" si="45"/>
        <v>NA</v>
      </c>
      <c r="E191" s="931" t="str">
        <f t="shared" si="46"/>
        <v>NA</v>
      </c>
      <c r="F191" s="926" t="str">
        <f t="shared" si="47"/>
        <v>NA</v>
      </c>
      <c r="G191" s="923" t="str">
        <f t="shared" si="48"/>
        <v>NA</v>
      </c>
      <c r="H191" s="931" t="str">
        <f>IFERROR(IF((G191*'7. Erosió de costa'!$C$86/1000000)&lt;0,"guanya sorra",G191*'7. Erosió de costa'!$C$86/1000000),"")</f>
        <v/>
      </c>
      <c r="I191" s="937" t="str">
        <f>IFERROR(IF(('A. Dades de partida'!$D$10*G191*'7. Erosió de costa'!$C$86/1000000)&lt;0,"guanya sorra",'A. Dades de partida'!$D$10*G191*'7. Erosió de costa'!$C$86/1000000),"")</f>
        <v/>
      </c>
      <c r="J191" s="931" t="str">
        <f t="shared" si="65"/>
        <v>NA</v>
      </c>
      <c r="K191" s="931"/>
      <c r="L191" s="931"/>
      <c r="M191" s="931"/>
      <c r="N191" s="931"/>
      <c r="O191" s="931"/>
      <c r="P191" s="931"/>
      <c r="Q191" s="931"/>
      <c r="R191" s="931"/>
      <c r="S191" s="931"/>
      <c r="T191" s="931"/>
      <c r="U191" s="931"/>
      <c r="V191" s="931"/>
      <c r="W191" s="931"/>
      <c r="X191" s="931"/>
      <c r="Y191" s="931"/>
      <c r="Z191" s="941" t="str">
        <f t="shared" si="49"/>
        <v/>
      </c>
      <c r="AA191" s="941" t="str">
        <f t="shared" si="50"/>
        <v/>
      </c>
      <c r="AB191" s="941" t="str">
        <f t="shared" si="51"/>
        <v/>
      </c>
      <c r="AC191" s="941" t="str">
        <f t="shared" si="52"/>
        <v/>
      </c>
      <c r="AD191" s="941" t="str">
        <f t="shared" si="53"/>
        <v/>
      </c>
      <c r="AE191" s="941" t="str">
        <f t="shared" si="54"/>
        <v/>
      </c>
      <c r="AF191" s="941" t="str">
        <f t="shared" si="55"/>
        <v/>
      </c>
      <c r="AG191" s="941" t="str">
        <f t="shared" si="56"/>
        <v/>
      </c>
      <c r="AH191" s="941" t="str">
        <f t="shared" si="57"/>
        <v/>
      </c>
      <c r="AI191" s="941" t="str">
        <f t="shared" si="58"/>
        <v/>
      </c>
      <c r="AJ191" s="941" t="str">
        <f t="shared" si="59"/>
        <v/>
      </c>
      <c r="AK191" s="941" t="str">
        <f t="shared" si="60"/>
        <v/>
      </c>
      <c r="AL191" s="941" t="str">
        <f t="shared" si="61"/>
        <v/>
      </c>
      <c r="AM191" s="941" t="str">
        <f t="shared" si="62"/>
        <v/>
      </c>
      <c r="AN191" s="941" t="str">
        <f t="shared" si="63"/>
        <v/>
      </c>
      <c r="AO191" s="941" t="str">
        <f t="shared" si="64"/>
        <v/>
      </c>
      <c r="AP191" s="895">
        <f>IF(AO191&lt;0,"No hi ha pèrdua",IFERROR(SUM(AA191:AO191)*'7. Erosió de costa'!$C$86/1000000,""))</f>
        <v>0</v>
      </c>
    </row>
    <row r="192" spans="1:42">
      <c r="A192" s="835">
        <v>8191</v>
      </c>
      <c r="B192" s="826" t="s">
        <v>1416</v>
      </c>
      <c r="C192" s="835" t="str">
        <f t="shared" si="44"/>
        <v>NA</v>
      </c>
      <c r="D192" s="923" t="str">
        <f t="shared" si="45"/>
        <v>NA</v>
      </c>
      <c r="E192" s="931" t="str">
        <f t="shared" si="46"/>
        <v>NA</v>
      </c>
      <c r="F192" s="926" t="str">
        <f t="shared" si="47"/>
        <v>NA</v>
      </c>
      <c r="G192" s="923" t="str">
        <f t="shared" si="48"/>
        <v>NA</v>
      </c>
      <c r="H192" s="931" t="str">
        <f>IFERROR(IF((G192*'7. Erosió de costa'!$C$86/1000000)&lt;0,"guanya sorra",G192*'7. Erosió de costa'!$C$86/1000000),"")</f>
        <v/>
      </c>
      <c r="I192" s="937" t="str">
        <f>IFERROR(IF(('A. Dades de partida'!$D$10*G192*'7. Erosió de costa'!$C$86/1000000)&lt;0,"guanya sorra",'A. Dades de partida'!$D$10*G192*'7. Erosió de costa'!$C$86/1000000),"")</f>
        <v/>
      </c>
      <c r="J192" s="931" t="str">
        <f t="shared" si="65"/>
        <v>NA</v>
      </c>
      <c r="K192" s="931"/>
      <c r="L192" s="931"/>
      <c r="M192" s="931"/>
      <c r="N192" s="931"/>
      <c r="O192" s="931"/>
      <c r="P192" s="931"/>
      <c r="Q192" s="931"/>
      <c r="R192" s="931"/>
      <c r="S192" s="931"/>
      <c r="T192" s="931"/>
      <c r="U192" s="931"/>
      <c r="V192" s="931"/>
      <c r="W192" s="931"/>
      <c r="X192" s="931"/>
      <c r="Y192" s="931"/>
      <c r="Z192" s="941" t="str">
        <f t="shared" si="49"/>
        <v/>
      </c>
      <c r="AA192" s="941" t="str">
        <f t="shared" si="50"/>
        <v/>
      </c>
      <c r="AB192" s="941" t="str">
        <f t="shared" si="51"/>
        <v/>
      </c>
      <c r="AC192" s="941" t="str">
        <f t="shared" si="52"/>
        <v/>
      </c>
      <c r="AD192" s="941" t="str">
        <f t="shared" si="53"/>
        <v/>
      </c>
      <c r="AE192" s="941" t="str">
        <f t="shared" si="54"/>
        <v/>
      </c>
      <c r="AF192" s="941" t="str">
        <f t="shared" si="55"/>
        <v/>
      </c>
      <c r="AG192" s="941" t="str">
        <f t="shared" si="56"/>
        <v/>
      </c>
      <c r="AH192" s="941" t="str">
        <f t="shared" si="57"/>
        <v/>
      </c>
      <c r="AI192" s="941" t="str">
        <f t="shared" si="58"/>
        <v/>
      </c>
      <c r="AJ192" s="941" t="str">
        <f t="shared" si="59"/>
        <v/>
      </c>
      <c r="AK192" s="941" t="str">
        <f t="shared" si="60"/>
        <v/>
      </c>
      <c r="AL192" s="941" t="str">
        <f t="shared" si="61"/>
        <v/>
      </c>
      <c r="AM192" s="941" t="str">
        <f t="shared" si="62"/>
        <v/>
      </c>
      <c r="AN192" s="941" t="str">
        <f t="shared" si="63"/>
        <v/>
      </c>
      <c r="AO192" s="941" t="str">
        <f t="shared" si="64"/>
        <v/>
      </c>
      <c r="AP192" s="895">
        <f>IF(AO192&lt;0,"No hi ha pèrdua",IFERROR(SUM(AA192:AO192)*'7. Erosió de costa'!$C$86/1000000,""))</f>
        <v>0</v>
      </c>
    </row>
    <row r="193" spans="1:42">
      <c r="A193" s="835">
        <v>8192</v>
      </c>
      <c r="B193" s="826" t="s">
        <v>1418</v>
      </c>
      <c r="C193" s="835" t="str">
        <f t="shared" si="44"/>
        <v>NA</v>
      </c>
      <c r="D193" s="923" t="str">
        <f t="shared" si="45"/>
        <v>NA</v>
      </c>
      <c r="E193" s="931" t="str">
        <f t="shared" si="46"/>
        <v>NA</v>
      </c>
      <c r="F193" s="926" t="str">
        <f t="shared" si="47"/>
        <v>NA</v>
      </c>
      <c r="G193" s="923" t="str">
        <f t="shared" si="48"/>
        <v>NA</v>
      </c>
      <c r="H193" s="931" t="str">
        <f>IFERROR(IF((G193*'7. Erosió de costa'!$C$86/1000000)&lt;0,"guanya sorra",G193*'7. Erosió de costa'!$C$86/1000000),"")</f>
        <v/>
      </c>
      <c r="I193" s="937" t="str">
        <f>IFERROR(IF(('A. Dades de partida'!$D$10*G193*'7. Erosió de costa'!$C$86/1000000)&lt;0,"guanya sorra",'A. Dades de partida'!$D$10*G193*'7. Erosió de costa'!$C$86/1000000),"")</f>
        <v/>
      </c>
      <c r="J193" s="931" t="str">
        <f t="shared" si="65"/>
        <v>NA</v>
      </c>
      <c r="K193" s="931"/>
      <c r="L193" s="931"/>
      <c r="M193" s="931"/>
      <c r="N193" s="931"/>
      <c r="O193" s="931"/>
      <c r="P193" s="931"/>
      <c r="Q193" s="931"/>
      <c r="R193" s="931"/>
      <c r="S193" s="931"/>
      <c r="T193" s="931"/>
      <c r="U193" s="931"/>
      <c r="V193" s="931"/>
      <c r="W193" s="931"/>
      <c r="X193" s="931"/>
      <c r="Y193" s="931"/>
      <c r="Z193" s="941" t="str">
        <f t="shared" si="49"/>
        <v/>
      </c>
      <c r="AA193" s="941" t="str">
        <f t="shared" si="50"/>
        <v/>
      </c>
      <c r="AB193" s="941" t="str">
        <f t="shared" si="51"/>
        <v/>
      </c>
      <c r="AC193" s="941" t="str">
        <f t="shared" si="52"/>
        <v/>
      </c>
      <c r="AD193" s="941" t="str">
        <f t="shared" si="53"/>
        <v/>
      </c>
      <c r="AE193" s="941" t="str">
        <f t="shared" si="54"/>
        <v/>
      </c>
      <c r="AF193" s="941" t="str">
        <f t="shared" si="55"/>
        <v/>
      </c>
      <c r="AG193" s="941" t="str">
        <f t="shared" si="56"/>
        <v/>
      </c>
      <c r="AH193" s="941" t="str">
        <f t="shared" si="57"/>
        <v/>
      </c>
      <c r="AI193" s="941" t="str">
        <f t="shared" si="58"/>
        <v/>
      </c>
      <c r="AJ193" s="941" t="str">
        <f t="shared" si="59"/>
        <v/>
      </c>
      <c r="AK193" s="941" t="str">
        <f t="shared" si="60"/>
        <v/>
      </c>
      <c r="AL193" s="941" t="str">
        <f t="shared" si="61"/>
        <v/>
      </c>
      <c r="AM193" s="941" t="str">
        <f t="shared" si="62"/>
        <v/>
      </c>
      <c r="AN193" s="941" t="str">
        <f t="shared" si="63"/>
        <v/>
      </c>
      <c r="AO193" s="941" t="str">
        <f t="shared" si="64"/>
        <v/>
      </c>
      <c r="AP193" s="895">
        <f>IF(AO193&lt;0,"No hi ha pèrdua",IFERROR(SUM(AA193:AO193)*'7. Erosió de costa'!$C$86/1000000,""))</f>
        <v>0</v>
      </c>
    </row>
    <row r="194" spans="1:42">
      <c r="A194" s="835">
        <v>8193</v>
      </c>
      <c r="B194" s="826" t="s">
        <v>1421</v>
      </c>
      <c r="C194" s="835" t="str">
        <f t="shared" si="44"/>
        <v>NA</v>
      </c>
      <c r="D194" s="923" t="str">
        <f t="shared" si="45"/>
        <v>NA</v>
      </c>
      <c r="E194" s="931" t="str">
        <f t="shared" si="46"/>
        <v>NA</v>
      </c>
      <c r="F194" s="926" t="str">
        <f t="shared" si="47"/>
        <v>NA</v>
      </c>
      <c r="G194" s="923" t="str">
        <f t="shared" si="48"/>
        <v>NA</v>
      </c>
      <c r="H194" s="931" t="str">
        <f>IFERROR(IF((G194*'7. Erosió de costa'!$C$86/1000000)&lt;0,"guanya sorra",G194*'7. Erosió de costa'!$C$86/1000000),"")</f>
        <v/>
      </c>
      <c r="I194" s="937" t="str">
        <f>IFERROR(IF(('A. Dades de partida'!$D$10*G194*'7. Erosió de costa'!$C$86/1000000)&lt;0,"guanya sorra",'A. Dades de partida'!$D$10*G194*'7. Erosió de costa'!$C$86/1000000),"")</f>
        <v/>
      </c>
      <c r="J194" s="931" t="str">
        <f t="shared" si="65"/>
        <v>NA</v>
      </c>
      <c r="K194" s="931"/>
      <c r="L194" s="931"/>
      <c r="M194" s="931"/>
      <c r="N194" s="931"/>
      <c r="O194" s="931"/>
      <c r="P194" s="931"/>
      <c r="Q194" s="931"/>
      <c r="R194" s="931"/>
      <c r="S194" s="931"/>
      <c r="T194" s="931"/>
      <c r="U194" s="931"/>
      <c r="V194" s="931"/>
      <c r="W194" s="931"/>
      <c r="X194" s="931"/>
      <c r="Y194" s="931"/>
      <c r="Z194" s="941" t="str">
        <f t="shared" si="49"/>
        <v/>
      </c>
      <c r="AA194" s="941" t="str">
        <f t="shared" si="50"/>
        <v/>
      </c>
      <c r="AB194" s="941" t="str">
        <f t="shared" si="51"/>
        <v/>
      </c>
      <c r="AC194" s="941" t="str">
        <f t="shared" si="52"/>
        <v/>
      </c>
      <c r="AD194" s="941" t="str">
        <f t="shared" si="53"/>
        <v/>
      </c>
      <c r="AE194" s="941" t="str">
        <f t="shared" si="54"/>
        <v/>
      </c>
      <c r="AF194" s="941" t="str">
        <f t="shared" si="55"/>
        <v/>
      </c>
      <c r="AG194" s="941" t="str">
        <f t="shared" si="56"/>
        <v/>
      </c>
      <c r="AH194" s="941" t="str">
        <f t="shared" si="57"/>
        <v/>
      </c>
      <c r="AI194" s="941" t="str">
        <f t="shared" si="58"/>
        <v/>
      </c>
      <c r="AJ194" s="941" t="str">
        <f t="shared" si="59"/>
        <v/>
      </c>
      <c r="AK194" s="941" t="str">
        <f t="shared" si="60"/>
        <v/>
      </c>
      <c r="AL194" s="941" t="str">
        <f t="shared" si="61"/>
        <v/>
      </c>
      <c r="AM194" s="941" t="str">
        <f t="shared" si="62"/>
        <v/>
      </c>
      <c r="AN194" s="941" t="str">
        <f t="shared" si="63"/>
        <v/>
      </c>
      <c r="AO194" s="941" t="str">
        <f t="shared" si="64"/>
        <v/>
      </c>
      <c r="AP194" s="895">
        <f>IF(AO194&lt;0,"No hi ha pèrdua",IFERROR(SUM(AA194:AO194)*'7. Erosió de costa'!$C$86/1000000,""))</f>
        <v>0</v>
      </c>
    </row>
    <row r="195" spans="1:42">
      <c r="A195" s="835">
        <v>8194</v>
      </c>
      <c r="B195" s="826" t="s">
        <v>350</v>
      </c>
      <c r="C195" s="835">
        <f t="shared" si="44"/>
        <v>10</v>
      </c>
      <c r="D195" s="923">
        <f t="shared" si="45"/>
        <v>700</v>
      </c>
      <c r="E195" s="931">
        <f t="shared" si="46"/>
        <v>-2.33</v>
      </c>
      <c r="F195" s="926">
        <f t="shared" si="47"/>
        <v>8.524898583103063</v>
      </c>
      <c r="G195" s="923">
        <f t="shared" si="48"/>
        <v>13904.109589041096</v>
      </c>
      <c r="H195" s="931">
        <f>IFERROR(IF((G195*'7. Erosió de costa'!$C$86/1000000)&lt;0,"guanya sorra",G195*'7. Erosió de costa'!$C$86/1000000),"")</f>
        <v>0.45883561643835619</v>
      </c>
      <c r="I195" s="937">
        <f>IFERROR(IF(('A. Dades de partida'!$D$10*G195*'7. Erosió de costa'!$C$86/1000000)&lt;0,"guanya sorra",'A. Dades de partida'!$D$10*G195*'7. Erosió de costa'!$C$86/1000000),"")</f>
        <v>6.8825342465753421</v>
      </c>
      <c r="J195" s="931">
        <f>E195</f>
        <v>-2.33</v>
      </c>
      <c r="K195" s="931">
        <f>IF($J195&gt;0, $J195-($J195*'7. Erosió de costa'!D$140*'7. Erosió de costa'!$D$111),$J195+($J195*'7. Erosió de costa'!D$140*'7. Erosió de costa'!$D$111))</f>
        <v>-2.3748955505279037</v>
      </c>
      <c r="L195" s="931">
        <f>IF($J195&gt;0, $J195-($J195*'7. Erosió de costa'!E$140*'7. Erosió de costa'!$D$111),$J195+($J195*'7. Erosió de costa'!E$140*'7. Erosió de costa'!$D$111))</f>
        <v>-2.4197911010558069</v>
      </c>
      <c r="M195" s="931">
        <f>IF($J195&gt;0, $J195-($J195*'7. Erosió de costa'!F$140*'7. Erosió de costa'!$D$111),$J195+($J195*'7. Erosió de costa'!F$140*'7. Erosió de costa'!$D$111))</f>
        <v>-2.4646866515837105</v>
      </c>
      <c r="N195" s="931">
        <f>IF($J195&gt;0, $J195-($J195*'7. Erosió de costa'!G$140*'7. Erosió de costa'!$D$111),$J195+($J195*'7. Erosió de costa'!G$140*'7. Erosió de costa'!$D$111))</f>
        <v>-2.5095822021116141</v>
      </c>
      <c r="O195" s="931">
        <f>IF($J195&gt;0, $J195-($J195*'7. Erosió de costa'!H$140*'7. Erosió de costa'!$D$111),$J195+($J195*'7. Erosió de costa'!H$140*'7. Erosió de costa'!$D$111))</f>
        <v>-2.5544777526395173</v>
      </c>
      <c r="P195" s="931">
        <f>IF($J195&gt;0, $J195-($J195*'7. Erosió de costa'!I$140*'7. Erosió de costa'!$D$111),$J195+($J195*'7. Erosió de costa'!I$140*'7. Erosió de costa'!$D$111))</f>
        <v>-2.5993733031674209</v>
      </c>
      <c r="Q195" s="931">
        <f>IF($J195&gt;0, $J195-($J195*'7. Erosió de costa'!J$140*'7. Erosió de costa'!$D$111),$J195+($J195*'7. Erosió de costa'!J$140*'7. Erosió de costa'!$D$111))</f>
        <v>-2.6442688536953245</v>
      </c>
      <c r="R195" s="931">
        <f>IF($J195&gt;0, $J195-($J195*'7. Erosió de costa'!K$140*'7. Erosió de costa'!$D$111),$J195+($J195*'7. Erosió de costa'!K$140*'7. Erosió de costa'!$D$111))</f>
        <v>-2.6891644042232277</v>
      </c>
      <c r="S195" s="931">
        <f>IF($J195&gt;0, $J195-($J195*'7. Erosió de costa'!L$140*'7. Erosió de costa'!$D$111),$J195+($J195*'7. Erosió de costa'!L$140*'7. Erosió de costa'!$D$111))</f>
        <v>-2.7340599547511313</v>
      </c>
      <c r="T195" s="931">
        <f>IF($J195&gt;0, $J195-($J195*'7. Erosió de costa'!M$140*'7. Erosió de costa'!$D$111),$J195+($J195*'7. Erosió de costa'!M$140*'7. Erosió de costa'!$D$111))</f>
        <v>-2.7789555052790349</v>
      </c>
      <c r="U195" s="931">
        <f>IF($J195&gt;0, $J195-($J195*'7. Erosió de costa'!N$140*'7. Erosió de costa'!$D$111),$J195+($J195*'7. Erosió de costa'!N$140*'7. Erosió de costa'!$D$111))</f>
        <v>-2.8238510558069381</v>
      </c>
      <c r="V195" s="931">
        <f>IF($J195&gt;0, $J195-($J195*'7. Erosió de costa'!O$140*'7. Erosió de costa'!$D$111),$J195+($J195*'7. Erosió de costa'!O$140*'7. Erosió de costa'!$D$111))</f>
        <v>-2.8687466063348417</v>
      </c>
      <c r="W195" s="931">
        <f>IF($J195&gt;0, $J195-($J195*'7. Erosió de costa'!P$140*'7. Erosió de costa'!$D$111),$J195+($J195*'7. Erosió de costa'!P$140*'7. Erosió de costa'!$D$111))</f>
        <v>-2.9136421568627453</v>
      </c>
      <c r="X195" s="931">
        <f>IF($J195&gt;0, $J195-($J195*'7. Erosió de costa'!Q$140*'7. Erosió de costa'!$D$111),$J195+($J195*'7. Erosió de costa'!Q$140*'7. Erosió de costa'!$D$111))</f>
        <v>-2.9585377073906485</v>
      </c>
      <c r="Y195" s="931">
        <f>IF($J195&gt;0, $J195-($J195*'7. Erosió de costa'!R$140*'7. Erosió de costa'!$D$111),$J195+($J195*'7. Erosió de costa'!R$140*'7. Erosió de costa'!$D$111))</f>
        <v>-3.0034332579185521</v>
      </c>
      <c r="Z195" s="941">
        <f t="shared" si="49"/>
        <v>13904.109589041096</v>
      </c>
      <c r="AA195" s="941">
        <f t="shared" si="50"/>
        <v>14172.020599599166</v>
      </c>
      <c r="AB195" s="941">
        <f t="shared" si="51"/>
        <v>14439.931610157235</v>
      </c>
      <c r="AC195" s="941">
        <f t="shared" si="52"/>
        <v>14707.842620715306</v>
      </c>
      <c r="AD195" s="941">
        <f t="shared" si="53"/>
        <v>14975.753631273374</v>
      </c>
      <c r="AE195" s="941">
        <f t="shared" si="54"/>
        <v>15243.664641831443</v>
      </c>
      <c r="AF195" s="941">
        <f t="shared" si="55"/>
        <v>15511.575652389512</v>
      </c>
      <c r="AG195" s="941">
        <f t="shared" si="56"/>
        <v>15779.486662947584</v>
      </c>
      <c r="AH195" s="941">
        <f t="shared" si="57"/>
        <v>16047.397673505649</v>
      </c>
      <c r="AI195" s="941">
        <f t="shared" si="58"/>
        <v>16315.308684063721</v>
      </c>
      <c r="AJ195" s="941">
        <f t="shared" si="59"/>
        <v>16583.219694621792</v>
      </c>
      <c r="AK195" s="941">
        <f t="shared" si="60"/>
        <v>16851.130705179858</v>
      </c>
      <c r="AL195" s="941">
        <f t="shared" si="61"/>
        <v>17119.041715737927</v>
      </c>
      <c r="AM195" s="941">
        <f t="shared" si="62"/>
        <v>17386.952726296</v>
      </c>
      <c r="AN195" s="941">
        <f t="shared" si="63"/>
        <v>17654.863736854066</v>
      </c>
      <c r="AO195" s="941">
        <f t="shared" si="64"/>
        <v>17922.774747412139</v>
      </c>
      <c r="AP195" s="895">
        <f>IF(AO195&lt;0,"No hi ha pèrdua",IFERROR(SUM(AA195:AO195)*'7. Erosió de costa'!$C$86/1000000,""))</f>
        <v>7.9434618483852963</v>
      </c>
    </row>
    <row r="196" spans="1:42">
      <c r="A196" s="835">
        <v>8195</v>
      </c>
      <c r="B196" s="826" t="s">
        <v>1424</v>
      </c>
      <c r="C196" s="835" t="str">
        <f t="shared" ref="C196:C259" si="66">IFERROR(VLOOKUP($B196,costa,2,FALSE),"NA")</f>
        <v>NA</v>
      </c>
      <c r="D196" s="923" t="str">
        <f t="shared" ref="D196:D259" si="67">IFERROR(VLOOKUP($B196,costa,3,FALSE),"NA")</f>
        <v>NA</v>
      </c>
      <c r="E196" s="931" t="str">
        <f t="shared" ref="E196:E259" si="68">IFERROR(VLOOKUP(C196,mermes,3,FALSE),"NA")</f>
        <v>NA</v>
      </c>
      <c r="F196" s="926" t="str">
        <f t="shared" ref="F196:F259" si="69">IFERROR(VLOOKUP(C196,mermes,5,FALSE),"NA")</f>
        <v>NA</v>
      </c>
      <c r="G196" s="923" t="str">
        <f t="shared" si="48"/>
        <v>NA</v>
      </c>
      <c r="H196" s="931" t="str">
        <f>IFERROR(IF((G196*'7. Erosió de costa'!$C$86/1000000)&lt;0,"guanya sorra",G196*'7. Erosió de costa'!$C$86/1000000),"")</f>
        <v/>
      </c>
      <c r="I196" s="937" t="str">
        <f>IFERROR(IF(('A. Dades de partida'!$D$10*G196*'7. Erosió de costa'!$C$86/1000000)&lt;0,"guanya sorra",'A. Dades de partida'!$D$10*G196*'7. Erosió de costa'!$C$86/1000000),"")</f>
        <v/>
      </c>
      <c r="J196" s="931" t="str">
        <f t="shared" si="65"/>
        <v>NA</v>
      </c>
      <c r="K196" s="931"/>
      <c r="L196" s="931"/>
      <c r="M196" s="931"/>
      <c r="N196" s="931"/>
      <c r="O196" s="931"/>
      <c r="P196" s="931"/>
      <c r="Q196" s="931"/>
      <c r="R196" s="931"/>
      <c r="S196" s="931"/>
      <c r="T196" s="931"/>
      <c r="U196" s="931"/>
      <c r="V196" s="931"/>
      <c r="W196" s="931"/>
      <c r="X196" s="931"/>
      <c r="Y196" s="931"/>
      <c r="Z196" s="941" t="str">
        <f t="shared" si="49"/>
        <v/>
      </c>
      <c r="AA196" s="941" t="str">
        <f t="shared" si="50"/>
        <v/>
      </c>
      <c r="AB196" s="941" t="str">
        <f t="shared" si="51"/>
        <v/>
      </c>
      <c r="AC196" s="941" t="str">
        <f t="shared" si="52"/>
        <v/>
      </c>
      <c r="AD196" s="941" t="str">
        <f t="shared" si="53"/>
        <v/>
      </c>
      <c r="AE196" s="941" t="str">
        <f t="shared" si="54"/>
        <v/>
      </c>
      <c r="AF196" s="941" t="str">
        <f t="shared" si="55"/>
        <v/>
      </c>
      <c r="AG196" s="941" t="str">
        <f t="shared" si="56"/>
        <v/>
      </c>
      <c r="AH196" s="941" t="str">
        <f t="shared" si="57"/>
        <v/>
      </c>
      <c r="AI196" s="941" t="str">
        <f t="shared" si="58"/>
        <v/>
      </c>
      <c r="AJ196" s="941" t="str">
        <f t="shared" si="59"/>
        <v/>
      </c>
      <c r="AK196" s="941" t="str">
        <f t="shared" si="60"/>
        <v/>
      </c>
      <c r="AL196" s="941" t="str">
        <f t="shared" si="61"/>
        <v/>
      </c>
      <c r="AM196" s="941" t="str">
        <f t="shared" si="62"/>
        <v/>
      </c>
      <c r="AN196" s="941" t="str">
        <f t="shared" si="63"/>
        <v/>
      </c>
      <c r="AO196" s="941" t="str">
        <f t="shared" si="64"/>
        <v/>
      </c>
      <c r="AP196" s="895">
        <f>IF(AO196&lt;0,"No hi ha pèrdua",IFERROR(SUM(AA196:AO196)*'7. Erosió de costa'!$C$86/1000000,""))</f>
        <v>0</v>
      </c>
    </row>
    <row r="197" spans="1:42">
      <c r="A197" s="835">
        <v>8196</v>
      </c>
      <c r="B197" s="826" t="s">
        <v>1426</v>
      </c>
      <c r="C197" s="835" t="str">
        <f t="shared" si="66"/>
        <v>NA</v>
      </c>
      <c r="D197" s="923" t="str">
        <f t="shared" si="67"/>
        <v>NA</v>
      </c>
      <c r="E197" s="931" t="str">
        <f t="shared" si="68"/>
        <v>NA</v>
      </c>
      <c r="F197" s="926" t="str">
        <f t="shared" si="69"/>
        <v>NA</v>
      </c>
      <c r="G197" s="923" t="str">
        <f t="shared" ref="G197:G260" si="70">IFERROR(-1*D197*E197*F197,"NA")</f>
        <v>NA</v>
      </c>
      <c r="H197" s="931" t="str">
        <f>IFERROR(IF((G197*'7. Erosió de costa'!$C$86/1000000)&lt;0,"guanya sorra",G197*'7. Erosió de costa'!$C$86/1000000),"")</f>
        <v/>
      </c>
      <c r="I197" s="937" t="str">
        <f>IFERROR(IF(('A. Dades de partida'!$D$10*G197*'7. Erosió de costa'!$C$86/1000000)&lt;0,"guanya sorra",'A. Dades de partida'!$D$10*G197*'7. Erosió de costa'!$C$86/1000000),"")</f>
        <v/>
      </c>
      <c r="J197" s="931" t="str">
        <f t="shared" si="65"/>
        <v>NA</v>
      </c>
      <c r="K197" s="931"/>
      <c r="L197" s="931"/>
      <c r="M197" s="931"/>
      <c r="N197" s="931"/>
      <c r="O197" s="931"/>
      <c r="P197" s="931"/>
      <c r="Q197" s="931"/>
      <c r="R197" s="931"/>
      <c r="S197" s="931"/>
      <c r="T197" s="931"/>
      <c r="U197" s="931"/>
      <c r="V197" s="931"/>
      <c r="W197" s="931"/>
      <c r="X197" s="931"/>
      <c r="Y197" s="931"/>
      <c r="Z197" s="941" t="str">
        <f t="shared" si="49"/>
        <v/>
      </c>
      <c r="AA197" s="941" t="str">
        <f t="shared" si="50"/>
        <v/>
      </c>
      <c r="AB197" s="941" t="str">
        <f t="shared" si="51"/>
        <v/>
      </c>
      <c r="AC197" s="941" t="str">
        <f t="shared" si="52"/>
        <v/>
      </c>
      <c r="AD197" s="941" t="str">
        <f t="shared" si="53"/>
        <v/>
      </c>
      <c r="AE197" s="941" t="str">
        <f t="shared" si="54"/>
        <v/>
      </c>
      <c r="AF197" s="941" t="str">
        <f t="shared" si="55"/>
        <v/>
      </c>
      <c r="AG197" s="941" t="str">
        <f t="shared" si="56"/>
        <v/>
      </c>
      <c r="AH197" s="941" t="str">
        <f t="shared" si="57"/>
        <v/>
      </c>
      <c r="AI197" s="941" t="str">
        <f t="shared" si="58"/>
        <v/>
      </c>
      <c r="AJ197" s="941" t="str">
        <f t="shared" si="59"/>
        <v/>
      </c>
      <c r="AK197" s="941" t="str">
        <f t="shared" si="60"/>
        <v/>
      </c>
      <c r="AL197" s="941" t="str">
        <f t="shared" si="61"/>
        <v/>
      </c>
      <c r="AM197" s="941" t="str">
        <f t="shared" si="62"/>
        <v/>
      </c>
      <c r="AN197" s="941" t="str">
        <f t="shared" si="63"/>
        <v/>
      </c>
      <c r="AO197" s="941" t="str">
        <f t="shared" si="64"/>
        <v/>
      </c>
      <c r="AP197" s="895">
        <f>IF(AO197&lt;0,"No hi ha pèrdua",IFERROR(SUM(AA197:AO197)*'7. Erosió de costa'!$C$86/1000000,""))</f>
        <v>0</v>
      </c>
    </row>
    <row r="198" spans="1:42" ht="30">
      <c r="A198" s="835">
        <v>8197</v>
      </c>
      <c r="B198" s="826" t="s">
        <v>351</v>
      </c>
      <c r="C198" s="835">
        <f t="shared" si="66"/>
        <v>14</v>
      </c>
      <c r="D198" s="923">
        <f t="shared" si="67"/>
        <v>310</v>
      </c>
      <c r="E198" s="931">
        <f t="shared" si="68"/>
        <v>-3.81</v>
      </c>
      <c r="F198" s="926">
        <f t="shared" si="69"/>
        <v>8.807232429279674</v>
      </c>
      <c r="G198" s="923">
        <f t="shared" si="70"/>
        <v>10402.222222222223</v>
      </c>
      <c r="H198" s="931">
        <f>IFERROR(IF((G198*'7. Erosió de costa'!$C$86/1000000)&lt;0,"guanya sorra",G198*'7. Erosió de costa'!$C$86/1000000),"")</f>
        <v>0.34327333333333337</v>
      </c>
      <c r="I198" s="937">
        <f>IFERROR(IF(('A. Dades de partida'!$D$10*G198*'7. Erosió de costa'!$C$86/1000000)&lt;0,"guanya sorra",'A. Dades de partida'!$D$10*G198*'7. Erosió de costa'!$C$86/1000000),"")</f>
        <v>5.1490999999999998</v>
      </c>
      <c r="J198" s="931">
        <f>E198</f>
        <v>-3.81</v>
      </c>
      <c r="K198" s="931">
        <f>IF($J198&gt;0, $J198-($J198*'7. Erosió de costa'!D$140*'7. Erosió de costa'!$D$111),$J198+($J198*'7. Erosió de costa'!D$140*'7. Erosió de costa'!$D$111))</f>
        <v>-3.8834128959276017</v>
      </c>
      <c r="L198" s="931">
        <f>IF($J198&gt;0, $J198-($J198*'7. Erosió de costa'!E$140*'7. Erosió de costa'!$D$111),$J198+($J198*'7. Erosió de costa'!E$140*'7. Erosió de costa'!$D$111))</f>
        <v>-3.9568257918552039</v>
      </c>
      <c r="M198" s="931">
        <f>IF($J198&gt;0, $J198-($J198*'7. Erosió de costa'!F$140*'7. Erosió de costa'!$D$111),$J198+($J198*'7. Erosió de costa'!F$140*'7. Erosió de costa'!$D$111))</f>
        <v>-4.0302386877828056</v>
      </c>
      <c r="N198" s="931">
        <f>IF($J198&gt;0, $J198-($J198*'7. Erosió de costa'!G$140*'7. Erosió de costa'!$D$111),$J198+($J198*'7. Erosió de costa'!G$140*'7. Erosió de costa'!$D$111))</f>
        <v>-4.1036515837104073</v>
      </c>
      <c r="O198" s="931">
        <f>IF($J198&gt;0, $J198-($J198*'7. Erosió de costa'!H$140*'7. Erosió de costa'!$D$111),$J198+($J198*'7. Erosió de costa'!H$140*'7. Erosió de costa'!$D$111))</f>
        <v>-4.177064479638009</v>
      </c>
      <c r="P198" s="931">
        <f>IF($J198&gt;0, $J198-($J198*'7. Erosió de costa'!I$140*'7. Erosió de costa'!$D$111),$J198+($J198*'7. Erosió de costa'!I$140*'7. Erosió de costa'!$D$111))</f>
        <v>-4.2504773755656107</v>
      </c>
      <c r="Q198" s="931">
        <f>IF($J198&gt;0, $J198-($J198*'7. Erosió de costa'!J$140*'7. Erosió de costa'!$D$111),$J198+($J198*'7. Erosió de costa'!J$140*'7. Erosió de costa'!$D$111))</f>
        <v>-4.3238902714932124</v>
      </c>
      <c r="R198" s="931">
        <f>IF($J198&gt;0, $J198-($J198*'7. Erosió de costa'!K$140*'7. Erosió de costa'!$D$111),$J198+($J198*'7. Erosió de costa'!K$140*'7. Erosió de costa'!$D$111))</f>
        <v>-4.3973031674208141</v>
      </c>
      <c r="S198" s="931">
        <f>IF($J198&gt;0, $J198-($J198*'7. Erosió de costa'!L$140*'7. Erosió de costa'!$D$111),$J198+($J198*'7. Erosió de costa'!L$140*'7. Erosió de costa'!$D$111))</f>
        <v>-4.4707160633484166</v>
      </c>
      <c r="T198" s="931">
        <f>IF($J198&gt;0, $J198-($J198*'7. Erosió de costa'!M$140*'7. Erosió de costa'!$D$111),$J198+($J198*'7. Erosió de costa'!M$140*'7. Erosió de costa'!$D$111))</f>
        <v>-4.5441289592760183</v>
      </c>
      <c r="U198" s="931">
        <f>IF($J198&gt;0, $J198-($J198*'7. Erosió de costa'!N$140*'7. Erosió de costa'!$D$111),$J198+($J198*'7. Erosió de costa'!N$140*'7. Erosió de costa'!$D$111))</f>
        <v>-4.61754185520362</v>
      </c>
      <c r="V198" s="931">
        <f>IF($J198&gt;0, $J198-($J198*'7. Erosió de costa'!O$140*'7. Erosió de costa'!$D$111),$J198+($J198*'7. Erosió de costa'!O$140*'7. Erosió de costa'!$D$111))</f>
        <v>-4.6909547511312217</v>
      </c>
      <c r="W198" s="931">
        <f>IF($J198&gt;0, $J198-($J198*'7. Erosió de costa'!P$140*'7. Erosió de costa'!$D$111),$J198+($J198*'7. Erosió de costa'!P$140*'7. Erosió de costa'!$D$111))</f>
        <v>-4.7643676470588234</v>
      </c>
      <c r="X198" s="931">
        <f>IF($J198&gt;0, $J198-($J198*'7. Erosió de costa'!Q$140*'7. Erosió de costa'!$D$111),$J198+($J198*'7. Erosió de costa'!Q$140*'7. Erosió de costa'!$D$111))</f>
        <v>-4.8377805429864251</v>
      </c>
      <c r="Y198" s="931">
        <f>IF($J198&gt;0, $J198-($J198*'7. Erosió de costa'!R$140*'7. Erosió de costa'!$D$111),$J198+($J198*'7. Erosió de costa'!R$140*'7. Erosió de costa'!$D$111))</f>
        <v>-4.9111934389140277</v>
      </c>
      <c r="Z198" s="941">
        <f t="shared" ref="Z198:Z261" si="71">IFERROR(-1*J198*$D198*$F198,"")</f>
        <v>10402.222222222223</v>
      </c>
      <c r="AA198" s="941">
        <f t="shared" ref="AA198:AA261" si="72">IFERROR(-1*K198*$D198*$F198,"")</f>
        <v>10602.657197921904</v>
      </c>
      <c r="AB198" s="941">
        <f t="shared" ref="AB198:AB261" si="73">IFERROR(-1*L198*$D198*$F198,"")</f>
        <v>10803.092173621586</v>
      </c>
      <c r="AC198" s="941">
        <f t="shared" ref="AC198:AC261" si="74">IFERROR(-1*M198*$D198*$F198,"")</f>
        <v>11003.527149321269</v>
      </c>
      <c r="AD198" s="941">
        <f t="shared" ref="AD198:AD261" si="75">IFERROR(-1*N198*$D198*$F198,"")</f>
        <v>11203.962125020949</v>
      </c>
      <c r="AE198" s="941">
        <f t="shared" ref="AE198:AE261" si="76">IFERROR(-1*O198*$D198*$F198,"")</f>
        <v>11404.397100720631</v>
      </c>
      <c r="AF198" s="941">
        <f t="shared" ref="AF198:AF261" si="77">IFERROR(-1*P198*$D198*$F198,"")</f>
        <v>11604.832076420311</v>
      </c>
      <c r="AG198" s="941">
        <f t="shared" ref="AG198:AG261" si="78">IFERROR(-1*Q198*$D198*$F198,"")</f>
        <v>11805.267052119994</v>
      </c>
      <c r="AH198" s="941">
        <f t="shared" ref="AH198:AH261" si="79">IFERROR(-1*R198*$D198*$F198,"")</f>
        <v>12005.702027819676</v>
      </c>
      <c r="AI198" s="941">
        <f t="shared" ref="AI198:AI261" si="80">IFERROR(-1*S198*$D198*$F198,"")</f>
        <v>12206.137003519358</v>
      </c>
      <c r="AJ198" s="941">
        <f t="shared" ref="AJ198:AJ261" si="81">IFERROR(-1*T198*$D198*$F198,"")</f>
        <v>12406.571979219039</v>
      </c>
      <c r="AK198" s="941">
        <f t="shared" ref="AK198:AK261" si="82">IFERROR(-1*U198*$D198*$F198,"")</f>
        <v>12607.006954918721</v>
      </c>
      <c r="AL198" s="941">
        <f t="shared" ref="AL198:AL261" si="83">IFERROR(-1*V198*$D198*$F198,"")</f>
        <v>12807.441930618403</v>
      </c>
      <c r="AM198" s="941">
        <f t="shared" ref="AM198:AM261" si="84">IFERROR(-1*W198*$D198*$F198,"")</f>
        <v>13007.876906318084</v>
      </c>
      <c r="AN198" s="941">
        <f t="shared" ref="AN198:AN261" si="85">IFERROR(-1*X198*$D198*$F198,"")</f>
        <v>13208.311882017764</v>
      </c>
      <c r="AO198" s="941">
        <f t="shared" ref="AO198:AO261" si="86">IFERROR(-1*Y198*$D198*$F198,"")</f>
        <v>13408.74685771745</v>
      </c>
      <c r="AP198" s="895">
        <f>IF(AO198&lt;0,"No hi ha pèrdua",IFERROR(SUM(AA198:AO198)*'7. Erosió de costa'!$C$86/1000000,""))</f>
        <v>5.9428225037707394</v>
      </c>
    </row>
    <row r="199" spans="1:42">
      <c r="A199" s="835">
        <v>8198</v>
      </c>
      <c r="B199" s="826" t="s">
        <v>1429</v>
      </c>
      <c r="C199" s="835" t="str">
        <f t="shared" si="66"/>
        <v>NA</v>
      </c>
      <c r="D199" s="923" t="str">
        <f t="shared" si="67"/>
        <v>NA</v>
      </c>
      <c r="E199" s="931" t="str">
        <f t="shared" si="68"/>
        <v>NA</v>
      </c>
      <c r="F199" s="926" t="str">
        <f t="shared" si="69"/>
        <v>NA</v>
      </c>
      <c r="G199" s="923" t="str">
        <f t="shared" si="70"/>
        <v>NA</v>
      </c>
      <c r="H199" s="931" t="str">
        <f>IFERROR(IF((G199*'7. Erosió de costa'!$C$86/1000000)&lt;0,"guanya sorra",G199*'7. Erosió de costa'!$C$86/1000000),"")</f>
        <v/>
      </c>
      <c r="I199" s="937" t="str">
        <f>IFERROR(IF(('A. Dades de partida'!$D$10*G199*'7. Erosió de costa'!$C$86/1000000)&lt;0,"guanya sorra",'A. Dades de partida'!$D$10*G199*'7. Erosió de costa'!$C$86/1000000),"")</f>
        <v/>
      </c>
      <c r="J199" s="931" t="str">
        <f t="shared" si="65"/>
        <v>NA</v>
      </c>
      <c r="K199" s="931"/>
      <c r="L199" s="931"/>
      <c r="M199" s="931"/>
      <c r="N199" s="931"/>
      <c r="O199" s="931"/>
      <c r="P199" s="931"/>
      <c r="Q199" s="931"/>
      <c r="R199" s="931"/>
      <c r="S199" s="931"/>
      <c r="T199" s="931"/>
      <c r="U199" s="931"/>
      <c r="V199" s="931"/>
      <c r="W199" s="931"/>
      <c r="X199" s="931"/>
      <c r="Y199" s="931"/>
      <c r="Z199" s="941" t="str">
        <f t="shared" si="71"/>
        <v/>
      </c>
      <c r="AA199" s="941" t="str">
        <f t="shared" si="72"/>
        <v/>
      </c>
      <c r="AB199" s="941" t="str">
        <f t="shared" si="73"/>
        <v/>
      </c>
      <c r="AC199" s="941" t="str">
        <f t="shared" si="74"/>
        <v/>
      </c>
      <c r="AD199" s="941" t="str">
        <f t="shared" si="75"/>
        <v/>
      </c>
      <c r="AE199" s="941" t="str">
        <f t="shared" si="76"/>
        <v/>
      </c>
      <c r="AF199" s="941" t="str">
        <f t="shared" si="77"/>
        <v/>
      </c>
      <c r="AG199" s="941" t="str">
        <f t="shared" si="78"/>
        <v/>
      </c>
      <c r="AH199" s="941" t="str">
        <f t="shared" si="79"/>
        <v/>
      </c>
      <c r="AI199" s="941" t="str">
        <f t="shared" si="80"/>
        <v/>
      </c>
      <c r="AJ199" s="941" t="str">
        <f t="shared" si="81"/>
        <v/>
      </c>
      <c r="AK199" s="941" t="str">
        <f t="shared" si="82"/>
        <v/>
      </c>
      <c r="AL199" s="941" t="str">
        <f t="shared" si="83"/>
        <v/>
      </c>
      <c r="AM199" s="941" t="str">
        <f t="shared" si="84"/>
        <v/>
      </c>
      <c r="AN199" s="941" t="str">
        <f t="shared" si="85"/>
        <v/>
      </c>
      <c r="AO199" s="941" t="str">
        <f t="shared" si="86"/>
        <v/>
      </c>
      <c r="AP199" s="895">
        <f>IF(AO199&lt;0,"No hi ha pèrdua",IFERROR(SUM(AA199:AO199)*'7. Erosió de costa'!$C$86/1000000,""))</f>
        <v>0</v>
      </c>
    </row>
    <row r="200" spans="1:42">
      <c r="A200" s="835">
        <v>8199</v>
      </c>
      <c r="B200" s="826" t="s">
        <v>1431</v>
      </c>
      <c r="C200" s="835" t="str">
        <f t="shared" si="66"/>
        <v>NA</v>
      </c>
      <c r="D200" s="923" t="str">
        <f t="shared" si="67"/>
        <v>NA</v>
      </c>
      <c r="E200" s="931" t="str">
        <f t="shared" si="68"/>
        <v>NA</v>
      </c>
      <c r="F200" s="926" t="str">
        <f t="shared" si="69"/>
        <v>NA</v>
      </c>
      <c r="G200" s="923" t="str">
        <f t="shared" si="70"/>
        <v>NA</v>
      </c>
      <c r="H200" s="931" t="str">
        <f>IFERROR(IF((G200*'7. Erosió de costa'!$C$86/1000000)&lt;0,"guanya sorra",G200*'7. Erosió de costa'!$C$86/1000000),"")</f>
        <v/>
      </c>
      <c r="I200" s="937" t="str">
        <f>IFERROR(IF(('A. Dades de partida'!$D$10*G200*'7. Erosió de costa'!$C$86/1000000)&lt;0,"guanya sorra",'A. Dades de partida'!$D$10*G200*'7. Erosió de costa'!$C$86/1000000),"")</f>
        <v/>
      </c>
      <c r="J200" s="931" t="str">
        <f t="shared" si="65"/>
        <v>NA</v>
      </c>
      <c r="K200" s="931"/>
      <c r="L200" s="931"/>
      <c r="M200" s="931"/>
      <c r="N200" s="931"/>
      <c r="O200" s="931"/>
      <c r="P200" s="931"/>
      <c r="Q200" s="931"/>
      <c r="R200" s="931"/>
      <c r="S200" s="931"/>
      <c r="T200" s="931"/>
      <c r="U200" s="931"/>
      <c r="V200" s="931"/>
      <c r="W200" s="931"/>
      <c r="X200" s="931"/>
      <c r="Y200" s="931"/>
      <c r="Z200" s="941" t="str">
        <f t="shared" si="71"/>
        <v/>
      </c>
      <c r="AA200" s="941" t="str">
        <f t="shared" si="72"/>
        <v/>
      </c>
      <c r="AB200" s="941" t="str">
        <f t="shared" si="73"/>
        <v/>
      </c>
      <c r="AC200" s="941" t="str">
        <f t="shared" si="74"/>
        <v/>
      </c>
      <c r="AD200" s="941" t="str">
        <f t="shared" si="75"/>
        <v/>
      </c>
      <c r="AE200" s="941" t="str">
        <f t="shared" si="76"/>
        <v/>
      </c>
      <c r="AF200" s="941" t="str">
        <f t="shared" si="77"/>
        <v/>
      </c>
      <c r="AG200" s="941" t="str">
        <f t="shared" si="78"/>
        <v/>
      </c>
      <c r="AH200" s="941" t="str">
        <f t="shared" si="79"/>
        <v/>
      </c>
      <c r="AI200" s="941" t="str">
        <f t="shared" si="80"/>
        <v/>
      </c>
      <c r="AJ200" s="941" t="str">
        <f t="shared" si="81"/>
        <v/>
      </c>
      <c r="AK200" s="941" t="str">
        <f t="shared" si="82"/>
        <v/>
      </c>
      <c r="AL200" s="941" t="str">
        <f t="shared" si="83"/>
        <v/>
      </c>
      <c r="AM200" s="941" t="str">
        <f t="shared" si="84"/>
        <v/>
      </c>
      <c r="AN200" s="941" t="str">
        <f t="shared" si="85"/>
        <v/>
      </c>
      <c r="AO200" s="941" t="str">
        <f t="shared" si="86"/>
        <v/>
      </c>
      <c r="AP200" s="895">
        <f>IF(AO200&lt;0,"No hi ha pèrdua",IFERROR(SUM(AA200:AO200)*'7. Erosió de costa'!$C$86/1000000,""))</f>
        <v>0</v>
      </c>
    </row>
    <row r="201" spans="1:42">
      <c r="A201" s="835">
        <v>8200</v>
      </c>
      <c r="B201" s="826" t="s">
        <v>1094</v>
      </c>
      <c r="C201" s="835" t="str">
        <f t="shared" si="66"/>
        <v>NA</v>
      </c>
      <c r="D201" s="923" t="str">
        <f t="shared" si="67"/>
        <v>NA</v>
      </c>
      <c r="E201" s="931" t="str">
        <f t="shared" si="68"/>
        <v>NA</v>
      </c>
      <c r="F201" s="926" t="str">
        <f t="shared" si="69"/>
        <v>NA</v>
      </c>
      <c r="G201" s="923" t="str">
        <f t="shared" si="70"/>
        <v>NA</v>
      </c>
      <c r="H201" s="931" t="str">
        <f>IFERROR(IF((G201*'7. Erosió de costa'!$C$86/1000000)&lt;0,"guanya sorra",G201*'7. Erosió de costa'!$C$86/1000000),"")</f>
        <v/>
      </c>
      <c r="I201" s="937" t="str">
        <f>IFERROR(IF(('A. Dades de partida'!$D$10*G201*'7. Erosió de costa'!$C$86/1000000)&lt;0,"guanya sorra",'A. Dades de partida'!$D$10*G201*'7. Erosió de costa'!$C$86/1000000),"")</f>
        <v/>
      </c>
      <c r="J201" s="931" t="str">
        <f t="shared" si="65"/>
        <v>NA</v>
      </c>
      <c r="K201" s="931"/>
      <c r="L201" s="931"/>
      <c r="M201" s="931"/>
      <c r="N201" s="931"/>
      <c r="O201" s="931"/>
      <c r="P201" s="931"/>
      <c r="Q201" s="931"/>
      <c r="R201" s="931"/>
      <c r="S201" s="931"/>
      <c r="T201" s="931"/>
      <c r="U201" s="931"/>
      <c r="V201" s="931"/>
      <c r="W201" s="931"/>
      <c r="X201" s="931"/>
      <c r="Y201" s="931"/>
      <c r="Z201" s="941" t="str">
        <f t="shared" si="71"/>
        <v/>
      </c>
      <c r="AA201" s="941" t="str">
        <f t="shared" si="72"/>
        <v/>
      </c>
      <c r="AB201" s="941" t="str">
        <f t="shared" si="73"/>
        <v/>
      </c>
      <c r="AC201" s="941" t="str">
        <f t="shared" si="74"/>
        <v/>
      </c>
      <c r="AD201" s="941" t="str">
        <f t="shared" si="75"/>
        <v/>
      </c>
      <c r="AE201" s="941" t="str">
        <f t="shared" si="76"/>
        <v/>
      </c>
      <c r="AF201" s="941" t="str">
        <f t="shared" si="77"/>
        <v/>
      </c>
      <c r="AG201" s="941" t="str">
        <f t="shared" si="78"/>
        <v/>
      </c>
      <c r="AH201" s="941" t="str">
        <f t="shared" si="79"/>
        <v/>
      </c>
      <c r="AI201" s="941" t="str">
        <f t="shared" si="80"/>
        <v/>
      </c>
      <c r="AJ201" s="941" t="str">
        <f t="shared" si="81"/>
        <v/>
      </c>
      <c r="AK201" s="941" t="str">
        <f t="shared" si="82"/>
        <v/>
      </c>
      <c r="AL201" s="941" t="str">
        <f t="shared" si="83"/>
        <v/>
      </c>
      <c r="AM201" s="941" t="str">
        <f t="shared" si="84"/>
        <v/>
      </c>
      <c r="AN201" s="941" t="str">
        <f t="shared" si="85"/>
        <v/>
      </c>
      <c r="AO201" s="941" t="str">
        <f t="shared" si="86"/>
        <v/>
      </c>
      <c r="AP201" s="895">
        <f>IF(AO201&lt;0,"No hi ha pèrdua",IFERROR(SUM(AA201:AO201)*'7. Erosió de costa'!$C$86/1000000,""))</f>
        <v>0</v>
      </c>
    </row>
    <row r="202" spans="1:42">
      <c r="A202" s="835">
        <v>8201</v>
      </c>
      <c r="B202" s="826" t="s">
        <v>1435</v>
      </c>
      <c r="C202" s="835" t="str">
        <f t="shared" si="66"/>
        <v>NA</v>
      </c>
      <c r="D202" s="923" t="str">
        <f t="shared" si="67"/>
        <v>NA</v>
      </c>
      <c r="E202" s="931" t="str">
        <f t="shared" si="68"/>
        <v>NA</v>
      </c>
      <c r="F202" s="926" t="str">
        <f t="shared" si="69"/>
        <v>NA</v>
      </c>
      <c r="G202" s="923" t="str">
        <f t="shared" si="70"/>
        <v>NA</v>
      </c>
      <c r="H202" s="931" t="str">
        <f>IFERROR(IF((G202*'7. Erosió de costa'!$C$86/1000000)&lt;0,"guanya sorra",G202*'7. Erosió de costa'!$C$86/1000000),"")</f>
        <v/>
      </c>
      <c r="I202" s="937" t="str">
        <f>IFERROR(IF(('A. Dades de partida'!$D$10*G202*'7. Erosió de costa'!$C$86/1000000)&lt;0,"guanya sorra",'A. Dades de partida'!$D$10*G202*'7. Erosió de costa'!$C$86/1000000),"")</f>
        <v/>
      </c>
      <c r="J202" s="931" t="str">
        <f t="shared" si="65"/>
        <v>NA</v>
      </c>
      <c r="K202" s="931"/>
      <c r="L202" s="931"/>
      <c r="M202" s="931"/>
      <c r="N202" s="931"/>
      <c r="O202" s="931"/>
      <c r="P202" s="931"/>
      <c r="Q202" s="931"/>
      <c r="R202" s="931"/>
      <c r="S202" s="931"/>
      <c r="T202" s="931"/>
      <c r="U202" s="931"/>
      <c r="V202" s="931"/>
      <c r="W202" s="931"/>
      <c r="X202" s="931"/>
      <c r="Y202" s="931"/>
      <c r="Z202" s="941" t="str">
        <f t="shared" si="71"/>
        <v/>
      </c>
      <c r="AA202" s="941" t="str">
        <f t="shared" si="72"/>
        <v/>
      </c>
      <c r="AB202" s="941" t="str">
        <f t="shared" si="73"/>
        <v/>
      </c>
      <c r="AC202" s="941" t="str">
        <f t="shared" si="74"/>
        <v/>
      </c>
      <c r="AD202" s="941" t="str">
        <f t="shared" si="75"/>
        <v/>
      </c>
      <c r="AE202" s="941" t="str">
        <f t="shared" si="76"/>
        <v/>
      </c>
      <c r="AF202" s="941" t="str">
        <f t="shared" si="77"/>
        <v/>
      </c>
      <c r="AG202" s="941" t="str">
        <f t="shared" si="78"/>
        <v/>
      </c>
      <c r="AH202" s="941" t="str">
        <f t="shared" si="79"/>
        <v/>
      </c>
      <c r="AI202" s="941" t="str">
        <f t="shared" si="80"/>
        <v/>
      </c>
      <c r="AJ202" s="941" t="str">
        <f t="shared" si="81"/>
        <v/>
      </c>
      <c r="AK202" s="941" t="str">
        <f t="shared" si="82"/>
        <v/>
      </c>
      <c r="AL202" s="941" t="str">
        <f t="shared" si="83"/>
        <v/>
      </c>
      <c r="AM202" s="941" t="str">
        <f t="shared" si="84"/>
        <v/>
      </c>
      <c r="AN202" s="941" t="str">
        <f t="shared" si="85"/>
        <v/>
      </c>
      <c r="AO202" s="941" t="str">
        <f t="shared" si="86"/>
        <v/>
      </c>
      <c r="AP202" s="895">
        <f>IF(AO202&lt;0,"No hi ha pèrdua",IFERROR(SUM(AA202:AO202)*'7. Erosió de costa'!$C$86/1000000,""))</f>
        <v>0</v>
      </c>
    </row>
    <row r="203" spans="1:42">
      <c r="A203" s="835">
        <v>8202</v>
      </c>
      <c r="B203" s="826" t="s">
        <v>1437</v>
      </c>
      <c r="C203" s="835" t="str">
        <f t="shared" si="66"/>
        <v>NA</v>
      </c>
      <c r="D203" s="923" t="str">
        <f t="shared" si="67"/>
        <v>NA</v>
      </c>
      <c r="E203" s="931" t="str">
        <f t="shared" si="68"/>
        <v>NA</v>
      </c>
      <c r="F203" s="926" t="str">
        <f t="shared" si="69"/>
        <v>NA</v>
      </c>
      <c r="G203" s="923" t="str">
        <f t="shared" si="70"/>
        <v>NA</v>
      </c>
      <c r="H203" s="931" t="str">
        <f>IFERROR(IF((G203*'7. Erosió de costa'!$C$86/1000000)&lt;0,"guanya sorra",G203*'7. Erosió de costa'!$C$86/1000000),"")</f>
        <v/>
      </c>
      <c r="I203" s="937" t="str">
        <f>IFERROR(IF(('A. Dades de partida'!$D$10*G203*'7. Erosió de costa'!$C$86/1000000)&lt;0,"guanya sorra",'A. Dades de partida'!$D$10*G203*'7. Erosió de costa'!$C$86/1000000),"")</f>
        <v/>
      </c>
      <c r="J203" s="931" t="str">
        <f t="shared" si="65"/>
        <v>NA</v>
      </c>
      <c r="K203" s="931"/>
      <c r="L203" s="931"/>
      <c r="M203" s="931"/>
      <c r="N203" s="931"/>
      <c r="O203" s="931"/>
      <c r="P203" s="931"/>
      <c r="Q203" s="931"/>
      <c r="R203" s="931"/>
      <c r="S203" s="931"/>
      <c r="T203" s="931"/>
      <c r="U203" s="931"/>
      <c r="V203" s="931"/>
      <c r="W203" s="931"/>
      <c r="X203" s="931"/>
      <c r="Y203" s="931"/>
      <c r="Z203" s="941" t="str">
        <f t="shared" si="71"/>
        <v/>
      </c>
      <c r="AA203" s="941" t="str">
        <f t="shared" si="72"/>
        <v/>
      </c>
      <c r="AB203" s="941" t="str">
        <f t="shared" si="73"/>
        <v/>
      </c>
      <c r="AC203" s="941" t="str">
        <f t="shared" si="74"/>
        <v/>
      </c>
      <c r="AD203" s="941" t="str">
        <f t="shared" si="75"/>
        <v/>
      </c>
      <c r="AE203" s="941" t="str">
        <f t="shared" si="76"/>
        <v/>
      </c>
      <c r="AF203" s="941" t="str">
        <f t="shared" si="77"/>
        <v/>
      </c>
      <c r="AG203" s="941" t="str">
        <f t="shared" si="78"/>
        <v/>
      </c>
      <c r="AH203" s="941" t="str">
        <f t="shared" si="79"/>
        <v/>
      </c>
      <c r="AI203" s="941" t="str">
        <f t="shared" si="80"/>
        <v/>
      </c>
      <c r="AJ203" s="941" t="str">
        <f t="shared" si="81"/>
        <v/>
      </c>
      <c r="AK203" s="941" t="str">
        <f t="shared" si="82"/>
        <v/>
      </c>
      <c r="AL203" s="941" t="str">
        <f t="shared" si="83"/>
        <v/>
      </c>
      <c r="AM203" s="941" t="str">
        <f t="shared" si="84"/>
        <v/>
      </c>
      <c r="AN203" s="941" t="str">
        <f t="shared" si="85"/>
        <v/>
      </c>
      <c r="AO203" s="941" t="str">
        <f t="shared" si="86"/>
        <v/>
      </c>
      <c r="AP203" s="895">
        <f>IF(AO203&lt;0,"No hi ha pèrdua",IFERROR(SUM(AA203:AO203)*'7. Erosió de costa'!$C$86/1000000,""))</f>
        <v>0</v>
      </c>
    </row>
    <row r="204" spans="1:42">
      <c r="A204" s="835">
        <v>8203</v>
      </c>
      <c r="B204" s="826" t="s">
        <v>1443</v>
      </c>
      <c r="C204" s="835" t="str">
        <f t="shared" si="66"/>
        <v>NA</v>
      </c>
      <c r="D204" s="923" t="str">
        <f t="shared" si="67"/>
        <v>NA</v>
      </c>
      <c r="E204" s="931" t="str">
        <f t="shared" si="68"/>
        <v>NA</v>
      </c>
      <c r="F204" s="926" t="str">
        <f t="shared" si="69"/>
        <v>NA</v>
      </c>
      <c r="G204" s="923" t="str">
        <f t="shared" si="70"/>
        <v>NA</v>
      </c>
      <c r="H204" s="931" t="str">
        <f>IFERROR(IF((G204*'7. Erosió de costa'!$C$86/1000000)&lt;0,"guanya sorra",G204*'7. Erosió de costa'!$C$86/1000000),"")</f>
        <v/>
      </c>
      <c r="I204" s="937" t="str">
        <f>IFERROR(IF(('A. Dades de partida'!$D$10*G204*'7. Erosió de costa'!$C$86/1000000)&lt;0,"guanya sorra",'A. Dades de partida'!$D$10*G204*'7. Erosió de costa'!$C$86/1000000),"")</f>
        <v/>
      </c>
      <c r="J204" s="931" t="str">
        <f t="shared" si="65"/>
        <v>NA</v>
      </c>
      <c r="K204" s="931"/>
      <c r="L204" s="931"/>
      <c r="M204" s="931"/>
      <c r="N204" s="931"/>
      <c r="O204" s="931"/>
      <c r="P204" s="931"/>
      <c r="Q204" s="931"/>
      <c r="R204" s="931"/>
      <c r="S204" s="931"/>
      <c r="T204" s="931"/>
      <c r="U204" s="931"/>
      <c r="V204" s="931"/>
      <c r="W204" s="931"/>
      <c r="X204" s="931"/>
      <c r="Y204" s="931"/>
      <c r="Z204" s="941" t="str">
        <f t="shared" si="71"/>
        <v/>
      </c>
      <c r="AA204" s="941" t="str">
        <f t="shared" si="72"/>
        <v/>
      </c>
      <c r="AB204" s="941" t="str">
        <f t="shared" si="73"/>
        <v/>
      </c>
      <c r="AC204" s="941" t="str">
        <f t="shared" si="74"/>
        <v/>
      </c>
      <c r="AD204" s="941" t="str">
        <f t="shared" si="75"/>
        <v/>
      </c>
      <c r="AE204" s="941" t="str">
        <f t="shared" si="76"/>
        <v/>
      </c>
      <c r="AF204" s="941" t="str">
        <f t="shared" si="77"/>
        <v/>
      </c>
      <c r="AG204" s="941" t="str">
        <f t="shared" si="78"/>
        <v/>
      </c>
      <c r="AH204" s="941" t="str">
        <f t="shared" si="79"/>
        <v/>
      </c>
      <c r="AI204" s="941" t="str">
        <f t="shared" si="80"/>
        <v/>
      </c>
      <c r="AJ204" s="941" t="str">
        <f t="shared" si="81"/>
        <v/>
      </c>
      <c r="AK204" s="941" t="str">
        <f t="shared" si="82"/>
        <v/>
      </c>
      <c r="AL204" s="941" t="str">
        <f t="shared" si="83"/>
        <v/>
      </c>
      <c r="AM204" s="941" t="str">
        <f t="shared" si="84"/>
        <v/>
      </c>
      <c r="AN204" s="941" t="str">
        <f t="shared" si="85"/>
        <v/>
      </c>
      <c r="AO204" s="941" t="str">
        <f t="shared" si="86"/>
        <v/>
      </c>
      <c r="AP204" s="895">
        <f>IF(AO204&lt;0,"No hi ha pèrdua",IFERROR(SUM(AA204:AO204)*'7. Erosió de costa'!$C$86/1000000,""))</f>
        <v>0</v>
      </c>
    </row>
    <row r="205" spans="1:42">
      <c r="A205" s="835">
        <v>8204</v>
      </c>
      <c r="B205" s="826" t="s">
        <v>1446</v>
      </c>
      <c r="C205" s="835" t="str">
        <f t="shared" si="66"/>
        <v>NA</v>
      </c>
      <c r="D205" s="923" t="str">
        <f t="shared" si="67"/>
        <v>NA</v>
      </c>
      <c r="E205" s="931" t="str">
        <f t="shared" si="68"/>
        <v>NA</v>
      </c>
      <c r="F205" s="926" t="str">
        <f t="shared" si="69"/>
        <v>NA</v>
      </c>
      <c r="G205" s="923" t="str">
        <f t="shared" si="70"/>
        <v>NA</v>
      </c>
      <c r="H205" s="931" t="str">
        <f>IFERROR(IF((G205*'7. Erosió de costa'!$C$86/1000000)&lt;0,"guanya sorra",G205*'7. Erosió de costa'!$C$86/1000000),"")</f>
        <v/>
      </c>
      <c r="I205" s="937" t="str">
        <f>IFERROR(IF(('A. Dades de partida'!$D$10*G205*'7. Erosió de costa'!$C$86/1000000)&lt;0,"guanya sorra",'A. Dades de partida'!$D$10*G205*'7. Erosió de costa'!$C$86/1000000),"")</f>
        <v/>
      </c>
      <c r="J205" s="931" t="str">
        <f t="shared" si="65"/>
        <v>NA</v>
      </c>
      <c r="K205" s="931"/>
      <c r="L205" s="931"/>
      <c r="M205" s="931"/>
      <c r="N205" s="931"/>
      <c r="O205" s="931"/>
      <c r="P205" s="931"/>
      <c r="Q205" s="931"/>
      <c r="R205" s="931"/>
      <c r="S205" s="931"/>
      <c r="T205" s="931"/>
      <c r="U205" s="931"/>
      <c r="V205" s="931"/>
      <c r="W205" s="931"/>
      <c r="X205" s="931"/>
      <c r="Y205" s="931"/>
      <c r="Z205" s="941" t="str">
        <f t="shared" si="71"/>
        <v/>
      </c>
      <c r="AA205" s="941" t="str">
        <f t="shared" si="72"/>
        <v/>
      </c>
      <c r="AB205" s="941" t="str">
        <f t="shared" si="73"/>
        <v/>
      </c>
      <c r="AC205" s="941" t="str">
        <f t="shared" si="74"/>
        <v/>
      </c>
      <c r="AD205" s="941" t="str">
        <f t="shared" si="75"/>
        <v/>
      </c>
      <c r="AE205" s="941" t="str">
        <f t="shared" si="76"/>
        <v/>
      </c>
      <c r="AF205" s="941" t="str">
        <f t="shared" si="77"/>
        <v/>
      </c>
      <c r="AG205" s="941" t="str">
        <f t="shared" si="78"/>
        <v/>
      </c>
      <c r="AH205" s="941" t="str">
        <f t="shared" si="79"/>
        <v/>
      </c>
      <c r="AI205" s="941" t="str">
        <f t="shared" si="80"/>
        <v/>
      </c>
      <c r="AJ205" s="941" t="str">
        <f t="shared" si="81"/>
        <v/>
      </c>
      <c r="AK205" s="941" t="str">
        <f t="shared" si="82"/>
        <v/>
      </c>
      <c r="AL205" s="941" t="str">
        <f t="shared" si="83"/>
        <v/>
      </c>
      <c r="AM205" s="941" t="str">
        <f t="shared" si="84"/>
        <v/>
      </c>
      <c r="AN205" s="941" t="str">
        <f t="shared" si="85"/>
        <v/>
      </c>
      <c r="AO205" s="941" t="str">
        <f t="shared" si="86"/>
        <v/>
      </c>
      <c r="AP205" s="895">
        <f>IF(AO205&lt;0,"No hi ha pèrdua",IFERROR(SUM(AA205:AO205)*'7. Erosió de costa'!$C$86/1000000,""))</f>
        <v>0</v>
      </c>
    </row>
    <row r="206" spans="1:42">
      <c r="A206" s="835">
        <v>8205</v>
      </c>
      <c r="B206" s="826" t="s">
        <v>1450</v>
      </c>
      <c r="C206" s="835" t="str">
        <f t="shared" si="66"/>
        <v>NA</v>
      </c>
      <c r="D206" s="923" t="str">
        <f t="shared" si="67"/>
        <v>NA</v>
      </c>
      <c r="E206" s="931" t="str">
        <f t="shared" si="68"/>
        <v>NA</v>
      </c>
      <c r="F206" s="926" t="str">
        <f t="shared" si="69"/>
        <v>NA</v>
      </c>
      <c r="G206" s="923" t="str">
        <f t="shared" si="70"/>
        <v>NA</v>
      </c>
      <c r="H206" s="931" t="str">
        <f>IFERROR(IF((G206*'7. Erosió de costa'!$C$86/1000000)&lt;0,"guanya sorra",G206*'7. Erosió de costa'!$C$86/1000000),"")</f>
        <v/>
      </c>
      <c r="I206" s="937" t="str">
        <f>IFERROR(IF(('A. Dades de partida'!$D$10*G206*'7. Erosió de costa'!$C$86/1000000)&lt;0,"guanya sorra",'A. Dades de partida'!$D$10*G206*'7. Erosió de costa'!$C$86/1000000),"")</f>
        <v/>
      </c>
      <c r="J206" s="931" t="str">
        <f t="shared" si="65"/>
        <v>NA</v>
      </c>
      <c r="K206" s="931"/>
      <c r="L206" s="931"/>
      <c r="M206" s="931"/>
      <c r="N206" s="931"/>
      <c r="O206" s="931"/>
      <c r="P206" s="931"/>
      <c r="Q206" s="931"/>
      <c r="R206" s="931"/>
      <c r="S206" s="931"/>
      <c r="T206" s="931"/>
      <c r="U206" s="931"/>
      <c r="V206" s="931"/>
      <c r="W206" s="931"/>
      <c r="X206" s="931"/>
      <c r="Y206" s="931"/>
      <c r="Z206" s="941" t="str">
        <f t="shared" si="71"/>
        <v/>
      </c>
      <c r="AA206" s="941" t="str">
        <f t="shared" si="72"/>
        <v/>
      </c>
      <c r="AB206" s="941" t="str">
        <f t="shared" si="73"/>
        <v/>
      </c>
      <c r="AC206" s="941" t="str">
        <f t="shared" si="74"/>
        <v/>
      </c>
      <c r="AD206" s="941" t="str">
        <f t="shared" si="75"/>
        <v/>
      </c>
      <c r="AE206" s="941" t="str">
        <f t="shared" si="76"/>
        <v/>
      </c>
      <c r="AF206" s="941" t="str">
        <f t="shared" si="77"/>
        <v/>
      </c>
      <c r="AG206" s="941" t="str">
        <f t="shared" si="78"/>
        <v/>
      </c>
      <c r="AH206" s="941" t="str">
        <f t="shared" si="79"/>
        <v/>
      </c>
      <c r="AI206" s="941" t="str">
        <f t="shared" si="80"/>
        <v/>
      </c>
      <c r="AJ206" s="941" t="str">
        <f t="shared" si="81"/>
        <v/>
      </c>
      <c r="AK206" s="941" t="str">
        <f t="shared" si="82"/>
        <v/>
      </c>
      <c r="AL206" s="941" t="str">
        <f t="shared" si="83"/>
        <v/>
      </c>
      <c r="AM206" s="941" t="str">
        <f t="shared" si="84"/>
        <v/>
      </c>
      <c r="AN206" s="941" t="str">
        <f t="shared" si="85"/>
        <v/>
      </c>
      <c r="AO206" s="941" t="str">
        <f t="shared" si="86"/>
        <v/>
      </c>
      <c r="AP206" s="895">
        <f>IF(AO206&lt;0,"No hi ha pèrdua",IFERROR(SUM(AA206:AO206)*'7. Erosió de costa'!$C$86/1000000,""))</f>
        <v>0</v>
      </c>
    </row>
    <row r="207" spans="1:42">
      <c r="A207" s="835">
        <v>8206</v>
      </c>
      <c r="B207" s="826" t="s">
        <v>1457</v>
      </c>
      <c r="C207" s="835" t="str">
        <f t="shared" si="66"/>
        <v>NA</v>
      </c>
      <c r="D207" s="923" t="str">
        <f t="shared" si="67"/>
        <v>NA</v>
      </c>
      <c r="E207" s="931" t="str">
        <f t="shared" si="68"/>
        <v>NA</v>
      </c>
      <c r="F207" s="926" t="str">
        <f t="shared" si="69"/>
        <v>NA</v>
      </c>
      <c r="G207" s="923" t="str">
        <f t="shared" si="70"/>
        <v>NA</v>
      </c>
      <c r="H207" s="931" t="str">
        <f>IFERROR(IF((G207*'7. Erosió de costa'!$C$86/1000000)&lt;0,"guanya sorra",G207*'7. Erosió de costa'!$C$86/1000000),"")</f>
        <v/>
      </c>
      <c r="I207" s="937" t="str">
        <f>IFERROR(IF(('A. Dades de partida'!$D$10*G207*'7. Erosió de costa'!$C$86/1000000)&lt;0,"guanya sorra",'A. Dades de partida'!$D$10*G207*'7. Erosió de costa'!$C$86/1000000),"")</f>
        <v/>
      </c>
      <c r="J207" s="931" t="str">
        <f t="shared" si="65"/>
        <v>NA</v>
      </c>
      <c r="K207" s="931"/>
      <c r="L207" s="931"/>
      <c r="M207" s="931"/>
      <c r="N207" s="931"/>
      <c r="O207" s="931"/>
      <c r="P207" s="931"/>
      <c r="Q207" s="931"/>
      <c r="R207" s="931"/>
      <c r="S207" s="931"/>
      <c r="T207" s="931"/>
      <c r="U207" s="931"/>
      <c r="V207" s="931"/>
      <c r="W207" s="931"/>
      <c r="X207" s="931"/>
      <c r="Y207" s="931"/>
      <c r="Z207" s="941" t="str">
        <f t="shared" si="71"/>
        <v/>
      </c>
      <c r="AA207" s="941" t="str">
        <f t="shared" si="72"/>
        <v/>
      </c>
      <c r="AB207" s="941" t="str">
        <f t="shared" si="73"/>
        <v/>
      </c>
      <c r="AC207" s="941" t="str">
        <f t="shared" si="74"/>
        <v/>
      </c>
      <c r="AD207" s="941" t="str">
        <f t="shared" si="75"/>
        <v/>
      </c>
      <c r="AE207" s="941" t="str">
        <f t="shared" si="76"/>
        <v/>
      </c>
      <c r="AF207" s="941" t="str">
        <f t="shared" si="77"/>
        <v/>
      </c>
      <c r="AG207" s="941" t="str">
        <f t="shared" si="78"/>
        <v/>
      </c>
      <c r="AH207" s="941" t="str">
        <f t="shared" si="79"/>
        <v/>
      </c>
      <c r="AI207" s="941" t="str">
        <f t="shared" si="80"/>
        <v/>
      </c>
      <c r="AJ207" s="941" t="str">
        <f t="shared" si="81"/>
        <v/>
      </c>
      <c r="AK207" s="941" t="str">
        <f t="shared" si="82"/>
        <v/>
      </c>
      <c r="AL207" s="941" t="str">
        <f t="shared" si="83"/>
        <v/>
      </c>
      <c r="AM207" s="941" t="str">
        <f t="shared" si="84"/>
        <v/>
      </c>
      <c r="AN207" s="941" t="str">
        <f t="shared" si="85"/>
        <v/>
      </c>
      <c r="AO207" s="941" t="str">
        <f t="shared" si="86"/>
        <v/>
      </c>
      <c r="AP207" s="895">
        <f>IF(AO207&lt;0,"No hi ha pèrdua",IFERROR(SUM(AA207:AO207)*'7. Erosió de costa'!$C$86/1000000,""))</f>
        <v>0</v>
      </c>
    </row>
    <row r="208" spans="1:42" ht="30">
      <c r="A208" s="835">
        <v>8207</v>
      </c>
      <c r="B208" s="826" t="s">
        <v>1458</v>
      </c>
      <c r="C208" s="835" t="str">
        <f t="shared" si="66"/>
        <v>NA</v>
      </c>
      <c r="D208" s="923" t="str">
        <f t="shared" si="67"/>
        <v>NA</v>
      </c>
      <c r="E208" s="931" t="str">
        <f t="shared" si="68"/>
        <v>NA</v>
      </c>
      <c r="F208" s="926" t="str">
        <f t="shared" si="69"/>
        <v>NA</v>
      </c>
      <c r="G208" s="923" t="str">
        <f t="shared" si="70"/>
        <v>NA</v>
      </c>
      <c r="H208" s="931" t="str">
        <f>IFERROR(IF((G208*'7. Erosió de costa'!$C$86/1000000)&lt;0,"guanya sorra",G208*'7. Erosió de costa'!$C$86/1000000),"")</f>
        <v/>
      </c>
      <c r="I208" s="937" t="str">
        <f>IFERROR(IF(('A. Dades de partida'!$D$10*G208*'7. Erosió de costa'!$C$86/1000000)&lt;0,"guanya sorra",'A. Dades de partida'!$D$10*G208*'7. Erosió de costa'!$C$86/1000000),"")</f>
        <v/>
      </c>
      <c r="J208" s="931" t="str">
        <f t="shared" si="65"/>
        <v>NA</v>
      </c>
      <c r="K208" s="931"/>
      <c r="L208" s="931"/>
      <c r="M208" s="931"/>
      <c r="N208" s="931"/>
      <c r="O208" s="931"/>
      <c r="P208" s="931"/>
      <c r="Q208" s="931"/>
      <c r="R208" s="931"/>
      <c r="S208" s="931"/>
      <c r="T208" s="931"/>
      <c r="U208" s="931"/>
      <c r="V208" s="931"/>
      <c r="W208" s="931"/>
      <c r="X208" s="931"/>
      <c r="Y208" s="931"/>
      <c r="Z208" s="941" t="str">
        <f t="shared" si="71"/>
        <v/>
      </c>
      <c r="AA208" s="941" t="str">
        <f t="shared" si="72"/>
        <v/>
      </c>
      <c r="AB208" s="941" t="str">
        <f t="shared" si="73"/>
        <v/>
      </c>
      <c r="AC208" s="941" t="str">
        <f t="shared" si="74"/>
        <v/>
      </c>
      <c r="AD208" s="941" t="str">
        <f t="shared" si="75"/>
        <v/>
      </c>
      <c r="AE208" s="941" t="str">
        <f t="shared" si="76"/>
        <v/>
      </c>
      <c r="AF208" s="941" t="str">
        <f t="shared" si="77"/>
        <v/>
      </c>
      <c r="AG208" s="941" t="str">
        <f t="shared" si="78"/>
        <v/>
      </c>
      <c r="AH208" s="941" t="str">
        <f t="shared" si="79"/>
        <v/>
      </c>
      <c r="AI208" s="941" t="str">
        <f t="shared" si="80"/>
        <v/>
      </c>
      <c r="AJ208" s="941" t="str">
        <f t="shared" si="81"/>
        <v/>
      </c>
      <c r="AK208" s="941" t="str">
        <f t="shared" si="82"/>
        <v/>
      </c>
      <c r="AL208" s="941" t="str">
        <f t="shared" si="83"/>
        <v/>
      </c>
      <c r="AM208" s="941" t="str">
        <f t="shared" si="84"/>
        <v/>
      </c>
      <c r="AN208" s="941" t="str">
        <f t="shared" si="85"/>
        <v/>
      </c>
      <c r="AO208" s="941" t="str">
        <f t="shared" si="86"/>
        <v/>
      </c>
      <c r="AP208" s="895">
        <f>IF(AO208&lt;0,"No hi ha pèrdua",IFERROR(SUM(AA208:AO208)*'7. Erosió de costa'!$C$86/1000000,""))</f>
        <v>0</v>
      </c>
    </row>
    <row r="209" spans="1:42">
      <c r="A209" s="835">
        <v>8208</v>
      </c>
      <c r="B209" s="826" t="s">
        <v>1463</v>
      </c>
      <c r="C209" s="835" t="str">
        <f t="shared" si="66"/>
        <v>NA</v>
      </c>
      <c r="D209" s="923" t="str">
        <f t="shared" si="67"/>
        <v>NA</v>
      </c>
      <c r="E209" s="931" t="str">
        <f t="shared" si="68"/>
        <v>NA</v>
      </c>
      <c r="F209" s="926" t="str">
        <f t="shared" si="69"/>
        <v>NA</v>
      </c>
      <c r="G209" s="923" t="str">
        <f t="shared" si="70"/>
        <v>NA</v>
      </c>
      <c r="H209" s="931" t="str">
        <f>IFERROR(IF((G209*'7. Erosió de costa'!$C$86/1000000)&lt;0,"guanya sorra",G209*'7. Erosió de costa'!$C$86/1000000),"")</f>
        <v/>
      </c>
      <c r="I209" s="937" t="str">
        <f>IFERROR(IF(('A. Dades de partida'!$D$10*G209*'7. Erosió de costa'!$C$86/1000000)&lt;0,"guanya sorra",'A. Dades de partida'!$D$10*G209*'7. Erosió de costa'!$C$86/1000000),"")</f>
        <v/>
      </c>
      <c r="J209" s="931" t="str">
        <f t="shared" si="65"/>
        <v>NA</v>
      </c>
      <c r="K209" s="931"/>
      <c r="L209" s="931"/>
      <c r="M209" s="931"/>
      <c r="N209" s="931"/>
      <c r="O209" s="931"/>
      <c r="P209" s="931"/>
      <c r="Q209" s="931"/>
      <c r="R209" s="931"/>
      <c r="S209" s="931"/>
      <c r="T209" s="931"/>
      <c r="U209" s="931"/>
      <c r="V209" s="931"/>
      <c r="W209" s="931"/>
      <c r="X209" s="931"/>
      <c r="Y209" s="931"/>
      <c r="Z209" s="941" t="str">
        <f t="shared" si="71"/>
        <v/>
      </c>
      <c r="AA209" s="941" t="str">
        <f t="shared" si="72"/>
        <v/>
      </c>
      <c r="AB209" s="941" t="str">
        <f t="shared" si="73"/>
        <v/>
      </c>
      <c r="AC209" s="941" t="str">
        <f t="shared" si="74"/>
        <v/>
      </c>
      <c r="AD209" s="941" t="str">
        <f t="shared" si="75"/>
        <v/>
      </c>
      <c r="AE209" s="941" t="str">
        <f t="shared" si="76"/>
        <v/>
      </c>
      <c r="AF209" s="941" t="str">
        <f t="shared" si="77"/>
        <v/>
      </c>
      <c r="AG209" s="941" t="str">
        <f t="shared" si="78"/>
        <v/>
      </c>
      <c r="AH209" s="941" t="str">
        <f t="shared" si="79"/>
        <v/>
      </c>
      <c r="AI209" s="941" t="str">
        <f t="shared" si="80"/>
        <v/>
      </c>
      <c r="AJ209" s="941" t="str">
        <f t="shared" si="81"/>
        <v/>
      </c>
      <c r="AK209" s="941" t="str">
        <f t="shared" si="82"/>
        <v/>
      </c>
      <c r="AL209" s="941" t="str">
        <f t="shared" si="83"/>
        <v/>
      </c>
      <c r="AM209" s="941" t="str">
        <f t="shared" si="84"/>
        <v/>
      </c>
      <c r="AN209" s="941" t="str">
        <f t="shared" si="85"/>
        <v/>
      </c>
      <c r="AO209" s="941" t="str">
        <f t="shared" si="86"/>
        <v/>
      </c>
      <c r="AP209" s="895">
        <f>IF(AO209&lt;0,"No hi ha pèrdua",IFERROR(SUM(AA209:AO209)*'7. Erosió de costa'!$C$86/1000000,""))</f>
        <v>0</v>
      </c>
    </row>
    <row r="210" spans="1:42" ht="30">
      <c r="A210" s="835">
        <v>8209</v>
      </c>
      <c r="B210" s="826" t="s">
        <v>1464</v>
      </c>
      <c r="C210" s="835" t="str">
        <f t="shared" si="66"/>
        <v>NA</v>
      </c>
      <c r="D210" s="923" t="str">
        <f t="shared" si="67"/>
        <v>NA</v>
      </c>
      <c r="E210" s="931" t="str">
        <f t="shared" si="68"/>
        <v>NA</v>
      </c>
      <c r="F210" s="926" t="str">
        <f t="shared" si="69"/>
        <v>NA</v>
      </c>
      <c r="G210" s="923" t="str">
        <f t="shared" si="70"/>
        <v>NA</v>
      </c>
      <c r="H210" s="931" t="str">
        <f>IFERROR(IF((G210*'7. Erosió de costa'!$C$86/1000000)&lt;0,"guanya sorra",G210*'7. Erosió de costa'!$C$86/1000000),"")</f>
        <v/>
      </c>
      <c r="I210" s="937" t="str">
        <f>IFERROR(IF(('A. Dades de partida'!$D$10*G210*'7. Erosió de costa'!$C$86/1000000)&lt;0,"guanya sorra",'A. Dades de partida'!$D$10*G210*'7. Erosió de costa'!$C$86/1000000),"")</f>
        <v/>
      </c>
      <c r="J210" s="931" t="str">
        <f t="shared" si="65"/>
        <v>NA</v>
      </c>
      <c r="K210" s="931"/>
      <c r="L210" s="931"/>
      <c r="M210" s="931"/>
      <c r="N210" s="931"/>
      <c r="O210" s="931"/>
      <c r="P210" s="931"/>
      <c r="Q210" s="931"/>
      <c r="R210" s="931"/>
      <c r="S210" s="931"/>
      <c r="T210" s="931"/>
      <c r="U210" s="931"/>
      <c r="V210" s="931"/>
      <c r="W210" s="931"/>
      <c r="X210" s="931"/>
      <c r="Y210" s="931"/>
      <c r="Z210" s="941" t="str">
        <f t="shared" si="71"/>
        <v/>
      </c>
      <c r="AA210" s="941" t="str">
        <f t="shared" si="72"/>
        <v/>
      </c>
      <c r="AB210" s="941" t="str">
        <f t="shared" si="73"/>
        <v/>
      </c>
      <c r="AC210" s="941" t="str">
        <f t="shared" si="74"/>
        <v/>
      </c>
      <c r="AD210" s="941" t="str">
        <f t="shared" si="75"/>
        <v/>
      </c>
      <c r="AE210" s="941" t="str">
        <f t="shared" si="76"/>
        <v/>
      </c>
      <c r="AF210" s="941" t="str">
        <f t="shared" si="77"/>
        <v/>
      </c>
      <c r="AG210" s="941" t="str">
        <f t="shared" si="78"/>
        <v/>
      </c>
      <c r="AH210" s="941" t="str">
        <f t="shared" si="79"/>
        <v/>
      </c>
      <c r="AI210" s="941" t="str">
        <f t="shared" si="80"/>
        <v/>
      </c>
      <c r="AJ210" s="941" t="str">
        <f t="shared" si="81"/>
        <v/>
      </c>
      <c r="AK210" s="941" t="str">
        <f t="shared" si="82"/>
        <v/>
      </c>
      <c r="AL210" s="941" t="str">
        <f t="shared" si="83"/>
        <v/>
      </c>
      <c r="AM210" s="941" t="str">
        <f t="shared" si="84"/>
        <v/>
      </c>
      <c r="AN210" s="941" t="str">
        <f t="shared" si="85"/>
        <v/>
      </c>
      <c r="AO210" s="941" t="str">
        <f t="shared" si="86"/>
        <v/>
      </c>
      <c r="AP210" s="895">
        <f>IF(AO210&lt;0,"No hi ha pèrdua",IFERROR(SUM(AA210:AO210)*'7. Erosió de costa'!$C$86/1000000,""))</f>
        <v>0</v>
      </c>
    </row>
    <row r="211" spans="1:42">
      <c r="A211" s="835">
        <v>8210</v>
      </c>
      <c r="B211" s="826" t="s">
        <v>1466</v>
      </c>
      <c r="C211" s="835" t="str">
        <f t="shared" si="66"/>
        <v>NA</v>
      </c>
      <c r="D211" s="923" t="str">
        <f t="shared" si="67"/>
        <v>NA</v>
      </c>
      <c r="E211" s="931" t="str">
        <f t="shared" si="68"/>
        <v>NA</v>
      </c>
      <c r="F211" s="926" t="str">
        <f t="shared" si="69"/>
        <v>NA</v>
      </c>
      <c r="G211" s="923" t="str">
        <f t="shared" si="70"/>
        <v>NA</v>
      </c>
      <c r="H211" s="931" t="str">
        <f>IFERROR(IF((G211*'7. Erosió de costa'!$C$86/1000000)&lt;0,"guanya sorra",G211*'7. Erosió de costa'!$C$86/1000000),"")</f>
        <v/>
      </c>
      <c r="I211" s="937" t="str">
        <f>IFERROR(IF(('A. Dades de partida'!$D$10*G211*'7. Erosió de costa'!$C$86/1000000)&lt;0,"guanya sorra",'A. Dades de partida'!$D$10*G211*'7. Erosió de costa'!$C$86/1000000),"")</f>
        <v/>
      </c>
      <c r="J211" s="931" t="str">
        <f t="shared" si="65"/>
        <v>NA</v>
      </c>
      <c r="K211" s="931"/>
      <c r="L211" s="931"/>
      <c r="M211" s="931"/>
      <c r="N211" s="931"/>
      <c r="O211" s="931"/>
      <c r="P211" s="931"/>
      <c r="Q211" s="931"/>
      <c r="R211" s="931"/>
      <c r="S211" s="931"/>
      <c r="T211" s="931"/>
      <c r="U211" s="931"/>
      <c r="V211" s="931"/>
      <c r="W211" s="931"/>
      <c r="X211" s="931"/>
      <c r="Y211" s="931"/>
      <c r="Z211" s="941" t="str">
        <f t="shared" si="71"/>
        <v/>
      </c>
      <c r="AA211" s="941" t="str">
        <f t="shared" si="72"/>
        <v/>
      </c>
      <c r="AB211" s="941" t="str">
        <f t="shared" si="73"/>
        <v/>
      </c>
      <c r="AC211" s="941" t="str">
        <f t="shared" si="74"/>
        <v/>
      </c>
      <c r="AD211" s="941" t="str">
        <f t="shared" si="75"/>
        <v/>
      </c>
      <c r="AE211" s="941" t="str">
        <f t="shared" si="76"/>
        <v/>
      </c>
      <c r="AF211" s="941" t="str">
        <f t="shared" si="77"/>
        <v/>
      </c>
      <c r="AG211" s="941" t="str">
        <f t="shared" si="78"/>
        <v/>
      </c>
      <c r="AH211" s="941" t="str">
        <f t="shared" si="79"/>
        <v/>
      </c>
      <c r="AI211" s="941" t="str">
        <f t="shared" si="80"/>
        <v/>
      </c>
      <c r="AJ211" s="941" t="str">
        <f t="shared" si="81"/>
        <v/>
      </c>
      <c r="AK211" s="941" t="str">
        <f t="shared" si="82"/>
        <v/>
      </c>
      <c r="AL211" s="941" t="str">
        <f t="shared" si="83"/>
        <v/>
      </c>
      <c r="AM211" s="941" t="str">
        <f t="shared" si="84"/>
        <v/>
      </c>
      <c r="AN211" s="941" t="str">
        <f t="shared" si="85"/>
        <v/>
      </c>
      <c r="AO211" s="941" t="str">
        <f t="shared" si="86"/>
        <v/>
      </c>
      <c r="AP211" s="895">
        <f>IF(AO211&lt;0,"No hi ha pèrdua",IFERROR(SUM(AA211:AO211)*'7. Erosió de costa'!$C$86/1000000,""))</f>
        <v>0</v>
      </c>
    </row>
    <row r="212" spans="1:42">
      <c r="A212" s="835">
        <v>8211</v>
      </c>
      <c r="B212" s="826" t="s">
        <v>1028</v>
      </c>
      <c r="C212" s="835" t="str">
        <f t="shared" si="66"/>
        <v>NA</v>
      </c>
      <c r="D212" s="923" t="str">
        <f t="shared" si="67"/>
        <v>NA</v>
      </c>
      <c r="E212" s="931" t="str">
        <f t="shared" si="68"/>
        <v>NA</v>
      </c>
      <c r="F212" s="926" t="str">
        <f t="shared" si="69"/>
        <v>NA</v>
      </c>
      <c r="G212" s="923" t="str">
        <f t="shared" si="70"/>
        <v>NA</v>
      </c>
      <c r="H212" s="931" t="str">
        <f>IFERROR(IF((G212*'7. Erosió de costa'!$C$86/1000000)&lt;0,"guanya sorra",G212*'7. Erosió de costa'!$C$86/1000000),"")</f>
        <v/>
      </c>
      <c r="I212" s="937" t="str">
        <f>IFERROR(IF(('A. Dades de partida'!$D$10*G212*'7. Erosió de costa'!$C$86/1000000)&lt;0,"guanya sorra",'A. Dades de partida'!$D$10*G212*'7. Erosió de costa'!$C$86/1000000),"")</f>
        <v/>
      </c>
      <c r="J212" s="931" t="str">
        <f t="shared" si="65"/>
        <v>NA</v>
      </c>
      <c r="K212" s="931"/>
      <c r="L212" s="931"/>
      <c r="M212" s="931"/>
      <c r="N212" s="931"/>
      <c r="O212" s="931"/>
      <c r="P212" s="931"/>
      <c r="Q212" s="931"/>
      <c r="R212" s="931"/>
      <c r="S212" s="931"/>
      <c r="T212" s="931"/>
      <c r="U212" s="931"/>
      <c r="V212" s="931"/>
      <c r="W212" s="931"/>
      <c r="X212" s="931"/>
      <c r="Y212" s="931"/>
      <c r="Z212" s="941" t="str">
        <f t="shared" si="71"/>
        <v/>
      </c>
      <c r="AA212" s="941" t="str">
        <f t="shared" si="72"/>
        <v/>
      </c>
      <c r="AB212" s="941" t="str">
        <f t="shared" si="73"/>
        <v/>
      </c>
      <c r="AC212" s="941" t="str">
        <f t="shared" si="74"/>
        <v/>
      </c>
      <c r="AD212" s="941" t="str">
        <f t="shared" si="75"/>
        <v/>
      </c>
      <c r="AE212" s="941" t="str">
        <f t="shared" si="76"/>
        <v/>
      </c>
      <c r="AF212" s="941" t="str">
        <f t="shared" si="77"/>
        <v/>
      </c>
      <c r="AG212" s="941" t="str">
        <f t="shared" si="78"/>
        <v/>
      </c>
      <c r="AH212" s="941" t="str">
        <f t="shared" si="79"/>
        <v/>
      </c>
      <c r="AI212" s="941" t="str">
        <f t="shared" si="80"/>
        <v/>
      </c>
      <c r="AJ212" s="941" t="str">
        <f t="shared" si="81"/>
        <v/>
      </c>
      <c r="AK212" s="941" t="str">
        <f t="shared" si="82"/>
        <v/>
      </c>
      <c r="AL212" s="941" t="str">
        <f t="shared" si="83"/>
        <v/>
      </c>
      <c r="AM212" s="941" t="str">
        <f t="shared" si="84"/>
        <v/>
      </c>
      <c r="AN212" s="941" t="str">
        <f t="shared" si="85"/>
        <v/>
      </c>
      <c r="AO212" s="941" t="str">
        <f t="shared" si="86"/>
        <v/>
      </c>
      <c r="AP212" s="895">
        <f>IF(AO212&lt;0,"No hi ha pèrdua",IFERROR(SUM(AA212:AO212)*'7. Erosió de costa'!$C$86/1000000,""))</f>
        <v>0</v>
      </c>
    </row>
    <row r="213" spans="1:42">
      <c r="A213" s="835">
        <v>8212</v>
      </c>
      <c r="B213" s="826" t="s">
        <v>1470</v>
      </c>
      <c r="C213" s="835" t="str">
        <f t="shared" si="66"/>
        <v>NA</v>
      </c>
      <c r="D213" s="923" t="str">
        <f t="shared" si="67"/>
        <v>NA</v>
      </c>
      <c r="E213" s="931" t="str">
        <f t="shared" si="68"/>
        <v>NA</v>
      </c>
      <c r="F213" s="926" t="str">
        <f t="shared" si="69"/>
        <v>NA</v>
      </c>
      <c r="G213" s="923" t="str">
        <f t="shared" si="70"/>
        <v>NA</v>
      </c>
      <c r="H213" s="931" t="str">
        <f>IFERROR(IF((G213*'7. Erosió de costa'!$C$86/1000000)&lt;0,"guanya sorra",G213*'7. Erosió de costa'!$C$86/1000000),"")</f>
        <v/>
      </c>
      <c r="I213" s="937" t="str">
        <f>IFERROR(IF(('A. Dades de partida'!$D$10*G213*'7. Erosió de costa'!$C$86/1000000)&lt;0,"guanya sorra",'A. Dades de partida'!$D$10*G213*'7. Erosió de costa'!$C$86/1000000),"")</f>
        <v/>
      </c>
      <c r="J213" s="931" t="str">
        <f t="shared" si="65"/>
        <v>NA</v>
      </c>
      <c r="K213" s="931"/>
      <c r="L213" s="931"/>
      <c r="M213" s="931"/>
      <c r="N213" s="931"/>
      <c r="O213" s="931"/>
      <c r="P213" s="931"/>
      <c r="Q213" s="931"/>
      <c r="R213" s="931"/>
      <c r="S213" s="931"/>
      <c r="T213" s="931"/>
      <c r="U213" s="931"/>
      <c r="V213" s="931"/>
      <c r="W213" s="931"/>
      <c r="X213" s="931"/>
      <c r="Y213" s="931"/>
      <c r="Z213" s="941" t="str">
        <f t="shared" si="71"/>
        <v/>
      </c>
      <c r="AA213" s="941" t="str">
        <f t="shared" si="72"/>
        <v/>
      </c>
      <c r="AB213" s="941" t="str">
        <f t="shared" si="73"/>
        <v/>
      </c>
      <c r="AC213" s="941" t="str">
        <f t="shared" si="74"/>
        <v/>
      </c>
      <c r="AD213" s="941" t="str">
        <f t="shared" si="75"/>
        <v/>
      </c>
      <c r="AE213" s="941" t="str">
        <f t="shared" si="76"/>
        <v/>
      </c>
      <c r="AF213" s="941" t="str">
        <f t="shared" si="77"/>
        <v/>
      </c>
      <c r="AG213" s="941" t="str">
        <f t="shared" si="78"/>
        <v/>
      </c>
      <c r="AH213" s="941" t="str">
        <f t="shared" si="79"/>
        <v/>
      </c>
      <c r="AI213" s="941" t="str">
        <f t="shared" si="80"/>
        <v/>
      </c>
      <c r="AJ213" s="941" t="str">
        <f t="shared" si="81"/>
        <v/>
      </c>
      <c r="AK213" s="941" t="str">
        <f t="shared" si="82"/>
        <v/>
      </c>
      <c r="AL213" s="941" t="str">
        <f t="shared" si="83"/>
        <v/>
      </c>
      <c r="AM213" s="941" t="str">
        <f t="shared" si="84"/>
        <v/>
      </c>
      <c r="AN213" s="941" t="str">
        <f t="shared" si="85"/>
        <v/>
      </c>
      <c r="AO213" s="941" t="str">
        <f t="shared" si="86"/>
        <v/>
      </c>
      <c r="AP213" s="895">
        <f>IF(AO213&lt;0,"No hi ha pèrdua",IFERROR(SUM(AA213:AO213)*'7. Erosió de costa'!$C$86/1000000,""))</f>
        <v>0</v>
      </c>
    </row>
    <row r="214" spans="1:42">
      <c r="A214" s="835">
        <v>8213</v>
      </c>
      <c r="B214" s="826" t="s">
        <v>1473</v>
      </c>
      <c r="C214" s="835" t="str">
        <f t="shared" si="66"/>
        <v>NA</v>
      </c>
      <c r="D214" s="923" t="str">
        <f t="shared" si="67"/>
        <v>NA</v>
      </c>
      <c r="E214" s="931" t="str">
        <f t="shared" si="68"/>
        <v>NA</v>
      </c>
      <c r="F214" s="926" t="str">
        <f t="shared" si="69"/>
        <v>NA</v>
      </c>
      <c r="G214" s="923" t="str">
        <f t="shared" si="70"/>
        <v>NA</v>
      </c>
      <c r="H214" s="931" t="str">
        <f>IFERROR(IF((G214*'7. Erosió de costa'!$C$86/1000000)&lt;0,"guanya sorra",G214*'7. Erosió de costa'!$C$86/1000000),"")</f>
        <v/>
      </c>
      <c r="I214" s="937" t="str">
        <f>IFERROR(IF(('A. Dades de partida'!$D$10*G214*'7. Erosió de costa'!$C$86/1000000)&lt;0,"guanya sorra",'A. Dades de partida'!$D$10*G214*'7. Erosió de costa'!$C$86/1000000),"")</f>
        <v/>
      </c>
      <c r="J214" s="931" t="str">
        <f t="shared" si="65"/>
        <v>NA</v>
      </c>
      <c r="K214" s="931"/>
      <c r="L214" s="931"/>
      <c r="M214" s="931"/>
      <c r="N214" s="931"/>
      <c r="O214" s="931"/>
      <c r="P214" s="931"/>
      <c r="Q214" s="931"/>
      <c r="R214" s="931"/>
      <c r="S214" s="931"/>
      <c r="T214" s="931"/>
      <c r="U214" s="931"/>
      <c r="V214" s="931"/>
      <c r="W214" s="931"/>
      <c r="X214" s="931"/>
      <c r="Y214" s="931"/>
      <c r="Z214" s="941" t="str">
        <f t="shared" si="71"/>
        <v/>
      </c>
      <c r="AA214" s="941" t="str">
        <f t="shared" si="72"/>
        <v/>
      </c>
      <c r="AB214" s="941" t="str">
        <f t="shared" si="73"/>
        <v/>
      </c>
      <c r="AC214" s="941" t="str">
        <f t="shared" si="74"/>
        <v/>
      </c>
      <c r="AD214" s="941" t="str">
        <f t="shared" si="75"/>
        <v/>
      </c>
      <c r="AE214" s="941" t="str">
        <f t="shared" si="76"/>
        <v/>
      </c>
      <c r="AF214" s="941" t="str">
        <f t="shared" si="77"/>
        <v/>
      </c>
      <c r="AG214" s="941" t="str">
        <f t="shared" si="78"/>
        <v/>
      </c>
      <c r="AH214" s="941" t="str">
        <f t="shared" si="79"/>
        <v/>
      </c>
      <c r="AI214" s="941" t="str">
        <f t="shared" si="80"/>
        <v/>
      </c>
      <c r="AJ214" s="941" t="str">
        <f t="shared" si="81"/>
        <v/>
      </c>
      <c r="AK214" s="941" t="str">
        <f t="shared" si="82"/>
        <v/>
      </c>
      <c r="AL214" s="941" t="str">
        <f t="shared" si="83"/>
        <v/>
      </c>
      <c r="AM214" s="941" t="str">
        <f t="shared" si="84"/>
        <v/>
      </c>
      <c r="AN214" s="941" t="str">
        <f t="shared" si="85"/>
        <v/>
      </c>
      <c r="AO214" s="941" t="str">
        <f t="shared" si="86"/>
        <v/>
      </c>
      <c r="AP214" s="895">
        <f>IF(AO214&lt;0,"No hi ha pèrdua",IFERROR(SUM(AA214:AO214)*'7. Erosió de costa'!$C$86/1000000,""))</f>
        <v>0</v>
      </c>
    </row>
    <row r="215" spans="1:42">
      <c r="A215" s="835">
        <v>8214</v>
      </c>
      <c r="B215" s="826" t="s">
        <v>1474</v>
      </c>
      <c r="C215" s="835" t="str">
        <f t="shared" si="66"/>
        <v>NA</v>
      </c>
      <c r="D215" s="923" t="str">
        <f t="shared" si="67"/>
        <v>NA</v>
      </c>
      <c r="E215" s="931" t="str">
        <f t="shared" si="68"/>
        <v>NA</v>
      </c>
      <c r="F215" s="926" t="str">
        <f t="shared" si="69"/>
        <v>NA</v>
      </c>
      <c r="G215" s="923" t="str">
        <f t="shared" si="70"/>
        <v>NA</v>
      </c>
      <c r="H215" s="931" t="str">
        <f>IFERROR(IF((G215*'7. Erosió de costa'!$C$86/1000000)&lt;0,"guanya sorra",G215*'7. Erosió de costa'!$C$86/1000000),"")</f>
        <v/>
      </c>
      <c r="I215" s="937" t="str">
        <f>IFERROR(IF(('A. Dades de partida'!$D$10*G215*'7. Erosió de costa'!$C$86/1000000)&lt;0,"guanya sorra",'A. Dades de partida'!$D$10*G215*'7. Erosió de costa'!$C$86/1000000),"")</f>
        <v/>
      </c>
      <c r="J215" s="931" t="str">
        <f t="shared" si="65"/>
        <v>NA</v>
      </c>
      <c r="K215" s="931"/>
      <c r="L215" s="931"/>
      <c r="M215" s="931"/>
      <c r="N215" s="931"/>
      <c r="O215" s="931"/>
      <c r="P215" s="931"/>
      <c r="Q215" s="931"/>
      <c r="R215" s="931"/>
      <c r="S215" s="931"/>
      <c r="T215" s="931"/>
      <c r="U215" s="931"/>
      <c r="V215" s="931"/>
      <c r="W215" s="931"/>
      <c r="X215" s="931"/>
      <c r="Y215" s="931"/>
      <c r="Z215" s="941" t="str">
        <f t="shared" si="71"/>
        <v/>
      </c>
      <c r="AA215" s="941" t="str">
        <f t="shared" si="72"/>
        <v/>
      </c>
      <c r="AB215" s="941" t="str">
        <f t="shared" si="73"/>
        <v/>
      </c>
      <c r="AC215" s="941" t="str">
        <f t="shared" si="74"/>
        <v/>
      </c>
      <c r="AD215" s="941" t="str">
        <f t="shared" si="75"/>
        <v/>
      </c>
      <c r="AE215" s="941" t="str">
        <f t="shared" si="76"/>
        <v/>
      </c>
      <c r="AF215" s="941" t="str">
        <f t="shared" si="77"/>
        <v/>
      </c>
      <c r="AG215" s="941" t="str">
        <f t="shared" si="78"/>
        <v/>
      </c>
      <c r="AH215" s="941" t="str">
        <f t="shared" si="79"/>
        <v/>
      </c>
      <c r="AI215" s="941" t="str">
        <f t="shared" si="80"/>
        <v/>
      </c>
      <c r="AJ215" s="941" t="str">
        <f t="shared" si="81"/>
        <v/>
      </c>
      <c r="AK215" s="941" t="str">
        <f t="shared" si="82"/>
        <v/>
      </c>
      <c r="AL215" s="941" t="str">
        <f t="shared" si="83"/>
        <v/>
      </c>
      <c r="AM215" s="941" t="str">
        <f t="shared" si="84"/>
        <v/>
      </c>
      <c r="AN215" s="941" t="str">
        <f t="shared" si="85"/>
        <v/>
      </c>
      <c r="AO215" s="941" t="str">
        <f t="shared" si="86"/>
        <v/>
      </c>
      <c r="AP215" s="895">
        <f>IF(AO215&lt;0,"No hi ha pèrdua",IFERROR(SUM(AA215:AO215)*'7. Erosió de costa'!$C$86/1000000,""))</f>
        <v>0</v>
      </c>
    </row>
    <row r="216" spans="1:42">
      <c r="A216" s="835">
        <v>8215</v>
      </c>
      <c r="B216" s="826" t="s">
        <v>1477</v>
      </c>
      <c r="C216" s="835" t="str">
        <f t="shared" si="66"/>
        <v>NA</v>
      </c>
      <c r="D216" s="923" t="str">
        <f t="shared" si="67"/>
        <v>NA</v>
      </c>
      <c r="E216" s="931" t="str">
        <f t="shared" si="68"/>
        <v>NA</v>
      </c>
      <c r="F216" s="926" t="str">
        <f t="shared" si="69"/>
        <v>NA</v>
      </c>
      <c r="G216" s="923" t="str">
        <f t="shared" si="70"/>
        <v>NA</v>
      </c>
      <c r="H216" s="931" t="str">
        <f>IFERROR(IF((G216*'7. Erosió de costa'!$C$86/1000000)&lt;0,"guanya sorra",G216*'7. Erosió de costa'!$C$86/1000000),"")</f>
        <v/>
      </c>
      <c r="I216" s="937" t="str">
        <f>IFERROR(IF(('A. Dades de partida'!$D$10*G216*'7. Erosió de costa'!$C$86/1000000)&lt;0,"guanya sorra",'A. Dades de partida'!$D$10*G216*'7. Erosió de costa'!$C$86/1000000),"")</f>
        <v/>
      </c>
      <c r="J216" s="931" t="str">
        <f t="shared" si="65"/>
        <v>NA</v>
      </c>
      <c r="K216" s="931"/>
      <c r="L216" s="931"/>
      <c r="M216" s="931"/>
      <c r="N216" s="931"/>
      <c r="O216" s="931"/>
      <c r="P216" s="931"/>
      <c r="Q216" s="931"/>
      <c r="R216" s="931"/>
      <c r="S216" s="931"/>
      <c r="T216" s="931"/>
      <c r="U216" s="931"/>
      <c r="V216" s="931"/>
      <c r="W216" s="931"/>
      <c r="X216" s="931"/>
      <c r="Y216" s="931"/>
      <c r="Z216" s="941" t="str">
        <f t="shared" si="71"/>
        <v/>
      </c>
      <c r="AA216" s="941" t="str">
        <f t="shared" si="72"/>
        <v/>
      </c>
      <c r="AB216" s="941" t="str">
        <f t="shared" si="73"/>
        <v/>
      </c>
      <c r="AC216" s="941" t="str">
        <f t="shared" si="74"/>
        <v/>
      </c>
      <c r="AD216" s="941" t="str">
        <f t="shared" si="75"/>
        <v/>
      </c>
      <c r="AE216" s="941" t="str">
        <f t="shared" si="76"/>
        <v/>
      </c>
      <c r="AF216" s="941" t="str">
        <f t="shared" si="77"/>
        <v/>
      </c>
      <c r="AG216" s="941" t="str">
        <f t="shared" si="78"/>
        <v/>
      </c>
      <c r="AH216" s="941" t="str">
        <f t="shared" si="79"/>
        <v/>
      </c>
      <c r="AI216" s="941" t="str">
        <f t="shared" si="80"/>
        <v/>
      </c>
      <c r="AJ216" s="941" t="str">
        <f t="shared" si="81"/>
        <v/>
      </c>
      <c r="AK216" s="941" t="str">
        <f t="shared" si="82"/>
        <v/>
      </c>
      <c r="AL216" s="941" t="str">
        <f t="shared" si="83"/>
        <v/>
      </c>
      <c r="AM216" s="941" t="str">
        <f t="shared" si="84"/>
        <v/>
      </c>
      <c r="AN216" s="941" t="str">
        <f t="shared" si="85"/>
        <v/>
      </c>
      <c r="AO216" s="941" t="str">
        <f t="shared" si="86"/>
        <v/>
      </c>
      <c r="AP216" s="895">
        <f>IF(AO216&lt;0,"No hi ha pèrdua",IFERROR(SUM(AA216:AO216)*'7. Erosió de costa'!$C$86/1000000,""))</f>
        <v>0</v>
      </c>
    </row>
    <row r="217" spans="1:42">
      <c r="A217" s="835">
        <v>8216</v>
      </c>
      <c r="B217" s="826" t="s">
        <v>1479</v>
      </c>
      <c r="C217" s="835" t="str">
        <f t="shared" si="66"/>
        <v>NA</v>
      </c>
      <c r="D217" s="923" t="str">
        <f t="shared" si="67"/>
        <v>NA</v>
      </c>
      <c r="E217" s="931" t="str">
        <f t="shared" si="68"/>
        <v>NA</v>
      </c>
      <c r="F217" s="926" t="str">
        <f t="shared" si="69"/>
        <v>NA</v>
      </c>
      <c r="G217" s="923" t="str">
        <f t="shared" si="70"/>
        <v>NA</v>
      </c>
      <c r="H217" s="931" t="str">
        <f>IFERROR(IF((G217*'7. Erosió de costa'!$C$86/1000000)&lt;0,"guanya sorra",G217*'7. Erosió de costa'!$C$86/1000000),"")</f>
        <v/>
      </c>
      <c r="I217" s="937" t="str">
        <f>IFERROR(IF(('A. Dades de partida'!$D$10*G217*'7. Erosió de costa'!$C$86/1000000)&lt;0,"guanya sorra",'A. Dades de partida'!$D$10*G217*'7. Erosió de costa'!$C$86/1000000),"")</f>
        <v/>
      </c>
      <c r="J217" s="931" t="str">
        <f t="shared" si="65"/>
        <v>NA</v>
      </c>
      <c r="K217" s="931"/>
      <c r="L217" s="931"/>
      <c r="M217" s="931"/>
      <c r="N217" s="931"/>
      <c r="O217" s="931"/>
      <c r="P217" s="931"/>
      <c r="Q217" s="931"/>
      <c r="R217" s="931"/>
      <c r="S217" s="931"/>
      <c r="T217" s="931"/>
      <c r="U217" s="931"/>
      <c r="V217" s="931"/>
      <c r="W217" s="931"/>
      <c r="X217" s="931"/>
      <c r="Y217" s="931"/>
      <c r="Z217" s="941" t="str">
        <f t="shared" si="71"/>
        <v/>
      </c>
      <c r="AA217" s="941" t="str">
        <f t="shared" si="72"/>
        <v/>
      </c>
      <c r="AB217" s="941" t="str">
        <f t="shared" si="73"/>
        <v/>
      </c>
      <c r="AC217" s="941" t="str">
        <f t="shared" si="74"/>
        <v/>
      </c>
      <c r="AD217" s="941" t="str">
        <f t="shared" si="75"/>
        <v/>
      </c>
      <c r="AE217" s="941" t="str">
        <f t="shared" si="76"/>
        <v/>
      </c>
      <c r="AF217" s="941" t="str">
        <f t="shared" si="77"/>
        <v/>
      </c>
      <c r="AG217" s="941" t="str">
        <f t="shared" si="78"/>
        <v/>
      </c>
      <c r="AH217" s="941" t="str">
        <f t="shared" si="79"/>
        <v/>
      </c>
      <c r="AI217" s="941" t="str">
        <f t="shared" si="80"/>
        <v/>
      </c>
      <c r="AJ217" s="941" t="str">
        <f t="shared" si="81"/>
        <v/>
      </c>
      <c r="AK217" s="941" t="str">
        <f t="shared" si="82"/>
        <v/>
      </c>
      <c r="AL217" s="941" t="str">
        <f t="shared" si="83"/>
        <v/>
      </c>
      <c r="AM217" s="941" t="str">
        <f t="shared" si="84"/>
        <v/>
      </c>
      <c r="AN217" s="941" t="str">
        <f t="shared" si="85"/>
        <v/>
      </c>
      <c r="AO217" s="941" t="str">
        <f t="shared" si="86"/>
        <v/>
      </c>
      <c r="AP217" s="895">
        <f>IF(AO217&lt;0,"No hi ha pèrdua",IFERROR(SUM(AA217:AO217)*'7. Erosió de costa'!$C$86/1000000,""))</f>
        <v>0</v>
      </c>
    </row>
    <row r="218" spans="1:42">
      <c r="A218" s="835">
        <v>8217</v>
      </c>
      <c r="B218" s="826" t="s">
        <v>1481</v>
      </c>
      <c r="C218" s="835" t="str">
        <f t="shared" si="66"/>
        <v>NA</v>
      </c>
      <c r="D218" s="923" t="str">
        <f t="shared" si="67"/>
        <v>NA</v>
      </c>
      <c r="E218" s="931" t="str">
        <f t="shared" si="68"/>
        <v>NA</v>
      </c>
      <c r="F218" s="926" t="str">
        <f t="shared" si="69"/>
        <v>NA</v>
      </c>
      <c r="G218" s="923" t="str">
        <f t="shared" si="70"/>
        <v>NA</v>
      </c>
      <c r="H218" s="931" t="str">
        <f>IFERROR(IF((G218*'7. Erosió de costa'!$C$86/1000000)&lt;0,"guanya sorra",G218*'7. Erosió de costa'!$C$86/1000000),"")</f>
        <v/>
      </c>
      <c r="I218" s="937" t="str">
        <f>IFERROR(IF(('A. Dades de partida'!$D$10*G218*'7. Erosió de costa'!$C$86/1000000)&lt;0,"guanya sorra",'A. Dades de partida'!$D$10*G218*'7. Erosió de costa'!$C$86/1000000),"")</f>
        <v/>
      </c>
      <c r="J218" s="931" t="str">
        <f t="shared" si="65"/>
        <v>NA</v>
      </c>
      <c r="K218" s="931"/>
      <c r="L218" s="931"/>
      <c r="M218" s="931"/>
      <c r="N218" s="931"/>
      <c r="O218" s="931"/>
      <c r="P218" s="931"/>
      <c r="Q218" s="931"/>
      <c r="R218" s="931"/>
      <c r="S218" s="931"/>
      <c r="T218" s="931"/>
      <c r="U218" s="931"/>
      <c r="V218" s="931"/>
      <c r="W218" s="931"/>
      <c r="X218" s="931"/>
      <c r="Y218" s="931"/>
      <c r="Z218" s="941" t="str">
        <f t="shared" si="71"/>
        <v/>
      </c>
      <c r="AA218" s="941" t="str">
        <f t="shared" si="72"/>
        <v/>
      </c>
      <c r="AB218" s="941" t="str">
        <f t="shared" si="73"/>
        <v/>
      </c>
      <c r="AC218" s="941" t="str">
        <f t="shared" si="74"/>
        <v/>
      </c>
      <c r="AD218" s="941" t="str">
        <f t="shared" si="75"/>
        <v/>
      </c>
      <c r="AE218" s="941" t="str">
        <f t="shared" si="76"/>
        <v/>
      </c>
      <c r="AF218" s="941" t="str">
        <f t="shared" si="77"/>
        <v/>
      </c>
      <c r="AG218" s="941" t="str">
        <f t="shared" si="78"/>
        <v/>
      </c>
      <c r="AH218" s="941" t="str">
        <f t="shared" si="79"/>
        <v/>
      </c>
      <c r="AI218" s="941" t="str">
        <f t="shared" si="80"/>
        <v/>
      </c>
      <c r="AJ218" s="941" t="str">
        <f t="shared" si="81"/>
        <v/>
      </c>
      <c r="AK218" s="941" t="str">
        <f t="shared" si="82"/>
        <v/>
      </c>
      <c r="AL218" s="941" t="str">
        <f t="shared" si="83"/>
        <v/>
      </c>
      <c r="AM218" s="941" t="str">
        <f t="shared" si="84"/>
        <v/>
      </c>
      <c r="AN218" s="941" t="str">
        <f t="shared" si="85"/>
        <v/>
      </c>
      <c r="AO218" s="941" t="str">
        <f t="shared" si="86"/>
        <v/>
      </c>
      <c r="AP218" s="895">
        <f>IF(AO218&lt;0,"No hi ha pèrdua",IFERROR(SUM(AA218:AO218)*'7. Erosió de costa'!$C$86/1000000,""))</f>
        <v>0</v>
      </c>
    </row>
    <row r="219" spans="1:42">
      <c r="A219" s="835">
        <v>8218</v>
      </c>
      <c r="B219" s="826" t="s">
        <v>1482</v>
      </c>
      <c r="C219" s="835" t="str">
        <f t="shared" si="66"/>
        <v>NA</v>
      </c>
      <c r="D219" s="923" t="str">
        <f t="shared" si="67"/>
        <v>NA</v>
      </c>
      <c r="E219" s="931" t="str">
        <f t="shared" si="68"/>
        <v>NA</v>
      </c>
      <c r="F219" s="926" t="str">
        <f t="shared" si="69"/>
        <v>NA</v>
      </c>
      <c r="G219" s="923" t="str">
        <f t="shared" si="70"/>
        <v>NA</v>
      </c>
      <c r="H219" s="931" t="str">
        <f>IFERROR(IF((G219*'7. Erosió de costa'!$C$86/1000000)&lt;0,"guanya sorra",G219*'7. Erosió de costa'!$C$86/1000000),"")</f>
        <v/>
      </c>
      <c r="I219" s="937" t="str">
        <f>IFERROR(IF(('A. Dades de partida'!$D$10*G219*'7. Erosió de costa'!$C$86/1000000)&lt;0,"guanya sorra",'A. Dades de partida'!$D$10*G219*'7. Erosió de costa'!$C$86/1000000),"")</f>
        <v/>
      </c>
      <c r="J219" s="931" t="str">
        <f t="shared" si="65"/>
        <v>NA</v>
      </c>
      <c r="K219" s="931"/>
      <c r="L219" s="931"/>
      <c r="M219" s="931"/>
      <c r="N219" s="931"/>
      <c r="O219" s="931"/>
      <c r="P219" s="931"/>
      <c r="Q219" s="931"/>
      <c r="R219" s="931"/>
      <c r="S219" s="931"/>
      <c r="T219" s="931"/>
      <c r="U219" s="931"/>
      <c r="V219" s="931"/>
      <c r="W219" s="931"/>
      <c r="X219" s="931"/>
      <c r="Y219" s="931"/>
      <c r="Z219" s="941" t="str">
        <f t="shared" si="71"/>
        <v/>
      </c>
      <c r="AA219" s="941" t="str">
        <f t="shared" si="72"/>
        <v/>
      </c>
      <c r="AB219" s="941" t="str">
        <f t="shared" si="73"/>
        <v/>
      </c>
      <c r="AC219" s="941" t="str">
        <f t="shared" si="74"/>
        <v/>
      </c>
      <c r="AD219" s="941" t="str">
        <f t="shared" si="75"/>
        <v/>
      </c>
      <c r="AE219" s="941" t="str">
        <f t="shared" si="76"/>
        <v/>
      </c>
      <c r="AF219" s="941" t="str">
        <f t="shared" si="77"/>
        <v/>
      </c>
      <c r="AG219" s="941" t="str">
        <f t="shared" si="78"/>
        <v/>
      </c>
      <c r="AH219" s="941" t="str">
        <f t="shared" si="79"/>
        <v/>
      </c>
      <c r="AI219" s="941" t="str">
        <f t="shared" si="80"/>
        <v/>
      </c>
      <c r="AJ219" s="941" t="str">
        <f t="shared" si="81"/>
        <v/>
      </c>
      <c r="AK219" s="941" t="str">
        <f t="shared" si="82"/>
        <v/>
      </c>
      <c r="AL219" s="941" t="str">
        <f t="shared" si="83"/>
        <v/>
      </c>
      <c r="AM219" s="941" t="str">
        <f t="shared" si="84"/>
        <v/>
      </c>
      <c r="AN219" s="941" t="str">
        <f t="shared" si="85"/>
        <v/>
      </c>
      <c r="AO219" s="941" t="str">
        <f t="shared" si="86"/>
        <v/>
      </c>
      <c r="AP219" s="895">
        <f>IF(AO219&lt;0,"No hi ha pèrdua",IFERROR(SUM(AA219:AO219)*'7. Erosió de costa'!$C$86/1000000,""))</f>
        <v>0</v>
      </c>
    </row>
    <row r="220" spans="1:42">
      <c r="A220" s="835">
        <v>8219</v>
      </c>
      <c r="B220" s="826" t="s">
        <v>352</v>
      </c>
      <c r="C220" s="835">
        <f t="shared" si="66"/>
        <v>12</v>
      </c>
      <c r="D220" s="923">
        <f t="shared" si="67"/>
        <v>2360</v>
      </c>
      <c r="E220" s="931">
        <f t="shared" si="68"/>
        <v>-1.1100000000000001</v>
      </c>
      <c r="F220" s="926">
        <f t="shared" si="69"/>
        <v>9.0090090090090076</v>
      </c>
      <c r="G220" s="923">
        <f t="shared" si="70"/>
        <v>23600</v>
      </c>
      <c r="H220" s="931">
        <f>IFERROR(IF((G220*'7. Erosió de costa'!$C$86/1000000)&lt;0,"guanya sorra",G220*'7. Erosió de costa'!$C$86/1000000),"")</f>
        <v>0.77880000000000005</v>
      </c>
      <c r="I220" s="937">
        <f>IFERROR(IF(('A. Dades de partida'!$D$10*G220*'7. Erosió de costa'!$C$86/1000000)&lt;0,"guanya sorra",'A. Dades de partida'!$D$10*G220*'7. Erosió de costa'!$C$86/1000000),"")</f>
        <v>11.682</v>
      </c>
      <c r="J220" s="931">
        <f>E220</f>
        <v>-1.1100000000000001</v>
      </c>
      <c r="K220" s="931">
        <f>IF($J220&gt;0, $J220-($J220*'7. Erosió de costa'!D$140*'7. Erosió de costa'!$D$111),$J220+($J220*'7. Erosió de costa'!D$140*'7. Erosió de costa'!$D$111))</f>
        <v>-1.1313880090497739</v>
      </c>
      <c r="L220" s="931">
        <f>IF($J220&gt;0, $J220-($J220*'7. Erosió de costa'!E$140*'7. Erosió de costa'!$D$111),$J220+($J220*'7. Erosió de costa'!E$140*'7. Erosió de costa'!$D$111))</f>
        <v>-1.1527760180995477</v>
      </c>
      <c r="M220" s="931">
        <f>IF($J220&gt;0, $J220-($J220*'7. Erosió de costa'!F$140*'7. Erosió de costa'!$D$111),$J220+($J220*'7. Erosió de costa'!F$140*'7. Erosió de costa'!$D$111))</f>
        <v>-1.1741640271493214</v>
      </c>
      <c r="N220" s="931">
        <f>IF($J220&gt;0, $J220-($J220*'7. Erosió de costa'!G$140*'7. Erosió de costa'!$D$111),$J220+($J220*'7. Erosió de costa'!G$140*'7. Erosió de costa'!$D$111))</f>
        <v>-1.195552036199095</v>
      </c>
      <c r="O220" s="931">
        <f>IF($J220&gt;0, $J220-($J220*'7. Erosió de costa'!H$140*'7. Erosió de costa'!$D$111),$J220+($J220*'7. Erosió de costa'!H$140*'7. Erosió de costa'!$D$111))</f>
        <v>-1.2169400452488688</v>
      </c>
      <c r="P220" s="931">
        <f>IF($J220&gt;0, $J220-($J220*'7. Erosió de costa'!I$140*'7. Erosió de costa'!$D$111),$J220+($J220*'7. Erosió de costa'!I$140*'7. Erosió de costa'!$D$111))</f>
        <v>-1.2383280542986426</v>
      </c>
      <c r="Q220" s="931">
        <f>IF($J220&gt;0, $J220-($J220*'7. Erosió de costa'!J$140*'7. Erosió de costa'!$D$111),$J220+($J220*'7. Erosió de costa'!J$140*'7. Erosió de costa'!$D$111))</f>
        <v>-1.2597160633484163</v>
      </c>
      <c r="R220" s="931">
        <f>IF($J220&gt;0, $J220-($J220*'7. Erosió de costa'!K$140*'7. Erosió de costa'!$D$111),$J220+($J220*'7. Erosió de costa'!K$140*'7. Erosió de costa'!$D$111))</f>
        <v>-1.2811040723981901</v>
      </c>
      <c r="S220" s="931">
        <f>IF($J220&gt;0, $J220-($J220*'7. Erosió de costa'!L$140*'7. Erosió de costa'!$D$111),$J220+($J220*'7. Erosió de costa'!L$140*'7. Erosió de costa'!$D$111))</f>
        <v>-1.3024920814479639</v>
      </c>
      <c r="T220" s="931">
        <f>IF($J220&gt;0, $J220-($J220*'7. Erosió de costa'!M$140*'7. Erosió de costa'!$D$111),$J220+($J220*'7. Erosió de costa'!M$140*'7. Erosió de costa'!$D$111))</f>
        <v>-1.3238800904977377</v>
      </c>
      <c r="U220" s="931">
        <f>IF($J220&gt;0, $J220-($J220*'7. Erosió de costa'!N$140*'7. Erosió de costa'!$D$111),$J220+($J220*'7. Erosió de costa'!N$140*'7. Erosió de costa'!$D$111))</f>
        <v>-1.3452680995475115</v>
      </c>
      <c r="V220" s="931">
        <f>IF($J220&gt;0, $J220-($J220*'7. Erosió de costa'!O$140*'7. Erosió de costa'!$D$111),$J220+($J220*'7. Erosió de costa'!O$140*'7. Erosió de costa'!$D$111))</f>
        <v>-1.3666561085972853</v>
      </c>
      <c r="W220" s="931">
        <f>IF($J220&gt;0, $J220-($J220*'7. Erosió de costa'!P$140*'7. Erosió de costa'!$D$111),$J220+($J220*'7. Erosió de costa'!P$140*'7. Erosió de costa'!$D$111))</f>
        <v>-1.388044117647059</v>
      </c>
      <c r="X220" s="931">
        <f>IF($J220&gt;0, $J220-($J220*'7. Erosió de costa'!Q$140*'7. Erosió de costa'!$D$111),$J220+($J220*'7. Erosió de costa'!Q$140*'7. Erosió de costa'!$D$111))</f>
        <v>-1.4094321266968328</v>
      </c>
      <c r="Y220" s="931">
        <f>IF($J220&gt;0, $J220-($J220*'7. Erosió de costa'!R$140*'7. Erosió de costa'!$D$111),$J220+($J220*'7. Erosió de costa'!R$140*'7. Erosió de costa'!$D$111))</f>
        <v>-1.4308201357466064</v>
      </c>
      <c r="Z220" s="941">
        <f t="shared" si="71"/>
        <v>23600</v>
      </c>
      <c r="AA220" s="941">
        <f t="shared" si="72"/>
        <v>24054.736048265459</v>
      </c>
      <c r="AB220" s="941">
        <f t="shared" si="73"/>
        <v>24509.472096530921</v>
      </c>
      <c r="AC220" s="941">
        <f t="shared" si="74"/>
        <v>24964.208144796383</v>
      </c>
      <c r="AD220" s="941">
        <f t="shared" si="75"/>
        <v>25418.944193061834</v>
      </c>
      <c r="AE220" s="941">
        <f t="shared" si="76"/>
        <v>25873.680241327296</v>
      </c>
      <c r="AF220" s="941">
        <f t="shared" si="77"/>
        <v>26328.416289592758</v>
      </c>
      <c r="AG220" s="941">
        <f t="shared" si="78"/>
        <v>26783.152337858217</v>
      </c>
      <c r="AH220" s="941">
        <f t="shared" si="79"/>
        <v>27237.888386123679</v>
      </c>
      <c r="AI220" s="941">
        <f t="shared" si="80"/>
        <v>27692.624434389141</v>
      </c>
      <c r="AJ220" s="941">
        <f t="shared" si="81"/>
        <v>28147.3604826546</v>
      </c>
      <c r="AK220" s="941">
        <f t="shared" si="82"/>
        <v>28602.096530920058</v>
      </c>
      <c r="AL220" s="941">
        <f t="shared" si="83"/>
        <v>29056.83257918552</v>
      </c>
      <c r="AM220" s="941">
        <f t="shared" si="84"/>
        <v>29511.568627450979</v>
      </c>
      <c r="AN220" s="941">
        <f t="shared" si="85"/>
        <v>29966.304675716441</v>
      </c>
      <c r="AO220" s="941">
        <f t="shared" si="86"/>
        <v>30421.040723981896</v>
      </c>
      <c r="AP220" s="895">
        <f>IF(AO220&lt;0,"No hi ha pèrdua",IFERROR(SUM(AA220:AO220)*'7. Erosió de costa'!$C$86/1000000,""))</f>
        <v>13.482754751131221</v>
      </c>
    </row>
    <row r="221" spans="1:42">
      <c r="A221" s="835">
        <v>8220</v>
      </c>
      <c r="B221" s="826" t="s">
        <v>1485</v>
      </c>
      <c r="C221" s="835" t="str">
        <f t="shared" si="66"/>
        <v>NA</v>
      </c>
      <c r="D221" s="923" t="str">
        <f t="shared" si="67"/>
        <v>NA</v>
      </c>
      <c r="E221" s="931" t="str">
        <f t="shared" si="68"/>
        <v>NA</v>
      </c>
      <c r="F221" s="926" t="str">
        <f t="shared" si="69"/>
        <v>NA</v>
      </c>
      <c r="G221" s="923" t="str">
        <f t="shared" si="70"/>
        <v>NA</v>
      </c>
      <c r="H221" s="931" t="str">
        <f>IFERROR(IF((G221*'7. Erosió de costa'!$C$86/1000000)&lt;0,"guanya sorra",G221*'7. Erosió de costa'!$C$86/1000000),"")</f>
        <v/>
      </c>
      <c r="I221" s="937" t="str">
        <f>IFERROR(IF(('A. Dades de partida'!$D$10*G221*'7. Erosió de costa'!$C$86/1000000)&lt;0,"guanya sorra",'A. Dades de partida'!$D$10*G221*'7. Erosió de costa'!$C$86/1000000),"")</f>
        <v/>
      </c>
      <c r="J221" s="931" t="str">
        <f t="shared" si="65"/>
        <v>NA</v>
      </c>
      <c r="K221" s="931"/>
      <c r="L221" s="931"/>
      <c r="M221" s="931"/>
      <c r="N221" s="931"/>
      <c r="O221" s="931"/>
      <c r="P221" s="931"/>
      <c r="Q221" s="931"/>
      <c r="R221" s="931"/>
      <c r="S221" s="931"/>
      <c r="T221" s="931"/>
      <c r="U221" s="931"/>
      <c r="V221" s="931"/>
      <c r="W221" s="931"/>
      <c r="X221" s="931"/>
      <c r="Y221" s="931"/>
      <c r="Z221" s="941" t="str">
        <f t="shared" si="71"/>
        <v/>
      </c>
      <c r="AA221" s="941" t="str">
        <f t="shared" si="72"/>
        <v/>
      </c>
      <c r="AB221" s="941" t="str">
        <f t="shared" si="73"/>
        <v/>
      </c>
      <c r="AC221" s="941" t="str">
        <f t="shared" si="74"/>
        <v/>
      </c>
      <c r="AD221" s="941" t="str">
        <f t="shared" si="75"/>
        <v/>
      </c>
      <c r="AE221" s="941" t="str">
        <f t="shared" si="76"/>
        <v/>
      </c>
      <c r="AF221" s="941" t="str">
        <f t="shared" si="77"/>
        <v/>
      </c>
      <c r="AG221" s="941" t="str">
        <f t="shared" si="78"/>
        <v/>
      </c>
      <c r="AH221" s="941" t="str">
        <f t="shared" si="79"/>
        <v/>
      </c>
      <c r="AI221" s="941" t="str">
        <f t="shared" si="80"/>
        <v/>
      </c>
      <c r="AJ221" s="941" t="str">
        <f t="shared" si="81"/>
        <v/>
      </c>
      <c r="AK221" s="941" t="str">
        <f t="shared" si="82"/>
        <v/>
      </c>
      <c r="AL221" s="941" t="str">
        <f t="shared" si="83"/>
        <v/>
      </c>
      <c r="AM221" s="941" t="str">
        <f t="shared" si="84"/>
        <v/>
      </c>
      <c r="AN221" s="941" t="str">
        <f t="shared" si="85"/>
        <v/>
      </c>
      <c r="AO221" s="941" t="str">
        <f t="shared" si="86"/>
        <v/>
      </c>
      <c r="AP221" s="895">
        <f>IF(AO221&lt;0,"No hi ha pèrdua",IFERROR(SUM(AA221:AO221)*'7. Erosió de costa'!$C$86/1000000,""))</f>
        <v>0</v>
      </c>
    </row>
    <row r="222" spans="1:42">
      <c r="A222" s="835">
        <v>8221</v>
      </c>
      <c r="B222" s="826" t="s">
        <v>1489</v>
      </c>
      <c r="C222" s="835" t="str">
        <f t="shared" si="66"/>
        <v>NA</v>
      </c>
      <c r="D222" s="923" t="str">
        <f t="shared" si="67"/>
        <v>NA</v>
      </c>
      <c r="E222" s="931" t="str">
        <f t="shared" si="68"/>
        <v>NA</v>
      </c>
      <c r="F222" s="926" t="str">
        <f t="shared" si="69"/>
        <v>NA</v>
      </c>
      <c r="G222" s="923" t="str">
        <f t="shared" si="70"/>
        <v>NA</v>
      </c>
      <c r="H222" s="931" t="str">
        <f>IFERROR(IF((G222*'7. Erosió de costa'!$C$86/1000000)&lt;0,"guanya sorra",G222*'7. Erosió de costa'!$C$86/1000000),"")</f>
        <v/>
      </c>
      <c r="I222" s="937" t="str">
        <f>IFERROR(IF(('A. Dades de partida'!$D$10*G222*'7. Erosió de costa'!$C$86/1000000)&lt;0,"guanya sorra",'A. Dades de partida'!$D$10*G222*'7. Erosió de costa'!$C$86/1000000),"")</f>
        <v/>
      </c>
      <c r="J222" s="931" t="str">
        <f t="shared" si="65"/>
        <v>NA</v>
      </c>
      <c r="K222" s="931"/>
      <c r="L222" s="931"/>
      <c r="M222" s="931"/>
      <c r="N222" s="931"/>
      <c r="O222" s="931"/>
      <c r="P222" s="931"/>
      <c r="Q222" s="931"/>
      <c r="R222" s="931"/>
      <c r="S222" s="931"/>
      <c r="T222" s="931"/>
      <c r="U222" s="931"/>
      <c r="V222" s="931"/>
      <c r="W222" s="931"/>
      <c r="X222" s="931"/>
      <c r="Y222" s="931"/>
      <c r="Z222" s="941" t="str">
        <f t="shared" si="71"/>
        <v/>
      </c>
      <c r="AA222" s="941" t="str">
        <f t="shared" si="72"/>
        <v/>
      </c>
      <c r="AB222" s="941" t="str">
        <f t="shared" si="73"/>
        <v/>
      </c>
      <c r="AC222" s="941" t="str">
        <f t="shared" si="74"/>
        <v/>
      </c>
      <c r="AD222" s="941" t="str">
        <f t="shared" si="75"/>
        <v/>
      </c>
      <c r="AE222" s="941" t="str">
        <f t="shared" si="76"/>
        <v/>
      </c>
      <c r="AF222" s="941" t="str">
        <f t="shared" si="77"/>
        <v/>
      </c>
      <c r="AG222" s="941" t="str">
        <f t="shared" si="78"/>
        <v/>
      </c>
      <c r="AH222" s="941" t="str">
        <f t="shared" si="79"/>
        <v/>
      </c>
      <c r="AI222" s="941" t="str">
        <f t="shared" si="80"/>
        <v/>
      </c>
      <c r="AJ222" s="941" t="str">
        <f t="shared" si="81"/>
        <v/>
      </c>
      <c r="AK222" s="941" t="str">
        <f t="shared" si="82"/>
        <v/>
      </c>
      <c r="AL222" s="941" t="str">
        <f t="shared" si="83"/>
        <v/>
      </c>
      <c r="AM222" s="941" t="str">
        <f t="shared" si="84"/>
        <v/>
      </c>
      <c r="AN222" s="941" t="str">
        <f t="shared" si="85"/>
        <v/>
      </c>
      <c r="AO222" s="941" t="str">
        <f t="shared" si="86"/>
        <v/>
      </c>
      <c r="AP222" s="895">
        <f>IF(AO222&lt;0,"No hi ha pèrdua",IFERROR(SUM(AA222:AO222)*'7. Erosió de costa'!$C$86/1000000,""))</f>
        <v>0</v>
      </c>
    </row>
    <row r="223" spans="1:42">
      <c r="A223" s="835">
        <v>8222</v>
      </c>
      <c r="B223" s="826" t="s">
        <v>1490</v>
      </c>
      <c r="C223" s="835" t="str">
        <f t="shared" si="66"/>
        <v>NA</v>
      </c>
      <c r="D223" s="923" t="str">
        <f t="shared" si="67"/>
        <v>NA</v>
      </c>
      <c r="E223" s="931" t="str">
        <f t="shared" si="68"/>
        <v>NA</v>
      </c>
      <c r="F223" s="926" t="str">
        <f t="shared" si="69"/>
        <v>NA</v>
      </c>
      <c r="G223" s="923" t="str">
        <f t="shared" si="70"/>
        <v>NA</v>
      </c>
      <c r="H223" s="931" t="str">
        <f>IFERROR(IF((G223*'7. Erosió de costa'!$C$86/1000000)&lt;0,"guanya sorra",G223*'7. Erosió de costa'!$C$86/1000000),"")</f>
        <v/>
      </c>
      <c r="I223" s="937" t="str">
        <f>IFERROR(IF(('A. Dades de partida'!$D$10*G223*'7. Erosió de costa'!$C$86/1000000)&lt;0,"guanya sorra",'A. Dades de partida'!$D$10*G223*'7. Erosió de costa'!$C$86/1000000),"")</f>
        <v/>
      </c>
      <c r="J223" s="931" t="str">
        <f t="shared" si="65"/>
        <v>NA</v>
      </c>
      <c r="K223" s="931"/>
      <c r="L223" s="931"/>
      <c r="M223" s="931"/>
      <c r="N223" s="931"/>
      <c r="O223" s="931"/>
      <c r="P223" s="931"/>
      <c r="Q223" s="931"/>
      <c r="R223" s="931"/>
      <c r="S223" s="931"/>
      <c r="T223" s="931"/>
      <c r="U223" s="931"/>
      <c r="V223" s="931"/>
      <c r="W223" s="931"/>
      <c r="X223" s="931"/>
      <c r="Y223" s="931"/>
      <c r="Z223" s="941" t="str">
        <f t="shared" si="71"/>
        <v/>
      </c>
      <c r="AA223" s="941" t="str">
        <f t="shared" si="72"/>
        <v/>
      </c>
      <c r="AB223" s="941" t="str">
        <f t="shared" si="73"/>
        <v/>
      </c>
      <c r="AC223" s="941" t="str">
        <f t="shared" si="74"/>
        <v/>
      </c>
      <c r="AD223" s="941" t="str">
        <f t="shared" si="75"/>
        <v/>
      </c>
      <c r="AE223" s="941" t="str">
        <f t="shared" si="76"/>
        <v/>
      </c>
      <c r="AF223" s="941" t="str">
        <f t="shared" si="77"/>
        <v/>
      </c>
      <c r="AG223" s="941" t="str">
        <f t="shared" si="78"/>
        <v/>
      </c>
      <c r="AH223" s="941" t="str">
        <f t="shared" si="79"/>
        <v/>
      </c>
      <c r="AI223" s="941" t="str">
        <f t="shared" si="80"/>
        <v/>
      </c>
      <c r="AJ223" s="941" t="str">
        <f t="shared" si="81"/>
        <v/>
      </c>
      <c r="AK223" s="941" t="str">
        <f t="shared" si="82"/>
        <v/>
      </c>
      <c r="AL223" s="941" t="str">
        <f t="shared" si="83"/>
        <v/>
      </c>
      <c r="AM223" s="941" t="str">
        <f t="shared" si="84"/>
        <v/>
      </c>
      <c r="AN223" s="941" t="str">
        <f t="shared" si="85"/>
        <v/>
      </c>
      <c r="AO223" s="941" t="str">
        <f t="shared" si="86"/>
        <v/>
      </c>
      <c r="AP223" s="895">
        <f>IF(AO223&lt;0,"No hi ha pèrdua",IFERROR(SUM(AA223:AO223)*'7. Erosió de costa'!$C$86/1000000,""))</f>
        <v>0</v>
      </c>
    </row>
    <row r="224" spans="1:42">
      <c r="A224" s="835">
        <v>8223</v>
      </c>
      <c r="B224" s="826" t="s">
        <v>1494</v>
      </c>
      <c r="C224" s="835" t="str">
        <f t="shared" si="66"/>
        <v>NA</v>
      </c>
      <c r="D224" s="923" t="str">
        <f t="shared" si="67"/>
        <v>NA</v>
      </c>
      <c r="E224" s="931" t="str">
        <f t="shared" si="68"/>
        <v>NA</v>
      </c>
      <c r="F224" s="926" t="str">
        <f t="shared" si="69"/>
        <v>NA</v>
      </c>
      <c r="G224" s="923" t="str">
        <f t="shared" si="70"/>
        <v>NA</v>
      </c>
      <c r="H224" s="931" t="str">
        <f>IFERROR(IF((G224*'7. Erosió de costa'!$C$86/1000000)&lt;0,"guanya sorra",G224*'7. Erosió de costa'!$C$86/1000000),"")</f>
        <v/>
      </c>
      <c r="I224" s="937" t="str">
        <f>IFERROR(IF(('A. Dades de partida'!$D$10*G224*'7. Erosió de costa'!$C$86/1000000)&lt;0,"guanya sorra",'A. Dades de partida'!$D$10*G224*'7. Erosió de costa'!$C$86/1000000),"")</f>
        <v/>
      </c>
      <c r="J224" s="931" t="str">
        <f t="shared" si="65"/>
        <v>NA</v>
      </c>
      <c r="K224" s="931"/>
      <c r="L224" s="931"/>
      <c r="M224" s="931"/>
      <c r="N224" s="931"/>
      <c r="O224" s="931"/>
      <c r="P224" s="931"/>
      <c r="Q224" s="931"/>
      <c r="R224" s="931"/>
      <c r="S224" s="931"/>
      <c r="T224" s="931"/>
      <c r="U224" s="931"/>
      <c r="V224" s="931"/>
      <c r="W224" s="931"/>
      <c r="X224" s="931"/>
      <c r="Y224" s="931"/>
      <c r="Z224" s="941" t="str">
        <f t="shared" si="71"/>
        <v/>
      </c>
      <c r="AA224" s="941" t="str">
        <f t="shared" si="72"/>
        <v/>
      </c>
      <c r="AB224" s="941" t="str">
        <f t="shared" si="73"/>
        <v/>
      </c>
      <c r="AC224" s="941" t="str">
        <f t="shared" si="74"/>
        <v/>
      </c>
      <c r="AD224" s="941" t="str">
        <f t="shared" si="75"/>
        <v/>
      </c>
      <c r="AE224" s="941" t="str">
        <f t="shared" si="76"/>
        <v/>
      </c>
      <c r="AF224" s="941" t="str">
        <f t="shared" si="77"/>
        <v/>
      </c>
      <c r="AG224" s="941" t="str">
        <f t="shared" si="78"/>
        <v/>
      </c>
      <c r="AH224" s="941" t="str">
        <f t="shared" si="79"/>
        <v/>
      </c>
      <c r="AI224" s="941" t="str">
        <f t="shared" si="80"/>
        <v/>
      </c>
      <c r="AJ224" s="941" t="str">
        <f t="shared" si="81"/>
        <v/>
      </c>
      <c r="AK224" s="941" t="str">
        <f t="shared" si="82"/>
        <v/>
      </c>
      <c r="AL224" s="941" t="str">
        <f t="shared" si="83"/>
        <v/>
      </c>
      <c r="AM224" s="941" t="str">
        <f t="shared" si="84"/>
        <v/>
      </c>
      <c r="AN224" s="941" t="str">
        <f t="shared" si="85"/>
        <v/>
      </c>
      <c r="AO224" s="941" t="str">
        <f t="shared" si="86"/>
        <v/>
      </c>
      <c r="AP224" s="895">
        <f>IF(AO224&lt;0,"No hi ha pèrdua",IFERROR(SUM(AA224:AO224)*'7. Erosió de costa'!$C$86/1000000,""))</f>
        <v>0</v>
      </c>
    </row>
    <row r="225" spans="1:42">
      <c r="A225" s="835">
        <v>8224</v>
      </c>
      <c r="B225" s="826" t="s">
        <v>1496</v>
      </c>
      <c r="C225" s="835" t="str">
        <f t="shared" si="66"/>
        <v>NA</v>
      </c>
      <c r="D225" s="923" t="str">
        <f t="shared" si="67"/>
        <v>NA</v>
      </c>
      <c r="E225" s="931" t="str">
        <f t="shared" si="68"/>
        <v>NA</v>
      </c>
      <c r="F225" s="926" t="str">
        <f t="shared" si="69"/>
        <v>NA</v>
      </c>
      <c r="G225" s="923" t="str">
        <f t="shared" si="70"/>
        <v>NA</v>
      </c>
      <c r="H225" s="931" t="str">
        <f>IFERROR(IF((G225*'7. Erosió de costa'!$C$86/1000000)&lt;0,"guanya sorra",G225*'7. Erosió de costa'!$C$86/1000000),"")</f>
        <v/>
      </c>
      <c r="I225" s="937" t="str">
        <f>IFERROR(IF(('A. Dades de partida'!$D$10*G225*'7. Erosió de costa'!$C$86/1000000)&lt;0,"guanya sorra",'A. Dades de partida'!$D$10*G225*'7. Erosió de costa'!$C$86/1000000),"")</f>
        <v/>
      </c>
      <c r="J225" s="931" t="str">
        <f t="shared" si="65"/>
        <v>NA</v>
      </c>
      <c r="K225" s="931"/>
      <c r="L225" s="931"/>
      <c r="M225" s="931"/>
      <c r="N225" s="931"/>
      <c r="O225" s="931"/>
      <c r="P225" s="931"/>
      <c r="Q225" s="931"/>
      <c r="R225" s="931"/>
      <c r="S225" s="931"/>
      <c r="T225" s="931"/>
      <c r="U225" s="931"/>
      <c r="V225" s="931"/>
      <c r="W225" s="931"/>
      <c r="X225" s="931"/>
      <c r="Y225" s="931"/>
      <c r="Z225" s="941" t="str">
        <f t="shared" si="71"/>
        <v/>
      </c>
      <c r="AA225" s="941" t="str">
        <f t="shared" si="72"/>
        <v/>
      </c>
      <c r="AB225" s="941" t="str">
        <f t="shared" si="73"/>
        <v/>
      </c>
      <c r="AC225" s="941" t="str">
        <f t="shared" si="74"/>
        <v/>
      </c>
      <c r="AD225" s="941" t="str">
        <f t="shared" si="75"/>
        <v/>
      </c>
      <c r="AE225" s="941" t="str">
        <f t="shared" si="76"/>
        <v/>
      </c>
      <c r="AF225" s="941" t="str">
        <f t="shared" si="77"/>
        <v/>
      </c>
      <c r="AG225" s="941" t="str">
        <f t="shared" si="78"/>
        <v/>
      </c>
      <c r="AH225" s="941" t="str">
        <f t="shared" si="79"/>
        <v/>
      </c>
      <c r="AI225" s="941" t="str">
        <f t="shared" si="80"/>
        <v/>
      </c>
      <c r="AJ225" s="941" t="str">
        <f t="shared" si="81"/>
        <v/>
      </c>
      <c r="AK225" s="941" t="str">
        <f t="shared" si="82"/>
        <v/>
      </c>
      <c r="AL225" s="941" t="str">
        <f t="shared" si="83"/>
        <v/>
      </c>
      <c r="AM225" s="941" t="str">
        <f t="shared" si="84"/>
        <v/>
      </c>
      <c r="AN225" s="941" t="str">
        <f t="shared" si="85"/>
        <v/>
      </c>
      <c r="AO225" s="941" t="str">
        <f t="shared" si="86"/>
        <v/>
      </c>
      <c r="AP225" s="895">
        <f>IF(AO225&lt;0,"No hi ha pèrdua",IFERROR(SUM(AA225:AO225)*'7. Erosió de costa'!$C$86/1000000,""))</f>
        <v>0</v>
      </c>
    </row>
    <row r="226" spans="1:42">
      <c r="A226" s="835">
        <v>8225</v>
      </c>
      <c r="B226" s="826" t="s">
        <v>1499</v>
      </c>
      <c r="C226" s="835" t="str">
        <f t="shared" si="66"/>
        <v>NA</v>
      </c>
      <c r="D226" s="923" t="str">
        <f t="shared" si="67"/>
        <v>NA</v>
      </c>
      <c r="E226" s="931" t="str">
        <f t="shared" si="68"/>
        <v>NA</v>
      </c>
      <c r="F226" s="926" t="str">
        <f t="shared" si="69"/>
        <v>NA</v>
      </c>
      <c r="G226" s="923" t="str">
        <f t="shared" si="70"/>
        <v>NA</v>
      </c>
      <c r="H226" s="931" t="str">
        <f>IFERROR(IF((G226*'7. Erosió de costa'!$C$86/1000000)&lt;0,"guanya sorra",G226*'7. Erosió de costa'!$C$86/1000000),"")</f>
        <v/>
      </c>
      <c r="I226" s="937" t="str">
        <f>IFERROR(IF(('A. Dades de partida'!$D$10*G226*'7. Erosió de costa'!$C$86/1000000)&lt;0,"guanya sorra",'A. Dades de partida'!$D$10*G226*'7. Erosió de costa'!$C$86/1000000),"")</f>
        <v/>
      </c>
      <c r="J226" s="931" t="str">
        <f t="shared" si="65"/>
        <v>NA</v>
      </c>
      <c r="K226" s="931"/>
      <c r="L226" s="931"/>
      <c r="M226" s="931"/>
      <c r="N226" s="931"/>
      <c r="O226" s="931"/>
      <c r="P226" s="931"/>
      <c r="Q226" s="931"/>
      <c r="R226" s="931"/>
      <c r="S226" s="931"/>
      <c r="T226" s="931"/>
      <c r="U226" s="931"/>
      <c r="V226" s="931"/>
      <c r="W226" s="931"/>
      <c r="X226" s="931"/>
      <c r="Y226" s="931"/>
      <c r="Z226" s="941" t="str">
        <f t="shared" si="71"/>
        <v/>
      </c>
      <c r="AA226" s="941" t="str">
        <f t="shared" si="72"/>
        <v/>
      </c>
      <c r="AB226" s="941" t="str">
        <f t="shared" si="73"/>
        <v/>
      </c>
      <c r="AC226" s="941" t="str">
        <f t="shared" si="74"/>
        <v/>
      </c>
      <c r="AD226" s="941" t="str">
        <f t="shared" si="75"/>
        <v/>
      </c>
      <c r="AE226" s="941" t="str">
        <f t="shared" si="76"/>
        <v/>
      </c>
      <c r="AF226" s="941" t="str">
        <f t="shared" si="77"/>
        <v/>
      </c>
      <c r="AG226" s="941" t="str">
        <f t="shared" si="78"/>
        <v/>
      </c>
      <c r="AH226" s="941" t="str">
        <f t="shared" si="79"/>
        <v/>
      </c>
      <c r="AI226" s="941" t="str">
        <f t="shared" si="80"/>
        <v/>
      </c>
      <c r="AJ226" s="941" t="str">
        <f t="shared" si="81"/>
        <v/>
      </c>
      <c r="AK226" s="941" t="str">
        <f t="shared" si="82"/>
        <v/>
      </c>
      <c r="AL226" s="941" t="str">
        <f t="shared" si="83"/>
        <v/>
      </c>
      <c r="AM226" s="941" t="str">
        <f t="shared" si="84"/>
        <v/>
      </c>
      <c r="AN226" s="941" t="str">
        <f t="shared" si="85"/>
        <v/>
      </c>
      <c r="AO226" s="941" t="str">
        <f t="shared" si="86"/>
        <v/>
      </c>
      <c r="AP226" s="895">
        <f>IF(AO226&lt;0,"No hi ha pèrdua",IFERROR(SUM(AA226:AO226)*'7. Erosió de costa'!$C$86/1000000,""))</f>
        <v>0</v>
      </c>
    </row>
    <row r="227" spans="1:42">
      <c r="A227" s="835">
        <v>8226</v>
      </c>
      <c r="B227" s="826" t="s">
        <v>1501</v>
      </c>
      <c r="C227" s="835" t="str">
        <f t="shared" si="66"/>
        <v>NA</v>
      </c>
      <c r="D227" s="923" t="str">
        <f t="shared" si="67"/>
        <v>NA</v>
      </c>
      <c r="E227" s="931" t="str">
        <f t="shared" si="68"/>
        <v>NA</v>
      </c>
      <c r="F227" s="926" t="str">
        <f t="shared" si="69"/>
        <v>NA</v>
      </c>
      <c r="G227" s="923" t="str">
        <f t="shared" si="70"/>
        <v>NA</v>
      </c>
      <c r="H227" s="931" t="str">
        <f>IFERROR(IF((G227*'7. Erosió de costa'!$C$86/1000000)&lt;0,"guanya sorra",G227*'7. Erosió de costa'!$C$86/1000000),"")</f>
        <v/>
      </c>
      <c r="I227" s="937" t="str">
        <f>IFERROR(IF(('A. Dades de partida'!$D$10*G227*'7. Erosió de costa'!$C$86/1000000)&lt;0,"guanya sorra",'A. Dades de partida'!$D$10*G227*'7. Erosió de costa'!$C$86/1000000),"")</f>
        <v/>
      </c>
      <c r="J227" s="931" t="str">
        <f t="shared" si="65"/>
        <v>NA</v>
      </c>
      <c r="K227" s="931"/>
      <c r="L227" s="931"/>
      <c r="M227" s="931"/>
      <c r="N227" s="931"/>
      <c r="O227" s="931"/>
      <c r="P227" s="931"/>
      <c r="Q227" s="931"/>
      <c r="R227" s="931"/>
      <c r="S227" s="931"/>
      <c r="T227" s="931"/>
      <c r="U227" s="931"/>
      <c r="V227" s="931"/>
      <c r="W227" s="931"/>
      <c r="X227" s="931"/>
      <c r="Y227" s="931"/>
      <c r="Z227" s="941" t="str">
        <f t="shared" si="71"/>
        <v/>
      </c>
      <c r="AA227" s="941" t="str">
        <f t="shared" si="72"/>
        <v/>
      </c>
      <c r="AB227" s="941" t="str">
        <f t="shared" si="73"/>
        <v/>
      </c>
      <c r="AC227" s="941" t="str">
        <f t="shared" si="74"/>
        <v/>
      </c>
      <c r="AD227" s="941" t="str">
        <f t="shared" si="75"/>
        <v/>
      </c>
      <c r="AE227" s="941" t="str">
        <f t="shared" si="76"/>
        <v/>
      </c>
      <c r="AF227" s="941" t="str">
        <f t="shared" si="77"/>
        <v/>
      </c>
      <c r="AG227" s="941" t="str">
        <f t="shared" si="78"/>
        <v/>
      </c>
      <c r="AH227" s="941" t="str">
        <f t="shared" si="79"/>
        <v/>
      </c>
      <c r="AI227" s="941" t="str">
        <f t="shared" si="80"/>
        <v/>
      </c>
      <c r="AJ227" s="941" t="str">
        <f t="shared" si="81"/>
        <v/>
      </c>
      <c r="AK227" s="941" t="str">
        <f t="shared" si="82"/>
        <v/>
      </c>
      <c r="AL227" s="941" t="str">
        <f t="shared" si="83"/>
        <v/>
      </c>
      <c r="AM227" s="941" t="str">
        <f t="shared" si="84"/>
        <v/>
      </c>
      <c r="AN227" s="941" t="str">
        <f t="shared" si="85"/>
        <v/>
      </c>
      <c r="AO227" s="941" t="str">
        <f t="shared" si="86"/>
        <v/>
      </c>
      <c r="AP227" s="895">
        <f>IF(AO227&lt;0,"No hi ha pèrdua",IFERROR(SUM(AA227:AO227)*'7. Erosió de costa'!$C$86/1000000,""))</f>
        <v>0</v>
      </c>
    </row>
    <row r="228" spans="1:42">
      <c r="A228" s="835">
        <v>8227</v>
      </c>
      <c r="B228" s="826" t="s">
        <v>1506</v>
      </c>
      <c r="C228" s="835" t="str">
        <f t="shared" si="66"/>
        <v>NA</v>
      </c>
      <c r="D228" s="923" t="str">
        <f t="shared" si="67"/>
        <v>NA</v>
      </c>
      <c r="E228" s="931" t="str">
        <f t="shared" si="68"/>
        <v>NA</v>
      </c>
      <c r="F228" s="926" t="str">
        <f t="shared" si="69"/>
        <v>NA</v>
      </c>
      <c r="G228" s="923" t="str">
        <f t="shared" si="70"/>
        <v>NA</v>
      </c>
      <c r="H228" s="931" t="str">
        <f>IFERROR(IF((G228*'7. Erosió de costa'!$C$86/1000000)&lt;0,"guanya sorra",G228*'7. Erosió de costa'!$C$86/1000000),"")</f>
        <v/>
      </c>
      <c r="I228" s="937" t="str">
        <f>IFERROR(IF(('A. Dades de partida'!$D$10*G228*'7. Erosió de costa'!$C$86/1000000)&lt;0,"guanya sorra",'A. Dades de partida'!$D$10*G228*'7. Erosió de costa'!$C$86/1000000),"")</f>
        <v/>
      </c>
      <c r="J228" s="931" t="str">
        <f t="shared" si="65"/>
        <v>NA</v>
      </c>
      <c r="K228" s="931"/>
      <c r="L228" s="931"/>
      <c r="M228" s="931"/>
      <c r="N228" s="931"/>
      <c r="O228" s="931"/>
      <c r="P228" s="931"/>
      <c r="Q228" s="931"/>
      <c r="R228" s="931"/>
      <c r="S228" s="931"/>
      <c r="T228" s="931"/>
      <c r="U228" s="931"/>
      <c r="V228" s="931"/>
      <c r="W228" s="931"/>
      <c r="X228" s="931"/>
      <c r="Y228" s="931"/>
      <c r="Z228" s="941" t="str">
        <f t="shared" si="71"/>
        <v/>
      </c>
      <c r="AA228" s="941" t="str">
        <f t="shared" si="72"/>
        <v/>
      </c>
      <c r="AB228" s="941" t="str">
        <f t="shared" si="73"/>
        <v/>
      </c>
      <c r="AC228" s="941" t="str">
        <f t="shared" si="74"/>
        <v/>
      </c>
      <c r="AD228" s="941" t="str">
        <f t="shared" si="75"/>
        <v/>
      </c>
      <c r="AE228" s="941" t="str">
        <f t="shared" si="76"/>
        <v/>
      </c>
      <c r="AF228" s="941" t="str">
        <f t="shared" si="77"/>
        <v/>
      </c>
      <c r="AG228" s="941" t="str">
        <f t="shared" si="78"/>
        <v/>
      </c>
      <c r="AH228" s="941" t="str">
        <f t="shared" si="79"/>
        <v/>
      </c>
      <c r="AI228" s="941" t="str">
        <f t="shared" si="80"/>
        <v/>
      </c>
      <c r="AJ228" s="941" t="str">
        <f t="shared" si="81"/>
        <v/>
      </c>
      <c r="AK228" s="941" t="str">
        <f t="shared" si="82"/>
        <v/>
      </c>
      <c r="AL228" s="941" t="str">
        <f t="shared" si="83"/>
        <v/>
      </c>
      <c r="AM228" s="941" t="str">
        <f t="shared" si="84"/>
        <v/>
      </c>
      <c r="AN228" s="941" t="str">
        <f t="shared" si="85"/>
        <v/>
      </c>
      <c r="AO228" s="941" t="str">
        <f t="shared" si="86"/>
        <v/>
      </c>
      <c r="AP228" s="895">
        <f>IF(AO228&lt;0,"No hi ha pèrdua",IFERROR(SUM(AA228:AO228)*'7. Erosió de costa'!$C$86/1000000,""))</f>
        <v>0</v>
      </c>
    </row>
    <row r="229" spans="1:42">
      <c r="A229" s="835">
        <v>8228</v>
      </c>
      <c r="B229" s="826" t="s">
        <v>1510</v>
      </c>
      <c r="C229" s="835" t="str">
        <f t="shared" si="66"/>
        <v>NA</v>
      </c>
      <c r="D229" s="923" t="str">
        <f t="shared" si="67"/>
        <v>NA</v>
      </c>
      <c r="E229" s="931" t="str">
        <f t="shared" si="68"/>
        <v>NA</v>
      </c>
      <c r="F229" s="926" t="str">
        <f t="shared" si="69"/>
        <v>NA</v>
      </c>
      <c r="G229" s="923" t="str">
        <f t="shared" si="70"/>
        <v>NA</v>
      </c>
      <c r="H229" s="931" t="str">
        <f>IFERROR(IF((G229*'7. Erosió de costa'!$C$86/1000000)&lt;0,"guanya sorra",G229*'7. Erosió de costa'!$C$86/1000000),"")</f>
        <v/>
      </c>
      <c r="I229" s="937" t="str">
        <f>IFERROR(IF(('A. Dades de partida'!$D$10*G229*'7. Erosió de costa'!$C$86/1000000)&lt;0,"guanya sorra",'A. Dades de partida'!$D$10*G229*'7. Erosió de costa'!$C$86/1000000),"")</f>
        <v/>
      </c>
      <c r="J229" s="931" t="str">
        <f t="shared" si="65"/>
        <v>NA</v>
      </c>
      <c r="K229" s="931"/>
      <c r="L229" s="931"/>
      <c r="M229" s="931"/>
      <c r="N229" s="931"/>
      <c r="O229" s="931"/>
      <c r="P229" s="931"/>
      <c r="Q229" s="931"/>
      <c r="R229" s="931"/>
      <c r="S229" s="931"/>
      <c r="T229" s="931"/>
      <c r="U229" s="931"/>
      <c r="V229" s="931"/>
      <c r="W229" s="931"/>
      <c r="X229" s="931"/>
      <c r="Y229" s="931"/>
      <c r="Z229" s="941" t="str">
        <f t="shared" si="71"/>
        <v/>
      </c>
      <c r="AA229" s="941" t="str">
        <f t="shared" si="72"/>
        <v/>
      </c>
      <c r="AB229" s="941" t="str">
        <f t="shared" si="73"/>
        <v/>
      </c>
      <c r="AC229" s="941" t="str">
        <f t="shared" si="74"/>
        <v/>
      </c>
      <c r="AD229" s="941" t="str">
        <f t="shared" si="75"/>
        <v/>
      </c>
      <c r="AE229" s="941" t="str">
        <f t="shared" si="76"/>
        <v/>
      </c>
      <c r="AF229" s="941" t="str">
        <f t="shared" si="77"/>
        <v/>
      </c>
      <c r="AG229" s="941" t="str">
        <f t="shared" si="78"/>
        <v/>
      </c>
      <c r="AH229" s="941" t="str">
        <f t="shared" si="79"/>
        <v/>
      </c>
      <c r="AI229" s="941" t="str">
        <f t="shared" si="80"/>
        <v/>
      </c>
      <c r="AJ229" s="941" t="str">
        <f t="shared" si="81"/>
        <v/>
      </c>
      <c r="AK229" s="941" t="str">
        <f t="shared" si="82"/>
        <v/>
      </c>
      <c r="AL229" s="941" t="str">
        <f t="shared" si="83"/>
        <v/>
      </c>
      <c r="AM229" s="941" t="str">
        <f t="shared" si="84"/>
        <v/>
      </c>
      <c r="AN229" s="941" t="str">
        <f t="shared" si="85"/>
        <v/>
      </c>
      <c r="AO229" s="941" t="str">
        <f t="shared" si="86"/>
        <v/>
      </c>
      <c r="AP229" s="895">
        <f>IF(AO229&lt;0,"No hi ha pèrdua",IFERROR(SUM(AA229:AO229)*'7. Erosió de costa'!$C$86/1000000,""))</f>
        <v>0</v>
      </c>
    </row>
    <row r="230" spans="1:42">
      <c r="A230" s="835">
        <v>8229</v>
      </c>
      <c r="B230" s="826" t="s">
        <v>1511</v>
      </c>
      <c r="C230" s="835" t="str">
        <f t="shared" si="66"/>
        <v>NA</v>
      </c>
      <c r="D230" s="923" t="str">
        <f t="shared" si="67"/>
        <v>NA</v>
      </c>
      <c r="E230" s="931" t="str">
        <f t="shared" si="68"/>
        <v>NA</v>
      </c>
      <c r="F230" s="926" t="str">
        <f t="shared" si="69"/>
        <v>NA</v>
      </c>
      <c r="G230" s="923" t="str">
        <f t="shared" si="70"/>
        <v>NA</v>
      </c>
      <c r="H230" s="931" t="str">
        <f>IFERROR(IF((G230*'7. Erosió de costa'!$C$86/1000000)&lt;0,"guanya sorra",G230*'7. Erosió de costa'!$C$86/1000000),"")</f>
        <v/>
      </c>
      <c r="I230" s="937" t="str">
        <f>IFERROR(IF(('A. Dades de partida'!$D$10*G230*'7. Erosió de costa'!$C$86/1000000)&lt;0,"guanya sorra",'A. Dades de partida'!$D$10*G230*'7. Erosió de costa'!$C$86/1000000),"")</f>
        <v/>
      </c>
      <c r="J230" s="931" t="str">
        <f t="shared" si="65"/>
        <v>NA</v>
      </c>
      <c r="K230" s="931"/>
      <c r="L230" s="931"/>
      <c r="M230" s="931"/>
      <c r="N230" s="931"/>
      <c r="O230" s="931"/>
      <c r="P230" s="931"/>
      <c r="Q230" s="931"/>
      <c r="R230" s="931"/>
      <c r="S230" s="931"/>
      <c r="T230" s="931"/>
      <c r="U230" s="931"/>
      <c r="V230" s="931"/>
      <c r="W230" s="931"/>
      <c r="X230" s="931"/>
      <c r="Y230" s="931"/>
      <c r="Z230" s="941" t="str">
        <f t="shared" si="71"/>
        <v/>
      </c>
      <c r="AA230" s="941" t="str">
        <f t="shared" si="72"/>
        <v/>
      </c>
      <c r="AB230" s="941" t="str">
        <f t="shared" si="73"/>
        <v/>
      </c>
      <c r="AC230" s="941" t="str">
        <f t="shared" si="74"/>
        <v/>
      </c>
      <c r="AD230" s="941" t="str">
        <f t="shared" si="75"/>
        <v/>
      </c>
      <c r="AE230" s="941" t="str">
        <f t="shared" si="76"/>
        <v/>
      </c>
      <c r="AF230" s="941" t="str">
        <f t="shared" si="77"/>
        <v/>
      </c>
      <c r="AG230" s="941" t="str">
        <f t="shared" si="78"/>
        <v/>
      </c>
      <c r="AH230" s="941" t="str">
        <f t="shared" si="79"/>
        <v/>
      </c>
      <c r="AI230" s="941" t="str">
        <f t="shared" si="80"/>
        <v/>
      </c>
      <c r="AJ230" s="941" t="str">
        <f t="shared" si="81"/>
        <v/>
      </c>
      <c r="AK230" s="941" t="str">
        <f t="shared" si="82"/>
        <v/>
      </c>
      <c r="AL230" s="941" t="str">
        <f t="shared" si="83"/>
        <v/>
      </c>
      <c r="AM230" s="941" t="str">
        <f t="shared" si="84"/>
        <v/>
      </c>
      <c r="AN230" s="941" t="str">
        <f t="shared" si="85"/>
        <v/>
      </c>
      <c r="AO230" s="941" t="str">
        <f t="shared" si="86"/>
        <v/>
      </c>
      <c r="AP230" s="895">
        <f>IF(AO230&lt;0,"No hi ha pèrdua",IFERROR(SUM(AA230:AO230)*'7. Erosió de costa'!$C$86/1000000,""))</f>
        <v>0</v>
      </c>
    </row>
    <row r="231" spans="1:42">
      <c r="A231" s="835">
        <v>8230</v>
      </c>
      <c r="B231" s="826" t="s">
        <v>1513</v>
      </c>
      <c r="C231" s="835" t="str">
        <f t="shared" si="66"/>
        <v>NA</v>
      </c>
      <c r="D231" s="923" t="str">
        <f t="shared" si="67"/>
        <v>NA</v>
      </c>
      <c r="E231" s="931" t="str">
        <f t="shared" si="68"/>
        <v>NA</v>
      </c>
      <c r="F231" s="926" t="str">
        <f t="shared" si="69"/>
        <v>NA</v>
      </c>
      <c r="G231" s="923" t="str">
        <f t="shared" si="70"/>
        <v>NA</v>
      </c>
      <c r="H231" s="931" t="str">
        <f>IFERROR(IF((G231*'7. Erosió de costa'!$C$86/1000000)&lt;0,"guanya sorra",G231*'7. Erosió de costa'!$C$86/1000000),"")</f>
        <v/>
      </c>
      <c r="I231" s="937" t="str">
        <f>IFERROR(IF(('A. Dades de partida'!$D$10*G231*'7. Erosió de costa'!$C$86/1000000)&lt;0,"guanya sorra",'A. Dades de partida'!$D$10*G231*'7. Erosió de costa'!$C$86/1000000),"")</f>
        <v/>
      </c>
      <c r="J231" s="931" t="str">
        <f t="shared" si="65"/>
        <v>NA</v>
      </c>
      <c r="K231" s="931"/>
      <c r="L231" s="931"/>
      <c r="M231" s="931"/>
      <c r="N231" s="931"/>
      <c r="O231" s="931"/>
      <c r="P231" s="931"/>
      <c r="Q231" s="931"/>
      <c r="R231" s="931"/>
      <c r="S231" s="931"/>
      <c r="T231" s="931"/>
      <c r="U231" s="931"/>
      <c r="V231" s="931"/>
      <c r="W231" s="931"/>
      <c r="X231" s="931"/>
      <c r="Y231" s="931"/>
      <c r="Z231" s="941" t="str">
        <f t="shared" si="71"/>
        <v/>
      </c>
      <c r="AA231" s="941" t="str">
        <f t="shared" si="72"/>
        <v/>
      </c>
      <c r="AB231" s="941" t="str">
        <f t="shared" si="73"/>
        <v/>
      </c>
      <c r="AC231" s="941" t="str">
        <f t="shared" si="74"/>
        <v/>
      </c>
      <c r="AD231" s="941" t="str">
        <f t="shared" si="75"/>
        <v/>
      </c>
      <c r="AE231" s="941" t="str">
        <f t="shared" si="76"/>
        <v/>
      </c>
      <c r="AF231" s="941" t="str">
        <f t="shared" si="77"/>
        <v/>
      </c>
      <c r="AG231" s="941" t="str">
        <f t="shared" si="78"/>
        <v/>
      </c>
      <c r="AH231" s="941" t="str">
        <f t="shared" si="79"/>
        <v/>
      </c>
      <c r="AI231" s="941" t="str">
        <f t="shared" si="80"/>
        <v/>
      </c>
      <c r="AJ231" s="941" t="str">
        <f t="shared" si="81"/>
        <v/>
      </c>
      <c r="AK231" s="941" t="str">
        <f t="shared" si="82"/>
        <v/>
      </c>
      <c r="AL231" s="941" t="str">
        <f t="shared" si="83"/>
        <v/>
      </c>
      <c r="AM231" s="941" t="str">
        <f t="shared" si="84"/>
        <v/>
      </c>
      <c r="AN231" s="941" t="str">
        <f t="shared" si="85"/>
        <v/>
      </c>
      <c r="AO231" s="941" t="str">
        <f t="shared" si="86"/>
        <v/>
      </c>
      <c r="AP231" s="895">
        <f>IF(AO231&lt;0,"No hi ha pèrdua",IFERROR(SUM(AA231:AO231)*'7. Erosió de costa'!$C$86/1000000,""))</f>
        <v>0</v>
      </c>
    </row>
    <row r="232" spans="1:42">
      <c r="A232" s="835">
        <v>8231</v>
      </c>
      <c r="B232" s="826" t="s">
        <v>1518</v>
      </c>
      <c r="C232" s="835" t="str">
        <f t="shared" si="66"/>
        <v>NA</v>
      </c>
      <c r="D232" s="923" t="str">
        <f t="shared" si="67"/>
        <v>NA</v>
      </c>
      <c r="E232" s="931" t="str">
        <f t="shared" si="68"/>
        <v>NA</v>
      </c>
      <c r="F232" s="926" t="str">
        <f t="shared" si="69"/>
        <v>NA</v>
      </c>
      <c r="G232" s="923" t="str">
        <f t="shared" si="70"/>
        <v>NA</v>
      </c>
      <c r="H232" s="931" t="str">
        <f>IFERROR(IF((G232*'7. Erosió de costa'!$C$86/1000000)&lt;0,"guanya sorra",G232*'7. Erosió de costa'!$C$86/1000000),"")</f>
        <v/>
      </c>
      <c r="I232" s="937" t="str">
        <f>IFERROR(IF(('A. Dades de partida'!$D$10*G232*'7. Erosió de costa'!$C$86/1000000)&lt;0,"guanya sorra",'A. Dades de partida'!$D$10*G232*'7. Erosió de costa'!$C$86/1000000),"")</f>
        <v/>
      </c>
      <c r="J232" s="931" t="str">
        <f t="shared" si="65"/>
        <v>NA</v>
      </c>
      <c r="K232" s="931"/>
      <c r="L232" s="931"/>
      <c r="M232" s="931"/>
      <c r="N232" s="931"/>
      <c r="O232" s="931"/>
      <c r="P232" s="931"/>
      <c r="Q232" s="931"/>
      <c r="R232" s="931"/>
      <c r="S232" s="931"/>
      <c r="T232" s="931"/>
      <c r="U232" s="931"/>
      <c r="V232" s="931"/>
      <c r="W232" s="931"/>
      <c r="X232" s="931"/>
      <c r="Y232" s="931"/>
      <c r="Z232" s="941" t="str">
        <f t="shared" si="71"/>
        <v/>
      </c>
      <c r="AA232" s="941" t="str">
        <f t="shared" si="72"/>
        <v/>
      </c>
      <c r="AB232" s="941" t="str">
        <f t="shared" si="73"/>
        <v/>
      </c>
      <c r="AC232" s="941" t="str">
        <f t="shared" si="74"/>
        <v/>
      </c>
      <c r="AD232" s="941" t="str">
        <f t="shared" si="75"/>
        <v/>
      </c>
      <c r="AE232" s="941" t="str">
        <f t="shared" si="76"/>
        <v/>
      </c>
      <c r="AF232" s="941" t="str">
        <f t="shared" si="77"/>
        <v/>
      </c>
      <c r="AG232" s="941" t="str">
        <f t="shared" si="78"/>
        <v/>
      </c>
      <c r="AH232" s="941" t="str">
        <f t="shared" si="79"/>
        <v/>
      </c>
      <c r="AI232" s="941" t="str">
        <f t="shared" si="80"/>
        <v/>
      </c>
      <c r="AJ232" s="941" t="str">
        <f t="shared" si="81"/>
        <v/>
      </c>
      <c r="AK232" s="941" t="str">
        <f t="shared" si="82"/>
        <v/>
      </c>
      <c r="AL232" s="941" t="str">
        <f t="shared" si="83"/>
        <v/>
      </c>
      <c r="AM232" s="941" t="str">
        <f t="shared" si="84"/>
        <v/>
      </c>
      <c r="AN232" s="941" t="str">
        <f t="shared" si="85"/>
        <v/>
      </c>
      <c r="AO232" s="941" t="str">
        <f t="shared" si="86"/>
        <v/>
      </c>
      <c r="AP232" s="895">
        <f>IF(AO232&lt;0,"No hi ha pèrdua",IFERROR(SUM(AA232:AO232)*'7. Erosió de costa'!$C$86/1000000,""))</f>
        <v>0</v>
      </c>
    </row>
    <row r="233" spans="1:42">
      <c r="A233" s="835">
        <v>8232</v>
      </c>
      <c r="B233" s="826" t="s">
        <v>1523</v>
      </c>
      <c r="C233" s="835" t="str">
        <f t="shared" si="66"/>
        <v>NA</v>
      </c>
      <c r="D233" s="923" t="str">
        <f t="shared" si="67"/>
        <v>NA</v>
      </c>
      <c r="E233" s="931" t="str">
        <f t="shared" si="68"/>
        <v>NA</v>
      </c>
      <c r="F233" s="926" t="str">
        <f t="shared" si="69"/>
        <v>NA</v>
      </c>
      <c r="G233" s="923" t="str">
        <f t="shared" si="70"/>
        <v>NA</v>
      </c>
      <c r="H233" s="931" t="str">
        <f>IFERROR(IF((G233*'7. Erosió de costa'!$C$86/1000000)&lt;0,"guanya sorra",G233*'7. Erosió de costa'!$C$86/1000000),"")</f>
        <v/>
      </c>
      <c r="I233" s="937" t="str">
        <f>IFERROR(IF(('A. Dades de partida'!$D$10*G233*'7. Erosió de costa'!$C$86/1000000)&lt;0,"guanya sorra",'A. Dades de partida'!$D$10*G233*'7. Erosió de costa'!$C$86/1000000),"")</f>
        <v/>
      </c>
      <c r="J233" s="931" t="str">
        <f t="shared" si="65"/>
        <v>NA</v>
      </c>
      <c r="K233" s="931"/>
      <c r="L233" s="931"/>
      <c r="M233" s="931"/>
      <c r="N233" s="931"/>
      <c r="O233" s="931"/>
      <c r="P233" s="931"/>
      <c r="Q233" s="931"/>
      <c r="R233" s="931"/>
      <c r="S233" s="931"/>
      <c r="T233" s="931"/>
      <c r="U233" s="931"/>
      <c r="V233" s="931"/>
      <c r="W233" s="931"/>
      <c r="X233" s="931"/>
      <c r="Y233" s="931"/>
      <c r="Z233" s="941" t="str">
        <f t="shared" si="71"/>
        <v/>
      </c>
      <c r="AA233" s="941" t="str">
        <f t="shared" si="72"/>
        <v/>
      </c>
      <c r="AB233" s="941" t="str">
        <f t="shared" si="73"/>
        <v/>
      </c>
      <c r="AC233" s="941" t="str">
        <f t="shared" si="74"/>
        <v/>
      </c>
      <c r="AD233" s="941" t="str">
        <f t="shared" si="75"/>
        <v/>
      </c>
      <c r="AE233" s="941" t="str">
        <f t="shared" si="76"/>
        <v/>
      </c>
      <c r="AF233" s="941" t="str">
        <f t="shared" si="77"/>
        <v/>
      </c>
      <c r="AG233" s="941" t="str">
        <f t="shared" si="78"/>
        <v/>
      </c>
      <c r="AH233" s="941" t="str">
        <f t="shared" si="79"/>
        <v/>
      </c>
      <c r="AI233" s="941" t="str">
        <f t="shared" si="80"/>
        <v/>
      </c>
      <c r="AJ233" s="941" t="str">
        <f t="shared" si="81"/>
        <v/>
      </c>
      <c r="AK233" s="941" t="str">
        <f t="shared" si="82"/>
        <v/>
      </c>
      <c r="AL233" s="941" t="str">
        <f t="shared" si="83"/>
        <v/>
      </c>
      <c r="AM233" s="941" t="str">
        <f t="shared" si="84"/>
        <v/>
      </c>
      <c r="AN233" s="941" t="str">
        <f t="shared" si="85"/>
        <v/>
      </c>
      <c r="AO233" s="941" t="str">
        <f t="shared" si="86"/>
        <v/>
      </c>
      <c r="AP233" s="895">
        <f>IF(AO233&lt;0,"No hi ha pèrdua",IFERROR(SUM(AA233:AO233)*'7. Erosió de costa'!$C$86/1000000,""))</f>
        <v>0</v>
      </c>
    </row>
    <row r="234" spans="1:42">
      <c r="A234" s="835">
        <v>8233</v>
      </c>
      <c r="B234" s="826" t="s">
        <v>1524</v>
      </c>
      <c r="C234" s="835" t="str">
        <f t="shared" si="66"/>
        <v>NA</v>
      </c>
      <c r="D234" s="923" t="str">
        <f t="shared" si="67"/>
        <v>NA</v>
      </c>
      <c r="E234" s="931" t="str">
        <f t="shared" si="68"/>
        <v>NA</v>
      </c>
      <c r="F234" s="926" t="str">
        <f t="shared" si="69"/>
        <v>NA</v>
      </c>
      <c r="G234" s="923" t="str">
        <f t="shared" si="70"/>
        <v>NA</v>
      </c>
      <c r="H234" s="931" t="str">
        <f>IFERROR(IF((G234*'7. Erosió de costa'!$C$86/1000000)&lt;0,"guanya sorra",G234*'7. Erosió de costa'!$C$86/1000000),"")</f>
        <v/>
      </c>
      <c r="I234" s="937" t="str">
        <f>IFERROR(IF(('A. Dades de partida'!$D$10*G234*'7. Erosió de costa'!$C$86/1000000)&lt;0,"guanya sorra",'A. Dades de partida'!$D$10*G234*'7. Erosió de costa'!$C$86/1000000),"")</f>
        <v/>
      </c>
      <c r="J234" s="931" t="str">
        <f t="shared" si="65"/>
        <v>NA</v>
      </c>
      <c r="K234" s="931"/>
      <c r="L234" s="931"/>
      <c r="M234" s="931"/>
      <c r="N234" s="931"/>
      <c r="O234" s="931"/>
      <c r="P234" s="931"/>
      <c r="Q234" s="931"/>
      <c r="R234" s="931"/>
      <c r="S234" s="931"/>
      <c r="T234" s="931"/>
      <c r="U234" s="931"/>
      <c r="V234" s="931"/>
      <c r="W234" s="931"/>
      <c r="X234" s="931"/>
      <c r="Y234" s="931"/>
      <c r="Z234" s="941" t="str">
        <f t="shared" si="71"/>
        <v/>
      </c>
      <c r="AA234" s="941" t="str">
        <f t="shared" si="72"/>
        <v/>
      </c>
      <c r="AB234" s="941" t="str">
        <f t="shared" si="73"/>
        <v/>
      </c>
      <c r="AC234" s="941" t="str">
        <f t="shared" si="74"/>
        <v/>
      </c>
      <c r="AD234" s="941" t="str">
        <f t="shared" si="75"/>
        <v/>
      </c>
      <c r="AE234" s="941" t="str">
        <f t="shared" si="76"/>
        <v/>
      </c>
      <c r="AF234" s="941" t="str">
        <f t="shared" si="77"/>
        <v/>
      </c>
      <c r="AG234" s="941" t="str">
        <f t="shared" si="78"/>
        <v/>
      </c>
      <c r="AH234" s="941" t="str">
        <f t="shared" si="79"/>
        <v/>
      </c>
      <c r="AI234" s="941" t="str">
        <f t="shared" si="80"/>
        <v/>
      </c>
      <c r="AJ234" s="941" t="str">
        <f t="shared" si="81"/>
        <v/>
      </c>
      <c r="AK234" s="941" t="str">
        <f t="shared" si="82"/>
        <v/>
      </c>
      <c r="AL234" s="941" t="str">
        <f t="shared" si="83"/>
        <v/>
      </c>
      <c r="AM234" s="941" t="str">
        <f t="shared" si="84"/>
        <v/>
      </c>
      <c r="AN234" s="941" t="str">
        <f t="shared" si="85"/>
        <v/>
      </c>
      <c r="AO234" s="941" t="str">
        <f t="shared" si="86"/>
        <v/>
      </c>
      <c r="AP234" s="895">
        <f>IF(AO234&lt;0,"No hi ha pèrdua",IFERROR(SUM(AA234:AO234)*'7. Erosió de costa'!$C$86/1000000,""))</f>
        <v>0</v>
      </c>
    </row>
    <row r="235" spans="1:42">
      <c r="A235" s="835">
        <v>8234</v>
      </c>
      <c r="B235" s="826" t="s">
        <v>1530</v>
      </c>
      <c r="C235" s="835" t="str">
        <f t="shared" si="66"/>
        <v>NA</v>
      </c>
      <c r="D235" s="923" t="str">
        <f t="shared" si="67"/>
        <v>NA</v>
      </c>
      <c r="E235" s="931" t="str">
        <f t="shared" si="68"/>
        <v>NA</v>
      </c>
      <c r="F235" s="926" t="str">
        <f t="shared" si="69"/>
        <v>NA</v>
      </c>
      <c r="G235" s="923" t="str">
        <f t="shared" si="70"/>
        <v>NA</v>
      </c>
      <c r="H235" s="931" t="str">
        <f>IFERROR(IF((G235*'7. Erosió de costa'!$C$86/1000000)&lt;0,"guanya sorra",G235*'7. Erosió de costa'!$C$86/1000000),"")</f>
        <v/>
      </c>
      <c r="I235" s="937" t="str">
        <f>IFERROR(IF(('A. Dades de partida'!$D$10*G235*'7. Erosió de costa'!$C$86/1000000)&lt;0,"guanya sorra",'A. Dades de partida'!$D$10*G235*'7. Erosió de costa'!$C$86/1000000),"")</f>
        <v/>
      </c>
      <c r="J235" s="931" t="str">
        <f t="shared" si="65"/>
        <v>NA</v>
      </c>
      <c r="K235" s="931"/>
      <c r="L235" s="931"/>
      <c r="M235" s="931"/>
      <c r="N235" s="931"/>
      <c r="O235" s="931"/>
      <c r="P235" s="931"/>
      <c r="Q235" s="931"/>
      <c r="R235" s="931"/>
      <c r="S235" s="931"/>
      <c r="T235" s="931"/>
      <c r="U235" s="931"/>
      <c r="V235" s="931"/>
      <c r="W235" s="931"/>
      <c r="X235" s="931"/>
      <c r="Y235" s="931"/>
      <c r="Z235" s="941" t="str">
        <f t="shared" si="71"/>
        <v/>
      </c>
      <c r="AA235" s="941" t="str">
        <f t="shared" si="72"/>
        <v/>
      </c>
      <c r="AB235" s="941" t="str">
        <f t="shared" si="73"/>
        <v/>
      </c>
      <c r="AC235" s="941" t="str">
        <f t="shared" si="74"/>
        <v/>
      </c>
      <c r="AD235" s="941" t="str">
        <f t="shared" si="75"/>
        <v/>
      </c>
      <c r="AE235" s="941" t="str">
        <f t="shared" si="76"/>
        <v/>
      </c>
      <c r="AF235" s="941" t="str">
        <f t="shared" si="77"/>
        <v/>
      </c>
      <c r="AG235" s="941" t="str">
        <f t="shared" si="78"/>
        <v/>
      </c>
      <c r="AH235" s="941" t="str">
        <f t="shared" si="79"/>
        <v/>
      </c>
      <c r="AI235" s="941" t="str">
        <f t="shared" si="80"/>
        <v/>
      </c>
      <c r="AJ235" s="941" t="str">
        <f t="shared" si="81"/>
        <v/>
      </c>
      <c r="AK235" s="941" t="str">
        <f t="shared" si="82"/>
        <v/>
      </c>
      <c r="AL235" s="941" t="str">
        <f t="shared" si="83"/>
        <v/>
      </c>
      <c r="AM235" s="941" t="str">
        <f t="shared" si="84"/>
        <v/>
      </c>
      <c r="AN235" s="941" t="str">
        <f t="shared" si="85"/>
        <v/>
      </c>
      <c r="AO235" s="941" t="str">
        <f t="shared" si="86"/>
        <v/>
      </c>
      <c r="AP235" s="895">
        <f>IF(AO235&lt;0,"No hi ha pèrdua",IFERROR(SUM(AA235:AO235)*'7. Erosió de costa'!$C$86/1000000,""))</f>
        <v>0</v>
      </c>
    </row>
    <row r="236" spans="1:42">
      <c r="A236" s="835">
        <v>8235</v>
      </c>
      <c r="B236" s="826" t="s">
        <v>353</v>
      </c>
      <c r="C236" s="835">
        <f t="shared" si="66"/>
        <v>15</v>
      </c>
      <c r="D236" s="923">
        <f t="shared" si="67"/>
        <v>3910</v>
      </c>
      <c r="E236" s="931">
        <f t="shared" si="68"/>
        <v>-0.78</v>
      </c>
      <c r="F236" s="926">
        <f t="shared" si="69"/>
        <v>9.6853655805620864</v>
      </c>
      <c r="G236" s="923">
        <f t="shared" si="70"/>
        <v>29538.427947598251</v>
      </c>
      <c r="H236" s="931">
        <f>IFERROR(IF((G236*'7. Erosió de costa'!$C$86/1000000)&lt;0,"guanya sorra",G236*'7. Erosió de costa'!$C$86/1000000),"")</f>
        <v>0.97476812227074228</v>
      </c>
      <c r="I236" s="937">
        <f>IFERROR(IF(('A. Dades de partida'!$D$10*G236*'7. Erosió de costa'!$C$86/1000000)&lt;0,"guanya sorra",'A. Dades de partida'!$D$10*G236*'7. Erosió de costa'!$C$86/1000000),"")</f>
        <v>14.621521834061133</v>
      </c>
      <c r="J236" s="931">
        <f>E236</f>
        <v>-0.78</v>
      </c>
      <c r="K236" s="931">
        <f>IF($J236&gt;0, $J236-($J236*'7. Erosió de costa'!D$140*'7. Erosió de costa'!$D$111),$J236+($J236*'7. Erosió de costa'!D$140*'7. Erosió de costa'!$D$111))</f>
        <v>-0.79502941176470587</v>
      </c>
      <c r="L236" s="931">
        <f>IF($J236&gt;0, $J236-($J236*'7. Erosió de costa'!E$140*'7. Erosió de costa'!$D$111),$J236+($J236*'7. Erosió de costa'!E$140*'7. Erosió de costa'!$D$111))</f>
        <v>-0.81005882352941183</v>
      </c>
      <c r="M236" s="931">
        <f>IF($J236&gt;0, $J236-($J236*'7. Erosió de costa'!F$140*'7. Erosió de costa'!$D$111),$J236+($J236*'7. Erosió de costa'!F$140*'7. Erosió de costa'!$D$111))</f>
        <v>-0.82508823529411768</v>
      </c>
      <c r="N236" s="931">
        <f>IF($J236&gt;0, $J236-($J236*'7. Erosió de costa'!G$140*'7. Erosió de costa'!$D$111),$J236+($J236*'7. Erosió de costa'!G$140*'7. Erosió de costa'!$D$111))</f>
        <v>-0.84011764705882352</v>
      </c>
      <c r="O236" s="931">
        <f>IF($J236&gt;0, $J236-($J236*'7. Erosió de costa'!H$140*'7. Erosió de costa'!$D$111),$J236+($J236*'7. Erosió de costa'!H$140*'7. Erosió de costa'!$D$111))</f>
        <v>-0.85514705882352948</v>
      </c>
      <c r="P236" s="931">
        <f>IF($J236&gt;0, $J236-($J236*'7. Erosió de costa'!I$140*'7. Erosió de costa'!$D$111),$J236+($J236*'7. Erosió de costa'!I$140*'7. Erosió de costa'!$D$111))</f>
        <v>-0.87017647058823533</v>
      </c>
      <c r="Q236" s="931">
        <f>IF($J236&gt;0, $J236-($J236*'7. Erosió de costa'!J$140*'7. Erosió de costa'!$D$111),$J236+($J236*'7. Erosió de costa'!J$140*'7. Erosió de costa'!$D$111))</f>
        <v>-0.88520588235294118</v>
      </c>
      <c r="R236" s="931">
        <f>IF($J236&gt;0, $J236-($J236*'7. Erosió de costa'!K$140*'7. Erosió de costa'!$D$111),$J236+($J236*'7. Erosió de costa'!K$140*'7. Erosió de costa'!$D$111))</f>
        <v>-0.90023529411764713</v>
      </c>
      <c r="S236" s="931">
        <f>IF($J236&gt;0, $J236-($J236*'7. Erosió de costa'!L$140*'7. Erosió de costa'!$D$111),$J236+($J236*'7. Erosió de costa'!L$140*'7. Erosió de costa'!$D$111))</f>
        <v>-0.91526470588235298</v>
      </c>
      <c r="T236" s="931">
        <f>IF($J236&gt;0, $J236-($J236*'7. Erosió de costa'!M$140*'7. Erosió de costa'!$D$111),$J236+($J236*'7. Erosió de costa'!M$140*'7. Erosió de costa'!$D$111))</f>
        <v>-0.93029411764705883</v>
      </c>
      <c r="U236" s="931">
        <f>IF($J236&gt;0, $J236-($J236*'7. Erosió de costa'!N$140*'7. Erosió de costa'!$D$111),$J236+($J236*'7. Erosió de costa'!N$140*'7. Erosió de costa'!$D$111))</f>
        <v>-0.94532352941176478</v>
      </c>
      <c r="V236" s="931">
        <f>IF($J236&gt;0, $J236-($J236*'7. Erosió de costa'!O$140*'7. Erosió de costa'!$D$111),$J236+($J236*'7. Erosió de costa'!O$140*'7. Erosió de costa'!$D$111))</f>
        <v>-0.96035294117647063</v>
      </c>
      <c r="W236" s="931">
        <f>IF($J236&gt;0, $J236-($J236*'7. Erosió de costa'!P$140*'7. Erosió de costa'!$D$111),$J236+($J236*'7. Erosió de costa'!P$140*'7. Erosió de costa'!$D$111))</f>
        <v>-0.97538235294117648</v>
      </c>
      <c r="X236" s="931">
        <f>IF($J236&gt;0, $J236-($J236*'7. Erosió de costa'!Q$140*'7. Erosió de costa'!$D$111),$J236+($J236*'7. Erosió de costa'!Q$140*'7. Erosió de costa'!$D$111))</f>
        <v>-0.99041176470588232</v>
      </c>
      <c r="Y236" s="931">
        <f>IF($J236&gt;0, $J236-($J236*'7. Erosió de costa'!R$140*'7. Erosió de costa'!$D$111),$J236+($J236*'7. Erosió de costa'!R$140*'7. Erosió de costa'!$D$111))</f>
        <v>-1.0054411764705882</v>
      </c>
      <c r="Z236" s="941">
        <f t="shared" si="71"/>
        <v>29538.427947598251</v>
      </c>
      <c r="AA236" s="941">
        <f t="shared" si="72"/>
        <v>30107.588455939982</v>
      </c>
      <c r="AB236" s="941">
        <f t="shared" si="73"/>
        <v>30676.748964281716</v>
      </c>
      <c r="AC236" s="941">
        <f t="shared" si="74"/>
        <v>31245.909472623447</v>
      </c>
      <c r="AD236" s="941">
        <f t="shared" si="75"/>
        <v>31815.069980965178</v>
      </c>
      <c r="AE236" s="941">
        <f t="shared" si="76"/>
        <v>32384.230489306912</v>
      </c>
      <c r="AF236" s="941">
        <f t="shared" si="77"/>
        <v>32953.390997648639</v>
      </c>
      <c r="AG236" s="941">
        <f t="shared" si="78"/>
        <v>33522.55150599037</v>
      </c>
      <c r="AH236" s="941">
        <f t="shared" si="79"/>
        <v>34091.712014332101</v>
      </c>
      <c r="AI236" s="941">
        <f t="shared" si="80"/>
        <v>34660.872522673832</v>
      </c>
      <c r="AJ236" s="941">
        <f t="shared" si="81"/>
        <v>35230.033031015562</v>
      </c>
      <c r="AK236" s="941">
        <f t="shared" si="82"/>
        <v>35799.193539357293</v>
      </c>
      <c r="AL236" s="941">
        <f t="shared" si="83"/>
        <v>36368.354047699024</v>
      </c>
      <c r="AM236" s="941">
        <f t="shared" si="84"/>
        <v>36937.514556040755</v>
      </c>
      <c r="AN236" s="941">
        <f t="shared" si="85"/>
        <v>37506.675064382485</v>
      </c>
      <c r="AO236" s="941">
        <f t="shared" si="86"/>
        <v>38075.835572724216</v>
      </c>
      <c r="AP236" s="895">
        <f>IF(AO236&lt;0,"No hi ha pèrdua",IFERROR(SUM(AA236:AO236)*'7. Erosió de costa'!$C$86/1000000,""))</f>
        <v>16.875397447094389</v>
      </c>
    </row>
    <row r="237" spans="1:42">
      <c r="A237" s="835">
        <v>8236</v>
      </c>
      <c r="B237" s="826" t="s">
        <v>1532</v>
      </c>
      <c r="C237" s="835" t="str">
        <f t="shared" si="66"/>
        <v>NA</v>
      </c>
      <c r="D237" s="923" t="str">
        <f t="shared" si="67"/>
        <v>NA</v>
      </c>
      <c r="E237" s="931" t="str">
        <f t="shared" si="68"/>
        <v>NA</v>
      </c>
      <c r="F237" s="926" t="str">
        <f t="shared" si="69"/>
        <v>NA</v>
      </c>
      <c r="G237" s="923" t="str">
        <f t="shared" si="70"/>
        <v>NA</v>
      </c>
      <c r="H237" s="931" t="str">
        <f>IFERROR(IF((G237*'7. Erosió de costa'!$C$86/1000000)&lt;0,"guanya sorra",G237*'7. Erosió de costa'!$C$86/1000000),"")</f>
        <v/>
      </c>
      <c r="I237" s="937" t="str">
        <f>IFERROR(IF(('A. Dades de partida'!$D$10*G237*'7. Erosió de costa'!$C$86/1000000)&lt;0,"guanya sorra",'A. Dades de partida'!$D$10*G237*'7. Erosió de costa'!$C$86/1000000),"")</f>
        <v/>
      </c>
      <c r="J237" s="931" t="str">
        <f t="shared" si="65"/>
        <v>NA</v>
      </c>
      <c r="K237" s="931"/>
      <c r="L237" s="931"/>
      <c r="M237" s="931"/>
      <c r="N237" s="931"/>
      <c r="O237" s="931"/>
      <c r="P237" s="931"/>
      <c r="Q237" s="931"/>
      <c r="R237" s="931"/>
      <c r="S237" s="931"/>
      <c r="T237" s="931"/>
      <c r="U237" s="931"/>
      <c r="V237" s="931"/>
      <c r="W237" s="931"/>
      <c r="X237" s="931"/>
      <c r="Y237" s="931"/>
      <c r="Z237" s="941" t="str">
        <f t="shared" si="71"/>
        <v/>
      </c>
      <c r="AA237" s="941" t="str">
        <f t="shared" si="72"/>
        <v/>
      </c>
      <c r="AB237" s="941" t="str">
        <f t="shared" si="73"/>
        <v/>
      </c>
      <c r="AC237" s="941" t="str">
        <f t="shared" si="74"/>
        <v/>
      </c>
      <c r="AD237" s="941" t="str">
        <f t="shared" si="75"/>
        <v/>
      </c>
      <c r="AE237" s="941" t="str">
        <f t="shared" si="76"/>
        <v/>
      </c>
      <c r="AF237" s="941" t="str">
        <f t="shared" si="77"/>
        <v/>
      </c>
      <c r="AG237" s="941" t="str">
        <f t="shared" si="78"/>
        <v/>
      </c>
      <c r="AH237" s="941" t="str">
        <f t="shared" si="79"/>
        <v/>
      </c>
      <c r="AI237" s="941" t="str">
        <f t="shared" si="80"/>
        <v/>
      </c>
      <c r="AJ237" s="941" t="str">
        <f t="shared" si="81"/>
        <v/>
      </c>
      <c r="AK237" s="941" t="str">
        <f t="shared" si="82"/>
        <v/>
      </c>
      <c r="AL237" s="941" t="str">
        <f t="shared" si="83"/>
        <v/>
      </c>
      <c r="AM237" s="941" t="str">
        <f t="shared" si="84"/>
        <v/>
      </c>
      <c r="AN237" s="941" t="str">
        <f t="shared" si="85"/>
        <v/>
      </c>
      <c r="AO237" s="941" t="str">
        <f t="shared" si="86"/>
        <v/>
      </c>
      <c r="AP237" s="895">
        <f>IF(AO237&lt;0,"No hi ha pèrdua",IFERROR(SUM(AA237:AO237)*'7. Erosió de costa'!$C$86/1000000,""))</f>
        <v>0</v>
      </c>
    </row>
    <row r="238" spans="1:42">
      <c r="A238" s="835">
        <v>8237</v>
      </c>
      <c r="B238" s="826" t="s">
        <v>1536</v>
      </c>
      <c r="C238" s="835" t="str">
        <f t="shared" si="66"/>
        <v>NA</v>
      </c>
      <c r="D238" s="923" t="str">
        <f t="shared" si="67"/>
        <v>NA</v>
      </c>
      <c r="E238" s="931" t="str">
        <f t="shared" si="68"/>
        <v>NA</v>
      </c>
      <c r="F238" s="926" t="str">
        <f t="shared" si="69"/>
        <v>NA</v>
      </c>
      <c r="G238" s="923" t="str">
        <f t="shared" si="70"/>
        <v>NA</v>
      </c>
      <c r="H238" s="931" t="str">
        <f>IFERROR(IF((G238*'7. Erosió de costa'!$C$86/1000000)&lt;0,"guanya sorra",G238*'7. Erosió de costa'!$C$86/1000000),"")</f>
        <v/>
      </c>
      <c r="I238" s="937" t="str">
        <f>IFERROR(IF(('A. Dades de partida'!$D$10*G238*'7. Erosió de costa'!$C$86/1000000)&lt;0,"guanya sorra",'A. Dades de partida'!$D$10*G238*'7. Erosió de costa'!$C$86/1000000),"")</f>
        <v/>
      </c>
      <c r="J238" s="931" t="str">
        <f t="shared" si="65"/>
        <v>NA</v>
      </c>
      <c r="K238" s="931"/>
      <c r="L238" s="931"/>
      <c r="M238" s="931"/>
      <c r="N238" s="931"/>
      <c r="O238" s="931"/>
      <c r="P238" s="931"/>
      <c r="Q238" s="931"/>
      <c r="R238" s="931"/>
      <c r="S238" s="931"/>
      <c r="T238" s="931"/>
      <c r="U238" s="931"/>
      <c r="V238" s="931"/>
      <c r="W238" s="931"/>
      <c r="X238" s="931"/>
      <c r="Y238" s="931"/>
      <c r="Z238" s="941" t="str">
        <f t="shared" si="71"/>
        <v/>
      </c>
      <c r="AA238" s="941" t="str">
        <f t="shared" si="72"/>
        <v/>
      </c>
      <c r="AB238" s="941" t="str">
        <f t="shared" si="73"/>
        <v/>
      </c>
      <c r="AC238" s="941" t="str">
        <f t="shared" si="74"/>
        <v/>
      </c>
      <c r="AD238" s="941" t="str">
        <f t="shared" si="75"/>
        <v/>
      </c>
      <c r="AE238" s="941" t="str">
        <f t="shared" si="76"/>
        <v/>
      </c>
      <c r="AF238" s="941" t="str">
        <f t="shared" si="77"/>
        <v/>
      </c>
      <c r="AG238" s="941" t="str">
        <f t="shared" si="78"/>
        <v/>
      </c>
      <c r="AH238" s="941" t="str">
        <f t="shared" si="79"/>
        <v/>
      </c>
      <c r="AI238" s="941" t="str">
        <f t="shared" si="80"/>
        <v/>
      </c>
      <c r="AJ238" s="941" t="str">
        <f t="shared" si="81"/>
        <v/>
      </c>
      <c r="AK238" s="941" t="str">
        <f t="shared" si="82"/>
        <v/>
      </c>
      <c r="AL238" s="941" t="str">
        <f t="shared" si="83"/>
        <v/>
      </c>
      <c r="AM238" s="941" t="str">
        <f t="shared" si="84"/>
        <v/>
      </c>
      <c r="AN238" s="941" t="str">
        <f t="shared" si="85"/>
        <v/>
      </c>
      <c r="AO238" s="941" t="str">
        <f t="shared" si="86"/>
        <v/>
      </c>
      <c r="AP238" s="895">
        <f>IF(AO238&lt;0,"No hi ha pèrdua",IFERROR(SUM(AA238:AO238)*'7. Erosió de costa'!$C$86/1000000,""))</f>
        <v>0</v>
      </c>
    </row>
    <row r="239" spans="1:42">
      <c r="A239" s="835">
        <v>8238</v>
      </c>
      <c r="B239" s="826" t="s">
        <v>1538</v>
      </c>
      <c r="C239" s="835" t="str">
        <f t="shared" si="66"/>
        <v>NA</v>
      </c>
      <c r="D239" s="923" t="str">
        <f t="shared" si="67"/>
        <v>NA</v>
      </c>
      <c r="E239" s="931" t="str">
        <f t="shared" si="68"/>
        <v>NA</v>
      </c>
      <c r="F239" s="926" t="str">
        <f t="shared" si="69"/>
        <v>NA</v>
      </c>
      <c r="G239" s="923" t="str">
        <f t="shared" si="70"/>
        <v>NA</v>
      </c>
      <c r="H239" s="931" t="str">
        <f>IFERROR(IF((G239*'7. Erosió de costa'!$C$86/1000000)&lt;0,"guanya sorra",G239*'7. Erosió de costa'!$C$86/1000000),"")</f>
        <v/>
      </c>
      <c r="I239" s="937" t="str">
        <f>IFERROR(IF(('A. Dades de partida'!$D$10*G239*'7. Erosió de costa'!$C$86/1000000)&lt;0,"guanya sorra",'A. Dades de partida'!$D$10*G239*'7. Erosió de costa'!$C$86/1000000),"")</f>
        <v/>
      </c>
      <c r="J239" s="931" t="str">
        <f t="shared" si="65"/>
        <v>NA</v>
      </c>
      <c r="K239" s="931"/>
      <c r="L239" s="931"/>
      <c r="M239" s="931"/>
      <c r="N239" s="931"/>
      <c r="O239" s="931"/>
      <c r="P239" s="931"/>
      <c r="Q239" s="931"/>
      <c r="R239" s="931"/>
      <c r="S239" s="931"/>
      <c r="T239" s="931"/>
      <c r="U239" s="931"/>
      <c r="V239" s="931"/>
      <c r="W239" s="931"/>
      <c r="X239" s="931"/>
      <c r="Y239" s="931"/>
      <c r="Z239" s="941" t="str">
        <f t="shared" si="71"/>
        <v/>
      </c>
      <c r="AA239" s="941" t="str">
        <f t="shared" si="72"/>
        <v/>
      </c>
      <c r="AB239" s="941" t="str">
        <f t="shared" si="73"/>
        <v/>
      </c>
      <c r="AC239" s="941" t="str">
        <f t="shared" si="74"/>
        <v/>
      </c>
      <c r="AD239" s="941" t="str">
        <f t="shared" si="75"/>
        <v/>
      </c>
      <c r="AE239" s="941" t="str">
        <f t="shared" si="76"/>
        <v/>
      </c>
      <c r="AF239" s="941" t="str">
        <f t="shared" si="77"/>
        <v/>
      </c>
      <c r="AG239" s="941" t="str">
        <f t="shared" si="78"/>
        <v/>
      </c>
      <c r="AH239" s="941" t="str">
        <f t="shared" si="79"/>
        <v/>
      </c>
      <c r="AI239" s="941" t="str">
        <f t="shared" si="80"/>
        <v/>
      </c>
      <c r="AJ239" s="941" t="str">
        <f t="shared" si="81"/>
        <v/>
      </c>
      <c r="AK239" s="941" t="str">
        <f t="shared" si="82"/>
        <v/>
      </c>
      <c r="AL239" s="941" t="str">
        <f t="shared" si="83"/>
        <v/>
      </c>
      <c r="AM239" s="941" t="str">
        <f t="shared" si="84"/>
        <v/>
      </c>
      <c r="AN239" s="941" t="str">
        <f t="shared" si="85"/>
        <v/>
      </c>
      <c r="AO239" s="941" t="str">
        <f t="shared" si="86"/>
        <v/>
      </c>
      <c r="AP239" s="895">
        <f>IF(AO239&lt;0,"No hi ha pèrdua",IFERROR(SUM(AA239:AO239)*'7. Erosió de costa'!$C$86/1000000,""))</f>
        <v>0</v>
      </c>
    </row>
    <row r="240" spans="1:42">
      <c r="A240" s="835">
        <v>8239</v>
      </c>
      <c r="B240" s="826" t="s">
        <v>1542</v>
      </c>
      <c r="C240" s="835" t="str">
        <f t="shared" si="66"/>
        <v>NA</v>
      </c>
      <c r="D240" s="923" t="str">
        <f t="shared" si="67"/>
        <v>NA</v>
      </c>
      <c r="E240" s="931" t="str">
        <f t="shared" si="68"/>
        <v>NA</v>
      </c>
      <c r="F240" s="926" t="str">
        <f t="shared" si="69"/>
        <v>NA</v>
      </c>
      <c r="G240" s="923" t="str">
        <f t="shared" si="70"/>
        <v>NA</v>
      </c>
      <c r="H240" s="931" t="str">
        <f>IFERROR(IF((G240*'7. Erosió de costa'!$C$86/1000000)&lt;0,"guanya sorra",G240*'7. Erosió de costa'!$C$86/1000000),"")</f>
        <v/>
      </c>
      <c r="I240" s="937" t="str">
        <f>IFERROR(IF(('A. Dades de partida'!$D$10*G240*'7. Erosió de costa'!$C$86/1000000)&lt;0,"guanya sorra",'A. Dades de partida'!$D$10*G240*'7. Erosió de costa'!$C$86/1000000),"")</f>
        <v/>
      </c>
      <c r="J240" s="931" t="str">
        <f t="shared" si="65"/>
        <v>NA</v>
      </c>
      <c r="K240" s="931"/>
      <c r="L240" s="931"/>
      <c r="M240" s="931"/>
      <c r="N240" s="931"/>
      <c r="O240" s="931"/>
      <c r="P240" s="931"/>
      <c r="Q240" s="931"/>
      <c r="R240" s="931"/>
      <c r="S240" s="931"/>
      <c r="T240" s="931"/>
      <c r="U240" s="931"/>
      <c r="V240" s="931"/>
      <c r="W240" s="931"/>
      <c r="X240" s="931"/>
      <c r="Y240" s="931"/>
      <c r="Z240" s="941" t="str">
        <f t="shared" si="71"/>
        <v/>
      </c>
      <c r="AA240" s="941" t="str">
        <f t="shared" si="72"/>
        <v/>
      </c>
      <c r="AB240" s="941" t="str">
        <f t="shared" si="73"/>
        <v/>
      </c>
      <c r="AC240" s="941" t="str">
        <f t="shared" si="74"/>
        <v/>
      </c>
      <c r="AD240" s="941" t="str">
        <f t="shared" si="75"/>
        <v/>
      </c>
      <c r="AE240" s="941" t="str">
        <f t="shared" si="76"/>
        <v/>
      </c>
      <c r="AF240" s="941" t="str">
        <f t="shared" si="77"/>
        <v/>
      </c>
      <c r="AG240" s="941" t="str">
        <f t="shared" si="78"/>
        <v/>
      </c>
      <c r="AH240" s="941" t="str">
        <f t="shared" si="79"/>
        <v/>
      </c>
      <c r="AI240" s="941" t="str">
        <f t="shared" si="80"/>
        <v/>
      </c>
      <c r="AJ240" s="941" t="str">
        <f t="shared" si="81"/>
        <v/>
      </c>
      <c r="AK240" s="941" t="str">
        <f t="shared" si="82"/>
        <v/>
      </c>
      <c r="AL240" s="941" t="str">
        <f t="shared" si="83"/>
        <v/>
      </c>
      <c r="AM240" s="941" t="str">
        <f t="shared" si="84"/>
        <v/>
      </c>
      <c r="AN240" s="941" t="str">
        <f t="shared" si="85"/>
        <v/>
      </c>
      <c r="AO240" s="941" t="str">
        <f t="shared" si="86"/>
        <v/>
      </c>
      <c r="AP240" s="895">
        <f>IF(AO240&lt;0,"No hi ha pèrdua",IFERROR(SUM(AA240:AO240)*'7. Erosió de costa'!$C$86/1000000,""))</f>
        <v>0</v>
      </c>
    </row>
    <row r="241" spans="1:42">
      <c r="A241" s="835">
        <v>8240</v>
      </c>
      <c r="B241" s="826" t="s">
        <v>1544</v>
      </c>
      <c r="C241" s="835" t="str">
        <f t="shared" si="66"/>
        <v>NA</v>
      </c>
      <c r="D241" s="923" t="str">
        <f t="shared" si="67"/>
        <v>NA</v>
      </c>
      <c r="E241" s="931" t="str">
        <f t="shared" si="68"/>
        <v>NA</v>
      </c>
      <c r="F241" s="926" t="str">
        <f t="shared" si="69"/>
        <v>NA</v>
      </c>
      <c r="G241" s="923" t="str">
        <f t="shared" si="70"/>
        <v>NA</v>
      </c>
      <c r="H241" s="931" t="str">
        <f>IFERROR(IF((G241*'7. Erosió de costa'!$C$86/1000000)&lt;0,"guanya sorra",G241*'7. Erosió de costa'!$C$86/1000000),"")</f>
        <v/>
      </c>
      <c r="I241" s="937" t="str">
        <f>IFERROR(IF(('A. Dades de partida'!$D$10*G241*'7. Erosió de costa'!$C$86/1000000)&lt;0,"guanya sorra",'A. Dades de partida'!$D$10*G241*'7. Erosió de costa'!$C$86/1000000),"")</f>
        <v/>
      </c>
      <c r="J241" s="931" t="str">
        <f t="shared" si="65"/>
        <v>NA</v>
      </c>
      <c r="K241" s="931"/>
      <c r="L241" s="931"/>
      <c r="M241" s="931"/>
      <c r="N241" s="931"/>
      <c r="O241" s="931"/>
      <c r="P241" s="931"/>
      <c r="Q241" s="931"/>
      <c r="R241" s="931"/>
      <c r="S241" s="931"/>
      <c r="T241" s="931"/>
      <c r="U241" s="931"/>
      <c r="V241" s="931"/>
      <c r="W241" s="931"/>
      <c r="X241" s="931"/>
      <c r="Y241" s="931"/>
      <c r="Z241" s="941" t="str">
        <f t="shared" si="71"/>
        <v/>
      </c>
      <c r="AA241" s="941" t="str">
        <f t="shared" si="72"/>
        <v/>
      </c>
      <c r="AB241" s="941" t="str">
        <f t="shared" si="73"/>
        <v/>
      </c>
      <c r="AC241" s="941" t="str">
        <f t="shared" si="74"/>
        <v/>
      </c>
      <c r="AD241" s="941" t="str">
        <f t="shared" si="75"/>
        <v/>
      </c>
      <c r="AE241" s="941" t="str">
        <f t="shared" si="76"/>
        <v/>
      </c>
      <c r="AF241" s="941" t="str">
        <f t="shared" si="77"/>
        <v/>
      </c>
      <c r="AG241" s="941" t="str">
        <f t="shared" si="78"/>
        <v/>
      </c>
      <c r="AH241" s="941" t="str">
        <f t="shared" si="79"/>
        <v/>
      </c>
      <c r="AI241" s="941" t="str">
        <f t="shared" si="80"/>
        <v/>
      </c>
      <c r="AJ241" s="941" t="str">
        <f t="shared" si="81"/>
        <v/>
      </c>
      <c r="AK241" s="941" t="str">
        <f t="shared" si="82"/>
        <v/>
      </c>
      <c r="AL241" s="941" t="str">
        <f t="shared" si="83"/>
        <v/>
      </c>
      <c r="AM241" s="941" t="str">
        <f t="shared" si="84"/>
        <v/>
      </c>
      <c r="AN241" s="941" t="str">
        <f t="shared" si="85"/>
        <v/>
      </c>
      <c r="AO241" s="941" t="str">
        <f t="shared" si="86"/>
        <v/>
      </c>
      <c r="AP241" s="895">
        <f>IF(AO241&lt;0,"No hi ha pèrdua",IFERROR(SUM(AA241:AO241)*'7. Erosió de costa'!$C$86/1000000,""))</f>
        <v>0</v>
      </c>
    </row>
    <row r="242" spans="1:42">
      <c r="A242" s="835">
        <v>8241</v>
      </c>
      <c r="B242" s="826" t="s">
        <v>1549</v>
      </c>
      <c r="C242" s="835" t="str">
        <f t="shared" si="66"/>
        <v>NA</v>
      </c>
      <c r="D242" s="923" t="str">
        <f t="shared" si="67"/>
        <v>NA</v>
      </c>
      <c r="E242" s="931" t="str">
        <f t="shared" si="68"/>
        <v>NA</v>
      </c>
      <c r="F242" s="926" t="str">
        <f t="shared" si="69"/>
        <v>NA</v>
      </c>
      <c r="G242" s="923" t="str">
        <f t="shared" si="70"/>
        <v>NA</v>
      </c>
      <c r="H242" s="931" t="str">
        <f>IFERROR(IF((G242*'7. Erosió de costa'!$C$86/1000000)&lt;0,"guanya sorra",G242*'7. Erosió de costa'!$C$86/1000000),"")</f>
        <v/>
      </c>
      <c r="I242" s="937" t="str">
        <f>IFERROR(IF(('A. Dades de partida'!$D$10*G242*'7. Erosió de costa'!$C$86/1000000)&lt;0,"guanya sorra",'A. Dades de partida'!$D$10*G242*'7. Erosió de costa'!$C$86/1000000),"")</f>
        <v/>
      </c>
      <c r="J242" s="931" t="str">
        <f t="shared" si="65"/>
        <v>NA</v>
      </c>
      <c r="K242" s="931"/>
      <c r="L242" s="931"/>
      <c r="M242" s="931"/>
      <c r="N242" s="931"/>
      <c r="O242" s="931"/>
      <c r="P242" s="931"/>
      <c r="Q242" s="931"/>
      <c r="R242" s="931"/>
      <c r="S242" s="931"/>
      <c r="T242" s="931"/>
      <c r="U242" s="931"/>
      <c r="V242" s="931"/>
      <c r="W242" s="931"/>
      <c r="X242" s="931"/>
      <c r="Y242" s="931"/>
      <c r="Z242" s="941" t="str">
        <f t="shared" si="71"/>
        <v/>
      </c>
      <c r="AA242" s="941" t="str">
        <f t="shared" si="72"/>
        <v/>
      </c>
      <c r="AB242" s="941" t="str">
        <f t="shared" si="73"/>
        <v/>
      </c>
      <c r="AC242" s="941" t="str">
        <f t="shared" si="74"/>
        <v/>
      </c>
      <c r="AD242" s="941" t="str">
        <f t="shared" si="75"/>
        <v/>
      </c>
      <c r="AE242" s="941" t="str">
        <f t="shared" si="76"/>
        <v/>
      </c>
      <c r="AF242" s="941" t="str">
        <f t="shared" si="77"/>
        <v/>
      </c>
      <c r="AG242" s="941" t="str">
        <f t="shared" si="78"/>
        <v/>
      </c>
      <c r="AH242" s="941" t="str">
        <f t="shared" si="79"/>
        <v/>
      </c>
      <c r="AI242" s="941" t="str">
        <f t="shared" si="80"/>
        <v/>
      </c>
      <c r="AJ242" s="941" t="str">
        <f t="shared" si="81"/>
        <v/>
      </c>
      <c r="AK242" s="941" t="str">
        <f t="shared" si="82"/>
        <v/>
      </c>
      <c r="AL242" s="941" t="str">
        <f t="shared" si="83"/>
        <v/>
      </c>
      <c r="AM242" s="941" t="str">
        <f t="shared" si="84"/>
        <v/>
      </c>
      <c r="AN242" s="941" t="str">
        <f t="shared" si="85"/>
        <v/>
      </c>
      <c r="AO242" s="941" t="str">
        <f t="shared" si="86"/>
        <v/>
      </c>
      <c r="AP242" s="895">
        <f>IF(AO242&lt;0,"No hi ha pèrdua",IFERROR(SUM(AA242:AO242)*'7. Erosió de costa'!$C$86/1000000,""))</f>
        <v>0</v>
      </c>
    </row>
    <row r="243" spans="1:42">
      <c r="A243" s="835">
        <v>8242</v>
      </c>
      <c r="B243" s="826" t="s">
        <v>1555</v>
      </c>
      <c r="C243" s="835" t="str">
        <f t="shared" si="66"/>
        <v>NA</v>
      </c>
      <c r="D243" s="923" t="str">
        <f t="shared" si="67"/>
        <v>NA</v>
      </c>
      <c r="E243" s="931" t="str">
        <f t="shared" si="68"/>
        <v>NA</v>
      </c>
      <c r="F243" s="926" t="str">
        <f t="shared" si="69"/>
        <v>NA</v>
      </c>
      <c r="G243" s="923" t="str">
        <f t="shared" si="70"/>
        <v>NA</v>
      </c>
      <c r="H243" s="931" t="str">
        <f>IFERROR(IF((G243*'7. Erosió de costa'!$C$86/1000000)&lt;0,"guanya sorra",G243*'7. Erosió de costa'!$C$86/1000000),"")</f>
        <v/>
      </c>
      <c r="I243" s="937" t="str">
        <f>IFERROR(IF(('A. Dades de partida'!$D$10*G243*'7. Erosió de costa'!$C$86/1000000)&lt;0,"guanya sorra",'A. Dades de partida'!$D$10*G243*'7. Erosió de costa'!$C$86/1000000),"")</f>
        <v/>
      </c>
      <c r="J243" s="931" t="str">
        <f t="shared" si="65"/>
        <v>NA</v>
      </c>
      <c r="K243" s="931"/>
      <c r="L243" s="931"/>
      <c r="M243" s="931"/>
      <c r="N243" s="931"/>
      <c r="O243" s="931"/>
      <c r="P243" s="931"/>
      <c r="Q243" s="931"/>
      <c r="R243" s="931"/>
      <c r="S243" s="931"/>
      <c r="T243" s="931"/>
      <c r="U243" s="931"/>
      <c r="V243" s="931"/>
      <c r="W243" s="931"/>
      <c r="X243" s="931"/>
      <c r="Y243" s="931"/>
      <c r="Z243" s="941" t="str">
        <f t="shared" si="71"/>
        <v/>
      </c>
      <c r="AA243" s="941" t="str">
        <f t="shared" si="72"/>
        <v/>
      </c>
      <c r="AB243" s="941" t="str">
        <f t="shared" si="73"/>
        <v/>
      </c>
      <c r="AC243" s="941" t="str">
        <f t="shared" si="74"/>
        <v/>
      </c>
      <c r="AD243" s="941" t="str">
        <f t="shared" si="75"/>
        <v/>
      </c>
      <c r="AE243" s="941" t="str">
        <f t="shared" si="76"/>
        <v/>
      </c>
      <c r="AF243" s="941" t="str">
        <f t="shared" si="77"/>
        <v/>
      </c>
      <c r="AG243" s="941" t="str">
        <f t="shared" si="78"/>
        <v/>
      </c>
      <c r="AH243" s="941" t="str">
        <f t="shared" si="79"/>
        <v/>
      </c>
      <c r="AI243" s="941" t="str">
        <f t="shared" si="80"/>
        <v/>
      </c>
      <c r="AJ243" s="941" t="str">
        <f t="shared" si="81"/>
        <v/>
      </c>
      <c r="AK243" s="941" t="str">
        <f t="shared" si="82"/>
        <v/>
      </c>
      <c r="AL243" s="941" t="str">
        <f t="shared" si="83"/>
        <v/>
      </c>
      <c r="AM243" s="941" t="str">
        <f t="shared" si="84"/>
        <v/>
      </c>
      <c r="AN243" s="941" t="str">
        <f t="shared" si="85"/>
        <v/>
      </c>
      <c r="AO243" s="941" t="str">
        <f t="shared" si="86"/>
        <v/>
      </c>
      <c r="AP243" s="895">
        <f>IF(AO243&lt;0,"No hi ha pèrdua",IFERROR(SUM(AA243:AO243)*'7. Erosió de costa'!$C$86/1000000,""))</f>
        <v>0</v>
      </c>
    </row>
    <row r="244" spans="1:42">
      <c r="A244" s="835">
        <v>8243</v>
      </c>
      <c r="B244" s="826" t="s">
        <v>1556</v>
      </c>
      <c r="C244" s="835" t="str">
        <f t="shared" si="66"/>
        <v>NA</v>
      </c>
      <c r="D244" s="923" t="str">
        <f t="shared" si="67"/>
        <v>NA</v>
      </c>
      <c r="E244" s="931" t="str">
        <f t="shared" si="68"/>
        <v>NA</v>
      </c>
      <c r="F244" s="926" t="str">
        <f t="shared" si="69"/>
        <v>NA</v>
      </c>
      <c r="G244" s="923" t="str">
        <f t="shared" si="70"/>
        <v>NA</v>
      </c>
      <c r="H244" s="931" t="str">
        <f>IFERROR(IF((G244*'7. Erosió de costa'!$C$86/1000000)&lt;0,"guanya sorra",G244*'7. Erosió de costa'!$C$86/1000000),"")</f>
        <v/>
      </c>
      <c r="I244" s="937" t="str">
        <f>IFERROR(IF(('A. Dades de partida'!$D$10*G244*'7. Erosió de costa'!$C$86/1000000)&lt;0,"guanya sorra",'A. Dades de partida'!$D$10*G244*'7. Erosió de costa'!$C$86/1000000),"")</f>
        <v/>
      </c>
      <c r="J244" s="931" t="str">
        <f t="shared" si="65"/>
        <v>NA</v>
      </c>
      <c r="K244" s="931"/>
      <c r="L244" s="931"/>
      <c r="M244" s="931"/>
      <c r="N244" s="931"/>
      <c r="O244" s="931"/>
      <c r="P244" s="931"/>
      <c r="Q244" s="931"/>
      <c r="R244" s="931"/>
      <c r="S244" s="931"/>
      <c r="T244" s="931"/>
      <c r="U244" s="931"/>
      <c r="V244" s="931"/>
      <c r="W244" s="931"/>
      <c r="X244" s="931"/>
      <c r="Y244" s="931"/>
      <c r="Z244" s="941" t="str">
        <f t="shared" si="71"/>
        <v/>
      </c>
      <c r="AA244" s="941" t="str">
        <f t="shared" si="72"/>
        <v/>
      </c>
      <c r="AB244" s="941" t="str">
        <f t="shared" si="73"/>
        <v/>
      </c>
      <c r="AC244" s="941" t="str">
        <f t="shared" si="74"/>
        <v/>
      </c>
      <c r="AD244" s="941" t="str">
        <f t="shared" si="75"/>
        <v/>
      </c>
      <c r="AE244" s="941" t="str">
        <f t="shared" si="76"/>
        <v/>
      </c>
      <c r="AF244" s="941" t="str">
        <f t="shared" si="77"/>
        <v/>
      </c>
      <c r="AG244" s="941" t="str">
        <f t="shared" si="78"/>
        <v/>
      </c>
      <c r="AH244" s="941" t="str">
        <f t="shared" si="79"/>
        <v/>
      </c>
      <c r="AI244" s="941" t="str">
        <f t="shared" si="80"/>
        <v/>
      </c>
      <c r="AJ244" s="941" t="str">
        <f t="shared" si="81"/>
        <v/>
      </c>
      <c r="AK244" s="941" t="str">
        <f t="shared" si="82"/>
        <v/>
      </c>
      <c r="AL244" s="941" t="str">
        <f t="shared" si="83"/>
        <v/>
      </c>
      <c r="AM244" s="941" t="str">
        <f t="shared" si="84"/>
        <v/>
      </c>
      <c r="AN244" s="941" t="str">
        <f t="shared" si="85"/>
        <v/>
      </c>
      <c r="AO244" s="941" t="str">
        <f t="shared" si="86"/>
        <v/>
      </c>
      <c r="AP244" s="895">
        <f>IF(AO244&lt;0,"No hi ha pèrdua",IFERROR(SUM(AA244:AO244)*'7. Erosió de costa'!$C$86/1000000,""))</f>
        <v>0</v>
      </c>
    </row>
    <row r="245" spans="1:42">
      <c r="A245" s="835">
        <v>8244</v>
      </c>
      <c r="B245" s="826" t="s">
        <v>1558</v>
      </c>
      <c r="C245" s="835" t="str">
        <f t="shared" si="66"/>
        <v>NA</v>
      </c>
      <c r="D245" s="923" t="str">
        <f t="shared" si="67"/>
        <v>NA</v>
      </c>
      <c r="E245" s="931" t="str">
        <f t="shared" si="68"/>
        <v>NA</v>
      </c>
      <c r="F245" s="926" t="str">
        <f t="shared" si="69"/>
        <v>NA</v>
      </c>
      <c r="G245" s="923" t="str">
        <f t="shared" si="70"/>
        <v>NA</v>
      </c>
      <c r="H245" s="931" t="str">
        <f>IFERROR(IF((G245*'7. Erosió de costa'!$C$86/1000000)&lt;0,"guanya sorra",G245*'7. Erosió de costa'!$C$86/1000000),"")</f>
        <v/>
      </c>
      <c r="I245" s="937" t="str">
        <f>IFERROR(IF(('A. Dades de partida'!$D$10*G245*'7. Erosió de costa'!$C$86/1000000)&lt;0,"guanya sorra",'A. Dades de partida'!$D$10*G245*'7. Erosió de costa'!$C$86/1000000),"")</f>
        <v/>
      </c>
      <c r="J245" s="931" t="str">
        <f t="shared" si="65"/>
        <v>NA</v>
      </c>
      <c r="K245" s="931"/>
      <c r="L245" s="931"/>
      <c r="M245" s="931"/>
      <c r="N245" s="931"/>
      <c r="O245" s="931"/>
      <c r="P245" s="931"/>
      <c r="Q245" s="931"/>
      <c r="R245" s="931"/>
      <c r="S245" s="931"/>
      <c r="T245" s="931"/>
      <c r="U245" s="931"/>
      <c r="V245" s="931"/>
      <c r="W245" s="931"/>
      <c r="X245" s="931"/>
      <c r="Y245" s="931"/>
      <c r="Z245" s="941" t="str">
        <f t="shared" si="71"/>
        <v/>
      </c>
      <c r="AA245" s="941" t="str">
        <f t="shared" si="72"/>
        <v/>
      </c>
      <c r="AB245" s="941" t="str">
        <f t="shared" si="73"/>
        <v/>
      </c>
      <c r="AC245" s="941" t="str">
        <f t="shared" si="74"/>
        <v/>
      </c>
      <c r="AD245" s="941" t="str">
        <f t="shared" si="75"/>
        <v/>
      </c>
      <c r="AE245" s="941" t="str">
        <f t="shared" si="76"/>
        <v/>
      </c>
      <c r="AF245" s="941" t="str">
        <f t="shared" si="77"/>
        <v/>
      </c>
      <c r="AG245" s="941" t="str">
        <f t="shared" si="78"/>
        <v/>
      </c>
      <c r="AH245" s="941" t="str">
        <f t="shared" si="79"/>
        <v/>
      </c>
      <c r="AI245" s="941" t="str">
        <f t="shared" si="80"/>
        <v/>
      </c>
      <c r="AJ245" s="941" t="str">
        <f t="shared" si="81"/>
        <v/>
      </c>
      <c r="AK245" s="941" t="str">
        <f t="shared" si="82"/>
        <v/>
      </c>
      <c r="AL245" s="941" t="str">
        <f t="shared" si="83"/>
        <v/>
      </c>
      <c r="AM245" s="941" t="str">
        <f t="shared" si="84"/>
        <v/>
      </c>
      <c r="AN245" s="941" t="str">
        <f t="shared" si="85"/>
        <v/>
      </c>
      <c r="AO245" s="941" t="str">
        <f t="shared" si="86"/>
        <v/>
      </c>
      <c r="AP245" s="895">
        <f>IF(AO245&lt;0,"No hi ha pèrdua",IFERROR(SUM(AA245:AO245)*'7. Erosió de costa'!$C$86/1000000,""))</f>
        <v>0</v>
      </c>
    </row>
    <row r="246" spans="1:42" ht="30">
      <c r="A246" s="835">
        <v>8245</v>
      </c>
      <c r="B246" s="826" t="s">
        <v>1559</v>
      </c>
      <c r="C246" s="835" t="str">
        <f t="shared" si="66"/>
        <v>NA</v>
      </c>
      <c r="D246" s="923" t="str">
        <f t="shared" si="67"/>
        <v>NA</v>
      </c>
      <c r="E246" s="931" t="str">
        <f t="shared" si="68"/>
        <v>NA</v>
      </c>
      <c r="F246" s="926" t="str">
        <f t="shared" si="69"/>
        <v>NA</v>
      </c>
      <c r="G246" s="923" t="str">
        <f t="shared" si="70"/>
        <v>NA</v>
      </c>
      <c r="H246" s="931" t="str">
        <f>IFERROR(IF((G246*'7. Erosió de costa'!$C$86/1000000)&lt;0,"guanya sorra",G246*'7. Erosió de costa'!$C$86/1000000),"")</f>
        <v/>
      </c>
      <c r="I246" s="937" t="str">
        <f>IFERROR(IF(('A. Dades de partida'!$D$10*G246*'7. Erosió de costa'!$C$86/1000000)&lt;0,"guanya sorra",'A. Dades de partida'!$D$10*G246*'7. Erosió de costa'!$C$86/1000000),"")</f>
        <v/>
      </c>
      <c r="J246" s="931" t="str">
        <f t="shared" si="65"/>
        <v>NA</v>
      </c>
      <c r="K246" s="931"/>
      <c r="L246" s="931"/>
      <c r="M246" s="931"/>
      <c r="N246" s="931"/>
      <c r="O246" s="931"/>
      <c r="P246" s="931"/>
      <c r="Q246" s="931"/>
      <c r="R246" s="931"/>
      <c r="S246" s="931"/>
      <c r="T246" s="931"/>
      <c r="U246" s="931"/>
      <c r="V246" s="931"/>
      <c r="W246" s="931"/>
      <c r="X246" s="931"/>
      <c r="Y246" s="931"/>
      <c r="Z246" s="941" t="str">
        <f t="shared" si="71"/>
        <v/>
      </c>
      <c r="AA246" s="941" t="str">
        <f t="shared" si="72"/>
        <v/>
      </c>
      <c r="AB246" s="941" t="str">
        <f t="shared" si="73"/>
        <v/>
      </c>
      <c r="AC246" s="941" t="str">
        <f t="shared" si="74"/>
        <v/>
      </c>
      <c r="AD246" s="941" t="str">
        <f t="shared" si="75"/>
        <v/>
      </c>
      <c r="AE246" s="941" t="str">
        <f t="shared" si="76"/>
        <v/>
      </c>
      <c r="AF246" s="941" t="str">
        <f t="shared" si="77"/>
        <v/>
      </c>
      <c r="AG246" s="941" t="str">
        <f t="shared" si="78"/>
        <v/>
      </c>
      <c r="AH246" s="941" t="str">
        <f t="shared" si="79"/>
        <v/>
      </c>
      <c r="AI246" s="941" t="str">
        <f t="shared" si="80"/>
        <v/>
      </c>
      <c r="AJ246" s="941" t="str">
        <f t="shared" si="81"/>
        <v/>
      </c>
      <c r="AK246" s="941" t="str">
        <f t="shared" si="82"/>
        <v/>
      </c>
      <c r="AL246" s="941" t="str">
        <f t="shared" si="83"/>
        <v/>
      </c>
      <c r="AM246" s="941" t="str">
        <f t="shared" si="84"/>
        <v/>
      </c>
      <c r="AN246" s="941" t="str">
        <f t="shared" si="85"/>
        <v/>
      </c>
      <c r="AO246" s="941" t="str">
        <f t="shared" si="86"/>
        <v/>
      </c>
      <c r="AP246" s="895">
        <f>IF(AO246&lt;0,"No hi ha pèrdua",IFERROR(SUM(AA246:AO246)*'7. Erosió de costa'!$C$86/1000000,""))</f>
        <v>0</v>
      </c>
    </row>
    <row r="247" spans="1:42">
      <c r="A247" s="835">
        <v>8246</v>
      </c>
      <c r="B247" s="826" t="s">
        <v>1561</v>
      </c>
      <c r="C247" s="835" t="str">
        <f t="shared" si="66"/>
        <v>NA</v>
      </c>
      <c r="D247" s="923" t="str">
        <f t="shared" si="67"/>
        <v>NA</v>
      </c>
      <c r="E247" s="931" t="str">
        <f t="shared" si="68"/>
        <v>NA</v>
      </c>
      <c r="F247" s="926" t="str">
        <f t="shared" si="69"/>
        <v>NA</v>
      </c>
      <c r="G247" s="923" t="str">
        <f t="shared" si="70"/>
        <v>NA</v>
      </c>
      <c r="H247" s="931" t="str">
        <f>IFERROR(IF((G247*'7. Erosió de costa'!$C$86/1000000)&lt;0,"guanya sorra",G247*'7. Erosió de costa'!$C$86/1000000),"")</f>
        <v/>
      </c>
      <c r="I247" s="937" t="str">
        <f>IFERROR(IF(('A. Dades de partida'!$D$10*G247*'7. Erosió de costa'!$C$86/1000000)&lt;0,"guanya sorra",'A. Dades de partida'!$D$10*G247*'7. Erosió de costa'!$C$86/1000000),"")</f>
        <v/>
      </c>
      <c r="J247" s="931" t="str">
        <f t="shared" si="65"/>
        <v>NA</v>
      </c>
      <c r="K247" s="931"/>
      <c r="L247" s="931"/>
      <c r="M247" s="931"/>
      <c r="N247" s="931"/>
      <c r="O247" s="931"/>
      <c r="P247" s="931"/>
      <c r="Q247" s="931"/>
      <c r="R247" s="931"/>
      <c r="S247" s="931"/>
      <c r="T247" s="931"/>
      <c r="U247" s="931"/>
      <c r="V247" s="931"/>
      <c r="W247" s="931"/>
      <c r="X247" s="931"/>
      <c r="Y247" s="931"/>
      <c r="Z247" s="941" t="str">
        <f t="shared" si="71"/>
        <v/>
      </c>
      <c r="AA247" s="941" t="str">
        <f t="shared" si="72"/>
        <v/>
      </c>
      <c r="AB247" s="941" t="str">
        <f t="shared" si="73"/>
        <v/>
      </c>
      <c r="AC247" s="941" t="str">
        <f t="shared" si="74"/>
        <v/>
      </c>
      <c r="AD247" s="941" t="str">
        <f t="shared" si="75"/>
        <v/>
      </c>
      <c r="AE247" s="941" t="str">
        <f t="shared" si="76"/>
        <v/>
      </c>
      <c r="AF247" s="941" t="str">
        <f t="shared" si="77"/>
        <v/>
      </c>
      <c r="AG247" s="941" t="str">
        <f t="shared" si="78"/>
        <v/>
      </c>
      <c r="AH247" s="941" t="str">
        <f t="shared" si="79"/>
        <v/>
      </c>
      <c r="AI247" s="941" t="str">
        <f t="shared" si="80"/>
        <v/>
      </c>
      <c r="AJ247" s="941" t="str">
        <f t="shared" si="81"/>
        <v/>
      </c>
      <c r="AK247" s="941" t="str">
        <f t="shared" si="82"/>
        <v/>
      </c>
      <c r="AL247" s="941" t="str">
        <f t="shared" si="83"/>
        <v/>
      </c>
      <c r="AM247" s="941" t="str">
        <f t="shared" si="84"/>
        <v/>
      </c>
      <c r="AN247" s="941" t="str">
        <f t="shared" si="85"/>
        <v/>
      </c>
      <c r="AO247" s="941" t="str">
        <f t="shared" si="86"/>
        <v/>
      </c>
      <c r="AP247" s="895">
        <f>IF(AO247&lt;0,"No hi ha pèrdua",IFERROR(SUM(AA247:AO247)*'7. Erosió de costa'!$C$86/1000000,""))</f>
        <v>0</v>
      </c>
    </row>
    <row r="248" spans="1:42" ht="30">
      <c r="A248" s="835">
        <v>8247</v>
      </c>
      <c r="B248" s="826" t="s">
        <v>1562</v>
      </c>
      <c r="C248" s="835" t="str">
        <f t="shared" si="66"/>
        <v>NA</v>
      </c>
      <c r="D248" s="923" t="str">
        <f t="shared" si="67"/>
        <v>NA</v>
      </c>
      <c r="E248" s="931" t="str">
        <f t="shared" si="68"/>
        <v>NA</v>
      </c>
      <c r="F248" s="926" t="str">
        <f t="shared" si="69"/>
        <v>NA</v>
      </c>
      <c r="G248" s="923" t="str">
        <f t="shared" si="70"/>
        <v>NA</v>
      </c>
      <c r="H248" s="931" t="str">
        <f>IFERROR(IF((G248*'7. Erosió de costa'!$C$86/1000000)&lt;0,"guanya sorra",G248*'7. Erosió de costa'!$C$86/1000000),"")</f>
        <v/>
      </c>
      <c r="I248" s="937" t="str">
        <f>IFERROR(IF(('A. Dades de partida'!$D$10*G248*'7. Erosió de costa'!$C$86/1000000)&lt;0,"guanya sorra",'A. Dades de partida'!$D$10*G248*'7. Erosió de costa'!$C$86/1000000),"")</f>
        <v/>
      </c>
      <c r="J248" s="931" t="str">
        <f t="shared" si="65"/>
        <v>NA</v>
      </c>
      <c r="K248" s="931"/>
      <c r="L248" s="931"/>
      <c r="M248" s="931"/>
      <c r="N248" s="931"/>
      <c r="O248" s="931"/>
      <c r="P248" s="931"/>
      <c r="Q248" s="931"/>
      <c r="R248" s="931"/>
      <c r="S248" s="931"/>
      <c r="T248" s="931"/>
      <c r="U248" s="931"/>
      <c r="V248" s="931"/>
      <c r="W248" s="931"/>
      <c r="X248" s="931"/>
      <c r="Y248" s="931"/>
      <c r="Z248" s="941" t="str">
        <f t="shared" si="71"/>
        <v/>
      </c>
      <c r="AA248" s="941" t="str">
        <f t="shared" si="72"/>
        <v/>
      </c>
      <c r="AB248" s="941" t="str">
        <f t="shared" si="73"/>
        <v/>
      </c>
      <c r="AC248" s="941" t="str">
        <f t="shared" si="74"/>
        <v/>
      </c>
      <c r="AD248" s="941" t="str">
        <f t="shared" si="75"/>
        <v/>
      </c>
      <c r="AE248" s="941" t="str">
        <f t="shared" si="76"/>
        <v/>
      </c>
      <c r="AF248" s="941" t="str">
        <f t="shared" si="77"/>
        <v/>
      </c>
      <c r="AG248" s="941" t="str">
        <f t="shared" si="78"/>
        <v/>
      </c>
      <c r="AH248" s="941" t="str">
        <f t="shared" si="79"/>
        <v/>
      </c>
      <c r="AI248" s="941" t="str">
        <f t="shared" si="80"/>
        <v/>
      </c>
      <c r="AJ248" s="941" t="str">
        <f t="shared" si="81"/>
        <v/>
      </c>
      <c r="AK248" s="941" t="str">
        <f t="shared" si="82"/>
        <v/>
      </c>
      <c r="AL248" s="941" t="str">
        <f t="shared" si="83"/>
        <v/>
      </c>
      <c r="AM248" s="941" t="str">
        <f t="shared" si="84"/>
        <v/>
      </c>
      <c r="AN248" s="941" t="str">
        <f t="shared" si="85"/>
        <v/>
      </c>
      <c r="AO248" s="941" t="str">
        <f t="shared" si="86"/>
        <v/>
      </c>
      <c r="AP248" s="895">
        <f>IF(AO248&lt;0,"No hi ha pèrdua",IFERROR(SUM(AA248:AO248)*'7. Erosió de costa'!$C$86/1000000,""))</f>
        <v>0</v>
      </c>
    </row>
    <row r="249" spans="1:42">
      <c r="A249" s="835">
        <v>8248</v>
      </c>
      <c r="B249" s="826" t="s">
        <v>1564</v>
      </c>
      <c r="C249" s="835" t="str">
        <f t="shared" si="66"/>
        <v>NA</v>
      </c>
      <c r="D249" s="923" t="str">
        <f t="shared" si="67"/>
        <v>NA</v>
      </c>
      <c r="E249" s="931" t="str">
        <f t="shared" si="68"/>
        <v>NA</v>
      </c>
      <c r="F249" s="926" t="str">
        <f t="shared" si="69"/>
        <v>NA</v>
      </c>
      <c r="G249" s="923" t="str">
        <f t="shared" si="70"/>
        <v>NA</v>
      </c>
      <c r="H249" s="931" t="str">
        <f>IFERROR(IF((G249*'7. Erosió de costa'!$C$86/1000000)&lt;0,"guanya sorra",G249*'7. Erosió de costa'!$C$86/1000000),"")</f>
        <v/>
      </c>
      <c r="I249" s="937" t="str">
        <f>IFERROR(IF(('A. Dades de partida'!$D$10*G249*'7. Erosió de costa'!$C$86/1000000)&lt;0,"guanya sorra",'A. Dades de partida'!$D$10*G249*'7. Erosió de costa'!$C$86/1000000),"")</f>
        <v/>
      </c>
      <c r="J249" s="931" t="str">
        <f t="shared" si="65"/>
        <v>NA</v>
      </c>
      <c r="K249" s="931"/>
      <c r="L249" s="931"/>
      <c r="M249" s="931"/>
      <c r="N249" s="931"/>
      <c r="O249" s="931"/>
      <c r="P249" s="931"/>
      <c r="Q249" s="931"/>
      <c r="R249" s="931"/>
      <c r="S249" s="931"/>
      <c r="T249" s="931"/>
      <c r="U249" s="931"/>
      <c r="V249" s="931"/>
      <c r="W249" s="931"/>
      <c r="X249" s="931"/>
      <c r="Y249" s="931"/>
      <c r="Z249" s="941" t="str">
        <f t="shared" si="71"/>
        <v/>
      </c>
      <c r="AA249" s="941" t="str">
        <f t="shared" si="72"/>
        <v/>
      </c>
      <c r="AB249" s="941" t="str">
        <f t="shared" si="73"/>
        <v/>
      </c>
      <c r="AC249" s="941" t="str">
        <f t="shared" si="74"/>
        <v/>
      </c>
      <c r="AD249" s="941" t="str">
        <f t="shared" si="75"/>
        <v/>
      </c>
      <c r="AE249" s="941" t="str">
        <f t="shared" si="76"/>
        <v/>
      </c>
      <c r="AF249" s="941" t="str">
        <f t="shared" si="77"/>
        <v/>
      </c>
      <c r="AG249" s="941" t="str">
        <f t="shared" si="78"/>
        <v/>
      </c>
      <c r="AH249" s="941" t="str">
        <f t="shared" si="79"/>
        <v/>
      </c>
      <c r="AI249" s="941" t="str">
        <f t="shared" si="80"/>
        <v/>
      </c>
      <c r="AJ249" s="941" t="str">
        <f t="shared" si="81"/>
        <v/>
      </c>
      <c r="AK249" s="941" t="str">
        <f t="shared" si="82"/>
        <v/>
      </c>
      <c r="AL249" s="941" t="str">
        <f t="shared" si="83"/>
        <v/>
      </c>
      <c r="AM249" s="941" t="str">
        <f t="shared" si="84"/>
        <v/>
      </c>
      <c r="AN249" s="941" t="str">
        <f t="shared" si="85"/>
        <v/>
      </c>
      <c r="AO249" s="941" t="str">
        <f t="shared" si="86"/>
        <v/>
      </c>
      <c r="AP249" s="895">
        <f>IF(AO249&lt;0,"No hi ha pèrdua",IFERROR(SUM(AA249:AO249)*'7. Erosió de costa'!$C$86/1000000,""))</f>
        <v>0</v>
      </c>
    </row>
    <row r="250" spans="1:42">
      <c r="A250" s="835">
        <v>8249</v>
      </c>
      <c r="B250" s="826" t="s">
        <v>1566</v>
      </c>
      <c r="C250" s="835" t="str">
        <f t="shared" si="66"/>
        <v>NA</v>
      </c>
      <c r="D250" s="923" t="str">
        <f t="shared" si="67"/>
        <v>NA</v>
      </c>
      <c r="E250" s="931" t="str">
        <f t="shared" si="68"/>
        <v>NA</v>
      </c>
      <c r="F250" s="926" t="str">
        <f t="shared" si="69"/>
        <v>NA</v>
      </c>
      <c r="G250" s="923" t="str">
        <f t="shared" si="70"/>
        <v>NA</v>
      </c>
      <c r="H250" s="931" t="str">
        <f>IFERROR(IF((G250*'7. Erosió de costa'!$C$86/1000000)&lt;0,"guanya sorra",G250*'7. Erosió de costa'!$C$86/1000000),"")</f>
        <v/>
      </c>
      <c r="I250" s="937" t="str">
        <f>IFERROR(IF(('A. Dades de partida'!$D$10*G250*'7. Erosió de costa'!$C$86/1000000)&lt;0,"guanya sorra",'A. Dades de partida'!$D$10*G250*'7. Erosió de costa'!$C$86/1000000),"")</f>
        <v/>
      </c>
      <c r="J250" s="931" t="str">
        <f t="shared" si="65"/>
        <v>NA</v>
      </c>
      <c r="K250" s="931"/>
      <c r="L250" s="931"/>
      <c r="M250" s="931"/>
      <c r="N250" s="931"/>
      <c r="O250" s="931"/>
      <c r="P250" s="931"/>
      <c r="Q250" s="931"/>
      <c r="R250" s="931"/>
      <c r="S250" s="931"/>
      <c r="T250" s="931"/>
      <c r="U250" s="931"/>
      <c r="V250" s="931"/>
      <c r="W250" s="931"/>
      <c r="X250" s="931"/>
      <c r="Y250" s="931"/>
      <c r="Z250" s="941" t="str">
        <f t="shared" si="71"/>
        <v/>
      </c>
      <c r="AA250" s="941" t="str">
        <f t="shared" si="72"/>
        <v/>
      </c>
      <c r="AB250" s="941" t="str">
        <f t="shared" si="73"/>
        <v/>
      </c>
      <c r="AC250" s="941" t="str">
        <f t="shared" si="74"/>
        <v/>
      </c>
      <c r="AD250" s="941" t="str">
        <f t="shared" si="75"/>
        <v/>
      </c>
      <c r="AE250" s="941" t="str">
        <f t="shared" si="76"/>
        <v/>
      </c>
      <c r="AF250" s="941" t="str">
        <f t="shared" si="77"/>
        <v/>
      </c>
      <c r="AG250" s="941" t="str">
        <f t="shared" si="78"/>
        <v/>
      </c>
      <c r="AH250" s="941" t="str">
        <f t="shared" si="79"/>
        <v/>
      </c>
      <c r="AI250" s="941" t="str">
        <f t="shared" si="80"/>
        <v/>
      </c>
      <c r="AJ250" s="941" t="str">
        <f t="shared" si="81"/>
        <v/>
      </c>
      <c r="AK250" s="941" t="str">
        <f t="shared" si="82"/>
        <v/>
      </c>
      <c r="AL250" s="941" t="str">
        <f t="shared" si="83"/>
        <v/>
      </c>
      <c r="AM250" s="941" t="str">
        <f t="shared" si="84"/>
        <v/>
      </c>
      <c r="AN250" s="941" t="str">
        <f t="shared" si="85"/>
        <v/>
      </c>
      <c r="AO250" s="941" t="str">
        <f t="shared" si="86"/>
        <v/>
      </c>
      <c r="AP250" s="895">
        <f>IF(AO250&lt;0,"No hi ha pèrdua",IFERROR(SUM(AA250:AO250)*'7. Erosió de costa'!$C$86/1000000,""))</f>
        <v>0</v>
      </c>
    </row>
    <row r="251" spans="1:42" ht="30">
      <c r="A251" s="835">
        <v>8250</v>
      </c>
      <c r="B251" s="826" t="s">
        <v>1567</v>
      </c>
      <c r="C251" s="835" t="str">
        <f t="shared" si="66"/>
        <v>NA</v>
      </c>
      <c r="D251" s="923" t="str">
        <f t="shared" si="67"/>
        <v>NA</v>
      </c>
      <c r="E251" s="931" t="str">
        <f t="shared" si="68"/>
        <v>NA</v>
      </c>
      <c r="F251" s="926" t="str">
        <f t="shared" si="69"/>
        <v>NA</v>
      </c>
      <c r="G251" s="923" t="str">
        <f t="shared" si="70"/>
        <v>NA</v>
      </c>
      <c r="H251" s="931" t="str">
        <f>IFERROR(IF((G251*'7. Erosió de costa'!$C$86/1000000)&lt;0,"guanya sorra",G251*'7. Erosió de costa'!$C$86/1000000),"")</f>
        <v/>
      </c>
      <c r="I251" s="937" t="str">
        <f>IFERROR(IF(('A. Dades de partida'!$D$10*G251*'7. Erosió de costa'!$C$86/1000000)&lt;0,"guanya sorra",'A. Dades de partida'!$D$10*G251*'7. Erosió de costa'!$C$86/1000000),"")</f>
        <v/>
      </c>
      <c r="J251" s="931" t="str">
        <f t="shared" si="65"/>
        <v>NA</v>
      </c>
      <c r="K251" s="931"/>
      <c r="L251" s="931"/>
      <c r="M251" s="931"/>
      <c r="N251" s="931"/>
      <c r="O251" s="931"/>
      <c r="P251" s="931"/>
      <c r="Q251" s="931"/>
      <c r="R251" s="931"/>
      <c r="S251" s="931"/>
      <c r="T251" s="931"/>
      <c r="U251" s="931"/>
      <c r="V251" s="931"/>
      <c r="W251" s="931"/>
      <c r="X251" s="931"/>
      <c r="Y251" s="931"/>
      <c r="Z251" s="941" t="str">
        <f t="shared" si="71"/>
        <v/>
      </c>
      <c r="AA251" s="941" t="str">
        <f t="shared" si="72"/>
        <v/>
      </c>
      <c r="AB251" s="941" t="str">
        <f t="shared" si="73"/>
        <v/>
      </c>
      <c r="AC251" s="941" t="str">
        <f t="shared" si="74"/>
        <v/>
      </c>
      <c r="AD251" s="941" t="str">
        <f t="shared" si="75"/>
        <v/>
      </c>
      <c r="AE251" s="941" t="str">
        <f t="shared" si="76"/>
        <v/>
      </c>
      <c r="AF251" s="941" t="str">
        <f t="shared" si="77"/>
        <v/>
      </c>
      <c r="AG251" s="941" t="str">
        <f t="shared" si="78"/>
        <v/>
      </c>
      <c r="AH251" s="941" t="str">
        <f t="shared" si="79"/>
        <v/>
      </c>
      <c r="AI251" s="941" t="str">
        <f t="shared" si="80"/>
        <v/>
      </c>
      <c r="AJ251" s="941" t="str">
        <f t="shared" si="81"/>
        <v/>
      </c>
      <c r="AK251" s="941" t="str">
        <f t="shared" si="82"/>
        <v/>
      </c>
      <c r="AL251" s="941" t="str">
        <f t="shared" si="83"/>
        <v/>
      </c>
      <c r="AM251" s="941" t="str">
        <f t="shared" si="84"/>
        <v/>
      </c>
      <c r="AN251" s="941" t="str">
        <f t="shared" si="85"/>
        <v/>
      </c>
      <c r="AO251" s="941" t="str">
        <f t="shared" si="86"/>
        <v/>
      </c>
      <c r="AP251" s="895">
        <f>IF(AO251&lt;0,"No hi ha pèrdua",IFERROR(SUM(AA251:AO251)*'7. Erosió de costa'!$C$86/1000000,""))</f>
        <v>0</v>
      </c>
    </row>
    <row r="252" spans="1:42" ht="30">
      <c r="A252" s="835">
        <v>8251</v>
      </c>
      <c r="B252" s="826" t="s">
        <v>1571</v>
      </c>
      <c r="C252" s="835" t="str">
        <f t="shared" si="66"/>
        <v>NA</v>
      </c>
      <c r="D252" s="923" t="str">
        <f t="shared" si="67"/>
        <v>NA</v>
      </c>
      <c r="E252" s="931" t="str">
        <f t="shared" si="68"/>
        <v>NA</v>
      </c>
      <c r="F252" s="926" t="str">
        <f t="shared" si="69"/>
        <v>NA</v>
      </c>
      <c r="G252" s="923" t="str">
        <f t="shared" si="70"/>
        <v>NA</v>
      </c>
      <c r="H252" s="931" t="str">
        <f>IFERROR(IF((G252*'7. Erosió de costa'!$C$86/1000000)&lt;0,"guanya sorra",G252*'7. Erosió de costa'!$C$86/1000000),"")</f>
        <v/>
      </c>
      <c r="I252" s="937" t="str">
        <f>IFERROR(IF(('A. Dades de partida'!$D$10*G252*'7. Erosió de costa'!$C$86/1000000)&lt;0,"guanya sorra",'A. Dades de partida'!$D$10*G252*'7. Erosió de costa'!$C$86/1000000),"")</f>
        <v/>
      </c>
      <c r="J252" s="931" t="str">
        <f t="shared" ref="J252:J301" si="87">E252</f>
        <v>NA</v>
      </c>
      <c r="K252" s="931"/>
      <c r="L252" s="931"/>
      <c r="M252" s="931"/>
      <c r="N252" s="931"/>
      <c r="O252" s="931"/>
      <c r="P252" s="931"/>
      <c r="Q252" s="931"/>
      <c r="R252" s="931"/>
      <c r="S252" s="931"/>
      <c r="T252" s="931"/>
      <c r="U252" s="931"/>
      <c r="V252" s="931"/>
      <c r="W252" s="931"/>
      <c r="X252" s="931"/>
      <c r="Y252" s="931"/>
      <c r="Z252" s="941" t="str">
        <f t="shared" si="71"/>
        <v/>
      </c>
      <c r="AA252" s="941" t="str">
        <f t="shared" si="72"/>
        <v/>
      </c>
      <c r="AB252" s="941" t="str">
        <f t="shared" si="73"/>
        <v/>
      </c>
      <c r="AC252" s="941" t="str">
        <f t="shared" si="74"/>
        <v/>
      </c>
      <c r="AD252" s="941" t="str">
        <f t="shared" si="75"/>
        <v/>
      </c>
      <c r="AE252" s="941" t="str">
        <f t="shared" si="76"/>
        <v/>
      </c>
      <c r="AF252" s="941" t="str">
        <f t="shared" si="77"/>
        <v/>
      </c>
      <c r="AG252" s="941" t="str">
        <f t="shared" si="78"/>
        <v/>
      </c>
      <c r="AH252" s="941" t="str">
        <f t="shared" si="79"/>
        <v/>
      </c>
      <c r="AI252" s="941" t="str">
        <f t="shared" si="80"/>
        <v/>
      </c>
      <c r="AJ252" s="941" t="str">
        <f t="shared" si="81"/>
        <v/>
      </c>
      <c r="AK252" s="941" t="str">
        <f t="shared" si="82"/>
        <v/>
      </c>
      <c r="AL252" s="941" t="str">
        <f t="shared" si="83"/>
        <v/>
      </c>
      <c r="AM252" s="941" t="str">
        <f t="shared" si="84"/>
        <v/>
      </c>
      <c r="AN252" s="941" t="str">
        <f t="shared" si="85"/>
        <v/>
      </c>
      <c r="AO252" s="941" t="str">
        <f t="shared" si="86"/>
        <v/>
      </c>
      <c r="AP252" s="895">
        <f>IF(AO252&lt;0,"No hi ha pèrdua",IFERROR(SUM(AA252:AO252)*'7. Erosió de costa'!$C$86/1000000,""))</f>
        <v>0</v>
      </c>
    </row>
    <row r="253" spans="1:42">
      <c r="A253" s="835">
        <v>8252</v>
      </c>
      <c r="B253" s="826" t="s">
        <v>1572</v>
      </c>
      <c r="C253" s="835" t="str">
        <f t="shared" si="66"/>
        <v>NA</v>
      </c>
      <c r="D253" s="923" t="str">
        <f t="shared" si="67"/>
        <v>NA</v>
      </c>
      <c r="E253" s="931" t="str">
        <f t="shared" si="68"/>
        <v>NA</v>
      </c>
      <c r="F253" s="926" t="str">
        <f t="shared" si="69"/>
        <v>NA</v>
      </c>
      <c r="G253" s="923" t="str">
        <f t="shared" si="70"/>
        <v>NA</v>
      </c>
      <c r="H253" s="931" t="str">
        <f>IFERROR(IF((G253*'7. Erosió de costa'!$C$86/1000000)&lt;0,"guanya sorra",G253*'7. Erosió de costa'!$C$86/1000000),"")</f>
        <v/>
      </c>
      <c r="I253" s="937" t="str">
        <f>IFERROR(IF(('A. Dades de partida'!$D$10*G253*'7. Erosió de costa'!$C$86/1000000)&lt;0,"guanya sorra",'A. Dades de partida'!$D$10*G253*'7. Erosió de costa'!$C$86/1000000),"")</f>
        <v/>
      </c>
      <c r="J253" s="931" t="str">
        <f t="shared" si="87"/>
        <v>NA</v>
      </c>
      <c r="K253" s="931"/>
      <c r="L253" s="931"/>
      <c r="M253" s="931"/>
      <c r="N253" s="931"/>
      <c r="O253" s="931"/>
      <c r="P253" s="931"/>
      <c r="Q253" s="931"/>
      <c r="R253" s="931"/>
      <c r="S253" s="931"/>
      <c r="T253" s="931"/>
      <c r="U253" s="931"/>
      <c r="V253" s="931"/>
      <c r="W253" s="931"/>
      <c r="X253" s="931"/>
      <c r="Y253" s="931"/>
      <c r="Z253" s="941" t="str">
        <f t="shared" si="71"/>
        <v/>
      </c>
      <c r="AA253" s="941" t="str">
        <f t="shared" si="72"/>
        <v/>
      </c>
      <c r="AB253" s="941" t="str">
        <f t="shared" si="73"/>
        <v/>
      </c>
      <c r="AC253" s="941" t="str">
        <f t="shared" si="74"/>
        <v/>
      </c>
      <c r="AD253" s="941" t="str">
        <f t="shared" si="75"/>
        <v/>
      </c>
      <c r="AE253" s="941" t="str">
        <f t="shared" si="76"/>
        <v/>
      </c>
      <c r="AF253" s="941" t="str">
        <f t="shared" si="77"/>
        <v/>
      </c>
      <c r="AG253" s="941" t="str">
        <f t="shared" si="78"/>
        <v/>
      </c>
      <c r="AH253" s="941" t="str">
        <f t="shared" si="79"/>
        <v/>
      </c>
      <c r="AI253" s="941" t="str">
        <f t="shared" si="80"/>
        <v/>
      </c>
      <c r="AJ253" s="941" t="str">
        <f t="shared" si="81"/>
        <v/>
      </c>
      <c r="AK253" s="941" t="str">
        <f t="shared" si="82"/>
        <v/>
      </c>
      <c r="AL253" s="941" t="str">
        <f t="shared" si="83"/>
        <v/>
      </c>
      <c r="AM253" s="941" t="str">
        <f t="shared" si="84"/>
        <v/>
      </c>
      <c r="AN253" s="941" t="str">
        <f t="shared" si="85"/>
        <v/>
      </c>
      <c r="AO253" s="941" t="str">
        <f t="shared" si="86"/>
        <v/>
      </c>
      <c r="AP253" s="895">
        <f>IF(AO253&lt;0,"No hi ha pèrdua",IFERROR(SUM(AA253:AO253)*'7. Erosió de costa'!$C$86/1000000,""))</f>
        <v>0</v>
      </c>
    </row>
    <row r="254" spans="1:42">
      <c r="A254" s="835">
        <v>8253</v>
      </c>
      <c r="B254" s="826" t="s">
        <v>1574</v>
      </c>
      <c r="C254" s="835" t="str">
        <f t="shared" si="66"/>
        <v>NA</v>
      </c>
      <c r="D254" s="923" t="str">
        <f t="shared" si="67"/>
        <v>NA</v>
      </c>
      <c r="E254" s="931" t="str">
        <f t="shared" si="68"/>
        <v>NA</v>
      </c>
      <c r="F254" s="926" t="str">
        <f t="shared" si="69"/>
        <v>NA</v>
      </c>
      <c r="G254" s="923" t="str">
        <f t="shared" si="70"/>
        <v>NA</v>
      </c>
      <c r="H254" s="931" t="str">
        <f>IFERROR(IF((G254*'7. Erosió de costa'!$C$86/1000000)&lt;0,"guanya sorra",G254*'7. Erosió de costa'!$C$86/1000000),"")</f>
        <v/>
      </c>
      <c r="I254" s="937" t="str">
        <f>IFERROR(IF(('A. Dades de partida'!$D$10*G254*'7. Erosió de costa'!$C$86/1000000)&lt;0,"guanya sorra",'A. Dades de partida'!$D$10*G254*'7. Erosió de costa'!$C$86/1000000),"")</f>
        <v/>
      </c>
      <c r="J254" s="931" t="str">
        <f t="shared" si="87"/>
        <v>NA</v>
      </c>
      <c r="K254" s="931"/>
      <c r="L254" s="931"/>
      <c r="M254" s="931"/>
      <c r="N254" s="931"/>
      <c r="O254" s="931"/>
      <c r="P254" s="931"/>
      <c r="Q254" s="931"/>
      <c r="R254" s="931"/>
      <c r="S254" s="931"/>
      <c r="T254" s="931"/>
      <c r="U254" s="931"/>
      <c r="V254" s="931"/>
      <c r="W254" s="931"/>
      <c r="X254" s="931"/>
      <c r="Y254" s="931"/>
      <c r="Z254" s="941" t="str">
        <f t="shared" si="71"/>
        <v/>
      </c>
      <c r="AA254" s="941" t="str">
        <f t="shared" si="72"/>
        <v/>
      </c>
      <c r="AB254" s="941" t="str">
        <f t="shared" si="73"/>
        <v/>
      </c>
      <c r="AC254" s="941" t="str">
        <f t="shared" si="74"/>
        <v/>
      </c>
      <c r="AD254" s="941" t="str">
        <f t="shared" si="75"/>
        <v/>
      </c>
      <c r="AE254" s="941" t="str">
        <f t="shared" si="76"/>
        <v/>
      </c>
      <c r="AF254" s="941" t="str">
        <f t="shared" si="77"/>
        <v/>
      </c>
      <c r="AG254" s="941" t="str">
        <f t="shared" si="78"/>
        <v/>
      </c>
      <c r="AH254" s="941" t="str">
        <f t="shared" si="79"/>
        <v/>
      </c>
      <c r="AI254" s="941" t="str">
        <f t="shared" si="80"/>
        <v/>
      </c>
      <c r="AJ254" s="941" t="str">
        <f t="shared" si="81"/>
        <v/>
      </c>
      <c r="AK254" s="941" t="str">
        <f t="shared" si="82"/>
        <v/>
      </c>
      <c r="AL254" s="941" t="str">
        <f t="shared" si="83"/>
        <v/>
      </c>
      <c r="AM254" s="941" t="str">
        <f t="shared" si="84"/>
        <v/>
      </c>
      <c r="AN254" s="941" t="str">
        <f t="shared" si="85"/>
        <v/>
      </c>
      <c r="AO254" s="941" t="str">
        <f t="shared" si="86"/>
        <v/>
      </c>
      <c r="AP254" s="895">
        <f>IF(AO254&lt;0,"No hi ha pèrdua",IFERROR(SUM(AA254:AO254)*'7. Erosió de costa'!$C$86/1000000,""))</f>
        <v>0</v>
      </c>
    </row>
    <row r="255" spans="1:42">
      <c r="A255" s="835">
        <v>8254</v>
      </c>
      <c r="B255" s="826" t="s">
        <v>1578</v>
      </c>
      <c r="C255" s="835" t="str">
        <f t="shared" si="66"/>
        <v>NA</v>
      </c>
      <c r="D255" s="923" t="str">
        <f t="shared" si="67"/>
        <v>NA</v>
      </c>
      <c r="E255" s="931" t="str">
        <f t="shared" si="68"/>
        <v>NA</v>
      </c>
      <c r="F255" s="926" t="str">
        <f t="shared" si="69"/>
        <v>NA</v>
      </c>
      <c r="G255" s="923" t="str">
        <f t="shared" si="70"/>
        <v>NA</v>
      </c>
      <c r="H255" s="931" t="str">
        <f>IFERROR(IF((G255*'7. Erosió de costa'!$C$86/1000000)&lt;0,"guanya sorra",G255*'7. Erosió de costa'!$C$86/1000000),"")</f>
        <v/>
      </c>
      <c r="I255" s="937" t="str">
        <f>IFERROR(IF(('A. Dades de partida'!$D$10*G255*'7. Erosió de costa'!$C$86/1000000)&lt;0,"guanya sorra",'A. Dades de partida'!$D$10*G255*'7. Erosió de costa'!$C$86/1000000),"")</f>
        <v/>
      </c>
      <c r="J255" s="931" t="str">
        <f t="shared" si="87"/>
        <v>NA</v>
      </c>
      <c r="K255" s="931"/>
      <c r="L255" s="931"/>
      <c r="M255" s="931"/>
      <c r="N255" s="931"/>
      <c r="O255" s="931"/>
      <c r="P255" s="931"/>
      <c r="Q255" s="931"/>
      <c r="R255" s="931"/>
      <c r="S255" s="931"/>
      <c r="T255" s="931"/>
      <c r="U255" s="931"/>
      <c r="V255" s="931"/>
      <c r="W255" s="931"/>
      <c r="X255" s="931"/>
      <c r="Y255" s="931"/>
      <c r="Z255" s="941" t="str">
        <f t="shared" si="71"/>
        <v/>
      </c>
      <c r="AA255" s="941" t="str">
        <f t="shared" si="72"/>
        <v/>
      </c>
      <c r="AB255" s="941" t="str">
        <f t="shared" si="73"/>
        <v/>
      </c>
      <c r="AC255" s="941" t="str">
        <f t="shared" si="74"/>
        <v/>
      </c>
      <c r="AD255" s="941" t="str">
        <f t="shared" si="75"/>
        <v/>
      </c>
      <c r="AE255" s="941" t="str">
        <f t="shared" si="76"/>
        <v/>
      </c>
      <c r="AF255" s="941" t="str">
        <f t="shared" si="77"/>
        <v/>
      </c>
      <c r="AG255" s="941" t="str">
        <f t="shared" si="78"/>
        <v/>
      </c>
      <c r="AH255" s="941" t="str">
        <f t="shared" si="79"/>
        <v/>
      </c>
      <c r="AI255" s="941" t="str">
        <f t="shared" si="80"/>
        <v/>
      </c>
      <c r="AJ255" s="941" t="str">
        <f t="shared" si="81"/>
        <v/>
      </c>
      <c r="AK255" s="941" t="str">
        <f t="shared" si="82"/>
        <v/>
      </c>
      <c r="AL255" s="941" t="str">
        <f t="shared" si="83"/>
        <v/>
      </c>
      <c r="AM255" s="941" t="str">
        <f t="shared" si="84"/>
        <v/>
      </c>
      <c r="AN255" s="941" t="str">
        <f t="shared" si="85"/>
        <v/>
      </c>
      <c r="AO255" s="941" t="str">
        <f t="shared" si="86"/>
        <v/>
      </c>
      <c r="AP255" s="895">
        <f>IF(AO255&lt;0,"No hi ha pèrdua",IFERROR(SUM(AA255:AO255)*'7. Erosió de costa'!$C$86/1000000,""))</f>
        <v>0</v>
      </c>
    </row>
    <row r="256" spans="1:42">
      <c r="A256" s="835">
        <v>8255</v>
      </c>
      <c r="B256" s="826" t="s">
        <v>1580</v>
      </c>
      <c r="C256" s="835" t="str">
        <f t="shared" si="66"/>
        <v>NA</v>
      </c>
      <c r="D256" s="923" t="str">
        <f t="shared" si="67"/>
        <v>NA</v>
      </c>
      <c r="E256" s="931" t="str">
        <f t="shared" si="68"/>
        <v>NA</v>
      </c>
      <c r="F256" s="926" t="str">
        <f t="shared" si="69"/>
        <v>NA</v>
      </c>
      <c r="G256" s="923" t="str">
        <f t="shared" si="70"/>
        <v>NA</v>
      </c>
      <c r="H256" s="931" t="str">
        <f>IFERROR(IF((G256*'7. Erosió de costa'!$C$86/1000000)&lt;0,"guanya sorra",G256*'7. Erosió de costa'!$C$86/1000000),"")</f>
        <v/>
      </c>
      <c r="I256" s="937" t="str">
        <f>IFERROR(IF(('A. Dades de partida'!$D$10*G256*'7. Erosió de costa'!$C$86/1000000)&lt;0,"guanya sorra",'A. Dades de partida'!$D$10*G256*'7. Erosió de costa'!$C$86/1000000),"")</f>
        <v/>
      </c>
      <c r="J256" s="931" t="str">
        <f t="shared" si="87"/>
        <v>NA</v>
      </c>
      <c r="K256" s="931"/>
      <c r="L256" s="931"/>
      <c r="M256" s="931"/>
      <c r="N256" s="931"/>
      <c r="O256" s="931"/>
      <c r="P256" s="931"/>
      <c r="Q256" s="931"/>
      <c r="R256" s="931"/>
      <c r="S256" s="931"/>
      <c r="T256" s="931"/>
      <c r="U256" s="931"/>
      <c r="V256" s="931"/>
      <c r="W256" s="931"/>
      <c r="X256" s="931"/>
      <c r="Y256" s="931"/>
      <c r="Z256" s="941" t="str">
        <f t="shared" si="71"/>
        <v/>
      </c>
      <c r="AA256" s="941" t="str">
        <f t="shared" si="72"/>
        <v/>
      </c>
      <c r="AB256" s="941" t="str">
        <f t="shared" si="73"/>
        <v/>
      </c>
      <c r="AC256" s="941" t="str">
        <f t="shared" si="74"/>
        <v/>
      </c>
      <c r="AD256" s="941" t="str">
        <f t="shared" si="75"/>
        <v/>
      </c>
      <c r="AE256" s="941" t="str">
        <f t="shared" si="76"/>
        <v/>
      </c>
      <c r="AF256" s="941" t="str">
        <f t="shared" si="77"/>
        <v/>
      </c>
      <c r="AG256" s="941" t="str">
        <f t="shared" si="78"/>
        <v/>
      </c>
      <c r="AH256" s="941" t="str">
        <f t="shared" si="79"/>
        <v/>
      </c>
      <c r="AI256" s="941" t="str">
        <f t="shared" si="80"/>
        <v/>
      </c>
      <c r="AJ256" s="941" t="str">
        <f t="shared" si="81"/>
        <v/>
      </c>
      <c r="AK256" s="941" t="str">
        <f t="shared" si="82"/>
        <v/>
      </c>
      <c r="AL256" s="941" t="str">
        <f t="shared" si="83"/>
        <v/>
      </c>
      <c r="AM256" s="941" t="str">
        <f t="shared" si="84"/>
        <v/>
      </c>
      <c r="AN256" s="941" t="str">
        <f t="shared" si="85"/>
        <v/>
      </c>
      <c r="AO256" s="941" t="str">
        <f t="shared" si="86"/>
        <v/>
      </c>
      <c r="AP256" s="895">
        <f>IF(AO256&lt;0,"No hi ha pèrdua",IFERROR(SUM(AA256:AO256)*'7. Erosió de costa'!$C$86/1000000,""))</f>
        <v>0</v>
      </c>
    </row>
    <row r="257" spans="1:42" ht="30">
      <c r="A257" s="835">
        <v>8256</v>
      </c>
      <c r="B257" s="826" t="s">
        <v>1584</v>
      </c>
      <c r="C257" s="835" t="str">
        <f t="shared" si="66"/>
        <v>NA</v>
      </c>
      <c r="D257" s="923" t="str">
        <f t="shared" si="67"/>
        <v>NA</v>
      </c>
      <c r="E257" s="931" t="str">
        <f t="shared" si="68"/>
        <v>NA</v>
      </c>
      <c r="F257" s="926" t="str">
        <f t="shared" si="69"/>
        <v>NA</v>
      </c>
      <c r="G257" s="923" t="str">
        <f t="shared" si="70"/>
        <v>NA</v>
      </c>
      <c r="H257" s="931" t="str">
        <f>IFERROR(IF((G257*'7. Erosió de costa'!$C$86/1000000)&lt;0,"guanya sorra",G257*'7. Erosió de costa'!$C$86/1000000),"")</f>
        <v/>
      </c>
      <c r="I257" s="937" t="str">
        <f>IFERROR(IF(('A. Dades de partida'!$D$10*G257*'7. Erosió de costa'!$C$86/1000000)&lt;0,"guanya sorra",'A. Dades de partida'!$D$10*G257*'7. Erosió de costa'!$C$86/1000000),"")</f>
        <v/>
      </c>
      <c r="J257" s="931" t="str">
        <f t="shared" si="87"/>
        <v>NA</v>
      </c>
      <c r="K257" s="931"/>
      <c r="L257" s="931"/>
      <c r="M257" s="931"/>
      <c r="N257" s="931"/>
      <c r="O257" s="931"/>
      <c r="P257" s="931"/>
      <c r="Q257" s="931"/>
      <c r="R257" s="931"/>
      <c r="S257" s="931"/>
      <c r="T257" s="931"/>
      <c r="U257" s="931"/>
      <c r="V257" s="931"/>
      <c r="W257" s="931"/>
      <c r="X257" s="931"/>
      <c r="Y257" s="931"/>
      <c r="Z257" s="941" t="str">
        <f t="shared" si="71"/>
        <v/>
      </c>
      <c r="AA257" s="941" t="str">
        <f t="shared" si="72"/>
        <v/>
      </c>
      <c r="AB257" s="941" t="str">
        <f t="shared" si="73"/>
        <v/>
      </c>
      <c r="AC257" s="941" t="str">
        <f t="shared" si="74"/>
        <v/>
      </c>
      <c r="AD257" s="941" t="str">
        <f t="shared" si="75"/>
        <v/>
      </c>
      <c r="AE257" s="941" t="str">
        <f t="shared" si="76"/>
        <v/>
      </c>
      <c r="AF257" s="941" t="str">
        <f t="shared" si="77"/>
        <v/>
      </c>
      <c r="AG257" s="941" t="str">
        <f t="shared" si="78"/>
        <v/>
      </c>
      <c r="AH257" s="941" t="str">
        <f t="shared" si="79"/>
        <v/>
      </c>
      <c r="AI257" s="941" t="str">
        <f t="shared" si="80"/>
        <v/>
      </c>
      <c r="AJ257" s="941" t="str">
        <f t="shared" si="81"/>
        <v/>
      </c>
      <c r="AK257" s="941" t="str">
        <f t="shared" si="82"/>
        <v/>
      </c>
      <c r="AL257" s="941" t="str">
        <f t="shared" si="83"/>
        <v/>
      </c>
      <c r="AM257" s="941" t="str">
        <f t="shared" si="84"/>
        <v/>
      </c>
      <c r="AN257" s="941" t="str">
        <f t="shared" si="85"/>
        <v/>
      </c>
      <c r="AO257" s="941" t="str">
        <f t="shared" si="86"/>
        <v/>
      </c>
      <c r="AP257" s="895">
        <f>IF(AO257&lt;0,"No hi ha pèrdua",IFERROR(SUM(AA257:AO257)*'7. Erosió de costa'!$C$86/1000000,""))</f>
        <v>0</v>
      </c>
    </row>
    <row r="258" spans="1:42">
      <c r="A258" s="835">
        <v>8257</v>
      </c>
      <c r="B258" s="826" t="s">
        <v>1587</v>
      </c>
      <c r="C258" s="835" t="str">
        <f t="shared" si="66"/>
        <v>NA</v>
      </c>
      <c r="D258" s="923" t="str">
        <f t="shared" si="67"/>
        <v>NA</v>
      </c>
      <c r="E258" s="931" t="str">
        <f t="shared" si="68"/>
        <v>NA</v>
      </c>
      <c r="F258" s="926" t="str">
        <f t="shared" si="69"/>
        <v>NA</v>
      </c>
      <c r="G258" s="923" t="str">
        <f t="shared" si="70"/>
        <v>NA</v>
      </c>
      <c r="H258" s="931" t="str">
        <f>IFERROR(IF((G258*'7. Erosió de costa'!$C$86/1000000)&lt;0,"guanya sorra",G258*'7. Erosió de costa'!$C$86/1000000),"")</f>
        <v/>
      </c>
      <c r="I258" s="937" t="str">
        <f>IFERROR(IF(('A. Dades de partida'!$D$10*G258*'7. Erosió de costa'!$C$86/1000000)&lt;0,"guanya sorra",'A. Dades de partida'!$D$10*G258*'7. Erosió de costa'!$C$86/1000000),"")</f>
        <v/>
      </c>
      <c r="J258" s="931" t="str">
        <f t="shared" si="87"/>
        <v>NA</v>
      </c>
      <c r="K258" s="931"/>
      <c r="L258" s="931"/>
      <c r="M258" s="931"/>
      <c r="N258" s="931"/>
      <c r="O258" s="931"/>
      <c r="P258" s="931"/>
      <c r="Q258" s="931"/>
      <c r="R258" s="931"/>
      <c r="S258" s="931"/>
      <c r="T258" s="931"/>
      <c r="U258" s="931"/>
      <c r="V258" s="931"/>
      <c r="W258" s="931"/>
      <c r="X258" s="931"/>
      <c r="Y258" s="931"/>
      <c r="Z258" s="941" t="str">
        <f t="shared" si="71"/>
        <v/>
      </c>
      <c r="AA258" s="941" t="str">
        <f t="shared" si="72"/>
        <v/>
      </c>
      <c r="AB258" s="941" t="str">
        <f t="shared" si="73"/>
        <v/>
      </c>
      <c r="AC258" s="941" t="str">
        <f t="shared" si="74"/>
        <v/>
      </c>
      <c r="AD258" s="941" t="str">
        <f t="shared" si="75"/>
        <v/>
      </c>
      <c r="AE258" s="941" t="str">
        <f t="shared" si="76"/>
        <v/>
      </c>
      <c r="AF258" s="941" t="str">
        <f t="shared" si="77"/>
        <v/>
      </c>
      <c r="AG258" s="941" t="str">
        <f t="shared" si="78"/>
        <v/>
      </c>
      <c r="AH258" s="941" t="str">
        <f t="shared" si="79"/>
        <v/>
      </c>
      <c r="AI258" s="941" t="str">
        <f t="shared" si="80"/>
        <v/>
      </c>
      <c r="AJ258" s="941" t="str">
        <f t="shared" si="81"/>
        <v/>
      </c>
      <c r="AK258" s="941" t="str">
        <f t="shared" si="82"/>
        <v/>
      </c>
      <c r="AL258" s="941" t="str">
        <f t="shared" si="83"/>
        <v/>
      </c>
      <c r="AM258" s="941" t="str">
        <f t="shared" si="84"/>
        <v/>
      </c>
      <c r="AN258" s="941" t="str">
        <f t="shared" si="85"/>
        <v/>
      </c>
      <c r="AO258" s="941" t="str">
        <f t="shared" si="86"/>
        <v/>
      </c>
      <c r="AP258" s="895">
        <f>IF(AO258&lt;0,"No hi ha pèrdua",IFERROR(SUM(AA258:AO258)*'7. Erosió de costa'!$C$86/1000000,""))</f>
        <v>0</v>
      </c>
    </row>
    <row r="259" spans="1:42">
      <c r="A259" s="835">
        <v>8258</v>
      </c>
      <c r="B259" s="826" t="s">
        <v>1591</v>
      </c>
      <c r="C259" s="835" t="str">
        <f t="shared" si="66"/>
        <v>NA</v>
      </c>
      <c r="D259" s="923" t="str">
        <f t="shared" si="67"/>
        <v>NA</v>
      </c>
      <c r="E259" s="931" t="str">
        <f t="shared" si="68"/>
        <v>NA</v>
      </c>
      <c r="F259" s="926" t="str">
        <f t="shared" si="69"/>
        <v>NA</v>
      </c>
      <c r="G259" s="923" t="str">
        <f t="shared" si="70"/>
        <v>NA</v>
      </c>
      <c r="H259" s="931" t="str">
        <f>IFERROR(IF((G259*'7. Erosió de costa'!$C$86/1000000)&lt;0,"guanya sorra",G259*'7. Erosió de costa'!$C$86/1000000),"")</f>
        <v/>
      </c>
      <c r="I259" s="937" t="str">
        <f>IFERROR(IF(('A. Dades de partida'!$D$10*G259*'7. Erosió de costa'!$C$86/1000000)&lt;0,"guanya sorra",'A. Dades de partida'!$D$10*G259*'7. Erosió de costa'!$C$86/1000000),"")</f>
        <v/>
      </c>
      <c r="J259" s="931" t="str">
        <f t="shared" si="87"/>
        <v>NA</v>
      </c>
      <c r="K259" s="931"/>
      <c r="L259" s="931"/>
      <c r="M259" s="931"/>
      <c r="N259" s="931"/>
      <c r="O259" s="931"/>
      <c r="P259" s="931"/>
      <c r="Q259" s="931"/>
      <c r="R259" s="931"/>
      <c r="S259" s="931"/>
      <c r="T259" s="931"/>
      <c r="U259" s="931"/>
      <c r="V259" s="931"/>
      <c r="W259" s="931"/>
      <c r="X259" s="931"/>
      <c r="Y259" s="931"/>
      <c r="Z259" s="941" t="str">
        <f t="shared" si="71"/>
        <v/>
      </c>
      <c r="AA259" s="941" t="str">
        <f t="shared" si="72"/>
        <v/>
      </c>
      <c r="AB259" s="941" t="str">
        <f t="shared" si="73"/>
        <v/>
      </c>
      <c r="AC259" s="941" t="str">
        <f t="shared" si="74"/>
        <v/>
      </c>
      <c r="AD259" s="941" t="str">
        <f t="shared" si="75"/>
        <v/>
      </c>
      <c r="AE259" s="941" t="str">
        <f t="shared" si="76"/>
        <v/>
      </c>
      <c r="AF259" s="941" t="str">
        <f t="shared" si="77"/>
        <v/>
      </c>
      <c r="AG259" s="941" t="str">
        <f t="shared" si="78"/>
        <v/>
      </c>
      <c r="AH259" s="941" t="str">
        <f t="shared" si="79"/>
        <v/>
      </c>
      <c r="AI259" s="941" t="str">
        <f t="shared" si="80"/>
        <v/>
      </c>
      <c r="AJ259" s="941" t="str">
        <f t="shared" si="81"/>
        <v/>
      </c>
      <c r="AK259" s="941" t="str">
        <f t="shared" si="82"/>
        <v/>
      </c>
      <c r="AL259" s="941" t="str">
        <f t="shared" si="83"/>
        <v/>
      </c>
      <c r="AM259" s="941" t="str">
        <f t="shared" si="84"/>
        <v/>
      </c>
      <c r="AN259" s="941" t="str">
        <f t="shared" si="85"/>
        <v/>
      </c>
      <c r="AO259" s="941" t="str">
        <f t="shared" si="86"/>
        <v/>
      </c>
      <c r="AP259" s="895">
        <f>IF(AO259&lt;0,"No hi ha pèrdua",IFERROR(SUM(AA259:AO259)*'7. Erosió de costa'!$C$86/1000000,""))</f>
        <v>0</v>
      </c>
    </row>
    <row r="260" spans="1:42" ht="30">
      <c r="A260" s="835">
        <v>8259</v>
      </c>
      <c r="B260" s="826" t="s">
        <v>1594</v>
      </c>
      <c r="C260" s="835" t="str">
        <f t="shared" ref="C260:C314" si="88">IFERROR(VLOOKUP($B260,costa,2,FALSE),"NA")</f>
        <v>NA</v>
      </c>
      <c r="D260" s="923" t="str">
        <f t="shared" ref="D260:D314" si="89">IFERROR(VLOOKUP($B260,costa,3,FALSE),"NA")</f>
        <v>NA</v>
      </c>
      <c r="E260" s="931" t="str">
        <f t="shared" ref="E260:E314" si="90">IFERROR(VLOOKUP(C260,mermes,3,FALSE),"NA")</f>
        <v>NA</v>
      </c>
      <c r="F260" s="926" t="str">
        <f t="shared" ref="F260:F314" si="91">IFERROR(VLOOKUP(C260,mermes,5,FALSE),"NA")</f>
        <v>NA</v>
      </c>
      <c r="G260" s="923" t="str">
        <f t="shared" si="70"/>
        <v>NA</v>
      </c>
      <c r="H260" s="931" t="str">
        <f>IFERROR(IF((G260*'7. Erosió de costa'!$C$86/1000000)&lt;0,"guanya sorra",G260*'7. Erosió de costa'!$C$86/1000000),"")</f>
        <v/>
      </c>
      <c r="I260" s="937" t="str">
        <f>IFERROR(IF(('A. Dades de partida'!$D$10*G260*'7. Erosió de costa'!$C$86/1000000)&lt;0,"guanya sorra",'A. Dades de partida'!$D$10*G260*'7. Erosió de costa'!$C$86/1000000),"")</f>
        <v/>
      </c>
      <c r="J260" s="931" t="str">
        <f t="shared" si="87"/>
        <v>NA</v>
      </c>
      <c r="K260" s="931"/>
      <c r="L260" s="931"/>
      <c r="M260" s="931"/>
      <c r="N260" s="931"/>
      <c r="O260" s="931"/>
      <c r="P260" s="931"/>
      <c r="Q260" s="931"/>
      <c r="R260" s="931"/>
      <c r="S260" s="931"/>
      <c r="T260" s="931"/>
      <c r="U260" s="931"/>
      <c r="V260" s="931"/>
      <c r="W260" s="931"/>
      <c r="X260" s="931"/>
      <c r="Y260" s="931"/>
      <c r="Z260" s="941" t="str">
        <f t="shared" si="71"/>
        <v/>
      </c>
      <c r="AA260" s="941" t="str">
        <f t="shared" si="72"/>
        <v/>
      </c>
      <c r="AB260" s="941" t="str">
        <f t="shared" si="73"/>
        <v/>
      </c>
      <c r="AC260" s="941" t="str">
        <f t="shared" si="74"/>
        <v/>
      </c>
      <c r="AD260" s="941" t="str">
        <f t="shared" si="75"/>
        <v/>
      </c>
      <c r="AE260" s="941" t="str">
        <f t="shared" si="76"/>
        <v/>
      </c>
      <c r="AF260" s="941" t="str">
        <f t="shared" si="77"/>
        <v/>
      </c>
      <c r="AG260" s="941" t="str">
        <f t="shared" si="78"/>
        <v/>
      </c>
      <c r="AH260" s="941" t="str">
        <f t="shared" si="79"/>
        <v/>
      </c>
      <c r="AI260" s="941" t="str">
        <f t="shared" si="80"/>
        <v/>
      </c>
      <c r="AJ260" s="941" t="str">
        <f t="shared" si="81"/>
        <v/>
      </c>
      <c r="AK260" s="941" t="str">
        <f t="shared" si="82"/>
        <v/>
      </c>
      <c r="AL260" s="941" t="str">
        <f t="shared" si="83"/>
        <v/>
      </c>
      <c r="AM260" s="941" t="str">
        <f t="shared" si="84"/>
        <v/>
      </c>
      <c r="AN260" s="941" t="str">
        <f t="shared" si="85"/>
        <v/>
      </c>
      <c r="AO260" s="941" t="str">
        <f t="shared" si="86"/>
        <v/>
      </c>
      <c r="AP260" s="895">
        <f>IF(AO260&lt;0,"No hi ha pèrdua",IFERROR(SUM(AA260:AO260)*'7. Erosió de costa'!$C$86/1000000,""))</f>
        <v>0</v>
      </c>
    </row>
    <row r="261" spans="1:42" ht="30">
      <c r="A261" s="835">
        <v>8260</v>
      </c>
      <c r="B261" s="826" t="s">
        <v>1598</v>
      </c>
      <c r="C261" s="835" t="str">
        <f t="shared" si="88"/>
        <v>NA</v>
      </c>
      <c r="D261" s="923" t="str">
        <f t="shared" si="89"/>
        <v>NA</v>
      </c>
      <c r="E261" s="931" t="str">
        <f t="shared" si="90"/>
        <v>NA</v>
      </c>
      <c r="F261" s="926" t="str">
        <f t="shared" si="91"/>
        <v>NA</v>
      </c>
      <c r="G261" s="923" t="str">
        <f t="shared" ref="G261:G314" si="92">IFERROR(-1*D261*E261*F261,"NA")</f>
        <v>NA</v>
      </c>
      <c r="H261" s="931" t="str">
        <f>IFERROR(IF((G261*'7. Erosió de costa'!$C$86/1000000)&lt;0,"guanya sorra",G261*'7. Erosió de costa'!$C$86/1000000),"")</f>
        <v/>
      </c>
      <c r="I261" s="937" t="str">
        <f>IFERROR(IF(('A. Dades de partida'!$D$10*G261*'7. Erosió de costa'!$C$86/1000000)&lt;0,"guanya sorra",'A. Dades de partida'!$D$10*G261*'7. Erosió de costa'!$C$86/1000000),"")</f>
        <v/>
      </c>
      <c r="J261" s="931" t="str">
        <f t="shared" si="87"/>
        <v>NA</v>
      </c>
      <c r="K261" s="931"/>
      <c r="L261" s="931"/>
      <c r="M261" s="931"/>
      <c r="N261" s="931"/>
      <c r="O261" s="931"/>
      <c r="P261" s="931"/>
      <c r="Q261" s="931"/>
      <c r="R261" s="931"/>
      <c r="S261" s="931"/>
      <c r="T261" s="931"/>
      <c r="U261" s="931"/>
      <c r="V261" s="931"/>
      <c r="W261" s="931"/>
      <c r="X261" s="931"/>
      <c r="Y261" s="931"/>
      <c r="Z261" s="941" t="str">
        <f t="shared" si="71"/>
        <v/>
      </c>
      <c r="AA261" s="941" t="str">
        <f t="shared" si="72"/>
        <v/>
      </c>
      <c r="AB261" s="941" t="str">
        <f t="shared" si="73"/>
        <v/>
      </c>
      <c r="AC261" s="941" t="str">
        <f t="shared" si="74"/>
        <v/>
      </c>
      <c r="AD261" s="941" t="str">
        <f t="shared" si="75"/>
        <v/>
      </c>
      <c r="AE261" s="941" t="str">
        <f t="shared" si="76"/>
        <v/>
      </c>
      <c r="AF261" s="941" t="str">
        <f t="shared" si="77"/>
        <v/>
      </c>
      <c r="AG261" s="941" t="str">
        <f t="shared" si="78"/>
        <v/>
      </c>
      <c r="AH261" s="941" t="str">
        <f t="shared" si="79"/>
        <v/>
      </c>
      <c r="AI261" s="941" t="str">
        <f t="shared" si="80"/>
        <v/>
      </c>
      <c r="AJ261" s="941" t="str">
        <f t="shared" si="81"/>
        <v/>
      </c>
      <c r="AK261" s="941" t="str">
        <f t="shared" si="82"/>
        <v/>
      </c>
      <c r="AL261" s="941" t="str">
        <f t="shared" si="83"/>
        <v/>
      </c>
      <c r="AM261" s="941" t="str">
        <f t="shared" si="84"/>
        <v/>
      </c>
      <c r="AN261" s="941" t="str">
        <f t="shared" si="85"/>
        <v/>
      </c>
      <c r="AO261" s="941" t="str">
        <f t="shared" si="86"/>
        <v/>
      </c>
      <c r="AP261" s="895">
        <f>IF(AO261&lt;0,"No hi ha pèrdua",IFERROR(SUM(AA261:AO261)*'7. Erosió de costa'!$C$86/1000000,""))</f>
        <v>0</v>
      </c>
    </row>
    <row r="262" spans="1:42">
      <c r="A262" s="835">
        <v>8261</v>
      </c>
      <c r="B262" s="826" t="s">
        <v>354</v>
      </c>
      <c r="C262" s="835">
        <f t="shared" si="88"/>
        <v>15</v>
      </c>
      <c r="D262" s="923">
        <f t="shared" si="89"/>
        <v>2100</v>
      </c>
      <c r="E262" s="931">
        <f t="shared" si="90"/>
        <v>-0.78</v>
      </c>
      <c r="F262" s="926">
        <f t="shared" si="91"/>
        <v>9.6853655805620864</v>
      </c>
      <c r="G262" s="923">
        <f t="shared" si="92"/>
        <v>15864.628820960697</v>
      </c>
      <c r="H262" s="931">
        <f>IFERROR(IF((G262*'7. Erosió de costa'!$C$86/1000000)&lt;0,"guanya sorra",G262*'7. Erosió de costa'!$C$86/1000000),"")</f>
        <v>0.52353275109170305</v>
      </c>
      <c r="I262" s="937">
        <f>IFERROR(IF(('A. Dades de partida'!$D$10*G262*'7. Erosió de costa'!$C$86/1000000)&lt;0,"guanya sorra",'A. Dades de partida'!$D$10*G262*'7. Erosió de costa'!$C$86/1000000),"")</f>
        <v>7.852991266375545</v>
      </c>
      <c r="J262" s="931">
        <f>E262</f>
        <v>-0.78</v>
      </c>
      <c r="K262" s="931">
        <f>IF($J262&gt;0, $J262-($J262*'7. Erosió de costa'!D$140*'7. Erosió de costa'!$D$111),$J262+($J262*'7. Erosió de costa'!D$140*'7. Erosió de costa'!$D$111))</f>
        <v>-0.79502941176470587</v>
      </c>
      <c r="L262" s="931">
        <f>IF($J262&gt;0, $J262-($J262*'7. Erosió de costa'!E$140*'7. Erosió de costa'!$D$111),$J262+($J262*'7. Erosió de costa'!E$140*'7. Erosió de costa'!$D$111))</f>
        <v>-0.81005882352941183</v>
      </c>
      <c r="M262" s="931">
        <f>IF($J262&gt;0, $J262-($J262*'7. Erosió de costa'!F$140*'7. Erosió de costa'!$D$111),$J262+($J262*'7. Erosió de costa'!F$140*'7. Erosió de costa'!$D$111))</f>
        <v>-0.82508823529411768</v>
      </c>
      <c r="N262" s="931">
        <f>IF($J262&gt;0, $J262-($J262*'7. Erosió de costa'!G$140*'7. Erosió de costa'!$D$111),$J262+($J262*'7. Erosió de costa'!G$140*'7. Erosió de costa'!$D$111))</f>
        <v>-0.84011764705882352</v>
      </c>
      <c r="O262" s="931">
        <f>IF($J262&gt;0, $J262-($J262*'7. Erosió de costa'!H$140*'7. Erosió de costa'!$D$111),$J262+($J262*'7. Erosió de costa'!H$140*'7. Erosió de costa'!$D$111))</f>
        <v>-0.85514705882352948</v>
      </c>
      <c r="P262" s="931">
        <f>IF($J262&gt;0, $J262-($J262*'7. Erosió de costa'!I$140*'7. Erosió de costa'!$D$111),$J262+($J262*'7. Erosió de costa'!I$140*'7. Erosió de costa'!$D$111))</f>
        <v>-0.87017647058823533</v>
      </c>
      <c r="Q262" s="931">
        <f>IF($J262&gt;0, $J262-($J262*'7. Erosió de costa'!J$140*'7. Erosió de costa'!$D$111),$J262+($J262*'7. Erosió de costa'!J$140*'7. Erosió de costa'!$D$111))</f>
        <v>-0.88520588235294118</v>
      </c>
      <c r="R262" s="931">
        <f>IF($J262&gt;0, $J262-($J262*'7. Erosió de costa'!K$140*'7. Erosió de costa'!$D$111),$J262+($J262*'7. Erosió de costa'!K$140*'7. Erosió de costa'!$D$111))</f>
        <v>-0.90023529411764713</v>
      </c>
      <c r="S262" s="931">
        <f>IF($J262&gt;0, $J262-($J262*'7. Erosió de costa'!L$140*'7. Erosió de costa'!$D$111),$J262+($J262*'7. Erosió de costa'!L$140*'7. Erosió de costa'!$D$111))</f>
        <v>-0.91526470588235298</v>
      </c>
      <c r="T262" s="931">
        <f>IF($J262&gt;0, $J262-($J262*'7. Erosió de costa'!M$140*'7. Erosió de costa'!$D$111),$J262+($J262*'7. Erosió de costa'!M$140*'7. Erosió de costa'!$D$111))</f>
        <v>-0.93029411764705883</v>
      </c>
      <c r="U262" s="931">
        <f>IF($J262&gt;0, $J262-($J262*'7. Erosió de costa'!N$140*'7. Erosió de costa'!$D$111),$J262+($J262*'7. Erosió de costa'!N$140*'7. Erosió de costa'!$D$111))</f>
        <v>-0.94532352941176478</v>
      </c>
      <c r="V262" s="931">
        <f>IF($J262&gt;0, $J262-($J262*'7. Erosió de costa'!O$140*'7. Erosió de costa'!$D$111),$J262+($J262*'7. Erosió de costa'!O$140*'7. Erosió de costa'!$D$111))</f>
        <v>-0.96035294117647063</v>
      </c>
      <c r="W262" s="931">
        <f>IF($J262&gt;0, $J262-($J262*'7. Erosió de costa'!P$140*'7. Erosió de costa'!$D$111),$J262+($J262*'7. Erosió de costa'!P$140*'7. Erosió de costa'!$D$111))</f>
        <v>-0.97538235294117648</v>
      </c>
      <c r="X262" s="931">
        <f>IF($J262&gt;0, $J262-($J262*'7. Erosió de costa'!Q$140*'7. Erosió de costa'!$D$111),$J262+($J262*'7. Erosió de costa'!Q$140*'7. Erosió de costa'!$D$111))</f>
        <v>-0.99041176470588232</v>
      </c>
      <c r="Y262" s="931">
        <f>IF($J262&gt;0, $J262-($J262*'7. Erosió de costa'!R$140*'7. Erosió de costa'!$D$111),$J262+($J262*'7. Erosió de costa'!R$140*'7. Erosió de costa'!$D$111))</f>
        <v>-1.0054411764705882</v>
      </c>
      <c r="Z262" s="941">
        <f t="shared" ref="Z262:Z308" si="93">IFERROR(-1*J262*$D262*$F262,"")</f>
        <v>15864.628820960697</v>
      </c>
      <c r="AA262" s="941">
        <f t="shared" ref="AA262:AA308" si="94">IFERROR(-1*K262*$D262*$F262,"")</f>
        <v>16170.316050504849</v>
      </c>
      <c r="AB262" s="941">
        <f t="shared" ref="AB262:AB308" si="95">IFERROR(-1*L262*$D262*$F262,"")</f>
        <v>16476.003280049004</v>
      </c>
      <c r="AC262" s="941">
        <f t="shared" ref="AC262:AC308" si="96">IFERROR(-1*M262*$D262*$F262,"")</f>
        <v>16781.690509593154</v>
      </c>
      <c r="AD262" s="941">
        <f t="shared" ref="AD262:AD308" si="97">IFERROR(-1*N262*$D262*$F262,"")</f>
        <v>17087.377739137308</v>
      </c>
      <c r="AE262" s="941">
        <f t="shared" ref="AE262:AE308" si="98">IFERROR(-1*O262*$D262*$F262,"")</f>
        <v>17393.064968681461</v>
      </c>
      <c r="AF262" s="941">
        <f t="shared" ref="AF262:AF308" si="99">IFERROR(-1*P262*$D262*$F262,"")</f>
        <v>17698.752198225611</v>
      </c>
      <c r="AG262" s="941">
        <f t="shared" ref="AG262:AG308" si="100">IFERROR(-1*Q262*$D262*$F262,"")</f>
        <v>18004.439427769765</v>
      </c>
      <c r="AH262" s="941">
        <f t="shared" ref="AH262:AH308" si="101">IFERROR(-1*R262*$D262*$F262,"")</f>
        <v>18310.126657313918</v>
      </c>
      <c r="AI262" s="941">
        <f t="shared" ref="AI262:AI308" si="102">IFERROR(-1*S262*$D262*$F262,"")</f>
        <v>18615.813886858068</v>
      </c>
      <c r="AJ262" s="941">
        <f t="shared" ref="AJ262:AJ308" si="103">IFERROR(-1*T262*$D262*$F262,"")</f>
        <v>18921.501116402222</v>
      </c>
      <c r="AK262" s="941">
        <f t="shared" ref="AK262:AK308" si="104">IFERROR(-1*U262*$D262*$F262,"")</f>
        <v>19227.188345946372</v>
      </c>
      <c r="AL262" s="941">
        <f t="shared" ref="AL262:AL308" si="105">IFERROR(-1*V262*$D262*$F262,"")</f>
        <v>19532.875575490525</v>
      </c>
      <c r="AM262" s="941">
        <f t="shared" ref="AM262:AM308" si="106">IFERROR(-1*W262*$D262*$F262,"")</f>
        <v>19838.562805034675</v>
      </c>
      <c r="AN262" s="941">
        <f t="shared" ref="AN262:AN308" si="107">IFERROR(-1*X262*$D262*$F262,"")</f>
        <v>20144.250034578828</v>
      </c>
      <c r="AO262" s="941">
        <f t="shared" ref="AO262:AO308" si="108">IFERROR(-1*Y262*$D262*$F262,"")</f>
        <v>20449.937264122978</v>
      </c>
      <c r="AP262" s="895">
        <f>IF(AO262&lt;0,"No hi ha pèrdua",IFERROR(SUM(AA262:AO262)*'7. Erosió de costa'!$C$86/1000000,""))</f>
        <v>9.0635126953703917</v>
      </c>
    </row>
    <row r="263" spans="1:42">
      <c r="A263" s="835">
        <v>8262</v>
      </c>
      <c r="B263" s="826" t="s">
        <v>1600</v>
      </c>
      <c r="C263" s="835" t="str">
        <f t="shared" si="88"/>
        <v>NA</v>
      </c>
      <c r="D263" s="923" t="str">
        <f t="shared" si="89"/>
        <v>NA</v>
      </c>
      <c r="E263" s="931" t="str">
        <f t="shared" si="90"/>
        <v>NA</v>
      </c>
      <c r="F263" s="926" t="str">
        <f t="shared" si="91"/>
        <v>NA</v>
      </c>
      <c r="G263" s="923" t="str">
        <f t="shared" si="92"/>
        <v>NA</v>
      </c>
      <c r="H263" s="931" t="str">
        <f>IFERROR(IF((G263*'7. Erosió de costa'!$C$86/1000000)&lt;0,"guanya sorra",G263*'7. Erosió de costa'!$C$86/1000000),"")</f>
        <v/>
      </c>
      <c r="I263" s="937" t="str">
        <f>IFERROR(IF(('A. Dades de partida'!$D$10*G263*'7. Erosió de costa'!$C$86/1000000)&lt;0,"guanya sorra",'A. Dades de partida'!$D$10*G263*'7. Erosió de costa'!$C$86/1000000),"")</f>
        <v/>
      </c>
      <c r="J263" s="931" t="str">
        <f t="shared" si="87"/>
        <v>NA</v>
      </c>
      <c r="K263" s="931"/>
      <c r="L263" s="931"/>
      <c r="M263" s="931"/>
      <c r="N263" s="931"/>
      <c r="O263" s="931"/>
      <c r="P263" s="931"/>
      <c r="Q263" s="931"/>
      <c r="R263" s="931"/>
      <c r="S263" s="931"/>
      <c r="T263" s="931"/>
      <c r="U263" s="931"/>
      <c r="V263" s="931"/>
      <c r="W263" s="931"/>
      <c r="X263" s="931"/>
      <c r="Y263" s="931"/>
      <c r="Z263" s="941" t="str">
        <f t="shared" si="93"/>
        <v/>
      </c>
      <c r="AA263" s="941" t="str">
        <f t="shared" si="94"/>
        <v/>
      </c>
      <c r="AB263" s="941" t="str">
        <f t="shared" si="95"/>
        <v/>
      </c>
      <c r="AC263" s="941" t="str">
        <f t="shared" si="96"/>
        <v/>
      </c>
      <c r="AD263" s="941" t="str">
        <f t="shared" si="97"/>
        <v/>
      </c>
      <c r="AE263" s="941" t="str">
        <f t="shared" si="98"/>
        <v/>
      </c>
      <c r="AF263" s="941" t="str">
        <f t="shared" si="99"/>
        <v/>
      </c>
      <c r="AG263" s="941" t="str">
        <f t="shared" si="100"/>
        <v/>
      </c>
      <c r="AH263" s="941" t="str">
        <f t="shared" si="101"/>
        <v/>
      </c>
      <c r="AI263" s="941" t="str">
        <f t="shared" si="102"/>
        <v/>
      </c>
      <c r="AJ263" s="941" t="str">
        <f t="shared" si="103"/>
        <v/>
      </c>
      <c r="AK263" s="941" t="str">
        <f t="shared" si="104"/>
        <v/>
      </c>
      <c r="AL263" s="941" t="str">
        <f t="shared" si="105"/>
        <v/>
      </c>
      <c r="AM263" s="941" t="str">
        <f t="shared" si="106"/>
        <v/>
      </c>
      <c r="AN263" s="941" t="str">
        <f t="shared" si="107"/>
        <v/>
      </c>
      <c r="AO263" s="941" t="str">
        <f t="shared" si="108"/>
        <v/>
      </c>
      <c r="AP263" s="895">
        <f>IF(AO263&lt;0,"No hi ha pèrdua",IFERROR(SUM(AA263:AO263)*'7. Erosió de costa'!$C$86/1000000,""))</f>
        <v>0</v>
      </c>
    </row>
    <row r="264" spans="1:42">
      <c r="A264" s="835">
        <v>8263</v>
      </c>
      <c r="B264" s="826" t="s">
        <v>1602</v>
      </c>
      <c r="C264" s="835" t="str">
        <f t="shared" si="88"/>
        <v>NA</v>
      </c>
      <c r="D264" s="923" t="str">
        <f t="shared" si="89"/>
        <v>NA</v>
      </c>
      <c r="E264" s="931" t="str">
        <f t="shared" si="90"/>
        <v>NA</v>
      </c>
      <c r="F264" s="926" t="str">
        <f t="shared" si="91"/>
        <v>NA</v>
      </c>
      <c r="G264" s="923" t="str">
        <f t="shared" si="92"/>
        <v>NA</v>
      </c>
      <c r="H264" s="931" t="str">
        <f>IFERROR(IF((G264*'7. Erosió de costa'!$C$86/1000000)&lt;0,"guanya sorra",G264*'7. Erosió de costa'!$C$86/1000000),"")</f>
        <v/>
      </c>
      <c r="I264" s="937" t="str">
        <f>IFERROR(IF(('A. Dades de partida'!$D$10*G264*'7. Erosió de costa'!$C$86/1000000)&lt;0,"guanya sorra",'A. Dades de partida'!$D$10*G264*'7. Erosió de costa'!$C$86/1000000),"")</f>
        <v/>
      </c>
      <c r="J264" s="931" t="str">
        <f t="shared" si="87"/>
        <v>NA</v>
      </c>
      <c r="K264" s="931"/>
      <c r="L264" s="931"/>
      <c r="M264" s="931"/>
      <c r="N264" s="931"/>
      <c r="O264" s="931"/>
      <c r="P264" s="931"/>
      <c r="Q264" s="931"/>
      <c r="R264" s="931"/>
      <c r="S264" s="931"/>
      <c r="T264" s="931"/>
      <c r="U264" s="931"/>
      <c r="V264" s="931"/>
      <c r="W264" s="931"/>
      <c r="X264" s="931"/>
      <c r="Y264" s="931"/>
      <c r="Z264" s="941" t="str">
        <f t="shared" si="93"/>
        <v/>
      </c>
      <c r="AA264" s="941" t="str">
        <f t="shared" si="94"/>
        <v/>
      </c>
      <c r="AB264" s="941" t="str">
        <f t="shared" si="95"/>
        <v/>
      </c>
      <c r="AC264" s="941" t="str">
        <f t="shared" si="96"/>
        <v/>
      </c>
      <c r="AD264" s="941" t="str">
        <f t="shared" si="97"/>
        <v/>
      </c>
      <c r="AE264" s="941" t="str">
        <f t="shared" si="98"/>
        <v/>
      </c>
      <c r="AF264" s="941" t="str">
        <f t="shared" si="99"/>
        <v/>
      </c>
      <c r="AG264" s="941" t="str">
        <f t="shared" si="100"/>
        <v/>
      </c>
      <c r="AH264" s="941" t="str">
        <f t="shared" si="101"/>
        <v/>
      </c>
      <c r="AI264" s="941" t="str">
        <f t="shared" si="102"/>
        <v/>
      </c>
      <c r="AJ264" s="941" t="str">
        <f t="shared" si="103"/>
        <v/>
      </c>
      <c r="AK264" s="941" t="str">
        <f t="shared" si="104"/>
        <v/>
      </c>
      <c r="AL264" s="941" t="str">
        <f t="shared" si="105"/>
        <v/>
      </c>
      <c r="AM264" s="941" t="str">
        <f t="shared" si="106"/>
        <v/>
      </c>
      <c r="AN264" s="941" t="str">
        <f t="shared" si="107"/>
        <v/>
      </c>
      <c r="AO264" s="941" t="str">
        <f t="shared" si="108"/>
        <v/>
      </c>
      <c r="AP264" s="895">
        <f>IF(AO264&lt;0,"No hi ha pèrdua",IFERROR(SUM(AA264:AO264)*'7. Erosió de costa'!$C$86/1000000,""))</f>
        <v>0</v>
      </c>
    </row>
    <row r="265" spans="1:42">
      <c r="A265" s="835">
        <v>8264</v>
      </c>
      <c r="B265" s="826" t="s">
        <v>355</v>
      </c>
      <c r="C265" s="835">
        <f t="shared" si="88"/>
        <v>14</v>
      </c>
      <c r="D265" s="923">
        <f t="shared" si="89"/>
        <v>1237</v>
      </c>
      <c r="E265" s="931">
        <f t="shared" si="90"/>
        <v>-3.81</v>
      </c>
      <c r="F265" s="926">
        <f t="shared" si="91"/>
        <v>8.807232429279674</v>
      </c>
      <c r="G265" s="923">
        <f t="shared" si="92"/>
        <v>41508.222222222226</v>
      </c>
      <c r="H265" s="931">
        <f>IFERROR(IF((G265*'7. Erosió de costa'!$C$86/1000000)&lt;0,"guanya sorra",G265*'7. Erosió de costa'!$C$86/1000000),"")</f>
        <v>1.3697713333333335</v>
      </c>
      <c r="I265" s="937">
        <f>IFERROR(IF(('A. Dades de partida'!$D$10*G265*'7. Erosió de costa'!$C$86/1000000)&lt;0,"guanya sorra",'A. Dades de partida'!$D$10*G265*'7. Erosió de costa'!$C$86/1000000),"")</f>
        <v>20.546569999999999</v>
      </c>
      <c r="J265" s="931">
        <f>E265</f>
        <v>-3.81</v>
      </c>
      <c r="K265" s="931">
        <f>IF($J265&gt;0, $J265-($J265*'7. Erosió de costa'!D$140*'7. Erosió de costa'!$D$111),$J265+($J265*'7. Erosió de costa'!D$140*'7. Erosió de costa'!$D$111))</f>
        <v>-3.8834128959276017</v>
      </c>
      <c r="L265" s="931">
        <f>IF($J265&gt;0, $J265-($J265*'7. Erosió de costa'!E$140*'7. Erosió de costa'!$D$111),$J265+($J265*'7. Erosió de costa'!E$140*'7. Erosió de costa'!$D$111))</f>
        <v>-3.9568257918552039</v>
      </c>
      <c r="M265" s="931">
        <f>IF($J265&gt;0, $J265-($J265*'7. Erosió de costa'!F$140*'7. Erosió de costa'!$D$111),$J265+($J265*'7. Erosió de costa'!F$140*'7. Erosió de costa'!$D$111))</f>
        <v>-4.0302386877828056</v>
      </c>
      <c r="N265" s="931">
        <f>IF($J265&gt;0, $J265-($J265*'7. Erosió de costa'!G$140*'7. Erosió de costa'!$D$111),$J265+($J265*'7. Erosió de costa'!G$140*'7. Erosió de costa'!$D$111))</f>
        <v>-4.1036515837104073</v>
      </c>
      <c r="O265" s="931">
        <f>IF($J265&gt;0, $J265-($J265*'7. Erosió de costa'!H$140*'7. Erosió de costa'!$D$111),$J265+($J265*'7. Erosió de costa'!H$140*'7. Erosió de costa'!$D$111))</f>
        <v>-4.177064479638009</v>
      </c>
      <c r="P265" s="931">
        <f>IF($J265&gt;0, $J265-($J265*'7. Erosió de costa'!I$140*'7. Erosió de costa'!$D$111),$J265+($J265*'7. Erosió de costa'!I$140*'7. Erosió de costa'!$D$111))</f>
        <v>-4.2504773755656107</v>
      </c>
      <c r="Q265" s="931">
        <f>IF($J265&gt;0, $J265-($J265*'7. Erosió de costa'!J$140*'7. Erosió de costa'!$D$111),$J265+($J265*'7. Erosió de costa'!J$140*'7. Erosió de costa'!$D$111))</f>
        <v>-4.3238902714932124</v>
      </c>
      <c r="R265" s="931">
        <f>IF($J265&gt;0, $J265-($J265*'7. Erosió de costa'!K$140*'7. Erosió de costa'!$D$111),$J265+($J265*'7. Erosió de costa'!K$140*'7. Erosió de costa'!$D$111))</f>
        <v>-4.3973031674208141</v>
      </c>
      <c r="S265" s="931">
        <f>IF($J265&gt;0, $J265-($J265*'7. Erosió de costa'!L$140*'7. Erosió de costa'!$D$111),$J265+($J265*'7. Erosió de costa'!L$140*'7. Erosió de costa'!$D$111))</f>
        <v>-4.4707160633484166</v>
      </c>
      <c r="T265" s="931">
        <f>IF($J265&gt;0, $J265-($J265*'7. Erosió de costa'!M$140*'7. Erosió de costa'!$D$111),$J265+($J265*'7. Erosió de costa'!M$140*'7. Erosió de costa'!$D$111))</f>
        <v>-4.5441289592760183</v>
      </c>
      <c r="U265" s="931">
        <f>IF($J265&gt;0, $J265-($J265*'7. Erosió de costa'!N$140*'7. Erosió de costa'!$D$111),$J265+($J265*'7. Erosió de costa'!N$140*'7. Erosió de costa'!$D$111))</f>
        <v>-4.61754185520362</v>
      </c>
      <c r="V265" s="931">
        <f>IF($J265&gt;0, $J265-($J265*'7. Erosió de costa'!O$140*'7. Erosió de costa'!$D$111),$J265+($J265*'7. Erosió de costa'!O$140*'7. Erosió de costa'!$D$111))</f>
        <v>-4.6909547511312217</v>
      </c>
      <c r="W265" s="931">
        <f>IF($J265&gt;0, $J265-($J265*'7. Erosió de costa'!P$140*'7. Erosió de costa'!$D$111),$J265+($J265*'7. Erosió de costa'!P$140*'7. Erosió de costa'!$D$111))</f>
        <v>-4.7643676470588234</v>
      </c>
      <c r="X265" s="931">
        <f>IF($J265&gt;0, $J265-($J265*'7. Erosió de costa'!Q$140*'7. Erosió de costa'!$D$111),$J265+($J265*'7. Erosió de costa'!Q$140*'7. Erosió de costa'!$D$111))</f>
        <v>-4.8377805429864251</v>
      </c>
      <c r="Y265" s="931">
        <f>IF($J265&gt;0, $J265-($J265*'7. Erosió de costa'!R$140*'7. Erosió de costa'!$D$111),$J265+($J265*'7. Erosió de costa'!R$140*'7. Erosió de costa'!$D$111))</f>
        <v>-4.9111934389140277</v>
      </c>
      <c r="Z265" s="941">
        <f t="shared" si="93"/>
        <v>41508.222222222226</v>
      </c>
      <c r="AA265" s="941">
        <f t="shared" si="94"/>
        <v>42308.02243170773</v>
      </c>
      <c r="AB265" s="941">
        <f t="shared" si="95"/>
        <v>43107.822641193234</v>
      </c>
      <c r="AC265" s="941">
        <f t="shared" si="96"/>
        <v>43907.622850678737</v>
      </c>
      <c r="AD265" s="941">
        <f t="shared" si="97"/>
        <v>44707.423060164241</v>
      </c>
      <c r="AE265" s="941">
        <f t="shared" si="98"/>
        <v>45507.223269649745</v>
      </c>
      <c r="AF265" s="941">
        <f t="shared" si="99"/>
        <v>46307.023479135249</v>
      </c>
      <c r="AG265" s="941">
        <f t="shared" si="100"/>
        <v>47106.823688620752</v>
      </c>
      <c r="AH265" s="941">
        <f t="shared" si="101"/>
        <v>47906.623898106249</v>
      </c>
      <c r="AI265" s="941">
        <f t="shared" si="102"/>
        <v>48706.424107591767</v>
      </c>
      <c r="AJ265" s="941">
        <f t="shared" si="103"/>
        <v>49506.224317077264</v>
      </c>
      <c r="AK265" s="941">
        <f t="shared" si="104"/>
        <v>50306.024526562767</v>
      </c>
      <c r="AL265" s="941">
        <f t="shared" si="105"/>
        <v>51105.824736048271</v>
      </c>
      <c r="AM265" s="941">
        <f t="shared" si="106"/>
        <v>51905.624945533767</v>
      </c>
      <c r="AN265" s="941">
        <f t="shared" si="107"/>
        <v>52705.425155019271</v>
      </c>
      <c r="AO265" s="941">
        <f t="shared" si="108"/>
        <v>53505.225364504789</v>
      </c>
      <c r="AP265" s="895">
        <f>IF(AO265&lt;0,"No hi ha pèrdua",IFERROR(SUM(AA265:AO265)*'7. Erosió de costa'!$C$86/1000000,""))</f>
        <v>23.713778829562596</v>
      </c>
    </row>
    <row r="266" spans="1:42">
      <c r="A266" s="835">
        <v>8265</v>
      </c>
      <c r="B266" s="826" t="s">
        <v>1604</v>
      </c>
      <c r="C266" s="835" t="str">
        <f t="shared" si="88"/>
        <v>NA</v>
      </c>
      <c r="D266" s="923" t="str">
        <f t="shared" si="89"/>
        <v>NA</v>
      </c>
      <c r="E266" s="931" t="str">
        <f t="shared" si="90"/>
        <v>NA</v>
      </c>
      <c r="F266" s="926" t="str">
        <f t="shared" si="91"/>
        <v>NA</v>
      </c>
      <c r="G266" s="923" t="str">
        <f t="shared" si="92"/>
        <v>NA</v>
      </c>
      <c r="H266" s="931" t="str">
        <f>IFERROR(IF((G266*'7. Erosió de costa'!$C$86/1000000)&lt;0,"guanya sorra",G266*'7. Erosió de costa'!$C$86/1000000),"")</f>
        <v/>
      </c>
      <c r="I266" s="937" t="str">
        <f>IFERROR(IF(('A. Dades de partida'!$D$10*G266*'7. Erosió de costa'!$C$86/1000000)&lt;0,"guanya sorra",'A. Dades de partida'!$D$10*G266*'7. Erosió de costa'!$C$86/1000000),"")</f>
        <v/>
      </c>
      <c r="J266" s="931" t="str">
        <f t="shared" si="87"/>
        <v>NA</v>
      </c>
      <c r="K266" s="931"/>
      <c r="L266" s="931"/>
      <c r="M266" s="931"/>
      <c r="N266" s="931"/>
      <c r="O266" s="931"/>
      <c r="P266" s="931"/>
      <c r="Q266" s="931"/>
      <c r="R266" s="931"/>
      <c r="S266" s="931"/>
      <c r="T266" s="931"/>
      <c r="U266" s="931"/>
      <c r="V266" s="931"/>
      <c r="W266" s="931"/>
      <c r="X266" s="931"/>
      <c r="Y266" s="931"/>
      <c r="Z266" s="941" t="str">
        <f t="shared" si="93"/>
        <v/>
      </c>
      <c r="AA266" s="941" t="str">
        <f t="shared" si="94"/>
        <v/>
      </c>
      <c r="AB266" s="941" t="str">
        <f t="shared" si="95"/>
        <v/>
      </c>
      <c r="AC266" s="941" t="str">
        <f t="shared" si="96"/>
        <v/>
      </c>
      <c r="AD266" s="941" t="str">
        <f t="shared" si="97"/>
        <v/>
      </c>
      <c r="AE266" s="941" t="str">
        <f t="shared" si="98"/>
        <v/>
      </c>
      <c r="AF266" s="941" t="str">
        <f t="shared" si="99"/>
        <v/>
      </c>
      <c r="AG266" s="941" t="str">
        <f t="shared" si="100"/>
        <v/>
      </c>
      <c r="AH266" s="941" t="str">
        <f t="shared" si="101"/>
        <v/>
      </c>
      <c r="AI266" s="941" t="str">
        <f t="shared" si="102"/>
        <v/>
      </c>
      <c r="AJ266" s="941" t="str">
        <f t="shared" si="103"/>
        <v/>
      </c>
      <c r="AK266" s="941" t="str">
        <f t="shared" si="104"/>
        <v/>
      </c>
      <c r="AL266" s="941" t="str">
        <f t="shared" si="105"/>
        <v/>
      </c>
      <c r="AM266" s="941" t="str">
        <f t="shared" si="106"/>
        <v/>
      </c>
      <c r="AN266" s="941" t="str">
        <f t="shared" si="107"/>
        <v/>
      </c>
      <c r="AO266" s="941" t="str">
        <f t="shared" si="108"/>
        <v/>
      </c>
      <c r="AP266" s="895">
        <f>IF(AO266&lt;0,"No hi ha pèrdua",IFERROR(SUM(AA266:AO266)*'7. Erosió de costa'!$C$86/1000000,""))</f>
        <v>0</v>
      </c>
    </row>
    <row r="267" spans="1:42">
      <c r="A267" s="835">
        <v>8266</v>
      </c>
      <c r="B267" s="826" t="s">
        <v>1605</v>
      </c>
      <c r="C267" s="835" t="str">
        <f t="shared" si="88"/>
        <v>NA</v>
      </c>
      <c r="D267" s="923" t="str">
        <f t="shared" si="89"/>
        <v>NA</v>
      </c>
      <c r="E267" s="931" t="str">
        <f t="shared" si="90"/>
        <v>NA</v>
      </c>
      <c r="F267" s="926" t="str">
        <f t="shared" si="91"/>
        <v>NA</v>
      </c>
      <c r="G267" s="923" t="str">
        <f t="shared" si="92"/>
        <v>NA</v>
      </c>
      <c r="H267" s="931" t="str">
        <f>IFERROR(IF((G267*'7. Erosió de costa'!$C$86/1000000)&lt;0,"guanya sorra",G267*'7. Erosió de costa'!$C$86/1000000),"")</f>
        <v/>
      </c>
      <c r="I267" s="937" t="str">
        <f>IFERROR(IF(('A. Dades de partida'!$D$10*G267*'7. Erosió de costa'!$C$86/1000000)&lt;0,"guanya sorra",'A. Dades de partida'!$D$10*G267*'7. Erosió de costa'!$C$86/1000000),"")</f>
        <v/>
      </c>
      <c r="J267" s="931" t="str">
        <f t="shared" si="87"/>
        <v>NA</v>
      </c>
      <c r="K267" s="931"/>
      <c r="L267" s="931"/>
      <c r="M267" s="931"/>
      <c r="N267" s="931"/>
      <c r="O267" s="931"/>
      <c r="P267" s="931"/>
      <c r="Q267" s="931"/>
      <c r="R267" s="931"/>
      <c r="S267" s="931"/>
      <c r="T267" s="931"/>
      <c r="U267" s="931"/>
      <c r="V267" s="931"/>
      <c r="W267" s="931"/>
      <c r="X267" s="931"/>
      <c r="Y267" s="931"/>
      <c r="Z267" s="941" t="str">
        <f t="shared" si="93"/>
        <v/>
      </c>
      <c r="AA267" s="941" t="str">
        <f t="shared" si="94"/>
        <v/>
      </c>
      <c r="AB267" s="941" t="str">
        <f t="shared" si="95"/>
        <v/>
      </c>
      <c r="AC267" s="941" t="str">
        <f t="shared" si="96"/>
        <v/>
      </c>
      <c r="AD267" s="941" t="str">
        <f t="shared" si="97"/>
        <v/>
      </c>
      <c r="AE267" s="941" t="str">
        <f t="shared" si="98"/>
        <v/>
      </c>
      <c r="AF267" s="941" t="str">
        <f t="shared" si="99"/>
        <v/>
      </c>
      <c r="AG267" s="941" t="str">
        <f t="shared" si="100"/>
        <v/>
      </c>
      <c r="AH267" s="941" t="str">
        <f t="shared" si="101"/>
        <v/>
      </c>
      <c r="AI267" s="941" t="str">
        <f t="shared" si="102"/>
        <v/>
      </c>
      <c r="AJ267" s="941" t="str">
        <f t="shared" si="103"/>
        <v/>
      </c>
      <c r="AK267" s="941" t="str">
        <f t="shared" si="104"/>
        <v/>
      </c>
      <c r="AL267" s="941" t="str">
        <f t="shared" si="105"/>
        <v/>
      </c>
      <c r="AM267" s="941" t="str">
        <f t="shared" si="106"/>
        <v/>
      </c>
      <c r="AN267" s="941" t="str">
        <f t="shared" si="107"/>
        <v/>
      </c>
      <c r="AO267" s="941" t="str">
        <f t="shared" si="108"/>
        <v/>
      </c>
      <c r="AP267" s="895">
        <f>IF(AO267&lt;0,"No hi ha pèrdua",IFERROR(SUM(AA267:AO267)*'7. Erosió de costa'!$C$86/1000000,""))</f>
        <v>0</v>
      </c>
    </row>
    <row r="268" spans="1:42">
      <c r="A268" s="835">
        <v>8267</v>
      </c>
      <c r="B268" s="826" t="s">
        <v>1608</v>
      </c>
      <c r="C268" s="835" t="str">
        <f t="shared" si="88"/>
        <v>NA</v>
      </c>
      <c r="D268" s="923" t="str">
        <f t="shared" si="89"/>
        <v>NA</v>
      </c>
      <c r="E268" s="931" t="str">
        <f t="shared" si="90"/>
        <v>NA</v>
      </c>
      <c r="F268" s="926" t="str">
        <f t="shared" si="91"/>
        <v>NA</v>
      </c>
      <c r="G268" s="923" t="str">
        <f t="shared" si="92"/>
        <v>NA</v>
      </c>
      <c r="H268" s="931" t="str">
        <f>IFERROR(IF((G268*'7. Erosió de costa'!$C$86/1000000)&lt;0,"guanya sorra",G268*'7. Erosió de costa'!$C$86/1000000),"")</f>
        <v/>
      </c>
      <c r="I268" s="937" t="str">
        <f>IFERROR(IF(('A. Dades de partida'!$D$10*G268*'7. Erosió de costa'!$C$86/1000000)&lt;0,"guanya sorra",'A. Dades de partida'!$D$10*G268*'7. Erosió de costa'!$C$86/1000000),"")</f>
        <v/>
      </c>
      <c r="J268" s="931" t="str">
        <f t="shared" si="87"/>
        <v>NA</v>
      </c>
      <c r="K268" s="931"/>
      <c r="L268" s="931"/>
      <c r="M268" s="931"/>
      <c r="N268" s="931"/>
      <c r="O268" s="931"/>
      <c r="P268" s="931"/>
      <c r="Q268" s="931"/>
      <c r="R268" s="931"/>
      <c r="S268" s="931"/>
      <c r="T268" s="931"/>
      <c r="U268" s="931"/>
      <c r="V268" s="931"/>
      <c r="W268" s="931"/>
      <c r="X268" s="931"/>
      <c r="Y268" s="931"/>
      <c r="Z268" s="941" t="str">
        <f t="shared" si="93"/>
        <v/>
      </c>
      <c r="AA268" s="941" t="str">
        <f t="shared" si="94"/>
        <v/>
      </c>
      <c r="AB268" s="941" t="str">
        <f t="shared" si="95"/>
        <v/>
      </c>
      <c r="AC268" s="941" t="str">
        <f t="shared" si="96"/>
        <v/>
      </c>
      <c r="AD268" s="941" t="str">
        <f t="shared" si="97"/>
        <v/>
      </c>
      <c r="AE268" s="941" t="str">
        <f t="shared" si="98"/>
        <v/>
      </c>
      <c r="AF268" s="941" t="str">
        <f t="shared" si="99"/>
        <v/>
      </c>
      <c r="AG268" s="941" t="str">
        <f t="shared" si="100"/>
        <v/>
      </c>
      <c r="AH268" s="941" t="str">
        <f t="shared" si="101"/>
        <v/>
      </c>
      <c r="AI268" s="941" t="str">
        <f t="shared" si="102"/>
        <v/>
      </c>
      <c r="AJ268" s="941" t="str">
        <f t="shared" si="103"/>
        <v/>
      </c>
      <c r="AK268" s="941" t="str">
        <f t="shared" si="104"/>
        <v/>
      </c>
      <c r="AL268" s="941" t="str">
        <f t="shared" si="105"/>
        <v/>
      </c>
      <c r="AM268" s="941" t="str">
        <f t="shared" si="106"/>
        <v/>
      </c>
      <c r="AN268" s="941" t="str">
        <f t="shared" si="107"/>
        <v/>
      </c>
      <c r="AO268" s="941" t="str">
        <f t="shared" si="108"/>
        <v/>
      </c>
      <c r="AP268" s="895">
        <f>IF(AO268&lt;0,"No hi ha pèrdua",IFERROR(SUM(AA268:AO268)*'7. Erosió de costa'!$C$86/1000000,""))</f>
        <v>0</v>
      </c>
    </row>
    <row r="269" spans="1:42">
      <c r="A269" s="835">
        <v>8268</v>
      </c>
      <c r="B269" s="826" t="s">
        <v>1610</v>
      </c>
      <c r="C269" s="835" t="str">
        <f t="shared" si="88"/>
        <v>NA</v>
      </c>
      <c r="D269" s="923" t="str">
        <f t="shared" si="89"/>
        <v>NA</v>
      </c>
      <c r="E269" s="931" t="str">
        <f t="shared" si="90"/>
        <v>NA</v>
      </c>
      <c r="F269" s="926" t="str">
        <f t="shared" si="91"/>
        <v>NA</v>
      </c>
      <c r="G269" s="923" t="str">
        <f t="shared" si="92"/>
        <v>NA</v>
      </c>
      <c r="H269" s="931" t="str">
        <f>IFERROR(IF((G269*'7. Erosió de costa'!$C$86/1000000)&lt;0,"guanya sorra",G269*'7. Erosió de costa'!$C$86/1000000),"")</f>
        <v/>
      </c>
      <c r="I269" s="937" t="str">
        <f>IFERROR(IF(('A. Dades de partida'!$D$10*G269*'7. Erosió de costa'!$C$86/1000000)&lt;0,"guanya sorra",'A. Dades de partida'!$D$10*G269*'7. Erosió de costa'!$C$86/1000000),"")</f>
        <v/>
      </c>
      <c r="J269" s="931" t="str">
        <f t="shared" si="87"/>
        <v>NA</v>
      </c>
      <c r="K269" s="931"/>
      <c r="L269" s="931"/>
      <c r="M269" s="931"/>
      <c r="N269" s="931"/>
      <c r="O269" s="931"/>
      <c r="P269" s="931"/>
      <c r="Q269" s="931"/>
      <c r="R269" s="931"/>
      <c r="S269" s="931"/>
      <c r="T269" s="931"/>
      <c r="U269" s="931"/>
      <c r="V269" s="931"/>
      <c r="W269" s="931"/>
      <c r="X269" s="931"/>
      <c r="Y269" s="931"/>
      <c r="Z269" s="941" t="str">
        <f t="shared" si="93"/>
        <v/>
      </c>
      <c r="AA269" s="941" t="str">
        <f t="shared" si="94"/>
        <v/>
      </c>
      <c r="AB269" s="941" t="str">
        <f t="shared" si="95"/>
        <v/>
      </c>
      <c r="AC269" s="941" t="str">
        <f t="shared" si="96"/>
        <v/>
      </c>
      <c r="AD269" s="941" t="str">
        <f t="shared" si="97"/>
        <v/>
      </c>
      <c r="AE269" s="941" t="str">
        <f t="shared" si="98"/>
        <v/>
      </c>
      <c r="AF269" s="941" t="str">
        <f t="shared" si="99"/>
        <v/>
      </c>
      <c r="AG269" s="941" t="str">
        <f t="shared" si="100"/>
        <v/>
      </c>
      <c r="AH269" s="941" t="str">
        <f t="shared" si="101"/>
        <v/>
      </c>
      <c r="AI269" s="941" t="str">
        <f t="shared" si="102"/>
        <v/>
      </c>
      <c r="AJ269" s="941" t="str">
        <f t="shared" si="103"/>
        <v/>
      </c>
      <c r="AK269" s="941" t="str">
        <f t="shared" si="104"/>
        <v/>
      </c>
      <c r="AL269" s="941" t="str">
        <f t="shared" si="105"/>
        <v/>
      </c>
      <c r="AM269" s="941" t="str">
        <f t="shared" si="106"/>
        <v/>
      </c>
      <c r="AN269" s="941" t="str">
        <f t="shared" si="107"/>
        <v/>
      </c>
      <c r="AO269" s="941" t="str">
        <f t="shared" si="108"/>
        <v/>
      </c>
      <c r="AP269" s="895">
        <f>IF(AO269&lt;0,"No hi ha pèrdua",IFERROR(SUM(AA269:AO269)*'7. Erosió de costa'!$C$86/1000000,""))</f>
        <v>0</v>
      </c>
    </row>
    <row r="270" spans="1:42">
      <c r="A270" s="835">
        <v>8269</v>
      </c>
      <c r="B270" s="826" t="s">
        <v>1614</v>
      </c>
      <c r="C270" s="835" t="str">
        <f t="shared" si="88"/>
        <v>NA</v>
      </c>
      <c r="D270" s="923" t="str">
        <f t="shared" si="89"/>
        <v>NA</v>
      </c>
      <c r="E270" s="931" t="str">
        <f t="shared" si="90"/>
        <v>NA</v>
      </c>
      <c r="F270" s="926" t="str">
        <f t="shared" si="91"/>
        <v>NA</v>
      </c>
      <c r="G270" s="923" t="str">
        <f t="shared" si="92"/>
        <v>NA</v>
      </c>
      <c r="H270" s="931" t="str">
        <f>IFERROR(IF((G270*'7. Erosió de costa'!$C$86/1000000)&lt;0,"guanya sorra",G270*'7. Erosió de costa'!$C$86/1000000),"")</f>
        <v/>
      </c>
      <c r="I270" s="937" t="str">
        <f>IFERROR(IF(('A. Dades de partida'!$D$10*G270*'7. Erosió de costa'!$C$86/1000000)&lt;0,"guanya sorra",'A. Dades de partida'!$D$10*G270*'7. Erosió de costa'!$C$86/1000000),"")</f>
        <v/>
      </c>
      <c r="J270" s="931" t="str">
        <f t="shared" si="87"/>
        <v>NA</v>
      </c>
      <c r="K270" s="931"/>
      <c r="L270" s="931"/>
      <c r="M270" s="931"/>
      <c r="N270" s="931"/>
      <c r="O270" s="931"/>
      <c r="P270" s="931"/>
      <c r="Q270" s="931"/>
      <c r="R270" s="931"/>
      <c r="S270" s="931"/>
      <c r="T270" s="931"/>
      <c r="U270" s="931"/>
      <c r="V270" s="931"/>
      <c r="W270" s="931"/>
      <c r="X270" s="931"/>
      <c r="Y270" s="931"/>
      <c r="Z270" s="941" t="str">
        <f t="shared" si="93"/>
        <v/>
      </c>
      <c r="AA270" s="941" t="str">
        <f t="shared" si="94"/>
        <v/>
      </c>
      <c r="AB270" s="941" t="str">
        <f t="shared" si="95"/>
        <v/>
      </c>
      <c r="AC270" s="941" t="str">
        <f t="shared" si="96"/>
        <v/>
      </c>
      <c r="AD270" s="941" t="str">
        <f t="shared" si="97"/>
        <v/>
      </c>
      <c r="AE270" s="941" t="str">
        <f t="shared" si="98"/>
        <v/>
      </c>
      <c r="AF270" s="941" t="str">
        <f t="shared" si="99"/>
        <v/>
      </c>
      <c r="AG270" s="941" t="str">
        <f t="shared" si="100"/>
        <v/>
      </c>
      <c r="AH270" s="941" t="str">
        <f t="shared" si="101"/>
        <v/>
      </c>
      <c r="AI270" s="941" t="str">
        <f t="shared" si="102"/>
        <v/>
      </c>
      <c r="AJ270" s="941" t="str">
        <f t="shared" si="103"/>
        <v/>
      </c>
      <c r="AK270" s="941" t="str">
        <f t="shared" si="104"/>
        <v/>
      </c>
      <c r="AL270" s="941" t="str">
        <f t="shared" si="105"/>
        <v/>
      </c>
      <c r="AM270" s="941" t="str">
        <f t="shared" si="106"/>
        <v/>
      </c>
      <c r="AN270" s="941" t="str">
        <f t="shared" si="107"/>
        <v/>
      </c>
      <c r="AO270" s="941" t="str">
        <f t="shared" si="108"/>
        <v/>
      </c>
      <c r="AP270" s="895">
        <f>IF(AO270&lt;0,"No hi ha pèrdua",IFERROR(SUM(AA270:AO270)*'7. Erosió de costa'!$C$86/1000000,""))</f>
        <v>0</v>
      </c>
    </row>
    <row r="271" spans="1:42">
      <c r="A271" s="835">
        <v>8270</v>
      </c>
      <c r="B271" s="826" t="s">
        <v>356</v>
      </c>
      <c r="C271" s="835">
        <f t="shared" si="88"/>
        <v>7</v>
      </c>
      <c r="D271" s="923">
        <f t="shared" si="89"/>
        <v>7570</v>
      </c>
      <c r="E271" s="931">
        <f t="shared" si="90"/>
        <v>-0.01</v>
      </c>
      <c r="F271" s="926">
        <f t="shared" si="91"/>
        <v>10.309278350515465</v>
      </c>
      <c r="G271" s="923">
        <f t="shared" si="92"/>
        <v>780.41237113402065</v>
      </c>
      <c r="H271" s="931">
        <f>IFERROR(IF((G271*'7. Erosió de costa'!$C$86/1000000)&lt;0,"guanya sorra",G271*'7. Erosió de costa'!$C$86/1000000),"")</f>
        <v>2.5753608247422684E-2</v>
      </c>
      <c r="I271" s="937">
        <f>IFERROR(IF(('A. Dades de partida'!$D$10*G271*'7. Erosió de costa'!$C$86/1000000)&lt;0,"guanya sorra",'A. Dades de partida'!$D$10*G271*'7. Erosió de costa'!$C$86/1000000),"")</f>
        <v>0.38630412371134026</v>
      </c>
      <c r="J271" s="931">
        <f>E271</f>
        <v>-0.01</v>
      </c>
      <c r="K271" s="931">
        <f>IF($J271&gt;0, $J271-($J271*'7. Erosió de costa'!D$140*'7. Erosió de costa'!$D$111),$J271+($J271*'7. Erosió de costa'!D$140*'7. Erosió de costa'!$D$111))</f>
        <v>-1.0192684766214178E-2</v>
      </c>
      <c r="L271" s="931">
        <f>IF($J271&gt;0, $J271-($J271*'7. Erosió de costa'!E$140*'7. Erosió de costa'!$D$111),$J271+($J271*'7. Erosió de costa'!E$140*'7. Erosió de costa'!$D$111))</f>
        <v>-1.0385369532428357E-2</v>
      </c>
      <c r="M271" s="931">
        <f>IF($J271&gt;0, $J271-($J271*'7. Erosió de costa'!F$140*'7. Erosió de costa'!$D$111),$J271+($J271*'7. Erosió de costa'!F$140*'7. Erosió de costa'!$D$111))</f>
        <v>-1.0578054298642534E-2</v>
      </c>
      <c r="N271" s="931">
        <f>IF($J271&gt;0, $J271-($J271*'7. Erosió de costa'!G$140*'7. Erosió de costa'!$D$111),$J271+($J271*'7. Erosió de costa'!G$140*'7. Erosió de costa'!$D$111))</f>
        <v>-1.0770739064856712E-2</v>
      </c>
      <c r="O271" s="931">
        <f>IF($J271&gt;0, $J271-($J271*'7. Erosió de costa'!H$140*'7. Erosió de costa'!$D$111),$J271+($J271*'7. Erosió de costa'!H$140*'7. Erosió de costa'!$D$111))</f>
        <v>-1.0963423831070889E-2</v>
      </c>
      <c r="P271" s="931">
        <f>IF($J271&gt;0, $J271-($J271*'7. Erosió de costa'!I$140*'7. Erosió de costa'!$D$111),$J271+($J271*'7. Erosió de costa'!I$140*'7. Erosió de costa'!$D$111))</f>
        <v>-1.1156108597285068E-2</v>
      </c>
      <c r="Q271" s="931">
        <f>IF($J271&gt;0, $J271-($J271*'7. Erosió de costa'!J$140*'7. Erosió de costa'!$D$111),$J271+($J271*'7. Erosió de costa'!J$140*'7. Erosió de costa'!$D$111))</f>
        <v>-1.1348793363499246E-2</v>
      </c>
      <c r="R271" s="931">
        <f>IF($J271&gt;0, $J271-($J271*'7. Erosió de costa'!K$140*'7. Erosió de costa'!$D$111),$J271+($J271*'7. Erosió de costa'!K$140*'7. Erosió de costa'!$D$111))</f>
        <v>-1.1541478129713425E-2</v>
      </c>
      <c r="S271" s="931">
        <f>IF($J271&gt;0, $J271-($J271*'7. Erosió de costa'!L$140*'7. Erosió de costa'!$D$111),$J271+($J271*'7. Erosió de costa'!L$140*'7. Erosió de costa'!$D$111))</f>
        <v>-1.1734162895927602E-2</v>
      </c>
      <c r="T271" s="931">
        <f>IF($J271&gt;0, $J271-($J271*'7. Erosió de costa'!M$140*'7. Erosió de costa'!$D$111),$J271+($J271*'7. Erosió de costa'!M$140*'7. Erosió de costa'!$D$111))</f>
        <v>-1.192684766214178E-2</v>
      </c>
      <c r="U271" s="931">
        <f>IF($J271&gt;0, $J271-($J271*'7. Erosió de costa'!N$140*'7. Erosió de costa'!$D$111),$J271+($J271*'7. Erosió de costa'!N$140*'7. Erosió de costa'!$D$111))</f>
        <v>-1.2119532428355957E-2</v>
      </c>
      <c r="V271" s="931">
        <f>IF($J271&gt;0, $J271-($J271*'7. Erosió de costa'!O$140*'7. Erosió de costa'!$D$111),$J271+($J271*'7. Erosió de costa'!O$140*'7. Erosió de costa'!$D$111))</f>
        <v>-1.2312217194570136E-2</v>
      </c>
      <c r="W271" s="931">
        <f>IF($J271&gt;0, $J271-($J271*'7. Erosió de costa'!P$140*'7. Erosió de costa'!$D$111),$J271+($J271*'7. Erosió de costa'!P$140*'7. Erosió de costa'!$D$111))</f>
        <v>-1.2504901960784314E-2</v>
      </c>
      <c r="X271" s="931">
        <f>IF($J271&gt;0, $J271-($J271*'7. Erosió de costa'!Q$140*'7. Erosió de costa'!$D$111),$J271+($J271*'7. Erosió de costa'!Q$140*'7. Erosió de costa'!$D$111))</f>
        <v>-1.2697586726998493E-2</v>
      </c>
      <c r="Y271" s="931">
        <f>IF($J271&gt;0, $J271-($J271*'7. Erosió de costa'!R$140*'7. Erosió de costa'!$D$111),$J271+($J271*'7. Erosió de costa'!R$140*'7. Erosió de costa'!$D$111))</f>
        <v>-1.289027149321267E-2</v>
      </c>
      <c r="Z271" s="941">
        <f t="shared" si="93"/>
        <v>780.41237113402065</v>
      </c>
      <c r="AA271" s="941">
        <f t="shared" si="94"/>
        <v>795.4497286622817</v>
      </c>
      <c r="AB271" s="941">
        <f t="shared" si="95"/>
        <v>810.48708619054298</v>
      </c>
      <c r="AC271" s="941">
        <f t="shared" si="96"/>
        <v>825.52444371880404</v>
      </c>
      <c r="AD271" s="941">
        <f t="shared" si="97"/>
        <v>840.56180124706509</v>
      </c>
      <c r="AE271" s="941">
        <f t="shared" si="98"/>
        <v>855.59915877532615</v>
      </c>
      <c r="AF271" s="941">
        <f t="shared" si="99"/>
        <v>870.63651630358731</v>
      </c>
      <c r="AG271" s="941">
        <f t="shared" si="100"/>
        <v>885.67387383184848</v>
      </c>
      <c r="AH271" s="941">
        <f t="shared" si="101"/>
        <v>900.71123136010954</v>
      </c>
      <c r="AI271" s="941">
        <f t="shared" si="102"/>
        <v>915.7485888883707</v>
      </c>
      <c r="AJ271" s="941">
        <f t="shared" si="103"/>
        <v>930.78594641663176</v>
      </c>
      <c r="AK271" s="941">
        <f t="shared" si="104"/>
        <v>945.82330394489281</v>
      </c>
      <c r="AL271" s="941">
        <f t="shared" si="105"/>
        <v>960.86066147315398</v>
      </c>
      <c r="AM271" s="941">
        <f t="shared" si="106"/>
        <v>975.89801900141504</v>
      </c>
      <c r="AN271" s="941">
        <f t="shared" si="107"/>
        <v>990.93537652967632</v>
      </c>
      <c r="AO271" s="941">
        <f t="shared" si="108"/>
        <v>1005.9727340579373</v>
      </c>
      <c r="AP271" s="895">
        <f>IF(AO271&lt;0,"No hi ha pèrdua",IFERROR(SUM(AA271:AO271)*'7. Erosió de costa'!$C$86/1000000,""))</f>
        <v>0.4458520595232543</v>
      </c>
    </row>
    <row r="272" spans="1:42">
      <c r="A272" s="835">
        <v>8271</v>
      </c>
      <c r="B272" s="826" t="s">
        <v>1621</v>
      </c>
      <c r="C272" s="835" t="str">
        <f t="shared" si="88"/>
        <v>NA</v>
      </c>
      <c r="D272" s="923" t="str">
        <f t="shared" si="89"/>
        <v>NA</v>
      </c>
      <c r="E272" s="931" t="str">
        <f t="shared" si="90"/>
        <v>NA</v>
      </c>
      <c r="F272" s="926" t="str">
        <f t="shared" si="91"/>
        <v>NA</v>
      </c>
      <c r="G272" s="923" t="str">
        <f t="shared" si="92"/>
        <v>NA</v>
      </c>
      <c r="H272" s="931" t="str">
        <f>IFERROR(IF((G272*'7. Erosió de costa'!$C$86/1000000)&lt;0,"guanya sorra",G272*'7. Erosió de costa'!$C$86/1000000),"")</f>
        <v/>
      </c>
      <c r="I272" s="937" t="str">
        <f>IFERROR(IF(('A. Dades de partida'!$D$10*G272*'7. Erosió de costa'!$C$86/1000000)&lt;0,"guanya sorra",'A. Dades de partida'!$D$10*G272*'7. Erosió de costa'!$C$86/1000000),"")</f>
        <v/>
      </c>
      <c r="J272" s="931" t="str">
        <f t="shared" si="87"/>
        <v>NA</v>
      </c>
      <c r="K272" s="931"/>
      <c r="L272" s="931"/>
      <c r="M272" s="931"/>
      <c r="N272" s="931"/>
      <c r="O272" s="931"/>
      <c r="P272" s="931"/>
      <c r="Q272" s="931"/>
      <c r="R272" s="931"/>
      <c r="S272" s="931"/>
      <c r="T272" s="931"/>
      <c r="U272" s="931"/>
      <c r="V272" s="931"/>
      <c r="W272" s="931"/>
      <c r="X272" s="931"/>
      <c r="Y272" s="931"/>
      <c r="Z272" s="941" t="str">
        <f t="shared" si="93"/>
        <v/>
      </c>
      <c r="AA272" s="941" t="str">
        <f t="shared" si="94"/>
        <v/>
      </c>
      <c r="AB272" s="941" t="str">
        <f t="shared" si="95"/>
        <v/>
      </c>
      <c r="AC272" s="941" t="str">
        <f t="shared" si="96"/>
        <v/>
      </c>
      <c r="AD272" s="941" t="str">
        <f t="shared" si="97"/>
        <v/>
      </c>
      <c r="AE272" s="941" t="str">
        <f t="shared" si="98"/>
        <v/>
      </c>
      <c r="AF272" s="941" t="str">
        <f t="shared" si="99"/>
        <v/>
      </c>
      <c r="AG272" s="941" t="str">
        <f t="shared" si="100"/>
        <v/>
      </c>
      <c r="AH272" s="941" t="str">
        <f t="shared" si="101"/>
        <v/>
      </c>
      <c r="AI272" s="941" t="str">
        <f t="shared" si="102"/>
        <v/>
      </c>
      <c r="AJ272" s="941" t="str">
        <f t="shared" si="103"/>
        <v/>
      </c>
      <c r="AK272" s="941" t="str">
        <f t="shared" si="104"/>
        <v/>
      </c>
      <c r="AL272" s="941" t="str">
        <f t="shared" si="105"/>
        <v/>
      </c>
      <c r="AM272" s="941" t="str">
        <f t="shared" si="106"/>
        <v/>
      </c>
      <c r="AN272" s="941" t="str">
        <f t="shared" si="107"/>
        <v/>
      </c>
      <c r="AO272" s="941" t="str">
        <f t="shared" si="108"/>
        <v/>
      </c>
      <c r="AP272" s="895">
        <f>IF(AO272&lt;0,"No hi ha pèrdua",IFERROR(SUM(AA272:AO272)*'7. Erosió de costa'!$C$86/1000000,""))</f>
        <v>0</v>
      </c>
    </row>
    <row r="273" spans="1:42">
      <c r="A273" s="835">
        <v>8272</v>
      </c>
      <c r="B273" s="826" t="s">
        <v>1625</v>
      </c>
      <c r="C273" s="835" t="str">
        <f t="shared" si="88"/>
        <v>NA</v>
      </c>
      <c r="D273" s="923" t="str">
        <f t="shared" si="89"/>
        <v>NA</v>
      </c>
      <c r="E273" s="931" t="str">
        <f t="shared" si="90"/>
        <v>NA</v>
      </c>
      <c r="F273" s="926" t="str">
        <f t="shared" si="91"/>
        <v>NA</v>
      </c>
      <c r="G273" s="923" t="str">
        <f t="shared" si="92"/>
        <v>NA</v>
      </c>
      <c r="H273" s="931" t="str">
        <f>IFERROR(IF((G273*'7. Erosió de costa'!$C$86/1000000)&lt;0,"guanya sorra",G273*'7. Erosió de costa'!$C$86/1000000),"")</f>
        <v/>
      </c>
      <c r="I273" s="937" t="str">
        <f>IFERROR(IF(('A. Dades de partida'!$D$10*G273*'7. Erosió de costa'!$C$86/1000000)&lt;0,"guanya sorra",'A. Dades de partida'!$D$10*G273*'7. Erosió de costa'!$C$86/1000000),"")</f>
        <v/>
      </c>
      <c r="J273" s="931" t="str">
        <f t="shared" si="87"/>
        <v>NA</v>
      </c>
      <c r="K273" s="931"/>
      <c r="L273" s="931"/>
      <c r="M273" s="931"/>
      <c r="N273" s="931"/>
      <c r="O273" s="931"/>
      <c r="P273" s="931"/>
      <c r="Q273" s="931"/>
      <c r="R273" s="931"/>
      <c r="S273" s="931"/>
      <c r="T273" s="931"/>
      <c r="U273" s="931"/>
      <c r="V273" s="931"/>
      <c r="W273" s="931"/>
      <c r="X273" s="931"/>
      <c r="Y273" s="931"/>
      <c r="Z273" s="941" t="str">
        <f t="shared" si="93"/>
        <v/>
      </c>
      <c r="AA273" s="941" t="str">
        <f t="shared" si="94"/>
        <v/>
      </c>
      <c r="AB273" s="941" t="str">
        <f t="shared" si="95"/>
        <v/>
      </c>
      <c r="AC273" s="941" t="str">
        <f t="shared" si="96"/>
        <v/>
      </c>
      <c r="AD273" s="941" t="str">
        <f t="shared" si="97"/>
        <v/>
      </c>
      <c r="AE273" s="941" t="str">
        <f t="shared" si="98"/>
        <v/>
      </c>
      <c r="AF273" s="941" t="str">
        <f t="shared" si="99"/>
        <v/>
      </c>
      <c r="AG273" s="941" t="str">
        <f t="shared" si="100"/>
        <v/>
      </c>
      <c r="AH273" s="941" t="str">
        <f t="shared" si="101"/>
        <v/>
      </c>
      <c r="AI273" s="941" t="str">
        <f t="shared" si="102"/>
        <v/>
      </c>
      <c r="AJ273" s="941" t="str">
        <f t="shared" si="103"/>
        <v/>
      </c>
      <c r="AK273" s="941" t="str">
        <f t="shared" si="104"/>
        <v/>
      </c>
      <c r="AL273" s="941" t="str">
        <f t="shared" si="105"/>
        <v/>
      </c>
      <c r="AM273" s="941" t="str">
        <f t="shared" si="106"/>
        <v/>
      </c>
      <c r="AN273" s="941" t="str">
        <f t="shared" si="107"/>
        <v/>
      </c>
      <c r="AO273" s="941" t="str">
        <f t="shared" si="108"/>
        <v/>
      </c>
      <c r="AP273" s="895">
        <f>IF(AO273&lt;0,"No hi ha pèrdua",IFERROR(SUM(AA273:AO273)*'7. Erosió de costa'!$C$86/1000000,""))</f>
        <v>0</v>
      </c>
    </row>
    <row r="274" spans="1:42">
      <c r="A274" s="835">
        <v>8273</v>
      </c>
      <c r="B274" s="826" t="s">
        <v>1627</v>
      </c>
      <c r="C274" s="835" t="str">
        <f t="shared" si="88"/>
        <v>NA</v>
      </c>
      <c r="D274" s="923" t="str">
        <f t="shared" si="89"/>
        <v>NA</v>
      </c>
      <c r="E274" s="931" t="str">
        <f t="shared" si="90"/>
        <v>NA</v>
      </c>
      <c r="F274" s="926" t="str">
        <f t="shared" si="91"/>
        <v>NA</v>
      </c>
      <c r="G274" s="923" t="str">
        <f t="shared" si="92"/>
        <v>NA</v>
      </c>
      <c r="H274" s="931" t="str">
        <f>IFERROR(IF((G274*'7. Erosió de costa'!$C$86/1000000)&lt;0,"guanya sorra",G274*'7. Erosió de costa'!$C$86/1000000),"")</f>
        <v/>
      </c>
      <c r="I274" s="937" t="str">
        <f>IFERROR(IF(('A. Dades de partida'!$D$10*G274*'7. Erosió de costa'!$C$86/1000000)&lt;0,"guanya sorra",'A. Dades de partida'!$D$10*G274*'7. Erosió de costa'!$C$86/1000000),"")</f>
        <v/>
      </c>
      <c r="J274" s="931" t="str">
        <f t="shared" si="87"/>
        <v>NA</v>
      </c>
      <c r="K274" s="931"/>
      <c r="L274" s="931"/>
      <c r="M274" s="931"/>
      <c r="N274" s="931"/>
      <c r="O274" s="931"/>
      <c r="P274" s="931"/>
      <c r="Q274" s="931"/>
      <c r="R274" s="931"/>
      <c r="S274" s="931"/>
      <c r="T274" s="931"/>
      <c r="U274" s="931"/>
      <c r="V274" s="931"/>
      <c r="W274" s="931"/>
      <c r="X274" s="931"/>
      <c r="Y274" s="931"/>
      <c r="Z274" s="941" t="str">
        <f t="shared" si="93"/>
        <v/>
      </c>
      <c r="AA274" s="941" t="str">
        <f t="shared" si="94"/>
        <v/>
      </c>
      <c r="AB274" s="941" t="str">
        <f t="shared" si="95"/>
        <v/>
      </c>
      <c r="AC274" s="941" t="str">
        <f t="shared" si="96"/>
        <v/>
      </c>
      <c r="AD274" s="941" t="str">
        <f t="shared" si="97"/>
        <v/>
      </c>
      <c r="AE274" s="941" t="str">
        <f t="shared" si="98"/>
        <v/>
      </c>
      <c r="AF274" s="941" t="str">
        <f t="shared" si="99"/>
        <v/>
      </c>
      <c r="AG274" s="941" t="str">
        <f t="shared" si="100"/>
        <v/>
      </c>
      <c r="AH274" s="941" t="str">
        <f t="shared" si="101"/>
        <v/>
      </c>
      <c r="AI274" s="941" t="str">
        <f t="shared" si="102"/>
        <v/>
      </c>
      <c r="AJ274" s="941" t="str">
        <f t="shared" si="103"/>
        <v/>
      </c>
      <c r="AK274" s="941" t="str">
        <f t="shared" si="104"/>
        <v/>
      </c>
      <c r="AL274" s="941" t="str">
        <f t="shared" si="105"/>
        <v/>
      </c>
      <c r="AM274" s="941" t="str">
        <f t="shared" si="106"/>
        <v/>
      </c>
      <c r="AN274" s="941" t="str">
        <f t="shared" si="107"/>
        <v/>
      </c>
      <c r="AO274" s="941" t="str">
        <f t="shared" si="108"/>
        <v/>
      </c>
      <c r="AP274" s="895">
        <f>IF(AO274&lt;0,"No hi ha pèrdua",IFERROR(SUM(AA274:AO274)*'7. Erosió de costa'!$C$86/1000000,""))</f>
        <v>0</v>
      </c>
    </row>
    <row r="275" spans="1:42">
      <c r="A275" s="835">
        <v>8274</v>
      </c>
      <c r="B275" s="826" t="s">
        <v>1631</v>
      </c>
      <c r="C275" s="835" t="str">
        <f t="shared" si="88"/>
        <v>NA</v>
      </c>
      <c r="D275" s="923" t="str">
        <f t="shared" si="89"/>
        <v>NA</v>
      </c>
      <c r="E275" s="931" t="str">
        <f t="shared" si="90"/>
        <v>NA</v>
      </c>
      <c r="F275" s="926" t="str">
        <f t="shared" si="91"/>
        <v>NA</v>
      </c>
      <c r="G275" s="923" t="str">
        <f t="shared" si="92"/>
        <v>NA</v>
      </c>
      <c r="H275" s="931" t="str">
        <f>IFERROR(IF((G275*'7. Erosió de costa'!$C$86/1000000)&lt;0,"guanya sorra",G275*'7. Erosió de costa'!$C$86/1000000),"")</f>
        <v/>
      </c>
      <c r="I275" s="937" t="str">
        <f>IFERROR(IF(('A. Dades de partida'!$D$10*G275*'7. Erosió de costa'!$C$86/1000000)&lt;0,"guanya sorra",'A. Dades de partida'!$D$10*G275*'7. Erosió de costa'!$C$86/1000000),"")</f>
        <v/>
      </c>
      <c r="J275" s="931" t="str">
        <f t="shared" si="87"/>
        <v>NA</v>
      </c>
      <c r="K275" s="931"/>
      <c r="L275" s="931"/>
      <c r="M275" s="931"/>
      <c r="N275" s="931"/>
      <c r="O275" s="931"/>
      <c r="P275" s="931"/>
      <c r="Q275" s="931"/>
      <c r="R275" s="931"/>
      <c r="S275" s="931"/>
      <c r="T275" s="931"/>
      <c r="U275" s="931"/>
      <c r="V275" s="931"/>
      <c r="W275" s="931"/>
      <c r="X275" s="931"/>
      <c r="Y275" s="931"/>
      <c r="Z275" s="941" t="str">
        <f t="shared" si="93"/>
        <v/>
      </c>
      <c r="AA275" s="941" t="str">
        <f t="shared" si="94"/>
        <v/>
      </c>
      <c r="AB275" s="941" t="str">
        <f t="shared" si="95"/>
        <v/>
      </c>
      <c r="AC275" s="941" t="str">
        <f t="shared" si="96"/>
        <v/>
      </c>
      <c r="AD275" s="941" t="str">
        <f t="shared" si="97"/>
        <v/>
      </c>
      <c r="AE275" s="941" t="str">
        <f t="shared" si="98"/>
        <v/>
      </c>
      <c r="AF275" s="941" t="str">
        <f t="shared" si="99"/>
        <v/>
      </c>
      <c r="AG275" s="941" t="str">
        <f t="shared" si="100"/>
        <v/>
      </c>
      <c r="AH275" s="941" t="str">
        <f t="shared" si="101"/>
        <v/>
      </c>
      <c r="AI275" s="941" t="str">
        <f t="shared" si="102"/>
        <v/>
      </c>
      <c r="AJ275" s="941" t="str">
        <f t="shared" si="103"/>
        <v/>
      </c>
      <c r="AK275" s="941" t="str">
        <f t="shared" si="104"/>
        <v/>
      </c>
      <c r="AL275" s="941" t="str">
        <f t="shared" si="105"/>
        <v/>
      </c>
      <c r="AM275" s="941" t="str">
        <f t="shared" si="106"/>
        <v/>
      </c>
      <c r="AN275" s="941" t="str">
        <f t="shared" si="107"/>
        <v/>
      </c>
      <c r="AO275" s="941" t="str">
        <f t="shared" si="108"/>
        <v/>
      </c>
      <c r="AP275" s="895">
        <f>IF(AO275&lt;0,"No hi ha pèrdua",IFERROR(SUM(AA275:AO275)*'7. Erosió de costa'!$C$86/1000000,""))</f>
        <v>0</v>
      </c>
    </row>
    <row r="276" spans="1:42">
      <c r="A276" s="835">
        <v>8275</v>
      </c>
      <c r="B276" s="826" t="s">
        <v>1634</v>
      </c>
      <c r="C276" s="835" t="str">
        <f t="shared" si="88"/>
        <v>NA</v>
      </c>
      <c r="D276" s="923" t="str">
        <f t="shared" si="89"/>
        <v>NA</v>
      </c>
      <c r="E276" s="931" t="str">
        <f t="shared" si="90"/>
        <v>NA</v>
      </c>
      <c r="F276" s="926" t="str">
        <f t="shared" si="91"/>
        <v>NA</v>
      </c>
      <c r="G276" s="923" t="str">
        <f t="shared" si="92"/>
        <v>NA</v>
      </c>
      <c r="H276" s="931" t="str">
        <f>IFERROR(IF((G276*'7. Erosió de costa'!$C$86/1000000)&lt;0,"guanya sorra",G276*'7. Erosió de costa'!$C$86/1000000),"")</f>
        <v/>
      </c>
      <c r="I276" s="937" t="str">
        <f>IFERROR(IF(('A. Dades de partida'!$D$10*G276*'7. Erosió de costa'!$C$86/1000000)&lt;0,"guanya sorra",'A. Dades de partida'!$D$10*G276*'7. Erosió de costa'!$C$86/1000000),"")</f>
        <v/>
      </c>
      <c r="J276" s="931" t="str">
        <f t="shared" si="87"/>
        <v>NA</v>
      </c>
      <c r="K276" s="931"/>
      <c r="L276" s="931"/>
      <c r="M276" s="931"/>
      <c r="N276" s="931"/>
      <c r="O276" s="931"/>
      <c r="P276" s="931"/>
      <c r="Q276" s="931"/>
      <c r="R276" s="931"/>
      <c r="S276" s="931"/>
      <c r="T276" s="931"/>
      <c r="U276" s="931"/>
      <c r="V276" s="931"/>
      <c r="W276" s="931"/>
      <c r="X276" s="931"/>
      <c r="Y276" s="931"/>
      <c r="Z276" s="941" t="str">
        <f t="shared" si="93"/>
        <v/>
      </c>
      <c r="AA276" s="941" t="str">
        <f t="shared" si="94"/>
        <v/>
      </c>
      <c r="AB276" s="941" t="str">
        <f t="shared" si="95"/>
        <v/>
      </c>
      <c r="AC276" s="941" t="str">
        <f t="shared" si="96"/>
        <v/>
      </c>
      <c r="AD276" s="941" t="str">
        <f t="shared" si="97"/>
        <v/>
      </c>
      <c r="AE276" s="941" t="str">
        <f t="shared" si="98"/>
        <v/>
      </c>
      <c r="AF276" s="941" t="str">
        <f t="shared" si="99"/>
        <v/>
      </c>
      <c r="AG276" s="941" t="str">
        <f t="shared" si="100"/>
        <v/>
      </c>
      <c r="AH276" s="941" t="str">
        <f t="shared" si="101"/>
        <v/>
      </c>
      <c r="AI276" s="941" t="str">
        <f t="shared" si="102"/>
        <v/>
      </c>
      <c r="AJ276" s="941" t="str">
        <f t="shared" si="103"/>
        <v/>
      </c>
      <c r="AK276" s="941" t="str">
        <f t="shared" si="104"/>
        <v/>
      </c>
      <c r="AL276" s="941" t="str">
        <f t="shared" si="105"/>
        <v/>
      </c>
      <c r="AM276" s="941" t="str">
        <f t="shared" si="106"/>
        <v/>
      </c>
      <c r="AN276" s="941" t="str">
        <f t="shared" si="107"/>
        <v/>
      </c>
      <c r="AO276" s="941" t="str">
        <f t="shared" si="108"/>
        <v/>
      </c>
      <c r="AP276" s="895">
        <f>IF(AO276&lt;0,"No hi ha pèrdua",IFERROR(SUM(AA276:AO276)*'7. Erosió de costa'!$C$86/1000000,""))</f>
        <v>0</v>
      </c>
    </row>
    <row r="277" spans="1:42">
      <c r="A277" s="835">
        <v>8276</v>
      </c>
      <c r="B277" s="826" t="s">
        <v>1636</v>
      </c>
      <c r="C277" s="835" t="str">
        <f t="shared" si="88"/>
        <v>NA</v>
      </c>
      <c r="D277" s="923" t="str">
        <f t="shared" si="89"/>
        <v>NA</v>
      </c>
      <c r="E277" s="931" t="str">
        <f t="shared" si="90"/>
        <v>NA</v>
      </c>
      <c r="F277" s="926" t="str">
        <f t="shared" si="91"/>
        <v>NA</v>
      </c>
      <c r="G277" s="923" t="str">
        <f t="shared" si="92"/>
        <v>NA</v>
      </c>
      <c r="H277" s="931" t="str">
        <f>IFERROR(IF((G277*'7. Erosió de costa'!$C$86/1000000)&lt;0,"guanya sorra",G277*'7. Erosió de costa'!$C$86/1000000),"")</f>
        <v/>
      </c>
      <c r="I277" s="937" t="str">
        <f>IFERROR(IF(('A. Dades de partida'!$D$10*G277*'7. Erosió de costa'!$C$86/1000000)&lt;0,"guanya sorra",'A. Dades de partida'!$D$10*G277*'7. Erosió de costa'!$C$86/1000000),"")</f>
        <v/>
      </c>
      <c r="J277" s="931" t="str">
        <f t="shared" si="87"/>
        <v>NA</v>
      </c>
      <c r="K277" s="931"/>
      <c r="L277" s="931"/>
      <c r="M277" s="931"/>
      <c r="N277" s="931"/>
      <c r="O277" s="931"/>
      <c r="P277" s="931"/>
      <c r="Q277" s="931"/>
      <c r="R277" s="931"/>
      <c r="S277" s="931"/>
      <c r="T277" s="931"/>
      <c r="U277" s="931"/>
      <c r="V277" s="931"/>
      <c r="W277" s="931"/>
      <c r="X277" s="931"/>
      <c r="Y277" s="931"/>
      <c r="Z277" s="941" t="str">
        <f t="shared" si="93"/>
        <v/>
      </c>
      <c r="AA277" s="941" t="str">
        <f t="shared" si="94"/>
        <v/>
      </c>
      <c r="AB277" s="941" t="str">
        <f t="shared" si="95"/>
        <v/>
      </c>
      <c r="AC277" s="941" t="str">
        <f t="shared" si="96"/>
        <v/>
      </c>
      <c r="AD277" s="941" t="str">
        <f t="shared" si="97"/>
        <v/>
      </c>
      <c r="AE277" s="941" t="str">
        <f t="shared" si="98"/>
        <v/>
      </c>
      <c r="AF277" s="941" t="str">
        <f t="shared" si="99"/>
        <v/>
      </c>
      <c r="AG277" s="941" t="str">
        <f t="shared" si="100"/>
        <v/>
      </c>
      <c r="AH277" s="941" t="str">
        <f t="shared" si="101"/>
        <v/>
      </c>
      <c r="AI277" s="941" t="str">
        <f t="shared" si="102"/>
        <v/>
      </c>
      <c r="AJ277" s="941" t="str">
        <f t="shared" si="103"/>
        <v/>
      </c>
      <c r="AK277" s="941" t="str">
        <f t="shared" si="104"/>
        <v/>
      </c>
      <c r="AL277" s="941" t="str">
        <f t="shared" si="105"/>
        <v/>
      </c>
      <c r="AM277" s="941" t="str">
        <f t="shared" si="106"/>
        <v/>
      </c>
      <c r="AN277" s="941" t="str">
        <f t="shared" si="107"/>
        <v/>
      </c>
      <c r="AO277" s="941" t="str">
        <f t="shared" si="108"/>
        <v/>
      </c>
      <c r="AP277" s="895">
        <f>IF(AO277&lt;0,"No hi ha pèrdua",IFERROR(SUM(AA277:AO277)*'7. Erosió de costa'!$C$86/1000000,""))</f>
        <v>0</v>
      </c>
    </row>
    <row r="278" spans="1:42">
      <c r="A278" s="835">
        <v>8277</v>
      </c>
      <c r="B278" s="826" t="s">
        <v>1639</v>
      </c>
      <c r="C278" s="835" t="str">
        <f t="shared" si="88"/>
        <v>NA</v>
      </c>
      <c r="D278" s="923" t="str">
        <f t="shared" si="89"/>
        <v>NA</v>
      </c>
      <c r="E278" s="931" t="str">
        <f t="shared" si="90"/>
        <v>NA</v>
      </c>
      <c r="F278" s="926" t="str">
        <f t="shared" si="91"/>
        <v>NA</v>
      </c>
      <c r="G278" s="923" t="str">
        <f t="shared" si="92"/>
        <v>NA</v>
      </c>
      <c r="H278" s="931" t="str">
        <f>IFERROR(IF((G278*'7. Erosió de costa'!$C$86/1000000)&lt;0,"guanya sorra",G278*'7. Erosió de costa'!$C$86/1000000),"")</f>
        <v/>
      </c>
      <c r="I278" s="937" t="str">
        <f>IFERROR(IF(('A. Dades de partida'!$D$10*G278*'7. Erosió de costa'!$C$86/1000000)&lt;0,"guanya sorra",'A. Dades de partida'!$D$10*G278*'7. Erosió de costa'!$C$86/1000000),"")</f>
        <v/>
      </c>
      <c r="J278" s="931" t="str">
        <f t="shared" si="87"/>
        <v>NA</v>
      </c>
      <c r="K278" s="931"/>
      <c r="L278" s="931"/>
      <c r="M278" s="931"/>
      <c r="N278" s="931"/>
      <c r="O278" s="931"/>
      <c r="P278" s="931"/>
      <c r="Q278" s="931"/>
      <c r="R278" s="931"/>
      <c r="S278" s="931"/>
      <c r="T278" s="931"/>
      <c r="U278" s="931"/>
      <c r="V278" s="931"/>
      <c r="W278" s="931"/>
      <c r="X278" s="931"/>
      <c r="Y278" s="931"/>
      <c r="Z278" s="941" t="str">
        <f t="shared" si="93"/>
        <v/>
      </c>
      <c r="AA278" s="941" t="str">
        <f t="shared" si="94"/>
        <v/>
      </c>
      <c r="AB278" s="941" t="str">
        <f t="shared" si="95"/>
        <v/>
      </c>
      <c r="AC278" s="941" t="str">
        <f t="shared" si="96"/>
        <v/>
      </c>
      <c r="AD278" s="941" t="str">
        <f t="shared" si="97"/>
        <v/>
      </c>
      <c r="AE278" s="941" t="str">
        <f t="shared" si="98"/>
        <v/>
      </c>
      <c r="AF278" s="941" t="str">
        <f t="shared" si="99"/>
        <v/>
      </c>
      <c r="AG278" s="941" t="str">
        <f t="shared" si="100"/>
        <v/>
      </c>
      <c r="AH278" s="941" t="str">
        <f t="shared" si="101"/>
        <v/>
      </c>
      <c r="AI278" s="941" t="str">
        <f t="shared" si="102"/>
        <v/>
      </c>
      <c r="AJ278" s="941" t="str">
        <f t="shared" si="103"/>
        <v/>
      </c>
      <c r="AK278" s="941" t="str">
        <f t="shared" si="104"/>
        <v/>
      </c>
      <c r="AL278" s="941" t="str">
        <f t="shared" si="105"/>
        <v/>
      </c>
      <c r="AM278" s="941" t="str">
        <f t="shared" si="106"/>
        <v/>
      </c>
      <c r="AN278" s="941" t="str">
        <f t="shared" si="107"/>
        <v/>
      </c>
      <c r="AO278" s="941" t="str">
        <f t="shared" si="108"/>
        <v/>
      </c>
      <c r="AP278" s="895">
        <f>IF(AO278&lt;0,"No hi ha pèrdua",IFERROR(SUM(AA278:AO278)*'7. Erosió de costa'!$C$86/1000000,""))</f>
        <v>0</v>
      </c>
    </row>
    <row r="279" spans="1:42">
      <c r="A279" s="835">
        <v>8278</v>
      </c>
      <c r="B279" s="826" t="s">
        <v>1641</v>
      </c>
      <c r="C279" s="835" t="str">
        <f t="shared" si="88"/>
        <v>NA</v>
      </c>
      <c r="D279" s="923" t="str">
        <f t="shared" si="89"/>
        <v>NA</v>
      </c>
      <c r="E279" s="931" t="str">
        <f t="shared" si="90"/>
        <v>NA</v>
      </c>
      <c r="F279" s="926" t="str">
        <f t="shared" si="91"/>
        <v>NA</v>
      </c>
      <c r="G279" s="923" t="str">
        <f t="shared" si="92"/>
        <v>NA</v>
      </c>
      <c r="H279" s="931" t="str">
        <f>IFERROR(IF((G279*'7. Erosió de costa'!$C$86/1000000)&lt;0,"guanya sorra",G279*'7. Erosió de costa'!$C$86/1000000),"")</f>
        <v/>
      </c>
      <c r="I279" s="937" t="str">
        <f>IFERROR(IF(('A. Dades de partida'!$D$10*G279*'7. Erosió de costa'!$C$86/1000000)&lt;0,"guanya sorra",'A. Dades de partida'!$D$10*G279*'7. Erosió de costa'!$C$86/1000000),"")</f>
        <v/>
      </c>
      <c r="J279" s="931" t="str">
        <f t="shared" si="87"/>
        <v>NA</v>
      </c>
      <c r="K279" s="931"/>
      <c r="L279" s="931"/>
      <c r="M279" s="931"/>
      <c r="N279" s="931"/>
      <c r="O279" s="931"/>
      <c r="P279" s="931"/>
      <c r="Q279" s="931"/>
      <c r="R279" s="931"/>
      <c r="S279" s="931"/>
      <c r="T279" s="931"/>
      <c r="U279" s="931"/>
      <c r="V279" s="931"/>
      <c r="W279" s="931"/>
      <c r="X279" s="931"/>
      <c r="Y279" s="931"/>
      <c r="Z279" s="941" t="str">
        <f t="shared" si="93"/>
        <v/>
      </c>
      <c r="AA279" s="941" t="str">
        <f t="shared" si="94"/>
        <v/>
      </c>
      <c r="AB279" s="941" t="str">
        <f t="shared" si="95"/>
        <v/>
      </c>
      <c r="AC279" s="941" t="str">
        <f t="shared" si="96"/>
        <v/>
      </c>
      <c r="AD279" s="941" t="str">
        <f t="shared" si="97"/>
        <v/>
      </c>
      <c r="AE279" s="941" t="str">
        <f t="shared" si="98"/>
        <v/>
      </c>
      <c r="AF279" s="941" t="str">
        <f t="shared" si="99"/>
        <v/>
      </c>
      <c r="AG279" s="941" t="str">
        <f t="shared" si="100"/>
        <v/>
      </c>
      <c r="AH279" s="941" t="str">
        <f t="shared" si="101"/>
        <v/>
      </c>
      <c r="AI279" s="941" t="str">
        <f t="shared" si="102"/>
        <v/>
      </c>
      <c r="AJ279" s="941" t="str">
        <f t="shared" si="103"/>
        <v/>
      </c>
      <c r="AK279" s="941" t="str">
        <f t="shared" si="104"/>
        <v/>
      </c>
      <c r="AL279" s="941" t="str">
        <f t="shared" si="105"/>
        <v/>
      </c>
      <c r="AM279" s="941" t="str">
        <f t="shared" si="106"/>
        <v/>
      </c>
      <c r="AN279" s="941" t="str">
        <f t="shared" si="107"/>
        <v/>
      </c>
      <c r="AO279" s="941" t="str">
        <f t="shared" si="108"/>
        <v/>
      </c>
      <c r="AP279" s="895">
        <f>IF(AO279&lt;0,"No hi ha pèrdua",IFERROR(SUM(AA279:AO279)*'7. Erosió de costa'!$C$86/1000000,""))</f>
        <v>0</v>
      </c>
    </row>
    <row r="280" spans="1:42">
      <c r="A280" s="835">
        <v>8279</v>
      </c>
      <c r="B280" s="826" t="s">
        <v>967</v>
      </c>
      <c r="C280" s="835" t="str">
        <f t="shared" si="88"/>
        <v>NA</v>
      </c>
      <c r="D280" s="923" t="str">
        <f t="shared" si="89"/>
        <v>NA</v>
      </c>
      <c r="E280" s="931" t="str">
        <f t="shared" si="90"/>
        <v>NA</v>
      </c>
      <c r="F280" s="926" t="str">
        <f t="shared" si="91"/>
        <v>NA</v>
      </c>
      <c r="G280" s="923" t="str">
        <f t="shared" si="92"/>
        <v>NA</v>
      </c>
      <c r="H280" s="931" t="str">
        <f>IFERROR(IF((G280*'7. Erosió de costa'!$C$86/1000000)&lt;0,"guanya sorra",G280*'7. Erosió de costa'!$C$86/1000000),"")</f>
        <v/>
      </c>
      <c r="I280" s="937" t="str">
        <f>IFERROR(IF(('A. Dades de partida'!$D$10*G280*'7. Erosió de costa'!$C$86/1000000)&lt;0,"guanya sorra",'A. Dades de partida'!$D$10*G280*'7. Erosió de costa'!$C$86/1000000),"")</f>
        <v/>
      </c>
      <c r="J280" s="931" t="str">
        <f t="shared" si="87"/>
        <v>NA</v>
      </c>
      <c r="K280" s="931"/>
      <c r="L280" s="931"/>
      <c r="M280" s="931"/>
      <c r="N280" s="931"/>
      <c r="O280" s="931"/>
      <c r="P280" s="931"/>
      <c r="Q280" s="931"/>
      <c r="R280" s="931"/>
      <c r="S280" s="931"/>
      <c r="T280" s="931"/>
      <c r="U280" s="931"/>
      <c r="V280" s="931"/>
      <c r="W280" s="931"/>
      <c r="X280" s="931"/>
      <c r="Y280" s="931"/>
      <c r="Z280" s="941" t="str">
        <f t="shared" si="93"/>
        <v/>
      </c>
      <c r="AA280" s="941" t="str">
        <f t="shared" si="94"/>
        <v/>
      </c>
      <c r="AB280" s="941" t="str">
        <f t="shared" si="95"/>
        <v/>
      </c>
      <c r="AC280" s="941" t="str">
        <f t="shared" si="96"/>
        <v/>
      </c>
      <c r="AD280" s="941" t="str">
        <f t="shared" si="97"/>
        <v/>
      </c>
      <c r="AE280" s="941" t="str">
        <f t="shared" si="98"/>
        <v/>
      </c>
      <c r="AF280" s="941" t="str">
        <f t="shared" si="99"/>
        <v/>
      </c>
      <c r="AG280" s="941" t="str">
        <f t="shared" si="100"/>
        <v/>
      </c>
      <c r="AH280" s="941" t="str">
        <f t="shared" si="101"/>
        <v/>
      </c>
      <c r="AI280" s="941" t="str">
        <f t="shared" si="102"/>
        <v/>
      </c>
      <c r="AJ280" s="941" t="str">
        <f t="shared" si="103"/>
        <v/>
      </c>
      <c r="AK280" s="941" t="str">
        <f t="shared" si="104"/>
        <v/>
      </c>
      <c r="AL280" s="941" t="str">
        <f t="shared" si="105"/>
        <v/>
      </c>
      <c r="AM280" s="941" t="str">
        <f t="shared" si="106"/>
        <v/>
      </c>
      <c r="AN280" s="941" t="str">
        <f t="shared" si="107"/>
        <v/>
      </c>
      <c r="AO280" s="941" t="str">
        <f t="shared" si="108"/>
        <v/>
      </c>
      <c r="AP280" s="895">
        <f>IF(AO280&lt;0,"No hi ha pèrdua",IFERROR(SUM(AA280:AO280)*'7. Erosió de costa'!$C$86/1000000,""))</f>
        <v>0</v>
      </c>
    </row>
    <row r="281" spans="1:42">
      <c r="A281" s="835">
        <v>8280</v>
      </c>
      <c r="B281" s="826" t="s">
        <v>1650</v>
      </c>
      <c r="C281" s="835" t="str">
        <f t="shared" si="88"/>
        <v>NA</v>
      </c>
      <c r="D281" s="923" t="str">
        <f t="shared" si="89"/>
        <v>NA</v>
      </c>
      <c r="E281" s="931" t="str">
        <f t="shared" si="90"/>
        <v>NA</v>
      </c>
      <c r="F281" s="926" t="str">
        <f t="shared" si="91"/>
        <v>NA</v>
      </c>
      <c r="G281" s="923" t="str">
        <f t="shared" si="92"/>
        <v>NA</v>
      </c>
      <c r="H281" s="931" t="str">
        <f>IFERROR(IF((G281*'7. Erosió de costa'!$C$86/1000000)&lt;0,"guanya sorra",G281*'7. Erosió de costa'!$C$86/1000000),"")</f>
        <v/>
      </c>
      <c r="I281" s="937" t="str">
        <f>IFERROR(IF(('A. Dades de partida'!$D$10*G281*'7. Erosió de costa'!$C$86/1000000)&lt;0,"guanya sorra",'A. Dades de partida'!$D$10*G281*'7. Erosió de costa'!$C$86/1000000),"")</f>
        <v/>
      </c>
      <c r="J281" s="931" t="str">
        <f t="shared" si="87"/>
        <v>NA</v>
      </c>
      <c r="K281" s="931"/>
      <c r="L281" s="931"/>
      <c r="M281" s="931"/>
      <c r="N281" s="931"/>
      <c r="O281" s="931"/>
      <c r="P281" s="931"/>
      <c r="Q281" s="931"/>
      <c r="R281" s="931"/>
      <c r="S281" s="931"/>
      <c r="T281" s="931"/>
      <c r="U281" s="931"/>
      <c r="V281" s="931"/>
      <c r="W281" s="931"/>
      <c r="X281" s="931"/>
      <c r="Y281" s="931"/>
      <c r="Z281" s="941" t="str">
        <f t="shared" si="93"/>
        <v/>
      </c>
      <c r="AA281" s="941" t="str">
        <f t="shared" si="94"/>
        <v/>
      </c>
      <c r="AB281" s="941" t="str">
        <f t="shared" si="95"/>
        <v/>
      </c>
      <c r="AC281" s="941" t="str">
        <f t="shared" si="96"/>
        <v/>
      </c>
      <c r="AD281" s="941" t="str">
        <f t="shared" si="97"/>
        <v/>
      </c>
      <c r="AE281" s="941" t="str">
        <f t="shared" si="98"/>
        <v/>
      </c>
      <c r="AF281" s="941" t="str">
        <f t="shared" si="99"/>
        <v/>
      </c>
      <c r="AG281" s="941" t="str">
        <f t="shared" si="100"/>
        <v/>
      </c>
      <c r="AH281" s="941" t="str">
        <f t="shared" si="101"/>
        <v/>
      </c>
      <c r="AI281" s="941" t="str">
        <f t="shared" si="102"/>
        <v/>
      </c>
      <c r="AJ281" s="941" t="str">
        <f t="shared" si="103"/>
        <v/>
      </c>
      <c r="AK281" s="941" t="str">
        <f t="shared" si="104"/>
        <v/>
      </c>
      <c r="AL281" s="941" t="str">
        <f t="shared" si="105"/>
        <v/>
      </c>
      <c r="AM281" s="941" t="str">
        <f t="shared" si="106"/>
        <v/>
      </c>
      <c r="AN281" s="941" t="str">
        <f t="shared" si="107"/>
        <v/>
      </c>
      <c r="AO281" s="941" t="str">
        <f t="shared" si="108"/>
        <v/>
      </c>
      <c r="AP281" s="895">
        <f>IF(AO281&lt;0,"No hi ha pèrdua",IFERROR(SUM(AA281:AO281)*'7. Erosió de costa'!$C$86/1000000,""))</f>
        <v>0</v>
      </c>
    </row>
    <row r="282" spans="1:42">
      <c r="A282" s="835">
        <v>8281</v>
      </c>
      <c r="B282" s="826" t="s">
        <v>1652</v>
      </c>
      <c r="C282" s="835" t="str">
        <f t="shared" si="88"/>
        <v>NA</v>
      </c>
      <c r="D282" s="923" t="str">
        <f t="shared" si="89"/>
        <v>NA</v>
      </c>
      <c r="E282" s="931" t="str">
        <f t="shared" si="90"/>
        <v>NA</v>
      </c>
      <c r="F282" s="926" t="str">
        <f t="shared" si="91"/>
        <v>NA</v>
      </c>
      <c r="G282" s="923" t="str">
        <f t="shared" si="92"/>
        <v>NA</v>
      </c>
      <c r="H282" s="931" t="str">
        <f>IFERROR(IF((G282*'7. Erosió de costa'!$C$86/1000000)&lt;0,"guanya sorra",G282*'7. Erosió de costa'!$C$86/1000000),"")</f>
        <v/>
      </c>
      <c r="I282" s="937" t="str">
        <f>IFERROR(IF(('A. Dades de partida'!$D$10*G282*'7. Erosió de costa'!$C$86/1000000)&lt;0,"guanya sorra",'A. Dades de partida'!$D$10*G282*'7. Erosió de costa'!$C$86/1000000),"")</f>
        <v/>
      </c>
      <c r="J282" s="931" t="str">
        <f t="shared" si="87"/>
        <v>NA</v>
      </c>
      <c r="K282" s="931"/>
      <c r="L282" s="931"/>
      <c r="M282" s="931"/>
      <c r="N282" s="931"/>
      <c r="O282" s="931"/>
      <c r="P282" s="931"/>
      <c r="Q282" s="931"/>
      <c r="R282" s="931"/>
      <c r="S282" s="931"/>
      <c r="T282" s="931"/>
      <c r="U282" s="931"/>
      <c r="V282" s="931"/>
      <c r="W282" s="931"/>
      <c r="X282" s="931"/>
      <c r="Y282" s="931"/>
      <c r="Z282" s="941" t="str">
        <f t="shared" si="93"/>
        <v/>
      </c>
      <c r="AA282" s="941" t="str">
        <f t="shared" si="94"/>
        <v/>
      </c>
      <c r="AB282" s="941" t="str">
        <f t="shared" si="95"/>
        <v/>
      </c>
      <c r="AC282" s="941" t="str">
        <f t="shared" si="96"/>
        <v/>
      </c>
      <c r="AD282" s="941" t="str">
        <f t="shared" si="97"/>
        <v/>
      </c>
      <c r="AE282" s="941" t="str">
        <f t="shared" si="98"/>
        <v/>
      </c>
      <c r="AF282" s="941" t="str">
        <f t="shared" si="99"/>
        <v/>
      </c>
      <c r="AG282" s="941" t="str">
        <f t="shared" si="100"/>
        <v/>
      </c>
      <c r="AH282" s="941" t="str">
        <f t="shared" si="101"/>
        <v/>
      </c>
      <c r="AI282" s="941" t="str">
        <f t="shared" si="102"/>
        <v/>
      </c>
      <c r="AJ282" s="941" t="str">
        <f t="shared" si="103"/>
        <v/>
      </c>
      <c r="AK282" s="941" t="str">
        <f t="shared" si="104"/>
        <v/>
      </c>
      <c r="AL282" s="941" t="str">
        <f t="shared" si="105"/>
        <v/>
      </c>
      <c r="AM282" s="941" t="str">
        <f t="shared" si="106"/>
        <v/>
      </c>
      <c r="AN282" s="941" t="str">
        <f t="shared" si="107"/>
        <v/>
      </c>
      <c r="AO282" s="941" t="str">
        <f t="shared" si="108"/>
        <v/>
      </c>
      <c r="AP282" s="895">
        <f>IF(AO282&lt;0,"No hi ha pèrdua",IFERROR(SUM(AA282:AO282)*'7. Erosió de costa'!$C$86/1000000,""))</f>
        <v>0</v>
      </c>
    </row>
    <row r="283" spans="1:42">
      <c r="A283" s="835">
        <v>8282</v>
      </c>
      <c r="B283" s="826" t="s">
        <v>1655</v>
      </c>
      <c r="C283" s="835" t="str">
        <f t="shared" si="88"/>
        <v>NA</v>
      </c>
      <c r="D283" s="923" t="str">
        <f t="shared" si="89"/>
        <v>NA</v>
      </c>
      <c r="E283" s="931" t="str">
        <f t="shared" si="90"/>
        <v>NA</v>
      </c>
      <c r="F283" s="926" t="str">
        <f t="shared" si="91"/>
        <v>NA</v>
      </c>
      <c r="G283" s="923" t="str">
        <f t="shared" si="92"/>
        <v>NA</v>
      </c>
      <c r="H283" s="931" t="str">
        <f>IFERROR(IF((G283*'7. Erosió de costa'!$C$86/1000000)&lt;0,"guanya sorra",G283*'7. Erosió de costa'!$C$86/1000000),"")</f>
        <v/>
      </c>
      <c r="I283" s="937" t="str">
        <f>IFERROR(IF(('A. Dades de partida'!$D$10*G283*'7. Erosió de costa'!$C$86/1000000)&lt;0,"guanya sorra",'A. Dades de partida'!$D$10*G283*'7. Erosió de costa'!$C$86/1000000),"")</f>
        <v/>
      </c>
      <c r="J283" s="931" t="str">
        <f t="shared" si="87"/>
        <v>NA</v>
      </c>
      <c r="K283" s="931"/>
      <c r="L283" s="931"/>
      <c r="M283" s="931"/>
      <c r="N283" s="931"/>
      <c r="O283" s="931"/>
      <c r="P283" s="931"/>
      <c r="Q283" s="931"/>
      <c r="R283" s="931"/>
      <c r="S283" s="931"/>
      <c r="T283" s="931"/>
      <c r="U283" s="931"/>
      <c r="V283" s="931"/>
      <c r="W283" s="931"/>
      <c r="X283" s="931"/>
      <c r="Y283" s="931"/>
      <c r="Z283" s="941" t="str">
        <f t="shared" si="93"/>
        <v/>
      </c>
      <c r="AA283" s="941" t="str">
        <f t="shared" si="94"/>
        <v/>
      </c>
      <c r="AB283" s="941" t="str">
        <f t="shared" si="95"/>
        <v/>
      </c>
      <c r="AC283" s="941" t="str">
        <f t="shared" si="96"/>
        <v/>
      </c>
      <c r="AD283" s="941" t="str">
        <f t="shared" si="97"/>
        <v/>
      </c>
      <c r="AE283" s="941" t="str">
        <f t="shared" si="98"/>
        <v/>
      </c>
      <c r="AF283" s="941" t="str">
        <f t="shared" si="99"/>
        <v/>
      </c>
      <c r="AG283" s="941" t="str">
        <f t="shared" si="100"/>
        <v/>
      </c>
      <c r="AH283" s="941" t="str">
        <f t="shared" si="101"/>
        <v/>
      </c>
      <c r="AI283" s="941" t="str">
        <f t="shared" si="102"/>
        <v/>
      </c>
      <c r="AJ283" s="941" t="str">
        <f t="shared" si="103"/>
        <v/>
      </c>
      <c r="AK283" s="941" t="str">
        <f t="shared" si="104"/>
        <v/>
      </c>
      <c r="AL283" s="941" t="str">
        <f t="shared" si="105"/>
        <v/>
      </c>
      <c r="AM283" s="941" t="str">
        <f t="shared" si="106"/>
        <v/>
      </c>
      <c r="AN283" s="941" t="str">
        <f t="shared" si="107"/>
        <v/>
      </c>
      <c r="AO283" s="941" t="str">
        <f t="shared" si="108"/>
        <v/>
      </c>
      <c r="AP283" s="895">
        <f>IF(AO283&lt;0,"No hi ha pèrdua",IFERROR(SUM(AA283:AO283)*'7. Erosió de costa'!$C$86/1000000,""))</f>
        <v>0</v>
      </c>
    </row>
    <row r="284" spans="1:42">
      <c r="A284" s="835">
        <v>8283</v>
      </c>
      <c r="B284" s="826" t="s">
        <v>1658</v>
      </c>
      <c r="C284" s="835" t="str">
        <f t="shared" si="88"/>
        <v>NA</v>
      </c>
      <c r="D284" s="923" t="str">
        <f t="shared" si="89"/>
        <v>NA</v>
      </c>
      <c r="E284" s="931" t="str">
        <f t="shared" si="90"/>
        <v>NA</v>
      </c>
      <c r="F284" s="926" t="str">
        <f t="shared" si="91"/>
        <v>NA</v>
      </c>
      <c r="G284" s="923" t="str">
        <f t="shared" si="92"/>
        <v>NA</v>
      </c>
      <c r="H284" s="931" t="str">
        <f>IFERROR(IF((G284*'7. Erosió de costa'!$C$86/1000000)&lt;0,"guanya sorra",G284*'7. Erosió de costa'!$C$86/1000000),"")</f>
        <v/>
      </c>
      <c r="I284" s="937" t="str">
        <f>IFERROR(IF(('A. Dades de partida'!$D$10*G284*'7. Erosió de costa'!$C$86/1000000)&lt;0,"guanya sorra",'A. Dades de partida'!$D$10*G284*'7. Erosió de costa'!$C$86/1000000),"")</f>
        <v/>
      </c>
      <c r="J284" s="931" t="str">
        <f t="shared" si="87"/>
        <v>NA</v>
      </c>
      <c r="K284" s="931"/>
      <c r="L284" s="931"/>
      <c r="M284" s="931"/>
      <c r="N284" s="931"/>
      <c r="O284" s="931"/>
      <c r="P284" s="931"/>
      <c r="Q284" s="931"/>
      <c r="R284" s="931"/>
      <c r="S284" s="931"/>
      <c r="T284" s="931"/>
      <c r="U284" s="931"/>
      <c r="V284" s="931"/>
      <c r="W284" s="931"/>
      <c r="X284" s="931"/>
      <c r="Y284" s="931"/>
      <c r="Z284" s="941" t="str">
        <f t="shared" si="93"/>
        <v/>
      </c>
      <c r="AA284" s="941" t="str">
        <f t="shared" si="94"/>
        <v/>
      </c>
      <c r="AB284" s="941" t="str">
        <f t="shared" si="95"/>
        <v/>
      </c>
      <c r="AC284" s="941" t="str">
        <f t="shared" si="96"/>
        <v/>
      </c>
      <c r="AD284" s="941" t="str">
        <f t="shared" si="97"/>
        <v/>
      </c>
      <c r="AE284" s="941" t="str">
        <f t="shared" si="98"/>
        <v/>
      </c>
      <c r="AF284" s="941" t="str">
        <f t="shared" si="99"/>
        <v/>
      </c>
      <c r="AG284" s="941" t="str">
        <f t="shared" si="100"/>
        <v/>
      </c>
      <c r="AH284" s="941" t="str">
        <f t="shared" si="101"/>
        <v/>
      </c>
      <c r="AI284" s="941" t="str">
        <f t="shared" si="102"/>
        <v/>
      </c>
      <c r="AJ284" s="941" t="str">
        <f t="shared" si="103"/>
        <v/>
      </c>
      <c r="AK284" s="941" t="str">
        <f t="shared" si="104"/>
        <v/>
      </c>
      <c r="AL284" s="941" t="str">
        <f t="shared" si="105"/>
        <v/>
      </c>
      <c r="AM284" s="941" t="str">
        <f t="shared" si="106"/>
        <v/>
      </c>
      <c r="AN284" s="941" t="str">
        <f t="shared" si="107"/>
        <v/>
      </c>
      <c r="AO284" s="941" t="str">
        <f t="shared" si="108"/>
        <v/>
      </c>
      <c r="AP284" s="895">
        <f>IF(AO284&lt;0,"No hi ha pèrdua",IFERROR(SUM(AA284:AO284)*'7. Erosió de costa'!$C$86/1000000,""))</f>
        <v>0</v>
      </c>
    </row>
    <row r="285" spans="1:42">
      <c r="A285" s="835">
        <v>8284</v>
      </c>
      <c r="B285" s="826" t="s">
        <v>1660</v>
      </c>
      <c r="C285" s="835" t="str">
        <f t="shared" si="88"/>
        <v>NA</v>
      </c>
      <c r="D285" s="923" t="str">
        <f t="shared" si="89"/>
        <v>NA</v>
      </c>
      <c r="E285" s="931" t="str">
        <f t="shared" si="90"/>
        <v>NA</v>
      </c>
      <c r="F285" s="926" t="str">
        <f t="shared" si="91"/>
        <v>NA</v>
      </c>
      <c r="G285" s="923" t="str">
        <f t="shared" si="92"/>
        <v>NA</v>
      </c>
      <c r="H285" s="931" t="str">
        <f>IFERROR(IF((G285*'7. Erosió de costa'!$C$86/1000000)&lt;0,"guanya sorra",G285*'7. Erosió de costa'!$C$86/1000000),"")</f>
        <v/>
      </c>
      <c r="I285" s="937" t="str">
        <f>IFERROR(IF(('A. Dades de partida'!$D$10*G285*'7. Erosió de costa'!$C$86/1000000)&lt;0,"guanya sorra",'A. Dades de partida'!$D$10*G285*'7. Erosió de costa'!$C$86/1000000),"")</f>
        <v/>
      </c>
      <c r="J285" s="931" t="str">
        <f t="shared" si="87"/>
        <v>NA</v>
      </c>
      <c r="K285" s="931"/>
      <c r="L285" s="931"/>
      <c r="M285" s="931"/>
      <c r="N285" s="931"/>
      <c r="O285" s="931"/>
      <c r="P285" s="931"/>
      <c r="Q285" s="931"/>
      <c r="R285" s="931"/>
      <c r="S285" s="931"/>
      <c r="T285" s="931"/>
      <c r="U285" s="931"/>
      <c r="V285" s="931"/>
      <c r="W285" s="931"/>
      <c r="X285" s="931"/>
      <c r="Y285" s="931"/>
      <c r="Z285" s="941" t="str">
        <f t="shared" si="93"/>
        <v/>
      </c>
      <c r="AA285" s="941" t="str">
        <f t="shared" si="94"/>
        <v/>
      </c>
      <c r="AB285" s="941" t="str">
        <f t="shared" si="95"/>
        <v/>
      </c>
      <c r="AC285" s="941" t="str">
        <f t="shared" si="96"/>
        <v/>
      </c>
      <c r="AD285" s="941" t="str">
        <f t="shared" si="97"/>
        <v/>
      </c>
      <c r="AE285" s="941" t="str">
        <f t="shared" si="98"/>
        <v/>
      </c>
      <c r="AF285" s="941" t="str">
        <f t="shared" si="99"/>
        <v/>
      </c>
      <c r="AG285" s="941" t="str">
        <f t="shared" si="100"/>
        <v/>
      </c>
      <c r="AH285" s="941" t="str">
        <f t="shared" si="101"/>
        <v/>
      </c>
      <c r="AI285" s="941" t="str">
        <f t="shared" si="102"/>
        <v/>
      </c>
      <c r="AJ285" s="941" t="str">
        <f t="shared" si="103"/>
        <v/>
      </c>
      <c r="AK285" s="941" t="str">
        <f t="shared" si="104"/>
        <v/>
      </c>
      <c r="AL285" s="941" t="str">
        <f t="shared" si="105"/>
        <v/>
      </c>
      <c r="AM285" s="941" t="str">
        <f t="shared" si="106"/>
        <v/>
      </c>
      <c r="AN285" s="941" t="str">
        <f t="shared" si="107"/>
        <v/>
      </c>
      <c r="AO285" s="941" t="str">
        <f t="shared" si="108"/>
        <v/>
      </c>
      <c r="AP285" s="895">
        <f>IF(AO285&lt;0,"No hi ha pèrdua",IFERROR(SUM(AA285:AO285)*'7. Erosió de costa'!$C$86/1000000,""))</f>
        <v>0</v>
      </c>
    </row>
    <row r="286" spans="1:42">
      <c r="A286" s="835">
        <v>8285</v>
      </c>
      <c r="B286" s="826" t="s">
        <v>1667</v>
      </c>
      <c r="C286" s="835" t="str">
        <f t="shared" si="88"/>
        <v>NA</v>
      </c>
      <c r="D286" s="923" t="str">
        <f t="shared" si="89"/>
        <v>NA</v>
      </c>
      <c r="E286" s="931" t="str">
        <f t="shared" si="90"/>
        <v>NA</v>
      </c>
      <c r="F286" s="926" t="str">
        <f t="shared" si="91"/>
        <v>NA</v>
      </c>
      <c r="G286" s="923" t="str">
        <f t="shared" si="92"/>
        <v>NA</v>
      </c>
      <c r="H286" s="931" t="str">
        <f>IFERROR(IF((G286*'7. Erosió de costa'!$C$86/1000000)&lt;0,"guanya sorra",G286*'7. Erosió de costa'!$C$86/1000000),"")</f>
        <v/>
      </c>
      <c r="I286" s="937" t="str">
        <f>IFERROR(IF(('A. Dades de partida'!$D$10*G286*'7. Erosió de costa'!$C$86/1000000)&lt;0,"guanya sorra",'A. Dades de partida'!$D$10*G286*'7. Erosió de costa'!$C$86/1000000),"")</f>
        <v/>
      </c>
      <c r="J286" s="931" t="str">
        <f t="shared" si="87"/>
        <v>NA</v>
      </c>
      <c r="K286" s="931"/>
      <c r="L286" s="931"/>
      <c r="M286" s="931"/>
      <c r="N286" s="931"/>
      <c r="O286" s="931"/>
      <c r="P286" s="931"/>
      <c r="Q286" s="931"/>
      <c r="R286" s="931"/>
      <c r="S286" s="931"/>
      <c r="T286" s="931"/>
      <c r="U286" s="931"/>
      <c r="V286" s="931"/>
      <c r="W286" s="931"/>
      <c r="X286" s="931"/>
      <c r="Y286" s="931"/>
      <c r="Z286" s="941" t="str">
        <f t="shared" si="93"/>
        <v/>
      </c>
      <c r="AA286" s="941" t="str">
        <f t="shared" si="94"/>
        <v/>
      </c>
      <c r="AB286" s="941" t="str">
        <f t="shared" si="95"/>
        <v/>
      </c>
      <c r="AC286" s="941" t="str">
        <f t="shared" si="96"/>
        <v/>
      </c>
      <c r="AD286" s="941" t="str">
        <f t="shared" si="97"/>
        <v/>
      </c>
      <c r="AE286" s="941" t="str">
        <f t="shared" si="98"/>
        <v/>
      </c>
      <c r="AF286" s="941" t="str">
        <f t="shared" si="99"/>
        <v/>
      </c>
      <c r="AG286" s="941" t="str">
        <f t="shared" si="100"/>
        <v/>
      </c>
      <c r="AH286" s="941" t="str">
        <f t="shared" si="101"/>
        <v/>
      </c>
      <c r="AI286" s="941" t="str">
        <f t="shared" si="102"/>
        <v/>
      </c>
      <c r="AJ286" s="941" t="str">
        <f t="shared" si="103"/>
        <v/>
      </c>
      <c r="AK286" s="941" t="str">
        <f t="shared" si="104"/>
        <v/>
      </c>
      <c r="AL286" s="941" t="str">
        <f t="shared" si="105"/>
        <v/>
      </c>
      <c r="AM286" s="941" t="str">
        <f t="shared" si="106"/>
        <v/>
      </c>
      <c r="AN286" s="941" t="str">
        <f t="shared" si="107"/>
        <v/>
      </c>
      <c r="AO286" s="941" t="str">
        <f t="shared" si="108"/>
        <v/>
      </c>
      <c r="AP286" s="895">
        <f>IF(AO286&lt;0,"No hi ha pèrdua",IFERROR(SUM(AA286:AO286)*'7. Erosió de costa'!$C$86/1000000,""))</f>
        <v>0</v>
      </c>
    </row>
    <row r="287" spans="1:42">
      <c r="A287" s="835">
        <v>8286</v>
      </c>
      <c r="B287" s="826" t="s">
        <v>1670</v>
      </c>
      <c r="C287" s="835" t="str">
        <f t="shared" si="88"/>
        <v>NA</v>
      </c>
      <c r="D287" s="923" t="str">
        <f t="shared" si="89"/>
        <v>NA</v>
      </c>
      <c r="E287" s="931" t="str">
        <f t="shared" si="90"/>
        <v>NA</v>
      </c>
      <c r="F287" s="926" t="str">
        <f t="shared" si="91"/>
        <v>NA</v>
      </c>
      <c r="G287" s="923" t="str">
        <f t="shared" si="92"/>
        <v>NA</v>
      </c>
      <c r="H287" s="931" t="str">
        <f>IFERROR(IF((G287*'7. Erosió de costa'!$C$86/1000000)&lt;0,"guanya sorra",G287*'7. Erosió de costa'!$C$86/1000000),"")</f>
        <v/>
      </c>
      <c r="I287" s="937" t="str">
        <f>IFERROR(IF(('A. Dades de partida'!$D$10*G287*'7. Erosió de costa'!$C$86/1000000)&lt;0,"guanya sorra",'A. Dades de partida'!$D$10*G287*'7. Erosió de costa'!$C$86/1000000),"")</f>
        <v/>
      </c>
      <c r="J287" s="931" t="str">
        <f t="shared" si="87"/>
        <v>NA</v>
      </c>
      <c r="K287" s="931"/>
      <c r="L287" s="931"/>
      <c r="M287" s="931"/>
      <c r="N287" s="931"/>
      <c r="O287" s="931"/>
      <c r="P287" s="931"/>
      <c r="Q287" s="931"/>
      <c r="R287" s="931"/>
      <c r="S287" s="931"/>
      <c r="T287" s="931"/>
      <c r="U287" s="931"/>
      <c r="V287" s="931"/>
      <c r="W287" s="931"/>
      <c r="X287" s="931"/>
      <c r="Y287" s="931"/>
      <c r="Z287" s="941" t="str">
        <f t="shared" si="93"/>
        <v/>
      </c>
      <c r="AA287" s="941" t="str">
        <f t="shared" si="94"/>
        <v/>
      </c>
      <c r="AB287" s="941" t="str">
        <f t="shared" si="95"/>
        <v/>
      </c>
      <c r="AC287" s="941" t="str">
        <f t="shared" si="96"/>
        <v/>
      </c>
      <c r="AD287" s="941" t="str">
        <f t="shared" si="97"/>
        <v/>
      </c>
      <c r="AE287" s="941" t="str">
        <f t="shared" si="98"/>
        <v/>
      </c>
      <c r="AF287" s="941" t="str">
        <f t="shared" si="99"/>
        <v/>
      </c>
      <c r="AG287" s="941" t="str">
        <f t="shared" si="100"/>
        <v/>
      </c>
      <c r="AH287" s="941" t="str">
        <f t="shared" si="101"/>
        <v/>
      </c>
      <c r="AI287" s="941" t="str">
        <f t="shared" si="102"/>
        <v/>
      </c>
      <c r="AJ287" s="941" t="str">
        <f t="shared" si="103"/>
        <v/>
      </c>
      <c r="AK287" s="941" t="str">
        <f t="shared" si="104"/>
        <v/>
      </c>
      <c r="AL287" s="941" t="str">
        <f t="shared" si="105"/>
        <v/>
      </c>
      <c r="AM287" s="941" t="str">
        <f t="shared" si="106"/>
        <v/>
      </c>
      <c r="AN287" s="941" t="str">
        <f t="shared" si="107"/>
        <v/>
      </c>
      <c r="AO287" s="941" t="str">
        <f t="shared" si="108"/>
        <v/>
      </c>
      <c r="AP287" s="895">
        <f>IF(AO287&lt;0,"No hi ha pèrdua",IFERROR(SUM(AA287:AO287)*'7. Erosió de costa'!$C$86/1000000,""))</f>
        <v>0</v>
      </c>
    </row>
    <row r="288" spans="1:42">
      <c r="A288" s="835">
        <v>8287</v>
      </c>
      <c r="B288" s="826" t="s">
        <v>1673</v>
      </c>
      <c r="C288" s="835" t="str">
        <f t="shared" si="88"/>
        <v>NA</v>
      </c>
      <c r="D288" s="923" t="str">
        <f t="shared" si="89"/>
        <v>NA</v>
      </c>
      <c r="E288" s="931" t="str">
        <f t="shared" si="90"/>
        <v>NA</v>
      </c>
      <c r="F288" s="926" t="str">
        <f t="shared" si="91"/>
        <v>NA</v>
      </c>
      <c r="G288" s="923" t="str">
        <f t="shared" si="92"/>
        <v>NA</v>
      </c>
      <c r="H288" s="931" t="str">
        <f>IFERROR(IF((G288*'7. Erosió de costa'!$C$86/1000000)&lt;0,"guanya sorra",G288*'7. Erosió de costa'!$C$86/1000000),"")</f>
        <v/>
      </c>
      <c r="I288" s="937" t="str">
        <f>IFERROR(IF(('A. Dades de partida'!$D$10*G288*'7. Erosió de costa'!$C$86/1000000)&lt;0,"guanya sorra",'A. Dades de partida'!$D$10*G288*'7. Erosió de costa'!$C$86/1000000),"")</f>
        <v/>
      </c>
      <c r="J288" s="931" t="str">
        <f t="shared" si="87"/>
        <v>NA</v>
      </c>
      <c r="K288" s="931"/>
      <c r="L288" s="931"/>
      <c r="M288" s="931"/>
      <c r="N288" s="931"/>
      <c r="O288" s="931"/>
      <c r="P288" s="931"/>
      <c r="Q288" s="931"/>
      <c r="R288" s="931"/>
      <c r="S288" s="931"/>
      <c r="T288" s="931"/>
      <c r="U288" s="931"/>
      <c r="V288" s="931"/>
      <c r="W288" s="931"/>
      <c r="X288" s="931"/>
      <c r="Y288" s="931"/>
      <c r="Z288" s="941" t="str">
        <f t="shared" si="93"/>
        <v/>
      </c>
      <c r="AA288" s="941" t="str">
        <f t="shared" si="94"/>
        <v/>
      </c>
      <c r="AB288" s="941" t="str">
        <f t="shared" si="95"/>
        <v/>
      </c>
      <c r="AC288" s="941" t="str">
        <f t="shared" si="96"/>
        <v/>
      </c>
      <c r="AD288" s="941" t="str">
        <f t="shared" si="97"/>
        <v/>
      </c>
      <c r="AE288" s="941" t="str">
        <f t="shared" si="98"/>
        <v/>
      </c>
      <c r="AF288" s="941" t="str">
        <f t="shared" si="99"/>
        <v/>
      </c>
      <c r="AG288" s="941" t="str">
        <f t="shared" si="100"/>
        <v/>
      </c>
      <c r="AH288" s="941" t="str">
        <f t="shared" si="101"/>
        <v/>
      </c>
      <c r="AI288" s="941" t="str">
        <f t="shared" si="102"/>
        <v/>
      </c>
      <c r="AJ288" s="941" t="str">
        <f t="shared" si="103"/>
        <v/>
      </c>
      <c r="AK288" s="941" t="str">
        <f t="shared" si="104"/>
        <v/>
      </c>
      <c r="AL288" s="941" t="str">
        <f t="shared" si="105"/>
        <v/>
      </c>
      <c r="AM288" s="941" t="str">
        <f t="shared" si="106"/>
        <v/>
      </c>
      <c r="AN288" s="941" t="str">
        <f t="shared" si="107"/>
        <v/>
      </c>
      <c r="AO288" s="941" t="str">
        <f t="shared" si="108"/>
        <v/>
      </c>
      <c r="AP288" s="895">
        <f>IF(AO288&lt;0,"No hi ha pèrdua",IFERROR(SUM(AA288:AO288)*'7. Erosió de costa'!$C$86/1000000,""))</f>
        <v>0</v>
      </c>
    </row>
    <row r="289" spans="1:42">
      <c r="A289" s="835">
        <v>8288</v>
      </c>
      <c r="B289" s="826" t="s">
        <v>1677</v>
      </c>
      <c r="C289" s="835" t="str">
        <f t="shared" si="88"/>
        <v>NA</v>
      </c>
      <c r="D289" s="923" t="str">
        <f t="shared" si="89"/>
        <v>NA</v>
      </c>
      <c r="E289" s="931" t="str">
        <f t="shared" si="90"/>
        <v>NA</v>
      </c>
      <c r="F289" s="926" t="str">
        <f t="shared" si="91"/>
        <v>NA</v>
      </c>
      <c r="G289" s="923" t="str">
        <f t="shared" si="92"/>
        <v>NA</v>
      </c>
      <c r="H289" s="931" t="str">
        <f>IFERROR(IF((G289*'7. Erosió de costa'!$C$86/1000000)&lt;0,"guanya sorra",G289*'7. Erosió de costa'!$C$86/1000000),"")</f>
        <v/>
      </c>
      <c r="I289" s="937" t="str">
        <f>IFERROR(IF(('A. Dades de partida'!$D$10*G289*'7. Erosió de costa'!$C$86/1000000)&lt;0,"guanya sorra",'A. Dades de partida'!$D$10*G289*'7. Erosió de costa'!$C$86/1000000),"")</f>
        <v/>
      </c>
      <c r="J289" s="931" t="str">
        <f t="shared" si="87"/>
        <v>NA</v>
      </c>
      <c r="K289" s="931"/>
      <c r="L289" s="931"/>
      <c r="M289" s="931"/>
      <c r="N289" s="931"/>
      <c r="O289" s="931"/>
      <c r="P289" s="931"/>
      <c r="Q289" s="931"/>
      <c r="R289" s="931"/>
      <c r="S289" s="931"/>
      <c r="T289" s="931"/>
      <c r="U289" s="931"/>
      <c r="V289" s="931"/>
      <c r="W289" s="931"/>
      <c r="X289" s="931"/>
      <c r="Y289" s="931"/>
      <c r="Z289" s="941" t="str">
        <f t="shared" si="93"/>
        <v/>
      </c>
      <c r="AA289" s="941" t="str">
        <f t="shared" si="94"/>
        <v/>
      </c>
      <c r="AB289" s="941" t="str">
        <f t="shared" si="95"/>
        <v/>
      </c>
      <c r="AC289" s="941" t="str">
        <f t="shared" si="96"/>
        <v/>
      </c>
      <c r="AD289" s="941" t="str">
        <f t="shared" si="97"/>
        <v/>
      </c>
      <c r="AE289" s="941" t="str">
        <f t="shared" si="98"/>
        <v/>
      </c>
      <c r="AF289" s="941" t="str">
        <f t="shared" si="99"/>
        <v/>
      </c>
      <c r="AG289" s="941" t="str">
        <f t="shared" si="100"/>
        <v/>
      </c>
      <c r="AH289" s="941" t="str">
        <f t="shared" si="101"/>
        <v/>
      </c>
      <c r="AI289" s="941" t="str">
        <f t="shared" si="102"/>
        <v/>
      </c>
      <c r="AJ289" s="941" t="str">
        <f t="shared" si="103"/>
        <v/>
      </c>
      <c r="AK289" s="941" t="str">
        <f t="shared" si="104"/>
        <v/>
      </c>
      <c r="AL289" s="941" t="str">
        <f t="shared" si="105"/>
        <v/>
      </c>
      <c r="AM289" s="941" t="str">
        <f t="shared" si="106"/>
        <v/>
      </c>
      <c r="AN289" s="941" t="str">
        <f t="shared" si="107"/>
        <v/>
      </c>
      <c r="AO289" s="941" t="str">
        <f t="shared" si="108"/>
        <v/>
      </c>
      <c r="AP289" s="895">
        <f>IF(AO289&lt;0,"No hi ha pèrdua",IFERROR(SUM(AA289:AO289)*'7. Erosió de costa'!$C$86/1000000,""))</f>
        <v>0</v>
      </c>
    </row>
    <row r="290" spans="1:42">
      <c r="A290" s="835">
        <v>8289</v>
      </c>
      <c r="B290" s="826" t="s">
        <v>1681</v>
      </c>
      <c r="C290" s="835" t="str">
        <f t="shared" si="88"/>
        <v>NA</v>
      </c>
      <c r="D290" s="923" t="str">
        <f t="shared" si="89"/>
        <v>NA</v>
      </c>
      <c r="E290" s="931" t="str">
        <f t="shared" si="90"/>
        <v>NA</v>
      </c>
      <c r="F290" s="926" t="str">
        <f t="shared" si="91"/>
        <v>NA</v>
      </c>
      <c r="G290" s="923" t="str">
        <f t="shared" si="92"/>
        <v>NA</v>
      </c>
      <c r="H290" s="931" t="str">
        <f>IFERROR(IF((G290*'7. Erosió de costa'!$C$86/1000000)&lt;0,"guanya sorra",G290*'7. Erosió de costa'!$C$86/1000000),"")</f>
        <v/>
      </c>
      <c r="I290" s="937" t="str">
        <f>IFERROR(IF(('A. Dades de partida'!$D$10*G290*'7. Erosió de costa'!$C$86/1000000)&lt;0,"guanya sorra",'A. Dades de partida'!$D$10*G290*'7. Erosió de costa'!$C$86/1000000),"")</f>
        <v/>
      </c>
      <c r="J290" s="931" t="str">
        <f t="shared" si="87"/>
        <v>NA</v>
      </c>
      <c r="K290" s="931"/>
      <c r="L290" s="931"/>
      <c r="M290" s="931"/>
      <c r="N290" s="931"/>
      <c r="O290" s="931"/>
      <c r="P290" s="931"/>
      <c r="Q290" s="931"/>
      <c r="R290" s="931"/>
      <c r="S290" s="931"/>
      <c r="T290" s="931"/>
      <c r="U290" s="931"/>
      <c r="V290" s="931"/>
      <c r="W290" s="931"/>
      <c r="X290" s="931"/>
      <c r="Y290" s="931"/>
      <c r="Z290" s="941" t="str">
        <f t="shared" si="93"/>
        <v/>
      </c>
      <c r="AA290" s="941" t="str">
        <f t="shared" si="94"/>
        <v/>
      </c>
      <c r="AB290" s="941" t="str">
        <f t="shared" si="95"/>
        <v/>
      </c>
      <c r="AC290" s="941" t="str">
        <f t="shared" si="96"/>
        <v/>
      </c>
      <c r="AD290" s="941" t="str">
        <f t="shared" si="97"/>
        <v/>
      </c>
      <c r="AE290" s="941" t="str">
        <f t="shared" si="98"/>
        <v/>
      </c>
      <c r="AF290" s="941" t="str">
        <f t="shared" si="99"/>
        <v/>
      </c>
      <c r="AG290" s="941" t="str">
        <f t="shared" si="100"/>
        <v/>
      </c>
      <c r="AH290" s="941" t="str">
        <f t="shared" si="101"/>
        <v/>
      </c>
      <c r="AI290" s="941" t="str">
        <f t="shared" si="102"/>
        <v/>
      </c>
      <c r="AJ290" s="941" t="str">
        <f t="shared" si="103"/>
        <v/>
      </c>
      <c r="AK290" s="941" t="str">
        <f t="shared" si="104"/>
        <v/>
      </c>
      <c r="AL290" s="941" t="str">
        <f t="shared" si="105"/>
        <v/>
      </c>
      <c r="AM290" s="941" t="str">
        <f t="shared" si="106"/>
        <v/>
      </c>
      <c r="AN290" s="941" t="str">
        <f t="shared" si="107"/>
        <v/>
      </c>
      <c r="AO290" s="941" t="str">
        <f t="shared" si="108"/>
        <v/>
      </c>
      <c r="AP290" s="895">
        <f>IF(AO290&lt;0,"No hi ha pèrdua",IFERROR(SUM(AA290:AO290)*'7. Erosió de costa'!$C$86/1000000,""))</f>
        <v>0</v>
      </c>
    </row>
    <row r="291" spans="1:42">
      <c r="A291" s="835">
        <v>8290</v>
      </c>
      <c r="B291" s="826" t="s">
        <v>1682</v>
      </c>
      <c r="C291" s="835" t="str">
        <f t="shared" si="88"/>
        <v>NA</v>
      </c>
      <c r="D291" s="923" t="str">
        <f t="shared" si="89"/>
        <v>NA</v>
      </c>
      <c r="E291" s="931" t="str">
        <f t="shared" si="90"/>
        <v>NA</v>
      </c>
      <c r="F291" s="926" t="str">
        <f t="shared" si="91"/>
        <v>NA</v>
      </c>
      <c r="G291" s="923" t="str">
        <f t="shared" si="92"/>
        <v>NA</v>
      </c>
      <c r="H291" s="931" t="str">
        <f>IFERROR(IF((G291*'7. Erosió de costa'!$C$86/1000000)&lt;0,"guanya sorra",G291*'7. Erosió de costa'!$C$86/1000000),"")</f>
        <v/>
      </c>
      <c r="I291" s="937" t="str">
        <f>IFERROR(IF(('A. Dades de partida'!$D$10*G291*'7. Erosió de costa'!$C$86/1000000)&lt;0,"guanya sorra",'A. Dades de partida'!$D$10*G291*'7. Erosió de costa'!$C$86/1000000),"")</f>
        <v/>
      </c>
      <c r="J291" s="931" t="str">
        <f t="shared" si="87"/>
        <v>NA</v>
      </c>
      <c r="K291" s="931"/>
      <c r="L291" s="931"/>
      <c r="M291" s="931"/>
      <c r="N291" s="931"/>
      <c r="O291" s="931"/>
      <c r="P291" s="931"/>
      <c r="Q291" s="931"/>
      <c r="R291" s="931"/>
      <c r="S291" s="931"/>
      <c r="T291" s="931"/>
      <c r="U291" s="931"/>
      <c r="V291" s="931"/>
      <c r="W291" s="931"/>
      <c r="X291" s="931"/>
      <c r="Y291" s="931"/>
      <c r="Z291" s="941" t="str">
        <f t="shared" si="93"/>
        <v/>
      </c>
      <c r="AA291" s="941" t="str">
        <f t="shared" si="94"/>
        <v/>
      </c>
      <c r="AB291" s="941" t="str">
        <f t="shared" si="95"/>
        <v/>
      </c>
      <c r="AC291" s="941" t="str">
        <f t="shared" si="96"/>
        <v/>
      </c>
      <c r="AD291" s="941" t="str">
        <f t="shared" si="97"/>
        <v/>
      </c>
      <c r="AE291" s="941" t="str">
        <f t="shared" si="98"/>
        <v/>
      </c>
      <c r="AF291" s="941" t="str">
        <f t="shared" si="99"/>
        <v/>
      </c>
      <c r="AG291" s="941" t="str">
        <f t="shared" si="100"/>
        <v/>
      </c>
      <c r="AH291" s="941" t="str">
        <f t="shared" si="101"/>
        <v/>
      </c>
      <c r="AI291" s="941" t="str">
        <f t="shared" si="102"/>
        <v/>
      </c>
      <c r="AJ291" s="941" t="str">
        <f t="shared" si="103"/>
        <v/>
      </c>
      <c r="AK291" s="941" t="str">
        <f t="shared" si="104"/>
        <v/>
      </c>
      <c r="AL291" s="941" t="str">
        <f t="shared" si="105"/>
        <v/>
      </c>
      <c r="AM291" s="941" t="str">
        <f t="shared" si="106"/>
        <v/>
      </c>
      <c r="AN291" s="941" t="str">
        <f t="shared" si="107"/>
        <v/>
      </c>
      <c r="AO291" s="941" t="str">
        <f t="shared" si="108"/>
        <v/>
      </c>
      <c r="AP291" s="895">
        <f>IF(AO291&lt;0,"No hi ha pèrdua",IFERROR(SUM(AA291:AO291)*'7. Erosió de costa'!$C$86/1000000,""))</f>
        <v>0</v>
      </c>
    </row>
    <row r="292" spans="1:42">
      <c r="A292" s="835">
        <v>8291</v>
      </c>
      <c r="B292" s="826" t="s">
        <v>1684</v>
      </c>
      <c r="C292" s="835" t="str">
        <f t="shared" si="88"/>
        <v>NA</v>
      </c>
      <c r="D292" s="923" t="str">
        <f t="shared" si="89"/>
        <v>NA</v>
      </c>
      <c r="E292" s="931" t="str">
        <f t="shared" si="90"/>
        <v>NA</v>
      </c>
      <c r="F292" s="926" t="str">
        <f t="shared" si="91"/>
        <v>NA</v>
      </c>
      <c r="G292" s="923" t="str">
        <f t="shared" si="92"/>
        <v>NA</v>
      </c>
      <c r="H292" s="931" t="str">
        <f>IFERROR(IF((G292*'7. Erosió de costa'!$C$86/1000000)&lt;0,"guanya sorra",G292*'7. Erosió de costa'!$C$86/1000000),"")</f>
        <v/>
      </c>
      <c r="I292" s="937" t="str">
        <f>IFERROR(IF(('A. Dades de partida'!$D$10*G292*'7. Erosió de costa'!$C$86/1000000)&lt;0,"guanya sorra",'A. Dades de partida'!$D$10*G292*'7. Erosió de costa'!$C$86/1000000),"")</f>
        <v/>
      </c>
      <c r="J292" s="931" t="str">
        <f t="shared" si="87"/>
        <v>NA</v>
      </c>
      <c r="K292" s="931"/>
      <c r="L292" s="931"/>
      <c r="M292" s="931"/>
      <c r="N292" s="931"/>
      <c r="O292" s="931"/>
      <c r="P292" s="931"/>
      <c r="Q292" s="931"/>
      <c r="R292" s="931"/>
      <c r="S292" s="931"/>
      <c r="T292" s="931"/>
      <c r="U292" s="931"/>
      <c r="V292" s="931"/>
      <c r="W292" s="931"/>
      <c r="X292" s="931"/>
      <c r="Y292" s="931"/>
      <c r="Z292" s="941" t="str">
        <f t="shared" si="93"/>
        <v/>
      </c>
      <c r="AA292" s="941" t="str">
        <f t="shared" si="94"/>
        <v/>
      </c>
      <c r="AB292" s="941" t="str">
        <f t="shared" si="95"/>
        <v/>
      </c>
      <c r="AC292" s="941" t="str">
        <f t="shared" si="96"/>
        <v/>
      </c>
      <c r="AD292" s="941" t="str">
        <f t="shared" si="97"/>
        <v/>
      </c>
      <c r="AE292" s="941" t="str">
        <f t="shared" si="98"/>
        <v/>
      </c>
      <c r="AF292" s="941" t="str">
        <f t="shared" si="99"/>
        <v/>
      </c>
      <c r="AG292" s="941" t="str">
        <f t="shared" si="100"/>
        <v/>
      </c>
      <c r="AH292" s="941" t="str">
        <f t="shared" si="101"/>
        <v/>
      </c>
      <c r="AI292" s="941" t="str">
        <f t="shared" si="102"/>
        <v/>
      </c>
      <c r="AJ292" s="941" t="str">
        <f t="shared" si="103"/>
        <v/>
      </c>
      <c r="AK292" s="941" t="str">
        <f t="shared" si="104"/>
        <v/>
      </c>
      <c r="AL292" s="941" t="str">
        <f t="shared" si="105"/>
        <v/>
      </c>
      <c r="AM292" s="941" t="str">
        <f t="shared" si="106"/>
        <v/>
      </c>
      <c r="AN292" s="941" t="str">
        <f t="shared" si="107"/>
        <v/>
      </c>
      <c r="AO292" s="941" t="str">
        <f t="shared" si="108"/>
        <v/>
      </c>
      <c r="AP292" s="895">
        <f>IF(AO292&lt;0,"No hi ha pèrdua",IFERROR(SUM(AA292:AO292)*'7. Erosió de costa'!$C$86/1000000,""))</f>
        <v>0</v>
      </c>
    </row>
    <row r="293" spans="1:42">
      <c r="A293" s="835">
        <v>8292</v>
      </c>
      <c r="B293" s="826" t="s">
        <v>1686</v>
      </c>
      <c r="C293" s="835" t="str">
        <f t="shared" si="88"/>
        <v>NA</v>
      </c>
      <c r="D293" s="923" t="str">
        <f t="shared" si="89"/>
        <v>NA</v>
      </c>
      <c r="E293" s="931" t="str">
        <f t="shared" si="90"/>
        <v>NA</v>
      </c>
      <c r="F293" s="926" t="str">
        <f t="shared" si="91"/>
        <v>NA</v>
      </c>
      <c r="G293" s="923" t="str">
        <f t="shared" si="92"/>
        <v>NA</v>
      </c>
      <c r="H293" s="931" t="str">
        <f>IFERROR(IF((G293*'7. Erosió de costa'!$C$86/1000000)&lt;0,"guanya sorra",G293*'7. Erosió de costa'!$C$86/1000000),"")</f>
        <v/>
      </c>
      <c r="I293" s="937" t="str">
        <f>IFERROR(IF(('A. Dades de partida'!$D$10*G293*'7. Erosió de costa'!$C$86/1000000)&lt;0,"guanya sorra",'A. Dades de partida'!$D$10*G293*'7. Erosió de costa'!$C$86/1000000),"")</f>
        <v/>
      </c>
      <c r="J293" s="931" t="str">
        <f t="shared" si="87"/>
        <v>NA</v>
      </c>
      <c r="K293" s="931"/>
      <c r="L293" s="931"/>
      <c r="M293" s="931"/>
      <c r="N293" s="931"/>
      <c r="O293" s="931"/>
      <c r="P293" s="931"/>
      <c r="Q293" s="931"/>
      <c r="R293" s="931"/>
      <c r="S293" s="931"/>
      <c r="T293" s="931"/>
      <c r="U293" s="931"/>
      <c r="V293" s="931"/>
      <c r="W293" s="931"/>
      <c r="X293" s="931"/>
      <c r="Y293" s="931"/>
      <c r="Z293" s="941" t="str">
        <f t="shared" si="93"/>
        <v/>
      </c>
      <c r="AA293" s="941" t="str">
        <f t="shared" si="94"/>
        <v/>
      </c>
      <c r="AB293" s="941" t="str">
        <f t="shared" si="95"/>
        <v/>
      </c>
      <c r="AC293" s="941" t="str">
        <f t="shared" si="96"/>
        <v/>
      </c>
      <c r="AD293" s="941" t="str">
        <f t="shared" si="97"/>
        <v/>
      </c>
      <c r="AE293" s="941" t="str">
        <f t="shared" si="98"/>
        <v/>
      </c>
      <c r="AF293" s="941" t="str">
        <f t="shared" si="99"/>
        <v/>
      </c>
      <c r="AG293" s="941" t="str">
        <f t="shared" si="100"/>
        <v/>
      </c>
      <c r="AH293" s="941" t="str">
        <f t="shared" si="101"/>
        <v/>
      </c>
      <c r="AI293" s="941" t="str">
        <f t="shared" si="102"/>
        <v/>
      </c>
      <c r="AJ293" s="941" t="str">
        <f t="shared" si="103"/>
        <v/>
      </c>
      <c r="AK293" s="941" t="str">
        <f t="shared" si="104"/>
        <v/>
      </c>
      <c r="AL293" s="941" t="str">
        <f t="shared" si="105"/>
        <v/>
      </c>
      <c r="AM293" s="941" t="str">
        <f t="shared" si="106"/>
        <v/>
      </c>
      <c r="AN293" s="941" t="str">
        <f t="shared" si="107"/>
        <v/>
      </c>
      <c r="AO293" s="941" t="str">
        <f t="shared" si="108"/>
        <v/>
      </c>
      <c r="AP293" s="895">
        <f>IF(AO293&lt;0,"No hi ha pèrdua",IFERROR(SUM(AA293:AO293)*'7. Erosió de costa'!$C$86/1000000,""))</f>
        <v>0</v>
      </c>
    </row>
    <row r="294" spans="1:42">
      <c r="A294" s="835">
        <v>8293</v>
      </c>
      <c r="B294" s="826" t="s">
        <v>1690</v>
      </c>
      <c r="C294" s="835" t="str">
        <f t="shared" si="88"/>
        <v>NA</v>
      </c>
      <c r="D294" s="923" t="str">
        <f t="shared" si="89"/>
        <v>NA</v>
      </c>
      <c r="E294" s="931" t="str">
        <f t="shared" si="90"/>
        <v>NA</v>
      </c>
      <c r="F294" s="926" t="str">
        <f t="shared" si="91"/>
        <v>NA</v>
      </c>
      <c r="G294" s="923" t="str">
        <f t="shared" si="92"/>
        <v>NA</v>
      </c>
      <c r="H294" s="931" t="str">
        <f>IFERROR(IF((G294*'7. Erosió de costa'!$C$86/1000000)&lt;0,"guanya sorra",G294*'7. Erosió de costa'!$C$86/1000000),"")</f>
        <v/>
      </c>
      <c r="I294" s="937" t="str">
        <f>IFERROR(IF(('A. Dades de partida'!$D$10*G294*'7. Erosió de costa'!$C$86/1000000)&lt;0,"guanya sorra",'A. Dades de partida'!$D$10*G294*'7. Erosió de costa'!$C$86/1000000),"")</f>
        <v/>
      </c>
      <c r="J294" s="931" t="str">
        <f t="shared" si="87"/>
        <v>NA</v>
      </c>
      <c r="K294" s="931"/>
      <c r="L294" s="931"/>
      <c r="M294" s="931"/>
      <c r="N294" s="931"/>
      <c r="O294" s="931"/>
      <c r="P294" s="931"/>
      <c r="Q294" s="931"/>
      <c r="R294" s="931"/>
      <c r="S294" s="931"/>
      <c r="T294" s="931"/>
      <c r="U294" s="931"/>
      <c r="V294" s="931"/>
      <c r="W294" s="931"/>
      <c r="X294" s="931"/>
      <c r="Y294" s="931"/>
      <c r="Z294" s="941" t="str">
        <f t="shared" si="93"/>
        <v/>
      </c>
      <c r="AA294" s="941" t="str">
        <f t="shared" si="94"/>
        <v/>
      </c>
      <c r="AB294" s="941" t="str">
        <f t="shared" si="95"/>
        <v/>
      </c>
      <c r="AC294" s="941" t="str">
        <f t="shared" si="96"/>
        <v/>
      </c>
      <c r="AD294" s="941" t="str">
        <f t="shared" si="97"/>
        <v/>
      </c>
      <c r="AE294" s="941" t="str">
        <f t="shared" si="98"/>
        <v/>
      </c>
      <c r="AF294" s="941" t="str">
        <f t="shared" si="99"/>
        <v/>
      </c>
      <c r="AG294" s="941" t="str">
        <f t="shared" si="100"/>
        <v/>
      </c>
      <c r="AH294" s="941" t="str">
        <f t="shared" si="101"/>
        <v/>
      </c>
      <c r="AI294" s="941" t="str">
        <f t="shared" si="102"/>
        <v/>
      </c>
      <c r="AJ294" s="941" t="str">
        <f t="shared" si="103"/>
        <v/>
      </c>
      <c r="AK294" s="941" t="str">
        <f t="shared" si="104"/>
        <v/>
      </c>
      <c r="AL294" s="941" t="str">
        <f t="shared" si="105"/>
        <v/>
      </c>
      <c r="AM294" s="941" t="str">
        <f t="shared" si="106"/>
        <v/>
      </c>
      <c r="AN294" s="941" t="str">
        <f t="shared" si="107"/>
        <v/>
      </c>
      <c r="AO294" s="941" t="str">
        <f t="shared" si="108"/>
        <v/>
      </c>
      <c r="AP294" s="895">
        <f>IF(AO294&lt;0,"No hi ha pèrdua",IFERROR(SUM(AA294:AO294)*'7. Erosió de costa'!$C$86/1000000,""))</f>
        <v>0</v>
      </c>
    </row>
    <row r="295" spans="1:42">
      <c r="A295" s="835">
        <v>8294</v>
      </c>
      <c r="B295" s="826" t="s">
        <v>1692</v>
      </c>
      <c r="C295" s="835" t="str">
        <f t="shared" si="88"/>
        <v>NA</v>
      </c>
      <c r="D295" s="923" t="str">
        <f t="shared" si="89"/>
        <v>NA</v>
      </c>
      <c r="E295" s="931" t="str">
        <f t="shared" si="90"/>
        <v>NA</v>
      </c>
      <c r="F295" s="926" t="str">
        <f t="shared" si="91"/>
        <v>NA</v>
      </c>
      <c r="G295" s="923" t="str">
        <f t="shared" si="92"/>
        <v>NA</v>
      </c>
      <c r="H295" s="931" t="str">
        <f>IFERROR(IF((G295*'7. Erosió de costa'!$C$86/1000000)&lt;0,"guanya sorra",G295*'7. Erosió de costa'!$C$86/1000000),"")</f>
        <v/>
      </c>
      <c r="I295" s="937" t="str">
        <f>IFERROR(IF(('A. Dades de partida'!$D$10*G295*'7. Erosió de costa'!$C$86/1000000)&lt;0,"guanya sorra",'A. Dades de partida'!$D$10*G295*'7. Erosió de costa'!$C$86/1000000),"")</f>
        <v/>
      </c>
      <c r="J295" s="931" t="str">
        <f t="shared" si="87"/>
        <v>NA</v>
      </c>
      <c r="K295" s="931"/>
      <c r="L295" s="931"/>
      <c r="M295" s="931"/>
      <c r="N295" s="931"/>
      <c r="O295" s="931"/>
      <c r="P295" s="931"/>
      <c r="Q295" s="931"/>
      <c r="R295" s="931"/>
      <c r="S295" s="931"/>
      <c r="T295" s="931"/>
      <c r="U295" s="931"/>
      <c r="V295" s="931"/>
      <c r="W295" s="931"/>
      <c r="X295" s="931"/>
      <c r="Y295" s="931"/>
      <c r="Z295" s="941" t="str">
        <f t="shared" si="93"/>
        <v/>
      </c>
      <c r="AA295" s="941" t="str">
        <f t="shared" si="94"/>
        <v/>
      </c>
      <c r="AB295" s="941" t="str">
        <f t="shared" si="95"/>
        <v/>
      </c>
      <c r="AC295" s="941" t="str">
        <f t="shared" si="96"/>
        <v/>
      </c>
      <c r="AD295" s="941" t="str">
        <f t="shared" si="97"/>
        <v/>
      </c>
      <c r="AE295" s="941" t="str">
        <f t="shared" si="98"/>
        <v/>
      </c>
      <c r="AF295" s="941" t="str">
        <f t="shared" si="99"/>
        <v/>
      </c>
      <c r="AG295" s="941" t="str">
        <f t="shared" si="100"/>
        <v/>
      </c>
      <c r="AH295" s="941" t="str">
        <f t="shared" si="101"/>
        <v/>
      </c>
      <c r="AI295" s="941" t="str">
        <f t="shared" si="102"/>
        <v/>
      </c>
      <c r="AJ295" s="941" t="str">
        <f t="shared" si="103"/>
        <v/>
      </c>
      <c r="AK295" s="941" t="str">
        <f t="shared" si="104"/>
        <v/>
      </c>
      <c r="AL295" s="941" t="str">
        <f t="shared" si="105"/>
        <v/>
      </c>
      <c r="AM295" s="941" t="str">
        <f t="shared" si="106"/>
        <v/>
      </c>
      <c r="AN295" s="941" t="str">
        <f t="shared" si="107"/>
        <v/>
      </c>
      <c r="AO295" s="941" t="str">
        <f t="shared" si="108"/>
        <v/>
      </c>
      <c r="AP295" s="895">
        <f>IF(AO295&lt;0,"No hi ha pèrdua",IFERROR(SUM(AA295:AO295)*'7. Erosió de costa'!$C$86/1000000,""))</f>
        <v>0</v>
      </c>
    </row>
    <row r="296" spans="1:42">
      <c r="A296" s="835">
        <v>8295</v>
      </c>
      <c r="B296" s="826" t="s">
        <v>1697</v>
      </c>
      <c r="C296" s="835" t="str">
        <f t="shared" si="88"/>
        <v>NA</v>
      </c>
      <c r="D296" s="923" t="str">
        <f t="shared" si="89"/>
        <v>NA</v>
      </c>
      <c r="E296" s="931" t="str">
        <f t="shared" si="90"/>
        <v>NA</v>
      </c>
      <c r="F296" s="926" t="str">
        <f t="shared" si="91"/>
        <v>NA</v>
      </c>
      <c r="G296" s="923" t="str">
        <f t="shared" si="92"/>
        <v>NA</v>
      </c>
      <c r="H296" s="931" t="str">
        <f>IFERROR(IF((G296*'7. Erosió de costa'!$C$86/1000000)&lt;0,"guanya sorra",G296*'7. Erosió de costa'!$C$86/1000000),"")</f>
        <v/>
      </c>
      <c r="I296" s="937" t="str">
        <f>IFERROR(IF(('A. Dades de partida'!$D$10*G296*'7. Erosió de costa'!$C$86/1000000)&lt;0,"guanya sorra",'A. Dades de partida'!$D$10*G296*'7. Erosió de costa'!$C$86/1000000),"")</f>
        <v/>
      </c>
      <c r="J296" s="931" t="str">
        <f t="shared" si="87"/>
        <v>NA</v>
      </c>
      <c r="K296" s="931"/>
      <c r="L296" s="931"/>
      <c r="M296" s="931"/>
      <c r="N296" s="931"/>
      <c r="O296" s="931"/>
      <c r="P296" s="931"/>
      <c r="Q296" s="931"/>
      <c r="R296" s="931"/>
      <c r="S296" s="931"/>
      <c r="T296" s="931"/>
      <c r="U296" s="931"/>
      <c r="V296" s="931"/>
      <c r="W296" s="931"/>
      <c r="X296" s="931"/>
      <c r="Y296" s="931"/>
      <c r="Z296" s="941" t="str">
        <f t="shared" si="93"/>
        <v/>
      </c>
      <c r="AA296" s="941" t="str">
        <f t="shared" si="94"/>
        <v/>
      </c>
      <c r="AB296" s="941" t="str">
        <f t="shared" si="95"/>
        <v/>
      </c>
      <c r="AC296" s="941" t="str">
        <f t="shared" si="96"/>
        <v/>
      </c>
      <c r="AD296" s="941" t="str">
        <f t="shared" si="97"/>
        <v/>
      </c>
      <c r="AE296" s="941" t="str">
        <f t="shared" si="98"/>
        <v/>
      </c>
      <c r="AF296" s="941" t="str">
        <f t="shared" si="99"/>
        <v/>
      </c>
      <c r="AG296" s="941" t="str">
        <f t="shared" si="100"/>
        <v/>
      </c>
      <c r="AH296" s="941" t="str">
        <f t="shared" si="101"/>
        <v/>
      </c>
      <c r="AI296" s="941" t="str">
        <f t="shared" si="102"/>
        <v/>
      </c>
      <c r="AJ296" s="941" t="str">
        <f t="shared" si="103"/>
        <v/>
      </c>
      <c r="AK296" s="941" t="str">
        <f t="shared" si="104"/>
        <v/>
      </c>
      <c r="AL296" s="941" t="str">
        <f t="shared" si="105"/>
        <v/>
      </c>
      <c r="AM296" s="941" t="str">
        <f t="shared" si="106"/>
        <v/>
      </c>
      <c r="AN296" s="941" t="str">
        <f t="shared" si="107"/>
        <v/>
      </c>
      <c r="AO296" s="941" t="str">
        <f t="shared" si="108"/>
        <v/>
      </c>
      <c r="AP296" s="895">
        <f>IF(AO296&lt;0,"No hi ha pèrdua",IFERROR(SUM(AA296:AO296)*'7. Erosió de costa'!$C$86/1000000,""))</f>
        <v>0</v>
      </c>
    </row>
    <row r="297" spans="1:42">
      <c r="A297" s="835">
        <v>8296</v>
      </c>
      <c r="B297" s="826" t="s">
        <v>1700</v>
      </c>
      <c r="C297" s="835" t="str">
        <f t="shared" si="88"/>
        <v>NA</v>
      </c>
      <c r="D297" s="923" t="str">
        <f t="shared" si="89"/>
        <v>NA</v>
      </c>
      <c r="E297" s="931" t="str">
        <f t="shared" si="90"/>
        <v>NA</v>
      </c>
      <c r="F297" s="926" t="str">
        <f t="shared" si="91"/>
        <v>NA</v>
      </c>
      <c r="G297" s="923" t="str">
        <f t="shared" si="92"/>
        <v>NA</v>
      </c>
      <c r="H297" s="931" t="str">
        <f>IFERROR(IF((G297*'7. Erosió de costa'!$C$86/1000000)&lt;0,"guanya sorra",G297*'7. Erosió de costa'!$C$86/1000000),"")</f>
        <v/>
      </c>
      <c r="I297" s="937" t="str">
        <f>IFERROR(IF(('A. Dades de partida'!$D$10*G297*'7. Erosió de costa'!$C$86/1000000)&lt;0,"guanya sorra",'A. Dades de partida'!$D$10*G297*'7. Erosió de costa'!$C$86/1000000),"")</f>
        <v/>
      </c>
      <c r="J297" s="931" t="str">
        <f t="shared" si="87"/>
        <v>NA</v>
      </c>
      <c r="K297" s="931"/>
      <c r="L297" s="931"/>
      <c r="M297" s="931"/>
      <c r="N297" s="931"/>
      <c r="O297" s="931"/>
      <c r="P297" s="931"/>
      <c r="Q297" s="931"/>
      <c r="R297" s="931"/>
      <c r="S297" s="931"/>
      <c r="T297" s="931"/>
      <c r="U297" s="931"/>
      <c r="V297" s="931"/>
      <c r="W297" s="931"/>
      <c r="X297" s="931"/>
      <c r="Y297" s="931"/>
      <c r="Z297" s="941" t="str">
        <f t="shared" si="93"/>
        <v/>
      </c>
      <c r="AA297" s="941" t="str">
        <f t="shared" si="94"/>
        <v/>
      </c>
      <c r="AB297" s="941" t="str">
        <f t="shared" si="95"/>
        <v/>
      </c>
      <c r="AC297" s="941" t="str">
        <f t="shared" si="96"/>
        <v/>
      </c>
      <c r="AD297" s="941" t="str">
        <f t="shared" si="97"/>
        <v/>
      </c>
      <c r="AE297" s="941" t="str">
        <f t="shared" si="98"/>
        <v/>
      </c>
      <c r="AF297" s="941" t="str">
        <f t="shared" si="99"/>
        <v/>
      </c>
      <c r="AG297" s="941" t="str">
        <f t="shared" si="100"/>
        <v/>
      </c>
      <c r="AH297" s="941" t="str">
        <f t="shared" si="101"/>
        <v/>
      </c>
      <c r="AI297" s="941" t="str">
        <f t="shared" si="102"/>
        <v/>
      </c>
      <c r="AJ297" s="941" t="str">
        <f t="shared" si="103"/>
        <v/>
      </c>
      <c r="AK297" s="941" t="str">
        <f t="shared" si="104"/>
        <v/>
      </c>
      <c r="AL297" s="941" t="str">
        <f t="shared" si="105"/>
        <v/>
      </c>
      <c r="AM297" s="941" t="str">
        <f t="shared" si="106"/>
        <v/>
      </c>
      <c r="AN297" s="941" t="str">
        <f t="shared" si="107"/>
        <v/>
      </c>
      <c r="AO297" s="941" t="str">
        <f t="shared" si="108"/>
        <v/>
      </c>
      <c r="AP297" s="895">
        <f>IF(AO297&lt;0,"No hi ha pèrdua",IFERROR(SUM(AA297:AO297)*'7. Erosió de costa'!$C$86/1000000,""))</f>
        <v>0</v>
      </c>
    </row>
    <row r="298" spans="1:42">
      <c r="A298" s="835">
        <v>8297</v>
      </c>
      <c r="B298" s="826" t="s">
        <v>1702</v>
      </c>
      <c r="C298" s="835" t="str">
        <f t="shared" si="88"/>
        <v>NA</v>
      </c>
      <c r="D298" s="923" t="str">
        <f t="shared" si="89"/>
        <v>NA</v>
      </c>
      <c r="E298" s="931" t="str">
        <f t="shared" si="90"/>
        <v>NA</v>
      </c>
      <c r="F298" s="926" t="str">
        <f t="shared" si="91"/>
        <v>NA</v>
      </c>
      <c r="G298" s="923" t="str">
        <f t="shared" si="92"/>
        <v>NA</v>
      </c>
      <c r="H298" s="931" t="str">
        <f>IFERROR(IF((G298*'7. Erosió de costa'!$C$86/1000000)&lt;0,"guanya sorra",G298*'7. Erosió de costa'!$C$86/1000000),"")</f>
        <v/>
      </c>
      <c r="I298" s="937" t="str">
        <f>IFERROR(IF(('A. Dades de partida'!$D$10*G298*'7. Erosió de costa'!$C$86/1000000)&lt;0,"guanya sorra",'A. Dades de partida'!$D$10*G298*'7. Erosió de costa'!$C$86/1000000),"")</f>
        <v/>
      </c>
      <c r="J298" s="931" t="str">
        <f t="shared" si="87"/>
        <v>NA</v>
      </c>
      <c r="K298" s="931"/>
      <c r="L298" s="931"/>
      <c r="M298" s="931"/>
      <c r="N298" s="931"/>
      <c r="O298" s="931"/>
      <c r="P298" s="931"/>
      <c r="Q298" s="931"/>
      <c r="R298" s="931"/>
      <c r="S298" s="931"/>
      <c r="T298" s="931"/>
      <c r="U298" s="931"/>
      <c r="V298" s="931"/>
      <c r="W298" s="931"/>
      <c r="X298" s="931"/>
      <c r="Y298" s="931"/>
      <c r="Z298" s="941" t="str">
        <f t="shared" si="93"/>
        <v/>
      </c>
      <c r="AA298" s="941" t="str">
        <f t="shared" si="94"/>
        <v/>
      </c>
      <c r="AB298" s="941" t="str">
        <f t="shared" si="95"/>
        <v/>
      </c>
      <c r="AC298" s="941" t="str">
        <f t="shared" si="96"/>
        <v/>
      </c>
      <c r="AD298" s="941" t="str">
        <f t="shared" si="97"/>
        <v/>
      </c>
      <c r="AE298" s="941" t="str">
        <f t="shared" si="98"/>
        <v/>
      </c>
      <c r="AF298" s="941" t="str">
        <f t="shared" si="99"/>
        <v/>
      </c>
      <c r="AG298" s="941" t="str">
        <f t="shared" si="100"/>
        <v/>
      </c>
      <c r="AH298" s="941" t="str">
        <f t="shared" si="101"/>
        <v/>
      </c>
      <c r="AI298" s="941" t="str">
        <f t="shared" si="102"/>
        <v/>
      </c>
      <c r="AJ298" s="941" t="str">
        <f t="shared" si="103"/>
        <v/>
      </c>
      <c r="AK298" s="941" t="str">
        <f t="shared" si="104"/>
        <v/>
      </c>
      <c r="AL298" s="941" t="str">
        <f t="shared" si="105"/>
        <v/>
      </c>
      <c r="AM298" s="941" t="str">
        <f t="shared" si="106"/>
        <v/>
      </c>
      <c r="AN298" s="941" t="str">
        <f t="shared" si="107"/>
        <v/>
      </c>
      <c r="AO298" s="941" t="str">
        <f t="shared" si="108"/>
        <v/>
      </c>
      <c r="AP298" s="895">
        <f>IF(AO298&lt;0,"No hi ha pèrdua",IFERROR(SUM(AA298:AO298)*'7. Erosió de costa'!$C$86/1000000,""))</f>
        <v>0</v>
      </c>
    </row>
    <row r="299" spans="1:42">
      <c r="A299" s="835">
        <v>8298</v>
      </c>
      <c r="B299" s="826" t="s">
        <v>815</v>
      </c>
      <c r="C299" s="835" t="str">
        <f t="shared" si="88"/>
        <v>NA</v>
      </c>
      <c r="D299" s="923" t="str">
        <f t="shared" si="89"/>
        <v>NA</v>
      </c>
      <c r="E299" s="931" t="str">
        <f t="shared" si="90"/>
        <v>NA</v>
      </c>
      <c r="F299" s="926" t="str">
        <f t="shared" si="91"/>
        <v>NA</v>
      </c>
      <c r="G299" s="923" t="str">
        <f t="shared" si="92"/>
        <v>NA</v>
      </c>
      <c r="H299" s="931" t="str">
        <f>IFERROR(IF((G299*'7. Erosió de costa'!$C$86/1000000)&lt;0,"guanya sorra",G299*'7. Erosió de costa'!$C$86/1000000),"")</f>
        <v/>
      </c>
      <c r="I299" s="937" t="str">
        <f>IFERROR(IF(('A. Dades de partida'!$D$10*G299*'7. Erosió de costa'!$C$86/1000000)&lt;0,"guanya sorra",'A. Dades de partida'!$D$10*G299*'7. Erosió de costa'!$C$86/1000000),"")</f>
        <v/>
      </c>
      <c r="J299" s="931" t="str">
        <f t="shared" si="87"/>
        <v>NA</v>
      </c>
      <c r="K299" s="931"/>
      <c r="L299" s="931"/>
      <c r="M299" s="931"/>
      <c r="N299" s="931"/>
      <c r="O299" s="931"/>
      <c r="P299" s="931"/>
      <c r="Q299" s="931"/>
      <c r="R299" s="931"/>
      <c r="S299" s="931"/>
      <c r="T299" s="931"/>
      <c r="U299" s="931"/>
      <c r="V299" s="931"/>
      <c r="W299" s="931"/>
      <c r="X299" s="931"/>
      <c r="Y299" s="931"/>
      <c r="Z299" s="941" t="str">
        <f t="shared" si="93"/>
        <v/>
      </c>
      <c r="AA299" s="941" t="str">
        <f t="shared" si="94"/>
        <v/>
      </c>
      <c r="AB299" s="941" t="str">
        <f t="shared" si="95"/>
        <v/>
      </c>
      <c r="AC299" s="941" t="str">
        <f t="shared" si="96"/>
        <v/>
      </c>
      <c r="AD299" s="941" t="str">
        <f t="shared" si="97"/>
        <v/>
      </c>
      <c r="AE299" s="941" t="str">
        <f t="shared" si="98"/>
        <v/>
      </c>
      <c r="AF299" s="941" t="str">
        <f t="shared" si="99"/>
        <v/>
      </c>
      <c r="AG299" s="941" t="str">
        <f t="shared" si="100"/>
        <v/>
      </c>
      <c r="AH299" s="941" t="str">
        <f t="shared" si="101"/>
        <v/>
      </c>
      <c r="AI299" s="941" t="str">
        <f t="shared" si="102"/>
        <v/>
      </c>
      <c r="AJ299" s="941" t="str">
        <f t="shared" si="103"/>
        <v/>
      </c>
      <c r="AK299" s="941" t="str">
        <f t="shared" si="104"/>
        <v/>
      </c>
      <c r="AL299" s="941" t="str">
        <f t="shared" si="105"/>
        <v/>
      </c>
      <c r="AM299" s="941" t="str">
        <f t="shared" si="106"/>
        <v/>
      </c>
      <c r="AN299" s="941" t="str">
        <f t="shared" si="107"/>
        <v/>
      </c>
      <c r="AO299" s="941" t="str">
        <f t="shared" si="108"/>
        <v/>
      </c>
      <c r="AP299" s="895">
        <f>IF(AO299&lt;0,"No hi ha pèrdua",IFERROR(SUM(AA299:AO299)*'7. Erosió de costa'!$C$86/1000000,""))</f>
        <v>0</v>
      </c>
    </row>
    <row r="300" spans="1:42">
      <c r="A300" s="835">
        <v>8299</v>
      </c>
      <c r="B300" s="826" t="s">
        <v>1708</v>
      </c>
      <c r="C300" s="835" t="str">
        <f t="shared" si="88"/>
        <v>NA</v>
      </c>
      <c r="D300" s="923" t="str">
        <f t="shared" si="89"/>
        <v>NA</v>
      </c>
      <c r="E300" s="931" t="str">
        <f t="shared" si="90"/>
        <v>NA</v>
      </c>
      <c r="F300" s="926" t="str">
        <f t="shared" si="91"/>
        <v>NA</v>
      </c>
      <c r="G300" s="923" t="str">
        <f t="shared" si="92"/>
        <v>NA</v>
      </c>
      <c r="H300" s="931" t="str">
        <f>IFERROR(IF((G300*'7. Erosió de costa'!$C$86/1000000)&lt;0,"guanya sorra",G300*'7. Erosió de costa'!$C$86/1000000),"")</f>
        <v/>
      </c>
      <c r="I300" s="937" t="str">
        <f>IFERROR(IF(('A. Dades de partida'!$D$10*G300*'7. Erosió de costa'!$C$86/1000000)&lt;0,"guanya sorra",'A. Dades de partida'!$D$10*G300*'7. Erosió de costa'!$C$86/1000000),"")</f>
        <v/>
      </c>
      <c r="J300" s="931" t="str">
        <f t="shared" si="87"/>
        <v>NA</v>
      </c>
      <c r="K300" s="931"/>
      <c r="L300" s="931"/>
      <c r="M300" s="931"/>
      <c r="N300" s="931"/>
      <c r="O300" s="931"/>
      <c r="P300" s="931"/>
      <c r="Q300" s="931"/>
      <c r="R300" s="931"/>
      <c r="S300" s="931"/>
      <c r="T300" s="931"/>
      <c r="U300" s="931"/>
      <c r="V300" s="931"/>
      <c r="W300" s="931"/>
      <c r="X300" s="931"/>
      <c r="Y300" s="931"/>
      <c r="Z300" s="941" t="str">
        <f t="shared" si="93"/>
        <v/>
      </c>
      <c r="AA300" s="941" t="str">
        <f t="shared" si="94"/>
        <v/>
      </c>
      <c r="AB300" s="941" t="str">
        <f t="shared" si="95"/>
        <v/>
      </c>
      <c r="AC300" s="941" t="str">
        <f t="shared" si="96"/>
        <v/>
      </c>
      <c r="AD300" s="941" t="str">
        <f t="shared" si="97"/>
        <v/>
      </c>
      <c r="AE300" s="941" t="str">
        <f t="shared" si="98"/>
        <v/>
      </c>
      <c r="AF300" s="941" t="str">
        <f t="shared" si="99"/>
        <v/>
      </c>
      <c r="AG300" s="941" t="str">
        <f t="shared" si="100"/>
        <v/>
      </c>
      <c r="AH300" s="941" t="str">
        <f t="shared" si="101"/>
        <v/>
      </c>
      <c r="AI300" s="941" t="str">
        <f t="shared" si="102"/>
        <v/>
      </c>
      <c r="AJ300" s="941" t="str">
        <f t="shared" si="103"/>
        <v/>
      </c>
      <c r="AK300" s="941" t="str">
        <f t="shared" si="104"/>
        <v/>
      </c>
      <c r="AL300" s="941" t="str">
        <f t="shared" si="105"/>
        <v/>
      </c>
      <c r="AM300" s="941" t="str">
        <f t="shared" si="106"/>
        <v/>
      </c>
      <c r="AN300" s="941" t="str">
        <f t="shared" si="107"/>
        <v/>
      </c>
      <c r="AO300" s="941" t="str">
        <f t="shared" si="108"/>
        <v/>
      </c>
      <c r="AP300" s="895">
        <f>IF(AO300&lt;0,"No hi ha pèrdua",IFERROR(SUM(AA300:AO300)*'7. Erosió de costa'!$C$86/1000000,""))</f>
        <v>0</v>
      </c>
    </row>
    <row r="301" spans="1:42">
      <c r="A301" s="835">
        <v>8300</v>
      </c>
      <c r="B301" s="826" t="s">
        <v>1710</v>
      </c>
      <c r="C301" s="835" t="str">
        <f t="shared" si="88"/>
        <v>NA</v>
      </c>
      <c r="D301" s="923" t="str">
        <f t="shared" si="89"/>
        <v>NA</v>
      </c>
      <c r="E301" s="931" t="str">
        <f t="shared" si="90"/>
        <v>NA</v>
      </c>
      <c r="F301" s="926" t="str">
        <f t="shared" si="91"/>
        <v>NA</v>
      </c>
      <c r="G301" s="923" t="str">
        <f t="shared" si="92"/>
        <v>NA</v>
      </c>
      <c r="H301" s="931" t="str">
        <f>IFERROR(IF((G301*'7. Erosió de costa'!$C$86/1000000)&lt;0,"guanya sorra",G301*'7. Erosió de costa'!$C$86/1000000),"")</f>
        <v/>
      </c>
      <c r="I301" s="937" t="str">
        <f>IFERROR(IF(('A. Dades de partida'!$D$10*G301*'7. Erosió de costa'!$C$86/1000000)&lt;0,"guanya sorra",'A. Dades de partida'!$D$10*G301*'7. Erosió de costa'!$C$86/1000000),"")</f>
        <v/>
      </c>
      <c r="J301" s="931" t="str">
        <f t="shared" si="87"/>
        <v>NA</v>
      </c>
      <c r="K301" s="931"/>
      <c r="L301" s="931"/>
      <c r="M301" s="931"/>
      <c r="N301" s="931"/>
      <c r="O301" s="931"/>
      <c r="P301" s="931"/>
      <c r="Q301" s="931"/>
      <c r="R301" s="931"/>
      <c r="S301" s="931"/>
      <c r="T301" s="931"/>
      <c r="U301" s="931"/>
      <c r="V301" s="931"/>
      <c r="W301" s="931"/>
      <c r="X301" s="931"/>
      <c r="Y301" s="931"/>
      <c r="Z301" s="941" t="str">
        <f t="shared" si="93"/>
        <v/>
      </c>
      <c r="AA301" s="941" t="str">
        <f t="shared" si="94"/>
        <v/>
      </c>
      <c r="AB301" s="941" t="str">
        <f t="shared" si="95"/>
        <v/>
      </c>
      <c r="AC301" s="941" t="str">
        <f t="shared" si="96"/>
        <v/>
      </c>
      <c r="AD301" s="941" t="str">
        <f t="shared" si="97"/>
        <v/>
      </c>
      <c r="AE301" s="941" t="str">
        <f t="shared" si="98"/>
        <v/>
      </c>
      <c r="AF301" s="941" t="str">
        <f t="shared" si="99"/>
        <v/>
      </c>
      <c r="AG301" s="941" t="str">
        <f t="shared" si="100"/>
        <v/>
      </c>
      <c r="AH301" s="941" t="str">
        <f t="shared" si="101"/>
        <v/>
      </c>
      <c r="AI301" s="941" t="str">
        <f t="shared" si="102"/>
        <v/>
      </c>
      <c r="AJ301" s="941" t="str">
        <f t="shared" si="103"/>
        <v/>
      </c>
      <c r="AK301" s="941" t="str">
        <f t="shared" si="104"/>
        <v/>
      </c>
      <c r="AL301" s="941" t="str">
        <f t="shared" si="105"/>
        <v/>
      </c>
      <c r="AM301" s="941" t="str">
        <f t="shared" si="106"/>
        <v/>
      </c>
      <c r="AN301" s="941" t="str">
        <f t="shared" si="107"/>
        <v/>
      </c>
      <c r="AO301" s="941" t="str">
        <f t="shared" si="108"/>
        <v/>
      </c>
      <c r="AP301" s="895">
        <f>IF(AO301&lt;0,"No hi ha pèrdua",IFERROR(SUM(AA301:AO301)*'7. Erosió de costa'!$C$86/1000000,""))</f>
        <v>0</v>
      </c>
    </row>
    <row r="302" spans="1:42" ht="30">
      <c r="A302" s="835">
        <v>8301</v>
      </c>
      <c r="B302" s="826" t="s">
        <v>357</v>
      </c>
      <c r="C302" s="835">
        <f t="shared" si="88"/>
        <v>8</v>
      </c>
      <c r="D302" s="923">
        <f t="shared" si="89"/>
        <v>2480</v>
      </c>
      <c r="E302" s="931">
        <f t="shared" si="90"/>
        <v>0.54</v>
      </c>
      <c r="F302" s="926">
        <f t="shared" si="91"/>
        <v>8.1275720164609062</v>
      </c>
      <c r="G302" s="923">
        <f t="shared" si="92"/>
        <v>-10884.444444444445</v>
      </c>
      <c r="H302" s="931" t="str">
        <f>IFERROR(IF((G302*'7. Erosió de costa'!$C$86/1000000)&lt;0,"guanya sorra",G302*'7. Erosió de costa'!$C$86/1000000),"")</f>
        <v>guanya sorra</v>
      </c>
      <c r="I302" s="937" t="str">
        <f>IFERROR(IF(('A. Dades de partida'!$D$10*G302*'7. Erosió de costa'!$C$86/1000000)&lt;0,"guanya sorra",'A. Dades de partida'!$D$10*G302*'7. Erosió de costa'!$C$86/1000000),"")</f>
        <v>guanya sorra</v>
      </c>
      <c r="J302" s="931">
        <f>E302</f>
        <v>0.54</v>
      </c>
      <c r="K302" s="931">
        <f>IF($J302&gt;0, $J302-($J302*'7. Erosió de costa'!D$140*'7. Erosió de costa'!$D$111),$J302+($J302*'7. Erosió de costa'!D$140*'7. Erosió de costa'!$D$111))</f>
        <v>0.52959502262443447</v>
      </c>
      <c r="L302" s="931">
        <f>IF($J302&gt;0, $J302-($J302*'7. Erosió de costa'!E$140*'7. Erosió de costa'!$D$111),$J302+($J302*'7. Erosió de costa'!E$140*'7. Erosió de costa'!$D$111))</f>
        <v>0.5191900452488688</v>
      </c>
      <c r="M302" s="931">
        <f>IF($J302&gt;0, $J302-($J302*'7. Erosió de costa'!F$140*'7. Erosió de costa'!$D$111),$J302+($J302*'7. Erosió de costa'!F$140*'7. Erosió de costa'!$D$111))</f>
        <v>0.50878506787330324</v>
      </c>
      <c r="N302" s="931">
        <f>IF($J302&gt;0, $J302-($J302*'7. Erosió de costa'!G$140*'7. Erosió de costa'!$D$111),$J302+($J302*'7. Erosió de costa'!G$140*'7. Erosió de costa'!$D$111))</f>
        <v>0.49838009049773757</v>
      </c>
      <c r="O302" s="931">
        <f>IF($J302&gt;0, $J302-($J302*'7. Erosió de costa'!H$140*'7. Erosió de costa'!$D$111),$J302+($J302*'7. Erosió de costa'!H$140*'7. Erosió de costa'!$D$111))</f>
        <v>0.48797511312217196</v>
      </c>
      <c r="P302" s="931">
        <f>IF($J302&gt;0, $J302-($J302*'7. Erosió de costa'!I$140*'7. Erosió de costa'!$D$111),$J302+($J302*'7. Erosió de costa'!I$140*'7. Erosió de costa'!$D$111))</f>
        <v>0.47757013574660639</v>
      </c>
      <c r="Q302" s="931">
        <f>IF($J302&gt;0, $J302-($J302*'7. Erosió de costa'!J$140*'7. Erosió de costa'!$D$111),$J302+($J302*'7. Erosió de costa'!J$140*'7. Erosió de costa'!$D$111))</f>
        <v>0.46716515837104078</v>
      </c>
      <c r="R302" s="931">
        <f>IF($J302&gt;0, $J302-($J302*'7. Erosió de costa'!K$140*'7. Erosió de costa'!$D$111),$J302+($J302*'7. Erosió de costa'!K$140*'7. Erosió de costa'!$D$111))</f>
        <v>0.45676018099547516</v>
      </c>
      <c r="S302" s="931">
        <f>IF($J302&gt;0, $J302-($J302*'7. Erosió de costa'!L$140*'7. Erosió de costa'!$D$111),$J302+($J302*'7. Erosió de costa'!L$140*'7. Erosió de costa'!$D$111))</f>
        <v>0.44635520361990955</v>
      </c>
      <c r="T302" s="931">
        <f>IF($J302&gt;0, $J302-($J302*'7. Erosió de costa'!M$140*'7. Erosió de costa'!$D$111),$J302+($J302*'7. Erosió de costa'!M$140*'7. Erosió de costa'!$D$111))</f>
        <v>0.43595022624434393</v>
      </c>
      <c r="U302" s="931">
        <f>IF($J302&gt;0, $J302-($J302*'7. Erosió de costa'!N$140*'7. Erosió de costa'!$D$111),$J302+($J302*'7. Erosió de costa'!N$140*'7. Erosió de costa'!$D$111))</f>
        <v>0.42554524886877831</v>
      </c>
      <c r="V302" s="931">
        <f>IF($J302&gt;0, $J302-($J302*'7. Erosió de costa'!O$140*'7. Erosió de costa'!$D$111),$J302+($J302*'7. Erosió de costa'!O$140*'7. Erosió de costa'!$D$111))</f>
        <v>0.4151402714932127</v>
      </c>
      <c r="W302" s="931">
        <f>IF($J302&gt;0, $J302-($J302*'7. Erosió de costa'!P$140*'7. Erosió de costa'!$D$111),$J302+($J302*'7. Erosió de costa'!P$140*'7. Erosió de costa'!$D$111))</f>
        <v>0.40473529411764708</v>
      </c>
      <c r="X302" s="931">
        <f>IF($J302&gt;0, $J302-($J302*'7. Erosió de costa'!Q$140*'7. Erosió de costa'!$D$111),$J302+($J302*'7. Erosió de costa'!Q$140*'7. Erosió de costa'!$D$111))</f>
        <v>0.39433031674208152</v>
      </c>
      <c r="Y302" s="931">
        <f>IF($J302&gt;0, $J302-($J302*'7. Erosió de costa'!R$140*'7. Erosió de costa'!$D$111),$J302+($J302*'7. Erosió de costa'!R$140*'7. Erosió de costa'!$D$111))</f>
        <v>0.38392533936651585</v>
      </c>
      <c r="Z302" s="941">
        <f t="shared" si="93"/>
        <v>-10884.444444444445</v>
      </c>
      <c r="AA302" s="941">
        <f t="shared" si="94"/>
        <v>-10674.717781129548</v>
      </c>
      <c r="AB302" s="941">
        <f t="shared" si="95"/>
        <v>-10464.991117814649</v>
      </c>
      <c r="AC302" s="941">
        <f t="shared" si="96"/>
        <v>-10255.264454499751</v>
      </c>
      <c r="AD302" s="941">
        <f t="shared" si="97"/>
        <v>-10045.537791184852</v>
      </c>
      <c r="AE302" s="941">
        <f t="shared" si="98"/>
        <v>-9835.8111278699525</v>
      </c>
      <c r="AF302" s="941">
        <f t="shared" si="99"/>
        <v>-9626.0844645550551</v>
      </c>
      <c r="AG302" s="941">
        <f t="shared" si="100"/>
        <v>-9416.3578012401576</v>
      </c>
      <c r="AH302" s="941">
        <f t="shared" si="101"/>
        <v>-9206.6311379252566</v>
      </c>
      <c r="AI302" s="941">
        <f t="shared" si="102"/>
        <v>-8996.9044746103591</v>
      </c>
      <c r="AJ302" s="941">
        <f t="shared" si="103"/>
        <v>-8787.1778112954598</v>
      </c>
      <c r="AK302" s="941">
        <f t="shared" si="104"/>
        <v>-8577.4511479805606</v>
      </c>
      <c r="AL302" s="941">
        <f t="shared" si="105"/>
        <v>-8367.7244846656631</v>
      </c>
      <c r="AM302" s="941">
        <f t="shared" si="106"/>
        <v>-8157.9978213507638</v>
      </c>
      <c r="AN302" s="941">
        <f t="shared" si="107"/>
        <v>-7948.2711580358655</v>
      </c>
      <c r="AO302" s="941">
        <f t="shared" si="108"/>
        <v>-7738.5444947209662</v>
      </c>
      <c r="AP302" s="895" t="str">
        <f>IF(AO302&lt;0,"No hi ha pèrdua",IFERROR(SUM(AA302:AO302)*'7. Erosió de costa'!$C$86/1000000,""))</f>
        <v>No hi ha pèrdua</v>
      </c>
    </row>
    <row r="303" spans="1:42">
      <c r="A303" s="835">
        <v>8302</v>
      </c>
      <c r="B303" s="826" t="s">
        <v>1718</v>
      </c>
      <c r="C303" s="835" t="str">
        <f t="shared" si="88"/>
        <v>NA</v>
      </c>
      <c r="D303" s="923" t="str">
        <f t="shared" si="89"/>
        <v>NA</v>
      </c>
      <c r="E303" s="931" t="str">
        <f t="shared" si="90"/>
        <v>NA</v>
      </c>
      <c r="F303" s="926" t="str">
        <f t="shared" si="91"/>
        <v>NA</v>
      </c>
      <c r="G303" s="923" t="str">
        <f t="shared" si="92"/>
        <v>NA</v>
      </c>
      <c r="H303" s="931" t="str">
        <f>IFERROR(IF((G303*'7. Erosió de costa'!$C$86/1000000)&lt;0,"guanya sorra",G303*'7. Erosió de costa'!$C$86/1000000),"")</f>
        <v/>
      </c>
      <c r="I303" s="937" t="str">
        <f>IFERROR(IF(('A. Dades de partida'!$D$10*G303*'7. Erosió de costa'!$C$86/1000000)&lt;0,"guanya sorra",'A. Dades de partida'!$D$10*G303*'7. Erosió de costa'!$C$86/1000000),"")</f>
        <v/>
      </c>
      <c r="J303" s="931"/>
      <c r="K303" s="931"/>
      <c r="L303" s="931"/>
      <c r="M303" s="931"/>
      <c r="N303" s="931"/>
      <c r="O303" s="931"/>
      <c r="P303" s="931"/>
      <c r="Q303" s="931"/>
      <c r="R303" s="931"/>
      <c r="S303" s="931"/>
      <c r="T303" s="931"/>
      <c r="U303" s="931"/>
      <c r="V303" s="931"/>
      <c r="W303" s="931"/>
      <c r="X303" s="931"/>
      <c r="Y303" s="931"/>
      <c r="Z303" s="941" t="str">
        <f t="shared" si="93"/>
        <v/>
      </c>
      <c r="AA303" s="941" t="str">
        <f t="shared" si="94"/>
        <v/>
      </c>
      <c r="AB303" s="941" t="str">
        <f t="shared" si="95"/>
        <v/>
      </c>
      <c r="AC303" s="941" t="str">
        <f t="shared" si="96"/>
        <v/>
      </c>
      <c r="AD303" s="941" t="str">
        <f t="shared" si="97"/>
        <v/>
      </c>
      <c r="AE303" s="941" t="str">
        <f t="shared" si="98"/>
        <v/>
      </c>
      <c r="AF303" s="941" t="str">
        <f t="shared" si="99"/>
        <v/>
      </c>
      <c r="AG303" s="941" t="str">
        <f t="shared" si="100"/>
        <v/>
      </c>
      <c r="AH303" s="941" t="str">
        <f t="shared" si="101"/>
        <v/>
      </c>
      <c r="AI303" s="941" t="str">
        <f t="shared" si="102"/>
        <v/>
      </c>
      <c r="AJ303" s="941" t="str">
        <f t="shared" si="103"/>
        <v/>
      </c>
      <c r="AK303" s="941" t="str">
        <f t="shared" si="104"/>
        <v/>
      </c>
      <c r="AL303" s="941" t="str">
        <f t="shared" si="105"/>
        <v/>
      </c>
      <c r="AM303" s="941" t="str">
        <f t="shared" si="106"/>
        <v/>
      </c>
      <c r="AN303" s="941" t="str">
        <f t="shared" si="107"/>
        <v/>
      </c>
      <c r="AO303" s="941" t="str">
        <f t="shared" si="108"/>
        <v/>
      </c>
      <c r="AP303" s="895">
        <f>IF(AO303&lt;0,"No hi ha pèrdua",IFERROR(SUM(AA303:AO303)*'7. Erosió de costa'!$C$86/1000000,""))</f>
        <v>0</v>
      </c>
    </row>
    <row r="304" spans="1:42">
      <c r="A304" s="835">
        <v>8303</v>
      </c>
      <c r="B304" s="826" t="s">
        <v>1722</v>
      </c>
      <c r="C304" s="835" t="str">
        <f t="shared" si="88"/>
        <v>NA</v>
      </c>
      <c r="D304" s="923" t="str">
        <f t="shared" si="89"/>
        <v>NA</v>
      </c>
      <c r="E304" s="931" t="str">
        <f t="shared" si="90"/>
        <v>NA</v>
      </c>
      <c r="F304" s="926" t="str">
        <f t="shared" si="91"/>
        <v>NA</v>
      </c>
      <c r="G304" s="923" t="str">
        <f t="shared" si="92"/>
        <v>NA</v>
      </c>
      <c r="H304" s="931" t="str">
        <f>IFERROR(IF((G304*'7. Erosió de costa'!$C$86/1000000)&lt;0,"guanya sorra",G304*'7. Erosió de costa'!$C$86/1000000),"")</f>
        <v/>
      </c>
      <c r="I304" s="937" t="str">
        <f>IFERROR(IF(('A. Dades de partida'!$D$10*G304*'7. Erosió de costa'!$C$86/1000000)&lt;0,"guanya sorra",'A. Dades de partida'!$D$10*G304*'7. Erosió de costa'!$C$86/1000000),"")</f>
        <v/>
      </c>
      <c r="J304" s="931"/>
      <c r="K304" s="931"/>
      <c r="L304" s="931"/>
      <c r="M304" s="931"/>
      <c r="N304" s="931"/>
      <c r="O304" s="931"/>
      <c r="P304" s="931"/>
      <c r="Q304" s="931"/>
      <c r="R304" s="931"/>
      <c r="S304" s="931"/>
      <c r="T304" s="931"/>
      <c r="U304" s="931"/>
      <c r="V304" s="931"/>
      <c r="W304" s="931"/>
      <c r="X304" s="931"/>
      <c r="Y304" s="931"/>
      <c r="Z304" s="941" t="str">
        <f t="shared" si="93"/>
        <v/>
      </c>
      <c r="AA304" s="941" t="str">
        <f t="shared" si="94"/>
        <v/>
      </c>
      <c r="AB304" s="941" t="str">
        <f t="shared" si="95"/>
        <v/>
      </c>
      <c r="AC304" s="941" t="str">
        <f t="shared" si="96"/>
        <v/>
      </c>
      <c r="AD304" s="941" t="str">
        <f t="shared" si="97"/>
        <v/>
      </c>
      <c r="AE304" s="941" t="str">
        <f t="shared" si="98"/>
        <v/>
      </c>
      <c r="AF304" s="941" t="str">
        <f t="shared" si="99"/>
        <v/>
      </c>
      <c r="AG304" s="941" t="str">
        <f t="shared" si="100"/>
        <v/>
      </c>
      <c r="AH304" s="941" t="str">
        <f t="shared" si="101"/>
        <v/>
      </c>
      <c r="AI304" s="941" t="str">
        <f t="shared" si="102"/>
        <v/>
      </c>
      <c r="AJ304" s="941" t="str">
        <f t="shared" si="103"/>
        <v/>
      </c>
      <c r="AK304" s="941" t="str">
        <f t="shared" si="104"/>
        <v/>
      </c>
      <c r="AL304" s="941" t="str">
        <f t="shared" si="105"/>
        <v/>
      </c>
      <c r="AM304" s="941" t="str">
        <f t="shared" si="106"/>
        <v/>
      </c>
      <c r="AN304" s="941" t="str">
        <f t="shared" si="107"/>
        <v/>
      </c>
      <c r="AO304" s="941" t="str">
        <f t="shared" si="108"/>
        <v/>
      </c>
      <c r="AP304" s="895">
        <f>IF(AO304&lt;0,"No hi ha pèrdua",IFERROR(SUM(AA304:AO304)*'7. Erosió de costa'!$C$86/1000000,""))</f>
        <v>0</v>
      </c>
    </row>
    <row r="305" spans="1:42">
      <c r="A305" s="835">
        <v>8304</v>
      </c>
      <c r="B305" s="826" t="s">
        <v>1728</v>
      </c>
      <c r="C305" s="835" t="str">
        <f t="shared" si="88"/>
        <v>NA</v>
      </c>
      <c r="D305" s="923" t="str">
        <f t="shared" si="89"/>
        <v>NA</v>
      </c>
      <c r="E305" s="931" t="str">
        <f t="shared" si="90"/>
        <v>NA</v>
      </c>
      <c r="F305" s="926" t="str">
        <f t="shared" si="91"/>
        <v>NA</v>
      </c>
      <c r="G305" s="923" t="str">
        <f t="shared" si="92"/>
        <v>NA</v>
      </c>
      <c r="H305" s="931" t="str">
        <f>IFERROR(IF((G305*'7. Erosió de costa'!$C$86/1000000)&lt;0,"guanya sorra",G305*'7. Erosió de costa'!$C$86/1000000),"")</f>
        <v/>
      </c>
      <c r="I305" s="937" t="str">
        <f>IFERROR(IF(('A. Dades de partida'!$D$10*G305*'7. Erosió de costa'!$C$86/1000000)&lt;0,"guanya sorra",'A. Dades de partida'!$D$10*G305*'7. Erosió de costa'!$C$86/1000000),"")</f>
        <v/>
      </c>
      <c r="J305" s="931"/>
      <c r="K305" s="931"/>
      <c r="L305" s="931"/>
      <c r="M305" s="931"/>
      <c r="N305" s="931"/>
      <c r="O305" s="931"/>
      <c r="P305" s="931"/>
      <c r="Q305" s="931"/>
      <c r="R305" s="931"/>
      <c r="S305" s="931"/>
      <c r="T305" s="931"/>
      <c r="U305" s="931"/>
      <c r="V305" s="931"/>
      <c r="W305" s="931"/>
      <c r="X305" s="931"/>
      <c r="Y305" s="931"/>
      <c r="Z305" s="941" t="str">
        <f t="shared" si="93"/>
        <v/>
      </c>
      <c r="AA305" s="941" t="str">
        <f t="shared" si="94"/>
        <v/>
      </c>
      <c r="AB305" s="941" t="str">
        <f t="shared" si="95"/>
        <v/>
      </c>
      <c r="AC305" s="941" t="str">
        <f t="shared" si="96"/>
        <v/>
      </c>
      <c r="AD305" s="941" t="str">
        <f t="shared" si="97"/>
        <v/>
      </c>
      <c r="AE305" s="941" t="str">
        <f t="shared" si="98"/>
        <v/>
      </c>
      <c r="AF305" s="941" t="str">
        <f t="shared" si="99"/>
        <v/>
      </c>
      <c r="AG305" s="941" t="str">
        <f t="shared" si="100"/>
        <v/>
      </c>
      <c r="AH305" s="941" t="str">
        <f t="shared" si="101"/>
        <v/>
      </c>
      <c r="AI305" s="941" t="str">
        <f t="shared" si="102"/>
        <v/>
      </c>
      <c r="AJ305" s="941" t="str">
        <f t="shared" si="103"/>
        <v/>
      </c>
      <c r="AK305" s="941" t="str">
        <f t="shared" si="104"/>
        <v/>
      </c>
      <c r="AL305" s="941" t="str">
        <f t="shared" si="105"/>
        <v/>
      </c>
      <c r="AM305" s="941" t="str">
        <f t="shared" si="106"/>
        <v/>
      </c>
      <c r="AN305" s="941" t="str">
        <f t="shared" si="107"/>
        <v/>
      </c>
      <c r="AO305" s="941" t="str">
        <f t="shared" si="108"/>
        <v/>
      </c>
      <c r="AP305" s="895">
        <f>IF(AO305&lt;0,"No hi ha pèrdua",IFERROR(SUM(AA305:AO305)*'7. Erosió de costa'!$C$86/1000000,""))</f>
        <v>0</v>
      </c>
    </row>
    <row r="306" spans="1:42">
      <c r="A306" s="835">
        <v>8305</v>
      </c>
      <c r="B306" s="826" t="s">
        <v>1729</v>
      </c>
      <c r="C306" s="835" t="str">
        <f t="shared" si="88"/>
        <v>NA</v>
      </c>
      <c r="D306" s="923" t="str">
        <f t="shared" si="89"/>
        <v>NA</v>
      </c>
      <c r="E306" s="931" t="str">
        <f t="shared" si="90"/>
        <v>NA</v>
      </c>
      <c r="F306" s="926" t="str">
        <f t="shared" si="91"/>
        <v>NA</v>
      </c>
      <c r="G306" s="923" t="str">
        <f t="shared" si="92"/>
        <v>NA</v>
      </c>
      <c r="H306" s="931" t="str">
        <f>IFERROR(IF((G306*'7. Erosió de costa'!$C$86/1000000)&lt;0,"guanya sorra",G306*'7. Erosió de costa'!$C$86/1000000),"")</f>
        <v/>
      </c>
      <c r="I306" s="937" t="str">
        <f>IFERROR(IF(('A. Dades de partida'!$D$10*G306*'7. Erosió de costa'!$C$86/1000000)&lt;0,"guanya sorra",'A. Dades de partida'!$D$10*G306*'7. Erosió de costa'!$C$86/1000000),"")</f>
        <v/>
      </c>
      <c r="J306" s="931"/>
      <c r="K306" s="931"/>
      <c r="L306" s="931"/>
      <c r="M306" s="931"/>
      <c r="N306" s="931"/>
      <c r="O306" s="931"/>
      <c r="P306" s="931"/>
      <c r="Q306" s="931"/>
      <c r="R306" s="931"/>
      <c r="S306" s="931"/>
      <c r="T306" s="931"/>
      <c r="U306" s="931"/>
      <c r="V306" s="931"/>
      <c r="W306" s="931"/>
      <c r="X306" s="931"/>
      <c r="Y306" s="931"/>
      <c r="Z306" s="941" t="str">
        <f t="shared" si="93"/>
        <v/>
      </c>
      <c r="AA306" s="941" t="str">
        <f t="shared" si="94"/>
        <v/>
      </c>
      <c r="AB306" s="941" t="str">
        <f t="shared" si="95"/>
        <v/>
      </c>
      <c r="AC306" s="941" t="str">
        <f t="shared" si="96"/>
        <v/>
      </c>
      <c r="AD306" s="941" t="str">
        <f t="shared" si="97"/>
        <v/>
      </c>
      <c r="AE306" s="941" t="str">
        <f t="shared" si="98"/>
        <v/>
      </c>
      <c r="AF306" s="941" t="str">
        <f t="shared" si="99"/>
        <v/>
      </c>
      <c r="AG306" s="941" t="str">
        <f t="shared" si="100"/>
        <v/>
      </c>
      <c r="AH306" s="941" t="str">
        <f t="shared" si="101"/>
        <v/>
      </c>
      <c r="AI306" s="941" t="str">
        <f t="shared" si="102"/>
        <v/>
      </c>
      <c r="AJ306" s="941" t="str">
        <f t="shared" si="103"/>
        <v/>
      </c>
      <c r="AK306" s="941" t="str">
        <f t="shared" si="104"/>
        <v/>
      </c>
      <c r="AL306" s="941" t="str">
        <f t="shared" si="105"/>
        <v/>
      </c>
      <c r="AM306" s="941" t="str">
        <f t="shared" si="106"/>
        <v/>
      </c>
      <c r="AN306" s="941" t="str">
        <f t="shared" si="107"/>
        <v/>
      </c>
      <c r="AO306" s="941" t="str">
        <f t="shared" si="108"/>
        <v/>
      </c>
      <c r="AP306" s="895">
        <f>IF(AO306&lt;0,"No hi ha pèrdua",IFERROR(SUM(AA306:AO306)*'7. Erosió de costa'!$C$86/1000000,""))</f>
        <v>0</v>
      </c>
    </row>
    <row r="307" spans="1:42">
      <c r="A307" s="835">
        <v>8306</v>
      </c>
      <c r="B307" s="826" t="s">
        <v>1730</v>
      </c>
      <c r="C307" s="835" t="str">
        <f t="shared" si="88"/>
        <v>NA</v>
      </c>
      <c r="D307" s="923" t="str">
        <f t="shared" si="89"/>
        <v>NA</v>
      </c>
      <c r="E307" s="931" t="str">
        <f t="shared" si="90"/>
        <v>NA</v>
      </c>
      <c r="F307" s="926" t="str">
        <f t="shared" si="91"/>
        <v>NA</v>
      </c>
      <c r="G307" s="923" t="str">
        <f t="shared" si="92"/>
        <v>NA</v>
      </c>
      <c r="H307" s="931" t="str">
        <f>IFERROR(IF((G307*'7. Erosió de costa'!$C$86/1000000)&lt;0,"guanya sorra",G307*'7. Erosió de costa'!$C$86/1000000),"")</f>
        <v/>
      </c>
      <c r="I307" s="937" t="str">
        <f>IFERROR(IF(('A. Dades de partida'!$D$10*G307*'7. Erosió de costa'!$C$86/1000000)&lt;0,"guanya sorra",'A. Dades de partida'!$D$10*G307*'7. Erosió de costa'!$C$86/1000000),"")</f>
        <v/>
      </c>
      <c r="J307" s="931"/>
      <c r="K307" s="931"/>
      <c r="L307" s="931"/>
      <c r="M307" s="931"/>
      <c r="N307" s="931"/>
      <c r="O307" s="931"/>
      <c r="P307" s="931"/>
      <c r="Q307" s="931"/>
      <c r="R307" s="931"/>
      <c r="S307" s="931"/>
      <c r="T307" s="931"/>
      <c r="U307" s="931"/>
      <c r="V307" s="931"/>
      <c r="W307" s="931"/>
      <c r="X307" s="931"/>
      <c r="Y307" s="931"/>
      <c r="Z307" s="941" t="str">
        <f t="shared" si="93"/>
        <v/>
      </c>
      <c r="AA307" s="941" t="str">
        <f t="shared" si="94"/>
        <v/>
      </c>
      <c r="AB307" s="941" t="str">
        <f t="shared" si="95"/>
        <v/>
      </c>
      <c r="AC307" s="941" t="str">
        <f t="shared" si="96"/>
        <v/>
      </c>
      <c r="AD307" s="941" t="str">
        <f t="shared" si="97"/>
        <v/>
      </c>
      <c r="AE307" s="941" t="str">
        <f t="shared" si="98"/>
        <v/>
      </c>
      <c r="AF307" s="941" t="str">
        <f t="shared" si="99"/>
        <v/>
      </c>
      <c r="AG307" s="941" t="str">
        <f t="shared" si="100"/>
        <v/>
      </c>
      <c r="AH307" s="941" t="str">
        <f t="shared" si="101"/>
        <v/>
      </c>
      <c r="AI307" s="941" t="str">
        <f t="shared" si="102"/>
        <v/>
      </c>
      <c r="AJ307" s="941" t="str">
        <f t="shared" si="103"/>
        <v/>
      </c>
      <c r="AK307" s="941" t="str">
        <f t="shared" si="104"/>
        <v/>
      </c>
      <c r="AL307" s="941" t="str">
        <f t="shared" si="105"/>
        <v/>
      </c>
      <c r="AM307" s="941" t="str">
        <f t="shared" si="106"/>
        <v/>
      </c>
      <c r="AN307" s="941" t="str">
        <f t="shared" si="107"/>
        <v/>
      </c>
      <c r="AO307" s="941" t="str">
        <f t="shared" si="108"/>
        <v/>
      </c>
      <c r="AP307" s="895">
        <f>IF(AO307&lt;0,"No hi ha pèrdua",IFERROR(SUM(AA307:AO307)*'7. Erosió de costa'!$C$86/1000000,""))</f>
        <v>0</v>
      </c>
    </row>
    <row r="308" spans="1:42">
      <c r="A308" s="835">
        <v>8307</v>
      </c>
      <c r="B308" s="826" t="s">
        <v>358</v>
      </c>
      <c r="C308" s="835">
        <f t="shared" si="88"/>
        <v>7</v>
      </c>
      <c r="D308" s="923">
        <f t="shared" si="89"/>
        <v>3435</v>
      </c>
      <c r="E308" s="931">
        <f t="shared" si="90"/>
        <v>-0.01</v>
      </c>
      <c r="F308" s="926">
        <f t="shared" si="91"/>
        <v>10.309278350515465</v>
      </c>
      <c r="G308" s="923">
        <f t="shared" si="92"/>
        <v>354.12371134020623</v>
      </c>
      <c r="H308" s="931">
        <f>IFERROR(IF((G308*'7. Erosió de costa'!$C$86/1000000)&lt;0,"guanya sorra",G308*'7. Erosió de costa'!$C$86/1000000),"")</f>
        <v>1.1686082474226806E-2</v>
      </c>
      <c r="I308" s="937">
        <f>IFERROR(IF(('A. Dades de partida'!$D$10*G308*'7. Erosió de costa'!$C$86/1000000)&lt;0,"guanya sorra",'A. Dades de partida'!$D$10*G308*'7. Erosió de costa'!$C$86/1000000),"")</f>
        <v>0.17529123711340211</v>
      </c>
      <c r="J308" s="931">
        <f>E308</f>
        <v>-0.01</v>
      </c>
      <c r="K308" s="931">
        <f>IF($J308&gt;0, $J308-($J308*'7. Erosió de costa'!D$140*'7. Erosió de costa'!$D$111),$J308+($J308*'7. Erosió de costa'!D$140*'7. Erosió de costa'!$D$111))</f>
        <v>-1.0192684766214178E-2</v>
      </c>
      <c r="L308" s="931">
        <f>IF($J308&gt;0, $J308-($J308*'7. Erosió de costa'!E$140*'7. Erosió de costa'!$D$111),$J308+($J308*'7. Erosió de costa'!E$140*'7. Erosió de costa'!$D$111))</f>
        <v>-1.0385369532428357E-2</v>
      </c>
      <c r="M308" s="931">
        <f>IF($J308&gt;0, $J308-($J308*'7. Erosió de costa'!F$140*'7. Erosió de costa'!$D$111),$J308+($J308*'7. Erosió de costa'!F$140*'7. Erosió de costa'!$D$111))</f>
        <v>-1.0578054298642534E-2</v>
      </c>
      <c r="N308" s="931">
        <f>IF($J308&gt;0, $J308-($J308*'7. Erosió de costa'!G$140*'7. Erosió de costa'!$D$111),$J308+($J308*'7. Erosió de costa'!G$140*'7. Erosió de costa'!$D$111))</f>
        <v>-1.0770739064856712E-2</v>
      </c>
      <c r="O308" s="931">
        <f>IF($J308&gt;0, $J308-($J308*'7. Erosió de costa'!H$140*'7. Erosió de costa'!$D$111),$J308+($J308*'7. Erosió de costa'!H$140*'7. Erosió de costa'!$D$111))</f>
        <v>-1.0963423831070889E-2</v>
      </c>
      <c r="P308" s="931">
        <f>IF($J308&gt;0, $J308-($J308*'7. Erosió de costa'!I$140*'7. Erosió de costa'!$D$111),$J308+($J308*'7. Erosió de costa'!I$140*'7. Erosió de costa'!$D$111))</f>
        <v>-1.1156108597285068E-2</v>
      </c>
      <c r="Q308" s="931">
        <f>IF($J308&gt;0, $J308-($J308*'7. Erosió de costa'!J$140*'7. Erosió de costa'!$D$111),$J308+($J308*'7. Erosió de costa'!J$140*'7. Erosió de costa'!$D$111))</f>
        <v>-1.1348793363499246E-2</v>
      </c>
      <c r="R308" s="931">
        <f>IF($J308&gt;0, $J308-($J308*'7. Erosió de costa'!K$140*'7. Erosió de costa'!$D$111),$J308+($J308*'7. Erosió de costa'!K$140*'7. Erosió de costa'!$D$111))</f>
        <v>-1.1541478129713425E-2</v>
      </c>
      <c r="S308" s="931">
        <f>IF($J308&gt;0, $J308-($J308*'7. Erosió de costa'!L$140*'7. Erosió de costa'!$D$111),$J308+($J308*'7. Erosió de costa'!L$140*'7. Erosió de costa'!$D$111))</f>
        <v>-1.1734162895927602E-2</v>
      </c>
      <c r="T308" s="931">
        <f>IF($J308&gt;0, $J308-($J308*'7. Erosió de costa'!M$140*'7. Erosió de costa'!$D$111),$J308+($J308*'7. Erosió de costa'!M$140*'7. Erosió de costa'!$D$111))</f>
        <v>-1.192684766214178E-2</v>
      </c>
      <c r="U308" s="931">
        <f>IF($J308&gt;0, $J308-($J308*'7. Erosió de costa'!N$140*'7. Erosió de costa'!$D$111),$J308+($J308*'7. Erosió de costa'!N$140*'7. Erosió de costa'!$D$111))</f>
        <v>-1.2119532428355957E-2</v>
      </c>
      <c r="V308" s="931">
        <f>IF($J308&gt;0, $J308-($J308*'7. Erosió de costa'!O$140*'7. Erosió de costa'!$D$111),$J308+($J308*'7. Erosió de costa'!O$140*'7. Erosió de costa'!$D$111))</f>
        <v>-1.2312217194570136E-2</v>
      </c>
      <c r="W308" s="931">
        <f>IF($J308&gt;0, $J308-($J308*'7. Erosió de costa'!P$140*'7. Erosió de costa'!$D$111),$J308+($J308*'7. Erosió de costa'!P$140*'7. Erosió de costa'!$D$111))</f>
        <v>-1.2504901960784314E-2</v>
      </c>
      <c r="X308" s="931">
        <f>IF($J308&gt;0, $J308-($J308*'7. Erosió de costa'!Q$140*'7. Erosió de costa'!$D$111),$J308+($J308*'7. Erosió de costa'!Q$140*'7. Erosió de costa'!$D$111))</f>
        <v>-1.2697586726998493E-2</v>
      </c>
      <c r="Y308" s="931">
        <f>IF($J308&gt;0, $J308-($J308*'7. Erosió de costa'!R$140*'7. Erosió de costa'!$D$111),$J308+($J308*'7. Erosió de costa'!R$140*'7. Erosió de costa'!$D$111))</f>
        <v>-1.289027149321267E-2</v>
      </c>
      <c r="Z308" s="941">
        <f t="shared" si="93"/>
        <v>354.12371134020623</v>
      </c>
      <c r="AA308" s="941">
        <f t="shared" si="94"/>
        <v>360.94713579325463</v>
      </c>
      <c r="AB308" s="941">
        <f t="shared" si="95"/>
        <v>367.77056024630321</v>
      </c>
      <c r="AC308" s="941">
        <f t="shared" si="96"/>
        <v>374.59398469935161</v>
      </c>
      <c r="AD308" s="941">
        <f t="shared" si="97"/>
        <v>381.41740915240007</v>
      </c>
      <c r="AE308" s="941">
        <f t="shared" si="98"/>
        <v>388.24083360544847</v>
      </c>
      <c r="AF308" s="941">
        <f t="shared" si="99"/>
        <v>395.06425805849705</v>
      </c>
      <c r="AG308" s="941">
        <f t="shared" si="100"/>
        <v>401.88768251154545</v>
      </c>
      <c r="AH308" s="941">
        <f t="shared" si="101"/>
        <v>408.71110696459402</v>
      </c>
      <c r="AI308" s="941">
        <f t="shared" si="102"/>
        <v>415.53453141764243</v>
      </c>
      <c r="AJ308" s="941">
        <f t="shared" si="103"/>
        <v>422.35795587069089</v>
      </c>
      <c r="AK308" s="941">
        <f t="shared" si="104"/>
        <v>429.18138032373929</v>
      </c>
      <c r="AL308" s="941">
        <f t="shared" si="105"/>
        <v>436.00480477678786</v>
      </c>
      <c r="AM308" s="941">
        <f t="shared" si="106"/>
        <v>442.82822922983627</v>
      </c>
      <c r="AN308" s="941">
        <f t="shared" si="107"/>
        <v>449.65165368288484</v>
      </c>
      <c r="AO308" s="941">
        <f t="shared" si="108"/>
        <v>456.47507813593324</v>
      </c>
      <c r="AP308" s="895">
        <f>IF(AO308&lt;0,"No hi ha pèrdua",IFERROR(SUM(AA308:AO308)*'7. Erosió de costa'!$C$86/1000000,""))</f>
        <v>0.20231199794747404</v>
      </c>
    </row>
    <row r="309" spans="1:42">
      <c r="A309" s="835">
        <v>8308</v>
      </c>
      <c r="B309" s="826" t="s">
        <v>1737</v>
      </c>
      <c r="C309" s="835" t="str">
        <f t="shared" si="88"/>
        <v>NA</v>
      </c>
      <c r="D309" s="923" t="str">
        <f t="shared" si="89"/>
        <v>NA</v>
      </c>
      <c r="E309" s="931" t="str">
        <f t="shared" si="90"/>
        <v>NA</v>
      </c>
      <c r="F309" s="926" t="str">
        <f t="shared" si="91"/>
        <v>NA</v>
      </c>
      <c r="G309" s="923" t="str">
        <f t="shared" si="92"/>
        <v>NA</v>
      </c>
      <c r="H309" s="931" t="str">
        <f>IFERROR(IF((G309*'7. Erosió de costa'!$C$86/1000000)&lt;0,"guanya sorra",G309*'7. Erosió de costa'!$C$86/1000000),"")</f>
        <v/>
      </c>
      <c r="I309" s="937" t="str">
        <f>IFERROR(IF(('A. Dades de partida'!$D$10*G309*'7. Erosió de costa'!$C$86/1000000)&lt;0,"guanya sorra",'A. Dades de partida'!$D$10*G309*'7. Erosió de costa'!$C$86/1000000),"")</f>
        <v/>
      </c>
      <c r="J309" s="923"/>
      <c r="K309" s="923"/>
      <c r="L309" s="923"/>
      <c r="M309" s="923"/>
      <c r="N309" s="923"/>
      <c r="O309"/>
      <c r="P309"/>
      <c r="Q309"/>
      <c r="R309"/>
      <c r="S309"/>
      <c r="T309"/>
      <c r="U309"/>
      <c r="V309"/>
      <c r="W309"/>
      <c r="X309"/>
      <c r="Y309"/>
      <c r="AP309" s="895">
        <f>IF(AO309&lt;0,"No hi ha pèrdua",IFERROR(SUM(AA309:AO309)*'7. Erosió de costa'!$C$86/1000000,""))</f>
        <v>0</v>
      </c>
    </row>
    <row r="310" spans="1:42">
      <c r="A310" s="835">
        <v>8901</v>
      </c>
      <c r="B310" s="826" t="s">
        <v>1742</v>
      </c>
      <c r="C310" s="835" t="str">
        <f t="shared" si="88"/>
        <v>NA</v>
      </c>
      <c r="D310" s="923" t="str">
        <f t="shared" si="89"/>
        <v>NA</v>
      </c>
      <c r="E310" s="931" t="str">
        <f t="shared" si="90"/>
        <v>NA</v>
      </c>
      <c r="F310" s="926" t="str">
        <f t="shared" si="91"/>
        <v>NA</v>
      </c>
      <c r="G310" s="923" t="str">
        <f t="shared" si="92"/>
        <v>NA</v>
      </c>
      <c r="H310" s="931" t="str">
        <f>IFERROR(IF((G310*'7. Erosió de costa'!$C$86/1000000)&lt;0,"guanya sorra",G310*'7. Erosió de costa'!$C$86/1000000),"")</f>
        <v/>
      </c>
      <c r="I310" s="937" t="str">
        <f>IFERROR(IF(('A. Dades de partida'!$D$10*G310*'7. Erosió de costa'!$C$86/1000000)&lt;0,"guanya sorra",'A. Dades de partida'!$D$10*G310*'7. Erosió de costa'!$C$86/1000000),"")</f>
        <v/>
      </c>
      <c r="J310" s="923"/>
      <c r="K310" s="923"/>
      <c r="L310" s="923"/>
      <c r="M310" s="923"/>
      <c r="N310" s="923"/>
      <c r="O310"/>
      <c r="P310"/>
      <c r="Q310"/>
      <c r="R310"/>
      <c r="S310"/>
      <c r="T310"/>
      <c r="U310"/>
      <c r="V310"/>
      <c r="W310"/>
      <c r="X310"/>
      <c r="Y310"/>
      <c r="AP310" s="895">
        <f>IF(AO310&lt;0,"No hi ha pèrdua",IFERROR(SUM(AA310:AO310)*'7. Erosió de costa'!$C$86/1000000,""))</f>
        <v>0</v>
      </c>
    </row>
    <row r="311" spans="1:42">
      <c r="A311" s="835">
        <v>8902</v>
      </c>
      <c r="B311" s="826" t="s">
        <v>1743</v>
      </c>
      <c r="C311" s="835" t="str">
        <f t="shared" si="88"/>
        <v>NA</v>
      </c>
      <c r="D311" s="923" t="str">
        <f t="shared" si="89"/>
        <v>NA</v>
      </c>
      <c r="E311" s="931" t="str">
        <f t="shared" si="90"/>
        <v>NA</v>
      </c>
      <c r="F311" s="926" t="str">
        <f t="shared" si="91"/>
        <v>NA</v>
      </c>
      <c r="G311" s="923" t="str">
        <f t="shared" si="92"/>
        <v>NA</v>
      </c>
      <c r="H311" s="931" t="str">
        <f>IFERROR(IF((G311*'7. Erosió de costa'!$C$86/1000000)&lt;0,"guanya sorra",G311*'7. Erosió de costa'!$C$86/1000000),"")</f>
        <v/>
      </c>
      <c r="I311" s="937" t="str">
        <f>IFERROR(IF(('A. Dades de partida'!$D$10*G311*'7. Erosió de costa'!$C$86/1000000)&lt;0,"guanya sorra",'A. Dades de partida'!$D$10*G311*'7. Erosió de costa'!$C$86/1000000),"")</f>
        <v/>
      </c>
      <c r="J311" s="923"/>
      <c r="K311" s="923"/>
      <c r="L311" s="923"/>
      <c r="M311" s="923"/>
      <c r="N311" s="923"/>
      <c r="O311"/>
      <c r="P311"/>
      <c r="Q311"/>
      <c r="R311"/>
      <c r="S311"/>
      <c r="T311"/>
      <c r="U311"/>
      <c r="V311"/>
      <c r="W311"/>
      <c r="X311"/>
      <c r="Y311"/>
      <c r="AP311" s="895">
        <f>IF(AO311&lt;0,"No hi ha pèrdua",IFERROR(SUM(AA311:AO311)*'7. Erosió de costa'!$C$86/1000000,""))</f>
        <v>0</v>
      </c>
    </row>
    <row r="312" spans="1:42">
      <c r="A312" s="835">
        <v>8903</v>
      </c>
      <c r="B312" s="826" t="s">
        <v>1746</v>
      </c>
      <c r="C312" s="835" t="str">
        <f t="shared" si="88"/>
        <v>NA</v>
      </c>
      <c r="D312" s="923" t="str">
        <f t="shared" si="89"/>
        <v>NA</v>
      </c>
      <c r="E312" s="931" t="str">
        <f t="shared" si="90"/>
        <v>NA</v>
      </c>
      <c r="F312" s="926" t="str">
        <f t="shared" si="91"/>
        <v>NA</v>
      </c>
      <c r="G312" s="923" t="str">
        <f t="shared" si="92"/>
        <v>NA</v>
      </c>
      <c r="H312" s="931" t="str">
        <f>IFERROR(IF((G312*'7. Erosió de costa'!$C$86/1000000)&lt;0,"guanya sorra",G312*'7. Erosió de costa'!$C$86/1000000),"")</f>
        <v/>
      </c>
      <c r="I312" s="937" t="str">
        <f>IFERROR(IF(('A. Dades de partida'!$D$10*G312*'7. Erosió de costa'!$C$86/1000000)&lt;0,"guanya sorra",'A. Dades de partida'!$D$10*G312*'7. Erosió de costa'!$C$86/1000000),"")</f>
        <v/>
      </c>
      <c r="J312" s="923"/>
      <c r="K312" s="923"/>
      <c r="L312" s="923"/>
      <c r="M312" s="923"/>
      <c r="N312" s="923"/>
      <c r="O312"/>
      <c r="P312"/>
      <c r="Q312"/>
      <c r="R312"/>
      <c r="S312"/>
      <c r="T312"/>
      <c r="U312"/>
      <c r="V312"/>
      <c r="W312"/>
      <c r="X312"/>
      <c r="Y312"/>
      <c r="AP312" s="895">
        <f>IF(AO312&lt;0,"No hi ha pèrdua",IFERROR(SUM(AA312:AO312)*'7. Erosió de costa'!$C$86/1000000,""))</f>
        <v>0</v>
      </c>
    </row>
    <row r="313" spans="1:42">
      <c r="A313" s="835">
        <v>8904</v>
      </c>
      <c r="B313" s="826" t="s">
        <v>1748</v>
      </c>
      <c r="C313" s="835" t="str">
        <f t="shared" si="88"/>
        <v>NA</v>
      </c>
      <c r="D313" s="923" t="str">
        <f t="shared" si="89"/>
        <v>NA</v>
      </c>
      <c r="E313" s="931" t="str">
        <f t="shared" si="90"/>
        <v>NA</v>
      </c>
      <c r="F313" s="926" t="str">
        <f t="shared" si="91"/>
        <v>NA</v>
      </c>
      <c r="G313" s="923" t="str">
        <f t="shared" si="92"/>
        <v>NA</v>
      </c>
      <c r="H313" s="931" t="str">
        <f>IFERROR(IF((G313*'7. Erosió de costa'!$C$86/1000000)&lt;0,"guanya sorra",G313*'7. Erosió de costa'!$C$86/1000000),"")</f>
        <v/>
      </c>
      <c r="I313" s="937" t="str">
        <f>IFERROR(IF(('A. Dades de partida'!$D$10*G313*'7. Erosió de costa'!$C$86/1000000)&lt;0,"guanya sorra",'A. Dades de partida'!$D$10*G313*'7. Erosió de costa'!$C$86/1000000),"")</f>
        <v/>
      </c>
      <c r="J313" s="923"/>
      <c r="K313" s="923"/>
      <c r="L313" s="923"/>
      <c r="M313" s="923"/>
      <c r="N313" s="923"/>
      <c r="O313"/>
      <c r="P313"/>
      <c r="Q313"/>
      <c r="R313"/>
      <c r="S313"/>
      <c r="T313"/>
      <c r="U313"/>
      <c r="V313"/>
      <c r="W313"/>
      <c r="X313"/>
      <c r="Y313"/>
      <c r="AP313" s="895">
        <f>IF(AO313&lt;0,"No hi ha pèrdua",IFERROR(SUM(AA313:AO313)*'7. Erosió de costa'!$C$86/1000000,""))</f>
        <v>0</v>
      </c>
    </row>
    <row r="314" spans="1:42" ht="15.75" thickBot="1">
      <c r="A314" s="836">
        <v>8905</v>
      </c>
      <c r="B314" s="827" t="s">
        <v>1749</v>
      </c>
      <c r="C314" s="836" t="str">
        <f t="shared" si="88"/>
        <v>NA</v>
      </c>
      <c r="D314" s="924" t="str">
        <f t="shared" si="89"/>
        <v>NA</v>
      </c>
      <c r="E314" s="932" t="str">
        <f t="shared" si="90"/>
        <v>NA</v>
      </c>
      <c r="F314" s="927" t="str">
        <f t="shared" si="91"/>
        <v>NA</v>
      </c>
      <c r="G314" s="924" t="str">
        <f t="shared" si="92"/>
        <v>NA</v>
      </c>
      <c r="H314" s="924" t="str">
        <f>IFERROR(IF((G314*'7. Erosió de costa'!$C$86/1000000)&lt;0,"guanya sorra",G314*'7. Erosió de costa'!$C$86/1000000),"")</f>
        <v/>
      </c>
      <c r="I314" s="938" t="str">
        <f>IFERROR(IF(('A. Dades de partida'!$D$10*G314*'7. Erosió de costa'!$C$86/1000000)&lt;0,"guanya sorra",'A. Dades de partida'!$D$10*G314*'7. Erosió de costa'!$C$86/1000000),"")</f>
        <v/>
      </c>
      <c r="J314" s="924"/>
      <c r="K314" s="924"/>
      <c r="L314" s="924"/>
      <c r="M314" s="924"/>
      <c r="N314" s="924"/>
      <c r="O314"/>
      <c r="P314"/>
      <c r="Q314"/>
      <c r="R314"/>
      <c r="S314"/>
      <c r="T314"/>
      <c r="U314"/>
      <c r="V314"/>
      <c r="W314"/>
      <c r="X314"/>
      <c r="Y314"/>
      <c r="AP314" s="895">
        <f>IF(AO314&lt;0,"No hi ha pèrdua",IFERROR(SUM(AA314:AO314)*'7. Erosió de costa'!$C$86/1000000,""))</f>
        <v>0</v>
      </c>
    </row>
    <row r="315" spans="1:42">
      <c r="AP315" s="895">
        <f>IF(AO315&lt;0,"No hi ha pèrdua",IFERROR(SUM(AA315:AO315)*'7. Erosió de costa'!$C$86/1000000,""))</f>
        <v>0</v>
      </c>
    </row>
    <row r="316" spans="1:42">
      <c r="AP316" s="895">
        <f>IF(AO316&lt;0,"No hi ha pèrdua",IFERROR(SUM(AA316:AO316)*'7. Erosió de costa'!$C$86/1000000,""))</f>
        <v>0</v>
      </c>
    </row>
    <row r="317" spans="1:42">
      <c r="AP317" s="895">
        <f>IF(AO317&lt;0,"No hi ha pèrdua",IFERROR(SUM(AA317:AO317)*'7. Erosió de costa'!$C$86/1000000,""))</f>
        <v>0</v>
      </c>
    </row>
    <row r="318" spans="1:42">
      <c r="AP318" s="895">
        <f>IF(AO318&lt;0,"No hi ha pèrdua",IFERROR(SUM(AA318:AO318)*'7. Erosió de costa'!$C$86/1000000,""))</f>
        <v>0</v>
      </c>
    </row>
    <row r="319" spans="1:42">
      <c r="AP319" s="895">
        <f>IF(AO319&lt;0,"No hi ha pèrdua",IFERROR(SUM(AA319:AO319)*'7. Erosió de costa'!$C$86/1000000,""))</f>
        <v>0</v>
      </c>
    </row>
    <row r="320" spans="1:42">
      <c r="AP320" s="895">
        <f>IF(AO320&lt;0,"No hi ha pèrdua",IFERROR(SUM(AA320:AO320)*'7. Erosió de costa'!$C$86/1000000,""))</f>
        <v>0</v>
      </c>
    </row>
    <row r="321" spans="42:42">
      <c r="AP321" s="895">
        <f>IF(AO321&lt;0,"No hi ha pèrdua",IFERROR(SUM(AA321:AO321)*'7. Erosió de costa'!$C$86/1000000,""))</f>
        <v>0</v>
      </c>
    </row>
    <row r="322" spans="42:42">
      <c r="AP322" s="895">
        <f>IF(AO322&lt;0,"No hi ha pèrdua",IFERROR(SUM(AA322:AO322)*'7. Erosió de costa'!$C$86/1000000,""))</f>
        <v>0</v>
      </c>
    </row>
    <row r="323" spans="42:42">
      <c r="AP323" s="895">
        <f>IF(AO323&lt;0,"No hi ha pèrdua",IFERROR(SUM(AA323:AO323)*'7. Erosió de costa'!$C$86/1000000,""))</f>
        <v>0</v>
      </c>
    </row>
    <row r="324" spans="42:42">
      <c r="AP324" s="895">
        <f>IF(AO324&lt;0,"No hi ha pèrdua",IFERROR(SUM(AA324:AO324)*'7. Erosió de costa'!$C$86/1000000,""))</f>
        <v>0</v>
      </c>
    </row>
    <row r="325" spans="42:42">
      <c r="AP325" s="895">
        <f>IF(AO325&lt;0,"No hi ha pèrdua",IFERROR(SUM(AA325:AO325)*'7. Erosió de costa'!$C$86/1000000,""))</f>
        <v>0</v>
      </c>
    </row>
    <row r="326" spans="42:42">
      <c r="AP326" s="895">
        <f>IF(AO326&lt;0,"No hi ha pèrdua",IFERROR(SUM(AA326:AO326)*'7. Erosió de costa'!$C$86/1000000,""))</f>
        <v>0</v>
      </c>
    </row>
    <row r="327" spans="42:42">
      <c r="AP327" s="895">
        <f>IF(AO327&lt;0,"No hi ha pèrdua",IFERROR(SUM(AA327:AO327)*'7. Erosió de costa'!$C$86/1000000,""))</f>
        <v>0</v>
      </c>
    </row>
    <row r="328" spans="42:42">
      <c r="AP328" s="895">
        <f>IF(AO328&lt;0,"No hi ha pèrdua",IFERROR(SUM(AA328:AO328)*'7. Erosió de costa'!$C$86/1000000,""))</f>
        <v>0</v>
      </c>
    </row>
    <row r="329" spans="42:42">
      <c r="AP329" s="895">
        <f>IF(AO329&lt;0,"No hi ha pèrdua",IFERROR(SUM(AA329:AO329)*'7. Erosió de costa'!$C$86/1000000,""))</f>
        <v>0</v>
      </c>
    </row>
    <row r="330" spans="42:42">
      <c r="AP330" s="895">
        <f>IF(AO330&lt;0,"No hi ha pèrdua",IFERROR(SUM(AA330:AO330)*'7. Erosió de costa'!$C$86/1000000,""))</f>
        <v>0</v>
      </c>
    </row>
    <row r="331" spans="42:42">
      <c r="AP331" s="895">
        <f>IF(AO331&lt;0,"No hi ha pèrdua",IFERROR(SUM(AA331:AO331)*'7. Erosió de costa'!$C$86/1000000,""))</f>
        <v>0</v>
      </c>
    </row>
    <row r="332" spans="42:42">
      <c r="AP332" s="895">
        <f>IF(AO332&lt;0,"No hi ha pèrdua",IFERROR(SUM(AA332:AO332)*'7. Erosió de costa'!$C$86/1000000,""))</f>
        <v>0</v>
      </c>
    </row>
    <row r="333" spans="42:42">
      <c r="AP333" s="895">
        <f>IF(AO333&lt;0,"No hi ha pèrdua",IFERROR(SUM(AA333:AO333)*'7. Erosió de costa'!$C$86/1000000,""))</f>
        <v>0</v>
      </c>
    </row>
    <row r="334" spans="42:42">
      <c r="AP334" s="895">
        <f>IF(AO334&lt;0,"No hi ha pèrdua",IFERROR(SUM(AA334:AO334)*'7. Erosió de costa'!$C$86/1000000,""))</f>
        <v>0</v>
      </c>
    </row>
    <row r="335" spans="42:42">
      <c r="AP335" s="895">
        <f>IF(AO335&lt;0,"No hi ha pèrdua",IFERROR(SUM(AA335:AO335)*'7. Erosió de costa'!$C$86/1000000,""))</f>
        <v>0</v>
      </c>
    </row>
    <row r="336" spans="42:42">
      <c r="AP336" s="895">
        <f>IF(AO336&lt;0,"No hi ha pèrdua",IFERROR(SUM(AA336:AO336)*'7. Erosió de costa'!$C$86/1000000,""))</f>
        <v>0</v>
      </c>
    </row>
    <row r="337" spans="42:42">
      <c r="AP337" s="895">
        <f>IF(AO337&lt;0,"No hi ha pèrdua",IFERROR(SUM(AA337:AO337)*'7. Erosió de costa'!$C$86/1000000,""))</f>
        <v>0</v>
      </c>
    </row>
    <row r="338" spans="42:42">
      <c r="AP338" s="895">
        <f>IF(AO338&lt;0,"No hi ha pèrdua",IFERROR(SUM(AA338:AO338)*'7. Erosió de costa'!$C$86/1000000,""))</f>
        <v>0</v>
      </c>
    </row>
    <row r="339" spans="42:42">
      <c r="AP339" s="895">
        <f>IF(AO339&lt;0,"No hi ha pèrdua",IFERROR(SUM(AA339:AO339)*'7. Erosió de costa'!$C$86/1000000,""))</f>
        <v>0</v>
      </c>
    </row>
    <row r="340" spans="42:42">
      <c r="AP340" s="895">
        <f>IF(AO340&lt;0,"No hi ha pèrdua",IFERROR(SUM(AA340:AO340)*'7. Erosió de costa'!$C$86/1000000,""))</f>
        <v>0</v>
      </c>
    </row>
    <row r="341" spans="42:42">
      <c r="AP341" s="895">
        <f>IF(AO341&lt;0,"No hi ha pèrdua",IFERROR(SUM(AA341:AO341)*'7. Erosió de costa'!$C$86/1000000,""))</f>
        <v>0</v>
      </c>
    </row>
    <row r="342" spans="42:42">
      <c r="AP342" s="895">
        <f>IF(AO342&lt;0,"No hi ha pèrdua",IFERROR(SUM(AA342:AO342)*'7. Erosió de costa'!$C$86/1000000,""))</f>
        <v>0</v>
      </c>
    </row>
    <row r="343" spans="42:42">
      <c r="AP343" s="895">
        <f>IF(AO343&lt;0,"No hi ha pèrdua",IFERROR(SUM(AA343:AO343)*'7. Erosió de costa'!$C$86/1000000,""))</f>
        <v>0</v>
      </c>
    </row>
    <row r="344" spans="42:42">
      <c r="AP344" s="895">
        <f>IF(AO344&lt;0,"No hi ha pèrdua",IFERROR(SUM(AA344:AO344)*'7. Erosió de costa'!$C$86/1000000,""))</f>
        <v>0</v>
      </c>
    </row>
    <row r="345" spans="42:42">
      <c r="AP345" s="895">
        <f>IF(AO345&lt;0,"No hi ha pèrdua",IFERROR(SUM(AA345:AO345)*'7. Erosió de costa'!$C$86/1000000,""))</f>
        <v>0</v>
      </c>
    </row>
    <row r="346" spans="42:42">
      <c r="AP346" s="895">
        <f>IF(AO346&lt;0,"No hi ha pèrdua",IFERROR(SUM(AA346:AO346)*'7. Erosió de costa'!$C$86/1000000,""))</f>
        <v>0</v>
      </c>
    </row>
    <row r="347" spans="42:42">
      <c r="AP347" s="895">
        <f>IF(AO347&lt;0,"No hi ha pèrdua",IFERROR(SUM(AA347:AO347)*'7. Erosió de costa'!$C$86/1000000,""))</f>
        <v>0</v>
      </c>
    </row>
    <row r="348" spans="42:42">
      <c r="AP348" s="895">
        <f>IF(AO348&lt;0,"No hi ha pèrdua",IFERROR(SUM(AA348:AO348)*'7. Erosió de costa'!$C$86/1000000,""))</f>
        <v>0</v>
      </c>
    </row>
    <row r="349" spans="42:42">
      <c r="AP349" s="895">
        <f>IF(AO349&lt;0,"No hi ha pèrdua",IFERROR(SUM(AA349:AO349)*'7. Erosió de costa'!$C$86/1000000,""))</f>
        <v>0</v>
      </c>
    </row>
    <row r="350" spans="42:42">
      <c r="AP350" s="895">
        <f>IF(AO350&lt;0,"No hi ha pèrdua",IFERROR(SUM(AA350:AO350)*'7. Erosió de costa'!$C$86/1000000,""))</f>
        <v>0</v>
      </c>
    </row>
    <row r="351" spans="42:42">
      <c r="AP351" s="895">
        <f>IF(AO351&lt;0,"No hi ha pèrdua",IFERROR(SUM(AA351:AO351)*'7. Erosió de costa'!$C$86/1000000,""))</f>
        <v>0</v>
      </c>
    </row>
    <row r="352" spans="42:42">
      <c r="AP352" s="895">
        <f>IF(AO352&lt;0,"No hi ha pèrdua",IFERROR(SUM(AA352:AO352)*'7. Erosió de costa'!$C$86/1000000,""))</f>
        <v>0</v>
      </c>
    </row>
    <row r="353" spans="42:42">
      <c r="AP353" s="895">
        <f>IF(AO353&lt;0,"No hi ha pèrdua",IFERROR(SUM(AA353:AO353)*'7. Erosió de costa'!$C$86/1000000,""))</f>
        <v>0</v>
      </c>
    </row>
    <row r="354" spans="42:42">
      <c r="AP354" s="895">
        <f>IF(AO354&lt;0,"No hi ha pèrdua",IFERROR(SUM(AA354:AO354)*'7. Erosió de costa'!$C$86/1000000,""))</f>
        <v>0</v>
      </c>
    </row>
    <row r="355" spans="42:42">
      <c r="AP355" s="895">
        <f>IF(AO355&lt;0,"No hi ha pèrdua",IFERROR(SUM(AA355:AO355)*'7. Erosió de costa'!$C$86/1000000,""))</f>
        <v>0</v>
      </c>
    </row>
    <row r="356" spans="42:42">
      <c r="AP356" s="895">
        <f>IF(AO356&lt;0,"No hi ha pèrdua",IFERROR(SUM(AA356:AO356)*'7. Erosió de costa'!$C$86/1000000,""))</f>
        <v>0</v>
      </c>
    </row>
    <row r="357" spans="42:42">
      <c r="AP357" s="895">
        <f>IF(AO357&lt;0,"No hi ha pèrdua",IFERROR(SUM(AA357:AO357)*'7. Erosió de costa'!$C$86/1000000,""))</f>
        <v>0</v>
      </c>
    </row>
    <row r="358" spans="42:42">
      <c r="AP358" s="895">
        <f>IF(AO358&lt;0,"No hi ha pèrdua",IFERROR(SUM(AA358:AO358)*'7. Erosió de costa'!$C$86/1000000,""))</f>
        <v>0</v>
      </c>
    </row>
    <row r="359" spans="42:42">
      <c r="AP359" s="895">
        <f>IF(AO359&lt;0,"No hi ha pèrdua",IFERROR(SUM(AA359:AO359)*'7. Erosió de costa'!$C$86/1000000,""))</f>
        <v>0</v>
      </c>
    </row>
    <row r="360" spans="42:42">
      <c r="AP360" s="895">
        <f>IF(AO360&lt;0,"No hi ha pèrdua",IFERROR(SUM(AA360:AO360)*'7. Erosió de costa'!$C$86/1000000,""))</f>
        <v>0</v>
      </c>
    </row>
    <row r="361" spans="42:42">
      <c r="AP361" s="895">
        <f>IF(AO361&lt;0,"No hi ha pèrdua",IFERROR(SUM(AA361:AO361)*'7. Erosió de costa'!$C$86/1000000,""))</f>
        <v>0</v>
      </c>
    </row>
    <row r="362" spans="42:42">
      <c r="AP362" s="895">
        <f>IF(AO362&lt;0,"No hi ha pèrdua",IFERROR(SUM(AA362:AO362)*'7. Erosió de costa'!$C$86/1000000,""))</f>
        <v>0</v>
      </c>
    </row>
    <row r="363" spans="42:42">
      <c r="AP363" s="895">
        <f>IF(AO363&lt;0,"No hi ha pèrdua",IFERROR(SUM(AA363:AO363)*'7. Erosió de costa'!$C$86/1000000,""))</f>
        <v>0</v>
      </c>
    </row>
    <row r="364" spans="42:42">
      <c r="AP364" s="895">
        <f>IF(AO364&lt;0,"No hi ha pèrdua",IFERROR(SUM(AA364:AO364)*'7. Erosió de costa'!$C$86/1000000,""))</f>
        <v>0</v>
      </c>
    </row>
    <row r="365" spans="42:42">
      <c r="AP365" s="895">
        <f>IF(AO365&lt;0,"No hi ha pèrdua",IFERROR(SUM(AA365:AO365)*'7. Erosió de costa'!$C$86/1000000,""))</f>
        <v>0</v>
      </c>
    </row>
    <row r="366" spans="42:42">
      <c r="AP366" s="895">
        <f>IF(AO366&lt;0,"No hi ha pèrdua",IFERROR(SUM(AA366:AO366)*'7. Erosió de costa'!$C$86/1000000,""))</f>
        <v>0</v>
      </c>
    </row>
    <row r="367" spans="42:42">
      <c r="AP367" s="895">
        <f>IF(AO367&lt;0,"No hi ha pèrdua",IFERROR(SUM(AA367:AO367)*'7. Erosió de costa'!$C$86/1000000,""))</f>
        <v>0</v>
      </c>
    </row>
    <row r="368" spans="42:42">
      <c r="AP368" s="895">
        <f>IF(AO368&lt;0,"No hi ha pèrdua",IFERROR(SUM(AA368:AO368)*'7. Erosió de costa'!$C$86/1000000,""))</f>
        <v>0</v>
      </c>
    </row>
    <row r="369" spans="42:42">
      <c r="AP369" s="895">
        <f>IF(AO369&lt;0,"No hi ha pèrdua",IFERROR(SUM(AA369:AO369)*'7. Erosió de costa'!$C$86/1000000,""))</f>
        <v>0</v>
      </c>
    </row>
    <row r="370" spans="42:42">
      <c r="AP370" s="895">
        <f>IF(AO370&lt;0,"No hi ha pèrdua",IFERROR(SUM(AA370:AO370)*'7. Erosió de costa'!$C$86/1000000,""))</f>
        <v>0</v>
      </c>
    </row>
    <row r="371" spans="42:42">
      <c r="AP371" s="895">
        <f>IF(AO371&lt;0,"No hi ha pèrdua",IFERROR(SUM(AA371:AO371)*'7. Erosió de costa'!$C$86/1000000,""))</f>
        <v>0</v>
      </c>
    </row>
    <row r="372" spans="42:42">
      <c r="AP372" s="895">
        <f>IF(AO372&lt;0,"No hi ha pèrdua",IFERROR(SUM(AA372:AO372)*'7. Erosió de costa'!$C$86/1000000,""))</f>
        <v>0</v>
      </c>
    </row>
    <row r="373" spans="42:42">
      <c r="AP373" s="895">
        <f>IF(AO373&lt;0,"No hi ha pèrdua",IFERROR(SUM(AA373:AO373)*'7. Erosió de costa'!$C$86/1000000,""))</f>
        <v>0</v>
      </c>
    </row>
    <row r="374" spans="42:42">
      <c r="AP374" s="895">
        <f>IF(AO374&lt;0,"No hi ha pèrdua",IFERROR(SUM(AA374:AO374)*'7. Erosió de costa'!$C$86/1000000,""))</f>
        <v>0</v>
      </c>
    </row>
    <row r="375" spans="42:42">
      <c r="AP375" s="895">
        <f>IF(AO375&lt;0,"No hi ha pèrdua",IFERROR(SUM(AA375:AO375)*'7. Erosió de costa'!$C$86/1000000,""))</f>
        <v>0</v>
      </c>
    </row>
    <row r="376" spans="42:42">
      <c r="AP376" s="895">
        <f>IF(AO376&lt;0,"No hi ha pèrdua",IFERROR(SUM(AA376:AO376)*'7. Erosió de costa'!$C$86/1000000,""))</f>
        <v>0</v>
      </c>
    </row>
    <row r="377" spans="42:42">
      <c r="AP377" s="895">
        <f>IF(AO377&lt;0,"No hi ha pèrdua",IFERROR(SUM(AA377:AO377)*'7. Erosió de costa'!$C$86/1000000,""))</f>
        <v>0</v>
      </c>
    </row>
    <row r="378" spans="42:42">
      <c r="AP378" s="895">
        <f>IF(AO378&lt;0,"No hi ha pèrdua",IFERROR(SUM(AA378:AO378)*'7. Erosió de costa'!$C$86/1000000,""))</f>
        <v>0</v>
      </c>
    </row>
    <row r="379" spans="42:42">
      <c r="AP379" s="895">
        <f>IF(AO379&lt;0,"No hi ha pèrdua",IFERROR(SUM(AA379:AO379)*'7. Erosió de costa'!$C$86/1000000,""))</f>
        <v>0</v>
      </c>
    </row>
    <row r="380" spans="42:42">
      <c r="AP380" s="895">
        <f>IF(AO380&lt;0,"No hi ha pèrdua",IFERROR(SUM(AA380:AO380)*'7. Erosió de costa'!$C$86/1000000,""))</f>
        <v>0</v>
      </c>
    </row>
    <row r="381" spans="42:42">
      <c r="AP381" s="895">
        <f>IF(AO381&lt;0,"No hi ha pèrdua",IFERROR(SUM(AA381:AO381)*'7. Erosió de costa'!$C$86/1000000,""))</f>
        <v>0</v>
      </c>
    </row>
    <row r="382" spans="42:42">
      <c r="AP382" s="895">
        <f>IF(AO382&lt;0,"No hi ha pèrdua",IFERROR(SUM(AA382:AO382)*'7. Erosió de costa'!$C$86/1000000,""))</f>
        <v>0</v>
      </c>
    </row>
    <row r="383" spans="42:42">
      <c r="AP383" s="895">
        <f>IF(AO383&lt;0,"No hi ha pèrdua",IFERROR(SUM(AA383:AO383)*'7. Erosió de costa'!$C$86/1000000,""))</f>
        <v>0</v>
      </c>
    </row>
    <row r="384" spans="42:42">
      <c r="AP384" s="895">
        <f>IF(AO384&lt;0,"No hi ha pèrdua",IFERROR(SUM(AA384:AO384)*'7. Erosió de costa'!$C$86/1000000,""))</f>
        <v>0</v>
      </c>
    </row>
    <row r="385" spans="42:42">
      <c r="AP385" s="895">
        <f>IF(AO385&lt;0,"No hi ha pèrdua",IFERROR(SUM(AA385:AO385)*'7. Erosió de costa'!$C$86/1000000,""))</f>
        <v>0</v>
      </c>
    </row>
    <row r="386" spans="42:42">
      <c r="AP386" s="895">
        <f>IF(AO386&lt;0,"No hi ha pèrdua",IFERROR(SUM(AA386:AO386)*'7. Erosió de costa'!$C$86/1000000,""))</f>
        <v>0</v>
      </c>
    </row>
    <row r="387" spans="42:42">
      <c r="AP387" s="895">
        <f>IFERROR(SUM(AA387:AO387)*'7. Erosió de costa'!$C$86/1000000,"")</f>
        <v>0</v>
      </c>
    </row>
    <row r="388" spans="42:42">
      <c r="AP388" s="895">
        <f>IFERROR(SUM(AA388:AO388)*'7. Erosió de costa'!$C$86/1000000,"")</f>
        <v>0</v>
      </c>
    </row>
    <row r="389" spans="42:42">
      <c r="AP389" s="895">
        <f>IFERROR(SUM(AA389:AO389)*'7. Erosió de costa'!$C$86/1000000,"")</f>
        <v>0</v>
      </c>
    </row>
    <row r="390" spans="42:42">
      <c r="AP390" s="895">
        <f>IFERROR(SUM(AA390:AO390)*'7. Erosió de costa'!$C$86/1000000,"")</f>
        <v>0</v>
      </c>
    </row>
    <row r="391" spans="42:42">
      <c r="AP391" s="895">
        <f>IFERROR(SUM(AA391:AO391)*'7. Erosió de costa'!$C$86/1000000,"")</f>
        <v>0</v>
      </c>
    </row>
    <row r="392" spans="42:42">
      <c r="AP392" s="895">
        <f>IFERROR(SUM(AA392:AO392)*'7. Erosió de costa'!$C$86/1000000,"")</f>
        <v>0</v>
      </c>
    </row>
    <row r="393" spans="42:42">
      <c r="AP393" s="895">
        <f>IFERROR(SUM(AA393:AO393)*'7. Erosió de costa'!$C$86/1000000,"")</f>
        <v>0</v>
      </c>
    </row>
    <row r="394" spans="42:42">
      <c r="AP394" s="895">
        <f>IFERROR(SUM(AA394:AO394)*'7. Erosió de costa'!$C$86/1000000,"")</f>
        <v>0</v>
      </c>
    </row>
    <row r="395" spans="42:42">
      <c r="AP395" s="895">
        <f>IFERROR(SUM(AA395:AO395)*'7. Erosió de costa'!$C$86/1000000,"")</f>
        <v>0</v>
      </c>
    </row>
    <row r="396" spans="42:42">
      <c r="AP396" s="895">
        <f>IFERROR(SUM(AA396:AO396)*'7. Erosió de costa'!$C$86/1000000,"")</f>
        <v>0</v>
      </c>
    </row>
    <row r="397" spans="42:42">
      <c r="AP397" s="895">
        <f>IFERROR(SUM(AA397:AO397)*'7. Erosió de costa'!$C$86/1000000,"")</f>
        <v>0</v>
      </c>
    </row>
    <row r="398" spans="42:42">
      <c r="AP398" s="895">
        <f>IFERROR(SUM(AA398:AO398)*'7. Erosió de costa'!$C$86/1000000,"")</f>
        <v>0</v>
      </c>
    </row>
    <row r="399" spans="42:42">
      <c r="AP399" s="895">
        <f>IFERROR(SUM(AA399:AO399)*'7. Erosió de costa'!$C$86/1000000,"")</f>
        <v>0</v>
      </c>
    </row>
    <row r="400" spans="42:42">
      <c r="AP400" s="895">
        <f>IFERROR(SUM(AA400:AO400)*'7. Erosió de costa'!$C$86/1000000,"")</f>
        <v>0</v>
      </c>
    </row>
    <row r="401" spans="42:42">
      <c r="AP401" s="895">
        <f>IFERROR(SUM(AA401:AO401)*'7. Erosió de costa'!$C$86/1000000,"")</f>
        <v>0</v>
      </c>
    </row>
    <row r="402" spans="42:42">
      <c r="AP402" s="895">
        <f>IFERROR(SUM(AA402:AO402)*'7. Erosió de costa'!$C$86/1000000,"")</f>
        <v>0</v>
      </c>
    </row>
    <row r="403" spans="42:42">
      <c r="AP403" s="895">
        <f>IFERROR(SUM(AA403:AO403)*'7. Erosió de costa'!$C$86/1000000,"")</f>
        <v>0</v>
      </c>
    </row>
    <row r="404" spans="42:42">
      <c r="AP404" s="895">
        <f>IFERROR(SUM(AA404:AO404)*'7. Erosió de costa'!$C$86/1000000,"")</f>
        <v>0</v>
      </c>
    </row>
    <row r="405" spans="42:42">
      <c r="AP405" s="895">
        <f>IFERROR(SUM(AA405:AO405)*'7. Erosió de costa'!$C$86/1000000,"")</f>
        <v>0</v>
      </c>
    </row>
    <row r="406" spans="42:42">
      <c r="AP406" s="895">
        <f>IFERROR(SUM(AA406:AO406)*'7. Erosió de costa'!$C$86/1000000,"")</f>
        <v>0</v>
      </c>
    </row>
    <row r="407" spans="42:42">
      <c r="AP407" s="895">
        <f>IFERROR(SUM(AA407:AO407)*'7. Erosió de costa'!$C$86/1000000,"")</f>
        <v>0</v>
      </c>
    </row>
    <row r="408" spans="42:42">
      <c r="AP408" s="895">
        <f>IFERROR(SUM(AA408:AO408)*'7. Erosió de costa'!$C$86/1000000,"")</f>
        <v>0</v>
      </c>
    </row>
  </sheetData>
  <mergeCells count="3">
    <mergeCell ref="H2:I2"/>
    <mergeCell ref="J2:Y2"/>
    <mergeCell ref="Z2:AO2"/>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2:AB152"/>
  <sheetViews>
    <sheetView topLeftCell="A122" zoomScaleNormal="100" workbookViewId="0">
      <selection activeCell="C142" sqref="C142"/>
    </sheetView>
  </sheetViews>
  <sheetFormatPr defaultColWidth="11.5703125" defaultRowHeight="12.75"/>
  <cols>
    <col min="1" max="1" width="13.7109375" style="53" customWidth="1"/>
    <col min="2" max="2" width="42.7109375" style="3" customWidth="1"/>
    <col min="3" max="3" width="13.7109375" style="3" customWidth="1"/>
    <col min="4" max="4" width="17.7109375" style="3" customWidth="1"/>
    <col min="5" max="5" width="32" style="3" customWidth="1"/>
    <col min="6" max="6" width="12.42578125" style="3" customWidth="1"/>
    <col min="7" max="8" width="16.28515625" style="3" customWidth="1"/>
    <col min="9" max="9" width="13.5703125" style="3" bestFit="1" customWidth="1"/>
    <col min="10" max="10" width="35.28515625" style="3" customWidth="1"/>
    <col min="11" max="11" width="14.7109375" style="3" customWidth="1"/>
    <col min="12" max="12" width="12.5703125" style="3" customWidth="1"/>
    <col min="13" max="13" width="13.5703125" style="3" bestFit="1" customWidth="1"/>
    <col min="14" max="14" width="13.28515625" style="3" bestFit="1" customWidth="1"/>
    <col min="15" max="15" width="25.7109375" style="3" customWidth="1"/>
    <col min="16" max="16" width="17.7109375" style="3" customWidth="1"/>
    <col min="17" max="18" width="13.5703125" style="3" bestFit="1" customWidth="1"/>
    <col min="19" max="19" width="11.5703125" style="3"/>
    <col min="20" max="20" width="35.42578125" style="3" customWidth="1"/>
    <col min="21" max="25" width="11.5703125" style="3"/>
    <col min="26" max="26" width="25.42578125" style="3" customWidth="1"/>
    <col min="27" max="27" width="19.7109375" style="3" customWidth="1"/>
    <col min="28" max="16384" width="11.5703125" style="3"/>
  </cols>
  <sheetData>
    <row r="2" spans="1:7" ht="19.899999999999999" customHeight="1">
      <c r="B2" s="1130" t="s">
        <v>2432</v>
      </c>
      <c r="C2" s="1130"/>
      <c r="D2" s="1130"/>
      <c r="E2" s="1130"/>
      <c r="F2" s="1130"/>
      <c r="G2" s="1130"/>
    </row>
    <row r="4" spans="1:7">
      <c r="B4" s="54" t="s">
        <v>326</v>
      </c>
    </row>
    <row r="6" spans="1:7">
      <c r="A6" s="53" t="s">
        <v>197</v>
      </c>
      <c r="B6" s="4" t="s">
        <v>1763</v>
      </c>
    </row>
    <row r="7" spans="1:7">
      <c r="B7" s="4"/>
    </row>
    <row r="8" spans="1:7">
      <c r="B8" s="6" t="s">
        <v>66</v>
      </c>
      <c r="C8" s="347" t="str">
        <f>'A. Dades de partida'!D7</f>
        <v>Vilalba Sasserra</v>
      </c>
    </row>
    <row r="9" spans="1:7">
      <c r="B9" s="6" t="s">
        <v>1760</v>
      </c>
      <c r="C9" s="347">
        <f>'A. Dades de partida'!D8</f>
        <v>8306</v>
      </c>
    </row>
    <row r="10" spans="1:7">
      <c r="B10" s="6" t="s">
        <v>153</v>
      </c>
      <c r="C10" s="347" t="str">
        <f>'A. Dades de partida'!D24</f>
        <v>Vallès Oriental</v>
      </c>
    </row>
    <row r="11" spans="1:7">
      <c r="B11" s="6" t="s">
        <v>1761</v>
      </c>
      <c r="C11" s="347" t="str">
        <f>'A. Dades de partida'!D25</f>
        <v>41</v>
      </c>
    </row>
    <row r="12" spans="1:7">
      <c r="B12" s="6" t="s">
        <v>135</v>
      </c>
      <c r="C12" s="347">
        <f>'A. Dades de partida'!D10</f>
        <v>15</v>
      </c>
    </row>
    <row r="13" spans="1:7">
      <c r="B13" s="6" t="s">
        <v>124</v>
      </c>
      <c r="C13" s="347">
        <f>'A. Dades de partida'!D11</f>
        <v>0</v>
      </c>
    </row>
    <row r="14" spans="1:7">
      <c r="B14" s="6" t="s">
        <v>125</v>
      </c>
      <c r="C14" s="347">
        <f>'A. Dades de partida'!D12</f>
        <v>15</v>
      </c>
    </row>
    <row r="15" spans="1:7">
      <c r="B15" s="6" t="s">
        <v>1769</v>
      </c>
      <c r="C15" s="348">
        <f>'A. Dades de partida'!D14</f>
        <v>684</v>
      </c>
    </row>
    <row r="16" spans="1:7">
      <c r="B16" s="6" t="s">
        <v>1771</v>
      </c>
      <c r="C16" s="348">
        <f>'A. Dades de partida'!D15</f>
        <v>587</v>
      </c>
    </row>
    <row r="17" spans="1:27">
      <c r="B17" s="6" t="s">
        <v>1768</v>
      </c>
      <c r="C17" s="348">
        <f>'A. Dades de partida'!D18</f>
        <v>889241.73</v>
      </c>
    </row>
    <row r="18" spans="1:27">
      <c r="B18" s="53"/>
      <c r="C18" s="53"/>
      <c r="D18" s="53"/>
      <c r="E18" s="53"/>
    </row>
    <row r="19" spans="1:27" ht="15" customHeight="1"/>
    <row r="20" spans="1:27" ht="15.75" customHeight="1">
      <c r="A20" s="53" t="s">
        <v>41</v>
      </c>
      <c r="B20" s="4" t="s">
        <v>327</v>
      </c>
    </row>
    <row r="21" spans="1:27" ht="15" customHeight="1">
      <c r="B21" s="5" t="s">
        <v>519</v>
      </c>
    </row>
    <row r="22" spans="1:27" ht="15.75" customHeight="1"/>
    <row r="23" spans="1:27">
      <c r="B23" s="134" t="s">
        <v>1914</v>
      </c>
      <c r="C23" s="44" t="e">
        <f ca="1">_xlfn.IFNA(VLOOKUP(C25,N31:O39,2,),"No")</f>
        <v>#NAME?</v>
      </c>
    </row>
    <row r="24" spans="1:27">
      <c r="B24" s="134" t="s">
        <v>328</v>
      </c>
      <c r="C24" s="79" t="str">
        <f>IFERROR(VLOOKUP(C8,J31:L56,3,FALSE),"NA")</f>
        <v>NA</v>
      </c>
    </row>
    <row r="25" spans="1:27">
      <c r="B25" s="134" t="s">
        <v>514</v>
      </c>
      <c r="C25" s="79" t="str">
        <f>IFERROR(VLOOKUP(C8,J31:L57,2,FALSE),"NA")</f>
        <v>NA</v>
      </c>
    </row>
    <row r="26" spans="1:27">
      <c r="B26" s="12"/>
    </row>
    <row r="28" spans="1:27">
      <c r="B28" s="54" t="s">
        <v>515</v>
      </c>
      <c r="C28" s="53"/>
      <c r="D28" s="53"/>
      <c r="E28" s="53"/>
      <c r="F28" s="53"/>
      <c r="J28" s="4" t="s">
        <v>518</v>
      </c>
    </row>
    <row r="29" spans="1:27">
      <c r="B29" s="53"/>
      <c r="C29" s="53"/>
      <c r="D29" s="53"/>
      <c r="E29" s="53"/>
      <c r="F29" s="53"/>
    </row>
    <row r="30" spans="1:27" ht="38.25">
      <c r="B30" s="145" t="s">
        <v>332</v>
      </c>
      <c r="C30" s="144" t="s">
        <v>517</v>
      </c>
      <c r="D30" s="144" t="s">
        <v>513</v>
      </c>
      <c r="E30" s="144" t="s">
        <v>512</v>
      </c>
      <c r="F30" s="144" t="s">
        <v>368</v>
      </c>
      <c r="G30" s="144" t="s">
        <v>516</v>
      </c>
      <c r="J30" s="34" t="s">
        <v>506</v>
      </c>
      <c r="K30" s="59" t="s">
        <v>333</v>
      </c>
      <c r="L30" s="141" t="s">
        <v>328</v>
      </c>
      <c r="N30" s="183" t="s">
        <v>26</v>
      </c>
      <c r="O30" s="183" t="s">
        <v>332</v>
      </c>
      <c r="T30" s="22"/>
      <c r="U30" s="22"/>
      <c r="V30" s="22"/>
      <c r="W30" s="22"/>
      <c r="X30" s="22"/>
      <c r="Y30" s="22"/>
      <c r="Z30" s="22"/>
      <c r="AA30" s="22"/>
    </row>
    <row r="31" spans="1:27" s="185" customFormat="1" ht="15" customHeight="1">
      <c r="A31" s="182"/>
      <c r="B31" s="146"/>
      <c r="C31" s="146"/>
      <c r="D31" s="144" t="s">
        <v>369</v>
      </c>
      <c r="E31" s="183" t="s">
        <v>370</v>
      </c>
      <c r="F31" s="144" t="s">
        <v>371</v>
      </c>
      <c r="G31" s="184" t="s">
        <v>509</v>
      </c>
      <c r="J31" s="401" t="s">
        <v>334</v>
      </c>
      <c r="K31" s="147">
        <v>14</v>
      </c>
      <c r="L31" s="186">
        <v>2850</v>
      </c>
      <c r="N31" s="148">
        <v>15</v>
      </c>
      <c r="O31" s="135" t="s">
        <v>372</v>
      </c>
      <c r="T31" s="393"/>
      <c r="U31" s="393"/>
      <c r="V31" s="393"/>
      <c r="W31" s="393"/>
      <c r="X31" s="393"/>
      <c r="Y31" s="393"/>
      <c r="Z31" s="393"/>
      <c r="AA31" s="393"/>
    </row>
    <row r="32" spans="1:27" s="185" customFormat="1" ht="15" customHeight="1">
      <c r="B32" s="147" t="s">
        <v>359</v>
      </c>
      <c r="C32" s="147">
        <v>15</v>
      </c>
      <c r="D32" s="191">
        <v>22.9</v>
      </c>
      <c r="E32" s="191">
        <v>-0.78</v>
      </c>
      <c r="F32" s="191">
        <v>-173</v>
      </c>
      <c r="G32" s="187">
        <f>(F32*1000)/((E32)*(D32*1000))</f>
        <v>9.6853655805620864</v>
      </c>
      <c r="J32" s="401" t="s">
        <v>335</v>
      </c>
      <c r="K32" s="147">
        <v>10</v>
      </c>
      <c r="L32" s="186">
        <v>4370</v>
      </c>
      <c r="N32" s="148">
        <v>14</v>
      </c>
      <c r="O32" s="135" t="s">
        <v>373</v>
      </c>
      <c r="T32" s="393"/>
      <c r="U32" s="394"/>
      <c r="V32" s="395"/>
      <c r="W32" s="393"/>
      <c r="X32" s="396"/>
      <c r="Y32" s="396"/>
      <c r="Z32" s="393"/>
      <c r="AA32" s="393"/>
    </row>
    <row r="33" spans="1:28" s="185" customFormat="1" ht="15" customHeight="1">
      <c r="B33" s="147" t="s">
        <v>360</v>
      </c>
      <c r="C33" s="147">
        <v>14</v>
      </c>
      <c r="D33" s="191">
        <v>4.5</v>
      </c>
      <c r="E33" s="191">
        <v>-3.81</v>
      </c>
      <c r="F33" s="191">
        <v>-151</v>
      </c>
      <c r="G33" s="187">
        <f t="shared" ref="G33:G40" si="0">(F33*1000)/((E33)*(D33*1000))</f>
        <v>8.807232429279674</v>
      </c>
      <c r="J33" s="401" t="s">
        <v>331</v>
      </c>
      <c r="K33" s="147">
        <v>9</v>
      </c>
      <c r="L33" s="186">
        <v>4200</v>
      </c>
      <c r="N33" s="148">
        <v>13</v>
      </c>
      <c r="O33" s="135" t="s">
        <v>374</v>
      </c>
      <c r="T33" s="393"/>
      <c r="U33" s="394"/>
      <c r="V33" s="395"/>
      <c r="W33" s="393"/>
      <c r="X33" s="393"/>
      <c r="Y33" s="393"/>
      <c r="Z33" s="393"/>
      <c r="AA33" s="393"/>
    </row>
    <row r="34" spans="1:28" s="185" customFormat="1" ht="15" customHeight="1">
      <c r="B34" s="147" t="s">
        <v>361</v>
      </c>
      <c r="C34" s="147">
        <v>13</v>
      </c>
      <c r="D34" s="191">
        <v>2.9</v>
      </c>
      <c r="E34" s="191">
        <v>-1.55</v>
      </c>
      <c r="F34" s="191">
        <v>-39</v>
      </c>
      <c r="G34" s="187">
        <f t="shared" si="0"/>
        <v>8.6763070077864288</v>
      </c>
      <c r="J34" s="401" t="s">
        <v>336</v>
      </c>
      <c r="K34" s="147">
        <v>12</v>
      </c>
      <c r="L34" s="186">
        <v>900</v>
      </c>
      <c r="N34" s="148">
        <v>12</v>
      </c>
      <c r="O34" s="135" t="s">
        <v>375</v>
      </c>
      <c r="T34" s="393"/>
      <c r="U34" s="397"/>
      <c r="V34" s="397"/>
      <c r="W34" s="393"/>
      <c r="X34" s="398"/>
      <c r="Y34" s="392"/>
      <c r="Z34" s="393"/>
      <c r="AA34" s="399"/>
      <c r="AB34" s="188"/>
    </row>
    <row r="35" spans="1:28" s="185" customFormat="1" ht="15" customHeight="1">
      <c r="B35" s="147" t="s">
        <v>362</v>
      </c>
      <c r="C35" s="147">
        <v>12</v>
      </c>
      <c r="D35" s="191">
        <v>4.8</v>
      </c>
      <c r="E35" s="191">
        <v>-1.1100000000000001</v>
      </c>
      <c r="F35" s="191">
        <v>-48</v>
      </c>
      <c r="G35" s="187">
        <f t="shared" si="0"/>
        <v>9.0090090090090076</v>
      </c>
      <c r="J35" s="401" t="s">
        <v>337</v>
      </c>
      <c r="K35" s="147">
        <v>14</v>
      </c>
      <c r="L35" s="186">
        <v>850</v>
      </c>
      <c r="N35" s="148">
        <v>11</v>
      </c>
      <c r="O35" s="135" t="s">
        <v>376</v>
      </c>
      <c r="T35" s="393"/>
      <c r="U35" s="397"/>
      <c r="V35" s="397"/>
      <c r="W35" s="393"/>
      <c r="X35" s="398"/>
      <c r="Y35" s="392"/>
      <c r="Z35" s="393"/>
      <c r="AA35" s="393"/>
    </row>
    <row r="36" spans="1:28" s="185" customFormat="1" ht="15" customHeight="1">
      <c r="B36" s="147" t="s">
        <v>363</v>
      </c>
      <c r="C36" s="147">
        <v>11</v>
      </c>
      <c r="D36" s="191">
        <v>4.2</v>
      </c>
      <c r="E36" s="191">
        <v>-4.13</v>
      </c>
      <c r="F36" s="191">
        <v>-151</v>
      </c>
      <c r="G36" s="187">
        <f t="shared" si="0"/>
        <v>8.7051769860486559</v>
      </c>
      <c r="J36" s="401" t="s">
        <v>338</v>
      </c>
      <c r="K36" s="147">
        <v>15</v>
      </c>
      <c r="L36" s="186">
        <v>2330</v>
      </c>
      <c r="N36" s="148">
        <v>10</v>
      </c>
      <c r="O36" s="135" t="s">
        <v>377</v>
      </c>
      <c r="T36" s="393"/>
      <c r="U36" s="397"/>
      <c r="V36" s="397"/>
      <c r="W36" s="393"/>
      <c r="X36" s="398"/>
      <c r="Y36" s="392"/>
      <c r="Z36" s="393"/>
      <c r="AA36" s="393"/>
    </row>
    <row r="37" spans="1:28" s="185" customFormat="1" ht="15" customHeight="1">
      <c r="B37" s="147" t="s">
        <v>364</v>
      </c>
      <c r="C37" s="147">
        <v>10</v>
      </c>
      <c r="D37" s="191">
        <v>7.3</v>
      </c>
      <c r="E37" s="191">
        <v>-2.33</v>
      </c>
      <c r="F37" s="191">
        <v>-145</v>
      </c>
      <c r="G37" s="187">
        <f t="shared" si="0"/>
        <v>8.524898583103063</v>
      </c>
      <c r="J37" s="401" t="s">
        <v>339</v>
      </c>
      <c r="K37" s="147">
        <v>15</v>
      </c>
      <c r="L37" s="186">
        <v>2230</v>
      </c>
      <c r="N37" s="148">
        <v>9</v>
      </c>
      <c r="O37" s="135" t="s">
        <v>365</v>
      </c>
      <c r="T37" s="393"/>
      <c r="U37" s="397"/>
      <c r="V37" s="397"/>
      <c r="W37" s="393"/>
      <c r="X37" s="398"/>
      <c r="Y37" s="392"/>
      <c r="Z37" s="393"/>
      <c r="AA37" s="393"/>
    </row>
    <row r="38" spans="1:28" s="185" customFormat="1" ht="15" customHeight="1">
      <c r="B38" s="147" t="s">
        <v>365</v>
      </c>
      <c r="C38" s="147">
        <v>9</v>
      </c>
      <c r="D38" s="191">
        <v>3.9</v>
      </c>
      <c r="E38" s="191">
        <v>-1.93</v>
      </c>
      <c r="F38" s="191">
        <v>-66</v>
      </c>
      <c r="G38" s="187">
        <f t="shared" si="0"/>
        <v>8.7684336388999604</v>
      </c>
      <c r="J38" s="401" t="s">
        <v>340</v>
      </c>
      <c r="K38" s="147">
        <v>8</v>
      </c>
      <c r="L38" s="186">
        <v>4726</v>
      </c>
      <c r="N38" s="148">
        <v>8</v>
      </c>
      <c r="O38" s="135" t="s">
        <v>378</v>
      </c>
      <c r="T38" s="393"/>
      <c r="U38" s="397"/>
      <c r="V38" s="397"/>
      <c r="W38" s="393"/>
      <c r="X38" s="398"/>
      <c r="Y38" s="392"/>
      <c r="Z38" s="393"/>
      <c r="AA38" s="393"/>
    </row>
    <row r="39" spans="1:28" s="185" customFormat="1" ht="15" customHeight="1">
      <c r="B39" s="147" t="s">
        <v>366</v>
      </c>
      <c r="C39" s="147">
        <v>8</v>
      </c>
      <c r="D39" s="191">
        <v>18</v>
      </c>
      <c r="E39" s="191">
        <v>0.54</v>
      </c>
      <c r="F39" s="191">
        <v>79</v>
      </c>
      <c r="G39" s="187">
        <f t="shared" si="0"/>
        <v>8.1275720164609062</v>
      </c>
      <c r="J39" s="401" t="s">
        <v>341</v>
      </c>
      <c r="K39" s="147">
        <v>7</v>
      </c>
      <c r="L39" s="186">
        <v>2980</v>
      </c>
      <c r="N39" s="148">
        <v>7</v>
      </c>
      <c r="O39" s="146" t="s">
        <v>379</v>
      </c>
      <c r="T39" s="393"/>
      <c r="U39" s="397"/>
      <c r="V39" s="397"/>
      <c r="W39" s="393"/>
      <c r="X39" s="398"/>
      <c r="Y39" s="392"/>
      <c r="Z39" s="393"/>
      <c r="AA39" s="393"/>
    </row>
    <row r="40" spans="1:28" s="185" customFormat="1" ht="15" customHeight="1">
      <c r="B40" s="147" t="s">
        <v>367</v>
      </c>
      <c r="C40" s="147">
        <v>7</v>
      </c>
      <c r="D40" s="191">
        <v>9.6999999999999993</v>
      </c>
      <c r="E40" s="191">
        <v>-0.01</v>
      </c>
      <c r="F40" s="191">
        <v>-1</v>
      </c>
      <c r="G40" s="187">
        <f t="shared" si="0"/>
        <v>10.309278350515465</v>
      </c>
      <c r="J40" s="401" t="s">
        <v>342</v>
      </c>
      <c r="K40" s="147">
        <v>8</v>
      </c>
      <c r="L40" s="186">
        <v>3405</v>
      </c>
      <c r="N40" s="146"/>
      <c r="O40" s="145" t="s">
        <v>257</v>
      </c>
      <c r="T40" s="393"/>
      <c r="U40" s="397"/>
      <c r="V40" s="397"/>
      <c r="W40" s="393"/>
      <c r="X40" s="398"/>
      <c r="Y40" s="392"/>
      <c r="Z40" s="393"/>
      <c r="AA40" s="393"/>
    </row>
    <row r="41" spans="1:28" s="185" customFormat="1" ht="15" customHeight="1">
      <c r="B41" s="146"/>
      <c r="C41" s="183" t="s">
        <v>38</v>
      </c>
      <c r="D41" s="193">
        <v>78.2</v>
      </c>
      <c r="E41" s="193">
        <v>-0.98</v>
      </c>
      <c r="F41" s="193">
        <v>-694</v>
      </c>
      <c r="G41" s="351">
        <f>HARMEAN(G32:G39)</f>
        <v>8.768958174462071</v>
      </c>
      <c r="J41" s="401" t="s">
        <v>343</v>
      </c>
      <c r="K41" s="147">
        <v>15</v>
      </c>
      <c r="L41" s="186">
        <v>4538</v>
      </c>
      <c r="T41" s="393"/>
      <c r="U41" s="397"/>
      <c r="V41" s="397"/>
      <c r="W41" s="393"/>
      <c r="X41" s="398"/>
      <c r="Y41" s="392"/>
      <c r="Z41" s="393"/>
      <c r="AA41" s="393"/>
    </row>
    <row r="42" spans="1:28" ht="18" customHeight="1">
      <c r="A42" s="3"/>
      <c r="B42" s="4" t="s">
        <v>2154</v>
      </c>
      <c r="J42" s="402" t="s">
        <v>344</v>
      </c>
      <c r="K42" s="6">
        <v>10</v>
      </c>
      <c r="L42" s="142">
        <v>3500</v>
      </c>
      <c r="T42" s="22"/>
      <c r="U42" s="397"/>
      <c r="V42" s="397"/>
      <c r="W42" s="22"/>
      <c r="X42" s="398"/>
      <c r="Y42" s="392"/>
      <c r="Z42" s="22"/>
      <c r="AA42" s="16"/>
    </row>
    <row r="43" spans="1:28">
      <c r="A43" s="3"/>
      <c r="B43" s="12" t="s">
        <v>1802</v>
      </c>
      <c r="J43" s="402" t="s">
        <v>345</v>
      </c>
      <c r="K43" s="6">
        <v>13</v>
      </c>
      <c r="L43" s="142">
        <v>2370</v>
      </c>
      <c r="T43" s="22"/>
      <c r="U43" s="400"/>
      <c r="V43" s="395"/>
      <c r="W43" s="22"/>
      <c r="X43" s="22"/>
      <c r="Y43" s="392"/>
      <c r="Z43" s="22"/>
      <c r="AA43" s="22"/>
    </row>
    <row r="44" spans="1:28">
      <c r="B44" s="3" t="s">
        <v>1803</v>
      </c>
      <c r="J44" s="402" t="s">
        <v>346</v>
      </c>
      <c r="K44" s="6">
        <v>10</v>
      </c>
      <c r="L44" s="142">
        <v>2000</v>
      </c>
      <c r="T44" s="22"/>
      <c r="U44" s="22"/>
      <c r="V44" s="22"/>
      <c r="W44" s="22"/>
      <c r="X44" s="22"/>
      <c r="Y44" s="22"/>
      <c r="Z44" s="22"/>
      <c r="AA44" s="22"/>
    </row>
    <row r="45" spans="1:28">
      <c r="J45" s="402" t="s">
        <v>347</v>
      </c>
      <c r="K45" s="6">
        <v>15</v>
      </c>
      <c r="L45" s="142">
        <v>2910</v>
      </c>
      <c r="T45" s="22"/>
      <c r="U45" s="22"/>
      <c r="V45" s="22"/>
      <c r="W45" s="22"/>
      <c r="X45" s="22"/>
      <c r="Y45" s="22"/>
      <c r="Z45" s="22"/>
      <c r="AA45" s="22"/>
    </row>
    <row r="46" spans="1:28">
      <c r="J46" s="402" t="s">
        <v>348</v>
      </c>
      <c r="K46" s="6">
        <v>8</v>
      </c>
      <c r="L46" s="142">
        <v>7985</v>
      </c>
      <c r="T46" s="22"/>
      <c r="U46" s="22"/>
      <c r="V46" s="22"/>
      <c r="W46" s="22"/>
      <c r="X46" s="22"/>
      <c r="Y46" s="22"/>
      <c r="Z46" s="22"/>
      <c r="AA46" s="22"/>
    </row>
    <row r="47" spans="1:28">
      <c r="J47" s="402" t="s">
        <v>349</v>
      </c>
      <c r="K47" s="6">
        <v>11</v>
      </c>
      <c r="L47" s="142">
        <v>2650</v>
      </c>
      <c r="T47" s="22"/>
      <c r="U47" s="22"/>
      <c r="V47" s="22"/>
      <c r="W47" s="22"/>
      <c r="X47" s="22"/>
      <c r="Y47" s="22"/>
      <c r="Z47" s="22"/>
      <c r="AA47" s="22"/>
    </row>
    <row r="48" spans="1:28">
      <c r="J48" s="402" t="s">
        <v>350</v>
      </c>
      <c r="K48" s="6">
        <v>10</v>
      </c>
      <c r="L48" s="142">
        <v>700</v>
      </c>
      <c r="T48" s="22"/>
      <c r="U48" s="22"/>
      <c r="V48" s="22"/>
      <c r="W48" s="22"/>
      <c r="X48" s="22"/>
      <c r="Y48" s="22"/>
      <c r="Z48" s="22"/>
      <c r="AA48" s="22"/>
    </row>
    <row r="49" spans="2:12" ht="14.25">
      <c r="B49" s="177" t="s">
        <v>368</v>
      </c>
      <c r="J49" s="402" t="s">
        <v>351</v>
      </c>
      <c r="K49" s="6">
        <v>14</v>
      </c>
      <c r="L49" s="142">
        <v>310</v>
      </c>
    </row>
    <row r="50" spans="2:12">
      <c r="B50" s="12" t="s">
        <v>1804</v>
      </c>
      <c r="J50" s="402" t="s">
        <v>352</v>
      </c>
      <c r="K50" s="6">
        <v>12</v>
      </c>
      <c r="L50" s="142">
        <v>2360</v>
      </c>
    </row>
    <row r="51" spans="2:12">
      <c r="B51" s="3" t="s">
        <v>1805</v>
      </c>
      <c r="J51" s="402" t="s">
        <v>353</v>
      </c>
      <c r="K51" s="6">
        <v>15</v>
      </c>
      <c r="L51" s="142">
        <v>3910</v>
      </c>
    </row>
    <row r="52" spans="2:12">
      <c r="B52" s="3" t="s">
        <v>1806</v>
      </c>
      <c r="J52" s="402" t="s">
        <v>354</v>
      </c>
      <c r="K52" s="6">
        <v>15</v>
      </c>
      <c r="L52" s="142">
        <v>2100</v>
      </c>
    </row>
    <row r="53" spans="2:12">
      <c r="J53" s="402" t="s">
        <v>355</v>
      </c>
      <c r="K53" s="6">
        <v>14</v>
      </c>
      <c r="L53" s="142">
        <v>1237</v>
      </c>
    </row>
    <row r="54" spans="2:12">
      <c r="J54" s="402" t="s">
        <v>356</v>
      </c>
      <c r="K54" s="6">
        <v>7</v>
      </c>
      <c r="L54" s="142">
        <v>7570</v>
      </c>
    </row>
    <row r="55" spans="2:12">
      <c r="B55" s="12"/>
      <c r="J55" s="402" t="s">
        <v>357</v>
      </c>
      <c r="K55" s="6">
        <v>8</v>
      </c>
      <c r="L55" s="142">
        <v>2480</v>
      </c>
    </row>
    <row r="56" spans="2:12">
      <c r="B56" s="12"/>
      <c r="J56" s="402" t="s">
        <v>358</v>
      </c>
      <c r="K56" s="6">
        <v>7</v>
      </c>
      <c r="L56" s="142">
        <v>3435</v>
      </c>
    </row>
    <row r="57" spans="2:12">
      <c r="J57" s="403" t="s">
        <v>38</v>
      </c>
      <c r="K57" s="6"/>
      <c r="L57" s="64">
        <f>SUM(L31:L56)</f>
        <v>78896</v>
      </c>
    </row>
    <row r="58" spans="2:12">
      <c r="B58" s="4" t="s">
        <v>522</v>
      </c>
      <c r="J58" s="12" t="s">
        <v>520</v>
      </c>
    </row>
    <row r="60" spans="2:12">
      <c r="B60" s="8"/>
    </row>
    <row r="61" spans="2:12">
      <c r="B61" s="7" t="s">
        <v>523</v>
      </c>
      <c r="C61" s="192" t="e">
        <f>VLOOKUP(C8,J31:L56,3,FALSE)</f>
        <v>#N/A</v>
      </c>
    </row>
    <row r="62" spans="2:12">
      <c r="B62" s="7" t="s">
        <v>330</v>
      </c>
      <c r="C62" s="192" t="e">
        <f>VLOOKUP(C25,C32:G40,3,FALSE)</f>
        <v>#N/A</v>
      </c>
    </row>
    <row r="63" spans="2:12">
      <c r="B63" s="7" t="s">
        <v>521</v>
      </c>
      <c r="C63" s="192" t="e">
        <f>VLOOKUP(C25,C32:G40,5,FALSE)</f>
        <v>#N/A</v>
      </c>
      <c r="F63" s="53"/>
    </row>
    <row r="64" spans="2:12">
      <c r="B64" s="149" t="s">
        <v>380</v>
      </c>
      <c r="C64" s="190" t="e">
        <f>-1*C63*C62*C61</f>
        <v>#N/A</v>
      </c>
    </row>
    <row r="66" spans="1:9">
      <c r="B66" s="143"/>
    </row>
    <row r="67" spans="1:9">
      <c r="A67" s="53" t="s">
        <v>42</v>
      </c>
      <c r="B67" s="389" t="s">
        <v>1958</v>
      </c>
    </row>
    <row r="68" spans="1:9">
      <c r="B68" s="53"/>
      <c r="C68" s="53"/>
    </row>
    <row r="69" spans="1:9">
      <c r="B69" s="53"/>
      <c r="C69" s="53"/>
    </row>
    <row r="70" spans="1:9">
      <c r="B70" s="389"/>
    </row>
    <row r="71" spans="1:9">
      <c r="B71" s="379" t="s">
        <v>1877</v>
      </c>
      <c r="C71" s="190" t="s">
        <v>1878</v>
      </c>
      <c r="D71" s="150"/>
      <c r="E71" s="53"/>
    </row>
    <row r="72" spans="1:9">
      <c r="B72" s="330" t="s">
        <v>1962</v>
      </c>
      <c r="C72" s="62">
        <v>7</v>
      </c>
    </row>
    <row r="73" spans="1:9">
      <c r="B73" s="330" t="s">
        <v>1961</v>
      </c>
      <c r="C73" s="62">
        <v>15</v>
      </c>
    </row>
    <row r="74" spans="1:9">
      <c r="B74" s="330" t="s">
        <v>1963</v>
      </c>
      <c r="C74" s="24">
        <f>AVERAGE(C72:C73)</f>
        <v>11</v>
      </c>
    </row>
    <row r="75" spans="1:9">
      <c r="B75" s="390" t="s">
        <v>1879</v>
      </c>
      <c r="C75" s="387"/>
    </row>
    <row r="76" spans="1:9">
      <c r="B76" s="388"/>
      <c r="C76" s="388"/>
      <c r="F76" s="384"/>
      <c r="G76" s="386"/>
      <c r="H76" s="384"/>
      <c r="I76" s="384"/>
    </row>
    <row r="77" spans="1:9">
      <c r="B77" s="388"/>
      <c r="C77" s="388"/>
      <c r="F77" s="384"/>
      <c r="G77" s="386"/>
      <c r="H77" s="384"/>
      <c r="I77" s="384"/>
    </row>
    <row r="78" spans="1:9">
      <c r="B78" s="86" t="s">
        <v>1959</v>
      </c>
      <c r="C78" s="53"/>
      <c r="E78" s="8"/>
      <c r="F78" s="384"/>
      <c r="G78" s="386"/>
      <c r="H78" s="384"/>
      <c r="I78" s="384"/>
    </row>
    <row r="79" spans="1:9">
      <c r="F79" s="384"/>
      <c r="G79" s="386"/>
      <c r="H79" s="384"/>
      <c r="I79" s="384"/>
    </row>
    <row r="80" spans="1:9" ht="25.5">
      <c r="B80" s="82" t="s">
        <v>1880</v>
      </c>
      <c r="C80" s="82" t="s">
        <v>1881</v>
      </c>
      <c r="D80" s="82" t="s">
        <v>1882</v>
      </c>
      <c r="E80" s="82" t="s">
        <v>1883</v>
      </c>
      <c r="F80" s="82" t="s">
        <v>1912</v>
      </c>
      <c r="G80" s="385" t="s">
        <v>158</v>
      </c>
      <c r="H80" s="384"/>
      <c r="I80" s="384"/>
    </row>
    <row r="81" spans="1:7" ht="52.5" customHeight="1">
      <c r="B81" s="404" t="s">
        <v>343</v>
      </c>
      <c r="C81" s="405">
        <v>1100000</v>
      </c>
      <c r="D81" s="404" t="s">
        <v>1884</v>
      </c>
      <c r="E81" s="407" t="s">
        <v>1885</v>
      </c>
      <c r="F81" s="406">
        <v>20000</v>
      </c>
      <c r="G81" s="408">
        <f>C81/F81</f>
        <v>55</v>
      </c>
    </row>
    <row r="82" spans="1:7" ht="51">
      <c r="B82" s="404" t="s">
        <v>347</v>
      </c>
      <c r="C82" s="406">
        <v>1000000</v>
      </c>
      <c r="D82" s="404" t="s">
        <v>1884</v>
      </c>
      <c r="E82" s="407" t="s">
        <v>1886</v>
      </c>
      <c r="F82" s="6"/>
      <c r="G82" s="6"/>
    </row>
    <row r="83" spans="1:7">
      <c r="B83" s="87" t="s">
        <v>1913</v>
      </c>
    </row>
    <row r="86" spans="1:7">
      <c r="B86" s="105" t="s">
        <v>1960</v>
      </c>
      <c r="C86" s="6">
        <f>(C74+G81)/2</f>
        <v>33</v>
      </c>
    </row>
    <row r="87" spans="1:7">
      <c r="B87" s="178" t="s">
        <v>2155</v>
      </c>
      <c r="C87" s="13"/>
    </row>
    <row r="88" spans="1:7">
      <c r="B88" s="389"/>
    </row>
    <row r="89" spans="1:7">
      <c r="B89" s="143"/>
    </row>
    <row r="90" spans="1:7">
      <c r="A90" s="53" t="s">
        <v>47</v>
      </c>
      <c r="B90" s="105" t="s">
        <v>2018</v>
      </c>
      <c r="C90" s="409" t="str">
        <f>IF(ISERROR((C86*C64)/1000000),"",(C86*C64)/1000000)</f>
        <v/>
      </c>
    </row>
    <row r="91" spans="1:7">
      <c r="B91" s="143"/>
    </row>
    <row r="94" spans="1:7">
      <c r="A94" s="53" t="s">
        <v>48</v>
      </c>
      <c r="B94" s="34" t="s">
        <v>407</v>
      </c>
      <c r="C94" s="106" t="str">
        <f>IF(ISERROR(C90*C12),"",C90*C12)</f>
        <v/>
      </c>
      <c r="D94" s="4"/>
    </row>
    <row r="95" spans="1:7">
      <c r="B95" s="53"/>
      <c r="C95" s="53"/>
      <c r="D95" s="53"/>
    </row>
    <row r="97" spans="1:9">
      <c r="A97" s="53" t="s">
        <v>44</v>
      </c>
      <c r="B97" s="54" t="s">
        <v>381</v>
      </c>
    </row>
    <row r="98" spans="1:9">
      <c r="B98" s="111" t="s">
        <v>382</v>
      </c>
    </row>
    <row r="99" spans="1:9">
      <c r="B99" s="53"/>
    </row>
    <row r="100" spans="1:9">
      <c r="B100" s="53"/>
      <c r="C100" s="6">
        <v>2015</v>
      </c>
      <c r="D100" s="6">
        <v>2030</v>
      </c>
      <c r="E100" s="6">
        <v>2100</v>
      </c>
    </row>
    <row r="101" spans="1:9">
      <c r="B101" s="24" t="s">
        <v>383</v>
      </c>
      <c r="C101" s="6">
        <v>0</v>
      </c>
      <c r="D101" s="92">
        <f>(E101-C101)/(E100-C100)*(D100-C100)+C101</f>
        <v>0.1288235294117647</v>
      </c>
      <c r="E101" s="62">
        <v>0.73</v>
      </c>
    </row>
    <row r="102" spans="1:9">
      <c r="B102" s="53"/>
    </row>
    <row r="103" spans="1:9">
      <c r="B103" s="53"/>
    </row>
    <row r="104" spans="1:9">
      <c r="B104" s="4" t="s">
        <v>524</v>
      </c>
    </row>
    <row r="105" spans="1:9">
      <c r="B105" s="4"/>
    </row>
    <row r="106" spans="1:9">
      <c r="A106" s="3"/>
      <c r="B106" s="13" t="s">
        <v>526</v>
      </c>
    </row>
    <row r="107" spans="1:9">
      <c r="A107" s="3"/>
      <c r="G107" s="3" t="s">
        <v>510</v>
      </c>
    </row>
    <row r="108" spans="1:9">
      <c r="A108" s="3"/>
      <c r="C108" s="6" t="s">
        <v>384</v>
      </c>
      <c r="D108" s="6" t="s">
        <v>385</v>
      </c>
      <c r="E108" s="6" t="s">
        <v>386</v>
      </c>
      <c r="H108" s="6">
        <v>2030</v>
      </c>
      <c r="I108" s="6">
        <v>2100</v>
      </c>
    </row>
    <row r="109" spans="1:9">
      <c r="A109" s="3"/>
      <c r="B109" s="151" t="s">
        <v>387</v>
      </c>
      <c r="C109" s="160">
        <v>0.47</v>
      </c>
      <c r="D109" s="160">
        <v>0.88</v>
      </c>
      <c r="E109" s="160">
        <v>1.8</v>
      </c>
      <c r="G109" s="6" t="s">
        <v>388</v>
      </c>
      <c r="H109" s="92">
        <f>D101</f>
        <v>0.1288235294117647</v>
      </c>
      <c r="I109" s="62">
        <f>E101</f>
        <v>0.73</v>
      </c>
    </row>
    <row r="110" spans="1:9">
      <c r="A110" s="3"/>
      <c r="B110" s="140" t="s">
        <v>389</v>
      </c>
      <c r="C110" s="152">
        <f>(C127+I127)/2</f>
        <v>0.185</v>
      </c>
      <c r="D110" s="152">
        <f>(D127+J127)/2</f>
        <v>0.35499999999999998</v>
      </c>
      <c r="E110" s="152">
        <f>(E127+K127)/2</f>
        <v>0.71500000000000008</v>
      </c>
    </row>
    <row r="111" spans="1:9">
      <c r="A111" s="3"/>
      <c r="B111" s="6" t="s">
        <v>511</v>
      </c>
      <c r="C111" s="152"/>
      <c r="D111" s="179">
        <f>(D134+J134)/2</f>
        <v>2.2435897435897436</v>
      </c>
      <c r="E111" s="176">
        <f>(E134+K134)/2</f>
        <v>1.0987712665406426</v>
      </c>
    </row>
    <row r="112" spans="1:9">
      <c r="A112" s="3"/>
    </row>
    <row r="113" spans="1:11">
      <c r="A113" s="3"/>
      <c r="B113" s="13"/>
      <c r="C113" s="13"/>
      <c r="D113" s="153"/>
      <c r="E113" s="153"/>
    </row>
    <row r="114" spans="1:11">
      <c r="A114" s="3"/>
      <c r="B114" s="4" t="s">
        <v>525</v>
      </c>
      <c r="C114" s="13"/>
      <c r="D114" s="153"/>
      <c r="E114" s="153"/>
    </row>
    <row r="115" spans="1:11">
      <c r="A115" s="3"/>
      <c r="B115" s="4"/>
      <c r="C115" s="13"/>
      <c r="D115" s="153"/>
      <c r="E115" s="153"/>
    </row>
    <row r="116" spans="1:11">
      <c r="A116" s="3"/>
      <c r="B116" s="4" t="s">
        <v>390</v>
      </c>
      <c r="H116" s="4" t="s">
        <v>391</v>
      </c>
    </row>
    <row r="117" spans="1:11">
      <c r="A117" s="3"/>
      <c r="H117" s="4"/>
    </row>
    <row r="118" spans="1:11">
      <c r="B118" s="151" t="s">
        <v>392</v>
      </c>
      <c r="C118" s="161">
        <v>0.47</v>
      </c>
      <c r="D118" s="161">
        <v>0.88</v>
      </c>
      <c r="E118" s="161">
        <v>1.8</v>
      </c>
      <c r="H118" s="151" t="s">
        <v>392</v>
      </c>
      <c r="I118" s="161">
        <v>0.47</v>
      </c>
      <c r="J118" s="161">
        <v>0.88</v>
      </c>
      <c r="K118" s="161">
        <v>1.8</v>
      </c>
    </row>
    <row r="119" spans="1:11">
      <c r="B119" s="151" t="s">
        <v>393</v>
      </c>
      <c r="C119" s="180">
        <v>3.8999999999999999E-4</v>
      </c>
      <c r="D119" s="180">
        <v>3.8999999999999999E-4</v>
      </c>
      <c r="E119" s="180">
        <v>3.8999999999999999E-4</v>
      </c>
      <c r="H119" s="151" t="s">
        <v>393</v>
      </c>
      <c r="I119" s="180">
        <v>8.7799999999999998E-4</v>
      </c>
      <c r="J119" s="180">
        <v>8.7799999999999998E-4</v>
      </c>
      <c r="K119" s="180">
        <v>8.7799999999999998E-4</v>
      </c>
    </row>
    <row r="120" spans="1:11" ht="25.5">
      <c r="B120" s="151" t="s">
        <v>394</v>
      </c>
      <c r="C120" s="180">
        <v>0.14000000000000001</v>
      </c>
      <c r="D120" s="180">
        <v>0.14000000000000001</v>
      </c>
      <c r="E120" s="180">
        <v>0.14000000000000001</v>
      </c>
      <c r="H120" s="151" t="s">
        <v>394</v>
      </c>
      <c r="I120" s="180">
        <v>0.2</v>
      </c>
      <c r="J120" s="180">
        <v>0.2</v>
      </c>
      <c r="K120" s="180">
        <v>0.2</v>
      </c>
    </row>
    <row r="121" spans="1:11" ht="25.5">
      <c r="B121" s="151" t="s">
        <v>395</v>
      </c>
      <c r="C121" s="180">
        <v>6.35</v>
      </c>
      <c r="D121" s="180">
        <v>6.35</v>
      </c>
      <c r="E121" s="180">
        <v>6.35</v>
      </c>
      <c r="H121" s="151" t="s">
        <v>395</v>
      </c>
      <c r="I121" s="180">
        <v>6.35</v>
      </c>
      <c r="J121" s="180">
        <v>6.35</v>
      </c>
      <c r="K121" s="180">
        <v>6.35</v>
      </c>
    </row>
    <row r="122" spans="1:11">
      <c r="B122" s="151" t="s">
        <v>396</v>
      </c>
      <c r="C122" s="180">
        <v>0.8</v>
      </c>
      <c r="D122" s="180">
        <v>0.8</v>
      </c>
      <c r="E122" s="180">
        <v>0.8</v>
      </c>
      <c r="H122" s="151" t="s">
        <v>396</v>
      </c>
      <c r="I122" s="180">
        <v>1.6</v>
      </c>
      <c r="J122" s="180">
        <v>1.6</v>
      </c>
      <c r="K122" s="180">
        <v>1.6</v>
      </c>
    </row>
    <row r="123" spans="1:11" ht="25.5">
      <c r="B123" s="151" t="s">
        <v>397</v>
      </c>
      <c r="C123" s="180">
        <v>10</v>
      </c>
      <c r="D123" s="180">
        <v>10</v>
      </c>
      <c r="E123" s="180">
        <v>10</v>
      </c>
      <c r="H123" s="151" t="s">
        <v>397</v>
      </c>
      <c r="I123" s="180">
        <v>10</v>
      </c>
      <c r="J123" s="180">
        <v>10</v>
      </c>
      <c r="K123" s="180">
        <v>10</v>
      </c>
    </row>
    <row r="124" spans="1:11">
      <c r="B124" s="151" t="s">
        <v>398</v>
      </c>
      <c r="C124" s="180">
        <v>315</v>
      </c>
      <c r="D124" s="180">
        <v>315</v>
      </c>
      <c r="E124" s="180">
        <v>315</v>
      </c>
      <c r="H124" s="151" t="s">
        <v>398</v>
      </c>
      <c r="I124" s="180">
        <v>189</v>
      </c>
      <c r="J124" s="180">
        <v>189</v>
      </c>
      <c r="K124" s="180">
        <v>189</v>
      </c>
    </row>
    <row r="125" spans="1:11" ht="25.5">
      <c r="B125" s="151" t="s">
        <v>399</v>
      </c>
      <c r="C125" s="180">
        <v>3640</v>
      </c>
      <c r="D125" s="180">
        <v>3640</v>
      </c>
      <c r="E125" s="180">
        <v>3640</v>
      </c>
      <c r="H125" s="151" t="s">
        <v>399</v>
      </c>
      <c r="I125" s="180">
        <v>1175</v>
      </c>
      <c r="J125" s="180">
        <v>1175</v>
      </c>
      <c r="K125" s="180">
        <v>1175</v>
      </c>
    </row>
    <row r="126" spans="1:11" ht="25.5">
      <c r="B126" s="151" t="s">
        <v>400</v>
      </c>
      <c r="C126" s="180">
        <v>20.7</v>
      </c>
      <c r="D126" s="180">
        <v>38.799999999999997</v>
      </c>
      <c r="E126" s="180">
        <v>79.3</v>
      </c>
      <c r="H126" s="151" t="s">
        <v>400</v>
      </c>
      <c r="I126" s="180">
        <v>11.2</v>
      </c>
      <c r="J126" s="180">
        <v>20.9</v>
      </c>
      <c r="K126" s="180">
        <v>42.8</v>
      </c>
    </row>
    <row r="127" spans="1:11" ht="25.5">
      <c r="B127" s="151" t="s">
        <v>401</v>
      </c>
      <c r="C127" s="154">
        <v>0.24</v>
      </c>
      <c r="D127" s="154">
        <v>0.46</v>
      </c>
      <c r="E127" s="154">
        <v>0.93</v>
      </c>
      <c r="H127" s="151" t="s">
        <v>401</v>
      </c>
      <c r="I127" s="154">
        <v>0.13</v>
      </c>
      <c r="J127" s="154">
        <v>0.25</v>
      </c>
      <c r="K127" s="154">
        <v>0.5</v>
      </c>
    </row>
    <row r="128" spans="1:11">
      <c r="B128" s="151" t="s">
        <v>507</v>
      </c>
      <c r="C128" s="181">
        <v>2</v>
      </c>
      <c r="D128" s="180">
        <v>3</v>
      </c>
      <c r="E128" s="180">
        <v>7</v>
      </c>
      <c r="H128" s="151" t="s">
        <v>402</v>
      </c>
      <c r="I128" s="180">
        <v>1</v>
      </c>
      <c r="J128" s="180">
        <v>2</v>
      </c>
      <c r="K128" s="180">
        <v>4</v>
      </c>
    </row>
    <row r="129" spans="1:19">
      <c r="B129" s="12" t="s">
        <v>403</v>
      </c>
      <c r="H129" s="175"/>
      <c r="I129" s="175"/>
      <c r="J129" s="175"/>
      <c r="K129" s="175"/>
      <c r="L129" s="175"/>
    </row>
    <row r="130" spans="1:19">
      <c r="B130" s="53"/>
      <c r="C130" s="53"/>
      <c r="D130" s="53"/>
      <c r="E130" s="53"/>
      <c r="F130" s="53"/>
      <c r="G130" s="53"/>
      <c r="H130" s="53"/>
      <c r="I130" s="53"/>
      <c r="J130" s="53"/>
      <c r="K130" s="53"/>
      <c r="L130" s="53"/>
    </row>
    <row r="131" spans="1:19">
      <c r="B131" s="54" t="s">
        <v>508</v>
      </c>
      <c r="C131" s="53"/>
      <c r="D131" s="53"/>
      <c r="E131" s="53"/>
      <c r="F131" s="53"/>
      <c r="G131" s="53"/>
      <c r="H131" s="53"/>
      <c r="I131" s="53"/>
      <c r="J131" s="53"/>
      <c r="K131" s="53"/>
      <c r="L131" s="53"/>
    </row>
    <row r="132" spans="1:19">
      <c r="B132" s="53"/>
      <c r="C132" s="53"/>
      <c r="D132" s="53"/>
      <c r="E132" s="53"/>
      <c r="F132" s="53"/>
      <c r="G132" s="53"/>
      <c r="H132" s="53"/>
      <c r="I132" s="53"/>
      <c r="J132" s="53"/>
      <c r="K132" s="53"/>
      <c r="L132" s="53"/>
    </row>
    <row r="133" spans="1:19">
      <c r="B133" s="19" t="s">
        <v>527</v>
      </c>
      <c r="C133" s="35">
        <f>(C121+C122)*C127</f>
        <v>1.7159999999999997</v>
      </c>
      <c r="D133" s="35">
        <f>(D121+D122)*D127</f>
        <v>3.2889999999999997</v>
      </c>
      <c r="E133" s="35">
        <f>(E121+E122)*E127</f>
        <v>6.6494999999999997</v>
      </c>
      <c r="H133" s="19" t="s">
        <v>527</v>
      </c>
      <c r="I133" s="35">
        <f>(I121+I122)*I127</f>
        <v>1.0334999999999999</v>
      </c>
      <c r="J133" s="35">
        <f>(J121+J122)*J127</f>
        <v>1.9874999999999998</v>
      </c>
      <c r="K133" s="35">
        <f>(K121+K122)*K127</f>
        <v>3.9749999999999996</v>
      </c>
    </row>
    <row r="134" spans="1:19">
      <c r="B134" s="6" t="s">
        <v>511</v>
      </c>
      <c r="C134" s="35"/>
      <c r="D134" s="94">
        <f>((D127-C127)/C127)/((D118-C118))</f>
        <v>2.2357723577235773</v>
      </c>
      <c r="E134" s="94">
        <f>((E127-D127)/D127)/((E118-D118))</f>
        <v>1.1105860113421551</v>
      </c>
      <c r="H134" s="6" t="s">
        <v>511</v>
      </c>
      <c r="I134" s="35"/>
      <c r="J134" s="176">
        <f>((J127-I127)/I127)/((J118-I118))</f>
        <v>2.2514071294559095</v>
      </c>
      <c r="K134" s="176">
        <f>((K127-J127)/J127)/((K118-J118))</f>
        <v>1.0869565217391304</v>
      </c>
    </row>
    <row r="136" spans="1:19">
      <c r="A136" s="53" t="s">
        <v>49</v>
      </c>
    </row>
    <row r="137" spans="1:19">
      <c r="B137" s="8"/>
      <c r="C137" s="934"/>
      <c r="D137" s="934"/>
    </row>
    <row r="138" spans="1:19">
      <c r="C138" s="6">
        <v>0</v>
      </c>
      <c r="D138" s="6">
        <v>1</v>
      </c>
      <c r="E138" s="6">
        <v>2</v>
      </c>
      <c r="F138" s="6">
        <v>3</v>
      </c>
      <c r="G138" s="6">
        <v>4</v>
      </c>
      <c r="H138" s="6">
        <v>5</v>
      </c>
      <c r="I138" s="6">
        <v>6</v>
      </c>
      <c r="J138" s="6">
        <v>7</v>
      </c>
      <c r="K138" s="6">
        <v>8</v>
      </c>
      <c r="L138" s="6">
        <v>9</v>
      </c>
      <c r="M138" s="6">
        <v>10</v>
      </c>
      <c r="N138" s="6">
        <v>11</v>
      </c>
      <c r="O138" s="6">
        <v>12</v>
      </c>
      <c r="P138" s="6">
        <v>13</v>
      </c>
      <c r="Q138" s="6">
        <v>14</v>
      </c>
      <c r="R138" s="6">
        <v>15</v>
      </c>
    </row>
    <row r="139" spans="1:19">
      <c r="B139" s="53"/>
      <c r="C139" s="48">
        <f>$C$13+C138</f>
        <v>0</v>
      </c>
      <c r="D139" s="48">
        <f t="shared" ref="D139:R139" si="1">$C$13+D138</f>
        <v>1</v>
      </c>
      <c r="E139" s="48">
        <f t="shared" si="1"/>
        <v>2</v>
      </c>
      <c r="F139" s="48">
        <f t="shared" si="1"/>
        <v>3</v>
      </c>
      <c r="G139" s="48">
        <f t="shared" si="1"/>
        <v>4</v>
      </c>
      <c r="H139" s="48">
        <f t="shared" si="1"/>
        <v>5</v>
      </c>
      <c r="I139" s="48">
        <f t="shared" si="1"/>
        <v>6</v>
      </c>
      <c r="J139" s="48">
        <f t="shared" si="1"/>
        <v>7</v>
      </c>
      <c r="K139" s="48">
        <f t="shared" si="1"/>
        <v>8</v>
      </c>
      <c r="L139" s="48">
        <f t="shared" si="1"/>
        <v>9</v>
      </c>
      <c r="M139" s="48">
        <f t="shared" si="1"/>
        <v>10</v>
      </c>
      <c r="N139" s="48">
        <f t="shared" si="1"/>
        <v>11</v>
      </c>
      <c r="O139" s="48">
        <f t="shared" si="1"/>
        <v>12</v>
      </c>
      <c r="P139" s="48">
        <f t="shared" si="1"/>
        <v>13</v>
      </c>
      <c r="Q139" s="48">
        <f t="shared" si="1"/>
        <v>14</v>
      </c>
      <c r="R139" s="48">
        <f t="shared" si="1"/>
        <v>15</v>
      </c>
    </row>
    <row r="140" spans="1:19">
      <c r="B140" s="24" t="s">
        <v>387</v>
      </c>
      <c r="C140" s="24">
        <v>0</v>
      </c>
      <c r="D140" s="88">
        <f>C140+(($R140-$C140)/$R138)</f>
        <v>8.5882352941176465E-3</v>
      </c>
      <c r="E140" s="88">
        <f t="shared" ref="E140:Q140" si="2">D140+(($R140-$C140)/$R138)</f>
        <v>1.7176470588235293E-2</v>
      </c>
      <c r="F140" s="88">
        <f t="shared" si="2"/>
        <v>2.576470588235294E-2</v>
      </c>
      <c r="G140" s="88">
        <f t="shared" si="2"/>
        <v>3.4352941176470586E-2</v>
      </c>
      <c r="H140" s="88">
        <f t="shared" si="2"/>
        <v>4.2941176470588233E-2</v>
      </c>
      <c r="I140" s="88">
        <f t="shared" si="2"/>
        <v>5.1529411764705879E-2</v>
      </c>
      <c r="J140" s="88">
        <f t="shared" si="2"/>
        <v>6.0117647058823526E-2</v>
      </c>
      <c r="K140" s="88">
        <f t="shared" si="2"/>
        <v>6.8705882352941172E-2</v>
      </c>
      <c r="L140" s="88">
        <f t="shared" si="2"/>
        <v>7.7294117647058819E-2</v>
      </c>
      <c r="M140" s="88">
        <f t="shared" si="2"/>
        <v>8.5882352941176465E-2</v>
      </c>
      <c r="N140" s="88">
        <f t="shared" si="2"/>
        <v>9.4470588235294112E-2</v>
      </c>
      <c r="O140" s="88">
        <f t="shared" si="2"/>
        <v>0.10305882352941176</v>
      </c>
      <c r="P140" s="88">
        <f t="shared" si="2"/>
        <v>0.1116470588235294</v>
      </c>
      <c r="Q140" s="88">
        <f t="shared" si="2"/>
        <v>0.12023529411764705</v>
      </c>
      <c r="R140" s="88">
        <f>D101</f>
        <v>0.1288235294117647</v>
      </c>
      <c r="S140" s="3">
        <f>AVERAGE(C140:R140)</f>
        <v>6.4411764705882363E-2</v>
      </c>
    </row>
    <row r="141" spans="1:19">
      <c r="B141" s="155" t="s">
        <v>404</v>
      </c>
      <c r="C141" s="24" t="e">
        <f>VLOOKUP(C25,C32:G40,3,FALSE)</f>
        <v>#N/A</v>
      </c>
      <c r="D141" s="189" t="e">
        <f>IF($C$141&gt;0, $C$141-($C$141*D140*$D$111),$C$141+($C$141*D140*$D$111))</f>
        <v>#N/A</v>
      </c>
      <c r="E141" s="189" t="e">
        <f t="shared" ref="E141:Q141" si="3">$C$141+($C$141*(E140*$D$111))</f>
        <v>#N/A</v>
      </c>
      <c r="F141" s="189" t="e">
        <f t="shared" si="3"/>
        <v>#N/A</v>
      </c>
      <c r="G141" s="189" t="e">
        <f t="shared" si="3"/>
        <v>#N/A</v>
      </c>
      <c r="H141" s="189" t="e">
        <f t="shared" si="3"/>
        <v>#N/A</v>
      </c>
      <c r="I141" s="189" t="e">
        <f t="shared" si="3"/>
        <v>#N/A</v>
      </c>
      <c r="J141" s="189" t="e">
        <f t="shared" si="3"/>
        <v>#N/A</v>
      </c>
      <c r="K141" s="189" t="e">
        <f t="shared" si="3"/>
        <v>#N/A</v>
      </c>
      <c r="L141" s="189" t="e">
        <f t="shared" si="3"/>
        <v>#N/A</v>
      </c>
      <c r="M141" s="189" t="e">
        <f t="shared" si="3"/>
        <v>#N/A</v>
      </c>
      <c r="N141" s="189" t="e">
        <f t="shared" si="3"/>
        <v>#N/A</v>
      </c>
      <c r="O141" s="189" t="e">
        <f t="shared" si="3"/>
        <v>#N/A</v>
      </c>
      <c r="P141" s="189" t="e">
        <f t="shared" si="3"/>
        <v>#N/A</v>
      </c>
      <c r="Q141" s="189" t="e">
        <f t="shared" si="3"/>
        <v>#N/A</v>
      </c>
      <c r="R141" s="189" t="e">
        <f>IF($C$141&lt;0,$C$141+($C$141*(R140*$D$111)),$C$141-($C$141*(R140*$D$111)))</f>
        <v>#N/A</v>
      </c>
    </row>
    <row r="142" spans="1:19" ht="13.5" customHeight="1">
      <c r="B142" s="156" t="s">
        <v>405</v>
      </c>
      <c r="C142" s="11" t="e">
        <f>-1*$C61*$C63*C141</f>
        <v>#N/A</v>
      </c>
      <c r="D142" s="11" t="e">
        <f t="shared" ref="D142:R142" si="4">-1*$C61*$C63*D141</f>
        <v>#N/A</v>
      </c>
      <c r="E142" s="11" t="e">
        <f t="shared" si="4"/>
        <v>#N/A</v>
      </c>
      <c r="F142" s="11" t="e">
        <f t="shared" si="4"/>
        <v>#N/A</v>
      </c>
      <c r="G142" s="11" t="e">
        <f t="shared" si="4"/>
        <v>#N/A</v>
      </c>
      <c r="H142" s="11" t="e">
        <f t="shared" si="4"/>
        <v>#N/A</v>
      </c>
      <c r="I142" s="11" t="e">
        <f t="shared" si="4"/>
        <v>#N/A</v>
      </c>
      <c r="J142" s="11" t="e">
        <f t="shared" si="4"/>
        <v>#N/A</v>
      </c>
      <c r="K142" s="11" t="e">
        <f t="shared" si="4"/>
        <v>#N/A</v>
      </c>
      <c r="L142" s="11" t="e">
        <f t="shared" si="4"/>
        <v>#N/A</v>
      </c>
      <c r="M142" s="11" t="e">
        <f t="shared" si="4"/>
        <v>#N/A</v>
      </c>
      <c r="N142" s="11" t="e">
        <f t="shared" si="4"/>
        <v>#N/A</v>
      </c>
      <c r="O142" s="11" t="e">
        <f t="shared" si="4"/>
        <v>#N/A</v>
      </c>
      <c r="P142" s="11" t="e">
        <f t="shared" si="4"/>
        <v>#N/A</v>
      </c>
      <c r="Q142" s="11" t="e">
        <f t="shared" si="4"/>
        <v>#N/A</v>
      </c>
      <c r="R142" s="11" t="e">
        <f t="shared" si="4"/>
        <v>#N/A</v>
      </c>
    </row>
    <row r="143" spans="1:19">
      <c r="B143" s="157" t="s">
        <v>406</v>
      </c>
      <c r="C143" s="49" t="e">
        <f>($C$86*C142)/1000000</f>
        <v>#N/A</v>
      </c>
      <c r="D143" s="49" t="e">
        <f t="shared" ref="D143:R143" si="5">($C$86*D142)/1000000</f>
        <v>#N/A</v>
      </c>
      <c r="E143" s="49" t="e">
        <f t="shared" si="5"/>
        <v>#N/A</v>
      </c>
      <c r="F143" s="49" t="e">
        <f t="shared" si="5"/>
        <v>#N/A</v>
      </c>
      <c r="G143" s="49" t="e">
        <f t="shared" si="5"/>
        <v>#N/A</v>
      </c>
      <c r="H143" s="49" t="e">
        <f t="shared" si="5"/>
        <v>#N/A</v>
      </c>
      <c r="I143" s="49" t="e">
        <f t="shared" si="5"/>
        <v>#N/A</v>
      </c>
      <c r="J143" s="49" t="e">
        <f t="shared" si="5"/>
        <v>#N/A</v>
      </c>
      <c r="K143" s="49" t="e">
        <f t="shared" si="5"/>
        <v>#N/A</v>
      </c>
      <c r="L143" s="49" t="e">
        <f t="shared" si="5"/>
        <v>#N/A</v>
      </c>
      <c r="M143" s="49" t="e">
        <f t="shared" si="5"/>
        <v>#N/A</v>
      </c>
      <c r="N143" s="49" t="e">
        <f t="shared" si="5"/>
        <v>#N/A</v>
      </c>
      <c r="O143" s="49" t="e">
        <f t="shared" si="5"/>
        <v>#N/A</v>
      </c>
      <c r="P143" s="49" t="e">
        <f t="shared" si="5"/>
        <v>#N/A</v>
      </c>
      <c r="Q143" s="49" t="e">
        <f t="shared" si="5"/>
        <v>#N/A</v>
      </c>
      <c r="R143" s="49" t="e">
        <f t="shared" si="5"/>
        <v>#N/A</v>
      </c>
    </row>
    <row r="146" spans="1:5">
      <c r="A146" s="53" t="s">
        <v>50</v>
      </c>
      <c r="B146" s="34" t="s">
        <v>407</v>
      </c>
      <c r="C146" s="106" t="str">
        <f>IF(ISERROR(SUM(D143:R143)),"",SUM(D143:R143))</f>
        <v/>
      </c>
    </row>
    <row r="147" spans="1:5">
      <c r="B147" s="8"/>
    </row>
    <row r="149" spans="1:5" ht="24" customHeight="1">
      <c r="A149" s="3" t="s">
        <v>70</v>
      </c>
      <c r="B149" s="158" t="s">
        <v>2019</v>
      </c>
      <c r="C149" s="159" t="str">
        <f>IF(ISERROR(IF(C146&gt;0,C146-C94,0)),"",IF(C146&gt;0,C146-C94,0))</f>
        <v/>
      </c>
    </row>
    <row r="150" spans="1:5">
      <c r="B150" s="8"/>
    </row>
    <row r="152" spans="1:5">
      <c r="B152" s="53"/>
      <c r="C152" s="53"/>
      <c r="D152" s="53"/>
      <c r="E152" s="53"/>
    </row>
  </sheetData>
  <mergeCells count="1">
    <mergeCell ref="B2:G2"/>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2:J239"/>
  <sheetViews>
    <sheetView zoomScale="70" zoomScaleNormal="70" workbookViewId="0">
      <selection activeCell="I51" sqref="I51"/>
    </sheetView>
  </sheetViews>
  <sheetFormatPr defaultColWidth="11.5703125" defaultRowHeight="12.75"/>
  <cols>
    <col min="1" max="1" width="8.28515625" style="53" customWidth="1"/>
    <col min="2" max="2" width="55.5703125" style="3" customWidth="1"/>
    <col min="3" max="3" width="13.5703125" style="3" customWidth="1"/>
    <col min="4" max="4" width="18.7109375" style="3" customWidth="1"/>
    <col min="5" max="5" width="41.7109375" style="3" customWidth="1"/>
    <col min="6" max="6" width="23.28515625" style="3" customWidth="1"/>
    <col min="7" max="7" width="27.7109375" style="3" customWidth="1"/>
    <col min="8" max="8" width="11.5703125" style="3"/>
    <col min="9" max="9" width="31" style="3" customWidth="1"/>
    <col min="10" max="16384" width="11.5703125" style="3"/>
  </cols>
  <sheetData>
    <row r="2" spans="1:5" ht="21" customHeight="1">
      <c r="B2" s="1172" t="s">
        <v>2434</v>
      </c>
      <c r="C2" s="1172"/>
      <c r="D2" s="1172"/>
      <c r="E2" s="1172"/>
    </row>
    <row r="3" spans="1:5">
      <c r="B3" s="54" t="s">
        <v>224</v>
      </c>
    </row>
    <row r="4" spans="1:5">
      <c r="B4" s="54"/>
    </row>
    <row r="5" spans="1:5">
      <c r="A5" s="53" t="s">
        <v>197</v>
      </c>
      <c r="B5" s="4" t="s">
        <v>1763</v>
      </c>
    </row>
    <row r="6" spans="1:5">
      <c r="B6" s="4"/>
    </row>
    <row r="7" spans="1:5">
      <c r="B7" s="6" t="s">
        <v>66</v>
      </c>
      <c r="C7" s="44" t="str">
        <f>'A. Dades de partida'!D7</f>
        <v>Vilalba Sasserra</v>
      </c>
    </row>
    <row r="8" spans="1:5">
      <c r="B8" s="6" t="s">
        <v>1760</v>
      </c>
      <c r="C8" s="24">
        <f>'A. Dades de partida'!D8</f>
        <v>8306</v>
      </c>
    </row>
    <row r="9" spans="1:5">
      <c r="B9" s="6" t="s">
        <v>153</v>
      </c>
      <c r="C9" s="44" t="str">
        <f>'A. Dades de partida'!D24</f>
        <v>Vallès Oriental</v>
      </c>
    </row>
    <row r="10" spans="1:5">
      <c r="B10" s="6" t="s">
        <v>1761</v>
      </c>
      <c r="C10" s="24" t="str">
        <f>'A. Dades de partida'!D25</f>
        <v>41</v>
      </c>
    </row>
    <row r="11" spans="1:5">
      <c r="B11" s="6" t="s">
        <v>135</v>
      </c>
      <c r="C11" s="24">
        <f>'A. Dades de partida'!D10</f>
        <v>15</v>
      </c>
    </row>
    <row r="12" spans="1:5">
      <c r="B12" s="6" t="s">
        <v>124</v>
      </c>
      <c r="C12" s="24">
        <f>'A. Dades de partida'!D11</f>
        <v>0</v>
      </c>
    </row>
    <row r="13" spans="1:5">
      <c r="B13" s="6" t="s">
        <v>125</v>
      </c>
      <c r="C13" s="24">
        <f>'A. Dades de partida'!D12</f>
        <v>15</v>
      </c>
    </row>
    <row r="14" spans="1:5">
      <c r="B14" s="6" t="s">
        <v>1769</v>
      </c>
      <c r="C14" s="79">
        <f>'A. Dades de partida'!D14</f>
        <v>684</v>
      </c>
    </row>
    <row r="15" spans="1:5">
      <c r="B15" s="6" t="s">
        <v>1771</v>
      </c>
      <c r="C15" s="79">
        <f>'A. Dades de partida'!D15</f>
        <v>587</v>
      </c>
    </row>
    <row r="16" spans="1:5">
      <c r="B16" s="6" t="s">
        <v>1768</v>
      </c>
      <c r="C16" s="79">
        <f>'A. Dades de partida'!D18</f>
        <v>889241.73</v>
      </c>
    </row>
    <row r="17" spans="1:5">
      <c r="B17" s="53"/>
      <c r="C17" s="53"/>
      <c r="D17" s="53"/>
      <c r="E17" s="53"/>
    </row>
    <row r="18" spans="1:5">
      <c r="B18" s="53"/>
      <c r="C18" s="53"/>
      <c r="D18" s="53"/>
      <c r="E18" s="53"/>
    </row>
    <row r="19" spans="1:5">
      <c r="A19" s="53" t="s">
        <v>41</v>
      </c>
      <c r="B19" s="4" t="s">
        <v>305</v>
      </c>
    </row>
    <row r="20" spans="1:5">
      <c r="B20" s="5" t="s">
        <v>496</v>
      </c>
    </row>
    <row r="21" spans="1:5">
      <c r="B21" s="5"/>
    </row>
    <row r="22" spans="1:5">
      <c r="B22" s="6" t="s">
        <v>306</v>
      </c>
      <c r="C22" s="84"/>
    </row>
    <row r="23" spans="1:5">
      <c r="B23" s="6" t="s">
        <v>307</v>
      </c>
      <c r="C23" s="84"/>
    </row>
    <row r="27" spans="1:5">
      <c r="B27" s="4" t="s">
        <v>225</v>
      </c>
    </row>
    <row r="28" spans="1:5">
      <c r="B28" s="5" t="s">
        <v>226</v>
      </c>
    </row>
    <row r="29" spans="1:5">
      <c r="B29" s="4"/>
    </row>
    <row r="30" spans="1:5">
      <c r="B30" s="6" t="s">
        <v>227</v>
      </c>
      <c r="C30" s="6" t="s">
        <v>292</v>
      </c>
      <c r="D30" s="6" t="s">
        <v>293</v>
      </c>
      <c r="E30" s="6" t="s">
        <v>228</v>
      </c>
    </row>
    <row r="31" spans="1:5">
      <c r="B31" s="6" t="s">
        <v>229</v>
      </c>
      <c r="C31" s="62">
        <v>7</v>
      </c>
      <c r="D31" s="92">
        <f>1/7</f>
        <v>0.14285714285714285</v>
      </c>
      <c r="E31" s="83">
        <f>D31*$C$14</f>
        <v>97.714285714285708</v>
      </c>
    </row>
    <row r="32" spans="1:5">
      <c r="B32" s="6" t="s">
        <v>230</v>
      </c>
      <c r="C32" s="62">
        <v>9</v>
      </c>
      <c r="D32" s="92">
        <f>1/9</f>
        <v>0.1111111111111111</v>
      </c>
      <c r="E32" s="83">
        <f>D32*$C$14</f>
        <v>76</v>
      </c>
    </row>
    <row r="33" spans="2:5">
      <c r="B33" s="12" t="s">
        <v>231</v>
      </c>
    </row>
    <row r="34" spans="2:5">
      <c r="B34" s="53"/>
      <c r="C34" s="53"/>
    </row>
    <row r="35" spans="2:5">
      <c r="B35" s="54" t="s">
        <v>296</v>
      </c>
      <c r="C35" s="53"/>
    </row>
    <row r="37" spans="2:5">
      <c r="B37" s="24" t="s">
        <v>1826</v>
      </c>
      <c r="C37" s="24" t="s">
        <v>1827</v>
      </c>
      <c r="D37" s="6" t="s">
        <v>1828</v>
      </c>
    </row>
    <row r="38" spans="2:5">
      <c r="B38" s="359" t="s">
        <v>1829</v>
      </c>
      <c r="C38" s="64">
        <v>18744</v>
      </c>
      <c r="D38" s="62">
        <v>8.8000000000000007</v>
      </c>
    </row>
    <row r="39" spans="2:5">
      <c r="B39" s="359" t="s">
        <v>1830</v>
      </c>
      <c r="C39" s="64">
        <v>15620</v>
      </c>
      <c r="D39" s="62">
        <v>7.4</v>
      </c>
    </row>
    <row r="40" spans="2:5">
      <c r="B40" s="359" t="s">
        <v>1831</v>
      </c>
      <c r="C40" s="64">
        <v>13668</v>
      </c>
      <c r="D40" s="62">
        <v>6.4</v>
      </c>
    </row>
    <row r="41" spans="2:5">
      <c r="B41" s="24" t="s">
        <v>263</v>
      </c>
      <c r="C41" s="64">
        <v>11715</v>
      </c>
      <c r="D41" s="62">
        <v>5.5</v>
      </c>
    </row>
    <row r="42" spans="2:5">
      <c r="B42" s="12" t="s">
        <v>1832</v>
      </c>
    </row>
    <row r="43" spans="2:5">
      <c r="B43" s="3" t="s">
        <v>1833</v>
      </c>
    </row>
    <row r="44" spans="2:5">
      <c r="B44" s="360" t="s">
        <v>1834</v>
      </c>
    </row>
    <row r="47" spans="2:5">
      <c r="B47" s="54" t="s">
        <v>1835</v>
      </c>
      <c r="C47" s="53"/>
      <c r="D47" s="53"/>
      <c r="E47" s="53"/>
    </row>
    <row r="48" spans="2:5">
      <c r="B48" s="54"/>
      <c r="C48" s="53"/>
      <c r="D48" s="53"/>
      <c r="E48" s="53"/>
    </row>
    <row r="49" spans="2:6">
      <c r="B49" s="366" t="s">
        <v>308</v>
      </c>
      <c r="C49" s="365"/>
      <c r="D49" s="365"/>
      <c r="E49" s="366" t="s">
        <v>229</v>
      </c>
      <c r="F49" s="384"/>
    </row>
    <row r="50" spans="2:6">
      <c r="B50" s="366"/>
      <c r="C50" s="365"/>
      <c r="D50" s="365"/>
      <c r="E50" s="366"/>
      <c r="F50" s="384"/>
    </row>
    <row r="51" spans="2:6">
      <c r="B51" s="1173" t="s">
        <v>1836</v>
      </c>
      <c r="C51" s="1173"/>
      <c r="D51" s="53"/>
      <c r="E51" s="1173" t="s">
        <v>1837</v>
      </c>
      <c r="F51" s="1173"/>
    </row>
    <row r="52" spans="2:6">
      <c r="B52" s="140" t="s">
        <v>1838</v>
      </c>
      <c r="C52" s="380">
        <v>10.9</v>
      </c>
      <c r="D52" s="26"/>
      <c r="E52" s="140" t="s">
        <v>1839</v>
      </c>
      <c r="F52" s="380">
        <v>7</v>
      </c>
    </row>
    <row r="53" spans="2:6" ht="25.5">
      <c r="B53" s="140" t="s">
        <v>1840</v>
      </c>
      <c r="C53" s="381">
        <v>9</v>
      </c>
      <c r="D53" s="26"/>
      <c r="E53" s="140" t="s">
        <v>1841</v>
      </c>
      <c r="F53" s="381">
        <v>39.700000000000003</v>
      </c>
    </row>
    <row r="54" spans="2:6" ht="25.5" customHeight="1">
      <c r="B54" s="140" t="s">
        <v>1842</v>
      </c>
      <c r="C54" s="381">
        <v>10.3</v>
      </c>
      <c r="D54" s="26"/>
      <c r="E54" s="1169" t="s">
        <v>1843</v>
      </c>
      <c r="F54" s="1170"/>
    </row>
    <row r="55" spans="2:6" ht="25.5">
      <c r="B55" s="1167" t="s">
        <v>1844</v>
      </c>
      <c r="C55" s="1168"/>
      <c r="D55" s="26"/>
      <c r="E55" s="82" t="s">
        <v>1845</v>
      </c>
      <c r="F55" s="381">
        <v>4.9000000000000004</v>
      </c>
    </row>
    <row r="56" spans="2:6" ht="25.5">
      <c r="B56" s="82" t="s">
        <v>1846</v>
      </c>
      <c r="C56" s="381">
        <v>0.15</v>
      </c>
      <c r="D56" s="26"/>
      <c r="E56" s="82" t="s">
        <v>1847</v>
      </c>
      <c r="F56" s="381">
        <v>54.3</v>
      </c>
    </row>
    <row r="57" spans="2:6" ht="25.5">
      <c r="B57" s="82" t="s">
        <v>1848</v>
      </c>
      <c r="C57" s="381">
        <v>32.5</v>
      </c>
      <c r="D57" s="26"/>
      <c r="E57" s="82" t="s">
        <v>1849</v>
      </c>
      <c r="F57" s="381">
        <v>40.799999999999997</v>
      </c>
    </row>
    <row r="58" spans="2:6" ht="25.5">
      <c r="B58" s="1167" t="s">
        <v>1850</v>
      </c>
      <c r="C58" s="1168"/>
      <c r="D58" s="26"/>
      <c r="E58" s="82" t="s">
        <v>1851</v>
      </c>
      <c r="F58" s="381">
        <v>33.1</v>
      </c>
    </row>
    <row r="59" spans="2:6" ht="25.5">
      <c r="B59" s="140" t="s">
        <v>1852</v>
      </c>
      <c r="C59" s="381">
        <v>1.52</v>
      </c>
      <c r="D59" s="26"/>
      <c r="E59" s="140" t="s">
        <v>1853</v>
      </c>
      <c r="F59" s="381">
        <v>1</v>
      </c>
    </row>
    <row r="60" spans="2:6" ht="25.5">
      <c r="B60" s="140" t="s">
        <v>1854</v>
      </c>
      <c r="C60" s="381">
        <v>153</v>
      </c>
      <c r="D60" s="26"/>
      <c r="E60" s="140" t="s">
        <v>1855</v>
      </c>
      <c r="F60" s="381">
        <v>31</v>
      </c>
    </row>
    <row r="61" spans="2:6">
      <c r="B61" s="1167" t="s">
        <v>1856</v>
      </c>
      <c r="C61" s="1168"/>
      <c r="D61" s="26"/>
      <c r="E61" s="1169" t="s">
        <v>1857</v>
      </c>
      <c r="F61" s="1170"/>
    </row>
    <row r="62" spans="2:6" ht="25.5">
      <c r="B62" s="140" t="s">
        <v>1858</v>
      </c>
      <c r="C62" s="381">
        <v>2.2999999999999998</v>
      </c>
      <c r="D62" s="26"/>
      <c r="E62" s="82" t="s">
        <v>1859</v>
      </c>
      <c r="F62" s="381">
        <v>11.9</v>
      </c>
    </row>
    <row r="63" spans="2:6" ht="25.5">
      <c r="B63" s="362" t="s">
        <v>1860</v>
      </c>
      <c r="C63" s="382">
        <v>0</v>
      </c>
      <c r="D63" s="26"/>
      <c r="E63" s="1167" t="s">
        <v>1861</v>
      </c>
      <c r="F63" s="1168"/>
    </row>
    <row r="64" spans="2:6" ht="25.5">
      <c r="B64" s="1169" t="s">
        <v>1862</v>
      </c>
      <c r="C64" s="1170"/>
      <c r="D64" s="26"/>
      <c r="E64" s="82" t="s">
        <v>1863</v>
      </c>
      <c r="F64" s="381">
        <v>48</v>
      </c>
    </row>
    <row r="65" spans="2:6" ht="25.5">
      <c r="B65" s="140" t="s">
        <v>1864</v>
      </c>
      <c r="C65" s="381">
        <v>18.100000000000001</v>
      </c>
      <c r="D65" s="26"/>
      <c r="E65" s="82" t="s">
        <v>1865</v>
      </c>
      <c r="F65" s="381">
        <v>3</v>
      </c>
    </row>
    <row r="66" spans="2:6">
      <c r="B66" s="140" t="s">
        <v>1866</v>
      </c>
      <c r="C66" s="381">
        <v>41.2</v>
      </c>
      <c r="D66" s="26"/>
      <c r="E66" s="1171" t="s">
        <v>1867</v>
      </c>
      <c r="F66" s="1171"/>
    </row>
    <row r="67" spans="2:6" ht="25.5">
      <c r="B67" s="140" t="s">
        <v>1868</v>
      </c>
      <c r="C67" s="381">
        <v>19.399999999999999</v>
      </c>
      <c r="D67" s="26"/>
      <c r="E67" s="377" t="s">
        <v>1869</v>
      </c>
      <c r="F67" s="26"/>
    </row>
    <row r="68" spans="2:6">
      <c r="B68" s="140" t="s">
        <v>1870</v>
      </c>
      <c r="C68" s="62">
        <v>13.1</v>
      </c>
    </row>
    <row r="69" spans="2:6">
      <c r="B69" s="1166" t="s">
        <v>1867</v>
      </c>
      <c r="C69" s="1166"/>
    </row>
    <row r="70" spans="2:6">
      <c r="B70" s="363" t="s">
        <v>1869</v>
      </c>
      <c r="C70" s="13"/>
    </row>
    <row r="71" spans="2:6">
      <c r="B71" s="53"/>
      <c r="C71" s="53"/>
    </row>
    <row r="72" spans="2:6">
      <c r="B72" s="54" t="s">
        <v>304</v>
      </c>
      <c r="C72" s="53"/>
    </row>
    <row r="73" spans="2:6">
      <c r="B73" s="53"/>
      <c r="C73" s="53"/>
    </row>
    <row r="74" spans="2:6">
      <c r="B74" s="53" t="s">
        <v>1871</v>
      </c>
      <c r="C74" s="53"/>
    </row>
    <row r="75" spans="2:6">
      <c r="B75" s="24" t="s">
        <v>1800</v>
      </c>
      <c r="C75" s="24" t="s">
        <v>1872</v>
      </c>
    </row>
    <row r="76" spans="2:6">
      <c r="B76" s="24" t="s">
        <v>1873</v>
      </c>
      <c r="C76" s="64">
        <v>1383923</v>
      </c>
    </row>
    <row r="77" spans="2:6">
      <c r="B77" s="24" t="s">
        <v>310</v>
      </c>
      <c r="C77" s="64">
        <v>428137</v>
      </c>
    </row>
    <row r="78" spans="2:6">
      <c r="B78" s="24" t="s">
        <v>309</v>
      </c>
      <c r="C78" s="64">
        <v>2058637</v>
      </c>
    </row>
    <row r="79" spans="2:6">
      <c r="B79" s="24" t="s">
        <v>1874</v>
      </c>
      <c r="C79" s="383">
        <v>3870698</v>
      </c>
    </row>
    <row r="80" spans="2:6">
      <c r="B80" s="1171" t="s">
        <v>1875</v>
      </c>
      <c r="C80" s="1171"/>
    </row>
    <row r="81" spans="1:4">
      <c r="B81" s="364" t="s">
        <v>1876</v>
      </c>
      <c r="C81" s="53"/>
    </row>
    <row r="82" spans="1:4">
      <c r="B82" s="53"/>
      <c r="C82" s="53"/>
    </row>
    <row r="83" spans="1:4" s="26" customFormat="1">
      <c r="A83" s="365" t="s">
        <v>42</v>
      </c>
      <c r="B83" s="366" t="s">
        <v>232</v>
      </c>
    </row>
    <row r="84" spans="1:4" s="26" customFormat="1" ht="38.25">
      <c r="A84" s="365"/>
      <c r="B84" s="367" t="s">
        <v>303</v>
      </c>
    </row>
    <row r="85" spans="1:4" s="26" customFormat="1">
      <c r="A85" s="365"/>
      <c r="B85" s="367"/>
    </row>
    <row r="86" spans="1:4" s="26" customFormat="1">
      <c r="A86" s="365"/>
      <c r="B86" s="140" t="s">
        <v>301</v>
      </c>
      <c r="C86" s="368">
        <f>'A. Dades de partida'!D35</f>
        <v>0</v>
      </c>
    </row>
    <row r="87" spans="1:4" s="26" customFormat="1" ht="25.5">
      <c r="A87" s="365"/>
      <c r="B87" s="369" t="s">
        <v>302</v>
      </c>
    </row>
    <row r="88" spans="1:4" s="26" customFormat="1">
      <c r="A88" s="365"/>
    </row>
    <row r="89" spans="1:4" s="26" customFormat="1">
      <c r="A89" s="365"/>
      <c r="B89" s="361" t="s">
        <v>441</v>
      </c>
      <c r="C89" s="140" t="s">
        <v>99</v>
      </c>
      <c r="D89" s="370" t="s">
        <v>233</v>
      </c>
    </row>
    <row r="90" spans="1:4" s="26" customFormat="1">
      <c r="A90" s="365"/>
      <c r="B90" s="155" t="s">
        <v>234</v>
      </c>
      <c r="C90" s="547">
        <v>0.60699999999999998</v>
      </c>
      <c r="D90" s="371">
        <f>$D$95*(C90/100)</f>
        <v>0</v>
      </c>
    </row>
    <row r="91" spans="1:4" s="26" customFormat="1">
      <c r="A91" s="365"/>
      <c r="B91" s="155" t="s">
        <v>235</v>
      </c>
      <c r="C91" s="547">
        <v>5.9400000000000001E-2</v>
      </c>
      <c r="D91" s="371">
        <f>$D$95*(C91/100)</f>
        <v>0</v>
      </c>
    </row>
    <row r="92" spans="1:4" s="26" customFormat="1">
      <c r="A92" s="365"/>
      <c r="B92" s="155" t="s">
        <v>236</v>
      </c>
      <c r="C92" s="547">
        <v>9.1899999999999996E-2</v>
      </c>
      <c r="D92" s="371">
        <f>$D$95*(C92/100)</f>
        <v>0</v>
      </c>
    </row>
    <row r="93" spans="1:4" s="26" customFormat="1">
      <c r="A93" s="365"/>
      <c r="B93" s="155" t="s">
        <v>237</v>
      </c>
      <c r="C93" s="547">
        <v>5.5399999999999998E-2</v>
      </c>
      <c r="D93" s="371">
        <f>$D$95*(C93/100)</f>
        <v>0</v>
      </c>
    </row>
    <row r="94" spans="1:4" s="26" customFormat="1">
      <c r="A94" s="365"/>
      <c r="B94" s="155" t="s">
        <v>238</v>
      </c>
      <c r="C94" s="547">
        <v>0.18630000000000002</v>
      </c>
      <c r="D94" s="371">
        <f>$D$95*(C94/100)</f>
        <v>0</v>
      </c>
    </row>
    <row r="95" spans="1:4" s="26" customFormat="1">
      <c r="A95" s="365"/>
      <c r="B95" s="158" t="s">
        <v>38</v>
      </c>
      <c r="C95" s="372">
        <f>SUM(C90:C94)</f>
        <v>1</v>
      </c>
      <c r="D95" s="373">
        <f>C16*C86</f>
        <v>0</v>
      </c>
    </row>
    <row r="96" spans="1:4" s="26" customFormat="1" ht="25.5">
      <c r="A96" s="365"/>
      <c r="B96" s="369" t="s">
        <v>294</v>
      </c>
    </row>
    <row r="97" spans="1:4" s="26" customFormat="1">
      <c r="A97" s="365"/>
    </row>
    <row r="98" spans="1:4" s="26" customFormat="1" ht="51">
      <c r="A98" s="365"/>
      <c r="B98" s="575" t="s">
        <v>2301</v>
      </c>
    </row>
    <row r="99" spans="1:4" s="26" customFormat="1">
      <c r="A99" s="365"/>
    </row>
    <row r="100" spans="1:4" s="26" customFormat="1" ht="25.5">
      <c r="A100" s="365"/>
      <c r="B100" s="575" t="s">
        <v>2302</v>
      </c>
    </row>
    <row r="101" spans="1:4" s="26" customFormat="1">
      <c r="A101" s="365"/>
    </row>
    <row r="102" spans="1:4" s="26" customFormat="1">
      <c r="A102" s="365"/>
      <c r="B102" s="374" t="s">
        <v>239</v>
      </c>
    </row>
    <row r="103" spans="1:4" s="26" customFormat="1">
      <c r="A103" s="365"/>
      <c r="B103" s="374"/>
    </row>
    <row r="104" spans="1:4" s="26" customFormat="1">
      <c r="A104" s="365"/>
      <c r="B104" s="141" t="s">
        <v>441</v>
      </c>
      <c r="C104" s="141" t="s">
        <v>99</v>
      </c>
      <c r="D104" s="141" t="s">
        <v>99</v>
      </c>
    </row>
    <row r="105" spans="1:4" s="26" customFormat="1">
      <c r="A105" s="365"/>
      <c r="B105" s="140" t="s">
        <v>240</v>
      </c>
      <c r="C105" s="140">
        <v>6.97</v>
      </c>
      <c r="D105" s="375"/>
    </row>
    <row r="106" spans="1:4" s="26" customFormat="1">
      <c r="A106" s="365"/>
      <c r="B106" s="140" t="s">
        <v>241</v>
      </c>
      <c r="C106" s="140">
        <v>43.58</v>
      </c>
      <c r="D106" s="376"/>
    </row>
    <row r="107" spans="1:4" s="26" customFormat="1">
      <c r="A107" s="365"/>
      <c r="B107" s="140" t="s">
        <v>242</v>
      </c>
      <c r="C107" s="140">
        <v>4.71</v>
      </c>
      <c r="D107" s="375"/>
    </row>
    <row r="108" spans="1:4" s="26" customFormat="1">
      <c r="A108" s="365"/>
      <c r="B108" s="140" t="s">
        <v>243</v>
      </c>
      <c r="C108" s="140">
        <v>44.74</v>
      </c>
      <c r="D108" s="376"/>
    </row>
    <row r="109" spans="1:4" s="26" customFormat="1">
      <c r="A109" s="365"/>
      <c r="B109" s="140" t="s">
        <v>244</v>
      </c>
      <c r="C109" s="140"/>
      <c r="D109" s="375">
        <v>60.7</v>
      </c>
    </row>
    <row r="110" spans="1:4" s="26" customFormat="1">
      <c r="A110" s="365"/>
      <c r="B110" s="140" t="s">
        <v>245</v>
      </c>
      <c r="C110" s="140">
        <v>4.76</v>
      </c>
      <c r="D110" s="376"/>
    </row>
    <row r="111" spans="1:4" s="26" customFormat="1">
      <c r="A111" s="365"/>
      <c r="B111" s="140" t="s">
        <v>246</v>
      </c>
      <c r="C111" s="140">
        <v>0.81</v>
      </c>
      <c r="D111" s="375"/>
    </row>
    <row r="112" spans="1:4" s="26" customFormat="1">
      <c r="A112" s="365"/>
      <c r="B112" s="140" t="s">
        <v>247</v>
      </c>
      <c r="C112" s="140">
        <v>0.11</v>
      </c>
      <c r="D112" s="376"/>
    </row>
    <row r="113" spans="1:4" s="26" customFormat="1">
      <c r="A113" s="365"/>
      <c r="B113" s="140" t="s">
        <v>248</v>
      </c>
      <c r="C113" s="140"/>
      <c r="D113" s="375">
        <v>5.94</v>
      </c>
    </row>
    <row r="114" spans="1:4">
      <c r="B114" s="6" t="s">
        <v>249</v>
      </c>
      <c r="C114" s="6">
        <v>3.99</v>
      </c>
      <c r="D114" s="83"/>
    </row>
    <row r="115" spans="1:4">
      <c r="B115" s="6" t="s">
        <v>250</v>
      </c>
      <c r="C115" s="6">
        <v>4.24</v>
      </c>
      <c r="D115" s="84"/>
    </row>
    <row r="116" spans="1:4">
      <c r="B116" s="6" t="s">
        <v>251</v>
      </c>
      <c r="C116" s="6">
        <v>0.96</v>
      </c>
      <c r="D116" s="83"/>
    </row>
    <row r="117" spans="1:4">
      <c r="B117" s="6" t="s">
        <v>252</v>
      </c>
      <c r="C117" s="6"/>
      <c r="D117" s="84">
        <v>9.19</v>
      </c>
    </row>
    <row r="118" spans="1:4">
      <c r="B118" s="6" t="s">
        <v>253</v>
      </c>
      <c r="C118" s="6">
        <v>5</v>
      </c>
      <c r="D118" s="83"/>
    </row>
    <row r="119" spans="1:4">
      <c r="B119" s="6" t="s">
        <v>254</v>
      </c>
      <c r="C119" s="6">
        <v>13.63</v>
      </c>
      <c r="D119" s="84"/>
    </row>
    <row r="120" spans="1:4">
      <c r="B120" s="6" t="s">
        <v>255</v>
      </c>
      <c r="C120" s="6">
        <v>5.54</v>
      </c>
      <c r="D120" s="83"/>
    </row>
    <row r="121" spans="1:4">
      <c r="B121" s="6" t="s">
        <v>256</v>
      </c>
      <c r="C121" s="6"/>
      <c r="D121" s="84">
        <v>24.17</v>
      </c>
    </row>
    <row r="122" spans="1:4">
      <c r="B122" s="48" t="s">
        <v>38</v>
      </c>
      <c r="C122" s="34"/>
      <c r="D122" s="34">
        <f>SUM(D105:D121)</f>
        <v>100</v>
      </c>
    </row>
    <row r="123" spans="1:4">
      <c r="B123" s="12" t="s">
        <v>294</v>
      </c>
    </row>
    <row r="125" spans="1:4">
      <c r="B125" s="4" t="s">
        <v>258</v>
      </c>
    </row>
    <row r="127" spans="1:4">
      <c r="B127" s="48" t="s">
        <v>259</v>
      </c>
      <c r="C127" s="59" t="s">
        <v>260</v>
      </c>
    </row>
    <row r="128" spans="1:4">
      <c r="B128" s="122" t="s">
        <v>261</v>
      </c>
      <c r="C128" s="6">
        <v>157</v>
      </c>
    </row>
    <row r="129" spans="1:4">
      <c r="B129" s="123" t="s">
        <v>262</v>
      </c>
      <c r="C129" s="6">
        <v>175</v>
      </c>
    </row>
    <row r="130" spans="1:4">
      <c r="B130" s="123" t="s">
        <v>263</v>
      </c>
      <c r="C130" s="6">
        <v>340</v>
      </c>
    </row>
    <row r="131" spans="1:4">
      <c r="B131" s="123" t="s">
        <v>264</v>
      </c>
      <c r="C131" s="6">
        <v>115</v>
      </c>
    </row>
    <row r="132" spans="1:4">
      <c r="B132" s="123" t="s">
        <v>265</v>
      </c>
      <c r="C132" s="6">
        <v>185</v>
      </c>
    </row>
    <row r="133" spans="1:4">
      <c r="B133" s="321" t="s">
        <v>266</v>
      </c>
      <c r="C133" s="36">
        <f>HARMEAN(C128:C132)</f>
        <v>171.66824080001174</v>
      </c>
    </row>
    <row r="134" spans="1:4">
      <c r="B134" s="12" t="s">
        <v>267</v>
      </c>
    </row>
    <row r="135" spans="1:4">
      <c r="C135" s="22"/>
      <c r="D135" s="13"/>
    </row>
    <row r="136" spans="1:4">
      <c r="A136" s="53" t="s">
        <v>47</v>
      </c>
      <c r="B136" s="6" t="s">
        <v>2015</v>
      </c>
      <c r="C136" s="79">
        <f>D95</f>
        <v>0</v>
      </c>
    </row>
    <row r="137" spans="1:4">
      <c r="C137" s="22"/>
    </row>
    <row r="138" spans="1:4">
      <c r="A138" s="53" t="s">
        <v>48</v>
      </c>
      <c r="B138" s="34" t="s">
        <v>1945</v>
      </c>
      <c r="C138" s="25">
        <f>D95*C11/1000000</f>
        <v>0</v>
      </c>
    </row>
    <row r="139" spans="1:4">
      <c r="C139" s="22"/>
      <c r="D139" s="13"/>
    </row>
    <row r="140" spans="1:4">
      <c r="C140" s="22"/>
      <c r="D140" s="13"/>
    </row>
    <row r="141" spans="1:4">
      <c r="A141" s="53" t="s">
        <v>44</v>
      </c>
      <c r="B141" s="120" t="s">
        <v>497</v>
      </c>
      <c r="C141" s="22"/>
      <c r="D141" s="13"/>
    </row>
    <row r="142" spans="1:4">
      <c r="A142" s="8" t="s">
        <v>297</v>
      </c>
      <c r="B142" s="98" t="s">
        <v>295</v>
      </c>
      <c r="C142" s="22"/>
      <c r="D142" s="13"/>
    </row>
    <row r="143" spans="1:4">
      <c r="B143" s="12" t="s">
        <v>112</v>
      </c>
      <c r="C143" s="22"/>
      <c r="D143" s="13"/>
    </row>
    <row r="144" spans="1:4">
      <c r="C144" s="22"/>
      <c r="D144" s="13"/>
    </row>
    <row r="145" spans="2:6">
      <c r="B145" s="743" t="s">
        <v>2577</v>
      </c>
      <c r="C145" s="22"/>
      <c r="D145" s="22"/>
      <c r="E145" s="53"/>
      <c r="F145" s="53"/>
    </row>
    <row r="146" spans="2:6">
      <c r="B146" s="350" t="s">
        <v>1801</v>
      </c>
      <c r="C146" s="70"/>
      <c r="D146" s="70"/>
      <c r="E146" s="54"/>
    </row>
    <row r="147" spans="2:6">
      <c r="C147" s="22"/>
      <c r="D147" s="13"/>
    </row>
    <row r="148" spans="2:6">
      <c r="B148" s="3" t="s">
        <v>504</v>
      </c>
      <c r="C148" s="22"/>
      <c r="D148" s="13"/>
    </row>
    <row r="149" spans="2:6">
      <c r="B149" s="114" t="s">
        <v>503</v>
      </c>
      <c r="C149" s="22"/>
      <c r="D149" s="13"/>
    </row>
    <row r="150" spans="2:6">
      <c r="C150" s="22"/>
      <c r="D150" s="13"/>
    </row>
    <row r="151" spans="2:6">
      <c r="C151" s="22"/>
      <c r="D151" s="13"/>
    </row>
    <row r="152" spans="2:6">
      <c r="C152" s="22"/>
      <c r="D152" s="13"/>
    </row>
    <row r="153" spans="2:6">
      <c r="C153" s="22"/>
      <c r="D153" s="13"/>
    </row>
    <row r="154" spans="2:6">
      <c r="C154" s="22"/>
      <c r="D154" s="13"/>
    </row>
    <row r="155" spans="2:6">
      <c r="C155" s="22"/>
      <c r="D155" s="13"/>
    </row>
    <row r="156" spans="2:6">
      <c r="C156" s="22"/>
      <c r="D156" s="13"/>
    </row>
    <row r="157" spans="2:6">
      <c r="C157" s="22"/>
      <c r="D157" s="13"/>
    </row>
    <row r="158" spans="2:6" s="173" customFormat="1" ht="6.75" customHeight="1">
      <c r="C158" s="174"/>
      <c r="D158" s="174"/>
    </row>
    <row r="159" spans="2:6">
      <c r="C159" s="22"/>
      <c r="D159" s="13"/>
    </row>
    <row r="160" spans="2:6">
      <c r="B160" s="54" t="s">
        <v>502</v>
      </c>
      <c r="C160" s="22"/>
      <c r="D160" s="13"/>
    </row>
    <row r="161" spans="1:10">
      <c r="C161" s="22"/>
      <c r="D161" s="13"/>
    </row>
    <row r="162" spans="1:10">
      <c r="A162" s="8" t="s">
        <v>298</v>
      </c>
      <c r="B162" s="71" t="s">
        <v>268</v>
      </c>
      <c r="D162" s="13"/>
    </row>
    <row r="163" spans="1:10">
      <c r="A163" s="8"/>
      <c r="B163" s="5" t="s">
        <v>498</v>
      </c>
      <c r="D163" s="13"/>
    </row>
    <row r="164" spans="1:10">
      <c r="B164" s="8"/>
      <c r="D164" s="13"/>
    </row>
    <row r="165" spans="1:10">
      <c r="B165" s="7" t="s">
        <v>269</v>
      </c>
      <c r="C165" s="124">
        <f>((1.9/15.5)/(2100-2006))*14</f>
        <v>1.82566918325326E-2</v>
      </c>
      <c r="D165" s="13"/>
    </row>
    <row r="166" spans="1:10">
      <c r="D166" s="13"/>
    </row>
    <row r="167" spans="1:10">
      <c r="B167" s="12" t="s">
        <v>270</v>
      </c>
    </row>
    <row r="168" spans="1:10">
      <c r="B168" s="13"/>
    </row>
    <row r="169" spans="1:10">
      <c r="B169" s="126"/>
    </row>
    <row r="170" spans="1:10">
      <c r="B170" s="126"/>
    </row>
    <row r="171" spans="1:10">
      <c r="B171" s="126"/>
    </row>
    <row r="172" spans="1:10">
      <c r="B172" s="34" t="s">
        <v>271</v>
      </c>
      <c r="C172" s="34" t="s">
        <v>272</v>
      </c>
      <c r="D172" s="34" t="s">
        <v>273</v>
      </c>
      <c r="E172" s="34" t="s">
        <v>274</v>
      </c>
      <c r="F172" s="34" t="s">
        <v>275</v>
      </c>
      <c r="G172" s="34" t="s">
        <v>276</v>
      </c>
      <c r="H172" s="34" t="s">
        <v>277</v>
      </c>
      <c r="I172" s="34" t="s">
        <v>278</v>
      </c>
      <c r="J172" s="34" t="s">
        <v>279</v>
      </c>
    </row>
    <row r="173" spans="1:10">
      <c r="B173" s="122" t="s">
        <v>261</v>
      </c>
      <c r="C173" s="127">
        <v>0.35</v>
      </c>
      <c r="D173" s="127">
        <v>0.6</v>
      </c>
      <c r="E173" s="127">
        <v>1.1000000000000001</v>
      </c>
      <c r="F173" s="127">
        <v>1.4</v>
      </c>
      <c r="G173" s="6">
        <f t="shared" ref="G173:G178" si="0">E173*(1+C$165)</f>
        <v>1.120082361015786</v>
      </c>
      <c r="H173" s="35">
        <f t="shared" ref="H173:H178" si="1">C173*D173*E173</f>
        <v>0.23100000000000001</v>
      </c>
      <c r="I173" s="35">
        <f t="shared" ref="I173:I178" si="2">C173*D173*G173</f>
        <v>0.23521729581331505</v>
      </c>
      <c r="J173" s="128">
        <f t="shared" ref="J173:J178" si="3">((I173-H173)/H173)</f>
        <v>1.8256691832532625E-2</v>
      </c>
    </row>
    <row r="174" spans="1:10">
      <c r="B174" s="123" t="s">
        <v>262</v>
      </c>
      <c r="C174" s="127">
        <v>0.17</v>
      </c>
      <c r="D174" s="127">
        <v>0.6</v>
      </c>
      <c r="E174" s="127">
        <v>1.1000000000000001</v>
      </c>
      <c r="F174" s="127">
        <v>1.4</v>
      </c>
      <c r="G174" s="6">
        <f t="shared" si="0"/>
        <v>1.120082361015786</v>
      </c>
      <c r="H174" s="35">
        <f t="shared" si="1"/>
        <v>0.11220000000000002</v>
      </c>
      <c r="I174" s="35">
        <f t="shared" si="2"/>
        <v>0.11424840082361018</v>
      </c>
      <c r="J174" s="128">
        <f t="shared" si="3"/>
        <v>1.82566918325326E-2</v>
      </c>
    </row>
    <row r="175" spans="1:10">
      <c r="B175" s="123" t="s">
        <v>280</v>
      </c>
      <c r="C175" s="127">
        <v>0.4</v>
      </c>
      <c r="D175" s="127">
        <v>0.6</v>
      </c>
      <c r="E175" s="127">
        <v>1.1000000000000001</v>
      </c>
      <c r="F175" s="127">
        <v>1.4</v>
      </c>
      <c r="G175" s="6">
        <f t="shared" si="0"/>
        <v>1.120082361015786</v>
      </c>
      <c r="H175" s="35">
        <f t="shared" si="1"/>
        <v>0.26400000000000001</v>
      </c>
      <c r="I175" s="35">
        <f t="shared" si="2"/>
        <v>0.26881976664378859</v>
      </c>
      <c r="J175" s="128">
        <f t="shared" si="3"/>
        <v>1.8256691832532503E-2</v>
      </c>
    </row>
    <row r="176" spans="1:10">
      <c r="B176" s="123" t="s">
        <v>263</v>
      </c>
      <c r="C176" s="127">
        <v>0.42</v>
      </c>
      <c r="D176" s="127">
        <v>0.6</v>
      </c>
      <c r="E176" s="127">
        <v>1.1000000000000001</v>
      </c>
      <c r="F176" s="127">
        <v>1.4</v>
      </c>
      <c r="G176" s="6">
        <f t="shared" si="0"/>
        <v>1.120082361015786</v>
      </c>
      <c r="H176" s="35">
        <f t="shared" si="1"/>
        <v>0.2772</v>
      </c>
      <c r="I176" s="35">
        <f t="shared" si="2"/>
        <v>0.28226075497597808</v>
      </c>
      <c r="J176" s="128">
        <f t="shared" si="3"/>
        <v>1.8256691832532743E-2</v>
      </c>
    </row>
    <row r="177" spans="1:10">
      <c r="B177" s="123" t="s">
        <v>264</v>
      </c>
      <c r="C177" s="127">
        <v>0.4</v>
      </c>
      <c r="D177" s="127">
        <v>0.6</v>
      </c>
      <c r="E177" s="127">
        <v>1.1000000000000001</v>
      </c>
      <c r="F177" s="127">
        <v>1.4</v>
      </c>
      <c r="G177" s="6">
        <f t="shared" si="0"/>
        <v>1.120082361015786</v>
      </c>
      <c r="H177" s="35">
        <f t="shared" si="1"/>
        <v>0.26400000000000001</v>
      </c>
      <c r="I177" s="35">
        <f t="shared" si="2"/>
        <v>0.26881976664378859</v>
      </c>
      <c r="J177" s="128">
        <f t="shared" si="3"/>
        <v>1.8256691832532503E-2</v>
      </c>
    </row>
    <row r="178" spans="1:10">
      <c r="B178" s="123" t="s">
        <v>265</v>
      </c>
      <c r="C178" s="127">
        <v>0.4</v>
      </c>
      <c r="D178" s="127">
        <v>0.6</v>
      </c>
      <c r="E178" s="127">
        <v>1.1000000000000001</v>
      </c>
      <c r="F178" s="127">
        <v>1.4</v>
      </c>
      <c r="G178" s="6">
        <f t="shared" si="0"/>
        <v>1.120082361015786</v>
      </c>
      <c r="H178" s="35">
        <f t="shared" si="1"/>
        <v>0.26400000000000001</v>
      </c>
      <c r="I178" s="35">
        <f t="shared" si="2"/>
        <v>0.26881976664378859</v>
      </c>
      <c r="J178" s="128">
        <f t="shared" si="3"/>
        <v>1.8256691832532503E-2</v>
      </c>
    </row>
    <row r="179" spans="1:10">
      <c r="B179" s="129" t="s">
        <v>281</v>
      </c>
      <c r="E179" s="3" t="s">
        <v>282</v>
      </c>
    </row>
    <row r="180" spans="1:10">
      <c r="B180" s="77"/>
    </row>
    <row r="181" spans="1:10">
      <c r="B181" s="77"/>
    </row>
    <row r="182" spans="1:10">
      <c r="A182" s="102" t="s">
        <v>299</v>
      </c>
      <c r="B182" s="120" t="s">
        <v>283</v>
      </c>
    </row>
    <row r="183" spans="1:10">
      <c r="B183" s="10" t="s">
        <v>499</v>
      </c>
    </row>
    <row r="186" spans="1:10">
      <c r="B186" s="77" t="s">
        <v>284</v>
      </c>
    </row>
    <row r="187" spans="1:10">
      <c r="B187" s="123" t="s">
        <v>285</v>
      </c>
      <c r="C187" s="94">
        <f>(4.8-1.2)/1.2</f>
        <v>3</v>
      </c>
    </row>
    <row r="188" spans="1:10">
      <c r="B188" s="123" t="s">
        <v>286</v>
      </c>
      <c r="C188" s="94">
        <f>(2-0.6)/0.6</f>
        <v>2.3333333333333335</v>
      </c>
    </row>
    <row r="189" spans="1:10">
      <c r="B189" s="7" t="s">
        <v>11</v>
      </c>
      <c r="C189" s="130">
        <f>HARMEAN(C187:C188)</f>
        <v>2.625</v>
      </c>
    </row>
    <row r="190" spans="1:10">
      <c r="B190" s="3" t="s">
        <v>287</v>
      </c>
    </row>
    <row r="191" spans="1:10">
      <c r="B191" s="77" t="s">
        <v>288</v>
      </c>
    </row>
    <row r="192" spans="1:10">
      <c r="B192" s="77"/>
    </row>
    <row r="193" spans="1:3">
      <c r="B193" s="77"/>
    </row>
    <row r="194" spans="1:3">
      <c r="A194" s="102" t="s">
        <v>300</v>
      </c>
      <c r="B194" s="120" t="s">
        <v>289</v>
      </c>
    </row>
    <row r="195" spans="1:3">
      <c r="B195" s="10" t="s">
        <v>499</v>
      </c>
    </row>
    <row r="196" spans="1:3">
      <c r="B196" s="10"/>
    </row>
    <row r="197" spans="1:3">
      <c r="A197" s="125"/>
      <c r="B197" s="123" t="s">
        <v>285</v>
      </c>
      <c r="C197" s="97">
        <f>((240-190)/190)/30</f>
        <v>8.771929824561403E-3</v>
      </c>
    </row>
    <row r="198" spans="1:3">
      <c r="B198" s="123" t="s">
        <v>286</v>
      </c>
      <c r="C198" s="97">
        <f>((310-270)/270)/30</f>
        <v>4.9382716049382715E-3</v>
      </c>
    </row>
    <row r="199" spans="1:3">
      <c r="B199" s="7" t="s">
        <v>11</v>
      </c>
      <c r="C199" s="131">
        <f>HARMEAN(C197:C198)</f>
        <v>6.3191153238546603E-3</v>
      </c>
    </row>
    <row r="200" spans="1:3">
      <c r="B200" s="3" t="s">
        <v>290</v>
      </c>
    </row>
    <row r="204" spans="1:3">
      <c r="A204" s="102" t="s">
        <v>501</v>
      </c>
      <c r="B204" s="120" t="s">
        <v>291</v>
      </c>
    </row>
    <row r="205" spans="1:3">
      <c r="B205" s="5" t="s">
        <v>500</v>
      </c>
    </row>
    <row r="216" spans="2:2">
      <c r="B216" s="77"/>
    </row>
    <row r="217" spans="2:2">
      <c r="B217" s="77"/>
    </row>
    <row r="218" spans="2:2">
      <c r="B218" s="8"/>
    </row>
    <row r="219" spans="2:2">
      <c r="B219" s="8"/>
    </row>
    <row r="220" spans="2:2">
      <c r="B220" s="8"/>
    </row>
    <row r="221" spans="2:2">
      <c r="B221" s="8"/>
    </row>
    <row r="222" spans="2:2">
      <c r="B222" s="8"/>
    </row>
    <row r="223" spans="2:2">
      <c r="B223" s="8"/>
    </row>
    <row r="224" spans="2:2">
      <c r="B224" s="8"/>
    </row>
    <row r="225" spans="2:2">
      <c r="B225" s="8"/>
    </row>
    <row r="226" spans="2:2">
      <c r="B226" s="8"/>
    </row>
    <row r="227" spans="2:2">
      <c r="B227" s="8"/>
    </row>
    <row r="228" spans="2:2">
      <c r="B228" s="8"/>
    </row>
    <row r="229" spans="2:2">
      <c r="B229" s="8"/>
    </row>
    <row r="230" spans="2:2">
      <c r="B230" s="8"/>
    </row>
    <row r="231" spans="2:2">
      <c r="B231" s="8"/>
    </row>
    <row r="232" spans="2:2">
      <c r="B232" s="8"/>
    </row>
    <row r="233" spans="2:2">
      <c r="B233" s="8"/>
    </row>
    <row r="234" spans="2:2">
      <c r="B234" s="8"/>
    </row>
    <row r="235" spans="2:2">
      <c r="B235" s="8"/>
    </row>
    <row r="236" spans="2:2">
      <c r="B236" s="8"/>
    </row>
    <row r="237" spans="2:2">
      <c r="B237" s="8"/>
    </row>
    <row r="238" spans="2:2">
      <c r="B238" s="8"/>
    </row>
    <row r="239" spans="2:2">
      <c r="B239" s="8"/>
    </row>
  </sheetData>
  <sheetProtection algorithmName="SHA-512" hashValue="Tp0iKYLtT/1TpllA3nRDz4BdvJbBgYZeVD5kneYfYVitIPLtFg7gQLg947aKCp0l5bhik/45InfYQVt9HlNyog==" saltValue="bJoFBQV/JSgLPTrozf3GPA==" spinCount="100000" sheet="1" objects="1" scenarios="1"/>
  <mergeCells count="13">
    <mergeCell ref="B2:E2"/>
    <mergeCell ref="E54:F54"/>
    <mergeCell ref="B51:C51"/>
    <mergeCell ref="E51:F51"/>
    <mergeCell ref="E66:F66"/>
    <mergeCell ref="B69:C69"/>
    <mergeCell ref="E63:F63"/>
    <mergeCell ref="E61:F61"/>
    <mergeCell ref="B80:C80"/>
    <mergeCell ref="B55:C55"/>
    <mergeCell ref="B58:C58"/>
    <mergeCell ref="B61:C61"/>
    <mergeCell ref="B64:C64"/>
  </mergeCells>
  <pageMargins left="0.7" right="0.7" top="0.75" bottom="0.75" header="0.3" footer="0.3"/>
  <pageSetup paperSize="9"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dimension ref="A2:Y60"/>
  <sheetViews>
    <sheetView zoomScale="70" zoomScaleNormal="70" workbookViewId="0">
      <selection activeCell="W43" sqref="W43"/>
    </sheetView>
  </sheetViews>
  <sheetFormatPr defaultColWidth="11.42578125" defaultRowHeight="15"/>
  <cols>
    <col min="1" max="1" width="5" customWidth="1"/>
    <col min="2" max="2" width="19.42578125" customWidth="1"/>
  </cols>
  <sheetData>
    <row r="2" spans="1:9">
      <c r="A2" s="53"/>
      <c r="B2" s="1174" t="s">
        <v>2433</v>
      </c>
      <c r="C2" s="1174"/>
      <c r="D2" s="1174"/>
      <c r="E2" s="1174"/>
      <c r="F2" s="1174"/>
      <c r="G2" s="1174"/>
      <c r="H2" s="1174"/>
      <c r="I2" s="1174"/>
    </row>
    <row r="3" spans="1:9">
      <c r="A3" s="53"/>
      <c r="B3" s="54" t="s">
        <v>2166</v>
      </c>
    </row>
    <row r="4" spans="1:9">
      <c r="A4" s="53"/>
      <c r="B4" s="3"/>
    </row>
    <row r="5" spans="1:9">
      <c r="A5" s="53" t="s">
        <v>197</v>
      </c>
      <c r="B5" s="4" t="s">
        <v>1763</v>
      </c>
    </row>
    <row r="7" spans="1:9">
      <c r="A7" t="s">
        <v>41</v>
      </c>
      <c r="B7" s="4" t="s">
        <v>2167</v>
      </c>
    </row>
    <row r="8" spans="1:9">
      <c r="B8" s="138" t="s">
        <v>2303</v>
      </c>
    </row>
    <row r="10" spans="1:9">
      <c r="B10" s="1" t="s">
        <v>2168</v>
      </c>
      <c r="C10" s="491"/>
    </row>
    <row r="11" spans="1:9">
      <c r="B11" s="1" t="s">
        <v>2169</v>
      </c>
      <c r="C11" s="491"/>
    </row>
    <row r="12" spans="1:9">
      <c r="B12" s="492" t="s">
        <v>329</v>
      </c>
    </row>
    <row r="14" spans="1:9">
      <c r="A14" t="s">
        <v>42</v>
      </c>
      <c r="B14" s="2" t="s">
        <v>2180</v>
      </c>
    </row>
    <row r="15" spans="1:9">
      <c r="B15" s="495" t="s">
        <v>2181</v>
      </c>
    </row>
    <row r="17" spans="2:3">
      <c r="B17" s="1" t="s">
        <v>2170</v>
      </c>
      <c r="C17" s="491"/>
    </row>
    <row r="18" spans="2:3">
      <c r="B18" s="411"/>
      <c r="C18" s="411"/>
    </row>
    <row r="20" spans="2:3" ht="30">
      <c r="B20" s="493" t="s">
        <v>2171</v>
      </c>
      <c r="C20" s="63"/>
    </row>
    <row r="22" spans="2:3">
      <c r="B22" t="s">
        <v>2172</v>
      </c>
    </row>
    <row r="23" spans="2:3">
      <c r="B23" s="1" t="s">
        <v>2173</v>
      </c>
      <c r="C23" s="494">
        <v>0.46</v>
      </c>
    </row>
    <row r="24" spans="2:3">
      <c r="B24" s="1" t="s">
        <v>2174</v>
      </c>
      <c r="C24" s="494">
        <v>0.28999999999999998</v>
      </c>
    </row>
    <row r="25" spans="2:3">
      <c r="B25" s="1" t="s">
        <v>2175</v>
      </c>
      <c r="C25" s="494">
        <v>0.12</v>
      </c>
    </row>
    <row r="26" spans="2:3">
      <c r="B26" s="1" t="s">
        <v>2177</v>
      </c>
      <c r="C26" s="494">
        <v>7.0000000000000007E-2</v>
      </c>
    </row>
    <row r="27" spans="2:3">
      <c r="B27" s="1" t="s">
        <v>2178</v>
      </c>
      <c r="C27" s="494">
        <v>0.04</v>
      </c>
    </row>
    <row r="28" spans="2:3">
      <c r="B28" s="1" t="s">
        <v>2176</v>
      </c>
      <c r="C28" s="494">
        <v>0.02</v>
      </c>
    </row>
    <row r="29" spans="2:3">
      <c r="B29" s="492" t="s">
        <v>2179</v>
      </c>
    </row>
    <row r="31" spans="2:3" ht="30">
      <c r="B31" s="493" t="s">
        <v>2182</v>
      </c>
      <c r="C31" s="63">
        <f>11.6</f>
        <v>11.6</v>
      </c>
    </row>
    <row r="35" spans="1:7">
      <c r="A35" t="s">
        <v>44</v>
      </c>
    </row>
    <row r="36" spans="1:7">
      <c r="B36" t="s">
        <v>2186</v>
      </c>
    </row>
    <row r="37" spans="1:7">
      <c r="B37" t="s">
        <v>2183</v>
      </c>
    </row>
    <row r="38" spans="1:7">
      <c r="B38" t="s">
        <v>2184</v>
      </c>
    </row>
    <row r="40" spans="1:7">
      <c r="B40" s="744" t="s">
        <v>2187</v>
      </c>
      <c r="C40" s="564"/>
      <c r="D40" s="564"/>
      <c r="E40" s="564"/>
      <c r="F40" s="564"/>
      <c r="G40" s="564"/>
    </row>
    <row r="59" spans="2:25" ht="96.75">
      <c r="B59" s="171" t="s">
        <v>474</v>
      </c>
      <c r="C59" s="171" t="s">
        <v>475</v>
      </c>
      <c r="D59" s="171" t="s">
        <v>476</v>
      </c>
      <c r="E59" s="171" t="s">
        <v>477</v>
      </c>
      <c r="F59" s="171" t="s">
        <v>478</v>
      </c>
      <c r="G59" s="171" t="s">
        <v>479</v>
      </c>
      <c r="H59" s="171" t="s">
        <v>480</v>
      </c>
      <c r="I59" s="171" t="s">
        <v>481</v>
      </c>
      <c r="J59" s="171" t="s">
        <v>483</v>
      </c>
      <c r="K59" s="171" t="s">
        <v>484</v>
      </c>
      <c r="L59" s="171" t="s">
        <v>485</v>
      </c>
      <c r="M59" s="171" t="s">
        <v>486</v>
      </c>
      <c r="N59" s="171" t="s">
        <v>485</v>
      </c>
      <c r="O59" s="171" t="s">
        <v>487</v>
      </c>
      <c r="P59" s="171" t="s">
        <v>485</v>
      </c>
      <c r="Q59" s="171" t="s">
        <v>488</v>
      </c>
      <c r="R59" s="171" t="s">
        <v>489</v>
      </c>
      <c r="S59" s="171" t="s">
        <v>485</v>
      </c>
      <c r="T59" s="171" t="s">
        <v>490</v>
      </c>
      <c r="U59" s="171" t="s">
        <v>485</v>
      </c>
      <c r="V59" s="171" t="s">
        <v>491</v>
      </c>
      <c r="W59" s="171" t="s">
        <v>485</v>
      </c>
      <c r="X59" s="171" t="s">
        <v>492</v>
      </c>
      <c r="Y59" s="171" t="s">
        <v>485</v>
      </c>
    </row>
    <row r="60" spans="2:25">
      <c r="B60" t="s">
        <v>493</v>
      </c>
      <c r="I60" t="s">
        <v>482</v>
      </c>
    </row>
  </sheetData>
  <sheetProtection algorithmName="SHA-512" hashValue="PIScsYzgcqWN6gVk2MDB/MpYejiu/eBPONQ9xabGxUyzuZ/OrXPD9IjzmSnZPuGQCfZyIhhB1JaJfSkEx84epQ==" saltValue="IdlsHBzI/OftxD1/JVDOSg==" spinCount="100000" sheet="1" objects="1" scenarios="1"/>
  <mergeCells count="1">
    <mergeCell ref="B2:I2"/>
  </mergeCell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R88"/>
  <sheetViews>
    <sheetView topLeftCell="A25" zoomScale="70" zoomScaleNormal="70" workbookViewId="0">
      <selection activeCell="H7" sqref="H7"/>
    </sheetView>
  </sheetViews>
  <sheetFormatPr defaultColWidth="11.5703125" defaultRowHeight="12.75"/>
  <cols>
    <col min="1" max="1" width="5.5703125" style="3" customWidth="1"/>
    <col min="2" max="2" width="29.28515625" style="3" customWidth="1"/>
    <col min="3" max="3" width="14.5703125" style="3" customWidth="1"/>
    <col min="4" max="4" width="28.7109375" style="3" customWidth="1"/>
    <col min="5" max="5" width="33.7109375" style="3" customWidth="1"/>
    <col min="6" max="6" width="17.42578125" style="3" customWidth="1"/>
    <col min="7" max="8" width="11.5703125" style="3"/>
    <col min="9" max="9" width="29.7109375" style="3" customWidth="1"/>
    <col min="10" max="16384" width="11.5703125" style="3"/>
  </cols>
  <sheetData>
    <row r="1" spans="1:5">
      <c r="A1" s="53"/>
    </row>
    <row r="2" spans="1:5" ht="27.4" customHeight="1">
      <c r="A2" s="53"/>
      <c r="B2" s="1172" t="s">
        <v>2435</v>
      </c>
      <c r="C2" s="1172"/>
      <c r="D2" s="1172"/>
      <c r="E2" s="1172"/>
    </row>
    <row r="3" spans="1:5">
      <c r="A3" s="53"/>
      <c r="B3" s="54" t="s">
        <v>1970</v>
      </c>
    </row>
    <row r="4" spans="1:5">
      <c r="A4" s="53"/>
    </row>
    <row r="5" spans="1:5">
      <c r="A5" s="53" t="s">
        <v>197</v>
      </c>
      <c r="B5" s="4" t="s">
        <v>1763</v>
      </c>
    </row>
    <row r="6" spans="1:5">
      <c r="A6" s="53"/>
      <c r="B6" s="4"/>
    </row>
    <row r="7" spans="1:5">
      <c r="A7" s="53"/>
      <c r="B7" s="6" t="s">
        <v>66</v>
      </c>
      <c r="C7" s="347" t="str">
        <f>'A. Dades de partida'!D7</f>
        <v>Vilalba Sasserra</v>
      </c>
    </row>
    <row r="8" spans="1:5">
      <c r="A8" s="53"/>
      <c r="B8" s="6" t="s">
        <v>1760</v>
      </c>
      <c r="C8" s="347">
        <f>'A. Dades de partida'!D8</f>
        <v>8306</v>
      </c>
    </row>
    <row r="9" spans="1:5">
      <c r="A9" s="53"/>
      <c r="B9" s="6" t="s">
        <v>153</v>
      </c>
      <c r="C9" s="347" t="str">
        <f>'A. Dades de partida'!D24</f>
        <v>Vallès Oriental</v>
      </c>
    </row>
    <row r="10" spans="1:5">
      <c r="A10" s="53"/>
      <c r="B10" s="6" t="s">
        <v>1761</v>
      </c>
      <c r="C10" s="347" t="str">
        <f>'A. Dades de partida'!D25</f>
        <v>41</v>
      </c>
    </row>
    <row r="11" spans="1:5">
      <c r="A11" s="53"/>
      <c r="B11" s="6" t="s">
        <v>135</v>
      </c>
      <c r="C11" s="347">
        <f>'A. Dades de partida'!D10</f>
        <v>15</v>
      </c>
    </row>
    <row r="12" spans="1:5">
      <c r="A12" s="53"/>
      <c r="B12" s="6" t="s">
        <v>124</v>
      </c>
      <c r="C12" s="347">
        <f>'A. Dades de partida'!D11</f>
        <v>0</v>
      </c>
    </row>
    <row r="13" spans="1:5">
      <c r="A13" s="53"/>
      <c r="B13" s="6" t="s">
        <v>125</v>
      </c>
      <c r="C13" s="347">
        <f>'A. Dades de partida'!D12</f>
        <v>15</v>
      </c>
    </row>
    <row r="14" spans="1:5">
      <c r="A14" s="53"/>
      <c r="B14" s="6" t="s">
        <v>1769</v>
      </c>
      <c r="C14" s="348">
        <f>'A. Dades de partida'!D14</f>
        <v>684</v>
      </c>
    </row>
    <row r="15" spans="1:5">
      <c r="A15" s="53"/>
      <c r="B15" s="6" t="s">
        <v>1771</v>
      </c>
      <c r="C15" s="348">
        <f>'A. Dades de partida'!D15</f>
        <v>587</v>
      </c>
    </row>
    <row r="16" spans="1:5">
      <c r="A16" s="53"/>
      <c r="B16" s="6" t="s">
        <v>1768</v>
      </c>
      <c r="C16" s="348">
        <f>'A. Dades de partida'!D18</f>
        <v>889241.73</v>
      </c>
    </row>
    <row r="17" spans="1:5">
      <c r="A17" s="53"/>
      <c r="B17" s="53"/>
      <c r="C17" s="53"/>
      <c r="D17" s="53"/>
      <c r="E17" s="53"/>
    </row>
    <row r="18" spans="1:5">
      <c r="A18" s="53"/>
    </row>
    <row r="19" spans="1:5">
      <c r="A19" s="53" t="s">
        <v>41</v>
      </c>
      <c r="B19" s="4" t="s">
        <v>408</v>
      </c>
    </row>
    <row r="20" spans="1:5">
      <c r="A20" s="53"/>
      <c r="B20" s="138" t="s">
        <v>1964</v>
      </c>
    </row>
    <row r="21" spans="1:5">
      <c r="A21" s="53"/>
      <c r="B21" s="138" t="s">
        <v>1965</v>
      </c>
    </row>
    <row r="22" spans="1:5">
      <c r="A22" s="53"/>
      <c r="B22" s="138"/>
    </row>
    <row r="23" spans="1:5">
      <c r="B23" s="12" t="s">
        <v>1966</v>
      </c>
    </row>
    <row r="25" spans="1:5">
      <c r="B25" s="6" t="s">
        <v>409</v>
      </c>
      <c r="C25" s="84"/>
    </row>
    <row r="26" spans="1:5">
      <c r="B26" s="6" t="s">
        <v>410</v>
      </c>
      <c r="C26" s="84"/>
    </row>
    <row r="27" spans="1:5">
      <c r="B27" s="6" t="s">
        <v>411</v>
      </c>
      <c r="C27" s="84"/>
    </row>
    <row r="30" spans="1:5">
      <c r="A30" s="3" t="s">
        <v>42</v>
      </c>
      <c r="B30" s="4" t="s">
        <v>1972</v>
      </c>
    </row>
    <row r="31" spans="1:5">
      <c r="B31" s="138" t="s">
        <v>1973</v>
      </c>
    </row>
    <row r="34" spans="1:5">
      <c r="B34" s="4" t="s">
        <v>412</v>
      </c>
    </row>
    <row r="36" spans="1:5" ht="25.5">
      <c r="C36" s="37" t="s">
        <v>413</v>
      </c>
      <c r="D36" s="6">
        <v>2003</v>
      </c>
      <c r="E36" s="6">
        <v>2009</v>
      </c>
    </row>
    <row r="37" spans="1:5">
      <c r="B37" s="6" t="s">
        <v>414</v>
      </c>
      <c r="C37" s="550"/>
      <c r="D37" s="745"/>
      <c r="E37" s="745"/>
    </row>
    <row r="38" spans="1:5">
      <c r="B38" s="6" t="s">
        <v>415</v>
      </c>
      <c r="C38" s="115">
        <v>57980</v>
      </c>
      <c r="D38" s="64">
        <v>3227</v>
      </c>
      <c r="E38" s="64">
        <v>53337</v>
      </c>
    </row>
    <row r="39" spans="1:5">
      <c r="B39" s="6" t="s">
        <v>416</v>
      </c>
      <c r="C39" s="115">
        <v>180453.58600000001</v>
      </c>
      <c r="D39" s="62">
        <v>14.82</v>
      </c>
      <c r="E39" s="62">
        <v>154</v>
      </c>
    </row>
    <row r="40" spans="1:5">
      <c r="A40" s="3" t="s">
        <v>417</v>
      </c>
      <c r="B40" s="6" t="s">
        <v>418</v>
      </c>
      <c r="C40" s="64">
        <v>3100</v>
      </c>
      <c r="D40" s="64">
        <v>4592</v>
      </c>
      <c r="E40" s="64">
        <v>2888</v>
      </c>
    </row>
    <row r="41" spans="1:5">
      <c r="B41" s="9" t="s">
        <v>419</v>
      </c>
      <c r="C41" s="13"/>
    </row>
    <row r="43" spans="1:5">
      <c r="B43" s="162" t="s">
        <v>1967</v>
      </c>
      <c r="C43" s="13"/>
    </row>
    <row r="47" spans="1:5">
      <c r="A47" s="3" t="s">
        <v>420</v>
      </c>
      <c r="B47" s="4" t="s">
        <v>421</v>
      </c>
    </row>
    <row r="48" spans="1:5">
      <c r="B48" s="138" t="s">
        <v>1969</v>
      </c>
    </row>
    <row r="49" spans="1:9">
      <c r="B49" s="5" t="s">
        <v>1968</v>
      </c>
    </row>
    <row r="51" spans="1:9">
      <c r="C51" s="6" t="s">
        <v>233</v>
      </c>
    </row>
    <row r="52" spans="1:9">
      <c r="B52" s="6" t="s">
        <v>422</v>
      </c>
      <c r="C52" s="745"/>
    </row>
    <row r="53" spans="1:9" ht="25.5">
      <c r="B53" s="140" t="s">
        <v>1971</v>
      </c>
      <c r="C53" s="745"/>
    </row>
    <row r="54" spans="1:9">
      <c r="B54" s="6" t="s">
        <v>423</v>
      </c>
      <c r="C54" s="745"/>
    </row>
    <row r="57" spans="1:9">
      <c r="A57" s="53" t="s">
        <v>47</v>
      </c>
      <c r="B57" s="105" t="s">
        <v>2016</v>
      </c>
      <c r="C57" s="409" t="e">
        <f>(C40*#REF!)/1000000</f>
        <v>#REF!</v>
      </c>
    </row>
    <row r="58" spans="1:9">
      <c r="A58" s="53"/>
      <c r="B58" s="143"/>
    </row>
    <row r="59" spans="1:9">
      <c r="A59" s="53"/>
    </row>
    <row r="60" spans="1:9">
      <c r="A60" s="53"/>
    </row>
    <row r="61" spans="1:9">
      <c r="A61" s="53" t="s">
        <v>48</v>
      </c>
      <c r="B61" s="34" t="s">
        <v>424</v>
      </c>
      <c r="C61" s="25" t="e">
        <f>C57*C11</f>
        <v>#REF!</v>
      </c>
      <c r="D61" s="4"/>
    </row>
    <row r="62" spans="1:9">
      <c r="A62" s="53"/>
      <c r="B62" s="53"/>
      <c r="C62" s="53"/>
      <c r="D62" s="53"/>
    </row>
    <row r="63" spans="1:9">
      <c r="G63" s="26"/>
      <c r="H63" s="26"/>
      <c r="I63" s="26"/>
    </row>
    <row r="66" spans="1:18">
      <c r="A66" s="53" t="s">
        <v>44</v>
      </c>
      <c r="B66" s="496" t="s">
        <v>2185</v>
      </c>
      <c r="C66" s="107"/>
      <c r="D66" s="107"/>
    </row>
    <row r="68" spans="1:18">
      <c r="B68" s="102"/>
    </row>
    <row r="69" spans="1:18">
      <c r="B69" s="8"/>
    </row>
    <row r="71" spans="1:18">
      <c r="A71" s="53" t="s">
        <v>49</v>
      </c>
    </row>
    <row r="72" spans="1:18">
      <c r="A72" s="53"/>
      <c r="B72" s="8"/>
      <c r="C72" s="8"/>
      <c r="D72" s="8"/>
    </row>
    <row r="73" spans="1:18">
      <c r="A73" s="53"/>
      <c r="B73" s="8"/>
    </row>
    <row r="74" spans="1:18">
      <c r="A74" s="53"/>
      <c r="B74" s="8"/>
    </row>
    <row r="75" spans="1:18">
      <c r="A75" s="53"/>
      <c r="C75" s="6">
        <v>0</v>
      </c>
      <c r="D75" s="6">
        <v>1</v>
      </c>
      <c r="E75" s="6">
        <v>2</v>
      </c>
      <c r="F75" s="6">
        <v>3</v>
      </c>
      <c r="G75" s="6">
        <v>4</v>
      </c>
      <c r="H75" s="6">
        <v>5</v>
      </c>
      <c r="I75" s="6">
        <v>6</v>
      </c>
      <c r="J75" s="6">
        <v>7</v>
      </c>
      <c r="K75" s="6">
        <v>8</v>
      </c>
      <c r="L75" s="6">
        <v>9</v>
      </c>
      <c r="M75" s="6">
        <v>10</v>
      </c>
      <c r="N75" s="6">
        <v>11</v>
      </c>
      <c r="O75" s="6">
        <v>12</v>
      </c>
      <c r="P75" s="6">
        <v>13</v>
      </c>
      <c r="Q75" s="6">
        <v>14</v>
      </c>
      <c r="R75" s="6">
        <v>15</v>
      </c>
    </row>
    <row r="76" spans="1:18">
      <c r="A76" s="53"/>
      <c r="B76" s="53"/>
      <c r="C76" s="48">
        <f>$C$12+C75</f>
        <v>0</v>
      </c>
      <c r="D76" s="48">
        <f t="shared" ref="D76:R76" si="0">$C$12+D75</f>
        <v>1</v>
      </c>
      <c r="E76" s="48">
        <f t="shared" si="0"/>
        <v>2</v>
      </c>
      <c r="F76" s="48">
        <f t="shared" si="0"/>
        <v>3</v>
      </c>
      <c r="G76" s="48">
        <f t="shared" si="0"/>
        <v>4</v>
      </c>
      <c r="H76" s="48">
        <f t="shared" si="0"/>
        <v>5</v>
      </c>
      <c r="I76" s="48">
        <f t="shared" si="0"/>
        <v>6</v>
      </c>
      <c r="J76" s="48">
        <f t="shared" si="0"/>
        <v>7</v>
      </c>
      <c r="K76" s="48">
        <f t="shared" si="0"/>
        <v>8</v>
      </c>
      <c r="L76" s="48">
        <f t="shared" si="0"/>
        <v>9</v>
      </c>
      <c r="M76" s="48">
        <f t="shared" si="0"/>
        <v>10</v>
      </c>
      <c r="N76" s="48">
        <f t="shared" si="0"/>
        <v>11</v>
      </c>
      <c r="O76" s="48">
        <f t="shared" si="0"/>
        <v>12</v>
      </c>
      <c r="P76" s="48">
        <f t="shared" si="0"/>
        <v>13</v>
      </c>
      <c r="Q76" s="48">
        <f t="shared" si="0"/>
        <v>14</v>
      </c>
      <c r="R76" s="48">
        <f t="shared" si="0"/>
        <v>15</v>
      </c>
    </row>
    <row r="77" spans="1:18" s="53" customFormat="1">
      <c r="B77" s="156"/>
      <c r="C77" s="24" t="e">
        <f>#REF!</f>
        <v>#REF!</v>
      </c>
      <c r="D77" s="24"/>
      <c r="E77" s="24"/>
      <c r="F77" s="189"/>
      <c r="G77" s="189"/>
      <c r="H77" s="189"/>
      <c r="I77" s="189"/>
      <c r="J77" s="189"/>
      <c r="K77" s="189"/>
      <c r="L77" s="189"/>
      <c r="M77" s="189"/>
      <c r="N77" s="189"/>
      <c r="O77" s="189"/>
      <c r="P77" s="189"/>
      <c r="Q77" s="189"/>
      <c r="R77" s="189">
        <f>I39</f>
        <v>0</v>
      </c>
    </row>
    <row r="78" spans="1:18" s="53" customFormat="1">
      <c r="B78" s="156"/>
      <c r="C78" s="24" t="e">
        <f>C77*#REF!*$C$26</f>
        <v>#REF!</v>
      </c>
      <c r="D78" s="24" t="e">
        <f>D77*#REF!*$C$26</f>
        <v>#REF!</v>
      </c>
      <c r="E78" s="24" t="e">
        <f>E77*#REF!*$C$26</f>
        <v>#REF!</v>
      </c>
      <c r="F78" s="24" t="e">
        <f>F77*#REF!*$C$26</f>
        <v>#REF!</v>
      </c>
      <c r="G78" s="24" t="e">
        <f>G77*#REF!*$C$26</f>
        <v>#REF!</v>
      </c>
      <c r="H78" s="24" t="e">
        <f>H77*#REF!*$C$26</f>
        <v>#REF!</v>
      </c>
      <c r="I78" s="24" t="e">
        <f>I77*#REF!*$C$26</f>
        <v>#REF!</v>
      </c>
      <c r="J78" s="24" t="e">
        <f>J77*#REF!*$C$26</f>
        <v>#REF!</v>
      </c>
      <c r="K78" s="24" t="e">
        <f>K77*#REF!*$C$26</f>
        <v>#REF!</v>
      </c>
      <c r="L78" s="24" t="e">
        <f>L77*#REF!*$C$26</f>
        <v>#REF!</v>
      </c>
      <c r="M78" s="24" t="e">
        <f>M77*#REF!*$C$26</f>
        <v>#REF!</v>
      </c>
      <c r="N78" s="24" t="e">
        <f>N77*#REF!*$C$26</f>
        <v>#REF!</v>
      </c>
      <c r="O78" s="24" t="e">
        <f>O77*#REF!*$C$26</f>
        <v>#REF!</v>
      </c>
      <c r="P78" s="24" t="e">
        <f>P77*#REF!*$C$26</f>
        <v>#REF!</v>
      </c>
      <c r="Q78" s="24" t="e">
        <f>Q77*#REF!*$C$26</f>
        <v>#REF!</v>
      </c>
      <c r="R78" s="24" t="e">
        <f>R77*#REF!*$C$26</f>
        <v>#REF!</v>
      </c>
    </row>
    <row r="79" spans="1:18" s="53" customFormat="1">
      <c r="B79" s="482"/>
      <c r="C79" s="465" t="e">
        <f>($B$117*C78)/1000000</f>
        <v>#REF!</v>
      </c>
      <c r="D79" s="465" t="e">
        <f t="shared" ref="D79:R79" si="1">($B$117*D78)/1000000</f>
        <v>#REF!</v>
      </c>
      <c r="E79" s="465" t="e">
        <f t="shared" si="1"/>
        <v>#REF!</v>
      </c>
      <c r="F79" s="465" t="e">
        <f t="shared" si="1"/>
        <v>#REF!</v>
      </c>
      <c r="G79" s="465" t="e">
        <f t="shared" si="1"/>
        <v>#REF!</v>
      </c>
      <c r="H79" s="465" t="e">
        <f t="shared" si="1"/>
        <v>#REF!</v>
      </c>
      <c r="I79" s="465" t="e">
        <f t="shared" si="1"/>
        <v>#REF!</v>
      </c>
      <c r="J79" s="465" t="e">
        <f t="shared" si="1"/>
        <v>#REF!</v>
      </c>
      <c r="K79" s="465" t="e">
        <f t="shared" si="1"/>
        <v>#REF!</v>
      </c>
      <c r="L79" s="465" t="e">
        <f t="shared" si="1"/>
        <v>#REF!</v>
      </c>
      <c r="M79" s="465" t="e">
        <f t="shared" si="1"/>
        <v>#REF!</v>
      </c>
      <c r="N79" s="465" t="e">
        <f t="shared" si="1"/>
        <v>#REF!</v>
      </c>
      <c r="O79" s="465" t="e">
        <f t="shared" si="1"/>
        <v>#REF!</v>
      </c>
      <c r="P79" s="465" t="e">
        <f t="shared" si="1"/>
        <v>#REF!</v>
      </c>
      <c r="Q79" s="465" t="e">
        <f t="shared" si="1"/>
        <v>#REF!</v>
      </c>
      <c r="R79" s="465" t="e">
        <f t="shared" si="1"/>
        <v>#REF!</v>
      </c>
    </row>
    <row r="80" spans="1:18" s="53" customFormat="1"/>
    <row r="81" spans="1:3">
      <c r="A81" s="53"/>
    </row>
    <row r="82" spans="1:3">
      <c r="A82" s="53"/>
    </row>
    <row r="83" spans="1:3">
      <c r="A83" s="53" t="s">
        <v>50</v>
      </c>
      <c r="B83" s="34" t="s">
        <v>424</v>
      </c>
      <c r="C83" s="106" t="e">
        <f>SUM(D79:R79)</f>
        <v>#REF!</v>
      </c>
    </row>
    <row r="84" spans="1:3">
      <c r="A84" s="53"/>
      <c r="B84" s="8"/>
    </row>
    <row r="85" spans="1:3">
      <c r="A85" s="53"/>
    </row>
    <row r="86" spans="1:3">
      <c r="A86" s="3" t="s">
        <v>70</v>
      </c>
      <c r="B86" s="158" t="s">
        <v>2017</v>
      </c>
      <c r="C86" s="159" t="e">
        <f>C83-#REF!</f>
        <v>#REF!</v>
      </c>
    </row>
    <row r="87" spans="1:3">
      <c r="A87" s="53"/>
      <c r="B87" s="8"/>
    </row>
    <row r="88" spans="1:3">
      <c r="A88" s="53"/>
    </row>
  </sheetData>
  <sheetProtection algorithmName="SHA-512" hashValue="gNkuVV+lrUl4ZjMqv4ZylyNvB0Fbg0XDrI2kNrxQEQeBfHcgYA9uw0gxt9MUYwnZ7TsxzAtoaGoRwhwBdGm1aA==" saltValue="i/+3ra5K5fEI159BsTmAdw==" spinCount="100000" sheet="1" objects="1" scenarios="1"/>
  <mergeCells count="1">
    <mergeCell ref="B2:E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R131"/>
  <sheetViews>
    <sheetView zoomScale="55" zoomScaleNormal="55" workbookViewId="0">
      <selection activeCell="G14" sqref="G14"/>
    </sheetView>
  </sheetViews>
  <sheetFormatPr defaultColWidth="11.5703125" defaultRowHeight="12.75"/>
  <cols>
    <col min="1" max="1" width="11" style="3" customWidth="1"/>
    <col min="2" max="2" width="25" style="3" customWidth="1"/>
    <col min="3" max="3" width="32.42578125" style="3" customWidth="1"/>
    <col min="4" max="4" width="18.28515625" style="3" customWidth="1"/>
    <col min="5" max="5" width="20.5703125" style="3" customWidth="1"/>
    <col min="6" max="6" width="11.5703125" style="3"/>
    <col min="7" max="7" width="30.7109375" style="3" customWidth="1"/>
    <col min="8" max="8" width="20.7109375" style="3" customWidth="1"/>
    <col min="9" max="9" width="30.7109375" style="3" customWidth="1"/>
    <col min="10" max="10" width="18.5703125" style="3" customWidth="1"/>
    <col min="11" max="11" width="11.5703125" style="3"/>
    <col min="12" max="12" width="32.5703125" style="3" bestFit="1" customWidth="1"/>
    <col min="13" max="13" width="12.7109375" style="3" bestFit="1" customWidth="1"/>
    <col min="14" max="16384" width="11.5703125" style="3"/>
  </cols>
  <sheetData>
    <row r="1" spans="1:6">
      <c r="A1" s="53"/>
    </row>
    <row r="2" spans="1:6" ht="25.9" customHeight="1">
      <c r="A2" s="53"/>
      <c r="B2" s="1172" t="s">
        <v>2436</v>
      </c>
      <c r="C2" s="1172"/>
      <c r="D2" s="1172"/>
      <c r="E2" s="1172"/>
      <c r="F2" s="1172"/>
    </row>
    <row r="3" spans="1:6">
      <c r="A3" s="53"/>
      <c r="B3" s="54" t="s">
        <v>425</v>
      </c>
    </row>
    <row r="4" spans="1:6">
      <c r="A4" s="53"/>
      <c r="B4" s="138" t="s">
        <v>2123</v>
      </c>
    </row>
    <row r="5" spans="1:6">
      <c r="A5" s="53"/>
    </row>
    <row r="6" spans="1:6">
      <c r="A6" s="53" t="s">
        <v>197</v>
      </c>
      <c r="B6" s="4" t="s">
        <v>1763</v>
      </c>
    </row>
    <row r="7" spans="1:6">
      <c r="A7" s="53"/>
      <c r="B7" s="4"/>
    </row>
    <row r="8" spans="1:6">
      <c r="A8" s="53"/>
      <c r="B8" s="6" t="s">
        <v>66</v>
      </c>
      <c r="C8" s="347" t="str">
        <f>'A. Dades de partida'!D7</f>
        <v>Vilalba Sasserra</v>
      </c>
    </row>
    <row r="9" spans="1:6">
      <c r="A9" s="53"/>
      <c r="B9" s="6" t="s">
        <v>1760</v>
      </c>
      <c r="C9" s="347">
        <f>'A. Dades de partida'!D8</f>
        <v>8306</v>
      </c>
    </row>
    <row r="10" spans="1:6">
      <c r="A10" s="53"/>
      <c r="B10" s="6" t="s">
        <v>153</v>
      </c>
      <c r="C10" s="347" t="str">
        <f>'A. Dades de partida'!D24</f>
        <v>Vallès Oriental</v>
      </c>
    </row>
    <row r="11" spans="1:6">
      <c r="A11" s="53"/>
      <c r="B11" s="6" t="s">
        <v>1761</v>
      </c>
      <c r="C11" s="347" t="str">
        <f>'A. Dades de partida'!D25</f>
        <v>41</v>
      </c>
    </row>
    <row r="12" spans="1:6">
      <c r="A12" s="53"/>
      <c r="B12" s="6" t="s">
        <v>135</v>
      </c>
      <c r="C12" s="347">
        <f>'A. Dades de partida'!D10</f>
        <v>15</v>
      </c>
    </row>
    <row r="13" spans="1:6">
      <c r="A13" s="53"/>
      <c r="B13" s="6" t="s">
        <v>124</v>
      </c>
      <c r="C13" s="347">
        <f>'A. Dades de partida'!D11</f>
        <v>0</v>
      </c>
    </row>
    <row r="14" spans="1:6">
      <c r="A14" s="53"/>
      <c r="B14" s="6" t="s">
        <v>125</v>
      </c>
      <c r="C14" s="347">
        <f>'A. Dades de partida'!D12</f>
        <v>15</v>
      </c>
    </row>
    <row r="15" spans="1:6">
      <c r="A15" s="53"/>
      <c r="B15" s="6" t="s">
        <v>1769</v>
      </c>
      <c r="C15" s="348">
        <f>'A. Dades de partida'!D14</f>
        <v>684</v>
      </c>
    </row>
    <row r="16" spans="1:6">
      <c r="A16" s="53"/>
      <c r="B16" s="6" t="s">
        <v>1771</v>
      </c>
      <c r="C16" s="348">
        <f>'A. Dades de partida'!D15</f>
        <v>587</v>
      </c>
    </row>
    <row r="17" spans="1:12">
      <c r="A17" s="53"/>
      <c r="B17" s="6" t="s">
        <v>1768</v>
      </c>
      <c r="C17" s="348">
        <f>'A. Dades de partida'!D18</f>
        <v>889241.73</v>
      </c>
    </row>
    <row r="18" spans="1:12">
      <c r="A18" s="53"/>
      <c r="B18" s="53"/>
      <c r="C18" s="53"/>
      <c r="D18" s="53"/>
      <c r="E18" s="53"/>
    </row>
    <row r="19" spans="1:12">
      <c r="A19" s="53"/>
    </row>
    <row r="20" spans="1:12">
      <c r="A20" s="53" t="s">
        <v>41</v>
      </c>
      <c r="B20" s="4" t="s">
        <v>436</v>
      </c>
    </row>
    <row r="21" spans="1:12">
      <c r="A21" s="53"/>
      <c r="B21" s="5" t="s">
        <v>1974</v>
      </c>
    </row>
    <row r="22" spans="1:12">
      <c r="A22" s="53"/>
      <c r="B22" s="138" t="s">
        <v>435</v>
      </c>
    </row>
    <row r="24" spans="1:12" ht="25.5">
      <c r="B24" s="134" t="s">
        <v>426</v>
      </c>
      <c r="C24" s="163">
        <f>VLOOKUP(C8,'BD ASVICC'!A6:GP316,10,)</f>
        <v>32</v>
      </c>
    </row>
    <row r="25" spans="1:12" ht="25.5">
      <c r="B25" s="134" t="s">
        <v>427</v>
      </c>
      <c r="C25" s="84">
        <f>VLOOKUP(C8,'BD ASVICC'!A6:GP316,11,)</f>
        <v>0</v>
      </c>
    </row>
    <row r="26" spans="1:12" ht="25.5">
      <c r="B26" s="134" t="s">
        <v>1975</v>
      </c>
      <c r="C26" s="84">
        <f>VLOOKUP(C8,'BD ASVICC'!A6:GP316,12,)</f>
        <v>10</v>
      </c>
    </row>
    <row r="27" spans="1:12">
      <c r="B27" s="12" t="s">
        <v>329</v>
      </c>
    </row>
    <row r="30" spans="1:12">
      <c r="B30" s="1176" t="s">
        <v>2153</v>
      </c>
      <c r="C30" s="1177"/>
      <c r="D30" s="1177"/>
      <c r="E30" s="1177"/>
      <c r="F30" s="1177"/>
      <c r="G30" s="1177"/>
      <c r="H30" s="1177"/>
      <c r="I30" s="1177"/>
      <c r="J30" s="1177"/>
      <c r="K30" s="1177"/>
      <c r="L30" s="1178"/>
    </row>
    <row r="31" spans="1:12" ht="25.5">
      <c r="B31" s="437" t="s">
        <v>2040</v>
      </c>
      <c r="C31" s="437" t="s">
        <v>2041</v>
      </c>
      <c r="D31" s="437" t="s">
        <v>2042</v>
      </c>
      <c r="E31" s="437" t="s">
        <v>1909</v>
      </c>
      <c r="F31" s="437" t="s">
        <v>2043</v>
      </c>
      <c r="G31" s="437" t="s">
        <v>450</v>
      </c>
      <c r="H31" s="437" t="s">
        <v>451</v>
      </c>
      <c r="I31" s="437" t="s">
        <v>2044</v>
      </c>
      <c r="J31" s="437" t="s">
        <v>442</v>
      </c>
      <c r="K31" s="437" t="s">
        <v>2045</v>
      </c>
      <c r="L31" s="437" t="s">
        <v>2046</v>
      </c>
    </row>
    <row r="32" spans="1:12">
      <c r="B32" s="746">
        <f>VLOOKUP('4. Agricultura PIB'!C11,'BD Comarcal'!A4:AN17,30,)</f>
        <v>3693</v>
      </c>
      <c r="C32" s="746">
        <f>VLOOKUP('4. Agricultura PIB'!C11,'BD Comarcal'!A4:AN17,31,)</f>
        <v>6803</v>
      </c>
      <c r="D32" s="746">
        <f>VLOOKUP('4. Agricultura PIB'!C11,'BD Comarcal'!A4:AN17,32)</f>
        <v>4109</v>
      </c>
      <c r="E32" s="747">
        <f>VLOOKUP('4. Agricultura PIB'!C11,'BD Comarcal'!A4:AN17,33,)</f>
        <v>0</v>
      </c>
      <c r="F32" s="746">
        <f>VLOOKUP('4. Agricultura PIB'!C11,'BD Comarcal'!A4:AN17,34,)</f>
        <v>0</v>
      </c>
      <c r="G32" s="746">
        <f>VLOOKUP('4. Agricultura PIB'!C11,'BD Comarcal'!A4:AN17,35,)</f>
        <v>0</v>
      </c>
      <c r="H32" s="746">
        <f>VLOOKUP('4. Agricultura PIB'!C11,'BD Comarcal'!A4:AN17,36,)</f>
        <v>0</v>
      </c>
      <c r="I32" s="746">
        <f>VLOOKUP('4. Agricultura PIB'!C11,'BD Comarcal'!A4:AN17,37,)</f>
        <v>2406</v>
      </c>
      <c r="J32" s="746">
        <f>VLOOKUP('4. Agricultura PIB'!C11,'BD Comarcal'!A4:AN17,38,)</f>
        <v>4115</v>
      </c>
      <c r="K32" s="746">
        <f>VLOOKUP('4. Agricultura PIB'!C11,'BD Comarcal'!A4:AN17,39,)</f>
        <v>5979</v>
      </c>
      <c r="L32" s="747">
        <f>VLOOKUP('4. Agricultura PIB'!C11,'BD Comarcal'!A4:AN17,40,)</f>
        <v>0</v>
      </c>
    </row>
    <row r="33" spans="2:10" ht="15">
      <c r="B33" t="s">
        <v>2088</v>
      </c>
    </row>
    <row r="36" spans="2:10">
      <c r="B36" s="54" t="s">
        <v>1979</v>
      </c>
    </row>
    <row r="37" spans="2:10">
      <c r="B37" s="138" t="s">
        <v>2578</v>
      </c>
    </row>
    <row r="38" spans="2:10">
      <c r="B38" s="5"/>
    </row>
    <row r="39" spans="2:10">
      <c r="B39" s="4" t="s">
        <v>1887</v>
      </c>
    </row>
    <row r="41" spans="2:10">
      <c r="B41" s="6" t="s">
        <v>437</v>
      </c>
      <c r="C41" s="6" t="s">
        <v>438</v>
      </c>
      <c r="D41" s="6" t="s">
        <v>1976</v>
      </c>
      <c r="E41" s="6" t="s">
        <v>1977</v>
      </c>
      <c r="F41" s="6" t="s">
        <v>439</v>
      </c>
      <c r="G41" s="6" t="s">
        <v>1987</v>
      </c>
      <c r="H41" s="6" t="s">
        <v>1988</v>
      </c>
      <c r="J41" s="6" t="s">
        <v>1978</v>
      </c>
    </row>
    <row r="42" spans="2:10">
      <c r="B42" s="24" t="s">
        <v>1888</v>
      </c>
      <c r="C42" s="24"/>
      <c r="D42" s="64">
        <v>356841</v>
      </c>
      <c r="E42" s="64">
        <v>1508590</v>
      </c>
      <c r="F42" s="35">
        <f>E42/D42</f>
        <v>4.2276251888095819</v>
      </c>
      <c r="G42" s="745"/>
      <c r="H42" s="745"/>
      <c r="J42" s="64">
        <v>67467</v>
      </c>
    </row>
    <row r="43" spans="2:10">
      <c r="B43" s="24"/>
      <c r="C43" s="24" t="s">
        <v>448</v>
      </c>
      <c r="D43" s="64">
        <v>93729</v>
      </c>
      <c r="E43" s="64">
        <v>346114</v>
      </c>
      <c r="F43" s="35">
        <f t="shared" ref="F43:F54" si="0">E43/D43</f>
        <v>3.6927098336694084</v>
      </c>
      <c r="G43" s="745"/>
      <c r="H43" s="745"/>
      <c r="J43" s="64">
        <v>23862</v>
      </c>
    </row>
    <row r="44" spans="2:10">
      <c r="B44" s="24"/>
      <c r="C44" s="24" t="s">
        <v>449</v>
      </c>
      <c r="D44" s="64">
        <v>183632</v>
      </c>
      <c r="E44" s="64">
        <v>574907</v>
      </c>
      <c r="F44" s="35">
        <f t="shared" si="0"/>
        <v>3.1307560773721357</v>
      </c>
      <c r="G44" s="745"/>
      <c r="H44" s="745"/>
      <c r="J44" s="64">
        <v>39713</v>
      </c>
    </row>
    <row r="45" spans="2:10">
      <c r="B45" s="24"/>
      <c r="C45" s="24" t="s">
        <v>442</v>
      </c>
      <c r="D45" s="64">
        <v>38147</v>
      </c>
      <c r="E45" s="64">
        <v>404088</v>
      </c>
      <c r="F45" s="35">
        <f t="shared" si="0"/>
        <v>10.592916874197185</v>
      </c>
      <c r="G45" s="745"/>
      <c r="H45" s="745"/>
      <c r="J45" s="62">
        <v>153</v>
      </c>
    </row>
    <row r="46" spans="2:10">
      <c r="B46" s="24"/>
      <c r="C46" s="24" t="s">
        <v>1889</v>
      </c>
      <c r="D46" s="64">
        <v>20779</v>
      </c>
      <c r="E46" s="64">
        <v>131889</v>
      </c>
      <c r="F46" s="35">
        <f t="shared" si="0"/>
        <v>6.3472255642716204</v>
      </c>
      <c r="G46" s="745"/>
      <c r="H46" s="745"/>
      <c r="J46" s="62">
        <v>0</v>
      </c>
    </row>
    <row r="47" spans="2:10">
      <c r="B47" s="24" t="s">
        <v>1890</v>
      </c>
      <c r="C47" s="24"/>
      <c r="D47" s="64">
        <v>98080</v>
      </c>
      <c r="E47" s="64">
        <v>3391585</v>
      </c>
      <c r="F47" s="35">
        <f t="shared" si="0"/>
        <v>34.579781810766718</v>
      </c>
      <c r="G47" s="745"/>
      <c r="H47" s="745"/>
      <c r="J47" s="64">
        <v>22834</v>
      </c>
    </row>
    <row r="48" spans="2:10">
      <c r="B48" s="24"/>
      <c r="C48" s="24" t="s">
        <v>1891</v>
      </c>
      <c r="D48" s="64">
        <v>33372</v>
      </c>
      <c r="E48" s="64">
        <v>1726135</v>
      </c>
      <c r="F48" s="35">
        <f t="shared" si="0"/>
        <v>51.724050101881815</v>
      </c>
      <c r="G48" s="745"/>
      <c r="H48" s="745"/>
      <c r="J48" s="64">
        <v>2925</v>
      </c>
    </row>
    <row r="49" spans="2:10">
      <c r="B49" s="24"/>
      <c r="C49" s="24" t="s">
        <v>1892</v>
      </c>
      <c r="D49" s="64">
        <v>10154</v>
      </c>
      <c r="E49" s="64">
        <v>579962</v>
      </c>
      <c r="F49" s="35">
        <f t="shared" si="0"/>
        <v>57.116604293874332</v>
      </c>
      <c r="G49" s="745"/>
      <c r="H49" s="745"/>
      <c r="J49" s="64">
        <v>2505</v>
      </c>
    </row>
    <row r="50" spans="2:10">
      <c r="B50" s="24" t="s">
        <v>1893</v>
      </c>
      <c r="C50" s="24"/>
      <c r="D50" s="64">
        <v>9780</v>
      </c>
      <c r="E50" s="64">
        <v>253790</v>
      </c>
      <c r="F50" s="35">
        <f t="shared" si="0"/>
        <v>25.949897750511248</v>
      </c>
      <c r="G50" s="745"/>
      <c r="H50" s="745"/>
      <c r="J50" s="64">
        <v>3247</v>
      </c>
    </row>
    <row r="51" spans="2:10">
      <c r="B51" s="24" t="s">
        <v>1894</v>
      </c>
      <c r="C51" s="24"/>
      <c r="D51" s="64">
        <v>2722</v>
      </c>
      <c r="E51" s="64">
        <v>3919</v>
      </c>
      <c r="F51" s="35">
        <f t="shared" si="0"/>
        <v>1.4397501836884643</v>
      </c>
      <c r="G51" s="745"/>
      <c r="H51" s="745"/>
      <c r="J51" s="64">
        <v>1070</v>
      </c>
    </row>
    <row r="52" spans="2:10">
      <c r="B52" s="24" t="s">
        <v>1895</v>
      </c>
      <c r="C52" s="24"/>
      <c r="D52" s="64">
        <v>11041</v>
      </c>
      <c r="E52" s="64">
        <v>27160</v>
      </c>
      <c r="F52" s="35">
        <f t="shared" si="0"/>
        <v>2.4599221085046645</v>
      </c>
      <c r="G52" s="745"/>
      <c r="H52" s="745"/>
      <c r="J52" s="64">
        <v>3686</v>
      </c>
    </row>
    <row r="53" spans="2:10">
      <c r="B53" s="24"/>
      <c r="C53" s="24" t="s">
        <v>1896</v>
      </c>
      <c r="D53" s="64">
        <v>2232</v>
      </c>
      <c r="E53" s="64">
        <v>5167</v>
      </c>
      <c r="F53" s="35">
        <f t="shared" si="0"/>
        <v>2.3149641577060933</v>
      </c>
      <c r="G53" s="745"/>
      <c r="H53" s="745"/>
      <c r="J53" s="62">
        <v>267</v>
      </c>
    </row>
    <row r="54" spans="2:10">
      <c r="B54" s="24"/>
      <c r="C54" s="24" t="s">
        <v>1897</v>
      </c>
      <c r="D54" s="64">
        <v>8710</v>
      </c>
      <c r="E54" s="64">
        <v>21806</v>
      </c>
      <c r="F54" s="35">
        <f t="shared" si="0"/>
        <v>2.5035591274397246</v>
      </c>
      <c r="G54" s="745"/>
      <c r="H54" s="745"/>
      <c r="J54" s="64">
        <v>3419</v>
      </c>
    </row>
    <row r="55" spans="2:10">
      <c r="B55" s="24" t="s">
        <v>1898</v>
      </c>
      <c r="C55" s="24"/>
      <c r="D55" s="64">
        <v>3491</v>
      </c>
      <c r="E55" s="62"/>
      <c r="F55" s="6"/>
      <c r="G55" s="745"/>
      <c r="H55" s="745"/>
      <c r="J55" s="62"/>
    </row>
    <row r="56" spans="2:10">
      <c r="B56" s="24" t="s">
        <v>1899</v>
      </c>
      <c r="C56" s="24"/>
      <c r="D56" s="64">
        <v>69247</v>
      </c>
      <c r="E56" s="62"/>
      <c r="F56" s="6"/>
      <c r="G56" s="745"/>
      <c r="H56" s="745"/>
      <c r="J56" s="62"/>
    </row>
    <row r="57" spans="2:10">
      <c r="B57" s="24"/>
      <c r="C57" s="24"/>
      <c r="D57" s="62"/>
      <c r="E57" s="62"/>
      <c r="F57" s="6"/>
      <c r="G57" s="745"/>
      <c r="H57" s="745"/>
      <c r="J57" s="62"/>
    </row>
    <row r="58" spans="2:10">
      <c r="B58" s="12" t="s">
        <v>1900</v>
      </c>
    </row>
    <row r="59" spans="2:10">
      <c r="B59" s="129" t="s">
        <v>1901</v>
      </c>
    </row>
    <row r="60" spans="2:10">
      <c r="B60" s="12"/>
    </row>
    <row r="61" spans="2:10">
      <c r="B61" s="4" t="s">
        <v>1902</v>
      </c>
    </row>
    <row r="63" spans="2:10">
      <c r="B63" s="6" t="s">
        <v>437</v>
      </c>
      <c r="C63" s="6" t="s">
        <v>438</v>
      </c>
      <c r="D63" s="6" t="s">
        <v>1976</v>
      </c>
      <c r="E63" s="6" t="s">
        <v>1977</v>
      </c>
      <c r="F63" s="6" t="s">
        <v>439</v>
      </c>
      <c r="G63" s="745"/>
      <c r="H63" s="745"/>
      <c r="J63" s="6" t="s">
        <v>1978</v>
      </c>
    </row>
    <row r="64" spans="2:10">
      <c r="B64" s="24" t="s">
        <v>1903</v>
      </c>
      <c r="C64" s="24"/>
      <c r="D64" s="64">
        <v>99934</v>
      </c>
      <c r="E64" s="64">
        <v>959100</v>
      </c>
      <c r="F64" s="35">
        <f>E64/D64</f>
        <v>9.597334240598796</v>
      </c>
      <c r="G64" s="745"/>
      <c r="H64" s="745"/>
      <c r="J64" s="64">
        <v>1123</v>
      </c>
    </row>
    <row r="65" spans="1:12">
      <c r="B65" s="24"/>
      <c r="C65" s="24" t="s">
        <v>470</v>
      </c>
      <c r="D65" s="64">
        <v>9657</v>
      </c>
      <c r="E65" s="64">
        <v>296530</v>
      </c>
      <c r="F65" s="35">
        <f t="shared" ref="F65:F72" si="1">E65/D65</f>
        <v>30.706223464844154</v>
      </c>
      <c r="G65" s="745"/>
      <c r="H65" s="745"/>
      <c r="J65" s="64">
        <v>70</v>
      </c>
    </row>
    <row r="66" spans="1:12">
      <c r="B66" s="24"/>
      <c r="C66" s="24" t="s">
        <v>1904</v>
      </c>
      <c r="D66" s="64">
        <v>10925</v>
      </c>
      <c r="E66" s="64">
        <v>198276</v>
      </c>
      <c r="F66" s="35">
        <f t="shared" si="1"/>
        <v>18.148832951945082</v>
      </c>
      <c r="G66" s="745"/>
      <c r="H66" s="745"/>
      <c r="J66" s="64">
        <v>43</v>
      </c>
    </row>
    <row r="67" spans="1:12">
      <c r="B67" s="24"/>
      <c r="C67" s="24" t="s">
        <v>1905</v>
      </c>
      <c r="D67" s="64">
        <v>23167</v>
      </c>
      <c r="E67" s="64">
        <v>406279</v>
      </c>
      <c r="F67" s="35">
        <f t="shared" si="1"/>
        <v>17.536970691069193</v>
      </c>
      <c r="G67" s="745"/>
      <c r="H67" s="745"/>
      <c r="J67" s="62">
        <v>549</v>
      </c>
    </row>
    <row r="68" spans="1:12">
      <c r="B68" s="24"/>
      <c r="C68" s="24" t="s">
        <v>1906</v>
      </c>
      <c r="D68" s="64">
        <v>38004</v>
      </c>
      <c r="E68" s="64">
        <v>17427</v>
      </c>
      <c r="F68" s="35">
        <f t="shared" si="1"/>
        <v>0.45855699400063149</v>
      </c>
      <c r="G68" s="745"/>
      <c r="H68" s="745"/>
      <c r="J68" s="62">
        <v>815</v>
      </c>
    </row>
    <row r="69" spans="1:12">
      <c r="B69" s="24"/>
      <c r="C69" s="24" t="s">
        <v>1907</v>
      </c>
      <c r="D69" s="64">
        <v>12298</v>
      </c>
      <c r="E69" s="64">
        <v>12649</v>
      </c>
      <c r="F69" s="35">
        <f t="shared" si="1"/>
        <v>1.0285412262156448</v>
      </c>
      <c r="G69" s="745"/>
      <c r="H69" s="745"/>
      <c r="J69" s="64">
        <v>78</v>
      </c>
    </row>
    <row r="70" spans="1:12">
      <c r="B70" s="24"/>
      <c r="C70" s="24" t="s">
        <v>1908</v>
      </c>
      <c r="D70" s="64">
        <v>5883</v>
      </c>
      <c r="E70" s="64">
        <v>27939</v>
      </c>
      <c r="F70" s="35">
        <f t="shared" si="1"/>
        <v>4.7491075981642021</v>
      </c>
      <c r="G70" s="745"/>
      <c r="H70" s="745"/>
      <c r="J70" s="64">
        <f>59+461</f>
        <v>520</v>
      </c>
    </row>
    <row r="71" spans="1:12">
      <c r="B71" s="24" t="s">
        <v>1909</v>
      </c>
      <c r="C71" s="24"/>
      <c r="D71" s="64">
        <v>9548</v>
      </c>
      <c r="E71" s="64">
        <v>191602</v>
      </c>
      <c r="F71" s="35">
        <f t="shared" si="1"/>
        <v>20.067239212400501</v>
      </c>
      <c r="G71" s="745"/>
      <c r="H71" s="745"/>
      <c r="J71" s="64">
        <v>3</v>
      </c>
    </row>
    <row r="72" spans="1:12">
      <c r="B72" s="24" t="s">
        <v>451</v>
      </c>
      <c r="C72" s="24"/>
      <c r="D72" s="64">
        <v>54980</v>
      </c>
      <c r="E72" s="64">
        <v>3281009</v>
      </c>
      <c r="F72" s="35">
        <f t="shared" si="1"/>
        <v>59.676409603492182</v>
      </c>
      <c r="G72" s="745"/>
      <c r="H72" s="745"/>
      <c r="J72" s="64">
        <v>20848</v>
      </c>
    </row>
    <row r="73" spans="1:12">
      <c r="B73" s="24" t="s">
        <v>450</v>
      </c>
      <c r="C73" s="24"/>
      <c r="D73" s="64">
        <v>115</v>
      </c>
      <c r="E73" s="64">
        <v>36847</v>
      </c>
      <c r="F73" s="35">
        <f>E73/D73</f>
        <v>320.40869565217389</v>
      </c>
      <c r="G73" s="745"/>
      <c r="H73" s="745"/>
      <c r="J73" s="64">
        <v>2729</v>
      </c>
    </row>
    <row r="74" spans="1:12">
      <c r="B74" s="24" t="s">
        <v>1910</v>
      </c>
      <c r="C74" s="24"/>
      <c r="D74" s="64">
        <v>9453</v>
      </c>
      <c r="E74" s="62"/>
      <c r="F74" s="6"/>
      <c r="G74" s="745"/>
      <c r="H74" s="745"/>
      <c r="J74" s="64"/>
    </row>
    <row r="75" spans="1:12">
      <c r="A75" s="53"/>
      <c r="B75" s="12" t="s">
        <v>440</v>
      </c>
      <c r="C75" s="22"/>
      <c r="D75" s="56"/>
      <c r="E75" s="22"/>
      <c r="F75" s="22"/>
      <c r="G75" s="56"/>
      <c r="H75" s="53"/>
      <c r="I75" s="53"/>
      <c r="J75" s="53"/>
      <c r="K75" s="53"/>
      <c r="L75" s="53"/>
    </row>
    <row r="76" spans="1:12">
      <c r="B76" s="12" t="s">
        <v>1901</v>
      </c>
    </row>
    <row r="77" spans="1:12" ht="12.75" customHeight="1">
      <c r="B77" s="1175" t="s">
        <v>1911</v>
      </c>
      <c r="C77" s="1175"/>
      <c r="D77" s="1175"/>
      <c r="E77" s="1175"/>
      <c r="F77" s="1175"/>
      <c r="G77" s="1175"/>
    </row>
    <row r="78" spans="1:12">
      <c r="B78" s="1175"/>
      <c r="C78" s="1175"/>
      <c r="D78" s="1175"/>
      <c r="E78" s="1175"/>
      <c r="F78" s="1175"/>
      <c r="G78" s="1175"/>
    </row>
    <row r="79" spans="1:12">
      <c r="B79" s="418"/>
      <c r="C79" s="418"/>
      <c r="D79" s="418"/>
      <c r="E79" s="418"/>
      <c r="F79" s="418"/>
      <c r="G79" s="418"/>
    </row>
    <row r="80" spans="1:12">
      <c r="A80" s="3" t="s">
        <v>42</v>
      </c>
      <c r="B80" s="424" t="s">
        <v>1992</v>
      </c>
      <c r="C80" s="418"/>
      <c r="D80" s="418"/>
      <c r="E80" s="418"/>
      <c r="F80" s="418"/>
      <c r="G80" s="418"/>
    </row>
    <row r="81" spans="1:4">
      <c r="B81" s="138" t="s">
        <v>2093</v>
      </c>
    </row>
    <row r="82" spans="1:4">
      <c r="B82" s="120"/>
    </row>
    <row r="83" spans="1:4">
      <c r="A83" s="3" t="s">
        <v>417</v>
      </c>
      <c r="B83" s="4" t="s">
        <v>1990</v>
      </c>
    </row>
    <row r="84" spans="1:4">
      <c r="C84" s="8"/>
    </row>
    <row r="85" spans="1:4">
      <c r="B85" s="6" t="s">
        <v>1991</v>
      </c>
      <c r="C85" s="745"/>
    </row>
    <row r="88" spans="1:4">
      <c r="A88" s="53" t="s">
        <v>1994</v>
      </c>
      <c r="B88" s="105" t="s">
        <v>2014</v>
      </c>
      <c r="C88" s="48" t="e">
        <f>(B73*#REF!)/1000000</f>
        <v>#VALUE!</v>
      </c>
    </row>
    <row r="89" spans="1:4">
      <c r="A89" s="53"/>
      <c r="B89" s="143"/>
    </row>
    <row r="90" spans="1:4">
      <c r="A90" s="53"/>
    </row>
    <row r="91" spans="1:4">
      <c r="A91" s="53"/>
    </row>
    <row r="92" spans="1:4">
      <c r="A92" s="53" t="s">
        <v>48</v>
      </c>
      <c r="B92" s="34" t="s">
        <v>424</v>
      </c>
      <c r="C92" s="132" t="e">
        <f>C88*#REF!</f>
        <v>#VALUE!</v>
      </c>
      <c r="D92" s="4"/>
    </row>
    <row r="95" spans="1:4">
      <c r="A95" s="3" t="s">
        <v>44</v>
      </c>
      <c r="B95" s="4" t="s">
        <v>471</v>
      </c>
    </row>
    <row r="96" spans="1:4">
      <c r="B96" s="138" t="s">
        <v>1981</v>
      </c>
    </row>
    <row r="97" spans="2:9">
      <c r="B97" s="4"/>
    </row>
    <row r="99" spans="2:9">
      <c r="B99" s="34" t="s">
        <v>444</v>
      </c>
      <c r="C99" s="34" t="s">
        <v>452</v>
      </c>
      <c r="D99" s="34" t="s">
        <v>464</v>
      </c>
      <c r="E99" s="164" t="s">
        <v>443</v>
      </c>
      <c r="F99" s="34" t="s">
        <v>445</v>
      </c>
      <c r="G99" s="34"/>
      <c r="H99" s="34" t="s">
        <v>447</v>
      </c>
      <c r="I99" s="34" t="s">
        <v>1993</v>
      </c>
    </row>
    <row r="100" spans="2:9">
      <c r="B100" s="6" t="s">
        <v>442</v>
      </c>
      <c r="C100" s="6" t="s">
        <v>453</v>
      </c>
      <c r="D100" s="6" t="s">
        <v>465</v>
      </c>
      <c r="E100" s="165"/>
      <c r="F100" s="6">
        <v>1097</v>
      </c>
      <c r="G100" s="6" t="s">
        <v>446</v>
      </c>
      <c r="H100" s="6">
        <v>8</v>
      </c>
      <c r="I100" s="6"/>
    </row>
    <row r="101" spans="2:9">
      <c r="B101" s="6"/>
      <c r="C101" s="6" t="s">
        <v>453</v>
      </c>
      <c r="D101" s="6" t="s">
        <v>468</v>
      </c>
      <c r="E101" s="168">
        <v>0.26</v>
      </c>
      <c r="F101" s="6"/>
      <c r="G101" s="6"/>
      <c r="H101" s="6"/>
      <c r="I101" s="6"/>
    </row>
    <row r="102" spans="2:9">
      <c r="B102" s="6"/>
      <c r="C102" s="6" t="s">
        <v>454</v>
      </c>
      <c r="D102" s="6" t="s">
        <v>465</v>
      </c>
      <c r="E102" s="422">
        <v>0.182</v>
      </c>
      <c r="F102" s="6"/>
      <c r="G102" s="6"/>
      <c r="H102" s="6"/>
      <c r="I102" s="6"/>
    </row>
    <row r="103" spans="2:9">
      <c r="B103" s="6" t="s">
        <v>448</v>
      </c>
      <c r="C103" s="6" t="s">
        <v>454</v>
      </c>
      <c r="D103" s="6" t="s">
        <v>465</v>
      </c>
      <c r="E103" s="422">
        <v>0.125</v>
      </c>
      <c r="F103" s="6"/>
      <c r="G103" s="6"/>
      <c r="H103" s="6"/>
      <c r="I103" s="6"/>
    </row>
    <row r="104" spans="2:9">
      <c r="B104" s="6"/>
      <c r="C104" s="6" t="s">
        <v>458</v>
      </c>
      <c r="D104" s="6"/>
      <c r="F104" s="6"/>
      <c r="G104" s="6"/>
      <c r="H104" s="6"/>
      <c r="I104" s="6" t="s">
        <v>459</v>
      </c>
    </row>
    <row r="105" spans="2:9">
      <c r="B105" s="6" t="s">
        <v>449</v>
      </c>
      <c r="C105" s="6" t="s">
        <v>454</v>
      </c>
      <c r="D105" s="6" t="s">
        <v>465</v>
      </c>
      <c r="E105" s="423">
        <v>0.25</v>
      </c>
      <c r="F105" s="6"/>
      <c r="G105" s="6"/>
      <c r="H105" s="6"/>
      <c r="I105" s="6"/>
    </row>
    <row r="106" spans="2:9">
      <c r="B106" s="6" t="s">
        <v>469</v>
      </c>
      <c r="C106" s="6" t="s">
        <v>453</v>
      </c>
      <c r="D106" s="6" t="s">
        <v>468</v>
      </c>
      <c r="E106" s="166">
        <v>0.08</v>
      </c>
      <c r="F106" s="6"/>
      <c r="G106" s="6"/>
      <c r="H106" s="6"/>
      <c r="I106" s="6"/>
    </row>
    <row r="107" spans="2:9">
      <c r="B107" s="6" t="s">
        <v>470</v>
      </c>
      <c r="C107" s="6" t="s">
        <v>453</v>
      </c>
      <c r="D107" s="6" t="s">
        <v>468</v>
      </c>
      <c r="E107" s="166">
        <v>0.02</v>
      </c>
      <c r="F107" s="6"/>
      <c r="G107" s="6"/>
      <c r="H107" s="6"/>
      <c r="I107" s="6"/>
    </row>
    <row r="108" spans="2:9">
      <c r="B108" s="6" t="s">
        <v>450</v>
      </c>
      <c r="C108" s="6" t="s">
        <v>455</v>
      </c>
      <c r="D108" s="6" t="s">
        <v>465</v>
      </c>
      <c r="E108" s="165">
        <v>9.2999999999999999E-2</v>
      </c>
      <c r="F108" s="6">
        <v>1477</v>
      </c>
      <c r="G108" s="6" t="s">
        <v>446</v>
      </c>
      <c r="H108" s="6"/>
      <c r="I108" s="6"/>
    </row>
    <row r="109" spans="2:9">
      <c r="B109" s="6" t="s">
        <v>451</v>
      </c>
      <c r="C109" s="6" t="s">
        <v>455</v>
      </c>
      <c r="D109" s="6" t="s">
        <v>465</v>
      </c>
      <c r="E109" s="165">
        <v>9.2999999999999999E-2</v>
      </c>
      <c r="F109" s="6">
        <v>31</v>
      </c>
      <c r="G109" s="6" t="s">
        <v>457</v>
      </c>
      <c r="H109" s="6"/>
      <c r="I109" s="6"/>
    </row>
    <row r="110" spans="2:9">
      <c r="B110" s="6"/>
      <c r="C110" s="6" t="s">
        <v>456</v>
      </c>
      <c r="D110" s="6" t="s">
        <v>466</v>
      </c>
      <c r="E110" s="167"/>
      <c r="F110" s="6"/>
      <c r="G110" s="6"/>
      <c r="H110" s="6"/>
      <c r="I110" s="6" t="s">
        <v>473</v>
      </c>
    </row>
    <row r="111" spans="2:9">
      <c r="B111" s="6" t="s">
        <v>460</v>
      </c>
      <c r="C111" s="6" t="s">
        <v>463</v>
      </c>
      <c r="D111" s="6"/>
      <c r="E111" s="167"/>
      <c r="F111" s="6"/>
      <c r="G111" s="6"/>
      <c r="H111" s="6"/>
      <c r="I111" s="6" t="s">
        <v>461</v>
      </c>
    </row>
    <row r="112" spans="2:9">
      <c r="B112" s="34" t="s">
        <v>38</v>
      </c>
      <c r="C112" s="34" t="s">
        <v>38</v>
      </c>
      <c r="D112" s="34" t="s">
        <v>467</v>
      </c>
      <c r="E112" s="169">
        <v>0.05</v>
      </c>
      <c r="F112" s="34"/>
      <c r="G112" s="34"/>
      <c r="H112" s="34"/>
      <c r="I112" s="48" t="s">
        <v>462</v>
      </c>
    </row>
    <row r="113" spans="1:18">
      <c r="E113" s="421" t="s">
        <v>1980</v>
      </c>
    </row>
    <row r="115" spans="1:18">
      <c r="A115" s="3" t="s">
        <v>49</v>
      </c>
      <c r="B115" s="4" t="s">
        <v>1984</v>
      </c>
    </row>
    <row r="116" spans="1:18">
      <c r="B116" s="120" t="s">
        <v>1985</v>
      </c>
    </row>
    <row r="119" spans="1:18">
      <c r="A119" s="3" t="s">
        <v>1986</v>
      </c>
      <c r="B119" s="71" t="s">
        <v>1982</v>
      </c>
    </row>
    <row r="120" spans="1:18">
      <c r="B120" s="120" t="s">
        <v>1983</v>
      </c>
    </row>
    <row r="122" spans="1:18">
      <c r="C122" s="6">
        <v>0</v>
      </c>
      <c r="D122" s="6">
        <v>1</v>
      </c>
      <c r="E122" s="6">
        <v>2</v>
      </c>
      <c r="F122" s="6">
        <v>3</v>
      </c>
      <c r="G122" s="6">
        <v>4</v>
      </c>
      <c r="H122" s="6">
        <v>5</v>
      </c>
      <c r="I122" s="6">
        <v>6</v>
      </c>
      <c r="J122" s="6">
        <v>7</v>
      </c>
      <c r="K122" s="6">
        <v>8</v>
      </c>
      <c r="L122" s="6">
        <v>9</v>
      </c>
      <c r="M122" s="6">
        <v>10</v>
      </c>
      <c r="N122" s="6">
        <v>11</v>
      </c>
      <c r="O122" s="6">
        <v>12</v>
      </c>
      <c r="P122" s="6">
        <v>13</v>
      </c>
      <c r="Q122" s="6">
        <v>14</v>
      </c>
      <c r="R122" s="6">
        <v>15</v>
      </c>
    </row>
    <row r="123" spans="1:18">
      <c r="B123" s="6" t="s">
        <v>472</v>
      </c>
      <c r="C123" s="48">
        <f>$C$13+C122</f>
        <v>0</v>
      </c>
      <c r="D123" s="48">
        <f t="shared" ref="D123:R123" si="2">$C$13+D122</f>
        <v>1</v>
      </c>
      <c r="E123" s="48">
        <f t="shared" si="2"/>
        <v>2</v>
      </c>
      <c r="F123" s="48">
        <f t="shared" si="2"/>
        <v>3</v>
      </c>
      <c r="G123" s="48">
        <f t="shared" si="2"/>
        <v>4</v>
      </c>
      <c r="H123" s="48">
        <f t="shared" si="2"/>
        <v>5</v>
      </c>
      <c r="I123" s="48">
        <f t="shared" si="2"/>
        <v>6</v>
      </c>
      <c r="J123" s="48">
        <f t="shared" si="2"/>
        <v>7</v>
      </c>
      <c r="K123" s="48">
        <f t="shared" si="2"/>
        <v>8</v>
      </c>
      <c r="L123" s="48">
        <f t="shared" si="2"/>
        <v>9</v>
      </c>
      <c r="M123" s="48">
        <f t="shared" si="2"/>
        <v>10</v>
      </c>
      <c r="N123" s="48">
        <f t="shared" si="2"/>
        <v>11</v>
      </c>
      <c r="O123" s="48">
        <f t="shared" si="2"/>
        <v>12</v>
      </c>
      <c r="P123" s="48">
        <f t="shared" si="2"/>
        <v>13</v>
      </c>
      <c r="Q123" s="48">
        <f t="shared" si="2"/>
        <v>14</v>
      </c>
      <c r="R123" s="48">
        <f t="shared" si="2"/>
        <v>15</v>
      </c>
    </row>
    <row r="124" spans="1:18">
      <c r="B124" s="6" t="s">
        <v>442</v>
      </c>
      <c r="C124" s="121" t="e">
        <f>#REF!</f>
        <v>#REF!</v>
      </c>
      <c r="D124" s="121"/>
      <c r="E124" s="121"/>
      <c r="F124" s="170"/>
      <c r="G124" s="170"/>
      <c r="H124" s="170"/>
      <c r="I124" s="170"/>
      <c r="J124" s="170"/>
      <c r="K124" s="170"/>
      <c r="L124" s="170"/>
      <c r="M124" s="170"/>
      <c r="N124" s="170"/>
      <c r="O124" s="170"/>
      <c r="P124" s="170"/>
      <c r="Q124" s="170"/>
      <c r="R124" s="170">
        <f>I75</f>
        <v>0</v>
      </c>
    </row>
    <row r="125" spans="1:18">
      <c r="B125" s="6" t="s">
        <v>448</v>
      </c>
      <c r="C125" s="121"/>
      <c r="D125" s="121"/>
      <c r="E125" s="121"/>
      <c r="F125" s="121"/>
      <c r="G125" s="121"/>
      <c r="H125" s="121"/>
      <c r="I125" s="121"/>
      <c r="J125" s="121"/>
      <c r="K125" s="121"/>
      <c r="L125" s="121"/>
      <c r="M125" s="121"/>
      <c r="N125" s="121"/>
      <c r="O125" s="121"/>
      <c r="P125" s="121"/>
      <c r="Q125" s="121"/>
      <c r="R125" s="121"/>
    </row>
    <row r="126" spans="1:18">
      <c r="B126" s="6" t="s">
        <v>449</v>
      </c>
      <c r="C126" s="121"/>
      <c r="D126" s="121"/>
      <c r="E126" s="121"/>
      <c r="F126" s="121"/>
      <c r="G126" s="121"/>
      <c r="H126" s="121"/>
      <c r="I126" s="121"/>
      <c r="J126" s="121"/>
      <c r="K126" s="121"/>
      <c r="L126" s="121"/>
      <c r="M126" s="121"/>
      <c r="N126" s="121"/>
      <c r="O126" s="121"/>
      <c r="P126" s="121"/>
      <c r="Q126" s="121"/>
      <c r="R126" s="121"/>
    </row>
    <row r="127" spans="1:18">
      <c r="B127" s="6" t="s">
        <v>469</v>
      </c>
      <c r="C127" s="121"/>
      <c r="D127" s="121"/>
      <c r="E127" s="121"/>
      <c r="F127" s="121"/>
      <c r="G127" s="121"/>
      <c r="H127" s="121"/>
      <c r="I127" s="121"/>
      <c r="J127" s="121"/>
      <c r="K127" s="121"/>
      <c r="L127" s="121"/>
      <c r="M127" s="121"/>
      <c r="N127" s="121"/>
      <c r="O127" s="121"/>
      <c r="P127" s="121"/>
      <c r="Q127" s="121"/>
      <c r="R127" s="121"/>
    </row>
    <row r="128" spans="1:18">
      <c r="B128" s="6" t="s">
        <v>470</v>
      </c>
      <c r="C128" s="121"/>
      <c r="D128" s="121"/>
      <c r="E128" s="121"/>
      <c r="F128" s="121"/>
      <c r="G128" s="121"/>
      <c r="H128" s="121"/>
      <c r="I128" s="121"/>
      <c r="J128" s="121"/>
      <c r="K128" s="121"/>
      <c r="L128" s="121"/>
      <c r="M128" s="121"/>
      <c r="N128" s="121"/>
      <c r="O128" s="121"/>
      <c r="P128" s="121"/>
      <c r="Q128" s="121"/>
      <c r="R128" s="121"/>
    </row>
    <row r="129" spans="2:18">
      <c r="B129" s="6" t="s">
        <v>450</v>
      </c>
      <c r="C129" s="121"/>
      <c r="D129" s="121"/>
      <c r="E129" s="121"/>
      <c r="F129" s="121"/>
      <c r="G129" s="121"/>
      <c r="H129" s="121"/>
      <c r="I129" s="121"/>
      <c r="J129" s="121"/>
      <c r="K129" s="121"/>
      <c r="L129" s="121"/>
      <c r="M129" s="121"/>
      <c r="N129" s="121"/>
      <c r="O129" s="121"/>
      <c r="P129" s="121"/>
      <c r="Q129" s="121"/>
      <c r="R129" s="121"/>
    </row>
    <row r="130" spans="2:18">
      <c r="B130" s="6" t="s">
        <v>451</v>
      </c>
      <c r="C130" s="121"/>
      <c r="D130" s="121"/>
      <c r="E130" s="121"/>
      <c r="F130" s="121"/>
      <c r="G130" s="121"/>
      <c r="H130" s="121"/>
      <c r="I130" s="121"/>
      <c r="J130" s="121"/>
      <c r="K130" s="121"/>
      <c r="L130" s="121"/>
      <c r="M130" s="121"/>
      <c r="N130" s="121"/>
      <c r="O130" s="121"/>
      <c r="P130" s="121"/>
      <c r="Q130" s="121"/>
      <c r="R130" s="121"/>
    </row>
    <row r="131" spans="2:18">
      <c r="B131" s="6" t="s">
        <v>460</v>
      </c>
      <c r="C131" s="121"/>
      <c r="D131" s="121"/>
      <c r="E131" s="121"/>
      <c r="F131" s="121"/>
      <c r="G131" s="121"/>
      <c r="H131" s="121"/>
      <c r="I131" s="121"/>
      <c r="J131" s="121"/>
      <c r="K131" s="121"/>
      <c r="L131" s="121"/>
      <c r="M131" s="121"/>
      <c r="N131" s="121"/>
      <c r="O131" s="121"/>
      <c r="P131" s="121"/>
      <c r="Q131" s="121"/>
      <c r="R131" s="121"/>
    </row>
  </sheetData>
  <sheetProtection algorithmName="SHA-512" hashValue="rs88LZI1ttuvuy4UVtZdUzlfBQYLjVKmPDjJLKdy9fCbGmKGeWaYIhXYsC7fIDPXcu6mwq8kZu5Rbg06jz6RHg==" saltValue="mvRMKu/ltXe11C+EoPiZFQ==" spinCount="100000" sheet="1" objects="1" scenarios="1"/>
  <mergeCells count="3">
    <mergeCell ref="B77:G78"/>
    <mergeCell ref="B30:L30"/>
    <mergeCell ref="B2:F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T77"/>
  <sheetViews>
    <sheetView zoomScale="55" zoomScaleNormal="55" workbookViewId="0">
      <selection activeCell="W21" sqref="W21"/>
    </sheetView>
  </sheetViews>
  <sheetFormatPr defaultColWidth="11.5703125" defaultRowHeight="12.75"/>
  <cols>
    <col min="1" max="1" width="6.7109375" style="3" customWidth="1"/>
    <col min="2" max="2" width="49.28515625" style="3" customWidth="1"/>
    <col min="3" max="3" width="14.7109375" style="3" customWidth="1"/>
    <col min="4" max="4" width="11.5703125" style="3"/>
    <col min="5" max="5" width="12.42578125" style="3" customWidth="1"/>
    <col min="6" max="6" width="15.5703125" style="3" customWidth="1"/>
    <col min="7" max="8" width="11.5703125" style="3"/>
    <col min="9" max="9" width="13" style="3" bestFit="1" customWidth="1"/>
    <col min="10" max="12" width="11.5703125" style="3"/>
    <col min="13" max="13" width="17.28515625" style="3" bestFit="1" customWidth="1"/>
    <col min="14" max="14" width="14.5703125" style="3" bestFit="1" customWidth="1"/>
    <col min="15" max="17" width="11.5703125" style="3"/>
    <col min="18" max="18" width="21.7109375" style="3" customWidth="1"/>
    <col min="19" max="19" width="16" style="3" customWidth="1"/>
    <col min="20" max="20" width="11.5703125" style="3"/>
    <col min="21" max="21" width="14.42578125" style="3" customWidth="1"/>
    <col min="22" max="22" width="30.42578125" style="3" customWidth="1"/>
    <col min="23" max="23" width="13.7109375" style="3" customWidth="1"/>
    <col min="24" max="24" width="11.5703125" style="3"/>
    <col min="25" max="25" width="13.7109375" style="3" customWidth="1"/>
    <col min="26" max="26" width="16" style="3" customWidth="1"/>
    <col min="27" max="27" width="29.28515625" style="3" customWidth="1"/>
    <col min="28" max="29" width="15.42578125" style="3" customWidth="1"/>
    <col min="30" max="30" width="17.28515625" style="3" customWidth="1"/>
    <col min="31" max="31" width="30.28515625" style="3" bestFit="1" customWidth="1"/>
    <col min="32" max="34" width="11.5703125" style="3"/>
    <col min="35" max="35" width="20.28515625" style="3" customWidth="1"/>
    <col min="36" max="36" width="17.28515625" style="3" customWidth="1"/>
    <col min="37" max="16384" width="11.5703125" style="3"/>
  </cols>
  <sheetData>
    <row r="1" spans="1:20">
      <c r="A1" s="53"/>
    </row>
    <row r="2" spans="1:20" ht="16.899999999999999" customHeight="1">
      <c r="A2" s="53"/>
      <c r="B2" s="1172" t="s">
        <v>2437</v>
      </c>
      <c r="C2" s="1172"/>
      <c r="D2" s="1172"/>
      <c r="E2" s="1172"/>
      <c r="F2" s="1172"/>
    </row>
    <row r="3" spans="1:20">
      <c r="A3" s="53"/>
      <c r="B3" s="54" t="s">
        <v>312</v>
      </c>
    </row>
    <row r="4" spans="1:20">
      <c r="A4" s="53"/>
      <c r="B4" s="54"/>
    </row>
    <row r="5" spans="1:20">
      <c r="A5" s="53" t="s">
        <v>197</v>
      </c>
      <c r="B5" s="4" t="s">
        <v>1763</v>
      </c>
    </row>
    <row r="6" spans="1:20">
      <c r="A6" s="53"/>
      <c r="B6" s="4"/>
    </row>
    <row r="7" spans="1:20">
      <c r="A7" s="53"/>
      <c r="B7" s="6" t="s">
        <v>66</v>
      </c>
      <c r="C7" s="44" t="str">
        <f>'A. Dades de partida'!D7</f>
        <v>Vilalba Sasserra</v>
      </c>
    </row>
    <row r="8" spans="1:20">
      <c r="A8" s="53"/>
      <c r="B8" s="6" t="s">
        <v>1760</v>
      </c>
      <c r="C8" s="24">
        <f>'A. Dades de partida'!D8</f>
        <v>8306</v>
      </c>
    </row>
    <row r="9" spans="1:20">
      <c r="A9" s="53"/>
      <c r="B9" s="6" t="s">
        <v>153</v>
      </c>
      <c r="C9" s="44" t="str">
        <f>'A. Dades de partida'!D24</f>
        <v>Vallès Oriental</v>
      </c>
    </row>
    <row r="10" spans="1:20">
      <c r="A10" s="53"/>
      <c r="B10" s="6" t="s">
        <v>1761</v>
      </c>
      <c r="C10" s="24" t="str">
        <f>'A. Dades de partida'!D25</f>
        <v>41</v>
      </c>
    </row>
    <row r="11" spans="1:20">
      <c r="A11" s="53"/>
      <c r="B11" s="6" t="s">
        <v>135</v>
      </c>
      <c r="C11" s="24">
        <f>'A. Dades de partida'!D10</f>
        <v>15</v>
      </c>
    </row>
    <row r="12" spans="1:20">
      <c r="A12" s="53"/>
      <c r="B12" s="6" t="s">
        <v>124</v>
      </c>
      <c r="C12" s="24">
        <f>'A. Dades de partida'!D11</f>
        <v>0</v>
      </c>
    </row>
    <row r="13" spans="1:20">
      <c r="A13" s="53"/>
      <c r="B13" s="6" t="s">
        <v>125</v>
      </c>
      <c r="C13" s="24">
        <f>'A. Dades de partida'!D12</f>
        <v>15</v>
      </c>
    </row>
    <row r="14" spans="1:20">
      <c r="A14" s="53"/>
      <c r="B14" s="6" t="s">
        <v>1769</v>
      </c>
      <c r="C14" s="79">
        <f>'A. Dades de partida'!D14</f>
        <v>684</v>
      </c>
    </row>
    <row r="15" spans="1:20">
      <c r="A15" s="53"/>
      <c r="B15" s="6" t="s">
        <v>1771</v>
      </c>
      <c r="C15" s="79">
        <f>'A. Dades de partida'!D15</f>
        <v>587</v>
      </c>
      <c r="I15" s="53"/>
      <c r="J15" s="53"/>
      <c r="K15" s="53"/>
      <c r="L15" s="53"/>
      <c r="M15" s="53"/>
      <c r="N15" s="53"/>
      <c r="O15" s="53"/>
      <c r="P15" s="53"/>
      <c r="Q15" s="53"/>
      <c r="R15" s="53"/>
      <c r="S15" s="53"/>
      <c r="T15" s="53"/>
    </row>
    <row r="16" spans="1:20">
      <c r="A16" s="53"/>
      <c r="B16" s="6" t="s">
        <v>1768</v>
      </c>
      <c r="C16" s="79">
        <f>'A. Dades de partida'!D18</f>
        <v>889241.73</v>
      </c>
      <c r="I16" s="53"/>
      <c r="J16" s="53"/>
      <c r="K16" s="53"/>
      <c r="L16" s="53"/>
      <c r="M16" s="53"/>
      <c r="N16" s="53"/>
      <c r="O16" s="53"/>
      <c r="P16" s="53"/>
      <c r="Q16" s="53"/>
      <c r="R16" s="53"/>
      <c r="S16" s="53"/>
      <c r="T16" s="53"/>
    </row>
    <row r="17" spans="1:20">
      <c r="A17" s="53"/>
      <c r="B17" s="53"/>
      <c r="C17" s="53"/>
      <c r="D17" s="53"/>
      <c r="E17" s="53"/>
      <c r="I17" s="53"/>
      <c r="J17" s="53"/>
      <c r="K17" s="53"/>
      <c r="L17" s="53"/>
      <c r="M17" s="53"/>
      <c r="N17" s="53"/>
      <c r="S17" s="53"/>
      <c r="T17" s="53"/>
    </row>
    <row r="18" spans="1:20">
      <c r="A18" s="53" t="s">
        <v>2361</v>
      </c>
      <c r="B18" s="4" t="s">
        <v>2356</v>
      </c>
      <c r="I18" s="53"/>
      <c r="J18" s="53"/>
      <c r="K18" s="53"/>
      <c r="L18" s="53"/>
      <c r="M18" s="53"/>
      <c r="N18" s="53"/>
      <c r="S18" s="53"/>
      <c r="T18" s="53"/>
    </row>
    <row r="19" spans="1:20">
      <c r="A19" s="53"/>
      <c r="B19" s="138"/>
      <c r="I19" s="53"/>
      <c r="J19" s="53"/>
      <c r="K19" s="53"/>
      <c r="L19" s="53"/>
      <c r="M19" s="53"/>
      <c r="N19" s="53"/>
      <c r="S19" s="53"/>
      <c r="T19" s="53"/>
    </row>
    <row r="20" spans="1:20">
      <c r="A20" s="53"/>
      <c r="B20" s="4"/>
      <c r="C20" s="53" t="s">
        <v>2201</v>
      </c>
      <c r="I20" s="53"/>
      <c r="J20" s="53"/>
      <c r="K20" s="53"/>
      <c r="L20" s="53"/>
      <c r="M20" s="53"/>
      <c r="N20" s="53"/>
      <c r="S20" s="53"/>
      <c r="T20" s="53"/>
    </row>
    <row r="21" spans="1:20">
      <c r="A21" s="53"/>
      <c r="B21" s="474"/>
      <c r="C21" s="560" t="s">
        <v>66</v>
      </c>
      <c r="D21" s="560" t="s">
        <v>2164</v>
      </c>
      <c r="E21" s="560" t="s">
        <v>95</v>
      </c>
      <c r="J21" s="53"/>
      <c r="K21" s="53"/>
      <c r="L21" s="53"/>
      <c r="M21" s="53"/>
      <c r="N21" s="53"/>
      <c r="S21" s="53"/>
      <c r="T21" s="53"/>
    </row>
    <row r="22" spans="1:20">
      <c r="A22" s="53"/>
      <c r="B22" s="48" t="s">
        <v>2145</v>
      </c>
      <c r="C22" s="83">
        <f>'A. Dades de partida'!H44</f>
        <v>18.882441234072026</v>
      </c>
      <c r="D22" s="90">
        <v>72131.8</v>
      </c>
      <c r="E22" s="90">
        <v>152993</v>
      </c>
      <c r="J22" s="53"/>
      <c r="K22" s="53"/>
      <c r="L22" s="53"/>
      <c r="M22" s="53"/>
      <c r="N22" s="53"/>
      <c r="S22" s="53"/>
      <c r="T22" s="53"/>
    </row>
    <row r="23" spans="1:20">
      <c r="A23" s="53"/>
      <c r="B23" s="48" t="s">
        <v>2269</v>
      </c>
      <c r="C23" s="563">
        <f>'A. Dades de partida'!D47</f>
        <v>0</v>
      </c>
      <c r="D23" s="475">
        <v>0.14000000000000001</v>
      </c>
      <c r="E23" s="475">
        <v>0.12</v>
      </c>
      <c r="F23" s="12" t="s">
        <v>1765</v>
      </c>
      <c r="J23" s="53"/>
      <c r="K23" s="53"/>
      <c r="L23" s="53"/>
      <c r="M23" s="53"/>
      <c r="N23" s="53"/>
      <c r="S23" s="53"/>
      <c r="T23" s="53"/>
    </row>
    <row r="24" spans="1:20">
      <c r="A24" s="53"/>
      <c r="B24" s="48" t="s">
        <v>2223</v>
      </c>
      <c r="C24" s="84">
        <f>'A. Dades de partida'!D48</f>
        <v>0</v>
      </c>
      <c r="D24" s="115">
        <f>D22*D23</f>
        <v>10098.452000000001</v>
      </c>
      <c r="E24" s="115">
        <f>E22*E23</f>
        <v>18359.16</v>
      </c>
      <c r="J24" s="53"/>
      <c r="K24" s="53"/>
      <c r="L24" s="53"/>
      <c r="M24" s="53"/>
      <c r="N24" s="53"/>
      <c r="S24" s="53"/>
      <c r="T24" s="53"/>
    </row>
    <row r="25" spans="1:20">
      <c r="A25" s="53"/>
      <c r="C25" s="53"/>
      <c r="J25" s="53"/>
      <c r="K25" s="53"/>
      <c r="L25" s="53"/>
      <c r="M25" s="53"/>
      <c r="N25" s="53"/>
      <c r="S25" s="53"/>
      <c r="T25" s="53"/>
    </row>
    <row r="26" spans="1:20">
      <c r="A26" s="53"/>
      <c r="B26" s="53" t="s">
        <v>2265</v>
      </c>
      <c r="C26" s="53"/>
      <c r="D26" s="53"/>
      <c r="E26" s="53"/>
      <c r="J26" s="53"/>
      <c r="K26" s="53"/>
      <c r="L26" s="53"/>
      <c r="M26" s="53"/>
      <c r="N26" s="53"/>
      <c r="S26" s="53"/>
      <c r="T26" s="53"/>
    </row>
    <row r="27" spans="1:20">
      <c r="A27" s="53"/>
      <c r="B27" s="3" t="s">
        <v>2252</v>
      </c>
      <c r="C27" s="53"/>
      <c r="D27" s="22"/>
      <c r="J27" s="53"/>
      <c r="K27" s="53"/>
      <c r="L27" s="53"/>
      <c r="M27" s="53"/>
      <c r="N27" s="53"/>
      <c r="S27" s="53"/>
      <c r="T27" s="53"/>
    </row>
    <row r="28" spans="1:20">
      <c r="A28" s="53"/>
      <c r="B28" s="3" t="s">
        <v>2251</v>
      </c>
      <c r="C28" s="53"/>
      <c r="D28" s="22"/>
      <c r="J28" s="53"/>
      <c r="K28" s="53"/>
      <c r="L28" s="53"/>
      <c r="M28" s="53"/>
      <c r="N28" s="53"/>
      <c r="S28" s="53"/>
      <c r="T28" s="53"/>
    </row>
    <row r="29" spans="1:20">
      <c r="A29" s="53"/>
      <c r="C29" s="53"/>
      <c r="D29" s="22"/>
      <c r="J29" s="53"/>
      <c r="K29" s="53"/>
      <c r="L29" s="53"/>
      <c r="M29" s="53"/>
      <c r="N29" s="53"/>
      <c r="S29" s="53"/>
      <c r="T29" s="53"/>
    </row>
    <row r="30" spans="1:20">
      <c r="A30" s="53"/>
      <c r="B30" s="3" t="s">
        <v>2253</v>
      </c>
      <c r="C30" s="53"/>
      <c r="D30" s="22"/>
      <c r="J30" s="53"/>
      <c r="K30" s="53"/>
      <c r="L30" s="53"/>
      <c r="M30" s="53"/>
      <c r="N30" s="53"/>
      <c r="S30" s="53"/>
      <c r="T30" s="53"/>
    </row>
    <row r="31" spans="1:20">
      <c r="A31" s="53"/>
      <c r="B31" s="3" t="s">
        <v>2254</v>
      </c>
      <c r="C31" s="53"/>
      <c r="D31" s="22"/>
      <c r="J31" s="53"/>
      <c r="K31" s="53"/>
      <c r="L31" s="53"/>
      <c r="M31" s="53"/>
      <c r="N31" s="53"/>
      <c r="S31" s="53"/>
      <c r="T31" s="53"/>
    </row>
    <row r="32" spans="1:20">
      <c r="A32" s="53"/>
      <c r="B32" s="12"/>
      <c r="C32" s="53"/>
      <c r="D32" s="22"/>
      <c r="J32" s="53"/>
      <c r="K32" s="53"/>
      <c r="L32" s="53"/>
      <c r="M32" s="53"/>
      <c r="N32" s="53"/>
      <c r="S32" s="53"/>
      <c r="T32" s="53"/>
    </row>
    <row r="33" spans="1:20">
      <c r="S33" s="53"/>
      <c r="T33" s="53"/>
    </row>
    <row r="34" spans="1:20">
      <c r="C34" s="589" t="s">
        <v>2262</v>
      </c>
      <c r="S34" s="53"/>
      <c r="T34" s="53"/>
    </row>
    <row r="35" spans="1:20">
      <c r="A35" s="53">
        <v>1</v>
      </c>
      <c r="B35" s="48" t="s">
        <v>1762</v>
      </c>
      <c r="C35" s="48">
        <v>1</v>
      </c>
      <c r="D35" s="48">
        <v>2</v>
      </c>
      <c r="E35" s="48">
        <v>3</v>
      </c>
      <c r="F35" s="48">
        <v>4</v>
      </c>
      <c r="G35" s="48">
        <v>5</v>
      </c>
      <c r="H35" s="48">
        <v>6</v>
      </c>
      <c r="I35" s="48">
        <v>7</v>
      </c>
      <c r="J35" s="48">
        <v>8</v>
      </c>
      <c r="K35" s="48">
        <v>9</v>
      </c>
      <c r="L35" s="48">
        <v>10</v>
      </c>
      <c r="M35" s="48">
        <v>11</v>
      </c>
      <c r="N35" s="48">
        <v>12</v>
      </c>
      <c r="S35" s="53"/>
      <c r="T35" s="53"/>
    </row>
    <row r="36" spans="1:20">
      <c r="A36" s="53">
        <v>2</v>
      </c>
      <c r="B36" s="48" t="s">
        <v>153</v>
      </c>
      <c r="C36" s="46" t="s">
        <v>80</v>
      </c>
      <c r="D36" s="46" t="s">
        <v>81</v>
      </c>
      <c r="E36" s="46" t="s">
        <v>82</v>
      </c>
      <c r="F36" s="46" t="s">
        <v>90</v>
      </c>
      <c r="G36" s="46" t="s">
        <v>83</v>
      </c>
      <c r="H36" s="46" t="s">
        <v>84</v>
      </c>
      <c r="I36" s="46" t="s">
        <v>85</v>
      </c>
      <c r="J36" s="46" t="s">
        <v>86</v>
      </c>
      <c r="K36" s="46" t="s">
        <v>87</v>
      </c>
      <c r="L36" s="46" t="s">
        <v>88</v>
      </c>
      <c r="M36" s="46" t="s">
        <v>89</v>
      </c>
      <c r="N36" s="46" t="s">
        <v>24</v>
      </c>
      <c r="S36" s="53"/>
      <c r="T36" s="53"/>
    </row>
    <row r="37" spans="1:20">
      <c r="A37" s="53">
        <v>3</v>
      </c>
      <c r="B37" s="48" t="s">
        <v>2145</v>
      </c>
      <c r="C37" s="90">
        <f t="array" ref="C37:N37">TRANSPOSE('BD Comarcal'!AT6:AT17)</f>
        <v>3319.6</v>
      </c>
      <c r="D37" s="90">
        <v>2661.5</v>
      </c>
      <c r="E37" s="90">
        <v>4480.8</v>
      </c>
      <c r="F37" s="90">
        <v>22878.1</v>
      </c>
      <c r="G37" s="90">
        <v>75695.600000000006</v>
      </c>
      <c r="H37" s="90">
        <v>964.3</v>
      </c>
      <c r="I37" s="90">
        <v>2926.3</v>
      </c>
      <c r="J37" s="90">
        <v>8712</v>
      </c>
      <c r="K37" s="90">
        <v>0</v>
      </c>
      <c r="L37" s="90">
        <v>4214.8</v>
      </c>
      <c r="M37" s="90">
        <v>24456.5</v>
      </c>
      <c r="N37" s="90">
        <v>11625.4</v>
      </c>
      <c r="S37" s="53"/>
      <c r="T37" s="53"/>
    </row>
    <row r="38" spans="1:20">
      <c r="A38" s="53">
        <v>4</v>
      </c>
      <c r="B38" s="48" t="s">
        <v>2146</v>
      </c>
      <c r="C38" s="133">
        <f t="array" ref="C38:N38">TRANSPOSE('BD Comarcal'!AU6:AU17)</f>
        <v>0.08</v>
      </c>
      <c r="D38" s="133">
        <v>8.199999999999999E-2</v>
      </c>
      <c r="E38" s="133">
        <v>8.1000000000000003E-2</v>
      </c>
      <c r="F38" s="133">
        <v>8.3000000000000004E-2</v>
      </c>
      <c r="G38" s="133">
        <v>0.11199999999999999</v>
      </c>
      <c r="H38" s="133">
        <v>0.10099999999999999</v>
      </c>
      <c r="I38" s="133">
        <v>0.152</v>
      </c>
      <c r="J38" s="133">
        <v>0.13900000000000001</v>
      </c>
      <c r="K38" s="133">
        <v>0</v>
      </c>
      <c r="L38" s="133">
        <v>8.199999999999999E-2</v>
      </c>
      <c r="M38" s="133">
        <v>7.8E-2</v>
      </c>
      <c r="N38" s="133">
        <v>8.4000000000000005E-2</v>
      </c>
      <c r="S38" s="53"/>
      <c r="T38" s="53"/>
    </row>
    <row r="39" spans="1:20">
      <c r="A39" s="53">
        <v>5</v>
      </c>
      <c r="B39" s="48" t="s">
        <v>2223</v>
      </c>
      <c r="C39" s="115">
        <f>+C38*$C$40</f>
        <v>16720.400000000001</v>
      </c>
      <c r="D39" s="115">
        <f t="shared" ref="D39:N39" si="0">+D38*$C$40</f>
        <v>17138.409999999996</v>
      </c>
      <c r="E39" s="115">
        <f t="shared" si="0"/>
        <v>16929.404999999999</v>
      </c>
      <c r="F39" s="115">
        <f t="shared" si="0"/>
        <v>17347.415000000001</v>
      </c>
      <c r="G39" s="115">
        <f t="shared" si="0"/>
        <v>23408.559999999998</v>
      </c>
      <c r="H39" s="115">
        <f t="shared" si="0"/>
        <v>21109.504999999997</v>
      </c>
      <c r="I39" s="115">
        <f t="shared" si="0"/>
        <v>31768.76</v>
      </c>
      <c r="J39" s="115">
        <f t="shared" si="0"/>
        <v>29051.695000000003</v>
      </c>
      <c r="K39" s="115"/>
      <c r="L39" s="115">
        <f t="shared" si="0"/>
        <v>17138.409999999996</v>
      </c>
      <c r="M39" s="115">
        <f t="shared" si="0"/>
        <v>16302.39</v>
      </c>
      <c r="N39" s="115">
        <f t="shared" si="0"/>
        <v>17556.420000000002</v>
      </c>
      <c r="S39" s="53"/>
      <c r="T39" s="53"/>
    </row>
    <row r="40" spans="1:20">
      <c r="A40" s="53">
        <v>6</v>
      </c>
      <c r="B40" s="48" t="s">
        <v>2256</v>
      </c>
      <c r="C40" s="383">
        <v>209005</v>
      </c>
      <c r="D40" s="24"/>
      <c r="E40" s="24"/>
      <c r="F40" s="24"/>
      <c r="G40" s="24"/>
      <c r="H40" s="24"/>
      <c r="I40" s="24"/>
      <c r="J40" s="24"/>
      <c r="K40" s="24"/>
      <c r="L40" s="24"/>
      <c r="M40" s="24"/>
      <c r="N40" s="24"/>
      <c r="S40" s="53"/>
      <c r="T40" s="53"/>
    </row>
    <row r="41" spans="1:20">
      <c r="A41" s="53"/>
      <c r="B41" s="67" t="s">
        <v>2257</v>
      </c>
      <c r="C41" s="56"/>
      <c r="D41" s="22"/>
      <c r="E41" s="13"/>
      <c r="F41" s="13"/>
      <c r="G41" s="13"/>
      <c r="H41" s="13"/>
      <c r="I41" s="13"/>
      <c r="J41" s="22"/>
      <c r="K41" s="22"/>
      <c r="L41" s="22"/>
      <c r="M41" s="22"/>
      <c r="N41" s="22"/>
      <c r="S41" s="53"/>
      <c r="T41" s="53"/>
    </row>
    <row r="42" spans="1:20" ht="15">
      <c r="A42" s="53"/>
      <c r="B42" s="559" t="s">
        <v>2255</v>
      </c>
      <c r="C42" s="56"/>
      <c r="D42" s="22"/>
      <c r="E42" s="13"/>
      <c r="F42" s="13"/>
      <c r="G42" s="13"/>
      <c r="H42" s="13"/>
      <c r="I42" s="13"/>
      <c r="J42" s="22"/>
      <c r="K42" s="22"/>
      <c r="L42" s="22"/>
      <c r="M42" s="22"/>
      <c r="N42" s="22"/>
      <c r="S42" s="53"/>
      <c r="T42" s="53"/>
    </row>
    <row r="43" spans="1:20">
      <c r="A43" s="53"/>
      <c r="B43" s="3" t="s">
        <v>2258</v>
      </c>
      <c r="C43" s="53"/>
      <c r="D43" s="22"/>
      <c r="I43" s="22"/>
      <c r="L43" s="53"/>
      <c r="M43" s="53"/>
      <c r="N43" s="53"/>
      <c r="S43" s="53"/>
      <c r="T43" s="53"/>
    </row>
    <row r="44" spans="1:20" ht="15">
      <c r="A44" s="53"/>
      <c r="B44" s="548" t="s">
        <v>2261</v>
      </c>
      <c r="C44" s="53"/>
      <c r="D44" s="22"/>
      <c r="I44" s="22"/>
      <c r="L44" s="53"/>
      <c r="M44" s="53"/>
      <c r="N44" s="53"/>
      <c r="S44" s="53"/>
      <c r="T44" s="53"/>
    </row>
    <row r="45" spans="1:20">
      <c r="A45" s="53"/>
      <c r="B45" s="3" t="s">
        <v>2259</v>
      </c>
      <c r="C45" s="53"/>
      <c r="D45" s="22"/>
      <c r="I45" s="22"/>
      <c r="L45" s="53"/>
      <c r="M45" s="53"/>
      <c r="N45" s="53"/>
      <c r="S45" s="53"/>
      <c r="T45" s="53"/>
    </row>
    <row r="46" spans="1:20" ht="15">
      <c r="A46" s="53"/>
      <c r="B46" s="548" t="s">
        <v>2260</v>
      </c>
      <c r="C46" s="53"/>
      <c r="D46" s="22"/>
      <c r="I46" s="22"/>
      <c r="L46" s="53"/>
      <c r="M46" s="53"/>
      <c r="N46" s="53"/>
      <c r="S46" s="53"/>
      <c r="T46" s="53"/>
    </row>
    <row r="47" spans="1:20">
      <c r="A47" s="53"/>
      <c r="C47" s="53"/>
      <c r="D47" s="22"/>
      <c r="I47" s="22"/>
      <c r="L47" s="53"/>
      <c r="M47" s="53"/>
      <c r="N47" s="53"/>
      <c r="S47" s="53"/>
      <c r="T47" s="53"/>
    </row>
    <row r="49" spans="1:9">
      <c r="B49" s="478" t="s">
        <v>2266</v>
      </c>
      <c r="C49" s="163" t="e">
        <f>HLOOKUP(C10,A35:N40,4,TRUE)</f>
        <v>#N/A</v>
      </c>
    </row>
    <row r="50" spans="1:9">
      <c r="B50" s="478" t="s">
        <v>2038</v>
      </c>
      <c r="C50" s="456" t="e">
        <f>C49*C22</f>
        <v>#N/A</v>
      </c>
    </row>
    <row r="53" spans="1:9">
      <c r="A53" s="53" t="s">
        <v>47</v>
      </c>
      <c r="B53" s="6" t="s">
        <v>2012</v>
      </c>
      <c r="C53" s="116" t="e">
        <f>+IF(C23&gt;0,C24,C50)</f>
        <v>#N/A</v>
      </c>
    </row>
    <row r="54" spans="1:9">
      <c r="A54" s="53"/>
      <c r="C54" s="22"/>
    </row>
    <row r="55" spans="1:9">
      <c r="A55" s="53"/>
      <c r="C55" s="22"/>
    </row>
    <row r="56" spans="1:9">
      <c r="A56" s="53" t="s">
        <v>48</v>
      </c>
      <c r="B56" s="34" t="s">
        <v>2011</v>
      </c>
      <c r="C56" s="414" t="e">
        <f>C53*C11</f>
        <v>#N/A</v>
      </c>
    </row>
    <row r="58" spans="1:9">
      <c r="A58" s="3" t="s">
        <v>44</v>
      </c>
      <c r="B58" s="4" t="s">
        <v>321</v>
      </c>
    </row>
    <row r="59" spans="1:9">
      <c r="B59" s="12" t="s">
        <v>322</v>
      </c>
    </row>
    <row r="61" spans="1:9">
      <c r="B61" s="6"/>
      <c r="C61" s="6">
        <v>2015</v>
      </c>
      <c r="D61" s="6">
        <v>2030</v>
      </c>
      <c r="E61" s="6">
        <v>2080</v>
      </c>
    </row>
    <row r="62" spans="1:9">
      <c r="B62" s="6" t="s">
        <v>323</v>
      </c>
      <c r="C62" s="100">
        <v>0</v>
      </c>
      <c r="D62" s="200">
        <f>((E62/(E61-C61))*(D61-C61))</f>
        <v>2.5384615384615387E-2</v>
      </c>
      <c r="E62" s="133">
        <v>0.11</v>
      </c>
    </row>
    <row r="63" spans="1:9">
      <c r="B63" s="6"/>
      <c r="C63" s="519"/>
      <c r="D63" s="193"/>
      <c r="E63" s="519"/>
      <c r="F63" s="137"/>
      <c r="G63" s="137"/>
      <c r="H63" s="137"/>
      <c r="I63" s="136"/>
    </row>
    <row r="64" spans="1:9">
      <c r="C64" s="137"/>
      <c r="D64" s="137"/>
      <c r="E64" s="137"/>
      <c r="F64" s="137"/>
      <c r="G64" s="137"/>
      <c r="H64" s="137"/>
      <c r="I64" s="137"/>
    </row>
    <row r="65" spans="1:18">
      <c r="A65" s="53" t="s">
        <v>49</v>
      </c>
      <c r="B65" s="73" t="s">
        <v>505</v>
      </c>
    </row>
    <row r="66" spans="1:18">
      <c r="A66" s="53"/>
      <c r="B66" s="99"/>
    </row>
    <row r="67" spans="1:18">
      <c r="A67" s="53"/>
      <c r="C67" s="6">
        <v>0</v>
      </c>
      <c r="D67" s="6">
        <v>1</v>
      </c>
      <c r="E67" s="6">
        <v>2</v>
      </c>
      <c r="F67" s="6">
        <v>3</v>
      </c>
      <c r="G67" s="6">
        <v>4</v>
      </c>
      <c r="H67" s="6">
        <v>5</v>
      </c>
      <c r="I67" s="6">
        <v>6</v>
      </c>
      <c r="J67" s="6">
        <v>7</v>
      </c>
      <c r="K67" s="6">
        <v>8</v>
      </c>
      <c r="L67" s="6">
        <v>9</v>
      </c>
      <c r="M67" s="6">
        <v>10</v>
      </c>
      <c r="N67" s="6">
        <v>11</v>
      </c>
      <c r="O67" s="6">
        <v>12</v>
      </c>
      <c r="P67" s="6">
        <v>13</v>
      </c>
      <c r="Q67" s="6">
        <v>14</v>
      </c>
      <c r="R67" s="6">
        <v>15</v>
      </c>
    </row>
    <row r="68" spans="1:18">
      <c r="A68" s="53"/>
      <c r="B68" s="95" t="s">
        <v>59</v>
      </c>
      <c r="C68" s="6">
        <f>C12</f>
        <v>0</v>
      </c>
      <c r="D68" s="6">
        <f>'A. Dades de partida'!$D$11+D67</f>
        <v>1</v>
      </c>
      <c r="E68" s="6">
        <f>'A. Dades de partida'!$D$11+E67</f>
        <v>2</v>
      </c>
      <c r="F68" s="6">
        <f>'A. Dades de partida'!$D$11+F67</f>
        <v>3</v>
      </c>
      <c r="G68" s="6">
        <f>'A. Dades de partida'!$D$11+G67</f>
        <v>4</v>
      </c>
      <c r="H68" s="6">
        <f>'A. Dades de partida'!$D$11+H67</f>
        <v>5</v>
      </c>
      <c r="I68" s="6">
        <f>'A. Dades de partida'!$D$11+I67</f>
        <v>6</v>
      </c>
      <c r="J68" s="6">
        <f>'A. Dades de partida'!$D$11+J67</f>
        <v>7</v>
      </c>
      <c r="K68" s="6">
        <f>'A. Dades de partida'!$D$11+K67</f>
        <v>8</v>
      </c>
      <c r="L68" s="6">
        <f>'A. Dades de partida'!$D$11+L67</f>
        <v>9</v>
      </c>
      <c r="M68" s="6">
        <f>'A. Dades de partida'!$D$11+M67</f>
        <v>10</v>
      </c>
      <c r="N68" s="6">
        <f>'A. Dades de partida'!$D$11+N67</f>
        <v>11</v>
      </c>
      <c r="O68" s="6">
        <f>'A. Dades de partida'!$D$11+O67</f>
        <v>12</v>
      </c>
      <c r="P68" s="6">
        <f>'A. Dades de partida'!$D$11+P67</f>
        <v>13</v>
      </c>
      <c r="Q68" s="6">
        <f>'A. Dades de partida'!$D$11+Q67</f>
        <v>14</v>
      </c>
      <c r="R68" s="6">
        <f>'A. Dades de partida'!$D$11+R67</f>
        <v>15</v>
      </c>
    </row>
    <row r="69" spans="1:18">
      <c r="B69" s="6" t="s">
        <v>324</v>
      </c>
      <c r="C69" s="24">
        <v>0</v>
      </c>
      <c r="D69" s="200">
        <f t="shared" ref="D69:Q69" si="1">C69+($R69/$R67)</f>
        <v>1.6923076923076924E-3</v>
      </c>
      <c r="E69" s="200">
        <f t="shared" si="1"/>
        <v>3.3846153846153848E-3</v>
      </c>
      <c r="F69" s="200">
        <f t="shared" si="1"/>
        <v>5.076923076923077E-3</v>
      </c>
      <c r="G69" s="200">
        <f t="shared" si="1"/>
        <v>6.7692307692307696E-3</v>
      </c>
      <c r="H69" s="200">
        <f t="shared" si="1"/>
        <v>8.4615384615384613E-3</v>
      </c>
      <c r="I69" s="200">
        <f t="shared" si="1"/>
        <v>1.0153846153846154E-2</v>
      </c>
      <c r="J69" s="200">
        <f t="shared" si="1"/>
        <v>1.1846153846153847E-2</v>
      </c>
      <c r="K69" s="200">
        <f t="shared" si="1"/>
        <v>1.3538461538461539E-2</v>
      </c>
      <c r="L69" s="200">
        <f t="shared" si="1"/>
        <v>1.5230769230769232E-2</v>
      </c>
      <c r="M69" s="200">
        <f t="shared" si="1"/>
        <v>1.6923076923076923E-2</v>
      </c>
      <c r="N69" s="200">
        <f t="shared" si="1"/>
        <v>1.8615384615384614E-2</v>
      </c>
      <c r="O69" s="200">
        <f t="shared" si="1"/>
        <v>2.0307692307692304E-2</v>
      </c>
      <c r="P69" s="200">
        <f t="shared" si="1"/>
        <v>2.1999999999999995E-2</v>
      </c>
      <c r="Q69" s="200">
        <f t="shared" si="1"/>
        <v>2.3692307692307686E-2</v>
      </c>
      <c r="R69" s="200">
        <f>D62</f>
        <v>2.5384615384615387E-2</v>
      </c>
    </row>
    <row r="70" spans="1:18">
      <c r="B70" s="6" t="s">
        <v>325</v>
      </c>
      <c r="C70" s="116" t="e">
        <f>C53</f>
        <v>#N/A</v>
      </c>
      <c r="D70" s="413" t="e">
        <f>$C70+($C70*(-D69))</f>
        <v>#N/A</v>
      </c>
      <c r="E70" s="413" t="e">
        <f>$C70+($C70*(-E69))</f>
        <v>#N/A</v>
      </c>
      <c r="F70" s="413" t="e">
        <f t="shared" ref="F70:N70" si="2">$C70+($C70*(-F69))</f>
        <v>#N/A</v>
      </c>
      <c r="G70" s="413" t="e">
        <f t="shared" si="2"/>
        <v>#N/A</v>
      </c>
      <c r="H70" s="413" t="e">
        <f t="shared" si="2"/>
        <v>#N/A</v>
      </c>
      <c r="I70" s="413" t="e">
        <f t="shared" si="2"/>
        <v>#N/A</v>
      </c>
      <c r="J70" s="413" t="e">
        <f t="shared" si="2"/>
        <v>#N/A</v>
      </c>
      <c r="K70" s="413" t="e">
        <f t="shared" si="2"/>
        <v>#N/A</v>
      </c>
      <c r="L70" s="413" t="e">
        <f t="shared" si="2"/>
        <v>#N/A</v>
      </c>
      <c r="M70" s="413" t="e">
        <f t="shared" si="2"/>
        <v>#N/A</v>
      </c>
      <c r="N70" s="413" t="e">
        <f t="shared" si="2"/>
        <v>#N/A</v>
      </c>
      <c r="O70" s="413" t="e">
        <f>$C70+($C70*(-O69))</f>
        <v>#N/A</v>
      </c>
      <c r="P70" s="413" t="e">
        <f>$C70+($C70*(-P69))</f>
        <v>#N/A</v>
      </c>
      <c r="Q70" s="413" t="e">
        <f>$C70+($C70*(-Q69))</f>
        <v>#N/A</v>
      </c>
      <c r="R70" s="413" t="e">
        <f>$C70+($C70*(-R69))</f>
        <v>#N/A</v>
      </c>
    </row>
    <row r="72" spans="1:18">
      <c r="B72" s="70"/>
    </row>
    <row r="74" spans="1:18">
      <c r="A74" s="53" t="s">
        <v>50</v>
      </c>
      <c r="B74" s="561" t="s">
        <v>2010</v>
      </c>
      <c r="C74" s="139" t="e">
        <f>SUM(D70:R70)</f>
        <v>#N/A</v>
      </c>
    </row>
    <row r="75" spans="1:18">
      <c r="A75" s="53"/>
      <c r="B75" s="53"/>
      <c r="C75" s="53"/>
    </row>
    <row r="76" spans="1:18">
      <c r="A76" s="53"/>
      <c r="B76" s="53"/>
      <c r="C76" s="53"/>
    </row>
    <row r="77" spans="1:18">
      <c r="A77" s="3" t="s">
        <v>70</v>
      </c>
      <c r="B77" s="34" t="s">
        <v>1957</v>
      </c>
      <c r="C77" s="415" t="e">
        <f>C74-C56</f>
        <v>#N/A</v>
      </c>
    </row>
  </sheetData>
  <sheetProtection algorithmName="SHA-512" hashValue="Iy/sl7xkJfO4qbwx44wm6hCNChNK8nVjOnvOP/44n1FK7DynJN20Gp2vh1ZLS6DXcnFX/9EdSOX2dJDSRpT7qA==" saltValue="++40+JZhCqydw9PzGljNdQ==" spinCount="100000" sheet="1" objects="1" scenarios="1"/>
  <mergeCells count="1">
    <mergeCell ref="B2:F2"/>
  </mergeCells>
  <hyperlinks>
    <hyperlink ref="B42" r:id="rId1"/>
    <hyperlink ref="B44" r:id="rId2"/>
    <hyperlink ref="B46" r:id="rId3"/>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T86"/>
  <sheetViews>
    <sheetView zoomScale="55" zoomScaleNormal="55" workbookViewId="0">
      <selection activeCell="U24" sqref="U24"/>
    </sheetView>
  </sheetViews>
  <sheetFormatPr defaultColWidth="11.5703125" defaultRowHeight="12.75"/>
  <cols>
    <col min="1" max="1" width="6.7109375" style="3" customWidth="1"/>
    <col min="2" max="2" width="49.28515625" style="3" customWidth="1"/>
    <col min="3" max="3" width="14.7109375" style="3" customWidth="1"/>
    <col min="4" max="4" width="11.5703125" style="3"/>
    <col min="5" max="5" width="12.42578125" style="3" customWidth="1"/>
    <col min="6" max="6" width="15.5703125" style="3" customWidth="1"/>
    <col min="7" max="8" width="11.5703125" style="3"/>
    <col min="9" max="9" width="13" style="3" bestFit="1" customWidth="1"/>
    <col min="10" max="12" width="11.5703125" style="3"/>
    <col min="13" max="13" width="17.28515625" style="3" bestFit="1" customWidth="1"/>
    <col min="14" max="14" width="14.5703125" style="3" bestFit="1" customWidth="1"/>
    <col min="15" max="17" width="11.5703125" style="3"/>
    <col min="18" max="18" width="21.7109375" style="3" customWidth="1"/>
    <col min="19" max="19" width="16" style="3" customWidth="1"/>
    <col min="20" max="20" width="11.5703125" style="3"/>
    <col min="21" max="21" width="14.42578125" style="3" customWidth="1"/>
    <col min="22" max="22" width="30.42578125" style="3" customWidth="1"/>
    <col min="23" max="23" width="13.7109375" style="3" customWidth="1"/>
    <col min="24" max="24" width="11.5703125" style="3"/>
    <col min="25" max="25" width="13.7109375" style="3" customWidth="1"/>
    <col min="26" max="26" width="16" style="3" customWidth="1"/>
    <col min="27" max="27" width="29.28515625" style="3" customWidth="1"/>
    <col min="28" max="29" width="15.42578125" style="3" customWidth="1"/>
    <col min="30" max="30" width="17.28515625" style="3" customWidth="1"/>
    <col min="31" max="31" width="30.28515625" style="3" bestFit="1" customWidth="1"/>
    <col min="32" max="34" width="11.5703125" style="3"/>
    <col min="35" max="35" width="20.28515625" style="3" customWidth="1"/>
    <col min="36" max="36" width="17.28515625" style="3" customWidth="1"/>
    <col min="37" max="16384" width="11.5703125" style="3"/>
  </cols>
  <sheetData>
    <row r="1" spans="1:20">
      <c r="A1" s="53"/>
    </row>
    <row r="2" spans="1:20" ht="25.15" customHeight="1">
      <c r="A2" s="53"/>
      <c r="B2" s="1172" t="s">
        <v>2438</v>
      </c>
      <c r="C2" s="1172"/>
      <c r="D2" s="1172"/>
      <c r="E2" s="1172"/>
      <c r="F2" s="1172"/>
    </row>
    <row r="3" spans="1:20">
      <c r="A3" s="53"/>
      <c r="B3" s="54" t="s">
        <v>312</v>
      </c>
    </row>
    <row r="4" spans="1:20">
      <c r="A4" s="53"/>
      <c r="B4" s="54"/>
    </row>
    <row r="5" spans="1:20">
      <c r="A5" s="53" t="s">
        <v>197</v>
      </c>
      <c r="B5" s="4" t="s">
        <v>1763</v>
      </c>
    </row>
    <row r="6" spans="1:20">
      <c r="A6" s="53"/>
      <c r="B6" s="4"/>
    </row>
    <row r="7" spans="1:20">
      <c r="A7" s="53"/>
      <c r="B7" s="6" t="s">
        <v>66</v>
      </c>
      <c r="C7" s="44" t="str">
        <f>'A. Dades de partida'!D7</f>
        <v>Vilalba Sasserra</v>
      </c>
    </row>
    <row r="8" spans="1:20">
      <c r="A8" s="53"/>
      <c r="B8" s="6" t="s">
        <v>1760</v>
      </c>
      <c r="C8" s="24">
        <f>'A. Dades de partida'!D8</f>
        <v>8306</v>
      </c>
    </row>
    <row r="9" spans="1:20">
      <c r="A9" s="53"/>
      <c r="B9" s="6" t="s">
        <v>153</v>
      </c>
      <c r="C9" s="44" t="str">
        <f>'A. Dades de partida'!D24</f>
        <v>Vallès Oriental</v>
      </c>
    </row>
    <row r="10" spans="1:20">
      <c r="A10" s="53"/>
      <c r="B10" s="6" t="s">
        <v>1761</v>
      </c>
      <c r="C10" s="24" t="str">
        <f>'A. Dades de partida'!D25</f>
        <v>41</v>
      </c>
    </row>
    <row r="11" spans="1:20">
      <c r="A11" s="53"/>
      <c r="B11" s="6" t="s">
        <v>135</v>
      </c>
      <c r="C11" s="24">
        <f>'A. Dades de partida'!D10</f>
        <v>15</v>
      </c>
    </row>
    <row r="12" spans="1:20">
      <c r="A12" s="53"/>
      <c r="B12" s="6" t="s">
        <v>124</v>
      </c>
      <c r="C12" s="24">
        <f>'A. Dades de partida'!D11</f>
        <v>0</v>
      </c>
    </row>
    <row r="13" spans="1:20">
      <c r="A13" s="53"/>
      <c r="B13" s="6" t="s">
        <v>125</v>
      </c>
      <c r="C13" s="24">
        <f>'A. Dades de partida'!D12</f>
        <v>15</v>
      </c>
    </row>
    <row r="14" spans="1:20">
      <c r="A14" s="53"/>
      <c r="B14" s="6" t="s">
        <v>1769</v>
      </c>
      <c r="C14" s="79">
        <f>'A. Dades de partida'!D14</f>
        <v>684</v>
      </c>
    </row>
    <row r="15" spans="1:20">
      <c r="A15" s="53"/>
      <c r="B15" s="6" t="s">
        <v>1771</v>
      </c>
      <c r="C15" s="79">
        <f>'A. Dades de partida'!D15</f>
        <v>587</v>
      </c>
      <c r="I15" s="53"/>
      <c r="J15" s="53"/>
      <c r="K15" s="53"/>
      <c r="L15" s="53"/>
      <c r="M15" s="53"/>
      <c r="N15" s="53"/>
      <c r="O15" s="53"/>
      <c r="P15" s="53"/>
      <c r="Q15" s="53"/>
      <c r="R15" s="53"/>
      <c r="S15" s="53"/>
      <c r="T15" s="53"/>
    </row>
    <row r="16" spans="1:20">
      <c r="A16" s="53"/>
      <c r="B16" s="6" t="s">
        <v>1768</v>
      </c>
      <c r="C16" s="79">
        <f>'A. Dades de partida'!D18</f>
        <v>889241.73</v>
      </c>
      <c r="I16" s="53"/>
      <c r="J16" s="53"/>
      <c r="K16" s="53"/>
      <c r="L16" s="53"/>
      <c r="M16" s="53"/>
      <c r="N16" s="53"/>
      <c r="O16" s="53"/>
      <c r="P16" s="53"/>
      <c r="Q16" s="53"/>
      <c r="R16" s="53"/>
      <c r="S16" s="53"/>
      <c r="T16" s="53"/>
    </row>
    <row r="17" spans="1:20">
      <c r="A17" s="53"/>
      <c r="B17" s="53"/>
      <c r="C17" s="53"/>
      <c r="D17" s="53"/>
      <c r="E17" s="53"/>
      <c r="I17" s="53"/>
      <c r="J17" s="53"/>
      <c r="K17" s="53"/>
      <c r="L17" s="53"/>
      <c r="M17" s="53"/>
      <c r="N17" s="53"/>
      <c r="S17" s="53"/>
      <c r="T17" s="53"/>
    </row>
    <row r="18" spans="1:20">
      <c r="A18" s="53" t="s">
        <v>41</v>
      </c>
      <c r="B18" s="4" t="s">
        <v>2039</v>
      </c>
      <c r="I18" s="53"/>
      <c r="J18" s="53"/>
      <c r="K18" s="53"/>
      <c r="L18" s="53"/>
      <c r="M18" s="53"/>
      <c r="N18" s="53"/>
      <c r="S18" s="53"/>
      <c r="T18" s="53"/>
    </row>
    <row r="19" spans="1:20">
      <c r="A19" s="53"/>
      <c r="B19" s="138" t="s">
        <v>2224</v>
      </c>
      <c r="I19" s="53"/>
      <c r="J19" s="53"/>
      <c r="K19" s="53"/>
      <c r="L19" s="53"/>
      <c r="M19" s="53"/>
      <c r="N19" s="53"/>
      <c r="S19" s="53"/>
      <c r="T19" s="53"/>
    </row>
    <row r="20" spans="1:20">
      <c r="A20" s="53"/>
      <c r="B20" s="4"/>
      <c r="C20" s="53" t="s">
        <v>2201</v>
      </c>
      <c r="I20" s="53"/>
      <c r="J20" s="53"/>
      <c r="K20" s="53"/>
      <c r="L20" s="53"/>
      <c r="M20" s="53"/>
      <c r="N20" s="53"/>
      <c r="S20" s="53"/>
      <c r="T20" s="53"/>
    </row>
    <row r="21" spans="1:20">
      <c r="A21" s="53"/>
      <c r="B21" s="474"/>
      <c r="C21" s="441" t="s">
        <v>66</v>
      </c>
      <c r="D21" s="441" t="s">
        <v>2164</v>
      </c>
      <c r="E21" s="441" t="s">
        <v>95</v>
      </c>
      <c r="J21" s="53"/>
      <c r="K21" s="53"/>
      <c r="L21" s="53"/>
      <c r="M21" s="53"/>
      <c r="N21" s="53"/>
      <c r="S21" s="53"/>
      <c r="T21" s="53"/>
    </row>
    <row r="22" spans="1:20">
      <c r="A22" s="53"/>
      <c r="B22" s="48" t="s">
        <v>2145</v>
      </c>
      <c r="C22" s="83">
        <f>'A. Dades de partida'!H44</f>
        <v>18.882441234072026</v>
      </c>
      <c r="D22" s="90">
        <v>72131.8</v>
      </c>
      <c r="E22" s="90">
        <v>152993</v>
      </c>
      <c r="J22" s="53"/>
      <c r="K22" s="53"/>
      <c r="L22" s="53"/>
      <c r="M22" s="53"/>
      <c r="N22" s="53"/>
      <c r="S22" s="53"/>
      <c r="T22" s="53"/>
    </row>
    <row r="23" spans="1:20">
      <c r="A23" s="53"/>
      <c r="B23" s="48" t="s">
        <v>2269</v>
      </c>
      <c r="C23" s="84"/>
      <c r="D23" s="475">
        <v>0.14000000000000001</v>
      </c>
      <c r="E23" s="475">
        <v>0.12</v>
      </c>
      <c r="F23" s="12" t="s">
        <v>1765</v>
      </c>
      <c r="J23" s="53"/>
      <c r="K23" s="53"/>
      <c r="L23" s="53"/>
      <c r="M23" s="53"/>
      <c r="N23" s="53"/>
      <c r="S23" s="53"/>
      <c r="T23" s="53"/>
    </row>
    <row r="24" spans="1:20">
      <c r="A24" s="53"/>
      <c r="B24" s="48" t="s">
        <v>2223</v>
      </c>
      <c r="C24" s="84"/>
      <c r="D24" s="115">
        <f>D22*D23</f>
        <v>10098.452000000001</v>
      </c>
      <c r="E24" s="115">
        <f>E22*E23</f>
        <v>18359.16</v>
      </c>
      <c r="J24" s="53"/>
      <c r="K24" s="53"/>
      <c r="L24" s="53"/>
      <c r="M24" s="53"/>
      <c r="N24" s="53"/>
      <c r="S24" s="53"/>
      <c r="T24" s="53"/>
    </row>
    <row r="25" spans="1:20">
      <c r="A25" s="53"/>
      <c r="C25" s="53"/>
      <c r="J25" s="53"/>
      <c r="K25" s="53"/>
      <c r="L25" s="53"/>
      <c r="M25" s="53"/>
      <c r="N25" s="53"/>
      <c r="S25" s="53"/>
      <c r="T25" s="53"/>
    </row>
    <row r="26" spans="1:20">
      <c r="A26" s="53"/>
      <c r="B26" s="53" t="s">
        <v>2265</v>
      </c>
      <c r="C26" s="53"/>
      <c r="D26" s="53"/>
      <c r="E26" s="53"/>
      <c r="J26" s="53"/>
      <c r="K26" s="53"/>
      <c r="L26" s="53"/>
      <c r="M26" s="53"/>
      <c r="N26" s="53"/>
      <c r="S26" s="53"/>
      <c r="T26" s="53"/>
    </row>
    <row r="27" spans="1:20">
      <c r="A27" s="53"/>
      <c r="B27" s="3" t="s">
        <v>2252</v>
      </c>
      <c r="C27" s="53"/>
      <c r="D27" s="22"/>
      <c r="J27" s="53"/>
      <c r="K27" s="53"/>
      <c r="L27" s="53"/>
      <c r="M27" s="53"/>
      <c r="N27" s="53"/>
      <c r="S27" s="53"/>
      <c r="T27" s="53"/>
    </row>
    <row r="28" spans="1:20">
      <c r="A28" s="53"/>
      <c r="B28" s="3" t="s">
        <v>2251</v>
      </c>
      <c r="C28" s="53"/>
      <c r="D28" s="22"/>
      <c r="J28" s="53"/>
      <c r="K28" s="53"/>
      <c r="L28" s="53"/>
      <c r="M28" s="53"/>
      <c r="N28" s="53"/>
      <c r="S28" s="53"/>
      <c r="T28" s="53"/>
    </row>
    <row r="29" spans="1:20">
      <c r="A29" s="53"/>
      <c r="C29" s="53"/>
      <c r="D29" s="22"/>
      <c r="J29" s="53"/>
      <c r="K29" s="53"/>
      <c r="L29" s="53"/>
      <c r="M29" s="53"/>
      <c r="N29" s="53"/>
      <c r="S29" s="53"/>
      <c r="T29" s="53"/>
    </row>
    <row r="30" spans="1:20">
      <c r="A30" s="53"/>
      <c r="B30" s="3" t="s">
        <v>2253</v>
      </c>
      <c r="C30" s="53"/>
      <c r="D30" s="22"/>
      <c r="J30" s="53"/>
      <c r="K30" s="53"/>
      <c r="L30" s="53"/>
      <c r="M30" s="53"/>
      <c r="N30" s="53"/>
      <c r="S30" s="53"/>
      <c r="T30" s="53"/>
    </row>
    <row r="31" spans="1:20">
      <c r="A31" s="53"/>
      <c r="B31" s="3" t="s">
        <v>2254</v>
      </c>
      <c r="C31" s="53"/>
      <c r="D31" s="22"/>
      <c r="J31" s="53"/>
      <c r="K31" s="53"/>
      <c r="L31" s="53"/>
      <c r="M31" s="53"/>
      <c r="N31" s="53"/>
      <c r="S31" s="53"/>
      <c r="T31" s="53"/>
    </row>
    <row r="32" spans="1:20">
      <c r="A32" s="53"/>
      <c r="B32" s="12"/>
      <c r="C32" s="53"/>
      <c r="D32" s="22"/>
      <c r="J32" s="53"/>
      <c r="K32" s="53"/>
      <c r="L32" s="53"/>
      <c r="M32" s="53"/>
      <c r="N32" s="53"/>
      <c r="S32" s="53"/>
      <c r="T32" s="53"/>
    </row>
    <row r="33" spans="1:20">
      <c r="A33" s="53"/>
      <c r="C33" s="53"/>
      <c r="D33" s="22"/>
      <c r="I33" s="22"/>
      <c r="L33" s="53"/>
      <c r="M33" s="53"/>
      <c r="N33" s="53"/>
      <c r="S33" s="53"/>
      <c r="T33" s="53"/>
    </row>
    <row r="34" spans="1:20">
      <c r="A34" s="53"/>
      <c r="B34" s="4" t="s">
        <v>2149</v>
      </c>
      <c r="S34" s="53"/>
      <c r="T34" s="53"/>
    </row>
    <row r="35" spans="1:20">
      <c r="B35" s="6" t="s">
        <v>2147</v>
      </c>
      <c r="C35" s="425" t="s">
        <v>1918</v>
      </c>
      <c r="D35" s="425" t="s">
        <v>1919</v>
      </c>
      <c r="E35" s="425" t="s">
        <v>1920</v>
      </c>
      <c r="F35" s="46" t="s">
        <v>2144</v>
      </c>
    </row>
    <row r="36" spans="1:20">
      <c r="B36" s="149" t="s">
        <v>1915</v>
      </c>
      <c r="C36" s="90">
        <v>137387</v>
      </c>
      <c r="D36" s="90">
        <v>4627</v>
      </c>
      <c r="E36" s="90">
        <v>43167</v>
      </c>
      <c r="F36" s="76">
        <v>185181</v>
      </c>
    </row>
    <row r="37" spans="1:20">
      <c r="B37" s="149" t="s">
        <v>1916</v>
      </c>
      <c r="C37" s="90">
        <v>82157.425999999963</v>
      </c>
      <c r="D37" s="90">
        <v>2133.0470000000005</v>
      </c>
      <c r="E37" s="90">
        <v>7079.387999999999</v>
      </c>
      <c r="F37" s="76">
        <v>91369.86099999999</v>
      </c>
      <c r="I37" s="558"/>
    </row>
    <row r="38" spans="1:20">
      <c r="B38" s="149" t="s">
        <v>1917</v>
      </c>
      <c r="C38" s="90">
        <v>82157.425999999963</v>
      </c>
      <c r="D38" s="90">
        <v>983.33466700000008</v>
      </c>
      <c r="E38" s="90">
        <v>1161.0196319999998</v>
      </c>
      <c r="F38" s="76">
        <v>84301.780299000005</v>
      </c>
    </row>
    <row r="40" spans="1:20">
      <c r="D40" s="53"/>
      <c r="E40" s="53"/>
    </row>
    <row r="41" spans="1:20">
      <c r="C41" s="44" t="s">
        <v>1922</v>
      </c>
      <c r="D41" s="44" t="s">
        <v>1923</v>
      </c>
      <c r="E41" s="44" t="s">
        <v>1920</v>
      </c>
    </row>
    <row r="42" spans="1:20">
      <c r="B42" s="24" t="s">
        <v>1921</v>
      </c>
      <c r="C42" s="472">
        <v>0.59799999999999998</v>
      </c>
      <c r="D42" s="472">
        <v>0.46100000000000002</v>
      </c>
      <c r="E42" s="472">
        <v>0.16400000000000001</v>
      </c>
    </row>
    <row r="43" spans="1:20">
      <c r="C43" s="22" t="s">
        <v>1924</v>
      </c>
      <c r="D43" s="22"/>
      <c r="E43" s="22"/>
    </row>
    <row r="44" spans="1:20">
      <c r="C44" s="22"/>
      <c r="D44" s="22"/>
      <c r="E44" s="22"/>
    </row>
    <row r="45" spans="1:20">
      <c r="D45" s="22"/>
      <c r="E45" s="22"/>
    </row>
    <row r="46" spans="1:20">
      <c r="C46" s="44" t="s">
        <v>1922</v>
      </c>
      <c r="D46" s="44" t="s">
        <v>1923</v>
      </c>
      <c r="E46" s="44" t="s">
        <v>1920</v>
      </c>
    </row>
    <row r="47" spans="1:20">
      <c r="B47" s="24" t="s">
        <v>1925</v>
      </c>
      <c r="C47" s="471">
        <v>78.569999999999993</v>
      </c>
      <c r="D47" s="462">
        <v>50</v>
      </c>
      <c r="E47" s="462">
        <v>25</v>
      </c>
    </row>
    <row r="48" spans="1:20">
      <c r="B48" s="6" t="s">
        <v>2150</v>
      </c>
      <c r="C48" s="473">
        <f>C47/C47</f>
        <v>1</v>
      </c>
      <c r="D48" s="473">
        <v>0.46100000000000002</v>
      </c>
      <c r="E48" s="473">
        <v>0.16400000000000001</v>
      </c>
    </row>
    <row r="49" spans="1:7">
      <c r="C49" s="53" t="s">
        <v>1926</v>
      </c>
      <c r="D49" s="22"/>
      <c r="E49" s="22"/>
    </row>
    <row r="50" spans="1:7">
      <c r="C50" s="22"/>
      <c r="D50" s="22"/>
      <c r="E50" s="22"/>
    </row>
    <row r="51" spans="1:7">
      <c r="B51" s="4" t="s">
        <v>2148</v>
      </c>
      <c r="C51" s="22"/>
      <c r="D51" s="22"/>
      <c r="E51" s="22"/>
    </row>
    <row r="52" spans="1:7" ht="38.25">
      <c r="B52" s="6" t="s">
        <v>2147</v>
      </c>
      <c r="C52" s="425" t="s">
        <v>1918</v>
      </c>
      <c r="D52" s="425" t="s">
        <v>1919</v>
      </c>
      <c r="E52" s="425" t="s">
        <v>1920</v>
      </c>
      <c r="F52" s="46" t="s">
        <v>2036</v>
      </c>
      <c r="G52" s="141" t="s">
        <v>2037</v>
      </c>
    </row>
    <row r="53" spans="1:7">
      <c r="B53" s="149" t="s">
        <v>1915</v>
      </c>
      <c r="C53" s="476">
        <f>VLOOKUP(C7,'BD ASVICC'!A6:GP316,20,)</f>
        <v>0</v>
      </c>
      <c r="D53" s="476">
        <f>VLOOKUP(C7,'BD ASVICC'!A6:GP316,21,)</f>
        <v>0</v>
      </c>
      <c r="E53" s="476">
        <f>VLOOKUP(C7,'BD ASVICC'!A6:GP316,22,)</f>
        <v>0</v>
      </c>
      <c r="F53" s="488">
        <f>SUM(C53:E53)</f>
        <v>0</v>
      </c>
      <c r="G53" s="489">
        <f>F53/F36</f>
        <v>0</v>
      </c>
    </row>
    <row r="54" spans="1:7">
      <c r="B54" s="149" t="s">
        <v>1916</v>
      </c>
      <c r="C54" s="477">
        <f>C53*C$42</f>
        <v>0</v>
      </c>
      <c r="D54" s="477">
        <f>D53*D$42</f>
        <v>0</v>
      </c>
      <c r="E54" s="477">
        <f>E53*E$42</f>
        <v>0</v>
      </c>
      <c r="F54" s="488">
        <f>SUM(C54:E54)</f>
        <v>0</v>
      </c>
      <c r="G54" s="489">
        <f>F54/F37</f>
        <v>0</v>
      </c>
    </row>
    <row r="55" spans="1:7">
      <c r="B55" s="149" t="s">
        <v>1917</v>
      </c>
      <c r="C55" s="477">
        <f>C54*C$48</f>
        <v>0</v>
      </c>
      <c r="D55" s="477">
        <f>D54*D$48</f>
        <v>0</v>
      </c>
      <c r="E55" s="477">
        <f>E54*E$48</f>
        <v>0</v>
      </c>
      <c r="F55" s="488">
        <f>SUM(C55:E55)</f>
        <v>0</v>
      </c>
      <c r="G55" s="489">
        <f>F55/F38</f>
        <v>0</v>
      </c>
    </row>
    <row r="58" spans="1:7">
      <c r="B58" s="478" t="s">
        <v>2038</v>
      </c>
      <c r="C58" s="456">
        <f>G55*$D$24</f>
        <v>0</v>
      </c>
    </row>
    <row r="59" spans="1:7">
      <c r="B59" s="478" t="s">
        <v>2151</v>
      </c>
      <c r="C59" s="326">
        <f>C58/C22</f>
        <v>0</v>
      </c>
      <c r="D59" s="479"/>
    </row>
    <row r="62" spans="1:7">
      <c r="A62" s="53" t="s">
        <v>47</v>
      </c>
      <c r="B62" s="6" t="s">
        <v>2012</v>
      </c>
      <c r="C62" s="116">
        <f>C58</f>
        <v>0</v>
      </c>
    </row>
    <row r="63" spans="1:7">
      <c r="A63" s="53"/>
      <c r="C63" s="22"/>
    </row>
    <row r="64" spans="1:7">
      <c r="A64" s="53"/>
      <c r="C64" s="22"/>
    </row>
    <row r="65" spans="1:18">
      <c r="A65" s="53" t="s">
        <v>48</v>
      </c>
      <c r="B65" s="34" t="s">
        <v>2011</v>
      </c>
      <c r="C65" s="414">
        <f>C62*C11</f>
        <v>0</v>
      </c>
    </row>
    <row r="67" spans="1:18">
      <c r="A67" s="3" t="s">
        <v>44</v>
      </c>
      <c r="B67" s="4" t="s">
        <v>321</v>
      </c>
    </row>
    <row r="68" spans="1:18">
      <c r="B68" s="12" t="s">
        <v>322</v>
      </c>
    </row>
    <row r="70" spans="1:18">
      <c r="B70" s="6"/>
      <c r="C70" s="6">
        <v>2015</v>
      </c>
      <c r="D70" s="6">
        <v>2030</v>
      </c>
      <c r="E70" s="6">
        <v>2080</v>
      </c>
    </row>
    <row r="71" spans="1:18">
      <c r="B71" s="6" t="s">
        <v>323</v>
      </c>
      <c r="C71" s="100">
        <v>0</v>
      </c>
      <c r="D71" s="200">
        <f>((E71/(E70-C70))*(D70-C70))</f>
        <v>2.5384615384615387E-2</v>
      </c>
      <c r="E71" s="133">
        <v>0.11</v>
      </c>
    </row>
    <row r="72" spans="1:18">
      <c r="C72" s="136"/>
      <c r="D72" s="137"/>
      <c r="E72" s="136"/>
      <c r="F72" s="137"/>
      <c r="G72" s="137"/>
      <c r="H72" s="137"/>
      <c r="I72" s="136"/>
    </row>
    <row r="73" spans="1:18">
      <c r="C73" s="137"/>
      <c r="D73" s="137"/>
      <c r="E73" s="137"/>
      <c r="F73" s="137"/>
      <c r="G73" s="137"/>
      <c r="H73" s="137"/>
      <c r="I73" s="137"/>
    </row>
    <row r="74" spans="1:18">
      <c r="A74" s="53" t="s">
        <v>49</v>
      </c>
      <c r="B74" s="73" t="s">
        <v>505</v>
      </c>
    </row>
    <row r="75" spans="1:18">
      <c r="A75" s="53"/>
      <c r="B75" s="99"/>
    </row>
    <row r="76" spans="1:18">
      <c r="A76" s="53"/>
      <c r="C76" s="6">
        <v>0</v>
      </c>
      <c r="D76" s="6">
        <v>1</v>
      </c>
      <c r="E76" s="6">
        <v>2</v>
      </c>
      <c r="F76" s="6">
        <v>3</v>
      </c>
      <c r="G76" s="6">
        <v>4</v>
      </c>
      <c r="H76" s="6">
        <v>5</v>
      </c>
      <c r="I76" s="6">
        <v>6</v>
      </c>
      <c r="J76" s="6">
        <v>7</v>
      </c>
      <c r="K76" s="6">
        <v>8</v>
      </c>
      <c r="L76" s="6">
        <v>9</v>
      </c>
      <c r="M76" s="6">
        <v>10</v>
      </c>
      <c r="N76" s="6">
        <v>11</v>
      </c>
    </row>
    <row r="77" spans="1:18">
      <c r="A77" s="53"/>
      <c r="B77" s="95" t="s">
        <v>59</v>
      </c>
      <c r="C77" s="6">
        <f>C12</f>
        <v>0</v>
      </c>
      <c r="D77" s="6">
        <f>'A. Dades de partida'!$D$11+D76</f>
        <v>1</v>
      </c>
      <c r="E77" s="6">
        <f>'A. Dades de partida'!$D$11+E76</f>
        <v>2</v>
      </c>
      <c r="F77" s="6">
        <f>'A. Dades de partida'!$D$11+F76</f>
        <v>3</v>
      </c>
      <c r="G77" s="6">
        <f>'A. Dades de partida'!$D$11+G76</f>
        <v>4</v>
      </c>
      <c r="H77" s="6">
        <f>'A. Dades de partida'!$D$11+H76</f>
        <v>5</v>
      </c>
      <c r="I77" s="6">
        <f>'A. Dades de partida'!$D$11+I76</f>
        <v>6</v>
      </c>
      <c r="J77" s="6">
        <f>'A. Dades de partida'!$D$11+J76</f>
        <v>7</v>
      </c>
      <c r="K77" s="6">
        <f>'A. Dades de partida'!$D$11+K76</f>
        <v>8</v>
      </c>
      <c r="L77" s="6">
        <f>'A. Dades de partida'!$D$11+L76</f>
        <v>9</v>
      </c>
      <c r="M77" s="6">
        <f>'A. Dades de partida'!$D$11+M76</f>
        <v>10</v>
      </c>
      <c r="N77" s="6">
        <f>'A. Dades de partida'!$D$11+N76</f>
        <v>11</v>
      </c>
      <c r="O77" s="6">
        <v>12</v>
      </c>
      <c r="P77" s="6">
        <v>13</v>
      </c>
      <c r="Q77" s="6">
        <v>14</v>
      </c>
      <c r="R77" s="6">
        <v>15</v>
      </c>
    </row>
    <row r="78" spans="1:18">
      <c r="B78" s="6" t="s">
        <v>324</v>
      </c>
      <c r="C78" s="24">
        <v>0</v>
      </c>
      <c r="D78" s="200">
        <f t="shared" ref="D78:N78" si="0">C78+($R79/$R77)</f>
        <v>1.6923076923076924E-3</v>
      </c>
      <c r="E78" s="200">
        <f t="shared" si="0"/>
        <v>3.3846153846153848E-3</v>
      </c>
      <c r="F78" s="200">
        <f t="shared" si="0"/>
        <v>5.076923076923077E-3</v>
      </c>
      <c r="G78" s="200">
        <f t="shared" si="0"/>
        <v>6.7692307692307696E-3</v>
      </c>
      <c r="H78" s="200">
        <f t="shared" si="0"/>
        <v>8.4615384615384613E-3</v>
      </c>
      <c r="I78" s="200">
        <f t="shared" si="0"/>
        <v>1.0153846153846154E-2</v>
      </c>
      <c r="J78" s="200">
        <f t="shared" si="0"/>
        <v>1.1846153846153847E-2</v>
      </c>
      <c r="K78" s="200">
        <f t="shared" si="0"/>
        <v>1.3538461538461539E-2</v>
      </c>
      <c r="L78" s="200">
        <f t="shared" si="0"/>
        <v>1.5230769230769232E-2</v>
      </c>
      <c r="M78" s="200">
        <f t="shared" si="0"/>
        <v>1.6923076923076923E-2</v>
      </c>
      <c r="N78" s="200">
        <f t="shared" si="0"/>
        <v>1.8615384615384614E-2</v>
      </c>
      <c r="O78" s="6">
        <f>'A. Dades de partida'!$D$11+O77</f>
        <v>12</v>
      </c>
      <c r="P78" s="6">
        <f>'A. Dades de partida'!$D$11+P77</f>
        <v>13</v>
      </c>
      <c r="Q78" s="6">
        <f>'A. Dades de partida'!$D$11+Q77</f>
        <v>14</v>
      </c>
      <c r="R78" s="6">
        <f>'A. Dades de partida'!$D$11+R77</f>
        <v>15</v>
      </c>
    </row>
    <row r="79" spans="1:18">
      <c r="B79" s="6" t="s">
        <v>325</v>
      </c>
      <c r="C79" s="116">
        <f>C62</f>
        <v>0</v>
      </c>
      <c r="D79" s="413">
        <f>$C79+($C79*(-D78))</f>
        <v>0</v>
      </c>
      <c r="E79" s="413">
        <f t="shared" ref="E79:N79" si="1">$C79+($C79*(-E78))</f>
        <v>0</v>
      </c>
      <c r="F79" s="413">
        <f t="shared" si="1"/>
        <v>0</v>
      </c>
      <c r="G79" s="413">
        <f t="shared" si="1"/>
        <v>0</v>
      </c>
      <c r="H79" s="413">
        <f t="shared" si="1"/>
        <v>0</v>
      </c>
      <c r="I79" s="413">
        <f t="shared" si="1"/>
        <v>0</v>
      </c>
      <c r="J79" s="413">
        <f t="shared" si="1"/>
        <v>0</v>
      </c>
      <c r="K79" s="413">
        <f t="shared" si="1"/>
        <v>0</v>
      </c>
      <c r="L79" s="413">
        <f t="shared" si="1"/>
        <v>0</v>
      </c>
      <c r="M79" s="413">
        <f t="shared" si="1"/>
        <v>0</v>
      </c>
      <c r="N79" s="413">
        <f t="shared" si="1"/>
        <v>0</v>
      </c>
      <c r="O79" s="200">
        <f>N78+($R79/$R77)</f>
        <v>2.0307692307692304E-2</v>
      </c>
      <c r="P79" s="200">
        <f>O79+($R79/$R77)</f>
        <v>2.1999999999999995E-2</v>
      </c>
      <c r="Q79" s="200">
        <f>P79+($R79/$R77)</f>
        <v>2.3692307692307686E-2</v>
      </c>
      <c r="R79" s="200">
        <f>D71</f>
        <v>2.5384615384615387E-2</v>
      </c>
    </row>
    <row r="80" spans="1:18">
      <c r="O80" s="413">
        <f>$C79+($C79*(-O79))</f>
        <v>0</v>
      </c>
      <c r="P80" s="413">
        <f>$C79+($C79*(-P79))</f>
        <v>0</v>
      </c>
      <c r="Q80" s="413">
        <f>$C79+($C79*(-Q79))</f>
        <v>0</v>
      </c>
      <c r="R80" s="413">
        <f>$C79+($C79*(-R79))</f>
        <v>0</v>
      </c>
    </row>
    <row r="81" spans="1:3">
      <c r="B81" s="70"/>
    </row>
    <row r="83" spans="1:3">
      <c r="A83" s="53" t="s">
        <v>50</v>
      </c>
      <c r="B83" s="427" t="s">
        <v>2010</v>
      </c>
      <c r="C83" s="139">
        <f>SUM(D80:R80)</f>
        <v>0</v>
      </c>
    </row>
    <row r="84" spans="1:3">
      <c r="A84" s="53"/>
      <c r="B84" s="53"/>
      <c r="C84" s="53"/>
    </row>
    <row r="85" spans="1:3">
      <c r="A85" s="53"/>
      <c r="B85" s="53"/>
      <c r="C85" s="53"/>
    </row>
    <row r="86" spans="1:3">
      <c r="A86" s="3" t="s">
        <v>70</v>
      </c>
      <c r="B86" s="34" t="s">
        <v>1957</v>
      </c>
      <c r="C86" s="415">
        <f>(C65-C83)</f>
        <v>0</v>
      </c>
    </row>
  </sheetData>
  <sheetProtection algorithmName="SHA-512" hashValue="Li+kiebOzViaFKFSSRFcaPdTnjNZvhA3IAVJCd+zQxJ65aZQkZouVudN107h8NI2x0oosS3HFSD5SPIB5ISsLQ==" saltValue="sx79H0glDH+8lJEaB85tXQ==" spinCount="100000" sheet="1" objects="1" scenarios="1"/>
  <mergeCells count="1">
    <mergeCell ref="B2:F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2:R130"/>
  <sheetViews>
    <sheetView topLeftCell="A106" zoomScaleNormal="100" workbookViewId="0">
      <selection activeCell="J33" sqref="J33"/>
    </sheetView>
  </sheetViews>
  <sheetFormatPr defaultColWidth="11.5703125" defaultRowHeight="12.75"/>
  <cols>
    <col min="1" max="1" width="8.28515625" style="3" customWidth="1"/>
    <col min="2" max="2" width="28.5703125" style="3" customWidth="1"/>
    <col min="3" max="3" width="18.28515625" style="3" customWidth="1"/>
    <col min="4" max="4" width="15.5703125" style="3" bestFit="1" customWidth="1"/>
    <col min="5" max="5" width="18.28515625" style="3" bestFit="1" customWidth="1"/>
    <col min="6" max="6" width="14.5703125" style="3" customWidth="1"/>
    <col min="7" max="7" width="16.7109375" style="3" bestFit="1" customWidth="1"/>
    <col min="8" max="8" width="18.28515625" style="3" bestFit="1" customWidth="1"/>
    <col min="9" max="9" width="21.42578125" style="3" customWidth="1"/>
    <col min="10" max="10" width="19.28515625" style="3" bestFit="1" customWidth="1"/>
    <col min="11" max="11" width="12.7109375" style="3" bestFit="1" customWidth="1"/>
    <col min="12" max="12" width="16.28515625" style="3" customWidth="1"/>
    <col min="13" max="13" width="26.7109375" style="3" bestFit="1" customWidth="1"/>
    <col min="14" max="14" width="12.7109375" style="3" customWidth="1"/>
    <col min="15" max="15" width="15.7109375" style="3" customWidth="1"/>
    <col min="16" max="18" width="12.7109375" style="3" bestFit="1" customWidth="1"/>
    <col min="19" max="19" width="15.28515625" style="3" customWidth="1"/>
    <col min="20" max="16384" width="11.5703125" style="3"/>
  </cols>
  <sheetData>
    <row r="2" spans="1:10" ht="24.4" customHeight="1">
      <c r="B2" s="1179" t="s">
        <v>2462</v>
      </c>
      <c r="C2" s="1179"/>
      <c r="D2" s="1179"/>
      <c r="E2" s="1179"/>
      <c r="F2" s="1179"/>
      <c r="G2" s="1179"/>
      <c r="H2" s="1179"/>
      <c r="I2" s="1179"/>
    </row>
    <row r="3" spans="1:10">
      <c r="J3" s="457"/>
    </row>
    <row r="4" spans="1:10">
      <c r="B4" s="4" t="s">
        <v>2163</v>
      </c>
      <c r="J4" s="457"/>
    </row>
    <row r="5" spans="1:10">
      <c r="J5" s="457"/>
    </row>
    <row r="6" spans="1:10">
      <c r="A6" s="53" t="s">
        <v>197</v>
      </c>
      <c r="B6" s="4" t="s">
        <v>1763</v>
      </c>
      <c r="J6" s="457"/>
    </row>
    <row r="7" spans="1:10">
      <c r="A7" s="53"/>
      <c r="B7" s="4"/>
      <c r="J7" s="457"/>
    </row>
    <row r="8" spans="1:10">
      <c r="A8" s="53"/>
      <c r="B8" s="6" t="s">
        <v>66</v>
      </c>
      <c r="C8" s="44" t="str">
        <f>'A. Dades de partida'!D7</f>
        <v>Vilalba Sasserra</v>
      </c>
      <c r="J8" s="457"/>
    </row>
    <row r="9" spans="1:10">
      <c r="A9" s="53"/>
      <c r="B9" s="6" t="s">
        <v>1760</v>
      </c>
      <c r="C9" s="24">
        <f>'A. Dades de partida'!D8</f>
        <v>8306</v>
      </c>
      <c r="J9" s="457"/>
    </row>
    <row r="10" spans="1:10">
      <c r="A10" s="53"/>
      <c r="B10" s="6" t="s">
        <v>153</v>
      </c>
      <c r="C10" s="44" t="str">
        <f>'A. Dades de partida'!D24</f>
        <v>Vallès Oriental</v>
      </c>
      <c r="J10" s="457"/>
    </row>
    <row r="11" spans="1:10">
      <c r="A11" s="53"/>
      <c r="B11" s="6" t="s">
        <v>1761</v>
      </c>
      <c r="C11" s="24" t="str">
        <f>'A. Dades de partida'!D25</f>
        <v>41</v>
      </c>
      <c r="J11" s="457"/>
    </row>
    <row r="12" spans="1:10">
      <c r="A12" s="53"/>
      <c r="B12" s="6" t="s">
        <v>135</v>
      </c>
      <c r="C12" s="24">
        <f>'A. Dades de partida'!D10</f>
        <v>15</v>
      </c>
      <c r="J12" s="457"/>
    </row>
    <row r="13" spans="1:10">
      <c r="A13" s="53"/>
      <c r="B13" s="6" t="s">
        <v>124</v>
      </c>
      <c r="C13" s="24">
        <f>'A. Dades de partida'!D11</f>
        <v>0</v>
      </c>
      <c r="J13" s="457"/>
    </row>
    <row r="14" spans="1:10">
      <c r="A14" s="53"/>
      <c r="B14" s="6" t="s">
        <v>125</v>
      </c>
      <c r="C14" s="24">
        <f>'A. Dades de partida'!D12</f>
        <v>15</v>
      </c>
      <c r="J14" s="457"/>
    </row>
    <row r="15" spans="1:10">
      <c r="A15" s="53"/>
      <c r="B15" s="6" t="s">
        <v>1769</v>
      </c>
      <c r="C15" s="79">
        <f>'A. Dades de partida'!D14</f>
        <v>684</v>
      </c>
      <c r="J15" s="457"/>
    </row>
    <row r="16" spans="1:10">
      <c r="A16" s="53"/>
      <c r="B16" s="6" t="s">
        <v>1771</v>
      </c>
      <c r="C16" s="79">
        <f>'A. Dades de partida'!D15</f>
        <v>587</v>
      </c>
    </row>
    <row r="17" spans="1:5">
      <c r="A17" s="53"/>
      <c r="B17" s="6" t="s">
        <v>1768</v>
      </c>
      <c r="C17" s="79">
        <f>'A. Dades de partida'!D18</f>
        <v>889241.73</v>
      </c>
    </row>
    <row r="18" spans="1:5">
      <c r="A18" s="53"/>
      <c r="B18" s="53"/>
      <c r="C18" s="53"/>
      <c r="D18" s="53"/>
      <c r="E18" s="53"/>
    </row>
    <row r="21" spans="1:5">
      <c r="A21" s="53" t="s">
        <v>41</v>
      </c>
      <c r="B21" s="70" t="s">
        <v>2353</v>
      </c>
      <c r="C21" s="53"/>
      <c r="D21" s="53"/>
    </row>
    <row r="22" spans="1:5">
      <c r="A22" s="53"/>
      <c r="B22" s="138" t="s">
        <v>2141</v>
      </c>
      <c r="C22" s="53"/>
      <c r="D22" s="53"/>
    </row>
    <row r="23" spans="1:5">
      <c r="A23" s="53"/>
      <c r="B23" s="138"/>
      <c r="C23" s="53"/>
      <c r="D23" s="53"/>
    </row>
    <row r="24" spans="1:5">
      <c r="A24" s="53"/>
      <c r="B24" s="4"/>
    </row>
    <row r="25" spans="1:5" ht="38.25">
      <c r="A25" s="53"/>
      <c r="B25" s="141" t="s">
        <v>2020</v>
      </c>
      <c r="C25" s="141" t="s">
        <v>2354</v>
      </c>
    </row>
    <row r="26" spans="1:5">
      <c r="A26" s="53"/>
      <c r="B26" s="428" t="s">
        <v>206</v>
      </c>
      <c r="C26" s="721">
        <f>'A. Dades de partida'!D91</f>
        <v>996553</v>
      </c>
    </row>
    <row r="27" spans="1:5">
      <c r="A27" s="53"/>
      <c r="B27" s="428" t="s">
        <v>2021</v>
      </c>
      <c r="C27" s="721">
        <f>'A. Dades de partida'!D92</f>
        <v>148034</v>
      </c>
    </row>
    <row r="28" spans="1:5">
      <c r="A28" s="53"/>
      <c r="B28" s="428" t="s">
        <v>1824</v>
      </c>
      <c r="C28" s="721">
        <f>'A. Dades de partida'!D93</f>
        <v>711080.3310683294</v>
      </c>
    </row>
    <row r="29" spans="1:5">
      <c r="A29" s="53"/>
      <c r="B29" s="428" t="s">
        <v>1825</v>
      </c>
      <c r="C29" s="721">
        <f>'A. Dades de partida'!D94</f>
        <v>19757.454172014688</v>
      </c>
    </row>
    <row r="30" spans="1:5">
      <c r="A30" s="53"/>
      <c r="B30" s="429" t="s">
        <v>38</v>
      </c>
      <c r="C30" s="430">
        <f>SUM(C26:C29)</f>
        <v>1875424.7852403442</v>
      </c>
    </row>
    <row r="31" spans="1:5">
      <c r="A31" s="53"/>
      <c r="B31" s="469"/>
      <c r="C31" s="53"/>
      <c r="D31" s="53"/>
    </row>
    <row r="32" spans="1:5">
      <c r="A32" s="53"/>
      <c r="B32" s="70"/>
      <c r="C32" s="53"/>
      <c r="D32" s="53"/>
    </row>
    <row r="33" spans="2:11">
      <c r="B33" s="4" t="s">
        <v>210</v>
      </c>
    </row>
    <row r="34" spans="2:11">
      <c r="B34" s="138" t="s">
        <v>1999</v>
      </c>
      <c r="I34" s="4"/>
    </row>
    <row r="35" spans="2:11">
      <c r="B35" s="138" t="s">
        <v>2487</v>
      </c>
      <c r="I35" s="4"/>
    </row>
    <row r="37" spans="2:11">
      <c r="C37" s="6" t="s">
        <v>2143</v>
      </c>
    </row>
    <row r="38" spans="2:11">
      <c r="B38" s="6" t="s">
        <v>206</v>
      </c>
      <c r="C38" s="619">
        <v>0.21</v>
      </c>
    </row>
    <row r="39" spans="2:11">
      <c r="B39" s="6" t="s">
        <v>207</v>
      </c>
      <c r="C39" s="91">
        <v>0.06</v>
      </c>
    </row>
    <row r="40" spans="2:11">
      <c r="B40" s="24" t="s">
        <v>1824</v>
      </c>
      <c r="C40" s="91">
        <v>0.08</v>
      </c>
    </row>
    <row r="41" spans="2:11">
      <c r="B41" s="24" t="s">
        <v>1825</v>
      </c>
      <c r="C41" s="91">
        <v>0.10100000000000001</v>
      </c>
    </row>
    <row r="42" spans="2:11">
      <c r="B42" s="469" t="s">
        <v>2634</v>
      </c>
    </row>
    <row r="44" spans="2:11">
      <c r="B44" s="4" t="s">
        <v>2382</v>
      </c>
      <c r="I44" s="464"/>
      <c r="J44" s="468"/>
      <c r="K44" s="468"/>
    </row>
    <row r="45" spans="2:11">
      <c r="B45" s="12"/>
      <c r="I45" s="464"/>
      <c r="J45" s="468"/>
      <c r="K45" s="468"/>
    </row>
    <row r="46" spans="2:11">
      <c r="B46" s="6" t="s">
        <v>19</v>
      </c>
      <c r="C46" s="59" t="s">
        <v>208</v>
      </c>
      <c r="I46" s="464"/>
      <c r="J46" s="468"/>
      <c r="K46" s="468"/>
    </row>
    <row r="47" spans="2:11">
      <c r="B47" s="6" t="s">
        <v>206</v>
      </c>
      <c r="C47" s="115">
        <f>$C38*C26</f>
        <v>209276.13</v>
      </c>
      <c r="I47" s="464"/>
      <c r="J47" s="468"/>
      <c r="K47" s="468"/>
    </row>
    <row r="48" spans="2:11">
      <c r="B48" s="6" t="s">
        <v>207</v>
      </c>
      <c r="C48" s="115">
        <f>$C39*C27</f>
        <v>8882.0399999999991</v>
      </c>
      <c r="I48" s="464"/>
      <c r="J48" s="468"/>
      <c r="K48" s="468"/>
    </row>
    <row r="49" spans="1:11">
      <c r="B49" s="6" t="s">
        <v>1824</v>
      </c>
      <c r="C49" s="115">
        <f>$C40*C28</f>
        <v>56886.426485466356</v>
      </c>
      <c r="I49" s="464"/>
      <c r="J49" s="468"/>
      <c r="K49" s="468"/>
    </row>
    <row r="50" spans="1:11">
      <c r="B50" s="6" t="s">
        <v>1825</v>
      </c>
      <c r="C50" s="115">
        <f>$C41*C29</f>
        <v>1995.5028713734837</v>
      </c>
      <c r="I50" s="464"/>
      <c r="J50" s="468"/>
      <c r="K50" s="468"/>
    </row>
    <row r="51" spans="1:11">
      <c r="B51" s="34" t="s">
        <v>38</v>
      </c>
      <c r="C51" s="76">
        <f>SUM(C47:C50)</f>
        <v>277040.09935683984</v>
      </c>
      <c r="I51" s="464"/>
      <c r="J51" s="468"/>
      <c r="K51" s="468"/>
    </row>
    <row r="52" spans="1:11">
      <c r="I52" s="464"/>
      <c r="J52" s="468"/>
      <c r="K52" s="468"/>
    </row>
    <row r="53" spans="1:11">
      <c r="I53" s="468"/>
      <c r="J53" s="468"/>
      <c r="K53" s="468"/>
    </row>
    <row r="54" spans="1:11">
      <c r="A54" s="3" t="s">
        <v>47</v>
      </c>
      <c r="B54" s="4" t="s">
        <v>223</v>
      </c>
    </row>
    <row r="55" spans="1:11">
      <c r="J55" s="433"/>
      <c r="K55" s="433"/>
    </row>
    <row r="56" spans="1:11">
      <c r="B56" s="34" t="s">
        <v>2035</v>
      </c>
      <c r="C56" s="358">
        <f>SUM(C51)</f>
        <v>277040.09935683984</v>
      </c>
      <c r="J56" s="433"/>
      <c r="K56" s="433"/>
    </row>
    <row r="57" spans="1:11">
      <c r="B57" s="4"/>
    </row>
    <row r="59" spans="1:11">
      <c r="B59" s="4"/>
    </row>
    <row r="60" spans="1:11" ht="25.5">
      <c r="A60" s="53" t="s">
        <v>48</v>
      </c>
      <c r="B60" s="372" t="s">
        <v>2013</v>
      </c>
      <c r="C60" s="353">
        <f>(C56*C12)/1000000</f>
        <v>4.1556014903525975</v>
      </c>
    </row>
    <row r="61" spans="1:11">
      <c r="A61" s="53"/>
      <c r="B61" s="5" t="s">
        <v>2216</v>
      </c>
    </row>
    <row r="62" spans="1:11">
      <c r="B62" s="4"/>
    </row>
    <row r="63" spans="1:11">
      <c r="B63" s="4"/>
    </row>
    <row r="64" spans="1:11">
      <c r="A64" s="3" t="s">
        <v>44</v>
      </c>
      <c r="B64" s="4" t="s">
        <v>218</v>
      </c>
    </row>
    <row r="65" spans="2:14">
      <c r="B65" s="3" t="s">
        <v>221</v>
      </c>
    </row>
    <row r="66" spans="2:14">
      <c r="B66" s="3" t="s">
        <v>220</v>
      </c>
    </row>
    <row r="67" spans="2:14">
      <c r="B67" s="111" t="s">
        <v>196</v>
      </c>
    </row>
    <row r="68" spans="2:14">
      <c r="B68" s="98" t="s">
        <v>222</v>
      </c>
    </row>
    <row r="69" spans="2:14">
      <c r="B69" s="98"/>
    </row>
    <row r="70" spans="2:14">
      <c r="B70" s="728" t="s">
        <v>2488</v>
      </c>
    </row>
    <row r="71" spans="2:14">
      <c r="B71" s="728" t="s">
        <v>2489</v>
      </c>
    </row>
    <row r="72" spans="2:14">
      <c r="B72" s="98"/>
    </row>
    <row r="73" spans="2:14">
      <c r="B73" s="587" t="s">
        <v>2343</v>
      </c>
    </row>
    <row r="74" spans="2:14" s="53" customFormat="1">
      <c r="B74" s="569"/>
      <c r="C74" s="24">
        <v>1</v>
      </c>
      <c r="D74" s="24">
        <v>2</v>
      </c>
      <c r="E74" s="24">
        <v>3</v>
      </c>
      <c r="F74" s="24">
        <v>4</v>
      </c>
      <c r="G74" s="24">
        <v>5</v>
      </c>
      <c r="H74" s="24">
        <v>6</v>
      </c>
      <c r="I74" s="24">
        <v>7</v>
      </c>
      <c r="J74" s="24">
        <v>8</v>
      </c>
      <c r="K74" s="24">
        <v>9</v>
      </c>
      <c r="L74" s="24">
        <v>10</v>
      </c>
      <c r="M74" s="24">
        <v>11</v>
      </c>
      <c r="N74" s="24">
        <v>12</v>
      </c>
    </row>
    <row r="75" spans="2:14" s="53" customFormat="1">
      <c r="B75" s="569" t="s">
        <v>564</v>
      </c>
      <c r="C75" s="24" t="s">
        <v>80</v>
      </c>
      <c r="D75" s="24" t="s">
        <v>81</v>
      </c>
      <c r="E75" s="24" t="s">
        <v>82</v>
      </c>
      <c r="F75" s="24" t="s">
        <v>90</v>
      </c>
      <c r="G75" s="24" t="s">
        <v>83</v>
      </c>
      <c r="H75" s="24" t="s">
        <v>84</v>
      </c>
      <c r="I75" s="24" t="s">
        <v>85</v>
      </c>
      <c r="J75" s="24" t="s">
        <v>86</v>
      </c>
      <c r="K75" s="24" t="s">
        <v>87</v>
      </c>
      <c r="L75" s="24" t="s">
        <v>88</v>
      </c>
      <c r="M75" s="24" t="s">
        <v>89</v>
      </c>
      <c r="N75" s="24" t="s">
        <v>24</v>
      </c>
    </row>
    <row r="76" spans="2:14" s="53" customFormat="1">
      <c r="B76" s="569" t="s">
        <v>2290</v>
      </c>
      <c r="C76" s="66">
        <v>0.56000000000000005</v>
      </c>
      <c r="D76" s="66">
        <v>0</v>
      </c>
      <c r="E76" s="66">
        <v>0.14000000000000001</v>
      </c>
      <c r="F76" s="66">
        <v>0.9</v>
      </c>
      <c r="G76" s="66">
        <v>1</v>
      </c>
      <c r="H76" s="66">
        <v>0</v>
      </c>
      <c r="I76" s="66">
        <v>1</v>
      </c>
      <c r="J76" s="66">
        <v>0.97</v>
      </c>
      <c r="K76" s="62"/>
      <c r="L76" s="66">
        <v>0</v>
      </c>
      <c r="M76" s="66">
        <v>0.61</v>
      </c>
      <c r="N76" s="66">
        <v>0.6</v>
      </c>
    </row>
    <row r="77" spans="2:14" s="53" customFormat="1">
      <c r="B77" s="569" t="s">
        <v>2291</v>
      </c>
      <c r="C77" s="66">
        <v>0.04</v>
      </c>
      <c r="D77" s="66">
        <v>0.45</v>
      </c>
      <c r="E77" s="66">
        <v>0.37</v>
      </c>
      <c r="F77" s="66">
        <v>0.1</v>
      </c>
      <c r="G77" s="66">
        <v>0</v>
      </c>
      <c r="H77" s="66">
        <v>0.4</v>
      </c>
      <c r="I77" s="66">
        <v>0</v>
      </c>
      <c r="J77" s="66">
        <v>0</v>
      </c>
      <c r="K77" s="62"/>
      <c r="L77" s="66">
        <v>0.71</v>
      </c>
      <c r="M77" s="66">
        <v>0.09</v>
      </c>
      <c r="N77" s="66">
        <v>0.09</v>
      </c>
    </row>
    <row r="78" spans="2:14" s="53" customFormat="1">
      <c r="B78" s="569" t="s">
        <v>2292</v>
      </c>
      <c r="C78" s="66">
        <v>0.41</v>
      </c>
      <c r="D78" s="66">
        <v>0.52</v>
      </c>
      <c r="E78" s="66">
        <v>0.46</v>
      </c>
      <c r="F78" s="66">
        <v>0</v>
      </c>
      <c r="G78" s="66">
        <v>0</v>
      </c>
      <c r="H78" s="66">
        <v>0</v>
      </c>
      <c r="I78" s="66">
        <v>0</v>
      </c>
      <c r="J78" s="66">
        <v>0.03</v>
      </c>
      <c r="K78" s="62"/>
      <c r="L78" s="66">
        <v>0.04</v>
      </c>
      <c r="M78" s="66">
        <v>0.3</v>
      </c>
      <c r="N78" s="66">
        <v>0.26</v>
      </c>
    </row>
    <row r="79" spans="2:14" s="53" customFormat="1">
      <c r="B79" s="569" t="s">
        <v>2293</v>
      </c>
      <c r="C79" s="66">
        <v>0</v>
      </c>
      <c r="D79" s="66">
        <v>0.03</v>
      </c>
      <c r="E79" s="66">
        <v>0.03</v>
      </c>
      <c r="F79" s="66">
        <v>0</v>
      </c>
      <c r="G79" s="66">
        <v>0</v>
      </c>
      <c r="H79" s="66">
        <v>0.6</v>
      </c>
      <c r="I79" s="66">
        <v>0</v>
      </c>
      <c r="J79" s="66">
        <v>0</v>
      </c>
      <c r="K79" s="62"/>
      <c r="L79" s="66">
        <v>0.25</v>
      </c>
      <c r="M79" s="66">
        <v>0</v>
      </c>
      <c r="N79" s="66">
        <v>0.05</v>
      </c>
    </row>
    <row r="80" spans="2:14">
      <c r="B80" s="98"/>
    </row>
    <row r="81" spans="2:17">
      <c r="B81" s="98"/>
    </row>
    <row r="82" spans="2:17">
      <c r="B82" s="98"/>
    </row>
    <row r="83" spans="2:17">
      <c r="B83" s="372" t="s">
        <v>1762</v>
      </c>
      <c r="C83" s="6">
        <v>1</v>
      </c>
      <c r="D83" s="6">
        <v>2</v>
      </c>
      <c r="E83" s="6">
        <v>3</v>
      </c>
      <c r="F83" s="6">
        <v>4</v>
      </c>
      <c r="G83" s="6">
        <v>5</v>
      </c>
      <c r="H83" s="6">
        <v>6</v>
      </c>
      <c r="I83" s="6">
        <v>7</v>
      </c>
      <c r="J83" s="6">
        <v>8</v>
      </c>
      <c r="K83" s="6">
        <v>9</v>
      </c>
      <c r="L83" s="6">
        <v>10</v>
      </c>
      <c r="M83" s="6">
        <v>11</v>
      </c>
      <c r="N83" s="6">
        <v>12</v>
      </c>
    </row>
    <row r="84" spans="2:17">
      <c r="B84" s="372" t="s">
        <v>153</v>
      </c>
      <c r="C84" s="499" t="s">
        <v>80</v>
      </c>
      <c r="D84" s="499" t="s">
        <v>81</v>
      </c>
      <c r="E84" s="499" t="s">
        <v>82</v>
      </c>
      <c r="F84" s="499" t="s">
        <v>90</v>
      </c>
      <c r="G84" s="499" t="s">
        <v>83</v>
      </c>
      <c r="H84" s="499" t="s">
        <v>84</v>
      </c>
      <c r="I84" s="499" t="s">
        <v>85</v>
      </c>
      <c r="J84" s="499" t="s">
        <v>86</v>
      </c>
      <c r="K84" s="499" t="s">
        <v>87</v>
      </c>
      <c r="L84" s="499" t="s">
        <v>88</v>
      </c>
      <c r="M84" s="499" t="s">
        <v>89</v>
      </c>
      <c r="N84" s="499" t="s">
        <v>24</v>
      </c>
    </row>
    <row r="85" spans="2:17">
      <c r="B85" s="372" t="s">
        <v>2218</v>
      </c>
      <c r="C85" s="585" t="s">
        <v>2290</v>
      </c>
      <c r="D85" s="586" t="s">
        <v>2292</v>
      </c>
      <c r="E85" s="586" t="s">
        <v>2292</v>
      </c>
      <c r="F85" s="586" t="s">
        <v>2290</v>
      </c>
      <c r="G85" s="586" t="s">
        <v>2290</v>
      </c>
      <c r="H85" s="586" t="s">
        <v>2291</v>
      </c>
      <c r="I85" s="586" t="s">
        <v>2290</v>
      </c>
      <c r="J85" s="586" t="s">
        <v>2290</v>
      </c>
      <c r="K85" s="586" t="s">
        <v>2291</v>
      </c>
      <c r="L85" s="586" t="s">
        <v>2291</v>
      </c>
      <c r="M85" s="586" t="s">
        <v>2290</v>
      </c>
      <c r="N85" s="586" t="s">
        <v>2290</v>
      </c>
    </row>
    <row r="86" spans="2:17" ht="25.5">
      <c r="B86" s="372" t="s">
        <v>2219</v>
      </c>
      <c r="C86" s="580">
        <v>0.65</v>
      </c>
      <c r="D86" s="580">
        <v>0.71</v>
      </c>
      <c r="E86" s="581">
        <f>D86</f>
        <v>0.71</v>
      </c>
      <c r="F86" s="581">
        <f>C86</f>
        <v>0.65</v>
      </c>
      <c r="G86" s="581">
        <f>F86</f>
        <v>0.65</v>
      </c>
      <c r="H86" s="582">
        <v>0.72</v>
      </c>
      <c r="I86" s="581">
        <f>G86</f>
        <v>0.65</v>
      </c>
      <c r="J86" s="581">
        <f>I86</f>
        <v>0.65</v>
      </c>
      <c r="K86" s="581">
        <f>H86</f>
        <v>0.72</v>
      </c>
      <c r="L86" s="581">
        <f>K86</f>
        <v>0.72</v>
      </c>
      <c r="M86" s="581">
        <f>C86</f>
        <v>0.65</v>
      </c>
      <c r="N86" s="581">
        <f>C86</f>
        <v>0.65</v>
      </c>
    </row>
    <row r="87" spans="2:17" ht="25.5">
      <c r="B87" s="372" t="s">
        <v>2220</v>
      </c>
      <c r="C87" s="580">
        <v>0.02</v>
      </c>
      <c r="D87" s="580">
        <v>0.01</v>
      </c>
      <c r="E87" s="581">
        <f>D87</f>
        <v>0.01</v>
      </c>
      <c r="F87" s="581">
        <f>C87</f>
        <v>0.02</v>
      </c>
      <c r="G87" s="581">
        <f>F87</f>
        <v>0.02</v>
      </c>
      <c r="H87" s="582">
        <v>0.01</v>
      </c>
      <c r="I87" s="581">
        <f>G87</f>
        <v>0.02</v>
      </c>
      <c r="J87" s="581">
        <f>I87</f>
        <v>0.02</v>
      </c>
      <c r="K87" s="581">
        <f>H87</f>
        <v>0.01</v>
      </c>
      <c r="L87" s="581">
        <f>K87</f>
        <v>0.01</v>
      </c>
      <c r="M87" s="581">
        <f>C87</f>
        <v>0.02</v>
      </c>
      <c r="N87" s="581">
        <f>C87</f>
        <v>0.02</v>
      </c>
    </row>
    <row r="88" spans="2:17">
      <c r="B88" s="546" t="s">
        <v>2221</v>
      </c>
      <c r="C88" s="642">
        <v>1</v>
      </c>
      <c r="D88" s="642">
        <v>0.8</v>
      </c>
      <c r="E88" s="581">
        <f>D88</f>
        <v>0.8</v>
      </c>
      <c r="F88" s="581">
        <f>C88</f>
        <v>1</v>
      </c>
      <c r="G88" s="581">
        <f>F88</f>
        <v>1</v>
      </c>
      <c r="H88" s="643">
        <v>0.8</v>
      </c>
      <c r="I88" s="581">
        <f>G88</f>
        <v>1</v>
      </c>
      <c r="J88" s="581">
        <f>I88</f>
        <v>1</v>
      </c>
      <c r="K88" s="581">
        <f>H88</f>
        <v>0.8</v>
      </c>
      <c r="L88" s="581">
        <f>K88</f>
        <v>0.8</v>
      </c>
      <c r="M88" s="581">
        <f>C88</f>
        <v>1</v>
      </c>
      <c r="N88" s="581">
        <f>C88</f>
        <v>1</v>
      </c>
    </row>
    <row r="89" spans="2:17">
      <c r="B89" s="546" t="s">
        <v>2222</v>
      </c>
      <c r="C89" s="642">
        <v>3</v>
      </c>
      <c r="D89" s="642">
        <v>2.5</v>
      </c>
      <c r="E89" s="581">
        <f>D89</f>
        <v>2.5</v>
      </c>
      <c r="F89" s="581">
        <f>C89</f>
        <v>3</v>
      </c>
      <c r="G89" s="581">
        <f>F89</f>
        <v>3</v>
      </c>
      <c r="H89" s="643">
        <v>2.5</v>
      </c>
      <c r="I89" s="581">
        <f>G89</f>
        <v>3</v>
      </c>
      <c r="J89" s="581">
        <f>I89</f>
        <v>3</v>
      </c>
      <c r="K89" s="581">
        <f>H89</f>
        <v>2.5</v>
      </c>
      <c r="L89" s="581">
        <f>K89</f>
        <v>2.5</v>
      </c>
      <c r="M89" s="581">
        <f>C89</f>
        <v>3</v>
      </c>
      <c r="N89" s="581">
        <f>C89</f>
        <v>3</v>
      </c>
    </row>
    <row r="90" spans="2:17" s="53" customFormat="1">
      <c r="B90" s="568"/>
      <c r="C90" s="22"/>
      <c r="D90" s="22"/>
      <c r="E90" s="22"/>
      <c r="F90" s="22"/>
      <c r="G90" s="22"/>
      <c r="H90" s="22"/>
      <c r="I90" s="22"/>
      <c r="J90" s="22"/>
      <c r="K90" s="22"/>
      <c r="L90" s="22"/>
      <c r="M90" s="22"/>
      <c r="N90" s="22"/>
    </row>
    <row r="91" spans="2:17" s="53" customFormat="1">
      <c r="B91" s="568"/>
      <c r="C91" s="22"/>
      <c r="D91" s="22"/>
      <c r="E91" s="22"/>
      <c r="F91" s="22"/>
      <c r="G91" s="22"/>
      <c r="H91" s="22"/>
      <c r="I91" s="22"/>
      <c r="J91" s="22"/>
      <c r="K91" s="22"/>
      <c r="L91" s="22"/>
      <c r="M91" s="22"/>
      <c r="N91" s="22"/>
    </row>
    <row r="92" spans="2:17" s="53" customFormat="1" ht="15">
      <c r="B92" s="587" t="s">
        <v>495</v>
      </c>
      <c r="C92" s="3"/>
      <c r="D92" s="3"/>
      <c r="E92" s="3"/>
      <c r="F92" s="3"/>
      <c r="G92" s="3"/>
      <c r="H92" s="3"/>
      <c r="I92" s="3"/>
      <c r="J92" t="s">
        <v>2309</v>
      </c>
      <c r="K92"/>
      <c r="L92"/>
      <c r="M92"/>
      <c r="N92" t="s">
        <v>2310</v>
      </c>
      <c r="O92"/>
      <c r="P92"/>
      <c r="Q92"/>
    </row>
    <row r="93" spans="2:17" s="53" customFormat="1" ht="15">
      <c r="B93" s="119"/>
      <c r="C93" s="6">
        <v>2015</v>
      </c>
      <c r="D93" s="6">
        <v>2030</v>
      </c>
      <c r="E93" s="6">
        <v>2100</v>
      </c>
      <c r="F93" s="6"/>
      <c r="G93" s="3"/>
      <c r="H93" s="3"/>
      <c r="I93" s="3"/>
      <c r="J93" s="1" t="s">
        <v>2304</v>
      </c>
      <c r="K93" s="1" t="s">
        <v>2305</v>
      </c>
      <c r="L93"/>
      <c r="M93"/>
      <c r="N93" s="1" t="s">
        <v>2304</v>
      </c>
      <c r="O93" s="1" t="s">
        <v>2305</v>
      </c>
      <c r="P93"/>
      <c r="Q93"/>
    </row>
    <row r="94" spans="2:17" s="53" customFormat="1" ht="15">
      <c r="B94" s="119" t="s">
        <v>219</v>
      </c>
      <c r="C94" s="6">
        <v>0</v>
      </c>
      <c r="D94" s="35">
        <f>(E94-C94)/(E93-C93)*(D93-C93)+C94</f>
        <v>17.647058823529413</v>
      </c>
      <c r="E94" s="590">
        <v>100</v>
      </c>
      <c r="F94" s="6" t="s">
        <v>99</v>
      </c>
      <c r="G94" s="3"/>
      <c r="H94" s="3"/>
      <c r="I94" s="6" t="s">
        <v>2290</v>
      </c>
      <c r="J94" s="583">
        <v>1</v>
      </c>
      <c r="K94" s="584">
        <v>0.17649999999999999</v>
      </c>
      <c r="L94"/>
      <c r="M94" s="6" t="s">
        <v>2290</v>
      </c>
      <c r="N94" s="583">
        <v>3</v>
      </c>
      <c r="O94" s="584">
        <v>0.52939999999999998</v>
      </c>
      <c r="P94"/>
      <c r="Q94"/>
    </row>
    <row r="95" spans="2:17" s="53" customFormat="1" ht="15">
      <c r="B95" s="119" t="s">
        <v>2217</v>
      </c>
      <c r="C95" s="6">
        <v>0</v>
      </c>
      <c r="D95" s="35">
        <f>(E95-C95)/(E93-C93)*(D93-C93)+C95</f>
        <v>52.941176470588232</v>
      </c>
      <c r="E95" s="590">
        <v>300</v>
      </c>
      <c r="F95" s="6" t="s">
        <v>99</v>
      </c>
      <c r="G95" s="3"/>
      <c r="H95" s="3"/>
      <c r="I95" s="6" t="s">
        <v>2306</v>
      </c>
      <c r="J95" s="583">
        <v>0.8</v>
      </c>
      <c r="K95" s="584">
        <v>0.14119999999999999</v>
      </c>
      <c r="L95"/>
      <c r="M95" s="6" t="s">
        <v>2306</v>
      </c>
      <c r="N95" s="583">
        <v>2.5</v>
      </c>
      <c r="O95" s="584">
        <v>0.44119999999999998</v>
      </c>
      <c r="P95"/>
      <c r="Q95"/>
    </row>
    <row r="96" spans="2:17" s="53" customFormat="1" ht="15">
      <c r="B96" s="568"/>
      <c r="C96" s="22"/>
      <c r="D96" s="22"/>
      <c r="E96" s="22"/>
      <c r="F96" s="22"/>
      <c r="G96" s="22"/>
      <c r="H96" s="22"/>
      <c r="I96" s="22"/>
      <c r="J96" s="22"/>
      <c r="K96" s="22"/>
      <c r="L96" s="22"/>
      <c r="M96" s="22"/>
      <c r="N96" s="22"/>
      <c r="O96"/>
      <c r="P96"/>
      <c r="Q96"/>
    </row>
    <row r="97" spans="1:18" s="53" customFormat="1" ht="15">
      <c r="B97" s="568"/>
      <c r="C97" s="22"/>
      <c r="D97" s="22"/>
      <c r="E97" s="22"/>
      <c r="F97" s="22"/>
      <c r="G97" s="22"/>
      <c r="H97" s="22"/>
      <c r="I97" s="22"/>
      <c r="J97" s="22"/>
      <c r="K97" s="22"/>
      <c r="L97" s="22"/>
      <c r="M97" s="22"/>
      <c r="N97" s="22"/>
      <c r="O97"/>
      <c r="P97"/>
      <c r="Q97"/>
    </row>
    <row r="98" spans="1:18" s="53" customFormat="1" ht="15">
      <c r="B98" s="618" t="s">
        <v>2344</v>
      </c>
      <c r="C98" t="s">
        <v>2308</v>
      </c>
      <c r="D98" s="22"/>
      <c r="E98" s="22"/>
      <c r="F98" s="22"/>
      <c r="G98" s="22"/>
      <c r="H98" s="22"/>
      <c r="I98" s="22"/>
      <c r="J98" s="22"/>
      <c r="K98" s="22"/>
      <c r="L98" s="22"/>
      <c r="M98" s="22"/>
      <c r="N98" s="22"/>
      <c r="O98"/>
      <c r="P98"/>
      <c r="Q98"/>
    </row>
    <row r="99" spans="1:18" s="53" customFormat="1" ht="15">
      <c r="B99" s="372" t="s">
        <v>1762</v>
      </c>
      <c r="C99" s="6">
        <v>1</v>
      </c>
      <c r="D99" s="6">
        <v>2</v>
      </c>
      <c r="E99" s="6">
        <v>3</v>
      </c>
      <c r="F99" s="6">
        <v>4</v>
      </c>
      <c r="G99" s="6">
        <v>5</v>
      </c>
      <c r="H99" s="6">
        <v>6</v>
      </c>
      <c r="I99" s="6">
        <v>7</v>
      </c>
      <c r="J99" s="6">
        <v>8</v>
      </c>
      <c r="K99" s="6">
        <v>9</v>
      </c>
      <c r="L99" s="6">
        <v>10</v>
      </c>
      <c r="M99" s="6">
        <v>11</v>
      </c>
      <c r="N99" s="6">
        <v>12</v>
      </c>
      <c r="O99"/>
      <c r="P99"/>
      <c r="Q99"/>
    </row>
    <row r="100" spans="1:18" s="53" customFormat="1" ht="15">
      <c r="B100" s="372" t="s">
        <v>153</v>
      </c>
      <c r="C100" s="571" t="s">
        <v>80</v>
      </c>
      <c r="D100" s="571" t="s">
        <v>81</v>
      </c>
      <c r="E100" s="571" t="s">
        <v>82</v>
      </c>
      <c r="F100" s="571" t="s">
        <v>90</v>
      </c>
      <c r="G100" s="571" t="s">
        <v>83</v>
      </c>
      <c r="H100" s="571" t="s">
        <v>84</v>
      </c>
      <c r="I100" s="571" t="s">
        <v>85</v>
      </c>
      <c r="J100" s="571" t="s">
        <v>86</v>
      </c>
      <c r="K100" s="571" t="s">
        <v>87</v>
      </c>
      <c r="L100" s="571" t="s">
        <v>88</v>
      </c>
      <c r="M100" s="571" t="s">
        <v>89</v>
      </c>
      <c r="N100" s="571" t="s">
        <v>24</v>
      </c>
      <c r="O100"/>
      <c r="P100"/>
      <c r="Q100"/>
    </row>
    <row r="101" spans="1:18" ht="15">
      <c r="B101" s="372" t="s">
        <v>2218</v>
      </c>
      <c r="C101" s="576" t="s">
        <v>2290</v>
      </c>
      <c r="D101" s="577" t="s">
        <v>2292</v>
      </c>
      <c r="E101" s="577" t="s">
        <v>2292</v>
      </c>
      <c r="F101" s="577" t="s">
        <v>2290</v>
      </c>
      <c r="G101" s="577" t="s">
        <v>2290</v>
      </c>
      <c r="H101" s="577" t="s">
        <v>2291</v>
      </c>
      <c r="I101" s="577" t="s">
        <v>2290</v>
      </c>
      <c r="J101" s="577" t="s">
        <v>2290</v>
      </c>
      <c r="K101" s="577" t="s">
        <v>2291</v>
      </c>
      <c r="L101" s="577" t="s">
        <v>2291</v>
      </c>
      <c r="M101" s="577" t="s">
        <v>2290</v>
      </c>
      <c r="N101" s="577" t="s">
        <v>2290</v>
      </c>
      <c r="O101"/>
      <c r="P101"/>
      <c r="Q101"/>
    </row>
    <row r="102" spans="1:18" ht="15">
      <c r="B102" s="372" t="s">
        <v>2307</v>
      </c>
      <c r="C102" s="642">
        <v>0.11</v>
      </c>
      <c r="D102" s="642">
        <v>0.1</v>
      </c>
      <c r="E102" s="578">
        <f>D102</f>
        <v>0.1</v>
      </c>
      <c r="F102" s="578">
        <f>C102</f>
        <v>0.11</v>
      </c>
      <c r="G102" s="578">
        <f>F102</f>
        <v>0.11</v>
      </c>
      <c r="H102" s="643">
        <v>0.1</v>
      </c>
      <c r="I102" s="579">
        <f>G102</f>
        <v>0.11</v>
      </c>
      <c r="J102" s="579">
        <f>I102</f>
        <v>0.11</v>
      </c>
      <c r="K102" s="579">
        <f>H102</f>
        <v>0.1</v>
      </c>
      <c r="L102" s="579">
        <f>K102</f>
        <v>0.1</v>
      </c>
      <c r="M102" s="579">
        <f>C102</f>
        <v>0.11</v>
      </c>
      <c r="N102" s="579">
        <f>C102</f>
        <v>0.11</v>
      </c>
      <c r="P102"/>
      <c r="Q102"/>
    </row>
    <row r="104" spans="1:18">
      <c r="B104" s="4" t="s">
        <v>1997</v>
      </c>
    </row>
    <row r="105" spans="1:18">
      <c r="B105" s="138" t="s">
        <v>1998</v>
      </c>
    </row>
    <row r="106" spans="1:18">
      <c r="B106" s="118"/>
      <c r="C106" s="118"/>
      <c r="D106" s="118"/>
      <c r="E106" s="118"/>
      <c r="F106" s="118"/>
      <c r="G106" s="118"/>
    </row>
    <row r="108" spans="1:18">
      <c r="A108" s="53" t="s">
        <v>49</v>
      </c>
      <c r="B108" s="73" t="s">
        <v>1995</v>
      </c>
    </row>
    <row r="109" spans="1:18">
      <c r="A109" s="53"/>
      <c r="B109" s="73"/>
    </row>
    <row r="110" spans="1:18">
      <c r="A110" s="53"/>
      <c r="B110" s="172"/>
    </row>
    <row r="111" spans="1:18">
      <c r="A111" s="53"/>
      <c r="C111" s="6">
        <v>0</v>
      </c>
      <c r="D111" s="6">
        <v>1</v>
      </c>
      <c r="E111" s="6">
        <v>2</v>
      </c>
      <c r="F111" s="6">
        <v>3</v>
      </c>
      <c r="G111" s="6">
        <v>4</v>
      </c>
      <c r="H111" s="6">
        <v>5</v>
      </c>
      <c r="I111" s="6">
        <v>6</v>
      </c>
      <c r="J111" s="6">
        <v>7</v>
      </c>
      <c r="K111" s="6">
        <v>8</v>
      </c>
      <c r="L111" s="6">
        <v>9</v>
      </c>
      <c r="M111" s="6">
        <v>10</v>
      </c>
      <c r="N111" s="6">
        <v>11</v>
      </c>
      <c r="O111" s="6">
        <v>12</v>
      </c>
      <c r="P111" s="6">
        <v>13</v>
      </c>
      <c r="Q111" s="6">
        <v>14</v>
      </c>
      <c r="R111" s="6">
        <v>15</v>
      </c>
    </row>
    <row r="112" spans="1:18">
      <c r="A112" s="53"/>
      <c r="B112" s="95" t="s">
        <v>59</v>
      </c>
      <c r="C112" s="6">
        <f>C13</f>
        <v>0</v>
      </c>
      <c r="D112" s="6">
        <f>'A. Dades de partida'!$D$11+D111</f>
        <v>1</v>
      </c>
      <c r="E112" s="6">
        <f>'A. Dades de partida'!$D$11+E111</f>
        <v>2</v>
      </c>
      <c r="F112" s="6">
        <f>'A. Dades de partida'!$D$11+F111</f>
        <v>3</v>
      </c>
      <c r="G112" s="6">
        <f>'A. Dades de partida'!$D$11+G111</f>
        <v>4</v>
      </c>
      <c r="H112" s="6">
        <f>'A. Dades de partida'!$D$11+H111</f>
        <v>5</v>
      </c>
      <c r="I112" s="6">
        <f>'A. Dades de partida'!$D$11+I111</f>
        <v>6</v>
      </c>
      <c r="J112" s="6">
        <f>'A. Dades de partida'!$D$11+J111</f>
        <v>7</v>
      </c>
      <c r="K112" s="6">
        <f>'A. Dades de partida'!$D$11+K111</f>
        <v>8</v>
      </c>
      <c r="L112" s="6">
        <f>'A. Dades de partida'!$D$11+L111</f>
        <v>9</v>
      </c>
      <c r="M112" s="6">
        <f>'A. Dades de partida'!$D$11+M111</f>
        <v>10</v>
      </c>
      <c r="N112" s="6">
        <f>'A. Dades de partida'!$D$11+N111</f>
        <v>11</v>
      </c>
      <c r="O112" s="6">
        <f>'A. Dades de partida'!$D$11+O111</f>
        <v>12</v>
      </c>
      <c r="P112" s="6">
        <f>'A. Dades de partida'!$D$11+P111</f>
        <v>13</v>
      </c>
      <c r="Q112" s="6">
        <f>'A. Dades de partida'!$D$11+Q111</f>
        <v>14</v>
      </c>
      <c r="R112" s="6">
        <f>'A. Dades de partida'!$D$11+R111</f>
        <v>15</v>
      </c>
    </row>
    <row r="113" spans="1:18">
      <c r="A113" s="53"/>
      <c r="B113" s="95" t="s">
        <v>2034</v>
      </c>
      <c r="C113" s="200">
        <v>0</v>
      </c>
      <c r="D113" s="200" t="e">
        <f t="shared" ref="D113:Q113" si="0">(($R$113-$C$113)/$C$12)+C113</f>
        <v>#N/A</v>
      </c>
      <c r="E113" s="200" t="e">
        <f t="shared" si="0"/>
        <v>#N/A</v>
      </c>
      <c r="F113" s="200" t="e">
        <f t="shared" si="0"/>
        <v>#N/A</v>
      </c>
      <c r="G113" s="200" t="e">
        <f t="shared" si="0"/>
        <v>#N/A</v>
      </c>
      <c r="H113" s="200" t="e">
        <f t="shared" si="0"/>
        <v>#N/A</v>
      </c>
      <c r="I113" s="200" t="e">
        <f t="shared" si="0"/>
        <v>#N/A</v>
      </c>
      <c r="J113" s="200" t="e">
        <f t="shared" si="0"/>
        <v>#N/A</v>
      </c>
      <c r="K113" s="200" t="e">
        <f t="shared" si="0"/>
        <v>#N/A</v>
      </c>
      <c r="L113" s="200" t="e">
        <f t="shared" si="0"/>
        <v>#N/A</v>
      </c>
      <c r="M113" s="200" t="e">
        <f t="shared" si="0"/>
        <v>#N/A</v>
      </c>
      <c r="N113" s="200" t="e">
        <f t="shared" si="0"/>
        <v>#N/A</v>
      </c>
      <c r="O113" s="200" t="e">
        <f t="shared" si="0"/>
        <v>#N/A</v>
      </c>
      <c r="P113" s="200" t="e">
        <f t="shared" si="0"/>
        <v>#N/A</v>
      </c>
      <c r="Q113" s="200" t="e">
        <f t="shared" si="0"/>
        <v>#N/A</v>
      </c>
      <c r="R113" s="588" t="e">
        <f>HLOOKUP(C11,B99:N102,4,TRUE)</f>
        <v>#N/A</v>
      </c>
    </row>
    <row r="114" spans="1:18">
      <c r="B114" s="6" t="s">
        <v>2345</v>
      </c>
      <c r="C114" s="115">
        <f>(1-C113)*$C$26</f>
        <v>996553</v>
      </c>
      <c r="D114" s="115" t="e">
        <f t="shared" ref="D114:R114" si="1">(1-D113)*$C$26</f>
        <v>#N/A</v>
      </c>
      <c r="E114" s="115" t="e">
        <f t="shared" si="1"/>
        <v>#N/A</v>
      </c>
      <c r="F114" s="115" t="e">
        <f t="shared" si="1"/>
        <v>#N/A</v>
      </c>
      <c r="G114" s="115" t="e">
        <f t="shared" si="1"/>
        <v>#N/A</v>
      </c>
      <c r="H114" s="115" t="e">
        <f t="shared" si="1"/>
        <v>#N/A</v>
      </c>
      <c r="I114" s="115" t="e">
        <f t="shared" si="1"/>
        <v>#N/A</v>
      </c>
      <c r="J114" s="115" t="e">
        <f t="shared" si="1"/>
        <v>#N/A</v>
      </c>
      <c r="K114" s="115" t="e">
        <f t="shared" si="1"/>
        <v>#N/A</v>
      </c>
      <c r="L114" s="115" t="e">
        <f t="shared" si="1"/>
        <v>#N/A</v>
      </c>
      <c r="M114" s="115" t="e">
        <f t="shared" si="1"/>
        <v>#N/A</v>
      </c>
      <c r="N114" s="115" t="e">
        <f t="shared" si="1"/>
        <v>#N/A</v>
      </c>
      <c r="O114" s="115" t="e">
        <f t="shared" si="1"/>
        <v>#N/A</v>
      </c>
      <c r="P114" s="115" t="e">
        <f t="shared" si="1"/>
        <v>#N/A</v>
      </c>
      <c r="Q114" s="115" t="e">
        <f t="shared" si="1"/>
        <v>#N/A</v>
      </c>
      <c r="R114" s="115" t="e">
        <f t="shared" si="1"/>
        <v>#N/A</v>
      </c>
    </row>
    <row r="115" spans="1:18">
      <c r="B115" s="6" t="s">
        <v>2346</v>
      </c>
      <c r="C115" s="115">
        <f>(1-C113)*$C$27</f>
        <v>148034</v>
      </c>
      <c r="D115" s="115" t="e">
        <f t="shared" ref="D115:R115" si="2">(1-D113)*$C$27</f>
        <v>#N/A</v>
      </c>
      <c r="E115" s="115" t="e">
        <f t="shared" si="2"/>
        <v>#N/A</v>
      </c>
      <c r="F115" s="115" t="e">
        <f t="shared" si="2"/>
        <v>#N/A</v>
      </c>
      <c r="G115" s="115" t="e">
        <f t="shared" si="2"/>
        <v>#N/A</v>
      </c>
      <c r="H115" s="115" t="e">
        <f t="shared" si="2"/>
        <v>#N/A</v>
      </c>
      <c r="I115" s="115" t="e">
        <f t="shared" si="2"/>
        <v>#N/A</v>
      </c>
      <c r="J115" s="115" t="e">
        <f t="shared" si="2"/>
        <v>#N/A</v>
      </c>
      <c r="K115" s="115" t="e">
        <f t="shared" si="2"/>
        <v>#N/A</v>
      </c>
      <c r="L115" s="115" t="e">
        <f t="shared" si="2"/>
        <v>#N/A</v>
      </c>
      <c r="M115" s="115" t="e">
        <f t="shared" si="2"/>
        <v>#N/A</v>
      </c>
      <c r="N115" s="115" t="e">
        <f t="shared" si="2"/>
        <v>#N/A</v>
      </c>
      <c r="O115" s="115" t="e">
        <f t="shared" si="2"/>
        <v>#N/A</v>
      </c>
      <c r="P115" s="115" t="e">
        <f t="shared" si="2"/>
        <v>#N/A</v>
      </c>
      <c r="Q115" s="115" t="e">
        <f t="shared" si="2"/>
        <v>#N/A</v>
      </c>
      <c r="R115" s="115" t="e">
        <f t="shared" si="2"/>
        <v>#N/A</v>
      </c>
    </row>
    <row r="116" spans="1:18">
      <c r="B116" s="6" t="s">
        <v>2347</v>
      </c>
      <c r="C116" s="115">
        <f>(1-C113)*$C$28</f>
        <v>711080.3310683294</v>
      </c>
      <c r="D116" s="115" t="e">
        <f t="shared" ref="D116:R116" si="3">(1-D113)*$C$28</f>
        <v>#N/A</v>
      </c>
      <c r="E116" s="115" t="e">
        <f t="shared" si="3"/>
        <v>#N/A</v>
      </c>
      <c r="F116" s="115" t="e">
        <f t="shared" si="3"/>
        <v>#N/A</v>
      </c>
      <c r="G116" s="115" t="e">
        <f t="shared" si="3"/>
        <v>#N/A</v>
      </c>
      <c r="H116" s="115" t="e">
        <f t="shared" si="3"/>
        <v>#N/A</v>
      </c>
      <c r="I116" s="115" t="e">
        <f t="shared" si="3"/>
        <v>#N/A</v>
      </c>
      <c r="J116" s="115" t="e">
        <f t="shared" si="3"/>
        <v>#N/A</v>
      </c>
      <c r="K116" s="115" t="e">
        <f t="shared" si="3"/>
        <v>#N/A</v>
      </c>
      <c r="L116" s="115" t="e">
        <f t="shared" si="3"/>
        <v>#N/A</v>
      </c>
      <c r="M116" s="115" t="e">
        <f t="shared" si="3"/>
        <v>#N/A</v>
      </c>
      <c r="N116" s="115" t="e">
        <f t="shared" si="3"/>
        <v>#N/A</v>
      </c>
      <c r="O116" s="115" t="e">
        <f t="shared" si="3"/>
        <v>#N/A</v>
      </c>
      <c r="P116" s="115" t="e">
        <f t="shared" si="3"/>
        <v>#N/A</v>
      </c>
      <c r="Q116" s="115" t="e">
        <f t="shared" si="3"/>
        <v>#N/A</v>
      </c>
      <c r="R116" s="115" t="e">
        <f t="shared" si="3"/>
        <v>#N/A</v>
      </c>
    </row>
    <row r="117" spans="1:18">
      <c r="B117" s="6" t="s">
        <v>2348</v>
      </c>
      <c r="C117" s="115">
        <f>(1-C113)*$C$29</f>
        <v>19757.454172014688</v>
      </c>
      <c r="D117" s="115" t="e">
        <f t="shared" ref="D117:R117" si="4">(1-D113)*$C$29</f>
        <v>#N/A</v>
      </c>
      <c r="E117" s="115" t="e">
        <f t="shared" si="4"/>
        <v>#N/A</v>
      </c>
      <c r="F117" s="115" t="e">
        <f t="shared" si="4"/>
        <v>#N/A</v>
      </c>
      <c r="G117" s="115" t="e">
        <f t="shared" si="4"/>
        <v>#N/A</v>
      </c>
      <c r="H117" s="115" t="e">
        <f t="shared" si="4"/>
        <v>#N/A</v>
      </c>
      <c r="I117" s="115" t="e">
        <f t="shared" si="4"/>
        <v>#N/A</v>
      </c>
      <c r="J117" s="115" t="e">
        <f t="shared" si="4"/>
        <v>#N/A</v>
      </c>
      <c r="K117" s="115" t="e">
        <f t="shared" si="4"/>
        <v>#N/A</v>
      </c>
      <c r="L117" s="115" t="e">
        <f t="shared" si="4"/>
        <v>#N/A</v>
      </c>
      <c r="M117" s="115" t="e">
        <f t="shared" si="4"/>
        <v>#N/A</v>
      </c>
      <c r="N117" s="115" t="e">
        <f t="shared" si="4"/>
        <v>#N/A</v>
      </c>
      <c r="O117" s="115" t="e">
        <f t="shared" si="4"/>
        <v>#N/A</v>
      </c>
      <c r="P117" s="115" t="e">
        <f t="shared" si="4"/>
        <v>#N/A</v>
      </c>
      <c r="Q117" s="115" t="e">
        <f t="shared" si="4"/>
        <v>#N/A</v>
      </c>
      <c r="R117" s="115" t="e">
        <f t="shared" si="4"/>
        <v>#N/A</v>
      </c>
    </row>
    <row r="118" spans="1:18">
      <c r="B118" s="6" t="s">
        <v>2349</v>
      </c>
      <c r="C118" s="115">
        <f>C114*$C$38</f>
        <v>209276.13</v>
      </c>
      <c r="D118" s="115" t="e">
        <f t="shared" ref="D118:R118" si="5">D114*$C$38</f>
        <v>#N/A</v>
      </c>
      <c r="E118" s="115" t="e">
        <f t="shared" si="5"/>
        <v>#N/A</v>
      </c>
      <c r="F118" s="115" t="e">
        <f t="shared" si="5"/>
        <v>#N/A</v>
      </c>
      <c r="G118" s="115" t="e">
        <f t="shared" si="5"/>
        <v>#N/A</v>
      </c>
      <c r="H118" s="115" t="e">
        <f t="shared" si="5"/>
        <v>#N/A</v>
      </c>
      <c r="I118" s="115" t="e">
        <f t="shared" si="5"/>
        <v>#N/A</v>
      </c>
      <c r="J118" s="115" t="e">
        <f t="shared" si="5"/>
        <v>#N/A</v>
      </c>
      <c r="K118" s="115" t="e">
        <f t="shared" si="5"/>
        <v>#N/A</v>
      </c>
      <c r="L118" s="115" t="e">
        <f t="shared" si="5"/>
        <v>#N/A</v>
      </c>
      <c r="M118" s="115" t="e">
        <f t="shared" si="5"/>
        <v>#N/A</v>
      </c>
      <c r="N118" s="115" t="e">
        <f t="shared" si="5"/>
        <v>#N/A</v>
      </c>
      <c r="O118" s="115" t="e">
        <f t="shared" si="5"/>
        <v>#N/A</v>
      </c>
      <c r="P118" s="115" t="e">
        <f t="shared" si="5"/>
        <v>#N/A</v>
      </c>
      <c r="Q118" s="115" t="e">
        <f t="shared" si="5"/>
        <v>#N/A</v>
      </c>
      <c r="R118" s="115" t="e">
        <f t="shared" si="5"/>
        <v>#N/A</v>
      </c>
    </row>
    <row r="119" spans="1:18">
      <c r="B119" s="6" t="s">
        <v>2350</v>
      </c>
      <c r="C119" s="115">
        <f>C115*$C$39</f>
        <v>8882.0399999999991</v>
      </c>
      <c r="D119" s="115" t="e">
        <f t="shared" ref="D119:R119" si="6">D115*$C$39</f>
        <v>#N/A</v>
      </c>
      <c r="E119" s="115" t="e">
        <f t="shared" si="6"/>
        <v>#N/A</v>
      </c>
      <c r="F119" s="115" t="e">
        <f t="shared" si="6"/>
        <v>#N/A</v>
      </c>
      <c r="G119" s="115" t="e">
        <f t="shared" si="6"/>
        <v>#N/A</v>
      </c>
      <c r="H119" s="115" t="e">
        <f t="shared" si="6"/>
        <v>#N/A</v>
      </c>
      <c r="I119" s="115" t="e">
        <f t="shared" si="6"/>
        <v>#N/A</v>
      </c>
      <c r="J119" s="115" t="e">
        <f t="shared" si="6"/>
        <v>#N/A</v>
      </c>
      <c r="K119" s="115" t="e">
        <f t="shared" si="6"/>
        <v>#N/A</v>
      </c>
      <c r="L119" s="115" t="e">
        <f t="shared" si="6"/>
        <v>#N/A</v>
      </c>
      <c r="M119" s="115" t="e">
        <f t="shared" si="6"/>
        <v>#N/A</v>
      </c>
      <c r="N119" s="115" t="e">
        <f t="shared" si="6"/>
        <v>#N/A</v>
      </c>
      <c r="O119" s="115" t="e">
        <f t="shared" si="6"/>
        <v>#N/A</v>
      </c>
      <c r="P119" s="115" t="e">
        <f t="shared" si="6"/>
        <v>#N/A</v>
      </c>
      <c r="Q119" s="115" t="e">
        <f t="shared" si="6"/>
        <v>#N/A</v>
      </c>
      <c r="R119" s="115" t="e">
        <f t="shared" si="6"/>
        <v>#N/A</v>
      </c>
    </row>
    <row r="120" spans="1:18">
      <c r="B120" s="6" t="s">
        <v>2351</v>
      </c>
      <c r="C120" s="115">
        <f>C116*$C$40</f>
        <v>56886.426485466356</v>
      </c>
      <c r="D120" s="115" t="e">
        <f t="shared" ref="D120:R120" si="7">D116*$C$40</f>
        <v>#N/A</v>
      </c>
      <c r="E120" s="115" t="e">
        <f t="shared" si="7"/>
        <v>#N/A</v>
      </c>
      <c r="F120" s="115" t="e">
        <f t="shared" si="7"/>
        <v>#N/A</v>
      </c>
      <c r="G120" s="115" t="e">
        <f t="shared" si="7"/>
        <v>#N/A</v>
      </c>
      <c r="H120" s="115" t="e">
        <f t="shared" si="7"/>
        <v>#N/A</v>
      </c>
      <c r="I120" s="115" t="e">
        <f t="shared" si="7"/>
        <v>#N/A</v>
      </c>
      <c r="J120" s="115" t="e">
        <f t="shared" si="7"/>
        <v>#N/A</v>
      </c>
      <c r="K120" s="115" t="e">
        <f t="shared" si="7"/>
        <v>#N/A</v>
      </c>
      <c r="L120" s="115" t="e">
        <f t="shared" si="7"/>
        <v>#N/A</v>
      </c>
      <c r="M120" s="115" t="e">
        <f t="shared" si="7"/>
        <v>#N/A</v>
      </c>
      <c r="N120" s="115" t="e">
        <f t="shared" si="7"/>
        <v>#N/A</v>
      </c>
      <c r="O120" s="115" t="e">
        <f t="shared" si="7"/>
        <v>#N/A</v>
      </c>
      <c r="P120" s="115" t="e">
        <f t="shared" si="7"/>
        <v>#N/A</v>
      </c>
      <c r="Q120" s="115" t="e">
        <f t="shared" si="7"/>
        <v>#N/A</v>
      </c>
      <c r="R120" s="115" t="e">
        <f t="shared" si="7"/>
        <v>#N/A</v>
      </c>
    </row>
    <row r="121" spans="1:18">
      <c r="B121" s="6" t="s">
        <v>2352</v>
      </c>
      <c r="C121" s="115">
        <f>C117*$C$41</f>
        <v>1995.5028713734837</v>
      </c>
      <c r="D121" s="115" t="e">
        <f t="shared" ref="D121:R121" si="8">D117*$C$41</f>
        <v>#N/A</v>
      </c>
      <c r="E121" s="115" t="e">
        <f t="shared" si="8"/>
        <v>#N/A</v>
      </c>
      <c r="F121" s="115" t="e">
        <f t="shared" si="8"/>
        <v>#N/A</v>
      </c>
      <c r="G121" s="115" t="e">
        <f t="shared" si="8"/>
        <v>#N/A</v>
      </c>
      <c r="H121" s="115" t="e">
        <f t="shared" si="8"/>
        <v>#N/A</v>
      </c>
      <c r="I121" s="115" t="e">
        <f t="shared" si="8"/>
        <v>#N/A</v>
      </c>
      <c r="J121" s="115" t="e">
        <f t="shared" si="8"/>
        <v>#N/A</v>
      </c>
      <c r="K121" s="115" t="e">
        <f t="shared" si="8"/>
        <v>#N/A</v>
      </c>
      <c r="L121" s="115" t="e">
        <f t="shared" si="8"/>
        <v>#N/A</v>
      </c>
      <c r="M121" s="115" t="e">
        <f t="shared" si="8"/>
        <v>#N/A</v>
      </c>
      <c r="N121" s="115" t="e">
        <f t="shared" si="8"/>
        <v>#N/A</v>
      </c>
      <c r="O121" s="115" t="e">
        <f t="shared" si="8"/>
        <v>#N/A</v>
      </c>
      <c r="P121" s="115" t="e">
        <f t="shared" si="8"/>
        <v>#N/A</v>
      </c>
      <c r="Q121" s="115" t="e">
        <f t="shared" si="8"/>
        <v>#N/A</v>
      </c>
      <c r="R121" s="115" t="e">
        <f t="shared" si="8"/>
        <v>#N/A</v>
      </c>
    </row>
    <row r="122" spans="1:18">
      <c r="B122" s="34" t="s">
        <v>1996</v>
      </c>
      <c r="C122" s="76">
        <f>(1-C113)*$C$51</f>
        <v>277040.09935683984</v>
      </c>
      <c r="D122" s="76" t="e">
        <f>SUM(D118:D121)</f>
        <v>#N/A</v>
      </c>
      <c r="E122" s="76" t="e">
        <f t="shared" ref="E122:R122" si="9">SUM(E118:E121)</f>
        <v>#N/A</v>
      </c>
      <c r="F122" s="76" t="e">
        <f t="shared" si="9"/>
        <v>#N/A</v>
      </c>
      <c r="G122" s="76" t="e">
        <f t="shared" si="9"/>
        <v>#N/A</v>
      </c>
      <c r="H122" s="76" t="e">
        <f t="shared" si="9"/>
        <v>#N/A</v>
      </c>
      <c r="I122" s="76" t="e">
        <f t="shared" si="9"/>
        <v>#N/A</v>
      </c>
      <c r="J122" s="76" t="e">
        <f t="shared" si="9"/>
        <v>#N/A</v>
      </c>
      <c r="K122" s="76" t="e">
        <f t="shared" si="9"/>
        <v>#N/A</v>
      </c>
      <c r="L122" s="76" t="e">
        <f t="shared" si="9"/>
        <v>#N/A</v>
      </c>
      <c r="M122" s="76" t="e">
        <f t="shared" si="9"/>
        <v>#N/A</v>
      </c>
      <c r="N122" s="76" t="e">
        <f t="shared" si="9"/>
        <v>#N/A</v>
      </c>
      <c r="O122" s="76" t="e">
        <f t="shared" si="9"/>
        <v>#N/A</v>
      </c>
      <c r="P122" s="76" t="e">
        <f t="shared" si="9"/>
        <v>#N/A</v>
      </c>
      <c r="Q122" s="76" t="e">
        <f t="shared" si="9"/>
        <v>#N/A</v>
      </c>
      <c r="R122" s="76" t="e">
        <f t="shared" si="9"/>
        <v>#N/A</v>
      </c>
    </row>
    <row r="123" spans="1:18">
      <c r="B123" s="3" t="s">
        <v>2635</v>
      </c>
    </row>
    <row r="127" spans="1:18">
      <c r="A127" s="53" t="s">
        <v>50</v>
      </c>
      <c r="B127" s="89" t="s">
        <v>2008</v>
      </c>
      <c r="C127" s="353" t="e">
        <f>(SUM(D122:R122)/1000000)</f>
        <v>#N/A</v>
      </c>
    </row>
    <row r="128" spans="1:18">
      <c r="A128" s="53"/>
      <c r="B128" s="53"/>
      <c r="C128" s="53"/>
    </row>
    <row r="129" spans="1:3">
      <c r="A129" s="53"/>
      <c r="B129" s="53"/>
      <c r="C129" s="53"/>
    </row>
    <row r="130" spans="1:3">
      <c r="A130" s="3" t="s">
        <v>70</v>
      </c>
      <c r="B130" s="34" t="s">
        <v>1957</v>
      </c>
      <c r="C130" s="74" t="e">
        <f>C127-C60</f>
        <v>#N/A</v>
      </c>
    </row>
  </sheetData>
  <mergeCells count="1">
    <mergeCell ref="B2:I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2:AK72"/>
  <sheetViews>
    <sheetView zoomScaleNormal="100" workbookViewId="0">
      <selection activeCell="I31" sqref="I31"/>
    </sheetView>
  </sheetViews>
  <sheetFormatPr defaultColWidth="11.5703125" defaultRowHeight="12.75"/>
  <cols>
    <col min="1" max="1" width="8.28515625" style="3" customWidth="1"/>
    <col min="2" max="2" width="29.28515625" style="3" customWidth="1"/>
    <col min="3" max="3" width="14.28515625" style="3" customWidth="1"/>
    <col min="4" max="13" width="11.5703125" style="3"/>
    <col min="14" max="14" width="12.5703125" style="3" bestFit="1" customWidth="1"/>
    <col min="15" max="16384" width="11.5703125" style="3"/>
  </cols>
  <sheetData>
    <row r="2" spans="1:18" ht="27" customHeight="1">
      <c r="B2" s="1172" t="s">
        <v>2458</v>
      </c>
      <c r="C2" s="1172"/>
      <c r="D2" s="1172"/>
      <c r="E2" s="1172"/>
      <c r="F2" s="1172"/>
      <c r="G2" s="1172"/>
      <c r="H2" s="1172"/>
      <c r="I2" s="1172"/>
      <c r="J2" s="1172"/>
    </row>
    <row r="3" spans="1:18">
      <c r="B3" s="4" t="s">
        <v>2439</v>
      </c>
    </row>
    <row r="5" spans="1:18">
      <c r="A5" s="3" t="s">
        <v>41</v>
      </c>
      <c r="B5" s="4" t="s">
        <v>74</v>
      </c>
    </row>
    <row r="6" spans="1:18">
      <c r="B6" s="5" t="s">
        <v>2440</v>
      </c>
    </row>
    <row r="8" spans="1:18">
      <c r="B8" s="8"/>
    </row>
    <row r="9" spans="1:18">
      <c r="B9" s="48" t="s">
        <v>26</v>
      </c>
      <c r="C9" s="59" t="s">
        <v>99</v>
      </c>
      <c r="D9" s="46" t="s">
        <v>35</v>
      </c>
      <c r="F9" s="101" t="s">
        <v>2457</v>
      </c>
      <c r="G9" s="101"/>
      <c r="H9" s="101"/>
      <c r="I9" s="101"/>
      <c r="J9" s="101"/>
      <c r="K9" s="101"/>
      <c r="L9" s="101"/>
      <c r="M9" s="101"/>
      <c r="N9" s="101"/>
      <c r="O9" s="101"/>
      <c r="P9" s="101"/>
      <c r="Q9" s="101"/>
      <c r="R9" s="101"/>
    </row>
    <row r="10" spans="1:18">
      <c r="B10" s="24" t="s">
        <v>27</v>
      </c>
      <c r="C10" s="75">
        <f>'A. Dades de partida'!D43</f>
        <v>3.6614258022830064E-3</v>
      </c>
      <c r="D10" s="445">
        <f>C10*$D$14</f>
        <v>6.9136657544523888E-2</v>
      </c>
    </row>
    <row r="11" spans="1:18">
      <c r="B11" s="24" t="s">
        <v>28</v>
      </c>
      <c r="C11" s="75">
        <f>'A. Dades de partida'!E43</f>
        <v>0.38823840385330799</v>
      </c>
      <c r="D11" s="445">
        <f>C11*$D$14</f>
        <v>7.3308888455700103</v>
      </c>
      <c r="F11" s="3" t="s">
        <v>494</v>
      </c>
    </row>
    <row r="12" spans="1:18">
      <c r="B12" s="24" t="s">
        <v>29</v>
      </c>
      <c r="C12" s="75">
        <f>'A. Dades de partida'!F43</f>
        <v>4.5405595911734181E-2</v>
      </c>
      <c r="D12" s="445">
        <f>C12*$D$14</f>
        <v>0.85736849650134173</v>
      </c>
      <c r="G12" s="658" t="s">
        <v>80</v>
      </c>
      <c r="H12" s="658" t="s">
        <v>81</v>
      </c>
      <c r="I12" s="658" t="s">
        <v>82</v>
      </c>
      <c r="J12" s="658" t="s">
        <v>90</v>
      </c>
      <c r="K12" s="658" t="s">
        <v>83</v>
      </c>
      <c r="L12" s="658" t="s">
        <v>84</v>
      </c>
      <c r="M12" s="658" t="s">
        <v>85</v>
      </c>
      <c r="N12" s="658" t="s">
        <v>86</v>
      </c>
      <c r="O12" s="658" t="s">
        <v>87</v>
      </c>
      <c r="P12" s="658" t="s">
        <v>88</v>
      </c>
      <c r="Q12" s="658" t="s">
        <v>89</v>
      </c>
      <c r="R12" s="658" t="s">
        <v>24</v>
      </c>
    </row>
    <row r="13" spans="1:18">
      <c r="B13" s="706" t="s">
        <v>152</v>
      </c>
      <c r="C13" s="75">
        <f>100%-C10-C11-C12</f>
        <v>0.56269457443267479</v>
      </c>
      <c r="D13" s="445">
        <f>C13*$D$14</f>
        <v>10.625047234456149</v>
      </c>
      <c r="F13" s="24" t="s">
        <v>30</v>
      </c>
      <c r="G13" s="24"/>
      <c r="H13" s="24"/>
      <c r="I13" s="24"/>
      <c r="J13" s="24"/>
      <c r="K13" s="24"/>
      <c r="L13" s="24"/>
      <c r="M13" s="24"/>
      <c r="N13" s="24"/>
      <c r="O13" s="24"/>
      <c r="P13" s="24"/>
      <c r="Q13" s="24"/>
      <c r="R13" s="24"/>
    </row>
    <row r="14" spans="1:18">
      <c r="B14" s="34" t="s">
        <v>38</v>
      </c>
      <c r="C14" s="707">
        <f>SUM(C10:C13)</f>
        <v>1</v>
      </c>
      <c r="D14" s="708">
        <f>'A. Dades de partida'!H44</f>
        <v>18.882441234072026</v>
      </c>
      <c r="F14" s="24" t="s">
        <v>31</v>
      </c>
      <c r="G14" s="24"/>
      <c r="H14" s="24"/>
      <c r="I14" s="24"/>
      <c r="J14" s="24"/>
      <c r="K14" s="24"/>
      <c r="L14" s="24"/>
      <c r="M14" s="24"/>
      <c r="N14" s="24"/>
      <c r="O14" s="24"/>
      <c r="P14" s="24"/>
      <c r="Q14" s="24"/>
      <c r="R14" s="24"/>
    </row>
    <row r="15" spans="1:18">
      <c r="F15" s="24" t="s">
        <v>32</v>
      </c>
      <c r="G15" s="24"/>
      <c r="H15" s="24"/>
      <c r="I15" s="24"/>
      <c r="J15" s="24"/>
      <c r="K15" s="24"/>
      <c r="L15" s="24"/>
      <c r="M15" s="24"/>
      <c r="N15" s="24"/>
      <c r="O15" s="24"/>
      <c r="P15" s="24"/>
      <c r="Q15" s="24"/>
      <c r="R15" s="24"/>
    </row>
    <row r="16" spans="1:18">
      <c r="F16" s="24" t="s">
        <v>2442</v>
      </c>
      <c r="G16" s="24"/>
      <c r="H16" s="24"/>
      <c r="I16" s="24"/>
      <c r="J16" s="24"/>
      <c r="K16" s="24"/>
      <c r="L16" s="24"/>
      <c r="M16" s="24"/>
      <c r="N16" s="24"/>
      <c r="O16" s="24"/>
      <c r="P16" s="24"/>
      <c r="Q16" s="24"/>
      <c r="R16" s="24"/>
    </row>
    <row r="17" spans="1:18">
      <c r="B17" s="48" t="s">
        <v>26</v>
      </c>
      <c r="C17" s="59" t="s">
        <v>99</v>
      </c>
      <c r="D17" s="46" t="s">
        <v>35</v>
      </c>
      <c r="F17" s="24" t="s">
        <v>34</v>
      </c>
      <c r="G17" s="24"/>
      <c r="H17" s="24"/>
      <c r="I17" s="24"/>
      <c r="J17" s="24"/>
      <c r="K17" s="24"/>
      <c r="L17" s="24"/>
      <c r="M17" s="24"/>
      <c r="N17" s="24"/>
      <c r="O17" s="24"/>
      <c r="P17" s="24"/>
      <c r="Q17" s="24"/>
      <c r="R17" s="24"/>
    </row>
    <row r="18" spans="1:18">
      <c r="B18" s="24" t="s">
        <v>27</v>
      </c>
      <c r="C18" s="709">
        <v>3.6614258022830064E-3</v>
      </c>
      <c r="D18" s="524">
        <f>C18*$D$26</f>
        <v>6.9136657544523888E-2</v>
      </c>
    </row>
    <row r="19" spans="1:18">
      <c r="B19" s="24" t="s">
        <v>28</v>
      </c>
      <c r="C19" s="709">
        <v>0.26100000000000001</v>
      </c>
      <c r="D19" s="524">
        <f>C19*$D$26</f>
        <v>4.9283171620927986</v>
      </c>
      <c r="F19" s="3" t="s">
        <v>2441</v>
      </c>
    </row>
    <row r="20" spans="1:18">
      <c r="B20" s="24" t="s">
        <v>29</v>
      </c>
      <c r="C20" s="709">
        <v>3.4000000000000002E-2</v>
      </c>
      <c r="D20" s="524">
        <f t="shared" ref="D20:D25" si="0">C20*$D$26</f>
        <v>0.64200300195844895</v>
      </c>
      <c r="G20" s="658" t="s">
        <v>80</v>
      </c>
      <c r="H20" s="658" t="s">
        <v>81</v>
      </c>
      <c r="I20" s="658" t="s">
        <v>82</v>
      </c>
      <c r="J20" s="658" t="s">
        <v>90</v>
      </c>
      <c r="K20" s="658" t="s">
        <v>83</v>
      </c>
      <c r="L20" s="658" t="s">
        <v>84</v>
      </c>
      <c r="M20" s="658" t="s">
        <v>85</v>
      </c>
      <c r="N20" s="658" t="s">
        <v>86</v>
      </c>
      <c r="O20" s="658" t="s">
        <v>87</v>
      </c>
      <c r="P20" s="658" t="s">
        <v>88</v>
      </c>
      <c r="Q20" s="658" t="s">
        <v>89</v>
      </c>
      <c r="R20" s="658" t="s">
        <v>24</v>
      </c>
    </row>
    <row r="21" spans="1:18">
      <c r="B21" s="24" t="s">
        <v>30</v>
      </c>
      <c r="C21" s="710">
        <v>0.20601214890192618</v>
      </c>
      <c r="D21" s="524">
        <f t="shared" si="0"/>
        <v>3.8900122951455169</v>
      </c>
      <c r="F21" s="24" t="s">
        <v>30</v>
      </c>
      <c r="G21" s="24"/>
      <c r="H21" s="24"/>
      <c r="I21" s="24"/>
      <c r="J21" s="24"/>
      <c r="K21" s="24"/>
      <c r="L21" s="24"/>
      <c r="M21" s="24"/>
      <c r="N21" s="24"/>
      <c r="O21" s="24"/>
      <c r="P21" s="24"/>
      <c r="Q21" s="24"/>
      <c r="R21" s="24"/>
    </row>
    <row r="22" spans="1:18">
      <c r="B22" s="24" t="s">
        <v>31</v>
      </c>
      <c r="C22" s="710">
        <v>3.2604745340325009E-2</v>
      </c>
      <c r="D22" s="524">
        <f t="shared" si="0"/>
        <v>0.61565718784057066</v>
      </c>
      <c r="F22" s="24" t="s">
        <v>31</v>
      </c>
      <c r="G22" s="24"/>
      <c r="H22" s="24"/>
      <c r="I22" s="24"/>
      <c r="J22" s="24"/>
      <c r="K22" s="24"/>
      <c r="L22" s="24"/>
      <c r="M22" s="24"/>
      <c r="N22" s="24"/>
      <c r="O22" s="24"/>
      <c r="P22" s="24"/>
      <c r="Q22" s="24"/>
      <c r="R22" s="24"/>
    </row>
    <row r="23" spans="1:18">
      <c r="B23" s="24" t="s">
        <v>32</v>
      </c>
      <c r="C23" s="710">
        <v>5.1710710762681064E-2</v>
      </c>
      <c r="D23" s="524">
        <f t="shared" si="0"/>
        <v>0.97642445714842097</v>
      </c>
      <c r="F23" s="24" t="s">
        <v>32</v>
      </c>
      <c r="G23" s="24"/>
      <c r="H23" s="24"/>
      <c r="I23" s="24"/>
      <c r="J23" s="24"/>
      <c r="K23" s="24"/>
      <c r="L23" s="24"/>
      <c r="M23" s="24"/>
      <c r="N23" s="24"/>
      <c r="O23" s="24"/>
      <c r="P23" s="24"/>
      <c r="Q23" s="24"/>
      <c r="R23" s="24"/>
    </row>
    <row r="24" spans="1:18">
      <c r="B24" s="24" t="s">
        <v>2442</v>
      </c>
      <c r="C24" s="710">
        <v>0.22501427755568246</v>
      </c>
      <c r="D24" s="524">
        <f t="shared" si="0"/>
        <v>4.2488188727723459</v>
      </c>
      <c r="F24" s="24" t="s">
        <v>2442</v>
      </c>
      <c r="G24" s="24"/>
      <c r="H24" s="24"/>
      <c r="I24" s="24"/>
      <c r="J24" s="24"/>
      <c r="K24" s="24"/>
      <c r="L24" s="24"/>
      <c r="M24" s="24"/>
      <c r="N24" s="24"/>
      <c r="O24" s="24"/>
      <c r="P24" s="24"/>
      <c r="Q24" s="24"/>
      <c r="R24" s="24"/>
    </row>
    <row r="25" spans="1:18">
      <c r="B25" s="24" t="s">
        <v>34</v>
      </c>
      <c r="C25" s="710">
        <f>100%-SUM(C18:C24)</f>
        <v>0.1859966916371022</v>
      </c>
      <c r="D25" s="524">
        <f t="shared" si="0"/>
        <v>3.5120715995693979</v>
      </c>
      <c r="F25" s="24" t="s">
        <v>34</v>
      </c>
      <c r="G25" s="24"/>
      <c r="H25" s="24"/>
      <c r="I25" s="24"/>
      <c r="J25" s="24"/>
      <c r="K25" s="24"/>
      <c r="L25" s="24"/>
      <c r="M25" s="24"/>
      <c r="N25" s="24"/>
      <c r="O25" s="24"/>
      <c r="P25" s="24"/>
      <c r="Q25" s="24"/>
      <c r="R25" s="24"/>
    </row>
    <row r="26" spans="1:18">
      <c r="B26" s="48" t="s">
        <v>38</v>
      </c>
      <c r="C26" s="711">
        <f>SUM(C18:C25)</f>
        <v>1</v>
      </c>
      <c r="D26" s="720">
        <f>D14</f>
        <v>18.882441234072026</v>
      </c>
    </row>
    <row r="27" spans="1:18">
      <c r="B27" s="12" t="s">
        <v>2443</v>
      </c>
    </row>
    <row r="29" spans="1:18">
      <c r="A29" s="3" t="s">
        <v>42</v>
      </c>
      <c r="B29" s="70" t="s">
        <v>75</v>
      </c>
    </row>
    <row r="31" spans="1:18" ht="38.25">
      <c r="B31" s="6" t="s">
        <v>26</v>
      </c>
      <c r="C31" s="37" t="s">
        <v>36</v>
      </c>
      <c r="D31" s="6" t="s">
        <v>2444</v>
      </c>
    </row>
    <row r="32" spans="1:18">
      <c r="B32" s="6" t="s">
        <v>27</v>
      </c>
      <c r="C32" s="65">
        <v>-0.29399999999999998</v>
      </c>
      <c r="D32" s="35">
        <f t="shared" ref="D32:D39" si="1">-C32*D18</f>
        <v>2.032617731809002E-2</v>
      </c>
    </row>
    <row r="33" spans="1:37">
      <c r="B33" s="6" t="s">
        <v>28</v>
      </c>
      <c r="C33" s="65">
        <v>-7.4999999999999997E-2</v>
      </c>
      <c r="D33" s="35">
        <f t="shared" si="1"/>
        <v>0.36962378715695987</v>
      </c>
    </row>
    <row r="34" spans="1:37">
      <c r="B34" s="6" t="s">
        <v>29</v>
      </c>
      <c r="C34" s="65">
        <v>-5.7000000000000002E-2</v>
      </c>
      <c r="D34" s="35">
        <f t="shared" si="1"/>
        <v>3.6594171111631595E-2</v>
      </c>
    </row>
    <row r="35" spans="1:37">
      <c r="B35" s="6" t="s">
        <v>30</v>
      </c>
      <c r="C35" s="65">
        <v>-6.8000000000000005E-2</v>
      </c>
      <c r="D35" s="35">
        <f t="shared" si="1"/>
        <v>0.26452083606989518</v>
      </c>
    </row>
    <row r="36" spans="1:37">
      <c r="B36" s="6" t="s">
        <v>31</v>
      </c>
      <c r="C36" s="65">
        <v>-7.4999999999999997E-2</v>
      </c>
      <c r="D36" s="35">
        <f t="shared" si="1"/>
        <v>4.6174289088042796E-2</v>
      </c>
    </row>
    <row r="37" spans="1:37">
      <c r="B37" s="6" t="s">
        <v>32</v>
      </c>
      <c r="C37" s="65">
        <v>-6.8000000000000005E-2</v>
      </c>
      <c r="D37" s="35">
        <f t="shared" si="1"/>
        <v>6.6396863086092633E-2</v>
      </c>
    </row>
    <row r="38" spans="1:37">
      <c r="B38" s="6" t="s">
        <v>33</v>
      </c>
      <c r="C38" s="65">
        <v>-6.6000000000000003E-2</v>
      </c>
      <c r="D38" s="35">
        <f t="shared" si="1"/>
        <v>0.28042204560297485</v>
      </c>
    </row>
    <row r="39" spans="1:37">
      <c r="B39" s="6" t="s">
        <v>34</v>
      </c>
      <c r="C39" s="65">
        <v>-9.0999999999999998E-2</v>
      </c>
      <c r="D39" s="35">
        <f t="shared" si="1"/>
        <v>0.3195985155608152</v>
      </c>
    </row>
    <row r="40" spans="1:37">
      <c r="B40" s="34" t="s">
        <v>38</v>
      </c>
      <c r="C40" s="712">
        <v>-7.2999999999999995E-2</v>
      </c>
      <c r="D40" s="36">
        <v>152.57</v>
      </c>
    </row>
    <row r="43" spans="1:37">
      <c r="A43" s="3" t="s">
        <v>47</v>
      </c>
      <c r="B43" s="4" t="s">
        <v>2445</v>
      </c>
    </row>
    <row r="44" spans="1:37">
      <c r="B44" s="10" t="s">
        <v>2446</v>
      </c>
    </row>
    <row r="45" spans="1:37">
      <c r="B45" s="10" t="s">
        <v>2447</v>
      </c>
    </row>
    <row r="47" spans="1:37">
      <c r="B47" s="6" t="s">
        <v>59</v>
      </c>
      <c r="C47" s="6">
        <v>2016</v>
      </c>
      <c r="D47" s="6">
        <v>2017</v>
      </c>
      <c r="E47" s="6">
        <v>2018</v>
      </c>
      <c r="F47" s="6">
        <v>2019</v>
      </c>
      <c r="G47" s="6">
        <v>2020</v>
      </c>
      <c r="H47" s="6">
        <v>2021</v>
      </c>
      <c r="I47" s="6">
        <v>2022</v>
      </c>
      <c r="J47" s="6">
        <v>2023</v>
      </c>
      <c r="K47" s="6">
        <v>2024</v>
      </c>
      <c r="L47" s="6">
        <v>2025</v>
      </c>
      <c r="M47" s="6">
        <v>2026</v>
      </c>
      <c r="N47" s="6">
        <v>2027</v>
      </c>
      <c r="O47" s="6">
        <v>2028</v>
      </c>
      <c r="P47" s="6">
        <v>2029</v>
      </c>
      <c r="Q47" s="6">
        <v>2030</v>
      </c>
      <c r="S47" s="713"/>
      <c r="U47" s="713"/>
      <c r="V47" s="713"/>
      <c r="W47" s="713"/>
      <c r="X47" s="713"/>
      <c r="Y47" s="713"/>
      <c r="Z47" s="713"/>
      <c r="AA47" s="713"/>
      <c r="AB47" s="713"/>
      <c r="AC47" s="713"/>
      <c r="AD47" s="713"/>
      <c r="AE47" s="713"/>
      <c r="AF47" s="713"/>
      <c r="AG47" s="713"/>
      <c r="AH47" s="713"/>
      <c r="AI47" s="713"/>
      <c r="AJ47" s="713"/>
      <c r="AK47" s="713"/>
    </row>
    <row r="48" spans="1:37">
      <c r="B48" s="49" t="s">
        <v>2448</v>
      </c>
      <c r="C48" s="50">
        <f>1/30</f>
        <v>3.3333333333333333E-2</v>
      </c>
      <c r="D48" s="50">
        <f t="shared" ref="D48:P48" si="2">1/30</f>
        <v>3.3333333333333333E-2</v>
      </c>
      <c r="E48" s="50">
        <f t="shared" si="2"/>
        <v>3.3333333333333333E-2</v>
      </c>
      <c r="F48" s="50">
        <f t="shared" si="2"/>
        <v>3.3333333333333333E-2</v>
      </c>
      <c r="G48" s="50">
        <f t="shared" si="2"/>
        <v>3.3333333333333333E-2</v>
      </c>
      <c r="H48" s="50">
        <f t="shared" si="2"/>
        <v>3.3333333333333333E-2</v>
      </c>
      <c r="I48" s="50">
        <f t="shared" si="2"/>
        <v>3.3333333333333333E-2</v>
      </c>
      <c r="J48" s="50">
        <f t="shared" si="2"/>
        <v>3.3333333333333333E-2</v>
      </c>
      <c r="K48" s="50">
        <f t="shared" si="2"/>
        <v>3.3333333333333333E-2</v>
      </c>
      <c r="L48" s="50">
        <f t="shared" si="2"/>
        <v>3.3333333333333333E-2</v>
      </c>
      <c r="M48" s="50">
        <f t="shared" si="2"/>
        <v>3.3333333333333333E-2</v>
      </c>
      <c r="N48" s="50">
        <f t="shared" si="2"/>
        <v>3.3333333333333333E-2</v>
      </c>
      <c r="O48" s="50">
        <f t="shared" si="2"/>
        <v>3.3333333333333333E-2</v>
      </c>
      <c r="P48" s="50">
        <f t="shared" si="2"/>
        <v>3.3333333333333333E-2</v>
      </c>
      <c r="Q48" s="90">
        <f>1/30</f>
        <v>3.3333333333333333E-2</v>
      </c>
      <c r="S48" s="714"/>
    </row>
    <row r="49" spans="1:19">
      <c r="B49" s="6" t="s">
        <v>2449</v>
      </c>
      <c r="C49" s="18">
        <f>C48*$D$40</f>
        <v>5.0856666666666666</v>
      </c>
      <c r="D49" s="18">
        <f t="shared" ref="D49:Q49" si="3">D48*$D$40</f>
        <v>5.0856666666666666</v>
      </c>
      <c r="E49" s="18">
        <f t="shared" si="3"/>
        <v>5.0856666666666666</v>
      </c>
      <c r="F49" s="18">
        <f t="shared" si="3"/>
        <v>5.0856666666666666</v>
      </c>
      <c r="G49" s="18">
        <f t="shared" si="3"/>
        <v>5.0856666666666666</v>
      </c>
      <c r="H49" s="18">
        <f t="shared" si="3"/>
        <v>5.0856666666666666</v>
      </c>
      <c r="I49" s="18">
        <f t="shared" si="3"/>
        <v>5.0856666666666666</v>
      </c>
      <c r="J49" s="18">
        <f t="shared" si="3"/>
        <v>5.0856666666666666</v>
      </c>
      <c r="K49" s="18">
        <f t="shared" si="3"/>
        <v>5.0856666666666666</v>
      </c>
      <c r="L49" s="18">
        <f t="shared" si="3"/>
        <v>5.0856666666666666</v>
      </c>
      <c r="M49" s="18">
        <f t="shared" si="3"/>
        <v>5.0856666666666666</v>
      </c>
      <c r="N49" s="18">
        <f t="shared" si="3"/>
        <v>5.0856666666666666</v>
      </c>
      <c r="O49" s="18">
        <f t="shared" si="3"/>
        <v>5.0856666666666666</v>
      </c>
      <c r="P49" s="18">
        <f t="shared" si="3"/>
        <v>5.0856666666666666</v>
      </c>
      <c r="Q49" s="18">
        <f t="shared" si="3"/>
        <v>5.0856666666666666</v>
      </c>
      <c r="R49" s="715"/>
      <c r="S49" s="714"/>
    </row>
    <row r="50" spans="1:19">
      <c r="D50" s="715"/>
      <c r="E50" s="715"/>
      <c r="F50" s="715"/>
      <c r="G50" s="715"/>
      <c r="H50" s="715"/>
      <c r="I50" s="715"/>
      <c r="J50" s="715"/>
      <c r="K50" s="715"/>
      <c r="L50" s="715"/>
      <c r="M50" s="715"/>
      <c r="N50" s="715"/>
      <c r="O50" s="715"/>
      <c r="P50" s="715"/>
      <c r="Q50" s="715"/>
      <c r="R50" s="715"/>
      <c r="S50" s="714"/>
    </row>
    <row r="51" spans="1:19">
      <c r="D51" s="715"/>
      <c r="E51" s="715"/>
      <c r="F51" s="715"/>
      <c r="G51" s="715"/>
      <c r="H51" s="715"/>
      <c r="I51" s="715"/>
      <c r="J51" s="715"/>
      <c r="K51" s="715"/>
      <c r="L51" s="715"/>
      <c r="M51" s="715"/>
      <c r="N51" s="715"/>
      <c r="O51" s="715"/>
      <c r="P51" s="715"/>
      <c r="Q51" s="715"/>
      <c r="R51" s="715"/>
      <c r="S51" s="714"/>
    </row>
    <row r="52" spans="1:19">
      <c r="A52" s="3" t="s">
        <v>48</v>
      </c>
      <c r="B52" s="34" t="s">
        <v>2450</v>
      </c>
      <c r="C52" s="716">
        <f>SUM(C49:Q49)</f>
        <v>76.285000000000011</v>
      </c>
      <c r="D52" s="76" t="s">
        <v>62</v>
      </c>
      <c r="F52" s="715"/>
      <c r="G52" s="715"/>
      <c r="H52" s="715"/>
      <c r="I52" s="715"/>
      <c r="J52" s="715"/>
      <c r="K52" s="715"/>
      <c r="L52" s="715"/>
      <c r="M52" s="715"/>
      <c r="N52" s="715"/>
      <c r="O52" s="715"/>
      <c r="P52" s="715"/>
      <c r="Q52" s="715"/>
      <c r="R52" s="715"/>
      <c r="S52" s="714"/>
    </row>
    <row r="53" spans="1:19">
      <c r="B53" s="717"/>
      <c r="F53" s="715"/>
      <c r="G53" s="715"/>
      <c r="H53" s="715"/>
      <c r="I53" s="715"/>
      <c r="J53" s="715"/>
      <c r="K53" s="715"/>
      <c r="L53" s="715"/>
      <c r="M53" s="715"/>
      <c r="N53" s="715"/>
      <c r="O53" s="715"/>
      <c r="P53" s="715"/>
      <c r="Q53" s="715"/>
      <c r="R53" s="715"/>
      <c r="S53" s="714"/>
    </row>
    <row r="54" spans="1:19">
      <c r="D54" s="715"/>
      <c r="E54" s="715"/>
      <c r="F54" s="715"/>
      <c r="G54" s="715"/>
      <c r="H54" s="715"/>
      <c r="I54" s="715"/>
      <c r="J54" s="715"/>
      <c r="K54" s="715"/>
      <c r="L54" s="715"/>
      <c r="M54" s="715"/>
      <c r="N54" s="715"/>
      <c r="O54" s="715"/>
      <c r="P54" s="715"/>
      <c r="Q54" s="715"/>
      <c r="R54" s="715"/>
      <c r="S54" s="714"/>
    </row>
    <row r="55" spans="1:19">
      <c r="A55" s="3" t="s">
        <v>44</v>
      </c>
      <c r="B55" s="4" t="s">
        <v>2451</v>
      </c>
      <c r="E55" s="715"/>
      <c r="F55" s="715"/>
      <c r="G55" s="715"/>
      <c r="H55" s="715"/>
      <c r="I55" s="715"/>
      <c r="J55" s="715"/>
      <c r="K55" s="715"/>
      <c r="L55" s="715"/>
      <c r="M55" s="715"/>
      <c r="N55" s="715"/>
      <c r="O55" s="715"/>
      <c r="P55" s="715"/>
      <c r="Q55" s="715"/>
      <c r="R55" s="715"/>
      <c r="S55" s="714"/>
    </row>
    <row r="56" spans="1:19">
      <c r="E56" s="715"/>
      <c r="F56" s="715"/>
      <c r="G56" s="715"/>
      <c r="H56" s="715"/>
      <c r="I56" s="715"/>
      <c r="J56" s="715"/>
      <c r="K56" s="715"/>
      <c r="L56" s="715"/>
      <c r="M56" s="715"/>
      <c r="N56" s="715"/>
      <c r="O56" s="715"/>
      <c r="P56" s="715"/>
      <c r="Q56" s="715"/>
      <c r="R56" s="715"/>
      <c r="S56" s="714"/>
    </row>
    <row r="57" spans="1:19">
      <c r="B57" s="10" t="s">
        <v>2452</v>
      </c>
      <c r="E57" s="715"/>
      <c r="F57" s="715"/>
      <c r="G57" s="715"/>
      <c r="H57" s="715"/>
      <c r="I57" s="715"/>
      <c r="J57" s="715"/>
      <c r="K57" s="715"/>
      <c r="L57" s="715"/>
      <c r="M57" s="715"/>
      <c r="N57" s="715"/>
      <c r="O57" s="715"/>
      <c r="P57" s="715"/>
      <c r="Q57" s="715"/>
      <c r="R57" s="715"/>
      <c r="S57" s="714"/>
    </row>
    <row r="58" spans="1:19">
      <c r="B58" s="10" t="s">
        <v>2456</v>
      </c>
      <c r="E58" s="715"/>
      <c r="F58" s="715"/>
      <c r="G58" s="715"/>
      <c r="H58" s="715"/>
      <c r="I58" s="715"/>
      <c r="J58" s="715"/>
      <c r="K58" s="715"/>
      <c r="L58" s="715"/>
      <c r="M58" s="715"/>
      <c r="N58" s="715"/>
      <c r="O58" s="715"/>
      <c r="P58" s="715"/>
      <c r="Q58" s="715"/>
      <c r="R58" s="715"/>
      <c r="S58" s="714"/>
    </row>
    <row r="59" spans="1:19">
      <c r="E59" s="715"/>
      <c r="F59" s="715"/>
      <c r="G59" s="715"/>
      <c r="H59" s="715"/>
      <c r="I59" s="715"/>
      <c r="J59" s="715"/>
      <c r="K59" s="715"/>
      <c r="L59" s="715"/>
      <c r="M59" s="715"/>
      <c r="N59" s="715"/>
      <c r="O59" s="715"/>
      <c r="P59" s="715"/>
      <c r="Q59" s="715"/>
      <c r="R59" s="715"/>
      <c r="S59" s="714"/>
    </row>
    <row r="60" spans="1:19">
      <c r="D60" s="715"/>
      <c r="E60" s="715"/>
      <c r="F60" s="715"/>
      <c r="G60" s="715"/>
      <c r="H60" s="715"/>
      <c r="I60" s="715"/>
      <c r="J60" s="715"/>
      <c r="K60" s="715"/>
      <c r="L60" s="715"/>
      <c r="M60" s="715"/>
      <c r="N60" s="715"/>
      <c r="O60" s="715"/>
      <c r="P60" s="715"/>
      <c r="Q60" s="715"/>
      <c r="R60" s="715"/>
      <c r="S60" s="714"/>
    </row>
    <row r="61" spans="1:19">
      <c r="D61" s="715"/>
      <c r="E61" s="715"/>
      <c r="F61" s="715"/>
      <c r="G61" s="715"/>
      <c r="H61" s="715"/>
      <c r="I61" s="715"/>
      <c r="J61" s="715"/>
      <c r="K61" s="715"/>
      <c r="L61" s="715"/>
      <c r="M61" s="715"/>
      <c r="N61" s="715"/>
      <c r="O61" s="715"/>
      <c r="P61" s="715"/>
      <c r="Q61" s="715"/>
      <c r="R61" s="715"/>
      <c r="S61" s="714"/>
    </row>
    <row r="62" spans="1:19">
      <c r="C62" s="6">
        <v>0</v>
      </c>
      <c r="D62" s="11">
        <v>1</v>
      </c>
      <c r="E62" s="11">
        <v>2</v>
      </c>
      <c r="F62" s="11">
        <v>3</v>
      </c>
      <c r="G62" s="11">
        <v>4</v>
      </c>
      <c r="H62" s="11">
        <v>5</v>
      </c>
      <c r="I62" s="11">
        <v>6</v>
      </c>
      <c r="J62" s="11">
        <v>7</v>
      </c>
      <c r="K62" s="11">
        <v>8</v>
      </c>
      <c r="L62" s="11">
        <v>9</v>
      </c>
      <c r="M62" s="11">
        <v>10</v>
      </c>
      <c r="N62" s="11">
        <v>11</v>
      </c>
      <c r="O62" s="11">
        <v>12</v>
      </c>
      <c r="P62" s="11">
        <v>13</v>
      </c>
      <c r="Q62" s="11">
        <v>14</v>
      </c>
      <c r="R62" s="11">
        <v>15</v>
      </c>
      <c r="S62" s="714"/>
    </row>
    <row r="63" spans="1:19">
      <c r="B63" s="6" t="s">
        <v>59</v>
      </c>
      <c r="C63" s="6">
        <v>2015</v>
      </c>
      <c r="D63" s="6">
        <v>2016</v>
      </c>
      <c r="E63" s="6">
        <v>2017</v>
      </c>
      <c r="F63" s="6">
        <v>2018</v>
      </c>
      <c r="G63" s="6">
        <v>2019</v>
      </c>
      <c r="H63" s="6">
        <v>2020</v>
      </c>
      <c r="I63" s="6">
        <v>2021</v>
      </c>
      <c r="J63" s="6">
        <v>2022</v>
      </c>
      <c r="K63" s="6">
        <v>2023</v>
      </c>
      <c r="L63" s="6">
        <v>2024</v>
      </c>
      <c r="M63" s="6">
        <v>2025</v>
      </c>
      <c r="N63" s="6">
        <v>2026</v>
      </c>
      <c r="O63" s="6">
        <v>2027</v>
      </c>
      <c r="P63" s="6">
        <v>2028</v>
      </c>
      <c r="Q63" s="6">
        <v>2029</v>
      </c>
      <c r="R63" s="6">
        <v>2030</v>
      </c>
      <c r="S63" s="714"/>
    </row>
    <row r="64" spans="1:19">
      <c r="B64" s="49" t="s">
        <v>2453</v>
      </c>
      <c r="C64" s="35">
        <f>1/30</f>
        <v>3.3333333333333333E-2</v>
      </c>
      <c r="D64" s="35">
        <f>C64+(($R64-$C64)/15)</f>
        <v>3.5555555555555556E-2</v>
      </c>
      <c r="E64" s="35">
        <f t="shared" ref="E64:Q64" si="4">D64+(($R64-$C64)/15)</f>
        <v>3.7777777777777778E-2</v>
      </c>
      <c r="F64" s="35">
        <f t="shared" si="4"/>
        <v>0.04</v>
      </c>
      <c r="G64" s="35">
        <f t="shared" si="4"/>
        <v>4.2222222222222223E-2</v>
      </c>
      <c r="H64" s="35">
        <f t="shared" si="4"/>
        <v>4.4444444444444446E-2</v>
      </c>
      <c r="I64" s="35">
        <f t="shared" si="4"/>
        <v>4.6666666666666669E-2</v>
      </c>
      <c r="J64" s="35">
        <f t="shared" si="4"/>
        <v>4.8888888888888891E-2</v>
      </c>
      <c r="K64" s="35">
        <f t="shared" si="4"/>
        <v>5.1111111111111114E-2</v>
      </c>
      <c r="L64" s="35">
        <f t="shared" si="4"/>
        <v>5.3333333333333337E-2</v>
      </c>
      <c r="M64" s="35">
        <f t="shared" si="4"/>
        <v>5.5555555555555559E-2</v>
      </c>
      <c r="N64" s="35">
        <f t="shared" si="4"/>
        <v>5.7777777777777782E-2</v>
      </c>
      <c r="O64" s="35">
        <f t="shared" si="4"/>
        <v>6.0000000000000005E-2</v>
      </c>
      <c r="P64" s="35">
        <f t="shared" si="4"/>
        <v>6.2222222222222227E-2</v>
      </c>
      <c r="Q64" s="35">
        <f t="shared" si="4"/>
        <v>6.4444444444444443E-2</v>
      </c>
      <c r="R64" s="718">
        <f>1/15</f>
        <v>6.6666666666666666E-2</v>
      </c>
      <c r="S64" s="717"/>
    </row>
    <row r="65" spans="1:25">
      <c r="A65" s="3" t="s">
        <v>49</v>
      </c>
      <c r="B65" s="6" t="s">
        <v>2449</v>
      </c>
      <c r="C65" s="18">
        <f>C64*$D$40</f>
        <v>5.0856666666666666</v>
      </c>
      <c r="D65" s="18">
        <f t="shared" ref="D65:R65" si="5">D64*$D$40</f>
        <v>5.4247111111111108</v>
      </c>
      <c r="E65" s="18">
        <f t="shared" si="5"/>
        <v>5.7637555555555551</v>
      </c>
      <c r="F65" s="18">
        <f t="shared" si="5"/>
        <v>6.1028000000000002</v>
      </c>
      <c r="G65" s="18">
        <f t="shared" si="5"/>
        <v>6.4418444444444445</v>
      </c>
      <c r="H65" s="18">
        <f t="shared" si="5"/>
        <v>6.7808888888888887</v>
      </c>
      <c r="I65" s="18">
        <f t="shared" si="5"/>
        <v>7.119933333333333</v>
      </c>
      <c r="J65" s="18">
        <f t="shared" si="5"/>
        <v>7.4589777777777782</v>
      </c>
      <c r="K65" s="18">
        <f t="shared" si="5"/>
        <v>7.7980222222222224</v>
      </c>
      <c r="L65" s="18">
        <f t="shared" si="5"/>
        <v>8.1370666666666676</v>
      </c>
      <c r="M65" s="18">
        <f t="shared" si="5"/>
        <v>8.4761111111111109</v>
      </c>
      <c r="N65" s="18">
        <f t="shared" si="5"/>
        <v>8.8151555555555561</v>
      </c>
      <c r="O65" s="18">
        <f t="shared" si="5"/>
        <v>9.1541999999999994</v>
      </c>
      <c r="P65" s="18">
        <f t="shared" si="5"/>
        <v>9.4932444444444446</v>
      </c>
      <c r="Q65" s="18">
        <f t="shared" si="5"/>
        <v>9.832288888888888</v>
      </c>
      <c r="R65" s="18">
        <f t="shared" si="5"/>
        <v>10.171333333333333</v>
      </c>
    </row>
    <row r="68" spans="1:25">
      <c r="A68" s="3" t="s">
        <v>50</v>
      </c>
      <c r="B68" s="34" t="s">
        <v>2454</v>
      </c>
      <c r="C68" s="716">
        <f>SUM(C65:R65)</f>
        <v>122.056</v>
      </c>
      <c r="D68" s="76" t="s">
        <v>62</v>
      </c>
    </row>
    <row r="70" spans="1:25">
      <c r="C70" s="8"/>
      <c r="D70" s="8"/>
      <c r="J70" s="719"/>
      <c r="K70" s="719"/>
      <c r="L70" s="719"/>
      <c r="M70" s="719"/>
      <c r="N70" s="719"/>
      <c r="O70" s="719"/>
      <c r="P70" s="719"/>
      <c r="Q70" s="719"/>
      <c r="R70" s="719"/>
      <c r="S70" s="719"/>
      <c r="T70" s="719"/>
      <c r="U70" s="719"/>
      <c r="Y70" s="715"/>
    </row>
    <row r="71" spans="1:25">
      <c r="C71" s="8"/>
      <c r="D71" s="8"/>
    </row>
    <row r="72" spans="1:25">
      <c r="A72" s="3" t="s">
        <v>70</v>
      </c>
      <c r="B72" s="34" t="s">
        <v>2455</v>
      </c>
      <c r="C72" s="42">
        <f>C68-C52</f>
        <v>45.770999999999987</v>
      </c>
      <c r="D72" s="34" t="s">
        <v>62</v>
      </c>
    </row>
  </sheetData>
  <sheetProtection algorithmName="SHA-512" hashValue="6VqtVmlSx0d20AqJi7kGlG6oP3ZU1FaWJw6KenQ1/5XYt5pKJjpSsvumEBrk0ZP0JnlezCJ15dh8gzrYgl+D2g==" saltValue="z946bvfloVzjfND0zxD92A==" spinCount="100000" sheet="1" objects="1" scenarios="1"/>
  <mergeCells count="1">
    <mergeCell ref="B2: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L22"/>
  <sheetViews>
    <sheetView zoomScale="85" zoomScaleNormal="85" workbookViewId="0">
      <selection activeCell="J4" sqref="J4"/>
    </sheetView>
  </sheetViews>
  <sheetFormatPr defaultColWidth="11.42578125" defaultRowHeight="12.75"/>
  <cols>
    <col min="1" max="1" width="5.42578125" style="335" customWidth="1"/>
    <col min="2" max="2" width="9" style="335" customWidth="1"/>
    <col min="3" max="3" width="15.5703125" style="335" customWidth="1"/>
    <col min="4" max="4" width="28.28515625" style="335" customWidth="1"/>
    <col min="5" max="5" width="13.7109375" style="335" customWidth="1"/>
    <col min="6" max="6" width="14.5703125" style="335" customWidth="1"/>
    <col min="7" max="7" width="14.42578125" style="335" customWidth="1"/>
    <col min="8" max="8" width="14.28515625" style="335" customWidth="1"/>
    <col min="9" max="9" width="23.42578125" style="335" hidden="1" customWidth="1"/>
    <col min="10" max="10" width="38.28515625" style="335" customWidth="1"/>
    <col min="11" max="16384" width="11.42578125" style="335"/>
  </cols>
  <sheetData>
    <row r="2" spans="1:12" ht="20.65" customHeight="1">
      <c r="B2" s="1126" t="s">
        <v>2459</v>
      </c>
      <c r="C2" s="1126"/>
      <c r="D2" s="1126"/>
      <c r="E2" s="1126"/>
      <c r="F2" s="1126"/>
      <c r="G2" s="1126"/>
      <c r="H2" s="1126"/>
      <c r="I2" s="1126"/>
      <c r="J2" s="1126"/>
    </row>
    <row r="4" spans="1:12">
      <c r="B4" s="342" t="s">
        <v>66</v>
      </c>
      <c r="C4" s="463" t="str">
        <f>'A. Dades de partida'!D7</f>
        <v>Vilalba Sasserra</v>
      </c>
      <c r="D4" s="630"/>
      <c r="E4" s="782" t="s">
        <v>2593</v>
      </c>
      <c r="F4" s="783">
        <f>SUM(H7:H13)</f>
        <v>3.1623239664507694</v>
      </c>
      <c r="G4" s="784">
        <f>F4*1000000/'A. Dades de partida'!D18</f>
        <v>3.5562028408751911</v>
      </c>
      <c r="J4" s="1061" t="str">
        <f>CONCATENATE("El cost per al teu municipi representa ",ROUND(F4/('A. Dades de partida'!D18/1000000),0)," vegades el pressupost de l'ajuntament")</f>
        <v>El cost per al teu municipi representa 4 vegades el pressupost de l'ajuntament</v>
      </c>
    </row>
    <row r="5" spans="1:12" s="410" customFormat="1" ht="20.25" customHeight="1">
      <c r="B5" s="657"/>
    </row>
    <row r="6" spans="1:12" s="410" customFormat="1" ht="87" customHeight="1">
      <c r="B6" s="684" t="s">
        <v>1781</v>
      </c>
      <c r="C6" s="684" t="s">
        <v>2374</v>
      </c>
      <c r="D6" s="684" t="s">
        <v>2375</v>
      </c>
      <c r="E6" s="685" t="s">
        <v>2000</v>
      </c>
      <c r="F6" s="685" t="s">
        <v>4536</v>
      </c>
      <c r="G6" s="685" t="s">
        <v>4537</v>
      </c>
      <c r="H6" s="685" t="s">
        <v>2494</v>
      </c>
      <c r="I6" s="685" t="s">
        <v>2576</v>
      </c>
      <c r="J6" s="685" t="s">
        <v>2484</v>
      </c>
      <c r="K6" s="685" t="s">
        <v>2490</v>
      </c>
    </row>
    <row r="7" spans="1:12" ht="81" customHeight="1">
      <c r="B7" s="651">
        <v>1</v>
      </c>
      <c r="C7" s="635" t="s">
        <v>2378</v>
      </c>
      <c r="D7" s="652" t="s">
        <v>2633</v>
      </c>
      <c r="E7" s="651" t="s">
        <v>2002</v>
      </c>
      <c r="F7" s="638">
        <f>VLOOKUP($C$4,copcalor2,15,FALSE)/1000000</f>
        <v>0.27783748645904965</v>
      </c>
      <c r="G7" s="638">
        <f>VLOOKUP($C$4,copcalor2,25,FALSE)/1000000</f>
        <v>1.6164165420313101</v>
      </c>
      <c r="H7" s="638">
        <f>IFERROR(G7-F7,"")</f>
        <v>1.3385790555722605</v>
      </c>
      <c r="I7" s="638"/>
      <c r="J7" s="407" t="s">
        <v>2670</v>
      </c>
      <c r="K7" s="407" t="s">
        <v>2491</v>
      </c>
      <c r="L7" s="742"/>
    </row>
    <row r="8" spans="1:12" ht="81" customHeight="1">
      <c r="B8" s="651">
        <v>2</v>
      </c>
      <c r="C8" s="652" t="s">
        <v>1779</v>
      </c>
      <c r="D8" s="652" t="s">
        <v>2470</v>
      </c>
      <c r="E8" s="651" t="s">
        <v>2718</v>
      </c>
      <c r="F8" s="638">
        <f>IFERROR(VLOOKUP(C4,'2b.Incendis forestals'!B4:P313,9,FALSE)/1000000,"")</f>
        <v>0.15266925252163877</v>
      </c>
      <c r="G8" s="638">
        <f>IFERROR(VLOOKUP(C4,'2b.Incendis forestals'!B4:P314,14,FALSE)/1000000,"")</f>
        <v>0.41984044443450652</v>
      </c>
      <c r="H8" s="638">
        <f>IFERROR(G8-F8,"")</f>
        <v>0.26717119191286776</v>
      </c>
      <c r="I8" s="638"/>
      <c r="J8" s="407" t="s">
        <v>2486</v>
      </c>
      <c r="K8" s="407" t="s">
        <v>2491</v>
      </c>
      <c r="L8" s="742"/>
    </row>
    <row r="9" spans="1:12" ht="45" customHeight="1">
      <c r="B9" s="651">
        <v>3</v>
      </c>
      <c r="C9" s="635" t="s">
        <v>2379</v>
      </c>
      <c r="D9" s="652" t="s">
        <v>2730</v>
      </c>
      <c r="E9" s="651" t="s">
        <v>2003</v>
      </c>
      <c r="F9" s="638">
        <f>VLOOKUP('B. Resultats'!$C4,'3b aigua'!$B$4:$K$314,8,FALSE)/1000000</f>
        <v>1.0759899688581336</v>
      </c>
      <c r="G9" s="638">
        <f>VLOOKUP('B. Resultats'!$C4,'3b aigua'!$B$4:$K$314,9,FALSE)/1000000</f>
        <v>1.5562160254928217</v>
      </c>
      <c r="H9" s="638">
        <f>IFERROR(G9-F9,"")</f>
        <v>0.48022605663468809</v>
      </c>
      <c r="I9" s="638"/>
      <c r="J9" s="407" t="s">
        <v>2482</v>
      </c>
      <c r="K9" s="407" t="s">
        <v>2492</v>
      </c>
      <c r="L9" s="742"/>
    </row>
    <row r="10" spans="1:12" ht="41.25" customHeight="1">
      <c r="A10" s="459"/>
      <c r="B10" s="651">
        <v>4</v>
      </c>
      <c r="C10" s="635" t="s">
        <v>2588</v>
      </c>
      <c r="D10" s="652" t="s">
        <v>2585</v>
      </c>
      <c r="E10" s="651" t="s">
        <v>2003</v>
      </c>
      <c r="F10" s="638">
        <f>VLOOKUP($C$4,agric,11,FALSE)</f>
        <v>0.22639875000000001</v>
      </c>
      <c r="G10" s="638">
        <f>VLOOKUP($C$4,agric,13,FALSE)</f>
        <v>1.2638422743309528</v>
      </c>
      <c r="H10" s="638">
        <f>G10-F10</f>
        <v>1.0374435243309528</v>
      </c>
      <c r="I10" s="638"/>
      <c r="J10" s="407" t="s">
        <v>4538</v>
      </c>
      <c r="K10" s="407" t="s">
        <v>2493</v>
      </c>
      <c r="L10" s="776"/>
    </row>
    <row r="11" spans="1:12" ht="28.9" customHeight="1">
      <c r="A11" s="459"/>
      <c r="B11" s="651">
        <v>5</v>
      </c>
      <c r="C11" s="635" t="s">
        <v>2589</v>
      </c>
      <c r="D11" s="652" t="s">
        <v>2586</v>
      </c>
      <c r="E11" s="651" t="s">
        <v>2003</v>
      </c>
      <c r="F11" s="638">
        <f>VLOOKUP($C$4,agric,15,FALSE)</f>
        <v>0.264654</v>
      </c>
      <c r="G11" s="638">
        <f>VLOOKUP($C$4,ramad,17,FALSE)</f>
        <v>0.30355813799999998</v>
      </c>
      <c r="H11" s="638">
        <f>G11-F11</f>
        <v>3.8904137999999977E-2</v>
      </c>
      <c r="I11" s="638"/>
      <c r="J11" s="407" t="s">
        <v>4539</v>
      </c>
      <c r="K11" s="407" t="s">
        <v>2493</v>
      </c>
      <c r="L11" s="776"/>
    </row>
    <row r="12" spans="1:12" ht="32.450000000000003" customHeight="1">
      <c r="B12" s="480">
        <v>6</v>
      </c>
      <c r="C12" s="634" t="s">
        <v>1777</v>
      </c>
      <c r="D12" s="636" t="s">
        <v>2472</v>
      </c>
      <c r="E12" s="480" t="s">
        <v>2001</v>
      </c>
      <c r="F12" s="1114">
        <f>IFERROR(VLOOKUP(C4,costT50,37,FALSE),0)</f>
        <v>0</v>
      </c>
      <c r="G12" s="1114">
        <f>IFERROR(VLOOKUP(C4, costT100,37,FALSE),0)</f>
        <v>0</v>
      </c>
      <c r="H12" s="1115">
        <f>IFERROR(G12-F12,"")</f>
        <v>0</v>
      </c>
      <c r="I12" s="638"/>
      <c r="J12" s="407" t="s">
        <v>4636</v>
      </c>
      <c r="K12" s="407" t="s">
        <v>4635</v>
      </c>
      <c r="L12" s="742"/>
    </row>
    <row r="13" spans="1:12" ht="37.9" customHeight="1">
      <c r="B13" s="480">
        <v>7</v>
      </c>
      <c r="C13" s="634" t="s">
        <v>1780</v>
      </c>
      <c r="D13" s="636" t="s">
        <v>2473</v>
      </c>
      <c r="E13" s="480" t="s">
        <v>2162</v>
      </c>
      <c r="F13" s="943" t="str">
        <f>IF(VLOOKUP($C$4,'7b erosió costa'!$B$4:$AP$367,8,FALSE)="guanya sorra", "No té pèrdua de sorra",VLOOKUP($C$4,'7b erosió costa'!$B$4:$AP$367,8,FALSE))</f>
        <v/>
      </c>
      <c r="G13" s="637" t="str">
        <f>IF(VLOOKUP($C$4,'7b erosió costa'!$B$4:$AP$367,41,FALSE)=0,"",IF(VLOOKUP($C$4,'7b erosió costa'!$B$4:$AP$367,41,FALSE)="guanya sorra", "No té pèrdua de sorra",VLOOKUP($C$4,'7b erosió costa'!$B$4:$AP$367,41,FALSE)))</f>
        <v/>
      </c>
      <c r="H13" s="638" t="str">
        <f>IF(ISERROR(G13-F13),"",G13-F13)</f>
        <v/>
      </c>
      <c r="I13" s="638"/>
      <c r="J13" s="407" t="s">
        <v>2483</v>
      </c>
      <c r="K13" s="407" t="s">
        <v>2492</v>
      </c>
      <c r="L13" s="742"/>
    </row>
    <row r="14" spans="1:12">
      <c r="B14" s="778" t="s">
        <v>2590</v>
      </c>
      <c r="C14" s="777"/>
      <c r="D14" s="777"/>
      <c r="E14" s="777"/>
      <c r="F14" s="777"/>
      <c r="G14" s="777"/>
    </row>
    <row r="16" spans="1:12">
      <c r="B16" s="342" t="s">
        <v>2479</v>
      </c>
    </row>
    <row r="17" spans="2:3">
      <c r="B17" s="335" t="s">
        <v>2480</v>
      </c>
    </row>
    <row r="18" spans="2:3">
      <c r="B18" s="335" t="s">
        <v>2495</v>
      </c>
    </row>
    <row r="19" spans="2:3">
      <c r="B19" s="335" t="s">
        <v>2496</v>
      </c>
    </row>
    <row r="20" spans="2:3">
      <c r="B20" s="335" t="s">
        <v>2497</v>
      </c>
    </row>
    <row r="21" spans="2:3" ht="14.25">
      <c r="B21" s="335" t="s">
        <v>2381</v>
      </c>
      <c r="C21" s="633"/>
    </row>
    <row r="22" spans="2:3">
      <c r="B22" s="335" t="s">
        <v>2481</v>
      </c>
    </row>
  </sheetData>
  <mergeCells count="1">
    <mergeCell ref="B2:J2"/>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53"/>
  <sheetViews>
    <sheetView workbookViewId="0">
      <selection activeCell="O22" sqref="O22"/>
    </sheetView>
  </sheetViews>
  <sheetFormatPr defaultRowHeight="15"/>
  <cols>
    <col min="1" max="1" width="7.7109375" style="768" customWidth="1"/>
    <col min="2" max="2" width="19.28515625" style="769" customWidth="1"/>
    <col min="3" max="3" width="14" style="779" customWidth="1"/>
    <col min="4" max="4" width="13" style="779" customWidth="1"/>
    <col min="5" max="5" width="10.140625" style="779" bestFit="1" customWidth="1"/>
    <col min="6" max="6" width="11.140625" style="779" bestFit="1" customWidth="1"/>
    <col min="7" max="7" width="10.140625" style="779" bestFit="1" customWidth="1"/>
    <col min="12" max="12" width="9.140625" style="1076"/>
  </cols>
  <sheetData>
    <row r="1" spans="1:15" ht="16.5" thickBot="1">
      <c r="A1" s="1180" t="s">
        <v>2581</v>
      </c>
      <c r="B1" s="1180"/>
      <c r="C1" s="1183" t="s">
        <v>2390</v>
      </c>
      <c r="D1" s="1183"/>
      <c r="E1" s="1183"/>
      <c r="F1" s="1183"/>
      <c r="G1" s="779">
        <v>2016</v>
      </c>
    </row>
    <row r="2" spans="1:15">
      <c r="A2" s="774">
        <v>2016</v>
      </c>
      <c r="B2" s="1181" t="s">
        <v>66</v>
      </c>
      <c r="C2" s="1183"/>
      <c r="D2" s="1183"/>
      <c r="E2" s="1183"/>
      <c r="F2" s="1183"/>
      <c r="G2" s="779">
        <v>2017</v>
      </c>
    </row>
    <row r="3" spans="1:15">
      <c r="A3" s="753" t="s">
        <v>2579</v>
      </c>
      <c r="B3" s="1182"/>
      <c r="C3" s="779" t="s">
        <v>206</v>
      </c>
      <c r="D3" s="779" t="s">
        <v>207</v>
      </c>
      <c r="E3" s="779" t="s">
        <v>1824</v>
      </c>
      <c r="F3" s="779" t="s">
        <v>1825</v>
      </c>
      <c r="G3" s="779" t="s">
        <v>2591</v>
      </c>
    </row>
    <row r="4" spans="1:15">
      <c r="A4" s="754">
        <v>8001</v>
      </c>
      <c r="B4" s="755" t="s">
        <v>672</v>
      </c>
      <c r="C4" s="779">
        <v>16791163</v>
      </c>
      <c r="D4" s="779">
        <v>15601907</v>
      </c>
      <c r="E4" s="779">
        <v>2228014.1942749275</v>
      </c>
      <c r="F4" s="779">
        <v>802966.06764249632</v>
      </c>
      <c r="G4" s="779">
        <v>269567</v>
      </c>
    </row>
    <row r="5" spans="1:15">
      <c r="A5" s="754">
        <v>8002</v>
      </c>
      <c r="B5" s="755" t="s">
        <v>694</v>
      </c>
      <c r="C5" s="779">
        <v>397286</v>
      </c>
      <c r="D5" s="779">
        <v>0</v>
      </c>
      <c r="E5" s="779">
        <v>233609.03577763343</v>
      </c>
      <c r="F5" s="779">
        <v>87507.983501188617</v>
      </c>
      <c r="G5" s="779" t="s">
        <v>1148</v>
      </c>
      <c r="K5" s="1076"/>
      <c r="O5" s="1076"/>
    </row>
    <row r="6" spans="1:15">
      <c r="A6" s="754">
        <v>8003</v>
      </c>
      <c r="B6" s="755" t="s">
        <v>707</v>
      </c>
      <c r="C6" s="779">
        <v>17044518</v>
      </c>
      <c r="D6" s="779">
        <v>28152553</v>
      </c>
      <c r="E6" s="779">
        <v>972199.06565516489</v>
      </c>
      <c r="F6" s="779">
        <v>801941.70814059058</v>
      </c>
      <c r="G6" s="779">
        <v>267059</v>
      </c>
      <c r="K6" s="1076"/>
      <c r="O6" s="1076"/>
    </row>
    <row r="7" spans="1:15">
      <c r="A7" s="754">
        <v>8004</v>
      </c>
      <c r="B7" s="755" t="s">
        <v>716</v>
      </c>
      <c r="C7" s="779">
        <v>406977</v>
      </c>
      <c r="D7" s="779">
        <v>0</v>
      </c>
      <c r="E7" s="779">
        <v>518515.95823425206</v>
      </c>
      <c r="F7" s="779">
        <v>112575.54555027261</v>
      </c>
      <c r="G7" s="779" t="s">
        <v>1148</v>
      </c>
      <c r="K7" s="1076"/>
      <c r="O7" s="1076"/>
    </row>
    <row r="8" spans="1:15">
      <c r="A8" s="756">
        <v>8005</v>
      </c>
      <c r="B8" s="755" t="s">
        <v>725</v>
      </c>
      <c r="C8" s="779">
        <v>16020496</v>
      </c>
      <c r="D8" s="779">
        <v>10524041</v>
      </c>
      <c r="E8" s="779">
        <v>8961441.330749834</v>
      </c>
      <c r="F8" s="779">
        <v>293679.62639908207</v>
      </c>
      <c r="G8" s="779">
        <v>123807</v>
      </c>
      <c r="K8" s="1076"/>
      <c r="O8" s="1076"/>
    </row>
    <row r="9" spans="1:15">
      <c r="A9" s="756">
        <v>8006</v>
      </c>
      <c r="B9" s="757" t="s">
        <v>334</v>
      </c>
      <c r="C9" s="779">
        <v>19681344</v>
      </c>
      <c r="D9" s="779">
        <v>24648101</v>
      </c>
      <c r="E9" s="779">
        <v>582772.55660283251</v>
      </c>
      <c r="F9" s="779">
        <v>1395069.8316286379</v>
      </c>
      <c r="G9" s="780">
        <v>332343</v>
      </c>
      <c r="K9" s="1076"/>
      <c r="O9" s="1076"/>
    </row>
    <row r="10" spans="1:15">
      <c r="A10" s="756">
        <v>8007</v>
      </c>
      <c r="B10" s="757" t="s">
        <v>742</v>
      </c>
      <c r="C10" s="779">
        <v>12911487</v>
      </c>
      <c r="D10" s="779">
        <v>14001883</v>
      </c>
      <c r="E10" s="779">
        <v>652000.41177778062</v>
      </c>
      <c r="F10" s="779">
        <v>807683.91587670008</v>
      </c>
      <c r="G10" s="779">
        <v>216481</v>
      </c>
      <c r="K10" s="1076"/>
      <c r="O10" s="1076"/>
    </row>
    <row r="11" spans="1:15">
      <c r="A11" s="754">
        <v>8008</v>
      </c>
      <c r="B11" s="755" t="s">
        <v>751</v>
      </c>
      <c r="C11" s="779">
        <v>257872</v>
      </c>
      <c r="D11" s="779">
        <v>0</v>
      </c>
      <c r="E11" s="779">
        <v>155597.31543520055</v>
      </c>
      <c r="F11" s="779">
        <v>50672.845434475734</v>
      </c>
      <c r="G11" s="779" t="s">
        <v>1148</v>
      </c>
      <c r="K11" s="1076"/>
      <c r="O11" s="1076"/>
    </row>
    <row r="12" spans="1:15">
      <c r="A12" s="754">
        <v>8009</v>
      </c>
      <c r="B12" s="755" t="s">
        <v>761</v>
      </c>
      <c r="C12" s="779">
        <v>17134336</v>
      </c>
      <c r="D12" s="779">
        <v>21725186</v>
      </c>
      <c r="E12" s="779">
        <v>2393164.6543730996</v>
      </c>
      <c r="F12" s="779">
        <v>932999.00370093645</v>
      </c>
      <c r="G12" s="779">
        <v>421678</v>
      </c>
      <c r="K12" s="1076"/>
      <c r="O12" s="1076"/>
    </row>
    <row r="13" spans="1:15">
      <c r="A13" s="754">
        <v>8010</v>
      </c>
      <c r="B13" s="755" t="s">
        <v>767</v>
      </c>
      <c r="C13" s="779">
        <v>7577997</v>
      </c>
      <c r="D13" s="779">
        <v>8075166</v>
      </c>
      <c r="E13" s="779">
        <v>6438631.0724480581</v>
      </c>
      <c r="F13" s="779">
        <v>90046.953516200432</v>
      </c>
      <c r="G13" s="779">
        <v>26000</v>
      </c>
      <c r="K13" s="1076"/>
      <c r="O13" s="1076"/>
    </row>
    <row r="14" spans="1:15">
      <c r="A14" s="756">
        <v>8011</v>
      </c>
      <c r="B14" s="755" t="s">
        <v>774</v>
      </c>
      <c r="C14" s="779">
        <v>3294856</v>
      </c>
      <c r="D14" s="779">
        <v>2893117</v>
      </c>
      <c r="E14" s="779">
        <v>3250927.1500173244</v>
      </c>
      <c r="F14" s="779">
        <v>54443.617813865756</v>
      </c>
      <c r="G14" s="779">
        <v>9800</v>
      </c>
      <c r="K14" s="1076"/>
      <c r="O14" s="1076"/>
    </row>
    <row r="15" spans="1:15">
      <c r="A15" s="754">
        <v>8012</v>
      </c>
      <c r="B15" s="755" t="s">
        <v>781</v>
      </c>
      <c r="C15" s="779">
        <v>3112944</v>
      </c>
      <c r="D15" s="779">
        <v>0</v>
      </c>
      <c r="E15" s="779">
        <v>3115532.2133624507</v>
      </c>
      <c r="F15" s="779">
        <v>758647.50155786378</v>
      </c>
      <c r="G15" s="779" t="s">
        <v>1148</v>
      </c>
      <c r="K15" s="1076"/>
      <c r="O15" s="1076"/>
    </row>
    <row r="16" spans="1:15">
      <c r="A16" s="754">
        <v>8013</v>
      </c>
      <c r="B16" s="755" t="s">
        <v>787</v>
      </c>
      <c r="C16" s="779">
        <v>2747683</v>
      </c>
      <c r="D16" s="779">
        <v>0</v>
      </c>
      <c r="E16" s="779">
        <v>1702777.1107461173</v>
      </c>
      <c r="F16" s="779">
        <v>871645.84545565257</v>
      </c>
      <c r="G16" s="779">
        <v>24000</v>
      </c>
      <c r="K16" s="1076"/>
      <c r="O16" s="1076"/>
    </row>
    <row r="17" spans="1:15">
      <c r="A17" s="754">
        <v>8014</v>
      </c>
      <c r="B17" s="755" t="s">
        <v>797</v>
      </c>
      <c r="C17" s="779">
        <v>3367939</v>
      </c>
      <c r="D17" s="779">
        <v>6745915</v>
      </c>
      <c r="E17" s="779">
        <v>2214303.0154255419</v>
      </c>
      <c r="F17" s="779">
        <v>171258.48787559482</v>
      </c>
      <c r="G17" s="779">
        <v>36000</v>
      </c>
      <c r="K17" s="1076"/>
      <c r="O17" s="1076"/>
    </row>
    <row r="18" spans="1:15">
      <c r="A18" s="754">
        <v>8015</v>
      </c>
      <c r="B18" s="755" t="s">
        <v>335</v>
      </c>
      <c r="C18" s="779">
        <v>208413824</v>
      </c>
      <c r="D18" s="779">
        <v>226451682</v>
      </c>
      <c r="E18" s="779">
        <v>2172985.2041250742</v>
      </c>
      <c r="F18" s="779">
        <v>15593126.734434849</v>
      </c>
      <c r="G18" s="779">
        <v>4239431</v>
      </c>
      <c r="K18" s="1076"/>
      <c r="O18" s="1076"/>
    </row>
    <row r="19" spans="1:15">
      <c r="A19" s="754">
        <v>8016</v>
      </c>
      <c r="B19" s="755" t="s">
        <v>807</v>
      </c>
      <c r="C19" s="779">
        <v>3738757</v>
      </c>
      <c r="D19" s="779">
        <v>1830705</v>
      </c>
      <c r="E19" s="779">
        <v>4648987.205749548</v>
      </c>
      <c r="F19" s="779">
        <v>23865.560046840979</v>
      </c>
      <c r="G19" s="779">
        <v>23161</v>
      </c>
      <c r="K19" s="1076"/>
      <c r="O19" s="1076"/>
    </row>
    <row r="20" spans="1:15">
      <c r="A20" s="756">
        <v>8017</v>
      </c>
      <c r="B20" s="755" t="s">
        <v>812</v>
      </c>
      <c r="C20" s="779">
        <v>4042103</v>
      </c>
      <c r="D20" s="779">
        <v>6648717</v>
      </c>
      <c r="E20" s="779">
        <v>4605182.1314119352</v>
      </c>
      <c r="F20" s="779">
        <v>197975.6555161642</v>
      </c>
      <c r="G20" s="779">
        <v>60000</v>
      </c>
      <c r="K20" s="1076"/>
      <c r="O20" s="1076"/>
    </row>
    <row r="21" spans="1:15">
      <c r="A21" s="756">
        <v>8018</v>
      </c>
      <c r="B21" s="755" t="s">
        <v>817</v>
      </c>
      <c r="C21" s="779">
        <v>3876131</v>
      </c>
      <c r="D21" s="779">
        <v>6393338</v>
      </c>
      <c r="E21" s="779">
        <v>3446277.7930457578</v>
      </c>
      <c r="F21" s="779">
        <v>194305.56573412297</v>
      </c>
      <c r="G21" s="779">
        <v>51100</v>
      </c>
      <c r="K21" s="1076"/>
      <c r="O21" s="1076"/>
    </row>
    <row r="22" spans="1:15">
      <c r="A22" s="754">
        <v>8019</v>
      </c>
      <c r="B22" s="755" t="s">
        <v>331</v>
      </c>
      <c r="C22" s="779">
        <v>1948570757</v>
      </c>
      <c r="D22" s="779">
        <v>2173850144</v>
      </c>
      <c r="E22" s="779">
        <v>29138708.567569327</v>
      </c>
      <c r="F22" s="779">
        <v>139963092.13739634</v>
      </c>
      <c r="G22" s="779">
        <v>56423741</v>
      </c>
      <c r="K22" s="1076"/>
      <c r="O22" s="1076"/>
    </row>
    <row r="23" spans="1:15">
      <c r="A23" s="754">
        <v>8020</v>
      </c>
      <c r="B23" s="755" t="s">
        <v>825</v>
      </c>
      <c r="C23" s="779">
        <v>10951368</v>
      </c>
      <c r="D23" s="779">
        <v>5044614</v>
      </c>
      <c r="E23" s="779">
        <v>4480607.2460426409</v>
      </c>
      <c r="F23" s="779">
        <v>133601.31478231153</v>
      </c>
      <c r="G23" s="779">
        <v>153610</v>
      </c>
      <c r="K23" s="1076"/>
      <c r="O23" s="1076"/>
    </row>
    <row r="24" spans="1:15">
      <c r="A24" s="754">
        <v>8021</v>
      </c>
      <c r="B24" s="755" t="s">
        <v>829</v>
      </c>
      <c r="C24" s="779">
        <v>115409</v>
      </c>
      <c r="D24" s="779">
        <v>0</v>
      </c>
      <c r="E24" s="779">
        <v>19772.617176618165</v>
      </c>
      <c r="F24" s="779">
        <v>43051.190268434388</v>
      </c>
      <c r="G24" s="779" t="s">
        <v>1148</v>
      </c>
      <c r="K24" s="1076"/>
      <c r="O24" s="1076"/>
    </row>
    <row r="25" spans="1:15">
      <c r="A25" s="756">
        <v>8022</v>
      </c>
      <c r="B25" s="755" t="s">
        <v>777</v>
      </c>
      <c r="C25" s="779">
        <v>22523977</v>
      </c>
      <c r="D25" s="779">
        <v>33670873</v>
      </c>
      <c r="E25" s="779">
        <v>18110348.849901531</v>
      </c>
      <c r="F25" s="779">
        <v>1428721.4749829685</v>
      </c>
      <c r="G25" s="779">
        <v>255677</v>
      </c>
      <c r="K25" s="1076"/>
      <c r="O25" s="1076"/>
    </row>
    <row r="26" spans="1:15">
      <c r="A26" s="754">
        <v>8023</v>
      </c>
      <c r="B26" s="755" t="s">
        <v>838</v>
      </c>
      <c r="C26" s="779">
        <v>15112460</v>
      </c>
      <c r="D26" s="779">
        <v>0</v>
      </c>
      <c r="E26" s="779">
        <v>11863827.445916062</v>
      </c>
      <c r="F26" s="779">
        <v>4062714.66461311</v>
      </c>
      <c r="G26" s="779">
        <v>182786</v>
      </c>
      <c r="K26" s="1076"/>
      <c r="O26" s="1076"/>
    </row>
    <row r="27" spans="1:15">
      <c r="A27" s="754">
        <v>8024</v>
      </c>
      <c r="B27" s="755" t="s">
        <v>843</v>
      </c>
      <c r="C27" s="779">
        <v>817348</v>
      </c>
      <c r="D27" s="779">
        <v>0</v>
      </c>
      <c r="E27" s="779">
        <v>843669.67994770745</v>
      </c>
      <c r="F27" s="779">
        <v>312466.49169173284</v>
      </c>
      <c r="G27" s="779" t="s">
        <v>1148</v>
      </c>
      <c r="K27" s="1076"/>
      <c r="O27" s="1076"/>
    </row>
    <row r="28" spans="1:15">
      <c r="A28" s="754">
        <v>8025</v>
      </c>
      <c r="B28" s="755" t="s">
        <v>846</v>
      </c>
      <c r="C28" s="779">
        <v>3245669</v>
      </c>
      <c r="D28" s="779">
        <v>0</v>
      </c>
      <c r="E28" s="779">
        <v>2196677.8084644112</v>
      </c>
      <c r="F28" s="779">
        <v>1553821.4618974421</v>
      </c>
      <c r="G28" s="779">
        <v>35250</v>
      </c>
      <c r="K28" s="1076"/>
      <c r="O28" s="1076"/>
    </row>
    <row r="29" spans="1:15">
      <c r="A29" s="754">
        <v>8026</v>
      </c>
      <c r="B29" s="755" t="s">
        <v>850</v>
      </c>
      <c r="C29" s="779">
        <v>385679</v>
      </c>
      <c r="D29" s="779">
        <v>0</v>
      </c>
      <c r="E29" s="779">
        <v>347604.36753091856</v>
      </c>
      <c r="F29" s="779">
        <v>99052.734596382725</v>
      </c>
      <c r="G29" s="779">
        <v>5800</v>
      </c>
      <c r="K29" s="1076"/>
      <c r="O29" s="1076"/>
    </row>
    <row r="30" spans="1:15">
      <c r="A30" s="754">
        <v>8027</v>
      </c>
      <c r="B30" s="755" t="s">
        <v>854</v>
      </c>
      <c r="C30" s="779">
        <v>1453044</v>
      </c>
      <c r="D30" s="779">
        <v>0</v>
      </c>
      <c r="E30" s="779">
        <v>511327.94213318924</v>
      </c>
      <c r="F30" s="779">
        <v>496796.66832969623</v>
      </c>
      <c r="G30" s="779">
        <v>31002</v>
      </c>
      <c r="K30" s="1076"/>
      <c r="O30" s="1076"/>
    </row>
    <row r="31" spans="1:15">
      <c r="A31" s="754">
        <v>8028</v>
      </c>
      <c r="B31" s="755" t="s">
        <v>856</v>
      </c>
      <c r="C31" s="779">
        <v>1971660</v>
      </c>
      <c r="D31" s="779">
        <v>387734</v>
      </c>
      <c r="E31" s="779">
        <v>1760974.3938349171</v>
      </c>
      <c r="F31" s="779">
        <v>26932.230822411617</v>
      </c>
      <c r="G31" s="779" t="s">
        <v>1148</v>
      </c>
      <c r="K31" s="1076"/>
      <c r="O31" s="1076"/>
    </row>
    <row r="32" spans="1:15">
      <c r="A32" s="754">
        <v>8029</v>
      </c>
      <c r="B32" s="755" t="s">
        <v>336</v>
      </c>
      <c r="C32" s="779">
        <v>8010747</v>
      </c>
      <c r="D32" s="779">
        <v>10722146</v>
      </c>
      <c r="E32" s="779">
        <v>653607.50976108818</v>
      </c>
      <c r="F32" s="779">
        <v>379867.2391518568</v>
      </c>
      <c r="G32" s="779">
        <v>183000</v>
      </c>
      <c r="K32" s="1076"/>
      <c r="O32" s="1076"/>
    </row>
    <row r="33" spans="1:15">
      <c r="A33" s="754">
        <v>8030</v>
      </c>
      <c r="B33" s="755" t="s">
        <v>864</v>
      </c>
      <c r="C33" s="779">
        <v>12609338</v>
      </c>
      <c r="D33" s="779">
        <v>24073358</v>
      </c>
      <c r="E33" s="779">
        <v>902410.09482168965</v>
      </c>
      <c r="F33" s="779">
        <v>683029.2805266073</v>
      </c>
      <c r="G33" s="779">
        <v>223212</v>
      </c>
      <c r="K33" s="1076"/>
      <c r="O33" s="1076"/>
    </row>
    <row r="34" spans="1:15">
      <c r="A34" s="756">
        <v>8031</v>
      </c>
      <c r="B34" s="758" t="s">
        <v>865</v>
      </c>
      <c r="C34" s="779">
        <v>4118392</v>
      </c>
      <c r="D34" s="779">
        <v>8612968</v>
      </c>
      <c r="E34" s="779">
        <v>3372201.789334428</v>
      </c>
      <c r="F34" s="779">
        <v>220459.68611715711</v>
      </c>
      <c r="G34" s="779">
        <v>769284</v>
      </c>
      <c r="K34" s="1076"/>
      <c r="O34" s="1076"/>
    </row>
    <row r="35" spans="1:15">
      <c r="A35" s="754">
        <v>8032</v>
      </c>
      <c r="B35" s="759" t="s">
        <v>337</v>
      </c>
      <c r="C35" s="779">
        <v>4462691</v>
      </c>
      <c r="D35" s="779">
        <v>6125473</v>
      </c>
      <c r="E35" s="779">
        <v>271227.42468708381</v>
      </c>
      <c r="F35" s="779">
        <v>279039.78533432371</v>
      </c>
      <c r="G35" s="779" t="s">
        <v>678</v>
      </c>
      <c r="K35" s="1076"/>
      <c r="O35" s="1076"/>
    </row>
    <row r="36" spans="1:15">
      <c r="A36" s="754">
        <v>8033</v>
      </c>
      <c r="B36" s="759" t="s">
        <v>867</v>
      </c>
      <c r="C36" s="779">
        <v>25369200</v>
      </c>
      <c r="D36" s="779">
        <v>21271610</v>
      </c>
      <c r="E36" s="779">
        <v>10325889.979055345</v>
      </c>
      <c r="F36" s="779">
        <v>1170086.4290352864</v>
      </c>
      <c r="G36" s="779">
        <v>742046</v>
      </c>
      <c r="K36" s="1076"/>
      <c r="O36" s="1076"/>
    </row>
    <row r="37" spans="1:15">
      <c r="A37" s="754">
        <v>8034</v>
      </c>
      <c r="B37" s="759" t="s">
        <v>875</v>
      </c>
      <c r="C37" s="779">
        <v>1457301</v>
      </c>
      <c r="D37" s="779">
        <v>0</v>
      </c>
      <c r="E37" s="779">
        <v>1548913.144001784</v>
      </c>
      <c r="F37" s="779">
        <v>501216.31979869597</v>
      </c>
      <c r="G37" s="779">
        <v>2000</v>
      </c>
      <c r="K37" s="1076"/>
      <c r="O37" s="1076"/>
    </row>
    <row r="38" spans="1:15">
      <c r="A38" s="756">
        <v>8035</v>
      </c>
      <c r="B38" s="758" t="s">
        <v>338</v>
      </c>
      <c r="C38" s="779">
        <v>24858889</v>
      </c>
      <c r="D38" s="779">
        <v>21667305</v>
      </c>
      <c r="E38" s="779">
        <v>1589673.6542146059</v>
      </c>
      <c r="F38" s="779">
        <v>1357390.6398000978</v>
      </c>
      <c r="G38" s="779">
        <v>625380</v>
      </c>
      <c r="K38" s="1076"/>
      <c r="O38" s="1076"/>
    </row>
    <row r="39" spans="1:15">
      <c r="A39" s="754">
        <v>8036</v>
      </c>
      <c r="B39" s="759" t="s">
        <v>881</v>
      </c>
      <c r="C39" s="779">
        <v>284504</v>
      </c>
      <c r="D39" s="779">
        <v>0</v>
      </c>
      <c r="E39" s="779">
        <v>139144.77570624219</v>
      </c>
      <c r="F39" s="779">
        <v>100699.56245219239</v>
      </c>
      <c r="G39" s="779">
        <v>1200</v>
      </c>
      <c r="K39" s="1076"/>
      <c r="O39" s="1076"/>
    </row>
    <row r="40" spans="1:15">
      <c r="A40" s="756">
        <v>8037</v>
      </c>
      <c r="B40" s="758" t="s">
        <v>886</v>
      </c>
      <c r="C40" s="779">
        <v>3509078</v>
      </c>
      <c r="D40" s="779">
        <v>1947359</v>
      </c>
      <c r="E40" s="779">
        <v>239147.13121638392</v>
      </c>
      <c r="F40" s="779">
        <v>2245395.6055245609</v>
      </c>
      <c r="G40" s="779">
        <v>28001</v>
      </c>
      <c r="K40" s="1076"/>
      <c r="O40" s="1076"/>
    </row>
    <row r="41" spans="1:15">
      <c r="A41" s="754">
        <v>8038</v>
      </c>
      <c r="B41" s="760" t="s">
        <v>890</v>
      </c>
      <c r="C41" s="779">
        <v>3060063</v>
      </c>
      <c r="D41" s="779">
        <v>3527915</v>
      </c>
      <c r="E41" s="779">
        <v>1489477.9570222041</v>
      </c>
      <c r="F41" s="779">
        <v>50184.126890272419</v>
      </c>
      <c r="G41" s="779" t="s">
        <v>678</v>
      </c>
      <c r="K41" s="1076"/>
      <c r="O41" s="1076"/>
    </row>
    <row r="42" spans="1:15">
      <c r="A42" s="754">
        <v>8039</v>
      </c>
      <c r="B42" s="755" t="s">
        <v>894</v>
      </c>
      <c r="C42" s="779">
        <v>1201887</v>
      </c>
      <c r="D42" s="779">
        <v>0</v>
      </c>
      <c r="E42" s="779">
        <v>427335.9699102228</v>
      </c>
      <c r="F42" s="779">
        <v>360637.38833132951</v>
      </c>
      <c r="G42" s="779">
        <v>30000</v>
      </c>
      <c r="K42" s="1076"/>
      <c r="O42" s="1076"/>
    </row>
    <row r="43" spans="1:15">
      <c r="A43" s="756">
        <v>8040</v>
      </c>
      <c r="B43" s="755" t="s">
        <v>339</v>
      </c>
      <c r="C43" s="779">
        <v>17788211</v>
      </c>
      <c r="D43" s="779">
        <v>20180747</v>
      </c>
      <c r="E43" s="779">
        <v>1021370.2182531062</v>
      </c>
      <c r="F43" s="779">
        <v>1175125.8077571273</v>
      </c>
      <c r="G43" s="779">
        <v>306494</v>
      </c>
      <c r="K43" s="1076"/>
      <c r="O43" s="1076"/>
    </row>
    <row r="44" spans="1:15">
      <c r="A44" s="754">
        <v>8041</v>
      </c>
      <c r="B44" s="755" t="s">
        <v>900</v>
      </c>
      <c r="C44" s="779">
        <v>16479395</v>
      </c>
      <c r="D44" s="779">
        <v>23786371</v>
      </c>
      <c r="E44" s="779">
        <v>2456477.3428679025</v>
      </c>
      <c r="F44" s="779">
        <v>1070694.3842160313</v>
      </c>
      <c r="G44" s="779">
        <v>310544</v>
      </c>
      <c r="K44" s="1076"/>
      <c r="O44" s="1076"/>
    </row>
    <row r="45" spans="1:15">
      <c r="A45" s="754">
        <v>8042</v>
      </c>
      <c r="B45" s="755" t="s">
        <v>901</v>
      </c>
      <c r="C45" s="779">
        <v>4281382</v>
      </c>
      <c r="D45" s="779">
        <v>0</v>
      </c>
      <c r="E45" s="779">
        <v>3935095.1022781446</v>
      </c>
      <c r="F45" s="779">
        <v>810300.96923474397</v>
      </c>
      <c r="G45" s="779" t="s">
        <v>678</v>
      </c>
      <c r="K45" s="1076"/>
      <c r="O45" s="1076"/>
    </row>
    <row r="46" spans="1:15">
      <c r="A46" s="754">
        <v>8043</v>
      </c>
      <c r="B46" s="755" t="s">
        <v>906</v>
      </c>
      <c r="C46" s="779">
        <v>9019947</v>
      </c>
      <c r="D46" s="779">
        <v>0</v>
      </c>
      <c r="E46" s="779">
        <v>3369390.9178716769</v>
      </c>
      <c r="F46" s="779">
        <v>2532907.4412037488</v>
      </c>
      <c r="G46" s="779">
        <v>15000</v>
      </c>
      <c r="K46" s="1076"/>
      <c r="O46" s="1076"/>
    </row>
    <row r="47" spans="1:15">
      <c r="A47" s="754">
        <v>8044</v>
      </c>
      <c r="B47" s="755" t="s">
        <v>912</v>
      </c>
      <c r="C47" s="779">
        <v>6615745</v>
      </c>
      <c r="D47" s="779">
        <v>10580556</v>
      </c>
      <c r="E47" s="779">
        <v>1692175.7292944076</v>
      </c>
      <c r="F47" s="779">
        <v>484303.91556889465</v>
      </c>
      <c r="G47" s="779">
        <v>57139</v>
      </c>
      <c r="K47" s="1076"/>
      <c r="O47" s="1076"/>
    </row>
    <row r="48" spans="1:15">
      <c r="A48" s="754">
        <v>8045</v>
      </c>
      <c r="B48" s="755" t="s">
        <v>916</v>
      </c>
      <c r="C48" s="779">
        <v>148154</v>
      </c>
      <c r="D48" s="779">
        <v>0</v>
      </c>
      <c r="E48" s="779">
        <v>62418.85699038743</v>
      </c>
      <c r="F48" s="779">
        <v>113835.31951238282</v>
      </c>
      <c r="G48" s="779" t="s">
        <v>1148</v>
      </c>
      <c r="K48" s="1076"/>
      <c r="O48" s="1076"/>
    </row>
    <row r="49" spans="1:15">
      <c r="A49" s="754">
        <v>8046</v>
      </c>
      <c r="B49" s="755" t="s">
        <v>920</v>
      </c>
      <c r="C49" s="779">
        <v>25322212</v>
      </c>
      <c r="D49" s="779">
        <v>29423438</v>
      </c>
      <c r="E49" s="779">
        <v>8011918.1876207264</v>
      </c>
      <c r="F49" s="779">
        <v>1442952.3704306823</v>
      </c>
      <c r="G49" s="779">
        <v>620000</v>
      </c>
      <c r="K49" s="1076"/>
      <c r="O49" s="1076"/>
    </row>
    <row r="50" spans="1:15">
      <c r="A50" s="754">
        <v>8047</v>
      </c>
      <c r="B50" s="755" t="s">
        <v>924</v>
      </c>
      <c r="C50" s="779">
        <v>6945905</v>
      </c>
      <c r="D50" s="779" t="s">
        <v>2582</v>
      </c>
      <c r="E50" s="779">
        <v>5287707.3200119659</v>
      </c>
      <c r="F50" s="779">
        <v>210618.07137755307</v>
      </c>
      <c r="G50" s="779">
        <v>109292</v>
      </c>
      <c r="K50" s="1076"/>
      <c r="O50" s="1076"/>
    </row>
    <row r="51" spans="1:15">
      <c r="A51" s="754">
        <v>8048</v>
      </c>
      <c r="B51" s="755" t="s">
        <v>929</v>
      </c>
      <c r="C51" s="779">
        <v>963290</v>
      </c>
      <c r="D51" s="779">
        <v>0</v>
      </c>
      <c r="E51" s="779">
        <v>1203650.5547195163</v>
      </c>
      <c r="F51" s="779">
        <v>155995.52637520325</v>
      </c>
      <c r="G51" s="779">
        <v>7175</v>
      </c>
      <c r="K51" s="1076"/>
      <c r="O51" s="1076"/>
    </row>
    <row r="52" spans="1:15">
      <c r="A52" s="754">
        <v>8049</v>
      </c>
      <c r="B52" s="755" t="s">
        <v>934</v>
      </c>
      <c r="C52" s="779">
        <v>2729687</v>
      </c>
      <c r="D52" s="779">
        <v>0</v>
      </c>
      <c r="E52" s="779">
        <v>2862534.2098547271</v>
      </c>
      <c r="F52" s="779">
        <v>180918.28599561282</v>
      </c>
      <c r="G52" s="779">
        <v>36000</v>
      </c>
      <c r="K52" s="1076"/>
      <c r="O52" s="1076"/>
    </row>
    <row r="53" spans="1:15">
      <c r="A53" s="754">
        <v>8050</v>
      </c>
      <c r="B53" s="755" t="s">
        <v>942</v>
      </c>
      <c r="C53" s="779">
        <v>243217</v>
      </c>
      <c r="D53" s="779">
        <v>0</v>
      </c>
      <c r="E53" s="779">
        <v>259877.21964169908</v>
      </c>
      <c r="F53" s="779">
        <v>61551.509167985794</v>
      </c>
      <c r="G53" s="779" t="s">
        <v>1148</v>
      </c>
      <c r="K53" s="1076"/>
      <c r="O53" s="1076"/>
    </row>
    <row r="54" spans="1:15">
      <c r="A54" s="754">
        <v>8051</v>
      </c>
      <c r="B54" s="755" t="s">
        <v>944</v>
      </c>
      <c r="C54" s="779">
        <v>29034914</v>
      </c>
      <c r="D54" s="779">
        <v>47034740</v>
      </c>
      <c r="E54" s="779">
        <v>8503421.0318327341</v>
      </c>
      <c r="F54" s="779">
        <v>2394707.6024022987</v>
      </c>
      <c r="G54" s="779">
        <v>323108</v>
      </c>
      <c r="K54" s="1076"/>
      <c r="O54" s="1076"/>
    </row>
    <row r="55" spans="1:15">
      <c r="A55" s="754">
        <v>8052</v>
      </c>
      <c r="B55" s="755" t="s">
        <v>951</v>
      </c>
      <c r="C55" s="779">
        <v>255383</v>
      </c>
      <c r="D55" s="779">
        <v>0</v>
      </c>
      <c r="E55" s="779">
        <v>203949.23095714519</v>
      </c>
      <c r="F55" s="779">
        <v>115127.04381585319</v>
      </c>
      <c r="G55" s="779" t="s">
        <v>1148</v>
      </c>
      <c r="K55" s="1076"/>
      <c r="O55" s="1076"/>
    </row>
    <row r="56" spans="1:15">
      <c r="A56" s="756">
        <v>8053</v>
      </c>
      <c r="B56" s="755" t="s">
        <v>958</v>
      </c>
      <c r="C56" s="779">
        <v>5412603</v>
      </c>
      <c r="D56" s="779">
        <v>4137589</v>
      </c>
      <c r="E56" s="779">
        <v>2357842.465751423</v>
      </c>
      <c r="F56" s="779">
        <v>87864.663725900085</v>
      </c>
      <c r="G56" s="779">
        <v>30191</v>
      </c>
      <c r="K56" s="1076"/>
      <c r="O56" s="1076"/>
    </row>
    <row r="57" spans="1:15">
      <c r="A57" s="754">
        <v>8054</v>
      </c>
      <c r="B57" s="755" t="s">
        <v>964</v>
      </c>
      <c r="C57" s="779">
        <v>14706955</v>
      </c>
      <c r="D57" s="779">
        <v>17067496</v>
      </c>
      <c r="E57" s="779">
        <v>2966141.4167898507</v>
      </c>
      <c r="F57" s="779">
        <v>951155.82843512844</v>
      </c>
      <c r="G57" s="779">
        <v>106000</v>
      </c>
      <c r="K57" s="1076"/>
      <c r="O57" s="1076"/>
    </row>
    <row r="58" spans="1:15">
      <c r="A58" s="754">
        <v>8055</v>
      </c>
      <c r="B58" s="755" t="s">
        <v>970</v>
      </c>
      <c r="C58" s="779">
        <v>1039733</v>
      </c>
      <c r="D58" s="779">
        <v>0</v>
      </c>
      <c r="E58" s="779">
        <v>1182056.0866451943</v>
      </c>
      <c r="F58" s="779">
        <v>554336.8733356673</v>
      </c>
      <c r="G58" s="779" t="s">
        <v>1148</v>
      </c>
      <c r="K58" s="1076"/>
      <c r="O58" s="1076"/>
    </row>
    <row r="59" spans="1:15">
      <c r="A59" s="754">
        <v>8056</v>
      </c>
      <c r="B59" s="755" t="s">
        <v>340</v>
      </c>
      <c r="C59" s="779">
        <v>89120417</v>
      </c>
      <c r="D59" s="779">
        <v>93048334</v>
      </c>
      <c r="E59" s="779">
        <v>2784937.6344655682</v>
      </c>
      <c r="F59" s="779">
        <v>4803197.7656897223</v>
      </c>
      <c r="G59" s="779">
        <v>3202843</v>
      </c>
      <c r="K59" s="1076"/>
      <c r="O59" s="1076"/>
    </row>
    <row r="60" spans="1:15">
      <c r="A60" s="756">
        <v>8057</v>
      </c>
      <c r="B60" s="755" t="s">
        <v>980</v>
      </c>
      <c r="C60" s="779">
        <v>93871</v>
      </c>
      <c r="D60" s="779">
        <v>0</v>
      </c>
      <c r="E60" s="779">
        <v>127354.60337554856</v>
      </c>
      <c r="F60" s="779">
        <v>90491.21021145639</v>
      </c>
      <c r="G60" s="779">
        <v>3000</v>
      </c>
      <c r="K60" s="1076"/>
      <c r="O60" s="1076"/>
    </row>
    <row r="61" spans="1:15">
      <c r="A61" s="756">
        <v>8058</v>
      </c>
      <c r="B61" s="755" t="s">
        <v>984</v>
      </c>
      <c r="C61" s="779">
        <v>3596557</v>
      </c>
      <c r="D61" s="779">
        <v>1394396</v>
      </c>
      <c r="E61" s="779">
        <v>813737.48866937996</v>
      </c>
      <c r="F61" s="779">
        <v>116345.84170044394</v>
      </c>
      <c r="G61" s="779">
        <v>75000</v>
      </c>
      <c r="K61" s="1076"/>
      <c r="O61" s="1076"/>
    </row>
    <row r="62" spans="1:15">
      <c r="A62" s="754">
        <v>8059</v>
      </c>
      <c r="B62" s="755" t="s">
        <v>993</v>
      </c>
      <c r="C62" s="779">
        <v>789593</v>
      </c>
      <c r="D62" s="779">
        <v>0</v>
      </c>
      <c r="E62" s="779">
        <v>394648.25710051408</v>
      </c>
      <c r="F62" s="779">
        <v>220326.42486267642</v>
      </c>
      <c r="G62" s="779">
        <v>3000</v>
      </c>
      <c r="K62" s="1076"/>
      <c r="O62" s="1076"/>
    </row>
    <row r="63" spans="1:15">
      <c r="A63" s="754">
        <v>8060</v>
      </c>
      <c r="B63" s="755" t="s">
        <v>997</v>
      </c>
      <c r="C63" s="779">
        <v>414115</v>
      </c>
      <c r="D63" s="779">
        <v>0</v>
      </c>
      <c r="E63" s="779">
        <v>174857.57900532981</v>
      </c>
      <c r="F63" s="779">
        <v>6508.030809584965</v>
      </c>
      <c r="G63" s="779">
        <v>1000</v>
      </c>
      <c r="K63" s="1076"/>
      <c r="O63" s="1076"/>
    </row>
    <row r="64" spans="1:15">
      <c r="A64" s="754">
        <v>8061</v>
      </c>
      <c r="B64" s="760" t="s">
        <v>1002</v>
      </c>
      <c r="C64" s="779">
        <v>2884158</v>
      </c>
      <c r="D64" s="779">
        <v>2086040</v>
      </c>
      <c r="E64" s="779">
        <v>2119910.2997646169</v>
      </c>
      <c r="F64" s="779">
        <v>23702.363650296644</v>
      </c>
      <c r="G64" s="779">
        <v>10000</v>
      </c>
      <c r="K64" s="1076"/>
      <c r="O64" s="1076"/>
    </row>
    <row r="65" spans="1:15">
      <c r="A65" s="754">
        <v>8062</v>
      </c>
      <c r="B65" s="755" t="s">
        <v>1004</v>
      </c>
      <c r="C65" s="779">
        <v>2084241</v>
      </c>
      <c r="D65" s="779">
        <v>0</v>
      </c>
      <c r="E65" s="779">
        <v>2811322.7318544001</v>
      </c>
      <c r="F65" s="779">
        <v>323869.39152850461</v>
      </c>
      <c r="G65" s="779">
        <v>10000</v>
      </c>
      <c r="K65" s="1076"/>
      <c r="O65" s="1076"/>
    </row>
    <row r="66" spans="1:15">
      <c r="A66" s="754">
        <v>8063</v>
      </c>
      <c r="B66" s="755" t="s">
        <v>1008</v>
      </c>
      <c r="C66" s="779">
        <v>1068373</v>
      </c>
      <c r="D66" s="779">
        <v>0</v>
      </c>
      <c r="E66" s="779">
        <v>573392.74768769997</v>
      </c>
      <c r="F66" s="779">
        <v>195836.21728062609</v>
      </c>
      <c r="G66" s="779">
        <v>27015</v>
      </c>
      <c r="K66" s="1076"/>
      <c r="O66" s="1076"/>
    </row>
    <row r="67" spans="1:15">
      <c r="A67" s="754">
        <v>8064</v>
      </c>
      <c r="B67" s="760" t="s">
        <v>1012</v>
      </c>
      <c r="C67" s="779">
        <v>3440562</v>
      </c>
      <c r="D67" s="779">
        <v>2931417</v>
      </c>
      <c r="E67" s="779">
        <v>3885458.6045494978</v>
      </c>
      <c r="F67" s="779">
        <v>92895.002805143173</v>
      </c>
      <c r="G67" s="779">
        <v>24000</v>
      </c>
      <c r="K67" s="1076"/>
      <c r="O67" s="1076"/>
    </row>
    <row r="68" spans="1:15">
      <c r="A68" s="754">
        <v>8065</v>
      </c>
      <c r="B68" s="755" t="s">
        <v>1014</v>
      </c>
      <c r="C68" s="779">
        <v>2678806</v>
      </c>
      <c r="D68" s="779">
        <v>0</v>
      </c>
      <c r="E68" s="779">
        <v>881097.60441179399</v>
      </c>
      <c r="F68" s="779">
        <v>613637.90945301834</v>
      </c>
      <c r="G68" s="779">
        <v>15000</v>
      </c>
      <c r="K68" s="1076"/>
      <c r="O68" s="1076"/>
    </row>
    <row r="69" spans="1:15">
      <c r="A69" s="754">
        <v>8066</v>
      </c>
      <c r="B69" s="755" t="s">
        <v>1021</v>
      </c>
      <c r="C69" s="779">
        <v>2942836</v>
      </c>
      <c r="D69" s="779">
        <v>516572</v>
      </c>
      <c r="E69" s="779">
        <v>1429376.4970328605</v>
      </c>
      <c r="F69" s="779">
        <v>42683.666170356635</v>
      </c>
      <c r="G69" s="779" t="s">
        <v>678</v>
      </c>
      <c r="K69" s="1076"/>
      <c r="O69" s="1076"/>
    </row>
    <row r="70" spans="1:15">
      <c r="A70" s="754">
        <v>8067</v>
      </c>
      <c r="B70" s="755" t="s">
        <v>1025</v>
      </c>
      <c r="C70" s="779">
        <v>9898305</v>
      </c>
      <c r="D70" s="779">
        <v>15370205</v>
      </c>
      <c r="E70" s="779">
        <v>9433910.4126984365</v>
      </c>
      <c r="F70" s="779">
        <v>434356.18825270684</v>
      </c>
      <c r="G70" s="779">
        <v>223380</v>
      </c>
      <c r="K70" s="1076"/>
      <c r="O70" s="1076"/>
    </row>
    <row r="71" spans="1:15">
      <c r="A71" s="756">
        <v>8068</v>
      </c>
      <c r="B71" s="755" t="s">
        <v>1027</v>
      </c>
      <c r="C71" s="779">
        <v>12707793</v>
      </c>
      <c r="D71" s="779">
        <v>14537589</v>
      </c>
      <c r="E71" s="779">
        <v>2378450.7900283933</v>
      </c>
      <c r="F71" s="779">
        <v>571749.17372271023</v>
      </c>
      <c r="G71" s="779">
        <v>120100</v>
      </c>
      <c r="K71" s="1076"/>
      <c r="O71" s="1076"/>
    </row>
    <row r="72" spans="1:15">
      <c r="A72" s="754">
        <v>8069</v>
      </c>
      <c r="B72" s="755" t="s">
        <v>1030</v>
      </c>
      <c r="C72" s="779">
        <v>6870385</v>
      </c>
      <c r="D72" s="779">
        <v>0</v>
      </c>
      <c r="E72" s="779">
        <v>4670230.1318093007</v>
      </c>
      <c r="F72" s="779">
        <v>6675276.5901901852</v>
      </c>
      <c r="G72" s="779">
        <v>78000</v>
      </c>
      <c r="K72" s="1076"/>
      <c r="O72" s="1076"/>
    </row>
    <row r="73" spans="1:15">
      <c r="A73" s="754">
        <v>8070</v>
      </c>
      <c r="B73" s="755" t="s">
        <v>1034</v>
      </c>
      <c r="C73" s="779">
        <v>556875</v>
      </c>
      <c r="D73" s="779">
        <v>0</v>
      </c>
      <c r="E73" s="779">
        <v>809528.27791197714</v>
      </c>
      <c r="F73" s="779">
        <v>58585.845544437398</v>
      </c>
      <c r="G73" s="779">
        <v>3200</v>
      </c>
      <c r="K73" s="1076"/>
      <c r="O73" s="1076"/>
    </row>
    <row r="74" spans="1:15">
      <c r="A74" s="754">
        <v>8071</v>
      </c>
      <c r="B74" s="755" t="s">
        <v>1037</v>
      </c>
      <c r="C74" s="779">
        <v>435041</v>
      </c>
      <c r="D74" s="779">
        <v>0</v>
      </c>
      <c r="E74" s="779">
        <v>335585.25263649155</v>
      </c>
      <c r="F74" s="779">
        <v>149881.9216752901</v>
      </c>
      <c r="G74" s="779">
        <v>1300</v>
      </c>
      <c r="K74" s="1076"/>
      <c r="O74" s="1076"/>
    </row>
    <row r="75" spans="1:15">
      <c r="A75" s="754">
        <v>8072</v>
      </c>
      <c r="B75" s="755" t="s">
        <v>1043</v>
      </c>
      <c r="C75" s="779">
        <v>22661265</v>
      </c>
      <c r="D75" s="779">
        <v>11435632</v>
      </c>
      <c r="E75" s="779">
        <v>6172917.7238964653</v>
      </c>
      <c r="F75" s="779">
        <v>545133.99826817261</v>
      </c>
      <c r="G75" s="779">
        <v>398520</v>
      </c>
      <c r="K75" s="1076"/>
      <c r="O75" s="1076"/>
    </row>
    <row r="76" spans="1:15">
      <c r="A76" s="754">
        <v>8073</v>
      </c>
      <c r="B76" s="755" t="s">
        <v>1046</v>
      </c>
      <c r="C76" s="779">
        <v>81622687</v>
      </c>
      <c r="D76" s="779">
        <v>78818247</v>
      </c>
      <c r="E76" s="779">
        <v>1237147.0562640028</v>
      </c>
      <c r="F76" s="779">
        <v>5797297.6713563753</v>
      </c>
      <c r="G76" s="779">
        <v>3388221</v>
      </c>
      <c r="K76" s="1076"/>
      <c r="O76" s="1076"/>
    </row>
    <row r="77" spans="1:15">
      <c r="A77" s="754">
        <v>8074</v>
      </c>
      <c r="B77" s="755" t="s">
        <v>341</v>
      </c>
      <c r="C77" s="779">
        <v>25527049</v>
      </c>
      <c r="D77" s="779">
        <v>18624813</v>
      </c>
      <c r="E77" s="779">
        <v>2206909.9977327874</v>
      </c>
      <c r="F77" s="779">
        <v>1170596.5755138213</v>
      </c>
      <c r="G77" s="779">
        <v>418938</v>
      </c>
      <c r="K77" s="1076"/>
      <c r="O77" s="1076"/>
    </row>
    <row r="78" spans="1:15">
      <c r="A78" s="756">
        <v>8075</v>
      </c>
      <c r="B78" s="755" t="s">
        <v>1050</v>
      </c>
      <c r="C78" s="779">
        <v>8566434</v>
      </c>
      <c r="D78" s="779">
        <v>2665380</v>
      </c>
      <c r="E78" s="779">
        <v>4597669.9689670308</v>
      </c>
      <c r="F78" s="779">
        <v>194515.87340114557</v>
      </c>
      <c r="G78" s="779">
        <v>158700</v>
      </c>
      <c r="K78" s="1076"/>
      <c r="O78" s="1076"/>
    </row>
    <row r="79" spans="1:15">
      <c r="A79" s="754">
        <v>8076</v>
      </c>
      <c r="B79" s="755" t="s">
        <v>1053</v>
      </c>
      <c r="C79" s="779">
        <v>27157924</v>
      </c>
      <c r="D79" s="779">
        <v>30718464</v>
      </c>
      <c r="E79" s="779">
        <v>3754441.2337513245</v>
      </c>
      <c r="F79" s="779">
        <v>1691656.4276902766</v>
      </c>
      <c r="G79" s="779">
        <v>404803</v>
      </c>
      <c r="K79" s="1076"/>
      <c r="O79" s="1076"/>
    </row>
    <row r="80" spans="1:15">
      <c r="A80" s="754">
        <v>8077</v>
      </c>
      <c r="B80" s="755" t="s">
        <v>1061</v>
      </c>
      <c r="C80" s="779">
        <v>50756176</v>
      </c>
      <c r="D80" s="779">
        <v>66134767</v>
      </c>
      <c r="E80" s="779">
        <v>533519.26606204361</v>
      </c>
      <c r="F80" s="779">
        <v>3271690.7232640241</v>
      </c>
      <c r="G80" s="779">
        <v>1614699</v>
      </c>
      <c r="K80" s="1076"/>
      <c r="O80" s="1076"/>
    </row>
    <row r="81" spans="1:15">
      <c r="A81" s="754">
        <v>8078</v>
      </c>
      <c r="B81" s="755" t="s">
        <v>1062</v>
      </c>
      <c r="C81" s="779">
        <v>428587</v>
      </c>
      <c r="D81" s="779">
        <v>0</v>
      </c>
      <c r="E81" s="779">
        <v>206586.2815230242</v>
      </c>
      <c r="F81" s="779">
        <v>29901.443374220373</v>
      </c>
      <c r="G81" s="779" t="s">
        <v>1148</v>
      </c>
      <c r="K81" s="1076"/>
      <c r="O81" s="1076"/>
    </row>
    <row r="82" spans="1:15">
      <c r="A82" s="754">
        <v>8079</v>
      </c>
      <c r="B82" s="755" t="s">
        <v>1063</v>
      </c>
      <c r="C82" s="779">
        <v>628793</v>
      </c>
      <c r="D82" s="779">
        <v>0</v>
      </c>
      <c r="E82" s="779">
        <v>715677.17755103402</v>
      </c>
      <c r="F82" s="779">
        <v>86724.516521272715</v>
      </c>
      <c r="G82" s="779" t="s">
        <v>1148</v>
      </c>
      <c r="K82" s="1076"/>
      <c r="O82" s="1076"/>
    </row>
    <row r="83" spans="1:15">
      <c r="A83" s="754">
        <v>8080</v>
      </c>
      <c r="B83" s="755" t="s">
        <v>1067</v>
      </c>
      <c r="C83" s="779">
        <v>17020</v>
      </c>
      <c r="D83" s="779">
        <v>0</v>
      </c>
      <c r="E83" s="779">
        <v>32873.657401125696</v>
      </c>
      <c r="F83" s="779">
        <v>8564.6812385880039</v>
      </c>
      <c r="G83" s="779" t="s">
        <v>1148</v>
      </c>
      <c r="K83" s="1076"/>
      <c r="O83" s="1076"/>
    </row>
    <row r="84" spans="1:15">
      <c r="A84" s="754">
        <v>8081</v>
      </c>
      <c r="B84" s="755" t="s">
        <v>1068</v>
      </c>
      <c r="C84" s="779">
        <v>805521</v>
      </c>
      <c r="D84" s="779">
        <v>0</v>
      </c>
      <c r="E84" s="779">
        <v>324503.1349912865</v>
      </c>
      <c r="F84" s="779">
        <v>181165.41579240008</v>
      </c>
      <c r="G84" s="779">
        <v>7500</v>
      </c>
      <c r="K84" s="1076"/>
      <c r="O84" s="1076"/>
    </row>
    <row r="85" spans="1:15">
      <c r="A85" s="754">
        <v>8082</v>
      </c>
      <c r="B85" s="755" t="s">
        <v>1071</v>
      </c>
      <c r="C85" s="779">
        <v>2192752</v>
      </c>
      <c r="D85" s="779">
        <v>0</v>
      </c>
      <c r="E85" s="779">
        <v>688060.1914679982</v>
      </c>
      <c r="F85" s="779">
        <v>1263848.5214126587</v>
      </c>
      <c r="G85" s="779" t="s">
        <v>678</v>
      </c>
      <c r="K85" s="1076"/>
      <c r="O85" s="1076"/>
    </row>
    <row r="86" spans="1:15">
      <c r="A86" s="754">
        <v>8083</v>
      </c>
      <c r="B86" s="755" t="s">
        <v>1077</v>
      </c>
      <c r="C86" s="779">
        <v>3035422</v>
      </c>
      <c r="D86" s="779">
        <v>0</v>
      </c>
      <c r="E86" s="779">
        <v>2821371.6239950885</v>
      </c>
      <c r="F86" s="779">
        <v>1726343.6295126178</v>
      </c>
      <c r="G86" s="779">
        <v>38920</v>
      </c>
      <c r="K86" s="1076"/>
      <c r="O86" s="1076"/>
    </row>
    <row r="87" spans="1:15">
      <c r="A87" s="754">
        <v>8084</v>
      </c>
      <c r="B87" s="755" t="s">
        <v>1078</v>
      </c>
      <c r="C87" s="779">
        <v>3011167</v>
      </c>
      <c r="D87" s="779">
        <v>0</v>
      </c>
      <c r="E87" s="779">
        <v>2003682.8288065642</v>
      </c>
      <c r="F87" s="779">
        <v>334160.12482580735</v>
      </c>
      <c r="G87" s="779">
        <v>3000</v>
      </c>
      <c r="K87" s="1076"/>
      <c r="O87" s="1076"/>
    </row>
    <row r="88" spans="1:15">
      <c r="A88" s="754">
        <v>8085</v>
      </c>
      <c r="B88" s="755" t="s">
        <v>1080</v>
      </c>
      <c r="C88" s="779">
        <v>2167906</v>
      </c>
      <c r="D88" s="779">
        <v>0</v>
      </c>
      <c r="E88" s="779">
        <v>1264287.3157934339</v>
      </c>
      <c r="F88" s="779">
        <v>431803.93627112085</v>
      </c>
      <c r="G88" s="779">
        <v>4900</v>
      </c>
      <c r="K88" s="1076"/>
      <c r="O88" s="1076"/>
    </row>
    <row r="89" spans="1:15">
      <c r="A89" s="754">
        <v>8086</v>
      </c>
      <c r="B89" s="755" t="s">
        <v>1084</v>
      </c>
      <c r="C89" s="779">
        <v>22688198</v>
      </c>
      <c r="D89" s="779">
        <v>28532466</v>
      </c>
      <c r="E89" s="779">
        <v>4430466.908532884</v>
      </c>
      <c r="F89" s="779">
        <v>1945718.71783163</v>
      </c>
      <c r="G89" s="779">
        <v>416000</v>
      </c>
      <c r="K89" s="1076"/>
      <c r="O89" s="1076"/>
    </row>
    <row r="90" spans="1:15">
      <c r="A90" s="754">
        <v>8087</v>
      </c>
      <c r="B90" s="755" t="s">
        <v>1087</v>
      </c>
      <c r="C90" s="779">
        <v>414590</v>
      </c>
      <c r="D90" s="779">
        <v>0</v>
      </c>
      <c r="E90" s="779">
        <v>214545.1016855519</v>
      </c>
      <c r="F90" s="779">
        <v>134949.24133060381</v>
      </c>
      <c r="G90" s="779" t="s">
        <v>1148</v>
      </c>
      <c r="K90" s="1076"/>
      <c r="O90" s="1076"/>
    </row>
    <row r="91" spans="1:15">
      <c r="A91" s="756">
        <v>8088</v>
      </c>
      <c r="B91" s="758" t="s">
        <v>1091</v>
      </c>
      <c r="C91" s="779">
        <v>19558227</v>
      </c>
      <c r="D91" s="779">
        <v>35145683</v>
      </c>
      <c r="E91" s="779">
        <v>6012139.6928992905</v>
      </c>
      <c r="F91" s="779">
        <v>1470698.0428316055</v>
      </c>
      <c r="G91" s="779">
        <v>692000</v>
      </c>
      <c r="K91" s="1076"/>
      <c r="O91" s="1076"/>
    </row>
    <row r="92" spans="1:15">
      <c r="A92" s="754">
        <v>8089</v>
      </c>
      <c r="B92" s="755" t="s">
        <v>342</v>
      </c>
      <c r="C92" s="779">
        <v>58083798</v>
      </c>
      <c r="D92" s="779">
        <v>54263802</v>
      </c>
      <c r="E92" s="779">
        <v>2928489.7857353678</v>
      </c>
      <c r="F92" s="779">
        <v>3345661.5015522051</v>
      </c>
      <c r="G92" s="779">
        <v>1429223</v>
      </c>
      <c r="K92" s="1076"/>
      <c r="O92" s="1076"/>
    </row>
    <row r="93" spans="1:15">
      <c r="A93" s="754">
        <v>8090</v>
      </c>
      <c r="B93" s="755" t="s">
        <v>1100</v>
      </c>
      <c r="C93" s="779">
        <v>415135</v>
      </c>
      <c r="D93" s="779">
        <v>0</v>
      </c>
      <c r="E93" s="779">
        <v>107486.80566373632</v>
      </c>
      <c r="F93" s="779">
        <v>8667.8701691734041</v>
      </c>
      <c r="G93" s="779">
        <v>1500</v>
      </c>
      <c r="K93" s="1076"/>
      <c r="O93" s="1076"/>
    </row>
    <row r="94" spans="1:15">
      <c r="A94" s="754">
        <v>8091</v>
      </c>
      <c r="B94" s="760" t="s">
        <v>1102</v>
      </c>
      <c r="C94" s="779">
        <v>12490638</v>
      </c>
      <c r="D94" s="779">
        <v>6112367</v>
      </c>
      <c r="E94" s="779">
        <v>2867721.075271266</v>
      </c>
      <c r="F94" s="779">
        <v>250096.16248274807</v>
      </c>
      <c r="G94" s="779">
        <v>85000</v>
      </c>
      <c r="K94" s="1076"/>
      <c r="O94" s="1076"/>
    </row>
    <row r="95" spans="1:15">
      <c r="A95" s="754">
        <v>8092</v>
      </c>
      <c r="B95" s="755" t="s">
        <v>1104</v>
      </c>
      <c r="C95" s="779">
        <v>6195523</v>
      </c>
      <c r="D95" s="779">
        <v>10038526</v>
      </c>
      <c r="E95" s="779">
        <v>5014145.9799839007</v>
      </c>
      <c r="F95" s="779">
        <v>264123.95154682815</v>
      </c>
      <c r="G95" s="779">
        <v>109000</v>
      </c>
      <c r="K95" s="1076"/>
      <c r="O95" s="1076"/>
    </row>
    <row r="96" spans="1:15">
      <c r="A96" s="754">
        <v>8093</v>
      </c>
      <c r="B96" s="755" t="s">
        <v>1105</v>
      </c>
      <c r="C96" s="779">
        <v>67900</v>
      </c>
      <c r="D96" s="779">
        <v>0</v>
      </c>
      <c r="E96" s="779">
        <v>37370.773733599708</v>
      </c>
      <c r="F96" s="779">
        <v>24340.824080067108</v>
      </c>
      <c r="G96" s="779" t="s">
        <v>1148</v>
      </c>
      <c r="K96" s="1076"/>
      <c r="O96" s="1076"/>
    </row>
    <row r="97" spans="1:15">
      <c r="A97" s="754">
        <v>8094</v>
      </c>
      <c r="B97" s="755" t="s">
        <v>1108</v>
      </c>
      <c r="C97" s="779">
        <v>3072666</v>
      </c>
      <c r="D97" s="779">
        <v>2250835</v>
      </c>
      <c r="E97" s="779">
        <v>1605949.5233454567</v>
      </c>
      <c r="F97" s="779">
        <v>54655.286445076163</v>
      </c>
      <c r="G97" s="779">
        <v>15000</v>
      </c>
      <c r="K97" s="1076"/>
      <c r="O97" s="1076"/>
    </row>
    <row r="98" spans="1:15">
      <c r="A98" s="754">
        <v>8095</v>
      </c>
      <c r="B98" s="755" t="s">
        <v>1110</v>
      </c>
      <c r="C98" s="779">
        <v>194293</v>
      </c>
      <c r="D98" s="779">
        <v>0</v>
      </c>
      <c r="E98" s="779">
        <v>73014.548737565827</v>
      </c>
      <c r="F98" s="779">
        <v>108701.24942483334</v>
      </c>
      <c r="G98" s="779" t="s">
        <v>1148</v>
      </c>
      <c r="K98" s="1076"/>
      <c r="O98" s="1076"/>
    </row>
    <row r="99" spans="1:15">
      <c r="A99" s="754">
        <v>8096</v>
      </c>
      <c r="B99" s="755" t="s">
        <v>1113</v>
      </c>
      <c r="C99" s="779">
        <v>66279131</v>
      </c>
      <c r="D99" s="779">
        <v>97343012</v>
      </c>
      <c r="E99" s="779">
        <v>3710042.8551154984</v>
      </c>
      <c r="F99" s="779">
        <v>5392730.8385657258</v>
      </c>
      <c r="G99" s="779">
        <v>1500653</v>
      </c>
      <c r="K99" s="1076"/>
      <c r="O99" s="1076"/>
    </row>
    <row r="100" spans="1:15">
      <c r="A100" s="754">
        <v>8097</v>
      </c>
      <c r="B100" s="755" t="s">
        <v>1116</v>
      </c>
      <c r="C100" s="779">
        <v>2245378</v>
      </c>
      <c r="D100" s="779">
        <v>0</v>
      </c>
      <c r="E100" s="779">
        <v>1625402.1795282559</v>
      </c>
      <c r="F100" s="779">
        <v>979045.97037647944</v>
      </c>
      <c r="G100" s="779">
        <v>75000</v>
      </c>
      <c r="K100" s="1076"/>
      <c r="O100" s="1076"/>
    </row>
    <row r="101" spans="1:15">
      <c r="A101" s="754">
        <v>8098</v>
      </c>
      <c r="B101" s="755" t="s">
        <v>1121</v>
      </c>
      <c r="C101" s="779">
        <v>4752106</v>
      </c>
      <c r="D101" s="779">
        <v>3234543</v>
      </c>
      <c r="E101" s="779">
        <v>5300453.788016526</v>
      </c>
      <c r="F101" s="779">
        <v>57948.956070314045</v>
      </c>
      <c r="G101" s="779">
        <v>85000</v>
      </c>
      <c r="K101" s="1076"/>
      <c r="O101" s="1076"/>
    </row>
    <row r="102" spans="1:15">
      <c r="A102" s="754">
        <v>8099</v>
      </c>
      <c r="B102" s="755" t="s">
        <v>1125</v>
      </c>
      <c r="C102" s="779">
        <v>1382573</v>
      </c>
      <c r="D102" s="779">
        <v>46488</v>
      </c>
      <c r="E102" s="779">
        <v>1795186.9613764319</v>
      </c>
      <c r="F102" s="779">
        <v>7291.6471038157015</v>
      </c>
      <c r="G102" s="779">
        <v>12500</v>
      </c>
      <c r="K102" s="1076"/>
      <c r="O102" s="1076"/>
    </row>
    <row r="103" spans="1:15">
      <c r="A103" s="754">
        <v>8100</v>
      </c>
      <c r="B103" s="755" t="s">
        <v>1127</v>
      </c>
      <c r="C103" s="779">
        <v>5079408</v>
      </c>
      <c r="D103" s="779">
        <v>5337160</v>
      </c>
      <c r="E103" s="779">
        <v>1729353.7935864932</v>
      </c>
      <c r="F103" s="779">
        <v>112866.42612969974</v>
      </c>
      <c r="G103" s="779">
        <v>70000</v>
      </c>
      <c r="K103" s="1076"/>
      <c r="O103" s="1076"/>
    </row>
    <row r="104" spans="1:15">
      <c r="A104" s="754">
        <v>8101</v>
      </c>
      <c r="B104" s="755" t="s">
        <v>1135</v>
      </c>
      <c r="C104" s="779">
        <v>221784525</v>
      </c>
      <c r="D104" s="779">
        <v>198290377</v>
      </c>
      <c r="E104" s="779">
        <v>2550899.3892150177</v>
      </c>
      <c r="F104" s="779">
        <v>14799453.852156011</v>
      </c>
      <c r="G104" s="779">
        <v>8866716</v>
      </c>
      <c r="K104" s="1076"/>
      <c r="O104" s="1076"/>
    </row>
    <row r="105" spans="1:15">
      <c r="A105" s="754">
        <v>8102</v>
      </c>
      <c r="B105" s="755" t="s">
        <v>1136</v>
      </c>
      <c r="C105" s="779">
        <v>51737972</v>
      </c>
      <c r="D105" s="779">
        <v>73029720</v>
      </c>
      <c r="E105" s="779">
        <v>9821372.4478173666</v>
      </c>
      <c r="F105" s="779">
        <v>4394960.1568198632</v>
      </c>
      <c r="G105" s="779">
        <v>2277130</v>
      </c>
      <c r="K105" s="1076"/>
      <c r="O105" s="1076"/>
    </row>
    <row r="106" spans="1:15">
      <c r="A106" s="754">
        <v>8103</v>
      </c>
      <c r="B106" s="755" t="s">
        <v>1137</v>
      </c>
      <c r="C106" s="779">
        <v>1275078</v>
      </c>
      <c r="D106" s="779">
        <v>0</v>
      </c>
      <c r="E106" s="779">
        <v>911604.34459868947</v>
      </c>
      <c r="F106" s="779">
        <v>529292.96765372436</v>
      </c>
      <c r="G106" s="779" t="s">
        <v>678</v>
      </c>
      <c r="K106" s="1076"/>
      <c r="O106" s="1076"/>
    </row>
    <row r="107" spans="1:15">
      <c r="A107" s="754">
        <v>8104</v>
      </c>
      <c r="B107" s="755" t="s">
        <v>1142</v>
      </c>
      <c r="C107" s="779">
        <v>1557519</v>
      </c>
      <c r="D107" s="779">
        <v>0</v>
      </c>
      <c r="E107" s="779">
        <v>1249147.9315039453</v>
      </c>
      <c r="F107" s="779">
        <v>248508.44816359368</v>
      </c>
      <c r="G107" s="779">
        <v>5000</v>
      </c>
      <c r="K107" s="1076"/>
      <c r="O107" s="1076"/>
    </row>
    <row r="108" spans="1:15">
      <c r="A108" s="754">
        <v>8105</v>
      </c>
      <c r="B108" s="755" t="s">
        <v>1147</v>
      </c>
      <c r="C108" s="779">
        <v>12370447</v>
      </c>
      <c r="D108" s="779">
        <v>15604419</v>
      </c>
      <c r="E108" s="779">
        <v>783814.66100784519</v>
      </c>
      <c r="F108" s="779">
        <v>986683.60640104115</v>
      </c>
      <c r="G108" s="779">
        <v>220766</v>
      </c>
      <c r="K108" s="1076"/>
      <c r="O108" s="1076"/>
    </row>
    <row r="109" spans="1:15">
      <c r="A109" s="754">
        <v>8106</v>
      </c>
      <c r="B109" s="755" t="s">
        <v>1149</v>
      </c>
      <c r="C109" s="779">
        <v>13645034</v>
      </c>
      <c r="D109" s="779">
        <v>14604627</v>
      </c>
      <c r="E109" s="779">
        <v>6027053.9733495386</v>
      </c>
      <c r="F109" s="779">
        <v>735447.60846621089</v>
      </c>
      <c r="G109" s="779">
        <v>470000</v>
      </c>
      <c r="K109" s="1076"/>
      <c r="O109" s="1076"/>
    </row>
    <row r="110" spans="1:15">
      <c r="A110" s="756">
        <v>8107</v>
      </c>
      <c r="B110" s="755" t="s">
        <v>1155</v>
      </c>
      <c r="C110" s="779">
        <v>19922077</v>
      </c>
      <c r="D110" s="779">
        <v>11744285</v>
      </c>
      <c r="E110" s="779">
        <v>10856561.70879392</v>
      </c>
      <c r="F110" s="779">
        <v>242683.92162271324</v>
      </c>
      <c r="G110" s="779">
        <v>221508</v>
      </c>
      <c r="K110" s="1076"/>
      <c r="O110" s="1076"/>
    </row>
    <row r="111" spans="1:15">
      <c r="A111" s="754">
        <v>8108</v>
      </c>
      <c r="B111" s="755" t="s">
        <v>1158</v>
      </c>
      <c r="C111" s="779">
        <v>9268253</v>
      </c>
      <c r="D111" s="779">
        <v>7831027</v>
      </c>
      <c r="E111" s="779">
        <v>3934204.3749086782</v>
      </c>
      <c r="F111" s="779">
        <v>213797.14355547147</v>
      </c>
      <c r="G111" s="779">
        <v>67500</v>
      </c>
      <c r="K111" s="1076"/>
      <c r="O111" s="1076"/>
    </row>
    <row r="112" spans="1:15">
      <c r="A112" s="754">
        <v>8109</v>
      </c>
      <c r="B112" s="755" t="s">
        <v>1160</v>
      </c>
      <c r="C112" s="779">
        <v>324879</v>
      </c>
      <c r="D112" s="779">
        <v>0</v>
      </c>
      <c r="E112" s="779">
        <v>286872.02939159021</v>
      </c>
      <c r="F112" s="779">
        <v>72663.603017137095</v>
      </c>
      <c r="G112" s="779" t="s">
        <v>1148</v>
      </c>
      <c r="K112" s="1076"/>
      <c r="O112" s="1076"/>
    </row>
    <row r="113" spans="1:15">
      <c r="A113" s="754">
        <v>8110</v>
      </c>
      <c r="B113" s="755" t="s">
        <v>343</v>
      </c>
      <c r="C113" s="779">
        <v>22026513</v>
      </c>
      <c r="D113" s="779">
        <v>31297963</v>
      </c>
      <c r="E113" s="779">
        <v>2332303.7561022537</v>
      </c>
      <c r="F113" s="779">
        <v>1568723.2570513037</v>
      </c>
      <c r="G113" s="779">
        <v>594225</v>
      </c>
      <c r="K113" s="1076"/>
      <c r="O113" s="1076"/>
    </row>
    <row r="114" spans="1:15">
      <c r="A114" s="754">
        <v>8111</v>
      </c>
      <c r="B114" s="755" t="s">
        <v>1171</v>
      </c>
      <c r="C114" s="779">
        <v>960963</v>
      </c>
      <c r="D114" s="779">
        <v>0</v>
      </c>
      <c r="E114" s="779">
        <v>256003.6070112664</v>
      </c>
      <c r="F114" s="779">
        <v>88929.940194005452</v>
      </c>
      <c r="G114" s="779">
        <v>3000</v>
      </c>
      <c r="K114" s="1076"/>
      <c r="O114" s="1076"/>
    </row>
    <row r="115" spans="1:15">
      <c r="A115" s="754">
        <v>8112</v>
      </c>
      <c r="B115" s="755" t="s">
        <v>721</v>
      </c>
      <c r="C115" s="779">
        <v>22527951</v>
      </c>
      <c r="D115" s="779">
        <v>27865349</v>
      </c>
      <c r="E115" s="779">
        <v>18402294.441299129</v>
      </c>
      <c r="F115" s="779">
        <v>842664.74454417208</v>
      </c>
      <c r="G115" s="779">
        <v>296639</v>
      </c>
      <c r="K115" s="1076"/>
      <c r="O115" s="1076"/>
    </row>
    <row r="116" spans="1:15">
      <c r="A116" s="754">
        <v>8113</v>
      </c>
      <c r="B116" s="755" t="s">
        <v>699</v>
      </c>
      <c r="C116" s="779">
        <v>104557541</v>
      </c>
      <c r="D116" s="779">
        <v>171418456</v>
      </c>
      <c r="E116" s="779">
        <v>7116955.1770423912</v>
      </c>
      <c r="F116" s="779">
        <v>9650499.7070267089</v>
      </c>
      <c r="G116" s="779">
        <v>1162986</v>
      </c>
      <c r="K116" s="1076"/>
      <c r="O116" s="1076"/>
    </row>
    <row r="117" spans="1:15">
      <c r="A117" s="754">
        <v>8114</v>
      </c>
      <c r="B117" s="755" t="s">
        <v>677</v>
      </c>
      <c r="C117" s="779">
        <v>27376668</v>
      </c>
      <c r="D117" s="779">
        <v>39158953</v>
      </c>
      <c r="E117" s="779">
        <v>1325951.0726696742</v>
      </c>
      <c r="F117" s="779">
        <v>2612545.2432966833</v>
      </c>
      <c r="G117" s="779">
        <v>616748</v>
      </c>
      <c r="K117" s="1076"/>
      <c r="O117" s="1076"/>
    </row>
    <row r="118" spans="1:15">
      <c r="A118" s="754">
        <v>8115</v>
      </c>
      <c r="B118" s="755" t="s">
        <v>1183</v>
      </c>
      <c r="C118" s="779">
        <v>5871624</v>
      </c>
      <c r="D118" s="779">
        <v>7546204</v>
      </c>
      <c r="E118" s="779">
        <v>1773888.1631545031</v>
      </c>
      <c r="F118" s="779">
        <v>286243.15654223028</v>
      </c>
      <c r="G118" s="779">
        <v>236459</v>
      </c>
      <c r="K118" s="1076"/>
      <c r="O118" s="1076"/>
    </row>
    <row r="119" spans="1:15">
      <c r="A119" s="754">
        <v>8116</v>
      </c>
      <c r="B119" s="760" t="s">
        <v>1184</v>
      </c>
      <c r="C119" s="779">
        <v>1041331</v>
      </c>
      <c r="D119" s="779">
        <v>92306</v>
      </c>
      <c r="E119" s="779">
        <v>1129785.7038014203</v>
      </c>
      <c r="F119" s="779">
        <v>5750.0968876741154</v>
      </c>
      <c r="G119" s="779">
        <v>49000</v>
      </c>
      <c r="K119" s="1076"/>
      <c r="O119" s="1076"/>
    </row>
    <row r="120" spans="1:15">
      <c r="A120" s="756">
        <v>8117</v>
      </c>
      <c r="B120" s="758" t="s">
        <v>1187</v>
      </c>
      <c r="C120" s="779">
        <v>4440948</v>
      </c>
      <c r="D120" s="779">
        <v>4880788</v>
      </c>
      <c r="E120" s="779">
        <v>5075217.7822953481</v>
      </c>
      <c r="F120" s="779">
        <v>112296.23029655912</v>
      </c>
      <c r="G120" s="779" t="s">
        <v>678</v>
      </c>
      <c r="K120" s="1076"/>
      <c r="O120" s="1076"/>
    </row>
    <row r="121" spans="1:15">
      <c r="A121" s="754">
        <v>8118</v>
      </c>
      <c r="B121" s="755" t="s">
        <v>344</v>
      </c>
      <c r="C121" s="779">
        <v>28164023</v>
      </c>
      <c r="D121" s="779">
        <v>39657228</v>
      </c>
      <c r="E121" s="779">
        <v>831076.24932837638</v>
      </c>
      <c r="F121" s="779">
        <v>2008099.5502988982</v>
      </c>
      <c r="G121" s="779">
        <v>1138299</v>
      </c>
      <c r="K121" s="1076"/>
      <c r="O121" s="1076"/>
    </row>
    <row r="122" spans="1:15">
      <c r="A122" s="754">
        <v>8119</v>
      </c>
      <c r="B122" s="755" t="s">
        <v>1194</v>
      </c>
      <c r="C122" s="779">
        <v>12474994</v>
      </c>
      <c r="D122" s="779">
        <v>7398484</v>
      </c>
      <c r="E122" s="779">
        <v>6956755.121987096</v>
      </c>
      <c r="F122" s="779">
        <v>402404.13403874543</v>
      </c>
      <c r="G122" s="779">
        <v>260676</v>
      </c>
      <c r="K122" s="1076"/>
      <c r="O122" s="1076"/>
    </row>
    <row r="123" spans="1:15">
      <c r="A123" s="754">
        <v>8120</v>
      </c>
      <c r="B123" s="755" t="s">
        <v>1197</v>
      </c>
      <c r="C123" s="779">
        <v>17095471</v>
      </c>
      <c r="D123" s="779">
        <v>41605229</v>
      </c>
      <c r="E123" s="779">
        <v>2032533.7021443022</v>
      </c>
      <c r="F123" s="779">
        <v>626308.17278690776</v>
      </c>
      <c r="G123" s="779">
        <v>373000</v>
      </c>
      <c r="K123" s="1076"/>
      <c r="O123" s="1076"/>
    </row>
    <row r="124" spans="1:15">
      <c r="A124" s="754">
        <v>8121</v>
      </c>
      <c r="B124" s="755" t="s">
        <v>345</v>
      </c>
      <c r="C124" s="779">
        <v>139920999</v>
      </c>
      <c r="D124" s="779">
        <v>132865713</v>
      </c>
      <c r="E124" s="779">
        <v>2638606.8979882253</v>
      </c>
      <c r="F124" s="779">
        <v>9968336.7505742125</v>
      </c>
      <c r="G124" s="779">
        <v>3180866</v>
      </c>
      <c r="K124" s="1076"/>
      <c r="O124" s="1076"/>
    </row>
    <row r="125" spans="1:15">
      <c r="A125" s="756">
        <v>8122</v>
      </c>
      <c r="B125" s="755" t="s">
        <v>1204</v>
      </c>
      <c r="C125" s="779">
        <v>3304772</v>
      </c>
      <c r="D125" s="779">
        <v>3083526</v>
      </c>
      <c r="E125" s="779">
        <v>2185684.9877927732</v>
      </c>
      <c r="F125" s="779">
        <v>113465.4232067057</v>
      </c>
      <c r="G125" s="779">
        <v>10000</v>
      </c>
      <c r="K125" s="1076"/>
      <c r="O125" s="1076"/>
    </row>
    <row r="126" spans="1:15">
      <c r="A126" s="754">
        <v>8123</v>
      </c>
      <c r="B126" s="755" t="s">
        <v>1208</v>
      </c>
      <c r="C126" s="779">
        <v>32649055</v>
      </c>
      <c r="D126" s="779">
        <v>33029244</v>
      </c>
      <c r="E126" s="779">
        <v>1031688.7194769792</v>
      </c>
      <c r="F126" s="779">
        <v>2219110.3214884256</v>
      </c>
      <c r="G126" s="779">
        <v>358760</v>
      </c>
      <c r="K126" s="1076"/>
      <c r="O126" s="1076"/>
    </row>
    <row r="127" spans="1:15">
      <c r="A127" s="754">
        <v>8124</v>
      </c>
      <c r="B127" s="755" t="s">
        <v>1214</v>
      </c>
      <c r="C127" s="779">
        <v>54166834</v>
      </c>
      <c r="D127" s="779">
        <v>71193628</v>
      </c>
      <c r="E127" s="779">
        <v>3576641.9795381255</v>
      </c>
      <c r="F127" s="779">
        <v>4712708.9516383233</v>
      </c>
      <c r="G127" s="779">
        <v>1481896</v>
      </c>
      <c r="K127" s="1076"/>
      <c r="O127" s="1076"/>
    </row>
    <row r="128" spans="1:15">
      <c r="A128" s="754">
        <v>8125</v>
      </c>
      <c r="B128" s="755" t="s">
        <v>1220</v>
      </c>
      <c r="C128" s="779">
        <v>36312572</v>
      </c>
      <c r="D128" s="779">
        <v>51683560</v>
      </c>
      <c r="E128" s="779">
        <v>1983704.9300898965</v>
      </c>
      <c r="F128" s="779">
        <v>3188590.4498158684</v>
      </c>
      <c r="G128" s="779">
        <v>1312255</v>
      </c>
      <c r="K128" s="1076"/>
      <c r="O128" s="1076"/>
    </row>
    <row r="129" spans="1:15">
      <c r="A129" s="754">
        <v>8126</v>
      </c>
      <c r="B129" s="755" t="s">
        <v>346</v>
      </c>
      <c r="C129" s="779">
        <v>14120567</v>
      </c>
      <c r="D129" s="779">
        <v>15674612</v>
      </c>
      <c r="E129" s="779">
        <v>164874.22772105673</v>
      </c>
      <c r="F129" s="779">
        <v>1275366.8116117606</v>
      </c>
      <c r="G129" s="779">
        <v>434750</v>
      </c>
      <c r="K129" s="1076"/>
      <c r="O129" s="1076"/>
    </row>
    <row r="130" spans="1:15">
      <c r="A130" s="754">
        <v>8127</v>
      </c>
      <c r="B130" s="755" t="s">
        <v>1227</v>
      </c>
      <c r="C130" s="779">
        <v>5442439</v>
      </c>
      <c r="D130" s="779">
        <v>0</v>
      </c>
      <c r="E130" s="779">
        <v>1311867.484890376</v>
      </c>
      <c r="F130" s="779">
        <v>1494502.5705522487</v>
      </c>
      <c r="G130" s="779">
        <v>117329</v>
      </c>
      <c r="K130" s="1076"/>
      <c r="O130" s="1076"/>
    </row>
    <row r="131" spans="1:15">
      <c r="A131" s="754">
        <v>8128</v>
      </c>
      <c r="B131" s="755" t="s">
        <v>1230</v>
      </c>
      <c r="C131" s="779">
        <v>1057613</v>
      </c>
      <c r="D131" s="779">
        <v>0</v>
      </c>
      <c r="E131" s="779">
        <v>963147.96193260746</v>
      </c>
      <c r="F131" s="779">
        <v>103559.27174730918</v>
      </c>
      <c r="G131" s="779">
        <v>57374</v>
      </c>
      <c r="K131" s="1076"/>
      <c r="O131" s="1076"/>
    </row>
    <row r="132" spans="1:15">
      <c r="A132" s="754">
        <v>8129</v>
      </c>
      <c r="B132" s="755" t="s">
        <v>1233</v>
      </c>
      <c r="C132" s="779">
        <v>1023776</v>
      </c>
      <c r="D132" s="779">
        <v>0</v>
      </c>
      <c r="E132" s="779">
        <v>739307.57176574192</v>
      </c>
      <c r="F132" s="779">
        <v>173352.79281422915</v>
      </c>
      <c r="G132" s="779" t="s">
        <v>1148</v>
      </c>
      <c r="K132" s="1076"/>
      <c r="O132" s="1076"/>
    </row>
    <row r="133" spans="1:15">
      <c r="A133" s="754">
        <v>8130</v>
      </c>
      <c r="B133" s="755" t="s">
        <v>1237</v>
      </c>
      <c r="C133" s="779">
        <v>298432</v>
      </c>
      <c r="D133" s="779">
        <v>0</v>
      </c>
      <c r="E133" s="779">
        <v>79869.290127485001</v>
      </c>
      <c r="F133" s="779">
        <v>41617.21358517222</v>
      </c>
      <c r="G133" s="779" t="s">
        <v>1148</v>
      </c>
      <c r="K133" s="1076"/>
      <c r="O133" s="1076"/>
    </row>
    <row r="134" spans="1:15">
      <c r="A134" s="754">
        <v>8131</v>
      </c>
      <c r="B134" s="755" t="s">
        <v>1240</v>
      </c>
      <c r="C134" s="779">
        <v>1120439</v>
      </c>
      <c r="D134" s="779">
        <v>2850707</v>
      </c>
      <c r="E134" s="779">
        <v>1781450.692197226</v>
      </c>
      <c r="F134" s="779">
        <v>38063.987668621863</v>
      </c>
      <c r="G134" s="779" t="s">
        <v>1148</v>
      </c>
      <c r="K134" s="1076"/>
      <c r="O134" s="1076"/>
    </row>
    <row r="135" spans="1:15">
      <c r="A135" s="754">
        <v>8132</v>
      </c>
      <c r="B135" s="755" t="s">
        <v>1245</v>
      </c>
      <c r="C135" s="779">
        <v>1092756</v>
      </c>
      <c r="D135" s="779">
        <v>0</v>
      </c>
      <c r="E135" s="779">
        <v>652904.13936476945</v>
      </c>
      <c r="F135" s="779">
        <v>10766.02823014012</v>
      </c>
      <c r="G135" s="779" t="s">
        <v>1148</v>
      </c>
      <c r="K135" s="1076"/>
      <c r="O135" s="1076"/>
    </row>
    <row r="136" spans="1:15">
      <c r="A136" s="754">
        <v>8133</v>
      </c>
      <c r="B136" s="755" t="s">
        <v>1249</v>
      </c>
      <c r="C136" s="779">
        <v>219090</v>
      </c>
      <c r="D136" s="779">
        <v>0</v>
      </c>
      <c r="E136" s="779">
        <v>185624.56690044588</v>
      </c>
      <c r="F136" s="779">
        <v>75043.511626159714</v>
      </c>
      <c r="G136" s="779">
        <v>2000</v>
      </c>
      <c r="K136" s="1076"/>
      <c r="O136" s="1076"/>
    </row>
    <row r="137" spans="1:15">
      <c r="A137" s="754">
        <v>8134</v>
      </c>
      <c r="B137" s="755" t="s">
        <v>1253</v>
      </c>
      <c r="C137" s="779">
        <v>1287758</v>
      </c>
      <c r="D137" s="779">
        <v>2777519</v>
      </c>
      <c r="E137" s="779">
        <v>562038.33417614468</v>
      </c>
      <c r="F137" s="779">
        <v>86221.24174785697</v>
      </c>
      <c r="G137" s="779" t="s">
        <v>1148</v>
      </c>
      <c r="K137" s="1076"/>
      <c r="O137" s="1076"/>
    </row>
    <row r="138" spans="1:15">
      <c r="A138" s="754">
        <v>8135</v>
      </c>
      <c r="B138" s="755" t="s">
        <v>1255</v>
      </c>
      <c r="C138" s="779">
        <v>9220758</v>
      </c>
      <c r="D138" s="779">
        <v>14728810</v>
      </c>
      <c r="E138" s="779">
        <v>908124.71389321063</v>
      </c>
      <c r="F138" s="779">
        <v>777663.21200259728</v>
      </c>
      <c r="G138" s="779">
        <v>55000</v>
      </c>
      <c r="K138" s="1076"/>
      <c r="O138" s="1076"/>
    </row>
    <row r="139" spans="1:15">
      <c r="A139" s="754">
        <v>8136</v>
      </c>
      <c r="B139" s="755" t="s">
        <v>1256</v>
      </c>
      <c r="C139" s="779">
        <v>17153157</v>
      </c>
      <c r="D139" s="779">
        <v>24769680</v>
      </c>
      <c r="E139" s="779">
        <v>1982534.4155755809</v>
      </c>
      <c r="F139" s="779">
        <v>1385648.3315099319</v>
      </c>
      <c r="G139" s="779">
        <v>155662</v>
      </c>
      <c r="K139" s="1076"/>
      <c r="O139" s="1076"/>
    </row>
    <row r="140" spans="1:15">
      <c r="A140" s="754">
        <v>8137</v>
      </c>
      <c r="B140" s="755" t="s">
        <v>1258</v>
      </c>
      <c r="C140" s="779">
        <v>667517</v>
      </c>
      <c r="D140" s="779">
        <v>0</v>
      </c>
      <c r="E140" s="779">
        <v>129443.82782108607</v>
      </c>
      <c r="F140" s="779">
        <v>286784.37796839018</v>
      </c>
      <c r="G140" s="779">
        <v>1000</v>
      </c>
      <c r="K140" s="1076"/>
      <c r="O140" s="1076"/>
    </row>
    <row r="141" spans="1:15">
      <c r="A141" s="754">
        <v>8138</v>
      </c>
      <c r="B141" s="760" t="s">
        <v>1260</v>
      </c>
      <c r="C141" s="779">
        <v>8879325</v>
      </c>
      <c r="D141" s="779">
        <v>3593204</v>
      </c>
      <c r="E141" s="779">
        <v>10178966.958755057</v>
      </c>
      <c r="F141" s="779">
        <v>171953.21676278216</v>
      </c>
      <c r="G141" s="779">
        <v>90080</v>
      </c>
      <c r="K141" s="1076"/>
      <c r="O141" s="1076"/>
    </row>
    <row r="142" spans="1:15">
      <c r="A142" s="756">
        <v>8139</v>
      </c>
      <c r="B142" s="757" t="s">
        <v>1263</v>
      </c>
      <c r="C142" s="779">
        <v>610579</v>
      </c>
      <c r="D142" s="779">
        <v>0</v>
      </c>
      <c r="E142" s="779">
        <v>233295.41015865366</v>
      </c>
      <c r="F142" s="779">
        <v>53469.18870986368</v>
      </c>
      <c r="G142" s="779" t="s">
        <v>1148</v>
      </c>
      <c r="K142" s="1076"/>
      <c r="O142" s="1076"/>
    </row>
    <row r="143" spans="1:15">
      <c r="A143" s="756">
        <v>8140</v>
      </c>
      <c r="B143" s="755" t="s">
        <v>1268</v>
      </c>
      <c r="C143" s="779">
        <v>7992358</v>
      </c>
      <c r="D143" s="779">
        <v>12276162</v>
      </c>
      <c r="E143" s="779">
        <v>5744557.9717994491</v>
      </c>
      <c r="F143" s="779">
        <v>297713.95724372973</v>
      </c>
      <c r="G143" s="779">
        <v>28000</v>
      </c>
      <c r="K143" s="1076"/>
      <c r="O143" s="1076"/>
    </row>
    <row r="144" spans="1:15">
      <c r="A144" s="756">
        <v>8141</v>
      </c>
      <c r="B144" s="755" t="s">
        <v>1269</v>
      </c>
      <c r="C144" s="779">
        <v>8045669</v>
      </c>
      <c r="D144" s="779">
        <v>12861210</v>
      </c>
      <c r="E144" s="779">
        <v>5249535.9581779316</v>
      </c>
      <c r="F144" s="779">
        <v>381412.02018319455</v>
      </c>
      <c r="G144" s="779">
        <v>71967</v>
      </c>
      <c r="K144" s="1076"/>
      <c r="O144" s="1076"/>
    </row>
    <row r="145" spans="1:15">
      <c r="A145" s="754">
        <v>8142</v>
      </c>
      <c r="B145" s="755" t="s">
        <v>1272</v>
      </c>
      <c r="C145" s="779">
        <v>280688</v>
      </c>
      <c r="D145" s="779">
        <v>0</v>
      </c>
      <c r="E145" s="779">
        <v>144419.11347211414</v>
      </c>
      <c r="F145" s="779">
        <v>19803.148901347704</v>
      </c>
      <c r="G145" s="779">
        <v>500</v>
      </c>
      <c r="K145" s="1076"/>
      <c r="O145" s="1076"/>
    </row>
    <row r="146" spans="1:15">
      <c r="A146" s="754">
        <v>8143</v>
      </c>
      <c r="B146" s="755" t="s">
        <v>1274</v>
      </c>
      <c r="C146" s="779">
        <v>5102028</v>
      </c>
      <c r="D146" s="779">
        <v>3886265</v>
      </c>
      <c r="E146" s="779">
        <v>3169886.5530462731</v>
      </c>
      <c r="F146" s="779">
        <v>117866.87645230613</v>
      </c>
      <c r="G146" s="779">
        <v>116180</v>
      </c>
      <c r="K146" s="1076"/>
      <c r="O146" s="1076"/>
    </row>
    <row r="147" spans="1:15">
      <c r="A147" s="754">
        <v>8144</v>
      </c>
      <c r="B147" s="755" t="s">
        <v>1278</v>
      </c>
      <c r="C147" s="779">
        <v>1402354</v>
      </c>
      <c r="D147" s="779">
        <v>0</v>
      </c>
      <c r="E147" s="779">
        <v>1452982.4514152093</v>
      </c>
      <c r="F147" s="779">
        <v>100678.26051926051</v>
      </c>
      <c r="G147" s="779">
        <v>3100</v>
      </c>
      <c r="K147" s="1076"/>
      <c r="O147" s="1076"/>
    </row>
    <row r="148" spans="1:15">
      <c r="A148" s="754">
        <v>8145</v>
      </c>
      <c r="B148" s="755" t="s">
        <v>1281</v>
      </c>
      <c r="C148" s="779">
        <v>6189452</v>
      </c>
      <c r="D148" s="779">
        <v>3319701</v>
      </c>
      <c r="E148" s="779">
        <v>1748431.7059530579</v>
      </c>
      <c r="F148" s="779">
        <v>105172.6792718597</v>
      </c>
      <c r="G148" s="779">
        <v>177500</v>
      </c>
      <c r="K148" s="1076"/>
      <c r="O148" s="1076"/>
    </row>
    <row r="149" spans="1:15">
      <c r="A149" s="754">
        <v>8146</v>
      </c>
      <c r="B149" s="755" t="s">
        <v>1286</v>
      </c>
      <c r="C149" s="779">
        <v>2598274</v>
      </c>
      <c r="D149" s="779">
        <v>0</v>
      </c>
      <c r="E149" s="779">
        <v>2050806.1133533299</v>
      </c>
      <c r="F149" s="779">
        <v>1129669.6420163256</v>
      </c>
      <c r="G149" s="779">
        <v>10000</v>
      </c>
      <c r="K149" s="1076"/>
      <c r="O149" s="1076"/>
    </row>
    <row r="150" spans="1:15">
      <c r="A150" s="754">
        <v>8147</v>
      </c>
      <c r="B150" s="761" t="s">
        <v>1291</v>
      </c>
      <c r="C150" s="779">
        <v>27839811</v>
      </c>
      <c r="D150" s="779">
        <v>35884433</v>
      </c>
      <c r="E150" s="779">
        <v>3162765.5611631209</v>
      </c>
      <c r="F150" s="779">
        <v>1850465.4827588084</v>
      </c>
      <c r="G150" s="779">
        <v>231966</v>
      </c>
      <c r="K150" s="1076"/>
      <c r="O150" s="1076"/>
    </row>
    <row r="151" spans="1:15">
      <c r="A151" s="754">
        <v>8148</v>
      </c>
      <c r="B151" s="755" t="s">
        <v>1294</v>
      </c>
      <c r="C151" s="779">
        <v>7452259</v>
      </c>
      <c r="D151" s="779">
        <v>0</v>
      </c>
      <c r="E151" s="779">
        <v>2666246.0310094622</v>
      </c>
      <c r="F151" s="779">
        <v>1760852.9089956856</v>
      </c>
      <c r="G151" s="779" t="s">
        <v>678</v>
      </c>
      <c r="K151" s="1076"/>
      <c r="O151" s="1076"/>
    </row>
    <row r="152" spans="1:15">
      <c r="A152" s="754">
        <v>8149</v>
      </c>
      <c r="B152" s="755" t="s">
        <v>1298</v>
      </c>
      <c r="C152" s="779">
        <v>1853485</v>
      </c>
      <c r="D152" s="779">
        <v>0</v>
      </c>
      <c r="E152" s="779">
        <v>2424527.8937209551</v>
      </c>
      <c r="F152" s="779">
        <v>105630.46221720742</v>
      </c>
      <c r="G152" s="779">
        <v>4000</v>
      </c>
      <c r="K152" s="1076"/>
      <c r="O152" s="1076"/>
    </row>
    <row r="153" spans="1:15">
      <c r="A153" s="754">
        <v>8150</v>
      </c>
      <c r="B153" s="755" t="s">
        <v>1301</v>
      </c>
      <c r="C153" s="779">
        <v>445722</v>
      </c>
      <c r="D153" s="779">
        <v>0</v>
      </c>
      <c r="E153" s="779">
        <v>314808.14829934534</v>
      </c>
      <c r="F153" s="779">
        <v>155551.3682777902</v>
      </c>
      <c r="G153" s="779" t="s">
        <v>1148</v>
      </c>
      <c r="K153" s="1076"/>
      <c r="O153" s="1076"/>
    </row>
    <row r="154" spans="1:15">
      <c r="A154" s="754">
        <v>8151</v>
      </c>
      <c r="B154" s="755" t="s">
        <v>1304</v>
      </c>
      <c r="C154" s="779">
        <v>783593</v>
      </c>
      <c r="D154" s="779">
        <v>0</v>
      </c>
      <c r="E154" s="779">
        <v>615198.42398817372</v>
      </c>
      <c r="F154" s="779">
        <v>84679.76739157</v>
      </c>
      <c r="G154" s="779" t="s">
        <v>1148</v>
      </c>
      <c r="K154" s="1076"/>
      <c r="O154" s="1076"/>
    </row>
    <row r="155" spans="1:15">
      <c r="A155" s="754">
        <v>8152</v>
      </c>
      <c r="B155" s="755" t="s">
        <v>1306</v>
      </c>
      <c r="C155" s="779">
        <v>185062</v>
      </c>
      <c r="D155" s="779">
        <v>0</v>
      </c>
      <c r="E155" s="779">
        <v>241833.55381774905</v>
      </c>
      <c r="F155" s="779">
        <v>25685.244385724371</v>
      </c>
      <c r="G155" s="779" t="s">
        <v>1148</v>
      </c>
      <c r="K155" s="1076"/>
      <c r="O155" s="1076"/>
    </row>
    <row r="156" spans="1:15">
      <c r="A156" s="754">
        <v>8153</v>
      </c>
      <c r="B156" s="755" t="s">
        <v>1309</v>
      </c>
      <c r="C156" s="779">
        <v>1223327</v>
      </c>
      <c r="D156" s="779">
        <v>0</v>
      </c>
      <c r="E156" s="779">
        <v>964051.0552314003</v>
      </c>
      <c r="F156" s="779">
        <v>429349.41210581094</v>
      </c>
      <c r="G156" s="779" t="s">
        <v>1148</v>
      </c>
      <c r="K156" s="1076"/>
      <c r="O156" s="1076"/>
    </row>
    <row r="157" spans="1:15">
      <c r="A157" s="754">
        <v>8154</v>
      </c>
      <c r="B157" s="755" t="s">
        <v>1310</v>
      </c>
      <c r="C157" s="779">
        <v>1791646</v>
      </c>
      <c r="D157" s="779">
        <v>0</v>
      </c>
      <c r="E157" s="779">
        <v>383080.49730358127</v>
      </c>
      <c r="F157" s="779">
        <v>888147.57161017729</v>
      </c>
      <c r="G157" s="779" t="s">
        <v>1148</v>
      </c>
      <c r="K157" s="1076"/>
      <c r="O157" s="1076"/>
    </row>
    <row r="158" spans="1:15">
      <c r="A158" s="754">
        <v>8155</v>
      </c>
      <c r="B158" s="755" t="s">
        <v>1311</v>
      </c>
      <c r="C158" s="779">
        <v>11744546</v>
      </c>
      <c r="D158" s="779">
        <v>12375272</v>
      </c>
      <c r="E158" s="779">
        <v>2616042.1587335858</v>
      </c>
      <c r="F158" s="779">
        <v>639761.73135690298</v>
      </c>
      <c r="G158" s="779">
        <v>283000</v>
      </c>
      <c r="K158" s="1076"/>
      <c r="O158" s="1076"/>
    </row>
    <row r="159" spans="1:15">
      <c r="A159" s="754">
        <v>8156</v>
      </c>
      <c r="B159" s="755" t="s">
        <v>1316</v>
      </c>
      <c r="C159" s="779">
        <v>18893848</v>
      </c>
      <c r="D159" s="779">
        <v>24023436</v>
      </c>
      <c r="E159" s="779">
        <v>5971120.9939548578</v>
      </c>
      <c r="F159" s="779">
        <v>734339.24957176531</v>
      </c>
      <c r="G159" s="779">
        <v>460456</v>
      </c>
      <c r="K159" s="1076"/>
      <c r="O159" s="1076"/>
    </row>
    <row r="160" spans="1:15">
      <c r="A160" s="756">
        <v>8157</v>
      </c>
      <c r="B160" s="755" t="s">
        <v>1320</v>
      </c>
      <c r="C160" s="779">
        <v>14588002</v>
      </c>
      <c r="D160" s="779">
        <v>18142357</v>
      </c>
      <c r="E160" s="779">
        <v>2062700.3214625244</v>
      </c>
      <c r="F160" s="779">
        <v>896402.17942127713</v>
      </c>
      <c r="G160" s="779">
        <v>389000</v>
      </c>
      <c r="K160" s="1076"/>
      <c r="O160" s="1076"/>
    </row>
    <row r="161" spans="1:15">
      <c r="A161" s="754">
        <v>8158</v>
      </c>
      <c r="B161" s="755" t="s">
        <v>1324</v>
      </c>
      <c r="C161" s="779">
        <v>4904700</v>
      </c>
      <c r="D161" s="779">
        <v>7019487</v>
      </c>
      <c r="E161" s="779">
        <v>662153.50876895431</v>
      </c>
      <c r="F161" s="779">
        <v>326721.31780036632</v>
      </c>
      <c r="G161" s="779">
        <v>105000</v>
      </c>
      <c r="K161" s="1076"/>
      <c r="O161" s="1076"/>
    </row>
    <row r="162" spans="1:15">
      <c r="A162" s="754">
        <v>8159</v>
      </c>
      <c r="B162" s="755" t="s">
        <v>1325</v>
      </c>
      <c r="C162" s="779">
        <v>21627258</v>
      </c>
      <c r="D162" s="779">
        <v>31805711</v>
      </c>
      <c r="E162" s="779">
        <v>2676841.6049514995</v>
      </c>
      <c r="F162" s="779">
        <v>1709572.2943307217</v>
      </c>
      <c r="G162" s="779">
        <v>1164629</v>
      </c>
      <c r="K162" s="1076"/>
      <c r="O162" s="1076"/>
    </row>
    <row r="163" spans="1:15">
      <c r="A163" s="754">
        <v>8160</v>
      </c>
      <c r="B163" s="755" t="s">
        <v>1326</v>
      </c>
      <c r="C163" s="779">
        <v>694840</v>
      </c>
      <c r="D163" s="779">
        <v>0</v>
      </c>
      <c r="E163" s="779">
        <v>676673.36179135391</v>
      </c>
      <c r="F163" s="779">
        <v>154854.52355186531</v>
      </c>
      <c r="G163" s="779">
        <v>22497</v>
      </c>
      <c r="K163" s="1076"/>
      <c r="O163" s="1076"/>
    </row>
    <row r="164" spans="1:15">
      <c r="A164" s="756">
        <v>8161</v>
      </c>
      <c r="B164" s="755" t="s">
        <v>1330</v>
      </c>
      <c r="C164" s="779">
        <v>22934861</v>
      </c>
      <c r="D164" s="779">
        <v>10921723</v>
      </c>
      <c r="E164" s="779">
        <v>12958483.648865841</v>
      </c>
      <c r="F164" s="779">
        <v>684800.31208220823</v>
      </c>
      <c r="G164" s="779">
        <v>45000</v>
      </c>
      <c r="K164" s="1076"/>
      <c r="O164" s="1076"/>
    </row>
    <row r="165" spans="1:15">
      <c r="A165" s="754">
        <v>8162</v>
      </c>
      <c r="B165" s="755" t="s">
        <v>1334</v>
      </c>
      <c r="C165" s="779">
        <v>4952888</v>
      </c>
      <c r="D165" s="779">
        <v>2021730</v>
      </c>
      <c r="E165" s="779">
        <v>3523850.1993078091</v>
      </c>
      <c r="F165" s="779">
        <v>64169.865251702482</v>
      </c>
      <c r="G165" s="779">
        <v>78900</v>
      </c>
      <c r="K165" s="1076"/>
      <c r="O165" s="1076"/>
    </row>
    <row r="166" spans="1:15">
      <c r="A166" s="754">
        <v>8163</v>
      </c>
      <c r="B166" s="755" t="s">
        <v>347</v>
      </c>
      <c r="C166" s="779">
        <v>33508991</v>
      </c>
      <c r="D166" s="779">
        <v>30637967</v>
      </c>
      <c r="E166" s="779">
        <v>3282084.0151669905</v>
      </c>
      <c r="F166" s="779">
        <v>1969654.2682573837</v>
      </c>
      <c r="G166" s="779">
        <v>1009851</v>
      </c>
      <c r="K166" s="1076"/>
      <c r="O166" s="1076"/>
    </row>
    <row r="167" spans="1:15">
      <c r="A167" s="754">
        <v>8164</v>
      </c>
      <c r="B167" s="755" t="s">
        <v>1339</v>
      </c>
      <c r="C167" s="779">
        <v>2368036</v>
      </c>
      <c r="D167" s="779">
        <v>0</v>
      </c>
      <c r="E167" s="779">
        <v>1058177.7443134664</v>
      </c>
      <c r="F167" s="779">
        <v>742814.80382273777</v>
      </c>
      <c r="G167" s="779" t="s">
        <v>1148</v>
      </c>
      <c r="K167" s="1076"/>
      <c r="O167" s="1076"/>
    </row>
    <row r="168" spans="1:15">
      <c r="A168" s="756">
        <v>8165</v>
      </c>
      <c r="B168" s="758" t="s">
        <v>1340</v>
      </c>
      <c r="C168" s="779">
        <v>3133985</v>
      </c>
      <c r="D168" s="779">
        <v>3061759</v>
      </c>
      <c r="E168" s="779">
        <v>1796599.4377129327</v>
      </c>
      <c r="F168" s="779">
        <v>146298.23792420581</v>
      </c>
      <c r="G168" s="779">
        <v>35000</v>
      </c>
      <c r="K168" s="1076"/>
      <c r="O168" s="1076"/>
    </row>
    <row r="169" spans="1:15">
      <c r="A169" s="756">
        <v>8166</v>
      </c>
      <c r="B169" s="757" t="s">
        <v>1343</v>
      </c>
      <c r="C169" s="779">
        <v>1441600</v>
      </c>
      <c r="D169" s="779">
        <v>0</v>
      </c>
      <c r="E169" s="779">
        <v>2259064.5210646945</v>
      </c>
      <c r="F169" s="779">
        <v>242447.1888807833</v>
      </c>
      <c r="G169" s="779">
        <v>3000</v>
      </c>
      <c r="K169" s="1076"/>
      <c r="O169" s="1076"/>
    </row>
    <row r="170" spans="1:15">
      <c r="A170" s="754">
        <v>8167</v>
      </c>
      <c r="B170" s="755" t="s">
        <v>1349</v>
      </c>
      <c r="C170" s="779">
        <v>9392728</v>
      </c>
      <c r="D170" s="779">
        <v>13814036</v>
      </c>
      <c r="E170" s="779">
        <v>726809.71813301451</v>
      </c>
      <c r="F170" s="779">
        <v>814210.66576532682</v>
      </c>
      <c r="G170" s="779">
        <v>418000</v>
      </c>
      <c r="K170" s="1076"/>
      <c r="O170" s="1076"/>
    </row>
    <row r="171" spans="1:15">
      <c r="A171" s="754">
        <v>8168</v>
      </c>
      <c r="B171" s="755" t="s">
        <v>1352</v>
      </c>
      <c r="C171" s="779">
        <v>793801</v>
      </c>
      <c r="D171" s="779">
        <v>0</v>
      </c>
      <c r="E171" s="779">
        <v>385064.15479302756</v>
      </c>
      <c r="F171" s="779">
        <v>408453.94190793304</v>
      </c>
      <c r="G171" s="779" t="s">
        <v>1148</v>
      </c>
      <c r="K171" s="1076"/>
      <c r="O171" s="1076"/>
    </row>
    <row r="172" spans="1:15">
      <c r="A172" s="754">
        <v>8169</v>
      </c>
      <c r="B172" s="755" t="s">
        <v>348</v>
      </c>
      <c r="C172" s="779">
        <v>66898398</v>
      </c>
      <c r="D172" s="779">
        <v>62044639</v>
      </c>
      <c r="E172" s="779">
        <v>1160719.4378487032</v>
      </c>
      <c r="F172" s="779">
        <v>4088659.4250543099</v>
      </c>
      <c r="G172" s="779">
        <v>1231166</v>
      </c>
      <c r="K172" s="1076"/>
      <c r="O172" s="1076"/>
    </row>
    <row r="173" spans="1:15">
      <c r="A173" s="754">
        <v>8170</v>
      </c>
      <c r="B173" s="755" t="s">
        <v>1359</v>
      </c>
      <c r="C173" s="779">
        <v>877782</v>
      </c>
      <c r="D173" s="779">
        <v>0</v>
      </c>
      <c r="E173" s="779">
        <v>917126.78658146062</v>
      </c>
      <c r="F173" s="779">
        <v>298677.54318430973</v>
      </c>
      <c r="G173" s="779" t="s">
        <v>1148</v>
      </c>
      <c r="K173" s="1076"/>
      <c r="O173" s="1076"/>
    </row>
    <row r="174" spans="1:15">
      <c r="A174" s="754">
        <v>8171</v>
      </c>
      <c r="B174" s="755" t="s">
        <v>1363</v>
      </c>
      <c r="C174" s="779">
        <v>4217463</v>
      </c>
      <c r="D174" s="779">
        <v>678652</v>
      </c>
      <c r="E174" s="779">
        <v>4728483.518380072</v>
      </c>
      <c r="F174" s="779">
        <v>25639.20025491963</v>
      </c>
      <c r="G174" s="779">
        <v>28100</v>
      </c>
      <c r="K174" s="1076"/>
      <c r="O174" s="1076"/>
    </row>
    <row r="175" spans="1:15">
      <c r="A175" s="756">
        <v>8172</v>
      </c>
      <c r="B175" s="755" t="s">
        <v>349</v>
      </c>
      <c r="C175" s="779">
        <v>29986718</v>
      </c>
      <c r="D175" s="779">
        <v>40578318</v>
      </c>
      <c r="E175" s="779">
        <v>468385.37427955878</v>
      </c>
      <c r="F175" s="779">
        <v>2333663.9192723189</v>
      </c>
      <c r="G175" s="779">
        <v>402162</v>
      </c>
      <c r="K175" s="1076"/>
      <c r="O175" s="1076"/>
    </row>
    <row r="176" spans="1:15">
      <c r="A176" s="754">
        <v>8174</v>
      </c>
      <c r="B176" s="755" t="s">
        <v>1365</v>
      </c>
      <c r="C176" s="779">
        <v>867582</v>
      </c>
      <c r="D176" s="779">
        <v>0</v>
      </c>
      <c r="E176" s="779">
        <v>304517.28623240924</v>
      </c>
      <c r="F176" s="779">
        <v>186367.46375167501</v>
      </c>
      <c r="G176" s="779">
        <v>1250</v>
      </c>
      <c r="K176" s="1076"/>
      <c r="O176" s="1076"/>
    </row>
    <row r="177" spans="1:15">
      <c r="A177" s="756">
        <v>8175</v>
      </c>
      <c r="B177" s="755" t="s">
        <v>1366</v>
      </c>
      <c r="C177" s="779">
        <v>4889754</v>
      </c>
      <c r="D177" s="779">
        <v>11283121</v>
      </c>
      <c r="E177" s="779">
        <v>3132426.114925378</v>
      </c>
      <c r="F177" s="779">
        <v>296188.65991221898</v>
      </c>
      <c r="G177" s="779">
        <v>36567</v>
      </c>
      <c r="K177" s="1076"/>
      <c r="O177" s="1076"/>
    </row>
    <row r="178" spans="1:15">
      <c r="A178" s="754">
        <v>8176</v>
      </c>
      <c r="B178" s="755" t="s">
        <v>1368</v>
      </c>
      <c r="C178" s="779">
        <v>442250</v>
      </c>
      <c r="D178" s="779">
        <v>0</v>
      </c>
      <c r="E178" s="779">
        <v>216230.66041065866</v>
      </c>
      <c r="F178" s="779">
        <v>46946.066314565433</v>
      </c>
      <c r="G178" s="779">
        <v>2000</v>
      </c>
      <c r="K178" s="1076"/>
      <c r="O178" s="1076"/>
    </row>
    <row r="179" spans="1:15">
      <c r="A179" s="754">
        <v>8177</v>
      </c>
      <c r="B179" s="755" t="s">
        <v>1372</v>
      </c>
      <c r="C179" s="779">
        <v>63167</v>
      </c>
      <c r="D179" s="779">
        <v>0</v>
      </c>
      <c r="E179" s="779">
        <v>11445.223353076133</v>
      </c>
      <c r="F179" s="779">
        <v>7454.653472797323</v>
      </c>
      <c r="G179" s="779" t="s">
        <v>1148</v>
      </c>
      <c r="K179" s="1076"/>
      <c r="O179" s="1076"/>
    </row>
    <row r="180" spans="1:15">
      <c r="A180" s="754">
        <v>8178</v>
      </c>
      <c r="B180" s="755" t="s">
        <v>1375</v>
      </c>
      <c r="C180" s="779">
        <v>1404818</v>
      </c>
      <c r="D180" s="779">
        <v>0</v>
      </c>
      <c r="E180" s="779">
        <v>460766.35617810383</v>
      </c>
      <c r="F180" s="779">
        <v>189499.54776276331</v>
      </c>
      <c r="G180" s="779" t="s">
        <v>1148</v>
      </c>
      <c r="K180" s="1076"/>
      <c r="O180" s="1076"/>
    </row>
    <row r="181" spans="1:15">
      <c r="A181" s="754">
        <v>8179</v>
      </c>
      <c r="B181" s="755" t="s">
        <v>1377</v>
      </c>
      <c r="C181" s="779">
        <v>1233386</v>
      </c>
      <c r="D181" s="779">
        <v>0</v>
      </c>
      <c r="E181" s="779">
        <v>1081584.3434729679</v>
      </c>
      <c r="F181" s="779">
        <v>206157.09977942222</v>
      </c>
      <c r="G181" s="779" t="s">
        <v>1148</v>
      </c>
      <c r="K181" s="1076"/>
      <c r="O181" s="1076"/>
    </row>
    <row r="182" spans="1:15">
      <c r="A182" s="754">
        <v>8180</v>
      </c>
      <c r="B182" s="755" t="s">
        <v>1383</v>
      </c>
      <c r="C182" s="779">
        <v>38667730</v>
      </c>
      <c r="D182" s="779">
        <v>56998022</v>
      </c>
      <c r="E182" s="779">
        <v>1213077.1582517745</v>
      </c>
      <c r="F182" s="779">
        <v>3215010.5928624184</v>
      </c>
      <c r="G182" s="779">
        <v>1007706</v>
      </c>
      <c r="K182" s="1076"/>
      <c r="O182" s="1076"/>
    </row>
    <row r="183" spans="1:15">
      <c r="A183" s="754">
        <v>8181</v>
      </c>
      <c r="B183" s="755" t="s">
        <v>1384</v>
      </c>
      <c r="C183" s="779">
        <v>16877046</v>
      </c>
      <c r="D183" s="779">
        <v>19282908</v>
      </c>
      <c r="E183" s="779">
        <v>5207890.6681108372</v>
      </c>
      <c r="F183" s="779">
        <v>899396.29727796174</v>
      </c>
      <c r="G183" s="779">
        <v>223233</v>
      </c>
      <c r="K183" s="1076"/>
      <c r="O183" s="1076"/>
    </row>
    <row r="184" spans="1:15">
      <c r="A184" s="756">
        <v>8182</v>
      </c>
      <c r="B184" s="755" t="s">
        <v>1387</v>
      </c>
      <c r="C184" s="779">
        <v>4417432</v>
      </c>
      <c r="D184" s="779">
        <v>9334065</v>
      </c>
      <c r="E184" s="779">
        <v>2751540.9291172028</v>
      </c>
      <c r="F184" s="779">
        <v>264789.89012110815</v>
      </c>
      <c r="G184" s="779" t="s">
        <v>1148</v>
      </c>
      <c r="K184" s="1076"/>
      <c r="O184" s="1076"/>
    </row>
    <row r="185" spans="1:15">
      <c r="A185" s="754">
        <v>8183</v>
      </c>
      <c r="B185" s="755" t="s">
        <v>1390</v>
      </c>
      <c r="C185" s="779">
        <v>7025430</v>
      </c>
      <c r="D185" s="779">
        <v>10753798</v>
      </c>
      <c r="E185" s="779">
        <v>5787735.664747403</v>
      </c>
      <c r="F185" s="779">
        <v>272992.93678943493</v>
      </c>
      <c r="G185" s="779">
        <v>145000</v>
      </c>
      <c r="K185" s="1076"/>
      <c r="O185" s="1076"/>
    </row>
    <row r="186" spans="1:15">
      <c r="A186" s="754">
        <v>8184</v>
      </c>
      <c r="B186" s="755" t="s">
        <v>1394</v>
      </c>
      <c r="C186" s="779">
        <v>84485925</v>
      </c>
      <c r="D186" s="779">
        <v>99220786</v>
      </c>
      <c r="E186" s="779">
        <v>10730100.872310897</v>
      </c>
      <c r="F186" s="779">
        <v>5460926.950631639</v>
      </c>
      <c r="G186" s="779">
        <v>2018987</v>
      </c>
      <c r="K186" s="1076"/>
      <c r="O186" s="1076"/>
    </row>
    <row r="187" spans="1:15">
      <c r="A187" s="754">
        <v>8185</v>
      </c>
      <c r="B187" s="755" t="s">
        <v>1399</v>
      </c>
      <c r="C187" s="779">
        <v>279478</v>
      </c>
      <c r="D187" s="779">
        <v>0</v>
      </c>
      <c r="E187" s="779">
        <v>166966.57031175599</v>
      </c>
      <c r="F187" s="779">
        <v>17311.361953496009</v>
      </c>
      <c r="G187" s="779">
        <v>1000</v>
      </c>
      <c r="K187" s="1076"/>
      <c r="O187" s="1076"/>
    </row>
    <row r="188" spans="1:15">
      <c r="A188" s="754">
        <v>8187</v>
      </c>
      <c r="B188" s="755" t="s">
        <v>947</v>
      </c>
      <c r="C188" s="779">
        <v>231583446</v>
      </c>
      <c r="D188" s="779">
        <v>357164990</v>
      </c>
      <c r="E188" s="779">
        <v>9731175.030958727</v>
      </c>
      <c r="F188" s="779">
        <v>20064575.252767969</v>
      </c>
      <c r="G188" s="779">
        <v>4394390</v>
      </c>
      <c r="K188" s="1076"/>
      <c r="O188" s="1076"/>
    </row>
    <row r="189" spans="1:15">
      <c r="A189" s="754">
        <v>8188</v>
      </c>
      <c r="B189" s="759" t="s">
        <v>1409</v>
      </c>
      <c r="C189" s="779">
        <v>688687</v>
      </c>
      <c r="D189" s="779">
        <v>0</v>
      </c>
      <c r="E189" s="779">
        <v>180493.23741802687</v>
      </c>
      <c r="F189" s="779">
        <v>20445.43136698829</v>
      </c>
      <c r="G189" s="779">
        <v>4000</v>
      </c>
      <c r="K189" s="1076"/>
      <c r="O189" s="1076"/>
    </row>
    <row r="190" spans="1:15">
      <c r="A190" s="754">
        <v>8189</v>
      </c>
      <c r="B190" s="759" t="s">
        <v>1411</v>
      </c>
      <c r="C190" s="779">
        <v>275447</v>
      </c>
      <c r="D190" s="779">
        <v>0</v>
      </c>
      <c r="E190" s="779">
        <v>124758.75274486038</v>
      </c>
      <c r="F190" s="779">
        <v>54173.008291787861</v>
      </c>
      <c r="G190" s="779">
        <v>6475</v>
      </c>
      <c r="K190" s="1076"/>
      <c r="O190" s="1076"/>
    </row>
    <row r="191" spans="1:15">
      <c r="A191" s="754">
        <v>8190</v>
      </c>
      <c r="B191" s="759" t="s">
        <v>1413</v>
      </c>
      <c r="C191" s="779">
        <v>608731</v>
      </c>
      <c r="D191" s="779">
        <v>0</v>
      </c>
      <c r="E191" s="779">
        <v>328791.53961205634</v>
      </c>
      <c r="F191" s="779">
        <v>65176.948833975024</v>
      </c>
      <c r="G191" s="779" t="s">
        <v>1148</v>
      </c>
      <c r="K191" s="1076"/>
      <c r="O191" s="1076"/>
    </row>
    <row r="192" spans="1:15">
      <c r="A192" s="754">
        <v>8191</v>
      </c>
      <c r="B192" s="755" t="s">
        <v>1416</v>
      </c>
      <c r="C192" s="779">
        <v>8464773</v>
      </c>
      <c r="D192" s="779">
        <v>15912138</v>
      </c>
      <c r="E192" s="779">
        <v>6231208.4949775059</v>
      </c>
      <c r="F192" s="779">
        <v>454161.20674170123</v>
      </c>
      <c r="G192" s="779">
        <v>136489</v>
      </c>
      <c r="K192" s="1076"/>
      <c r="O192" s="1076"/>
    </row>
    <row r="193" spans="1:15">
      <c r="A193" s="754">
        <v>8192</v>
      </c>
      <c r="B193" s="755" t="s">
        <v>1418</v>
      </c>
      <c r="C193" s="779">
        <v>9387288</v>
      </c>
      <c r="D193" s="779">
        <v>20866717</v>
      </c>
      <c r="E193" s="779">
        <v>3825335.1477140267</v>
      </c>
      <c r="F193" s="779">
        <v>636406.45553055615</v>
      </c>
      <c r="G193" s="779">
        <v>165300</v>
      </c>
      <c r="K193" s="1076"/>
      <c r="O193" s="1076"/>
    </row>
    <row r="194" spans="1:15">
      <c r="A194" s="754">
        <v>8193</v>
      </c>
      <c r="B194" s="755" t="s">
        <v>1421</v>
      </c>
      <c r="C194" s="779">
        <v>1945182</v>
      </c>
      <c r="D194" s="779">
        <v>0</v>
      </c>
      <c r="E194" s="779">
        <v>558702.14838938683</v>
      </c>
      <c r="F194" s="779">
        <v>1191343.3282154491</v>
      </c>
      <c r="G194" s="779">
        <v>3800</v>
      </c>
      <c r="K194" s="1076"/>
      <c r="O194" s="1076"/>
    </row>
    <row r="195" spans="1:15">
      <c r="A195" s="754">
        <v>8194</v>
      </c>
      <c r="B195" s="755" t="s">
        <v>350</v>
      </c>
      <c r="C195" s="779">
        <v>33349752</v>
      </c>
      <c r="D195" s="779">
        <v>33545066</v>
      </c>
      <c r="E195" s="779">
        <v>275550.37376198516</v>
      </c>
      <c r="F195" s="779">
        <v>2829982.2966310843</v>
      </c>
      <c r="G195" s="779">
        <v>1072801</v>
      </c>
      <c r="K195" s="1076"/>
      <c r="O195" s="1076"/>
    </row>
    <row r="196" spans="1:15">
      <c r="A196" s="754">
        <v>8195</v>
      </c>
      <c r="B196" s="755" t="s">
        <v>1424</v>
      </c>
      <c r="C196" s="779">
        <v>156169</v>
      </c>
      <c r="D196" s="779">
        <v>0</v>
      </c>
      <c r="E196" s="779">
        <v>63330.960497553286</v>
      </c>
      <c r="F196" s="779">
        <v>0</v>
      </c>
      <c r="G196" s="779" t="s">
        <v>1148</v>
      </c>
      <c r="K196" s="1076"/>
      <c r="O196" s="1076"/>
    </row>
    <row r="197" spans="1:15">
      <c r="A197" s="754">
        <v>8196</v>
      </c>
      <c r="B197" s="755" t="s">
        <v>1426</v>
      </c>
      <c r="C197" s="779">
        <v>29573220</v>
      </c>
      <c r="D197" s="779">
        <v>36638827</v>
      </c>
      <c r="E197" s="779">
        <v>1705171.6173150099</v>
      </c>
      <c r="F197" s="779">
        <v>2411502.7010799758</v>
      </c>
      <c r="G197" s="779">
        <v>580821</v>
      </c>
      <c r="K197" s="1076"/>
      <c r="O197" s="1076"/>
    </row>
    <row r="198" spans="1:15">
      <c r="A198" s="754">
        <v>8197</v>
      </c>
      <c r="B198" s="755" t="s">
        <v>351</v>
      </c>
      <c r="C198" s="779">
        <v>19490028</v>
      </c>
      <c r="D198" s="779">
        <v>28483626</v>
      </c>
      <c r="E198" s="779">
        <v>872991.61036245455</v>
      </c>
      <c r="F198" s="779">
        <v>1084226.7699734299</v>
      </c>
      <c r="G198" s="779">
        <v>110000</v>
      </c>
      <c r="K198" s="1076"/>
      <c r="O198" s="1076"/>
    </row>
    <row r="199" spans="1:15">
      <c r="A199" s="754">
        <v>8198</v>
      </c>
      <c r="B199" s="755" t="s">
        <v>1429</v>
      </c>
      <c r="C199" s="779">
        <v>10535928</v>
      </c>
      <c r="D199" s="779">
        <v>7286156</v>
      </c>
      <c r="E199" s="779">
        <v>5662460.9511532187</v>
      </c>
      <c r="F199" s="779">
        <v>142190.15523105528</v>
      </c>
      <c r="G199" s="779">
        <v>133000</v>
      </c>
      <c r="K199" s="1076"/>
      <c r="O199" s="1076"/>
    </row>
    <row r="200" spans="1:15">
      <c r="A200" s="754">
        <v>8199</v>
      </c>
      <c r="B200" s="755" t="s">
        <v>1431</v>
      </c>
      <c r="C200" s="779">
        <v>1249662</v>
      </c>
      <c r="D200" s="779">
        <v>0</v>
      </c>
      <c r="E200" s="779">
        <v>1049117.948242289</v>
      </c>
      <c r="F200" s="779">
        <v>200750.93751660068</v>
      </c>
      <c r="G200" s="779">
        <v>1200</v>
      </c>
      <c r="K200" s="1076"/>
      <c r="O200" s="1076"/>
    </row>
    <row r="201" spans="1:15">
      <c r="A201" s="754">
        <v>8200</v>
      </c>
      <c r="B201" s="755" t="s">
        <v>1094</v>
      </c>
      <c r="C201" s="779">
        <v>86057834</v>
      </c>
      <c r="D201" s="779">
        <v>87561047</v>
      </c>
      <c r="E201" s="779">
        <v>2346928.8405344286</v>
      </c>
      <c r="F201" s="779">
        <v>6007581.0273009725</v>
      </c>
      <c r="G201" s="779">
        <v>2263759</v>
      </c>
      <c r="K201" s="1076"/>
      <c r="O201" s="1076"/>
    </row>
    <row r="202" spans="1:15">
      <c r="A202" s="754">
        <v>8201</v>
      </c>
      <c r="B202" s="755" t="s">
        <v>1435</v>
      </c>
      <c r="C202" s="779">
        <v>691888</v>
      </c>
      <c r="D202" s="779">
        <v>0</v>
      </c>
      <c r="E202" s="779">
        <v>902917.13857367728</v>
      </c>
      <c r="F202" s="779">
        <v>50264.946278195013</v>
      </c>
      <c r="G202" s="779">
        <v>11500</v>
      </c>
      <c r="K202" s="1076"/>
      <c r="O202" s="1076"/>
    </row>
    <row r="203" spans="1:15">
      <c r="A203" s="754">
        <v>8202</v>
      </c>
      <c r="B203" s="755" t="s">
        <v>1437</v>
      </c>
      <c r="C203" s="779">
        <v>21403643</v>
      </c>
      <c r="D203" s="779">
        <v>28434203</v>
      </c>
      <c r="E203" s="779">
        <v>7582936.4595153769</v>
      </c>
      <c r="F203" s="779">
        <v>1441109.2485183531</v>
      </c>
      <c r="G203" s="779">
        <v>165435</v>
      </c>
      <c r="K203" s="1076"/>
      <c r="O203" s="1076"/>
    </row>
    <row r="204" spans="1:15">
      <c r="A204" s="754">
        <v>8203</v>
      </c>
      <c r="B204" s="755" t="s">
        <v>1443</v>
      </c>
      <c r="C204" s="779">
        <v>5584610</v>
      </c>
      <c r="D204" s="779">
        <v>3288031</v>
      </c>
      <c r="E204" s="779">
        <v>1161299.5999324562</v>
      </c>
      <c r="F204" s="779">
        <v>121856.60006540125</v>
      </c>
      <c r="G204" s="779" t="s">
        <v>678</v>
      </c>
      <c r="K204" s="1076"/>
      <c r="O204" s="1076"/>
    </row>
    <row r="205" spans="1:15">
      <c r="A205" s="754">
        <v>8204</v>
      </c>
      <c r="B205" s="755" t="s">
        <v>1446</v>
      </c>
      <c r="C205" s="779">
        <v>5356930</v>
      </c>
      <c r="D205" s="779">
        <v>402241</v>
      </c>
      <c r="E205" s="779">
        <v>2089014.989974265</v>
      </c>
      <c r="F205" s="779">
        <v>124411.84916022618</v>
      </c>
      <c r="G205" s="779">
        <v>42000</v>
      </c>
      <c r="K205" s="1076"/>
      <c r="O205" s="1076"/>
    </row>
    <row r="206" spans="1:15">
      <c r="A206" s="754">
        <v>8205</v>
      </c>
      <c r="B206" s="755" t="s">
        <v>1450</v>
      </c>
      <c r="C206" s="779">
        <v>134645210</v>
      </c>
      <c r="D206" s="779">
        <v>218129614</v>
      </c>
      <c r="E206" s="779">
        <v>8564331.3334034234</v>
      </c>
      <c r="F206" s="779">
        <v>8318888.9690947924</v>
      </c>
      <c r="G206" s="779">
        <v>5120315</v>
      </c>
      <c r="K206" s="1076"/>
      <c r="O206" s="1076"/>
    </row>
    <row r="207" spans="1:15">
      <c r="A207" s="754">
        <v>8206</v>
      </c>
      <c r="B207" s="755" t="s">
        <v>1457</v>
      </c>
      <c r="C207" s="779">
        <v>1462065</v>
      </c>
      <c r="D207" s="779">
        <v>1510330</v>
      </c>
      <c r="E207" s="779">
        <v>755176.24840579194</v>
      </c>
      <c r="F207" s="779">
        <v>18427.534253363217</v>
      </c>
      <c r="G207" s="779" t="s">
        <v>678</v>
      </c>
      <c r="K207" s="1076"/>
      <c r="O207" s="1076"/>
    </row>
    <row r="208" spans="1:15">
      <c r="A208" s="754">
        <v>8207</v>
      </c>
      <c r="B208" s="755" t="s">
        <v>1458</v>
      </c>
      <c r="C208" s="779">
        <v>4234624</v>
      </c>
      <c r="D208" s="779">
        <v>4600178</v>
      </c>
      <c r="E208" s="779">
        <v>2397660.3822541945</v>
      </c>
      <c r="F208" s="779">
        <v>60366.283958658598</v>
      </c>
      <c r="G208" s="779">
        <v>38000</v>
      </c>
      <c r="K208" s="1076"/>
      <c r="O208" s="1076"/>
    </row>
    <row r="209" spans="1:15">
      <c r="A209" s="754">
        <v>8208</v>
      </c>
      <c r="B209" s="755" t="s">
        <v>1463</v>
      </c>
      <c r="C209" s="779">
        <v>11022314</v>
      </c>
      <c r="D209" s="779">
        <v>13083384</v>
      </c>
      <c r="E209" s="779">
        <v>2719008.2701233742</v>
      </c>
      <c r="F209" s="779">
        <v>390235.66255316354</v>
      </c>
      <c r="G209" s="779">
        <v>16000</v>
      </c>
      <c r="K209" s="1076"/>
      <c r="O209" s="1076"/>
    </row>
    <row r="210" spans="1:15">
      <c r="A210" s="754">
        <v>8209</v>
      </c>
      <c r="B210" s="755" t="s">
        <v>2580</v>
      </c>
      <c r="C210" s="779">
        <v>11640619</v>
      </c>
      <c r="D210" s="779">
        <v>11418886</v>
      </c>
      <c r="E210" s="779">
        <v>5164412.8406076422</v>
      </c>
      <c r="F210" s="779">
        <v>311663.13544221898</v>
      </c>
      <c r="G210" s="779">
        <v>54000</v>
      </c>
      <c r="K210" s="1076"/>
      <c r="O210" s="1076"/>
    </row>
    <row r="211" spans="1:15">
      <c r="A211" s="754">
        <v>8210</v>
      </c>
      <c r="B211" s="762" t="s">
        <v>1466</v>
      </c>
      <c r="C211" s="779">
        <v>9932364</v>
      </c>
      <c r="D211" s="779">
        <v>4303832</v>
      </c>
      <c r="E211" s="779">
        <v>5749866.4373723026</v>
      </c>
      <c r="F211" s="779">
        <v>217157.2336176768</v>
      </c>
      <c r="G211" s="779">
        <v>23960</v>
      </c>
      <c r="K211" s="1076"/>
      <c r="O211" s="1076"/>
    </row>
    <row r="212" spans="1:15">
      <c r="A212" s="754">
        <v>8211</v>
      </c>
      <c r="B212" s="755" t="s">
        <v>1028</v>
      </c>
      <c r="C212" s="779">
        <v>47478868</v>
      </c>
      <c r="D212" s="779">
        <v>51412678</v>
      </c>
      <c r="E212" s="779">
        <v>777591.34251449152</v>
      </c>
      <c r="F212" s="779">
        <v>3541355.7967397273</v>
      </c>
      <c r="G212" s="779">
        <v>1367930</v>
      </c>
      <c r="K212" s="1076"/>
      <c r="O212" s="1076"/>
    </row>
    <row r="213" spans="1:15">
      <c r="A213" s="754">
        <v>8212</v>
      </c>
      <c r="B213" s="755" t="s">
        <v>1470</v>
      </c>
      <c r="C213" s="779">
        <v>1008152</v>
      </c>
      <c r="D213" s="779">
        <v>0</v>
      </c>
      <c r="E213" s="779">
        <v>1011479.6471012583</v>
      </c>
      <c r="F213" s="779">
        <v>285156.66801303736</v>
      </c>
      <c r="G213" s="779" t="s">
        <v>1148</v>
      </c>
      <c r="K213" s="1076"/>
      <c r="O213" s="1076"/>
    </row>
    <row r="214" spans="1:15">
      <c r="A214" s="754">
        <v>8213</v>
      </c>
      <c r="B214" s="755" t="s">
        <v>1473</v>
      </c>
      <c r="C214" s="779">
        <v>13443968</v>
      </c>
      <c r="D214" s="779">
        <v>20577810</v>
      </c>
      <c r="E214" s="779">
        <v>4874938.6842235746</v>
      </c>
      <c r="F214" s="779">
        <v>679194.68477183674</v>
      </c>
      <c r="G214" s="779">
        <v>260632</v>
      </c>
      <c r="K214" s="1076"/>
      <c r="O214" s="1076"/>
    </row>
    <row r="215" spans="1:15">
      <c r="A215" s="756">
        <v>8214</v>
      </c>
      <c r="B215" s="755" t="s">
        <v>1474</v>
      </c>
      <c r="C215" s="779">
        <v>12206726</v>
      </c>
      <c r="D215" s="779">
        <v>19523986</v>
      </c>
      <c r="E215" s="779">
        <v>361993.1133505078</v>
      </c>
      <c r="F215" s="779">
        <v>857280.59445088264</v>
      </c>
      <c r="G215" s="779">
        <v>333581</v>
      </c>
      <c r="K215" s="1076"/>
      <c r="O215" s="1076"/>
    </row>
    <row r="216" spans="1:15">
      <c r="A216" s="754">
        <v>8215</v>
      </c>
      <c r="B216" s="755" t="s">
        <v>1477</v>
      </c>
      <c r="C216" s="779">
        <v>4018618</v>
      </c>
      <c r="D216" s="779">
        <v>7396752</v>
      </c>
      <c r="E216" s="779">
        <v>3934715.5400107596</v>
      </c>
      <c r="F216" s="779">
        <v>118448.10893294151</v>
      </c>
      <c r="G216" s="779">
        <v>38280</v>
      </c>
      <c r="K216" s="1076"/>
      <c r="O216" s="1076"/>
    </row>
    <row r="217" spans="1:15">
      <c r="A217" s="754">
        <v>8216</v>
      </c>
      <c r="B217" s="755" t="s">
        <v>1479</v>
      </c>
      <c r="C217" s="779">
        <v>88369</v>
      </c>
      <c r="D217" s="779">
        <v>0</v>
      </c>
      <c r="E217" s="779">
        <v>25091.451197128448</v>
      </c>
      <c r="F217" s="779">
        <v>10895.26276793455</v>
      </c>
      <c r="G217" s="779" t="s">
        <v>1148</v>
      </c>
      <c r="K217" s="1076"/>
      <c r="O217" s="1076"/>
    </row>
    <row r="218" spans="1:15">
      <c r="A218" s="754">
        <v>8217</v>
      </c>
      <c r="B218" s="755" t="s">
        <v>1481</v>
      </c>
      <c r="C218" s="779">
        <v>37683828</v>
      </c>
      <c r="D218" s="779">
        <v>48232518</v>
      </c>
      <c r="E218" s="779">
        <v>442908.61839831009</v>
      </c>
      <c r="F218" s="779">
        <v>2595024.8206169866</v>
      </c>
      <c r="G218" s="779">
        <v>1088000</v>
      </c>
      <c r="K218" s="1076"/>
      <c r="O218" s="1076"/>
    </row>
    <row r="219" spans="1:15">
      <c r="A219" s="754">
        <v>8218</v>
      </c>
      <c r="B219" s="755" t="s">
        <v>1482</v>
      </c>
      <c r="C219" s="779">
        <v>12508835</v>
      </c>
      <c r="D219" s="779">
        <v>27900809</v>
      </c>
      <c r="E219" s="779">
        <v>2846214.0309616751</v>
      </c>
      <c r="F219" s="779">
        <v>1214078.4303811956</v>
      </c>
      <c r="G219" s="779">
        <v>100312</v>
      </c>
      <c r="K219" s="1076"/>
      <c r="O219" s="1076"/>
    </row>
    <row r="220" spans="1:15">
      <c r="A220" s="754">
        <v>8219</v>
      </c>
      <c r="B220" s="755" t="s">
        <v>352</v>
      </c>
      <c r="C220" s="779">
        <v>26830271</v>
      </c>
      <c r="D220" s="779">
        <v>38174297</v>
      </c>
      <c r="E220" s="779">
        <v>295193.54349562881</v>
      </c>
      <c r="F220" s="779">
        <v>2135712.6114578531</v>
      </c>
      <c r="G220" s="779">
        <v>401728</v>
      </c>
      <c r="K220" s="1076"/>
      <c r="O220" s="1076"/>
    </row>
    <row r="221" spans="1:15">
      <c r="A221" s="754">
        <v>8220</v>
      </c>
      <c r="B221" s="755" t="s">
        <v>1485</v>
      </c>
      <c r="C221" s="779">
        <v>5214887</v>
      </c>
      <c r="D221" s="779">
        <v>0</v>
      </c>
      <c r="E221" s="779">
        <v>5188100.3724536719</v>
      </c>
      <c r="F221" s="779">
        <v>2527404.5698843547</v>
      </c>
      <c r="G221" s="779">
        <v>83000</v>
      </c>
      <c r="K221" s="1076"/>
      <c r="O221" s="1076"/>
    </row>
    <row r="222" spans="1:15">
      <c r="A222" s="754">
        <v>8221</v>
      </c>
      <c r="B222" s="755" t="s">
        <v>1489</v>
      </c>
      <c r="C222" s="779">
        <v>24571446</v>
      </c>
      <c r="D222" s="779">
        <v>46268252</v>
      </c>
      <c r="E222" s="779">
        <v>524730.14820541139</v>
      </c>
      <c r="F222" s="779">
        <v>1562624.6652380729</v>
      </c>
      <c r="G222" s="779">
        <v>771809</v>
      </c>
      <c r="K222" s="1076"/>
      <c r="O222" s="1076"/>
    </row>
    <row r="223" spans="1:15">
      <c r="A223" s="754">
        <v>8222</v>
      </c>
      <c r="B223" s="755" t="s">
        <v>1490</v>
      </c>
      <c r="C223" s="779">
        <v>4582000</v>
      </c>
      <c r="D223" s="779">
        <v>103019</v>
      </c>
      <c r="E223" s="779">
        <v>1633820.7728359478</v>
      </c>
      <c r="F223" s="779">
        <v>49230.446581037599</v>
      </c>
      <c r="G223" s="779">
        <v>89813</v>
      </c>
      <c r="K223" s="1076"/>
      <c r="O223" s="1076"/>
    </row>
    <row r="224" spans="1:15">
      <c r="A224" s="754">
        <v>8223</v>
      </c>
      <c r="B224" s="755" t="s">
        <v>1494</v>
      </c>
      <c r="C224" s="779">
        <v>3591409</v>
      </c>
      <c r="D224" s="779">
        <v>0</v>
      </c>
      <c r="E224" s="779">
        <v>2357986.5272929398</v>
      </c>
      <c r="F224" s="779">
        <v>1518895.9476153976</v>
      </c>
      <c r="G224" s="779" t="s">
        <v>1148</v>
      </c>
      <c r="K224" s="1076"/>
      <c r="O224" s="1076"/>
    </row>
    <row r="225" spans="1:15">
      <c r="A225" s="754">
        <v>8224</v>
      </c>
      <c r="B225" s="755" t="s">
        <v>1496</v>
      </c>
      <c r="C225" s="779">
        <v>1317590</v>
      </c>
      <c r="D225" s="779">
        <v>1786715</v>
      </c>
      <c r="E225" s="779">
        <v>830814.08908720687</v>
      </c>
      <c r="F225" s="779">
        <v>74666.377157135925</v>
      </c>
      <c r="G225" s="779" t="s">
        <v>1148</v>
      </c>
      <c r="K225" s="1076"/>
      <c r="O225" s="1076"/>
    </row>
    <row r="226" spans="1:15">
      <c r="A226" s="754">
        <v>8225</v>
      </c>
      <c r="B226" s="755" t="s">
        <v>1499</v>
      </c>
      <c r="C226" s="779">
        <v>123867</v>
      </c>
      <c r="D226" s="779">
        <v>0</v>
      </c>
      <c r="E226" s="779">
        <v>106239.63051405021</v>
      </c>
      <c r="F226" s="779">
        <v>8649.6742585129232</v>
      </c>
      <c r="G226" s="779" t="s">
        <v>1148</v>
      </c>
      <c r="K226" s="1076"/>
      <c r="O226" s="1076"/>
    </row>
    <row r="227" spans="1:15">
      <c r="A227" s="754">
        <v>8226</v>
      </c>
      <c r="B227" s="755" t="s">
        <v>1501</v>
      </c>
      <c r="C227" s="779">
        <v>1557334</v>
      </c>
      <c r="D227" s="779">
        <v>0</v>
      </c>
      <c r="E227" s="779">
        <v>1526117.8205897901</v>
      </c>
      <c r="F227" s="779">
        <v>535078.46038078575</v>
      </c>
      <c r="G227" s="779">
        <v>6000</v>
      </c>
      <c r="K227" s="1076"/>
      <c r="O227" s="1076"/>
    </row>
    <row r="228" spans="1:15">
      <c r="A228" s="754">
        <v>8227</v>
      </c>
      <c r="B228" s="755" t="s">
        <v>1506</v>
      </c>
      <c r="C228" s="779">
        <v>5812937</v>
      </c>
      <c r="D228" s="779">
        <v>0</v>
      </c>
      <c r="E228" s="779">
        <v>1527102.4780341506</v>
      </c>
      <c r="F228" s="779">
        <v>1164908.3097977156</v>
      </c>
      <c r="G228" s="779" t="s">
        <v>678</v>
      </c>
      <c r="K228" s="1076"/>
      <c r="O228" s="1076"/>
    </row>
    <row r="229" spans="1:15">
      <c r="A229" s="754">
        <v>8228</v>
      </c>
      <c r="B229" s="760" t="s">
        <v>1510</v>
      </c>
      <c r="C229" s="779">
        <v>514327</v>
      </c>
      <c r="D229" s="779">
        <v>635833</v>
      </c>
      <c r="E229" s="779">
        <v>536162.72063882113</v>
      </c>
      <c r="F229" s="779">
        <v>14582.603912620947</v>
      </c>
      <c r="G229" s="779">
        <v>300</v>
      </c>
      <c r="K229" s="1076"/>
      <c r="O229" s="1076"/>
    </row>
    <row r="230" spans="1:15">
      <c r="A230" s="754">
        <v>8229</v>
      </c>
      <c r="B230" s="755" t="s">
        <v>1511</v>
      </c>
      <c r="C230" s="779">
        <v>1444493</v>
      </c>
      <c r="D230" s="779">
        <v>0</v>
      </c>
      <c r="E230" s="779">
        <v>500181.40834642091</v>
      </c>
      <c r="F230" s="779">
        <v>466736.49985826889</v>
      </c>
      <c r="G230" s="779">
        <v>14500</v>
      </c>
      <c r="K230" s="1076"/>
      <c r="O230" s="1076"/>
    </row>
    <row r="231" spans="1:15">
      <c r="A231" s="756">
        <v>8230</v>
      </c>
      <c r="B231" s="755" t="s">
        <v>1513</v>
      </c>
      <c r="C231" s="779">
        <v>14414199</v>
      </c>
      <c r="D231" s="779">
        <v>23742358</v>
      </c>
      <c r="E231" s="779">
        <v>488316.69495034037</v>
      </c>
      <c r="F231" s="779">
        <v>887599.06861547311</v>
      </c>
      <c r="G231" s="779">
        <v>168700</v>
      </c>
      <c r="K231" s="1076"/>
      <c r="O231" s="1076"/>
    </row>
    <row r="232" spans="1:15">
      <c r="A232" s="754">
        <v>8231</v>
      </c>
      <c r="B232" s="755" t="s">
        <v>1518</v>
      </c>
      <c r="C232" s="779">
        <v>39841951</v>
      </c>
      <c r="D232" s="779">
        <v>51383402</v>
      </c>
      <c r="E232" s="779">
        <v>2110335.6893404457</v>
      </c>
      <c r="F232" s="779">
        <v>2403174.9390067011</v>
      </c>
      <c r="G232" s="779">
        <v>914423</v>
      </c>
      <c r="K232" s="1076"/>
      <c r="O232" s="1076"/>
    </row>
    <row r="233" spans="1:15">
      <c r="A233" s="756">
        <v>8232</v>
      </c>
      <c r="B233" s="755" t="s">
        <v>1523</v>
      </c>
      <c r="C233" s="779">
        <v>3135456</v>
      </c>
      <c r="D233" s="779">
        <v>3890539</v>
      </c>
      <c r="E233" s="779">
        <v>1386458.6652243256</v>
      </c>
      <c r="F233" s="779">
        <v>157005.00672734369</v>
      </c>
      <c r="G233" s="779">
        <v>15000</v>
      </c>
      <c r="K233" s="1076"/>
      <c r="O233" s="1076"/>
    </row>
    <row r="234" spans="1:15">
      <c r="A234" s="754">
        <v>8233</v>
      </c>
      <c r="B234" s="755" t="s">
        <v>1524</v>
      </c>
      <c r="C234" s="779">
        <v>2644081</v>
      </c>
      <c r="D234" s="779">
        <v>0</v>
      </c>
      <c r="E234" s="779">
        <v>1846072.5202323569</v>
      </c>
      <c r="F234" s="779">
        <v>770922.03258870635</v>
      </c>
      <c r="G234" s="779">
        <v>10000</v>
      </c>
      <c r="K234" s="1076"/>
      <c r="O234" s="1076"/>
    </row>
    <row r="235" spans="1:15">
      <c r="A235" s="756">
        <v>8234</v>
      </c>
      <c r="B235" s="755" t="s">
        <v>1530</v>
      </c>
      <c r="C235" s="779">
        <v>7616278</v>
      </c>
      <c r="D235" s="779">
        <v>2067385</v>
      </c>
      <c r="E235" s="779">
        <v>4989098.877902233</v>
      </c>
      <c r="F235" s="779">
        <v>87966.085556761507</v>
      </c>
      <c r="G235" s="779">
        <v>27060</v>
      </c>
      <c r="K235" s="1076"/>
      <c r="O235" s="1076"/>
    </row>
    <row r="236" spans="1:15">
      <c r="A236" s="754">
        <v>8235</v>
      </c>
      <c r="B236" s="755" t="s">
        <v>353</v>
      </c>
      <c r="C236" s="779">
        <v>9626324</v>
      </c>
      <c r="D236" s="779">
        <v>8867703</v>
      </c>
      <c r="E236" s="779">
        <v>675299.488174828</v>
      </c>
      <c r="F236" s="779">
        <v>404921.83903086721</v>
      </c>
      <c r="G236" s="779">
        <v>66000</v>
      </c>
      <c r="K236" s="1076"/>
      <c r="O236" s="1076"/>
    </row>
    <row r="237" spans="1:15">
      <c r="A237" s="756">
        <v>8236</v>
      </c>
      <c r="B237" s="758" t="s">
        <v>1532</v>
      </c>
      <c r="C237" s="779">
        <v>2911357</v>
      </c>
      <c r="D237" s="779">
        <v>981781</v>
      </c>
      <c r="E237" s="779">
        <v>1995149.6023599275</v>
      </c>
      <c r="F237" s="779">
        <v>99885.988586370891</v>
      </c>
      <c r="G237" s="779">
        <v>9350</v>
      </c>
      <c r="K237" s="1076"/>
      <c r="O237" s="1076"/>
    </row>
    <row r="238" spans="1:15">
      <c r="A238" s="754">
        <v>8237</v>
      </c>
      <c r="B238" s="759" t="s">
        <v>1536</v>
      </c>
      <c r="C238" s="779">
        <v>2545433</v>
      </c>
      <c r="D238" s="779">
        <v>4929310</v>
      </c>
      <c r="E238" s="779">
        <v>3120903.8717111186</v>
      </c>
      <c r="F238" s="779">
        <v>132883.72360449974</v>
      </c>
      <c r="G238" s="779" t="s">
        <v>1148</v>
      </c>
      <c r="K238" s="1076"/>
      <c r="O238" s="1076"/>
    </row>
    <row r="239" spans="1:15">
      <c r="A239" s="754">
        <v>8238</v>
      </c>
      <c r="B239" s="759" t="s">
        <v>1538</v>
      </c>
      <c r="C239" s="779">
        <v>27619214</v>
      </c>
      <c r="D239" s="779">
        <v>46444378</v>
      </c>
      <c r="E239" s="779">
        <v>2273164.2381219515</v>
      </c>
      <c r="F239" s="779">
        <v>1769945.0888860307</v>
      </c>
      <c r="G239" s="779">
        <v>406100</v>
      </c>
      <c r="K239" s="1076"/>
      <c r="O239" s="1076"/>
    </row>
    <row r="240" spans="1:15">
      <c r="A240" s="754">
        <v>8239</v>
      </c>
      <c r="B240" s="759" t="s">
        <v>1542</v>
      </c>
      <c r="C240" s="779">
        <v>1807136</v>
      </c>
      <c r="D240" s="779">
        <v>0</v>
      </c>
      <c r="E240" s="779">
        <v>618478.61187393998</v>
      </c>
      <c r="F240" s="779">
        <v>584248.67886470922</v>
      </c>
      <c r="G240" s="779">
        <v>36000</v>
      </c>
      <c r="K240" s="1076"/>
      <c r="O240" s="1076"/>
    </row>
    <row r="241" spans="1:15">
      <c r="A241" s="756">
        <v>8240</v>
      </c>
      <c r="B241" s="758" t="s">
        <v>1544</v>
      </c>
      <c r="C241" s="779">
        <v>18325791</v>
      </c>
      <c r="D241" s="779">
        <v>18252391</v>
      </c>
      <c r="E241" s="779">
        <v>1442644.4714849337</v>
      </c>
      <c r="F241" s="779">
        <v>854488.14731397433</v>
      </c>
      <c r="G241" s="779">
        <v>87000</v>
      </c>
      <c r="K241" s="1076"/>
      <c r="O241" s="1076"/>
    </row>
    <row r="242" spans="1:15">
      <c r="A242" s="754">
        <v>8241</v>
      </c>
      <c r="B242" s="759" t="s">
        <v>1549</v>
      </c>
      <c r="C242" s="779">
        <v>198740</v>
      </c>
      <c r="D242" s="779">
        <v>0</v>
      </c>
      <c r="E242" s="779">
        <v>75286.117047173975</v>
      </c>
      <c r="F242" s="779">
        <v>27320.249014230099</v>
      </c>
      <c r="G242" s="779" t="s">
        <v>1148</v>
      </c>
      <c r="K242" s="1076"/>
      <c r="O242" s="1076"/>
    </row>
    <row r="243" spans="1:15">
      <c r="A243" s="754">
        <v>8242</v>
      </c>
      <c r="B243" s="759" t="s">
        <v>1555</v>
      </c>
      <c r="C243" s="779">
        <v>468270</v>
      </c>
      <c r="D243" s="779">
        <v>0</v>
      </c>
      <c r="E243" s="779">
        <v>381362.52299613605</v>
      </c>
      <c r="F243" s="779">
        <v>133265.38270437522</v>
      </c>
      <c r="G243" s="779">
        <v>1000</v>
      </c>
      <c r="K243" s="1076"/>
      <c r="O243" s="1076"/>
    </row>
    <row r="244" spans="1:15">
      <c r="A244" s="754">
        <v>8243</v>
      </c>
      <c r="B244" s="755" t="s">
        <v>1556</v>
      </c>
      <c r="C244" s="779">
        <v>562530</v>
      </c>
      <c r="D244" s="779">
        <v>0</v>
      </c>
      <c r="E244" s="779">
        <v>180499.40201509022</v>
      </c>
      <c r="F244" s="779">
        <v>24562.738805890829</v>
      </c>
      <c r="G244" s="779" t="s">
        <v>1148</v>
      </c>
      <c r="K244" s="1076"/>
      <c r="O244" s="1076"/>
    </row>
    <row r="245" spans="1:15">
      <c r="A245" s="756">
        <v>8244</v>
      </c>
      <c r="B245" s="757" t="s">
        <v>1558</v>
      </c>
      <c r="C245" s="779">
        <v>9103614</v>
      </c>
      <c r="D245" s="779">
        <v>11655468</v>
      </c>
      <c r="E245" s="779">
        <v>1828579.0854574596</v>
      </c>
      <c r="F245" s="779">
        <v>726021.99357906636</v>
      </c>
      <c r="G245" s="779">
        <v>200982</v>
      </c>
      <c r="K245" s="1076"/>
      <c r="O245" s="1076"/>
    </row>
    <row r="246" spans="1:15">
      <c r="A246" s="756">
        <v>8245</v>
      </c>
      <c r="B246" s="755" t="s">
        <v>1559</v>
      </c>
      <c r="C246" s="779">
        <v>95878196</v>
      </c>
      <c r="D246" s="779">
        <v>107545999</v>
      </c>
      <c r="E246" s="779">
        <v>1592806.7837336385</v>
      </c>
      <c r="F246" s="779">
        <v>7407071.5903332373</v>
      </c>
      <c r="G246" s="779">
        <v>2005937</v>
      </c>
      <c r="K246" s="1076"/>
      <c r="O246" s="1076"/>
    </row>
    <row r="247" spans="1:15">
      <c r="A247" s="756">
        <v>8246</v>
      </c>
      <c r="B247" s="758" t="s">
        <v>1561</v>
      </c>
      <c r="C247" s="779">
        <v>3223596</v>
      </c>
      <c r="D247" s="779">
        <v>2501920</v>
      </c>
      <c r="E247" s="779">
        <v>2713456.2357495259</v>
      </c>
      <c r="F247" s="779">
        <v>47458.872211760354</v>
      </c>
      <c r="G247" s="779">
        <v>15350</v>
      </c>
      <c r="K247" s="1076"/>
      <c r="O247" s="1076"/>
    </row>
    <row r="248" spans="1:15">
      <c r="A248" s="754">
        <v>8247</v>
      </c>
      <c r="B248" s="755" t="s">
        <v>1562</v>
      </c>
      <c r="C248" s="779">
        <v>1832097</v>
      </c>
      <c r="D248" s="779">
        <v>0</v>
      </c>
      <c r="E248" s="779">
        <v>2142897.0687430748</v>
      </c>
      <c r="F248" s="779">
        <v>245404.82030234102</v>
      </c>
      <c r="G248" s="779">
        <v>11500</v>
      </c>
      <c r="K248" s="1076"/>
      <c r="O248" s="1076"/>
    </row>
    <row r="249" spans="1:15">
      <c r="A249" s="754">
        <v>8248</v>
      </c>
      <c r="B249" s="755" t="s">
        <v>1564</v>
      </c>
      <c r="C249" s="779">
        <v>11168892</v>
      </c>
      <c r="D249" s="779">
        <v>166573</v>
      </c>
      <c r="E249" s="779">
        <v>10536492.183326254</v>
      </c>
      <c r="F249" s="779">
        <v>154807.64114922687</v>
      </c>
      <c r="G249" s="779">
        <v>36909</v>
      </c>
      <c r="K249" s="1076"/>
      <c r="O249" s="1076"/>
    </row>
    <row r="250" spans="1:15">
      <c r="A250" s="754">
        <v>8249</v>
      </c>
      <c r="B250" s="755" t="s">
        <v>1566</v>
      </c>
      <c r="C250" s="779">
        <v>598571</v>
      </c>
      <c r="D250" s="779">
        <v>0</v>
      </c>
      <c r="E250" s="779">
        <v>398968.63942584739</v>
      </c>
      <c r="F250" s="779">
        <v>200464.58875193106</v>
      </c>
      <c r="G250" s="779">
        <v>3000</v>
      </c>
      <c r="K250" s="1076"/>
      <c r="O250" s="1076"/>
    </row>
    <row r="251" spans="1:15">
      <c r="A251" s="754">
        <v>8250</v>
      </c>
      <c r="B251" s="755" t="s">
        <v>1567</v>
      </c>
      <c r="C251" s="779">
        <v>10455811</v>
      </c>
      <c r="D251" s="779">
        <v>15718485</v>
      </c>
      <c r="E251" s="779">
        <v>4476421.4949524803</v>
      </c>
      <c r="F251" s="779">
        <v>816096.05907262873</v>
      </c>
      <c r="G251" s="779">
        <v>73972</v>
      </c>
      <c r="K251" s="1076"/>
      <c r="O251" s="1076"/>
    </row>
    <row r="252" spans="1:15">
      <c r="A252" s="754">
        <v>8251</v>
      </c>
      <c r="B252" s="755" t="s">
        <v>1571</v>
      </c>
      <c r="C252" s="779">
        <v>8490439</v>
      </c>
      <c r="D252" s="779">
        <v>9912516</v>
      </c>
      <c r="E252" s="779">
        <v>967220.67300888384</v>
      </c>
      <c r="F252" s="779">
        <v>523154.25900761993</v>
      </c>
      <c r="G252" s="779">
        <v>257200</v>
      </c>
      <c r="K252" s="1076"/>
      <c r="O252" s="1076"/>
    </row>
    <row r="253" spans="1:15">
      <c r="A253" s="754">
        <v>8252</v>
      </c>
      <c r="B253" s="755" t="s">
        <v>1572</v>
      </c>
      <c r="C253" s="779">
        <v>35943073</v>
      </c>
      <c r="D253" s="779">
        <v>46196892</v>
      </c>
      <c r="E253" s="779">
        <v>2583968.4918564255</v>
      </c>
      <c r="F253" s="779">
        <v>2525237.2510994645</v>
      </c>
      <c r="G253" s="779">
        <v>675822</v>
      </c>
      <c r="K253" s="1076"/>
      <c r="O253" s="1076"/>
    </row>
    <row r="254" spans="1:15">
      <c r="A254" s="754">
        <v>8253</v>
      </c>
      <c r="B254" s="755" t="s">
        <v>1574</v>
      </c>
      <c r="C254" s="779">
        <v>193492</v>
      </c>
      <c r="D254" s="779">
        <v>0</v>
      </c>
      <c r="E254" s="779">
        <v>113523.69689188742</v>
      </c>
      <c r="F254" s="779">
        <v>73941.748026476445</v>
      </c>
      <c r="G254" s="779" t="s">
        <v>1148</v>
      </c>
      <c r="K254" s="1076"/>
      <c r="O254" s="1076"/>
    </row>
    <row r="255" spans="1:15">
      <c r="A255" s="754">
        <v>8254</v>
      </c>
      <c r="B255" s="763" t="s">
        <v>1578</v>
      </c>
      <c r="C255" s="779">
        <v>3376554</v>
      </c>
      <c r="D255" s="779">
        <v>0</v>
      </c>
      <c r="E255" s="779">
        <v>3794478.5520762233</v>
      </c>
      <c r="F255" s="779">
        <v>748930.21182546648</v>
      </c>
      <c r="G255" s="779">
        <v>22000</v>
      </c>
      <c r="K255" s="1076"/>
      <c r="O255" s="1076"/>
    </row>
    <row r="256" spans="1:15">
      <c r="A256" s="754">
        <v>8255</v>
      </c>
      <c r="B256" s="755" t="s">
        <v>1580</v>
      </c>
      <c r="C256" s="779">
        <v>515156</v>
      </c>
      <c r="D256" s="779">
        <v>0</v>
      </c>
      <c r="E256" s="779">
        <v>1169763.7208711118</v>
      </c>
      <c r="F256" s="779">
        <v>11457.231558736899</v>
      </c>
      <c r="G256" s="779">
        <v>1741</v>
      </c>
      <c r="K256" s="1076"/>
      <c r="O256" s="1076"/>
    </row>
    <row r="257" spans="1:15">
      <c r="A257" s="754">
        <v>8256</v>
      </c>
      <c r="B257" s="755" t="s">
        <v>1584</v>
      </c>
      <c r="C257" s="779">
        <v>1151013</v>
      </c>
      <c r="D257" s="779">
        <v>435695</v>
      </c>
      <c r="E257" s="779">
        <v>102646.59659404322</v>
      </c>
      <c r="F257" s="779">
        <v>19985.361547278175</v>
      </c>
      <c r="G257" s="779" t="s">
        <v>1148</v>
      </c>
      <c r="K257" s="1076"/>
      <c r="O257" s="1076"/>
    </row>
    <row r="258" spans="1:15">
      <c r="A258" s="754">
        <v>8257</v>
      </c>
      <c r="B258" s="755" t="s">
        <v>1587</v>
      </c>
      <c r="C258" s="779">
        <v>156552</v>
      </c>
      <c r="D258" s="779">
        <v>0</v>
      </c>
      <c r="E258" s="779">
        <v>170374.05133852651</v>
      </c>
      <c r="F258" s="779">
        <v>24730.517076422868</v>
      </c>
      <c r="G258" s="779" t="s">
        <v>1148</v>
      </c>
      <c r="K258" s="1076"/>
      <c r="O258" s="1076"/>
    </row>
    <row r="259" spans="1:15">
      <c r="A259" s="754">
        <v>8258</v>
      </c>
      <c r="B259" s="755" t="s">
        <v>1591</v>
      </c>
      <c r="C259" s="779">
        <v>1667027</v>
      </c>
      <c r="D259" s="779">
        <v>0</v>
      </c>
      <c r="E259" s="779">
        <v>1457641.5606410026</v>
      </c>
      <c r="F259" s="779">
        <v>275152.60167729238</v>
      </c>
      <c r="G259" s="779">
        <v>21353</v>
      </c>
      <c r="K259" s="1076"/>
      <c r="O259" s="1076"/>
    </row>
    <row r="260" spans="1:15">
      <c r="A260" s="756">
        <v>8259</v>
      </c>
      <c r="B260" s="755" t="s">
        <v>1594</v>
      </c>
      <c r="C260" s="779">
        <v>12796558</v>
      </c>
      <c r="D260" s="779">
        <v>12147218</v>
      </c>
      <c r="E260" s="779">
        <v>8692787.1659071706</v>
      </c>
      <c r="F260" s="779">
        <v>361043.55018598068</v>
      </c>
      <c r="G260" s="779">
        <v>378918</v>
      </c>
      <c r="K260" s="1076"/>
      <c r="O260" s="1076"/>
    </row>
    <row r="261" spans="1:15">
      <c r="A261" s="754">
        <v>8260</v>
      </c>
      <c r="B261" s="755" t="s">
        <v>1598</v>
      </c>
      <c r="C261" s="779">
        <v>28172129</v>
      </c>
      <c r="D261" s="779">
        <v>38946230</v>
      </c>
      <c r="E261" s="779">
        <v>2511394.2166255498</v>
      </c>
      <c r="F261" s="779">
        <v>2279610.2112474754</v>
      </c>
      <c r="G261" s="779">
        <v>477458</v>
      </c>
      <c r="K261" s="1076"/>
      <c r="O261" s="1076"/>
    </row>
    <row r="262" spans="1:15">
      <c r="A262" s="756">
        <v>8261</v>
      </c>
      <c r="B262" s="755" t="s">
        <v>354</v>
      </c>
      <c r="C262" s="779">
        <v>6982424</v>
      </c>
      <c r="D262" s="779">
        <v>4038472</v>
      </c>
      <c r="E262" s="779">
        <v>1447471.1223218103</v>
      </c>
      <c r="F262" s="779">
        <v>145349.98345990537</v>
      </c>
      <c r="G262" s="779">
        <v>355157</v>
      </c>
      <c r="K262" s="1076"/>
      <c r="O262" s="1076"/>
    </row>
    <row r="263" spans="1:15">
      <c r="A263" s="754">
        <v>8262</v>
      </c>
      <c r="B263" s="755" t="s">
        <v>1600</v>
      </c>
      <c r="C263" s="779">
        <v>10497142</v>
      </c>
      <c r="D263" s="779">
        <v>22409227</v>
      </c>
      <c r="E263" s="779">
        <v>6820089.8622628488</v>
      </c>
      <c r="F263" s="779">
        <v>552701.25987389637</v>
      </c>
      <c r="G263" s="779">
        <v>408204</v>
      </c>
      <c r="K263" s="1076"/>
      <c r="O263" s="1076"/>
    </row>
    <row r="264" spans="1:15">
      <c r="A264" s="754">
        <v>8263</v>
      </c>
      <c r="B264" s="755" t="s">
        <v>1602</v>
      </c>
      <c r="C264" s="779">
        <v>30607437</v>
      </c>
      <c r="D264" s="779">
        <v>30644967</v>
      </c>
      <c r="E264" s="779">
        <v>5048724.6522420095</v>
      </c>
      <c r="F264" s="779">
        <v>1695874.7642541796</v>
      </c>
      <c r="G264" s="779">
        <v>906890</v>
      </c>
      <c r="K264" s="1076"/>
      <c r="O264" s="1076"/>
    </row>
    <row r="265" spans="1:15">
      <c r="A265" s="754">
        <v>8264</v>
      </c>
      <c r="B265" s="755" t="s">
        <v>355</v>
      </c>
      <c r="C265" s="779">
        <v>13255325</v>
      </c>
      <c r="D265" s="779">
        <v>18665319</v>
      </c>
      <c r="E265" s="779">
        <v>578575.39530637104</v>
      </c>
      <c r="F265" s="779">
        <v>661389.64151027601</v>
      </c>
      <c r="G265" s="779">
        <v>499698</v>
      </c>
      <c r="K265" s="1076"/>
      <c r="O265" s="1076"/>
    </row>
    <row r="266" spans="1:15">
      <c r="A266" s="756">
        <v>8265</v>
      </c>
      <c r="B266" s="755" t="s">
        <v>1604</v>
      </c>
      <c r="C266" s="779">
        <v>2812269</v>
      </c>
      <c r="D266" s="779">
        <v>3065865</v>
      </c>
      <c r="E266" s="779">
        <v>3644753.3194240513</v>
      </c>
      <c r="F266" s="779">
        <v>42714.199424997052</v>
      </c>
      <c r="G266" s="779">
        <v>35000</v>
      </c>
      <c r="K266" s="1076"/>
      <c r="O266" s="1076"/>
    </row>
    <row r="267" spans="1:15">
      <c r="A267" s="754">
        <v>8266</v>
      </c>
      <c r="B267" s="755" t="s">
        <v>1605</v>
      </c>
      <c r="C267" s="779">
        <v>69854275</v>
      </c>
      <c r="D267" s="779">
        <v>102118648</v>
      </c>
      <c r="E267" s="779">
        <v>3668065.1134772315</v>
      </c>
      <c r="F267" s="779">
        <v>4998432.9894860415</v>
      </c>
      <c r="G267" s="781" t="s">
        <v>678</v>
      </c>
      <c r="K267" s="1076"/>
      <c r="O267" s="1076"/>
    </row>
    <row r="268" spans="1:15">
      <c r="A268" s="754">
        <v>8267</v>
      </c>
      <c r="B268" s="755" t="s">
        <v>1608</v>
      </c>
      <c r="C268" s="779">
        <v>10497291</v>
      </c>
      <c r="D268" s="779">
        <v>12799623</v>
      </c>
      <c r="E268" s="779">
        <v>5869183.2803786872</v>
      </c>
      <c r="F268" s="779">
        <v>545114.36843522917</v>
      </c>
      <c r="G268" s="779">
        <v>225000</v>
      </c>
      <c r="K268" s="1076"/>
      <c r="O268" s="1076"/>
    </row>
    <row r="269" spans="1:15">
      <c r="A269" s="754">
        <v>8268</v>
      </c>
      <c r="B269" s="755" t="s">
        <v>1610</v>
      </c>
      <c r="C269" s="779">
        <v>2440166</v>
      </c>
      <c r="D269" s="779">
        <v>0</v>
      </c>
      <c r="E269" s="779">
        <v>1602335.3935170083</v>
      </c>
      <c r="F269" s="779">
        <v>966027.00250190869</v>
      </c>
      <c r="G269" s="779" t="s">
        <v>1148</v>
      </c>
      <c r="K269" s="1076"/>
      <c r="O269" s="1076"/>
    </row>
    <row r="270" spans="1:15">
      <c r="A270" s="754">
        <v>8269</v>
      </c>
      <c r="B270" s="755" t="s">
        <v>1614</v>
      </c>
      <c r="C270" s="779">
        <v>5672004</v>
      </c>
      <c r="D270" s="779">
        <v>1146895</v>
      </c>
      <c r="E270" s="779">
        <v>6791959.3717051689</v>
      </c>
      <c r="F270" s="779">
        <v>94919.774640141186</v>
      </c>
      <c r="G270" s="779">
        <v>25000</v>
      </c>
      <c r="K270" s="1076"/>
      <c r="O270" s="1076"/>
    </row>
    <row r="271" spans="1:15">
      <c r="A271" s="754">
        <v>8270</v>
      </c>
      <c r="B271" s="755" t="s">
        <v>356</v>
      </c>
      <c r="C271" s="779">
        <v>56847128</v>
      </c>
      <c r="D271" s="779">
        <v>64987192</v>
      </c>
      <c r="E271" s="779">
        <v>608047.05691960151</v>
      </c>
      <c r="F271" s="779">
        <v>2777199.1091371211</v>
      </c>
      <c r="G271" s="779">
        <v>1120186</v>
      </c>
      <c r="K271" s="1076"/>
      <c r="O271" s="1076"/>
    </row>
    <row r="272" spans="1:15">
      <c r="A272" s="754">
        <v>8271</v>
      </c>
      <c r="B272" s="755" t="s">
        <v>1621</v>
      </c>
      <c r="C272" s="779">
        <v>148580</v>
      </c>
      <c r="D272" s="779">
        <v>0</v>
      </c>
      <c r="E272" s="779">
        <v>79068.215653449486</v>
      </c>
      <c r="F272" s="779">
        <v>18727.182041579257</v>
      </c>
      <c r="G272" s="779">
        <v>500</v>
      </c>
      <c r="K272" s="1076"/>
      <c r="O272" s="1076"/>
    </row>
    <row r="273" spans="1:15">
      <c r="A273" s="754">
        <v>8272</v>
      </c>
      <c r="B273" s="755" t="s">
        <v>1625</v>
      </c>
      <c r="C273" s="779">
        <v>387868</v>
      </c>
      <c r="D273" s="779">
        <v>0</v>
      </c>
      <c r="E273" s="779">
        <v>179084.08305401483</v>
      </c>
      <c r="F273" s="779">
        <v>84831.564653009103</v>
      </c>
      <c r="G273" s="779" t="s">
        <v>1148</v>
      </c>
      <c r="K273" s="1076"/>
      <c r="O273" s="1076"/>
    </row>
    <row r="274" spans="1:15">
      <c r="A274" s="754">
        <v>8273</v>
      </c>
      <c r="B274" s="755" t="s">
        <v>1627</v>
      </c>
      <c r="C274" s="779">
        <v>5105231</v>
      </c>
      <c r="D274" s="779">
        <v>0</v>
      </c>
      <c r="E274" s="779">
        <v>3020786.9912100201</v>
      </c>
      <c r="F274" s="779">
        <v>1623219.4532538923</v>
      </c>
      <c r="G274" s="779">
        <v>20244</v>
      </c>
      <c r="K274" s="1076"/>
      <c r="O274" s="1076"/>
    </row>
    <row r="275" spans="1:15">
      <c r="A275" s="756">
        <v>8274</v>
      </c>
      <c r="B275" s="755" t="s">
        <v>1631</v>
      </c>
      <c r="C275" s="779">
        <v>7434618</v>
      </c>
      <c r="D275" s="779">
        <v>13271576</v>
      </c>
      <c r="E275" s="779">
        <v>4800652.268092121</v>
      </c>
      <c r="F275" s="779">
        <v>376822.63403246726</v>
      </c>
      <c r="G275" s="779" t="s">
        <v>678</v>
      </c>
      <c r="K275" s="1076"/>
      <c r="O275" s="1076"/>
    </row>
    <row r="276" spans="1:15">
      <c r="A276" s="754">
        <v>8275</v>
      </c>
      <c r="B276" s="755" t="s">
        <v>1634</v>
      </c>
      <c r="C276" s="779">
        <v>742210</v>
      </c>
      <c r="D276" s="779">
        <v>0</v>
      </c>
      <c r="E276" s="779">
        <v>376319.55936101091</v>
      </c>
      <c r="F276" s="779">
        <v>74974.642168358609</v>
      </c>
      <c r="G276" s="779">
        <v>45276</v>
      </c>
      <c r="K276" s="1076"/>
      <c r="O276" s="1076"/>
    </row>
    <row r="277" spans="1:15">
      <c r="A277" s="754">
        <v>8276</v>
      </c>
      <c r="B277" s="755" t="s">
        <v>1636</v>
      </c>
      <c r="C277" s="779">
        <v>563416</v>
      </c>
      <c r="D277" s="779">
        <v>0</v>
      </c>
      <c r="E277" s="779">
        <v>418868.02710474777</v>
      </c>
      <c r="F277" s="779">
        <v>79304.964696655821</v>
      </c>
      <c r="G277" s="779" t="s">
        <v>1148</v>
      </c>
      <c r="K277" s="1076"/>
      <c r="O277" s="1076"/>
    </row>
    <row r="278" spans="1:15">
      <c r="A278" s="754">
        <v>8277</v>
      </c>
      <c r="B278" s="755" t="s">
        <v>1639</v>
      </c>
      <c r="C278" s="779">
        <v>414331</v>
      </c>
      <c r="D278" s="779">
        <v>0</v>
      </c>
      <c r="E278" s="779">
        <v>146867.89880091156</v>
      </c>
      <c r="F278" s="779">
        <v>210451.85119936321</v>
      </c>
      <c r="G278" s="779" t="s">
        <v>1148</v>
      </c>
      <c r="K278" s="1076"/>
      <c r="O278" s="1076"/>
    </row>
    <row r="279" spans="1:15">
      <c r="A279" s="756">
        <v>8278</v>
      </c>
      <c r="B279" s="755" t="s">
        <v>1641</v>
      </c>
      <c r="C279" s="779">
        <v>9365190</v>
      </c>
      <c r="D279" s="779">
        <v>11841628</v>
      </c>
      <c r="E279" s="779">
        <v>6177119.1039246479</v>
      </c>
      <c r="F279" s="779">
        <v>216135.6184454936</v>
      </c>
      <c r="G279" s="779" t="s">
        <v>678</v>
      </c>
      <c r="K279" s="1076"/>
      <c r="O279" s="1076"/>
    </row>
    <row r="280" spans="1:15">
      <c r="A280" s="754">
        <v>8279</v>
      </c>
      <c r="B280" s="755" t="s">
        <v>967</v>
      </c>
      <c r="C280" s="779">
        <v>237388944</v>
      </c>
      <c r="D280" s="779">
        <v>351997883</v>
      </c>
      <c r="E280" s="779">
        <v>14144519.1294802</v>
      </c>
      <c r="F280" s="779">
        <v>20441385.443016164</v>
      </c>
      <c r="G280" s="779">
        <v>5654826</v>
      </c>
      <c r="K280" s="1076"/>
      <c r="O280" s="1076"/>
    </row>
    <row r="281" spans="1:15">
      <c r="A281" s="754">
        <v>8280</v>
      </c>
      <c r="B281" s="755" t="s">
        <v>1650</v>
      </c>
      <c r="C281" s="779">
        <v>297677</v>
      </c>
      <c r="D281" s="779">
        <v>0</v>
      </c>
      <c r="E281" s="779">
        <v>159185.85160356871</v>
      </c>
      <c r="F281" s="779">
        <v>25920.755866197229</v>
      </c>
      <c r="G281" s="779">
        <v>34000</v>
      </c>
      <c r="K281" s="1076"/>
      <c r="O281" s="1076"/>
    </row>
    <row r="282" spans="1:15">
      <c r="A282" s="756">
        <v>8281</v>
      </c>
      <c r="B282" s="755" t="s">
        <v>1652</v>
      </c>
      <c r="C282" s="779">
        <v>9691359</v>
      </c>
      <c r="D282" s="779">
        <v>18301635</v>
      </c>
      <c r="E282" s="779">
        <v>718190.83253473544</v>
      </c>
      <c r="F282" s="779">
        <v>573930.20556798833</v>
      </c>
      <c r="G282" s="779">
        <v>195000</v>
      </c>
      <c r="K282" s="1076"/>
      <c r="O282" s="1076"/>
    </row>
    <row r="283" spans="1:15">
      <c r="A283" s="754">
        <v>8282</v>
      </c>
      <c r="B283" s="755" t="s">
        <v>1655</v>
      </c>
      <c r="C283" s="779">
        <v>11443836</v>
      </c>
      <c r="D283" s="779">
        <v>19646413</v>
      </c>
      <c r="E283" s="779">
        <v>290815.83884337207</v>
      </c>
      <c r="F283" s="779">
        <v>774916.8912726742</v>
      </c>
      <c r="G283" s="779">
        <v>463977</v>
      </c>
      <c r="K283" s="1076"/>
      <c r="O283" s="1076"/>
    </row>
    <row r="284" spans="1:15">
      <c r="A284" s="754">
        <v>8283</v>
      </c>
      <c r="B284" s="755" t="s">
        <v>1658</v>
      </c>
      <c r="C284" s="779">
        <v>9487360</v>
      </c>
      <c r="D284" s="779">
        <v>18276092</v>
      </c>
      <c r="E284" s="779">
        <v>9507823.6488149017</v>
      </c>
      <c r="F284" s="779">
        <v>466938.27556622447</v>
      </c>
      <c r="G284" s="779">
        <v>131140</v>
      </c>
      <c r="K284" s="1076"/>
      <c r="O284" s="1076"/>
    </row>
    <row r="285" spans="1:15">
      <c r="A285" s="754">
        <v>8284</v>
      </c>
      <c r="B285" s="755" t="s">
        <v>1660</v>
      </c>
      <c r="C285" s="779">
        <v>21898302</v>
      </c>
      <c r="D285" s="779">
        <v>21053101</v>
      </c>
      <c r="E285" s="779">
        <v>4879565.925177183</v>
      </c>
      <c r="F285" s="779">
        <v>1083530.1556176697</v>
      </c>
      <c r="G285" s="779">
        <v>191074</v>
      </c>
      <c r="K285" s="1076"/>
      <c r="O285" s="1076"/>
    </row>
    <row r="286" spans="1:15">
      <c r="A286" s="754">
        <v>8285</v>
      </c>
      <c r="B286" s="755" t="s">
        <v>1667</v>
      </c>
      <c r="C286" s="779">
        <v>17123813</v>
      </c>
      <c r="D286" s="779">
        <v>31048835</v>
      </c>
      <c r="E286" s="779">
        <v>13328754.375782199</v>
      </c>
      <c r="F286" s="779">
        <v>772083.19521998335</v>
      </c>
      <c r="G286" s="779">
        <v>270244</v>
      </c>
      <c r="K286" s="1076"/>
      <c r="O286" s="1076"/>
    </row>
    <row r="287" spans="1:15">
      <c r="A287" s="754">
        <v>8286</v>
      </c>
      <c r="B287" s="755" t="s">
        <v>1670</v>
      </c>
      <c r="C287" s="779">
        <v>4953001</v>
      </c>
      <c r="D287" s="779">
        <v>2924681</v>
      </c>
      <c r="E287" s="779">
        <v>4868526.4500020733</v>
      </c>
      <c r="F287" s="779">
        <v>70677.148592504658</v>
      </c>
      <c r="G287" s="779">
        <v>102512</v>
      </c>
      <c r="K287" s="1076"/>
      <c r="O287" s="1076"/>
    </row>
    <row r="288" spans="1:15">
      <c r="A288" s="756">
        <v>8287</v>
      </c>
      <c r="B288" s="755" t="s">
        <v>1673</v>
      </c>
      <c r="C288" s="779">
        <v>1655099</v>
      </c>
      <c r="D288" s="779">
        <v>2035933</v>
      </c>
      <c r="E288" s="779">
        <v>611205.44764987368</v>
      </c>
      <c r="F288" s="779">
        <v>56004.8788531889</v>
      </c>
      <c r="G288" s="779">
        <v>23892</v>
      </c>
      <c r="K288" s="1076"/>
      <c r="O288" s="1076"/>
    </row>
    <row r="289" spans="1:15">
      <c r="A289" s="754">
        <v>8288</v>
      </c>
      <c r="B289" s="755" t="s">
        <v>1677</v>
      </c>
      <c r="C289" s="779">
        <v>3406521</v>
      </c>
      <c r="D289" s="779">
        <v>0</v>
      </c>
      <c r="E289" s="779">
        <v>1008961.2695118401</v>
      </c>
      <c r="F289" s="779">
        <v>1937694.682380772</v>
      </c>
      <c r="G289" s="779">
        <v>6160</v>
      </c>
      <c r="K289" s="1076"/>
      <c r="O289" s="1076"/>
    </row>
    <row r="290" spans="1:15">
      <c r="A290" s="754">
        <v>8289</v>
      </c>
      <c r="B290" s="755" t="s">
        <v>1681</v>
      </c>
      <c r="C290" s="779">
        <v>8022921</v>
      </c>
      <c r="D290" s="779">
        <v>3477565</v>
      </c>
      <c r="E290" s="779">
        <v>2863382.6592718032</v>
      </c>
      <c r="F290" s="779">
        <v>208455.16860123866</v>
      </c>
      <c r="G290" s="779" t="s">
        <v>678</v>
      </c>
      <c r="K290" s="1076"/>
      <c r="O290" s="1076"/>
    </row>
    <row r="291" spans="1:15">
      <c r="A291" s="754">
        <v>8290</v>
      </c>
      <c r="B291" s="755" t="s">
        <v>1682</v>
      </c>
      <c r="C291" s="779">
        <v>2840053</v>
      </c>
      <c r="D291" s="779">
        <v>1442427</v>
      </c>
      <c r="E291" s="779">
        <v>1411157.3915594369</v>
      </c>
      <c r="F291" s="779">
        <v>51418.292897069652</v>
      </c>
      <c r="G291" s="779">
        <v>72218</v>
      </c>
      <c r="K291" s="1076"/>
      <c r="O291" s="1076"/>
    </row>
    <row r="292" spans="1:15">
      <c r="A292" s="754">
        <v>8291</v>
      </c>
      <c r="B292" s="755" t="s">
        <v>1684</v>
      </c>
      <c r="C292" s="779">
        <v>8415279</v>
      </c>
      <c r="D292" s="779">
        <v>0</v>
      </c>
      <c r="E292" s="779">
        <v>10606593.001224361</v>
      </c>
      <c r="F292" s="779">
        <v>2378850.4588518362</v>
      </c>
      <c r="G292" s="779">
        <v>79750</v>
      </c>
      <c r="K292" s="1076"/>
      <c r="O292" s="1076"/>
    </row>
    <row r="293" spans="1:15">
      <c r="A293" s="756">
        <v>8292</v>
      </c>
      <c r="B293" s="755" t="s">
        <v>1686</v>
      </c>
      <c r="C293" s="779">
        <v>1523188</v>
      </c>
      <c r="D293" s="779">
        <v>2403535</v>
      </c>
      <c r="E293" s="779">
        <v>1018064.1268459015</v>
      </c>
      <c r="F293" s="779">
        <v>89688.450439509674</v>
      </c>
      <c r="G293" s="779" t="s">
        <v>1148</v>
      </c>
      <c r="K293" s="1076"/>
      <c r="O293" s="1076"/>
    </row>
    <row r="294" spans="1:15">
      <c r="A294" s="754">
        <v>8293</v>
      </c>
      <c r="B294" s="755" t="s">
        <v>1690</v>
      </c>
      <c r="C294" s="779">
        <v>345692</v>
      </c>
      <c r="D294" s="779">
        <v>0</v>
      </c>
      <c r="E294" s="779">
        <v>235753.00632800604</v>
      </c>
      <c r="F294" s="779">
        <v>39626.774236232828</v>
      </c>
      <c r="G294" s="779">
        <v>3000</v>
      </c>
      <c r="K294" s="1076"/>
      <c r="O294" s="1076"/>
    </row>
    <row r="295" spans="1:15">
      <c r="A295" s="754">
        <v>8294</v>
      </c>
      <c r="B295" s="755" t="s">
        <v>1692</v>
      </c>
      <c r="C295" s="779">
        <v>4427536</v>
      </c>
      <c r="D295" s="779">
        <v>718628</v>
      </c>
      <c r="E295" s="779">
        <v>2080416.7908413995</v>
      </c>
      <c r="F295" s="779">
        <v>86740.582187368535</v>
      </c>
      <c r="G295" s="779">
        <v>20000</v>
      </c>
      <c r="K295" s="1076"/>
      <c r="O295" s="1076"/>
    </row>
    <row r="296" spans="1:15">
      <c r="A296" s="756">
        <v>8295</v>
      </c>
      <c r="B296" s="755" t="s">
        <v>1697</v>
      </c>
      <c r="C296" s="779">
        <v>20423975</v>
      </c>
      <c r="D296" s="779">
        <v>15102244</v>
      </c>
      <c r="E296" s="779">
        <v>5376013.8590501742</v>
      </c>
      <c r="F296" s="779">
        <v>741230.38342322735</v>
      </c>
      <c r="G296" s="779">
        <v>219000</v>
      </c>
      <c r="K296" s="1076"/>
      <c r="O296" s="1076"/>
    </row>
    <row r="297" spans="1:15">
      <c r="A297" s="754">
        <v>8296</v>
      </c>
      <c r="B297" s="755" t="s">
        <v>1700</v>
      </c>
      <c r="C297" s="779">
        <v>4839470</v>
      </c>
      <c r="D297" s="779">
        <v>5860</v>
      </c>
      <c r="E297" s="779">
        <v>857911.41830689588</v>
      </c>
      <c r="F297" s="779">
        <v>202058.04863500179</v>
      </c>
      <c r="G297" s="779">
        <v>7000</v>
      </c>
      <c r="K297" s="1076"/>
      <c r="O297" s="1076"/>
    </row>
    <row r="298" spans="1:15">
      <c r="A298" s="754">
        <v>8297</v>
      </c>
      <c r="B298" s="755" t="s">
        <v>1702</v>
      </c>
      <c r="C298" s="779">
        <v>336061</v>
      </c>
      <c r="D298" s="779">
        <v>0</v>
      </c>
      <c r="E298" s="779">
        <v>119089.7409356165</v>
      </c>
      <c r="F298" s="779">
        <v>40673.839136980685</v>
      </c>
      <c r="G298" s="779">
        <v>16128</v>
      </c>
      <c r="K298" s="1076"/>
      <c r="O298" s="1076"/>
    </row>
    <row r="299" spans="1:15">
      <c r="A299" s="754">
        <v>8298</v>
      </c>
      <c r="B299" s="755" t="s">
        <v>815</v>
      </c>
      <c r="C299" s="779">
        <v>55022159</v>
      </c>
      <c r="D299" s="779">
        <v>111368833</v>
      </c>
      <c r="E299" s="779">
        <v>7845784.5917716995</v>
      </c>
      <c r="F299" s="779">
        <v>4953733.4527040133</v>
      </c>
      <c r="G299" s="779">
        <v>1116666</v>
      </c>
      <c r="K299" s="1076"/>
      <c r="O299" s="1076"/>
    </row>
    <row r="300" spans="1:15">
      <c r="A300" s="754">
        <v>8299</v>
      </c>
      <c r="B300" s="755" t="s">
        <v>1708</v>
      </c>
      <c r="C300" s="779">
        <v>661240</v>
      </c>
      <c r="D300" s="779">
        <v>0</v>
      </c>
      <c r="E300" s="779">
        <v>696517.50312575058</v>
      </c>
      <c r="F300" s="779">
        <v>75610.824174741312</v>
      </c>
      <c r="G300" s="779">
        <v>7000</v>
      </c>
      <c r="K300" s="1076"/>
      <c r="O300" s="1076"/>
    </row>
    <row r="301" spans="1:15">
      <c r="A301" s="754">
        <v>8300</v>
      </c>
      <c r="B301" s="755" t="s">
        <v>1710</v>
      </c>
      <c r="C301" s="779">
        <v>10284482</v>
      </c>
      <c r="D301" s="779">
        <v>15247087</v>
      </c>
      <c r="E301" s="779">
        <v>2775503.0122147379</v>
      </c>
      <c r="F301" s="779">
        <v>324185.78000002453</v>
      </c>
      <c r="G301" s="779">
        <v>20000</v>
      </c>
      <c r="K301" s="1076"/>
      <c r="O301" s="1076"/>
    </row>
    <row r="302" spans="1:15">
      <c r="A302" s="754">
        <v>8301</v>
      </c>
      <c r="B302" s="755" t="s">
        <v>357</v>
      </c>
      <c r="C302" s="779">
        <v>68993057</v>
      </c>
      <c r="D302" s="779">
        <v>68481082</v>
      </c>
      <c r="E302" s="779">
        <v>2700768.511879941</v>
      </c>
      <c r="F302" s="779">
        <v>4515640.1397279343</v>
      </c>
      <c r="G302" s="779">
        <v>2253198</v>
      </c>
      <c r="K302" s="1076"/>
      <c r="O302" s="1076"/>
    </row>
    <row r="303" spans="1:15">
      <c r="A303" s="756">
        <v>8302</v>
      </c>
      <c r="B303" s="755" t="s">
        <v>1718</v>
      </c>
      <c r="C303" s="779">
        <v>13252283</v>
      </c>
      <c r="D303" s="779">
        <v>22188536</v>
      </c>
      <c r="E303" s="779">
        <v>7785826.420652315</v>
      </c>
      <c r="F303" s="779">
        <v>824757.48472128902</v>
      </c>
      <c r="G303" s="779">
        <v>113207</v>
      </c>
      <c r="K303" s="1076"/>
      <c r="O303" s="1076"/>
    </row>
    <row r="304" spans="1:15">
      <c r="A304" s="754">
        <v>8303</v>
      </c>
      <c r="B304" s="755" t="s">
        <v>1722</v>
      </c>
      <c r="C304" s="779">
        <v>417649</v>
      </c>
      <c r="D304" s="779">
        <v>0</v>
      </c>
      <c r="E304" s="779">
        <v>321938.58415089949</v>
      </c>
      <c r="F304" s="779">
        <v>100137.32713008572</v>
      </c>
      <c r="G304" s="779">
        <v>4500</v>
      </c>
      <c r="K304" s="1076"/>
      <c r="O304" s="1076"/>
    </row>
    <row r="305" spans="1:15">
      <c r="A305" s="754">
        <v>8304</v>
      </c>
      <c r="B305" s="755" t="s">
        <v>1728</v>
      </c>
      <c r="C305" s="779">
        <v>1647528</v>
      </c>
      <c r="D305" s="779">
        <v>0</v>
      </c>
      <c r="E305" s="779">
        <v>705297.41769706109</v>
      </c>
      <c r="F305" s="779">
        <v>568760.64085267775</v>
      </c>
      <c r="G305" s="779" t="s">
        <v>678</v>
      </c>
      <c r="K305" s="1076"/>
      <c r="O305" s="1076"/>
    </row>
    <row r="306" spans="1:15">
      <c r="A306" s="754">
        <v>8305</v>
      </c>
      <c r="B306" s="755" t="s">
        <v>1729</v>
      </c>
      <c r="C306" s="779">
        <v>51737771</v>
      </c>
      <c r="D306" s="779">
        <v>60451825</v>
      </c>
      <c r="E306" s="779">
        <v>2610890.4195306012</v>
      </c>
      <c r="F306" s="779">
        <v>4629761.4841848025</v>
      </c>
      <c r="G306" s="779">
        <v>1080000</v>
      </c>
      <c r="K306" s="1076"/>
      <c r="O306" s="1076"/>
    </row>
    <row r="307" spans="1:15">
      <c r="A307" s="754">
        <v>8306</v>
      </c>
      <c r="B307" s="755" t="s">
        <v>1730</v>
      </c>
      <c r="C307" s="779">
        <v>996553</v>
      </c>
      <c r="D307" s="779">
        <v>148034</v>
      </c>
      <c r="E307" s="779">
        <v>711080.3310683294</v>
      </c>
      <c r="F307" s="779">
        <v>19757.454172014688</v>
      </c>
      <c r="G307" s="779" t="s">
        <v>1148</v>
      </c>
      <c r="K307" s="1076"/>
      <c r="O307" s="1076"/>
    </row>
    <row r="308" spans="1:15">
      <c r="A308" s="754">
        <v>8307</v>
      </c>
      <c r="B308" s="755" t="s">
        <v>358</v>
      </c>
      <c r="C308" s="779">
        <v>84957459</v>
      </c>
      <c r="D308" s="779">
        <v>77861534</v>
      </c>
      <c r="E308" s="779">
        <v>1496019.8075527328</v>
      </c>
      <c r="F308" s="779">
        <v>5080420.7751405174</v>
      </c>
      <c r="G308" s="779">
        <v>2934641</v>
      </c>
      <c r="K308" s="1076"/>
      <c r="O308" s="1076"/>
    </row>
    <row r="309" spans="1:15">
      <c r="A309" s="754">
        <v>8308</v>
      </c>
      <c r="B309" s="755" t="s">
        <v>1737</v>
      </c>
      <c r="C309" s="779">
        <v>433141</v>
      </c>
      <c r="D309" s="779">
        <v>0</v>
      </c>
      <c r="E309" s="779">
        <v>153109.05934574298</v>
      </c>
      <c r="F309" s="779">
        <v>52030.438524422127</v>
      </c>
      <c r="G309" s="779">
        <v>2800</v>
      </c>
      <c r="K309" s="1076"/>
      <c r="O309" s="1076"/>
    </row>
    <row r="310" spans="1:15">
      <c r="A310" s="754">
        <v>8901</v>
      </c>
      <c r="B310" s="755" t="s">
        <v>1742</v>
      </c>
      <c r="C310" s="779">
        <v>560979</v>
      </c>
      <c r="D310" s="779">
        <v>0</v>
      </c>
      <c r="E310" s="779">
        <v>543022.20833071519</v>
      </c>
      <c r="F310" s="779">
        <v>42613.056617065609</v>
      </c>
      <c r="G310" s="779" t="s">
        <v>1148</v>
      </c>
      <c r="K310" s="1076"/>
      <c r="O310" s="1076"/>
    </row>
    <row r="311" spans="1:15">
      <c r="A311" s="754">
        <v>8902</v>
      </c>
      <c r="B311" s="755" t="s">
        <v>1743</v>
      </c>
      <c r="C311" s="779">
        <v>7919802</v>
      </c>
      <c r="D311" s="779">
        <v>5939414</v>
      </c>
      <c r="E311" s="779">
        <v>2325957.293698003</v>
      </c>
      <c r="F311" s="779">
        <v>132245.90773646793</v>
      </c>
      <c r="G311" s="779">
        <v>115000</v>
      </c>
      <c r="K311" s="1076"/>
      <c r="O311" s="1076"/>
    </row>
    <row r="312" spans="1:15">
      <c r="A312" s="754">
        <v>8903</v>
      </c>
      <c r="B312" s="755" t="s">
        <v>1746</v>
      </c>
      <c r="C312" s="779">
        <v>473673</v>
      </c>
      <c r="D312" s="779">
        <v>0</v>
      </c>
      <c r="E312" s="779">
        <v>514257.90609284677</v>
      </c>
      <c r="F312" s="779">
        <v>46200.444979558713</v>
      </c>
      <c r="G312" s="779">
        <v>1000</v>
      </c>
      <c r="K312" s="1076"/>
      <c r="O312" s="1076"/>
    </row>
    <row r="313" spans="1:15">
      <c r="A313" s="764">
        <v>8904</v>
      </c>
      <c r="B313" s="765" t="s">
        <v>1748</v>
      </c>
      <c r="C313" s="779">
        <v>12926807</v>
      </c>
      <c r="D313" s="779">
        <v>13637924</v>
      </c>
      <c r="E313" s="779">
        <v>144275.96802811432</v>
      </c>
      <c r="F313" s="779">
        <v>1031727.9418641269</v>
      </c>
      <c r="G313" s="779">
        <v>353121</v>
      </c>
      <c r="K313" s="1076"/>
      <c r="O313" s="1076"/>
    </row>
    <row r="314" spans="1:15">
      <c r="A314" s="756">
        <v>8905</v>
      </c>
      <c r="B314" s="755" t="s">
        <v>1749</v>
      </c>
      <c r="C314" s="779">
        <v>5000903</v>
      </c>
      <c r="D314" s="779">
        <v>3735316</v>
      </c>
      <c r="E314" s="779">
        <v>969339.72222694161</v>
      </c>
      <c r="F314" s="779">
        <v>156511.63713573129</v>
      </c>
      <c r="G314" s="779">
        <v>21600</v>
      </c>
      <c r="K314" s="1076"/>
      <c r="O314" s="1076"/>
    </row>
    <row r="315" spans="1:15">
      <c r="A315" s="766"/>
      <c r="B315" s="767" t="s">
        <v>257</v>
      </c>
    </row>
    <row r="316" spans="1:15">
      <c r="B316" s="769" t="s">
        <v>11</v>
      </c>
    </row>
    <row r="321" spans="1:2">
      <c r="A321" s="770"/>
      <c r="B321" s="770"/>
    </row>
    <row r="322" spans="1:2">
      <c r="A322" s="770"/>
      <c r="B322" s="770"/>
    </row>
    <row r="323" spans="1:2">
      <c r="A323" s="770"/>
      <c r="B323" s="770"/>
    </row>
    <row r="324" spans="1:2">
      <c r="A324" s="770"/>
      <c r="B324" s="770"/>
    </row>
    <row r="325" spans="1:2">
      <c r="A325" s="770"/>
      <c r="B325" s="770"/>
    </row>
    <row r="326" spans="1:2">
      <c r="A326" s="770"/>
      <c r="B326" s="770"/>
    </row>
    <row r="327" spans="1:2">
      <c r="A327" s="770"/>
      <c r="B327" s="770"/>
    </row>
    <row r="328" spans="1:2">
      <c r="A328" s="770"/>
      <c r="B328" s="770"/>
    </row>
    <row r="329" spans="1:2">
      <c r="A329" s="770"/>
      <c r="B329" s="770"/>
    </row>
    <row r="330" spans="1:2">
      <c r="A330" s="770"/>
      <c r="B330" s="770"/>
    </row>
    <row r="331" spans="1:2">
      <c r="A331" s="770"/>
      <c r="B331" s="770"/>
    </row>
    <row r="332" spans="1:2">
      <c r="A332" s="770"/>
      <c r="B332" s="770"/>
    </row>
    <row r="333" spans="1:2">
      <c r="A333" s="770"/>
      <c r="B333" s="770"/>
    </row>
    <row r="334" spans="1:2">
      <c r="A334" s="770"/>
      <c r="B334" s="770"/>
    </row>
    <row r="335" spans="1:2">
      <c r="A335" s="770"/>
      <c r="B335" s="770"/>
    </row>
    <row r="336" spans="1:2">
      <c r="A336" s="770"/>
      <c r="B336" s="770"/>
    </row>
    <row r="337" spans="1:2">
      <c r="A337" s="770"/>
      <c r="B337" s="770"/>
    </row>
    <row r="338" spans="1:2">
      <c r="A338" s="770"/>
      <c r="B338" s="770"/>
    </row>
    <row r="339" spans="1:2">
      <c r="A339" s="770"/>
      <c r="B339" s="770"/>
    </row>
    <row r="340" spans="1:2">
      <c r="A340" s="770"/>
      <c r="B340" s="770"/>
    </row>
    <row r="341" spans="1:2">
      <c r="A341" s="770"/>
      <c r="B341" s="770"/>
    </row>
    <row r="342" spans="1:2">
      <c r="A342" s="770"/>
      <c r="B342" s="770"/>
    </row>
    <row r="343" spans="1:2">
      <c r="A343" s="770"/>
      <c r="B343" s="770"/>
    </row>
    <row r="344" spans="1:2">
      <c r="A344" s="770"/>
      <c r="B344" s="770"/>
    </row>
    <row r="345" spans="1:2">
      <c r="A345" s="770"/>
      <c r="B345" s="770"/>
    </row>
    <row r="346" spans="1:2">
      <c r="A346" s="770"/>
      <c r="B346" s="770"/>
    </row>
    <row r="347" spans="1:2">
      <c r="A347" s="770"/>
      <c r="B347" s="770"/>
    </row>
    <row r="348" spans="1:2">
      <c r="A348" s="770"/>
      <c r="B348" s="770"/>
    </row>
    <row r="349" spans="1:2">
      <c r="A349" s="770"/>
      <c r="B349" s="770"/>
    </row>
    <row r="350" spans="1:2">
      <c r="A350" s="770"/>
      <c r="B350" s="770"/>
    </row>
    <row r="351" spans="1:2">
      <c r="A351" s="770"/>
      <c r="B351" s="770"/>
    </row>
    <row r="352" spans="1:2">
      <c r="A352" s="770"/>
      <c r="B352" s="770"/>
    </row>
    <row r="353" spans="1:2">
      <c r="A353" s="770"/>
      <c r="B353" s="770"/>
    </row>
    <row r="354" spans="1:2">
      <c r="A354" s="770"/>
      <c r="B354" s="770"/>
    </row>
    <row r="355" spans="1:2">
      <c r="A355" s="770"/>
      <c r="B355" s="770"/>
    </row>
    <row r="356" spans="1:2">
      <c r="A356" s="770"/>
      <c r="B356" s="770"/>
    </row>
    <row r="357" spans="1:2">
      <c r="A357" s="770"/>
      <c r="B357" s="770"/>
    </row>
    <row r="358" spans="1:2">
      <c r="A358" s="770"/>
      <c r="B358" s="770"/>
    </row>
    <row r="359" spans="1:2">
      <c r="A359" s="770"/>
      <c r="B359" s="770"/>
    </row>
    <row r="360" spans="1:2">
      <c r="A360" s="770"/>
      <c r="B360" s="770"/>
    </row>
    <row r="361" spans="1:2">
      <c r="A361" s="770"/>
      <c r="B361" s="770"/>
    </row>
    <row r="362" spans="1:2">
      <c r="A362" s="770"/>
      <c r="B362" s="770"/>
    </row>
    <row r="363" spans="1:2">
      <c r="A363" s="770"/>
      <c r="B363" s="770"/>
    </row>
    <row r="364" spans="1:2">
      <c r="A364" s="770"/>
      <c r="B364" s="770"/>
    </row>
    <row r="365" spans="1:2">
      <c r="A365" s="770"/>
      <c r="B365" s="770"/>
    </row>
    <row r="366" spans="1:2">
      <c r="A366" s="770"/>
      <c r="B366" s="770"/>
    </row>
    <row r="367" spans="1:2">
      <c r="A367" s="770"/>
      <c r="B367" s="770"/>
    </row>
    <row r="368" spans="1:2">
      <c r="A368" s="770"/>
      <c r="B368" s="770"/>
    </row>
    <row r="369" spans="1:2">
      <c r="A369" s="770"/>
      <c r="B369" s="770"/>
    </row>
    <row r="370" spans="1:2">
      <c r="A370" s="770"/>
      <c r="B370" s="770"/>
    </row>
    <row r="371" spans="1:2">
      <c r="A371" s="770"/>
      <c r="B371" s="770"/>
    </row>
    <row r="372" spans="1:2">
      <c r="A372" s="770"/>
      <c r="B372" s="770"/>
    </row>
    <row r="373" spans="1:2">
      <c r="A373" s="770"/>
      <c r="B373" s="770"/>
    </row>
    <row r="374" spans="1:2">
      <c r="A374" s="770"/>
      <c r="B374" s="770"/>
    </row>
    <row r="375" spans="1:2">
      <c r="A375" s="770"/>
      <c r="B375" s="770"/>
    </row>
    <row r="376" spans="1:2">
      <c r="A376" s="770"/>
      <c r="B376" s="770"/>
    </row>
    <row r="377" spans="1:2">
      <c r="A377" s="770"/>
      <c r="B377" s="770"/>
    </row>
    <row r="378" spans="1:2">
      <c r="A378" s="770"/>
      <c r="B378" s="770"/>
    </row>
    <row r="379" spans="1:2">
      <c r="A379" s="770"/>
      <c r="B379" s="770"/>
    </row>
    <row r="380" spans="1:2">
      <c r="A380" s="770"/>
      <c r="B380" s="770"/>
    </row>
    <row r="381" spans="1:2">
      <c r="A381" s="770"/>
      <c r="B381" s="770"/>
    </row>
    <row r="382" spans="1:2">
      <c r="A382" s="770"/>
      <c r="B382" s="770"/>
    </row>
    <row r="383" spans="1:2">
      <c r="A383" s="770"/>
      <c r="B383" s="770"/>
    </row>
    <row r="384" spans="1:2">
      <c r="A384" s="770"/>
      <c r="B384" s="770"/>
    </row>
    <row r="385" spans="1:2">
      <c r="A385" s="770"/>
      <c r="B385" s="770"/>
    </row>
    <row r="386" spans="1:2">
      <c r="A386" s="770"/>
      <c r="B386" s="770"/>
    </row>
    <row r="387" spans="1:2">
      <c r="A387" s="770"/>
      <c r="B387" s="770"/>
    </row>
    <row r="388" spans="1:2">
      <c r="A388" s="770"/>
      <c r="B388" s="770"/>
    </row>
    <row r="389" spans="1:2">
      <c r="A389" s="770"/>
      <c r="B389" s="770"/>
    </row>
    <row r="390" spans="1:2">
      <c r="A390" s="770"/>
      <c r="B390" s="770"/>
    </row>
    <row r="391" spans="1:2">
      <c r="A391" s="770"/>
      <c r="B391" s="770"/>
    </row>
    <row r="392" spans="1:2">
      <c r="A392" s="770"/>
      <c r="B392" s="770"/>
    </row>
    <row r="393" spans="1:2">
      <c r="A393" s="770"/>
      <c r="B393" s="770"/>
    </row>
    <row r="394" spans="1:2">
      <c r="A394" s="770"/>
      <c r="B394" s="770"/>
    </row>
    <row r="395" spans="1:2">
      <c r="A395" s="770"/>
      <c r="B395" s="770"/>
    </row>
    <row r="396" spans="1:2">
      <c r="A396" s="770"/>
      <c r="B396" s="770"/>
    </row>
    <row r="397" spans="1:2">
      <c r="A397" s="770"/>
      <c r="B397" s="770"/>
    </row>
    <row r="398" spans="1:2">
      <c r="A398" s="770"/>
      <c r="B398" s="770"/>
    </row>
    <row r="399" spans="1:2">
      <c r="A399" s="770"/>
      <c r="B399" s="770"/>
    </row>
    <row r="400" spans="1:2">
      <c r="A400" s="770"/>
      <c r="B400" s="770"/>
    </row>
    <row r="401" spans="1:2">
      <c r="A401" s="770"/>
      <c r="B401" s="770"/>
    </row>
    <row r="402" spans="1:2">
      <c r="A402" s="770"/>
      <c r="B402" s="770"/>
    </row>
    <row r="403" spans="1:2">
      <c r="A403" s="770"/>
      <c r="B403" s="770"/>
    </row>
    <row r="404" spans="1:2">
      <c r="A404" s="770"/>
      <c r="B404" s="770"/>
    </row>
    <row r="405" spans="1:2">
      <c r="A405" s="770"/>
      <c r="B405" s="770"/>
    </row>
    <row r="406" spans="1:2">
      <c r="A406" s="770"/>
      <c r="B406" s="770"/>
    </row>
    <row r="407" spans="1:2">
      <c r="A407" s="770"/>
      <c r="B407" s="770"/>
    </row>
    <row r="408" spans="1:2">
      <c r="A408" s="770"/>
      <c r="B408" s="770"/>
    </row>
    <row r="409" spans="1:2">
      <c r="A409" s="770"/>
      <c r="B409" s="770"/>
    </row>
    <row r="410" spans="1:2">
      <c r="A410" s="770"/>
      <c r="B410" s="770"/>
    </row>
    <row r="411" spans="1:2">
      <c r="A411" s="770"/>
      <c r="B411" s="770"/>
    </row>
    <row r="412" spans="1:2">
      <c r="A412" s="770"/>
      <c r="B412" s="770"/>
    </row>
    <row r="413" spans="1:2">
      <c r="A413" s="770"/>
      <c r="B413" s="770"/>
    </row>
    <row r="414" spans="1:2">
      <c r="A414" s="770"/>
      <c r="B414" s="770"/>
    </row>
    <row r="415" spans="1:2">
      <c r="A415" s="770"/>
      <c r="B415" s="770"/>
    </row>
    <row r="416" spans="1:2">
      <c r="A416" s="770"/>
      <c r="B416" s="770"/>
    </row>
    <row r="417" spans="1:2">
      <c r="A417" s="770"/>
      <c r="B417" s="770"/>
    </row>
    <row r="418" spans="1:2">
      <c r="A418" s="770"/>
      <c r="B418" s="770"/>
    </row>
    <row r="419" spans="1:2">
      <c r="A419" s="770"/>
      <c r="B419" s="770"/>
    </row>
    <row r="420" spans="1:2">
      <c r="A420" s="770"/>
      <c r="B420" s="770"/>
    </row>
    <row r="421" spans="1:2">
      <c r="A421" s="770"/>
      <c r="B421" s="770"/>
    </row>
    <row r="422" spans="1:2">
      <c r="A422" s="770"/>
      <c r="B422" s="770"/>
    </row>
    <row r="423" spans="1:2">
      <c r="A423" s="770"/>
      <c r="B423" s="770"/>
    </row>
    <row r="424" spans="1:2">
      <c r="A424" s="770"/>
      <c r="B424" s="770"/>
    </row>
    <row r="425" spans="1:2">
      <c r="A425" s="770"/>
      <c r="B425" s="770"/>
    </row>
    <row r="426" spans="1:2">
      <c r="A426" s="770"/>
      <c r="B426" s="770"/>
    </row>
    <row r="427" spans="1:2">
      <c r="A427" s="770"/>
      <c r="B427" s="770"/>
    </row>
    <row r="428" spans="1:2">
      <c r="A428" s="770"/>
      <c r="B428" s="770"/>
    </row>
    <row r="429" spans="1:2">
      <c r="A429" s="770"/>
      <c r="B429" s="770"/>
    </row>
    <row r="430" spans="1:2">
      <c r="A430" s="770"/>
      <c r="B430" s="770"/>
    </row>
    <row r="431" spans="1:2">
      <c r="A431" s="770"/>
      <c r="B431" s="770"/>
    </row>
    <row r="432" spans="1:2">
      <c r="A432" s="770"/>
      <c r="B432" s="770"/>
    </row>
    <row r="433" spans="1:2">
      <c r="A433" s="770"/>
      <c r="B433" s="770"/>
    </row>
    <row r="434" spans="1:2">
      <c r="A434" s="770"/>
      <c r="B434" s="770"/>
    </row>
    <row r="435" spans="1:2">
      <c r="A435" s="770"/>
      <c r="B435" s="770"/>
    </row>
    <row r="436" spans="1:2">
      <c r="A436" s="770"/>
      <c r="B436" s="770"/>
    </row>
    <row r="437" spans="1:2">
      <c r="A437" s="770"/>
      <c r="B437" s="770"/>
    </row>
    <row r="438" spans="1:2">
      <c r="A438" s="770"/>
      <c r="B438" s="770"/>
    </row>
    <row r="439" spans="1:2">
      <c r="A439" s="770"/>
      <c r="B439" s="770"/>
    </row>
    <row r="440" spans="1:2">
      <c r="A440" s="770"/>
      <c r="B440" s="770"/>
    </row>
    <row r="441" spans="1:2">
      <c r="A441" s="770"/>
      <c r="B441" s="770"/>
    </row>
    <row r="442" spans="1:2">
      <c r="A442" s="770"/>
      <c r="B442" s="770"/>
    </row>
    <row r="443" spans="1:2">
      <c r="A443" s="770"/>
      <c r="B443" s="770"/>
    </row>
    <row r="444" spans="1:2">
      <c r="A444" s="770"/>
      <c r="B444" s="770"/>
    </row>
    <row r="445" spans="1:2">
      <c r="A445" s="770"/>
      <c r="B445" s="770"/>
    </row>
    <row r="446" spans="1:2">
      <c r="A446" s="770"/>
      <c r="B446" s="770"/>
    </row>
    <row r="447" spans="1:2">
      <c r="A447" s="770"/>
      <c r="B447" s="770"/>
    </row>
    <row r="448" spans="1:2">
      <c r="A448" s="770"/>
      <c r="B448" s="770"/>
    </row>
    <row r="449" spans="1:2">
      <c r="A449" s="770"/>
      <c r="B449" s="770"/>
    </row>
    <row r="450" spans="1:2">
      <c r="A450" s="770"/>
      <c r="B450" s="770"/>
    </row>
    <row r="451" spans="1:2">
      <c r="A451" s="770"/>
      <c r="B451" s="770"/>
    </row>
    <row r="452" spans="1:2">
      <c r="A452" s="770"/>
      <c r="B452" s="770"/>
    </row>
    <row r="453" spans="1:2">
      <c r="A453" s="770"/>
      <c r="B453" s="770"/>
    </row>
  </sheetData>
  <mergeCells count="3">
    <mergeCell ref="A1:B1"/>
    <mergeCell ref="B2:B3"/>
    <mergeCell ref="C1:F2"/>
  </mergeCells>
  <pageMargins left="0.7" right="0.7" top="0.75" bottom="0.75" header="0.3" footer="0.3"/>
  <pageSetup paperSize="9" orientation="portrait" verticalDpi="0"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312"/>
  <sheetViews>
    <sheetView topLeftCell="A15" workbookViewId="0">
      <selection activeCell="G42" sqref="G42"/>
    </sheetView>
  </sheetViews>
  <sheetFormatPr defaultRowHeight="15"/>
  <cols>
    <col min="1" max="1" width="27.5703125" style="207" customWidth="1"/>
  </cols>
  <sheetData>
    <row r="1" spans="1:1" ht="15.75" thickBot="1">
      <c r="A1" s="226" t="s">
        <v>66</v>
      </c>
    </row>
    <row r="2" spans="1:1">
      <c r="A2" s="236" t="s">
        <v>672</v>
      </c>
    </row>
    <row r="3" spans="1:1">
      <c r="A3" s="236" t="s">
        <v>694</v>
      </c>
    </row>
    <row r="4" spans="1:1">
      <c r="A4" s="236" t="s">
        <v>797</v>
      </c>
    </row>
    <row r="5" spans="1:1">
      <c r="A5" s="236" t="s">
        <v>707</v>
      </c>
    </row>
    <row r="6" spans="1:1">
      <c r="A6" s="236" t="s">
        <v>716</v>
      </c>
    </row>
    <row r="7" spans="1:1">
      <c r="A7" s="236" t="s">
        <v>334</v>
      </c>
    </row>
    <row r="8" spans="1:1">
      <c r="A8" s="236" t="s">
        <v>742</v>
      </c>
    </row>
    <row r="9" spans="1:1">
      <c r="A9" s="236" t="s">
        <v>751</v>
      </c>
    </row>
    <row r="10" spans="1:1">
      <c r="A10" s="236" t="s">
        <v>761</v>
      </c>
    </row>
    <row r="11" spans="1:1">
      <c r="A11" s="236" t="s">
        <v>767</v>
      </c>
    </row>
    <row r="12" spans="1:1">
      <c r="A12" s="236" t="s">
        <v>774</v>
      </c>
    </row>
    <row r="13" spans="1:1">
      <c r="A13" s="236" t="s">
        <v>781</v>
      </c>
    </row>
    <row r="14" spans="1:1">
      <c r="A14" s="236" t="s">
        <v>787</v>
      </c>
    </row>
    <row r="15" spans="1:1">
      <c r="A15" s="236" t="s">
        <v>335</v>
      </c>
    </row>
    <row r="16" spans="1:1">
      <c r="A16" s="236" t="s">
        <v>1748</v>
      </c>
    </row>
    <row r="17" spans="1:1">
      <c r="A17" s="236" t="s">
        <v>807</v>
      </c>
    </row>
    <row r="18" spans="1:1">
      <c r="A18" s="236" t="s">
        <v>812</v>
      </c>
    </row>
    <row r="19" spans="1:1">
      <c r="A19" s="236" t="s">
        <v>817</v>
      </c>
    </row>
    <row r="20" spans="1:1">
      <c r="A20" s="236" t="s">
        <v>1572</v>
      </c>
    </row>
    <row r="21" spans="1:1">
      <c r="A21" s="236" t="s">
        <v>331</v>
      </c>
    </row>
    <row r="22" spans="1:1">
      <c r="A22" s="236" t="s">
        <v>825</v>
      </c>
    </row>
    <row r="23" spans="1:1">
      <c r="A23" s="236" t="s">
        <v>829</v>
      </c>
    </row>
    <row r="24" spans="1:1">
      <c r="A24" s="236" t="s">
        <v>777</v>
      </c>
    </row>
    <row r="25" spans="1:1">
      <c r="A25" s="236" t="s">
        <v>838</v>
      </c>
    </row>
    <row r="26" spans="1:1">
      <c r="A26" s="236" t="s">
        <v>843</v>
      </c>
    </row>
    <row r="27" spans="1:1">
      <c r="A27" s="236" t="s">
        <v>856</v>
      </c>
    </row>
    <row r="28" spans="1:1">
      <c r="A28" s="236" t="s">
        <v>336</v>
      </c>
    </row>
    <row r="29" spans="1:1">
      <c r="A29" s="236" t="s">
        <v>864</v>
      </c>
    </row>
    <row r="30" spans="1:1">
      <c r="A30" s="236" t="s">
        <v>865</v>
      </c>
    </row>
    <row r="31" spans="1:1">
      <c r="A31" s="236" t="s">
        <v>875</v>
      </c>
    </row>
    <row r="32" spans="1:1">
      <c r="A32" s="236" t="s">
        <v>867</v>
      </c>
    </row>
    <row r="33" spans="1:1">
      <c r="A33" s="236" t="s">
        <v>337</v>
      </c>
    </row>
    <row r="34" spans="1:1">
      <c r="A34" s="236" t="s">
        <v>338</v>
      </c>
    </row>
    <row r="35" spans="1:1">
      <c r="A35" s="236" t="s">
        <v>886</v>
      </c>
    </row>
    <row r="36" spans="1:1">
      <c r="A36" s="236" t="s">
        <v>890</v>
      </c>
    </row>
    <row r="37" spans="1:1">
      <c r="A37" s="236" t="s">
        <v>881</v>
      </c>
    </row>
    <row r="38" spans="1:1">
      <c r="A38" s="236" t="s">
        <v>894</v>
      </c>
    </row>
    <row r="39" spans="1:1">
      <c r="A39" s="236" t="s">
        <v>339</v>
      </c>
    </row>
    <row r="40" spans="1:1">
      <c r="A40" s="236" t="s">
        <v>900</v>
      </c>
    </row>
    <row r="41" spans="1:1">
      <c r="A41" s="236" t="s">
        <v>901</v>
      </c>
    </row>
    <row r="42" spans="1:1">
      <c r="A42" s="236" t="s">
        <v>906</v>
      </c>
    </row>
    <row r="43" spans="1:1">
      <c r="A43" s="236" t="s">
        <v>912</v>
      </c>
    </row>
    <row r="44" spans="1:1">
      <c r="A44" s="236" t="s">
        <v>916</v>
      </c>
    </row>
    <row r="45" spans="1:1">
      <c r="A45" s="236" t="s">
        <v>920</v>
      </c>
    </row>
    <row r="46" spans="1:1">
      <c r="A46" s="236" t="s">
        <v>924</v>
      </c>
    </row>
    <row r="47" spans="1:1">
      <c r="A47" s="236" t="s">
        <v>929</v>
      </c>
    </row>
    <row r="48" spans="1:1">
      <c r="A48" s="236" t="s">
        <v>934</v>
      </c>
    </row>
    <row r="49" spans="1:1">
      <c r="A49" s="236" t="s">
        <v>980</v>
      </c>
    </row>
    <row r="50" spans="1:1">
      <c r="A50" s="236" t="s">
        <v>951</v>
      </c>
    </row>
    <row r="51" spans="1:1">
      <c r="A51" s="236" t="s">
        <v>942</v>
      </c>
    </row>
    <row r="52" spans="1:1">
      <c r="A52" s="236" t="s">
        <v>944</v>
      </c>
    </row>
    <row r="53" spans="1:1">
      <c r="A53" s="236" t="s">
        <v>958</v>
      </c>
    </row>
    <row r="54" spans="1:1">
      <c r="A54" s="236" t="s">
        <v>964</v>
      </c>
    </row>
    <row r="55" spans="1:1">
      <c r="A55" s="236" t="s">
        <v>970</v>
      </c>
    </row>
    <row r="56" spans="1:1">
      <c r="A56" s="236" t="s">
        <v>340</v>
      </c>
    </row>
    <row r="57" spans="1:1">
      <c r="A57" s="236" t="s">
        <v>984</v>
      </c>
    </row>
    <row r="58" spans="1:1">
      <c r="A58" s="236" t="s">
        <v>997</v>
      </c>
    </row>
    <row r="59" spans="1:1">
      <c r="A59" s="236" t="s">
        <v>993</v>
      </c>
    </row>
    <row r="60" spans="1:1">
      <c r="A60" s="236" t="s">
        <v>1002</v>
      </c>
    </row>
    <row r="61" spans="1:1">
      <c r="A61" s="236" t="s">
        <v>1004</v>
      </c>
    </row>
    <row r="62" spans="1:1">
      <c r="A62" s="236" t="s">
        <v>1008</v>
      </c>
    </row>
    <row r="63" spans="1:1">
      <c r="A63" s="236" t="s">
        <v>1012</v>
      </c>
    </row>
    <row r="64" spans="1:1">
      <c r="A64" s="236" t="s">
        <v>1014</v>
      </c>
    </row>
    <row r="65" spans="1:1">
      <c r="A65" s="236" t="s">
        <v>1021</v>
      </c>
    </row>
    <row r="66" spans="1:1">
      <c r="A66" s="236" t="s">
        <v>1025</v>
      </c>
    </row>
    <row r="67" spans="1:1">
      <c r="A67" s="236" t="s">
        <v>1610</v>
      </c>
    </row>
    <row r="68" spans="1:1">
      <c r="A68" s="236" t="s">
        <v>1605</v>
      </c>
    </row>
    <row r="69" spans="1:1">
      <c r="A69" s="236" t="s">
        <v>1027</v>
      </c>
    </row>
    <row r="70" spans="1:1">
      <c r="A70" s="236" t="s">
        <v>1030</v>
      </c>
    </row>
    <row r="71" spans="1:1">
      <c r="A71" s="236" t="s">
        <v>1034</v>
      </c>
    </row>
    <row r="72" spans="1:1">
      <c r="A72" s="236" t="s">
        <v>1037</v>
      </c>
    </row>
    <row r="73" spans="1:1">
      <c r="A73" s="236" t="s">
        <v>1043</v>
      </c>
    </row>
    <row r="74" spans="1:1">
      <c r="A74" s="236" t="s">
        <v>1046</v>
      </c>
    </row>
    <row r="75" spans="1:1">
      <c r="A75" s="236" t="s">
        <v>341</v>
      </c>
    </row>
    <row r="76" spans="1:1">
      <c r="A76" s="236" t="s">
        <v>1050</v>
      </c>
    </row>
    <row r="77" spans="1:1">
      <c r="A77" s="236" t="s">
        <v>846</v>
      </c>
    </row>
    <row r="78" spans="1:1">
      <c r="A78" s="236" t="s">
        <v>850</v>
      </c>
    </row>
    <row r="79" spans="1:1">
      <c r="A79" s="236" t="s">
        <v>344</v>
      </c>
    </row>
    <row r="80" spans="1:1">
      <c r="A80" s="236" t="s">
        <v>1324</v>
      </c>
    </row>
    <row r="81" spans="1:1">
      <c r="A81" s="236" t="s">
        <v>1339</v>
      </c>
    </row>
    <row r="82" spans="1:1">
      <c r="A82" s="236" t="s">
        <v>1387</v>
      </c>
    </row>
    <row r="83" spans="1:1">
      <c r="A83" s="236" t="s">
        <v>348</v>
      </c>
    </row>
    <row r="84" spans="1:1">
      <c r="A84" s="236" t="s">
        <v>1334</v>
      </c>
    </row>
    <row r="85" spans="1:1">
      <c r="A85" s="236" t="s">
        <v>1359</v>
      </c>
    </row>
    <row r="86" spans="1:1">
      <c r="A86" s="236" t="s">
        <v>1053</v>
      </c>
    </row>
    <row r="87" spans="1:1">
      <c r="A87" s="236" t="s">
        <v>1061</v>
      </c>
    </row>
    <row r="88" spans="1:1">
      <c r="A88" s="236" t="s">
        <v>1253</v>
      </c>
    </row>
    <row r="89" spans="1:1">
      <c r="A89" s="236" t="s">
        <v>1067</v>
      </c>
    </row>
    <row r="90" spans="1:1">
      <c r="A90" s="236" t="s">
        <v>1071</v>
      </c>
    </row>
    <row r="91" spans="1:1">
      <c r="A91" s="236" t="s">
        <v>1068</v>
      </c>
    </row>
    <row r="92" spans="1:1">
      <c r="A92" s="236" t="s">
        <v>1077</v>
      </c>
    </row>
    <row r="93" spans="1:1">
      <c r="A93" s="236" t="s">
        <v>1078</v>
      </c>
    </row>
    <row r="94" spans="1:1">
      <c r="A94" s="236" t="s">
        <v>1080</v>
      </c>
    </row>
    <row r="95" spans="1:1">
      <c r="A95" s="236" t="s">
        <v>1100</v>
      </c>
    </row>
    <row r="96" spans="1:1">
      <c r="A96" s="236" t="s">
        <v>1087</v>
      </c>
    </row>
    <row r="97" spans="1:1">
      <c r="A97" s="236" t="s">
        <v>342</v>
      </c>
    </row>
    <row r="98" spans="1:1">
      <c r="A98" s="236" t="s">
        <v>1102</v>
      </c>
    </row>
    <row r="99" spans="1:1">
      <c r="A99" s="236" t="s">
        <v>1104</v>
      </c>
    </row>
    <row r="100" spans="1:1">
      <c r="A100" s="236" t="s">
        <v>1105</v>
      </c>
    </row>
    <row r="101" spans="1:1">
      <c r="A101" s="236" t="s">
        <v>1110</v>
      </c>
    </row>
    <row r="102" spans="1:1">
      <c r="A102" s="236" t="s">
        <v>1113</v>
      </c>
    </row>
    <row r="103" spans="1:1">
      <c r="A103" s="236" t="s">
        <v>1116</v>
      </c>
    </row>
    <row r="104" spans="1:1">
      <c r="A104" s="236" t="s">
        <v>1125</v>
      </c>
    </row>
    <row r="105" spans="1:1">
      <c r="A105" s="236" t="s">
        <v>1127</v>
      </c>
    </row>
    <row r="106" spans="1:1">
      <c r="A106" s="236" t="s">
        <v>1136</v>
      </c>
    </row>
    <row r="107" spans="1:1">
      <c r="A107" s="236" t="s">
        <v>1137</v>
      </c>
    </row>
    <row r="108" spans="1:1">
      <c r="A108" s="236" t="s">
        <v>1091</v>
      </c>
    </row>
    <row r="109" spans="1:1">
      <c r="A109" s="236" t="s">
        <v>1108</v>
      </c>
    </row>
    <row r="110" spans="1:1">
      <c r="A110" s="236" t="s">
        <v>1142</v>
      </c>
    </row>
    <row r="111" spans="1:1">
      <c r="A111" s="236" t="s">
        <v>1147</v>
      </c>
    </row>
    <row r="112" spans="1:1">
      <c r="A112" s="236" t="s">
        <v>1272</v>
      </c>
    </row>
    <row r="113" spans="1:1">
      <c r="A113" s="236" t="s">
        <v>1749</v>
      </c>
    </row>
    <row r="114" spans="1:1">
      <c r="A114" s="236" t="s">
        <v>1340</v>
      </c>
    </row>
    <row r="115" spans="1:1">
      <c r="A115" s="236" t="s">
        <v>1343</v>
      </c>
    </row>
    <row r="116" spans="1:1">
      <c r="A116" s="236" t="s">
        <v>1372</v>
      </c>
    </row>
    <row r="117" spans="1:1">
      <c r="A117" s="236" t="s">
        <v>1384</v>
      </c>
    </row>
    <row r="118" spans="1:1">
      <c r="A118" s="236" t="s">
        <v>1670</v>
      </c>
    </row>
    <row r="119" spans="1:1">
      <c r="A119" s="236" t="s">
        <v>725</v>
      </c>
    </row>
    <row r="120" spans="1:1">
      <c r="A120" s="236" t="s">
        <v>854</v>
      </c>
    </row>
    <row r="121" spans="1:1">
      <c r="A121" s="236" t="s">
        <v>1084</v>
      </c>
    </row>
    <row r="122" spans="1:1">
      <c r="A122" s="236" t="s">
        <v>1184</v>
      </c>
    </row>
    <row r="123" spans="1:1">
      <c r="A123" s="236" t="s">
        <v>1187</v>
      </c>
    </row>
    <row r="124" spans="1:1">
      <c r="A124" s="236" t="s">
        <v>1062</v>
      </c>
    </row>
    <row r="125" spans="1:1">
      <c r="A125" s="236" t="s">
        <v>1578</v>
      </c>
    </row>
    <row r="126" spans="1:1">
      <c r="A126" s="236" t="s">
        <v>1063</v>
      </c>
    </row>
    <row r="127" spans="1:1">
      <c r="A127" s="236" t="s">
        <v>1135</v>
      </c>
    </row>
    <row r="128" spans="1:1">
      <c r="A128" s="236" t="s">
        <v>1155</v>
      </c>
    </row>
    <row r="129" spans="1:1">
      <c r="A129" s="236" t="s">
        <v>1158</v>
      </c>
    </row>
    <row r="130" spans="1:1">
      <c r="A130" s="236" t="s">
        <v>1149</v>
      </c>
    </row>
    <row r="131" spans="1:1">
      <c r="A131" s="236" t="s">
        <v>1160</v>
      </c>
    </row>
    <row r="132" spans="1:1">
      <c r="A132" s="236" t="s">
        <v>343</v>
      </c>
    </row>
    <row r="133" spans="1:1">
      <c r="A133" s="236" t="s">
        <v>1171</v>
      </c>
    </row>
    <row r="134" spans="1:1">
      <c r="A134" s="236" t="s">
        <v>721</v>
      </c>
    </row>
    <row r="135" spans="1:1">
      <c r="A135" s="236" t="s">
        <v>699</v>
      </c>
    </row>
    <row r="136" spans="1:1">
      <c r="A136" s="236" t="s">
        <v>1555</v>
      </c>
    </row>
    <row r="137" spans="1:1">
      <c r="A137" s="236" t="s">
        <v>677</v>
      </c>
    </row>
    <row r="138" spans="1:1">
      <c r="A138" s="236" t="s">
        <v>1183</v>
      </c>
    </row>
    <row r="139" spans="1:1">
      <c r="A139" s="236" t="s">
        <v>1194</v>
      </c>
    </row>
    <row r="140" spans="1:1">
      <c r="A140" s="236" t="s">
        <v>1197</v>
      </c>
    </row>
    <row r="141" spans="1:1">
      <c r="A141" s="236" t="s">
        <v>345</v>
      </c>
    </row>
    <row r="142" spans="1:1">
      <c r="A142" s="236" t="s">
        <v>1204</v>
      </c>
    </row>
    <row r="143" spans="1:1">
      <c r="A143" s="236" t="s">
        <v>1260</v>
      </c>
    </row>
    <row r="144" spans="1:1">
      <c r="A144" s="236" t="s">
        <v>1208</v>
      </c>
    </row>
    <row r="145" spans="1:1">
      <c r="A145" s="236" t="s">
        <v>1214</v>
      </c>
    </row>
    <row r="146" spans="1:1">
      <c r="A146" s="236" t="s">
        <v>1230</v>
      </c>
    </row>
    <row r="147" spans="1:1">
      <c r="A147" s="236" t="s">
        <v>1227</v>
      </c>
    </row>
    <row r="148" spans="1:1">
      <c r="A148" s="236" t="s">
        <v>1220</v>
      </c>
    </row>
    <row r="149" spans="1:1">
      <c r="A149" s="236" t="s">
        <v>1237</v>
      </c>
    </row>
    <row r="150" spans="1:1">
      <c r="A150" s="236" t="s">
        <v>1240</v>
      </c>
    </row>
    <row r="151" spans="1:1">
      <c r="A151" s="236" t="s">
        <v>346</v>
      </c>
    </row>
    <row r="152" spans="1:1">
      <c r="A152" s="236" t="s">
        <v>1245</v>
      </c>
    </row>
    <row r="153" spans="1:1">
      <c r="A153" s="236" t="s">
        <v>1249</v>
      </c>
    </row>
    <row r="154" spans="1:1">
      <c r="A154" s="236" t="s">
        <v>1255</v>
      </c>
    </row>
    <row r="155" spans="1:1">
      <c r="A155" s="236" t="s">
        <v>1256</v>
      </c>
    </row>
    <row r="156" spans="1:1">
      <c r="A156" s="236" t="s">
        <v>1258</v>
      </c>
    </row>
    <row r="157" spans="1:1">
      <c r="A157" s="236" t="s">
        <v>1233</v>
      </c>
    </row>
    <row r="158" spans="1:1">
      <c r="A158" s="236" t="s">
        <v>1263</v>
      </c>
    </row>
    <row r="159" spans="1:1">
      <c r="A159" s="236" t="s">
        <v>1268</v>
      </c>
    </row>
    <row r="160" spans="1:1">
      <c r="A160" s="236" t="s">
        <v>1269</v>
      </c>
    </row>
    <row r="161" spans="1:1">
      <c r="A161" s="236" t="s">
        <v>1274</v>
      </c>
    </row>
    <row r="162" spans="1:1">
      <c r="A162" s="236" t="s">
        <v>1281</v>
      </c>
    </row>
    <row r="163" spans="1:1">
      <c r="A163" s="236" t="s">
        <v>1286</v>
      </c>
    </row>
    <row r="164" spans="1:1">
      <c r="A164" s="236" t="s">
        <v>1291</v>
      </c>
    </row>
    <row r="165" spans="1:1">
      <c r="A165" s="236" t="s">
        <v>1294</v>
      </c>
    </row>
    <row r="166" spans="1:1">
      <c r="A166" s="236" t="s">
        <v>1298</v>
      </c>
    </row>
    <row r="167" spans="1:1">
      <c r="A167" s="236" t="s">
        <v>1278</v>
      </c>
    </row>
    <row r="168" spans="1:1">
      <c r="A168" s="236" t="s">
        <v>1301</v>
      </c>
    </row>
    <row r="169" spans="1:1">
      <c r="A169" s="236" t="s">
        <v>1304</v>
      </c>
    </row>
    <row r="170" spans="1:1">
      <c r="A170" s="236" t="s">
        <v>1306</v>
      </c>
    </row>
    <row r="171" spans="1:1">
      <c r="A171" s="236" t="s">
        <v>1309</v>
      </c>
    </row>
    <row r="172" spans="1:1">
      <c r="A172" s="236" t="s">
        <v>1310</v>
      </c>
    </row>
    <row r="173" spans="1:1">
      <c r="A173" s="236" t="s">
        <v>1311</v>
      </c>
    </row>
    <row r="174" spans="1:1">
      <c r="A174" s="236" t="s">
        <v>1316</v>
      </c>
    </row>
    <row r="175" spans="1:1">
      <c r="A175" s="236" t="s">
        <v>1320</v>
      </c>
    </row>
    <row r="176" spans="1:1">
      <c r="A176" s="236" t="s">
        <v>1325</v>
      </c>
    </row>
    <row r="177" spans="1:1">
      <c r="A177" s="236" t="s">
        <v>1326</v>
      </c>
    </row>
    <row r="178" spans="1:1">
      <c r="A178" s="236" t="s">
        <v>1330</v>
      </c>
    </row>
    <row r="179" spans="1:1">
      <c r="A179" s="236" t="s">
        <v>347</v>
      </c>
    </row>
    <row r="180" spans="1:1">
      <c r="A180" s="236" t="s">
        <v>1349</v>
      </c>
    </row>
    <row r="181" spans="1:1">
      <c r="A181" s="236" t="s">
        <v>1352</v>
      </c>
    </row>
    <row r="182" spans="1:1">
      <c r="A182" s="236" t="s">
        <v>1363</v>
      </c>
    </row>
    <row r="183" spans="1:1">
      <c r="A183" s="236" t="s">
        <v>1513</v>
      </c>
    </row>
    <row r="184" spans="1:1">
      <c r="A184" s="236" t="s">
        <v>349</v>
      </c>
    </row>
    <row r="185" spans="1:1">
      <c r="A185" s="236" t="s">
        <v>1365</v>
      </c>
    </row>
    <row r="186" spans="1:1">
      <c r="A186" s="236" t="s">
        <v>1366</v>
      </c>
    </row>
    <row r="187" spans="1:1">
      <c r="A187" s="236" t="s">
        <v>1368</v>
      </c>
    </row>
    <row r="188" spans="1:1">
      <c r="A188" s="236" t="s">
        <v>1375</v>
      </c>
    </row>
    <row r="189" spans="1:1">
      <c r="A189" s="236" t="s">
        <v>1377</v>
      </c>
    </row>
    <row r="190" spans="1:1">
      <c r="A190" s="236" t="s">
        <v>1383</v>
      </c>
    </row>
    <row r="191" spans="1:1">
      <c r="A191" s="236" t="s">
        <v>1390</v>
      </c>
    </row>
    <row r="192" spans="1:1">
      <c r="A192" s="236" t="s">
        <v>1394</v>
      </c>
    </row>
    <row r="193" spans="1:1">
      <c r="A193" s="236" t="s">
        <v>1399</v>
      </c>
    </row>
    <row r="194" spans="1:1">
      <c r="A194" s="236" t="s">
        <v>1742</v>
      </c>
    </row>
    <row r="195" spans="1:1">
      <c r="A195" s="236" t="s">
        <v>947</v>
      </c>
    </row>
    <row r="196" spans="1:1">
      <c r="A196" s="236" t="s">
        <v>1409</v>
      </c>
    </row>
    <row r="197" spans="1:1">
      <c r="A197" s="236" t="s">
        <v>1413</v>
      </c>
    </row>
    <row r="198" spans="1:1">
      <c r="A198" s="236" t="s">
        <v>1416</v>
      </c>
    </row>
    <row r="199" spans="1:1">
      <c r="A199" s="236" t="s">
        <v>350</v>
      </c>
    </row>
    <row r="200" spans="1:1">
      <c r="A200" s="236" t="s">
        <v>1424</v>
      </c>
    </row>
    <row r="201" spans="1:1">
      <c r="A201" s="236" t="s">
        <v>1426</v>
      </c>
    </row>
    <row r="202" spans="1:1">
      <c r="A202" s="236" t="s">
        <v>351</v>
      </c>
    </row>
    <row r="203" spans="1:1">
      <c r="A203" s="236" t="s">
        <v>1429</v>
      </c>
    </row>
    <row r="204" spans="1:1">
      <c r="A204" s="236" t="s">
        <v>1431</v>
      </c>
    </row>
    <row r="205" spans="1:1">
      <c r="A205" s="236" t="s">
        <v>1094</v>
      </c>
    </row>
    <row r="206" spans="1:1">
      <c r="A206" s="236" t="s">
        <v>1435</v>
      </c>
    </row>
    <row r="207" spans="1:1">
      <c r="A207" s="236" t="s">
        <v>1443</v>
      </c>
    </row>
    <row r="208" spans="1:1">
      <c r="A208" s="236" t="s">
        <v>1437</v>
      </c>
    </row>
    <row r="209" spans="1:1">
      <c r="A209" s="236" t="s">
        <v>1446</v>
      </c>
    </row>
    <row r="210" spans="1:1">
      <c r="A210" s="236" t="s">
        <v>1450</v>
      </c>
    </row>
    <row r="211" spans="1:1">
      <c r="A211" s="236" t="s">
        <v>1457</v>
      </c>
    </row>
    <row r="212" spans="1:1">
      <c r="A212" s="236" t="s">
        <v>1458</v>
      </c>
    </row>
    <row r="213" spans="1:1">
      <c r="A213" s="236" t="s">
        <v>1463</v>
      </c>
    </row>
    <row r="214" spans="1:1">
      <c r="A214" s="236" t="s">
        <v>1466</v>
      </c>
    </row>
    <row r="215" spans="1:1">
      <c r="A215" s="236" t="s">
        <v>1028</v>
      </c>
    </row>
    <row r="216" spans="1:1">
      <c r="A216" s="236" t="s">
        <v>1470</v>
      </c>
    </row>
    <row r="217" spans="1:1">
      <c r="A217" s="236" t="s">
        <v>1464</v>
      </c>
    </row>
    <row r="218" spans="1:1">
      <c r="A218" s="236" t="s">
        <v>1473</v>
      </c>
    </row>
    <row r="219" spans="1:1">
      <c r="A219" s="236" t="s">
        <v>1477</v>
      </c>
    </row>
    <row r="220" spans="1:1">
      <c r="A220" s="236" t="s">
        <v>1421</v>
      </c>
    </row>
    <row r="221" spans="1:1">
      <c r="A221" s="236" t="s">
        <v>1479</v>
      </c>
    </row>
    <row r="222" spans="1:1">
      <c r="A222" s="236" t="s">
        <v>1482</v>
      </c>
    </row>
    <row r="223" spans="1:1">
      <c r="A223" s="236" t="s">
        <v>1481</v>
      </c>
    </row>
    <row r="224" spans="1:1">
      <c r="A224" s="236" t="s">
        <v>1746</v>
      </c>
    </row>
    <row r="225" spans="1:1">
      <c r="A225" s="236" t="s">
        <v>1485</v>
      </c>
    </row>
    <row r="226" spans="1:1">
      <c r="A226" s="236" t="s">
        <v>1489</v>
      </c>
    </row>
    <row r="227" spans="1:1">
      <c r="A227" s="236" t="s">
        <v>1490</v>
      </c>
    </row>
    <row r="228" spans="1:1">
      <c r="A228" s="236" t="s">
        <v>1494</v>
      </c>
    </row>
    <row r="229" spans="1:1">
      <c r="A229" s="236" t="s">
        <v>1499</v>
      </c>
    </row>
    <row r="230" spans="1:1">
      <c r="A230" s="236" t="s">
        <v>1496</v>
      </c>
    </row>
    <row r="231" spans="1:1">
      <c r="A231" s="236" t="s">
        <v>1501</v>
      </c>
    </row>
    <row r="232" spans="1:1">
      <c r="A232" s="236" t="s">
        <v>1506</v>
      </c>
    </row>
    <row r="233" spans="1:1">
      <c r="A233" s="236" t="s">
        <v>1510</v>
      </c>
    </row>
    <row r="234" spans="1:1">
      <c r="A234" s="236" t="s">
        <v>1511</v>
      </c>
    </row>
    <row r="235" spans="1:1">
      <c r="A235" s="236" t="s">
        <v>1518</v>
      </c>
    </row>
    <row r="236" spans="1:1">
      <c r="A236" s="236" t="s">
        <v>1523</v>
      </c>
    </row>
    <row r="237" spans="1:1">
      <c r="A237" s="236" t="s">
        <v>1524</v>
      </c>
    </row>
    <row r="238" spans="1:1">
      <c r="A238" s="236" t="s">
        <v>1530</v>
      </c>
    </row>
    <row r="239" spans="1:1">
      <c r="A239" s="236" t="s">
        <v>1411</v>
      </c>
    </row>
    <row r="240" spans="1:1">
      <c r="A240" s="236" t="s">
        <v>353</v>
      </c>
    </row>
    <row r="241" spans="1:1">
      <c r="A241" s="236" t="s">
        <v>1532</v>
      </c>
    </row>
    <row r="242" spans="1:1">
      <c r="A242" s="236" t="s">
        <v>1536</v>
      </c>
    </row>
    <row r="243" spans="1:1">
      <c r="A243" s="236" t="s">
        <v>1538</v>
      </c>
    </row>
    <row r="244" spans="1:1">
      <c r="A244" s="236" t="s">
        <v>1542</v>
      </c>
    </row>
    <row r="245" spans="1:1">
      <c r="A245" s="236" t="s">
        <v>1544</v>
      </c>
    </row>
    <row r="246" spans="1:1">
      <c r="A246" s="236" t="s">
        <v>1549</v>
      </c>
    </row>
    <row r="247" spans="1:1">
      <c r="A247" s="236" t="s">
        <v>1121</v>
      </c>
    </row>
    <row r="248" spans="1:1">
      <c r="A248" s="236" t="s">
        <v>1600</v>
      </c>
    </row>
    <row r="249" spans="1:1">
      <c r="A249" s="236" t="s">
        <v>355</v>
      </c>
    </row>
    <row r="250" spans="1:1">
      <c r="A250" s="236" t="s">
        <v>1604</v>
      </c>
    </row>
    <row r="251" spans="1:1">
      <c r="A251" s="236" t="s">
        <v>1602</v>
      </c>
    </row>
    <row r="252" spans="1:1">
      <c r="A252" s="236" t="s">
        <v>1556</v>
      </c>
    </row>
    <row r="253" spans="1:1">
      <c r="A253" s="236" t="s">
        <v>1558</v>
      </c>
    </row>
    <row r="254" spans="1:1">
      <c r="A254" s="236" t="s">
        <v>1559</v>
      </c>
    </row>
    <row r="255" spans="1:1">
      <c r="A255" s="236" t="s">
        <v>1561</v>
      </c>
    </row>
    <row r="256" spans="1:1">
      <c r="A256" s="236" t="s">
        <v>1562</v>
      </c>
    </row>
    <row r="257" spans="1:1">
      <c r="A257" s="236" t="s">
        <v>1564</v>
      </c>
    </row>
    <row r="258" spans="1:1">
      <c r="A258" s="236" t="s">
        <v>1566</v>
      </c>
    </row>
    <row r="259" spans="1:1">
      <c r="A259" s="236" t="s">
        <v>1567</v>
      </c>
    </row>
    <row r="260" spans="1:1">
      <c r="A260" s="236" t="s">
        <v>1571</v>
      </c>
    </row>
    <row r="261" spans="1:1">
      <c r="A261" s="236" t="s">
        <v>1574</v>
      </c>
    </row>
    <row r="262" spans="1:1">
      <c r="A262" s="236" t="s">
        <v>1584</v>
      </c>
    </row>
    <row r="263" spans="1:1">
      <c r="A263" s="236" t="s">
        <v>1580</v>
      </c>
    </row>
    <row r="264" spans="1:1">
      <c r="A264" s="236" t="s">
        <v>1587</v>
      </c>
    </row>
    <row r="265" spans="1:1">
      <c r="A265" s="236" t="s">
        <v>1594</v>
      </c>
    </row>
    <row r="266" spans="1:1">
      <c r="A266" s="236" t="s">
        <v>1591</v>
      </c>
    </row>
    <row r="267" spans="1:1">
      <c r="A267" s="236" t="s">
        <v>1598</v>
      </c>
    </row>
    <row r="268" spans="1:1">
      <c r="A268" s="236" t="s">
        <v>354</v>
      </c>
    </row>
    <row r="269" spans="1:1">
      <c r="A269" s="236" t="s">
        <v>1418</v>
      </c>
    </row>
    <row r="270" spans="1:1">
      <c r="A270" s="236" t="s">
        <v>1608</v>
      </c>
    </row>
    <row r="271" spans="1:1">
      <c r="A271" s="236" t="s">
        <v>1614</v>
      </c>
    </row>
    <row r="272" spans="1:1">
      <c r="A272" s="236" t="s">
        <v>356</v>
      </c>
    </row>
    <row r="273" spans="1:1">
      <c r="A273" s="236" t="s">
        <v>1621</v>
      </c>
    </row>
    <row r="274" spans="1:1">
      <c r="A274" s="236" t="s">
        <v>1625</v>
      </c>
    </row>
    <row r="275" spans="1:1">
      <c r="A275" s="236" t="s">
        <v>1627</v>
      </c>
    </row>
    <row r="276" spans="1:1">
      <c r="A276" s="236" t="s">
        <v>1631</v>
      </c>
    </row>
    <row r="277" spans="1:1">
      <c r="A277" s="236" t="s">
        <v>1636</v>
      </c>
    </row>
    <row r="278" spans="1:1">
      <c r="A278" s="236" t="s">
        <v>1639</v>
      </c>
    </row>
    <row r="279" spans="1:1">
      <c r="A279" s="236" t="s">
        <v>1641</v>
      </c>
    </row>
    <row r="280" spans="1:1">
      <c r="A280" s="236" t="s">
        <v>1634</v>
      </c>
    </row>
    <row r="281" spans="1:1">
      <c r="A281" s="236" t="s">
        <v>1650</v>
      </c>
    </row>
    <row r="282" spans="1:1">
      <c r="A282" s="236" t="s">
        <v>1652</v>
      </c>
    </row>
    <row r="283" spans="1:1">
      <c r="A283" s="236" t="s">
        <v>967</v>
      </c>
    </row>
    <row r="284" spans="1:1">
      <c r="A284" s="236" t="s">
        <v>1655</v>
      </c>
    </row>
    <row r="285" spans="1:1">
      <c r="A285" s="236" t="s">
        <v>1658</v>
      </c>
    </row>
    <row r="286" spans="1:1">
      <c r="A286" s="236" t="s">
        <v>1660</v>
      </c>
    </row>
    <row r="287" spans="1:1">
      <c r="A287" s="236" t="s">
        <v>1667</v>
      </c>
    </row>
    <row r="288" spans="1:1">
      <c r="A288" s="236" t="s">
        <v>1673</v>
      </c>
    </row>
    <row r="289" spans="1:1">
      <c r="A289" s="236" t="s">
        <v>1677</v>
      </c>
    </row>
    <row r="290" spans="1:1">
      <c r="A290" s="236" t="s">
        <v>1681</v>
      </c>
    </row>
    <row r="291" spans="1:1">
      <c r="A291" s="236" t="s">
        <v>1682</v>
      </c>
    </row>
    <row r="292" spans="1:1">
      <c r="A292" s="236" t="s">
        <v>1684</v>
      </c>
    </row>
    <row r="293" spans="1:1">
      <c r="A293" s="236" t="s">
        <v>1686</v>
      </c>
    </row>
    <row r="294" spans="1:1">
      <c r="A294" s="236" t="s">
        <v>1690</v>
      </c>
    </row>
    <row r="295" spans="1:1">
      <c r="A295" s="236" t="s">
        <v>1692</v>
      </c>
    </row>
    <row r="296" spans="1:1">
      <c r="A296" s="236" t="s">
        <v>1697</v>
      </c>
    </row>
    <row r="297" spans="1:1">
      <c r="A297" s="236" t="s">
        <v>1700</v>
      </c>
    </row>
    <row r="298" spans="1:1">
      <c r="A298" s="236" t="s">
        <v>1702</v>
      </c>
    </row>
    <row r="299" spans="1:1">
      <c r="A299" s="236" t="s">
        <v>815</v>
      </c>
    </row>
    <row r="300" spans="1:1">
      <c r="A300" s="236" t="s">
        <v>1708</v>
      </c>
    </row>
    <row r="301" spans="1:1">
      <c r="A301" s="236" t="s">
        <v>357</v>
      </c>
    </row>
    <row r="302" spans="1:1">
      <c r="A302" s="236" t="s">
        <v>1710</v>
      </c>
    </row>
    <row r="303" spans="1:1">
      <c r="A303" s="236" t="s">
        <v>1729</v>
      </c>
    </row>
    <row r="304" spans="1:1">
      <c r="A304" s="236" t="s">
        <v>1730</v>
      </c>
    </row>
    <row r="305" spans="1:1">
      <c r="A305" s="236" t="s">
        <v>1722</v>
      </c>
    </row>
    <row r="306" spans="1:1">
      <c r="A306" s="236" t="s">
        <v>1718</v>
      </c>
    </row>
    <row r="307" spans="1:1" ht="15.75" thickBot="1">
      <c r="A307" s="277" t="s">
        <v>1743</v>
      </c>
    </row>
    <row r="308" spans="1:1">
      <c r="A308" s="236" t="s">
        <v>358</v>
      </c>
    </row>
    <row r="309" spans="1:1">
      <c r="A309" s="236" t="s">
        <v>1474</v>
      </c>
    </row>
    <row r="310" spans="1:1">
      <c r="A310" s="236" t="s">
        <v>352</v>
      </c>
    </row>
    <row r="311" spans="1:1">
      <c r="A311" s="236" t="s">
        <v>1728</v>
      </c>
    </row>
    <row r="312" spans="1:1">
      <c r="A312" s="236" t="s">
        <v>1737</v>
      </c>
    </row>
  </sheetData>
  <sortState ref="A2:A928">
    <sortCondition ref="A2:A928"/>
  </sortState>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14"/>
  <sheetViews>
    <sheetView topLeftCell="K1" workbookViewId="0">
      <selection activeCell="AC4" sqref="AC4"/>
    </sheetView>
  </sheetViews>
  <sheetFormatPr defaultRowHeight="15"/>
  <cols>
    <col min="2" max="3" width="21.28515625" customWidth="1"/>
    <col min="8" max="8" width="11.7109375" style="840" customWidth="1"/>
    <col min="9" max="9" width="11" style="839" customWidth="1"/>
    <col min="10" max="10" width="14.7109375" style="839" bestFit="1" customWidth="1"/>
    <col min="11" max="11" width="8.7109375" customWidth="1"/>
    <col min="12" max="13" width="9.28515625" style="846" bestFit="1" customWidth="1"/>
    <col min="14" max="14" width="11.7109375" style="846" bestFit="1" customWidth="1"/>
    <col min="15" max="15" width="13.85546875" style="779" bestFit="1" customWidth="1"/>
    <col min="16" max="16" width="16.140625" style="848" customWidth="1"/>
    <col min="26" max="26" width="16.140625" style="849" customWidth="1"/>
    <col min="27" max="27" width="16.140625" style="850" customWidth="1"/>
  </cols>
  <sheetData>
    <row r="1" spans="1:36">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row>
    <row r="2" spans="1:36">
      <c r="D2" t="s">
        <v>2638</v>
      </c>
      <c r="F2" s="1154" t="s">
        <v>2641</v>
      </c>
      <c r="G2" s="1154"/>
      <c r="I2" s="1184" t="s">
        <v>2660</v>
      </c>
      <c r="J2" s="1184"/>
      <c r="K2" s="1184"/>
      <c r="L2" s="1185" t="s">
        <v>2661</v>
      </c>
      <c r="M2" s="1185"/>
      <c r="N2" s="1185"/>
      <c r="Q2" t="s">
        <v>2664</v>
      </c>
      <c r="S2" s="1154" t="s">
        <v>2665</v>
      </c>
      <c r="T2" s="1154"/>
      <c r="U2" s="1154"/>
    </row>
    <row r="3" spans="1:36">
      <c r="A3" s="2" t="s">
        <v>2579</v>
      </c>
      <c r="B3" s="2" t="s">
        <v>2600</v>
      </c>
      <c r="C3" s="2" t="s">
        <v>2643</v>
      </c>
      <c r="D3" s="2" t="s">
        <v>2639</v>
      </c>
      <c r="E3" s="2" t="s">
        <v>2640</v>
      </c>
      <c r="F3" s="2" t="s">
        <v>2639</v>
      </c>
      <c r="G3" s="2" t="s">
        <v>2640</v>
      </c>
      <c r="H3" s="841" t="s">
        <v>2642</v>
      </c>
      <c r="I3" s="839" t="s">
        <v>12</v>
      </c>
      <c r="J3" s="839" t="s">
        <v>18</v>
      </c>
      <c r="K3" t="s">
        <v>2140</v>
      </c>
      <c r="L3" s="846" t="s">
        <v>2657</v>
      </c>
      <c r="M3" s="846" t="s">
        <v>2658</v>
      </c>
      <c r="N3" s="846" t="s">
        <v>2659</v>
      </c>
      <c r="O3" s="848" t="s">
        <v>2663</v>
      </c>
      <c r="P3" s="848" t="s">
        <v>2662</v>
      </c>
      <c r="Q3" s="843" t="s">
        <v>2639</v>
      </c>
      <c r="R3" s="843" t="s">
        <v>2640</v>
      </c>
      <c r="S3" s="844" t="s">
        <v>12</v>
      </c>
      <c r="T3" s="844" t="s">
        <v>18</v>
      </c>
      <c r="U3" s="845" t="s">
        <v>2140</v>
      </c>
      <c r="V3" s="845" t="s">
        <v>2666</v>
      </c>
      <c r="W3" s="845" t="s">
        <v>2667</v>
      </c>
      <c r="X3" s="845" t="s">
        <v>2668</v>
      </c>
      <c r="Y3" s="845" t="s">
        <v>2672</v>
      </c>
      <c r="Z3" s="849" t="s">
        <v>2669</v>
      </c>
      <c r="AA3" s="852" t="s">
        <v>2671</v>
      </c>
      <c r="AB3" s="845" t="s">
        <v>2681</v>
      </c>
      <c r="AC3" s="845" t="s">
        <v>2682</v>
      </c>
      <c r="AD3" s="845" t="s">
        <v>2683</v>
      </c>
    </row>
    <row r="4" spans="1:36">
      <c r="A4">
        <v>8001</v>
      </c>
      <c r="B4" t="s">
        <v>672</v>
      </c>
      <c r="C4" t="s">
        <v>90</v>
      </c>
      <c r="D4">
        <f>VLOOKUP(A4,'temperatures màximes'!$A$4:$U$314,'temperatures màximes'!U$1,FALSE)</f>
        <v>102</v>
      </c>
      <c r="E4">
        <f>VLOOKUP(A4,'nits tropicals'!$A$4:$U$314,'nits tropicals'!U$1,FALSE)</f>
        <v>125</v>
      </c>
      <c r="F4">
        <f>D4/10</f>
        <v>10.199999999999999</v>
      </c>
      <c r="G4">
        <f>E4/10</f>
        <v>12.5</v>
      </c>
      <c r="H4" s="840">
        <f>VLOOKUP(B4,'BD ASVICC'!$A$6:$X$316,24,FALSE)/VLOOKUP(C4,'BD Comarcal'!$A$6:$Z$17,26,FALSE)</f>
        <v>1.508366023240394E-2</v>
      </c>
      <c r="I4" s="839">
        <f>(VLOOKUP($C4,'BD Altres'!$D$74:$H$84,5,FALSE) * 1000 / 12) * H4*0.035</f>
        <v>27.795990487085671</v>
      </c>
      <c r="J4" s="839">
        <f>(VLOOKUP(C4,'BD Altres'!$D$74:$H$84,3,FALSE) / 12) * H4*0.25</f>
        <v>84.776314875865495</v>
      </c>
      <c r="K4">
        <f>(VLOOKUP(B4,'BD ASVICC'!$A$6:$GR$316,199,FALSE) / 12)*0.3</f>
        <v>1.6749999999999998</v>
      </c>
      <c r="L4" s="846">
        <f>I4*'1. Cops de calor'!$C$32/30</f>
        <v>398.40919698156125</v>
      </c>
      <c r="M4" s="846">
        <f>J4*'1. Cops de calor'!$C$33/30</f>
        <v>423.8815743793275</v>
      </c>
      <c r="N4" s="846">
        <f>K4*'1. Cops de calor'!$C$34*0.25/30</f>
        <v>26381.249999999993</v>
      </c>
      <c r="O4" s="779">
        <f>(L4+M4+N4)*(F4+G4)</f>
        <v>617520.37550989201</v>
      </c>
      <c r="P4" s="848">
        <f>O4*'A. Dades de partida'!$D$10</f>
        <v>9262805.6326483805</v>
      </c>
      <c r="Q4">
        <f>F4*(1+AC4)</f>
        <v>15.299999999999999</v>
      </c>
      <c r="R4">
        <f>G4*(1+AD4)</f>
        <v>18.75</v>
      </c>
      <c r="S4">
        <f>I4+(I4*'1. Cops de calor'!$C$40)</f>
        <v>29.352565954362468</v>
      </c>
      <c r="T4">
        <f>J4*'1. Cops de calor'!$C$41+J4</f>
        <v>91.134538491555404</v>
      </c>
      <c r="U4">
        <f>'1. Cops de calor'!$C$42*K4+K4</f>
        <v>1.7419999999999998</v>
      </c>
      <c r="V4">
        <f>S4*'1. Cops de calor'!$C$32/30</f>
        <v>420.72011201252866</v>
      </c>
      <c r="W4">
        <f>T4*'1. Cops de calor'!$C$33/30</f>
        <v>455.67269245777703</v>
      </c>
      <c r="X4">
        <f>K4*'1. Cops de calor'!$C$34/30</f>
        <v>105524.99999999997</v>
      </c>
      <c r="Y4">
        <f>SUM(V4:X4)</f>
        <v>106401.39280447028</v>
      </c>
      <c r="Z4" s="849">
        <f>Y4*(Q4+R4)*'A. Dades de partida'!$D$10</f>
        <v>54344511.37488319</v>
      </c>
      <c r="AA4" s="850">
        <f>Z4-P4</f>
        <v>45081705.742234811</v>
      </c>
      <c r="AB4" t="str">
        <f>VLOOKUP(B4,'BD ASVICC'!$A$6:$BG$316,59,FALSE)</f>
        <v>LITORAL</v>
      </c>
      <c r="AC4">
        <f t="shared" ref="AC4:AC67" si="0">VLOOKUP(AB4,Taulatend,2,FALSE)</f>
        <v>0.5</v>
      </c>
      <c r="AD4">
        <f t="shared" ref="AD4:AD67" si="1">VLOOKUP(AB4,Taulatend,3,FALSE)</f>
        <v>0.5</v>
      </c>
    </row>
    <row r="5" spans="1:36">
      <c r="A5">
        <v>8002</v>
      </c>
      <c r="B5" t="s">
        <v>694</v>
      </c>
      <c r="C5" t="s">
        <v>82</v>
      </c>
      <c r="D5">
        <f>VLOOKUP(A5,'temperatures màximes'!$A$4:$U$314,'temperatures màximes'!U$1,FALSE)</f>
        <v>70</v>
      </c>
      <c r="E5">
        <f>VLOOKUP(A5,'nits tropicals'!$A$4:$U$314,'nits tropicals'!U$1,FALSE)</f>
        <v>3</v>
      </c>
      <c r="F5">
        <f t="shared" ref="F5:F68" si="2">D5/10</f>
        <v>7</v>
      </c>
      <c r="G5">
        <f t="shared" ref="G5:G68" si="3">E5/10</f>
        <v>0.3</v>
      </c>
      <c r="H5" s="840">
        <f>VLOOKUP(B5,'BD ASVICC'!$A$6:$X$316,24,FALSE)/VLOOKUP(C5,'BD Comarcal'!$A$6:$Z$17,26,FALSE)</f>
        <v>1.4508461357602032E-3</v>
      </c>
      <c r="I5" s="839">
        <f>(VLOOKUP(C5,'BD Altres'!$D$74:$H$84,5,FALSE) * 1000 / 12) * H5*0.035</f>
        <v>4.1507233103284307</v>
      </c>
      <c r="J5" s="839">
        <f>(VLOOKUP(C5,'BD Altres'!$D$74:$H$84,3,FALSE) / 12) * H5*0.25</f>
        <v>36.28710899771302</v>
      </c>
      <c r="K5">
        <f>(VLOOKUP(B5,'BD ASVICC'!$A$6:$GR$316,199,FALSE) / 12)*0.3</f>
        <v>9.9999999999999992E-2</v>
      </c>
      <c r="L5" s="846">
        <f>I5*'1. Cops de calor'!$C$32/30</f>
        <v>59.493700781374173</v>
      </c>
      <c r="M5" s="846">
        <f>J5*'1. Cops de calor'!$C$33/30</f>
        <v>181.43554498856511</v>
      </c>
      <c r="N5" s="846">
        <f>K5*'1. Cops de calor'!$C$34*0.25/30</f>
        <v>1574.9999999999998</v>
      </c>
      <c r="O5" s="779">
        <f t="shared" ref="O5:O68" si="4">(L5+M5+N5)*(F5+G5)</f>
        <v>13256.283494120555</v>
      </c>
      <c r="P5" s="848">
        <f>O5*'A. Dades de partida'!$D$10</f>
        <v>198844.25241180832</v>
      </c>
      <c r="Q5">
        <f t="shared" ref="Q5:Q68" si="5">F5*(1+AC5)</f>
        <v>10.5</v>
      </c>
      <c r="R5">
        <f t="shared" ref="R5:R68" si="6">G5*(1+AD5)</f>
        <v>0.44999999999999996</v>
      </c>
      <c r="S5">
        <f>I5+(I5*'1. Cops de calor'!$C$40)</f>
        <v>4.3831638157068227</v>
      </c>
      <c r="T5">
        <f>J5*'1. Cops de calor'!$C$41+J5</f>
        <v>39.008642172541499</v>
      </c>
      <c r="U5">
        <f>'1. Cops de calor'!$C$42*K5+K5</f>
        <v>0.104</v>
      </c>
      <c r="V5">
        <f>S5*'1. Cops de calor'!$C$32/30</f>
        <v>62.825348025131127</v>
      </c>
      <c r="W5">
        <f>T5*'1. Cops de calor'!$C$33/30</f>
        <v>195.0432108627075</v>
      </c>
      <c r="X5">
        <f>K5*'1. Cops de calor'!$C$34/30</f>
        <v>6299.9999999999991</v>
      </c>
      <c r="Y5">
        <f t="shared" ref="Y5:Y68" si="7">SUM(V5:X5)</f>
        <v>6557.8685588878379</v>
      </c>
      <c r="Z5" s="849">
        <f>Y5*(Q5+R5)*'A. Dades de partida'!$D$10</f>
        <v>1077129.9107973273</v>
      </c>
      <c r="AA5" s="850">
        <f t="shared" ref="AA5:AA68" si="8">Z5-P5</f>
        <v>878285.65838551894</v>
      </c>
      <c r="AB5" t="str">
        <f>VLOOKUP(B5,'BD ASVICC'!$A$6:$BG$316,59,FALSE)</f>
        <v>CENTRAL</v>
      </c>
      <c r="AC5">
        <f t="shared" si="0"/>
        <v>0.5</v>
      </c>
      <c r="AD5">
        <f t="shared" si="1"/>
        <v>0.5</v>
      </c>
    </row>
    <row r="6" spans="1:36">
      <c r="A6">
        <v>8003</v>
      </c>
      <c r="B6" t="s">
        <v>707</v>
      </c>
      <c r="C6" t="s">
        <v>86</v>
      </c>
      <c r="D6">
        <f>VLOOKUP(A6,'temperatures màximes'!$A$4:$U$314,'temperatures màximes'!U$1,FALSE)</f>
        <v>2</v>
      </c>
      <c r="E6">
        <f>VLOOKUP(A6,'nits tropicals'!$A$4:$U$314,'nits tropicals'!U$1,FALSE)</f>
        <v>403</v>
      </c>
      <c r="F6">
        <f t="shared" si="2"/>
        <v>0.2</v>
      </c>
      <c r="G6">
        <f t="shared" si="3"/>
        <v>40.299999999999997</v>
      </c>
      <c r="H6" s="840">
        <f>VLOOKUP(B6,'BD ASVICC'!$A$6:$X$316,24,FALSE)/VLOOKUP(C6,'BD Comarcal'!$A$6:$Z$17,26,FALSE)</f>
        <v>2.1816287471263067E-2</v>
      </c>
      <c r="I6" s="839">
        <f>(VLOOKUP(C6,'BD Altres'!$D$74:$H$84,5,FALSE) * 1000 / 12) * H6*0.035</f>
        <v>50.830246377221599</v>
      </c>
      <c r="J6" s="839">
        <f>(VLOOKUP(C6,'BD Altres'!$D$74:$H$84,3,FALSE) / 12) * H6*0.25</f>
        <v>22.914691359102818</v>
      </c>
      <c r="K6">
        <f>(VLOOKUP(B6,'BD ASVICC'!$A$6:$GR$316,199,FALSE) / 12)*0.3</f>
        <v>1.9</v>
      </c>
      <c r="L6" s="846">
        <f>I6*'1. Cops de calor'!$C$32/30</f>
        <v>728.56686474017624</v>
      </c>
      <c r="M6" s="846">
        <f>J6*'1. Cops de calor'!$C$33/30</f>
        <v>114.57345679551409</v>
      </c>
      <c r="N6" s="846">
        <f>K6*'1. Cops de calor'!$C$34*0.25/30</f>
        <v>29924.999999999996</v>
      </c>
      <c r="O6" s="779">
        <f t="shared" si="4"/>
        <v>1246109.6830221952</v>
      </c>
      <c r="P6" s="848">
        <f>O6*'A. Dades de partida'!$D$10</f>
        <v>18691645.24533293</v>
      </c>
      <c r="Q6">
        <f t="shared" si="5"/>
        <v>0.30000000000000004</v>
      </c>
      <c r="R6">
        <f t="shared" si="6"/>
        <v>60.449999999999996</v>
      </c>
      <c r="S6">
        <f>I6+(I6*'1. Cops de calor'!$C$40)</f>
        <v>53.676740174346008</v>
      </c>
      <c r="T6">
        <f>J6*'1. Cops de calor'!$C$41+J6</f>
        <v>24.633293211035529</v>
      </c>
      <c r="U6">
        <f>'1. Cops de calor'!$C$42*K6+K6</f>
        <v>1.976</v>
      </c>
      <c r="V6">
        <f>S6*'1. Cops de calor'!$C$32/30</f>
        <v>769.36660916562619</v>
      </c>
      <c r="W6">
        <f>T6*'1. Cops de calor'!$C$33/30</f>
        <v>123.16646605517764</v>
      </c>
      <c r="X6">
        <f>K6*'1. Cops de calor'!$C$34/30</f>
        <v>119699.99999999999</v>
      </c>
      <c r="Y6">
        <f t="shared" si="7"/>
        <v>120592.5330752208</v>
      </c>
      <c r="Z6" s="849">
        <f>Y6*(Q6+R6)*'A. Dades de partida'!$D$10</f>
        <v>109889945.76479493</v>
      </c>
      <c r="AA6" s="850">
        <f t="shared" si="8"/>
        <v>91198300.519462004</v>
      </c>
      <c r="AB6" t="str">
        <f>VLOOKUP(B6,'BD ASVICC'!$A$6:$BG$316,59,FALSE)</f>
        <v>LITORAL</v>
      </c>
      <c r="AC6">
        <f t="shared" si="0"/>
        <v>0.5</v>
      </c>
      <c r="AD6">
        <f t="shared" si="1"/>
        <v>0.5</v>
      </c>
    </row>
    <row r="7" spans="1:36">
      <c r="A7">
        <v>8004</v>
      </c>
      <c r="B7" t="s">
        <v>716</v>
      </c>
      <c r="C7" t="s">
        <v>88</v>
      </c>
      <c r="D7">
        <f>VLOOKUP(A7,'temperatures màximes'!$A$4:$U$314,'temperatures màximes'!U$1,FALSE)</f>
        <v>10</v>
      </c>
      <c r="E7">
        <f>VLOOKUP(A7,'nits tropicals'!$A$4:$U$314,'nits tropicals'!U$1,FALSE)</f>
        <v>0</v>
      </c>
      <c r="F7">
        <f t="shared" si="2"/>
        <v>1</v>
      </c>
      <c r="G7">
        <f t="shared" si="3"/>
        <v>0</v>
      </c>
      <c r="H7" s="840">
        <f>VLOOKUP(B7,'BD ASVICC'!$A$6:$X$316,24,FALSE)/VLOOKUP(C7,'BD Comarcal'!$A$6:$Z$17,26,FALSE)</f>
        <v>1.8889624199279111E-3</v>
      </c>
      <c r="I7" s="839">
        <f>(VLOOKUP(C7,'BD Altres'!$D$74:$H$84,5,FALSE) * 1000 / 12) * H7*0.035</f>
        <v>2.1018642260072862</v>
      </c>
      <c r="J7" s="839">
        <f>(VLOOKUP(C7,'BD Altres'!$D$74:$H$84,3,FALSE) / 12) * H7*0.25</f>
        <v>1.3446657693024331</v>
      </c>
      <c r="K7">
        <f>(VLOOKUP(B7,'BD ASVICC'!$A$6:$GR$316,199,FALSE) / 12)*0.3</f>
        <v>7.4999999999999997E-2</v>
      </c>
      <c r="L7" s="846">
        <f>I7*'1. Cops de calor'!$C$32/30</f>
        <v>30.126720572771102</v>
      </c>
      <c r="M7" s="846">
        <f>J7*'1. Cops de calor'!$C$33/30</f>
        <v>6.7233288465121648</v>
      </c>
      <c r="N7" s="846">
        <f>K7*'1. Cops de calor'!$C$34*0.25/30</f>
        <v>1181.2499999999998</v>
      </c>
      <c r="O7" s="779">
        <f t="shared" si="4"/>
        <v>1218.1000494192831</v>
      </c>
      <c r="P7" s="848">
        <f>O7*'A. Dades de partida'!$D$10</f>
        <v>18271.500741289245</v>
      </c>
      <c r="Q7">
        <f t="shared" si="5"/>
        <v>1.5</v>
      </c>
      <c r="R7">
        <f t="shared" si="6"/>
        <v>0</v>
      </c>
      <c r="S7">
        <f>I7+(I7*'1. Cops de calor'!$C$40)</f>
        <v>2.2195686226636941</v>
      </c>
      <c r="T7">
        <f>J7*'1. Cops de calor'!$C$41+J7</f>
        <v>1.4455157020001155</v>
      </c>
      <c r="U7">
        <f>'1. Cops de calor'!$C$42*K7+K7</f>
        <v>7.8E-2</v>
      </c>
      <c r="V7">
        <f>S7*'1. Cops de calor'!$C$32/30</f>
        <v>31.813816924846282</v>
      </c>
      <c r="W7">
        <f>T7*'1. Cops de calor'!$C$33/30</f>
        <v>7.227578510000578</v>
      </c>
      <c r="X7">
        <f>K7*'1. Cops de calor'!$C$34/30</f>
        <v>4724.9999999999991</v>
      </c>
      <c r="Y7">
        <f t="shared" si="7"/>
        <v>4764.041395434846</v>
      </c>
      <c r="Z7" s="849">
        <f>Y7*(Q7+R7)*'A. Dades de partida'!$D$10</f>
        <v>107190.93139728403</v>
      </c>
      <c r="AA7" s="850">
        <f t="shared" si="8"/>
        <v>88919.430655994787</v>
      </c>
      <c r="AB7" t="str">
        <f>VLOOKUP(B7,'BD ASVICC'!$A$6:$BG$316,59,FALSE)</f>
        <v>PREPIRINEU-PIRINEU</v>
      </c>
      <c r="AC7">
        <f t="shared" si="0"/>
        <v>0.5</v>
      </c>
      <c r="AD7">
        <f t="shared" si="1"/>
        <v>0.5</v>
      </c>
    </row>
    <row r="8" spans="1:36">
      <c r="A8">
        <v>8005</v>
      </c>
      <c r="B8" t="s">
        <v>725</v>
      </c>
      <c r="C8" t="s">
        <v>24</v>
      </c>
      <c r="D8">
        <f>VLOOKUP(A8,'temperatures màximes'!$A$4:$U$314,'temperatures màximes'!U$1,FALSE)</f>
        <v>42</v>
      </c>
      <c r="E8">
        <f>VLOOKUP(A8,'nits tropicals'!$A$4:$U$314,'nits tropicals'!U$1,FALSE)</f>
        <v>8</v>
      </c>
      <c r="F8">
        <f t="shared" si="2"/>
        <v>4.2</v>
      </c>
      <c r="G8">
        <f t="shared" si="3"/>
        <v>0.8</v>
      </c>
      <c r="H8" s="840">
        <f>VLOOKUP(B8,'BD ASVICC'!$A$6:$X$316,24,FALSE)/VLOOKUP(C8,'BD Comarcal'!$A$6:$Z$17,26,FALSE)</f>
        <v>2.0773014267275961E-2</v>
      </c>
      <c r="I8" s="839">
        <f>(VLOOKUP(C8,'BD Altres'!$D$74:$H$84,5,FALSE) * 1000 / 12) * H8*0.035</f>
        <v>147.00712738437306</v>
      </c>
      <c r="J8" s="839">
        <f>(VLOOKUP(C8,'BD Altres'!$D$74:$H$84,3,FALSE) / 12) * H8*0.25</f>
        <v>33.050174992624441</v>
      </c>
      <c r="K8">
        <f>(VLOOKUP(B8,'BD ASVICC'!$A$6:$GR$316,199,FALSE) / 12)*0.3</f>
        <v>1.4750000000000001</v>
      </c>
      <c r="L8" s="846">
        <f>I8*'1. Cops de calor'!$C$32/30</f>
        <v>2107.1021591760136</v>
      </c>
      <c r="M8" s="846">
        <f>J8*'1. Cops de calor'!$C$33/30</f>
        <v>165.25087496312219</v>
      </c>
      <c r="N8" s="846">
        <f>K8*'1. Cops de calor'!$C$34*0.25/30</f>
        <v>23231.25</v>
      </c>
      <c r="O8" s="779">
        <f t="shared" si="4"/>
        <v>127518.01517069567</v>
      </c>
      <c r="P8" s="848">
        <f>O8*'A. Dades de partida'!$D$10</f>
        <v>1912770.227560435</v>
      </c>
      <c r="Q8">
        <f t="shared" si="5"/>
        <v>6.3000000000000007</v>
      </c>
      <c r="R8">
        <f t="shared" si="6"/>
        <v>1.2000000000000002</v>
      </c>
      <c r="S8">
        <f>I8+(I8*'1. Cops de calor'!$C$40)</f>
        <v>155.23952651789796</v>
      </c>
      <c r="T8">
        <f>J8*'1. Cops de calor'!$C$41+J8</f>
        <v>35.528938117071277</v>
      </c>
      <c r="U8">
        <f>'1. Cops de calor'!$C$42*K8+K8</f>
        <v>1.534</v>
      </c>
      <c r="V8">
        <f>S8*'1. Cops de calor'!$C$32/30</f>
        <v>2225.099880089871</v>
      </c>
      <c r="W8">
        <f>T8*'1. Cops de calor'!$C$33/30</f>
        <v>177.64469058535639</v>
      </c>
      <c r="X8">
        <f>K8*'1. Cops de calor'!$C$34/30</f>
        <v>92925</v>
      </c>
      <c r="Y8">
        <f t="shared" si="7"/>
        <v>95327.744570675233</v>
      </c>
      <c r="Z8" s="849">
        <f>Y8*(Q8+R8)*'A. Dades de partida'!$D$10</f>
        <v>10724371.264200965</v>
      </c>
      <c r="AA8" s="850">
        <f t="shared" si="8"/>
        <v>8811601.0366405305</v>
      </c>
      <c r="AB8" t="str">
        <f>VLOOKUP(B8,'BD ASVICC'!$A$6:$BG$316,59,FALSE)</f>
        <v>CENTRAL</v>
      </c>
      <c r="AC8">
        <f t="shared" si="0"/>
        <v>0.5</v>
      </c>
      <c r="AD8">
        <f t="shared" si="1"/>
        <v>0.5</v>
      </c>
    </row>
    <row r="9" spans="1:36">
      <c r="A9">
        <v>8006</v>
      </c>
      <c r="B9" t="s">
        <v>334</v>
      </c>
      <c r="C9" t="s">
        <v>86</v>
      </c>
      <c r="D9">
        <f>VLOOKUP(A9,'temperatures màximes'!$A$4:$U$314,'temperatures màximes'!U$1,FALSE)</f>
        <v>2</v>
      </c>
      <c r="E9">
        <f>VLOOKUP(A9,'nits tropicals'!$A$4:$U$314,'nits tropicals'!U$1,FALSE)</f>
        <v>403</v>
      </c>
      <c r="F9">
        <f t="shared" si="2"/>
        <v>0.2</v>
      </c>
      <c r="G9">
        <f t="shared" si="3"/>
        <v>40.299999999999997</v>
      </c>
      <c r="H9" s="840">
        <f>VLOOKUP(B9,'BD ASVICC'!$A$6:$X$316,24,FALSE)/VLOOKUP(C9,'BD Comarcal'!$A$6:$Z$17,26,FALSE)</f>
        <v>3.4547740116193472E-2</v>
      </c>
      <c r="I9" s="839">
        <f>(VLOOKUP(C9,'BD Altres'!$D$74:$H$84,5,FALSE) * 1000 / 12) * H9*0.035</f>
        <v>80.493536959277506</v>
      </c>
      <c r="J9" s="839">
        <f>(VLOOKUP(C9,'BD Altres'!$D$74:$H$84,3,FALSE) / 12) * H9*0.25</f>
        <v>36.287145691486216</v>
      </c>
      <c r="K9">
        <f>(VLOOKUP(B9,'BD ASVICC'!$A$6:$GR$316,199,FALSE) / 12)*0.3</f>
        <v>4.2249999999999996</v>
      </c>
      <c r="L9" s="846">
        <f>I9*'1. Cops de calor'!$C$32/30</f>
        <v>1153.7406964163108</v>
      </c>
      <c r="M9" s="846">
        <f>J9*'1. Cops de calor'!$C$33/30</f>
        <v>181.43572845743108</v>
      </c>
      <c r="N9" s="846">
        <f>K9*'1. Cops de calor'!$C$34*0.25/30</f>
        <v>66543.749999999985</v>
      </c>
      <c r="O9" s="779">
        <f t="shared" si="4"/>
        <v>2749096.520207386</v>
      </c>
      <c r="P9" s="848">
        <f>O9*'A. Dades de partida'!$D$10</f>
        <v>41236447.803110793</v>
      </c>
      <c r="Q9">
        <f t="shared" si="5"/>
        <v>0.30000000000000004</v>
      </c>
      <c r="R9">
        <f t="shared" si="6"/>
        <v>60.449999999999996</v>
      </c>
      <c r="S9">
        <f>I9+(I9*'1. Cops de calor'!$C$40)</f>
        <v>85.001175028997039</v>
      </c>
      <c r="T9">
        <f>J9*'1. Cops de calor'!$C$41+J9</f>
        <v>39.00868161834768</v>
      </c>
      <c r="U9">
        <f>'1. Cops de calor'!$C$42*K9+K9</f>
        <v>4.3939999999999992</v>
      </c>
      <c r="V9">
        <f>S9*'1. Cops de calor'!$C$32/30</f>
        <v>1218.3501754156243</v>
      </c>
      <c r="W9">
        <f>T9*'1. Cops de calor'!$C$33/30</f>
        <v>195.0434080917384</v>
      </c>
      <c r="X9">
        <f>K9*'1. Cops de calor'!$C$34/30</f>
        <v>266174.99999999994</v>
      </c>
      <c r="Y9">
        <f t="shared" si="7"/>
        <v>267588.39358350728</v>
      </c>
      <c r="Z9" s="849">
        <f>Y9*(Q9+R9)*'A. Dades de partida'!$D$10</f>
        <v>243839923.65297097</v>
      </c>
      <c r="AA9" s="850">
        <f t="shared" si="8"/>
        <v>202603475.84986019</v>
      </c>
      <c r="AB9" t="str">
        <f>VLOOKUP(B9,'BD ASVICC'!$A$6:$BG$316,59,FALSE)</f>
        <v>LITORAL</v>
      </c>
      <c r="AC9">
        <f t="shared" si="0"/>
        <v>0.5</v>
      </c>
      <c r="AD9">
        <f t="shared" si="1"/>
        <v>0.5</v>
      </c>
    </row>
    <row r="10" spans="1:36">
      <c r="A10">
        <v>8007</v>
      </c>
      <c r="B10" t="s">
        <v>742</v>
      </c>
      <c r="C10" t="s">
        <v>86</v>
      </c>
      <c r="D10">
        <f>VLOOKUP(A10,'temperatures màximes'!$A$4:$U$314,'temperatures màximes'!U$1,FALSE)</f>
        <v>2</v>
      </c>
      <c r="E10">
        <f>VLOOKUP(A10,'nits tropicals'!$A$4:$U$314,'nits tropicals'!U$1,FALSE)</f>
        <v>264</v>
      </c>
      <c r="F10">
        <f t="shared" si="2"/>
        <v>0.2</v>
      </c>
      <c r="G10">
        <f t="shared" si="3"/>
        <v>26.4</v>
      </c>
      <c r="H10" s="840">
        <f>VLOOKUP(B10,'BD ASVICC'!$A$6:$X$316,24,FALSE)/VLOOKUP(C10,'BD Comarcal'!$A$6:$Z$17,26,FALSE)</f>
        <v>1.9564897339780975E-2</v>
      </c>
      <c r="I10" s="839">
        <f>(VLOOKUP(C10,'BD Altres'!$D$74:$H$84,5,FALSE) * 1000 / 12) * H10*0.035</f>
        <v>45.584683160967622</v>
      </c>
      <c r="J10" s="839">
        <f>(VLOOKUP(C10,'BD Altres'!$D$74:$H$84,3,FALSE) / 12) * H10*0.25</f>
        <v>20.549948500823309</v>
      </c>
      <c r="K10">
        <f>(VLOOKUP(B10,'BD ASVICC'!$A$6:$GR$316,199,FALSE) / 12)*0.3</f>
        <v>1.575</v>
      </c>
      <c r="L10" s="846">
        <f>I10*'1. Cops de calor'!$C$32/30</f>
        <v>653.38045864053595</v>
      </c>
      <c r="M10" s="846">
        <f>J10*'1. Cops de calor'!$C$33/30</f>
        <v>102.74974250411654</v>
      </c>
      <c r="N10" s="846">
        <f>K10*'1. Cops de calor'!$C$34*0.25/30</f>
        <v>24806.249999999996</v>
      </c>
      <c r="O10" s="779">
        <f t="shared" si="4"/>
        <v>679959.31335044757</v>
      </c>
      <c r="P10" s="848">
        <f>O10*'A. Dades de partida'!$D$10</f>
        <v>10199389.700256713</v>
      </c>
      <c r="Q10">
        <f t="shared" si="5"/>
        <v>0.30000000000000004</v>
      </c>
      <c r="R10">
        <f t="shared" si="6"/>
        <v>39.599999999999994</v>
      </c>
      <c r="S10">
        <f>I10+(I10*'1. Cops de calor'!$C$40)</f>
        <v>48.13742541798181</v>
      </c>
      <c r="T10">
        <f>J10*'1. Cops de calor'!$C$41+J10</f>
        <v>22.091194638385058</v>
      </c>
      <c r="U10">
        <f>'1. Cops de calor'!$C$42*K10+K10</f>
        <v>1.6379999999999999</v>
      </c>
      <c r="V10">
        <f>S10*'1. Cops de calor'!$C$32/30</f>
        <v>689.9697643244059</v>
      </c>
      <c r="W10">
        <f>T10*'1. Cops de calor'!$C$33/30</f>
        <v>110.4559731919253</v>
      </c>
      <c r="X10">
        <f>K10*'1. Cops de calor'!$C$34/30</f>
        <v>99224.999999999985</v>
      </c>
      <c r="Y10">
        <f t="shared" si="7"/>
        <v>100025.42573751631</v>
      </c>
      <c r="Z10" s="849">
        <f>Y10*(Q10+R10)*'A. Dades de partida'!$D$10</f>
        <v>59865217.303903505</v>
      </c>
      <c r="AA10" s="850">
        <f t="shared" si="8"/>
        <v>49665827.603646792</v>
      </c>
      <c r="AB10" t="str">
        <f>VLOOKUP(B10,'BD ASVICC'!$A$6:$BG$316,59,FALSE)</f>
        <v>LITORAL</v>
      </c>
      <c r="AC10">
        <f t="shared" si="0"/>
        <v>0.5</v>
      </c>
      <c r="AD10">
        <f t="shared" si="1"/>
        <v>0.5</v>
      </c>
    </row>
    <row r="11" spans="1:36">
      <c r="A11">
        <v>8008</v>
      </c>
      <c r="B11" t="s">
        <v>751</v>
      </c>
      <c r="C11" t="s">
        <v>81</v>
      </c>
      <c r="D11">
        <f>VLOOKUP(A11,'temperatures màximes'!$A$4:$U$314,'temperatures màximes'!U$1,FALSE)</f>
        <v>77</v>
      </c>
      <c r="E11">
        <f>VLOOKUP(A11,'nits tropicals'!$A$4:$U$314,'nits tropicals'!U$1,FALSE)</f>
        <v>2</v>
      </c>
      <c r="F11">
        <f t="shared" si="2"/>
        <v>7.7</v>
      </c>
      <c r="G11">
        <f t="shared" si="3"/>
        <v>0.2</v>
      </c>
      <c r="H11" s="840">
        <f>VLOOKUP(B11,'BD ASVICC'!$A$6:$X$316,24,FALSE)/VLOOKUP(C11,'BD Comarcal'!$A$6:$Z$17,26,FALSE)</f>
        <v>1.9318491285403049E-3</v>
      </c>
      <c r="I11" s="839">
        <f>(VLOOKUP(C11,'BD Altres'!$D$74:$H$84,5,FALSE) * 1000 / 12) * H11*0.035</f>
        <v>1.6115198815000078</v>
      </c>
      <c r="J11" s="839">
        <f>(VLOOKUP(C11,'BD Altres'!$D$74:$H$84,3,FALSE) / 12) * H11*0.25</f>
        <v>0.77826766890148025</v>
      </c>
      <c r="K11">
        <f>(VLOOKUP(B11,'BD ASVICC'!$A$6:$GR$316,199,FALSE) / 12)*0.3</f>
        <v>2.4999999999999998E-2</v>
      </c>
      <c r="L11" s="846">
        <f>I11*'1. Cops de calor'!$C$32/30</f>
        <v>23.098451634833445</v>
      </c>
      <c r="M11" s="846">
        <f>J11*'1. Cops de calor'!$C$33/30</f>
        <v>3.8913383445074015</v>
      </c>
      <c r="N11" s="846">
        <f>K11*'1. Cops de calor'!$C$34*0.25/30</f>
        <v>393.74999999999994</v>
      </c>
      <c r="O11" s="779">
        <f t="shared" si="4"/>
        <v>3323.8443408367925</v>
      </c>
      <c r="P11" s="848">
        <f>O11*'A. Dades de partida'!$D$10</f>
        <v>49857.665112551891</v>
      </c>
      <c r="Q11">
        <f t="shared" si="5"/>
        <v>11.55</v>
      </c>
      <c r="R11">
        <f t="shared" si="6"/>
        <v>0.30000000000000004</v>
      </c>
      <c r="S11">
        <f>I11+(I11*'1. Cops de calor'!$C$40)</f>
        <v>1.7017649948640083</v>
      </c>
      <c r="T11">
        <f>J11*'1. Cops de calor'!$C$41+J11</f>
        <v>0.8366377440690913</v>
      </c>
      <c r="U11">
        <f>'1. Cops de calor'!$C$42*K11+K11</f>
        <v>2.5999999999999999E-2</v>
      </c>
      <c r="V11">
        <f>S11*'1. Cops de calor'!$C$32/30</f>
        <v>24.391964926384119</v>
      </c>
      <c r="W11">
        <f>T11*'1. Cops de calor'!$C$33/30</f>
        <v>4.1831887203454565</v>
      </c>
      <c r="X11">
        <f>K11*'1. Cops de calor'!$C$34/30</f>
        <v>1574.9999999999998</v>
      </c>
      <c r="Y11">
        <f t="shared" si="7"/>
        <v>1603.5751536467294</v>
      </c>
      <c r="Z11" s="849">
        <f>Y11*(Q11+R11)*'A. Dades de partida'!$D$10</f>
        <v>285035.48356070614</v>
      </c>
      <c r="AA11" s="850">
        <f t="shared" si="8"/>
        <v>235177.81844815426</v>
      </c>
      <c r="AB11" t="str">
        <f>VLOOKUP(B11,'BD ASVICC'!$A$6:$BG$316,59,FALSE)</f>
        <v>PREPIRINEU-PIRINEU</v>
      </c>
      <c r="AC11">
        <f t="shared" si="0"/>
        <v>0.5</v>
      </c>
      <c r="AD11">
        <f t="shared" si="1"/>
        <v>0.5</v>
      </c>
    </row>
    <row r="12" spans="1:36">
      <c r="A12">
        <v>8009</v>
      </c>
      <c r="B12" t="s">
        <v>761</v>
      </c>
      <c r="C12" t="s">
        <v>86</v>
      </c>
      <c r="D12">
        <f>VLOOKUP(A12,'temperatures màximes'!$A$4:$U$314,'temperatures màximes'!U$1,FALSE)</f>
        <v>2</v>
      </c>
      <c r="E12">
        <f>VLOOKUP(A12,'nits tropicals'!$A$4:$U$314,'nits tropicals'!U$1,FALSE)</f>
        <v>264</v>
      </c>
      <c r="F12">
        <f t="shared" si="2"/>
        <v>0.2</v>
      </c>
      <c r="G12">
        <f t="shared" si="3"/>
        <v>26.4</v>
      </c>
      <c r="H12" s="840">
        <f>VLOOKUP(B12,'BD ASVICC'!$A$6:$X$316,24,FALSE)/VLOOKUP(C12,'BD Comarcal'!$A$6:$Z$17,26,FALSE)</f>
        <v>2.7295274119205896E-2</v>
      </c>
      <c r="I12" s="839">
        <f>(VLOOKUP(C12,'BD Altres'!$D$74:$H$84,5,FALSE) * 1000 / 12) * H12*0.035</f>
        <v>63.595857463859787</v>
      </c>
      <c r="J12" s="839">
        <f>(VLOOKUP(C12,'BD Altres'!$D$74:$H$84,3,FALSE) / 12) * H12*0.25</f>
        <v>28.669533385438957</v>
      </c>
      <c r="K12">
        <f>(VLOOKUP(B12,'BD ASVICC'!$A$6:$GR$316,199,FALSE) / 12)*0.3</f>
        <v>2.5</v>
      </c>
      <c r="L12" s="846">
        <f>I12*'1. Cops de calor'!$C$32/30</f>
        <v>911.54062364865683</v>
      </c>
      <c r="M12" s="846">
        <f>J12*'1. Cops de calor'!$C$33/30</f>
        <v>143.34766692719478</v>
      </c>
      <c r="N12" s="846">
        <f>K12*'1. Cops de calor'!$C$34*0.25/30</f>
        <v>39374.999999999993</v>
      </c>
      <c r="O12" s="779">
        <f t="shared" si="4"/>
        <v>1075435.0285293174</v>
      </c>
      <c r="P12" s="848">
        <f>O12*'A. Dades de partida'!$D$10</f>
        <v>16131525.42793976</v>
      </c>
      <c r="Q12">
        <f t="shared" si="5"/>
        <v>0.30000000000000004</v>
      </c>
      <c r="R12">
        <f t="shared" si="6"/>
        <v>39.599999999999994</v>
      </c>
      <c r="S12">
        <f>I12+(I12*'1. Cops de calor'!$C$40)</f>
        <v>67.157225481835937</v>
      </c>
      <c r="T12">
        <f>J12*'1. Cops de calor'!$C$41+J12</f>
        <v>30.819748389346877</v>
      </c>
      <c r="U12">
        <f>'1. Cops de calor'!$C$42*K12+K12</f>
        <v>2.6</v>
      </c>
      <c r="V12">
        <f>S12*'1. Cops de calor'!$C$32/30</f>
        <v>962.58689857298168</v>
      </c>
      <c r="W12">
        <f>T12*'1. Cops de calor'!$C$33/30</f>
        <v>154.09874194673438</v>
      </c>
      <c r="X12">
        <f>K12*'1. Cops de calor'!$C$34/30</f>
        <v>157499.99999999997</v>
      </c>
      <c r="Y12">
        <f t="shared" si="7"/>
        <v>158616.68564051969</v>
      </c>
      <c r="Z12" s="849">
        <f>Y12*(Q12+R12)*'A. Dades de partida'!$D$10</f>
        <v>94932086.355851024</v>
      </c>
      <c r="AA12" s="850">
        <f t="shared" si="8"/>
        <v>78800560.927911267</v>
      </c>
      <c r="AB12" t="str">
        <f>VLOOKUP(B12,'BD ASVICC'!$A$6:$BG$316,59,FALSE)</f>
        <v>LITORAL</v>
      </c>
      <c r="AC12">
        <f t="shared" si="0"/>
        <v>0.5</v>
      </c>
      <c r="AD12">
        <f t="shared" si="1"/>
        <v>0.5</v>
      </c>
    </row>
    <row r="13" spans="1:36">
      <c r="A13">
        <v>8010</v>
      </c>
      <c r="B13" t="s">
        <v>767</v>
      </c>
      <c r="C13" t="s">
        <v>82</v>
      </c>
      <c r="D13">
        <f>VLOOKUP(A13,'temperatures màximes'!$A$4:$U$314,'temperatures màximes'!U$1,FALSE)</f>
        <v>143</v>
      </c>
      <c r="E13">
        <f>VLOOKUP(A13,'nits tropicals'!$A$4:$U$314,'nits tropicals'!U$1,FALSE)</f>
        <v>2</v>
      </c>
      <c r="F13">
        <f t="shared" si="2"/>
        <v>14.3</v>
      </c>
      <c r="G13">
        <f t="shared" si="3"/>
        <v>0.2</v>
      </c>
      <c r="H13" s="840">
        <f>VLOOKUP(B13,'BD ASVICC'!$A$6:$X$316,24,FALSE)/VLOOKUP(C13,'BD Comarcal'!$A$6:$Z$17,26,FALSE)</f>
        <v>3.2090652077921333E-2</v>
      </c>
      <c r="I13" s="839">
        <f>(VLOOKUP(C13,'BD Altres'!$D$74:$H$84,5,FALSE) * 1000 / 12) * H13*0.035</f>
        <v>91.808093456908708</v>
      </c>
      <c r="J13" s="839">
        <f>(VLOOKUP(C13,'BD Altres'!$D$74:$H$84,3,FALSE) / 12) * H13*0.25</f>
        <v>802.61921719842712</v>
      </c>
      <c r="K13">
        <f>(VLOOKUP(B13,'BD ASVICC'!$A$6:$GR$316,199,FALSE) / 12)*0.3</f>
        <v>1</v>
      </c>
      <c r="L13" s="846">
        <f>I13*'1. Cops de calor'!$C$32/30</f>
        <v>1315.9160062156916</v>
      </c>
      <c r="M13" s="846">
        <f>J13*'1. Cops de calor'!$C$33/30</f>
        <v>4013.0960859921356</v>
      </c>
      <c r="N13" s="846">
        <f>K13*'1. Cops de calor'!$C$34*0.25/30</f>
        <v>15749.999999999998</v>
      </c>
      <c r="O13" s="779">
        <f t="shared" si="4"/>
        <v>305645.6753370135</v>
      </c>
      <c r="P13" s="848">
        <f>O13*'A. Dades de partida'!$D$10</f>
        <v>4584685.1300552022</v>
      </c>
      <c r="Q13">
        <f t="shared" si="5"/>
        <v>21.450000000000003</v>
      </c>
      <c r="R13">
        <f t="shared" si="6"/>
        <v>0.30000000000000004</v>
      </c>
      <c r="S13">
        <f>I13+(I13*'1. Cops de calor'!$C$40)</f>
        <v>96.949346690495588</v>
      </c>
      <c r="T13">
        <f>J13*'1. Cops de calor'!$C$41+J13</f>
        <v>862.81565848830917</v>
      </c>
      <c r="U13">
        <f>'1. Cops de calor'!$C$42*K13+K13</f>
        <v>1.04</v>
      </c>
      <c r="V13">
        <f>S13*'1. Cops de calor'!$C$32/30</f>
        <v>1389.6073025637702</v>
      </c>
      <c r="W13">
        <f>T13*'1. Cops de calor'!$C$33/30</f>
        <v>4314.0782924415453</v>
      </c>
      <c r="X13">
        <f>K13*'1. Cops de calor'!$C$34/30</f>
        <v>62999.999999999993</v>
      </c>
      <c r="Y13">
        <f t="shared" si="7"/>
        <v>68703.685595005314</v>
      </c>
      <c r="Z13" s="849">
        <f>Y13*(Q13+R13)*'A. Dades de partida'!$D$10</f>
        <v>22414577.425370485</v>
      </c>
      <c r="AA13" s="850">
        <f t="shared" si="8"/>
        <v>17829892.295315281</v>
      </c>
      <c r="AB13" t="str">
        <f>VLOOKUP(B13,'BD ASVICC'!$A$6:$BG$316,59,FALSE)</f>
        <v>CENTRAL</v>
      </c>
      <c r="AC13">
        <f t="shared" si="0"/>
        <v>0.5</v>
      </c>
      <c r="AD13">
        <f t="shared" si="1"/>
        <v>0.5</v>
      </c>
    </row>
    <row r="14" spans="1:36">
      <c r="A14">
        <v>8011</v>
      </c>
      <c r="B14" t="s">
        <v>774</v>
      </c>
      <c r="C14" t="s">
        <v>84</v>
      </c>
      <c r="D14">
        <f>VLOOKUP(A14,'temperatures màximes'!$A$4:$U$314,'temperatures màximes'!U$1,FALSE)</f>
        <v>17</v>
      </c>
      <c r="E14">
        <f>VLOOKUP(A14,'nits tropicals'!$A$4:$U$314,'nits tropicals'!U$1,FALSE)</f>
        <v>3</v>
      </c>
      <c r="F14">
        <f t="shared" si="2"/>
        <v>1.7</v>
      </c>
      <c r="G14">
        <f t="shared" si="3"/>
        <v>0.3</v>
      </c>
      <c r="H14" s="840">
        <f>VLOOKUP(B14,'BD ASVICC'!$A$6:$X$316,24,FALSE)/VLOOKUP(C14,'BD Comarcal'!$A$6:$Z$17,26,FALSE)</f>
        <v>5.760886211649395E-2</v>
      </c>
      <c r="I14" s="839">
        <f>(VLOOKUP(C14,'BD Altres'!$D$74:$H$84,5,FALSE) * 1000 / 12) * H14*0.035</f>
        <v>37.02838937316708</v>
      </c>
      <c r="J14" s="839">
        <f>(VLOOKUP(C14,'BD Altres'!$D$74:$H$84,3,FALSE) / 12) * H14*0.25</f>
        <v>323.71543481359004</v>
      </c>
      <c r="K14">
        <f>(VLOOKUP(B14,'BD ASVICC'!$A$6:$GR$316,199,FALSE) / 12)*0.3</f>
        <v>0.72499999999999998</v>
      </c>
      <c r="L14" s="846">
        <f>I14*'1. Cops de calor'!$C$32/30</f>
        <v>530.74024768206141</v>
      </c>
      <c r="M14" s="846">
        <f>J14*'1. Cops de calor'!$C$33/30</f>
        <v>1618.5771740679504</v>
      </c>
      <c r="N14" s="846">
        <f>K14*'1. Cops de calor'!$C$34*0.25/30</f>
        <v>11418.749999999998</v>
      </c>
      <c r="O14" s="779">
        <f t="shared" si="4"/>
        <v>27136.134843500018</v>
      </c>
      <c r="P14" s="848">
        <f>O14*'A. Dades de partida'!$D$10</f>
        <v>407042.02265250025</v>
      </c>
      <c r="Q14">
        <f t="shared" si="5"/>
        <v>2.5499999999999998</v>
      </c>
      <c r="R14">
        <f t="shared" si="6"/>
        <v>0.44999999999999996</v>
      </c>
      <c r="S14">
        <f>I14+(I14*'1. Cops de calor'!$C$40)</f>
        <v>39.10197917806444</v>
      </c>
      <c r="T14">
        <f>J14*'1. Cops de calor'!$C$41+J14</f>
        <v>347.99409242460928</v>
      </c>
      <c r="U14">
        <f>'1. Cops de calor'!$C$42*K14+K14</f>
        <v>0.754</v>
      </c>
      <c r="V14">
        <f>S14*'1. Cops de calor'!$C$32/30</f>
        <v>560.46170155225695</v>
      </c>
      <c r="W14">
        <f>T14*'1. Cops de calor'!$C$33/30</f>
        <v>1739.9704621230462</v>
      </c>
      <c r="X14">
        <f>K14*'1. Cops de calor'!$C$34/30</f>
        <v>45674.999999999993</v>
      </c>
      <c r="Y14">
        <f t="shared" si="7"/>
        <v>47975.432163675294</v>
      </c>
      <c r="Z14" s="849">
        <f>Y14*(Q14+R14)*'A. Dades de partida'!$D$10</f>
        <v>2158894.4473653883</v>
      </c>
      <c r="AA14" s="850">
        <f t="shared" si="8"/>
        <v>1751852.424712888</v>
      </c>
      <c r="AB14" t="str">
        <f>VLOOKUP(B14,'BD ASVICC'!$A$6:$BG$316,59,FALSE)</f>
        <v>PREPIRINEU-PIRINEU</v>
      </c>
      <c r="AC14">
        <f t="shared" si="0"/>
        <v>0.5</v>
      </c>
      <c r="AD14">
        <f t="shared" si="1"/>
        <v>0.5</v>
      </c>
    </row>
    <row r="15" spans="1:36">
      <c r="A15">
        <v>8012</v>
      </c>
      <c r="B15" t="s">
        <v>781</v>
      </c>
      <c r="C15" t="s">
        <v>82</v>
      </c>
      <c r="D15">
        <f>VLOOKUP(A15,'temperatures màximes'!$A$4:$U$314,'temperatures màximes'!U$1,FALSE)</f>
        <v>143</v>
      </c>
      <c r="E15">
        <f>VLOOKUP(A15,'nits tropicals'!$A$4:$U$314,'nits tropicals'!U$1,FALSE)</f>
        <v>2</v>
      </c>
      <c r="F15">
        <f t="shared" si="2"/>
        <v>14.3</v>
      </c>
      <c r="G15">
        <f t="shared" si="3"/>
        <v>0.2</v>
      </c>
      <c r="H15" s="840">
        <f>VLOOKUP(B15,'BD ASVICC'!$A$6:$X$316,24,FALSE)/VLOOKUP(C15,'BD Comarcal'!$A$6:$Z$17,26,FALSE)</f>
        <v>1.2684868190915294E-2</v>
      </c>
      <c r="I15" s="839">
        <f>(VLOOKUP(C15,'BD Altres'!$D$74:$H$84,5,FALSE) * 1000 / 12) * H15*0.035</f>
        <v>36.290118428642245</v>
      </c>
      <c r="J15" s="839">
        <f>(VLOOKUP(C15,'BD Altres'!$D$74:$H$84,3,FALSE) / 12) * H15*0.25</f>
        <v>317.26120594047904</v>
      </c>
      <c r="K15">
        <f>(VLOOKUP(B15,'BD ASVICC'!$A$6:$GR$316,199,FALSE) / 12)*0.3</f>
        <v>0.77500000000000002</v>
      </c>
      <c r="L15" s="846">
        <f>I15*'1. Cops de calor'!$C$32/30</f>
        <v>520.15836414387218</v>
      </c>
      <c r="M15" s="846">
        <f>J15*'1. Cops de calor'!$C$33/30</f>
        <v>1586.3060297023951</v>
      </c>
      <c r="N15" s="846">
        <f>K15*'1. Cops de calor'!$C$34*0.25/30</f>
        <v>12206.249999999998</v>
      </c>
      <c r="O15" s="779">
        <f t="shared" si="4"/>
        <v>207534.35871077084</v>
      </c>
      <c r="P15" s="848">
        <f>O15*'A. Dades de partida'!$D$10</f>
        <v>3113015.3806615626</v>
      </c>
      <c r="Q15">
        <f t="shared" si="5"/>
        <v>21.450000000000003</v>
      </c>
      <c r="R15">
        <f t="shared" si="6"/>
        <v>0.30000000000000004</v>
      </c>
      <c r="S15">
        <f>I15+(I15*'1. Cops de calor'!$C$40)</f>
        <v>38.322365060646213</v>
      </c>
      <c r="T15">
        <f>J15*'1. Cops de calor'!$C$41+J15</f>
        <v>341.05579638601495</v>
      </c>
      <c r="U15">
        <f>'1. Cops de calor'!$C$42*K15+K15</f>
        <v>0.80600000000000005</v>
      </c>
      <c r="V15">
        <f>S15*'1. Cops de calor'!$C$32/30</f>
        <v>549.28723253592909</v>
      </c>
      <c r="W15">
        <f>T15*'1. Cops de calor'!$C$33/30</f>
        <v>1705.2789819300747</v>
      </c>
      <c r="X15">
        <f>K15*'1. Cops de calor'!$C$34/30</f>
        <v>48824.999999999993</v>
      </c>
      <c r="Y15">
        <f t="shared" si="7"/>
        <v>51079.566214465995</v>
      </c>
      <c r="Z15" s="849">
        <f>Y15*(Q15+R15)*'A. Dades de partida'!$D$10</f>
        <v>16664708.477469536</v>
      </c>
      <c r="AA15" s="850">
        <f t="shared" si="8"/>
        <v>13551693.096807973</v>
      </c>
      <c r="AB15" t="str">
        <f>VLOOKUP(B15,'BD ASVICC'!$A$6:$BG$316,59,FALSE)</f>
        <v>CENTRAL</v>
      </c>
      <c r="AC15">
        <f t="shared" si="0"/>
        <v>0.5</v>
      </c>
      <c r="AD15">
        <f t="shared" si="1"/>
        <v>0.5</v>
      </c>
    </row>
    <row r="16" spans="1:36">
      <c r="A16">
        <v>8013</v>
      </c>
      <c r="B16" t="s">
        <v>787</v>
      </c>
      <c r="C16" t="s">
        <v>791</v>
      </c>
      <c r="D16">
        <f>VLOOKUP(A16,'temperatures màximes'!$A$4:$U$314,'temperatures màximes'!U$1,FALSE)</f>
        <v>15</v>
      </c>
      <c r="E16">
        <f>VLOOKUP(A16,'nits tropicals'!$A$4:$U$314,'nits tropicals'!U$1,FALSE)</f>
        <v>10</v>
      </c>
      <c r="F16">
        <f t="shared" si="2"/>
        <v>1.5</v>
      </c>
      <c r="G16">
        <f t="shared" si="3"/>
        <v>1</v>
      </c>
      <c r="H16" s="840">
        <f>VLOOKUP(B16,'BD ASVICC'!$A$6:$X$316,24,FALSE)/VLOOKUP(C16,'BD Comarcal'!$A$6:$Z$17,26,FALSE)</f>
        <v>1.5666901905434016E-2</v>
      </c>
      <c r="I16" s="839">
        <f>(VLOOKUP(C16,'BD Altres'!$D$74:$H$84,5,FALSE) * 1000 / 12) * H16*0.035</f>
        <v>30.99859217067192</v>
      </c>
      <c r="J16" s="839">
        <f>(VLOOKUP(C16,'BD Altres'!$D$74:$H$84,3,FALSE) / 12) * H16*0.25</f>
        <v>4.0155656253407264</v>
      </c>
      <c r="K16">
        <f>(VLOOKUP(B16,'BD ASVICC'!$A$6:$GR$316,199,FALSE) / 12)*0.3</f>
        <v>0.5</v>
      </c>
      <c r="L16" s="846">
        <f>I16*'1. Cops de calor'!$C$32/30</f>
        <v>444.31315444629752</v>
      </c>
      <c r="M16" s="846">
        <f>J16*'1. Cops de calor'!$C$33/30</f>
        <v>20.077828126703633</v>
      </c>
      <c r="N16" s="846">
        <f>K16*'1. Cops de calor'!$C$34*0.25/30</f>
        <v>7874.9999999999991</v>
      </c>
      <c r="O16" s="779">
        <f t="shared" si="4"/>
        <v>20848.477456432502</v>
      </c>
      <c r="P16" s="848">
        <f>O16*'A. Dades de partida'!$D$10</f>
        <v>312727.16184648755</v>
      </c>
      <c r="Q16">
        <f t="shared" si="5"/>
        <v>2.25</v>
      </c>
      <c r="R16">
        <f t="shared" si="6"/>
        <v>1.5</v>
      </c>
      <c r="S16">
        <f>I16+(I16*'1. Cops de calor'!$C$40)</f>
        <v>32.734513332229547</v>
      </c>
      <c r="T16">
        <f>J16*'1. Cops de calor'!$C$41+J16</f>
        <v>4.3167330472412804</v>
      </c>
      <c r="U16">
        <f>'1. Cops de calor'!$C$42*K16+K16</f>
        <v>0.52</v>
      </c>
      <c r="V16">
        <f>S16*'1. Cops de calor'!$C$32/30</f>
        <v>469.19469109529018</v>
      </c>
      <c r="W16">
        <f>T16*'1. Cops de calor'!$C$33/30</f>
        <v>21.5836652362064</v>
      </c>
      <c r="X16">
        <f>K16*'1. Cops de calor'!$C$34/30</f>
        <v>31499.999999999996</v>
      </c>
      <c r="Y16">
        <f t="shared" si="7"/>
        <v>31990.778356331492</v>
      </c>
      <c r="Z16" s="849">
        <f>Y16*(Q16+R16)*'A. Dades de partida'!$D$10</f>
        <v>1799481.2825436464</v>
      </c>
      <c r="AA16" s="850">
        <f t="shared" si="8"/>
        <v>1486754.1206971589</v>
      </c>
      <c r="AB16" t="str">
        <f>VLOOKUP(B16,'BD ASVICC'!$A$6:$BG$316,59,FALSE)</f>
        <v>CENTRAL</v>
      </c>
      <c r="AC16">
        <f t="shared" si="0"/>
        <v>0.5</v>
      </c>
      <c r="AD16">
        <f t="shared" si="1"/>
        <v>0.5</v>
      </c>
    </row>
    <row r="17" spans="1:30">
      <c r="A17">
        <v>8014</v>
      </c>
      <c r="B17" t="s">
        <v>797</v>
      </c>
      <c r="C17" t="s">
        <v>24</v>
      </c>
      <c r="D17">
        <f>VLOOKUP(A17,'temperatures màximes'!$A$4:$U$314,'temperatures màximes'!U$1,FALSE)</f>
        <v>42</v>
      </c>
      <c r="E17">
        <f>VLOOKUP(A17,'nits tropicals'!$A$4:$U$314,'nits tropicals'!U$1,FALSE)</f>
        <v>8</v>
      </c>
      <c r="F17">
        <f t="shared" si="2"/>
        <v>4.2</v>
      </c>
      <c r="G17">
        <f t="shared" si="3"/>
        <v>0.8</v>
      </c>
      <c r="H17" s="840">
        <f>VLOOKUP(B17,'BD ASVICC'!$A$6:$X$316,24,FALSE)/VLOOKUP(C17,'BD Comarcal'!$A$6:$Z$17,26,FALSE)</f>
        <v>6.1469384907484464E-3</v>
      </c>
      <c r="I17" s="839">
        <f>(VLOOKUP(C17,'BD Altres'!$D$74:$H$84,5,FALSE) * 1000 / 12) * H17*0.035</f>
        <v>43.500849617038305</v>
      </c>
      <c r="J17" s="839">
        <f>(VLOOKUP(C17,'BD Altres'!$D$74:$H$84,3,FALSE) / 12) * H17*0.25</f>
        <v>9.779870661725381</v>
      </c>
      <c r="K17">
        <f>(VLOOKUP(B17,'BD ASVICC'!$A$6:$GR$316,199,FALSE) / 12)*0.3</f>
        <v>0.75</v>
      </c>
      <c r="L17" s="846">
        <f>I17*'1. Cops de calor'!$C$32/30</f>
        <v>623.51217784421567</v>
      </c>
      <c r="M17" s="846">
        <f>J17*'1. Cops de calor'!$C$33/30</f>
        <v>48.899353308626907</v>
      </c>
      <c r="N17" s="846">
        <f>K17*'1. Cops de calor'!$C$34*0.25/30</f>
        <v>11812.499999999998</v>
      </c>
      <c r="O17" s="779">
        <f t="shared" si="4"/>
        <v>62424.557655764205</v>
      </c>
      <c r="P17" s="848">
        <f>O17*'A. Dades de partida'!$D$10</f>
        <v>936368.36483646312</v>
      </c>
      <c r="Q17">
        <f t="shared" si="5"/>
        <v>6.3000000000000007</v>
      </c>
      <c r="R17">
        <f t="shared" si="6"/>
        <v>1.2000000000000002</v>
      </c>
      <c r="S17">
        <f>I17+(I17*'1. Cops de calor'!$C$40)</f>
        <v>45.936897195592451</v>
      </c>
      <c r="T17">
        <f>J17*'1. Cops de calor'!$C$41+J17</f>
        <v>10.513360961354785</v>
      </c>
      <c r="U17">
        <f>'1. Cops de calor'!$C$42*K17+K17</f>
        <v>0.78</v>
      </c>
      <c r="V17">
        <f>S17*'1. Cops de calor'!$C$32/30</f>
        <v>658.42885980349172</v>
      </c>
      <c r="W17">
        <f>T17*'1. Cops de calor'!$C$33/30</f>
        <v>52.566804806773924</v>
      </c>
      <c r="X17">
        <f>K17*'1. Cops de calor'!$C$34/30</f>
        <v>47249.999999999993</v>
      </c>
      <c r="Y17">
        <f t="shared" si="7"/>
        <v>47960.995664610258</v>
      </c>
      <c r="Z17" s="849">
        <f>Y17*(Q17+R17)*'A. Dades de partida'!$D$10</f>
        <v>5395612.012268655</v>
      </c>
      <c r="AA17" s="850">
        <f t="shared" si="8"/>
        <v>4459243.6474321922</v>
      </c>
      <c r="AB17" t="str">
        <f>VLOOKUP(B17,'BD ASVICC'!$A$6:$BG$316,59,FALSE)</f>
        <v>CENTRAL</v>
      </c>
      <c r="AC17">
        <f t="shared" si="0"/>
        <v>0.5</v>
      </c>
      <c r="AD17">
        <f t="shared" si="1"/>
        <v>0.5</v>
      </c>
    </row>
    <row r="18" spans="1:30">
      <c r="A18">
        <v>8015</v>
      </c>
      <c r="B18" t="s">
        <v>335</v>
      </c>
      <c r="C18" t="s">
        <v>83</v>
      </c>
      <c r="D18">
        <f>VLOOKUP(A18,'temperatures màximes'!$A$4:$U$314,'temperatures màximes'!U$1,FALSE)</f>
        <v>6</v>
      </c>
      <c r="E18">
        <f>VLOOKUP(A18,'nits tropicals'!$A$4:$U$314,'nits tropicals'!U$1,FALSE)</f>
        <v>504</v>
      </c>
      <c r="F18">
        <f t="shared" si="2"/>
        <v>0.6</v>
      </c>
      <c r="G18">
        <f t="shared" si="3"/>
        <v>50.4</v>
      </c>
      <c r="H18" s="840">
        <f>VLOOKUP(B18,'BD ASVICC'!$A$6:$X$316,24,FALSE)/VLOOKUP(C18,'BD Comarcal'!$A$6:$Z$17,26,FALSE)</f>
        <v>9.6574172810953623E-2</v>
      </c>
      <c r="I18" s="839">
        <f>(VLOOKUP(C18,'BD Altres'!$D$74:$H$84,5,FALSE) * 1000 / 12) * H18*0.035</f>
        <v>898.49137471219706</v>
      </c>
      <c r="J18" s="839">
        <f>(VLOOKUP(C18,'BD Altres'!$D$74:$H$84,3,FALSE) / 12) * H18*0.25</f>
        <v>512.9969431612102</v>
      </c>
      <c r="K18">
        <f>(VLOOKUP(B18,'BD ASVICC'!$A$6:$GR$316,199,FALSE) / 12)*0.3</f>
        <v>38.274999999999999</v>
      </c>
      <c r="L18" s="846">
        <f>I18*'1. Cops de calor'!$C$32/30</f>
        <v>12878.376370874825</v>
      </c>
      <c r="M18" s="846">
        <f>J18*'1. Cops de calor'!$C$33/30</f>
        <v>2564.9847158060511</v>
      </c>
      <c r="N18" s="846">
        <f>K18*'1. Cops de calor'!$C$34*0.25/30</f>
        <v>602831.24999999988</v>
      </c>
      <c r="O18" s="779">
        <f t="shared" si="4"/>
        <v>31532005.165420718</v>
      </c>
      <c r="P18" s="848">
        <f>O18*'A. Dades de partida'!$D$10</f>
        <v>472980077.48131078</v>
      </c>
      <c r="Q18">
        <f t="shared" si="5"/>
        <v>0.89999999999999991</v>
      </c>
      <c r="R18">
        <f t="shared" si="6"/>
        <v>75.599999999999994</v>
      </c>
      <c r="S18">
        <f>I18+(I18*'1. Cops de calor'!$C$40)</f>
        <v>948.80689169608013</v>
      </c>
      <c r="T18">
        <f>J18*'1. Cops de calor'!$C$41+J18</f>
        <v>551.471713898301</v>
      </c>
      <c r="U18">
        <f>'1. Cops de calor'!$C$42*K18+K18</f>
        <v>39.805999999999997</v>
      </c>
      <c r="V18">
        <f>S18*'1. Cops de calor'!$C$32/30</f>
        <v>13599.565447643814</v>
      </c>
      <c r="W18">
        <f>T18*'1. Cops de calor'!$C$33/30</f>
        <v>2757.358569491505</v>
      </c>
      <c r="X18">
        <f>K18*'1. Cops de calor'!$C$34/30</f>
        <v>2411324.9999999995</v>
      </c>
      <c r="Y18">
        <f t="shared" si="7"/>
        <v>2427681.9240171351</v>
      </c>
      <c r="Z18" s="849">
        <f>Y18*(Q18+R18)*'A. Dades de partida'!$D$10</f>
        <v>2785765007.8096628</v>
      </c>
      <c r="AA18" s="850">
        <f t="shared" si="8"/>
        <v>2312784930.328352</v>
      </c>
      <c r="AB18" t="str">
        <f>VLOOKUP(B18,'BD ASVICC'!$A$6:$BG$316,59,FALSE)</f>
        <v>LITORAL</v>
      </c>
      <c r="AC18">
        <f t="shared" si="0"/>
        <v>0.5</v>
      </c>
      <c r="AD18">
        <f t="shared" si="1"/>
        <v>0.5</v>
      </c>
    </row>
    <row r="19" spans="1:30">
      <c r="A19">
        <v>8016</v>
      </c>
      <c r="B19" t="s">
        <v>807</v>
      </c>
      <c r="C19" t="s">
        <v>84</v>
      </c>
      <c r="D19">
        <f>VLOOKUP(A19,'temperatures màximes'!$A$4:$U$314,'temperatures màximes'!U$1,FALSE)</f>
        <v>11</v>
      </c>
      <c r="E19">
        <f>VLOOKUP(A19,'nits tropicals'!$A$4:$U$314,'nits tropicals'!U$1,FALSE)</f>
        <v>0</v>
      </c>
      <c r="F19">
        <f t="shared" si="2"/>
        <v>1.1000000000000001</v>
      </c>
      <c r="G19">
        <f t="shared" si="3"/>
        <v>0</v>
      </c>
      <c r="H19" s="840">
        <f>VLOOKUP(B19,'BD ASVICC'!$A$6:$X$316,24,FALSE)/VLOOKUP(C19,'BD Comarcal'!$A$6:$Z$17,26,FALSE)</f>
        <v>5.5184031854612285E-2</v>
      </c>
      <c r="I19" s="839">
        <f>(VLOOKUP(C19,'BD Altres'!$D$74:$H$84,5,FALSE) * 1000 / 12) * H19*0.035</f>
        <v>35.469817379170237</v>
      </c>
      <c r="J19" s="839">
        <f>(VLOOKUP(C19,'BD Altres'!$D$74:$H$84,3,FALSE) / 12) * H19*0.25</f>
        <v>310.08984052591126</v>
      </c>
      <c r="K19">
        <f>(VLOOKUP(B19,'BD ASVICC'!$A$6:$GR$316,199,FALSE) / 12)*0.3</f>
        <v>0.82499999999999996</v>
      </c>
      <c r="L19" s="846">
        <f>I19*'1. Cops de calor'!$C$32/30</f>
        <v>508.40071576810675</v>
      </c>
      <c r="M19" s="846">
        <f>J19*'1. Cops de calor'!$C$33/30</f>
        <v>1550.4492026295563</v>
      </c>
      <c r="N19" s="846">
        <f>K19*'1. Cops de calor'!$C$34*0.25/30</f>
        <v>12993.749999999998</v>
      </c>
      <c r="O19" s="779">
        <f t="shared" si="4"/>
        <v>16557.859910237428</v>
      </c>
      <c r="P19" s="848">
        <f>O19*'A. Dades de partida'!$D$10</f>
        <v>248367.89865356142</v>
      </c>
      <c r="Q19">
        <f t="shared" si="5"/>
        <v>1.6500000000000001</v>
      </c>
      <c r="R19">
        <f t="shared" si="6"/>
        <v>0</v>
      </c>
      <c r="S19">
        <f>I19+(I19*'1. Cops de calor'!$C$40)</f>
        <v>37.456127152403774</v>
      </c>
      <c r="T19">
        <f>J19*'1. Cops de calor'!$C$41+J19</f>
        <v>333.3465785653546</v>
      </c>
      <c r="U19">
        <f>'1. Cops de calor'!$C$42*K19+K19</f>
        <v>0.85799999999999998</v>
      </c>
      <c r="V19">
        <f>S19*'1. Cops de calor'!$C$32/30</f>
        <v>536.87115585112076</v>
      </c>
      <c r="W19">
        <f>T19*'1. Cops de calor'!$C$33/30</f>
        <v>1666.7328928267732</v>
      </c>
      <c r="X19">
        <f>K19*'1. Cops de calor'!$C$34/30</f>
        <v>51974.999999999993</v>
      </c>
      <c r="Y19">
        <f t="shared" si="7"/>
        <v>54178.604048677887</v>
      </c>
      <c r="Z19" s="849">
        <f>Y19*(Q19+R19)*'A. Dades de partida'!$D$10</f>
        <v>1340920.4502047778</v>
      </c>
      <c r="AA19" s="850">
        <f t="shared" si="8"/>
        <v>1092552.5515512163</v>
      </c>
      <c r="AB19" t="str">
        <f>VLOOKUP(B19,'BD ASVICC'!$A$6:$BG$316,59,FALSE)</f>
        <v>PREPIRINEU-PIRINEU</v>
      </c>
      <c r="AC19">
        <f t="shared" si="0"/>
        <v>0.5</v>
      </c>
      <c r="AD19">
        <f t="shared" si="1"/>
        <v>0.5</v>
      </c>
    </row>
    <row r="20" spans="1:30">
      <c r="A20">
        <v>8017</v>
      </c>
      <c r="B20" t="s">
        <v>812</v>
      </c>
      <c r="C20" t="s">
        <v>88</v>
      </c>
      <c r="D20">
        <f>VLOOKUP(A20,'temperatures màximes'!$A$4:$U$314,'temperatures màximes'!U$1,FALSE)</f>
        <v>83</v>
      </c>
      <c r="E20">
        <f>VLOOKUP(A20,'nits tropicals'!$A$4:$U$314,'nits tropicals'!U$1,FALSE)</f>
        <v>0</v>
      </c>
      <c r="F20">
        <f t="shared" si="2"/>
        <v>8.3000000000000007</v>
      </c>
      <c r="G20">
        <f t="shared" si="3"/>
        <v>0</v>
      </c>
      <c r="H20" s="840">
        <f>VLOOKUP(B20,'BD ASVICC'!$A$6:$X$316,24,FALSE)/VLOOKUP(C20,'BD Comarcal'!$A$6:$Z$17,26,FALSE)</f>
        <v>2.3804781516438469E-2</v>
      </c>
      <c r="I20" s="839">
        <f>(VLOOKUP(C20,'BD Altres'!$D$74:$H$84,5,FALSE) * 1000 / 12) * H20*0.035</f>
        <v>26.487778766520393</v>
      </c>
      <c r="J20" s="839">
        <f>(VLOOKUP(C20,'BD Altres'!$D$74:$H$84,3,FALSE) / 12) * H20*0.25</f>
        <v>16.945532909066376</v>
      </c>
      <c r="K20">
        <f>(VLOOKUP(B20,'BD ASVICC'!$A$6:$GR$316,199,FALSE) / 12)*0.3</f>
        <v>0.82499999999999996</v>
      </c>
      <c r="L20" s="846">
        <f>I20*'1. Cops de calor'!$C$32/30</f>
        <v>379.6581623201256</v>
      </c>
      <c r="M20" s="846">
        <f>J20*'1. Cops de calor'!$C$33/30</f>
        <v>84.727664545331876</v>
      </c>
      <c r="N20" s="846">
        <f>K20*'1. Cops de calor'!$C$34*0.25/30</f>
        <v>12993.749999999998</v>
      </c>
      <c r="O20" s="779">
        <f t="shared" si="4"/>
        <v>111702.52736298328</v>
      </c>
      <c r="P20" s="848">
        <f>O20*'A. Dades de partida'!$D$10</f>
        <v>1675537.9104447493</v>
      </c>
      <c r="Q20">
        <f t="shared" si="5"/>
        <v>12.450000000000001</v>
      </c>
      <c r="R20">
        <f t="shared" si="6"/>
        <v>0</v>
      </c>
      <c r="S20">
        <f>I20+(I20*'1. Cops de calor'!$C$40)</f>
        <v>27.971094377445535</v>
      </c>
      <c r="T20">
        <f>J20*'1. Cops de calor'!$C$41+J20</f>
        <v>18.216447877246353</v>
      </c>
      <c r="U20">
        <f>'1. Cops de calor'!$C$42*K20+K20</f>
        <v>0.85799999999999998</v>
      </c>
      <c r="V20">
        <f>S20*'1. Cops de calor'!$C$32/30</f>
        <v>400.91901941005267</v>
      </c>
      <c r="W20">
        <f>T20*'1. Cops de calor'!$C$33/30</f>
        <v>91.082239386231763</v>
      </c>
      <c r="X20">
        <f>K20*'1. Cops de calor'!$C$34/30</f>
        <v>51974.999999999993</v>
      </c>
      <c r="Y20">
        <f t="shared" si="7"/>
        <v>52467.001258796277</v>
      </c>
      <c r="Z20" s="849">
        <f>Y20*(Q20+R20)*'A. Dades de partida'!$D$10</f>
        <v>9798212.4850802049</v>
      </c>
      <c r="AA20" s="850">
        <f t="shared" si="8"/>
        <v>8122674.5746354554</v>
      </c>
      <c r="AB20" t="str">
        <f>VLOOKUP(B20,'BD ASVICC'!$A$6:$BG$316,59,FALSE)</f>
        <v>PREPIRINEU-PIRINEU</v>
      </c>
      <c r="AC20">
        <f t="shared" si="0"/>
        <v>0.5</v>
      </c>
      <c r="AD20">
        <f t="shared" si="1"/>
        <v>0.5</v>
      </c>
    </row>
    <row r="21" spans="1:30">
      <c r="A21">
        <v>8018</v>
      </c>
      <c r="B21" t="s">
        <v>817</v>
      </c>
      <c r="C21" t="s">
        <v>82</v>
      </c>
      <c r="D21">
        <f>VLOOKUP(A21,'temperatures màximes'!$A$4:$U$314,'temperatures màximes'!U$1,FALSE)</f>
        <v>143</v>
      </c>
      <c r="E21">
        <f>VLOOKUP(A21,'nits tropicals'!$A$4:$U$314,'nits tropicals'!U$1,FALSE)</f>
        <v>2</v>
      </c>
      <c r="F21">
        <f t="shared" si="2"/>
        <v>14.3</v>
      </c>
      <c r="G21">
        <f t="shared" si="3"/>
        <v>0.2</v>
      </c>
      <c r="H21" s="840">
        <f>VLOOKUP(B21,'BD ASVICC'!$A$6:$X$316,24,FALSE)/VLOOKUP(C21,'BD Comarcal'!$A$6:$Z$17,26,FALSE)</f>
        <v>1.8838061486056393E-2</v>
      </c>
      <c r="I21" s="839">
        <f>(VLOOKUP(C21,'BD Altres'!$D$74:$H$84,5,FALSE) * 1000 / 12) * H21*0.035</f>
        <v>53.893778950311841</v>
      </c>
      <c r="J21" s="839">
        <f>(VLOOKUP(C21,'BD Altres'!$D$74:$H$84,3,FALSE) / 12) * H21*0.25</f>
        <v>471.15870773710384</v>
      </c>
      <c r="K21">
        <f>(VLOOKUP(B21,'BD ASVICC'!$A$6:$GR$316,199,FALSE) / 12)*0.3</f>
        <v>1.0249999999999999</v>
      </c>
      <c r="L21" s="846">
        <f>I21*'1. Cops de calor'!$C$32/30</f>
        <v>772.47749828780297</v>
      </c>
      <c r="M21" s="846">
        <f>J21*'1. Cops de calor'!$C$33/30</f>
        <v>2355.7935386855193</v>
      </c>
      <c r="N21" s="846">
        <f>K21*'1. Cops de calor'!$C$34*0.25/30</f>
        <v>16143.749999999996</v>
      </c>
      <c r="O21" s="779">
        <f t="shared" si="4"/>
        <v>279444.30503611313</v>
      </c>
      <c r="P21" s="848">
        <f>O21*'A. Dades de partida'!$D$10</f>
        <v>4191664.575541697</v>
      </c>
      <c r="Q21">
        <f t="shared" si="5"/>
        <v>21.450000000000003</v>
      </c>
      <c r="R21">
        <f t="shared" si="6"/>
        <v>0.30000000000000004</v>
      </c>
      <c r="S21">
        <f>I21+(I21*'1. Cops de calor'!$C$40)</f>
        <v>56.9118305715293</v>
      </c>
      <c r="T21">
        <f>J21*'1. Cops de calor'!$C$41+J21</f>
        <v>506.49561081738665</v>
      </c>
      <c r="U21">
        <f>'1. Cops de calor'!$C$42*K21+K21</f>
        <v>1.0659999999999998</v>
      </c>
      <c r="V21">
        <f>S21*'1. Cops de calor'!$C$32/30</f>
        <v>815.73623819191994</v>
      </c>
      <c r="W21">
        <f>T21*'1. Cops de calor'!$C$33/30</f>
        <v>2532.4780540869333</v>
      </c>
      <c r="X21">
        <f>K21*'1. Cops de calor'!$C$34/30</f>
        <v>64574.999999999985</v>
      </c>
      <c r="Y21">
        <f t="shared" si="7"/>
        <v>67923.214292278833</v>
      </c>
      <c r="Z21" s="849">
        <f>Y21*(Q21+R21)*'A. Dades de partida'!$D$10</f>
        <v>22159948.662855972</v>
      </c>
      <c r="AA21" s="850">
        <f t="shared" si="8"/>
        <v>17968284.087314274</v>
      </c>
      <c r="AB21" t="str">
        <f>VLOOKUP(B21,'BD ASVICC'!$A$6:$BG$316,59,FALSE)</f>
        <v>CENTRAL</v>
      </c>
      <c r="AC21">
        <f t="shared" si="0"/>
        <v>0.5</v>
      </c>
      <c r="AD21">
        <f t="shared" si="1"/>
        <v>0.5</v>
      </c>
    </row>
    <row r="22" spans="1:30">
      <c r="A22">
        <v>8019</v>
      </c>
      <c r="B22" t="s">
        <v>331</v>
      </c>
      <c r="C22" t="s">
        <v>83</v>
      </c>
      <c r="D22">
        <f>VLOOKUP(A22,'temperatures màximes'!$A$4:$U$314,'temperatures màximes'!U$1,FALSE)</f>
        <v>33</v>
      </c>
      <c r="E22">
        <f>VLOOKUP(A22,'nits tropicals'!$A$4:$U$314,'nits tropicals'!U$1,FALSE)</f>
        <v>199</v>
      </c>
      <c r="F22">
        <f t="shared" si="2"/>
        <v>3.3</v>
      </c>
      <c r="G22">
        <f t="shared" si="3"/>
        <v>19.899999999999999</v>
      </c>
      <c r="H22" s="840">
        <f>VLOOKUP(B22,'BD ASVICC'!$A$6:$X$316,24,FALSE)/VLOOKUP(C22,'BD Comarcal'!$A$6:$Z$17,26,FALSE)</f>
        <v>0.72049544233715646</v>
      </c>
      <c r="I22" s="839">
        <f>(VLOOKUP(C22,'BD Altres'!$D$74:$H$84,5,FALSE) * 1000 / 12) * H22*0.035</f>
        <v>6703.2304975224142</v>
      </c>
      <c r="J22" s="839">
        <f>(VLOOKUP(C22,'BD Altres'!$D$74:$H$84,3,FALSE) / 12) * H22*0.25</f>
        <v>3827.2340183960978</v>
      </c>
      <c r="K22">
        <f>(VLOOKUP(B22,'BD ASVICC'!$A$6:$GR$316,199,FALSE) / 12)*0.3</f>
        <v>386.34999999999997</v>
      </c>
      <c r="L22" s="846">
        <f>I22*'1. Cops de calor'!$C$32/30</f>
        <v>96079.637131154595</v>
      </c>
      <c r="M22" s="846">
        <f>J22*'1. Cops de calor'!$C$33/30</f>
        <v>19136.17009198049</v>
      </c>
      <c r="N22" s="846">
        <f>K22*'1. Cops de calor'!$C$34*0.25/30</f>
        <v>6085012.4999999991</v>
      </c>
      <c r="O22" s="779">
        <f t="shared" si="4"/>
        <v>143845296.7275767</v>
      </c>
      <c r="P22" s="848">
        <f>O22*'A. Dades de partida'!$D$10</f>
        <v>2157679450.9136505</v>
      </c>
      <c r="Q22">
        <f t="shared" si="5"/>
        <v>4.9499999999999993</v>
      </c>
      <c r="R22">
        <f t="shared" si="6"/>
        <v>29.849999999999998</v>
      </c>
      <c r="S22">
        <f>I22+(I22*'1. Cops de calor'!$C$40)</f>
        <v>7078.6114053836691</v>
      </c>
      <c r="T22">
        <f>J22*'1. Cops de calor'!$C$41+J22</f>
        <v>4114.276569775805</v>
      </c>
      <c r="U22">
        <f>'1. Cops de calor'!$C$42*K22+K22</f>
        <v>401.80399999999997</v>
      </c>
      <c r="V22">
        <f>S22*'1. Cops de calor'!$C$32/30</f>
        <v>101460.09681049925</v>
      </c>
      <c r="W22">
        <f>T22*'1. Cops de calor'!$C$33/30</f>
        <v>20571.382848879024</v>
      </c>
      <c r="X22">
        <f>K22*'1. Cops de calor'!$C$34/30</f>
        <v>24340049.999999996</v>
      </c>
      <c r="Y22">
        <f t="shared" si="7"/>
        <v>24462081.479659375</v>
      </c>
      <c r="Z22" s="849">
        <f>Y22*(Q22+R22)*'A. Dades de partida'!$D$10</f>
        <v>12769206532.382193</v>
      </c>
      <c r="AA22" s="850">
        <f t="shared" si="8"/>
        <v>10611527081.468542</v>
      </c>
      <c r="AB22" t="str">
        <f>VLOOKUP(B22,'BD ASVICC'!$A$6:$BG$316,59,FALSE)</f>
        <v>LITORAL</v>
      </c>
      <c r="AC22">
        <f t="shared" si="0"/>
        <v>0.5</v>
      </c>
      <c r="AD22">
        <f t="shared" si="1"/>
        <v>0.5</v>
      </c>
    </row>
    <row r="23" spans="1:30">
      <c r="A23">
        <v>8020</v>
      </c>
      <c r="B23" t="s">
        <v>825</v>
      </c>
      <c r="C23" t="s">
        <v>90</v>
      </c>
      <c r="D23">
        <f>VLOOKUP(A23,'temperatures màximes'!$A$4:$U$314,'temperatures màximes'!U$1,FALSE)</f>
        <v>0</v>
      </c>
      <c r="E23">
        <f>VLOOKUP(A23,'nits tropicals'!$A$4:$U$314,'nits tropicals'!U$1,FALSE)</f>
        <v>60</v>
      </c>
      <c r="F23">
        <f t="shared" si="2"/>
        <v>0</v>
      </c>
      <c r="G23">
        <f t="shared" si="3"/>
        <v>6</v>
      </c>
      <c r="H23" s="840">
        <f>VLOOKUP(B23,'BD ASVICC'!$A$6:$X$316,24,FALSE)/VLOOKUP(C23,'BD Comarcal'!$A$6:$Z$17,26,FALSE)</f>
        <v>8.3172507633818716E-3</v>
      </c>
      <c r="I23" s="839">
        <f>(VLOOKUP(C23,'BD Altres'!$D$74:$H$84,5,FALSE) * 1000 / 12) * H23*0.035</f>
        <v>15.326931231254834</v>
      </c>
      <c r="J23" s="839">
        <f>(VLOOKUP(C23,'BD Altres'!$D$74:$H$84,3,FALSE) / 12) * H23*0.25</f>
        <v>46.746337344779796</v>
      </c>
      <c r="K23">
        <f>(VLOOKUP(B23,'BD ASVICC'!$A$6:$GR$316,199,FALSE) / 12)*0.3</f>
        <v>0.97499999999999998</v>
      </c>
      <c r="L23" s="846">
        <f>I23*'1. Cops de calor'!$C$32/30</f>
        <v>219.68601431465262</v>
      </c>
      <c r="M23" s="846">
        <f>J23*'1. Cops de calor'!$C$33/30</f>
        <v>233.731686723899</v>
      </c>
      <c r="N23" s="846">
        <f>K23*'1. Cops de calor'!$C$34*0.25/30</f>
        <v>15356.249999999998</v>
      </c>
      <c r="O23" s="779">
        <f t="shared" si="4"/>
        <v>94858.006206231308</v>
      </c>
      <c r="P23" s="848">
        <f>O23*'A. Dades de partida'!$D$10</f>
        <v>1422870.0930934697</v>
      </c>
      <c r="Q23">
        <f t="shared" si="5"/>
        <v>0</v>
      </c>
      <c r="R23">
        <f t="shared" si="6"/>
        <v>9</v>
      </c>
      <c r="S23">
        <f>I23+(I23*'1. Cops de calor'!$C$40)</f>
        <v>16.185239380205104</v>
      </c>
      <c r="T23">
        <f>J23*'1. Cops de calor'!$C$41+J23</f>
        <v>50.252312645638284</v>
      </c>
      <c r="U23">
        <f>'1. Cops de calor'!$C$42*K23+K23</f>
        <v>1.014</v>
      </c>
      <c r="V23">
        <f>S23*'1. Cops de calor'!$C$32/30</f>
        <v>231.98843111627315</v>
      </c>
      <c r="W23">
        <f>T23*'1. Cops de calor'!$C$33/30</f>
        <v>251.26156322819142</v>
      </c>
      <c r="X23">
        <f>K23*'1. Cops de calor'!$C$34/30</f>
        <v>61424.999999999993</v>
      </c>
      <c r="Y23">
        <f t="shared" si="7"/>
        <v>61908.249994344456</v>
      </c>
      <c r="Z23" s="849">
        <f>Y23*(Q23+R23)*'A. Dades de partida'!$D$10</f>
        <v>8357613.7492365008</v>
      </c>
      <c r="AA23" s="850">
        <f t="shared" si="8"/>
        <v>6934743.6561430311</v>
      </c>
      <c r="AB23" t="str">
        <f>VLOOKUP(B23,'BD ASVICC'!$A$6:$BG$316,59,FALSE)</f>
        <v>LITORAL</v>
      </c>
      <c r="AC23">
        <f t="shared" si="0"/>
        <v>0.5</v>
      </c>
      <c r="AD23">
        <f t="shared" si="1"/>
        <v>0.5</v>
      </c>
    </row>
    <row r="24" spans="1:30">
      <c r="A24">
        <v>8021</v>
      </c>
      <c r="B24" t="s">
        <v>829</v>
      </c>
      <c r="C24" t="s">
        <v>81</v>
      </c>
      <c r="D24">
        <f>VLOOKUP(A24,'temperatures màximes'!$A$4:$U$314,'temperatures màximes'!U$1,FALSE)</f>
        <v>77</v>
      </c>
      <c r="E24">
        <f>VLOOKUP(A24,'nits tropicals'!$A$4:$U$314,'nits tropicals'!U$1,FALSE)</f>
        <v>2</v>
      </c>
      <c r="F24">
        <f t="shared" si="2"/>
        <v>7.7</v>
      </c>
      <c r="G24">
        <f t="shared" si="3"/>
        <v>0.2</v>
      </c>
      <c r="H24" s="840">
        <f>VLOOKUP(B24,'BD ASVICC'!$A$6:$X$316,24,FALSE)/VLOOKUP(C24,'BD Comarcal'!$A$6:$Z$17,26,FALSE)</f>
        <v>6.3827614379084968E-4</v>
      </c>
      <c r="I24" s="839">
        <f>(VLOOKUP(C24,'BD Altres'!$D$74:$H$84,5,FALSE) * 1000 / 12) * H24*0.035</f>
        <v>0.53244048948238143</v>
      </c>
      <c r="J24" s="839">
        <f>(VLOOKUP(C24,'BD Altres'!$D$74:$H$84,3,FALSE) / 12) * H24*0.25</f>
        <v>0.25713689501150228</v>
      </c>
      <c r="K24">
        <f>(VLOOKUP(B24,'BD ASVICC'!$A$6:$GR$316,199,FALSE) / 12)*0.3</f>
        <v>2.4999999999999998E-2</v>
      </c>
      <c r="L24" s="846">
        <f>I24*'1. Cops de calor'!$C$32/30</f>
        <v>7.6316470159141341</v>
      </c>
      <c r="M24" s="846">
        <f>J24*'1. Cops de calor'!$C$33/30</f>
        <v>1.2856844750575114</v>
      </c>
      <c r="N24" s="846">
        <f>K24*'1. Cops de calor'!$C$34*0.25/30</f>
        <v>393.74999999999994</v>
      </c>
      <c r="O24" s="779">
        <f t="shared" si="4"/>
        <v>3181.0719187786758</v>
      </c>
      <c r="P24" s="848">
        <f>O24*'A. Dades de partida'!$D$10</f>
        <v>47716.078781680138</v>
      </c>
      <c r="Q24">
        <f t="shared" si="5"/>
        <v>11.55</v>
      </c>
      <c r="R24">
        <f t="shared" si="6"/>
        <v>0.30000000000000004</v>
      </c>
      <c r="S24">
        <f>I24+(I24*'1. Cops de calor'!$C$40)</f>
        <v>0.56225715689339484</v>
      </c>
      <c r="T24">
        <f>J24*'1. Cops de calor'!$C$41+J24</f>
        <v>0.27642216213736492</v>
      </c>
      <c r="U24">
        <f>'1. Cops de calor'!$C$42*K24+K24</f>
        <v>2.5999999999999999E-2</v>
      </c>
      <c r="V24">
        <f>S24*'1. Cops de calor'!$C$32/30</f>
        <v>8.0590192488053258</v>
      </c>
      <c r="W24">
        <f>T24*'1. Cops de calor'!$C$33/30</f>
        <v>1.3821108106868247</v>
      </c>
      <c r="X24">
        <f>K24*'1. Cops de calor'!$C$34/30</f>
        <v>1574.9999999999998</v>
      </c>
      <c r="Y24">
        <f t="shared" si="7"/>
        <v>1584.441130059492</v>
      </c>
      <c r="Z24" s="849">
        <f>Y24*(Q24+R24)*'A. Dades de partida'!$D$10</f>
        <v>281634.41086807474</v>
      </c>
      <c r="AA24" s="850">
        <f t="shared" si="8"/>
        <v>233918.3320863946</v>
      </c>
      <c r="AB24" t="str">
        <f>VLOOKUP(B24,'BD ASVICC'!$A$6:$BG$316,59,FALSE)</f>
        <v>CENTRAL</v>
      </c>
      <c r="AC24">
        <f t="shared" si="0"/>
        <v>0.5</v>
      </c>
      <c r="AD24">
        <f t="shared" si="1"/>
        <v>0.5</v>
      </c>
    </row>
    <row r="25" spans="1:30">
      <c r="A25">
        <v>8022</v>
      </c>
      <c r="B25" t="s">
        <v>777</v>
      </c>
      <c r="C25" t="s">
        <v>84</v>
      </c>
      <c r="D25">
        <f>VLOOKUP(A25,'temperatures màximes'!$A$4:$U$314,'temperatures màximes'!U$1,FALSE)</f>
        <v>11</v>
      </c>
      <c r="E25">
        <f>VLOOKUP(A25,'nits tropicals'!$A$4:$U$314,'nits tropicals'!U$1,FALSE)</f>
        <v>0</v>
      </c>
      <c r="F25">
        <f t="shared" si="2"/>
        <v>1.1000000000000001</v>
      </c>
      <c r="G25">
        <f t="shared" si="3"/>
        <v>0</v>
      </c>
      <c r="H25" s="840">
        <f>VLOOKUP(B25,'BD ASVICC'!$A$6:$X$316,24,FALSE)/VLOOKUP(C25,'BD Comarcal'!$A$6:$Z$17,26,FALSE)</f>
        <v>0.41285925774669457</v>
      </c>
      <c r="I25" s="839">
        <f>(VLOOKUP(C25,'BD Altres'!$D$74:$H$84,5,FALSE) * 1000 / 12) * H25*0.035</f>
        <v>265.3673895041992</v>
      </c>
      <c r="J25" s="839">
        <f>(VLOOKUP(C25,'BD Altres'!$D$74:$H$84,3,FALSE) / 12) * H25*0.25</f>
        <v>2319.93671161268</v>
      </c>
      <c r="K25">
        <f>(VLOOKUP(B25,'BD ASVICC'!$A$6:$GR$316,199,FALSE) / 12)*0.3</f>
        <v>4.45</v>
      </c>
      <c r="L25" s="846">
        <f>I25*'1. Cops de calor'!$C$32/30</f>
        <v>3803.5992495601886</v>
      </c>
      <c r="M25" s="846">
        <f>J25*'1. Cops de calor'!$C$33/30</f>
        <v>11599.6835580634</v>
      </c>
      <c r="N25" s="846">
        <f>K25*'1. Cops de calor'!$C$34*0.25/30</f>
        <v>70087.5</v>
      </c>
      <c r="O25" s="779">
        <f t="shared" si="4"/>
        <v>94039.861088385951</v>
      </c>
      <c r="P25" s="848">
        <f>O25*'A. Dades de partida'!$D$10</f>
        <v>1410597.9163257892</v>
      </c>
      <c r="Q25">
        <f t="shared" si="5"/>
        <v>1.6500000000000001</v>
      </c>
      <c r="R25">
        <f t="shared" si="6"/>
        <v>0</v>
      </c>
      <c r="S25">
        <f>I25+(I25*'1. Cops de calor'!$C$40)</f>
        <v>280.22796331643434</v>
      </c>
      <c r="T25">
        <f>J25*'1. Cops de calor'!$C$41+J25</f>
        <v>2493.9319649836311</v>
      </c>
      <c r="U25">
        <f>'1. Cops de calor'!$C$42*K25+K25</f>
        <v>4.6280000000000001</v>
      </c>
      <c r="V25">
        <f>S25*'1. Cops de calor'!$C$32/30</f>
        <v>4016.6008075355589</v>
      </c>
      <c r="W25">
        <f>T25*'1. Cops de calor'!$C$33/30</f>
        <v>12469.659824918157</v>
      </c>
      <c r="X25">
        <f>K25*'1. Cops de calor'!$C$34/30</f>
        <v>280350</v>
      </c>
      <c r="Y25">
        <f t="shared" si="7"/>
        <v>296836.26063245372</v>
      </c>
      <c r="Z25" s="849">
        <f>Y25*(Q25+R25)*'A. Dades de partida'!$D$10</f>
        <v>7346697.4506532298</v>
      </c>
      <c r="AA25" s="850">
        <f t="shared" si="8"/>
        <v>5936099.5343274409</v>
      </c>
      <c r="AB25" t="str">
        <f>VLOOKUP(B25,'BD ASVICC'!$A$6:$BG$316,59,FALSE)</f>
        <v>PREPIRINEU-PIRINEU</v>
      </c>
      <c r="AC25">
        <f t="shared" si="0"/>
        <v>0.5</v>
      </c>
      <c r="AD25">
        <f t="shared" si="1"/>
        <v>0.5</v>
      </c>
    </row>
    <row r="26" spans="1:30">
      <c r="A26">
        <v>8023</v>
      </c>
      <c r="B26" t="s">
        <v>838</v>
      </c>
      <c r="C26" t="s">
        <v>24</v>
      </c>
      <c r="D26">
        <f>VLOOKUP(A26,'temperatures màximes'!$A$4:$U$314,'temperatures màximes'!U$1,FALSE)</f>
        <v>42</v>
      </c>
      <c r="E26">
        <f>VLOOKUP(A26,'nits tropicals'!$A$4:$U$314,'nits tropicals'!U$1,FALSE)</f>
        <v>8</v>
      </c>
      <c r="F26">
        <f t="shared" si="2"/>
        <v>4.2</v>
      </c>
      <c r="G26">
        <f t="shared" si="3"/>
        <v>0.8</v>
      </c>
      <c r="H26" s="840">
        <f>VLOOKUP(B26,'BD ASVICC'!$A$6:$X$316,24,FALSE)/VLOOKUP(C26,'BD Comarcal'!$A$6:$Z$17,26,FALSE)</f>
        <v>2.2213196856514957E-2</v>
      </c>
      <c r="I26" s="839">
        <f>(VLOOKUP(C26,'BD Altres'!$D$74:$H$84,5,FALSE) * 1000 / 12) * H26*0.035</f>
        <v>157.19905729059445</v>
      </c>
      <c r="J26" s="839">
        <f>(VLOOKUP(C26,'BD Altres'!$D$74:$H$84,3,FALSE) / 12) * H26*0.25</f>
        <v>35.341526935258116</v>
      </c>
      <c r="K26">
        <f>(VLOOKUP(B26,'BD ASVICC'!$A$6:$GR$316,199,FALSE) / 12)*0.3</f>
        <v>1.425</v>
      </c>
      <c r="L26" s="846">
        <f>I26*'1. Cops de calor'!$C$32/30</f>
        <v>2253.1864878318538</v>
      </c>
      <c r="M26" s="846">
        <f>J26*'1. Cops de calor'!$C$33/30</f>
        <v>176.70763467629058</v>
      </c>
      <c r="N26" s="846">
        <f>K26*'1. Cops de calor'!$C$34*0.25/30</f>
        <v>22443.749999999996</v>
      </c>
      <c r="O26" s="779">
        <f t="shared" si="4"/>
        <v>124368.2206125407</v>
      </c>
      <c r="P26" s="848">
        <f>O26*'A. Dades de partida'!$D$10</f>
        <v>1865523.3091881105</v>
      </c>
      <c r="Q26">
        <f t="shared" si="5"/>
        <v>6.3000000000000007</v>
      </c>
      <c r="R26">
        <f t="shared" si="6"/>
        <v>1.2000000000000002</v>
      </c>
      <c r="S26">
        <f>I26+(I26*'1. Cops de calor'!$C$40)</f>
        <v>166.00220449886774</v>
      </c>
      <c r="T26">
        <f>J26*'1. Cops de calor'!$C$41+J26</f>
        <v>37.992141455402475</v>
      </c>
      <c r="U26">
        <f>'1. Cops de calor'!$C$42*K26+K26</f>
        <v>1.482</v>
      </c>
      <c r="V26">
        <f>S26*'1. Cops de calor'!$C$32/30</f>
        <v>2379.3649311504373</v>
      </c>
      <c r="W26">
        <f>T26*'1. Cops de calor'!$C$33/30</f>
        <v>189.96070727701238</v>
      </c>
      <c r="X26">
        <f>K26*'1. Cops de calor'!$C$34/30</f>
        <v>89774.999999999985</v>
      </c>
      <c r="Y26">
        <f t="shared" si="7"/>
        <v>92344.325638427428</v>
      </c>
      <c r="Z26" s="849">
        <f>Y26*(Q26+R26)*'A. Dades de partida'!$D$10</f>
        <v>10388736.634323088</v>
      </c>
      <c r="AA26" s="850">
        <f t="shared" si="8"/>
        <v>8523213.3251349777</v>
      </c>
      <c r="AB26" t="str">
        <f>VLOOKUP(B26,'BD ASVICC'!$A$6:$BG$316,59,FALSE)</f>
        <v>CENTRAL</v>
      </c>
      <c r="AC26">
        <f t="shared" si="0"/>
        <v>0.5</v>
      </c>
      <c r="AD26">
        <f t="shared" si="1"/>
        <v>0.5</v>
      </c>
    </row>
    <row r="27" spans="1:30">
      <c r="A27">
        <v>8024</v>
      </c>
      <c r="B27" t="s">
        <v>843</v>
      </c>
      <c r="C27" t="s">
        <v>84</v>
      </c>
      <c r="D27">
        <f>VLOOKUP(A27,'temperatures màximes'!$A$4:$U$314,'temperatures màximes'!U$1,FALSE)</f>
        <v>17</v>
      </c>
      <c r="E27">
        <f>VLOOKUP(A27,'nits tropicals'!$A$4:$U$314,'nits tropicals'!U$1,FALSE)</f>
        <v>3</v>
      </c>
      <c r="F27">
        <f t="shared" si="2"/>
        <v>1.7</v>
      </c>
      <c r="G27">
        <f t="shared" si="3"/>
        <v>0.3</v>
      </c>
      <c r="H27" s="840">
        <f>VLOOKUP(B27,'BD ASVICC'!$A$6:$X$316,24,FALSE)/VLOOKUP(C27,'BD Comarcal'!$A$6:$Z$17,26,FALSE)</f>
        <v>1.2634641890857114E-2</v>
      </c>
      <c r="I27" s="839">
        <f>(VLOOKUP(C27,'BD Altres'!$D$74:$H$84,5,FALSE) * 1000 / 12) * H27*0.035</f>
        <v>8.1209803897730204</v>
      </c>
      <c r="J27" s="839">
        <f>(VLOOKUP(C27,'BD Altres'!$D$74:$H$84,3,FALSE) / 12) * H27*0.25</f>
        <v>70.996517604221125</v>
      </c>
      <c r="K27">
        <f>(VLOOKUP(B27,'BD ASVICC'!$A$6:$GR$316,199,FALSE) / 12)*0.3</f>
        <v>9.9999999999999992E-2</v>
      </c>
      <c r="L27" s="846">
        <f>I27*'1. Cops de calor'!$C$32/30</f>
        <v>116.40071892007995</v>
      </c>
      <c r="M27" s="846">
        <f>J27*'1. Cops de calor'!$C$33/30</f>
        <v>354.98258802110564</v>
      </c>
      <c r="N27" s="846">
        <f>K27*'1. Cops de calor'!$C$34*0.25/30</f>
        <v>1574.9999999999998</v>
      </c>
      <c r="O27" s="779">
        <f t="shared" si="4"/>
        <v>4092.7666138823706</v>
      </c>
      <c r="P27" s="848">
        <f>O27*'A. Dades de partida'!$D$10</f>
        <v>61391.49920823556</v>
      </c>
      <c r="Q27">
        <f t="shared" si="5"/>
        <v>2.5499999999999998</v>
      </c>
      <c r="R27">
        <f t="shared" si="6"/>
        <v>0.44999999999999996</v>
      </c>
      <c r="S27">
        <f>I27+(I27*'1. Cops de calor'!$C$40)</f>
        <v>8.5757552916003092</v>
      </c>
      <c r="T27">
        <f>J27*'1. Cops de calor'!$C$41+J27</f>
        <v>76.321256424537708</v>
      </c>
      <c r="U27">
        <f>'1. Cops de calor'!$C$42*K27+K27</f>
        <v>0.104</v>
      </c>
      <c r="V27">
        <f>S27*'1. Cops de calor'!$C$32/30</f>
        <v>122.91915917960442</v>
      </c>
      <c r="W27">
        <f>T27*'1. Cops de calor'!$C$33/30</f>
        <v>381.60628212268853</v>
      </c>
      <c r="X27">
        <f>K27*'1. Cops de calor'!$C$34/30</f>
        <v>6299.9999999999991</v>
      </c>
      <c r="Y27">
        <f t="shared" si="7"/>
        <v>6804.5254413022922</v>
      </c>
      <c r="Z27" s="849">
        <f>Y27*(Q27+R27)*'A. Dades de partida'!$D$10</f>
        <v>306203.64485860313</v>
      </c>
      <c r="AA27" s="850">
        <f t="shared" si="8"/>
        <v>244812.14565036757</v>
      </c>
      <c r="AB27" t="str">
        <f>VLOOKUP(B27,'BD ASVICC'!$A$6:$BG$316,59,FALSE)</f>
        <v>PREPIRINEU-PIRINEU</v>
      </c>
      <c r="AC27">
        <f t="shared" si="0"/>
        <v>0.5</v>
      </c>
      <c r="AD27">
        <f t="shared" si="1"/>
        <v>0.5</v>
      </c>
    </row>
    <row r="28" spans="1:30">
      <c r="A28">
        <v>8025</v>
      </c>
      <c r="B28" t="s">
        <v>846</v>
      </c>
      <c r="C28" t="s">
        <v>81</v>
      </c>
      <c r="D28">
        <f>VLOOKUP(A28,'temperatures màximes'!$A$4:$U$314,'temperatures màximes'!U$1,FALSE)</f>
        <v>35</v>
      </c>
      <c r="E28">
        <f>VLOOKUP(A28,'nits tropicals'!$A$4:$U$314,'nits tropicals'!U$1,FALSE)</f>
        <v>45</v>
      </c>
      <c r="F28">
        <f t="shared" si="2"/>
        <v>3.5</v>
      </c>
      <c r="G28">
        <f t="shared" si="3"/>
        <v>4.5</v>
      </c>
      <c r="H28" s="840">
        <f>VLOOKUP(B28,'BD ASVICC'!$A$6:$X$316,24,FALSE)/VLOOKUP(C28,'BD Comarcal'!$A$6:$Z$17,26,FALSE)</f>
        <v>1.7139842047930284E-2</v>
      </c>
      <c r="I28" s="839">
        <f>(VLOOKUP(C28,'BD Altres'!$D$74:$H$84,5,FALSE) * 1000 / 12) * H28*0.035</f>
        <v>14.29780194423355</v>
      </c>
      <c r="J28" s="839">
        <f>(VLOOKUP(C28,'BD Altres'!$D$74:$H$84,3,FALSE) / 12) * H28*0.25</f>
        <v>6.9049827540422077</v>
      </c>
      <c r="K28">
        <f>(VLOOKUP(B28,'BD ASVICC'!$A$6:$GR$316,199,FALSE) / 12)*0.3</f>
        <v>0.25</v>
      </c>
      <c r="L28" s="846">
        <f>I28*'1. Cops de calor'!$C$32/30</f>
        <v>204.93516120068088</v>
      </c>
      <c r="M28" s="846">
        <f>J28*'1. Cops de calor'!$C$33/30</f>
        <v>34.524913770211036</v>
      </c>
      <c r="N28" s="846">
        <f>K28*'1. Cops de calor'!$C$34*0.25/30</f>
        <v>3937.4999999999995</v>
      </c>
      <c r="O28" s="779">
        <f t="shared" si="4"/>
        <v>33415.680599767133</v>
      </c>
      <c r="P28" s="848">
        <f>O28*'A. Dades de partida'!$D$10</f>
        <v>501235.20899650699</v>
      </c>
      <c r="Q28">
        <f t="shared" si="5"/>
        <v>5.25</v>
      </c>
      <c r="R28">
        <f t="shared" si="6"/>
        <v>6.75</v>
      </c>
      <c r="S28">
        <f>I28+(I28*'1. Cops de calor'!$C$40)</f>
        <v>15.098478853110628</v>
      </c>
      <c r="T28">
        <f>J28*'1. Cops de calor'!$C$41+J28</f>
        <v>7.4228564605953729</v>
      </c>
      <c r="U28">
        <f>'1. Cops de calor'!$C$42*K28+K28</f>
        <v>0.26</v>
      </c>
      <c r="V28">
        <f>S28*'1. Cops de calor'!$C$32/30</f>
        <v>216.41153022791897</v>
      </c>
      <c r="W28">
        <f>T28*'1. Cops de calor'!$C$33/30</f>
        <v>37.114282302976868</v>
      </c>
      <c r="X28">
        <f>K28*'1. Cops de calor'!$C$34/30</f>
        <v>15749.999999999998</v>
      </c>
      <c r="Y28">
        <f t="shared" si="7"/>
        <v>16003.525812530894</v>
      </c>
      <c r="Z28" s="849">
        <f>Y28*(Q28+R28)*'A. Dades de partida'!$D$10</f>
        <v>2880634.6462555612</v>
      </c>
      <c r="AA28" s="850">
        <f t="shared" si="8"/>
        <v>2379399.4372590543</v>
      </c>
      <c r="AB28" t="str">
        <f>VLOOKUP(B28,'BD ASVICC'!$A$6:$BG$316,59,FALSE)</f>
        <v>CENTRAL</v>
      </c>
      <c r="AC28">
        <f t="shared" si="0"/>
        <v>0.5</v>
      </c>
      <c r="AD28">
        <f t="shared" si="1"/>
        <v>0.5</v>
      </c>
    </row>
    <row r="29" spans="1:30">
      <c r="A29">
        <v>8026</v>
      </c>
      <c r="B29" t="s">
        <v>850</v>
      </c>
      <c r="C29" t="s">
        <v>88</v>
      </c>
      <c r="D29">
        <f>VLOOKUP(A29,'temperatures màximes'!$A$4:$U$314,'temperatures màximes'!U$1,FALSE)</f>
        <v>4</v>
      </c>
      <c r="E29">
        <f>VLOOKUP(A29,'nits tropicals'!$A$4:$U$314,'nits tropicals'!U$1,FALSE)</f>
        <v>9</v>
      </c>
      <c r="F29">
        <f t="shared" si="2"/>
        <v>0.4</v>
      </c>
      <c r="G29">
        <f t="shared" si="3"/>
        <v>0.9</v>
      </c>
      <c r="H29" s="840">
        <f>VLOOKUP(B29,'BD ASVICC'!$A$6:$X$316,24,FALSE)/VLOOKUP(C29,'BD Comarcal'!$A$6:$Z$17,26,FALSE)</f>
        <v>1.6897861103436756E-3</v>
      </c>
      <c r="I29" s="839">
        <f>(VLOOKUP(C29,'BD Altres'!$D$74:$H$84,5,FALSE) * 1000 / 12) * H29*0.035</f>
        <v>1.8802390865303276</v>
      </c>
      <c r="J29" s="839">
        <f>(VLOOKUP(C29,'BD Altres'!$D$74:$H$84,3,FALSE) / 12) * H29*0.25</f>
        <v>1.2028812834236051</v>
      </c>
      <c r="K29">
        <f>(VLOOKUP(B29,'BD ASVICC'!$A$6:$GR$316,199,FALSE) / 12)*0.3</f>
        <v>7.4999999999999997E-2</v>
      </c>
      <c r="L29" s="846">
        <f>I29*'1. Cops de calor'!$C$32/30</f>
        <v>26.950093573601361</v>
      </c>
      <c r="M29" s="846">
        <f>J29*'1. Cops de calor'!$C$33/30</f>
        <v>6.0144064171180256</v>
      </c>
      <c r="N29" s="846">
        <f>K29*'1. Cops de calor'!$C$34*0.25/30</f>
        <v>1181.2499999999998</v>
      </c>
      <c r="O29" s="779">
        <f t="shared" si="4"/>
        <v>1578.4788499879348</v>
      </c>
      <c r="P29" s="848">
        <f>O29*'A. Dades de partida'!$D$10</f>
        <v>23677.182749819021</v>
      </c>
      <c r="Q29">
        <f t="shared" si="5"/>
        <v>0.60000000000000009</v>
      </c>
      <c r="R29">
        <f t="shared" si="6"/>
        <v>1.35</v>
      </c>
      <c r="S29">
        <f>I29+(I29*'1. Cops de calor'!$C$40)</f>
        <v>1.985532475376026</v>
      </c>
      <c r="T29">
        <f>J29*'1. Cops de calor'!$C$41+J29</f>
        <v>1.2930973796803755</v>
      </c>
      <c r="U29">
        <f>'1. Cops de calor'!$C$42*K29+K29</f>
        <v>7.8E-2</v>
      </c>
      <c r="V29">
        <f>S29*'1. Cops de calor'!$C$32/30</f>
        <v>28.459298813723038</v>
      </c>
      <c r="W29">
        <f>T29*'1. Cops de calor'!$C$33/30</f>
        <v>6.4654868984018776</v>
      </c>
      <c r="X29">
        <f>K29*'1. Cops de calor'!$C$34/30</f>
        <v>4724.9999999999991</v>
      </c>
      <c r="Y29">
        <f t="shared" si="7"/>
        <v>4759.9247857121236</v>
      </c>
      <c r="Z29" s="849">
        <f>Y29*(Q29+R29)*'A. Dades de partida'!$D$10</f>
        <v>139227.79998207962</v>
      </c>
      <c r="AA29" s="850">
        <f t="shared" si="8"/>
        <v>115550.6172322606</v>
      </c>
      <c r="AB29" t="str">
        <f>VLOOKUP(B29,'BD ASVICC'!$A$6:$BG$316,59,FALSE)</f>
        <v>PREPIRINEU-PIRINEU</v>
      </c>
      <c r="AC29">
        <f t="shared" si="0"/>
        <v>0.5</v>
      </c>
      <c r="AD29">
        <f t="shared" si="1"/>
        <v>0.5</v>
      </c>
    </row>
    <row r="30" spans="1:30">
      <c r="A30">
        <v>8027</v>
      </c>
      <c r="B30" t="s">
        <v>854</v>
      </c>
      <c r="C30" t="s">
        <v>791</v>
      </c>
      <c r="D30">
        <f>VLOOKUP(A30,'temperatures màximes'!$A$4:$U$314,'temperatures màximes'!U$1,FALSE)</f>
        <v>15</v>
      </c>
      <c r="E30">
        <f>VLOOKUP(A30,'nits tropicals'!$A$4:$U$314,'nits tropicals'!U$1,FALSE)</f>
        <v>10</v>
      </c>
      <c r="F30">
        <f t="shared" si="2"/>
        <v>1.5</v>
      </c>
      <c r="G30">
        <f t="shared" si="3"/>
        <v>1</v>
      </c>
      <c r="H30" s="840">
        <f>VLOOKUP(B30,'BD ASVICC'!$A$6:$X$316,24,FALSE)/VLOOKUP(C30,'BD Comarcal'!$A$6:$Z$17,26,FALSE)</f>
        <v>8.8732063043989642E-3</v>
      </c>
      <c r="I30" s="839">
        <f>(VLOOKUP(C30,'BD Altres'!$D$74:$H$84,5,FALSE) * 1000 / 12) * H30*0.035</f>
        <v>17.556560010176348</v>
      </c>
      <c r="J30" s="839">
        <f>(VLOOKUP(C30,'BD Altres'!$D$74:$H$84,3,FALSE) / 12) * H30*0.25</f>
        <v>2.2742813121299124</v>
      </c>
      <c r="K30">
        <f>(VLOOKUP(B30,'BD ASVICC'!$A$6:$GR$316,199,FALSE) / 12)*0.3</f>
        <v>0.19999999999999998</v>
      </c>
      <c r="L30" s="846">
        <f>I30*'1. Cops de calor'!$C$32/30</f>
        <v>251.64402681252764</v>
      </c>
      <c r="M30" s="846">
        <f>J30*'1. Cops de calor'!$C$33/30</f>
        <v>11.371406560649563</v>
      </c>
      <c r="N30" s="846">
        <f>K30*'1. Cops de calor'!$C$34*0.25/30</f>
        <v>3149.9999999999995</v>
      </c>
      <c r="O30" s="779">
        <f t="shared" si="4"/>
        <v>8532.5385834329409</v>
      </c>
      <c r="P30" s="848">
        <f>O30*'A. Dades de partida'!$D$10</f>
        <v>127988.07875149412</v>
      </c>
      <c r="Q30">
        <f t="shared" si="5"/>
        <v>2.25</v>
      </c>
      <c r="R30">
        <f t="shared" si="6"/>
        <v>1.5</v>
      </c>
      <c r="S30">
        <f>I30+(I30*'1. Cops de calor'!$C$40)</f>
        <v>18.539727370746224</v>
      </c>
      <c r="T30">
        <f>J30*'1. Cops de calor'!$C$41+J30</f>
        <v>2.4448524105396556</v>
      </c>
      <c r="U30">
        <f>'1. Cops de calor'!$C$42*K30+K30</f>
        <v>0.20799999999999999</v>
      </c>
      <c r="V30">
        <f>S30*'1. Cops de calor'!$C$32/30</f>
        <v>265.73609231402924</v>
      </c>
      <c r="W30">
        <f>T30*'1. Cops de calor'!$C$33/30</f>
        <v>12.224262052698277</v>
      </c>
      <c r="X30">
        <f>K30*'1. Cops de calor'!$C$34/30</f>
        <v>12599.999999999998</v>
      </c>
      <c r="Y30">
        <f t="shared" si="7"/>
        <v>12877.960354366725</v>
      </c>
      <c r="Z30" s="849">
        <f>Y30*(Q30+R30)*'A. Dades de partida'!$D$10</f>
        <v>724385.26993312838</v>
      </c>
      <c r="AA30" s="850">
        <f t="shared" si="8"/>
        <v>596397.19118163432</v>
      </c>
      <c r="AB30" t="str">
        <f>VLOOKUP(B30,'BD ASVICC'!$A$6:$BG$316,59,FALSE)</f>
        <v>LITORAL</v>
      </c>
      <c r="AC30">
        <f t="shared" si="0"/>
        <v>0.5</v>
      </c>
      <c r="AD30">
        <f t="shared" si="1"/>
        <v>0.5</v>
      </c>
    </row>
    <row r="31" spans="1:30">
      <c r="A31">
        <v>8028</v>
      </c>
      <c r="B31" t="s">
        <v>856</v>
      </c>
      <c r="C31" t="s">
        <v>81</v>
      </c>
      <c r="D31">
        <f>VLOOKUP(A31,'temperatures màximes'!$A$4:$U$314,'temperatures màximes'!U$1,FALSE)</f>
        <v>20</v>
      </c>
      <c r="E31">
        <f>VLOOKUP(A31,'nits tropicals'!$A$4:$U$314,'nits tropicals'!U$1,FALSE)</f>
        <v>8</v>
      </c>
      <c r="F31">
        <f t="shared" si="2"/>
        <v>2</v>
      </c>
      <c r="G31">
        <f t="shared" si="3"/>
        <v>0.8</v>
      </c>
      <c r="H31" s="840">
        <f>VLOOKUP(B31,'BD ASVICC'!$A$6:$X$316,24,FALSE)/VLOOKUP(C31,'BD Comarcal'!$A$6:$Z$17,26,FALSE)</f>
        <v>1.1497480936819172E-2</v>
      </c>
      <c r="I31" s="839">
        <f>(VLOOKUP(C31,'BD Altres'!$D$74:$H$84,5,FALSE) * 1000 / 12) * H31*0.035</f>
        <v>9.5910280172092968</v>
      </c>
      <c r="J31" s="839">
        <f>(VLOOKUP(C31,'BD Altres'!$D$74:$H$84,3,FALSE) / 12) * H31*0.25</f>
        <v>4.6318926021405273</v>
      </c>
      <c r="K31">
        <f>(VLOOKUP(B31,'BD ASVICC'!$A$6:$GR$316,199,FALSE) / 12)*0.3</f>
        <v>4.9999999999999996E-2</v>
      </c>
      <c r="L31" s="846">
        <f>I31*'1. Cops de calor'!$C$32/30</f>
        <v>137.47140157999993</v>
      </c>
      <c r="M31" s="846">
        <f>J31*'1. Cops de calor'!$C$33/30</f>
        <v>23.159463010702634</v>
      </c>
      <c r="N31" s="846">
        <f>K31*'1. Cops de calor'!$C$34*0.25/30</f>
        <v>787.49999999999989</v>
      </c>
      <c r="O31" s="779">
        <f t="shared" si="4"/>
        <v>2654.7664208539668</v>
      </c>
      <c r="P31" s="848">
        <f>O31*'A. Dades de partida'!$D$10</f>
        <v>39821.496312809504</v>
      </c>
      <c r="Q31">
        <f t="shared" si="5"/>
        <v>3</v>
      </c>
      <c r="R31">
        <f t="shared" si="6"/>
        <v>1.2000000000000002</v>
      </c>
      <c r="S31">
        <f>I31+(I31*'1. Cops de calor'!$C$40)</f>
        <v>10.128125586173017</v>
      </c>
      <c r="T31">
        <f>J31*'1. Cops de calor'!$C$41+J31</f>
        <v>4.9792845473010665</v>
      </c>
      <c r="U31">
        <f>'1. Cops de calor'!$C$42*K31+K31</f>
        <v>5.1999999999999998E-2</v>
      </c>
      <c r="V31">
        <f>S31*'1. Cops de calor'!$C$32/30</f>
        <v>145.1698000684799</v>
      </c>
      <c r="W31">
        <f>T31*'1. Cops de calor'!$C$33/30</f>
        <v>24.896422736505333</v>
      </c>
      <c r="X31">
        <f>K31*'1. Cops de calor'!$C$34/30</f>
        <v>3149.9999999999995</v>
      </c>
      <c r="Y31">
        <f t="shared" si="7"/>
        <v>3320.0662228049846</v>
      </c>
      <c r="Z31" s="849">
        <f>Y31*(Q31+R31)*'A. Dades de partida'!$D$10</f>
        <v>209164.17203671404</v>
      </c>
      <c r="AA31" s="850">
        <f t="shared" si="8"/>
        <v>169342.67572390454</v>
      </c>
      <c r="AB31" t="str">
        <f>VLOOKUP(B31,'BD ASVICC'!$A$6:$BG$316,59,FALSE)</f>
        <v>CENTRAL</v>
      </c>
      <c r="AC31">
        <f t="shared" si="0"/>
        <v>0.5</v>
      </c>
      <c r="AD31">
        <f t="shared" si="1"/>
        <v>0.5</v>
      </c>
    </row>
    <row r="32" spans="1:30">
      <c r="A32">
        <v>8029</v>
      </c>
      <c r="B32" t="s">
        <v>336</v>
      </c>
      <c r="C32" t="s">
        <v>86</v>
      </c>
      <c r="D32">
        <f>VLOOKUP(A32,'temperatures màximes'!$A$4:$U$314,'temperatures màximes'!U$1,FALSE)</f>
        <v>2</v>
      </c>
      <c r="E32">
        <f>VLOOKUP(A32,'nits tropicals'!$A$4:$U$314,'nits tropicals'!U$1,FALSE)</f>
        <v>403</v>
      </c>
      <c r="F32">
        <f t="shared" si="2"/>
        <v>0.2</v>
      </c>
      <c r="G32">
        <f t="shared" si="3"/>
        <v>40.299999999999997</v>
      </c>
      <c r="H32" s="840">
        <f>VLOOKUP(B32,'BD ASVICC'!$A$6:$X$316,24,FALSE)/VLOOKUP(C32,'BD Comarcal'!$A$6:$Z$17,26,FALSE)</f>
        <v>1.0312453992593515E-2</v>
      </c>
      <c r="I32" s="839">
        <f>(VLOOKUP(C32,'BD Altres'!$D$74:$H$84,5,FALSE) * 1000 / 12) * H32*0.035</f>
        <v>24.027212599199537</v>
      </c>
      <c r="J32" s="839">
        <f>(VLOOKUP(C32,'BD Altres'!$D$74:$H$84,3,FALSE) / 12) * H32*0.25</f>
        <v>10.831664219060956</v>
      </c>
      <c r="K32">
        <f>(VLOOKUP(B32,'BD ASVICC'!$A$6:$GR$316,199,FALSE) / 12)*0.3</f>
        <v>0.625</v>
      </c>
      <c r="L32" s="846">
        <f>I32*'1. Cops de calor'!$C$32/30</f>
        <v>344.39004725519334</v>
      </c>
      <c r="M32" s="846">
        <f>J32*'1. Cops de calor'!$C$33/30</f>
        <v>54.158321095304785</v>
      </c>
      <c r="N32" s="846">
        <f>K32*'1. Cops de calor'!$C$34*0.25/30</f>
        <v>9843.7499999999982</v>
      </c>
      <c r="O32" s="779">
        <f t="shared" si="4"/>
        <v>414813.08391819516</v>
      </c>
      <c r="P32" s="848">
        <f>O32*'A. Dades de partida'!$D$10</f>
        <v>6222196.2587729273</v>
      </c>
      <c r="Q32">
        <f t="shared" si="5"/>
        <v>0.30000000000000004</v>
      </c>
      <c r="R32">
        <f t="shared" si="6"/>
        <v>60.449999999999996</v>
      </c>
      <c r="S32">
        <f>I32+(I32*'1. Cops de calor'!$C$40)</f>
        <v>25.372736504754712</v>
      </c>
      <c r="T32">
        <f>J32*'1. Cops de calor'!$C$41+J32</f>
        <v>11.644039035490527</v>
      </c>
      <c r="U32">
        <f>'1. Cops de calor'!$C$42*K32+K32</f>
        <v>0.65</v>
      </c>
      <c r="V32">
        <f>S32*'1. Cops de calor'!$C$32/30</f>
        <v>363.6758899014842</v>
      </c>
      <c r="W32">
        <f>T32*'1. Cops de calor'!$C$33/30</f>
        <v>58.220195177452638</v>
      </c>
      <c r="X32">
        <f>K32*'1. Cops de calor'!$C$34/30</f>
        <v>39374.999999999993</v>
      </c>
      <c r="Y32">
        <f t="shared" si="7"/>
        <v>39796.89608507893</v>
      </c>
      <c r="Z32" s="849">
        <f>Y32*(Q32+R32)*'A. Dades de partida'!$D$10</f>
        <v>36264921.557528168</v>
      </c>
      <c r="AA32" s="850">
        <f t="shared" si="8"/>
        <v>30042725.29875524</v>
      </c>
      <c r="AB32" t="str">
        <f>VLOOKUP(B32,'BD ASVICC'!$A$6:$BG$316,59,FALSE)</f>
        <v>LITORAL</v>
      </c>
      <c r="AC32">
        <f t="shared" si="0"/>
        <v>0.5</v>
      </c>
      <c r="AD32">
        <f t="shared" si="1"/>
        <v>0.5</v>
      </c>
    </row>
    <row r="33" spans="1:30">
      <c r="A33">
        <v>8030</v>
      </c>
      <c r="B33" t="s">
        <v>864</v>
      </c>
      <c r="C33" t="s">
        <v>86</v>
      </c>
      <c r="D33">
        <f>VLOOKUP(A33,'temperatures màximes'!$A$4:$U$314,'temperatures màximes'!U$1,FALSE)</f>
        <v>2</v>
      </c>
      <c r="E33">
        <f>VLOOKUP(A33,'nits tropicals'!$A$4:$U$314,'nits tropicals'!U$1,FALSE)</f>
        <v>264</v>
      </c>
      <c r="F33">
        <f t="shared" si="2"/>
        <v>0.2</v>
      </c>
      <c r="G33">
        <f t="shared" si="3"/>
        <v>26.4</v>
      </c>
      <c r="H33" s="840">
        <f>VLOOKUP(B33,'BD ASVICC'!$A$6:$X$316,24,FALSE)/VLOOKUP(C33,'BD Comarcal'!$A$6:$Z$17,26,FALSE)</f>
        <v>1.6504909344175037E-2</v>
      </c>
      <c r="I33" s="839">
        <f>(VLOOKUP(C33,'BD Altres'!$D$74:$H$84,5,FALSE) * 1000 / 12) * H33*0.035</f>
        <v>38.455150057185811</v>
      </c>
      <c r="J33" s="839">
        <f>(VLOOKUP(C33,'BD Altres'!$D$74:$H$84,3,FALSE) / 12) * H33*0.25</f>
        <v>17.335896587809614</v>
      </c>
      <c r="K33">
        <f>(VLOOKUP(B33,'BD ASVICC'!$A$6:$GR$316,199,FALSE) / 12)*0.3</f>
        <v>0.97499999999999998</v>
      </c>
      <c r="L33" s="846">
        <f>I33*'1. Cops de calor'!$C$32/30</f>
        <v>551.19048415299653</v>
      </c>
      <c r="M33" s="846">
        <f>J33*'1. Cops de calor'!$C$33/30</f>
        <v>86.679482939048071</v>
      </c>
      <c r="N33" s="846">
        <f>K33*'1. Cops de calor'!$C$34*0.25/30</f>
        <v>15356.249999999998</v>
      </c>
      <c r="O33" s="779">
        <f t="shared" si="4"/>
        <v>425443.59112464834</v>
      </c>
      <c r="P33" s="848">
        <f>O33*'A. Dades de partida'!$D$10</f>
        <v>6381653.8668697253</v>
      </c>
      <c r="Q33">
        <f t="shared" si="5"/>
        <v>0.30000000000000004</v>
      </c>
      <c r="R33">
        <f t="shared" si="6"/>
        <v>39.599999999999994</v>
      </c>
      <c r="S33">
        <f>I33+(I33*'1. Cops de calor'!$C$40)</f>
        <v>40.608638460388214</v>
      </c>
      <c r="T33">
        <f>J33*'1. Cops de calor'!$C$41+J33</f>
        <v>18.636088831895336</v>
      </c>
      <c r="U33">
        <f>'1. Cops de calor'!$C$42*K33+K33</f>
        <v>1.014</v>
      </c>
      <c r="V33">
        <f>S33*'1. Cops de calor'!$C$32/30</f>
        <v>582.05715126556436</v>
      </c>
      <c r="W33">
        <f>T33*'1. Cops de calor'!$C$33/30</f>
        <v>93.180444159476664</v>
      </c>
      <c r="X33">
        <f>K33*'1. Cops de calor'!$C$34/30</f>
        <v>61424.999999999993</v>
      </c>
      <c r="Y33">
        <f t="shared" si="7"/>
        <v>62100.237595425031</v>
      </c>
      <c r="Z33" s="849">
        <f>Y33*(Q33+R33)*'A. Dades de partida'!$D$10</f>
        <v>37166992.200861879</v>
      </c>
      <c r="AA33" s="850">
        <f t="shared" si="8"/>
        <v>30785338.333992153</v>
      </c>
      <c r="AB33" t="str">
        <f>VLOOKUP(B33,'BD ASVICC'!$A$6:$BG$316,59,FALSE)</f>
        <v>LITORAL</v>
      </c>
      <c r="AC33">
        <f t="shared" si="0"/>
        <v>0.5</v>
      </c>
      <c r="AD33">
        <f t="shared" si="1"/>
        <v>0.5</v>
      </c>
    </row>
    <row r="34" spans="1:30">
      <c r="A34">
        <v>8031</v>
      </c>
      <c r="B34" t="s">
        <v>865</v>
      </c>
      <c r="C34" t="s">
        <v>81</v>
      </c>
      <c r="D34">
        <f>VLOOKUP(A34,'temperatures màximes'!$A$4:$U$314,'temperatures màximes'!U$1,FALSE)</f>
        <v>77</v>
      </c>
      <c r="E34">
        <f>VLOOKUP(A34,'nits tropicals'!$A$4:$U$314,'nits tropicals'!U$1,FALSE)</f>
        <v>2</v>
      </c>
      <c r="F34">
        <f t="shared" si="2"/>
        <v>7.7</v>
      </c>
      <c r="G34">
        <f t="shared" si="3"/>
        <v>0.2</v>
      </c>
      <c r="H34" s="840">
        <f>VLOOKUP(B34,'BD ASVICC'!$A$6:$X$316,24,FALSE)/VLOOKUP(C34,'BD Comarcal'!$A$6:$Z$17,26,FALSE)</f>
        <v>2.9139433551198256E-2</v>
      </c>
      <c r="I34" s="839">
        <f>(VLOOKUP(C34,'BD Altres'!$D$74:$H$84,5,FALSE) * 1000 / 12) * H34*0.035</f>
        <v>24.30768314650232</v>
      </c>
      <c r="J34" s="839">
        <f>(VLOOKUP(C34,'BD Altres'!$D$74:$H$84,3,FALSE) / 12) * H34*0.25</f>
        <v>11.73915638025845</v>
      </c>
      <c r="K34">
        <f>(VLOOKUP(B34,'BD ASVICC'!$A$6:$GR$316,199,FALSE) / 12)*0.3</f>
        <v>0.57499999999999996</v>
      </c>
      <c r="L34" s="846">
        <f>I34*'1. Cops de calor'!$C$32/30</f>
        <v>348.4101250998666</v>
      </c>
      <c r="M34" s="846">
        <f>J34*'1. Cops de calor'!$C$33/30</f>
        <v>58.69578190129225</v>
      </c>
      <c r="N34" s="846">
        <f>K34*'1. Cops de calor'!$C$34*0.25/30</f>
        <v>9056.2499999999982</v>
      </c>
      <c r="O34" s="779">
        <f t="shared" si="4"/>
        <v>74760.511665309154</v>
      </c>
      <c r="P34" s="848">
        <f>O34*'A. Dades de partida'!$D$10</f>
        <v>1121407.6749796374</v>
      </c>
      <c r="Q34">
        <f t="shared" si="5"/>
        <v>11.55</v>
      </c>
      <c r="R34">
        <f t="shared" si="6"/>
        <v>0.30000000000000004</v>
      </c>
      <c r="S34">
        <f>I34+(I34*'1. Cops de calor'!$C$40)</f>
        <v>25.668913402706451</v>
      </c>
      <c r="T34">
        <f>J34*'1. Cops de calor'!$C$41+J34</f>
        <v>12.619593108777833</v>
      </c>
      <c r="U34">
        <f>'1. Cops de calor'!$C$42*K34+K34</f>
        <v>0.59799999999999998</v>
      </c>
      <c r="V34">
        <f>S34*'1. Cops de calor'!$C$32/30</f>
        <v>367.92109210545914</v>
      </c>
      <c r="W34">
        <f>T34*'1. Cops de calor'!$C$33/30</f>
        <v>63.09796554388916</v>
      </c>
      <c r="X34">
        <f>K34*'1. Cops de calor'!$C$34/30</f>
        <v>36224.999999999993</v>
      </c>
      <c r="Y34">
        <f t="shared" si="7"/>
        <v>36656.019057649341</v>
      </c>
      <c r="Z34" s="849">
        <f>Y34*(Q34+R34)*'A. Dades de partida'!$D$10</f>
        <v>6515607.3874971708</v>
      </c>
      <c r="AA34" s="850">
        <f t="shared" si="8"/>
        <v>5394199.7125175335</v>
      </c>
      <c r="AB34" t="str">
        <f>VLOOKUP(B34,'BD ASVICC'!$A$6:$BG$316,59,FALSE)</f>
        <v>PREPIRINEU-PIRINEU</v>
      </c>
      <c r="AC34">
        <f t="shared" si="0"/>
        <v>0.5</v>
      </c>
      <c r="AD34">
        <f t="shared" si="1"/>
        <v>0.5</v>
      </c>
    </row>
    <row r="35" spans="1:30">
      <c r="A35">
        <v>8032</v>
      </c>
      <c r="B35" t="s">
        <v>337</v>
      </c>
      <c r="C35" t="s">
        <v>86</v>
      </c>
      <c r="D35">
        <f>VLOOKUP(A35,'temperatures màximes'!$A$4:$U$314,'temperatures màximes'!U$1,FALSE)</f>
        <v>2</v>
      </c>
      <c r="E35">
        <f>VLOOKUP(A35,'nits tropicals'!$A$4:$U$314,'nits tropicals'!U$1,FALSE)</f>
        <v>403</v>
      </c>
      <c r="F35">
        <f t="shared" si="2"/>
        <v>0.2</v>
      </c>
      <c r="G35">
        <f t="shared" si="3"/>
        <v>40.299999999999997</v>
      </c>
      <c r="H35" s="840">
        <f>VLOOKUP(B35,'BD ASVICC'!$A$6:$X$316,24,FALSE)/VLOOKUP(C35,'BD Comarcal'!$A$6:$Z$17,26,FALSE)</f>
        <v>6.2649347119511671E-3</v>
      </c>
      <c r="I35" s="839">
        <f>(VLOOKUP(C35,'BD Altres'!$D$74:$H$84,5,FALSE) * 1000 / 12) * H35*0.035</f>
        <v>14.596808708408943</v>
      </c>
      <c r="J35" s="839">
        <f>(VLOOKUP(C35,'BD Altres'!$D$74:$H$84,3,FALSE) / 12) * H35*0.25</f>
        <v>6.5803609114699322</v>
      </c>
      <c r="K35">
        <f>(VLOOKUP(B35,'BD ASVICC'!$A$6:$GR$316,199,FALSE) / 12)*0.3</f>
        <v>0.97499999999999998</v>
      </c>
      <c r="L35" s="846">
        <f>I35*'1. Cops de calor'!$C$32/30</f>
        <v>209.22092482052818</v>
      </c>
      <c r="M35" s="846">
        <f>J35*'1. Cops de calor'!$C$33/30</f>
        <v>32.901804557349664</v>
      </c>
      <c r="N35" s="846">
        <f>K35*'1. Cops de calor'!$C$34*0.25/30</f>
        <v>15356.249999999998</v>
      </c>
      <c r="O35" s="779">
        <f t="shared" si="4"/>
        <v>631734.09553980397</v>
      </c>
      <c r="P35" s="848">
        <f>O35*'A. Dades de partida'!$D$10</f>
        <v>9476011.4330970589</v>
      </c>
      <c r="Q35">
        <f t="shared" si="5"/>
        <v>0.30000000000000004</v>
      </c>
      <c r="R35">
        <f t="shared" si="6"/>
        <v>60.449999999999996</v>
      </c>
      <c r="S35">
        <f>I35+(I35*'1. Cops de calor'!$C$40)</f>
        <v>15.414229996079843</v>
      </c>
      <c r="T35">
        <f>J35*'1. Cops de calor'!$C$41+J35</f>
        <v>7.073887979830177</v>
      </c>
      <c r="U35">
        <f>'1. Cops de calor'!$C$42*K35+K35</f>
        <v>1.014</v>
      </c>
      <c r="V35">
        <f>S35*'1. Cops de calor'!$C$32/30</f>
        <v>220.93729661047777</v>
      </c>
      <c r="W35">
        <f>T35*'1. Cops de calor'!$C$33/30</f>
        <v>35.369439899150883</v>
      </c>
      <c r="X35">
        <f>K35*'1. Cops de calor'!$C$34/30</f>
        <v>61424.999999999993</v>
      </c>
      <c r="Y35">
        <f t="shared" si="7"/>
        <v>61681.306736509621</v>
      </c>
      <c r="Z35" s="849">
        <f>Y35*(Q35+R35)*'A. Dades de partida'!$D$10</f>
        <v>56207090.763644382</v>
      </c>
      <c r="AA35" s="850">
        <f t="shared" si="8"/>
        <v>46731079.330547325</v>
      </c>
      <c r="AB35" t="str">
        <f>VLOOKUP(B35,'BD ASVICC'!$A$6:$BG$316,59,FALSE)</f>
        <v>LITORAL</v>
      </c>
      <c r="AC35">
        <f t="shared" si="0"/>
        <v>0.5</v>
      </c>
      <c r="AD35">
        <f t="shared" si="1"/>
        <v>0.5</v>
      </c>
    </row>
    <row r="36" spans="1:30">
      <c r="A36">
        <v>8033</v>
      </c>
      <c r="B36" t="s">
        <v>867</v>
      </c>
      <c r="C36" t="s">
        <v>24</v>
      </c>
      <c r="D36">
        <f>VLOOKUP(A36,'temperatures màximes'!$A$4:$U$314,'temperatures màximes'!U$1,FALSE)</f>
        <v>42</v>
      </c>
      <c r="E36">
        <f>VLOOKUP(A36,'nits tropicals'!$A$4:$U$314,'nits tropicals'!U$1,FALSE)</f>
        <v>8</v>
      </c>
      <c r="F36">
        <f t="shared" si="2"/>
        <v>4.2</v>
      </c>
      <c r="G36">
        <f t="shared" si="3"/>
        <v>0.8</v>
      </c>
      <c r="H36" s="840">
        <f>VLOOKUP(B36,'BD ASVICC'!$A$6:$X$316,24,FALSE)/VLOOKUP(C36,'BD Comarcal'!$A$6:$Z$17,26,FALSE)</f>
        <v>4.2699669605170701E-2</v>
      </c>
      <c r="I36" s="839">
        <f>(VLOOKUP(C36,'BD Altres'!$D$74:$H$84,5,FALSE) * 1000 / 12) * H36*0.035</f>
        <v>302.17837855175736</v>
      </c>
      <c r="J36" s="839">
        <f>(VLOOKUP(C36,'BD Altres'!$D$74:$H$84,3,FALSE) / 12) * H36*0.25</f>
        <v>67.935810105386238</v>
      </c>
      <c r="K36">
        <f>(VLOOKUP(B36,'BD ASVICC'!$A$6:$GR$316,199,FALSE) / 12)*0.3</f>
        <v>3.625</v>
      </c>
      <c r="L36" s="846">
        <f>I36*'1. Cops de calor'!$C$32/30</f>
        <v>4331.2234259085217</v>
      </c>
      <c r="M36" s="846">
        <f>J36*'1. Cops de calor'!$C$33/30</f>
        <v>339.67905052693118</v>
      </c>
      <c r="N36" s="846">
        <f>K36*'1. Cops de calor'!$C$34*0.25/30</f>
        <v>57093.749999999993</v>
      </c>
      <c r="O36" s="779">
        <f t="shared" si="4"/>
        <v>308823.26238217723</v>
      </c>
      <c r="P36" s="848">
        <f>O36*'A. Dades de partida'!$D$10</f>
        <v>4632348.935732658</v>
      </c>
      <c r="Q36">
        <f t="shared" si="5"/>
        <v>6.3000000000000007</v>
      </c>
      <c r="R36">
        <f t="shared" si="6"/>
        <v>1.2000000000000002</v>
      </c>
      <c r="S36">
        <f>I36+(I36*'1. Cops de calor'!$C$40)</f>
        <v>319.10036775065578</v>
      </c>
      <c r="T36">
        <f>J36*'1. Cops de calor'!$C$41+J36</f>
        <v>73.030995863290201</v>
      </c>
      <c r="U36">
        <f>'1. Cops de calor'!$C$42*K36+K36</f>
        <v>3.77</v>
      </c>
      <c r="V36">
        <f>S36*'1. Cops de calor'!$C$32/30</f>
        <v>4573.7719377593994</v>
      </c>
      <c r="W36">
        <f>T36*'1. Cops de calor'!$C$33/30</f>
        <v>365.15497931645103</v>
      </c>
      <c r="X36">
        <f>K36*'1. Cops de calor'!$C$34/30</f>
        <v>228374.99999999997</v>
      </c>
      <c r="Y36">
        <f t="shared" si="7"/>
        <v>233313.92691707582</v>
      </c>
      <c r="Z36" s="849">
        <f>Y36*(Q36+R36)*'A. Dades de partida'!$D$10</f>
        <v>26247816.778171033</v>
      </c>
      <c r="AA36" s="850">
        <f t="shared" si="8"/>
        <v>21615467.842438374</v>
      </c>
      <c r="AB36" t="str">
        <f>VLOOKUP(B36,'BD ASVICC'!$A$6:$BG$316,59,FALSE)</f>
        <v>CENTRAL</v>
      </c>
      <c r="AC36">
        <f t="shared" si="0"/>
        <v>0.5</v>
      </c>
      <c r="AD36">
        <f t="shared" si="1"/>
        <v>0.5</v>
      </c>
    </row>
    <row r="37" spans="1:30">
      <c r="A37">
        <v>8034</v>
      </c>
      <c r="B37" t="s">
        <v>875</v>
      </c>
      <c r="C37" t="s">
        <v>82</v>
      </c>
      <c r="D37">
        <f>VLOOKUP(A37,'temperatures màximes'!$A$4:$U$314,'temperatures màximes'!U$1,FALSE)</f>
        <v>143</v>
      </c>
      <c r="E37">
        <f>VLOOKUP(A37,'nits tropicals'!$A$4:$U$314,'nits tropicals'!U$1,FALSE)</f>
        <v>2</v>
      </c>
      <c r="F37">
        <f t="shared" si="2"/>
        <v>14.3</v>
      </c>
      <c r="G37">
        <f t="shared" si="3"/>
        <v>0.2</v>
      </c>
      <c r="H37" s="840">
        <f>VLOOKUP(B37,'BD ASVICC'!$A$6:$X$316,24,FALSE)/VLOOKUP(C37,'BD Comarcal'!$A$6:$Z$17,26,FALSE)</f>
        <v>5.4650449303536505E-3</v>
      </c>
      <c r="I37" s="839">
        <f>(VLOOKUP(C37,'BD Altres'!$D$74:$H$84,5,FALSE) * 1000 / 12) * H37*0.035</f>
        <v>15.634938002936737</v>
      </c>
      <c r="J37" s="839">
        <f>(VLOOKUP(C37,'BD Altres'!$D$74:$H$84,3,FALSE) / 12) * H37*0.25</f>
        <v>136.68622480166206</v>
      </c>
      <c r="K37">
        <f>(VLOOKUP(B37,'BD ASVICC'!$A$6:$GR$316,199,FALSE) / 12)*0.3</f>
        <v>0.25</v>
      </c>
      <c r="L37" s="846">
        <f>I37*'1. Cops de calor'!$C$32/30</f>
        <v>224.10077804209322</v>
      </c>
      <c r="M37" s="846">
        <f>J37*'1. Cops de calor'!$C$33/30</f>
        <v>683.43112400831023</v>
      </c>
      <c r="N37" s="846">
        <f>K37*'1. Cops de calor'!$C$34*0.25/30</f>
        <v>3937.4999999999995</v>
      </c>
      <c r="O37" s="779">
        <f t="shared" si="4"/>
        <v>70252.96257973084</v>
      </c>
      <c r="P37" s="848">
        <f>O37*'A. Dades de partida'!$D$10</f>
        <v>1053794.4386959625</v>
      </c>
      <c r="Q37">
        <f t="shared" si="5"/>
        <v>21.450000000000003</v>
      </c>
      <c r="R37">
        <f t="shared" si="6"/>
        <v>0.30000000000000004</v>
      </c>
      <c r="S37">
        <f>I37+(I37*'1. Cops de calor'!$C$40)</f>
        <v>16.510494531101195</v>
      </c>
      <c r="T37">
        <f>J37*'1. Cops de calor'!$C$41+J37</f>
        <v>146.93769166178672</v>
      </c>
      <c r="U37">
        <f>'1. Cops de calor'!$C$42*K37+K37</f>
        <v>0.26</v>
      </c>
      <c r="V37">
        <f>S37*'1. Cops de calor'!$C$32/30</f>
        <v>236.65042161245046</v>
      </c>
      <c r="W37">
        <f>T37*'1. Cops de calor'!$C$33/30</f>
        <v>734.6884583089336</v>
      </c>
      <c r="X37">
        <f>K37*'1. Cops de calor'!$C$34/30</f>
        <v>15749.999999999998</v>
      </c>
      <c r="Y37">
        <f t="shared" si="7"/>
        <v>16721.338879921383</v>
      </c>
      <c r="Z37" s="849">
        <f>Y37*(Q37+R37)*'A. Dades de partida'!$D$10</f>
        <v>5455336.8095743516</v>
      </c>
      <c r="AA37" s="850">
        <f t="shared" si="8"/>
        <v>4401542.3708783891</v>
      </c>
      <c r="AB37" t="str">
        <f>VLOOKUP(B37,'BD ASVICC'!$A$6:$BG$316,59,FALSE)</f>
        <v>PREPIRINEU-PIRINEU</v>
      </c>
      <c r="AC37">
        <f t="shared" si="0"/>
        <v>0.5</v>
      </c>
      <c r="AD37">
        <f t="shared" si="1"/>
        <v>0.5</v>
      </c>
    </row>
    <row r="38" spans="1:30">
      <c r="A38">
        <v>8035</v>
      </c>
      <c r="B38" t="s">
        <v>338</v>
      </c>
      <c r="C38" t="s">
        <v>86</v>
      </c>
      <c r="D38">
        <f>VLOOKUP(A38,'temperatures màximes'!$A$4:$U$314,'temperatures màximes'!U$1,FALSE)</f>
        <v>0</v>
      </c>
      <c r="E38">
        <f>VLOOKUP(A38,'nits tropicals'!$A$4:$U$314,'nits tropicals'!U$1,FALSE)</f>
        <v>62</v>
      </c>
      <c r="F38">
        <f t="shared" si="2"/>
        <v>0</v>
      </c>
      <c r="G38">
        <f t="shared" si="3"/>
        <v>6.2</v>
      </c>
      <c r="H38" s="840">
        <f>VLOOKUP(B38,'BD ASVICC'!$A$6:$X$316,24,FALSE)/VLOOKUP(C38,'BD Comarcal'!$A$6:$Z$17,26,FALSE)</f>
        <v>4.1487638871586956E-2</v>
      </c>
      <c r="I38" s="839">
        <f>(VLOOKUP(C38,'BD Altres'!$D$74:$H$84,5,FALSE) * 1000 / 12) * H38*0.035</f>
        <v>96.662959187247509</v>
      </c>
      <c r="J38" s="839">
        <f>(VLOOKUP(C38,'BD Altres'!$D$74:$H$84,3,FALSE) / 12) * H38*0.25</f>
        <v>43.576453657047992</v>
      </c>
      <c r="K38">
        <f>(VLOOKUP(B38,'BD ASVICC'!$A$6:$GR$316,199,FALSE) / 12)*0.3</f>
        <v>5.0750000000000002</v>
      </c>
      <c r="L38" s="846">
        <f>I38*'1. Cops de calor'!$C$32/30</f>
        <v>1385.5024150172142</v>
      </c>
      <c r="M38" s="846">
        <f>J38*'1. Cops de calor'!$C$33/30</f>
        <v>217.88226828523997</v>
      </c>
      <c r="N38" s="846">
        <f>K38*'1. Cops de calor'!$C$34*0.25/30</f>
        <v>79931.25</v>
      </c>
      <c r="O38" s="779">
        <f t="shared" si="4"/>
        <v>505514.73503647523</v>
      </c>
      <c r="P38" s="848">
        <f>O38*'A. Dades de partida'!$D$10</f>
        <v>7582721.0255471282</v>
      </c>
      <c r="Q38">
        <f t="shared" si="5"/>
        <v>0</v>
      </c>
      <c r="R38">
        <f t="shared" si="6"/>
        <v>9.3000000000000007</v>
      </c>
      <c r="S38">
        <f>I38+(I38*'1. Cops de calor'!$C$40)</f>
        <v>102.07608490173337</v>
      </c>
      <c r="T38">
        <f>J38*'1. Cops de calor'!$C$41+J38</f>
        <v>46.84468768132659</v>
      </c>
      <c r="U38">
        <f>'1. Cops de calor'!$C$42*K38+K38</f>
        <v>5.2780000000000005</v>
      </c>
      <c r="V38">
        <f>S38*'1. Cops de calor'!$C$32/30</f>
        <v>1463.0905502581782</v>
      </c>
      <c r="W38">
        <f>T38*'1. Cops de calor'!$C$33/30</f>
        <v>234.22343840663294</v>
      </c>
      <c r="X38">
        <f>K38*'1. Cops de calor'!$C$34/30</f>
        <v>319725</v>
      </c>
      <c r="Y38">
        <f t="shared" si="7"/>
        <v>321422.31398866483</v>
      </c>
      <c r="Z38" s="849">
        <f>Y38*(Q38+R38)*'A. Dades de partida'!$D$10</f>
        <v>44838412.801418751</v>
      </c>
      <c r="AA38" s="850">
        <f t="shared" si="8"/>
        <v>37255691.77587162</v>
      </c>
      <c r="AB38" t="str">
        <f>VLOOKUP(B38,'BD ASVICC'!$A$6:$BG$316,59,FALSE)</f>
        <v>LITORAL</v>
      </c>
      <c r="AC38">
        <f t="shared" si="0"/>
        <v>0.5</v>
      </c>
      <c r="AD38">
        <f t="shared" si="1"/>
        <v>0.5</v>
      </c>
    </row>
    <row r="39" spans="1:30">
      <c r="A39">
        <v>8036</v>
      </c>
      <c r="B39" t="s">
        <v>881</v>
      </c>
      <c r="C39" t="s">
        <v>81</v>
      </c>
      <c r="D39">
        <f>VLOOKUP(A39,'temperatures màximes'!$A$4:$U$314,'temperatures màximes'!U$1,FALSE)</f>
        <v>77</v>
      </c>
      <c r="E39">
        <f>VLOOKUP(A39,'nits tropicals'!$A$4:$U$314,'nits tropicals'!U$1,FALSE)</f>
        <v>2</v>
      </c>
      <c r="F39">
        <f t="shared" si="2"/>
        <v>7.7</v>
      </c>
      <c r="G39">
        <f t="shared" si="3"/>
        <v>0.2</v>
      </c>
      <c r="H39" s="840">
        <f>VLOOKUP(B39,'BD ASVICC'!$A$6:$X$316,24,FALSE)/VLOOKUP(C39,'BD Comarcal'!$A$6:$Z$17,26,FALSE)</f>
        <v>1.6254765795206971E-3</v>
      </c>
      <c r="I39" s="839">
        <f>(VLOOKUP(C39,'BD Altres'!$D$74:$H$84,5,FALSE) * 1000 / 12) * H39*0.035</f>
        <v>1.3559484465484646</v>
      </c>
      <c r="J39" s="839">
        <f>(VLOOKUP(C39,'BD Altres'!$D$74:$H$84,3,FALSE) / 12) * H39*0.25</f>
        <v>0.65484195929595912</v>
      </c>
      <c r="K39">
        <f>(VLOOKUP(B39,'BD ASVICC'!$A$6:$GR$316,199,FALSE) / 12)*0.3</f>
        <v>9.9999999999999992E-2</v>
      </c>
      <c r="L39" s="846">
        <f>I39*'1. Cops de calor'!$C$32/30</f>
        <v>19.435261067194656</v>
      </c>
      <c r="M39" s="846">
        <f>J39*'1. Cops de calor'!$C$33/30</f>
        <v>3.2742097964797954</v>
      </c>
      <c r="N39" s="846">
        <f>K39*'1. Cops de calor'!$C$34*0.25/30</f>
        <v>1574.9999999999998</v>
      </c>
      <c r="O39" s="779">
        <f t="shared" si="4"/>
        <v>12621.904819823027</v>
      </c>
      <c r="P39" s="848">
        <f>O39*'A. Dades de partida'!$D$10</f>
        <v>189328.57229734541</v>
      </c>
      <c r="Q39">
        <f t="shared" si="5"/>
        <v>11.55</v>
      </c>
      <c r="R39">
        <f t="shared" si="6"/>
        <v>0.30000000000000004</v>
      </c>
      <c r="S39">
        <f>I39+(I39*'1. Cops de calor'!$C$40)</f>
        <v>1.4318815595551786</v>
      </c>
      <c r="T39">
        <f>J39*'1. Cops de calor'!$C$41+J39</f>
        <v>0.70395510624315605</v>
      </c>
      <c r="U39">
        <f>'1. Cops de calor'!$C$42*K39+K39</f>
        <v>0.104</v>
      </c>
      <c r="V39">
        <f>S39*'1. Cops de calor'!$C$32/30</f>
        <v>20.523635686957562</v>
      </c>
      <c r="W39">
        <f>T39*'1. Cops de calor'!$C$33/30</f>
        <v>3.5197755312157799</v>
      </c>
      <c r="X39">
        <f>K39*'1. Cops de calor'!$C$34/30</f>
        <v>6299.9999999999991</v>
      </c>
      <c r="Y39">
        <f t="shared" si="7"/>
        <v>6324.0434112181729</v>
      </c>
      <c r="Z39" s="849">
        <f>Y39*(Q39+R39)*'A. Dades de partida'!$D$10</f>
        <v>1124098.7163440303</v>
      </c>
      <c r="AA39" s="850">
        <f t="shared" si="8"/>
        <v>934770.14404668496</v>
      </c>
      <c r="AB39" t="str">
        <f>VLOOKUP(B39,'BD ASVICC'!$A$6:$BG$316,59,FALSE)</f>
        <v>PREPIRINEU-PIRINEU</v>
      </c>
      <c r="AC39">
        <f t="shared" si="0"/>
        <v>0.5</v>
      </c>
      <c r="AD39">
        <f t="shared" si="1"/>
        <v>0.5</v>
      </c>
    </row>
    <row r="40" spans="1:30">
      <c r="A40">
        <v>8037</v>
      </c>
      <c r="B40" t="s">
        <v>886</v>
      </c>
      <c r="C40" t="s">
        <v>88</v>
      </c>
      <c r="D40">
        <f>VLOOKUP(A40,'temperatures màximes'!$A$4:$U$314,'temperatures màximes'!U$1,FALSE)</f>
        <v>83</v>
      </c>
      <c r="E40">
        <f>VLOOKUP(A40,'nits tropicals'!$A$4:$U$314,'nits tropicals'!U$1,FALSE)</f>
        <v>0</v>
      </c>
      <c r="F40">
        <f t="shared" si="2"/>
        <v>8.3000000000000007</v>
      </c>
      <c r="G40">
        <f t="shared" si="3"/>
        <v>0</v>
      </c>
      <c r="H40" s="840">
        <f>VLOOKUP(B40,'BD ASVICC'!$A$6:$X$316,24,FALSE)/VLOOKUP(C40,'BD Comarcal'!$A$6:$Z$17,26,FALSE)</f>
        <v>1.5535752147570371E-2</v>
      </c>
      <c r="I40" s="839">
        <f>(VLOOKUP(C40,'BD Altres'!$D$74:$H$84,5,FALSE) * 1000 / 12) * H40*0.035</f>
        <v>17.286760879202784</v>
      </c>
      <c r="J40" s="839">
        <f>(VLOOKUP(C40,'BD Altres'!$D$74:$H$84,3,FALSE) / 12) * H40*0.25</f>
        <v>11.059189898548583</v>
      </c>
      <c r="K40">
        <f>(VLOOKUP(B40,'BD ASVICC'!$A$6:$GR$316,199,FALSE) / 12)*0.3</f>
        <v>0.32499999999999996</v>
      </c>
      <c r="L40" s="846">
        <f>I40*'1. Cops de calor'!$C$32/30</f>
        <v>247.77690593523991</v>
      </c>
      <c r="M40" s="846">
        <f>J40*'1. Cops de calor'!$C$33/30</f>
        <v>55.295949492742913</v>
      </c>
      <c r="N40" s="846">
        <f>K40*'1. Cops de calor'!$C$34*0.25/30</f>
        <v>5118.7499999999991</v>
      </c>
      <c r="O40" s="779">
        <f t="shared" si="4"/>
        <v>45001.129700052254</v>
      </c>
      <c r="P40" s="848">
        <f>O40*'A. Dades de partida'!$D$10</f>
        <v>675016.94550078386</v>
      </c>
      <c r="Q40">
        <f t="shared" si="5"/>
        <v>12.450000000000001</v>
      </c>
      <c r="R40">
        <f t="shared" si="6"/>
        <v>0</v>
      </c>
      <c r="S40">
        <f>I40+(I40*'1. Cops de calor'!$C$40)</f>
        <v>18.254819488438141</v>
      </c>
      <c r="T40">
        <f>J40*'1. Cops de calor'!$C$41+J40</f>
        <v>11.888629140939727</v>
      </c>
      <c r="U40">
        <f>'1. Cops de calor'!$C$42*K40+K40</f>
        <v>0.33799999999999997</v>
      </c>
      <c r="V40">
        <f>S40*'1. Cops de calor'!$C$32/30</f>
        <v>261.65241266761336</v>
      </c>
      <c r="W40">
        <f>T40*'1. Cops de calor'!$C$33/30</f>
        <v>59.443145704698637</v>
      </c>
      <c r="X40">
        <f>K40*'1. Cops de calor'!$C$34/30</f>
        <v>20474.999999999996</v>
      </c>
      <c r="Y40">
        <f t="shared" si="7"/>
        <v>20796.095558372308</v>
      </c>
      <c r="Z40" s="849">
        <f>Y40*(Q40+R40)*'A. Dades de partida'!$D$10</f>
        <v>3883670.8455260289</v>
      </c>
      <c r="AA40" s="850">
        <f t="shared" si="8"/>
        <v>3208653.9000252448</v>
      </c>
      <c r="AB40" t="str">
        <f>VLOOKUP(B40,'BD ASVICC'!$A$6:$BG$316,59,FALSE)</f>
        <v>CENTRAL</v>
      </c>
      <c r="AC40">
        <f t="shared" si="0"/>
        <v>0.5</v>
      </c>
      <c r="AD40">
        <f t="shared" si="1"/>
        <v>0.5</v>
      </c>
    </row>
    <row r="41" spans="1:30">
      <c r="A41">
        <v>8038</v>
      </c>
      <c r="B41" t="s">
        <v>890</v>
      </c>
      <c r="C41" t="s">
        <v>82</v>
      </c>
      <c r="D41">
        <f>VLOOKUP(A41,'temperatures màximes'!$A$4:$U$314,'temperatures màximes'!U$1,FALSE)</f>
        <v>143</v>
      </c>
      <c r="E41">
        <f>VLOOKUP(A41,'nits tropicals'!$A$4:$U$314,'nits tropicals'!U$1,FALSE)</f>
        <v>2</v>
      </c>
      <c r="F41">
        <f t="shared" si="2"/>
        <v>14.3</v>
      </c>
      <c r="G41">
        <f t="shared" si="3"/>
        <v>0.2</v>
      </c>
      <c r="H41" s="840">
        <f>VLOOKUP(B41,'BD ASVICC'!$A$6:$X$316,24,FALSE)/VLOOKUP(C41,'BD Comarcal'!$A$6:$Z$17,26,FALSE)</f>
        <v>1.1796009886398173E-2</v>
      </c>
      <c r="I41" s="839">
        <f>(VLOOKUP(C41,'BD Altres'!$D$74:$H$84,5,FALSE) * 1000 / 12) * H41*0.035</f>
        <v>33.747185175278979</v>
      </c>
      <c r="J41" s="839">
        <f>(VLOOKUP(C41,'BD Altres'!$D$74:$H$84,3,FALSE) / 12) * H41*0.25</f>
        <v>295.02997315531888</v>
      </c>
      <c r="K41">
        <f>(VLOOKUP(B41,'BD ASVICC'!$A$6:$GR$316,199,FALSE) / 12)*0.3</f>
        <v>0.6</v>
      </c>
      <c r="L41" s="846">
        <f>I41*'1. Cops de calor'!$C$32/30</f>
        <v>483.70965417899868</v>
      </c>
      <c r="M41" s="846">
        <f>J41*'1. Cops de calor'!$C$33/30</f>
        <v>1475.1498657765944</v>
      </c>
      <c r="N41" s="846">
        <f>K41*'1. Cops de calor'!$C$34*0.25/30</f>
        <v>9449.9999999999982</v>
      </c>
      <c r="O41" s="779">
        <f t="shared" si="4"/>
        <v>165428.46303935608</v>
      </c>
      <c r="P41" s="848">
        <f>O41*'A. Dades de partida'!$D$10</f>
        <v>2481426.945590341</v>
      </c>
      <c r="Q41">
        <f t="shared" si="5"/>
        <v>21.450000000000003</v>
      </c>
      <c r="R41">
        <f t="shared" si="6"/>
        <v>0.30000000000000004</v>
      </c>
      <c r="S41">
        <f>I41+(I41*'1. Cops de calor'!$C$40)</f>
        <v>35.637027545094604</v>
      </c>
      <c r="T41">
        <f>J41*'1. Cops de calor'!$C$41+J41</f>
        <v>317.1572211419678</v>
      </c>
      <c r="U41">
        <f>'1. Cops de calor'!$C$42*K41+K41</f>
        <v>0.624</v>
      </c>
      <c r="V41">
        <f>S41*'1. Cops de calor'!$C$32/30</f>
        <v>510.79739481302266</v>
      </c>
      <c r="W41">
        <f>T41*'1. Cops de calor'!$C$33/30</f>
        <v>1585.7861057098389</v>
      </c>
      <c r="X41">
        <f>K41*'1. Cops de calor'!$C$34/30</f>
        <v>37799.999999999993</v>
      </c>
      <c r="Y41">
        <f t="shared" si="7"/>
        <v>39896.583500522851</v>
      </c>
      <c r="Z41" s="849">
        <f>Y41*(Q41+R41)*'A. Dades de partida'!$D$10</f>
        <v>13016260.367045583</v>
      </c>
      <c r="AA41" s="850">
        <f t="shared" si="8"/>
        <v>10534833.421455242</v>
      </c>
      <c r="AB41" t="str">
        <f>VLOOKUP(B41,'BD ASVICC'!$A$6:$BG$316,59,FALSE)</f>
        <v>CENTRAL</v>
      </c>
      <c r="AC41">
        <f t="shared" si="0"/>
        <v>0.5</v>
      </c>
      <c r="AD41">
        <f t="shared" si="1"/>
        <v>0.5</v>
      </c>
    </row>
    <row r="42" spans="1:30">
      <c r="A42">
        <v>8039</v>
      </c>
      <c r="B42" t="s">
        <v>894</v>
      </c>
      <c r="C42" t="s">
        <v>24</v>
      </c>
      <c r="D42">
        <f>VLOOKUP(A42,'temperatures màximes'!$A$4:$U$314,'temperatures màximes'!U$1,FALSE)</f>
        <v>39</v>
      </c>
      <c r="E42">
        <f>VLOOKUP(A42,'nits tropicals'!$A$4:$U$314,'nits tropicals'!U$1,FALSE)</f>
        <v>2</v>
      </c>
      <c r="F42">
        <f t="shared" si="2"/>
        <v>3.9</v>
      </c>
      <c r="G42">
        <f t="shared" si="3"/>
        <v>0.2</v>
      </c>
      <c r="H42" s="840">
        <f>VLOOKUP(B42,'BD ASVICC'!$A$6:$X$316,24,FALSE)/VLOOKUP(C42,'BD Comarcal'!$A$6:$Z$17,26,FALSE)</f>
        <v>1.1710827282739237E-3</v>
      </c>
      <c r="I42" s="839">
        <f>(VLOOKUP(C42,'BD Altres'!$D$74:$H$84,5,FALSE) * 1000 / 12) * H42*0.035</f>
        <v>8.2875554600762076</v>
      </c>
      <c r="J42" s="839">
        <f>(VLOOKUP(C42,'BD Altres'!$D$74:$H$84,3,FALSE) / 12) * H42*0.25</f>
        <v>1.8632100571588688</v>
      </c>
      <c r="K42">
        <f>(VLOOKUP(B42,'BD ASVICC'!$A$6:$GR$316,199,FALSE) / 12)*0.3</f>
        <v>9.9999999999999992E-2</v>
      </c>
      <c r="L42" s="846">
        <f>I42*'1. Cops de calor'!$C$32/30</f>
        <v>118.78829492775897</v>
      </c>
      <c r="M42" s="846">
        <f>J42*'1. Cops de calor'!$C$33/30</f>
        <v>9.3160502857943435</v>
      </c>
      <c r="N42" s="846">
        <f>K42*'1. Cops de calor'!$C$34*0.25/30</f>
        <v>1574.9999999999998</v>
      </c>
      <c r="O42" s="779">
        <f t="shared" si="4"/>
        <v>6982.7278153755678</v>
      </c>
      <c r="P42" s="848">
        <f>O42*'A. Dades de partida'!$D$10</f>
        <v>104740.91723063352</v>
      </c>
      <c r="Q42">
        <f t="shared" si="5"/>
        <v>5.85</v>
      </c>
      <c r="R42">
        <f t="shared" si="6"/>
        <v>0.30000000000000004</v>
      </c>
      <c r="S42">
        <f>I42+(I42*'1. Cops de calor'!$C$40)</f>
        <v>8.7516585658404757</v>
      </c>
      <c r="T42">
        <f>J42*'1. Cops de calor'!$C$41+J42</f>
        <v>2.0029508114457841</v>
      </c>
      <c r="U42">
        <f>'1. Cops de calor'!$C$42*K42+K42</f>
        <v>0.104</v>
      </c>
      <c r="V42">
        <f>S42*'1. Cops de calor'!$C$32/30</f>
        <v>125.44043944371349</v>
      </c>
      <c r="W42">
        <f>T42*'1. Cops de calor'!$C$33/30</f>
        <v>10.01475405722892</v>
      </c>
      <c r="X42">
        <f>K42*'1. Cops de calor'!$C$34/30</f>
        <v>6299.9999999999991</v>
      </c>
      <c r="Y42">
        <f t="shared" si="7"/>
        <v>6435.4551935009413</v>
      </c>
      <c r="Z42" s="849">
        <f>Y42*(Q42+R42)*'A. Dades de partida'!$D$10</f>
        <v>593670.74160046177</v>
      </c>
      <c r="AA42" s="850">
        <f t="shared" si="8"/>
        <v>488929.82436982822</v>
      </c>
      <c r="AB42" t="str">
        <f>VLOOKUP(B42,'BD ASVICC'!$A$6:$BG$316,59,FALSE)</f>
        <v>CENTRAL</v>
      </c>
      <c r="AC42">
        <f t="shared" si="0"/>
        <v>0.5</v>
      </c>
      <c r="AD42">
        <f t="shared" si="1"/>
        <v>0.5</v>
      </c>
    </row>
    <row r="43" spans="1:30">
      <c r="A43">
        <v>8040</v>
      </c>
      <c r="B43" t="s">
        <v>339</v>
      </c>
      <c r="C43" t="s">
        <v>86</v>
      </c>
      <c r="D43">
        <f>VLOOKUP(A43,'temperatures màximes'!$A$4:$U$314,'temperatures màximes'!U$1,FALSE)</f>
        <v>2</v>
      </c>
      <c r="E43">
        <f>VLOOKUP(A43,'nits tropicals'!$A$4:$U$314,'nits tropicals'!U$1,FALSE)</f>
        <v>403</v>
      </c>
      <c r="F43">
        <f t="shared" si="2"/>
        <v>0.2</v>
      </c>
      <c r="G43">
        <f t="shared" si="3"/>
        <v>40.299999999999997</v>
      </c>
      <c r="H43" s="840">
        <f>VLOOKUP(B43,'BD ASVICC'!$A$6:$X$316,24,FALSE)/VLOOKUP(C43,'BD Comarcal'!$A$6:$Z$17,26,FALSE)</f>
        <v>3.2352974485000172E-2</v>
      </c>
      <c r="I43" s="839">
        <f>(VLOOKUP(C43,'BD Altres'!$D$74:$H$84,5,FALSE) * 1000 / 12) * H43*0.035</f>
        <v>75.379904407416248</v>
      </c>
      <c r="J43" s="839">
        <f>(VLOOKUP(C43,'BD Altres'!$D$74:$H$84,3,FALSE) / 12) * H43*0.25</f>
        <v>33.981878257207711</v>
      </c>
      <c r="K43">
        <f>(VLOOKUP(B43,'BD ASVICC'!$A$6:$GR$316,199,FALSE) / 12)*0.3</f>
        <v>3.9749999999999996</v>
      </c>
      <c r="L43" s="846">
        <f>I43*'1. Cops de calor'!$C$32/30</f>
        <v>1080.4452965062997</v>
      </c>
      <c r="M43" s="846">
        <f>J43*'1. Cops de calor'!$C$33/30</f>
        <v>169.90939128603856</v>
      </c>
      <c r="N43" s="846">
        <f>K43*'1. Cops de calor'!$C$34*0.25/30</f>
        <v>62606.249999999985</v>
      </c>
      <c r="O43" s="779">
        <f t="shared" si="4"/>
        <v>2586192.4898555889</v>
      </c>
      <c r="P43" s="848">
        <f>O43*'A. Dades de partida'!$D$10</f>
        <v>38792887.347833835</v>
      </c>
      <c r="Q43">
        <f t="shared" si="5"/>
        <v>0.30000000000000004</v>
      </c>
      <c r="R43">
        <f t="shared" si="6"/>
        <v>60.449999999999996</v>
      </c>
      <c r="S43">
        <f>I43+(I43*'1. Cops de calor'!$C$40)</f>
        <v>79.601179054231551</v>
      </c>
      <c r="T43">
        <f>J43*'1. Cops de calor'!$C$41+J43</f>
        <v>36.530519126498291</v>
      </c>
      <c r="U43">
        <f>'1. Cops de calor'!$C$42*K43+K43</f>
        <v>4.1339999999999995</v>
      </c>
      <c r="V43">
        <f>S43*'1. Cops de calor'!$C$32/30</f>
        <v>1140.9502331106523</v>
      </c>
      <c r="W43">
        <f>T43*'1. Cops de calor'!$C$33/30</f>
        <v>182.65259563249145</v>
      </c>
      <c r="X43">
        <f>K43*'1. Cops de calor'!$C$34/30</f>
        <v>250424.99999999994</v>
      </c>
      <c r="Y43">
        <f t="shared" si="7"/>
        <v>251748.60282874308</v>
      </c>
      <c r="Z43" s="849">
        <f>Y43*(Q43+R43)*'A. Dades de partida'!$D$10</f>
        <v>229405914.32769212</v>
      </c>
      <c r="AA43" s="850">
        <f t="shared" si="8"/>
        <v>190613026.97985828</v>
      </c>
      <c r="AB43" t="str">
        <f>VLOOKUP(B43,'BD ASVICC'!$A$6:$BG$316,59,FALSE)</f>
        <v>LITORAL</v>
      </c>
      <c r="AC43">
        <f t="shared" si="0"/>
        <v>0.5</v>
      </c>
      <c r="AD43">
        <f t="shared" si="1"/>
        <v>0.5</v>
      </c>
    </row>
    <row r="44" spans="1:30">
      <c r="A44">
        <v>8041</v>
      </c>
      <c r="B44" t="s">
        <v>900</v>
      </c>
      <c r="C44" t="s">
        <v>24</v>
      </c>
      <c r="D44">
        <f>VLOOKUP(A44,'temperatures màximes'!$A$4:$U$314,'temperatures màximes'!U$1,FALSE)</f>
        <v>39</v>
      </c>
      <c r="E44">
        <f>VLOOKUP(A44,'nits tropicals'!$A$4:$U$314,'nits tropicals'!U$1,FALSE)</f>
        <v>2</v>
      </c>
      <c r="F44">
        <f t="shared" si="2"/>
        <v>3.9</v>
      </c>
      <c r="G44">
        <f t="shared" si="3"/>
        <v>0.2</v>
      </c>
      <c r="H44" s="840">
        <f>VLOOKUP(B44,'BD ASVICC'!$A$6:$X$316,24,FALSE)/VLOOKUP(C44,'BD Comarcal'!$A$6:$Z$17,26,FALSE)</f>
        <v>3.9709671150003241E-2</v>
      </c>
      <c r="I44" s="839">
        <f>(VLOOKUP(C44,'BD Altres'!$D$74:$H$84,5,FALSE) * 1000 / 12) * H44*0.035</f>
        <v>281.01866248347773</v>
      </c>
      <c r="J44" s="839">
        <f>(VLOOKUP(C44,'BD Altres'!$D$74:$H$84,3,FALSE) / 12) * H44*0.25</f>
        <v>63.178678044555092</v>
      </c>
      <c r="K44">
        <f>(VLOOKUP(B44,'BD ASVICC'!$A$6:$GR$316,199,FALSE) / 12)*0.3</f>
        <v>2.5750000000000002</v>
      </c>
      <c r="L44" s="846">
        <f>I44*'1. Cops de calor'!$C$32/30</f>
        <v>4027.934162263181</v>
      </c>
      <c r="M44" s="846">
        <f>J44*'1. Cops de calor'!$C$33/30</f>
        <v>315.89339022277545</v>
      </c>
      <c r="N44" s="846">
        <f>K44*'1. Cops de calor'!$C$34*0.25/30</f>
        <v>40556.25</v>
      </c>
      <c r="O44" s="779">
        <f t="shared" si="4"/>
        <v>184090.3179651924</v>
      </c>
      <c r="P44" s="848">
        <f>O44*'A. Dades de partida'!$D$10</f>
        <v>2761354.7694778861</v>
      </c>
      <c r="Q44">
        <f t="shared" si="5"/>
        <v>5.85</v>
      </c>
      <c r="R44">
        <f t="shared" si="6"/>
        <v>0.30000000000000004</v>
      </c>
      <c r="S44">
        <f>I44+(I44*'1. Cops de calor'!$C$40)</f>
        <v>296.75570758255247</v>
      </c>
      <c r="T44">
        <f>J44*'1. Cops de calor'!$C$41+J44</f>
        <v>67.917078897896729</v>
      </c>
      <c r="U44">
        <f>'1. Cops de calor'!$C$42*K44+K44</f>
        <v>2.6780000000000004</v>
      </c>
      <c r="V44">
        <f>S44*'1. Cops de calor'!$C$32/30</f>
        <v>4253.4984753499184</v>
      </c>
      <c r="W44">
        <f>T44*'1. Cops de calor'!$C$33/30</f>
        <v>339.58539448948363</v>
      </c>
      <c r="X44">
        <f>K44*'1. Cops de calor'!$C$34/30</f>
        <v>162225</v>
      </c>
      <c r="Y44">
        <f t="shared" si="7"/>
        <v>166818.08386983941</v>
      </c>
      <c r="Z44" s="849">
        <f>Y44*(Q44+R44)*'A. Dades de partida'!$D$10</f>
        <v>15388968.236992683</v>
      </c>
      <c r="AA44" s="850">
        <f t="shared" si="8"/>
        <v>12627613.467514798</v>
      </c>
      <c r="AB44" t="str">
        <f>VLOOKUP(B44,'BD ASVICC'!$A$6:$BG$316,59,FALSE)</f>
        <v>LITORAL</v>
      </c>
      <c r="AC44">
        <f t="shared" si="0"/>
        <v>0.5</v>
      </c>
      <c r="AD44">
        <f t="shared" si="1"/>
        <v>0.5</v>
      </c>
    </row>
    <row r="45" spans="1:30">
      <c r="A45">
        <v>8042</v>
      </c>
      <c r="B45" t="s">
        <v>901</v>
      </c>
      <c r="C45" t="s">
        <v>24</v>
      </c>
      <c r="D45">
        <f>VLOOKUP(A45,'temperatures màximes'!$A$4:$U$314,'temperatures màximes'!U$1,FALSE)</f>
        <v>39</v>
      </c>
      <c r="E45">
        <f>VLOOKUP(A45,'nits tropicals'!$A$4:$U$314,'nits tropicals'!U$1,FALSE)</f>
        <v>2</v>
      </c>
      <c r="F45">
        <f t="shared" si="2"/>
        <v>3.9</v>
      </c>
      <c r="G45">
        <f t="shared" si="3"/>
        <v>0.2</v>
      </c>
      <c r="H45" s="840">
        <f>VLOOKUP(B45,'BD ASVICC'!$A$6:$X$316,24,FALSE)/VLOOKUP(C45,'BD Comarcal'!$A$6:$Z$17,26,FALSE)</f>
        <v>7.1585546347467718E-3</v>
      </c>
      <c r="I45" s="839">
        <f>(VLOOKUP(C45,'BD Altres'!$D$74:$H$84,5,FALSE) * 1000 / 12) * H45*0.035</f>
        <v>50.659886886806255</v>
      </c>
      <c r="J45" s="839">
        <f>(VLOOKUP(C45,'BD Altres'!$D$74:$H$84,3,FALSE) / 12) * H45*0.25</f>
        <v>11.389367008973254</v>
      </c>
      <c r="K45">
        <f>(VLOOKUP(B45,'BD ASVICC'!$A$6:$GR$316,199,FALSE) / 12)*0.3</f>
        <v>0.35000000000000003</v>
      </c>
      <c r="L45" s="846">
        <f>I45*'1. Cops de calor'!$C$32/30</f>
        <v>726.12504537755626</v>
      </c>
      <c r="M45" s="846">
        <f>J45*'1. Cops de calor'!$C$33/30</f>
        <v>56.946835044866269</v>
      </c>
      <c r="N45" s="846">
        <f>K45*'1. Cops de calor'!$C$34*0.25/30</f>
        <v>5512.5</v>
      </c>
      <c r="O45" s="779">
        <f t="shared" si="4"/>
        <v>25811.844709731929</v>
      </c>
      <c r="P45" s="848">
        <f>O45*'A. Dades de partida'!$D$10</f>
        <v>387177.67064597894</v>
      </c>
      <c r="Q45">
        <f t="shared" si="5"/>
        <v>5.85</v>
      </c>
      <c r="R45">
        <f t="shared" si="6"/>
        <v>0.30000000000000004</v>
      </c>
      <c r="S45">
        <f>I45+(I45*'1. Cops de calor'!$C$40)</f>
        <v>53.496840552467404</v>
      </c>
      <c r="T45">
        <f>J45*'1. Cops de calor'!$C$41+J45</f>
        <v>12.243569534646248</v>
      </c>
      <c r="U45">
        <f>'1. Cops de calor'!$C$42*K45+K45</f>
        <v>0.36400000000000005</v>
      </c>
      <c r="V45">
        <f>S45*'1. Cops de calor'!$C$32/30</f>
        <v>766.78804791869936</v>
      </c>
      <c r="W45">
        <f>T45*'1. Cops de calor'!$C$33/30</f>
        <v>61.21784767323124</v>
      </c>
      <c r="X45">
        <f>K45*'1. Cops de calor'!$C$34/30</f>
        <v>22050</v>
      </c>
      <c r="Y45">
        <f t="shared" si="7"/>
        <v>22878.00589559193</v>
      </c>
      <c r="Z45" s="849">
        <f>Y45*(Q45+R45)*'A. Dades de partida'!$D$10</f>
        <v>2110496.0438683555</v>
      </c>
      <c r="AA45" s="850">
        <f t="shared" si="8"/>
        <v>1723318.3732223765</v>
      </c>
      <c r="AB45" t="str">
        <f>VLOOKUP(B45,'BD ASVICC'!$A$6:$BG$316,59,FALSE)</f>
        <v>CENTRAL</v>
      </c>
      <c r="AC45">
        <f t="shared" si="0"/>
        <v>0.5</v>
      </c>
      <c r="AD45">
        <f t="shared" si="1"/>
        <v>0.5</v>
      </c>
    </row>
    <row r="46" spans="1:30">
      <c r="A46">
        <v>8043</v>
      </c>
      <c r="B46" t="s">
        <v>906</v>
      </c>
      <c r="C46" t="s">
        <v>85</v>
      </c>
      <c r="D46">
        <f>VLOOKUP(A46,'temperatures màximes'!$A$4:$U$314,'temperatures màximes'!U$1,FALSE)</f>
        <v>19</v>
      </c>
      <c r="E46">
        <f>VLOOKUP(A46,'nits tropicals'!$A$4:$U$314,'nits tropicals'!U$1,FALSE)</f>
        <v>137</v>
      </c>
      <c r="F46">
        <f t="shared" si="2"/>
        <v>1.9</v>
      </c>
      <c r="G46">
        <f t="shared" si="3"/>
        <v>13.7</v>
      </c>
      <c r="H46" s="840">
        <f>VLOOKUP(B46,'BD ASVICC'!$A$6:$X$316,24,FALSE)/VLOOKUP(C46,'BD Comarcal'!$A$6:$Z$17,26,FALSE)</f>
        <v>3.0004902094283612E-2</v>
      </c>
      <c r="I46" s="839">
        <f>(VLOOKUP(C46,'BD Altres'!$D$74:$H$84,5,FALSE) * 1000 / 12) * H46*0.035</f>
        <v>92.704735136216058</v>
      </c>
      <c r="J46" s="839">
        <f>(VLOOKUP(C46,'BD Altres'!$D$74:$H$84,3,FALSE) / 12) * H46*0.25</f>
        <v>10.628587213739685</v>
      </c>
      <c r="K46">
        <f>(VLOOKUP(B46,'BD ASVICC'!$A$6:$GR$316,199,FALSE) / 12)*0.3</f>
        <v>0.54999999999999993</v>
      </c>
      <c r="L46" s="846">
        <f>I46*'1. Cops de calor'!$C$32/30</f>
        <v>1328.7678702857634</v>
      </c>
      <c r="M46" s="846">
        <f>J46*'1. Cops de calor'!$C$33/30</f>
        <v>53.142936068698425</v>
      </c>
      <c r="N46" s="846">
        <f>K46*'1. Cops de calor'!$C$34*0.25/30</f>
        <v>8662.4999999999982</v>
      </c>
      <c r="O46" s="779">
        <f t="shared" si="4"/>
        <v>156692.80857912955</v>
      </c>
      <c r="P46" s="848">
        <f>O46*'A. Dades de partida'!$D$10</f>
        <v>2350392.1286869431</v>
      </c>
      <c r="Q46">
        <f t="shared" si="5"/>
        <v>2.8499999999999996</v>
      </c>
      <c r="R46">
        <f t="shared" si="6"/>
        <v>20.549999999999997</v>
      </c>
      <c r="S46">
        <f>I46+(I46*'1. Cops de calor'!$C$40)</f>
        <v>97.896200303844154</v>
      </c>
      <c r="T46">
        <f>J46*'1. Cops de calor'!$C$41+J46</f>
        <v>11.425731254770161</v>
      </c>
      <c r="U46">
        <f>'1. Cops de calor'!$C$42*K46+K46</f>
        <v>0.57199999999999995</v>
      </c>
      <c r="V46">
        <f>S46*'1. Cops de calor'!$C$32/30</f>
        <v>1403.1788710217661</v>
      </c>
      <c r="W46">
        <f>T46*'1. Cops de calor'!$C$33/30</f>
        <v>57.128656273850801</v>
      </c>
      <c r="X46">
        <f>K46*'1. Cops de calor'!$C$34/30</f>
        <v>34649.999999999993</v>
      </c>
      <c r="Y46">
        <f t="shared" si="7"/>
        <v>36110.307527295612</v>
      </c>
      <c r="Z46" s="849">
        <f>Y46*(Q46+R46)*'A. Dades de partida'!$D$10</f>
        <v>12674717.942080759</v>
      </c>
      <c r="AA46" s="850">
        <f t="shared" si="8"/>
        <v>10324325.813393816</v>
      </c>
      <c r="AB46" t="str">
        <f>VLOOKUP(B46,'BD ASVICC'!$A$6:$BG$316,59,FALSE)</f>
        <v>LITORAL</v>
      </c>
      <c r="AC46">
        <f t="shared" si="0"/>
        <v>0.5</v>
      </c>
      <c r="AD46">
        <f t="shared" si="1"/>
        <v>0.5</v>
      </c>
    </row>
    <row r="47" spans="1:30">
      <c r="A47">
        <v>8044</v>
      </c>
      <c r="B47" t="s">
        <v>912</v>
      </c>
      <c r="C47" t="s">
        <v>81</v>
      </c>
      <c r="D47">
        <f>VLOOKUP(A47,'temperatures màximes'!$A$4:$U$314,'temperatures màximes'!U$1,FALSE)</f>
        <v>20</v>
      </c>
      <c r="E47">
        <f>VLOOKUP(A47,'nits tropicals'!$A$4:$U$314,'nits tropicals'!U$1,FALSE)</f>
        <v>8</v>
      </c>
      <c r="F47">
        <f t="shared" si="2"/>
        <v>2</v>
      </c>
      <c r="G47">
        <f t="shared" si="3"/>
        <v>0.8</v>
      </c>
      <c r="H47" s="840">
        <f>VLOOKUP(B47,'BD ASVICC'!$A$6:$X$316,24,FALSE)/VLOOKUP(C47,'BD Comarcal'!$A$6:$Z$17,26,FALSE)</f>
        <v>4.448359204793028E-2</v>
      </c>
      <c r="I47" s="839">
        <f>(VLOOKUP(C47,'BD Altres'!$D$74:$H$84,5,FALSE) * 1000 / 12) * H47*0.035</f>
        <v>37.107552513658767</v>
      </c>
      <c r="J47" s="839">
        <f>(VLOOKUP(C47,'BD Altres'!$D$74:$H$84,3,FALSE) / 12) * H47*0.25</f>
        <v>17.920727336334963</v>
      </c>
      <c r="K47">
        <f>(VLOOKUP(B47,'BD ASVICC'!$A$6:$GR$316,199,FALSE) / 12)*0.3</f>
        <v>1.3749999999999998</v>
      </c>
      <c r="L47" s="846">
        <f>I47*'1. Cops de calor'!$C$32/30</f>
        <v>531.87491936244237</v>
      </c>
      <c r="M47" s="846">
        <f>J47*'1. Cops de calor'!$C$33/30</f>
        <v>89.603636681674814</v>
      </c>
      <c r="N47" s="846">
        <f>K47*'1. Cops de calor'!$C$34*0.25/30</f>
        <v>21656.249999999993</v>
      </c>
      <c r="O47" s="779">
        <f t="shared" si="4"/>
        <v>62377.6399569235</v>
      </c>
      <c r="P47" s="848">
        <f>O47*'A. Dades de partida'!$D$10</f>
        <v>935664.59935385245</v>
      </c>
      <c r="Q47">
        <f t="shared" si="5"/>
        <v>3</v>
      </c>
      <c r="R47">
        <f t="shared" si="6"/>
        <v>1.2000000000000002</v>
      </c>
      <c r="S47">
        <f>I47+(I47*'1. Cops de calor'!$C$40)</f>
        <v>39.185575454423656</v>
      </c>
      <c r="T47">
        <f>J47*'1. Cops de calor'!$C$41+J47</f>
        <v>19.264781886560087</v>
      </c>
      <c r="U47">
        <f>'1. Cops de calor'!$C$42*K47+K47</f>
        <v>1.4299999999999997</v>
      </c>
      <c r="V47">
        <f>S47*'1. Cops de calor'!$C$32/30</f>
        <v>561.65991484673907</v>
      </c>
      <c r="W47">
        <f>T47*'1. Cops de calor'!$C$33/30</f>
        <v>96.323909432800434</v>
      </c>
      <c r="X47">
        <f>K47*'1. Cops de calor'!$C$34/30</f>
        <v>86624.999999999971</v>
      </c>
      <c r="Y47">
        <f t="shared" si="7"/>
        <v>87282.983824279509</v>
      </c>
      <c r="Z47" s="849">
        <f>Y47*(Q47+R47)*'A. Dades de partida'!$D$10</f>
        <v>5498827.9809296094</v>
      </c>
      <c r="AA47" s="850">
        <f t="shared" si="8"/>
        <v>4563163.3815757567</v>
      </c>
      <c r="AB47" t="str">
        <f>VLOOKUP(B47,'BD ASVICC'!$A$6:$BG$316,59,FALSE)</f>
        <v>CENTRAL</v>
      </c>
      <c r="AC47">
        <f t="shared" si="0"/>
        <v>0.5</v>
      </c>
      <c r="AD47">
        <f t="shared" si="1"/>
        <v>0.5</v>
      </c>
    </row>
    <row r="48" spans="1:30">
      <c r="A48">
        <v>8045</v>
      </c>
      <c r="B48" t="s">
        <v>916</v>
      </c>
      <c r="C48" t="s">
        <v>84</v>
      </c>
      <c r="D48">
        <f>VLOOKUP(A48,'temperatures màximes'!$A$4:$U$314,'temperatures màximes'!U$1,FALSE)</f>
        <v>0</v>
      </c>
      <c r="E48">
        <f>VLOOKUP(A48,'nits tropicals'!$A$4:$U$314,'nits tropicals'!U$1,FALSE)</f>
        <v>0</v>
      </c>
      <c r="F48">
        <f t="shared" si="2"/>
        <v>0</v>
      </c>
      <c r="G48">
        <f t="shared" si="3"/>
        <v>0</v>
      </c>
      <c r="H48" s="840">
        <f>VLOOKUP(B48,'BD ASVICC'!$A$6:$X$316,24,FALSE)/VLOOKUP(C48,'BD Comarcal'!$A$6:$Z$17,26,FALSE)</f>
        <v>2.373781203736791E-3</v>
      </c>
      <c r="I48" s="839">
        <f>(VLOOKUP(C48,'BD Altres'!$D$74:$H$84,5,FALSE) * 1000 / 12) * H48*0.035</f>
        <v>1.5257599520179612</v>
      </c>
      <c r="J48" s="839">
        <f>(VLOOKUP(C48,'BD Altres'!$D$74:$H$84,3,FALSE) / 12) * H48*0.25</f>
        <v>13.338739671096089</v>
      </c>
      <c r="K48">
        <f>(VLOOKUP(B48,'BD ASVICC'!$A$6:$GR$316,199,FALSE) / 12)*0.3</f>
        <v>0</v>
      </c>
      <c r="L48" s="846">
        <f>I48*'1. Cops de calor'!$C$32/30</f>
        <v>21.869225978924113</v>
      </c>
      <c r="M48" s="846">
        <f>J48*'1. Cops de calor'!$C$33/30</f>
        <v>66.69369835548045</v>
      </c>
      <c r="N48" s="846">
        <f>K48*'1. Cops de calor'!$C$34*0.25/30</f>
        <v>0</v>
      </c>
      <c r="O48" s="779">
        <f t="shared" si="4"/>
        <v>0</v>
      </c>
      <c r="P48" s="848">
        <f>O48*'A. Dades de partida'!$D$10</f>
        <v>0</v>
      </c>
      <c r="Q48">
        <f t="shared" si="5"/>
        <v>0</v>
      </c>
      <c r="R48">
        <f t="shared" si="6"/>
        <v>0</v>
      </c>
      <c r="S48">
        <f>I48+(I48*'1. Cops de calor'!$C$40)</f>
        <v>1.611202509330967</v>
      </c>
      <c r="T48">
        <f>J48*'1. Cops de calor'!$C$41+J48</f>
        <v>14.339145146428296</v>
      </c>
      <c r="U48">
        <f>'1. Cops de calor'!$C$42*K48+K48</f>
        <v>0</v>
      </c>
      <c r="V48">
        <f>S48*'1. Cops de calor'!$C$32/30</f>
        <v>23.093902633743863</v>
      </c>
      <c r="W48">
        <f>T48*'1. Cops de calor'!$C$33/30</f>
        <v>71.695725732141483</v>
      </c>
      <c r="X48">
        <f>K48*'1. Cops de calor'!$C$34/30</f>
        <v>0</v>
      </c>
      <c r="Y48">
        <f t="shared" si="7"/>
        <v>94.789628365885349</v>
      </c>
      <c r="Z48" s="849">
        <f>Y48*(Q48+R48)*'A. Dades de partida'!$D$10</f>
        <v>0</v>
      </c>
      <c r="AA48" s="850">
        <f t="shared" si="8"/>
        <v>0</v>
      </c>
      <c r="AB48" t="str">
        <f>VLOOKUP(B48,'BD ASVICC'!$A$6:$BG$316,59,FALSE)</f>
        <v>PREPIRINEU-PIRINEU</v>
      </c>
      <c r="AC48">
        <f t="shared" si="0"/>
        <v>0.5</v>
      </c>
      <c r="AD48">
        <f t="shared" si="1"/>
        <v>0.5</v>
      </c>
    </row>
    <row r="49" spans="1:30">
      <c r="A49">
        <v>8046</v>
      </c>
      <c r="B49" t="s">
        <v>920</v>
      </c>
      <c r="C49" t="s">
        <v>24</v>
      </c>
      <c r="D49">
        <f>VLOOKUP(A49,'temperatures màximes'!$A$4:$U$314,'temperatures màximes'!U$1,FALSE)</f>
        <v>39</v>
      </c>
      <c r="E49">
        <f>VLOOKUP(A49,'nits tropicals'!$A$4:$U$314,'nits tropicals'!U$1,FALSE)</f>
        <v>2</v>
      </c>
      <c r="F49">
        <f t="shared" si="2"/>
        <v>3.9</v>
      </c>
      <c r="G49">
        <f t="shared" si="3"/>
        <v>0.2</v>
      </c>
      <c r="H49" s="840">
        <f>VLOOKUP(B49,'BD ASVICC'!$A$6:$X$316,24,FALSE)/VLOOKUP(C49,'BD Comarcal'!$A$6:$Z$17,26,FALSE)</f>
        <v>4.5243659957442353E-2</v>
      </c>
      <c r="I49" s="839">
        <f>(VLOOKUP(C49,'BD Altres'!$D$74:$H$84,5,FALSE) * 1000 / 12) * H49*0.035</f>
        <v>320.18177030651862</v>
      </c>
      <c r="J49" s="839">
        <f>(VLOOKUP(C49,'BD Altres'!$D$74:$H$84,3,FALSE) / 12) * H49*0.25</f>
        <v>71.983336633810083</v>
      </c>
      <c r="K49">
        <f>(VLOOKUP(B49,'BD ASVICC'!$A$6:$GR$316,199,FALSE) / 12)*0.3</f>
        <v>2.6999999999999997</v>
      </c>
      <c r="L49" s="846">
        <f>I49*'1. Cops de calor'!$C$32/30</f>
        <v>4589.2720410601005</v>
      </c>
      <c r="M49" s="846">
        <f>J49*'1. Cops de calor'!$C$33/30</f>
        <v>359.91668316905037</v>
      </c>
      <c r="N49" s="846">
        <f>K49*'1. Cops de calor'!$C$34*0.25/30</f>
        <v>42524.999999999993</v>
      </c>
      <c r="O49" s="779">
        <f t="shared" si="4"/>
        <v>194644.17376933945</v>
      </c>
      <c r="P49" s="848">
        <f>O49*'A. Dades de partida'!$D$10</f>
        <v>2919662.6065400918</v>
      </c>
      <c r="Q49">
        <f t="shared" si="5"/>
        <v>5.85</v>
      </c>
      <c r="R49">
        <f t="shared" si="6"/>
        <v>0.30000000000000004</v>
      </c>
      <c r="S49">
        <f>I49+(I49*'1. Cops de calor'!$C$40)</f>
        <v>338.11194944368367</v>
      </c>
      <c r="T49">
        <f>J49*'1. Cops de calor'!$C$41+J49</f>
        <v>77.382086881345842</v>
      </c>
      <c r="U49">
        <f>'1. Cops de calor'!$C$42*K49+K49</f>
        <v>2.8079999999999998</v>
      </c>
      <c r="V49">
        <f>S49*'1. Cops de calor'!$C$32/30</f>
        <v>4846.271275359466</v>
      </c>
      <c r="W49">
        <f>T49*'1. Cops de calor'!$C$33/30</f>
        <v>386.91043440672922</v>
      </c>
      <c r="X49">
        <f>K49*'1. Cops de calor'!$C$34/30</f>
        <v>170099.99999999997</v>
      </c>
      <c r="Y49">
        <f t="shared" si="7"/>
        <v>175333.18170976616</v>
      </c>
      <c r="Z49" s="849">
        <f>Y49*(Q49+R49)*'A. Dades de partida'!$D$10</f>
        <v>16174486.012725925</v>
      </c>
      <c r="AA49" s="850">
        <f t="shared" si="8"/>
        <v>13254823.406185834</v>
      </c>
      <c r="AB49" t="str">
        <f>VLOOKUP(B49,'BD ASVICC'!$A$6:$BG$316,59,FALSE)</f>
        <v>CENTRAL</v>
      </c>
      <c r="AC49">
        <f t="shared" si="0"/>
        <v>0.5</v>
      </c>
      <c r="AD49">
        <f t="shared" si="1"/>
        <v>0.5</v>
      </c>
    </row>
    <row r="50" spans="1:30">
      <c r="A50">
        <v>8047</v>
      </c>
      <c r="B50" t="s">
        <v>924</v>
      </c>
      <c r="C50" t="s">
        <v>82</v>
      </c>
      <c r="D50">
        <f>VLOOKUP(A50,'temperatures màximes'!$A$4:$U$314,'temperatures màximes'!U$1,FALSE)</f>
        <v>70</v>
      </c>
      <c r="E50">
        <f>VLOOKUP(A50,'nits tropicals'!$A$4:$U$314,'nits tropicals'!U$1,FALSE)</f>
        <v>3</v>
      </c>
      <c r="F50">
        <f t="shared" si="2"/>
        <v>7</v>
      </c>
      <c r="G50">
        <f t="shared" si="3"/>
        <v>0.3</v>
      </c>
      <c r="H50" s="840">
        <f>VLOOKUP(B50,'BD ASVICC'!$A$6:$X$316,24,FALSE)/VLOOKUP(C50,'BD Comarcal'!$A$6:$Z$17,26,FALSE)</f>
        <v>2.7382570348833877E-2</v>
      </c>
      <c r="I50" s="839">
        <f>(VLOOKUP(C50,'BD Altres'!$D$74:$H$84,5,FALSE) * 1000 / 12) * H50*0.035</f>
        <v>78.338750224578106</v>
      </c>
      <c r="J50" s="839">
        <f>(VLOOKUP(C50,'BD Altres'!$D$74:$H$84,3,FALSE) / 12) * H50*0.25</f>
        <v>684.86539709122405</v>
      </c>
      <c r="K50">
        <f>(VLOOKUP(B50,'BD ASVICC'!$A$6:$GR$316,199,FALSE) / 12)*0.3</f>
        <v>1.7750000000000001</v>
      </c>
      <c r="L50" s="846">
        <f>I50*'1. Cops de calor'!$C$32/30</f>
        <v>1122.8554198856195</v>
      </c>
      <c r="M50" s="846">
        <f>J50*'1. Cops de calor'!$C$33/30</f>
        <v>3424.3269854561204</v>
      </c>
      <c r="N50" s="846">
        <f>K50*'1. Cops de calor'!$C$34*0.25/30</f>
        <v>27956.25</v>
      </c>
      <c r="O50" s="779">
        <f t="shared" si="4"/>
        <v>237275.05655899469</v>
      </c>
      <c r="P50" s="848">
        <f>O50*'A. Dades de partida'!$D$10</f>
        <v>3559125.8483849205</v>
      </c>
      <c r="Q50">
        <f t="shared" si="5"/>
        <v>10.5</v>
      </c>
      <c r="R50">
        <f t="shared" si="6"/>
        <v>0.44999999999999996</v>
      </c>
      <c r="S50">
        <f>I50+(I50*'1. Cops de calor'!$C$40)</f>
        <v>82.725720237154476</v>
      </c>
      <c r="T50">
        <f>J50*'1. Cops de calor'!$C$41+J50</f>
        <v>736.23030187306586</v>
      </c>
      <c r="U50">
        <f>'1. Cops de calor'!$C$42*K50+K50</f>
        <v>1.8460000000000001</v>
      </c>
      <c r="V50">
        <f>S50*'1. Cops de calor'!$C$32/30</f>
        <v>1185.7353233992142</v>
      </c>
      <c r="W50">
        <f>T50*'1. Cops de calor'!$C$33/30</f>
        <v>3681.1515093653293</v>
      </c>
      <c r="X50">
        <f>K50*'1. Cops de calor'!$C$34/30</f>
        <v>111825</v>
      </c>
      <c r="Y50">
        <f t="shared" si="7"/>
        <v>116691.88683276455</v>
      </c>
      <c r="Z50" s="849">
        <f>Y50*(Q50+R50)*'A. Dades de partida'!$D$10</f>
        <v>19166642.412281577</v>
      </c>
      <c r="AA50" s="850">
        <f t="shared" si="8"/>
        <v>15607516.563896656</v>
      </c>
      <c r="AB50" t="str">
        <f>VLOOKUP(B50,'BD ASVICC'!$A$6:$BG$316,59,FALSE)</f>
        <v>CENTRAL</v>
      </c>
      <c r="AC50">
        <f t="shared" si="0"/>
        <v>0.5</v>
      </c>
      <c r="AD50">
        <f t="shared" si="1"/>
        <v>0.5</v>
      </c>
    </row>
    <row r="51" spans="1:30">
      <c r="A51">
        <v>8048</v>
      </c>
      <c r="B51" t="s">
        <v>929</v>
      </c>
      <c r="C51" t="s">
        <v>81</v>
      </c>
      <c r="D51">
        <f>VLOOKUP(A51,'temperatures màximes'!$A$4:$U$314,'temperatures màximes'!U$1,FALSE)</f>
        <v>20</v>
      </c>
      <c r="E51">
        <f>VLOOKUP(A51,'nits tropicals'!$A$4:$U$314,'nits tropicals'!U$1,FALSE)</f>
        <v>8</v>
      </c>
      <c r="F51">
        <f t="shared" si="2"/>
        <v>2</v>
      </c>
      <c r="G51">
        <f t="shared" si="3"/>
        <v>0.8</v>
      </c>
      <c r="H51" s="840">
        <f>VLOOKUP(B51,'BD ASVICC'!$A$6:$X$316,24,FALSE)/VLOOKUP(C51,'BD Comarcal'!$A$6:$Z$17,26,FALSE)</f>
        <v>6.7316857298474943E-3</v>
      </c>
      <c r="I51" s="839">
        <f>(VLOOKUP(C51,'BD Altres'!$D$74:$H$84,5,FALSE) * 1000 / 12) * H51*0.035</f>
        <v>5.615472362407516</v>
      </c>
      <c r="J51" s="839">
        <f>(VLOOKUP(C51,'BD Altres'!$D$74:$H$84,3,FALSE) / 12) * H51*0.25</f>
        <v>2.7119371193879771</v>
      </c>
      <c r="K51">
        <f>(VLOOKUP(B51,'BD ASVICC'!$A$6:$GR$316,199,FALSE) / 12)*0.3</f>
        <v>0.15</v>
      </c>
      <c r="L51" s="846">
        <f>I51*'1. Cops de calor'!$C$32/30</f>
        <v>80.488437194507725</v>
      </c>
      <c r="M51" s="846">
        <f>J51*'1. Cops de calor'!$C$33/30</f>
        <v>13.559685596939886</v>
      </c>
      <c r="N51" s="846">
        <f>K51*'1. Cops de calor'!$C$34*0.25/30</f>
        <v>2362.4999999999995</v>
      </c>
      <c r="O51" s="779">
        <f t="shared" si="4"/>
        <v>6878.3347438160508</v>
      </c>
      <c r="P51" s="848">
        <f>O51*'A. Dades de partida'!$D$10</f>
        <v>103175.02115724076</v>
      </c>
      <c r="Q51">
        <f t="shared" si="5"/>
        <v>3</v>
      </c>
      <c r="R51">
        <f t="shared" si="6"/>
        <v>1.2000000000000002</v>
      </c>
      <c r="S51">
        <f>I51+(I51*'1. Cops de calor'!$C$40)</f>
        <v>5.9299388147023366</v>
      </c>
      <c r="T51">
        <f>J51*'1. Cops de calor'!$C$41+J51</f>
        <v>2.9153324033420756</v>
      </c>
      <c r="U51">
        <f>'1. Cops de calor'!$C$42*K51+K51</f>
        <v>0.156</v>
      </c>
      <c r="V51">
        <f>S51*'1. Cops de calor'!$C$32/30</f>
        <v>84.995789677400154</v>
      </c>
      <c r="W51">
        <f>T51*'1. Cops de calor'!$C$33/30</f>
        <v>14.576662016710378</v>
      </c>
      <c r="X51">
        <f>K51*'1. Cops de calor'!$C$34/30</f>
        <v>9449.9999999999982</v>
      </c>
      <c r="Y51">
        <f t="shared" si="7"/>
        <v>9549.5724516941082</v>
      </c>
      <c r="Z51" s="849">
        <f>Y51*(Q51+R51)*'A. Dades de partida'!$D$10</f>
        <v>601623.06445672887</v>
      </c>
      <c r="AA51" s="850">
        <f t="shared" si="8"/>
        <v>498448.04329948814</v>
      </c>
      <c r="AB51" t="str">
        <f>VLOOKUP(B51,'BD ASVICC'!$A$6:$BG$316,59,FALSE)</f>
        <v>CENTRAL</v>
      </c>
      <c r="AC51">
        <f t="shared" si="0"/>
        <v>0.5</v>
      </c>
      <c r="AD51">
        <f t="shared" si="1"/>
        <v>0.5</v>
      </c>
    </row>
    <row r="52" spans="1:30">
      <c r="A52">
        <v>8049</v>
      </c>
      <c r="B52" t="s">
        <v>934</v>
      </c>
      <c r="C52" t="s">
        <v>84</v>
      </c>
      <c r="D52">
        <f>VLOOKUP(A52,'temperatures màximes'!$A$4:$U$314,'temperatures màximes'!U$1,FALSE)</f>
        <v>11</v>
      </c>
      <c r="E52">
        <f>VLOOKUP(A52,'nits tropicals'!$A$4:$U$314,'nits tropicals'!U$1,FALSE)</f>
        <v>0</v>
      </c>
      <c r="F52">
        <f t="shared" si="2"/>
        <v>1.1000000000000001</v>
      </c>
      <c r="G52">
        <f t="shared" si="3"/>
        <v>0</v>
      </c>
      <c r="H52" s="840">
        <f>VLOOKUP(B52,'BD ASVICC'!$A$6:$X$316,24,FALSE)/VLOOKUP(C52,'BD Comarcal'!$A$6:$Z$17,26,FALSE)</f>
        <v>3.9001480422686204E-2</v>
      </c>
      <c r="I52" s="839">
        <f>(VLOOKUP(C52,'BD Altres'!$D$74:$H$84,5,FALSE) * 1000 / 12) * H52*0.035</f>
        <v>25.068400071865</v>
      </c>
      <c r="J52" s="839">
        <f>(VLOOKUP(C52,'BD Altres'!$D$74:$H$84,3,FALSE) / 12) * H52*0.25</f>
        <v>219.15692706919168</v>
      </c>
      <c r="K52">
        <f>(VLOOKUP(B52,'BD ASVICC'!$A$6:$GR$316,199,FALSE) / 12)*0.3</f>
        <v>0.54999999999999993</v>
      </c>
      <c r="L52" s="846">
        <f>I52*'1. Cops de calor'!$C$32/30</f>
        <v>359.31373436339828</v>
      </c>
      <c r="M52" s="846">
        <f>J52*'1. Cops de calor'!$C$33/30</f>
        <v>1095.7846353459583</v>
      </c>
      <c r="N52" s="846">
        <f>K52*'1. Cops de calor'!$C$34*0.25/30</f>
        <v>8662.4999999999982</v>
      </c>
      <c r="O52" s="779">
        <f t="shared" si="4"/>
        <v>11129.35820668029</v>
      </c>
      <c r="P52" s="848">
        <f>O52*'A. Dades de partida'!$D$10</f>
        <v>166940.37310020436</v>
      </c>
      <c r="Q52">
        <f t="shared" si="5"/>
        <v>1.6500000000000001</v>
      </c>
      <c r="R52">
        <f t="shared" si="6"/>
        <v>0</v>
      </c>
      <c r="S52">
        <f>I52+(I52*'1. Cops de calor'!$C$40)</f>
        <v>26.47223047588944</v>
      </c>
      <c r="T52">
        <f>J52*'1. Cops de calor'!$C$41+J52</f>
        <v>235.59369659938105</v>
      </c>
      <c r="U52">
        <f>'1. Cops de calor'!$C$42*K52+K52</f>
        <v>0.57199999999999995</v>
      </c>
      <c r="V52">
        <f>S52*'1. Cops de calor'!$C$32/30</f>
        <v>379.43530348774863</v>
      </c>
      <c r="W52">
        <f>T52*'1. Cops de calor'!$C$33/30</f>
        <v>1177.9684829969051</v>
      </c>
      <c r="X52">
        <f>K52*'1. Cops de calor'!$C$34/30</f>
        <v>34649.999999999993</v>
      </c>
      <c r="Y52">
        <f t="shared" si="7"/>
        <v>36207.403786484647</v>
      </c>
      <c r="Z52" s="849">
        <f>Y52*(Q52+R52)*'A. Dades de partida'!$D$10</f>
        <v>896133.2437154951</v>
      </c>
      <c r="AA52" s="850">
        <f t="shared" si="8"/>
        <v>729192.87061529071</v>
      </c>
      <c r="AB52" t="str">
        <f>VLOOKUP(B52,'BD ASVICC'!$A$6:$BG$316,59,FALSE)</f>
        <v>PREPIRINEU-PIRINEU</v>
      </c>
      <c r="AC52">
        <f t="shared" si="0"/>
        <v>0.5</v>
      </c>
      <c r="AD52">
        <f t="shared" si="1"/>
        <v>0.5</v>
      </c>
    </row>
    <row r="53" spans="1:30">
      <c r="A53">
        <v>8050</v>
      </c>
      <c r="B53" t="s">
        <v>942</v>
      </c>
      <c r="C53" t="s">
        <v>84</v>
      </c>
      <c r="D53">
        <f>VLOOKUP(A53,'temperatures màximes'!$A$4:$U$314,'temperatures màximes'!U$1,FALSE)</f>
        <v>17</v>
      </c>
      <c r="E53">
        <f>VLOOKUP(A53,'nits tropicals'!$A$4:$U$314,'nits tropicals'!U$1,FALSE)</f>
        <v>3</v>
      </c>
      <c r="F53">
        <f t="shared" si="2"/>
        <v>1.7</v>
      </c>
      <c r="G53">
        <f t="shared" si="3"/>
        <v>0.3</v>
      </c>
      <c r="H53" s="840">
        <f>VLOOKUP(B53,'BD ASVICC'!$A$6:$X$316,24,FALSE)/VLOOKUP(C53,'BD Comarcal'!$A$6:$Z$17,26,FALSE)</f>
        <v>4.4923171167491963E-3</v>
      </c>
      <c r="I53" s="839">
        <f>(VLOOKUP(C53,'BD Altres'!$D$74:$H$84,5,FALSE) * 1000 / 12) * H53*0.035</f>
        <v>2.8874596941415183</v>
      </c>
      <c r="J53" s="839">
        <f>(VLOOKUP(C53,'BD Altres'!$D$74:$H$84,3,FALSE) / 12) * H53*0.25</f>
        <v>25.243206259278622</v>
      </c>
      <c r="K53">
        <f>(VLOOKUP(B53,'BD ASVICC'!$A$6:$GR$316,199,FALSE) / 12)*0.3</f>
        <v>2.4999999999999998E-2</v>
      </c>
      <c r="L53" s="846">
        <f>I53*'1. Cops de calor'!$C$32/30</f>
        <v>41.386922282695096</v>
      </c>
      <c r="M53" s="846">
        <f>J53*'1. Cops de calor'!$C$33/30</f>
        <v>126.21603129639311</v>
      </c>
      <c r="N53" s="846">
        <f>K53*'1. Cops de calor'!$C$34*0.25/30</f>
        <v>393.74999999999994</v>
      </c>
      <c r="O53" s="779">
        <f t="shared" si="4"/>
        <v>1122.7059071581762</v>
      </c>
      <c r="P53" s="848">
        <f>O53*'A. Dades de partida'!$D$10</f>
        <v>16840.588607372643</v>
      </c>
      <c r="Q53">
        <f t="shared" si="5"/>
        <v>2.5499999999999998</v>
      </c>
      <c r="R53">
        <f t="shared" si="6"/>
        <v>0.44999999999999996</v>
      </c>
      <c r="S53">
        <f>I53+(I53*'1. Cops de calor'!$C$40)</f>
        <v>3.0491574370134433</v>
      </c>
      <c r="T53">
        <f>J53*'1. Cops de calor'!$C$41+J53</f>
        <v>27.136446728724518</v>
      </c>
      <c r="U53">
        <f>'1. Cops de calor'!$C$42*K53+K53</f>
        <v>2.5999999999999999E-2</v>
      </c>
      <c r="V53">
        <f>S53*'1. Cops de calor'!$C$32/30</f>
        <v>43.704589930526019</v>
      </c>
      <c r="W53">
        <f>T53*'1. Cops de calor'!$C$33/30</f>
        <v>135.6822336436226</v>
      </c>
      <c r="X53">
        <f>K53*'1. Cops de calor'!$C$34/30</f>
        <v>1574.9999999999998</v>
      </c>
      <c r="Y53">
        <f t="shared" si="7"/>
        <v>1754.3868235741484</v>
      </c>
      <c r="Z53" s="849">
        <f>Y53*(Q53+R53)*'A. Dades de partida'!$D$10</f>
        <v>78947.407060836675</v>
      </c>
      <c r="AA53" s="850">
        <f t="shared" si="8"/>
        <v>62106.818453464031</v>
      </c>
      <c r="AB53" t="str">
        <f>VLOOKUP(B53,'BD ASVICC'!$A$6:$BG$316,59,FALSE)</f>
        <v>PREPIRINEU-PIRINEU</v>
      </c>
      <c r="AC53">
        <f t="shared" si="0"/>
        <v>0.5</v>
      </c>
      <c r="AD53">
        <f t="shared" si="1"/>
        <v>0.5</v>
      </c>
    </row>
    <row r="54" spans="1:30">
      <c r="A54">
        <v>8051</v>
      </c>
      <c r="B54" t="s">
        <v>944</v>
      </c>
      <c r="C54" t="s">
        <v>89</v>
      </c>
      <c r="D54">
        <f>VLOOKUP(A54,'temperatures màximes'!$A$4:$U$314,'temperatures màximes'!U$1,FALSE)</f>
        <v>37</v>
      </c>
      <c r="E54">
        <f>VLOOKUP(A54,'nits tropicals'!$A$4:$U$314,'nits tropicals'!U$1,FALSE)</f>
        <v>39</v>
      </c>
      <c r="F54">
        <f t="shared" si="2"/>
        <v>3.7</v>
      </c>
      <c r="G54">
        <f t="shared" si="3"/>
        <v>3.9</v>
      </c>
      <c r="H54" s="840">
        <f>VLOOKUP(B54,'BD ASVICC'!$A$6:$X$316,24,FALSE)/VLOOKUP(C54,'BD Comarcal'!$A$6:$Z$17,26,FALSE)</f>
        <v>2.613576041758825E-2</v>
      </c>
      <c r="I54" s="839">
        <f>(VLOOKUP(C54,'BD Altres'!$D$74:$H$84,5,FALSE) * 1000 / 12) * H54*0.035</f>
        <v>105.80633354757244</v>
      </c>
      <c r="J54" s="839">
        <f>(VLOOKUP(C54,'BD Altres'!$D$74:$H$84,3,FALSE) / 12) * H54*0.25</f>
        <v>46.443269125624965</v>
      </c>
      <c r="K54">
        <f>(VLOOKUP(B54,'BD ASVICC'!$A$6:$GR$316,199,FALSE) / 12)*0.3</f>
        <v>3.375</v>
      </c>
      <c r="L54" s="846">
        <f>I54*'1. Cops de calor'!$C$32/30</f>
        <v>1516.557447515205</v>
      </c>
      <c r="M54" s="846">
        <f>J54*'1. Cops de calor'!$C$33/30</f>
        <v>232.2163456281248</v>
      </c>
      <c r="N54" s="846">
        <f>K54*'1. Cops de calor'!$C$34*0.25/30</f>
        <v>53156.249999999993</v>
      </c>
      <c r="O54" s="779">
        <f t="shared" si="4"/>
        <v>417278.18082788924</v>
      </c>
      <c r="P54" s="848">
        <f>O54*'A. Dades de partida'!$D$10</f>
        <v>6259172.7124183383</v>
      </c>
      <c r="Q54">
        <f t="shared" si="5"/>
        <v>5.5500000000000007</v>
      </c>
      <c r="R54">
        <f t="shared" si="6"/>
        <v>5.85</v>
      </c>
      <c r="S54">
        <f>I54+(I54*'1. Cops de calor'!$C$40)</f>
        <v>111.73148822623649</v>
      </c>
      <c r="T54">
        <f>J54*'1. Cops de calor'!$C$41+J54</f>
        <v>49.926514310046841</v>
      </c>
      <c r="U54">
        <f>'1. Cops de calor'!$C$42*K54+K54</f>
        <v>3.51</v>
      </c>
      <c r="V54">
        <f>S54*'1. Cops de calor'!$C$32/30</f>
        <v>1601.4846645760563</v>
      </c>
      <c r="W54">
        <f>T54*'1. Cops de calor'!$C$33/30</f>
        <v>249.63257155023422</v>
      </c>
      <c r="X54">
        <f>K54*'1. Cops de calor'!$C$34/30</f>
        <v>212624.99999999997</v>
      </c>
      <c r="Y54">
        <f t="shared" si="7"/>
        <v>214476.11723612627</v>
      </c>
      <c r="Z54" s="849">
        <f>Y54*(Q54+R54)*'A. Dades de partida'!$D$10</f>
        <v>36675416.047377594</v>
      </c>
      <c r="AA54" s="850">
        <f t="shared" si="8"/>
        <v>30416243.334959254</v>
      </c>
      <c r="AB54" t="str">
        <f>VLOOKUP(B54,'BD ASVICC'!$A$6:$BG$316,59,FALSE)</f>
        <v>CENTRAL</v>
      </c>
      <c r="AC54">
        <f t="shared" si="0"/>
        <v>0.5</v>
      </c>
      <c r="AD54">
        <f t="shared" si="1"/>
        <v>0.5</v>
      </c>
    </row>
    <row r="55" spans="1:30">
      <c r="A55">
        <v>8052</v>
      </c>
      <c r="B55" t="s">
        <v>951</v>
      </c>
      <c r="C55" t="s">
        <v>84</v>
      </c>
      <c r="D55">
        <f>VLOOKUP(A55,'temperatures màximes'!$A$4:$U$314,'temperatures màximes'!U$1,FALSE)</f>
        <v>11</v>
      </c>
      <c r="E55">
        <f>VLOOKUP(A55,'nits tropicals'!$A$4:$U$314,'nits tropicals'!U$1,FALSE)</f>
        <v>0</v>
      </c>
      <c r="F55">
        <f t="shared" si="2"/>
        <v>1.1000000000000001</v>
      </c>
      <c r="G55">
        <f t="shared" si="3"/>
        <v>0</v>
      </c>
      <c r="H55" s="840">
        <f>VLOOKUP(B55,'BD ASVICC'!$A$6:$X$316,24,FALSE)/VLOOKUP(C55,'BD Comarcal'!$A$6:$Z$17,26,FALSE)</f>
        <v>4.0073510643728622E-3</v>
      </c>
      <c r="I55" s="839">
        <f>(VLOOKUP(C55,'BD Altres'!$D$74:$H$84,5,FALSE) * 1000 / 12) * H55*0.035</f>
        <v>2.5757452953421498</v>
      </c>
      <c r="J55" s="839">
        <f>(VLOOKUP(C55,'BD Altres'!$D$74:$H$84,3,FALSE) / 12) * H55*0.25</f>
        <v>22.518087401742861</v>
      </c>
      <c r="K55">
        <f>(VLOOKUP(B55,'BD ASVICC'!$A$6:$GR$316,199,FALSE) / 12)*0.3</f>
        <v>9.9999999999999992E-2</v>
      </c>
      <c r="L55" s="846">
        <f>I55*'1. Cops de calor'!$C$32/30</f>
        <v>36.919015899904146</v>
      </c>
      <c r="M55" s="846">
        <f>J55*'1. Cops de calor'!$C$33/30</f>
        <v>112.5904370087143</v>
      </c>
      <c r="N55" s="846">
        <f>K55*'1. Cops de calor'!$C$34*0.25/30</f>
        <v>1574.9999999999998</v>
      </c>
      <c r="O55" s="779">
        <f t="shared" si="4"/>
        <v>1896.9603981994801</v>
      </c>
      <c r="P55" s="848">
        <f>O55*'A. Dades de partida'!$D$10</f>
        <v>28454.405972992201</v>
      </c>
      <c r="Q55">
        <f t="shared" si="5"/>
        <v>1.6500000000000001</v>
      </c>
      <c r="R55">
        <f t="shared" si="6"/>
        <v>0</v>
      </c>
      <c r="S55">
        <f>I55+(I55*'1. Cops de calor'!$C$40)</f>
        <v>2.7199870318813102</v>
      </c>
      <c r="T55">
        <f>J55*'1. Cops de calor'!$C$41+J55</f>
        <v>24.206943956873577</v>
      </c>
      <c r="U55">
        <f>'1. Cops de calor'!$C$42*K55+K55</f>
        <v>0.104</v>
      </c>
      <c r="V55">
        <f>S55*'1. Cops de calor'!$C$32/30</f>
        <v>38.986480790298778</v>
      </c>
      <c r="W55">
        <f>T55*'1. Cops de calor'!$C$33/30</f>
        <v>121.03471978436788</v>
      </c>
      <c r="X55">
        <f>K55*'1. Cops de calor'!$C$34/30</f>
        <v>6299.9999999999991</v>
      </c>
      <c r="Y55">
        <f t="shared" si="7"/>
        <v>6460.0212005746662</v>
      </c>
      <c r="Z55" s="849">
        <f>Y55*(Q55+R55)*'A. Dades de partida'!$D$10</f>
        <v>159885.52471422299</v>
      </c>
      <c r="AA55" s="850">
        <f t="shared" si="8"/>
        <v>131431.11874123081</v>
      </c>
      <c r="AB55" t="str">
        <f>VLOOKUP(B55,'BD ASVICC'!$A$6:$BG$316,59,FALSE)</f>
        <v>PREPIRINEU-PIRINEU</v>
      </c>
      <c r="AC55">
        <f t="shared" si="0"/>
        <v>0.5</v>
      </c>
      <c r="AD55">
        <f t="shared" si="1"/>
        <v>0.5</v>
      </c>
    </row>
    <row r="56" spans="1:30">
      <c r="A56">
        <v>8053</v>
      </c>
      <c r="B56" t="s">
        <v>958</v>
      </c>
      <c r="C56" t="s">
        <v>82</v>
      </c>
      <c r="D56">
        <f>VLOOKUP(A56,'temperatures màximes'!$A$4:$U$314,'temperatures màximes'!U$1,FALSE)</f>
        <v>138</v>
      </c>
      <c r="E56">
        <f>VLOOKUP(A56,'nits tropicals'!$A$4:$U$314,'nits tropicals'!U$1,FALSE)</f>
        <v>5</v>
      </c>
      <c r="F56">
        <f t="shared" si="2"/>
        <v>13.8</v>
      </c>
      <c r="G56">
        <f t="shared" si="3"/>
        <v>0.5</v>
      </c>
      <c r="H56" s="840">
        <f>VLOOKUP(B56,'BD ASVICC'!$A$6:$X$316,24,FALSE)/VLOOKUP(C56,'BD Comarcal'!$A$6:$Z$17,26,FALSE)</f>
        <v>2.0552697828318454E-2</v>
      </c>
      <c r="I56" s="839">
        <f>(VLOOKUP(C56,'BD Altres'!$D$74:$H$84,5,FALSE) * 1000 / 12) * H56*0.035</f>
        <v>58.799179226154543</v>
      </c>
      <c r="J56" s="839">
        <f>(VLOOKUP(C56,'BD Altres'!$D$74:$H$84,3,FALSE) / 12) * H56*0.25</f>
        <v>514.04347291621923</v>
      </c>
      <c r="K56">
        <f>(VLOOKUP(B56,'BD ASVICC'!$A$6:$GR$316,199,FALSE) / 12)*0.3</f>
        <v>0.85</v>
      </c>
      <c r="L56" s="846">
        <f>I56*'1. Cops de calor'!$C$32/30</f>
        <v>842.78823557488181</v>
      </c>
      <c r="M56" s="846">
        <f>J56*'1. Cops de calor'!$C$33/30</f>
        <v>2570.2173645810963</v>
      </c>
      <c r="N56" s="846">
        <f>K56*'1. Cops de calor'!$C$34*0.25/30</f>
        <v>13387.499999999998</v>
      </c>
      <c r="O56" s="779">
        <f t="shared" si="4"/>
        <v>240247.23008223047</v>
      </c>
      <c r="P56" s="848">
        <f>O56*'A. Dades de partida'!$D$10</f>
        <v>3603708.4512334568</v>
      </c>
      <c r="Q56">
        <f t="shared" si="5"/>
        <v>20.700000000000003</v>
      </c>
      <c r="R56">
        <f t="shared" si="6"/>
        <v>0.75</v>
      </c>
      <c r="S56">
        <f>I56+(I56*'1. Cops de calor'!$C$40)</f>
        <v>62.091933262819197</v>
      </c>
      <c r="T56">
        <f>J56*'1. Cops de calor'!$C$41+J56</f>
        <v>552.59673338493565</v>
      </c>
      <c r="U56">
        <f>'1. Cops de calor'!$C$42*K56+K56</f>
        <v>0.88400000000000001</v>
      </c>
      <c r="V56">
        <f>S56*'1. Cops de calor'!$C$32/30</f>
        <v>889.98437676707522</v>
      </c>
      <c r="W56">
        <f>T56*'1. Cops de calor'!$C$33/30</f>
        <v>2762.9836669246783</v>
      </c>
      <c r="X56">
        <f>K56*'1. Cops de calor'!$C$34/30</f>
        <v>53549.999999999993</v>
      </c>
      <c r="Y56">
        <f t="shared" si="7"/>
        <v>57202.968043691748</v>
      </c>
      <c r="Z56" s="849">
        <f>Y56*(Q56+R56)*'A. Dades de partida'!$D$10</f>
        <v>18405054.968057822</v>
      </c>
      <c r="AA56" s="850">
        <f t="shared" si="8"/>
        <v>14801346.516824365</v>
      </c>
      <c r="AB56" t="str">
        <f>VLOOKUP(B56,'BD ASVICC'!$A$6:$BG$316,59,FALSE)</f>
        <v>LITORAL</v>
      </c>
      <c r="AC56">
        <f t="shared" si="0"/>
        <v>0.5</v>
      </c>
      <c r="AD56">
        <f t="shared" si="1"/>
        <v>0.5</v>
      </c>
    </row>
    <row r="57" spans="1:30">
      <c r="A57">
        <v>8054</v>
      </c>
      <c r="B57" t="s">
        <v>964</v>
      </c>
      <c r="C57" t="s">
        <v>89</v>
      </c>
      <c r="D57">
        <f>VLOOKUP(A57,'temperatures màximes'!$A$4:$U$314,'temperatures màximes'!U$1,FALSE)</f>
        <v>37</v>
      </c>
      <c r="E57">
        <f>VLOOKUP(A57,'nits tropicals'!$A$4:$U$314,'nits tropicals'!U$1,FALSE)</f>
        <v>39</v>
      </c>
      <c r="F57">
        <f t="shared" si="2"/>
        <v>3.7</v>
      </c>
      <c r="G57">
        <f t="shared" si="3"/>
        <v>3.9</v>
      </c>
      <c r="H57" s="840">
        <f>VLOOKUP(B57,'BD ASVICC'!$A$6:$X$316,24,FALSE)/VLOOKUP(C57,'BD Comarcal'!$A$6:$Z$17,26,FALSE)</f>
        <v>1.3577147659913297E-2</v>
      </c>
      <c r="I57" s="839">
        <f>(VLOOKUP(C57,'BD Altres'!$D$74:$H$84,5,FALSE) * 1000 / 12) * H57*0.035</f>
        <v>54.964852408223535</v>
      </c>
      <c r="J57" s="839">
        <f>(VLOOKUP(C57,'BD Altres'!$D$74:$H$84,3,FALSE) / 12) * H57*0.25</f>
        <v>24.126603268958565</v>
      </c>
      <c r="K57">
        <f>(VLOOKUP(B57,'BD ASVICC'!$A$6:$GR$316,199,FALSE) / 12)*0.3</f>
        <v>1.55</v>
      </c>
      <c r="L57" s="846">
        <f>I57*'1. Cops de calor'!$C$32/30</f>
        <v>787.82955118453731</v>
      </c>
      <c r="M57" s="846">
        <f>J57*'1. Cops de calor'!$C$33/30</f>
        <v>120.63301634479282</v>
      </c>
      <c r="N57" s="846">
        <f>K57*'1. Cops de calor'!$C$34*0.25/30</f>
        <v>24412.499999999996</v>
      </c>
      <c r="O57" s="779">
        <f t="shared" si="4"/>
        <v>192439.31551322289</v>
      </c>
      <c r="P57" s="848">
        <f>O57*'A. Dades de partida'!$D$10</f>
        <v>2886589.7326983432</v>
      </c>
      <c r="Q57">
        <f t="shared" si="5"/>
        <v>5.5500000000000007</v>
      </c>
      <c r="R57">
        <f t="shared" si="6"/>
        <v>5.85</v>
      </c>
      <c r="S57">
        <f>I57+(I57*'1. Cops de calor'!$C$40)</f>
        <v>58.042884143084052</v>
      </c>
      <c r="T57">
        <f>J57*'1. Cops de calor'!$C$41+J57</f>
        <v>25.936098514130457</v>
      </c>
      <c r="U57">
        <f>'1. Cops de calor'!$C$42*K57+K57</f>
        <v>1.6120000000000001</v>
      </c>
      <c r="V57">
        <f>S57*'1. Cops de calor'!$C$32/30</f>
        <v>831.94800605087141</v>
      </c>
      <c r="W57">
        <f>T57*'1. Cops de calor'!$C$33/30</f>
        <v>129.68049257065229</v>
      </c>
      <c r="X57">
        <f>K57*'1. Cops de calor'!$C$34/30</f>
        <v>97649.999999999985</v>
      </c>
      <c r="Y57">
        <f t="shared" si="7"/>
        <v>98611.628498621503</v>
      </c>
      <c r="Z57" s="849">
        <f>Y57*(Q57+R57)*'A. Dades de partida'!$D$10</f>
        <v>16862588.473264277</v>
      </c>
      <c r="AA57" s="850">
        <f t="shared" si="8"/>
        <v>13975998.740565933</v>
      </c>
      <c r="AB57" t="str">
        <f>VLOOKUP(B57,'BD ASVICC'!$A$6:$BG$316,59,FALSE)</f>
        <v>LITORAL</v>
      </c>
      <c r="AC57">
        <f t="shared" si="0"/>
        <v>0.5</v>
      </c>
      <c r="AD57">
        <f t="shared" si="1"/>
        <v>0.5</v>
      </c>
    </row>
    <row r="58" spans="1:30">
      <c r="A58">
        <v>8055</v>
      </c>
      <c r="B58" t="s">
        <v>970</v>
      </c>
      <c r="C58" t="s">
        <v>24</v>
      </c>
      <c r="D58">
        <f>VLOOKUP(A58,'temperatures màximes'!$A$4:$U$314,'temperatures màximes'!U$1,FALSE)</f>
        <v>42</v>
      </c>
      <c r="E58">
        <f>VLOOKUP(A58,'nits tropicals'!$A$4:$U$314,'nits tropicals'!U$1,FALSE)</f>
        <v>8</v>
      </c>
      <c r="F58">
        <f t="shared" si="2"/>
        <v>4.2</v>
      </c>
      <c r="G58">
        <f t="shared" si="3"/>
        <v>0.8</v>
      </c>
      <c r="H58" s="840">
        <f>VLOOKUP(B58,'BD ASVICC'!$A$6:$X$316,24,FALSE)/VLOOKUP(C58,'BD Comarcal'!$A$6:$Z$17,26,FALSE)</f>
        <v>1.8089490653763161E-3</v>
      </c>
      <c r="I58" s="839">
        <f>(VLOOKUP(C58,'BD Altres'!$D$74:$H$84,5,FALSE) * 1000 / 12) * H58*0.035</f>
        <v>12.801628221309205</v>
      </c>
      <c r="J58" s="839">
        <f>(VLOOKUP(C58,'BD Altres'!$D$74:$H$84,3,FALSE) / 12) * H58*0.25</f>
        <v>2.8780648968028482</v>
      </c>
      <c r="K58">
        <f>(VLOOKUP(B58,'BD ASVICC'!$A$6:$GR$316,199,FALSE) / 12)*0.3</f>
        <v>0.25</v>
      </c>
      <c r="L58" s="846">
        <f>I58*'1. Cops de calor'!$C$32/30</f>
        <v>183.49000450543193</v>
      </c>
      <c r="M58" s="846">
        <f>J58*'1. Cops de calor'!$C$33/30</f>
        <v>14.39032448401424</v>
      </c>
      <c r="N58" s="846">
        <f>K58*'1. Cops de calor'!$C$34*0.25/30</f>
        <v>3937.4999999999995</v>
      </c>
      <c r="O58" s="779">
        <f t="shared" si="4"/>
        <v>20676.901644947229</v>
      </c>
      <c r="P58" s="848">
        <f>O58*'A. Dades de partida'!$D$10</f>
        <v>310153.52467420843</v>
      </c>
      <c r="Q58">
        <f t="shared" si="5"/>
        <v>6.3000000000000007</v>
      </c>
      <c r="R58">
        <f t="shared" si="6"/>
        <v>1.2000000000000002</v>
      </c>
      <c r="S58">
        <f>I58+(I58*'1. Cops de calor'!$C$40)</f>
        <v>13.51851940170252</v>
      </c>
      <c r="T58">
        <f>J58*'1. Cops de calor'!$C$41+J58</f>
        <v>3.0939197640630618</v>
      </c>
      <c r="U58">
        <f>'1. Cops de calor'!$C$42*K58+K58</f>
        <v>0.26</v>
      </c>
      <c r="V58">
        <f>S58*'1. Cops de calor'!$C$32/30</f>
        <v>193.76544475773611</v>
      </c>
      <c r="W58">
        <f>T58*'1. Cops de calor'!$C$33/30</f>
        <v>15.469598820315309</v>
      </c>
      <c r="X58">
        <f>K58*'1. Cops de calor'!$C$34/30</f>
        <v>15749.999999999998</v>
      </c>
      <c r="Y58">
        <f t="shared" si="7"/>
        <v>15959.23504357805</v>
      </c>
      <c r="Z58" s="849">
        <f>Y58*(Q58+R58)*'A. Dades de partida'!$D$10</f>
        <v>1795413.9424025309</v>
      </c>
      <c r="AA58" s="850">
        <f t="shared" si="8"/>
        <v>1485260.4177283226</v>
      </c>
      <c r="AB58" t="str">
        <f>VLOOKUP(B58,'BD ASVICC'!$A$6:$BG$316,59,FALSE)</f>
        <v>PREPIRINEU-PIRINEU</v>
      </c>
      <c r="AC58">
        <f t="shared" si="0"/>
        <v>0.5</v>
      </c>
      <c r="AD58">
        <f t="shared" si="1"/>
        <v>0.5</v>
      </c>
    </row>
    <row r="59" spans="1:30">
      <c r="A59">
        <v>8056</v>
      </c>
      <c r="B59" t="s">
        <v>340</v>
      </c>
      <c r="C59" t="s">
        <v>90</v>
      </c>
      <c r="D59">
        <f>VLOOKUP(A59,'temperatures màximes'!$A$4:$U$314,'temperatures màximes'!U$1,FALSE)</f>
        <v>2</v>
      </c>
      <c r="E59">
        <f>VLOOKUP(A59,'nits tropicals'!$A$4:$U$314,'nits tropicals'!U$1,FALSE)</f>
        <v>246</v>
      </c>
      <c r="F59">
        <f t="shared" si="2"/>
        <v>0.2</v>
      </c>
      <c r="G59">
        <f t="shared" si="3"/>
        <v>24.6</v>
      </c>
      <c r="H59" s="840">
        <f>VLOOKUP(B59,'BD ASVICC'!$A$6:$X$316,24,FALSE)/VLOOKUP(C59,'BD Comarcal'!$A$6:$Z$17,26,FALSE)</f>
        <v>8.0125153880251834E-2</v>
      </c>
      <c r="I59" s="839">
        <f>(VLOOKUP(C59,'BD Altres'!$D$74:$H$84,5,FALSE) * 1000 / 12) * H59*0.035</f>
        <v>147.65368489587124</v>
      </c>
      <c r="J59" s="839">
        <f>(VLOOKUP(C59,'BD Altres'!$D$74:$H$84,3,FALSE) / 12) * H59*0.25</f>
        <v>450.3360040049659</v>
      </c>
      <c r="K59">
        <f>(VLOOKUP(B59,'BD ASVICC'!$A$6:$GR$316,199,FALSE) / 12)*0.3</f>
        <v>10.249999999999998</v>
      </c>
      <c r="L59" s="846">
        <f>I59*'1. Cops de calor'!$C$32/30</f>
        <v>2116.3694835074875</v>
      </c>
      <c r="M59" s="846">
        <f>J59*'1. Cops de calor'!$C$33/30</f>
        <v>2251.6800200248299</v>
      </c>
      <c r="N59" s="846">
        <f>K59*'1. Cops de calor'!$C$34*0.25/30</f>
        <v>161437.49999999994</v>
      </c>
      <c r="O59" s="779">
        <f t="shared" si="4"/>
        <v>4111977.6276876004</v>
      </c>
      <c r="P59" s="848">
        <f>O59*'A. Dades de partida'!$D$10</f>
        <v>61679664.415314004</v>
      </c>
      <c r="Q59">
        <f t="shared" si="5"/>
        <v>0.30000000000000004</v>
      </c>
      <c r="R59">
        <f t="shared" si="6"/>
        <v>36.900000000000006</v>
      </c>
      <c r="S59">
        <f>I59+(I59*'1. Cops de calor'!$C$40)</f>
        <v>155.92229125004002</v>
      </c>
      <c r="T59">
        <f>J59*'1. Cops de calor'!$C$41+J59</f>
        <v>484.11120430533833</v>
      </c>
      <c r="U59">
        <f>'1. Cops de calor'!$C$42*K59+K59</f>
        <v>10.659999999999998</v>
      </c>
      <c r="V59">
        <f>S59*'1. Cops de calor'!$C$32/30</f>
        <v>2234.8861745839072</v>
      </c>
      <c r="W59">
        <f>T59*'1. Cops de calor'!$C$33/30</f>
        <v>2420.5560215266914</v>
      </c>
      <c r="X59">
        <f>K59*'1. Cops de calor'!$C$34/30</f>
        <v>645749.99999999977</v>
      </c>
      <c r="Y59">
        <f t="shared" si="7"/>
        <v>650405.44219611038</v>
      </c>
      <c r="Z59" s="849">
        <f>Y59*(Q59+R59)*'A. Dades de partida'!$D$10</f>
        <v>362926236.74542964</v>
      </c>
      <c r="AA59" s="850">
        <f t="shared" si="8"/>
        <v>301246572.33011562</v>
      </c>
      <c r="AB59" t="str">
        <f>VLOOKUP(B59,'BD ASVICC'!$A$6:$BG$316,59,FALSE)</f>
        <v>LITORAL</v>
      </c>
      <c r="AC59">
        <f t="shared" si="0"/>
        <v>0.5</v>
      </c>
      <c r="AD59">
        <f t="shared" si="1"/>
        <v>0.5</v>
      </c>
    </row>
    <row r="60" spans="1:30">
      <c r="A60">
        <v>8057</v>
      </c>
      <c r="B60" t="s">
        <v>980</v>
      </c>
      <c r="C60" t="s">
        <v>84</v>
      </c>
      <c r="D60">
        <f>VLOOKUP(A60,'temperatures màximes'!$A$4:$U$314,'temperatures màximes'!U$1,FALSE)</f>
        <v>17</v>
      </c>
      <c r="E60">
        <f>VLOOKUP(A60,'nits tropicals'!$A$4:$U$314,'nits tropicals'!U$1,FALSE)</f>
        <v>3</v>
      </c>
      <c r="F60">
        <f t="shared" si="2"/>
        <v>1.7</v>
      </c>
      <c r="G60">
        <f t="shared" si="3"/>
        <v>0.3</v>
      </c>
      <c r="H60" s="840">
        <f>VLOOKUP(B60,'BD ASVICC'!$A$6:$X$316,24,FALSE)/VLOOKUP(C60,'BD Comarcal'!$A$6:$Z$17,26,FALSE)</f>
        <v>1.7611925059982643E-3</v>
      </c>
      <c r="I60" s="839">
        <f>(VLOOKUP(C60,'BD Altres'!$D$74:$H$84,5,FALSE) * 1000 / 12) * H60*0.035</f>
        <v>1.1320154482713907</v>
      </c>
      <c r="J60" s="839">
        <f>(VLOOKUP(C60,'BD Altres'!$D$74:$H$84,3,FALSE) / 12) * H60*0.25</f>
        <v>9.8964842721035513</v>
      </c>
      <c r="K60">
        <f>(VLOOKUP(B60,'BD ASVICC'!$A$6:$GR$316,199,FALSE) / 12)*0.3</f>
        <v>2.4999999999999998E-2</v>
      </c>
      <c r="L60" s="846">
        <f>I60*'1. Cops de calor'!$C$32/30</f>
        <v>16.225554758556601</v>
      </c>
      <c r="M60" s="846">
        <f>J60*'1. Cops de calor'!$C$33/30</f>
        <v>49.482421360517755</v>
      </c>
      <c r="N60" s="846">
        <f>K60*'1. Cops de calor'!$C$34*0.25/30</f>
        <v>393.74999999999994</v>
      </c>
      <c r="O60" s="779">
        <f t="shared" si="4"/>
        <v>918.91595223814863</v>
      </c>
      <c r="P60" s="848">
        <f>O60*'A. Dades de partida'!$D$10</f>
        <v>13783.739283572229</v>
      </c>
      <c r="Q60">
        <f t="shared" si="5"/>
        <v>2.5499999999999998</v>
      </c>
      <c r="R60">
        <f t="shared" si="6"/>
        <v>0.44999999999999996</v>
      </c>
      <c r="S60">
        <f>I60+(I60*'1. Cops de calor'!$C$40)</f>
        <v>1.1954083133745885</v>
      </c>
      <c r="T60">
        <f>J60*'1. Cops de calor'!$C$41+J60</f>
        <v>10.638720592511318</v>
      </c>
      <c r="U60">
        <f>'1. Cops de calor'!$C$42*K60+K60</f>
        <v>2.5999999999999999E-2</v>
      </c>
      <c r="V60">
        <f>S60*'1. Cops de calor'!$C$32/30</f>
        <v>17.134185825035772</v>
      </c>
      <c r="W60">
        <f>T60*'1. Cops de calor'!$C$33/30</f>
        <v>53.193602962556589</v>
      </c>
      <c r="X60">
        <f>K60*'1. Cops de calor'!$C$34/30</f>
        <v>1574.9999999999998</v>
      </c>
      <c r="Y60">
        <f t="shared" si="7"/>
        <v>1645.3277887875922</v>
      </c>
      <c r="Z60" s="849">
        <f>Y60*(Q60+R60)*'A. Dades de partida'!$D$10</f>
        <v>74039.750495441651</v>
      </c>
      <c r="AA60" s="850">
        <f t="shared" si="8"/>
        <v>60256.011211869423</v>
      </c>
      <c r="AB60" t="str">
        <f>VLOOKUP(B60,'BD ASVICC'!$A$6:$BG$316,59,FALSE)</f>
        <v>PREPIRINEU-PIRINEU</v>
      </c>
      <c r="AC60">
        <f t="shared" si="0"/>
        <v>0.5</v>
      </c>
      <c r="AD60">
        <f t="shared" si="1"/>
        <v>0.5</v>
      </c>
    </row>
    <row r="61" spans="1:30">
      <c r="A61">
        <v>8058</v>
      </c>
      <c r="B61" t="s">
        <v>984</v>
      </c>
      <c r="C61" t="s">
        <v>791</v>
      </c>
      <c r="D61">
        <f>VLOOKUP(A61,'temperatures màximes'!$A$4:$U$314,'temperatures màximes'!U$1,FALSE)</f>
        <v>25</v>
      </c>
      <c r="E61">
        <f>VLOOKUP(A61,'nits tropicals'!$A$4:$U$314,'nits tropicals'!U$1,FALSE)</f>
        <v>10</v>
      </c>
      <c r="F61">
        <f t="shared" si="2"/>
        <v>2.5</v>
      </c>
      <c r="G61">
        <f t="shared" si="3"/>
        <v>1</v>
      </c>
      <c r="H61" s="840">
        <f>VLOOKUP(B61,'BD ASVICC'!$A$6:$X$316,24,FALSE)/VLOOKUP(C61,'BD Comarcal'!$A$6:$Z$17,26,FALSE)</f>
        <v>2.063514467184192E-2</v>
      </c>
      <c r="I61" s="839">
        <f>(VLOOKUP(C61,'BD Altres'!$D$74:$H$84,5,FALSE) * 1000 / 12) * H61*0.035</f>
        <v>40.828776354524635</v>
      </c>
      <c r="J61" s="839">
        <f>(VLOOKUP(C61,'BD Altres'!$D$74:$H$84,3,FALSE) / 12) * H61*0.25</f>
        <v>5.288970220043371</v>
      </c>
      <c r="K61">
        <f>(VLOOKUP(B61,'BD ASVICC'!$A$6:$GR$316,199,FALSE) / 12)*0.3</f>
        <v>0.5</v>
      </c>
      <c r="L61" s="846">
        <f>I61*'1. Cops de calor'!$C$32/30</f>
        <v>585.21246108151968</v>
      </c>
      <c r="M61" s="846">
        <f>J61*'1. Cops de calor'!$C$33/30</f>
        <v>26.444851100216855</v>
      </c>
      <c r="N61" s="846">
        <f>K61*'1. Cops de calor'!$C$34*0.25/30</f>
        <v>7874.9999999999991</v>
      </c>
      <c r="O61" s="779">
        <f t="shared" si="4"/>
        <v>29703.300592636078</v>
      </c>
      <c r="P61" s="848">
        <f>O61*'A. Dades de partida'!$D$10</f>
        <v>445549.50888954115</v>
      </c>
      <c r="Q61">
        <f t="shared" si="5"/>
        <v>3.75</v>
      </c>
      <c r="R61">
        <f t="shared" si="6"/>
        <v>1.5</v>
      </c>
      <c r="S61">
        <f>I61+(I61*'1. Cops de calor'!$C$40)</f>
        <v>43.115187830378012</v>
      </c>
      <c r="T61">
        <f>J61*'1. Cops de calor'!$C$41+J61</f>
        <v>5.6856429865466236</v>
      </c>
      <c r="U61">
        <f>'1. Cops de calor'!$C$42*K61+K61</f>
        <v>0.52</v>
      </c>
      <c r="V61">
        <f>S61*'1. Cops de calor'!$C$32/30</f>
        <v>617.98435890208486</v>
      </c>
      <c r="W61">
        <f>T61*'1. Cops de calor'!$C$33/30</f>
        <v>28.428214932733116</v>
      </c>
      <c r="X61">
        <f>K61*'1. Cops de calor'!$C$34/30</f>
        <v>31499.999999999996</v>
      </c>
      <c r="Y61">
        <f t="shared" si="7"/>
        <v>32146.412573834816</v>
      </c>
      <c r="Z61" s="849">
        <f>Y61*(Q61+R61)*'A. Dades de partida'!$D$10</f>
        <v>2531529.9901894918</v>
      </c>
      <c r="AA61" s="850">
        <f t="shared" si="8"/>
        <v>2085980.4812999507</v>
      </c>
      <c r="AB61" t="str">
        <f>VLOOKUP(B61,'BD ASVICC'!$A$6:$BG$316,59,FALSE)</f>
        <v>LITORAL</v>
      </c>
      <c r="AC61">
        <f t="shared" si="0"/>
        <v>0.5</v>
      </c>
      <c r="AD61">
        <f t="shared" si="1"/>
        <v>0.5</v>
      </c>
    </row>
    <row r="62" spans="1:30">
      <c r="A62">
        <v>8059</v>
      </c>
      <c r="B62" t="s">
        <v>993</v>
      </c>
      <c r="C62" t="s">
        <v>82</v>
      </c>
      <c r="D62">
        <f>VLOOKUP(A62,'temperatures màximes'!$A$4:$U$314,'temperatures màximes'!U$1,FALSE)</f>
        <v>90</v>
      </c>
      <c r="E62">
        <f>VLOOKUP(A62,'nits tropicals'!$A$4:$U$314,'nits tropicals'!U$1,FALSE)</f>
        <v>1</v>
      </c>
      <c r="F62">
        <f t="shared" si="2"/>
        <v>9</v>
      </c>
      <c r="G62">
        <f t="shared" si="3"/>
        <v>0.1</v>
      </c>
      <c r="H62" s="840">
        <f>VLOOKUP(B62,'BD ASVICC'!$A$6:$X$316,24,FALSE)/VLOOKUP(C62,'BD Comarcal'!$A$6:$Z$17,26,FALSE)</f>
        <v>2.5690872285398067E-3</v>
      </c>
      <c r="I62" s="839">
        <f>(VLOOKUP(C62,'BD Altres'!$D$74:$H$84,5,FALSE) * 1000 / 12) * H62*0.035</f>
        <v>7.3498974032693178</v>
      </c>
      <c r="J62" s="839">
        <f>(VLOOKUP(C62,'BD Altres'!$D$74:$H$84,3,FALSE) / 12) * H62*0.25</f>
        <v>64.255434114527404</v>
      </c>
      <c r="K62">
        <f>(VLOOKUP(B62,'BD ASVICC'!$A$6:$GR$316,199,FALSE) / 12)*0.3</f>
        <v>9.9999999999999992E-2</v>
      </c>
      <c r="L62" s="846">
        <f>I62*'1. Cops de calor'!$C$32/30</f>
        <v>105.34852944686023</v>
      </c>
      <c r="M62" s="846">
        <f>J62*'1. Cops de calor'!$C$33/30</f>
        <v>321.27717057263703</v>
      </c>
      <c r="N62" s="846">
        <f>K62*'1. Cops de calor'!$C$34*0.25/30</f>
        <v>1574.9999999999998</v>
      </c>
      <c r="O62" s="779">
        <f t="shared" si="4"/>
        <v>18214.793870177422</v>
      </c>
      <c r="P62" s="848">
        <f>O62*'A. Dades de partida'!$D$10</f>
        <v>273221.90805266134</v>
      </c>
      <c r="Q62">
        <f t="shared" si="5"/>
        <v>13.5</v>
      </c>
      <c r="R62">
        <f t="shared" si="6"/>
        <v>0.15000000000000002</v>
      </c>
      <c r="S62">
        <f>I62+(I62*'1. Cops de calor'!$C$40)</f>
        <v>7.7614916578523996</v>
      </c>
      <c r="T62">
        <f>J62*'1. Cops de calor'!$C$41+J62</f>
        <v>69.074591673116956</v>
      </c>
      <c r="U62">
        <f>'1. Cops de calor'!$C$42*K62+K62</f>
        <v>0.104</v>
      </c>
      <c r="V62">
        <f>S62*'1. Cops de calor'!$C$32/30</f>
        <v>111.2480470958844</v>
      </c>
      <c r="W62">
        <f>T62*'1. Cops de calor'!$C$33/30</f>
        <v>345.37295836558479</v>
      </c>
      <c r="X62">
        <f>K62*'1. Cops de calor'!$C$34/30</f>
        <v>6299.9999999999991</v>
      </c>
      <c r="Y62">
        <f t="shared" si="7"/>
        <v>6756.6210054614685</v>
      </c>
      <c r="Z62" s="849">
        <f>Y62*(Q62+R62)*'A. Dades de partida'!$D$10</f>
        <v>1383418.1508682356</v>
      </c>
      <c r="AA62" s="850">
        <f t="shared" si="8"/>
        <v>1110196.2428155742</v>
      </c>
      <c r="AB62" t="str">
        <f>VLOOKUP(B62,'BD ASVICC'!$A$6:$BG$316,59,FALSE)</f>
        <v>PREPIRINEU-PIRINEU</v>
      </c>
      <c r="AC62">
        <f t="shared" si="0"/>
        <v>0.5</v>
      </c>
      <c r="AD62">
        <f t="shared" si="1"/>
        <v>0.5</v>
      </c>
    </row>
    <row r="63" spans="1:30">
      <c r="A63">
        <v>8060</v>
      </c>
      <c r="B63" t="s">
        <v>997</v>
      </c>
      <c r="C63" t="s">
        <v>81</v>
      </c>
      <c r="D63">
        <f>VLOOKUP(A63,'temperatures màximes'!$A$4:$U$314,'temperatures màximes'!U$1,FALSE)</f>
        <v>77</v>
      </c>
      <c r="E63">
        <f>VLOOKUP(A63,'nits tropicals'!$A$4:$U$314,'nits tropicals'!U$1,FALSE)</f>
        <v>2</v>
      </c>
      <c r="F63">
        <f t="shared" si="2"/>
        <v>7.7</v>
      </c>
      <c r="G63">
        <f t="shared" si="3"/>
        <v>0.2</v>
      </c>
      <c r="H63" s="840">
        <f>VLOOKUP(B63,'BD ASVICC'!$A$6:$X$316,24,FALSE)/VLOOKUP(C63,'BD Comarcal'!$A$6:$Z$17,26,FALSE)</f>
        <v>1.4042075163398693E-3</v>
      </c>
      <c r="I63" s="839">
        <f>(VLOOKUP(C63,'BD Altres'!$D$74:$H$84,5,FALSE) * 1000 / 12) * H63*0.035</f>
        <v>1.1713690768612393</v>
      </c>
      <c r="J63" s="839">
        <f>(VLOOKUP(C63,'BD Altres'!$D$74:$H$84,3,FALSE) / 12) * H63*0.25</f>
        <v>0.56570116902530498</v>
      </c>
      <c r="K63">
        <f>(VLOOKUP(B63,'BD ASVICC'!$A$6:$GR$316,199,FALSE) / 12)*0.3</f>
        <v>9.9999999999999992E-2</v>
      </c>
      <c r="L63" s="846">
        <f>I63*'1. Cops de calor'!$C$32/30</f>
        <v>16.789623435011098</v>
      </c>
      <c r="M63" s="846">
        <f>J63*'1. Cops de calor'!$C$33/30</f>
        <v>2.8285058451265246</v>
      </c>
      <c r="N63" s="846">
        <f>K63*'1. Cops de calor'!$C$34*0.25/30</f>
        <v>1574.9999999999998</v>
      </c>
      <c r="O63" s="779">
        <f t="shared" si="4"/>
        <v>12597.483221313087</v>
      </c>
      <c r="P63" s="848">
        <f>O63*'A. Dades de partida'!$D$10</f>
        <v>188962.24831969629</v>
      </c>
      <c r="Q63">
        <f t="shared" si="5"/>
        <v>11.55</v>
      </c>
      <c r="R63">
        <f t="shared" si="6"/>
        <v>0.30000000000000004</v>
      </c>
      <c r="S63">
        <f>I63+(I63*'1. Cops de calor'!$C$40)</f>
        <v>1.2369657451654685</v>
      </c>
      <c r="T63">
        <f>J63*'1. Cops de calor'!$C$41+J63</f>
        <v>0.6081287567022029</v>
      </c>
      <c r="U63">
        <f>'1. Cops de calor'!$C$42*K63+K63</f>
        <v>0.104</v>
      </c>
      <c r="V63">
        <f>S63*'1. Cops de calor'!$C$32/30</f>
        <v>17.729842347371719</v>
      </c>
      <c r="W63">
        <f>T63*'1. Cops de calor'!$C$33/30</f>
        <v>3.0406437835110145</v>
      </c>
      <c r="X63">
        <f>K63*'1. Cops de calor'!$C$34/30</f>
        <v>6299.9999999999991</v>
      </c>
      <c r="Y63">
        <f t="shared" si="7"/>
        <v>6320.7704861308821</v>
      </c>
      <c r="Z63" s="849">
        <f>Y63*(Q63+R63)*'A. Dades de partida'!$D$10</f>
        <v>1123516.9539097643</v>
      </c>
      <c r="AA63" s="850">
        <f t="shared" si="8"/>
        <v>934554.70559006801</v>
      </c>
      <c r="AB63" t="str">
        <f>VLOOKUP(B63,'BD ASVICC'!$A$6:$BG$316,59,FALSE)</f>
        <v>CENTRAL</v>
      </c>
      <c r="AC63">
        <f t="shared" si="0"/>
        <v>0.5</v>
      </c>
      <c r="AD63">
        <f t="shared" si="1"/>
        <v>0.5</v>
      </c>
    </row>
    <row r="64" spans="1:30">
      <c r="A64">
        <v>8061</v>
      </c>
      <c r="B64" t="s">
        <v>1002</v>
      </c>
      <c r="C64" t="s">
        <v>82</v>
      </c>
      <c r="D64">
        <f>VLOOKUP(A64,'temperatures màximes'!$A$4:$U$314,'temperatures màximes'!U$1,FALSE)</f>
        <v>90</v>
      </c>
      <c r="E64">
        <f>VLOOKUP(A64,'nits tropicals'!$A$4:$U$314,'nits tropicals'!U$1,FALSE)</f>
        <v>1</v>
      </c>
      <c r="F64">
        <f t="shared" si="2"/>
        <v>9</v>
      </c>
      <c r="G64">
        <f t="shared" si="3"/>
        <v>0.1</v>
      </c>
      <c r="H64" s="840">
        <f>VLOOKUP(B64,'BD ASVICC'!$A$6:$X$316,24,FALSE)/VLOOKUP(C64,'BD Comarcal'!$A$6:$Z$17,26,FALSE)</f>
        <v>1.1440466564591327E-2</v>
      </c>
      <c r="I64" s="839">
        <f>(VLOOKUP(C64,'BD Altres'!$D$74:$H$84,5,FALSE) * 1000 / 12) * H64*0.035</f>
        <v>32.730011873933677</v>
      </c>
      <c r="J64" s="839">
        <f>(VLOOKUP(C64,'BD Altres'!$D$74:$H$84,3,FALSE) / 12) * H64*0.25</f>
        <v>286.13748004125489</v>
      </c>
      <c r="K64">
        <f>(VLOOKUP(B64,'BD ASVICC'!$A$6:$GR$316,199,FALSE) / 12)*0.3</f>
        <v>0.5</v>
      </c>
      <c r="L64" s="846">
        <f>I64*'1. Cops de calor'!$C$32/30</f>
        <v>469.13017019304937</v>
      </c>
      <c r="M64" s="846">
        <f>J64*'1. Cops de calor'!$C$33/30</f>
        <v>1430.6874002062746</v>
      </c>
      <c r="N64" s="846">
        <f>K64*'1. Cops de calor'!$C$34*0.25/30</f>
        <v>7874.9999999999991</v>
      </c>
      <c r="O64" s="779">
        <f t="shared" si="4"/>
        <v>88950.839890633826</v>
      </c>
      <c r="P64" s="848">
        <f>O64*'A. Dades de partida'!$D$10</f>
        <v>1334262.5983595075</v>
      </c>
      <c r="Q64">
        <f t="shared" si="5"/>
        <v>13.5</v>
      </c>
      <c r="R64">
        <f t="shared" si="6"/>
        <v>0.15000000000000002</v>
      </c>
      <c r="S64">
        <f>I64+(I64*'1. Cops de calor'!$C$40)</f>
        <v>34.56289253887396</v>
      </c>
      <c r="T64">
        <f>J64*'1. Cops de calor'!$C$41+J64</f>
        <v>307.59779104434898</v>
      </c>
      <c r="U64">
        <f>'1. Cops de calor'!$C$42*K64+K64</f>
        <v>0.52</v>
      </c>
      <c r="V64">
        <f>S64*'1. Cops de calor'!$C$32/30</f>
        <v>495.40145972386011</v>
      </c>
      <c r="W64">
        <f>T64*'1. Cops de calor'!$C$33/30</f>
        <v>1537.9889552217451</v>
      </c>
      <c r="X64">
        <f>K64*'1. Cops de calor'!$C$34/30</f>
        <v>31499.999999999996</v>
      </c>
      <c r="Y64">
        <f t="shared" si="7"/>
        <v>33533.390414945599</v>
      </c>
      <c r="Z64" s="849">
        <f>Y64*(Q64+R64)*'A. Dades de partida'!$D$10</f>
        <v>6865961.6874601115</v>
      </c>
      <c r="AA64" s="850">
        <f t="shared" si="8"/>
        <v>5531699.0891006039</v>
      </c>
      <c r="AB64" t="str">
        <f>VLOOKUP(B64,'BD ASVICC'!$A$6:$BG$316,59,FALSE)</f>
        <v>CENTRAL</v>
      </c>
      <c r="AC64">
        <f t="shared" si="0"/>
        <v>0.5</v>
      </c>
      <c r="AD64">
        <f t="shared" si="1"/>
        <v>0.5</v>
      </c>
    </row>
    <row r="65" spans="1:30">
      <c r="A65">
        <v>8062</v>
      </c>
      <c r="B65" t="s">
        <v>1004</v>
      </c>
      <c r="C65" t="s">
        <v>82</v>
      </c>
      <c r="D65">
        <f>VLOOKUP(A65,'temperatures màximes'!$A$4:$U$314,'temperatures màximes'!U$1,FALSE)</f>
        <v>70</v>
      </c>
      <c r="E65">
        <f>VLOOKUP(A65,'nits tropicals'!$A$4:$U$314,'nits tropicals'!U$1,FALSE)</f>
        <v>3</v>
      </c>
      <c r="F65">
        <f t="shared" si="2"/>
        <v>7</v>
      </c>
      <c r="G65">
        <f t="shared" si="3"/>
        <v>0.3</v>
      </c>
      <c r="H65" s="840">
        <f>VLOOKUP(B65,'BD ASVICC'!$A$6:$X$316,24,FALSE)/VLOOKUP(C65,'BD Comarcal'!$A$6:$Z$17,26,FALSE)</f>
        <v>7.3803912123453818E-3</v>
      </c>
      <c r="I65" s="839">
        <f>(VLOOKUP(C65,'BD Altres'!$D$74:$H$84,5,FALSE) * 1000 / 12) * H65*0.035</f>
        <v>21.114549013409846</v>
      </c>
      <c r="J65" s="839">
        <f>(VLOOKUP(C65,'BD Altres'!$D$74:$H$84,3,FALSE) / 12) * H65*0.25</f>
        <v>184.59094577097494</v>
      </c>
      <c r="K65">
        <f>(VLOOKUP(B65,'BD ASVICC'!$A$6:$GR$316,199,FALSE) / 12)*0.3</f>
        <v>4.9999999999999996E-2</v>
      </c>
      <c r="L65" s="846">
        <f>I65*'1. Cops de calor'!$C$32/30</f>
        <v>302.64186919220782</v>
      </c>
      <c r="M65" s="846">
        <f>J65*'1. Cops de calor'!$C$33/30</f>
        <v>922.9547288548747</v>
      </c>
      <c r="N65" s="846">
        <f>K65*'1. Cops de calor'!$C$34*0.25/30</f>
        <v>787.49999999999989</v>
      </c>
      <c r="O65" s="779">
        <f t="shared" si="4"/>
        <v>14695.6051657437</v>
      </c>
      <c r="P65" s="848">
        <f>O65*'A. Dades de partida'!$D$10</f>
        <v>220434.0774861555</v>
      </c>
      <c r="Q65">
        <f t="shared" si="5"/>
        <v>10.5</v>
      </c>
      <c r="R65">
        <f t="shared" si="6"/>
        <v>0.44999999999999996</v>
      </c>
      <c r="S65">
        <f>I65+(I65*'1. Cops de calor'!$C$40)</f>
        <v>22.296963758160796</v>
      </c>
      <c r="T65">
        <f>J65*'1. Cops de calor'!$C$41+J65</f>
        <v>198.43526670379805</v>
      </c>
      <c r="U65">
        <f>'1. Cops de calor'!$C$42*K65+K65</f>
        <v>5.1999999999999998E-2</v>
      </c>
      <c r="V65">
        <f>S65*'1. Cops de calor'!$C$32/30</f>
        <v>319.58981386697144</v>
      </c>
      <c r="W65">
        <f>T65*'1. Cops de calor'!$C$33/30</f>
        <v>992.17633351899019</v>
      </c>
      <c r="X65">
        <f>K65*'1. Cops de calor'!$C$34/30</f>
        <v>3149.9999999999995</v>
      </c>
      <c r="Y65">
        <f t="shared" si="7"/>
        <v>4461.7661473859607</v>
      </c>
      <c r="Z65" s="849">
        <f>Y65*(Q65+R65)*'A. Dades de partida'!$D$10</f>
        <v>732845.08970814408</v>
      </c>
      <c r="AA65" s="850">
        <f t="shared" si="8"/>
        <v>512411.01222198858</v>
      </c>
      <c r="AB65" t="str">
        <f>VLOOKUP(B65,'BD ASVICC'!$A$6:$BG$316,59,FALSE)</f>
        <v>PREPIRINEU-PIRINEU</v>
      </c>
      <c r="AC65">
        <f t="shared" si="0"/>
        <v>0.5</v>
      </c>
      <c r="AD65">
        <f t="shared" si="1"/>
        <v>0.5</v>
      </c>
    </row>
    <row r="66" spans="1:30">
      <c r="A66">
        <v>8063</v>
      </c>
      <c r="B66" t="s">
        <v>1008</v>
      </c>
      <c r="C66" t="s">
        <v>81</v>
      </c>
      <c r="D66">
        <f>VLOOKUP(A66,'temperatures màximes'!$A$4:$U$314,'temperatures màximes'!U$1,FALSE)</f>
        <v>77</v>
      </c>
      <c r="E66">
        <f>VLOOKUP(A66,'nits tropicals'!$A$4:$U$314,'nits tropicals'!U$1,FALSE)</f>
        <v>2</v>
      </c>
      <c r="F66">
        <f t="shared" si="2"/>
        <v>7.7</v>
      </c>
      <c r="G66">
        <f t="shared" si="3"/>
        <v>0.2</v>
      </c>
      <c r="H66" s="840">
        <f>VLOOKUP(B66,'BD ASVICC'!$A$6:$X$316,24,FALSE)/VLOOKUP(C66,'BD Comarcal'!$A$6:$Z$17,26,FALSE)</f>
        <v>4.8764297385620915E-3</v>
      </c>
      <c r="I66" s="839">
        <f>(VLOOKUP(C66,'BD Altres'!$D$74:$H$84,5,FALSE) * 1000 / 12) * H66*0.035</f>
        <v>4.0678453396453937</v>
      </c>
      <c r="J66" s="839">
        <f>(VLOOKUP(C66,'BD Altres'!$D$74:$H$84,3,FALSE) / 12) * H66*0.25</f>
        <v>1.9645258778878774</v>
      </c>
      <c r="K66">
        <f>(VLOOKUP(B66,'BD ASVICC'!$A$6:$GR$316,199,FALSE) / 12)*0.3</f>
        <v>0.19999999999999998</v>
      </c>
      <c r="L66" s="846">
        <f>I66*'1. Cops de calor'!$C$32/30</f>
        <v>58.305783201583978</v>
      </c>
      <c r="M66" s="846">
        <f>J66*'1. Cops de calor'!$C$33/30</f>
        <v>9.8226293894393866</v>
      </c>
      <c r="N66" s="846">
        <f>K66*'1. Cops de calor'!$C$34*0.25/30</f>
        <v>3149.9999999999995</v>
      </c>
      <c r="O66" s="779">
        <f t="shared" si="4"/>
        <v>25423.214459469084</v>
      </c>
      <c r="P66" s="848">
        <f>O66*'A. Dades de partida'!$D$10</f>
        <v>381348.21689203626</v>
      </c>
      <c r="Q66">
        <f t="shared" si="5"/>
        <v>11.55</v>
      </c>
      <c r="R66">
        <f t="shared" si="6"/>
        <v>0.30000000000000004</v>
      </c>
      <c r="S66">
        <f>I66+(I66*'1. Cops de calor'!$C$40)</f>
        <v>4.2956446786655356</v>
      </c>
      <c r="T66">
        <f>J66*'1. Cops de calor'!$C$41+J66</f>
        <v>2.111865318729468</v>
      </c>
      <c r="U66">
        <f>'1. Cops de calor'!$C$42*K66+K66</f>
        <v>0.20799999999999999</v>
      </c>
      <c r="V66">
        <f>S66*'1. Cops de calor'!$C$32/30</f>
        <v>61.570907060872671</v>
      </c>
      <c r="W66">
        <f>T66*'1. Cops de calor'!$C$33/30</f>
        <v>10.55932659364734</v>
      </c>
      <c r="X66">
        <f>K66*'1. Cops de calor'!$C$34/30</f>
        <v>12599.999999999998</v>
      </c>
      <c r="Y66">
        <f t="shared" si="7"/>
        <v>12672.130233654518</v>
      </c>
      <c r="Z66" s="849">
        <f>Y66*(Q66+R66)*'A. Dades de partida'!$D$10</f>
        <v>2252471.1490320908</v>
      </c>
      <c r="AA66" s="850">
        <f t="shared" si="8"/>
        <v>1871122.9321400546</v>
      </c>
      <c r="AB66" t="str">
        <f>VLOOKUP(B66,'BD ASVICC'!$A$6:$BG$316,59,FALSE)</f>
        <v>CENTRAL</v>
      </c>
      <c r="AC66">
        <f t="shared" si="0"/>
        <v>0.5</v>
      </c>
      <c r="AD66">
        <f t="shared" si="1"/>
        <v>0.5</v>
      </c>
    </row>
    <row r="67" spans="1:30">
      <c r="A67">
        <v>8064</v>
      </c>
      <c r="B67" t="s">
        <v>1012</v>
      </c>
      <c r="C67" t="s">
        <v>24</v>
      </c>
      <c r="D67">
        <f>VLOOKUP(A67,'temperatures màximes'!$A$4:$U$314,'temperatures màximes'!U$1,FALSE)</f>
        <v>42</v>
      </c>
      <c r="E67">
        <f>VLOOKUP(A67,'nits tropicals'!$A$4:$U$314,'nits tropicals'!U$1,FALSE)</f>
        <v>8</v>
      </c>
      <c r="F67">
        <f t="shared" si="2"/>
        <v>4.2</v>
      </c>
      <c r="G67">
        <f t="shared" si="3"/>
        <v>0.8</v>
      </c>
      <c r="H67" s="840">
        <f>VLOOKUP(B67,'BD ASVICC'!$A$6:$X$316,24,FALSE)/VLOOKUP(C67,'BD Comarcal'!$A$6:$Z$17,26,FALSE)</f>
        <v>5.8579053067489249E-3</v>
      </c>
      <c r="I67" s="839">
        <f>(VLOOKUP(C67,'BD Altres'!$D$74:$H$84,5,FALSE) * 1000 / 12) * H67*0.035</f>
        <v>41.4554103971046</v>
      </c>
      <c r="J67" s="839">
        <f>(VLOOKUP(C67,'BD Altres'!$D$74:$H$84,3,FALSE) / 12) * H67*0.25</f>
        <v>9.3200145625117035</v>
      </c>
      <c r="K67">
        <f>(VLOOKUP(B67,'BD ASVICC'!$A$6:$GR$316,199,FALSE) / 12)*0.3</f>
        <v>0.87499999999999989</v>
      </c>
      <c r="L67" s="846">
        <f>I67*'1. Cops de calor'!$C$32/30</f>
        <v>594.1942156918326</v>
      </c>
      <c r="M67" s="846">
        <f>J67*'1. Cops de calor'!$C$33/30</f>
        <v>46.600072812558523</v>
      </c>
      <c r="N67" s="846">
        <f>K67*'1. Cops de calor'!$C$34*0.25/30</f>
        <v>13781.249999999996</v>
      </c>
      <c r="O67" s="779">
        <f t="shared" si="4"/>
        <v>72110.221442521928</v>
      </c>
      <c r="P67" s="848">
        <f>O67*'A. Dades de partida'!$D$10</f>
        <v>1081653.3216378288</v>
      </c>
      <c r="Q67">
        <f t="shared" si="5"/>
        <v>6.3000000000000007</v>
      </c>
      <c r="R67">
        <f t="shared" si="6"/>
        <v>1.2000000000000002</v>
      </c>
      <c r="S67">
        <f>I67+(I67*'1. Cops de calor'!$C$40)</f>
        <v>43.77691337934246</v>
      </c>
      <c r="T67">
        <f>J67*'1. Cops de calor'!$C$41+J67</f>
        <v>10.01901565470008</v>
      </c>
      <c r="U67">
        <f>'1. Cops de calor'!$C$42*K67+K67</f>
        <v>0.90999999999999992</v>
      </c>
      <c r="V67">
        <f>S67*'1. Cops de calor'!$C$32/30</f>
        <v>627.46909177057523</v>
      </c>
      <c r="W67">
        <f>T67*'1. Cops de calor'!$C$33/30</f>
        <v>50.095078273500398</v>
      </c>
      <c r="X67">
        <f>K67*'1. Cops de calor'!$C$34/30</f>
        <v>55124.999999999985</v>
      </c>
      <c r="Y67">
        <f t="shared" si="7"/>
        <v>55802.564170044061</v>
      </c>
      <c r="Z67" s="849">
        <f>Y67*(Q67+R67)*'A. Dades de partida'!$D$10</f>
        <v>6277788.4691299582</v>
      </c>
      <c r="AA67" s="850">
        <f t="shared" si="8"/>
        <v>5196135.1474921294</v>
      </c>
      <c r="AB67" t="str">
        <f>VLOOKUP(B67,'BD ASVICC'!$A$6:$BG$316,59,FALSE)</f>
        <v>PREPIRINEU-PIRINEU</v>
      </c>
      <c r="AC67">
        <f t="shared" si="0"/>
        <v>0.5</v>
      </c>
      <c r="AD67">
        <f t="shared" si="1"/>
        <v>0.5</v>
      </c>
    </row>
    <row r="68" spans="1:30">
      <c r="A68">
        <v>8065</v>
      </c>
      <c r="B68" t="s">
        <v>1014</v>
      </c>
      <c r="C68" t="s">
        <v>791</v>
      </c>
      <c r="D68">
        <f>VLOOKUP(A68,'temperatures màximes'!$A$4:$U$314,'temperatures màximes'!U$1,FALSE)</f>
        <v>25</v>
      </c>
      <c r="E68">
        <f>VLOOKUP(A68,'nits tropicals'!$A$4:$U$314,'nits tropicals'!U$1,FALSE)</f>
        <v>10</v>
      </c>
      <c r="F68">
        <f t="shared" si="2"/>
        <v>2.5</v>
      </c>
      <c r="G68">
        <f t="shared" si="3"/>
        <v>1</v>
      </c>
      <c r="H68" s="840">
        <f>VLOOKUP(B68,'BD ASVICC'!$A$6:$X$316,24,FALSE)/VLOOKUP(C68,'BD Comarcal'!$A$6:$Z$17,26,FALSE)</f>
        <v>1.4537755822159493E-2</v>
      </c>
      <c r="I68" s="839">
        <f>(VLOOKUP(C68,'BD Altres'!$D$74:$H$84,5,FALSE) * 1000 / 12) * H68*0.035</f>
        <v>28.764459401614484</v>
      </c>
      <c r="J68" s="839">
        <f>(VLOOKUP(C68,'BD Altres'!$D$74:$H$84,3,FALSE) / 12) * H68*0.25</f>
        <v>3.7261554901810343</v>
      </c>
      <c r="K68">
        <f>(VLOOKUP(B68,'BD ASVICC'!$A$6:$GR$316,199,FALSE) / 12)*0.3</f>
        <v>0.22499999999999998</v>
      </c>
      <c r="L68" s="846">
        <f>I68*'1. Cops de calor'!$C$32/30</f>
        <v>412.29058475647429</v>
      </c>
      <c r="M68" s="846">
        <f>J68*'1. Cops de calor'!$C$33/30</f>
        <v>18.630777450905171</v>
      </c>
      <c r="N68" s="846">
        <f>K68*'1. Cops de calor'!$C$34*0.25/30</f>
        <v>3543.7499999999991</v>
      </c>
      <c r="O68" s="779">
        <f t="shared" si="4"/>
        <v>13911.349767725824</v>
      </c>
      <c r="P68" s="848">
        <f>O68*'A. Dades de partida'!$D$10</f>
        <v>208670.24651588735</v>
      </c>
      <c r="Q68">
        <f t="shared" si="5"/>
        <v>3.75</v>
      </c>
      <c r="R68">
        <f t="shared" si="6"/>
        <v>1.5</v>
      </c>
      <c r="S68">
        <f>I68+(I68*'1. Cops de calor'!$C$40)</f>
        <v>30.375269128104897</v>
      </c>
      <c r="T68">
        <f>J68*'1. Cops de calor'!$C$41+J68</f>
        <v>4.0056171519446115</v>
      </c>
      <c r="U68">
        <f>'1. Cops de calor'!$C$42*K68+K68</f>
        <v>0.23399999999999999</v>
      </c>
      <c r="V68">
        <f>S68*'1. Cops de calor'!$C$32/30</f>
        <v>435.37885750283681</v>
      </c>
      <c r="W68">
        <f>T68*'1. Cops de calor'!$C$33/30</f>
        <v>20.028085759723059</v>
      </c>
      <c r="X68">
        <f>K68*'1. Cops de calor'!$C$34/30</f>
        <v>14174.999999999996</v>
      </c>
      <c r="Y68">
        <f t="shared" si="7"/>
        <v>14630.406943262557</v>
      </c>
      <c r="Z68" s="849">
        <f>Y68*(Q68+R68)*'A. Dades de partida'!$D$10</f>
        <v>1152144.5467819264</v>
      </c>
      <c r="AA68" s="850">
        <f t="shared" si="8"/>
        <v>943474.30026603909</v>
      </c>
      <c r="AB68" t="str">
        <f>VLOOKUP(B68,'BD ASVICC'!$A$6:$BG$316,59,FALSE)</f>
        <v>LITORAL</v>
      </c>
      <c r="AC68">
        <f t="shared" ref="AC68:AC131" si="9">VLOOKUP(AB68,Taulatend,2,FALSE)</f>
        <v>0.5</v>
      </c>
      <c r="AD68">
        <f t="shared" ref="AD68:AD131" si="10">VLOOKUP(AB68,Taulatend,3,FALSE)</f>
        <v>0.5</v>
      </c>
    </row>
    <row r="69" spans="1:30">
      <c r="A69">
        <v>8066</v>
      </c>
      <c r="B69" t="s">
        <v>1021</v>
      </c>
      <c r="C69" t="s">
        <v>90</v>
      </c>
      <c r="D69">
        <f>VLOOKUP(A69,'temperatures màximes'!$A$4:$U$314,'temperatures màximes'!U$1,FALSE)</f>
        <v>102</v>
      </c>
      <c r="E69">
        <f>VLOOKUP(A69,'nits tropicals'!$A$4:$U$314,'nits tropicals'!U$1,FALSE)</f>
        <v>125</v>
      </c>
      <c r="F69">
        <f t="shared" ref="F69:F132" si="11">D69/10</f>
        <v>10.199999999999999</v>
      </c>
      <c r="G69">
        <f t="shared" ref="G69:G132" si="12">E69/10</f>
        <v>12.5</v>
      </c>
      <c r="H69" s="840">
        <f>VLOOKUP(B69,'BD ASVICC'!$A$6:$X$316,24,FALSE)/VLOOKUP(C69,'BD Comarcal'!$A$6:$Z$17,26,FALSE)</f>
        <v>2.2311864800224229E-3</v>
      </c>
      <c r="I69" s="839">
        <f>(VLOOKUP(C69,'BD Altres'!$D$74:$H$84,5,FALSE) * 1000 / 12) * H69*0.035</f>
        <v>4.1116040283369184</v>
      </c>
      <c r="J69" s="839">
        <f>(VLOOKUP(C69,'BD Altres'!$D$74:$H$84,3,FALSE) / 12) * H69*0.25</f>
        <v>12.540176897567857</v>
      </c>
      <c r="K69">
        <f>(VLOOKUP(B69,'BD ASVICC'!$A$6:$GR$316,199,FALSE) / 12)*0.3</f>
        <v>0.3</v>
      </c>
      <c r="L69" s="846">
        <f>I69*'1. Cops de calor'!$C$32/30</f>
        <v>58.932991072829161</v>
      </c>
      <c r="M69" s="846">
        <f>J69*'1. Cops de calor'!$C$33/30</f>
        <v>62.700884487839289</v>
      </c>
      <c r="N69" s="846">
        <f>K69*'1. Cops de calor'!$C$34*0.25/30</f>
        <v>4724.9999999999991</v>
      </c>
      <c r="O69" s="779">
        <f t="shared" ref="O69:O132" si="13">(L69+M69+N69)*(F69+G69)</f>
        <v>110018.58897522715</v>
      </c>
      <c r="P69" s="848">
        <f>O69*'A. Dades de partida'!$D$10</f>
        <v>1650278.8346284071</v>
      </c>
      <c r="Q69">
        <f t="shared" ref="Q69:Q132" si="14">F69*(1+AC69)</f>
        <v>15.299999999999999</v>
      </c>
      <c r="R69">
        <f t="shared" ref="R69:R132" si="15">G69*(1+AD69)</f>
        <v>18.75</v>
      </c>
      <c r="S69">
        <f>I69+(I69*'1. Cops de calor'!$C$40)</f>
        <v>4.3418538539237854</v>
      </c>
      <c r="T69">
        <f>J69*'1. Cops de calor'!$C$41+J69</f>
        <v>13.480690164885447</v>
      </c>
      <c r="U69">
        <f>'1. Cops de calor'!$C$42*K69+K69</f>
        <v>0.312</v>
      </c>
      <c r="V69">
        <f>S69*'1. Cops de calor'!$C$32/30</f>
        <v>62.233238572907588</v>
      </c>
      <c r="W69">
        <f>T69*'1. Cops de calor'!$C$33/30</f>
        <v>67.403450824427239</v>
      </c>
      <c r="X69">
        <f>K69*'1. Cops de calor'!$C$34/30</f>
        <v>18899.999999999996</v>
      </c>
      <c r="Y69">
        <f t="shared" ref="Y69:Y132" si="16">SUM(V69:X69)</f>
        <v>19029.636689397332</v>
      </c>
      <c r="Z69" s="849">
        <f>Y69*(Q69+R69)*'A. Dades de partida'!$D$10</f>
        <v>9719386.9391096868</v>
      </c>
      <c r="AA69" s="850">
        <f t="shared" ref="AA69:AA132" si="17">Z69-P69</f>
        <v>8069108.1044812799</v>
      </c>
      <c r="AB69" t="str">
        <f>VLOOKUP(B69,'BD ASVICC'!$A$6:$BG$316,59,FALSE)</f>
        <v>LITORAL</v>
      </c>
      <c r="AC69">
        <f t="shared" si="9"/>
        <v>0.5</v>
      </c>
      <c r="AD69">
        <f t="shared" si="10"/>
        <v>0.5</v>
      </c>
    </row>
    <row r="70" spans="1:30">
      <c r="A70">
        <v>8067</v>
      </c>
      <c r="B70" t="s">
        <v>1025</v>
      </c>
      <c r="C70" t="s">
        <v>88</v>
      </c>
      <c r="D70">
        <f>VLOOKUP(A70,'temperatures màximes'!$A$4:$U$314,'temperatures màximes'!U$1,FALSE)</f>
        <v>83</v>
      </c>
      <c r="E70">
        <f>VLOOKUP(A70,'nits tropicals'!$A$4:$U$314,'nits tropicals'!U$1,FALSE)</f>
        <v>0</v>
      </c>
      <c r="F70">
        <f t="shared" si="11"/>
        <v>8.3000000000000007</v>
      </c>
      <c r="G70">
        <f t="shared" si="12"/>
        <v>0</v>
      </c>
      <c r="H70" s="840">
        <f>VLOOKUP(B70,'BD ASVICC'!$A$6:$X$316,24,FALSE)/VLOOKUP(C70,'BD Comarcal'!$A$6:$Z$17,26,FALSE)</f>
        <v>4.7609563032876938E-2</v>
      </c>
      <c r="I70" s="839">
        <f>(VLOOKUP(C70,'BD Altres'!$D$74:$H$84,5,FALSE) * 1000 / 12) * H70*0.035</f>
        <v>52.975557533040785</v>
      </c>
      <c r="J70" s="839">
        <f>(VLOOKUP(C70,'BD Altres'!$D$74:$H$84,3,FALSE) / 12) * H70*0.25</f>
        <v>33.891065818132752</v>
      </c>
      <c r="K70">
        <f>(VLOOKUP(B70,'BD ASVICC'!$A$6:$GR$316,199,FALSE) / 12)*0.3</f>
        <v>1.7999999999999998</v>
      </c>
      <c r="L70" s="846">
        <f>I70*'1. Cops de calor'!$C$32/30</f>
        <v>759.3163246402512</v>
      </c>
      <c r="M70" s="846">
        <f>J70*'1. Cops de calor'!$C$33/30</f>
        <v>169.45532909066375</v>
      </c>
      <c r="N70" s="846">
        <f>K70*'1. Cops de calor'!$C$34*0.25/30</f>
        <v>28349.999999999993</v>
      </c>
      <c r="O70" s="779">
        <f t="shared" si="13"/>
        <v>243013.80472596653</v>
      </c>
      <c r="P70" s="848">
        <f>O70*'A. Dades de partida'!$D$10</f>
        <v>3645207.0708894981</v>
      </c>
      <c r="Q70">
        <f t="shared" si="14"/>
        <v>12.450000000000001</v>
      </c>
      <c r="R70">
        <f t="shared" si="15"/>
        <v>0</v>
      </c>
      <c r="S70">
        <f>I70+(I70*'1. Cops de calor'!$C$40)</f>
        <v>55.94218875489107</v>
      </c>
      <c r="T70">
        <f>J70*'1. Cops de calor'!$C$41+J70</f>
        <v>36.432895754492705</v>
      </c>
      <c r="U70">
        <f>'1. Cops de calor'!$C$42*K70+K70</f>
        <v>1.8719999999999999</v>
      </c>
      <c r="V70">
        <f>S70*'1. Cops de calor'!$C$32/30</f>
        <v>801.83803882010534</v>
      </c>
      <c r="W70">
        <f>T70*'1. Cops de calor'!$C$33/30</f>
        <v>182.16447877246353</v>
      </c>
      <c r="X70">
        <f>K70*'1. Cops de calor'!$C$34/30</f>
        <v>113399.99999999997</v>
      </c>
      <c r="Y70">
        <f t="shared" si="16"/>
        <v>114384.00251759254</v>
      </c>
      <c r="Z70" s="849">
        <f>Y70*(Q70+R70)*'A. Dades de partida'!$D$10</f>
        <v>21361212.47016041</v>
      </c>
      <c r="AA70" s="850">
        <f t="shared" si="17"/>
        <v>17716005.399270911</v>
      </c>
      <c r="AB70" t="str">
        <f>VLOOKUP(B70,'BD ASVICC'!$A$6:$BG$316,59,FALSE)</f>
        <v>PREPIRINEU-PIRINEU</v>
      </c>
      <c r="AC70">
        <f t="shared" si="9"/>
        <v>0.5</v>
      </c>
      <c r="AD70">
        <f t="shared" si="10"/>
        <v>0.5</v>
      </c>
    </row>
    <row r="71" spans="1:30">
      <c r="A71">
        <v>8068</v>
      </c>
      <c r="B71" t="s">
        <v>1027</v>
      </c>
      <c r="C71" t="s">
        <v>90</v>
      </c>
      <c r="D71">
        <f>VLOOKUP(A71,'temperatures màximes'!$A$4:$U$314,'temperatures màximes'!U$1,FALSE)</f>
        <v>102</v>
      </c>
      <c r="E71">
        <f>VLOOKUP(A71,'nits tropicals'!$A$4:$U$314,'nits tropicals'!U$1,FALSE)</f>
        <v>125</v>
      </c>
      <c r="F71">
        <f t="shared" si="11"/>
        <v>10.199999999999999</v>
      </c>
      <c r="G71">
        <f t="shared" si="12"/>
        <v>12.5</v>
      </c>
      <c r="H71" s="840">
        <f>VLOOKUP(B71,'BD ASVICC'!$A$6:$X$316,24,FALSE)/VLOOKUP(C71,'BD Comarcal'!$A$6:$Z$17,26,FALSE)</f>
        <v>1.0941086552008129E-2</v>
      </c>
      <c r="I71" s="839">
        <f>(VLOOKUP(C71,'BD Altres'!$D$74:$H$84,5,FALSE) * 1000 / 12) * H71*0.035</f>
        <v>20.1621047565542</v>
      </c>
      <c r="J71" s="839">
        <f>(VLOOKUP(C71,'BD Altres'!$D$74:$H$84,3,FALSE) / 12) * H71*0.25</f>
        <v>61.493363303458104</v>
      </c>
      <c r="K71">
        <f>(VLOOKUP(B71,'BD ASVICC'!$A$6:$GR$316,199,FALSE) / 12)*0.3</f>
        <v>1.85</v>
      </c>
      <c r="L71" s="846">
        <f>I71*'1. Cops de calor'!$C$32/30</f>
        <v>288.99016817727687</v>
      </c>
      <c r="M71" s="846">
        <f>J71*'1. Cops de calor'!$C$33/30</f>
        <v>307.46681651729051</v>
      </c>
      <c r="N71" s="846">
        <f>K71*'1. Cops de calor'!$C$34*0.25/30</f>
        <v>29137.499999999996</v>
      </c>
      <c r="O71" s="779">
        <f t="shared" si="13"/>
        <v>674960.82355256658</v>
      </c>
      <c r="P71" s="848">
        <f>O71*'A. Dades de partida'!$D$10</f>
        <v>10124412.353288498</v>
      </c>
      <c r="Q71">
        <f t="shared" si="14"/>
        <v>15.299999999999999</v>
      </c>
      <c r="R71">
        <f t="shared" si="15"/>
        <v>18.75</v>
      </c>
      <c r="S71">
        <f>I71+(I71*'1. Cops de calor'!$C$40)</f>
        <v>21.291182622921234</v>
      </c>
      <c r="T71">
        <f>J71*'1. Cops de calor'!$C$41+J71</f>
        <v>66.10536555121746</v>
      </c>
      <c r="U71">
        <f>'1. Cops de calor'!$C$42*K71+K71</f>
        <v>1.9240000000000002</v>
      </c>
      <c r="V71">
        <f>S71*'1. Cops de calor'!$C$32/30</f>
        <v>305.17361759520435</v>
      </c>
      <c r="W71">
        <f>T71*'1. Cops de calor'!$C$33/30</f>
        <v>330.5268277560873</v>
      </c>
      <c r="X71">
        <f>K71*'1. Cops de calor'!$C$34/30</f>
        <v>116549.99999999999</v>
      </c>
      <c r="Y71">
        <f t="shared" si="16"/>
        <v>117185.70044535128</v>
      </c>
      <c r="Z71" s="849">
        <f>Y71*(Q71+R71)*'A. Dades de partida'!$D$10</f>
        <v>59852596.502463162</v>
      </c>
      <c r="AA71" s="850">
        <f t="shared" si="17"/>
        <v>49728184.14917466</v>
      </c>
      <c r="AB71" t="str">
        <f>VLOOKUP(B71,'BD ASVICC'!$A$6:$BG$316,59,FALSE)</f>
        <v>LITORAL</v>
      </c>
      <c r="AC71">
        <f t="shared" si="9"/>
        <v>0.5</v>
      </c>
      <c r="AD71">
        <f t="shared" si="10"/>
        <v>0.5</v>
      </c>
    </row>
    <row r="72" spans="1:30">
      <c r="A72">
        <v>8069</v>
      </c>
      <c r="B72" t="s">
        <v>1030</v>
      </c>
      <c r="C72" t="s">
        <v>90</v>
      </c>
      <c r="D72">
        <f>VLOOKUP(A72,'temperatures màximes'!$A$4:$U$314,'temperatures màximes'!U$1,FALSE)</f>
        <v>35</v>
      </c>
      <c r="E72">
        <f>VLOOKUP(A72,'nits tropicals'!$A$4:$U$314,'nits tropicals'!U$1,FALSE)</f>
        <v>45</v>
      </c>
      <c r="F72">
        <f t="shared" si="11"/>
        <v>3.5</v>
      </c>
      <c r="G72">
        <f t="shared" si="12"/>
        <v>4.5</v>
      </c>
      <c r="H72" s="840">
        <f>VLOOKUP(B72,'BD ASVICC'!$A$6:$X$316,24,FALSE)/VLOOKUP(C72,'BD Comarcal'!$A$6:$Z$17,26,FALSE)</f>
        <v>5.4279445302593092E-3</v>
      </c>
      <c r="I72" s="839">
        <f>(VLOOKUP(C72,'BD Altres'!$D$74:$H$84,5,FALSE) * 1000 / 12) * H72*0.035</f>
        <v>10.002551913984004</v>
      </c>
      <c r="J72" s="839">
        <f>(VLOOKUP(C72,'BD Altres'!$D$74:$H$84,3,FALSE) / 12) * H72*0.25</f>
        <v>30.507259347929335</v>
      </c>
      <c r="K72">
        <f>(VLOOKUP(B72,'BD ASVICC'!$A$6:$GR$316,199,FALSE) / 12)*0.3</f>
        <v>0.79999999999999993</v>
      </c>
      <c r="L72" s="846">
        <f>I72*'1. Cops de calor'!$C$32/30</f>
        <v>143.36991076710405</v>
      </c>
      <c r="M72" s="846">
        <f>J72*'1. Cops de calor'!$C$33/30</f>
        <v>152.53629673964667</v>
      </c>
      <c r="N72" s="846">
        <f>K72*'1. Cops de calor'!$C$34*0.25/30</f>
        <v>12599.999999999998</v>
      </c>
      <c r="O72" s="779">
        <f t="shared" si="13"/>
        <v>103167.24966005399</v>
      </c>
      <c r="P72" s="848">
        <f>O72*'A. Dades de partida'!$D$10</f>
        <v>1547508.7449008098</v>
      </c>
      <c r="Q72">
        <f t="shared" si="14"/>
        <v>5.25</v>
      </c>
      <c r="R72">
        <f t="shared" si="15"/>
        <v>6.75</v>
      </c>
      <c r="S72">
        <f>I72+(I72*'1. Cops de calor'!$C$40)</f>
        <v>10.562694821167108</v>
      </c>
      <c r="T72">
        <f>J72*'1. Cops de calor'!$C$41+J72</f>
        <v>32.795303799024033</v>
      </c>
      <c r="U72">
        <f>'1. Cops de calor'!$C$42*K72+K72</f>
        <v>0.83199999999999996</v>
      </c>
      <c r="V72">
        <f>S72*'1. Cops de calor'!$C$32/30</f>
        <v>151.39862577006187</v>
      </c>
      <c r="W72">
        <f>T72*'1. Cops de calor'!$C$33/30</f>
        <v>163.97651899512019</v>
      </c>
      <c r="X72">
        <f>K72*'1. Cops de calor'!$C$34/30</f>
        <v>50399.999999999993</v>
      </c>
      <c r="Y72">
        <f t="shared" si="16"/>
        <v>50715.375144765174</v>
      </c>
      <c r="Z72" s="849">
        <f>Y72*(Q72+R72)*'A. Dades de partida'!$D$10</f>
        <v>9128767.5260577314</v>
      </c>
      <c r="AA72" s="850">
        <f t="shared" si="17"/>
        <v>7581258.7811569218</v>
      </c>
      <c r="AB72" t="str">
        <f>VLOOKUP(B72,'BD ASVICC'!$A$6:$BG$316,59,FALSE)</f>
        <v>CENTRAL</v>
      </c>
      <c r="AC72">
        <f t="shared" si="9"/>
        <v>0.5</v>
      </c>
      <c r="AD72">
        <f t="shared" si="10"/>
        <v>0.5</v>
      </c>
    </row>
    <row r="73" spans="1:30">
      <c r="A73">
        <v>8070</v>
      </c>
      <c r="B73" t="s">
        <v>1034</v>
      </c>
      <c r="C73" t="s">
        <v>88</v>
      </c>
      <c r="D73">
        <f>VLOOKUP(A73,'temperatures màximes'!$A$4:$U$314,'temperatures màximes'!U$1,FALSE)</f>
        <v>4</v>
      </c>
      <c r="E73">
        <f>VLOOKUP(A73,'nits tropicals'!$A$4:$U$314,'nits tropicals'!U$1,FALSE)</f>
        <v>9</v>
      </c>
      <c r="F73">
        <f t="shared" si="11"/>
        <v>0.4</v>
      </c>
      <c r="G73">
        <f t="shared" si="12"/>
        <v>0.9</v>
      </c>
      <c r="H73" s="840">
        <f>VLOOKUP(B73,'BD ASVICC'!$A$6:$X$316,24,FALSE)/VLOOKUP(C73,'BD Comarcal'!$A$6:$Z$17,26,FALSE)</f>
        <v>2.2423397433838127E-3</v>
      </c>
      <c r="I73" s="839">
        <f>(VLOOKUP(C73,'BD Altres'!$D$74:$H$84,5,FALSE) * 1000 / 12) * H73*0.035</f>
        <v>2.4950701186276967</v>
      </c>
      <c r="J73" s="839">
        <f>(VLOOKUP(C73,'BD Altres'!$D$74:$H$84,3,FALSE) / 12) * H73*0.25</f>
        <v>1.5962188894100311</v>
      </c>
      <c r="K73">
        <f>(VLOOKUP(B73,'BD ASVICC'!$A$6:$GR$316,199,FALSE) / 12)*0.3</f>
        <v>0</v>
      </c>
      <c r="L73" s="846">
        <f>I73*'1. Cops de calor'!$C$32/30</f>
        <v>35.762671700330316</v>
      </c>
      <c r="M73" s="846">
        <f>J73*'1. Cops de calor'!$C$33/30</f>
        <v>7.9810944470501557</v>
      </c>
      <c r="N73" s="846">
        <f>K73*'1. Cops de calor'!$C$34*0.25/30</f>
        <v>0</v>
      </c>
      <c r="O73" s="779">
        <f t="shared" si="13"/>
        <v>56.86689599159461</v>
      </c>
      <c r="P73" s="848">
        <f>O73*'A. Dades de partida'!$D$10</f>
        <v>853.00343987391921</v>
      </c>
      <c r="Q73">
        <f t="shared" si="14"/>
        <v>0.60000000000000009</v>
      </c>
      <c r="R73">
        <f t="shared" si="15"/>
        <v>1.35</v>
      </c>
      <c r="S73">
        <f>I73+(I73*'1. Cops de calor'!$C$40)</f>
        <v>2.6347940452708478</v>
      </c>
      <c r="T73">
        <f>J73*'1. Cops de calor'!$C$41+J73</f>
        <v>1.7159353061157834</v>
      </c>
      <c r="U73">
        <f>'1. Cops de calor'!$C$42*K73+K73</f>
        <v>0</v>
      </c>
      <c r="V73">
        <f>S73*'1. Cops de calor'!$C$32/30</f>
        <v>37.765381315548815</v>
      </c>
      <c r="W73">
        <f>T73*'1. Cops de calor'!$C$33/30</f>
        <v>8.5796765305789169</v>
      </c>
      <c r="X73">
        <f>K73*'1. Cops de calor'!$C$34/30</f>
        <v>0</v>
      </c>
      <c r="Y73">
        <f t="shared" si="16"/>
        <v>46.34505784612773</v>
      </c>
      <c r="Z73" s="849">
        <f>Y73*(Q73+R73)*'A. Dades de partida'!$D$10</f>
        <v>1355.5929419992362</v>
      </c>
      <c r="AA73" s="850">
        <f t="shared" si="17"/>
        <v>502.58950212531704</v>
      </c>
      <c r="AB73" t="str">
        <f>VLOOKUP(B73,'BD ASVICC'!$A$6:$BG$316,59,FALSE)</f>
        <v>PREPIRINEU-PIRINEU</v>
      </c>
      <c r="AC73">
        <f t="shared" si="9"/>
        <v>0.5</v>
      </c>
      <c r="AD73">
        <f t="shared" si="10"/>
        <v>0.5</v>
      </c>
    </row>
    <row r="74" spans="1:30">
      <c r="A74">
        <v>8071</v>
      </c>
      <c r="B74" t="s">
        <v>1037</v>
      </c>
      <c r="C74" t="s">
        <v>81</v>
      </c>
      <c r="D74">
        <f>VLOOKUP(A74,'temperatures màximes'!$A$4:$U$314,'temperatures màximes'!U$1,FALSE)</f>
        <v>77</v>
      </c>
      <c r="E74">
        <f>VLOOKUP(A74,'nits tropicals'!$A$4:$U$314,'nits tropicals'!U$1,FALSE)</f>
        <v>2</v>
      </c>
      <c r="F74">
        <f t="shared" si="11"/>
        <v>7.7</v>
      </c>
      <c r="G74">
        <f t="shared" si="12"/>
        <v>0.2</v>
      </c>
      <c r="H74" s="840">
        <f>VLOOKUP(B74,'BD ASVICC'!$A$6:$X$316,24,FALSE)/VLOOKUP(C74,'BD Comarcal'!$A$6:$Z$17,26,FALSE)</f>
        <v>2.5531045751633987E-3</v>
      </c>
      <c r="I74" s="839">
        <f>(VLOOKUP(C74,'BD Altres'!$D$74:$H$84,5,FALSE) * 1000 / 12) * H74*0.035</f>
        <v>2.1297619579295257</v>
      </c>
      <c r="J74" s="839">
        <f>(VLOOKUP(C74,'BD Altres'!$D$74:$H$84,3,FALSE) / 12) * H74*0.25</f>
        <v>1.0285475800460091</v>
      </c>
      <c r="K74">
        <f>(VLOOKUP(B74,'BD ASVICC'!$A$6:$GR$316,199,FALSE) / 12)*0.3</f>
        <v>0.125</v>
      </c>
      <c r="L74" s="846">
        <f>I74*'1. Cops de calor'!$C$32/30</f>
        <v>30.526588063656536</v>
      </c>
      <c r="M74" s="846">
        <f>J74*'1. Cops de calor'!$C$33/30</f>
        <v>5.1427379002300455</v>
      </c>
      <c r="N74" s="846">
        <f>K74*'1. Cops de calor'!$C$34*0.25/30</f>
        <v>1968.7499999999998</v>
      </c>
      <c r="O74" s="779">
        <f t="shared" si="13"/>
        <v>15834.912675114703</v>
      </c>
      <c r="P74" s="848">
        <f>O74*'A. Dades de partida'!$D$10</f>
        <v>237523.69012672055</v>
      </c>
      <c r="Q74">
        <f t="shared" si="14"/>
        <v>11.55</v>
      </c>
      <c r="R74">
        <f t="shared" si="15"/>
        <v>0.30000000000000004</v>
      </c>
      <c r="S74">
        <f>I74+(I74*'1. Cops de calor'!$C$40)</f>
        <v>2.2490286275735794</v>
      </c>
      <c r="T74">
        <f>J74*'1. Cops de calor'!$C$41+J74</f>
        <v>1.1056886485494597</v>
      </c>
      <c r="U74">
        <f>'1. Cops de calor'!$C$42*K74+K74</f>
        <v>0.13</v>
      </c>
      <c r="V74">
        <f>S74*'1. Cops de calor'!$C$32/30</f>
        <v>32.236076995221303</v>
      </c>
      <c r="W74">
        <f>T74*'1. Cops de calor'!$C$33/30</f>
        <v>5.5284432427472989</v>
      </c>
      <c r="X74">
        <f>K74*'1. Cops de calor'!$C$34/30</f>
        <v>7874.9999999999991</v>
      </c>
      <c r="Y74">
        <f t="shared" si="16"/>
        <v>7912.7645202379681</v>
      </c>
      <c r="Z74" s="849">
        <f>Y74*(Q74+R74)*'A. Dades de partida'!$D$10</f>
        <v>1406493.893472299</v>
      </c>
      <c r="AA74" s="850">
        <f t="shared" si="17"/>
        <v>1168970.2033455784</v>
      </c>
      <c r="AB74" t="str">
        <f>VLOOKUP(B74,'BD ASVICC'!$A$6:$BG$316,59,FALSE)</f>
        <v>CENTRAL</v>
      </c>
      <c r="AC74">
        <f t="shared" si="9"/>
        <v>0.5</v>
      </c>
      <c r="AD74">
        <f t="shared" si="10"/>
        <v>0.5</v>
      </c>
    </row>
    <row r="75" spans="1:30">
      <c r="A75">
        <v>8072</v>
      </c>
      <c r="B75" t="s">
        <v>1043</v>
      </c>
      <c r="C75" t="s">
        <v>90</v>
      </c>
      <c r="D75">
        <f>VLOOKUP(A75,'temperatures màximes'!$A$4:$U$314,'temperatures màximes'!U$1,FALSE)</f>
        <v>102</v>
      </c>
      <c r="E75">
        <f>VLOOKUP(A75,'nits tropicals'!$A$4:$U$314,'nits tropicals'!U$1,FALSE)</f>
        <v>125</v>
      </c>
      <c r="F75">
        <f t="shared" si="11"/>
        <v>10.199999999999999</v>
      </c>
      <c r="G75">
        <f t="shared" si="12"/>
        <v>12.5</v>
      </c>
      <c r="H75" s="840">
        <f>VLOOKUP(B75,'BD ASVICC'!$A$6:$X$316,24,FALSE)/VLOOKUP(C75,'BD Comarcal'!$A$6:$Z$17,26,FALSE)</f>
        <v>1.7493884919179685E-2</v>
      </c>
      <c r="I75" s="839">
        <f>(VLOOKUP(C75,'BD Altres'!$D$74:$H$84,5,FALSE) * 1000 / 12) * H75*0.035</f>
        <v>32.237524003031254</v>
      </c>
      <c r="J75" s="839">
        <f>(VLOOKUP(C75,'BD Altres'!$D$74:$H$84,3,FALSE) / 12) * H75*0.25</f>
        <v>98.32275942708435</v>
      </c>
      <c r="K75">
        <f>(VLOOKUP(B75,'BD ASVICC'!$A$6:$GR$316,199,FALSE) / 12)*0.3</f>
        <v>3.1</v>
      </c>
      <c r="L75" s="846">
        <f>I75*'1. Cops de calor'!$C$32/30</f>
        <v>462.07117737678135</v>
      </c>
      <c r="M75" s="846">
        <f>J75*'1. Cops de calor'!$C$33/30</f>
        <v>491.61379713542175</v>
      </c>
      <c r="N75" s="846">
        <f>K75*'1. Cops de calor'!$C$34*0.25/30</f>
        <v>48824.999999999993</v>
      </c>
      <c r="O75" s="779">
        <f t="shared" si="13"/>
        <v>1129976.1489214269</v>
      </c>
      <c r="P75" s="848">
        <f>O75*'A. Dades de partida'!$D$10</f>
        <v>16949642.233821403</v>
      </c>
      <c r="Q75">
        <f t="shared" si="14"/>
        <v>15.299999999999999</v>
      </c>
      <c r="R75">
        <f t="shared" si="15"/>
        <v>18.75</v>
      </c>
      <c r="S75">
        <f>I75+(I75*'1. Cops de calor'!$C$40)</f>
        <v>34.042825347201003</v>
      </c>
      <c r="T75">
        <f>J75*'1. Cops de calor'!$C$41+J75</f>
        <v>105.69696638411568</v>
      </c>
      <c r="U75">
        <f>'1. Cops de calor'!$C$42*K75+K75</f>
        <v>3.2240000000000002</v>
      </c>
      <c r="V75">
        <f>S75*'1. Cops de calor'!$C$32/30</f>
        <v>487.94716330988103</v>
      </c>
      <c r="W75">
        <f>T75*'1. Cops de calor'!$C$33/30</f>
        <v>528.48483192057836</v>
      </c>
      <c r="X75">
        <f>K75*'1. Cops de calor'!$C$34/30</f>
        <v>195299.99999999997</v>
      </c>
      <c r="Y75">
        <f t="shared" si="16"/>
        <v>196316.43199523044</v>
      </c>
      <c r="Z75" s="849">
        <f>Y75*(Q75+R75)*'A. Dades de partida'!$D$10</f>
        <v>100268617.64156394</v>
      </c>
      <c r="AA75" s="850">
        <f t="shared" si="17"/>
        <v>83318975.40774253</v>
      </c>
      <c r="AB75" t="str">
        <f>VLOOKUP(B75,'BD ASVICC'!$A$6:$BG$316,59,FALSE)</f>
        <v>LITORAL</v>
      </c>
      <c r="AC75">
        <f t="shared" si="9"/>
        <v>0.5</v>
      </c>
      <c r="AD75">
        <f t="shared" si="10"/>
        <v>0.5</v>
      </c>
    </row>
    <row r="76" spans="1:30">
      <c r="A76">
        <v>8073</v>
      </c>
      <c r="B76" t="s">
        <v>1046</v>
      </c>
      <c r="C76" t="s">
        <v>90</v>
      </c>
      <c r="D76">
        <f>VLOOKUP(A76,'temperatures màximes'!$A$4:$U$314,'temperatures màximes'!U$1,FALSE)</f>
        <v>2</v>
      </c>
      <c r="E76">
        <f>VLOOKUP(A76,'nits tropicals'!$A$4:$U$314,'nits tropicals'!U$1,FALSE)</f>
        <v>246</v>
      </c>
      <c r="F76">
        <f t="shared" si="11"/>
        <v>0.2</v>
      </c>
      <c r="G76">
        <f t="shared" si="12"/>
        <v>24.6</v>
      </c>
      <c r="H76" s="840">
        <f>VLOOKUP(B76,'BD ASVICC'!$A$6:$X$316,24,FALSE)/VLOOKUP(C76,'BD Comarcal'!$A$6:$Z$17,26,FALSE)</f>
        <v>0.10627707952877144</v>
      </c>
      <c r="I76" s="839">
        <f>(VLOOKUP(C76,'BD Altres'!$D$74:$H$84,5,FALSE) * 1000 / 12) * H76*0.035</f>
        <v>195.84614384450208</v>
      </c>
      <c r="J76" s="839">
        <f>(VLOOKUP(C76,'BD Altres'!$D$74:$H$84,3,FALSE) / 12) * H76*0.25</f>
        <v>597.32047920722778</v>
      </c>
      <c r="K76">
        <f>(VLOOKUP(B76,'BD ASVICC'!$A$6:$GR$316,199,FALSE) / 12)*0.3</f>
        <v>16.899999999999999</v>
      </c>
      <c r="L76" s="846">
        <f>I76*'1. Cops de calor'!$C$32/30</f>
        <v>2807.1280617711964</v>
      </c>
      <c r="M76" s="846">
        <f>J76*'1. Cops de calor'!$C$33/30</f>
        <v>2986.602396036139</v>
      </c>
      <c r="N76" s="846">
        <f>K76*'1. Cops de calor'!$C$34*0.25/30</f>
        <v>266174.99999999994</v>
      </c>
      <c r="O76" s="779">
        <f t="shared" si="13"/>
        <v>6744824.5153536201</v>
      </c>
      <c r="P76" s="848">
        <f>O76*'A. Dades de partida'!$D$10</f>
        <v>101172367.7303043</v>
      </c>
      <c r="Q76">
        <f t="shared" si="14"/>
        <v>0.30000000000000004</v>
      </c>
      <c r="R76">
        <f t="shared" si="15"/>
        <v>36.900000000000006</v>
      </c>
      <c r="S76">
        <f>I76+(I76*'1. Cops de calor'!$C$40)</f>
        <v>206.8135278997942</v>
      </c>
      <c r="T76">
        <f>J76*'1. Cops de calor'!$C$41+J76</f>
        <v>642.1195151477699</v>
      </c>
      <c r="U76">
        <f>'1. Cops de calor'!$C$42*K76+K76</f>
        <v>17.575999999999997</v>
      </c>
      <c r="V76">
        <f>S76*'1. Cops de calor'!$C$32/30</f>
        <v>2964.3272332303832</v>
      </c>
      <c r="W76">
        <f>T76*'1. Cops de calor'!$C$33/30</f>
        <v>3210.5975757388496</v>
      </c>
      <c r="X76">
        <f>K76*'1. Cops de calor'!$C$34/30</f>
        <v>1064699.9999999998</v>
      </c>
      <c r="Y76">
        <f t="shared" si="16"/>
        <v>1070874.924808969</v>
      </c>
      <c r="Z76" s="849">
        <f>Y76*(Q76+R76)*'A. Dades de partida'!$D$10</f>
        <v>597548208.04340482</v>
      </c>
      <c r="AA76" s="850">
        <f t="shared" si="17"/>
        <v>496375840.31310052</v>
      </c>
      <c r="AB76" t="str">
        <f>VLOOKUP(B76,'BD ASVICC'!$A$6:$BG$316,59,FALSE)</f>
        <v>LITORAL</v>
      </c>
      <c r="AC76">
        <f t="shared" si="9"/>
        <v>0.5</v>
      </c>
      <c r="AD76">
        <f t="shared" si="10"/>
        <v>0.5</v>
      </c>
    </row>
    <row r="77" spans="1:30">
      <c r="A77">
        <v>8074</v>
      </c>
      <c r="B77" t="s">
        <v>341</v>
      </c>
      <c r="C77" t="s">
        <v>85</v>
      </c>
      <c r="D77">
        <f>VLOOKUP(A77,'temperatures màximes'!$A$4:$U$314,'temperatures màximes'!U$1,FALSE)</f>
        <v>19</v>
      </c>
      <c r="E77">
        <f>VLOOKUP(A77,'nits tropicals'!$A$4:$U$314,'nits tropicals'!U$1,FALSE)</f>
        <v>137</v>
      </c>
      <c r="F77">
        <f t="shared" si="11"/>
        <v>1.9</v>
      </c>
      <c r="G77">
        <f t="shared" si="12"/>
        <v>13.7</v>
      </c>
      <c r="H77" s="840">
        <f>VLOOKUP(B77,'BD ASVICC'!$A$6:$X$316,24,FALSE)/VLOOKUP(C77,'BD Comarcal'!$A$6:$Z$17,26,FALSE)</f>
        <v>9.9458046243089404E-2</v>
      </c>
      <c r="I77" s="839">
        <f>(VLOOKUP(C77,'BD Altres'!$D$74:$H$84,5,FALSE) * 1000 / 12) * H77*0.035</f>
        <v>307.29084884725307</v>
      </c>
      <c r="J77" s="839">
        <f>(VLOOKUP(C77,'BD Altres'!$D$74:$H$84,3,FALSE) / 12) * H77*0.25</f>
        <v>35.230860453439831</v>
      </c>
      <c r="K77">
        <f>(VLOOKUP(B77,'BD ASVICC'!$A$6:$GR$316,199,FALSE) / 12)*0.3</f>
        <v>2.0750000000000002</v>
      </c>
      <c r="L77" s="846">
        <f>I77*'1. Cops de calor'!$C$32/30</f>
        <v>4404.5021668106283</v>
      </c>
      <c r="M77" s="846">
        <f>J77*'1. Cops de calor'!$C$33/30</f>
        <v>176.15430226719914</v>
      </c>
      <c r="N77" s="846">
        <f>K77*'1. Cops de calor'!$C$34*0.25/30</f>
        <v>32681.25</v>
      </c>
      <c r="O77" s="779">
        <f t="shared" si="13"/>
        <v>581285.74091761408</v>
      </c>
      <c r="P77" s="848">
        <f>O77*'A. Dades de partida'!$D$10</f>
        <v>8719286.1137642115</v>
      </c>
      <c r="Q77">
        <f t="shared" si="14"/>
        <v>2.8499999999999996</v>
      </c>
      <c r="R77">
        <f t="shared" si="15"/>
        <v>20.549999999999997</v>
      </c>
      <c r="S77">
        <f>I77+(I77*'1. Cops de calor'!$C$40)</f>
        <v>324.49913638269925</v>
      </c>
      <c r="T77">
        <f>J77*'1. Cops de calor'!$C$41+J77</f>
        <v>37.873174987447818</v>
      </c>
      <c r="U77">
        <f>'1. Cops de calor'!$C$42*K77+K77</f>
        <v>2.1580000000000004</v>
      </c>
      <c r="V77">
        <f>S77*'1. Cops de calor'!$C$32/30</f>
        <v>4651.1542881520227</v>
      </c>
      <c r="W77">
        <f>T77*'1. Cops de calor'!$C$33/30</f>
        <v>189.36587493723908</v>
      </c>
      <c r="X77">
        <f>K77*'1. Cops de calor'!$C$34/30</f>
        <v>130725</v>
      </c>
      <c r="Y77">
        <f t="shared" si="16"/>
        <v>135565.52016308927</v>
      </c>
      <c r="Z77" s="849">
        <f>Y77*(Q77+R77)*'A. Dades de partida'!$D$10</f>
        <v>47583497.577244326</v>
      </c>
      <c r="AA77" s="850">
        <f t="shared" si="17"/>
        <v>38864211.463480115</v>
      </c>
      <c r="AB77" t="str">
        <f>VLOOKUP(B77,'BD ASVICC'!$A$6:$BG$316,59,FALSE)</f>
        <v>LITORAL</v>
      </c>
      <c r="AC77">
        <f t="shared" si="9"/>
        <v>0.5</v>
      </c>
      <c r="AD77">
        <f t="shared" si="10"/>
        <v>0.5</v>
      </c>
    </row>
    <row r="78" spans="1:30">
      <c r="A78">
        <v>8075</v>
      </c>
      <c r="B78" t="s">
        <v>1050</v>
      </c>
      <c r="C78" t="s">
        <v>86</v>
      </c>
      <c r="D78">
        <f>VLOOKUP(A78,'temperatures màximes'!$A$4:$U$314,'temperatures màximes'!U$1,FALSE)</f>
        <v>2</v>
      </c>
      <c r="E78">
        <f>VLOOKUP(A78,'nits tropicals'!$A$4:$U$314,'nits tropicals'!U$1,FALSE)</f>
        <v>38</v>
      </c>
      <c r="F78">
        <f t="shared" si="11"/>
        <v>0.2</v>
      </c>
      <c r="G78">
        <f t="shared" si="12"/>
        <v>3.8</v>
      </c>
      <c r="H78" s="840">
        <f>VLOOKUP(B78,'BD ASVICC'!$A$6:$X$316,24,FALSE)/VLOOKUP(C78,'BD Comarcal'!$A$6:$Z$17,26,FALSE)</f>
        <v>1.1673706979535906E-2</v>
      </c>
      <c r="I78" s="839">
        <f>(VLOOKUP(C78,'BD Altres'!$D$74:$H$84,5,FALSE) * 1000 / 12) * H78*0.035</f>
        <v>27.19882577120018</v>
      </c>
      <c r="J78" s="839">
        <f>(VLOOKUP(C78,'BD Altres'!$D$74:$H$84,3,FALSE) / 12) * H78*0.25</f>
        <v>12.261453412044842</v>
      </c>
      <c r="K78">
        <f>(VLOOKUP(B78,'BD ASVICC'!$A$6:$GR$316,199,FALSE) / 12)*0.3</f>
        <v>0.82499999999999996</v>
      </c>
      <c r="L78" s="846">
        <f>I78*'1. Cops de calor'!$C$32/30</f>
        <v>389.8498360538693</v>
      </c>
      <c r="M78" s="846">
        <f>J78*'1. Cops de calor'!$C$33/30</f>
        <v>61.307267060224213</v>
      </c>
      <c r="N78" s="846">
        <f>K78*'1. Cops de calor'!$C$34*0.25/30</f>
        <v>12993.749999999998</v>
      </c>
      <c r="O78" s="779">
        <f t="shared" si="13"/>
        <v>53779.628412456368</v>
      </c>
      <c r="P78" s="848">
        <f>O78*'A. Dades de partida'!$D$10</f>
        <v>806694.42618684552</v>
      </c>
      <c r="Q78">
        <f t="shared" si="14"/>
        <v>0.30000000000000004</v>
      </c>
      <c r="R78">
        <f t="shared" si="15"/>
        <v>5.6999999999999993</v>
      </c>
      <c r="S78">
        <f>I78+(I78*'1. Cops de calor'!$C$40)</f>
        <v>28.721960014387392</v>
      </c>
      <c r="T78">
        <f>J78*'1. Cops de calor'!$C$41+J78</f>
        <v>13.181062417948205</v>
      </c>
      <c r="U78">
        <f>'1. Cops de calor'!$C$42*K78+K78</f>
        <v>0.85799999999999998</v>
      </c>
      <c r="V78">
        <f>S78*'1. Cops de calor'!$C$32/30</f>
        <v>411.68142687288594</v>
      </c>
      <c r="W78">
        <f>T78*'1. Cops de calor'!$C$33/30</f>
        <v>65.905312089741017</v>
      </c>
      <c r="X78">
        <f>K78*'1. Cops de calor'!$C$34/30</f>
        <v>51974.999999999993</v>
      </c>
      <c r="Y78">
        <f t="shared" si="16"/>
        <v>52452.586738962622</v>
      </c>
      <c r="Z78" s="849">
        <f>Y78*(Q78+R78)*'A. Dades de partida'!$D$10</f>
        <v>4720732.8065066347</v>
      </c>
      <c r="AA78" s="850">
        <f t="shared" si="17"/>
        <v>3914038.3803197891</v>
      </c>
      <c r="AB78" t="str">
        <f>VLOOKUP(B78,'BD ASVICC'!$A$6:$BG$316,59,FALSE)</f>
        <v>CENTRAL</v>
      </c>
      <c r="AC78">
        <f t="shared" si="9"/>
        <v>0.5</v>
      </c>
      <c r="AD78">
        <f t="shared" si="10"/>
        <v>0.5</v>
      </c>
    </row>
    <row r="79" spans="1:30">
      <c r="A79">
        <v>8076</v>
      </c>
      <c r="B79" t="s">
        <v>1053</v>
      </c>
      <c r="C79" t="s">
        <v>90</v>
      </c>
      <c r="D79">
        <f>VLOOKUP(A79,'temperatures màximes'!$A$4:$U$314,'temperatures màximes'!U$1,FALSE)</f>
        <v>102</v>
      </c>
      <c r="E79">
        <f>VLOOKUP(A79,'nits tropicals'!$A$4:$U$314,'nits tropicals'!U$1,FALSE)</f>
        <v>125</v>
      </c>
      <c r="F79">
        <f t="shared" si="11"/>
        <v>10.199999999999999</v>
      </c>
      <c r="G79">
        <f t="shared" si="12"/>
        <v>12.5</v>
      </c>
      <c r="H79" s="840">
        <f>VLOOKUP(B79,'BD ASVICC'!$A$6:$X$316,24,FALSE)/VLOOKUP(C79,'BD Comarcal'!$A$6:$Z$17,26,FALSE)</f>
        <v>2.6875486953053713E-2</v>
      </c>
      <c r="I79" s="839">
        <f>(VLOOKUP(C79,'BD Altres'!$D$74:$H$84,5,FALSE) * 1000 / 12) * H79*0.035</f>
        <v>49.525829153725162</v>
      </c>
      <c r="J79" s="839">
        <f>(VLOOKUP(C79,'BD Altres'!$D$74:$H$84,3,FALSE) / 12) * H79*0.25</f>
        <v>151.05118447839624</v>
      </c>
      <c r="K79">
        <f>(VLOOKUP(B79,'BD ASVICC'!$A$6:$GR$316,199,FALSE) / 12)*0.3</f>
        <v>3.4999999999999996</v>
      </c>
      <c r="L79" s="846">
        <f>I79*'1. Cops de calor'!$C$32/30</f>
        <v>709.87021787006063</v>
      </c>
      <c r="M79" s="846">
        <f>J79*'1. Cops de calor'!$C$33/30</f>
        <v>755.25592239198124</v>
      </c>
      <c r="N79" s="846">
        <f>K79*'1. Cops de calor'!$C$34*0.25/30</f>
        <v>55124.999999999985</v>
      </c>
      <c r="O79" s="779">
        <f t="shared" si="13"/>
        <v>1284595.8633839481</v>
      </c>
      <c r="P79" s="848">
        <f>O79*'A. Dades de partida'!$D$10</f>
        <v>19268937.950759221</v>
      </c>
      <c r="Q79">
        <f t="shared" si="14"/>
        <v>15.299999999999999</v>
      </c>
      <c r="R79">
        <f t="shared" si="15"/>
        <v>18.75</v>
      </c>
      <c r="S79">
        <f>I79+(I79*'1. Cops de calor'!$C$40)</f>
        <v>52.299275586333771</v>
      </c>
      <c r="T79">
        <f>J79*'1. Cops de calor'!$C$41+J79</f>
        <v>162.38002331427595</v>
      </c>
      <c r="U79">
        <f>'1. Cops de calor'!$C$42*K79+K79</f>
        <v>3.6399999999999997</v>
      </c>
      <c r="V79">
        <f>S79*'1. Cops de calor'!$C$32/30</f>
        <v>749.62295007078399</v>
      </c>
      <c r="W79">
        <f>T79*'1. Cops de calor'!$C$33/30</f>
        <v>811.90011657137973</v>
      </c>
      <c r="X79">
        <f>K79*'1. Cops de calor'!$C$34/30</f>
        <v>220499.99999999994</v>
      </c>
      <c r="Y79">
        <f t="shared" si="16"/>
        <v>222061.52306664211</v>
      </c>
      <c r="Z79" s="849">
        <f>Y79*(Q79+R79)*'A. Dades de partida'!$D$10</f>
        <v>113417922.90628745</v>
      </c>
      <c r="AA79" s="850">
        <f t="shared" si="17"/>
        <v>94148984.955528229</v>
      </c>
      <c r="AB79" t="str">
        <f>VLOOKUP(B79,'BD ASVICC'!$A$6:$BG$316,59,FALSE)</f>
        <v>LITORAL</v>
      </c>
      <c r="AC79">
        <f t="shared" si="9"/>
        <v>0.5</v>
      </c>
      <c r="AD79">
        <f t="shared" si="10"/>
        <v>0.5</v>
      </c>
    </row>
    <row r="80" spans="1:30">
      <c r="A80">
        <v>8077</v>
      </c>
      <c r="B80" t="s">
        <v>1061</v>
      </c>
      <c r="C80" t="s">
        <v>90</v>
      </c>
      <c r="D80">
        <f>VLOOKUP(A80,'temperatures màximes'!$A$4:$U$314,'temperatures màximes'!U$1,FALSE)</f>
        <v>2</v>
      </c>
      <c r="E80">
        <f>VLOOKUP(A80,'nits tropicals'!$A$4:$U$314,'nits tropicals'!U$1,FALSE)</f>
        <v>246</v>
      </c>
      <c r="F80">
        <f t="shared" si="11"/>
        <v>0.2</v>
      </c>
      <c r="G80">
        <f t="shared" si="12"/>
        <v>24.6</v>
      </c>
      <c r="H80" s="840">
        <f>VLOOKUP(B80,'BD ASVICC'!$A$6:$X$316,24,FALSE)/VLOOKUP(C80,'BD Comarcal'!$A$6:$Z$17,26,FALSE)</f>
        <v>5.6468650409997496E-2</v>
      </c>
      <c r="I80" s="839">
        <f>(VLOOKUP(C80,'BD Altres'!$D$74:$H$84,5,FALSE) * 1000 / 12) * H80*0.035</f>
        <v>104.05976039177217</v>
      </c>
      <c r="J80" s="839">
        <f>(VLOOKUP(C80,'BD Altres'!$D$74:$H$84,3,FALSE) / 12) * H80*0.25</f>
        <v>317.37681796152236</v>
      </c>
      <c r="K80">
        <f>(VLOOKUP(B80,'BD ASVICC'!$A$6:$GR$316,199,FALSE) / 12)*0.3</f>
        <v>9.2249999999999996</v>
      </c>
      <c r="L80" s="846">
        <f>I80*'1. Cops de calor'!$C$32/30</f>
        <v>1491.5232322820677</v>
      </c>
      <c r="M80" s="846">
        <f>J80*'1. Cops de calor'!$C$33/30</f>
        <v>1586.8840898076119</v>
      </c>
      <c r="N80" s="846">
        <f>K80*'1. Cops de calor'!$C$34*0.25/30</f>
        <v>145293.74999999997</v>
      </c>
      <c r="O80" s="779">
        <f t="shared" si="13"/>
        <v>3679629.5015878235</v>
      </c>
      <c r="P80" s="848">
        <f>O80*'A. Dades de partida'!$D$10</f>
        <v>55194442.523817353</v>
      </c>
      <c r="Q80">
        <f t="shared" si="14"/>
        <v>0.30000000000000004</v>
      </c>
      <c r="R80">
        <f t="shared" si="15"/>
        <v>36.900000000000006</v>
      </c>
      <c r="S80">
        <f>I80+(I80*'1. Cops de calor'!$C$40)</f>
        <v>109.88710697371141</v>
      </c>
      <c r="T80">
        <f>J80*'1. Cops de calor'!$C$41+J80</f>
        <v>341.18007930863655</v>
      </c>
      <c r="U80">
        <f>'1. Cops de calor'!$C$42*K80+K80</f>
        <v>9.5939999999999994</v>
      </c>
      <c r="V80">
        <f>S80*'1. Cops de calor'!$C$32/30</f>
        <v>1575.0485332898636</v>
      </c>
      <c r="W80">
        <f>T80*'1. Cops de calor'!$C$33/30</f>
        <v>1705.9003965431828</v>
      </c>
      <c r="X80">
        <f>K80*'1. Cops de calor'!$C$34/30</f>
        <v>581174.99999999988</v>
      </c>
      <c r="Y80">
        <f t="shared" si="16"/>
        <v>584455.9489298329</v>
      </c>
      <c r="Z80" s="849">
        <f>Y80*(Q80+R80)*'A. Dades de partida'!$D$10</f>
        <v>326126419.50284678</v>
      </c>
      <c r="AA80" s="850">
        <f t="shared" si="17"/>
        <v>270931976.97902942</v>
      </c>
      <c r="AB80" t="str">
        <f>VLOOKUP(B80,'BD ASVICC'!$A$6:$BG$316,59,FALSE)</f>
        <v>LITORAL</v>
      </c>
      <c r="AC80">
        <f t="shared" si="9"/>
        <v>0.5</v>
      </c>
      <c r="AD80">
        <f t="shared" si="10"/>
        <v>0.5</v>
      </c>
    </row>
    <row r="81" spans="1:30">
      <c r="A81">
        <v>8078</v>
      </c>
      <c r="B81" t="s">
        <v>1062</v>
      </c>
      <c r="C81" t="s">
        <v>84</v>
      </c>
      <c r="D81">
        <f>VLOOKUP(A81,'temperatures màximes'!$A$4:$U$314,'temperatures màximes'!U$1,FALSE)</f>
        <v>17</v>
      </c>
      <c r="E81">
        <f>VLOOKUP(A81,'nits tropicals'!$A$4:$U$314,'nits tropicals'!U$1,FALSE)</f>
        <v>3</v>
      </c>
      <c r="F81">
        <f t="shared" si="11"/>
        <v>1.7</v>
      </c>
      <c r="G81">
        <f t="shared" si="12"/>
        <v>0.3</v>
      </c>
      <c r="H81" s="840">
        <f>VLOOKUP(B81,'BD ASVICC'!$A$6:$X$316,24,FALSE)/VLOOKUP(C81,'BD Comarcal'!$A$6:$Z$17,26,FALSE)</f>
        <v>6.3045586808923373E-3</v>
      </c>
      <c r="I81" s="839">
        <f>(VLOOKUP(C81,'BD Altres'!$D$74:$H$84,5,FALSE) * 1000 / 12) * H81*0.035</f>
        <v>4.0522871843917896</v>
      </c>
      <c r="J81" s="839">
        <f>(VLOOKUP(C81,'BD Altres'!$D$74:$H$84,3,FALSE) / 12) * H81*0.25</f>
        <v>35.42654514796488</v>
      </c>
      <c r="K81">
        <f>(VLOOKUP(B81,'BD ASVICC'!$A$6:$GR$316,199,FALSE) / 12)*0.3</f>
        <v>2.4999999999999998E-2</v>
      </c>
      <c r="L81" s="846">
        <f>I81*'1. Cops de calor'!$C$32/30</f>
        <v>58.082782976282324</v>
      </c>
      <c r="M81" s="846">
        <f>J81*'1. Cops de calor'!$C$33/30</f>
        <v>177.13272573982439</v>
      </c>
      <c r="N81" s="846">
        <f>K81*'1. Cops de calor'!$C$34*0.25/30</f>
        <v>393.74999999999994</v>
      </c>
      <c r="O81" s="779">
        <f t="shared" si="13"/>
        <v>1257.9310174322134</v>
      </c>
      <c r="P81" s="848">
        <f>O81*'A. Dades de partida'!$D$10</f>
        <v>18868.965261483201</v>
      </c>
      <c r="Q81">
        <f t="shared" si="14"/>
        <v>2.5499999999999998</v>
      </c>
      <c r="R81">
        <f t="shared" si="15"/>
        <v>0.44999999999999996</v>
      </c>
      <c r="S81">
        <f>I81+(I81*'1. Cops de calor'!$C$40)</f>
        <v>4.2792152667177294</v>
      </c>
      <c r="T81">
        <f>J81*'1. Cops de calor'!$C$41+J81</f>
        <v>38.083536034062249</v>
      </c>
      <c r="U81">
        <f>'1. Cops de calor'!$C$42*K81+K81</f>
        <v>2.5999999999999999E-2</v>
      </c>
      <c r="V81">
        <f>S81*'1. Cops de calor'!$C$32/30</f>
        <v>61.335418822954125</v>
      </c>
      <c r="W81">
        <f>T81*'1. Cops de calor'!$C$33/30</f>
        <v>190.41768017031123</v>
      </c>
      <c r="X81">
        <f>K81*'1. Cops de calor'!$C$34/30</f>
        <v>1574.9999999999998</v>
      </c>
      <c r="Y81">
        <f t="shared" si="16"/>
        <v>1826.7530989932652</v>
      </c>
      <c r="Z81" s="849">
        <f>Y81*(Q81+R81)*'A. Dades de partida'!$D$10</f>
        <v>82203.889454696924</v>
      </c>
      <c r="AA81" s="850">
        <f t="shared" si="17"/>
        <v>63334.924193213723</v>
      </c>
      <c r="AB81" t="str">
        <f>VLOOKUP(B81,'BD ASVICC'!$A$6:$BG$316,59,FALSE)</f>
        <v>PREPIRINEU-PIRINEU</v>
      </c>
      <c r="AC81">
        <f t="shared" si="9"/>
        <v>0.5</v>
      </c>
      <c r="AD81">
        <f t="shared" si="10"/>
        <v>0.5</v>
      </c>
    </row>
    <row r="82" spans="1:30">
      <c r="A82">
        <v>8079</v>
      </c>
      <c r="B82" t="s">
        <v>1063</v>
      </c>
      <c r="C82" t="s">
        <v>82</v>
      </c>
      <c r="D82">
        <f>VLOOKUP(A82,'temperatures màximes'!$A$4:$U$314,'temperatures màximes'!U$1,FALSE)</f>
        <v>4</v>
      </c>
      <c r="E82">
        <f>VLOOKUP(A82,'nits tropicals'!$A$4:$U$314,'nits tropicals'!U$1,FALSE)</f>
        <v>9</v>
      </c>
      <c r="F82">
        <f t="shared" si="11"/>
        <v>0.4</v>
      </c>
      <c r="G82">
        <f t="shared" si="12"/>
        <v>0.9</v>
      </c>
      <c r="H82" s="840">
        <f>VLOOKUP(B82,'BD ASVICC'!$A$6:$X$316,24,FALSE)/VLOOKUP(C82,'BD Comarcal'!$A$6:$Z$17,26,FALSE)</f>
        <v>2.3167661614510757E-3</v>
      </c>
      <c r="I82" s="839">
        <f>(VLOOKUP(C82,'BD Altres'!$D$74:$H$84,5,FALSE) * 1000 / 12) * H82*0.035</f>
        <v>6.6280324797339372</v>
      </c>
      <c r="J82" s="839">
        <f>(VLOOKUP(C82,'BD Altres'!$D$74:$H$84,3,FALSE) / 12) * H82*0.25</f>
        <v>57.944632549707748</v>
      </c>
      <c r="K82">
        <f>(VLOOKUP(B82,'BD ASVICC'!$A$6:$GR$316,199,FALSE) / 12)*0.3</f>
        <v>0.19999999999999998</v>
      </c>
      <c r="L82" s="846">
        <f>I82*'1. Cops de calor'!$C$32/30</f>
        <v>95.001798876186442</v>
      </c>
      <c r="M82" s="846">
        <f>J82*'1. Cops de calor'!$C$33/30</f>
        <v>289.72316274853875</v>
      </c>
      <c r="N82" s="846">
        <f>K82*'1. Cops de calor'!$C$34*0.25/30</f>
        <v>3149.9999999999995</v>
      </c>
      <c r="O82" s="779">
        <f t="shared" si="13"/>
        <v>4595.1424501121419</v>
      </c>
      <c r="P82" s="848">
        <f>O82*'A. Dades de partida'!$D$10</f>
        <v>68927.136751682134</v>
      </c>
      <c r="Q82">
        <f t="shared" si="14"/>
        <v>0.60000000000000009</v>
      </c>
      <c r="R82">
        <f t="shared" si="15"/>
        <v>1.35</v>
      </c>
      <c r="S82">
        <f>I82+(I82*'1. Cops de calor'!$C$40)</f>
        <v>6.9992022985990374</v>
      </c>
      <c r="T82">
        <f>J82*'1. Cops de calor'!$C$41+J82</f>
        <v>62.290479990935829</v>
      </c>
      <c r="U82">
        <f>'1. Cops de calor'!$C$42*K82+K82</f>
        <v>0.20799999999999999</v>
      </c>
      <c r="V82">
        <f>S82*'1. Cops de calor'!$C$32/30</f>
        <v>100.32189961325288</v>
      </c>
      <c r="W82">
        <f>T82*'1. Cops de calor'!$C$33/30</f>
        <v>311.45239995467915</v>
      </c>
      <c r="X82">
        <f>K82*'1. Cops de calor'!$C$34/30</f>
        <v>12599.999999999998</v>
      </c>
      <c r="Y82">
        <f t="shared" si="16"/>
        <v>13011.774299567931</v>
      </c>
      <c r="Z82" s="849">
        <f>Y82*(Q82+R82)*'A. Dades de partida'!$D$10</f>
        <v>380594.398262362</v>
      </c>
      <c r="AA82" s="850">
        <f t="shared" si="17"/>
        <v>311667.26151067985</v>
      </c>
      <c r="AB82" t="str">
        <f>VLOOKUP(B82,'BD ASVICC'!$A$6:$BG$316,59,FALSE)</f>
        <v>PREPIRINEU-PIRINEU</v>
      </c>
      <c r="AC82">
        <f t="shared" si="9"/>
        <v>0.5</v>
      </c>
      <c r="AD82">
        <f t="shared" si="10"/>
        <v>0.5</v>
      </c>
    </row>
    <row r="83" spans="1:30">
      <c r="A83">
        <v>8080</v>
      </c>
      <c r="B83" t="s">
        <v>1067</v>
      </c>
      <c r="C83" t="s">
        <v>84</v>
      </c>
      <c r="D83">
        <f>VLOOKUP(A83,'temperatures màximes'!$A$4:$U$314,'temperatures màximes'!U$1,FALSE)</f>
        <v>17</v>
      </c>
      <c r="E83">
        <f>VLOOKUP(A83,'nits tropicals'!$A$4:$U$314,'nits tropicals'!U$1,FALSE)</f>
        <v>3</v>
      </c>
      <c r="F83">
        <f t="shared" si="11"/>
        <v>1.7</v>
      </c>
      <c r="G83">
        <f t="shared" si="12"/>
        <v>0.3</v>
      </c>
      <c r="H83" s="840">
        <f>VLOOKUP(B83,'BD ASVICC'!$A$6:$X$316,24,FALSE)/VLOOKUP(C83,'BD Comarcal'!$A$6:$Z$17,26,FALSE)</f>
        <v>1.0209811628975446E-3</v>
      </c>
      <c r="I83" s="839">
        <f>(VLOOKUP(C83,'BD Altres'!$D$74:$H$84,5,FALSE) * 1000 / 12) * H83*0.035</f>
        <v>0.65624083957761781</v>
      </c>
      <c r="J83" s="839">
        <f>(VLOOKUP(C83,'BD Altres'!$D$74:$H$84,3,FALSE) / 12) * H83*0.25</f>
        <v>5.7370923316542326</v>
      </c>
      <c r="K83">
        <f>(VLOOKUP(B83,'BD ASVICC'!$A$6:$GR$316,199,FALSE) / 12)*0.3</f>
        <v>0</v>
      </c>
      <c r="L83" s="846">
        <f>I83*'1. Cops de calor'!$C$32/30</f>
        <v>9.406118700612522</v>
      </c>
      <c r="M83" s="846">
        <f>J83*'1. Cops de calor'!$C$33/30</f>
        <v>28.685461658271162</v>
      </c>
      <c r="N83" s="846">
        <f>K83*'1. Cops de calor'!$C$34*0.25/30</f>
        <v>0</v>
      </c>
      <c r="O83" s="779">
        <f t="shared" si="13"/>
        <v>76.183160717767365</v>
      </c>
      <c r="P83" s="848">
        <f>O83*'A. Dades de partida'!$D$10</f>
        <v>1142.7474107665105</v>
      </c>
      <c r="Q83">
        <f t="shared" si="14"/>
        <v>2.5499999999999998</v>
      </c>
      <c r="R83">
        <f t="shared" si="15"/>
        <v>0.44999999999999996</v>
      </c>
      <c r="S83">
        <f>I83+(I83*'1. Cops de calor'!$C$40)</f>
        <v>0.69299032659396442</v>
      </c>
      <c r="T83">
        <f>J83*'1. Cops de calor'!$C$41+J83</f>
        <v>6.1673742565282996</v>
      </c>
      <c r="U83">
        <f>'1. Cops de calor'!$C$42*K83+K83</f>
        <v>0</v>
      </c>
      <c r="V83">
        <f>S83*'1. Cops de calor'!$C$32/30</f>
        <v>9.9328613478468242</v>
      </c>
      <c r="W83">
        <f>T83*'1. Cops de calor'!$C$33/30</f>
        <v>30.836871282641496</v>
      </c>
      <c r="X83">
        <f>K83*'1. Cops de calor'!$C$34/30</f>
        <v>0</v>
      </c>
      <c r="Y83">
        <f t="shared" si="16"/>
        <v>40.769732630488321</v>
      </c>
      <c r="Z83" s="849">
        <f>Y83*(Q83+R83)*'A. Dades de partida'!$D$10</f>
        <v>1834.6379683719745</v>
      </c>
      <c r="AA83" s="850">
        <f t="shared" si="17"/>
        <v>691.89055760546398</v>
      </c>
      <c r="AB83" t="str">
        <f>VLOOKUP(B83,'BD ASVICC'!$A$6:$BG$316,59,FALSE)</f>
        <v>PREPIRINEU-PIRINEU</v>
      </c>
      <c r="AC83">
        <f t="shared" si="9"/>
        <v>0.5</v>
      </c>
      <c r="AD83">
        <f t="shared" si="10"/>
        <v>0.5</v>
      </c>
    </row>
    <row r="84" spans="1:30">
      <c r="A84">
        <v>8081</v>
      </c>
      <c r="B84" t="s">
        <v>1068</v>
      </c>
      <c r="C84" t="s">
        <v>24</v>
      </c>
      <c r="D84">
        <f>VLOOKUP(A84,'temperatures màximes'!$A$4:$U$314,'temperatures màximes'!U$1,FALSE)</f>
        <v>39</v>
      </c>
      <c r="E84">
        <f>VLOOKUP(A84,'nits tropicals'!$A$4:$U$314,'nits tropicals'!U$1,FALSE)</f>
        <v>2</v>
      </c>
      <c r="F84">
        <f t="shared" si="11"/>
        <v>3.9</v>
      </c>
      <c r="G84">
        <f t="shared" si="12"/>
        <v>0.2</v>
      </c>
      <c r="H84" s="840">
        <f>VLOOKUP(B84,'BD ASVICC'!$A$6:$X$316,24,FALSE)/VLOOKUP(C84,'BD Comarcal'!$A$6:$Z$17,26,FALSE)</f>
        <v>1.1511494052394739E-3</v>
      </c>
      <c r="I84" s="839">
        <f>(VLOOKUP(C84,'BD Altres'!$D$74:$H$84,5,FALSE) * 1000 / 12) * H84*0.035</f>
        <v>8.1464906862876756</v>
      </c>
      <c r="J84" s="839">
        <f>(VLOOKUP(C84,'BD Altres'!$D$74:$H$84,3,FALSE) / 12) * H84*0.25</f>
        <v>1.8314958434199944</v>
      </c>
      <c r="K84">
        <f>(VLOOKUP(B84,'BD ASVICC'!$A$6:$GR$316,199,FALSE) / 12)*0.3</f>
        <v>4.9999999999999996E-2</v>
      </c>
      <c r="L84" s="846">
        <f>I84*'1. Cops de calor'!$C$32/30</f>
        <v>116.76636650345669</v>
      </c>
      <c r="M84" s="846">
        <f>J84*'1. Cops de calor'!$C$33/30</f>
        <v>9.1574792170999721</v>
      </c>
      <c r="N84" s="846">
        <f>K84*'1. Cops de calor'!$C$34*0.25/30</f>
        <v>787.49999999999989</v>
      </c>
      <c r="O84" s="779">
        <f t="shared" si="13"/>
        <v>3745.0377674542815</v>
      </c>
      <c r="P84" s="848">
        <f>O84*'A. Dades de partida'!$D$10</f>
        <v>56175.566511814221</v>
      </c>
      <c r="Q84">
        <f t="shared" si="14"/>
        <v>5.85</v>
      </c>
      <c r="R84">
        <f t="shared" si="15"/>
        <v>0.30000000000000004</v>
      </c>
      <c r="S84">
        <f>I84+(I84*'1. Cops de calor'!$C$40)</f>
        <v>8.6026941647197859</v>
      </c>
      <c r="T84">
        <f>J84*'1. Cops de calor'!$C$41+J84</f>
        <v>1.9688580316764939</v>
      </c>
      <c r="U84">
        <f>'1. Cops de calor'!$C$42*K84+K84</f>
        <v>5.1999999999999998E-2</v>
      </c>
      <c r="V84">
        <f>S84*'1. Cops de calor'!$C$32/30</f>
        <v>123.30528302765028</v>
      </c>
      <c r="W84">
        <f>T84*'1. Cops de calor'!$C$33/30</f>
        <v>9.8442901583824707</v>
      </c>
      <c r="X84">
        <f>K84*'1. Cops de calor'!$C$34/30</f>
        <v>3149.9999999999995</v>
      </c>
      <c r="Y84">
        <f t="shared" si="16"/>
        <v>3283.1495731860323</v>
      </c>
      <c r="Z84" s="849">
        <f>Y84*(Q84+R84)*'A. Dades de partida'!$D$10</f>
        <v>302870.54812641145</v>
      </c>
      <c r="AA84" s="850">
        <f t="shared" si="17"/>
        <v>246694.98161459723</v>
      </c>
      <c r="AB84" t="str">
        <f>VLOOKUP(B84,'BD ASVICC'!$A$6:$BG$316,59,FALSE)</f>
        <v>CENTRAL</v>
      </c>
      <c r="AC84">
        <f t="shared" si="9"/>
        <v>0.5</v>
      </c>
      <c r="AD84">
        <f t="shared" si="10"/>
        <v>0.5</v>
      </c>
    </row>
    <row r="85" spans="1:30">
      <c r="A85">
        <v>8082</v>
      </c>
      <c r="B85" t="s">
        <v>1071</v>
      </c>
      <c r="C85" s="851" t="s">
        <v>86</v>
      </c>
      <c r="D85">
        <f>VLOOKUP(A85,'temperatures màximes'!$A$4:$U$314,'temperatures màximes'!U$1,FALSE)</f>
        <v>0</v>
      </c>
      <c r="E85">
        <f>VLOOKUP(A85,'nits tropicals'!$A$4:$U$314,'nits tropicals'!U$1,FALSE)</f>
        <v>62</v>
      </c>
      <c r="F85">
        <f t="shared" si="11"/>
        <v>0</v>
      </c>
      <c r="G85">
        <f t="shared" si="12"/>
        <v>6.2</v>
      </c>
      <c r="H85" s="840">
        <f>VLOOKUP(B85,'BD ASVICC'!$A$6:$X$316,24,FALSE)/VLOOKUP(C85,'BD Comarcal'!$A$6:$Z$17,26,FALSE)</f>
        <v>3.2887509767726298E-3</v>
      </c>
      <c r="I85" s="839">
        <f>(VLOOKUP(C85,'BD Altres'!$D$74:$H$84,5,FALSE) * 1000 / 12) * H85*0.035</f>
        <v>7.6625329879283379</v>
      </c>
      <c r="J85" s="839">
        <f>(VLOOKUP(C85,'BD Altres'!$D$74:$H$84,3,FALSE) / 12) * H85*0.25</f>
        <v>3.4543326259777083</v>
      </c>
      <c r="K85">
        <f>(VLOOKUP(B85,'BD ASVICC'!$A$6:$GR$316,199,FALSE) / 12)*0.3</f>
        <v>0.27499999999999997</v>
      </c>
      <c r="L85" s="846">
        <f>I85*'1. Cops de calor'!$C$32/30</f>
        <v>109.8296394936395</v>
      </c>
      <c r="M85" s="846">
        <f>J85*'1. Cops de calor'!$C$33/30</f>
        <v>17.271663129888545</v>
      </c>
      <c r="N85" s="846">
        <f>K85*'1. Cops de calor'!$C$34*0.25/30</f>
        <v>4331.2499999999991</v>
      </c>
      <c r="O85" s="779">
        <f t="shared" si="13"/>
        <v>27641.778076265866</v>
      </c>
      <c r="P85" s="848">
        <f>O85*'A. Dades de partida'!$D$10</f>
        <v>414626.67114398797</v>
      </c>
      <c r="Q85">
        <f t="shared" si="14"/>
        <v>0</v>
      </c>
      <c r="R85">
        <f t="shared" si="15"/>
        <v>9.3000000000000007</v>
      </c>
      <c r="S85">
        <f>I85+(I85*'1. Cops de calor'!$C$40)</f>
        <v>8.0916348352523251</v>
      </c>
      <c r="T85">
        <f>J85*'1. Cops de calor'!$C$41+J85</f>
        <v>3.7134075729260365</v>
      </c>
      <c r="U85">
        <f>'1. Cops de calor'!$C$42*K85+K85</f>
        <v>0.28599999999999998</v>
      </c>
      <c r="V85">
        <f>S85*'1. Cops de calor'!$C$32/30</f>
        <v>115.98009930528333</v>
      </c>
      <c r="W85">
        <f>T85*'1. Cops de calor'!$C$33/30</f>
        <v>18.567037864630183</v>
      </c>
      <c r="X85">
        <f>K85*'1. Cops de calor'!$C$34/30</f>
        <v>17324.999999999996</v>
      </c>
      <c r="Y85">
        <f t="shared" si="16"/>
        <v>17459.54713716991</v>
      </c>
      <c r="Z85" s="849">
        <f>Y85*(Q85+R85)*'A. Dades de partida'!$D$10</f>
        <v>2435606.8256352022</v>
      </c>
      <c r="AA85" s="850">
        <f t="shared" si="17"/>
        <v>2020980.1544912143</v>
      </c>
      <c r="AB85" t="str">
        <f>VLOOKUP(B85,'BD ASVICC'!$A$6:$BG$316,59,FALSE)</f>
        <v>LITORAL</v>
      </c>
      <c r="AC85">
        <f t="shared" si="9"/>
        <v>0.5</v>
      </c>
      <c r="AD85">
        <f t="shared" si="10"/>
        <v>0.5</v>
      </c>
    </row>
    <row r="86" spans="1:30">
      <c r="A86">
        <v>8083</v>
      </c>
      <c r="B86" t="s">
        <v>1077</v>
      </c>
      <c r="C86" t="s">
        <v>88</v>
      </c>
      <c r="D86">
        <f>VLOOKUP(A86,'temperatures màximes'!$A$4:$U$314,'temperatures màximes'!U$1,FALSE)</f>
        <v>83</v>
      </c>
      <c r="E86">
        <f>VLOOKUP(A86,'nits tropicals'!$A$4:$U$314,'nits tropicals'!U$1,FALSE)</f>
        <v>0</v>
      </c>
      <c r="F86">
        <f t="shared" si="11"/>
        <v>8.3000000000000007</v>
      </c>
      <c r="G86">
        <f t="shared" si="12"/>
        <v>0</v>
      </c>
      <c r="H86" s="840">
        <f>VLOOKUP(B86,'BD ASVICC'!$A$6:$X$316,24,FALSE)/VLOOKUP(C86,'BD Comarcal'!$A$6:$Z$17,26,FALSE)</f>
        <v>1.4764747078212039E-2</v>
      </c>
      <c r="I86" s="839">
        <f>(VLOOKUP(C86,'BD Altres'!$D$74:$H$84,5,FALSE) * 1000 / 12) * H86*0.035</f>
        <v>16.428857113485524</v>
      </c>
      <c r="J86" s="839">
        <f>(VLOOKUP(C86,'BD Altres'!$D$74:$H$84,3,FALSE) / 12) * H86*0.25</f>
        <v>10.510346727404732</v>
      </c>
      <c r="K86">
        <f>(VLOOKUP(B86,'BD ASVICC'!$A$6:$GR$316,199,FALSE) / 12)*0.3</f>
        <v>0.3</v>
      </c>
      <c r="L86" s="846">
        <f>I86*'1. Cops de calor'!$C$32/30</f>
        <v>235.48028529329252</v>
      </c>
      <c r="M86" s="846">
        <f>J86*'1. Cops de calor'!$C$33/30</f>
        <v>52.551733637023659</v>
      </c>
      <c r="N86" s="846">
        <f>K86*'1. Cops de calor'!$C$34*0.25/30</f>
        <v>4724.9999999999991</v>
      </c>
      <c r="O86" s="779">
        <f t="shared" si="13"/>
        <v>41608.16575712162</v>
      </c>
      <c r="P86" s="848">
        <f>O86*'A. Dades de partida'!$D$10</f>
        <v>624122.48635682429</v>
      </c>
      <c r="Q86">
        <f t="shared" si="14"/>
        <v>12.450000000000001</v>
      </c>
      <c r="R86">
        <f t="shared" si="15"/>
        <v>0</v>
      </c>
      <c r="S86">
        <f>I86+(I86*'1. Cops de calor'!$C$40)</f>
        <v>17.348873111840714</v>
      </c>
      <c r="T86">
        <f>J86*'1. Cops de calor'!$C$41+J86</f>
        <v>11.298622731960087</v>
      </c>
      <c r="U86">
        <f>'1. Cops de calor'!$C$42*K86+K86</f>
        <v>0.312</v>
      </c>
      <c r="V86">
        <f>S86*'1. Cops de calor'!$C$32/30</f>
        <v>248.66718126971691</v>
      </c>
      <c r="W86">
        <f>T86*'1. Cops de calor'!$C$33/30</f>
        <v>56.493113659800436</v>
      </c>
      <c r="X86">
        <f>K86*'1. Cops de calor'!$C$34/30</f>
        <v>18899.999999999996</v>
      </c>
      <c r="Y86">
        <f t="shared" si="16"/>
        <v>19205.160294929512</v>
      </c>
      <c r="Z86" s="849">
        <f>Y86*(Q86+R86)*'A. Dades de partida'!$D$10</f>
        <v>3586563.6850780868</v>
      </c>
      <c r="AA86" s="850">
        <f t="shared" si="17"/>
        <v>2962441.1987212626</v>
      </c>
      <c r="AB86" t="str">
        <f>VLOOKUP(B86,'BD ASVICC'!$A$6:$BG$316,59,FALSE)</f>
        <v>CENTRAL</v>
      </c>
      <c r="AC86">
        <f t="shared" si="9"/>
        <v>0.5</v>
      </c>
      <c r="AD86">
        <f t="shared" si="10"/>
        <v>0.5</v>
      </c>
    </row>
    <row r="87" spans="1:30">
      <c r="A87">
        <v>8084</v>
      </c>
      <c r="B87" t="s">
        <v>1078</v>
      </c>
      <c r="C87" t="s">
        <v>82</v>
      </c>
      <c r="D87">
        <f>VLOOKUP(A87,'temperatures màximes'!$A$4:$U$314,'temperatures màximes'!U$1,FALSE)</f>
        <v>90</v>
      </c>
      <c r="E87">
        <f>VLOOKUP(A87,'nits tropicals'!$A$4:$U$314,'nits tropicals'!U$1,FALSE)</f>
        <v>1</v>
      </c>
      <c r="F87">
        <f t="shared" si="11"/>
        <v>9</v>
      </c>
      <c r="G87">
        <f t="shared" si="12"/>
        <v>0.1</v>
      </c>
      <c r="H87" s="840">
        <f>VLOOKUP(B87,'BD ASVICC'!$A$6:$X$316,24,FALSE)/VLOOKUP(C87,'BD Comarcal'!$A$6:$Z$17,26,FALSE)</f>
        <v>8.0341321588934568E-3</v>
      </c>
      <c r="I87" s="839">
        <f>(VLOOKUP(C87,'BD Altres'!$D$74:$H$84,5,FALSE) * 1000 / 12) * H87*0.035</f>
        <v>22.984835406206052</v>
      </c>
      <c r="J87" s="839">
        <f>(VLOOKUP(C87,'BD Altres'!$D$74:$H$84,3,FALSE) / 12) * H87*0.25</f>
        <v>200.94165891618948</v>
      </c>
      <c r="K87">
        <f>(VLOOKUP(B87,'BD ASVICC'!$A$6:$GR$316,199,FALSE) / 12)*0.3</f>
        <v>0.6</v>
      </c>
      <c r="L87" s="846">
        <f>I87*'1. Cops de calor'!$C$32/30</f>
        <v>329.44930748895342</v>
      </c>
      <c r="M87" s="846">
        <f>J87*'1. Cops de calor'!$C$33/30</f>
        <v>1004.7082945809474</v>
      </c>
      <c r="N87" s="846">
        <f>K87*'1. Cops de calor'!$C$34*0.25/30</f>
        <v>9449.9999999999982</v>
      </c>
      <c r="O87" s="779">
        <f t="shared" si="13"/>
        <v>98135.834178836085</v>
      </c>
      <c r="P87" s="848">
        <f>O87*'A. Dades de partida'!$D$10</f>
        <v>1472037.5126825413</v>
      </c>
      <c r="Q87">
        <f t="shared" si="14"/>
        <v>13.5</v>
      </c>
      <c r="R87">
        <f t="shared" si="15"/>
        <v>0.15000000000000002</v>
      </c>
      <c r="S87">
        <f>I87+(I87*'1. Cops de calor'!$C$40)</f>
        <v>24.271986188953591</v>
      </c>
      <c r="T87">
        <f>J87*'1. Cops de calor'!$C$41+J87</f>
        <v>216.01228333490369</v>
      </c>
      <c r="U87">
        <f>'1. Cops de calor'!$C$42*K87+K87</f>
        <v>0.624</v>
      </c>
      <c r="V87">
        <f>S87*'1. Cops de calor'!$C$32/30</f>
        <v>347.8984687083348</v>
      </c>
      <c r="W87">
        <f>T87*'1. Cops de calor'!$C$33/30</f>
        <v>1080.0614166745186</v>
      </c>
      <c r="X87">
        <f>K87*'1. Cops de calor'!$C$34/30</f>
        <v>37799.999999999993</v>
      </c>
      <c r="Y87">
        <f t="shared" si="16"/>
        <v>39227.959885382843</v>
      </c>
      <c r="Z87" s="849">
        <f>Y87*(Q87+R87)*'A. Dades de partida'!$D$10</f>
        <v>8031924.7865321375</v>
      </c>
      <c r="AA87" s="850">
        <f t="shared" si="17"/>
        <v>6559887.2738495963</v>
      </c>
      <c r="AB87" t="str">
        <f>VLOOKUP(B87,'BD ASVICC'!$A$6:$BG$316,59,FALSE)</f>
        <v>CENTRAL</v>
      </c>
      <c r="AC87">
        <f t="shared" si="9"/>
        <v>0.5</v>
      </c>
      <c r="AD87">
        <f t="shared" si="10"/>
        <v>0.5</v>
      </c>
    </row>
    <row r="88" spans="1:30">
      <c r="A88">
        <v>8085</v>
      </c>
      <c r="B88" t="s">
        <v>1080</v>
      </c>
      <c r="C88" t="s">
        <v>791</v>
      </c>
      <c r="D88">
        <f>VLOOKUP(A88,'temperatures màximes'!$A$4:$U$314,'temperatures màximes'!U$1,FALSE)</f>
        <v>8</v>
      </c>
      <c r="E88">
        <f>VLOOKUP(A88,'nits tropicals'!$A$4:$U$314,'nits tropicals'!U$1,FALSE)</f>
        <v>49</v>
      </c>
      <c r="F88">
        <f t="shared" si="11"/>
        <v>0.8</v>
      </c>
      <c r="G88">
        <f t="shared" si="12"/>
        <v>4.9000000000000004</v>
      </c>
      <c r="H88" s="840">
        <f>VLOOKUP(B88,'BD ASVICC'!$A$6:$X$316,24,FALSE)/VLOOKUP(C88,'BD Comarcal'!$A$6:$Z$17,26,FALSE)</f>
        <v>1.2825217595859797E-2</v>
      </c>
      <c r="I88" s="839">
        <f>(VLOOKUP(C88,'BD Altres'!$D$74:$H$84,5,FALSE) * 1000 / 12) * H88*0.035</f>
        <v>25.376024701877373</v>
      </c>
      <c r="J88" s="839">
        <f>(VLOOKUP(C88,'BD Altres'!$D$74:$H$84,3,FALSE) / 12) * H88*0.25</f>
        <v>3.2872167851888343</v>
      </c>
      <c r="K88">
        <f>(VLOOKUP(B88,'BD ASVICC'!$A$6:$GR$316,199,FALSE) / 12)*0.3</f>
        <v>0.375</v>
      </c>
      <c r="L88" s="846">
        <f>I88*'1. Cops de calor'!$C$32/30</f>
        <v>363.72302072690906</v>
      </c>
      <c r="M88" s="846">
        <f>J88*'1. Cops de calor'!$C$33/30</f>
        <v>16.436083925944171</v>
      </c>
      <c r="N88" s="846">
        <f>K88*'1. Cops de calor'!$C$34*0.25/30</f>
        <v>5906.2499999999991</v>
      </c>
      <c r="O88" s="779">
        <f t="shared" si="13"/>
        <v>35832.531896521257</v>
      </c>
      <c r="P88" s="848">
        <f>O88*'A. Dades de partida'!$D$10</f>
        <v>537487.9784478189</v>
      </c>
      <c r="Q88">
        <f t="shared" si="14"/>
        <v>1.2000000000000002</v>
      </c>
      <c r="R88">
        <f t="shared" si="15"/>
        <v>7.3500000000000005</v>
      </c>
      <c r="S88">
        <f>I88+(I88*'1. Cops de calor'!$C$40)</f>
        <v>26.797082085182506</v>
      </c>
      <c r="T88">
        <f>J88*'1. Cops de calor'!$C$41+J88</f>
        <v>3.533758044077997</v>
      </c>
      <c r="U88">
        <f>'1. Cops de calor'!$C$42*K88+K88</f>
        <v>0.39</v>
      </c>
      <c r="V88">
        <f>S88*'1. Cops de calor'!$C$32/30</f>
        <v>384.09150988761593</v>
      </c>
      <c r="W88">
        <f>T88*'1. Cops de calor'!$C$33/30</f>
        <v>17.668790220389987</v>
      </c>
      <c r="X88">
        <f>K88*'1. Cops de calor'!$C$34/30</f>
        <v>23624.999999999996</v>
      </c>
      <c r="Y88">
        <f t="shared" si="16"/>
        <v>24026.760300108002</v>
      </c>
      <c r="Z88" s="849">
        <f>Y88*(Q88+R88)*'A. Dades de partida'!$D$10</f>
        <v>3081432.0084888516</v>
      </c>
      <c r="AA88" s="850">
        <f t="shared" si="17"/>
        <v>2543944.0300410325</v>
      </c>
      <c r="AB88" t="str">
        <f>VLOOKUP(B88,'BD ASVICC'!$A$6:$BG$316,59,FALSE)</f>
        <v>CENTRAL</v>
      </c>
      <c r="AC88">
        <f t="shared" si="9"/>
        <v>0.5</v>
      </c>
      <c r="AD88">
        <f t="shared" si="10"/>
        <v>0.5</v>
      </c>
    </row>
    <row r="89" spans="1:30">
      <c r="A89">
        <v>8086</v>
      </c>
      <c r="B89" t="s">
        <v>1084</v>
      </c>
      <c r="C89" t="s">
        <v>24</v>
      </c>
      <c r="D89">
        <f>VLOOKUP(A89,'temperatures màximes'!$A$4:$U$314,'temperatures màximes'!U$1,FALSE)</f>
        <v>39</v>
      </c>
      <c r="E89">
        <f>VLOOKUP(A89,'nits tropicals'!$A$4:$U$314,'nits tropicals'!U$1,FALSE)</f>
        <v>2</v>
      </c>
      <c r="F89">
        <f t="shared" si="11"/>
        <v>3.9</v>
      </c>
      <c r="G89">
        <f t="shared" si="12"/>
        <v>0.2</v>
      </c>
      <c r="H89" s="840">
        <f>VLOOKUP(B89,'BD ASVICC'!$A$6:$X$316,24,FALSE)/VLOOKUP(C89,'BD Comarcal'!$A$6:$Z$17,26,FALSE)</f>
        <v>4.8380666669988887E-2</v>
      </c>
      <c r="I89" s="839">
        <f>(VLOOKUP(C89,'BD Altres'!$D$74:$H$84,5,FALSE) * 1000 / 12) * H89*0.035</f>
        <v>342.38183908148881</v>
      </c>
      <c r="J89" s="839">
        <f>(VLOOKUP(C89,'BD Altres'!$D$74:$H$84,3,FALSE) / 12) * H89*0.25</f>
        <v>76.974361020965432</v>
      </c>
      <c r="K89">
        <f>(VLOOKUP(B89,'BD ASVICC'!$A$6:$GR$316,199,FALSE) / 12)*0.3</f>
        <v>2.5249999999999999</v>
      </c>
      <c r="L89" s="846">
        <f>I89*'1. Cops de calor'!$C$32/30</f>
        <v>4907.473026834673</v>
      </c>
      <c r="M89" s="846">
        <f>J89*'1. Cops de calor'!$C$33/30</f>
        <v>384.87180510482716</v>
      </c>
      <c r="N89" s="846">
        <f>K89*'1. Cops de calor'!$C$34*0.25/30</f>
        <v>39768.749999999993</v>
      </c>
      <c r="O89" s="779">
        <f t="shared" si="13"/>
        <v>184750.48881095191</v>
      </c>
      <c r="P89" s="848">
        <f>O89*'A. Dades de partida'!$D$10</f>
        <v>2771257.3321642787</v>
      </c>
      <c r="Q89">
        <f t="shared" si="14"/>
        <v>5.85</v>
      </c>
      <c r="R89">
        <f t="shared" si="15"/>
        <v>0.30000000000000004</v>
      </c>
      <c r="S89">
        <f>I89+(I89*'1. Cops de calor'!$C$40)</f>
        <v>361.5552220700522</v>
      </c>
      <c r="T89">
        <f>J89*'1. Cops de calor'!$C$41+J89</f>
        <v>82.747438097537838</v>
      </c>
      <c r="U89">
        <f>'1. Cops de calor'!$C$42*K89+K89</f>
        <v>2.6259999999999999</v>
      </c>
      <c r="V89">
        <f>S89*'1. Cops de calor'!$C$32/30</f>
        <v>5182.2915163374146</v>
      </c>
      <c r="W89">
        <f>T89*'1. Cops de calor'!$C$33/30</f>
        <v>413.73719048768919</v>
      </c>
      <c r="X89">
        <f>K89*'1. Cops de calor'!$C$34/30</f>
        <v>159074.99999999997</v>
      </c>
      <c r="Y89">
        <f t="shared" si="16"/>
        <v>164671.02870682508</v>
      </c>
      <c r="Z89" s="849">
        <f>Y89*(Q89+R89)*'A. Dades de partida'!$D$10</f>
        <v>15190902.398204612</v>
      </c>
      <c r="AA89" s="850">
        <f t="shared" si="17"/>
        <v>12419645.066040333</v>
      </c>
      <c r="AB89" t="str">
        <f>VLOOKUP(B89,'BD ASVICC'!$A$6:$BG$316,59,FALSE)</f>
        <v>CENTRAL</v>
      </c>
      <c r="AC89">
        <f t="shared" si="9"/>
        <v>0.5</v>
      </c>
      <c r="AD89">
        <f t="shared" si="10"/>
        <v>0.5</v>
      </c>
    </row>
    <row r="90" spans="1:30">
      <c r="A90">
        <v>8087</v>
      </c>
      <c r="B90" t="s">
        <v>1087</v>
      </c>
      <c r="C90" t="s">
        <v>89</v>
      </c>
      <c r="D90">
        <f>VLOOKUP(A90,'temperatures màximes'!$A$4:$U$314,'temperatures màximes'!U$1,FALSE)</f>
        <v>30</v>
      </c>
      <c r="E90">
        <f>VLOOKUP(A90,'nits tropicals'!$A$4:$U$314,'nits tropicals'!U$1,FALSE)</f>
        <v>0</v>
      </c>
      <c r="F90">
        <f t="shared" si="11"/>
        <v>3</v>
      </c>
      <c r="G90">
        <f t="shared" si="12"/>
        <v>0</v>
      </c>
      <c r="H90" s="840">
        <f>VLOOKUP(B90,'BD ASVICC'!$A$6:$X$316,24,FALSE)/VLOOKUP(C90,'BD Comarcal'!$A$6:$Z$17,26,FALSE)</f>
        <v>2.0680350349464743E-4</v>
      </c>
      <c r="I90" s="839">
        <f>(VLOOKUP(C90,'BD Altres'!$D$74:$H$84,5,FALSE) * 1000 / 12) * H90*0.035</f>
        <v>0.8372100187617334</v>
      </c>
      <c r="J90" s="839">
        <f>(VLOOKUP(C90,'BD Altres'!$D$74:$H$84,3,FALSE) / 12) * H90*0.25</f>
        <v>0.36749000662175219</v>
      </c>
      <c r="K90">
        <f>(VLOOKUP(B90,'BD ASVICC'!$A$6:$GR$316,199,FALSE) / 12)*0.3</f>
        <v>2.4999999999999998E-2</v>
      </c>
      <c r="L90" s="846">
        <f>I90*'1. Cops de calor'!$C$32/30</f>
        <v>12.000010268918178</v>
      </c>
      <c r="M90" s="846">
        <f>J90*'1. Cops de calor'!$C$33/30</f>
        <v>1.8374500331087611</v>
      </c>
      <c r="N90" s="846">
        <f>K90*'1. Cops de calor'!$C$34*0.25/30</f>
        <v>393.74999999999994</v>
      </c>
      <c r="O90" s="779">
        <f t="shared" si="13"/>
        <v>1222.7623809060806</v>
      </c>
      <c r="P90" s="848">
        <f>O90*'A. Dades de partida'!$D$10</f>
        <v>18341.435713591207</v>
      </c>
      <c r="Q90">
        <f t="shared" si="14"/>
        <v>4.5</v>
      </c>
      <c r="R90">
        <f t="shared" si="15"/>
        <v>0</v>
      </c>
      <c r="S90">
        <f>I90+(I90*'1. Cops de calor'!$C$40)</f>
        <v>0.88409377981239046</v>
      </c>
      <c r="T90">
        <f>J90*'1. Cops de calor'!$C$41+J90</f>
        <v>0.39505175711838358</v>
      </c>
      <c r="U90">
        <f>'1. Cops de calor'!$C$42*K90+K90</f>
        <v>2.5999999999999999E-2</v>
      </c>
      <c r="V90">
        <f>S90*'1. Cops de calor'!$C$32/30</f>
        <v>12.672010843977597</v>
      </c>
      <c r="W90">
        <f>T90*'1. Cops de calor'!$C$33/30</f>
        <v>1.9752587855919179</v>
      </c>
      <c r="X90">
        <f>K90*'1. Cops de calor'!$C$34/30</f>
        <v>1574.9999999999998</v>
      </c>
      <c r="Y90">
        <f t="shared" si="16"/>
        <v>1589.6472696295693</v>
      </c>
      <c r="Z90" s="849">
        <f>Y90*(Q90+R90)*'A. Dades de partida'!$D$10</f>
        <v>107301.19069999593</v>
      </c>
      <c r="AA90" s="850">
        <f t="shared" si="17"/>
        <v>88959.754986404732</v>
      </c>
      <c r="AB90" t="str">
        <f>VLOOKUP(B90,'BD ASVICC'!$A$6:$BG$316,59,FALSE)</f>
        <v>CENTRAL</v>
      </c>
      <c r="AC90">
        <f t="shared" si="9"/>
        <v>0.5</v>
      </c>
      <c r="AD90">
        <f t="shared" si="10"/>
        <v>0.5</v>
      </c>
    </row>
    <row r="91" spans="1:30">
      <c r="A91">
        <v>8088</v>
      </c>
      <c r="B91" t="s">
        <v>1091</v>
      </c>
      <c r="C91" t="s">
        <v>24</v>
      </c>
      <c r="D91">
        <f>VLOOKUP(A91,'temperatures màximes'!$A$4:$U$314,'temperatures màximes'!U$1,FALSE)</f>
        <v>42</v>
      </c>
      <c r="E91">
        <f>VLOOKUP(A91,'nits tropicals'!$A$4:$U$314,'nits tropicals'!U$1,FALSE)</f>
        <v>8</v>
      </c>
      <c r="F91">
        <f t="shared" si="11"/>
        <v>4.2</v>
      </c>
      <c r="G91">
        <f t="shared" si="12"/>
        <v>0.8</v>
      </c>
      <c r="H91" s="840">
        <f>VLOOKUP(B91,'BD ASVICC'!$A$6:$X$316,24,FALSE)/VLOOKUP(C91,'BD Comarcal'!$A$6:$Z$17,26,FALSE)</f>
        <v>3.9647379515520581E-2</v>
      </c>
      <c r="I91" s="839">
        <f>(VLOOKUP(C91,'BD Altres'!$D$74:$H$84,5,FALSE) * 1000 / 12) * H91*0.035</f>
        <v>280.57783506538851</v>
      </c>
      <c r="J91" s="839">
        <f>(VLOOKUP(C91,'BD Altres'!$D$74:$H$84,3,FALSE) / 12) * H91*0.25</f>
        <v>63.079571126621104</v>
      </c>
      <c r="K91">
        <f>(VLOOKUP(B91,'BD ASVICC'!$A$6:$GR$316,199,FALSE) / 12)*0.3</f>
        <v>3.1249999999999996</v>
      </c>
      <c r="L91" s="846">
        <f>I91*'1. Cops de calor'!$C$32/30</f>
        <v>4021.6156359372353</v>
      </c>
      <c r="M91" s="846">
        <f>J91*'1. Cops de calor'!$C$33/30</f>
        <v>315.39785563310556</v>
      </c>
      <c r="N91" s="846">
        <f>K91*'1. Cops de calor'!$C$34*0.25/30</f>
        <v>49218.749999999985</v>
      </c>
      <c r="O91" s="779">
        <f t="shared" si="13"/>
        <v>267778.8174578516</v>
      </c>
      <c r="P91" s="848">
        <f>O91*'A. Dades de partida'!$D$10</f>
        <v>4016682.2618677742</v>
      </c>
      <c r="Q91">
        <f t="shared" si="14"/>
        <v>6.3000000000000007</v>
      </c>
      <c r="R91">
        <f t="shared" si="15"/>
        <v>1.2000000000000002</v>
      </c>
      <c r="S91">
        <f>I91+(I91*'1. Cops de calor'!$C$40)</f>
        <v>296.29019382905028</v>
      </c>
      <c r="T91">
        <f>J91*'1. Cops de calor'!$C$41+J91</f>
        <v>67.810538961117686</v>
      </c>
      <c r="U91">
        <f>'1. Cops de calor'!$C$42*K91+K91</f>
        <v>3.2499999999999996</v>
      </c>
      <c r="V91">
        <f>S91*'1. Cops de calor'!$C$32/30</f>
        <v>4246.8261115497207</v>
      </c>
      <c r="W91">
        <f>T91*'1. Cops de calor'!$C$33/30</f>
        <v>339.05269480558843</v>
      </c>
      <c r="X91">
        <f>K91*'1. Cops de calor'!$C$34/30</f>
        <v>196874.99999999994</v>
      </c>
      <c r="Y91">
        <f t="shared" si="16"/>
        <v>201460.87880635526</v>
      </c>
      <c r="Z91" s="849">
        <f>Y91*(Q91+R91)*'A. Dades de partida'!$D$10</f>
        <v>22664348.865714971</v>
      </c>
      <c r="AA91" s="850">
        <f t="shared" si="17"/>
        <v>18647666.603847198</v>
      </c>
      <c r="AB91" t="str">
        <f>VLOOKUP(B91,'BD ASVICC'!$A$6:$BG$316,59,FALSE)</f>
        <v>CENTRAL</v>
      </c>
      <c r="AC91">
        <f t="shared" si="9"/>
        <v>0.5</v>
      </c>
      <c r="AD91">
        <f t="shared" si="10"/>
        <v>0.5</v>
      </c>
    </row>
    <row r="92" spans="1:30">
      <c r="A92">
        <v>8089</v>
      </c>
      <c r="B92" t="s">
        <v>342</v>
      </c>
      <c r="C92" t="s">
        <v>90</v>
      </c>
      <c r="D92">
        <f>VLOOKUP(A92,'temperatures màximes'!$A$4:$U$314,'temperatures màximes'!U$1,FALSE)</f>
        <v>2</v>
      </c>
      <c r="E92">
        <f>VLOOKUP(A92,'nits tropicals'!$A$4:$U$314,'nits tropicals'!U$1,FALSE)</f>
        <v>246</v>
      </c>
      <c r="F92">
        <f t="shared" si="11"/>
        <v>0.2</v>
      </c>
      <c r="G92">
        <f t="shared" si="12"/>
        <v>24.6</v>
      </c>
      <c r="H92" s="840">
        <f>VLOOKUP(B92,'BD ASVICC'!$A$6:$X$316,24,FALSE)/VLOOKUP(C92,'BD Comarcal'!$A$6:$Z$17,26,FALSE)</f>
        <v>5.7126770163097633E-2</v>
      </c>
      <c r="I92" s="839">
        <f>(VLOOKUP(C92,'BD Altres'!$D$74:$H$84,5,FALSE) * 1000 / 12) * H92*0.035</f>
        <v>105.27253568070608</v>
      </c>
      <c r="J92" s="839">
        <f>(VLOOKUP(C92,'BD Altres'!$D$74:$H$84,3,FALSE) / 12) * H92*0.25</f>
        <v>321.07571906080494</v>
      </c>
      <c r="K92">
        <f>(VLOOKUP(B92,'BD ASVICC'!$A$6:$GR$316,199,FALSE) / 12)*0.3</f>
        <v>6.8250000000000002</v>
      </c>
      <c r="L92" s="846">
        <f>I92*'1. Cops de calor'!$C$32/30</f>
        <v>1508.9063447567871</v>
      </c>
      <c r="M92" s="846">
        <f>J92*'1. Cops de calor'!$C$33/30</f>
        <v>1605.3785953040247</v>
      </c>
      <c r="N92" s="846">
        <f>K92*'1. Cops de calor'!$C$34*0.25/30</f>
        <v>107493.74999999999</v>
      </c>
      <c r="O92" s="779">
        <f t="shared" si="13"/>
        <v>2743079.2665135078</v>
      </c>
      <c r="P92" s="848">
        <f>O92*'A. Dades de partida'!$D$10</f>
        <v>41146188.997702613</v>
      </c>
      <c r="Q92">
        <f t="shared" si="14"/>
        <v>0.30000000000000004</v>
      </c>
      <c r="R92">
        <f t="shared" si="15"/>
        <v>36.900000000000006</v>
      </c>
      <c r="S92">
        <f>I92+(I92*'1. Cops de calor'!$C$40)</f>
        <v>111.16779767882562</v>
      </c>
      <c r="T92">
        <f>J92*'1. Cops de calor'!$C$41+J92</f>
        <v>345.15639799036529</v>
      </c>
      <c r="U92">
        <f>'1. Cops de calor'!$C$42*K92+K92</f>
        <v>7.0979999999999999</v>
      </c>
      <c r="V92">
        <f>S92*'1. Cops de calor'!$C$32/30</f>
        <v>1593.4051000631671</v>
      </c>
      <c r="W92">
        <f>T92*'1. Cops de calor'!$C$33/30</f>
        <v>1725.7819899518263</v>
      </c>
      <c r="X92">
        <f>K92*'1. Cops de calor'!$C$34/30</f>
        <v>429974.99999999994</v>
      </c>
      <c r="Y92">
        <f t="shared" si="16"/>
        <v>433294.18709001492</v>
      </c>
      <c r="Z92" s="849">
        <f>Y92*(Q92+R92)*'A. Dades de partida'!$D$10</f>
        <v>241778156.39622834</v>
      </c>
      <c r="AA92" s="850">
        <f t="shared" si="17"/>
        <v>200631967.39852571</v>
      </c>
      <c r="AB92" t="str">
        <f>VLOOKUP(B92,'BD ASVICC'!$A$6:$BG$316,59,FALSE)</f>
        <v>LITORAL</v>
      </c>
      <c r="AC92">
        <f t="shared" si="9"/>
        <v>0.5</v>
      </c>
      <c r="AD92">
        <f t="shared" si="10"/>
        <v>0.5</v>
      </c>
    </row>
    <row r="93" spans="1:30">
      <c r="A93">
        <v>8090</v>
      </c>
      <c r="B93" t="s">
        <v>1100</v>
      </c>
      <c r="C93" t="s">
        <v>82</v>
      </c>
      <c r="D93">
        <f>VLOOKUP(A93,'temperatures màximes'!$A$4:$U$314,'temperatures màximes'!U$1,FALSE)</f>
        <v>70</v>
      </c>
      <c r="E93">
        <f>VLOOKUP(A93,'nits tropicals'!$A$4:$U$314,'nits tropicals'!U$1,FALSE)</f>
        <v>3</v>
      </c>
      <c r="F93">
        <f t="shared" si="11"/>
        <v>7</v>
      </c>
      <c r="G93">
        <f t="shared" si="12"/>
        <v>0.3</v>
      </c>
      <c r="H93" s="840">
        <f>VLOOKUP(B93,'BD ASVICC'!$A$6:$X$316,24,FALSE)/VLOOKUP(C93,'BD Comarcal'!$A$6:$Z$17,26,FALSE)</f>
        <v>9.1753115304993088E-4</v>
      </c>
      <c r="I93" s="839">
        <f>(VLOOKUP(C93,'BD Altres'!$D$74:$H$84,5,FALSE) * 1000 / 12) * H93*0.035</f>
        <v>2.6249633583104699</v>
      </c>
      <c r="J93" s="839">
        <f>(VLOOKUP(C93,'BD Altres'!$D$74:$H$84,3,FALSE) / 12) * H93*0.25</f>
        <v>22.94836932661693</v>
      </c>
      <c r="K93">
        <f>(VLOOKUP(B93,'BD ASVICC'!$A$6:$GR$316,199,FALSE) / 12)*0.3</f>
        <v>2.4999999999999998E-2</v>
      </c>
      <c r="L93" s="846">
        <f>I93*'1. Cops de calor'!$C$32/30</f>
        <v>37.624474802450074</v>
      </c>
      <c r="M93" s="846">
        <f>J93*'1. Cops de calor'!$C$33/30</f>
        <v>114.74184663308465</v>
      </c>
      <c r="N93" s="846">
        <f>K93*'1. Cops de calor'!$C$34*0.25/30</f>
        <v>393.74999999999994</v>
      </c>
      <c r="O93" s="779">
        <f t="shared" si="13"/>
        <v>3986.649146479403</v>
      </c>
      <c r="P93" s="848">
        <f>O93*'A. Dades de partida'!$D$10</f>
        <v>59799.737197191047</v>
      </c>
      <c r="Q93">
        <f t="shared" si="14"/>
        <v>10.5</v>
      </c>
      <c r="R93">
        <f t="shared" si="15"/>
        <v>0.44999999999999996</v>
      </c>
      <c r="S93">
        <f>I93+(I93*'1. Cops de calor'!$C$40)</f>
        <v>2.7719613063758564</v>
      </c>
      <c r="T93">
        <f>J93*'1. Cops de calor'!$C$41+J93</f>
        <v>24.669497026113199</v>
      </c>
      <c r="U93">
        <f>'1. Cops de calor'!$C$42*K93+K93</f>
        <v>2.5999999999999999E-2</v>
      </c>
      <c r="V93">
        <f>S93*'1. Cops de calor'!$C$32/30</f>
        <v>39.731445391387275</v>
      </c>
      <c r="W93">
        <f>T93*'1. Cops de calor'!$C$33/30</f>
        <v>123.34748513056599</v>
      </c>
      <c r="X93">
        <f>K93*'1. Cops de calor'!$C$34/30</f>
        <v>1574.9999999999998</v>
      </c>
      <c r="Y93">
        <f t="shared" si="16"/>
        <v>1738.078930521953</v>
      </c>
      <c r="Z93" s="849">
        <f>Y93*(Q93+R93)*'A. Dades de partida'!$D$10</f>
        <v>285479.46433823073</v>
      </c>
      <c r="AA93" s="850">
        <f t="shared" si="17"/>
        <v>225679.72714103968</v>
      </c>
      <c r="AB93" t="str">
        <f>VLOOKUP(B93,'BD ASVICC'!$A$6:$BG$316,59,FALSE)</f>
        <v>CENTRAL</v>
      </c>
      <c r="AC93">
        <f t="shared" si="9"/>
        <v>0.5</v>
      </c>
      <c r="AD93">
        <f t="shared" si="10"/>
        <v>0.5</v>
      </c>
    </row>
    <row r="94" spans="1:30">
      <c r="A94">
        <v>8091</v>
      </c>
      <c r="B94" t="s">
        <v>1102</v>
      </c>
      <c r="C94" t="s">
        <v>791</v>
      </c>
      <c r="D94">
        <f>VLOOKUP(A94,'temperatures màximes'!$A$4:$U$314,'temperatures màximes'!U$1,FALSE)</f>
        <v>37</v>
      </c>
      <c r="E94">
        <f>VLOOKUP(A94,'nits tropicals'!$A$4:$U$314,'nits tropicals'!U$1,FALSE)</f>
        <v>7</v>
      </c>
      <c r="F94">
        <f t="shared" si="11"/>
        <v>3.7</v>
      </c>
      <c r="G94">
        <f t="shared" si="12"/>
        <v>0.7</v>
      </c>
      <c r="H94" s="840">
        <f>VLOOKUP(B94,'BD ASVICC'!$A$6:$X$316,24,FALSE)/VLOOKUP(C94,'BD Comarcal'!$A$6:$Z$17,26,FALSE)</f>
        <v>6.8106327922841686E-2</v>
      </c>
      <c r="I94" s="839">
        <f>(VLOOKUP(C94,'BD Altres'!$D$74:$H$84,5,FALSE) * 1000 / 12) * H94*0.035</f>
        <v>134.75544152031435</v>
      </c>
      <c r="J94" s="839">
        <f>(VLOOKUP(C94,'BD Altres'!$D$74:$H$84,3,FALSE) / 12) * H94*0.25</f>
        <v>17.456254652382089</v>
      </c>
      <c r="K94">
        <f>(VLOOKUP(B94,'BD ASVICC'!$A$6:$GR$316,199,FALSE) / 12)*0.3</f>
        <v>1.1749999999999998</v>
      </c>
      <c r="L94" s="846">
        <f>I94*'1. Cops de calor'!$C$32/30</f>
        <v>1931.4946617911723</v>
      </c>
      <c r="M94" s="846">
        <f>J94*'1. Cops de calor'!$C$33/30</f>
        <v>87.281273261910442</v>
      </c>
      <c r="N94" s="846">
        <f>K94*'1. Cops de calor'!$C$34*0.25/30</f>
        <v>18506.249999999996</v>
      </c>
      <c r="O94" s="779">
        <f t="shared" si="13"/>
        <v>90310.114114233555</v>
      </c>
      <c r="P94" s="848">
        <f>O94*'A. Dades de partida'!$D$10</f>
        <v>1354651.7117135033</v>
      </c>
      <c r="Q94">
        <f t="shared" si="14"/>
        <v>5.5500000000000007</v>
      </c>
      <c r="R94">
        <f t="shared" si="15"/>
        <v>1.0499999999999998</v>
      </c>
      <c r="S94">
        <f>I94+(I94*'1. Cops de calor'!$C$40)</f>
        <v>142.30174624545197</v>
      </c>
      <c r="T94">
        <f>J94*'1. Cops de calor'!$C$41+J94</f>
        <v>18.765473751310747</v>
      </c>
      <c r="U94">
        <f>'1. Cops de calor'!$C$42*K94+K94</f>
        <v>1.2219999999999998</v>
      </c>
      <c r="V94">
        <f>S94*'1. Cops de calor'!$C$32/30</f>
        <v>2039.6583628514782</v>
      </c>
      <c r="W94">
        <f>T94*'1. Cops de calor'!$C$33/30</f>
        <v>93.827368756553739</v>
      </c>
      <c r="X94">
        <f>K94*'1. Cops de calor'!$C$34/30</f>
        <v>74024.999999999985</v>
      </c>
      <c r="Y94">
        <f t="shared" si="16"/>
        <v>76158.485731608016</v>
      </c>
      <c r="Z94" s="849">
        <f>Y94*(Q94+R94)*'A. Dades de partida'!$D$10</f>
        <v>7539690.0874291938</v>
      </c>
      <c r="AA94" s="850">
        <f t="shared" si="17"/>
        <v>6185038.3757156907</v>
      </c>
      <c r="AB94" t="str">
        <f>VLOOKUP(B94,'BD ASVICC'!$A$6:$BG$316,59,FALSE)</f>
        <v>LITORAL</v>
      </c>
      <c r="AC94">
        <f t="shared" si="9"/>
        <v>0.5</v>
      </c>
      <c r="AD94">
        <f t="shared" si="10"/>
        <v>0.5</v>
      </c>
    </row>
    <row r="95" spans="1:30">
      <c r="A95">
        <v>8092</v>
      </c>
      <c r="B95" t="s">
        <v>1104</v>
      </c>
      <c r="C95" t="s">
        <v>84</v>
      </c>
      <c r="D95">
        <f>VLOOKUP(A95,'temperatures màximes'!$A$4:$U$314,'temperatures màximes'!U$1,FALSE)</f>
        <v>11</v>
      </c>
      <c r="E95">
        <f>VLOOKUP(A95,'nits tropicals'!$A$4:$U$314,'nits tropicals'!U$1,FALSE)</f>
        <v>0</v>
      </c>
      <c r="F95">
        <f t="shared" si="11"/>
        <v>1.1000000000000001</v>
      </c>
      <c r="G95">
        <f t="shared" si="12"/>
        <v>0</v>
      </c>
      <c r="H95" s="840">
        <f>VLOOKUP(B95,'BD ASVICC'!$A$6:$X$316,24,FALSE)/VLOOKUP(C95,'BD Comarcal'!$A$6:$Z$17,26,FALSE)</f>
        <v>0.12325795089080606</v>
      </c>
      <c r="I95" s="839">
        <f>(VLOOKUP(C95,'BD Altres'!$D$74:$H$84,5,FALSE) * 1000 / 12) * H95*0.035</f>
        <v>79.2246753580079</v>
      </c>
      <c r="J95" s="839">
        <f>(VLOOKUP(C95,'BD Altres'!$D$74:$H$84,3,FALSE) / 12) * H95*0.25</f>
        <v>692.61047173895713</v>
      </c>
      <c r="K95">
        <f>(VLOOKUP(B95,'BD ASVICC'!$A$6:$GR$316,199,FALSE) / 12)*0.3</f>
        <v>1.8249999999999997</v>
      </c>
      <c r="L95" s="846">
        <f>I95*'1. Cops de calor'!$C$32/30</f>
        <v>1135.5536801314468</v>
      </c>
      <c r="M95" s="846">
        <f>J95*'1. Cops de calor'!$C$33/30</f>
        <v>3463.0523586947861</v>
      </c>
      <c r="N95" s="846">
        <f>K95*'1. Cops de calor'!$C$34*0.25/30</f>
        <v>28743.749999999993</v>
      </c>
      <c r="O95" s="779">
        <f t="shared" si="13"/>
        <v>36676.591642708852</v>
      </c>
      <c r="P95" s="848">
        <f>O95*'A. Dades de partida'!$D$10</f>
        <v>550148.87464063277</v>
      </c>
      <c r="Q95">
        <f t="shared" si="14"/>
        <v>1.6500000000000001</v>
      </c>
      <c r="R95">
        <f t="shared" si="15"/>
        <v>0</v>
      </c>
      <c r="S95">
        <f>I95+(I95*'1. Cops de calor'!$C$40)</f>
        <v>83.661257178056346</v>
      </c>
      <c r="T95">
        <f>J95*'1. Cops de calor'!$C$41+J95</f>
        <v>744.55625711937887</v>
      </c>
      <c r="U95">
        <f>'1. Cops de calor'!$C$42*K95+K95</f>
        <v>1.8979999999999997</v>
      </c>
      <c r="V95">
        <f>S95*'1. Cops de calor'!$C$32/30</f>
        <v>1199.1446862188075</v>
      </c>
      <c r="W95">
        <f>T95*'1. Cops de calor'!$C$33/30</f>
        <v>3722.7812855968946</v>
      </c>
      <c r="X95">
        <f>K95*'1. Cops de calor'!$C$34/30</f>
        <v>114974.99999999997</v>
      </c>
      <c r="Y95">
        <f t="shared" si="16"/>
        <v>119896.92597181567</v>
      </c>
      <c r="Z95" s="849">
        <f>Y95*(Q95+R95)*'A. Dades de partida'!$D$10</f>
        <v>2967448.9178024381</v>
      </c>
      <c r="AA95" s="850">
        <f t="shared" si="17"/>
        <v>2417300.0431618053</v>
      </c>
      <c r="AB95" t="str">
        <f>VLOOKUP(B95,'BD ASVICC'!$A$6:$BG$316,59,FALSE)</f>
        <v>CENTRAL</v>
      </c>
      <c r="AC95">
        <f t="shared" si="9"/>
        <v>0.5</v>
      </c>
      <c r="AD95">
        <f t="shared" si="10"/>
        <v>0.5</v>
      </c>
    </row>
    <row r="96" spans="1:30">
      <c r="A96">
        <v>8093</v>
      </c>
      <c r="B96" t="s">
        <v>1105</v>
      </c>
      <c r="C96" t="s">
        <v>84</v>
      </c>
      <c r="D96">
        <f>VLOOKUP(A96,'temperatures màximes'!$A$4:$U$314,'temperatures màximes'!U$1,FALSE)</f>
        <v>0</v>
      </c>
      <c r="E96">
        <f>VLOOKUP(A96,'nits tropicals'!$A$4:$U$314,'nits tropicals'!U$1,FALSE)</f>
        <v>0</v>
      </c>
      <c r="F96">
        <f t="shared" si="11"/>
        <v>0</v>
      </c>
      <c r="G96">
        <f t="shared" si="12"/>
        <v>0</v>
      </c>
      <c r="H96" s="840">
        <f>VLOOKUP(B96,'BD ASVICC'!$A$6:$X$316,24,FALSE)/VLOOKUP(C96,'BD Comarcal'!$A$6:$Z$17,26,FALSE)</f>
        <v>7.4021134310071977E-4</v>
      </c>
      <c r="I96" s="839">
        <f>(VLOOKUP(C96,'BD Altres'!$D$74:$H$84,5,FALSE) * 1000 / 12) * H96*0.035</f>
        <v>0.47577460869377286</v>
      </c>
      <c r="J96" s="839">
        <f>(VLOOKUP(C96,'BD Altres'!$D$74:$H$84,3,FALSE) / 12) * H96*0.25</f>
        <v>4.1593919404493178</v>
      </c>
      <c r="K96">
        <f>(VLOOKUP(B96,'BD ASVICC'!$A$6:$GR$316,199,FALSE) / 12)*0.3</f>
        <v>0</v>
      </c>
      <c r="L96" s="846">
        <f>I96*'1. Cops de calor'!$C$32/30</f>
        <v>6.8194360579440776</v>
      </c>
      <c r="M96" s="846">
        <f>J96*'1. Cops de calor'!$C$33/30</f>
        <v>20.796959702246589</v>
      </c>
      <c r="N96" s="846">
        <f>K96*'1. Cops de calor'!$C$34*0.25/30</f>
        <v>0</v>
      </c>
      <c r="O96" s="779">
        <f t="shared" si="13"/>
        <v>0</v>
      </c>
      <c r="P96" s="848">
        <f>O96*'A. Dades de partida'!$D$10</f>
        <v>0</v>
      </c>
      <c r="Q96">
        <f t="shared" si="14"/>
        <v>0</v>
      </c>
      <c r="R96">
        <f t="shared" si="15"/>
        <v>0</v>
      </c>
      <c r="S96">
        <f>I96+(I96*'1. Cops de calor'!$C$40)</f>
        <v>0.5024179867806241</v>
      </c>
      <c r="T96">
        <f>J96*'1. Cops de calor'!$C$41+J96</f>
        <v>4.471346335983017</v>
      </c>
      <c r="U96">
        <f>'1. Cops de calor'!$C$42*K96+K96</f>
        <v>0</v>
      </c>
      <c r="V96">
        <f>S96*'1. Cops de calor'!$C$32/30</f>
        <v>7.2013244771889457</v>
      </c>
      <c r="W96">
        <f>T96*'1. Cops de calor'!$C$33/30</f>
        <v>22.356731679915086</v>
      </c>
      <c r="X96">
        <f>K96*'1. Cops de calor'!$C$34/30</f>
        <v>0</v>
      </c>
      <c r="Y96">
        <f t="shared" si="16"/>
        <v>29.558056157104033</v>
      </c>
      <c r="Z96" s="849">
        <f>Y96*(Q96+R96)*'A. Dades de partida'!$D$10</f>
        <v>0</v>
      </c>
      <c r="AA96" s="850">
        <f t="shared" si="17"/>
        <v>0</v>
      </c>
      <c r="AB96" t="str">
        <f>VLOOKUP(B96,'BD ASVICC'!$A$6:$BG$316,59,FALSE)</f>
        <v>PREPIRINEU-PIRINEU</v>
      </c>
      <c r="AC96">
        <f t="shared" si="9"/>
        <v>0.5</v>
      </c>
      <c r="AD96">
        <f t="shared" si="10"/>
        <v>0.5</v>
      </c>
    </row>
    <row r="97" spans="1:30">
      <c r="A97">
        <v>8094</v>
      </c>
      <c r="B97" t="s">
        <v>1108</v>
      </c>
      <c r="C97" t="s">
        <v>791</v>
      </c>
      <c r="D97">
        <f>VLOOKUP(A97,'temperatures màximes'!$A$4:$U$314,'temperatures màximes'!U$1,FALSE)</f>
        <v>15</v>
      </c>
      <c r="E97">
        <f>VLOOKUP(A97,'nits tropicals'!$A$4:$U$314,'nits tropicals'!U$1,FALSE)</f>
        <v>10</v>
      </c>
      <c r="F97">
        <f t="shared" si="11"/>
        <v>1.5</v>
      </c>
      <c r="G97">
        <f t="shared" si="12"/>
        <v>1</v>
      </c>
      <c r="H97" s="840">
        <f>VLOOKUP(B97,'BD ASVICC'!$A$6:$X$316,24,FALSE)/VLOOKUP(C97,'BD Comarcal'!$A$6:$Z$17,26,FALSE)</f>
        <v>1.9675370501058574E-2</v>
      </c>
      <c r="I97" s="839">
        <f>(VLOOKUP(C97,'BD Altres'!$D$74:$H$84,5,FALSE) * 1000 / 12) * H97*0.035</f>
        <v>38.929763500825821</v>
      </c>
      <c r="J97" s="839">
        <f>(VLOOKUP(C97,'BD Altres'!$D$74:$H$84,3,FALSE) / 12) * H97*0.25</f>
        <v>5.0429716051576321</v>
      </c>
      <c r="K97">
        <f>(VLOOKUP(B97,'BD ASVICC'!$A$6:$GR$316,199,FALSE) / 12)*0.3</f>
        <v>0.375</v>
      </c>
      <c r="L97" s="846">
        <f>I97*'1. Cops de calor'!$C$32/30</f>
        <v>557.99327684517016</v>
      </c>
      <c r="M97" s="846">
        <f>J97*'1. Cops de calor'!$C$33/30</f>
        <v>25.21485802578816</v>
      </c>
      <c r="N97" s="846">
        <f>K97*'1. Cops de calor'!$C$34*0.25/30</f>
        <v>5906.2499999999991</v>
      </c>
      <c r="O97" s="779">
        <f t="shared" si="13"/>
        <v>16223.645337177393</v>
      </c>
      <c r="P97" s="848">
        <f>O97*'A. Dades de partida'!$D$10</f>
        <v>243354.68005766091</v>
      </c>
      <c r="Q97">
        <f t="shared" si="14"/>
        <v>2.25</v>
      </c>
      <c r="R97">
        <f t="shared" si="15"/>
        <v>1.5</v>
      </c>
      <c r="S97">
        <f>I97+(I97*'1. Cops de calor'!$C$40)</f>
        <v>41.109830256872065</v>
      </c>
      <c r="T97">
        <f>J97*'1. Cops de calor'!$C$41+J97</f>
        <v>5.4211944755444543</v>
      </c>
      <c r="U97">
        <f>'1. Cops de calor'!$C$42*K97+K97</f>
        <v>0.39</v>
      </c>
      <c r="V97">
        <f>S97*'1. Cops de calor'!$C$32/30</f>
        <v>589.24090034849962</v>
      </c>
      <c r="W97">
        <f>T97*'1. Cops de calor'!$C$33/30</f>
        <v>27.105972377722271</v>
      </c>
      <c r="X97">
        <f>K97*'1. Cops de calor'!$C$34/30</f>
        <v>23624.999999999996</v>
      </c>
      <c r="Y97">
        <f t="shared" si="16"/>
        <v>24241.346872726219</v>
      </c>
      <c r="Z97" s="849">
        <f>Y97*(Q97+R97)*'A. Dades de partida'!$D$10</f>
        <v>1363575.7615908498</v>
      </c>
      <c r="AA97" s="850">
        <f t="shared" si="17"/>
        <v>1120221.0815331889</v>
      </c>
      <c r="AB97" t="str">
        <f>VLOOKUP(B97,'BD ASVICC'!$A$6:$BG$316,59,FALSE)</f>
        <v>CENTRAL</v>
      </c>
      <c r="AC97">
        <f t="shared" si="9"/>
        <v>0.5</v>
      </c>
      <c r="AD97">
        <f t="shared" si="10"/>
        <v>0.5</v>
      </c>
    </row>
    <row r="98" spans="1:30">
      <c r="A98">
        <v>8095</v>
      </c>
      <c r="B98" t="s">
        <v>1110</v>
      </c>
      <c r="C98" t="s">
        <v>24</v>
      </c>
      <c r="D98">
        <f>VLOOKUP(A98,'temperatures màximes'!$A$4:$U$314,'temperatures màximes'!U$1,FALSE)</f>
        <v>30</v>
      </c>
      <c r="E98">
        <f>VLOOKUP(A98,'nits tropicals'!$A$4:$U$314,'nits tropicals'!U$1,FALSE)</f>
        <v>0</v>
      </c>
      <c r="F98">
        <f t="shared" si="11"/>
        <v>3</v>
      </c>
      <c r="G98">
        <f t="shared" si="12"/>
        <v>0</v>
      </c>
      <c r="H98" s="840">
        <f>VLOOKUP(B98,'BD ASVICC'!$A$6:$X$316,24,FALSE)/VLOOKUP(C98,'BD Comarcal'!$A$6:$Z$17,26,FALSE)</f>
        <v>1.9684156496519145E-4</v>
      </c>
      <c r="I98" s="839">
        <f>(VLOOKUP(C98,'BD Altres'!$D$74:$H$84,5,FALSE) * 1000 / 12) * H98*0.035</f>
        <v>1.3930146411617457</v>
      </c>
      <c r="J98" s="839">
        <f>(VLOOKUP(C98,'BD Altres'!$D$74:$H$84,3,FALSE) / 12) * H98*0.25</f>
        <v>0.31317786067138437</v>
      </c>
      <c r="K98">
        <f>(VLOOKUP(B98,'BD ASVICC'!$A$6:$GR$316,199,FALSE) / 12)*0.3</f>
        <v>0</v>
      </c>
      <c r="L98" s="846">
        <f>I98*'1. Cops de calor'!$C$32/30</f>
        <v>19.966543189985021</v>
      </c>
      <c r="M98" s="846">
        <f>J98*'1. Cops de calor'!$C$33/30</f>
        <v>1.5658893033569219</v>
      </c>
      <c r="N98" s="846">
        <f>K98*'1. Cops de calor'!$C$34*0.25/30</f>
        <v>0</v>
      </c>
      <c r="O98" s="779">
        <f t="shared" si="13"/>
        <v>64.59729748002583</v>
      </c>
      <c r="P98" s="848">
        <f>O98*'A. Dades de partida'!$D$10</f>
        <v>968.95946220038741</v>
      </c>
      <c r="Q98">
        <f t="shared" si="14"/>
        <v>4.5</v>
      </c>
      <c r="R98">
        <f t="shared" si="15"/>
        <v>0</v>
      </c>
      <c r="S98">
        <f>I98+(I98*'1. Cops de calor'!$C$40)</f>
        <v>1.4710234610668034</v>
      </c>
      <c r="T98">
        <f>J98*'1. Cops de calor'!$C$41+J98</f>
        <v>0.33666620022173821</v>
      </c>
      <c r="U98">
        <f>'1. Cops de calor'!$C$42*K98+K98</f>
        <v>0</v>
      </c>
      <c r="V98">
        <f>S98*'1. Cops de calor'!$C$32/30</f>
        <v>21.084669608624178</v>
      </c>
      <c r="W98">
        <f>T98*'1. Cops de calor'!$C$33/30</f>
        <v>1.683331001108691</v>
      </c>
      <c r="X98">
        <f>K98*'1. Cops de calor'!$C$34/30</f>
        <v>0</v>
      </c>
      <c r="Y98">
        <f t="shared" si="16"/>
        <v>22.768000609732869</v>
      </c>
      <c r="Z98" s="849">
        <f>Y98*(Q98+R98)*'A. Dades de partida'!$D$10</f>
        <v>1536.8400411569687</v>
      </c>
      <c r="AA98" s="850">
        <f t="shared" si="17"/>
        <v>567.8805789565813</v>
      </c>
      <c r="AB98" t="str">
        <f>VLOOKUP(B98,'BD ASVICC'!$A$6:$BG$316,59,FALSE)</f>
        <v>PREPIRINEU-PIRINEU</v>
      </c>
      <c r="AC98">
        <f t="shared" si="9"/>
        <v>0.5</v>
      </c>
      <c r="AD98">
        <f t="shared" si="10"/>
        <v>0.5</v>
      </c>
    </row>
    <row r="99" spans="1:30">
      <c r="A99">
        <v>8096</v>
      </c>
      <c r="B99" t="s">
        <v>1113</v>
      </c>
      <c r="C99" t="s">
        <v>24</v>
      </c>
      <c r="D99">
        <f>VLOOKUP(A99,'temperatures màximes'!$A$4:$U$314,'temperatures màximes'!U$1,FALSE)</f>
        <v>39</v>
      </c>
      <c r="E99">
        <f>VLOOKUP(A99,'nits tropicals'!$A$4:$U$314,'nits tropicals'!U$1,FALSE)</f>
        <v>2</v>
      </c>
      <c r="F99">
        <f t="shared" si="11"/>
        <v>3.9</v>
      </c>
      <c r="G99">
        <f t="shared" si="12"/>
        <v>0.2</v>
      </c>
      <c r="H99" s="840">
        <f>VLOOKUP(B99,'BD ASVICC'!$A$6:$X$316,24,FALSE)/VLOOKUP(C99,'BD Comarcal'!$A$6:$Z$17,26,FALSE)</f>
        <v>0.14993347253437253</v>
      </c>
      <c r="I99" s="839">
        <f>(VLOOKUP(C99,'BD Altres'!$D$74:$H$84,5,FALSE) * 1000 / 12) * H99*0.035</f>
        <v>1061.0539622438846</v>
      </c>
      <c r="J99" s="839">
        <f>(VLOOKUP(C99,'BD Altres'!$D$74:$H$84,3,FALSE) / 12) * H99*0.25</f>
        <v>238.54638719037825</v>
      </c>
      <c r="K99">
        <f>(VLOOKUP(B99,'BD ASVICC'!$A$6:$GR$316,199,FALSE) / 12)*0.3</f>
        <v>11.4</v>
      </c>
      <c r="L99" s="846">
        <f>I99*'1. Cops de calor'!$C$32/30</f>
        <v>15208.440125495679</v>
      </c>
      <c r="M99" s="846">
        <f>J99*'1. Cops de calor'!$C$33/30</f>
        <v>1192.7319359518913</v>
      </c>
      <c r="N99" s="846">
        <f>K99*'1. Cops de calor'!$C$34*0.25/30</f>
        <v>179549.99999999997</v>
      </c>
      <c r="O99" s="779">
        <f t="shared" si="13"/>
        <v>803399.80545193492</v>
      </c>
      <c r="P99" s="848">
        <f>O99*'A. Dades de partida'!$D$10</f>
        <v>12050997.081779024</v>
      </c>
      <c r="Q99">
        <f t="shared" si="14"/>
        <v>5.85</v>
      </c>
      <c r="R99">
        <f t="shared" si="15"/>
        <v>0.30000000000000004</v>
      </c>
      <c r="S99">
        <f>I99+(I99*'1. Cops de calor'!$C$40)</f>
        <v>1120.4729841295421</v>
      </c>
      <c r="T99">
        <f>J99*'1. Cops de calor'!$C$41+J99</f>
        <v>256.43736622965662</v>
      </c>
      <c r="U99">
        <f>'1. Cops de calor'!$C$42*K99+K99</f>
        <v>11.856</v>
      </c>
      <c r="V99">
        <f>S99*'1. Cops de calor'!$C$32/30</f>
        <v>16060.112772523435</v>
      </c>
      <c r="W99">
        <f>T99*'1. Cops de calor'!$C$33/30</f>
        <v>1282.1868311482831</v>
      </c>
      <c r="X99">
        <f>K99*'1. Cops de calor'!$C$34/30</f>
        <v>718199.99999999988</v>
      </c>
      <c r="Y99">
        <f t="shared" si="16"/>
        <v>735542.29960367165</v>
      </c>
      <c r="Z99" s="849">
        <f>Y99*(Q99+R99)*'A. Dades de partida'!$D$10</f>
        <v>67853777.138438702</v>
      </c>
      <c r="AA99" s="850">
        <f t="shared" si="17"/>
        <v>55802780.056659676</v>
      </c>
      <c r="AB99" t="str">
        <f>VLOOKUP(B99,'BD ASVICC'!$A$6:$BG$316,59,FALSE)</f>
        <v>LITORAL</v>
      </c>
      <c r="AC99">
        <f t="shared" si="9"/>
        <v>0.5</v>
      </c>
      <c r="AD99">
        <f t="shared" si="10"/>
        <v>0.5</v>
      </c>
    </row>
    <row r="100" spans="1:30">
      <c r="A100">
        <v>8097</v>
      </c>
      <c r="B100" t="s">
        <v>1116</v>
      </c>
      <c r="C100" t="s">
        <v>24</v>
      </c>
      <c r="D100">
        <f>VLOOKUP(A100,'temperatures màximes'!$A$4:$U$314,'temperatures màximes'!U$1,FALSE)</f>
        <v>39</v>
      </c>
      <c r="E100">
        <f>VLOOKUP(A100,'nits tropicals'!$A$4:$U$314,'nits tropicals'!U$1,FALSE)</f>
        <v>2</v>
      </c>
      <c r="F100">
        <f t="shared" si="11"/>
        <v>3.9</v>
      </c>
      <c r="G100">
        <f t="shared" si="12"/>
        <v>0.2</v>
      </c>
      <c r="H100" s="840">
        <f>VLOOKUP(B100,'BD ASVICC'!$A$6:$X$316,24,FALSE)/VLOOKUP(C100,'BD Comarcal'!$A$6:$Z$17,26,FALSE)</f>
        <v>3.5531148308906705E-3</v>
      </c>
      <c r="I100" s="839">
        <f>(VLOOKUP(C100,'BD Altres'!$D$74:$H$84,5,FALSE) * 1000 / 12) * H100*0.035</f>
        <v>25.144795927805685</v>
      </c>
      <c r="J100" s="839">
        <f>(VLOOKUP(C100,'BD Altres'!$D$74:$H$84,3,FALSE) / 12) * H100*0.25</f>
        <v>5.6530585989543551</v>
      </c>
      <c r="K100">
        <f>(VLOOKUP(B100,'BD ASVICC'!$A$6:$GR$316,199,FALSE) / 12)*0.3</f>
        <v>9.9999999999999992E-2</v>
      </c>
      <c r="L100" s="846">
        <f>I100*'1. Cops de calor'!$C$32/30</f>
        <v>360.40874163188147</v>
      </c>
      <c r="M100" s="846">
        <f>J100*'1. Cops de calor'!$C$33/30</f>
        <v>28.265292994771773</v>
      </c>
      <c r="N100" s="846">
        <f>K100*'1. Cops de calor'!$C$34*0.25/30</f>
        <v>1574.9999999999998</v>
      </c>
      <c r="O100" s="779">
        <f t="shared" si="13"/>
        <v>8051.0635419692762</v>
      </c>
      <c r="P100" s="848">
        <f>O100*'A. Dades de partida'!$D$10</f>
        <v>120765.95312953915</v>
      </c>
      <c r="Q100">
        <f t="shared" si="14"/>
        <v>5.85</v>
      </c>
      <c r="R100">
        <f t="shared" si="15"/>
        <v>0.30000000000000004</v>
      </c>
      <c r="S100">
        <f>I100+(I100*'1. Cops de calor'!$C$40)</f>
        <v>26.552904499762803</v>
      </c>
      <c r="T100">
        <f>J100*'1. Cops de calor'!$C$41+J100</f>
        <v>6.0770379938759316</v>
      </c>
      <c r="U100">
        <f>'1. Cops de calor'!$C$42*K100+K100</f>
        <v>0.104</v>
      </c>
      <c r="V100">
        <f>S100*'1. Cops de calor'!$C$32/30</f>
        <v>380.59163116326687</v>
      </c>
      <c r="W100">
        <f>T100*'1. Cops de calor'!$C$33/30</f>
        <v>30.38518996937966</v>
      </c>
      <c r="X100">
        <f>K100*'1. Cops de calor'!$C$34/30</f>
        <v>6299.9999999999991</v>
      </c>
      <c r="Y100">
        <f t="shared" si="16"/>
        <v>6710.9768211326455</v>
      </c>
      <c r="Z100" s="849">
        <f>Y100*(Q100+R100)*'A. Dades de partida'!$D$10</f>
        <v>619087.61174948642</v>
      </c>
      <c r="AA100" s="850">
        <f t="shared" si="17"/>
        <v>498321.65861994727</v>
      </c>
      <c r="AB100" t="str">
        <f>VLOOKUP(B100,'BD ASVICC'!$A$6:$BG$316,59,FALSE)</f>
        <v>CENTRAL</v>
      </c>
      <c r="AC100">
        <f t="shared" si="9"/>
        <v>0.5</v>
      </c>
      <c r="AD100">
        <f t="shared" si="10"/>
        <v>0.5</v>
      </c>
    </row>
    <row r="101" spans="1:30">
      <c r="A101">
        <v>8098</v>
      </c>
      <c r="B101" t="s">
        <v>1121</v>
      </c>
      <c r="C101" t="s">
        <v>82</v>
      </c>
      <c r="D101">
        <f>VLOOKUP(A101,'temperatures màximes'!$A$4:$U$314,'temperatures màximes'!U$1,FALSE)</f>
        <v>90</v>
      </c>
      <c r="E101">
        <f>VLOOKUP(A101,'nits tropicals'!$A$4:$U$314,'nits tropicals'!U$1,FALSE)</f>
        <v>1</v>
      </c>
      <c r="F101">
        <f t="shared" si="11"/>
        <v>9</v>
      </c>
      <c r="G101">
        <f t="shared" si="12"/>
        <v>0.1</v>
      </c>
      <c r="H101" s="840">
        <f>VLOOKUP(B101,'BD ASVICC'!$A$6:$X$316,24,FALSE)/VLOOKUP(C101,'BD Comarcal'!$A$6:$Z$17,26,FALSE)</f>
        <v>1.8012283448311454E-2</v>
      </c>
      <c r="I101" s="839">
        <f>(VLOOKUP(C101,'BD Altres'!$D$74:$H$84,5,FALSE) * 1000 / 12) * H101*0.035</f>
        <v>51.531311927832419</v>
      </c>
      <c r="J101" s="839">
        <f>(VLOOKUP(C101,'BD Altres'!$D$74:$H$84,3,FALSE) / 12) * H101*0.25</f>
        <v>450.50517534314855</v>
      </c>
      <c r="K101">
        <f>(VLOOKUP(B101,'BD ASVICC'!$A$6:$GR$316,199,FALSE) / 12)*0.3</f>
        <v>0.64999999999999991</v>
      </c>
      <c r="L101" s="846">
        <f>I101*'1. Cops de calor'!$C$32/30</f>
        <v>738.61547096559809</v>
      </c>
      <c r="M101" s="846">
        <f>J101*'1. Cops de calor'!$C$33/30</f>
        <v>2252.5258767157429</v>
      </c>
      <c r="N101" s="846">
        <f>K101*'1. Cops de calor'!$C$34*0.25/30</f>
        <v>10237.499999999998</v>
      </c>
      <c r="O101" s="779">
        <f t="shared" si="13"/>
        <v>120380.63626390019</v>
      </c>
      <c r="P101" s="848">
        <f>O101*'A. Dades de partida'!$D$10</f>
        <v>1805709.5439585028</v>
      </c>
      <c r="Q101">
        <f t="shared" si="14"/>
        <v>13.5</v>
      </c>
      <c r="R101">
        <f t="shared" si="15"/>
        <v>0.15000000000000002</v>
      </c>
      <c r="S101">
        <f>I101+(I101*'1. Cops de calor'!$C$40)</f>
        <v>54.417065395791035</v>
      </c>
      <c r="T101">
        <f>J101*'1. Cops de calor'!$C$41+J101</f>
        <v>484.29306349388469</v>
      </c>
      <c r="U101">
        <f>'1. Cops de calor'!$C$42*K101+K101</f>
        <v>0.67599999999999993</v>
      </c>
      <c r="V101">
        <f>S101*'1. Cops de calor'!$C$32/30</f>
        <v>779.9779373396716</v>
      </c>
      <c r="W101">
        <f>T101*'1. Cops de calor'!$C$33/30</f>
        <v>2421.4653174694236</v>
      </c>
      <c r="X101">
        <f>K101*'1. Cops de calor'!$C$34/30</f>
        <v>40949.999999999993</v>
      </c>
      <c r="Y101">
        <f t="shared" si="16"/>
        <v>44151.443254809084</v>
      </c>
      <c r="Z101" s="849">
        <f>Y101*(Q101+R101)*'A. Dades de partida'!$D$10</f>
        <v>9040008.0064221621</v>
      </c>
      <c r="AA101" s="850">
        <f t="shared" si="17"/>
        <v>7234298.4624636592</v>
      </c>
      <c r="AB101" t="str">
        <f>VLOOKUP(B101,'BD ASVICC'!$A$6:$BG$316,59,FALSE)</f>
        <v>CENTRAL</v>
      </c>
      <c r="AC101">
        <f t="shared" si="9"/>
        <v>0.5</v>
      </c>
      <c r="AD101">
        <f t="shared" si="10"/>
        <v>0.5</v>
      </c>
    </row>
    <row r="102" spans="1:30">
      <c r="A102">
        <v>8099</v>
      </c>
      <c r="B102" t="s">
        <v>1125</v>
      </c>
      <c r="C102" t="s">
        <v>84</v>
      </c>
      <c r="D102">
        <f>VLOOKUP(A102,'temperatures màximes'!$A$4:$U$314,'temperatures màximes'!U$1,FALSE)</f>
        <v>11</v>
      </c>
      <c r="E102">
        <f>VLOOKUP(A102,'nits tropicals'!$A$4:$U$314,'nits tropicals'!U$1,FALSE)</f>
        <v>0</v>
      </c>
      <c r="F102">
        <f t="shared" si="11"/>
        <v>1.1000000000000001</v>
      </c>
      <c r="G102">
        <f t="shared" si="12"/>
        <v>0</v>
      </c>
      <c r="H102" s="840">
        <f>VLOOKUP(B102,'BD ASVICC'!$A$6:$X$316,24,FALSE)/VLOOKUP(C102,'BD Comarcal'!$A$6:$Z$17,26,FALSE)</f>
        <v>2.2895502577977435E-2</v>
      </c>
      <c r="I102" s="839">
        <f>(VLOOKUP(C102,'BD Altres'!$D$74:$H$84,5,FALSE) * 1000 / 12) * H102*0.035</f>
        <v>14.716200827528077</v>
      </c>
      <c r="J102" s="839">
        <f>(VLOOKUP(C102,'BD Altres'!$D$74:$H$84,3,FALSE) / 12) * H102*0.25</f>
        <v>128.65429553734614</v>
      </c>
      <c r="K102">
        <f>(VLOOKUP(B102,'BD ASVICC'!$A$6:$GR$316,199,FALSE) / 12)*0.3</f>
        <v>0.27499999999999997</v>
      </c>
      <c r="L102" s="846">
        <f>I102*'1. Cops de calor'!$C$32/30</f>
        <v>210.93221186123577</v>
      </c>
      <c r="M102" s="846">
        <f>J102*'1. Cops de calor'!$C$33/30</f>
        <v>643.27147768673069</v>
      </c>
      <c r="N102" s="846">
        <f>K102*'1. Cops de calor'!$C$34*0.25/30</f>
        <v>4331.2499999999991</v>
      </c>
      <c r="O102" s="779">
        <f t="shared" si="13"/>
        <v>5703.9990585027617</v>
      </c>
      <c r="P102" s="848">
        <f>O102*'A. Dades de partida'!$D$10</f>
        <v>85559.985877541432</v>
      </c>
      <c r="Q102">
        <f t="shared" si="14"/>
        <v>1.6500000000000001</v>
      </c>
      <c r="R102">
        <f t="shared" si="15"/>
        <v>0</v>
      </c>
      <c r="S102">
        <f>I102+(I102*'1. Cops de calor'!$C$40)</f>
        <v>15.54030807386965</v>
      </c>
      <c r="T102">
        <f>J102*'1. Cops de calor'!$C$41+J102</f>
        <v>138.30336770264711</v>
      </c>
      <c r="U102">
        <f>'1. Cops de calor'!$C$42*K102+K102</f>
        <v>0.28599999999999998</v>
      </c>
      <c r="V102">
        <f>S102*'1. Cops de calor'!$C$32/30</f>
        <v>222.74441572546496</v>
      </c>
      <c r="W102">
        <f>T102*'1. Cops de calor'!$C$33/30</f>
        <v>691.51683851323548</v>
      </c>
      <c r="X102">
        <f>K102*'1. Cops de calor'!$C$34/30</f>
        <v>17324.999999999996</v>
      </c>
      <c r="Y102">
        <f t="shared" si="16"/>
        <v>18239.261254238696</v>
      </c>
      <c r="Z102" s="849">
        <f>Y102*(Q102+R102)*'A. Dades de partida'!$D$10</f>
        <v>451421.71604240779</v>
      </c>
      <c r="AA102" s="850">
        <f t="shared" si="17"/>
        <v>365861.73016486637</v>
      </c>
      <c r="AB102" t="str">
        <f>VLOOKUP(B102,'BD ASVICC'!$A$6:$BG$316,59,FALSE)</f>
        <v>PREPIRINEU-PIRINEU</v>
      </c>
      <c r="AC102">
        <f t="shared" si="9"/>
        <v>0.5</v>
      </c>
      <c r="AD102">
        <f t="shared" si="10"/>
        <v>0.5</v>
      </c>
    </row>
    <row r="103" spans="1:30">
      <c r="A103">
        <v>8100</v>
      </c>
      <c r="B103" t="s">
        <v>1127</v>
      </c>
      <c r="C103" t="s">
        <v>88</v>
      </c>
      <c r="D103">
        <f>VLOOKUP(A103,'temperatures màximes'!$A$4:$U$314,'temperatures màximes'!U$1,FALSE)</f>
        <v>83</v>
      </c>
      <c r="E103">
        <f>VLOOKUP(A103,'nits tropicals'!$A$4:$U$314,'nits tropicals'!U$1,FALSE)</f>
        <v>0</v>
      </c>
      <c r="F103">
        <f t="shared" si="11"/>
        <v>8.3000000000000007</v>
      </c>
      <c r="G103">
        <f t="shared" si="12"/>
        <v>0</v>
      </c>
      <c r="H103" s="840">
        <f>VLOOKUP(B103,'BD ASVICC'!$A$6:$X$316,24,FALSE)/VLOOKUP(C103,'BD Comarcal'!$A$6:$Z$17,26,FALSE)</f>
        <v>1.644168310406641E-2</v>
      </c>
      <c r="I103" s="839">
        <f>(VLOOKUP(C103,'BD Altres'!$D$74:$H$84,5,FALSE) * 1000 / 12) * H103*0.035</f>
        <v>18.294797803920563</v>
      </c>
      <c r="J103" s="839">
        <f>(VLOOKUP(C103,'BD Altres'!$D$74:$H$84,3,FALSE) / 12) * H103*0.25</f>
        <v>11.704080624642607</v>
      </c>
      <c r="K103">
        <f>(VLOOKUP(B103,'BD ASVICC'!$A$6:$GR$316,199,FALSE) / 12)*0.3</f>
        <v>0.27499999999999997</v>
      </c>
      <c r="L103" s="846">
        <f>I103*'1. Cops de calor'!$C$32/30</f>
        <v>262.22543518952807</v>
      </c>
      <c r="M103" s="846">
        <f>J103*'1. Cops de calor'!$C$33/30</f>
        <v>58.520403123213036</v>
      </c>
      <c r="N103" s="846">
        <f>K103*'1. Cops de calor'!$C$34*0.25/30</f>
        <v>4331.2499999999991</v>
      </c>
      <c r="O103" s="779">
        <f t="shared" si="13"/>
        <v>38611.565457995748</v>
      </c>
      <c r="P103" s="848">
        <f>O103*'A. Dades de partida'!$D$10</f>
        <v>579173.48186993622</v>
      </c>
      <c r="Q103">
        <f t="shared" si="14"/>
        <v>12.450000000000001</v>
      </c>
      <c r="R103">
        <f t="shared" si="15"/>
        <v>0</v>
      </c>
      <c r="S103">
        <f>I103+(I103*'1. Cops de calor'!$C$40)</f>
        <v>19.319306480940114</v>
      </c>
      <c r="T103">
        <f>J103*'1. Cops de calor'!$C$41+J103</f>
        <v>12.581886671490803</v>
      </c>
      <c r="U103">
        <f>'1. Cops de calor'!$C$42*K103+K103</f>
        <v>0.28599999999999998</v>
      </c>
      <c r="V103">
        <f>S103*'1. Cops de calor'!$C$32/30</f>
        <v>276.91005956014158</v>
      </c>
      <c r="W103">
        <f>T103*'1. Cops de calor'!$C$33/30</f>
        <v>62.909433357454013</v>
      </c>
      <c r="X103">
        <f>K103*'1. Cops de calor'!$C$34/30</f>
        <v>17324.999999999996</v>
      </c>
      <c r="Y103">
        <f t="shared" si="16"/>
        <v>17664.819492917592</v>
      </c>
      <c r="Z103" s="849">
        <f>Y103*(Q103+R103)*'A. Dades de partida'!$D$10</f>
        <v>3298905.0403023604</v>
      </c>
      <c r="AA103" s="850">
        <f t="shared" si="17"/>
        <v>2719731.5584324244</v>
      </c>
      <c r="AB103" t="str">
        <f>VLOOKUP(B103,'BD ASVICC'!$A$6:$BG$316,59,FALSE)</f>
        <v>CENTRAL</v>
      </c>
      <c r="AC103">
        <f t="shared" si="9"/>
        <v>0.5</v>
      </c>
      <c r="AD103">
        <f t="shared" si="10"/>
        <v>0.5</v>
      </c>
    </row>
    <row r="104" spans="1:30">
      <c r="A104">
        <v>8101</v>
      </c>
      <c r="B104" t="s">
        <v>1135</v>
      </c>
      <c r="C104" t="s">
        <v>83</v>
      </c>
      <c r="D104">
        <f>VLOOKUP(A104,'temperatures màximes'!$A$4:$U$314,'temperatures màximes'!U$1,FALSE)</f>
        <v>33</v>
      </c>
      <c r="E104">
        <f>VLOOKUP(A104,'nits tropicals'!$A$4:$U$314,'nits tropicals'!U$1,FALSE)</f>
        <v>199</v>
      </c>
      <c r="F104">
        <f t="shared" si="11"/>
        <v>3.3</v>
      </c>
      <c r="G104">
        <f t="shared" si="12"/>
        <v>19.899999999999999</v>
      </c>
      <c r="H104" s="840">
        <f>VLOOKUP(B104,'BD ASVICC'!$A$6:$X$316,24,FALSE)/VLOOKUP(C104,'BD Comarcal'!$A$6:$Z$17,26,FALSE)</f>
        <v>0.11411690887764557</v>
      </c>
      <c r="I104" s="839">
        <f>(VLOOKUP(C104,'BD Altres'!$D$74:$H$84,5,FALSE) * 1000 / 12) * H104*0.035</f>
        <v>1061.7026825183721</v>
      </c>
      <c r="J104" s="839">
        <f>(VLOOKUP(C104,'BD Altres'!$D$74:$H$84,3,FALSE) / 12) * H104*0.25</f>
        <v>606.18303748596691</v>
      </c>
      <c r="K104">
        <f>(VLOOKUP(B104,'BD ASVICC'!$A$6:$GR$316,199,FALSE) / 12)*0.3</f>
        <v>52.249999999999993</v>
      </c>
      <c r="L104" s="846">
        <f>I104*'1. Cops de calor'!$C$32/30</f>
        <v>15217.73844943</v>
      </c>
      <c r="M104" s="846">
        <f>J104*'1. Cops de calor'!$C$33/30</f>
        <v>3030.9151874298345</v>
      </c>
      <c r="N104" s="846">
        <f>K104*'1. Cops de calor'!$C$34*0.25/30</f>
        <v>822937.49999999977</v>
      </c>
      <c r="O104" s="779">
        <f t="shared" si="13"/>
        <v>19515518.764375143</v>
      </c>
      <c r="P104" s="848">
        <f>O104*'A. Dades de partida'!$D$10</f>
        <v>292732781.46562713</v>
      </c>
      <c r="Q104">
        <f t="shared" si="14"/>
        <v>4.9499999999999993</v>
      </c>
      <c r="R104">
        <f t="shared" si="15"/>
        <v>29.849999999999998</v>
      </c>
      <c r="S104">
        <f>I104+(I104*'1. Cops de calor'!$C$40)</f>
        <v>1121.1580327394008</v>
      </c>
      <c r="T104">
        <f>J104*'1. Cops de calor'!$C$41+J104</f>
        <v>651.64676529741439</v>
      </c>
      <c r="U104">
        <f>'1. Cops de calor'!$C$42*K104+K104</f>
        <v>54.339999999999989</v>
      </c>
      <c r="V104">
        <f>S104*'1. Cops de calor'!$C$32/30</f>
        <v>16069.931802598079</v>
      </c>
      <c r="W104">
        <f>T104*'1. Cops de calor'!$C$33/30</f>
        <v>3258.2338264870718</v>
      </c>
      <c r="X104">
        <f>K104*'1. Cops de calor'!$C$34/30</f>
        <v>3291749.9999999991</v>
      </c>
      <c r="Y104">
        <f t="shared" si="16"/>
        <v>3311078.1656290842</v>
      </c>
      <c r="Z104" s="849">
        <f>Y104*(Q104+R104)*'A. Dades de partida'!$D$10</f>
        <v>1728382802.4583819</v>
      </c>
      <c r="AA104" s="850">
        <f t="shared" si="17"/>
        <v>1435650020.9927547</v>
      </c>
      <c r="AB104" t="str">
        <f>VLOOKUP(B104,'BD ASVICC'!$A$6:$BG$316,59,FALSE)</f>
        <v>LITORAL</v>
      </c>
      <c r="AC104">
        <f t="shared" si="9"/>
        <v>0.5</v>
      </c>
      <c r="AD104">
        <f t="shared" si="10"/>
        <v>0.5</v>
      </c>
    </row>
    <row r="105" spans="1:30">
      <c r="A105">
        <v>8102</v>
      </c>
      <c r="B105" t="s">
        <v>1136</v>
      </c>
      <c r="C105" t="s">
        <v>81</v>
      </c>
      <c r="D105">
        <f>VLOOKUP(A105,'temperatures màximes'!$A$4:$U$314,'temperatures màximes'!U$1,FALSE)</f>
        <v>77</v>
      </c>
      <c r="E105">
        <f>VLOOKUP(A105,'nits tropicals'!$A$4:$U$314,'nits tropicals'!U$1,FALSE)</f>
        <v>2</v>
      </c>
      <c r="F105">
        <f t="shared" si="11"/>
        <v>7.7</v>
      </c>
      <c r="G105">
        <f t="shared" si="12"/>
        <v>0.2</v>
      </c>
      <c r="H105" s="840">
        <f>VLOOKUP(B105,'BD ASVICC'!$A$6:$X$316,24,FALSE)/VLOOKUP(C105,'BD Comarcal'!$A$6:$Z$17,26,FALSE)</f>
        <v>0.33179296023965144</v>
      </c>
      <c r="I105" s="839">
        <f>(VLOOKUP(C105,'BD Altres'!$D$74:$H$84,5,FALSE) * 1000 / 12) * H105*0.035</f>
        <v>276.77676484599471</v>
      </c>
      <c r="J105" s="839">
        <f>(VLOOKUP(C105,'BD Altres'!$D$74:$H$84,3,FALSE) / 12) * H105*0.25</f>
        <v>133.66661501084587</v>
      </c>
      <c r="K105">
        <f>(VLOOKUP(B105,'BD ASVICC'!$A$6:$GR$316,199,FALSE) / 12)*0.3</f>
        <v>8.6999999999999993</v>
      </c>
      <c r="L105" s="846">
        <f>I105*'1. Cops de calor'!$C$32/30</f>
        <v>3967.1336294592575</v>
      </c>
      <c r="M105" s="846">
        <f>J105*'1. Cops de calor'!$C$33/30</f>
        <v>668.33307505422943</v>
      </c>
      <c r="N105" s="846">
        <f>K105*'1. Cops de calor'!$C$34*0.25/30</f>
        <v>137024.99999999997</v>
      </c>
      <c r="O105" s="779">
        <f t="shared" si="13"/>
        <v>1119117.6869656565</v>
      </c>
      <c r="P105" s="848">
        <f>O105*'A. Dades de partida'!$D$10</f>
        <v>16786765.304484848</v>
      </c>
      <c r="Q105">
        <f t="shared" si="14"/>
        <v>11.55</v>
      </c>
      <c r="R105">
        <f t="shared" si="15"/>
        <v>0.30000000000000004</v>
      </c>
      <c r="S105">
        <f>I105+(I105*'1. Cops de calor'!$C$40)</f>
        <v>292.27626367737042</v>
      </c>
      <c r="T105">
        <f>J105*'1. Cops de calor'!$C$41+J105</f>
        <v>143.6916111366593</v>
      </c>
      <c r="U105">
        <f>'1. Cops de calor'!$C$42*K105+K105</f>
        <v>9.048</v>
      </c>
      <c r="V105">
        <f>S105*'1. Cops de calor'!$C$32/30</f>
        <v>4189.293112708976</v>
      </c>
      <c r="W105">
        <f>T105*'1. Cops de calor'!$C$33/30</f>
        <v>718.45805568329661</v>
      </c>
      <c r="X105">
        <f>K105*'1. Cops de calor'!$C$34/30</f>
        <v>548099.99999999988</v>
      </c>
      <c r="Y105">
        <f t="shared" si="16"/>
        <v>553007.75116839213</v>
      </c>
      <c r="Z105" s="849">
        <f>Y105*(Q105+R105)*'A. Dades de partida'!$D$10</f>
        <v>98297127.770181715</v>
      </c>
      <c r="AA105" s="850">
        <f t="shared" si="17"/>
        <v>81510362.465696871</v>
      </c>
      <c r="AB105" t="str">
        <f>VLOOKUP(B105,'BD ASVICC'!$A$6:$BG$316,59,FALSE)</f>
        <v>CENTRAL</v>
      </c>
      <c r="AC105">
        <f t="shared" si="9"/>
        <v>0.5</v>
      </c>
      <c r="AD105">
        <f t="shared" si="10"/>
        <v>0.5</v>
      </c>
    </row>
    <row r="106" spans="1:30">
      <c r="A106">
        <v>8103</v>
      </c>
      <c r="B106" t="s">
        <v>1137</v>
      </c>
      <c r="C106" t="s">
        <v>81</v>
      </c>
      <c r="D106">
        <f>VLOOKUP(A106,'temperatures màximes'!$A$4:$U$314,'temperatures màximes'!U$1,FALSE)</f>
        <v>77</v>
      </c>
      <c r="E106">
        <f>VLOOKUP(A106,'nits tropicals'!$A$4:$U$314,'nits tropicals'!U$1,FALSE)</f>
        <v>2</v>
      </c>
      <c r="F106">
        <f t="shared" si="11"/>
        <v>7.7</v>
      </c>
      <c r="G106">
        <f t="shared" si="12"/>
        <v>0.2</v>
      </c>
      <c r="H106" s="840">
        <f>VLOOKUP(B106,'BD ASVICC'!$A$6:$X$316,24,FALSE)/VLOOKUP(C106,'BD Comarcal'!$A$6:$Z$17,26,FALSE)</f>
        <v>7.0720996732026144E-3</v>
      </c>
      <c r="I106" s="839">
        <f>(VLOOKUP(C106,'BD Altres'!$D$74:$H$84,5,FALSE) * 1000 / 12) * H106*0.035</f>
        <v>5.8994406234647858</v>
      </c>
      <c r="J106" s="839">
        <f>(VLOOKUP(C106,'BD Altres'!$D$74:$H$84,3,FALSE) / 12) * H106*0.25</f>
        <v>2.8490767967274451</v>
      </c>
      <c r="K106">
        <f>(VLOOKUP(B106,'BD ASVICC'!$A$6:$GR$316,199,FALSE) / 12)*0.3</f>
        <v>0.19999999999999998</v>
      </c>
      <c r="L106" s="846">
        <f>I106*'1. Cops de calor'!$C$32/30</f>
        <v>84.558648936328595</v>
      </c>
      <c r="M106" s="846">
        <f>J106*'1. Cops de calor'!$C$33/30</f>
        <v>14.245383983637225</v>
      </c>
      <c r="N106" s="846">
        <f>K106*'1. Cops de calor'!$C$34*0.25/30</f>
        <v>3149.9999999999995</v>
      </c>
      <c r="O106" s="779">
        <f t="shared" si="13"/>
        <v>25665.551860067728</v>
      </c>
      <c r="P106" s="848">
        <f>O106*'A. Dades de partida'!$D$10</f>
        <v>384983.27790101594</v>
      </c>
      <c r="Q106">
        <f t="shared" si="14"/>
        <v>11.55</v>
      </c>
      <c r="R106">
        <f t="shared" si="15"/>
        <v>0.30000000000000004</v>
      </c>
      <c r="S106">
        <f>I106+(I106*'1. Cops de calor'!$C$40)</f>
        <v>6.2298092983788136</v>
      </c>
      <c r="T106">
        <f>J106*'1. Cops de calor'!$C$41+J106</f>
        <v>3.0627575564820035</v>
      </c>
      <c r="U106">
        <f>'1. Cops de calor'!$C$42*K106+K106</f>
        <v>0.20799999999999999</v>
      </c>
      <c r="V106">
        <f>S106*'1. Cops de calor'!$C$32/30</f>
        <v>89.293933276762999</v>
      </c>
      <c r="W106">
        <f>T106*'1. Cops de calor'!$C$33/30</f>
        <v>15.313787782410019</v>
      </c>
      <c r="X106">
        <f>K106*'1. Cops de calor'!$C$34/30</f>
        <v>12599.999999999998</v>
      </c>
      <c r="Y106">
        <f t="shared" si="16"/>
        <v>12704.607721059172</v>
      </c>
      <c r="Z106" s="849">
        <f>Y106*(Q106+R106)*'A. Dades de partida'!$D$10</f>
        <v>2258244.022418268</v>
      </c>
      <c r="AA106" s="850">
        <f t="shared" si="17"/>
        <v>1873260.7445172521</v>
      </c>
      <c r="AB106" t="str">
        <f>VLOOKUP(B106,'BD ASVICC'!$A$6:$BG$316,59,FALSE)</f>
        <v>CENTRAL</v>
      </c>
      <c r="AC106">
        <f t="shared" si="9"/>
        <v>0.5</v>
      </c>
      <c r="AD106">
        <f t="shared" si="10"/>
        <v>0.5</v>
      </c>
    </row>
    <row r="107" spans="1:30">
      <c r="A107">
        <v>8104</v>
      </c>
      <c r="B107" t="s">
        <v>1142</v>
      </c>
      <c r="C107" t="s">
        <v>81</v>
      </c>
      <c r="D107">
        <f>VLOOKUP(A107,'temperatures màximes'!$A$4:$U$314,'temperatures màximes'!U$1,FALSE)</f>
        <v>77</v>
      </c>
      <c r="E107">
        <f>VLOOKUP(A107,'nits tropicals'!$A$4:$U$314,'nits tropicals'!U$1,FALSE)</f>
        <v>2</v>
      </c>
      <c r="F107">
        <f t="shared" si="11"/>
        <v>7.7</v>
      </c>
      <c r="G107">
        <f t="shared" si="12"/>
        <v>0.2</v>
      </c>
      <c r="H107" s="840">
        <f>VLOOKUP(B107,'BD ASVICC'!$A$6:$X$316,24,FALSE)/VLOOKUP(C107,'BD Comarcal'!$A$6:$Z$17,26,FALSE)</f>
        <v>7.4210239651416121E-3</v>
      </c>
      <c r="I107" s="839">
        <f>(VLOOKUP(C107,'BD Altres'!$D$74:$H$84,5,FALSE) * 1000 / 12) * H107*0.035</f>
        <v>6.1905080910484882</v>
      </c>
      <c r="J107" s="839">
        <f>(VLOOKUP(C107,'BD Altres'!$D$74:$H$84,3,FALSE) / 12) * H107*0.25</f>
        <v>2.9896449660003999</v>
      </c>
      <c r="K107">
        <f>(VLOOKUP(B107,'BD ASVICC'!$A$6:$GR$316,199,FALSE) / 12)*0.3</f>
        <v>0.42499999999999999</v>
      </c>
      <c r="L107" s="846">
        <f>I107*'1. Cops de calor'!$C$32/30</f>
        <v>88.730615971695002</v>
      </c>
      <c r="M107" s="846">
        <f>J107*'1. Cops de calor'!$C$33/30</f>
        <v>14.948224830001999</v>
      </c>
      <c r="N107" s="846">
        <f>K107*'1. Cops de calor'!$C$34*0.25/30</f>
        <v>6693.7499999999991</v>
      </c>
      <c r="O107" s="779">
        <f t="shared" si="13"/>
        <v>53699.687842333406</v>
      </c>
      <c r="P107" s="848">
        <f>O107*'A. Dades de partida'!$D$10</f>
        <v>805495.31763500103</v>
      </c>
      <c r="Q107">
        <f t="shared" si="14"/>
        <v>11.55</v>
      </c>
      <c r="R107">
        <f t="shared" si="15"/>
        <v>0.30000000000000004</v>
      </c>
      <c r="S107">
        <f>I107+(I107*'1. Cops de calor'!$C$40)</f>
        <v>6.5371765441472034</v>
      </c>
      <c r="T107">
        <f>J107*'1. Cops de calor'!$C$41+J107</f>
        <v>3.2138683384504301</v>
      </c>
      <c r="U107">
        <f>'1. Cops de calor'!$C$42*K107+K107</f>
        <v>0.442</v>
      </c>
      <c r="V107">
        <f>S107*'1. Cops de calor'!$C$32/30</f>
        <v>93.69953046610992</v>
      </c>
      <c r="W107">
        <f>T107*'1. Cops de calor'!$C$33/30</f>
        <v>16.069341692252149</v>
      </c>
      <c r="X107">
        <f>K107*'1. Cops de calor'!$C$34/30</f>
        <v>26774.999999999996</v>
      </c>
      <c r="Y107">
        <f t="shared" si="16"/>
        <v>26884.768872158358</v>
      </c>
      <c r="Z107" s="849">
        <f>Y107*(Q107+R107)*'A. Dades de partida'!$D$10</f>
        <v>4778767.6670261491</v>
      </c>
      <c r="AA107" s="850">
        <f t="shared" si="17"/>
        <v>3973272.349391148</v>
      </c>
      <c r="AB107" t="str">
        <f>VLOOKUP(B107,'BD ASVICC'!$A$6:$BG$316,59,FALSE)</f>
        <v>CENTRAL</v>
      </c>
      <c r="AC107">
        <f t="shared" si="9"/>
        <v>0.5</v>
      </c>
      <c r="AD107">
        <f t="shared" si="10"/>
        <v>0.5</v>
      </c>
    </row>
    <row r="108" spans="1:30">
      <c r="A108">
        <v>8105</v>
      </c>
      <c r="B108" t="s">
        <v>1147</v>
      </c>
      <c r="C108" t="s">
        <v>24</v>
      </c>
      <c r="D108">
        <f>VLOOKUP(A108,'temperatures màximes'!$A$4:$U$314,'temperatures màximes'!U$1,FALSE)</f>
        <v>39</v>
      </c>
      <c r="E108">
        <f>VLOOKUP(A108,'nits tropicals'!$A$4:$U$314,'nits tropicals'!U$1,FALSE)</f>
        <v>2</v>
      </c>
      <c r="F108">
        <f t="shared" si="11"/>
        <v>3.9</v>
      </c>
      <c r="G108">
        <f t="shared" si="12"/>
        <v>0.2</v>
      </c>
      <c r="H108" s="840">
        <f>VLOOKUP(B108,'BD ASVICC'!$A$6:$X$316,24,FALSE)/VLOOKUP(C108,'BD Comarcal'!$A$6:$Z$17,26,FALSE)</f>
        <v>3.3007091279669505E-2</v>
      </c>
      <c r="I108" s="839">
        <f>(VLOOKUP(C108,'BD Altres'!$D$74:$H$84,5,FALSE) * 1000 / 12) * H108*0.035</f>
        <v>233.58563229708409</v>
      </c>
      <c r="J108" s="839">
        <f>(VLOOKUP(C108,'BD Altres'!$D$74:$H$84,3,FALSE) / 12) * H108*0.25</f>
        <v>52.514773674858581</v>
      </c>
      <c r="K108">
        <f>(VLOOKUP(B108,'BD ASVICC'!$A$6:$GR$316,199,FALSE) / 12)*0.3</f>
        <v>2.0499999999999998</v>
      </c>
      <c r="L108" s="846">
        <f>I108*'1. Cops de calor'!$C$32/30</f>
        <v>3348.0607295915388</v>
      </c>
      <c r="M108" s="846">
        <f>J108*'1. Cops de calor'!$C$33/30</f>
        <v>262.57386837429289</v>
      </c>
      <c r="N108" s="846">
        <f>K108*'1. Cops de calor'!$C$34*0.25/30</f>
        <v>32287.499999999993</v>
      </c>
      <c r="O108" s="779">
        <f t="shared" si="13"/>
        <v>147182.35185165986</v>
      </c>
      <c r="P108" s="848">
        <f>O108*'A. Dades de partida'!$D$10</f>
        <v>2207735.2777748979</v>
      </c>
      <c r="Q108">
        <f t="shared" si="14"/>
        <v>5.85</v>
      </c>
      <c r="R108">
        <f t="shared" si="15"/>
        <v>0.30000000000000004</v>
      </c>
      <c r="S108">
        <f>I108+(I108*'1. Cops de calor'!$C$40)</f>
        <v>246.66642770572079</v>
      </c>
      <c r="T108">
        <f>J108*'1. Cops de calor'!$C$41+J108</f>
        <v>56.453381700472974</v>
      </c>
      <c r="U108">
        <f>'1. Cops de calor'!$C$42*K108+K108</f>
        <v>2.1319999999999997</v>
      </c>
      <c r="V108">
        <f>S108*'1. Cops de calor'!$C$32/30</f>
        <v>3535.5521304486651</v>
      </c>
      <c r="W108">
        <f>T108*'1. Cops de calor'!$C$33/30</f>
        <v>282.26690850236486</v>
      </c>
      <c r="X108">
        <f>K108*'1. Cops de calor'!$C$34/30</f>
        <v>129149.99999999997</v>
      </c>
      <c r="Y108">
        <f t="shared" si="16"/>
        <v>132967.81903895101</v>
      </c>
      <c r="Z108" s="849">
        <f>Y108*(Q108+R108)*'A. Dades de partida'!$D$10</f>
        <v>12266281.306343231</v>
      </c>
      <c r="AA108" s="850">
        <f t="shared" si="17"/>
        <v>10058546.028568333</v>
      </c>
      <c r="AB108" t="str">
        <f>VLOOKUP(B108,'BD ASVICC'!$A$6:$BG$316,59,FALSE)</f>
        <v>LITORAL</v>
      </c>
      <c r="AC108">
        <f t="shared" si="9"/>
        <v>0.5</v>
      </c>
      <c r="AD108">
        <f t="shared" si="10"/>
        <v>0.5</v>
      </c>
    </row>
    <row r="109" spans="1:30">
      <c r="A109">
        <v>8106</v>
      </c>
      <c r="B109" t="s">
        <v>1149</v>
      </c>
      <c r="C109" t="s">
        <v>24</v>
      </c>
      <c r="D109">
        <f>VLOOKUP(A109,'temperatures màximes'!$A$4:$U$314,'temperatures màximes'!U$1,FALSE)</f>
        <v>39</v>
      </c>
      <c r="E109">
        <f>VLOOKUP(A109,'nits tropicals'!$A$4:$U$314,'nits tropicals'!U$1,FALSE)</f>
        <v>2</v>
      </c>
      <c r="F109">
        <f t="shared" si="11"/>
        <v>3.9</v>
      </c>
      <c r="G109">
        <f t="shared" si="12"/>
        <v>0.2</v>
      </c>
      <c r="H109" s="840">
        <f>VLOOKUP(B109,'BD ASVICC'!$A$6:$X$316,24,FALSE)/VLOOKUP(C109,'BD Comarcal'!$A$6:$Z$17,26,FALSE)</f>
        <v>2.4211512490718547E-2</v>
      </c>
      <c r="I109" s="839">
        <f>(VLOOKUP(C109,'BD Altres'!$D$74:$H$84,5,FALSE) * 1000 / 12) * H109*0.035</f>
        <v>171.3408008628947</v>
      </c>
      <c r="J109" s="839">
        <f>(VLOOKUP(C109,'BD Altres'!$D$74:$H$84,3,FALSE) / 12) * H109*0.25</f>
        <v>38.520876862580273</v>
      </c>
      <c r="K109">
        <f>(VLOOKUP(B109,'BD ASVICC'!$A$6:$GR$316,199,FALSE) / 12)*0.3</f>
        <v>2.25</v>
      </c>
      <c r="L109" s="846">
        <f>I109*'1. Cops de calor'!$C$32/30</f>
        <v>2455.8848123681573</v>
      </c>
      <c r="M109" s="846">
        <f>J109*'1. Cops de calor'!$C$33/30</f>
        <v>192.60438431290137</v>
      </c>
      <c r="N109" s="846">
        <f>K109*'1. Cops de calor'!$C$34*0.25/30</f>
        <v>35437.499999999993</v>
      </c>
      <c r="O109" s="779">
        <f t="shared" si="13"/>
        <v>156152.5557063923</v>
      </c>
      <c r="P109" s="848">
        <f>O109*'A. Dades de partida'!$D$10</f>
        <v>2342288.3355958844</v>
      </c>
      <c r="Q109">
        <f t="shared" si="14"/>
        <v>5.85</v>
      </c>
      <c r="R109">
        <f t="shared" si="15"/>
        <v>0.30000000000000004</v>
      </c>
      <c r="S109">
        <f>I109+(I109*'1. Cops de calor'!$C$40)</f>
        <v>180.9358857112168</v>
      </c>
      <c r="T109">
        <f>J109*'1. Cops de calor'!$C$41+J109</f>
        <v>41.409942627273793</v>
      </c>
      <c r="U109">
        <f>'1. Cops de calor'!$C$42*K109+K109</f>
        <v>2.34</v>
      </c>
      <c r="V109">
        <f>S109*'1. Cops de calor'!$C$32/30</f>
        <v>2593.4143618607745</v>
      </c>
      <c r="W109">
        <f>T109*'1. Cops de calor'!$C$33/30</f>
        <v>207.04971313636898</v>
      </c>
      <c r="X109">
        <f>K109*'1. Cops de calor'!$C$34/30</f>
        <v>141749.99999999997</v>
      </c>
      <c r="Y109">
        <f t="shared" si="16"/>
        <v>144550.46407499711</v>
      </c>
      <c r="Z109" s="849">
        <f>Y109*(Q109+R109)*'A. Dades de partida'!$D$10</f>
        <v>13334780.310918482</v>
      </c>
      <c r="AA109" s="850">
        <f t="shared" si="17"/>
        <v>10992491.975322597</v>
      </c>
      <c r="AB109" t="str">
        <f>VLOOKUP(B109,'BD ASVICC'!$A$6:$BG$316,59,FALSE)</f>
        <v>CENTRAL</v>
      </c>
      <c r="AC109">
        <f t="shared" si="9"/>
        <v>0.5</v>
      </c>
      <c r="AD109">
        <f t="shared" si="10"/>
        <v>0.5</v>
      </c>
    </row>
    <row r="110" spans="1:30">
      <c r="A110">
        <v>8107</v>
      </c>
      <c r="B110" t="s">
        <v>1155</v>
      </c>
      <c r="C110" t="s">
        <v>24</v>
      </c>
      <c r="D110">
        <f>VLOOKUP(A110,'temperatures màximes'!$A$4:$U$314,'temperatures màximes'!U$1,FALSE)</f>
        <v>42</v>
      </c>
      <c r="E110">
        <f>VLOOKUP(A110,'nits tropicals'!$A$4:$U$314,'nits tropicals'!U$1,FALSE)</f>
        <v>8</v>
      </c>
      <c r="F110">
        <f t="shared" si="11"/>
        <v>4.2</v>
      </c>
      <c r="G110">
        <f t="shared" si="12"/>
        <v>0.8</v>
      </c>
      <c r="H110" s="840">
        <f>VLOOKUP(B110,'BD ASVICC'!$A$6:$X$316,24,FALSE)/VLOOKUP(C110,'BD Comarcal'!$A$6:$Z$17,26,FALSE)</f>
        <v>3.6774489333180511E-2</v>
      </c>
      <c r="I110" s="839">
        <f>(VLOOKUP(C110,'BD Altres'!$D$74:$H$84,5,FALSE) * 1000 / 12) * H110*0.035</f>
        <v>260.24687454311646</v>
      </c>
      <c r="J110" s="839">
        <f>(VLOOKUP(C110,'BD Altres'!$D$74:$H$84,3,FALSE) / 12) * H110*0.25</f>
        <v>58.50876007150584</v>
      </c>
      <c r="K110">
        <f>(VLOOKUP(B110,'BD ASVICC'!$A$6:$GR$316,199,FALSE) / 12)*0.3</f>
        <v>1.9</v>
      </c>
      <c r="L110" s="846">
        <f>I110*'1. Cops de calor'!$C$32/30</f>
        <v>3730.2052017846695</v>
      </c>
      <c r="M110" s="846">
        <f>J110*'1. Cops de calor'!$C$33/30</f>
        <v>292.54380035752922</v>
      </c>
      <c r="N110" s="846">
        <f>K110*'1. Cops de calor'!$C$34*0.25/30</f>
        <v>29924.999999999996</v>
      </c>
      <c r="O110" s="779">
        <f t="shared" si="13"/>
        <v>169738.74501071099</v>
      </c>
      <c r="P110" s="848">
        <f>O110*'A. Dades de partida'!$D$10</f>
        <v>2546081.1751606651</v>
      </c>
      <c r="Q110">
        <f t="shared" si="14"/>
        <v>6.3000000000000007</v>
      </c>
      <c r="R110">
        <f t="shared" si="15"/>
        <v>1.2000000000000002</v>
      </c>
      <c r="S110">
        <f>I110+(I110*'1. Cops de calor'!$C$40)</f>
        <v>274.82069951753101</v>
      </c>
      <c r="T110">
        <f>J110*'1. Cops de calor'!$C$41+J110</f>
        <v>62.896917076868775</v>
      </c>
      <c r="U110">
        <f>'1. Cops de calor'!$C$42*K110+K110</f>
        <v>1.976</v>
      </c>
      <c r="V110">
        <f>S110*'1. Cops de calor'!$C$32/30</f>
        <v>3939.0966930846112</v>
      </c>
      <c r="W110">
        <f>T110*'1. Cops de calor'!$C$33/30</f>
        <v>314.48458538434386</v>
      </c>
      <c r="X110">
        <f>K110*'1. Cops de calor'!$C$34/30</f>
        <v>119699.99999999999</v>
      </c>
      <c r="Y110">
        <f t="shared" si="16"/>
        <v>123953.58127846895</v>
      </c>
      <c r="Z110" s="849">
        <f>Y110*(Q110+R110)*'A. Dades de partida'!$D$10</f>
        <v>13944777.893827759</v>
      </c>
      <c r="AA110" s="850">
        <f t="shared" si="17"/>
        <v>11398696.718667094</v>
      </c>
      <c r="AB110" t="str">
        <f>VLOOKUP(B110,'BD ASVICC'!$A$6:$BG$316,59,FALSE)</f>
        <v>LITORAL</v>
      </c>
      <c r="AC110">
        <f t="shared" si="9"/>
        <v>0.5</v>
      </c>
      <c r="AD110">
        <f t="shared" si="10"/>
        <v>0.5</v>
      </c>
    </row>
    <row r="111" spans="1:30">
      <c r="A111">
        <v>8108</v>
      </c>
      <c r="B111" t="s">
        <v>1158</v>
      </c>
      <c r="C111" t="s">
        <v>24</v>
      </c>
      <c r="D111">
        <f>VLOOKUP(A111,'temperatures màximes'!$A$4:$U$314,'temperatures màximes'!U$1,FALSE)</f>
        <v>42</v>
      </c>
      <c r="E111">
        <f>VLOOKUP(A111,'nits tropicals'!$A$4:$U$314,'nits tropicals'!U$1,FALSE)</f>
        <v>8</v>
      </c>
      <c r="F111">
        <f t="shared" si="11"/>
        <v>4.2</v>
      </c>
      <c r="G111">
        <f t="shared" si="12"/>
        <v>0.8</v>
      </c>
      <c r="H111" s="840">
        <f>VLOOKUP(B111,'BD ASVICC'!$A$6:$X$316,24,FALSE)/VLOOKUP(C111,'BD Comarcal'!$A$6:$Z$17,26,FALSE)</f>
        <v>1.5871908466180626E-2</v>
      </c>
      <c r="I111" s="839">
        <f>(VLOOKUP(C111,'BD Altres'!$D$74:$H$84,5,FALSE) * 1000 / 12) * H111*0.035</f>
        <v>112.32282612911797</v>
      </c>
      <c r="J111" s="839">
        <f>(VLOOKUP(C111,'BD Altres'!$D$74:$H$84,3,FALSE) / 12) * H111*0.25</f>
        <v>25.252442689578711</v>
      </c>
      <c r="K111">
        <f>(VLOOKUP(B111,'BD ASVICC'!$A$6:$GR$316,199,FALSE) / 12)*0.3</f>
        <v>0.89999999999999991</v>
      </c>
      <c r="L111" s="846">
        <f>I111*'1. Cops de calor'!$C$32/30</f>
        <v>1609.9605078506909</v>
      </c>
      <c r="M111" s="846">
        <f>J111*'1. Cops de calor'!$C$33/30</f>
        <v>126.26221344789356</v>
      </c>
      <c r="N111" s="846">
        <f>K111*'1. Cops de calor'!$C$34*0.25/30</f>
        <v>14174.999999999996</v>
      </c>
      <c r="O111" s="779">
        <f t="shared" si="13"/>
        <v>79556.113606492901</v>
      </c>
      <c r="P111" s="848">
        <f>O111*'A. Dades de partida'!$D$10</f>
        <v>1193341.7040973934</v>
      </c>
      <c r="Q111">
        <f t="shared" si="14"/>
        <v>6.3000000000000007</v>
      </c>
      <c r="R111">
        <f t="shared" si="15"/>
        <v>1.2000000000000002</v>
      </c>
      <c r="S111">
        <f>I111+(I111*'1. Cops de calor'!$C$40)</f>
        <v>118.61290439234858</v>
      </c>
      <c r="T111">
        <f>J111*'1. Cops de calor'!$C$41+J111</f>
        <v>27.146375891297115</v>
      </c>
      <c r="U111">
        <f>'1. Cops de calor'!$C$42*K111+K111</f>
        <v>0.93599999999999994</v>
      </c>
      <c r="V111">
        <f>S111*'1. Cops de calor'!$C$32/30</f>
        <v>1700.1182962903297</v>
      </c>
      <c r="W111">
        <f>T111*'1. Cops de calor'!$C$33/30</f>
        <v>135.73187945648559</v>
      </c>
      <c r="X111">
        <f>K111*'1. Cops de calor'!$C$34/30</f>
        <v>56699.999999999985</v>
      </c>
      <c r="Y111">
        <f t="shared" si="16"/>
        <v>58535.850175746804</v>
      </c>
      <c r="Z111" s="849">
        <f>Y111*(Q111+R111)*'A. Dades de partida'!$D$10</f>
        <v>6585283.1447715163</v>
      </c>
      <c r="AA111" s="850">
        <f t="shared" si="17"/>
        <v>5391941.4406741224</v>
      </c>
      <c r="AB111" t="str">
        <f>VLOOKUP(B111,'BD ASVICC'!$A$6:$BG$316,59,FALSE)</f>
        <v>LITORAL</v>
      </c>
      <c r="AC111">
        <f t="shared" si="9"/>
        <v>0.5</v>
      </c>
      <c r="AD111">
        <f t="shared" si="10"/>
        <v>0.5</v>
      </c>
    </row>
    <row r="112" spans="1:30">
      <c r="A112">
        <v>8109</v>
      </c>
      <c r="B112" t="s">
        <v>1160</v>
      </c>
      <c r="C112" t="s">
        <v>88</v>
      </c>
      <c r="D112">
        <f>VLOOKUP(A112,'temperatures màximes'!$A$4:$U$314,'temperatures màximes'!U$1,FALSE)</f>
        <v>10</v>
      </c>
      <c r="E112">
        <f>VLOOKUP(A112,'nits tropicals'!$A$4:$U$314,'nits tropicals'!U$1,FALSE)</f>
        <v>0</v>
      </c>
      <c r="F112">
        <f t="shared" si="11"/>
        <v>1</v>
      </c>
      <c r="G112">
        <f t="shared" si="12"/>
        <v>0</v>
      </c>
      <c r="H112" s="840">
        <f>VLOOKUP(B112,'BD ASVICC'!$A$6:$X$316,24,FALSE)/VLOOKUP(C112,'BD Comarcal'!$A$6:$Z$17,26,FALSE)</f>
        <v>1.7990118285027723E-3</v>
      </c>
      <c r="I112" s="839">
        <f>(VLOOKUP(C112,'BD Altres'!$D$74:$H$84,5,FALSE) * 1000 / 12) * H112*0.035</f>
        <v>2.0017754533402727</v>
      </c>
      <c r="J112" s="839">
        <f>(VLOOKUP(C112,'BD Altres'!$D$74:$H$84,3,FALSE) / 12) * H112*0.25</f>
        <v>1.2806340660023172</v>
      </c>
      <c r="K112">
        <f>(VLOOKUP(B112,'BD ASVICC'!$A$6:$GR$316,199,FALSE) / 12)*0.3</f>
        <v>0</v>
      </c>
      <c r="L112" s="846">
        <f>I112*'1. Cops de calor'!$C$32/30</f>
        <v>28.692114831210574</v>
      </c>
      <c r="M112" s="846">
        <f>J112*'1. Cops de calor'!$C$33/30</f>
        <v>6.4031703300115863</v>
      </c>
      <c r="N112" s="846">
        <f>K112*'1. Cops de calor'!$C$34*0.25/30</f>
        <v>0</v>
      </c>
      <c r="O112" s="779">
        <f t="shared" si="13"/>
        <v>35.095285161222158</v>
      </c>
      <c r="P112" s="848">
        <f>O112*'A. Dades de partida'!$D$10</f>
        <v>526.42927741833239</v>
      </c>
      <c r="Q112">
        <f t="shared" si="14"/>
        <v>1.5</v>
      </c>
      <c r="R112">
        <f t="shared" si="15"/>
        <v>0</v>
      </c>
      <c r="S112">
        <f>I112+(I112*'1. Cops de calor'!$C$40)</f>
        <v>2.1138748787273278</v>
      </c>
      <c r="T112">
        <f>J112*'1. Cops de calor'!$C$41+J112</f>
        <v>1.376681620952491</v>
      </c>
      <c r="U112">
        <f>'1. Cops de calor'!$C$42*K112+K112</f>
        <v>0</v>
      </c>
      <c r="V112">
        <f>S112*'1. Cops de calor'!$C$32/30</f>
        <v>30.298873261758366</v>
      </c>
      <c r="W112">
        <f>T112*'1. Cops de calor'!$C$33/30</f>
        <v>6.8834081047624549</v>
      </c>
      <c r="X112">
        <f>K112*'1. Cops de calor'!$C$34/30</f>
        <v>0</v>
      </c>
      <c r="Y112">
        <f t="shared" si="16"/>
        <v>37.182281366520819</v>
      </c>
      <c r="Z112" s="849">
        <f>Y112*(Q112+R112)*'A. Dades de partida'!$D$10</f>
        <v>836.60133074671853</v>
      </c>
      <c r="AA112" s="850">
        <f t="shared" si="17"/>
        <v>310.17205332838614</v>
      </c>
      <c r="AB112" t="str">
        <f>VLOOKUP(B112,'BD ASVICC'!$A$6:$BG$316,59,FALSE)</f>
        <v>PREPIRINEU-PIRINEU</v>
      </c>
      <c r="AC112">
        <f t="shared" si="9"/>
        <v>0.5</v>
      </c>
      <c r="AD112">
        <f t="shared" si="10"/>
        <v>0.5</v>
      </c>
    </row>
    <row r="113" spans="1:30">
      <c r="A113">
        <v>8110</v>
      </c>
      <c r="B113" t="s">
        <v>343</v>
      </c>
      <c r="C113" t="s">
        <v>86</v>
      </c>
      <c r="D113">
        <f>VLOOKUP(A113,'temperatures màximes'!$A$4:$U$314,'temperatures màximes'!U$1,FALSE)</f>
        <v>0</v>
      </c>
      <c r="E113">
        <f>VLOOKUP(A113,'nits tropicals'!$A$4:$U$314,'nits tropicals'!U$1,FALSE)</f>
        <v>62</v>
      </c>
      <c r="F113">
        <f t="shared" si="11"/>
        <v>0</v>
      </c>
      <c r="G113">
        <f t="shared" si="12"/>
        <v>6.2</v>
      </c>
      <c r="H113" s="840">
        <f>VLOOKUP(B113,'BD ASVICC'!$A$6:$X$316,24,FALSE)/VLOOKUP(C113,'BD Comarcal'!$A$6:$Z$17,26,FALSE)</f>
        <v>4.1437809311332827E-2</v>
      </c>
      <c r="I113" s="839">
        <f>(VLOOKUP(C113,'BD Altres'!$D$74:$H$84,5,FALSE) * 1000 / 12) * H113*0.035</f>
        <v>96.546860202581925</v>
      </c>
      <c r="J113" s="839">
        <f>(VLOOKUP(C113,'BD Altres'!$D$74:$H$84,3,FALSE) / 12) * H113*0.25</f>
        <v>43.524115283927117</v>
      </c>
      <c r="K113">
        <f>(VLOOKUP(B113,'BD ASVICC'!$A$6:$GR$316,199,FALSE) / 12)*0.3</f>
        <v>4.2</v>
      </c>
      <c r="L113" s="846">
        <f>I113*'1. Cops de calor'!$C$32/30</f>
        <v>1383.8383295703411</v>
      </c>
      <c r="M113" s="846">
        <f>J113*'1. Cops de calor'!$C$33/30</f>
        <v>217.6205764196356</v>
      </c>
      <c r="N113" s="846">
        <f>K113*'1. Cops de calor'!$C$34*0.25/30</f>
        <v>66149.999999999985</v>
      </c>
      <c r="O113" s="779">
        <f t="shared" si="13"/>
        <v>420059.04521713778</v>
      </c>
      <c r="P113" s="848">
        <f>O113*'A. Dades de partida'!$D$10</f>
        <v>6300885.6782570668</v>
      </c>
      <c r="Q113">
        <f t="shared" si="14"/>
        <v>0</v>
      </c>
      <c r="R113">
        <f t="shared" si="15"/>
        <v>9.3000000000000007</v>
      </c>
      <c r="S113">
        <f>I113+(I113*'1. Cops de calor'!$C$40)</f>
        <v>101.95348437392651</v>
      </c>
      <c r="T113">
        <f>J113*'1. Cops de calor'!$C$41+J113</f>
        <v>46.788423930221647</v>
      </c>
      <c r="U113">
        <f>'1. Cops de calor'!$C$42*K113+K113</f>
        <v>4.3680000000000003</v>
      </c>
      <c r="V113">
        <f>S113*'1. Cops de calor'!$C$32/30</f>
        <v>1461.3332760262799</v>
      </c>
      <c r="W113">
        <f>T113*'1. Cops de calor'!$C$33/30</f>
        <v>233.94211965110824</v>
      </c>
      <c r="X113">
        <f>K113*'1. Cops de calor'!$C$34/30</f>
        <v>264599.99999999994</v>
      </c>
      <c r="Y113">
        <f t="shared" si="16"/>
        <v>266295.27539567731</v>
      </c>
      <c r="Z113" s="849">
        <f>Y113*(Q113+R113)*'A. Dades de partida'!$D$10</f>
        <v>37148190.917696983</v>
      </c>
      <c r="AA113" s="850">
        <f t="shared" si="17"/>
        <v>30847305.239439916</v>
      </c>
      <c r="AB113" t="str">
        <f>VLOOKUP(B113,'BD ASVICC'!$A$6:$BG$316,59,FALSE)</f>
        <v>LITORAL</v>
      </c>
      <c r="AC113">
        <f t="shared" si="9"/>
        <v>0.5</v>
      </c>
      <c r="AD113">
        <f t="shared" si="10"/>
        <v>0.5</v>
      </c>
    </row>
    <row r="114" spans="1:30">
      <c r="A114">
        <v>8111</v>
      </c>
      <c r="B114" t="s">
        <v>1171</v>
      </c>
      <c r="C114" t="s">
        <v>88</v>
      </c>
      <c r="D114">
        <f>VLOOKUP(A114,'temperatures màximes'!$A$4:$U$314,'temperatures màximes'!U$1,FALSE)</f>
        <v>83</v>
      </c>
      <c r="E114">
        <f>VLOOKUP(A114,'nits tropicals'!$A$4:$U$314,'nits tropicals'!U$1,FALSE)</f>
        <v>0</v>
      </c>
      <c r="F114">
        <f t="shared" si="11"/>
        <v>8.3000000000000007</v>
      </c>
      <c r="G114">
        <f t="shared" si="12"/>
        <v>0</v>
      </c>
      <c r="H114" s="840">
        <f>VLOOKUP(B114,'BD ASVICC'!$A$6:$X$316,24,FALSE)/VLOOKUP(C114,'BD Comarcal'!$A$6:$Z$17,26,FALSE)</f>
        <v>1.7154862793222864E-3</v>
      </c>
      <c r="I114" s="839">
        <f>(VLOOKUP(C114,'BD Altres'!$D$74:$H$84,5,FALSE) * 1000 / 12) * H114*0.035</f>
        <v>1.9088358787209025</v>
      </c>
      <c r="J114" s="839">
        <f>(VLOOKUP(C114,'BD Altres'!$D$74:$H$84,3,FALSE) / 12) * H114*0.25</f>
        <v>1.2211760557950666</v>
      </c>
      <c r="K114">
        <f>(VLOOKUP(B114,'BD ASVICC'!$A$6:$GR$316,199,FALSE) / 12)*0.3</f>
        <v>4.9999999999999996E-2</v>
      </c>
      <c r="L114" s="846">
        <f>I114*'1. Cops de calor'!$C$32/30</f>
        <v>27.359980928332938</v>
      </c>
      <c r="M114" s="846">
        <f>J114*'1. Cops de calor'!$C$33/30</f>
        <v>6.1058802789753335</v>
      </c>
      <c r="N114" s="846">
        <f>K114*'1. Cops de calor'!$C$34*0.25/30</f>
        <v>787.49999999999989</v>
      </c>
      <c r="O114" s="779">
        <f t="shared" si="13"/>
        <v>6814.016648020659</v>
      </c>
      <c r="P114" s="848">
        <f>O114*'A. Dades de partida'!$D$10</f>
        <v>102210.24972030989</v>
      </c>
      <c r="Q114">
        <f t="shared" si="14"/>
        <v>12.450000000000001</v>
      </c>
      <c r="R114">
        <f t="shared" si="15"/>
        <v>0</v>
      </c>
      <c r="S114">
        <f>I114+(I114*'1. Cops de calor'!$C$40)</f>
        <v>2.0157306879292731</v>
      </c>
      <c r="T114">
        <f>J114*'1. Cops de calor'!$C$41+J114</f>
        <v>1.3127642599796967</v>
      </c>
      <c r="U114">
        <f>'1. Cops de calor'!$C$42*K114+K114</f>
        <v>5.1999999999999998E-2</v>
      </c>
      <c r="V114">
        <f>S114*'1. Cops de calor'!$C$32/30</f>
        <v>28.892139860319581</v>
      </c>
      <c r="W114">
        <f>T114*'1. Cops de calor'!$C$33/30</f>
        <v>6.5638212998984828</v>
      </c>
      <c r="X114">
        <f>K114*'1. Cops de calor'!$C$34/30</f>
        <v>3149.9999999999995</v>
      </c>
      <c r="Y114">
        <f t="shared" si="16"/>
        <v>3185.4559611602176</v>
      </c>
      <c r="Z114" s="849">
        <f>Y114*(Q114+R114)*'A. Dades de partida'!$D$10</f>
        <v>594883.90074667078</v>
      </c>
      <c r="AA114" s="850">
        <f t="shared" si="17"/>
        <v>492673.65102636092</v>
      </c>
      <c r="AB114" t="str">
        <f>VLOOKUP(B114,'BD ASVICC'!$A$6:$BG$316,59,FALSE)</f>
        <v>PREPIRINEU-PIRINEU</v>
      </c>
      <c r="AC114">
        <f t="shared" si="9"/>
        <v>0.5</v>
      </c>
      <c r="AD114">
        <f t="shared" si="10"/>
        <v>0.5</v>
      </c>
    </row>
    <row r="115" spans="1:30">
      <c r="A115">
        <v>8112</v>
      </c>
      <c r="B115" t="s">
        <v>721</v>
      </c>
      <c r="C115" t="s">
        <v>88</v>
      </c>
      <c r="D115">
        <f>VLOOKUP(A115,'temperatures màximes'!$A$4:$U$314,'temperatures màximes'!U$1,FALSE)</f>
        <v>83</v>
      </c>
      <c r="E115">
        <f>VLOOKUP(A115,'nits tropicals'!$A$4:$U$314,'nits tropicals'!U$1,FALSE)</f>
        <v>0</v>
      </c>
      <c r="F115">
        <f t="shared" si="11"/>
        <v>8.3000000000000007</v>
      </c>
      <c r="G115">
        <f t="shared" si="12"/>
        <v>0</v>
      </c>
      <c r="H115" s="840">
        <f>VLOOKUP(B115,'BD ASVICC'!$A$6:$X$316,24,FALSE)/VLOOKUP(C115,'BD Comarcal'!$A$6:$Z$17,26,FALSE)</f>
        <v>0.12916904928649905</v>
      </c>
      <c r="I115" s="839">
        <f>(VLOOKUP(C115,'BD Altres'!$D$74:$H$84,5,FALSE) * 1000 / 12) * H115*0.035</f>
        <v>143.72747754983158</v>
      </c>
      <c r="J115" s="839">
        <f>(VLOOKUP(C115,'BD Altres'!$D$74:$H$84,3,FALSE) / 12) * H115*0.25</f>
        <v>91.949525938966374</v>
      </c>
      <c r="K115">
        <f>(VLOOKUP(B115,'BD ASVICC'!$A$6:$GR$316,199,FALSE) / 12)*0.3</f>
        <v>4.25</v>
      </c>
      <c r="L115" s="846">
        <f>I115*'1. Cops de calor'!$C$32/30</f>
        <v>2060.0938448809193</v>
      </c>
      <c r="M115" s="846">
        <f>J115*'1. Cops de calor'!$C$33/30</f>
        <v>459.74762969483186</v>
      </c>
      <c r="N115" s="846">
        <f>K115*'1. Cops de calor'!$C$34*0.25/30</f>
        <v>66937.499999999985</v>
      </c>
      <c r="O115" s="779">
        <f t="shared" si="13"/>
        <v>576495.93423897866</v>
      </c>
      <c r="P115" s="848">
        <f>O115*'A. Dades de partida'!$D$10</f>
        <v>8647439.0135846809</v>
      </c>
      <c r="Q115">
        <f t="shared" si="14"/>
        <v>12.450000000000001</v>
      </c>
      <c r="R115">
        <f t="shared" si="15"/>
        <v>0</v>
      </c>
      <c r="S115">
        <f>I115+(I115*'1. Cops de calor'!$C$40)</f>
        <v>151.77621629262214</v>
      </c>
      <c r="T115">
        <f>J115*'1. Cops de calor'!$C$41+J115</f>
        <v>98.845740384388847</v>
      </c>
      <c r="U115">
        <f>'1. Cops de calor'!$C$42*K115+K115</f>
        <v>4.42</v>
      </c>
      <c r="V115">
        <f>S115*'1. Cops de calor'!$C$32/30</f>
        <v>2175.4591001942508</v>
      </c>
      <c r="W115">
        <f>T115*'1. Cops de calor'!$C$33/30</f>
        <v>494.22870192194421</v>
      </c>
      <c r="X115">
        <f>K115*'1. Cops de calor'!$C$34/30</f>
        <v>267749.99999999994</v>
      </c>
      <c r="Y115">
        <f t="shared" si="16"/>
        <v>270419.68780211615</v>
      </c>
      <c r="Z115" s="849">
        <f>Y115*(Q115+R115)*'A. Dades de partida'!$D$10</f>
        <v>50500876.6970452</v>
      </c>
      <c r="AA115" s="850">
        <f t="shared" si="17"/>
        <v>41853437.683460519</v>
      </c>
      <c r="AB115" t="str">
        <f>VLOOKUP(B115,'BD ASVICC'!$A$6:$BG$316,59,FALSE)</f>
        <v>CENTRAL</v>
      </c>
      <c r="AC115">
        <f t="shared" si="9"/>
        <v>0.5</v>
      </c>
      <c r="AD115">
        <f t="shared" si="10"/>
        <v>0.5</v>
      </c>
    </row>
    <row r="116" spans="1:30">
      <c r="A116">
        <v>8113</v>
      </c>
      <c r="B116" t="s">
        <v>699</v>
      </c>
      <c r="C116" t="s">
        <v>82</v>
      </c>
      <c r="D116">
        <f>VLOOKUP(A116,'temperatures màximes'!$A$4:$U$314,'temperatures màximes'!U$1,FALSE)</f>
        <v>138</v>
      </c>
      <c r="E116">
        <f>VLOOKUP(A116,'nits tropicals'!$A$4:$U$314,'nits tropicals'!U$1,FALSE)</f>
        <v>5</v>
      </c>
      <c r="F116">
        <f t="shared" si="11"/>
        <v>13.8</v>
      </c>
      <c r="G116">
        <f t="shared" si="12"/>
        <v>0.5</v>
      </c>
      <c r="H116" s="840">
        <f>VLOOKUP(B116,'BD ASVICC'!$A$6:$X$316,24,FALSE)/VLOOKUP(C116,'BD Comarcal'!$A$6:$Z$17,26,FALSE)</f>
        <v>0.42867055470492771</v>
      </c>
      <c r="I116" s="839">
        <f>(VLOOKUP(C116,'BD Altres'!$D$74:$H$84,5,FALSE) * 1000 / 12) * H116*0.035</f>
        <v>1226.3828810026516</v>
      </c>
      <c r="J116" s="839">
        <f>(VLOOKUP(C116,'BD Altres'!$D$74:$H$84,3,FALSE) / 12) * H116*0.25</f>
        <v>10721.478149395429</v>
      </c>
      <c r="K116">
        <f>(VLOOKUP(B116,'BD ASVICC'!$A$6:$GR$316,199,FALSE) / 12)*0.3</f>
        <v>17.5</v>
      </c>
      <c r="L116" s="846">
        <f>I116*'1. Cops de calor'!$C$32/30</f>
        <v>17578.154627704676</v>
      </c>
      <c r="M116" s="846">
        <f>J116*'1. Cops de calor'!$C$33/30</f>
        <v>53607.390746977144</v>
      </c>
      <c r="N116" s="846">
        <f>K116*'1. Cops de calor'!$C$34*0.25/30</f>
        <v>275624.99999999994</v>
      </c>
      <c r="O116" s="779">
        <f t="shared" si="13"/>
        <v>4959390.7988579497</v>
      </c>
      <c r="P116" s="848">
        <f>O116*'A. Dades de partida'!$D$10</f>
        <v>74390861.982869238</v>
      </c>
      <c r="Q116">
        <f t="shared" si="14"/>
        <v>20.700000000000003</v>
      </c>
      <c r="R116">
        <f t="shared" si="15"/>
        <v>0.75</v>
      </c>
      <c r="S116">
        <f>I116+(I116*'1. Cops de calor'!$C$40)</f>
        <v>1295.0603223388002</v>
      </c>
      <c r="T116">
        <f>J116*'1. Cops de calor'!$C$41+J116</f>
        <v>11525.589010600086</v>
      </c>
      <c r="U116">
        <f>'1. Cops de calor'!$C$42*K116+K116</f>
        <v>18.2</v>
      </c>
      <c r="V116">
        <f>S116*'1. Cops de calor'!$C$32/30</f>
        <v>18562.531286856138</v>
      </c>
      <c r="W116">
        <f>T116*'1. Cops de calor'!$C$33/30</f>
        <v>57627.945053000432</v>
      </c>
      <c r="X116">
        <f>K116*'1. Cops de calor'!$C$34/30</f>
        <v>1102499.9999999998</v>
      </c>
      <c r="Y116">
        <f t="shared" si="16"/>
        <v>1178690.4763398564</v>
      </c>
      <c r="Z116" s="849">
        <f>Y116*(Q116+R116)*'A. Dades de partida'!$D$10</f>
        <v>379243660.76234889</v>
      </c>
      <c r="AA116" s="850">
        <f t="shared" si="17"/>
        <v>304852798.77947962</v>
      </c>
      <c r="AB116" t="str">
        <f>VLOOKUP(B116,'BD ASVICC'!$A$6:$BG$316,59,FALSE)</f>
        <v>CENTRAL</v>
      </c>
      <c r="AC116">
        <f t="shared" si="9"/>
        <v>0.5</v>
      </c>
      <c r="AD116">
        <f t="shared" si="10"/>
        <v>0.5</v>
      </c>
    </row>
    <row r="117" spans="1:30">
      <c r="A117">
        <v>8114</v>
      </c>
      <c r="B117" t="s">
        <v>677</v>
      </c>
      <c r="C117" t="s">
        <v>90</v>
      </c>
      <c r="D117">
        <f>VLOOKUP(A117,'temperatures màximes'!$A$4:$U$314,'temperatures màximes'!U$1,FALSE)</f>
        <v>102</v>
      </c>
      <c r="E117">
        <f>VLOOKUP(A117,'nits tropicals'!$A$4:$U$314,'nits tropicals'!U$1,FALSE)</f>
        <v>125</v>
      </c>
      <c r="F117">
        <f t="shared" si="11"/>
        <v>10.199999999999999</v>
      </c>
      <c r="G117">
        <f t="shared" si="12"/>
        <v>12.5</v>
      </c>
      <c r="H117" s="840">
        <f>VLOOKUP(B117,'BD ASVICC'!$A$6:$X$316,24,FALSE)/VLOOKUP(C117,'BD Comarcal'!$A$6:$Z$17,26,FALSE)</f>
        <v>3.4134560177210782E-2</v>
      </c>
      <c r="I117" s="839">
        <f>(VLOOKUP(C117,'BD Altres'!$D$74:$H$84,5,FALSE) * 1000 / 12) * H117*0.035</f>
        <v>62.902763344423974</v>
      </c>
      <c r="J117" s="839">
        <f>(VLOOKUP(C117,'BD Altres'!$D$74:$H$84,3,FALSE) / 12) * H117*0.25</f>
        <v>191.8501330012526</v>
      </c>
      <c r="K117">
        <f>(VLOOKUP(B117,'BD ASVICC'!$A$6:$GR$316,199,FALSE) / 12)*0.3</f>
        <v>4.1749999999999998</v>
      </c>
      <c r="L117" s="846">
        <f>I117*'1. Cops de calor'!$C$32/30</f>
        <v>901.60627460341027</v>
      </c>
      <c r="M117" s="846">
        <f>J117*'1. Cops de calor'!$C$33/30</f>
        <v>959.25066500626292</v>
      </c>
      <c r="N117" s="846">
        <f>K117*'1. Cops de calor'!$C$34*0.25/30</f>
        <v>65756.249999999985</v>
      </c>
      <c r="O117" s="779">
        <f t="shared" si="13"/>
        <v>1534908.3275291391</v>
      </c>
      <c r="P117" s="848">
        <f>O117*'A. Dades de partida'!$D$10</f>
        <v>23023624.912937086</v>
      </c>
      <c r="Q117">
        <f t="shared" si="14"/>
        <v>15.299999999999999</v>
      </c>
      <c r="R117">
        <f t="shared" si="15"/>
        <v>18.75</v>
      </c>
      <c r="S117">
        <f>I117+(I117*'1. Cops de calor'!$C$40)</f>
        <v>66.425318091711716</v>
      </c>
      <c r="T117">
        <f>J117*'1. Cops de calor'!$C$41+J117</f>
        <v>206.23889297634653</v>
      </c>
      <c r="U117">
        <f>'1. Cops de calor'!$C$42*K117+K117</f>
        <v>4.3419999999999996</v>
      </c>
      <c r="V117">
        <f>S117*'1. Cops de calor'!$C$32/30</f>
        <v>952.0962259812012</v>
      </c>
      <c r="W117">
        <f>T117*'1. Cops de calor'!$C$33/30</f>
        <v>1031.1944648817328</v>
      </c>
      <c r="X117">
        <f>K117*'1. Cops de calor'!$C$34/30</f>
        <v>263024.99999999994</v>
      </c>
      <c r="Y117">
        <f t="shared" si="16"/>
        <v>265008.29069086286</v>
      </c>
      <c r="Z117" s="849">
        <f>Y117*(Q117+R117)*'A. Dades de partida'!$D$10</f>
        <v>135352984.47035819</v>
      </c>
      <c r="AA117" s="850">
        <f t="shared" si="17"/>
        <v>112329359.5574211</v>
      </c>
      <c r="AB117" t="str">
        <f>VLOOKUP(B117,'BD ASVICC'!$A$6:$BG$316,59,FALSE)</f>
        <v>LITORAL</v>
      </c>
      <c r="AC117">
        <f t="shared" si="9"/>
        <v>0.5</v>
      </c>
      <c r="AD117">
        <f t="shared" si="10"/>
        <v>0.5</v>
      </c>
    </row>
    <row r="118" spans="1:30">
      <c r="A118">
        <v>8115</v>
      </c>
      <c r="B118" t="s">
        <v>1183</v>
      </c>
      <c r="C118" t="s">
        <v>24</v>
      </c>
      <c r="D118">
        <f>VLOOKUP(A118,'temperatures màximes'!$A$4:$U$314,'temperatures màximes'!U$1,FALSE)</f>
        <v>39</v>
      </c>
      <c r="E118">
        <f>VLOOKUP(A118,'nits tropicals'!$A$4:$U$314,'nits tropicals'!U$1,FALSE)</f>
        <v>2</v>
      </c>
      <c r="F118">
        <f t="shared" si="11"/>
        <v>3.9</v>
      </c>
      <c r="G118">
        <f t="shared" si="12"/>
        <v>0.2</v>
      </c>
      <c r="H118" s="840">
        <f>VLOOKUP(B118,'BD ASVICC'!$A$6:$X$316,24,FALSE)/VLOOKUP(C118,'BD Comarcal'!$A$6:$Z$17,26,FALSE)</f>
        <v>1.1773118917221893E-2</v>
      </c>
      <c r="I118" s="839">
        <f>(VLOOKUP(C118,'BD Altres'!$D$74:$H$84,5,FALSE) * 1000 / 12) * H118*0.035</f>
        <v>83.316382018851229</v>
      </c>
      <c r="J118" s="839">
        <f>(VLOOKUP(C118,'BD Altres'!$D$74:$H$84,3,FALSE) / 12) * H118*0.25</f>
        <v>18.731207489522671</v>
      </c>
      <c r="K118">
        <f>(VLOOKUP(B118,'BD ASVICC'!$A$6:$GR$316,199,FALSE) / 12)*0.3</f>
        <v>1.325</v>
      </c>
      <c r="L118" s="846">
        <f>I118*'1. Cops de calor'!$C$32/30</f>
        <v>1194.2014756035344</v>
      </c>
      <c r="M118" s="846">
        <f>J118*'1. Cops de calor'!$C$33/30</f>
        <v>93.656037447613343</v>
      </c>
      <c r="N118" s="846">
        <f>K118*'1. Cops de calor'!$C$34*0.25/30</f>
        <v>20868.749999999996</v>
      </c>
      <c r="O118" s="779">
        <f t="shared" si="13"/>
        <v>90842.090803509695</v>
      </c>
      <c r="P118" s="848">
        <f>O118*'A. Dades de partida'!$D$10</f>
        <v>1362631.3620526455</v>
      </c>
      <c r="Q118">
        <f t="shared" si="14"/>
        <v>5.85</v>
      </c>
      <c r="R118">
        <f t="shared" si="15"/>
        <v>0.30000000000000004</v>
      </c>
      <c r="S118">
        <f>I118+(I118*'1. Cops de calor'!$C$40)</f>
        <v>87.982099411906901</v>
      </c>
      <c r="T118">
        <f>J118*'1. Cops de calor'!$C$41+J118</f>
        <v>20.13604805123687</v>
      </c>
      <c r="U118">
        <f>'1. Cops de calor'!$C$42*K118+K118</f>
        <v>1.3779999999999999</v>
      </c>
      <c r="V118">
        <f>S118*'1. Cops de calor'!$C$32/30</f>
        <v>1261.0767582373323</v>
      </c>
      <c r="W118">
        <f>T118*'1. Cops de calor'!$C$33/30</f>
        <v>100.68024025618435</v>
      </c>
      <c r="X118">
        <f>K118*'1. Cops de calor'!$C$34/30</f>
        <v>83474.999999999985</v>
      </c>
      <c r="Y118">
        <f t="shared" si="16"/>
        <v>84836.756998493496</v>
      </c>
      <c r="Z118" s="849">
        <f>Y118*(Q118+R118)*'A. Dades de partida'!$D$10</f>
        <v>7826190.8331110245</v>
      </c>
      <c r="AA118" s="850">
        <f t="shared" si="17"/>
        <v>6463559.4710583789</v>
      </c>
      <c r="AB118" t="str">
        <f>VLOOKUP(B118,'BD ASVICC'!$A$6:$BG$316,59,FALSE)</f>
        <v>LITORAL</v>
      </c>
      <c r="AC118">
        <f t="shared" si="9"/>
        <v>0.5</v>
      </c>
      <c r="AD118">
        <f t="shared" si="10"/>
        <v>0.5</v>
      </c>
    </row>
    <row r="119" spans="1:30">
      <c r="A119">
        <v>8116</v>
      </c>
      <c r="B119" t="s">
        <v>1184</v>
      </c>
      <c r="C119" t="s">
        <v>88</v>
      </c>
      <c r="D119">
        <f>VLOOKUP(A119,'temperatures màximes'!$A$4:$U$314,'temperatures màximes'!U$1,FALSE)</f>
        <v>83</v>
      </c>
      <c r="E119">
        <f>VLOOKUP(A119,'nits tropicals'!$A$4:$U$314,'nits tropicals'!U$1,FALSE)</f>
        <v>0</v>
      </c>
      <c r="F119">
        <f t="shared" si="11"/>
        <v>8.3000000000000007</v>
      </c>
      <c r="G119">
        <f t="shared" si="12"/>
        <v>0</v>
      </c>
      <c r="H119" s="840">
        <f>VLOOKUP(B119,'BD ASVICC'!$A$6:$X$316,24,FALSE)/VLOOKUP(C119,'BD Comarcal'!$A$6:$Z$17,26,FALSE)</f>
        <v>4.5874801626820698E-3</v>
      </c>
      <c r="I119" s="839">
        <f>(VLOOKUP(C119,'BD Altres'!$D$74:$H$84,5,FALSE) * 1000 / 12) * H119*0.035</f>
        <v>5.1045274060176951</v>
      </c>
      <c r="J119" s="839">
        <f>(VLOOKUP(C119,'BD Altres'!$D$74:$H$84,3,FALSE) / 12) * H119*0.25</f>
        <v>3.265616868305909</v>
      </c>
      <c r="K119">
        <f>(VLOOKUP(B119,'BD ASVICC'!$A$6:$GR$316,199,FALSE) / 12)*0.3</f>
        <v>0.125</v>
      </c>
      <c r="L119" s="846">
        <f>I119*'1. Cops de calor'!$C$32/30</f>
        <v>73.164892819586967</v>
      </c>
      <c r="M119" s="846">
        <f>J119*'1. Cops de calor'!$C$33/30</f>
        <v>16.328084341529543</v>
      </c>
      <c r="N119" s="846">
        <f>K119*'1. Cops de calor'!$C$34*0.25/30</f>
        <v>1968.7499999999998</v>
      </c>
      <c r="O119" s="779">
        <f t="shared" si="13"/>
        <v>17083.416710437268</v>
      </c>
      <c r="P119" s="848">
        <f>O119*'A. Dades de partida'!$D$10</f>
        <v>256251.25065655902</v>
      </c>
      <c r="Q119">
        <f t="shared" si="14"/>
        <v>12.450000000000001</v>
      </c>
      <c r="R119">
        <f t="shared" si="15"/>
        <v>0</v>
      </c>
      <c r="S119">
        <f>I119+(I119*'1. Cops de calor'!$C$40)</f>
        <v>5.3903809407546861</v>
      </c>
      <c r="T119">
        <f>J119*'1. Cops de calor'!$C$41+J119</f>
        <v>3.5105381334288523</v>
      </c>
      <c r="U119">
        <f>'1. Cops de calor'!$C$42*K119+K119</f>
        <v>0.13</v>
      </c>
      <c r="V119">
        <f>S119*'1. Cops de calor'!$C$32/30</f>
        <v>77.262126817483846</v>
      </c>
      <c r="W119">
        <f>T119*'1. Cops de calor'!$C$33/30</f>
        <v>17.552690667144262</v>
      </c>
      <c r="X119">
        <f>K119*'1. Cops de calor'!$C$34/30</f>
        <v>7874.9999999999991</v>
      </c>
      <c r="Y119">
        <f t="shared" si="16"/>
        <v>7969.8148174846274</v>
      </c>
      <c r="Z119" s="849">
        <f>Y119*(Q119+R119)*'A. Dades de partida'!$D$10</f>
        <v>1488362.9171652542</v>
      </c>
      <c r="AA119" s="850">
        <f t="shared" si="17"/>
        <v>1232111.6665086951</v>
      </c>
      <c r="AB119" t="str">
        <f>VLOOKUP(B119,'BD ASVICC'!$A$6:$BG$316,59,FALSE)</f>
        <v>CENTRAL</v>
      </c>
      <c r="AC119">
        <f t="shared" si="9"/>
        <v>0.5</v>
      </c>
      <c r="AD119">
        <f t="shared" si="10"/>
        <v>0.5</v>
      </c>
    </row>
    <row r="120" spans="1:30">
      <c r="A120">
        <v>8117</v>
      </c>
      <c r="B120" t="s">
        <v>1187</v>
      </c>
      <c r="C120" t="s">
        <v>88</v>
      </c>
      <c r="D120">
        <f>VLOOKUP(A120,'temperatures màximes'!$A$4:$U$314,'temperatures màximes'!U$1,FALSE)</f>
        <v>83</v>
      </c>
      <c r="E120">
        <f>VLOOKUP(A120,'nits tropicals'!$A$4:$U$314,'nits tropicals'!U$1,FALSE)</f>
        <v>0</v>
      </c>
      <c r="F120">
        <f t="shared" si="11"/>
        <v>8.3000000000000007</v>
      </c>
      <c r="G120">
        <f t="shared" si="12"/>
        <v>0</v>
      </c>
      <c r="H120" s="840">
        <f>VLOOKUP(B120,'BD ASVICC'!$A$6:$X$316,24,FALSE)/VLOOKUP(C120,'BD Comarcal'!$A$6:$Z$17,26,FALSE)</f>
        <v>2.0367383915549243E-2</v>
      </c>
      <c r="I120" s="839">
        <f>(VLOOKUP(C120,'BD Altres'!$D$74:$H$84,5,FALSE) * 1000 / 12) * H120*0.035</f>
        <v>22.662957811030942</v>
      </c>
      <c r="J120" s="839">
        <f>(VLOOKUP(C120,'BD Altres'!$D$74:$H$84,3,FALSE) / 12) * H120*0.25</f>
        <v>14.498607104383376</v>
      </c>
      <c r="K120">
        <f>(VLOOKUP(B120,'BD ASVICC'!$A$6:$GR$316,199,FALSE) / 12)*0.3</f>
        <v>0.67499999999999993</v>
      </c>
      <c r="L120" s="846">
        <f>I120*'1. Cops de calor'!$C$32/30</f>
        <v>324.83572862477683</v>
      </c>
      <c r="M120" s="846">
        <f>J120*'1. Cops de calor'!$C$33/30</f>
        <v>72.49303552191688</v>
      </c>
      <c r="N120" s="846">
        <f>K120*'1. Cops de calor'!$C$34*0.25/30</f>
        <v>10631.249999999998</v>
      </c>
      <c r="O120" s="779">
        <f t="shared" si="13"/>
        <v>91537.203742417551</v>
      </c>
      <c r="P120" s="848">
        <f>O120*'A. Dades de partida'!$D$10</f>
        <v>1373058.0561362633</v>
      </c>
      <c r="Q120">
        <f t="shared" si="14"/>
        <v>12.450000000000001</v>
      </c>
      <c r="R120">
        <f t="shared" si="15"/>
        <v>0</v>
      </c>
      <c r="S120">
        <f>I120+(I120*'1. Cops de calor'!$C$40)</f>
        <v>23.932083448448676</v>
      </c>
      <c r="T120">
        <f>J120*'1. Cops de calor'!$C$41+J120</f>
        <v>15.586002637212129</v>
      </c>
      <c r="U120">
        <f>'1. Cops de calor'!$C$42*K120+K120</f>
        <v>0.70199999999999996</v>
      </c>
      <c r="V120">
        <f>S120*'1. Cops de calor'!$C$32/30</f>
        <v>343.02652942776433</v>
      </c>
      <c r="W120">
        <f>T120*'1. Cops de calor'!$C$33/30</f>
        <v>77.930013186060648</v>
      </c>
      <c r="X120">
        <f>K120*'1. Cops de calor'!$C$34/30</f>
        <v>42524.999999999993</v>
      </c>
      <c r="Y120">
        <f t="shared" si="16"/>
        <v>42945.956542613814</v>
      </c>
      <c r="Z120" s="849">
        <f>Y120*(Q120+R120)*'A. Dades de partida'!$D$10</f>
        <v>8020157.38433313</v>
      </c>
      <c r="AA120" s="850">
        <f t="shared" si="17"/>
        <v>6647099.3281968664</v>
      </c>
      <c r="AB120" t="str">
        <f>VLOOKUP(B120,'BD ASVICC'!$A$6:$BG$316,59,FALSE)</f>
        <v>PREPIRINEU-PIRINEU</v>
      </c>
      <c r="AC120">
        <f t="shared" si="9"/>
        <v>0.5</v>
      </c>
      <c r="AD120">
        <f t="shared" si="10"/>
        <v>0.5</v>
      </c>
    </row>
    <row r="121" spans="1:30">
      <c r="A121">
        <v>8118</v>
      </c>
      <c r="B121" t="s">
        <v>344</v>
      </c>
      <c r="C121" t="s">
        <v>86</v>
      </c>
      <c r="D121">
        <f>VLOOKUP(A121,'temperatures màximes'!$A$4:$U$314,'temperatures màximes'!U$1,FALSE)</f>
        <v>2</v>
      </c>
      <c r="E121">
        <f>VLOOKUP(A121,'nits tropicals'!$A$4:$U$314,'nits tropicals'!U$1,FALSE)</f>
        <v>403</v>
      </c>
      <c r="F121">
        <f t="shared" si="11"/>
        <v>0.2</v>
      </c>
      <c r="G121">
        <f t="shared" si="12"/>
        <v>40.299999999999997</v>
      </c>
      <c r="H121" s="840">
        <f>VLOOKUP(B121,'BD ASVICC'!$A$6:$X$316,24,FALSE)/VLOOKUP(C121,'BD Comarcal'!$A$6:$Z$17,26,FALSE)</f>
        <v>5.2364072887056773E-2</v>
      </c>
      <c r="I121" s="839">
        <f>(VLOOKUP(C121,'BD Altres'!$D$74:$H$84,5,FALSE) * 1000 / 12) * H121*0.035</f>
        <v>122.00420120379839</v>
      </c>
      <c r="J121" s="839">
        <f>(VLOOKUP(C121,'BD Altres'!$D$74:$H$84,3,FALSE) / 12) * H121*0.25</f>
        <v>55.000493099158845</v>
      </c>
      <c r="K121">
        <f>(VLOOKUP(B121,'BD ASVICC'!$A$6:$GR$316,199,FALSE) / 12)*0.3</f>
        <v>4.3999999999999995</v>
      </c>
      <c r="L121" s="846">
        <f>I121*'1. Cops de calor'!$C$32/30</f>
        <v>1748.7268839211101</v>
      </c>
      <c r="M121" s="846">
        <f>J121*'1. Cops de calor'!$C$33/30</f>
        <v>275.00246549579424</v>
      </c>
      <c r="N121" s="846">
        <f>K121*'1. Cops de calor'!$C$34*0.25/30</f>
        <v>69299.999999999985</v>
      </c>
      <c r="O121" s="779">
        <f t="shared" si="13"/>
        <v>2888611.0386513839</v>
      </c>
      <c r="P121" s="848">
        <f>O121*'A. Dades de partida'!$D$10</f>
        <v>43329165.579770759</v>
      </c>
      <c r="Q121">
        <f t="shared" si="14"/>
        <v>0.30000000000000004</v>
      </c>
      <c r="R121">
        <f t="shared" si="15"/>
        <v>60.449999999999996</v>
      </c>
      <c r="S121">
        <f>I121+(I121*'1. Cops de calor'!$C$40)</f>
        <v>128.8364364712111</v>
      </c>
      <c r="T121">
        <f>J121*'1. Cops de calor'!$C$41+J121</f>
        <v>59.125530081595755</v>
      </c>
      <c r="U121">
        <f>'1. Cops de calor'!$C$42*K121+K121</f>
        <v>4.5759999999999996</v>
      </c>
      <c r="V121">
        <f>S121*'1. Cops de calor'!$C$32/30</f>
        <v>1846.6555894206926</v>
      </c>
      <c r="W121">
        <f>T121*'1. Cops de calor'!$C$33/30</f>
        <v>295.62765040797876</v>
      </c>
      <c r="X121">
        <f>K121*'1. Cops de calor'!$C$34/30</f>
        <v>277199.99999999994</v>
      </c>
      <c r="Y121">
        <f t="shared" si="16"/>
        <v>279342.2832398286</v>
      </c>
      <c r="Z121" s="849">
        <f>Y121*(Q121+R121)*'A. Dades de partida'!$D$10</f>
        <v>254550655.60229379</v>
      </c>
      <c r="AA121" s="850">
        <f t="shared" si="17"/>
        <v>211221490.02252305</v>
      </c>
      <c r="AB121" t="str">
        <f>VLOOKUP(B121,'BD ASVICC'!$A$6:$BG$316,59,FALSE)</f>
        <v>LITORAL</v>
      </c>
      <c r="AC121">
        <f t="shared" si="9"/>
        <v>0.5</v>
      </c>
      <c r="AD121">
        <f t="shared" si="10"/>
        <v>0.5</v>
      </c>
    </row>
    <row r="122" spans="1:30">
      <c r="A122">
        <v>8119</v>
      </c>
      <c r="B122" t="s">
        <v>1194</v>
      </c>
      <c r="C122" t="s">
        <v>81</v>
      </c>
      <c r="D122">
        <f>VLOOKUP(A122,'temperatures màximes'!$A$4:$U$314,'temperatures màximes'!U$1,FALSE)</f>
        <v>77</v>
      </c>
      <c r="E122">
        <f>VLOOKUP(A122,'nits tropicals'!$A$4:$U$314,'nits tropicals'!U$1,FALSE)</f>
        <v>2</v>
      </c>
      <c r="F122">
        <f t="shared" si="11"/>
        <v>7.7</v>
      </c>
      <c r="G122">
        <f t="shared" si="12"/>
        <v>0.2</v>
      </c>
      <c r="H122" s="840">
        <f>VLOOKUP(B122,'BD ASVICC'!$A$6:$X$316,24,FALSE)/VLOOKUP(C122,'BD Comarcal'!$A$6:$Z$17,26,FALSE)</f>
        <v>7.1367783224400877E-2</v>
      </c>
      <c r="I122" s="839">
        <f>(VLOOKUP(C122,'BD Altres'!$D$74:$H$84,5,FALSE) * 1000 / 12) * H122*0.035</f>
        <v>59.533945930656685</v>
      </c>
      <c r="J122" s="839">
        <f>(VLOOKUP(C122,'BD Altres'!$D$74:$H$84,3,FALSE) / 12) * H122*0.25</f>
        <v>28.751333354219444</v>
      </c>
      <c r="K122">
        <f>(VLOOKUP(B122,'BD ASVICC'!$A$6:$GR$316,199,FALSE) / 12)*0.3</f>
        <v>1.5249999999999999</v>
      </c>
      <c r="L122" s="846">
        <f>I122*'1. Cops de calor'!$C$32/30</f>
        <v>853.31989167274583</v>
      </c>
      <c r="M122" s="846">
        <f>J122*'1. Cops de calor'!$C$33/30</f>
        <v>143.7566667710972</v>
      </c>
      <c r="N122" s="846">
        <f>K122*'1. Cops de calor'!$C$34*0.25/30</f>
        <v>24018.749999999996</v>
      </c>
      <c r="O122" s="779">
        <f t="shared" si="13"/>
        <v>197625.02981170634</v>
      </c>
      <c r="P122" s="848">
        <f>O122*'A. Dades de partida'!$D$10</f>
        <v>2964375.447175595</v>
      </c>
      <c r="Q122">
        <f t="shared" si="14"/>
        <v>11.55</v>
      </c>
      <c r="R122">
        <f t="shared" si="15"/>
        <v>0.30000000000000004</v>
      </c>
      <c r="S122">
        <f>I122+(I122*'1. Cops de calor'!$C$40)</f>
        <v>62.867846902773458</v>
      </c>
      <c r="T122">
        <f>J122*'1. Cops de calor'!$C$41+J122</f>
        <v>30.907683355785903</v>
      </c>
      <c r="U122">
        <f>'1. Cops de calor'!$C$42*K122+K122</f>
        <v>1.5859999999999999</v>
      </c>
      <c r="V122">
        <f>S122*'1. Cops de calor'!$C$32/30</f>
        <v>901.10580560641961</v>
      </c>
      <c r="W122">
        <f>T122*'1. Cops de calor'!$C$33/30</f>
        <v>154.5384167789295</v>
      </c>
      <c r="X122">
        <f>K122*'1. Cops de calor'!$C$34/30</f>
        <v>96074.999999999985</v>
      </c>
      <c r="Y122">
        <f t="shared" si="16"/>
        <v>97130.644222385337</v>
      </c>
      <c r="Z122" s="849">
        <f>Y122*(Q122+R122)*'A. Dades de partida'!$D$10</f>
        <v>17264972.010528997</v>
      </c>
      <c r="AA122" s="850">
        <f t="shared" si="17"/>
        <v>14300596.563353401</v>
      </c>
      <c r="AB122" t="str">
        <f>VLOOKUP(B122,'BD ASVICC'!$A$6:$BG$316,59,FALSE)</f>
        <v>CENTRAL</v>
      </c>
      <c r="AC122">
        <f t="shared" si="9"/>
        <v>0.5</v>
      </c>
      <c r="AD122">
        <f t="shared" si="10"/>
        <v>0.5</v>
      </c>
    </row>
    <row r="123" spans="1:30">
      <c r="A123">
        <v>8120</v>
      </c>
      <c r="B123" t="s">
        <v>1197</v>
      </c>
      <c r="C123" t="s">
        <v>89</v>
      </c>
      <c r="D123">
        <f>VLOOKUP(A123,'temperatures màximes'!$A$4:$U$314,'temperatures màximes'!U$1,FALSE)</f>
        <v>37</v>
      </c>
      <c r="E123">
        <f>VLOOKUP(A123,'nits tropicals'!$A$4:$U$314,'nits tropicals'!U$1,FALSE)</f>
        <v>39</v>
      </c>
      <c r="F123">
        <f t="shared" si="11"/>
        <v>3.7</v>
      </c>
      <c r="G123">
        <f t="shared" si="12"/>
        <v>3.9</v>
      </c>
      <c r="H123" s="840">
        <f>VLOOKUP(B123,'BD ASVICC'!$A$6:$X$316,24,FALSE)/VLOOKUP(C123,'BD Comarcal'!$A$6:$Z$17,26,FALSE)</f>
        <v>9.9354153764487311E-3</v>
      </c>
      <c r="I123" s="839">
        <f>(VLOOKUP(C123,'BD Altres'!$D$74:$H$84,5,FALSE) * 1000 / 12) * H123*0.035</f>
        <v>40.221897371954078</v>
      </c>
      <c r="J123" s="839">
        <f>(VLOOKUP(C123,'BD Altres'!$D$74:$H$84,3,FALSE) / 12) * H123*0.25</f>
        <v>17.655241815453593</v>
      </c>
      <c r="K123">
        <f>(VLOOKUP(B123,'BD ASVICC'!$A$6:$GR$316,199,FALSE) / 12)*0.3</f>
        <v>1.325</v>
      </c>
      <c r="L123" s="846">
        <f>I123*'1. Cops de calor'!$C$32/30</f>
        <v>576.51386233134178</v>
      </c>
      <c r="M123" s="846">
        <f>J123*'1. Cops de calor'!$C$33/30</f>
        <v>88.276209077267964</v>
      </c>
      <c r="N123" s="846">
        <f>K123*'1. Cops de calor'!$C$34*0.25/30</f>
        <v>20868.749999999996</v>
      </c>
      <c r="O123" s="779">
        <f t="shared" si="13"/>
        <v>163654.90454270539</v>
      </c>
      <c r="P123" s="848">
        <f>O123*'A. Dades de partida'!$D$10</f>
        <v>2454823.5681405808</v>
      </c>
      <c r="Q123">
        <f t="shared" si="14"/>
        <v>5.5500000000000007</v>
      </c>
      <c r="R123">
        <f t="shared" si="15"/>
        <v>5.85</v>
      </c>
      <c r="S123">
        <f>I123+(I123*'1. Cops de calor'!$C$40)</f>
        <v>42.474323624783509</v>
      </c>
      <c r="T123">
        <f>J123*'1. Cops de calor'!$C$41+J123</f>
        <v>18.979384951612612</v>
      </c>
      <c r="U123">
        <f>'1. Cops de calor'!$C$42*K123+K123</f>
        <v>1.3779999999999999</v>
      </c>
      <c r="V123">
        <f>S123*'1. Cops de calor'!$C$32/30</f>
        <v>608.79863862189688</v>
      </c>
      <c r="W123">
        <f>T123*'1. Cops de calor'!$C$33/30</f>
        <v>94.896924758063065</v>
      </c>
      <c r="X123">
        <f>K123*'1. Cops de calor'!$C$34/30</f>
        <v>83474.999999999985</v>
      </c>
      <c r="Y123">
        <f t="shared" si="16"/>
        <v>84178.695563379952</v>
      </c>
      <c r="Z123" s="849">
        <f>Y123*(Q123+R123)*'A. Dades de partida'!$D$10</f>
        <v>14394556.941337973</v>
      </c>
      <c r="AA123" s="850">
        <f t="shared" si="17"/>
        <v>11939733.373197392</v>
      </c>
      <c r="AB123" t="str">
        <f>VLOOKUP(B123,'BD ASVICC'!$A$6:$BG$316,59,FALSE)</f>
        <v>LITORAL</v>
      </c>
      <c r="AC123">
        <f t="shared" si="9"/>
        <v>0.5</v>
      </c>
      <c r="AD123">
        <f t="shared" si="10"/>
        <v>0.5</v>
      </c>
    </row>
    <row r="124" spans="1:30">
      <c r="A124">
        <v>8121</v>
      </c>
      <c r="B124" t="s">
        <v>345</v>
      </c>
      <c r="C124" t="s">
        <v>86</v>
      </c>
      <c r="D124">
        <f>VLOOKUP(A124,'temperatures màximes'!$A$4:$U$314,'temperatures màximes'!U$1,FALSE)</f>
        <v>2</v>
      </c>
      <c r="E124">
        <f>VLOOKUP(A124,'nits tropicals'!$A$4:$U$314,'nits tropicals'!U$1,FALSE)</f>
        <v>403</v>
      </c>
      <c r="F124">
        <f t="shared" si="11"/>
        <v>0.2</v>
      </c>
      <c r="G124">
        <f t="shared" si="12"/>
        <v>40.299999999999997</v>
      </c>
      <c r="H124" s="840">
        <f>VLOOKUP(B124,'BD ASVICC'!$A$6:$X$316,24,FALSE)/VLOOKUP(C124,'BD Comarcal'!$A$6:$Z$17,26,FALSE)</f>
        <v>0.28429349610989685</v>
      </c>
      <c r="I124" s="839">
        <f>(VLOOKUP(C124,'BD Altres'!$D$74:$H$84,5,FALSE) * 1000 / 12) * H124*0.035</f>
        <v>662.38164810316891</v>
      </c>
      <c r="J124" s="839">
        <f>(VLOOKUP(C124,'BD Altres'!$D$74:$H$84,3,FALSE) / 12) * H124*0.25</f>
        <v>298.60707177330858</v>
      </c>
      <c r="K124">
        <f>(VLOOKUP(B124,'BD ASVICC'!$A$6:$GR$316,199,FALSE) / 12)*0.3</f>
        <v>23.474999999999998</v>
      </c>
      <c r="L124" s="846">
        <f>I124*'1. Cops de calor'!$C$32/30</f>
        <v>9494.1369561454212</v>
      </c>
      <c r="M124" s="846">
        <f>J124*'1. Cops de calor'!$C$33/30</f>
        <v>1493.0353588665428</v>
      </c>
      <c r="N124" s="846">
        <f>K124*'1. Cops de calor'!$C$34*0.25/30</f>
        <v>369731.24999999994</v>
      </c>
      <c r="O124" s="779">
        <f t="shared" si="13"/>
        <v>15419096.103757983</v>
      </c>
      <c r="P124" s="848">
        <f>O124*'A. Dades de partida'!$D$10</f>
        <v>231286441.55636975</v>
      </c>
      <c r="Q124">
        <f t="shared" si="14"/>
        <v>0.30000000000000004</v>
      </c>
      <c r="R124">
        <f t="shared" si="15"/>
        <v>60.449999999999996</v>
      </c>
      <c r="S124">
        <f>I124+(I124*'1. Cops de calor'!$C$40)</f>
        <v>699.47502039694632</v>
      </c>
      <c r="T124">
        <f>J124*'1. Cops de calor'!$C$41+J124</f>
        <v>321.00260215630669</v>
      </c>
      <c r="U124">
        <f>'1. Cops de calor'!$C$42*K124+K124</f>
        <v>24.413999999999998</v>
      </c>
      <c r="V124">
        <f>S124*'1. Cops de calor'!$C$32/30</f>
        <v>10025.808625689564</v>
      </c>
      <c r="W124">
        <f>T124*'1. Cops de calor'!$C$33/30</f>
        <v>1605.0130107815335</v>
      </c>
      <c r="X124">
        <f>K124*'1. Cops de calor'!$C$34/30</f>
        <v>1478924.9999999998</v>
      </c>
      <c r="Y124">
        <f t="shared" si="16"/>
        <v>1490555.821636471</v>
      </c>
      <c r="Z124" s="849">
        <f>Y124*(Q124+R124)*'A. Dades de partida'!$D$10</f>
        <v>1358268992.466234</v>
      </c>
      <c r="AA124" s="850">
        <f t="shared" si="17"/>
        <v>1126982550.9098642</v>
      </c>
      <c r="AB124" t="str">
        <f>VLOOKUP(B124,'BD ASVICC'!$A$6:$BG$316,59,FALSE)</f>
        <v>LITORAL</v>
      </c>
      <c r="AC124">
        <f t="shared" si="9"/>
        <v>0.5</v>
      </c>
      <c r="AD124">
        <f t="shared" si="10"/>
        <v>0.5</v>
      </c>
    </row>
    <row r="125" spans="1:30">
      <c r="A125">
        <v>8122</v>
      </c>
      <c r="B125" t="s">
        <v>1204</v>
      </c>
      <c r="C125" t="s">
        <v>791</v>
      </c>
      <c r="D125">
        <f>VLOOKUP(A125,'temperatures màximes'!$A$4:$U$314,'temperatures màximes'!U$1,FALSE)</f>
        <v>20</v>
      </c>
      <c r="E125">
        <f>VLOOKUP(A125,'nits tropicals'!$A$4:$U$314,'nits tropicals'!U$1,FALSE)</f>
        <v>8</v>
      </c>
      <c r="F125">
        <f t="shared" si="11"/>
        <v>2</v>
      </c>
      <c r="G125">
        <f t="shared" si="12"/>
        <v>0.8</v>
      </c>
      <c r="H125" s="840">
        <f>VLOOKUP(B125,'BD ASVICC'!$A$6:$X$316,24,FALSE)/VLOOKUP(C125,'BD Comarcal'!$A$6:$Z$17,26,FALSE)</f>
        <v>2.1472594683603859E-2</v>
      </c>
      <c r="I125" s="839">
        <f>(VLOOKUP(C125,'BD Altres'!$D$74:$H$84,5,FALSE) * 1000 / 12) * H125*0.035</f>
        <v>42.485758158242234</v>
      </c>
      <c r="J125" s="839">
        <f>(VLOOKUP(C125,'BD Altres'!$D$74:$H$84,3,FALSE) / 12) * H125*0.25</f>
        <v>5.5036160702868093</v>
      </c>
      <c r="K125">
        <f>(VLOOKUP(B125,'BD ASVICC'!$A$6:$GR$316,199,FALSE) / 12)*0.3</f>
        <v>0.72499999999999998</v>
      </c>
      <c r="L125" s="846">
        <f>I125*'1. Cops de calor'!$C$32/30</f>
        <v>608.96253360147205</v>
      </c>
      <c r="M125" s="846">
        <f>J125*'1. Cops de calor'!$C$33/30</f>
        <v>27.518080351434048</v>
      </c>
      <c r="N125" s="846">
        <f>K125*'1. Cops de calor'!$C$34*0.25/30</f>
        <v>11418.749999999998</v>
      </c>
      <c r="O125" s="779">
        <f t="shared" si="13"/>
        <v>33754.645719068132</v>
      </c>
      <c r="P125" s="848">
        <f>O125*'A. Dades de partida'!$D$10</f>
        <v>506319.68578602199</v>
      </c>
      <c r="Q125">
        <f t="shared" si="14"/>
        <v>3</v>
      </c>
      <c r="R125">
        <f t="shared" si="15"/>
        <v>1.2000000000000002</v>
      </c>
      <c r="S125">
        <f>I125+(I125*'1. Cops de calor'!$C$40)</f>
        <v>44.864960615103797</v>
      </c>
      <c r="T125">
        <f>J125*'1. Cops de calor'!$C$41+J125</f>
        <v>5.9163872755583196</v>
      </c>
      <c r="U125">
        <f>'1. Cops de calor'!$C$42*K125+K125</f>
        <v>0.754</v>
      </c>
      <c r="V125">
        <f>S125*'1. Cops de calor'!$C$32/30</f>
        <v>643.0644354831544</v>
      </c>
      <c r="W125">
        <f>T125*'1. Cops de calor'!$C$33/30</f>
        <v>29.581936377791596</v>
      </c>
      <c r="X125">
        <f>K125*'1. Cops de calor'!$C$34/30</f>
        <v>45674.999999999993</v>
      </c>
      <c r="Y125">
        <f t="shared" si="16"/>
        <v>46347.646371860938</v>
      </c>
      <c r="Z125" s="849">
        <f>Y125*(Q125+R125)*'A. Dades de partida'!$D$10</f>
        <v>2919901.7214272395</v>
      </c>
      <c r="AA125" s="850">
        <f t="shared" si="17"/>
        <v>2413582.0356412176</v>
      </c>
      <c r="AB125" t="str">
        <f>VLOOKUP(B125,'BD ASVICC'!$A$6:$BG$316,59,FALSE)</f>
        <v>CENTRAL</v>
      </c>
      <c r="AC125">
        <f t="shared" si="9"/>
        <v>0.5</v>
      </c>
      <c r="AD125">
        <f t="shared" si="10"/>
        <v>0.5</v>
      </c>
    </row>
    <row r="126" spans="1:30">
      <c r="A126">
        <v>8123</v>
      </c>
      <c r="B126" t="s">
        <v>1208</v>
      </c>
      <c r="C126" t="s">
        <v>90</v>
      </c>
      <c r="D126">
        <f>VLOOKUP(A126,'temperatures màximes'!$A$4:$U$314,'temperatures màximes'!U$1,FALSE)</f>
        <v>2</v>
      </c>
      <c r="E126">
        <f>VLOOKUP(A126,'nits tropicals'!$A$4:$U$314,'nits tropicals'!U$1,FALSE)</f>
        <v>246</v>
      </c>
      <c r="F126">
        <f t="shared" si="11"/>
        <v>0.2</v>
      </c>
      <c r="G126">
        <f t="shared" si="12"/>
        <v>24.6</v>
      </c>
      <c r="H126" s="840">
        <f>VLOOKUP(B126,'BD ASVICC'!$A$6:$X$316,24,FALSE)/VLOOKUP(C126,'BD Comarcal'!$A$6:$Z$17,26,FALSE)</f>
        <v>3.1311930241775664E-2</v>
      </c>
      <c r="I126" s="839">
        <f>(VLOOKUP(C126,'BD Altres'!$D$74:$H$84,5,FALSE) * 1000 / 12) * H126*0.035</f>
        <v>57.701254319090161</v>
      </c>
      <c r="J126" s="839">
        <f>(VLOOKUP(C126,'BD Altres'!$D$74:$H$84,3,FALSE) / 12) * H126*0.25</f>
        <v>175.98580295817561</v>
      </c>
      <c r="K126">
        <f>(VLOOKUP(B126,'BD ASVICC'!$A$6:$GR$316,199,FALSE) / 12)*0.3</f>
        <v>3.5999999999999996</v>
      </c>
      <c r="L126" s="846">
        <f>I126*'1. Cops de calor'!$C$32/30</f>
        <v>827.05131190695897</v>
      </c>
      <c r="M126" s="846">
        <f>J126*'1. Cops de calor'!$C$33/30</f>
        <v>879.929014790878</v>
      </c>
      <c r="N126" s="846">
        <f>K126*'1. Cops de calor'!$C$34*0.25/30</f>
        <v>56699.999999999985</v>
      </c>
      <c r="O126" s="779">
        <f t="shared" si="13"/>
        <v>1448493.112102106</v>
      </c>
      <c r="P126" s="848">
        <f>O126*'A. Dades de partida'!$D$10</f>
        <v>21727396.681531589</v>
      </c>
      <c r="Q126">
        <f t="shared" si="14"/>
        <v>0.30000000000000004</v>
      </c>
      <c r="R126">
        <f t="shared" si="15"/>
        <v>36.900000000000006</v>
      </c>
      <c r="S126">
        <f>I126+(I126*'1. Cops de calor'!$C$40)</f>
        <v>60.932524560959209</v>
      </c>
      <c r="T126">
        <f>J126*'1. Cops de calor'!$C$41+J126</f>
        <v>189.18473818003878</v>
      </c>
      <c r="U126">
        <f>'1. Cops de calor'!$C$42*K126+K126</f>
        <v>3.7439999999999998</v>
      </c>
      <c r="V126">
        <f>S126*'1. Cops de calor'!$C$32/30</f>
        <v>873.36618537374864</v>
      </c>
      <c r="W126">
        <f>T126*'1. Cops de calor'!$C$33/30</f>
        <v>945.92369090019383</v>
      </c>
      <c r="X126">
        <f>K126*'1. Cops de calor'!$C$34/30</f>
        <v>226799.99999999994</v>
      </c>
      <c r="Y126">
        <f t="shared" si="16"/>
        <v>228619.28987627389</v>
      </c>
      <c r="Z126" s="849">
        <f>Y126*(Q126+R126)*'A. Dades de partida'!$D$10</f>
        <v>127569563.75096086</v>
      </c>
      <c r="AA126" s="850">
        <f t="shared" si="17"/>
        <v>105842167.06942926</v>
      </c>
      <c r="AB126" t="str">
        <f>VLOOKUP(B126,'BD ASVICC'!$A$6:$BG$316,59,FALSE)</f>
        <v>LITORAL</v>
      </c>
      <c r="AC126">
        <f t="shared" si="9"/>
        <v>0.5</v>
      </c>
      <c r="AD126">
        <f t="shared" si="10"/>
        <v>0.5</v>
      </c>
    </row>
    <row r="127" spans="1:30">
      <c r="A127">
        <v>8124</v>
      </c>
      <c r="B127" t="s">
        <v>1214</v>
      </c>
      <c r="C127" t="s">
        <v>24</v>
      </c>
      <c r="D127">
        <f>VLOOKUP(A127,'temperatures màximes'!$A$4:$U$314,'temperatures màximes'!U$1,FALSE)</f>
        <v>39</v>
      </c>
      <c r="E127">
        <f>VLOOKUP(A127,'nits tropicals'!$A$4:$U$314,'nits tropicals'!U$1,FALSE)</f>
        <v>2</v>
      </c>
      <c r="F127">
        <f t="shared" si="11"/>
        <v>3.9</v>
      </c>
      <c r="G127">
        <f t="shared" si="12"/>
        <v>0.2</v>
      </c>
      <c r="H127" s="840">
        <f>VLOOKUP(B127,'BD ASVICC'!$A$6:$X$316,24,FALSE)/VLOOKUP(C127,'BD Comarcal'!$A$6:$Z$17,26,FALSE)</f>
        <v>0.12829834204585661</v>
      </c>
      <c r="I127" s="839">
        <f>(VLOOKUP(C127,'BD Altres'!$D$74:$H$84,5,FALSE) * 1000 / 12) * H127*0.035</f>
        <v>907.9457833931574</v>
      </c>
      <c r="J127" s="839">
        <f>(VLOOKUP(C127,'BD Altres'!$D$74:$H$84,3,FALSE) / 12) * H127*0.25</f>
        <v>204.12457245354747</v>
      </c>
      <c r="K127">
        <f>(VLOOKUP(B127,'BD ASVICC'!$A$6:$GR$316,199,FALSE) / 12)*0.3</f>
        <v>7.6499999999999995</v>
      </c>
      <c r="L127" s="846">
        <f>I127*'1. Cops de calor'!$C$32/30</f>
        <v>13013.88956196859</v>
      </c>
      <c r="M127" s="846">
        <f>J127*'1. Cops de calor'!$C$33/30</f>
        <v>1020.6228622677373</v>
      </c>
      <c r="N127" s="846">
        <f>K127*'1. Cops de calor'!$C$34*0.25/30</f>
        <v>120487.49999999999</v>
      </c>
      <c r="O127" s="779">
        <f t="shared" si="13"/>
        <v>551540.25093936885</v>
      </c>
      <c r="P127" s="848">
        <f>O127*'A. Dades de partida'!$D$10</f>
        <v>8273103.7640905324</v>
      </c>
      <c r="Q127">
        <f t="shared" si="14"/>
        <v>5.85</v>
      </c>
      <c r="R127">
        <f t="shared" si="15"/>
        <v>0.30000000000000004</v>
      </c>
      <c r="S127">
        <f>I127+(I127*'1. Cops de calor'!$C$40)</f>
        <v>958.79074726317424</v>
      </c>
      <c r="T127">
        <f>J127*'1. Cops de calor'!$C$41+J127</f>
        <v>219.43391538756353</v>
      </c>
      <c r="U127">
        <f>'1. Cops de calor'!$C$42*K127+K127</f>
        <v>7.9559999999999995</v>
      </c>
      <c r="V127">
        <f>S127*'1. Cops de calor'!$C$32/30</f>
        <v>13742.667377438831</v>
      </c>
      <c r="W127">
        <f>T127*'1. Cops de calor'!$C$33/30</f>
        <v>1097.1695769378175</v>
      </c>
      <c r="X127">
        <f>K127*'1. Cops de calor'!$C$34/30</f>
        <v>481949.99999999994</v>
      </c>
      <c r="Y127">
        <f t="shared" si="16"/>
        <v>496789.8369543766</v>
      </c>
      <c r="Z127" s="849">
        <f>Y127*(Q127+R127)*'A. Dades de partida'!$D$10</f>
        <v>45828862.459041238</v>
      </c>
      <c r="AA127" s="850">
        <f t="shared" si="17"/>
        <v>37555758.694950707</v>
      </c>
      <c r="AB127" t="str">
        <f>VLOOKUP(B127,'BD ASVICC'!$A$6:$BG$316,59,FALSE)</f>
        <v>LITORAL</v>
      </c>
      <c r="AC127">
        <f t="shared" si="9"/>
        <v>0.5</v>
      </c>
      <c r="AD127">
        <f t="shared" si="10"/>
        <v>0.5</v>
      </c>
    </row>
    <row r="128" spans="1:30">
      <c r="A128">
        <v>8125</v>
      </c>
      <c r="B128" t="s">
        <v>1220</v>
      </c>
      <c r="C128" t="s">
        <v>89</v>
      </c>
      <c r="D128">
        <f>VLOOKUP(A128,'temperatures màximes'!$A$4:$U$314,'temperatures màximes'!U$1,FALSE)</f>
        <v>37</v>
      </c>
      <c r="E128">
        <f>VLOOKUP(A128,'nits tropicals'!$A$4:$U$314,'nits tropicals'!U$1,FALSE)</f>
        <v>39</v>
      </c>
      <c r="F128">
        <f t="shared" si="11"/>
        <v>3.7</v>
      </c>
      <c r="G128">
        <f t="shared" si="12"/>
        <v>3.9</v>
      </c>
      <c r="H128" s="840">
        <f>VLOOKUP(B128,'BD ASVICC'!$A$6:$X$316,24,FALSE)/VLOOKUP(C128,'BD Comarcal'!$A$6:$Z$17,26,FALSE)</f>
        <v>3.8487569671768557E-2</v>
      </c>
      <c r="I128" s="839">
        <f>(VLOOKUP(C128,'BD Altres'!$D$74:$H$84,5,FALSE) * 1000 / 12) * H128*0.035</f>
        <v>155.81060466815958</v>
      </c>
      <c r="J128" s="839">
        <f>(VLOOKUP(C128,'BD Altres'!$D$74:$H$84,3,FALSE) / 12) * H128*0.25</f>
        <v>68.392444975669619</v>
      </c>
      <c r="K128">
        <f>(VLOOKUP(B128,'BD ASVICC'!$A$6:$GR$316,199,FALSE) / 12)*0.3</f>
        <v>5.4249999999999998</v>
      </c>
      <c r="L128" s="846">
        <f>I128*'1. Cops de calor'!$C$32/30</f>
        <v>2233.2853335769541</v>
      </c>
      <c r="M128" s="846">
        <f>J128*'1. Cops de calor'!$C$33/30</f>
        <v>341.96222487834808</v>
      </c>
      <c r="N128" s="846">
        <f>K128*'1. Cops de calor'!$C$34*0.25/30</f>
        <v>85443.749999999985</v>
      </c>
      <c r="O128" s="779">
        <f t="shared" si="13"/>
        <v>668944.38144426013</v>
      </c>
      <c r="P128" s="848">
        <f>O128*'A. Dades de partida'!$D$10</f>
        <v>10034165.721663902</v>
      </c>
      <c r="Q128">
        <f t="shared" si="14"/>
        <v>5.5500000000000007</v>
      </c>
      <c r="R128">
        <f t="shared" si="15"/>
        <v>5.85</v>
      </c>
      <c r="S128">
        <f>I128+(I128*'1. Cops de calor'!$C$40)</f>
        <v>164.53599852957652</v>
      </c>
      <c r="T128">
        <f>J128*'1. Cops de calor'!$C$41+J128</f>
        <v>73.521878348844837</v>
      </c>
      <c r="U128">
        <f>'1. Cops de calor'!$C$42*K128+K128</f>
        <v>5.6419999999999995</v>
      </c>
      <c r="V128">
        <f>S128*'1. Cops de calor'!$C$32/30</f>
        <v>2358.3493122572631</v>
      </c>
      <c r="W128">
        <f>T128*'1. Cops de calor'!$C$33/30</f>
        <v>367.60939174422418</v>
      </c>
      <c r="X128">
        <f>K128*'1. Cops de calor'!$C$34/30</f>
        <v>341774.99999999994</v>
      </c>
      <c r="Y128">
        <f t="shared" si="16"/>
        <v>344500.95870400144</v>
      </c>
      <c r="Z128" s="849">
        <f>Y128*(Q128+R128)*'A. Dades de partida'!$D$10</f>
        <v>58909663.93838425</v>
      </c>
      <c r="AA128" s="850">
        <f t="shared" si="17"/>
        <v>48875498.21672035</v>
      </c>
      <c r="AB128" t="str">
        <f>VLOOKUP(B128,'BD ASVICC'!$A$6:$BG$316,59,FALSE)</f>
        <v>LITORAL</v>
      </c>
      <c r="AC128">
        <f t="shared" si="9"/>
        <v>0.5</v>
      </c>
      <c r="AD128">
        <f t="shared" si="10"/>
        <v>0.5</v>
      </c>
    </row>
    <row r="129" spans="1:30">
      <c r="A129">
        <v>8126</v>
      </c>
      <c r="B129" t="s">
        <v>346</v>
      </c>
      <c r="C129" t="s">
        <v>86</v>
      </c>
      <c r="D129">
        <f>VLOOKUP(A129,'temperatures màximes'!$A$4:$U$314,'temperatures màximes'!U$1,FALSE)</f>
        <v>2</v>
      </c>
      <c r="E129">
        <f>VLOOKUP(A129,'nits tropicals'!$A$4:$U$314,'nits tropicals'!U$1,FALSE)</f>
        <v>403</v>
      </c>
      <c r="F129">
        <f t="shared" si="11"/>
        <v>0.2</v>
      </c>
      <c r="G129">
        <f t="shared" si="12"/>
        <v>40.299999999999997</v>
      </c>
      <c r="H129" s="840">
        <f>VLOOKUP(B129,'BD ASVICC'!$A$6:$X$316,24,FALSE)/VLOOKUP(C129,'BD Comarcal'!$A$6:$Z$17,26,FALSE)</f>
        <v>2.6321332714238796E-2</v>
      </c>
      <c r="I129" s="839">
        <f>(VLOOKUP(C129,'BD Altres'!$D$74:$H$84,5,FALSE) * 1000 / 12) * H129*0.035</f>
        <v>61.326650036305246</v>
      </c>
      <c r="J129" s="839">
        <f>(VLOOKUP(C129,'BD Altres'!$D$74:$H$84,3,FALSE) / 12) * H129*0.25</f>
        <v>27.646556092621868</v>
      </c>
      <c r="K129">
        <f>(VLOOKUP(B129,'BD ASVICC'!$A$6:$GR$316,199,FALSE) / 12)*0.3</f>
        <v>1.3749999999999998</v>
      </c>
      <c r="L129" s="846">
        <f>I129*'1. Cops de calor'!$C$32/30</f>
        <v>879.01531718704189</v>
      </c>
      <c r="M129" s="846">
        <f>J129*'1. Cops de calor'!$C$33/30</f>
        <v>138.23278046310935</v>
      </c>
      <c r="N129" s="846">
        <f>K129*'1. Cops de calor'!$C$34*0.25/30</f>
        <v>21656.249999999993</v>
      </c>
      <c r="O129" s="779">
        <f t="shared" si="13"/>
        <v>918276.67295483081</v>
      </c>
      <c r="P129" s="848">
        <f>O129*'A. Dades de partida'!$D$10</f>
        <v>13774150.094322462</v>
      </c>
      <c r="Q129">
        <f t="shared" si="14"/>
        <v>0.30000000000000004</v>
      </c>
      <c r="R129">
        <f t="shared" si="15"/>
        <v>60.449999999999996</v>
      </c>
      <c r="S129">
        <f>I129+(I129*'1. Cops de calor'!$C$40)</f>
        <v>64.760942438338333</v>
      </c>
      <c r="T129">
        <f>J129*'1. Cops de calor'!$C$41+J129</f>
        <v>29.720047799568508</v>
      </c>
      <c r="U129">
        <f>'1. Cops de calor'!$C$42*K129+K129</f>
        <v>1.4299999999999997</v>
      </c>
      <c r="V129">
        <f>S129*'1. Cops de calor'!$C$32/30</f>
        <v>928.24017494951613</v>
      </c>
      <c r="W129">
        <f>T129*'1. Cops de calor'!$C$33/30</f>
        <v>148.60023899784255</v>
      </c>
      <c r="X129">
        <f>K129*'1. Cops de calor'!$C$34/30</f>
        <v>86624.999999999971</v>
      </c>
      <c r="Y129">
        <f t="shared" si="16"/>
        <v>87701.840413947328</v>
      </c>
      <c r="Z129" s="849">
        <f>Y129*(Q129+R129)*'A. Dades de partida'!$D$10</f>
        <v>79918302.077209488</v>
      </c>
      <c r="AA129" s="850">
        <f t="shared" si="17"/>
        <v>66144151.98288703</v>
      </c>
      <c r="AB129" t="str">
        <f>VLOOKUP(B129,'BD ASVICC'!$A$6:$BG$316,59,FALSE)</f>
        <v>LITORAL</v>
      </c>
      <c r="AC129">
        <f t="shared" si="9"/>
        <v>0.5</v>
      </c>
      <c r="AD129">
        <f t="shared" si="10"/>
        <v>0.5</v>
      </c>
    </row>
    <row r="130" spans="1:30">
      <c r="A130">
        <v>8127</v>
      </c>
      <c r="B130" t="s">
        <v>1227</v>
      </c>
      <c r="C130" t="s">
        <v>82</v>
      </c>
      <c r="D130">
        <f>VLOOKUP(A130,'temperatures màximes'!$A$4:$U$314,'temperatures màximes'!U$1,FALSE)</f>
        <v>138</v>
      </c>
      <c r="E130">
        <f>VLOOKUP(A130,'nits tropicals'!$A$4:$U$314,'nits tropicals'!U$1,FALSE)</f>
        <v>5</v>
      </c>
      <c r="F130">
        <f t="shared" si="11"/>
        <v>13.8</v>
      </c>
      <c r="G130">
        <f t="shared" si="12"/>
        <v>0.5</v>
      </c>
      <c r="H130" s="840">
        <f>VLOOKUP(B130,'BD ASVICC'!$A$6:$X$316,24,FALSE)/VLOOKUP(C130,'BD Comarcal'!$A$6:$Z$17,26,FALSE)</f>
        <v>1.6441011348713449E-2</v>
      </c>
      <c r="I130" s="839">
        <f>(VLOOKUP(C130,'BD Altres'!$D$74:$H$84,5,FALSE) * 1000 / 12) * H130*0.035</f>
        <v>47.036062176725736</v>
      </c>
      <c r="J130" s="839">
        <f>(VLOOKUP(C130,'BD Altres'!$D$74:$H$84,3,FALSE) / 12) * H130*0.25</f>
        <v>411.20609287131708</v>
      </c>
      <c r="K130">
        <f>(VLOOKUP(B130,'BD ASVICC'!$A$6:$GR$316,199,FALSE) / 12)*0.3</f>
        <v>0.75</v>
      </c>
      <c r="L130" s="846">
        <f>I130*'1. Cops de calor'!$C$32/30</f>
        <v>674.18355786640211</v>
      </c>
      <c r="M130" s="846">
        <f>J130*'1. Cops de calor'!$C$33/30</f>
        <v>2056.0304643565855</v>
      </c>
      <c r="N130" s="846">
        <f>K130*'1. Cops de calor'!$C$34*0.25/30</f>
        <v>11812.499999999998</v>
      </c>
      <c r="O130" s="779">
        <f t="shared" si="13"/>
        <v>207960.81051778872</v>
      </c>
      <c r="P130" s="848">
        <f>O130*'A. Dades de partida'!$D$10</f>
        <v>3119412.1577668306</v>
      </c>
      <c r="Q130">
        <f t="shared" si="14"/>
        <v>20.700000000000003</v>
      </c>
      <c r="R130">
        <f t="shared" si="15"/>
        <v>0.75</v>
      </c>
      <c r="S130">
        <f>I130+(I130*'1. Cops de calor'!$C$40)</f>
        <v>49.670081658622379</v>
      </c>
      <c r="T130">
        <f>J130*'1. Cops de calor'!$C$41+J130</f>
        <v>442.04654983666586</v>
      </c>
      <c r="U130">
        <f>'1. Cops de calor'!$C$42*K130+K130</f>
        <v>0.78</v>
      </c>
      <c r="V130">
        <f>S130*'1. Cops de calor'!$C$32/30</f>
        <v>711.93783710692082</v>
      </c>
      <c r="W130">
        <f>T130*'1. Cops de calor'!$C$33/30</f>
        <v>2210.2327491833294</v>
      </c>
      <c r="X130">
        <f>K130*'1. Cops de calor'!$C$34/30</f>
        <v>47249.999999999993</v>
      </c>
      <c r="Y130">
        <f t="shared" si="16"/>
        <v>50172.170586290245</v>
      </c>
      <c r="Z130" s="849">
        <f>Y130*(Q130+R130)*'A. Dades de partida'!$D$10</f>
        <v>16142895.88613889</v>
      </c>
      <c r="AA130" s="850">
        <f t="shared" si="17"/>
        <v>13023483.72837206</v>
      </c>
      <c r="AB130" t="str">
        <f>VLOOKUP(B130,'BD ASVICC'!$A$6:$BG$316,59,FALSE)</f>
        <v>LITORAL</v>
      </c>
      <c r="AC130">
        <f t="shared" si="9"/>
        <v>0.5</v>
      </c>
      <c r="AD130">
        <f t="shared" si="10"/>
        <v>0.5</v>
      </c>
    </row>
    <row r="131" spans="1:30">
      <c r="A131">
        <v>8128</v>
      </c>
      <c r="B131" t="s">
        <v>1230</v>
      </c>
      <c r="C131" t="s">
        <v>82</v>
      </c>
      <c r="D131">
        <f>VLOOKUP(A131,'temperatures màximes'!$A$4:$U$314,'temperatures màximes'!U$1,FALSE)</f>
        <v>143</v>
      </c>
      <c r="E131">
        <f>VLOOKUP(A131,'nits tropicals'!$A$4:$U$314,'nits tropicals'!U$1,FALSE)</f>
        <v>2</v>
      </c>
      <c r="F131">
        <f t="shared" si="11"/>
        <v>14.3</v>
      </c>
      <c r="G131">
        <f t="shared" si="12"/>
        <v>0.2</v>
      </c>
      <c r="H131" s="840">
        <f>VLOOKUP(B131,'BD ASVICC'!$A$6:$X$316,24,FALSE)/VLOOKUP(C131,'BD Comarcal'!$A$6:$Z$17,26,FALSE)</f>
        <v>4.0084642248868858E-3</v>
      </c>
      <c r="I131" s="839">
        <f>(VLOOKUP(C131,'BD Altres'!$D$74:$H$84,5,FALSE) * 1000 / 12) * H131*0.035</f>
        <v>11.467808671618867</v>
      </c>
      <c r="J131" s="839">
        <f>(VLOOKUP(C131,'BD Altres'!$D$74:$H$84,3,FALSE) / 12) * H131*0.25</f>
        <v>100.25568849565772</v>
      </c>
      <c r="K131">
        <f>(VLOOKUP(B131,'BD ASVICC'!$A$6:$GR$316,199,FALSE) / 12)*0.3</f>
        <v>0.22499999999999998</v>
      </c>
      <c r="L131" s="846">
        <f>I131*'1. Cops de calor'!$C$32/30</f>
        <v>164.37192429320376</v>
      </c>
      <c r="M131" s="846">
        <f>J131*'1. Cops de calor'!$C$33/30</f>
        <v>501.27844247828858</v>
      </c>
      <c r="N131" s="846">
        <f>K131*'1. Cops de calor'!$C$34*0.25/30</f>
        <v>3543.7499999999991</v>
      </c>
      <c r="O131" s="779">
        <f t="shared" si="13"/>
        <v>61036.305318186627</v>
      </c>
      <c r="P131" s="848">
        <f>O131*'A. Dades de partida'!$D$10</f>
        <v>915544.57977279939</v>
      </c>
      <c r="Q131">
        <f t="shared" si="14"/>
        <v>21.450000000000003</v>
      </c>
      <c r="R131">
        <f t="shared" si="15"/>
        <v>0.30000000000000004</v>
      </c>
      <c r="S131">
        <f>I131+(I131*'1. Cops de calor'!$C$40)</f>
        <v>12.110005957229523</v>
      </c>
      <c r="T131">
        <f>J131*'1. Cops de calor'!$C$41+J131</f>
        <v>107.77486513283205</v>
      </c>
      <c r="U131">
        <f>'1. Cops de calor'!$C$42*K131+K131</f>
        <v>0.23399999999999999</v>
      </c>
      <c r="V131">
        <f>S131*'1. Cops de calor'!$C$32/30</f>
        <v>173.57675205362318</v>
      </c>
      <c r="W131">
        <f>T131*'1. Cops de calor'!$C$33/30</f>
        <v>538.87432566416021</v>
      </c>
      <c r="X131">
        <f>K131*'1. Cops de calor'!$C$34/30</f>
        <v>14174.999999999996</v>
      </c>
      <c r="Y131">
        <f t="shared" si="16"/>
        <v>14887.45107771778</v>
      </c>
      <c r="Z131" s="849">
        <f>Y131*(Q131+R131)*'A. Dades de partida'!$D$10</f>
        <v>4857030.9141054265</v>
      </c>
      <c r="AA131" s="850">
        <f t="shared" si="17"/>
        <v>3941486.3343326272</v>
      </c>
      <c r="AB131" t="str">
        <f>VLOOKUP(B131,'BD ASVICC'!$A$6:$BG$316,59,FALSE)</f>
        <v>CENTRAL</v>
      </c>
      <c r="AC131">
        <f t="shared" si="9"/>
        <v>0.5</v>
      </c>
      <c r="AD131">
        <f t="shared" si="10"/>
        <v>0.5</v>
      </c>
    </row>
    <row r="132" spans="1:30">
      <c r="A132">
        <v>8129</v>
      </c>
      <c r="B132" t="s">
        <v>1233</v>
      </c>
      <c r="C132" t="s">
        <v>88</v>
      </c>
      <c r="D132">
        <f>VLOOKUP(A132,'temperatures màximes'!$A$4:$U$314,'temperatures màximes'!U$1,FALSE)</f>
        <v>4</v>
      </c>
      <c r="E132">
        <f>VLOOKUP(A132,'nits tropicals'!$A$4:$U$314,'nits tropicals'!U$1,FALSE)</f>
        <v>9</v>
      </c>
      <c r="F132">
        <f t="shared" si="11"/>
        <v>0.4</v>
      </c>
      <c r="G132">
        <f t="shared" si="12"/>
        <v>0.9</v>
      </c>
      <c r="H132" s="840">
        <f>VLOOKUP(B132,'BD ASVICC'!$A$6:$X$316,24,FALSE)/VLOOKUP(C132,'BD Comarcal'!$A$6:$Z$17,26,FALSE)</f>
        <v>3.8807255157702661E-3</v>
      </c>
      <c r="I132" s="839">
        <f>(VLOOKUP(C132,'BD Altres'!$D$74:$H$84,5,FALSE) * 1000 / 12) * H132*0.035</f>
        <v>4.3181156207768741</v>
      </c>
      <c r="J132" s="839">
        <f>(VLOOKUP(C132,'BD Altres'!$D$74:$H$84,3,FALSE) / 12) * H132*0.25</f>
        <v>2.762510628090713</v>
      </c>
      <c r="K132">
        <f>(VLOOKUP(B132,'BD ASVICC'!$A$6:$GR$316,199,FALSE) / 12)*0.3</f>
        <v>0.27499999999999997</v>
      </c>
      <c r="L132" s="846">
        <f>I132*'1. Cops de calor'!$C$32/30</f>
        <v>61.892990564468526</v>
      </c>
      <c r="M132" s="846">
        <f>J132*'1. Cops de calor'!$C$33/30</f>
        <v>13.812553140453565</v>
      </c>
      <c r="N132" s="846">
        <f>K132*'1. Cops de calor'!$C$34*0.25/30</f>
        <v>4331.2499999999991</v>
      </c>
      <c r="O132" s="779">
        <f t="shared" si="13"/>
        <v>5729.042206816398</v>
      </c>
      <c r="P132" s="848">
        <f>O132*'A. Dades de partida'!$D$10</f>
        <v>85935.633102245964</v>
      </c>
      <c r="Q132">
        <f t="shared" si="14"/>
        <v>0.60000000000000009</v>
      </c>
      <c r="R132">
        <f t="shared" si="15"/>
        <v>1.35</v>
      </c>
      <c r="S132">
        <f>I132+(I132*'1. Cops de calor'!$C$40)</f>
        <v>4.5599300955403788</v>
      </c>
      <c r="T132">
        <f>J132*'1. Cops de calor'!$C$41+J132</f>
        <v>2.9696989251975165</v>
      </c>
      <c r="U132">
        <f>'1. Cops de calor'!$C$42*K132+K132</f>
        <v>0.28599999999999998</v>
      </c>
      <c r="V132">
        <f>S132*'1. Cops de calor'!$C$32/30</f>
        <v>65.358998036078759</v>
      </c>
      <c r="W132">
        <f>T132*'1. Cops de calor'!$C$33/30</f>
        <v>14.848494625987582</v>
      </c>
      <c r="X132">
        <f>K132*'1. Cops de calor'!$C$34/30</f>
        <v>17324.999999999996</v>
      </c>
      <c r="Y132">
        <f t="shared" si="16"/>
        <v>17405.207492662063</v>
      </c>
      <c r="Z132" s="849">
        <f>Y132*(Q132+R132)*'A. Dades de partida'!$D$10</f>
        <v>509102.31916036538</v>
      </c>
      <c r="AA132" s="850">
        <f t="shared" si="17"/>
        <v>423166.68605811941</v>
      </c>
      <c r="AB132" t="str">
        <f>VLOOKUP(B132,'BD ASVICC'!$A$6:$BG$316,59,FALSE)</f>
        <v>PREPIRINEU-PIRINEU</v>
      </c>
      <c r="AC132">
        <f t="shared" ref="AC132:AC195" si="18">VLOOKUP(AB132,Taulatend,2,FALSE)</f>
        <v>0.5</v>
      </c>
      <c r="AD132">
        <f t="shared" ref="AD132:AD195" si="19">VLOOKUP(AB132,Taulatend,3,FALSE)</f>
        <v>0.5</v>
      </c>
    </row>
    <row r="133" spans="1:30">
      <c r="A133">
        <v>8130</v>
      </c>
      <c r="B133" t="s">
        <v>1237</v>
      </c>
      <c r="C133" t="s">
        <v>84</v>
      </c>
      <c r="D133">
        <f>VLOOKUP(A133,'temperatures màximes'!$A$4:$U$314,'temperatures màximes'!U$1,FALSE)</f>
        <v>11</v>
      </c>
      <c r="E133">
        <f>VLOOKUP(A133,'nits tropicals'!$A$4:$U$314,'nits tropicals'!U$1,FALSE)</f>
        <v>0</v>
      </c>
      <c r="F133">
        <f t="shared" ref="F133:F196" si="20">D133/10</f>
        <v>1.1000000000000001</v>
      </c>
      <c r="G133">
        <f t="shared" ref="G133:G196" si="21">E133/10</f>
        <v>0</v>
      </c>
      <c r="H133" s="840">
        <f>VLOOKUP(B133,'BD ASVICC'!$A$6:$X$316,24,FALSE)/VLOOKUP(C133,'BD Comarcal'!$A$6:$Z$17,26,FALSE)</f>
        <v>3.037418959620195E-3</v>
      </c>
      <c r="I133" s="839">
        <f>(VLOOKUP(C133,'BD Altres'!$D$74:$H$84,5,FALSE) * 1000 / 12) * H133*0.035</f>
        <v>1.9523164977434126</v>
      </c>
      <c r="J133" s="839">
        <f>(VLOOKUP(C133,'BD Altres'!$D$74:$H$84,3,FALSE) / 12) * H133*0.25</f>
        <v>17.067849686671341</v>
      </c>
      <c r="K133">
        <f>(VLOOKUP(B133,'BD ASVICC'!$A$6:$GR$316,199,FALSE) / 12)*0.3</f>
        <v>7.4999999999999997E-2</v>
      </c>
      <c r="L133" s="846">
        <f>I133*'1. Cops de calor'!$C$32/30</f>
        <v>27.983203134322249</v>
      </c>
      <c r="M133" s="846">
        <f>J133*'1. Cops de calor'!$C$33/30</f>
        <v>85.339248433356701</v>
      </c>
      <c r="N133" s="846">
        <f>K133*'1. Cops de calor'!$C$34*0.25/30</f>
        <v>1181.2499999999998</v>
      </c>
      <c r="O133" s="779">
        <f t="shared" ref="O133:O196" si="22">(L133+M133+N133)*(F133+G133)</f>
        <v>1424.0296967244467</v>
      </c>
      <c r="P133" s="848">
        <f>O133*'A. Dades de partida'!$D$10</f>
        <v>21360.4454508667</v>
      </c>
      <c r="Q133">
        <f t="shared" ref="Q133:Q196" si="23">F133*(1+AC133)</f>
        <v>1.6500000000000001</v>
      </c>
      <c r="R133">
        <f t="shared" ref="R133:R196" si="24">G133*(1+AD133)</f>
        <v>0</v>
      </c>
      <c r="S133">
        <f>I133+(I133*'1. Cops de calor'!$C$40)</f>
        <v>2.0616462216170439</v>
      </c>
      <c r="T133">
        <f>J133*'1. Cops de calor'!$C$41+J133</f>
        <v>18.34793841317169</v>
      </c>
      <c r="U133">
        <f>'1. Cops de calor'!$C$42*K133+K133</f>
        <v>7.8E-2</v>
      </c>
      <c r="V133">
        <f>S133*'1. Cops de calor'!$C$32/30</f>
        <v>29.550262509844295</v>
      </c>
      <c r="W133">
        <f>T133*'1. Cops de calor'!$C$33/30</f>
        <v>91.739692065858449</v>
      </c>
      <c r="X133">
        <f>K133*'1. Cops de calor'!$C$34/30</f>
        <v>4724.9999999999991</v>
      </c>
      <c r="Y133">
        <f t="shared" ref="Y133:Y196" si="25">SUM(V133:X133)</f>
        <v>4846.2899545757018</v>
      </c>
      <c r="Z133" s="849">
        <f>Y133*(Q133+R133)*'A. Dades de partida'!$D$10</f>
        <v>119945.67637574862</v>
      </c>
      <c r="AA133" s="850">
        <f t="shared" ref="AA133:AA196" si="26">Z133-P133</f>
        <v>98585.230924881922</v>
      </c>
      <c r="AB133" t="str">
        <f>VLOOKUP(B133,'BD ASVICC'!$A$6:$BG$316,59,FALSE)</f>
        <v>PREPIRINEU-PIRINEU</v>
      </c>
      <c r="AC133">
        <f t="shared" si="18"/>
        <v>0.5</v>
      </c>
      <c r="AD133">
        <f t="shared" si="19"/>
        <v>0.5</v>
      </c>
    </row>
    <row r="134" spans="1:30">
      <c r="A134">
        <v>8131</v>
      </c>
      <c r="B134" t="s">
        <v>1240</v>
      </c>
      <c r="C134" t="s">
        <v>88</v>
      </c>
      <c r="D134">
        <f>VLOOKUP(A134,'temperatures màximes'!$A$4:$U$314,'temperatures màximes'!U$1,FALSE)</f>
        <v>53</v>
      </c>
      <c r="E134">
        <f>VLOOKUP(A134,'nits tropicals'!$A$4:$U$314,'nits tropicals'!U$1,FALSE)</f>
        <v>0</v>
      </c>
      <c r="F134">
        <f t="shared" si="20"/>
        <v>5.3</v>
      </c>
      <c r="G134">
        <f t="shared" si="21"/>
        <v>0</v>
      </c>
      <c r="H134" s="840">
        <f>VLOOKUP(B134,'BD ASVICC'!$A$6:$X$316,24,FALSE)/VLOOKUP(C134,'BD Comarcal'!$A$6:$Z$17,26,FALSE)</f>
        <v>5.9817143297717186E-3</v>
      </c>
      <c r="I134" s="839">
        <f>(VLOOKUP(C134,'BD Altres'!$D$74:$H$84,5,FALSE) * 1000 / 12) * H134*0.035</f>
        <v>6.6559033823564064</v>
      </c>
      <c r="J134" s="839">
        <f>(VLOOKUP(C134,'BD Altres'!$D$74:$H$84,3,FALSE) / 12) * H134*0.25</f>
        <v>4.258108269457705</v>
      </c>
      <c r="K134">
        <f>(VLOOKUP(B134,'BD ASVICC'!$A$6:$GR$316,199,FALSE) / 12)*0.3</f>
        <v>0.39999999999999997</v>
      </c>
      <c r="L134" s="846">
        <f>I134*'1. Cops de calor'!$C$32/30</f>
        <v>95.401281813775157</v>
      </c>
      <c r="M134" s="846">
        <f>J134*'1. Cops de calor'!$C$33/30</f>
        <v>21.290541347288524</v>
      </c>
      <c r="N134" s="846">
        <f>K134*'1. Cops de calor'!$C$34*0.25/30</f>
        <v>6299.9999999999991</v>
      </c>
      <c r="O134" s="779">
        <f t="shared" si="22"/>
        <v>34008.466662753628</v>
      </c>
      <c r="P134" s="848">
        <f>O134*'A. Dades de partida'!$D$10</f>
        <v>510126.99994130444</v>
      </c>
      <c r="Q134">
        <f t="shared" si="23"/>
        <v>7.9499999999999993</v>
      </c>
      <c r="R134">
        <f t="shared" si="24"/>
        <v>0</v>
      </c>
      <c r="S134">
        <f>I134+(I134*'1. Cops de calor'!$C$40)</f>
        <v>7.0286339717683655</v>
      </c>
      <c r="T134">
        <f>J134*'1. Cops de calor'!$C$41+J134</f>
        <v>4.5774663896670331</v>
      </c>
      <c r="U134">
        <f>'1. Cops de calor'!$C$42*K134+K134</f>
        <v>0.41599999999999998</v>
      </c>
      <c r="V134">
        <f>S134*'1. Cops de calor'!$C$32/30</f>
        <v>100.74375359534658</v>
      </c>
      <c r="W134">
        <f>T134*'1. Cops de calor'!$C$33/30</f>
        <v>22.887331948335163</v>
      </c>
      <c r="X134">
        <f>K134*'1. Cops de calor'!$C$34/30</f>
        <v>25199.999999999996</v>
      </c>
      <c r="Y134">
        <f t="shared" si="25"/>
        <v>25323.631085543679</v>
      </c>
      <c r="Z134" s="849">
        <f>Y134*(Q134+R134)*'A. Dades de partida'!$D$10</f>
        <v>3019843.0069510834</v>
      </c>
      <c r="AA134" s="850">
        <f t="shared" si="26"/>
        <v>2509716.0070097791</v>
      </c>
      <c r="AB134" t="str">
        <f>VLOOKUP(B134,'BD ASVICC'!$A$6:$BG$316,59,FALSE)</f>
        <v>PREPIRINEU-PIRINEU</v>
      </c>
      <c r="AC134">
        <f t="shared" si="18"/>
        <v>0.5</v>
      </c>
      <c r="AD134">
        <f t="shared" si="19"/>
        <v>0.5</v>
      </c>
    </row>
    <row r="135" spans="1:30">
      <c r="A135">
        <v>8132</v>
      </c>
      <c r="B135" t="s">
        <v>1245</v>
      </c>
      <c r="C135" t="s">
        <v>84</v>
      </c>
      <c r="D135">
        <f>VLOOKUP(A135,'temperatures màximes'!$A$4:$U$314,'temperatures màximes'!U$1,FALSE)</f>
        <v>11</v>
      </c>
      <c r="E135">
        <f>VLOOKUP(A135,'nits tropicals'!$A$4:$U$314,'nits tropicals'!U$1,FALSE)</f>
        <v>0</v>
      </c>
      <c r="F135">
        <f t="shared" si="20"/>
        <v>1.1000000000000001</v>
      </c>
      <c r="G135">
        <f t="shared" si="21"/>
        <v>0</v>
      </c>
      <c r="H135" s="840">
        <f>VLOOKUP(B135,'BD ASVICC'!$A$6:$X$316,24,FALSE)/VLOOKUP(C135,'BD Comarcal'!$A$6:$Z$17,26,FALSE)</f>
        <v>1.2022053193118587E-2</v>
      </c>
      <c r="I135" s="839">
        <f>(VLOOKUP(C135,'BD Altres'!$D$74:$H$84,5,FALSE) * 1000 / 12) * H135*0.035</f>
        <v>7.727235886026449</v>
      </c>
      <c r="J135" s="839">
        <f>(VLOOKUP(C135,'BD Altres'!$D$74:$H$84,3,FALSE) / 12) * H135*0.25</f>
        <v>67.554262205228582</v>
      </c>
      <c r="K135">
        <f>(VLOOKUP(B135,'BD ASVICC'!$A$6:$GR$316,199,FALSE) / 12)*0.3</f>
        <v>7.4999999999999997E-2</v>
      </c>
      <c r="L135" s="846">
        <f>I135*'1. Cops de calor'!$C$32/30</f>
        <v>110.75704769971244</v>
      </c>
      <c r="M135" s="846">
        <f>J135*'1. Cops de calor'!$C$33/30</f>
        <v>337.77131102614294</v>
      </c>
      <c r="N135" s="846">
        <f>K135*'1. Cops de calor'!$C$34*0.25/30</f>
        <v>1181.2499999999998</v>
      </c>
      <c r="O135" s="779">
        <f t="shared" si="22"/>
        <v>1792.7561945984407</v>
      </c>
      <c r="P135" s="848">
        <f>O135*'A. Dades de partida'!$D$10</f>
        <v>26891.34291897661</v>
      </c>
      <c r="Q135">
        <f t="shared" si="23"/>
        <v>1.6500000000000001</v>
      </c>
      <c r="R135">
        <f t="shared" si="24"/>
        <v>0</v>
      </c>
      <c r="S135">
        <f>I135+(I135*'1. Cops de calor'!$C$40)</f>
        <v>8.1599610956439292</v>
      </c>
      <c r="T135">
        <f>J135*'1. Cops de calor'!$C$41+J135</f>
        <v>72.620831870620719</v>
      </c>
      <c r="U135">
        <f>'1. Cops de calor'!$C$42*K135+K135</f>
        <v>7.8E-2</v>
      </c>
      <c r="V135">
        <f>S135*'1. Cops de calor'!$C$32/30</f>
        <v>116.95944237089633</v>
      </c>
      <c r="W135">
        <f>T135*'1. Cops de calor'!$C$33/30</f>
        <v>363.10415935310357</v>
      </c>
      <c r="X135">
        <f>K135*'1. Cops de calor'!$C$34/30</f>
        <v>4724.9999999999991</v>
      </c>
      <c r="Y135">
        <f t="shared" si="25"/>
        <v>5205.0636017239995</v>
      </c>
      <c r="Z135" s="849">
        <f>Y135*(Q135+R135)*'A. Dades de partida'!$D$10</f>
        <v>128825.32414266901</v>
      </c>
      <c r="AA135" s="850">
        <f t="shared" si="26"/>
        <v>101933.98122369239</v>
      </c>
      <c r="AB135" t="str">
        <f>VLOOKUP(B135,'BD ASVICC'!$A$6:$BG$316,59,FALSE)</f>
        <v>PREPIRINEU-PIRINEU</v>
      </c>
      <c r="AC135">
        <f t="shared" si="18"/>
        <v>0.5</v>
      </c>
      <c r="AD135">
        <f t="shared" si="19"/>
        <v>0.5</v>
      </c>
    </row>
    <row r="136" spans="1:30">
      <c r="A136">
        <v>8133</v>
      </c>
      <c r="B136" t="s">
        <v>1249</v>
      </c>
      <c r="C136" t="s">
        <v>81</v>
      </c>
      <c r="D136">
        <f>VLOOKUP(A136,'temperatures màximes'!$A$4:$U$314,'temperatures màximes'!U$1,FALSE)</f>
        <v>77</v>
      </c>
      <c r="E136">
        <f>VLOOKUP(A136,'nits tropicals'!$A$4:$U$314,'nits tropicals'!U$1,FALSE)</f>
        <v>2</v>
      </c>
      <c r="F136">
        <f t="shared" si="20"/>
        <v>7.7</v>
      </c>
      <c r="G136">
        <f t="shared" si="21"/>
        <v>0.2</v>
      </c>
      <c r="H136" s="840">
        <f>VLOOKUP(B136,'BD ASVICC'!$A$6:$X$316,24,FALSE)/VLOOKUP(C136,'BD Comarcal'!$A$6:$Z$17,26,FALSE)</f>
        <v>1.2850626361655773E-3</v>
      </c>
      <c r="I136" s="839">
        <f>(VLOOKUP(C136,'BD Altres'!$D$74:$H$84,5,FALSE) * 1000 / 12) * H136*0.035</f>
        <v>1.0719801854911946</v>
      </c>
      <c r="J136" s="839">
        <f>(VLOOKUP(C136,'BD Altres'!$D$74:$H$84,3,FALSE) / 12) * H136*0.25</f>
        <v>0.51770228195649126</v>
      </c>
      <c r="K136">
        <f>(VLOOKUP(B136,'BD ASVICC'!$A$6:$GR$316,199,FALSE) / 12)*0.3</f>
        <v>9.9999999999999992E-2</v>
      </c>
      <c r="L136" s="846">
        <f>I136*'1. Cops de calor'!$C$32/30</f>
        <v>15.365049325373787</v>
      </c>
      <c r="M136" s="846">
        <f>J136*'1. Cops de calor'!$C$33/30</f>
        <v>2.5885114097824564</v>
      </c>
      <c r="N136" s="846">
        <f>K136*'1. Cops de calor'!$C$34*0.25/30</f>
        <v>1574.9999999999998</v>
      </c>
      <c r="O136" s="779">
        <f t="shared" si="22"/>
        <v>12584.333129807734</v>
      </c>
      <c r="P136" s="848">
        <f>O136*'A. Dades de partida'!$D$10</f>
        <v>188764.99694711601</v>
      </c>
      <c r="Q136">
        <f t="shared" si="23"/>
        <v>11.55</v>
      </c>
      <c r="R136">
        <f t="shared" si="24"/>
        <v>0.30000000000000004</v>
      </c>
      <c r="S136">
        <f>I136+(I136*'1. Cops de calor'!$C$40)</f>
        <v>1.1320110758787014</v>
      </c>
      <c r="T136">
        <f>J136*'1. Cops de calor'!$C$41+J136</f>
        <v>0.55652995310322806</v>
      </c>
      <c r="U136">
        <f>'1. Cops de calor'!$C$42*K136+K136</f>
        <v>0.104</v>
      </c>
      <c r="V136">
        <f>S136*'1. Cops de calor'!$C$32/30</f>
        <v>16.22549208759472</v>
      </c>
      <c r="W136">
        <f>T136*'1. Cops de calor'!$C$33/30</f>
        <v>2.7826497655161404</v>
      </c>
      <c r="X136">
        <f>K136*'1. Cops de calor'!$C$34/30</f>
        <v>6299.9999999999991</v>
      </c>
      <c r="Y136">
        <f t="shared" si="25"/>
        <v>6319.0081418531099</v>
      </c>
      <c r="Z136" s="849">
        <f>Y136*(Q136+R136)*'A. Dades de partida'!$D$10</f>
        <v>1123203.6972143904</v>
      </c>
      <c r="AA136" s="850">
        <f t="shared" si="26"/>
        <v>934438.7002672744</v>
      </c>
      <c r="AB136" t="str">
        <f>VLOOKUP(B136,'BD ASVICC'!$A$6:$BG$316,59,FALSE)</f>
        <v>PREPIRINEU-PIRINEU</v>
      </c>
      <c r="AC136">
        <f t="shared" si="18"/>
        <v>0.5</v>
      </c>
      <c r="AD136">
        <f t="shared" si="19"/>
        <v>0.5</v>
      </c>
    </row>
    <row r="137" spans="1:30">
      <c r="A137">
        <v>8134</v>
      </c>
      <c r="B137" t="s">
        <v>1253</v>
      </c>
      <c r="C137" t="s">
        <v>24</v>
      </c>
      <c r="D137">
        <f>VLOOKUP(A137,'temperatures màximes'!$A$4:$U$314,'temperatures màximes'!U$1,FALSE)</f>
        <v>42</v>
      </c>
      <c r="E137">
        <f>VLOOKUP(A137,'nits tropicals'!$A$4:$U$314,'nits tropicals'!U$1,FALSE)</f>
        <v>8</v>
      </c>
      <c r="F137">
        <f t="shared" si="20"/>
        <v>4.2</v>
      </c>
      <c r="G137">
        <f t="shared" si="21"/>
        <v>0.8</v>
      </c>
      <c r="H137" s="840">
        <f>VLOOKUP(B137,'BD ASVICC'!$A$6:$X$316,24,FALSE)/VLOOKUP(C137,'BD Comarcal'!$A$6:$Z$17,26,FALSE)</f>
        <v>2.7208985942023928E-3</v>
      </c>
      <c r="I137" s="839">
        <f>(VLOOKUP(C137,'BD Altres'!$D$74:$H$84,5,FALSE) * 1000 / 12) * H137*0.035</f>
        <v>19.255341622134505</v>
      </c>
      <c r="J137" s="839">
        <f>(VLOOKUP(C137,'BD Altres'!$D$74:$H$84,3,FALSE) / 12) * H137*0.25</f>
        <v>4.32899017535635</v>
      </c>
      <c r="K137">
        <f>(VLOOKUP(B137,'BD ASVICC'!$A$6:$GR$316,199,FALSE) / 12)*0.3</f>
        <v>0.42499999999999999</v>
      </c>
      <c r="L137" s="846">
        <f>I137*'1. Cops de calor'!$C$32/30</f>
        <v>275.99322991726126</v>
      </c>
      <c r="M137" s="846">
        <f>J137*'1. Cops de calor'!$C$33/30</f>
        <v>21.644950876781749</v>
      </c>
      <c r="N137" s="846">
        <f>K137*'1. Cops de calor'!$C$34*0.25/30</f>
        <v>6693.7499999999991</v>
      </c>
      <c r="O137" s="779">
        <f t="shared" si="22"/>
        <v>34956.940903970215</v>
      </c>
      <c r="P137" s="848">
        <f>O137*'A. Dades de partida'!$D$10</f>
        <v>524354.11355955317</v>
      </c>
      <c r="Q137">
        <f t="shared" si="23"/>
        <v>6.3000000000000007</v>
      </c>
      <c r="R137">
        <f t="shared" si="24"/>
        <v>1.2000000000000002</v>
      </c>
      <c r="S137">
        <f>I137+(I137*'1. Cops de calor'!$C$40)</f>
        <v>20.333640752974038</v>
      </c>
      <c r="T137">
        <f>J137*'1. Cops de calor'!$C$41+J137</f>
        <v>4.6536644385080761</v>
      </c>
      <c r="U137">
        <f>'1. Cops de calor'!$C$42*K137+K137</f>
        <v>0.442</v>
      </c>
      <c r="V137">
        <f>S137*'1. Cops de calor'!$C$32/30</f>
        <v>291.44885079262787</v>
      </c>
      <c r="W137">
        <f>T137*'1. Cops de calor'!$C$33/30</f>
        <v>23.268322192540381</v>
      </c>
      <c r="X137">
        <f>K137*'1. Cops de calor'!$C$34/30</f>
        <v>26774.999999999996</v>
      </c>
      <c r="Y137">
        <f t="shared" si="25"/>
        <v>27089.717172985165</v>
      </c>
      <c r="Z137" s="849">
        <f>Y137*(Q137+R137)*'A. Dades de partida'!$D$10</f>
        <v>3047593.1819608314</v>
      </c>
      <c r="AA137" s="850">
        <f t="shared" si="26"/>
        <v>2523239.068401278</v>
      </c>
      <c r="AB137" t="str">
        <f>VLOOKUP(B137,'BD ASVICC'!$A$6:$BG$316,59,FALSE)</f>
        <v>CENTRAL</v>
      </c>
      <c r="AC137">
        <f t="shared" si="18"/>
        <v>0.5</v>
      </c>
      <c r="AD137">
        <f t="shared" si="19"/>
        <v>0.5</v>
      </c>
    </row>
    <row r="138" spans="1:30">
      <c r="A138">
        <v>8135</v>
      </c>
      <c r="B138" t="s">
        <v>1255</v>
      </c>
      <c r="C138" t="s">
        <v>24</v>
      </c>
      <c r="D138">
        <f>VLOOKUP(A138,'temperatures màximes'!$A$4:$U$314,'temperatures màximes'!U$1,FALSE)</f>
        <v>39</v>
      </c>
      <c r="E138">
        <f>VLOOKUP(A138,'nits tropicals'!$A$4:$U$314,'nits tropicals'!U$1,FALSE)</f>
        <v>2</v>
      </c>
      <c r="F138">
        <f t="shared" si="20"/>
        <v>3.9</v>
      </c>
      <c r="G138">
        <f t="shared" si="21"/>
        <v>0.2</v>
      </c>
      <c r="H138" s="840">
        <f>VLOOKUP(B138,'BD ASVICC'!$A$6:$X$316,24,FALSE)/VLOOKUP(C138,'BD Comarcal'!$A$6:$Z$17,26,FALSE)</f>
        <v>2.1886788691825844E-2</v>
      </c>
      <c r="I138" s="839">
        <f>(VLOOKUP(C138,'BD Altres'!$D$74:$H$84,5,FALSE) * 1000 / 12) * H138*0.035</f>
        <v>154.88912161980724</v>
      </c>
      <c r="J138" s="839">
        <f>(VLOOKUP(C138,'BD Altres'!$D$74:$H$84,3,FALSE) / 12) * H138*0.25</f>
        <v>34.822206685284051</v>
      </c>
      <c r="K138">
        <f>(VLOOKUP(B138,'BD ASVICC'!$A$6:$GR$316,199,FALSE) / 12)*0.3</f>
        <v>2.0499999999999998</v>
      </c>
      <c r="L138" s="846">
        <f>I138*'1. Cops de calor'!$C$32/30</f>
        <v>2220.0774098839038</v>
      </c>
      <c r="M138" s="846">
        <f>J138*'1. Cops de calor'!$C$33/30</f>
        <v>174.11103342642025</v>
      </c>
      <c r="N138" s="846">
        <f>K138*'1. Cops de calor'!$C$34*0.25/30</f>
        <v>32287.499999999993</v>
      </c>
      <c r="O138" s="779">
        <f t="shared" si="22"/>
        <v>142194.9226175723</v>
      </c>
      <c r="P138" s="848">
        <f>O138*'A. Dades de partida'!$D$10</f>
        <v>2132923.8392635845</v>
      </c>
      <c r="Q138">
        <f t="shared" si="23"/>
        <v>5.85</v>
      </c>
      <c r="R138">
        <f t="shared" si="24"/>
        <v>0.30000000000000004</v>
      </c>
      <c r="S138">
        <f>I138+(I138*'1. Cops de calor'!$C$40)</f>
        <v>163.56291243051643</v>
      </c>
      <c r="T138">
        <f>J138*'1. Cops de calor'!$C$41+J138</f>
        <v>37.433872186680354</v>
      </c>
      <c r="U138">
        <f>'1. Cops de calor'!$C$42*K138+K138</f>
        <v>2.1319999999999997</v>
      </c>
      <c r="V138">
        <f>S138*'1. Cops de calor'!$C$32/30</f>
        <v>2344.401744837402</v>
      </c>
      <c r="W138">
        <f>T138*'1. Cops de calor'!$C$33/30</f>
        <v>187.16936093340175</v>
      </c>
      <c r="X138">
        <f>K138*'1. Cops de calor'!$C$34/30</f>
        <v>129149.99999999997</v>
      </c>
      <c r="Y138">
        <f t="shared" si="25"/>
        <v>131681.57110577077</v>
      </c>
      <c r="Z138" s="849">
        <f>Y138*(Q138+R138)*'A. Dades de partida'!$D$10</f>
        <v>12147624.934507353</v>
      </c>
      <c r="AA138" s="850">
        <f t="shared" si="26"/>
        <v>10014701.095243769</v>
      </c>
      <c r="AB138" t="str">
        <f>VLOOKUP(B138,'BD ASVICC'!$A$6:$BG$316,59,FALSE)</f>
        <v>LITORAL</v>
      </c>
      <c r="AC138">
        <f t="shared" si="18"/>
        <v>0.5</v>
      </c>
      <c r="AD138">
        <f t="shared" si="19"/>
        <v>0.5</v>
      </c>
    </row>
    <row r="139" spans="1:30">
      <c r="A139">
        <v>8136</v>
      </c>
      <c r="B139" t="s">
        <v>1256</v>
      </c>
      <c r="C139" t="s">
        <v>24</v>
      </c>
      <c r="D139">
        <f>VLOOKUP(A139,'temperatures màximes'!$A$4:$U$314,'temperatures màximes'!U$1,FALSE)</f>
        <v>39</v>
      </c>
      <c r="E139">
        <f>VLOOKUP(A139,'nits tropicals'!$A$4:$U$314,'nits tropicals'!U$1,FALSE)</f>
        <v>2</v>
      </c>
      <c r="F139">
        <f t="shared" si="20"/>
        <v>3.9</v>
      </c>
      <c r="G139">
        <f t="shared" si="21"/>
        <v>0.2</v>
      </c>
      <c r="H139" s="840">
        <f>VLOOKUP(B139,'BD ASVICC'!$A$6:$X$316,24,FALSE)/VLOOKUP(C139,'BD Comarcal'!$A$6:$Z$17,26,FALSE)</f>
        <v>4.0409829121588289E-2</v>
      </c>
      <c r="I139" s="839">
        <f>(VLOOKUP(C139,'BD Altres'!$D$74:$H$84,5,FALSE) * 1000 / 12) * H139*0.035</f>
        <v>285.97356266279991</v>
      </c>
      <c r="J139" s="839">
        <f>(VLOOKUP(C139,'BD Altres'!$D$74:$H$84,3,FALSE) / 12) * H139*0.25</f>
        <v>64.292639802133053</v>
      </c>
      <c r="K139">
        <f>(VLOOKUP(B139,'BD ASVICC'!$A$6:$GR$316,199,FALSE) / 12)*0.3</f>
        <v>1.7750000000000001</v>
      </c>
      <c r="L139" s="846">
        <f>I139*'1. Cops de calor'!$C$32/30</f>
        <v>4098.9543981667985</v>
      </c>
      <c r="M139" s="846">
        <f>J139*'1. Cops de calor'!$C$33/30</f>
        <v>321.46319901066528</v>
      </c>
      <c r="N139" s="846">
        <f>K139*'1. Cops de calor'!$C$34*0.25/30</f>
        <v>27956.25</v>
      </c>
      <c r="O139" s="779">
        <f t="shared" si="22"/>
        <v>132744.33714842758</v>
      </c>
      <c r="P139" s="848">
        <f>O139*'A. Dades de partida'!$D$10</f>
        <v>1991165.0572264139</v>
      </c>
      <c r="Q139">
        <f t="shared" si="23"/>
        <v>5.85</v>
      </c>
      <c r="R139">
        <f t="shared" si="24"/>
        <v>0.30000000000000004</v>
      </c>
      <c r="S139">
        <f>I139+(I139*'1. Cops de calor'!$C$40)</f>
        <v>301.98808217191669</v>
      </c>
      <c r="T139">
        <f>J139*'1. Cops de calor'!$C$41+J139</f>
        <v>69.114587787293033</v>
      </c>
      <c r="U139">
        <f>'1. Cops de calor'!$C$42*K139+K139</f>
        <v>1.8460000000000001</v>
      </c>
      <c r="V139">
        <f>S139*'1. Cops de calor'!$C$32/30</f>
        <v>4328.4958444641397</v>
      </c>
      <c r="W139">
        <f>T139*'1. Cops de calor'!$C$33/30</f>
        <v>345.57293893646516</v>
      </c>
      <c r="X139">
        <f>K139*'1. Cops de calor'!$C$34/30</f>
        <v>111825</v>
      </c>
      <c r="Y139">
        <f t="shared" si="25"/>
        <v>116499.06878340061</v>
      </c>
      <c r="Z139" s="849">
        <f>Y139*(Q139+R139)*'A. Dades de partida'!$D$10</f>
        <v>10747039.095268706</v>
      </c>
      <c r="AA139" s="850">
        <f t="shared" si="26"/>
        <v>8755874.038042292</v>
      </c>
      <c r="AB139" t="str">
        <f>VLOOKUP(B139,'BD ASVICC'!$A$6:$BG$316,59,FALSE)</f>
        <v>LITORAL</v>
      </c>
      <c r="AC139">
        <f t="shared" si="18"/>
        <v>0.5</v>
      </c>
      <c r="AD139">
        <f t="shared" si="19"/>
        <v>0.5</v>
      </c>
    </row>
    <row r="140" spans="1:30">
      <c r="A140">
        <v>8137</v>
      </c>
      <c r="B140" t="s">
        <v>1258</v>
      </c>
      <c r="C140" t="s">
        <v>24</v>
      </c>
      <c r="D140">
        <f>VLOOKUP(A140,'temperatures màximes'!$A$4:$U$314,'temperatures màximes'!U$1,FALSE)</f>
        <v>42</v>
      </c>
      <c r="E140">
        <f>VLOOKUP(A140,'nits tropicals'!$A$4:$U$314,'nits tropicals'!U$1,FALSE)</f>
        <v>8</v>
      </c>
      <c r="F140">
        <f t="shared" si="20"/>
        <v>4.2</v>
      </c>
      <c r="G140">
        <f t="shared" si="21"/>
        <v>0.8</v>
      </c>
      <c r="H140" s="840">
        <f>VLOOKUP(B140,'BD ASVICC'!$A$6:$X$316,24,FALSE)/VLOOKUP(C140,'BD Comarcal'!$A$6:$Z$17,26,FALSE)</f>
        <v>7.973329213779906E-4</v>
      </c>
      <c r="I140" s="839">
        <f>(VLOOKUP(C140,'BD Altres'!$D$74:$H$84,5,FALSE) * 1000 / 12) * H140*0.035</f>
        <v>5.6425909515412478</v>
      </c>
      <c r="J140" s="839">
        <f>(VLOOKUP(C140,'BD Altres'!$D$74:$H$84,3,FALSE) / 12) * H140*0.25</f>
        <v>1.2685685495549746</v>
      </c>
      <c r="K140">
        <f>(VLOOKUP(B140,'BD ASVICC'!$A$6:$GR$316,199,FALSE) / 12)*0.3</f>
        <v>0.17500000000000002</v>
      </c>
      <c r="L140" s="846">
        <f>I140*'1. Cops de calor'!$C$32/30</f>
        <v>80.877136972091222</v>
      </c>
      <c r="M140" s="846">
        <f>J140*'1. Cops de calor'!$C$33/30</f>
        <v>6.3428427477748723</v>
      </c>
      <c r="N140" s="846">
        <f>K140*'1. Cops de calor'!$C$34*0.25/30</f>
        <v>2756.25</v>
      </c>
      <c r="O140" s="779">
        <f t="shared" si="22"/>
        <v>14217.34989859933</v>
      </c>
      <c r="P140" s="848">
        <f>O140*'A. Dades de partida'!$D$10</f>
        <v>213260.24847898996</v>
      </c>
      <c r="Q140">
        <f t="shared" si="23"/>
        <v>6.3000000000000007</v>
      </c>
      <c r="R140">
        <f t="shared" si="24"/>
        <v>1.2000000000000002</v>
      </c>
      <c r="S140">
        <f>I140+(I140*'1. Cops de calor'!$C$40)</f>
        <v>5.9585760448275575</v>
      </c>
      <c r="T140">
        <f>J140*'1. Cops de calor'!$C$41+J140</f>
        <v>1.3637111907715977</v>
      </c>
      <c r="U140">
        <f>'1. Cops de calor'!$C$42*K140+K140</f>
        <v>0.18200000000000002</v>
      </c>
      <c r="V140">
        <f>S140*'1. Cops de calor'!$C$32/30</f>
        <v>85.406256642528334</v>
      </c>
      <c r="W140">
        <f>T140*'1. Cops de calor'!$C$33/30</f>
        <v>6.818555953857989</v>
      </c>
      <c r="X140">
        <f>K140*'1. Cops de calor'!$C$34/30</f>
        <v>11025</v>
      </c>
      <c r="Y140">
        <f t="shared" si="25"/>
        <v>11117.224812596387</v>
      </c>
      <c r="Z140" s="849">
        <f>Y140*(Q140+R140)*'A. Dades de partida'!$D$10</f>
        <v>1250687.7914170937</v>
      </c>
      <c r="AA140" s="850">
        <f t="shared" si="26"/>
        <v>1037427.5429381038</v>
      </c>
      <c r="AB140" t="str">
        <f>VLOOKUP(B140,'BD ASVICC'!$A$6:$BG$316,59,FALSE)</f>
        <v>CENTRAL</v>
      </c>
      <c r="AC140">
        <f t="shared" si="18"/>
        <v>0.5</v>
      </c>
      <c r="AD140">
        <f t="shared" si="19"/>
        <v>0.5</v>
      </c>
    </row>
    <row r="141" spans="1:30">
      <c r="A141">
        <v>8138</v>
      </c>
      <c r="B141" t="s">
        <v>1260</v>
      </c>
      <c r="C141" t="s">
        <v>82</v>
      </c>
      <c r="D141">
        <f>VLOOKUP(A141,'temperatures màximes'!$A$4:$U$314,'temperatures màximes'!U$1,FALSE)</f>
        <v>4</v>
      </c>
      <c r="E141">
        <f>VLOOKUP(A141,'nits tropicals'!$A$4:$U$314,'nits tropicals'!U$1,FALSE)</f>
        <v>9</v>
      </c>
      <c r="F141">
        <f t="shared" si="20"/>
        <v>0.4</v>
      </c>
      <c r="G141">
        <f t="shared" si="21"/>
        <v>0.9</v>
      </c>
      <c r="H141" s="840">
        <f>VLOOKUP(B141,'BD ASVICC'!$A$6:$X$316,24,FALSE)/VLOOKUP(C141,'BD Comarcal'!$A$6:$Z$17,26,FALSE)</f>
        <v>3.4160831741990243E-2</v>
      </c>
      <c r="I141" s="839">
        <f>(VLOOKUP(C141,'BD Altres'!$D$74:$H$84,5,FALSE) * 1000 / 12) * H141*0.035</f>
        <v>97.730667034096712</v>
      </c>
      <c r="J141" s="839">
        <f>(VLOOKUP(C141,'BD Altres'!$D$74:$H$84,3,FALSE) / 12) * H141*0.25</f>
        <v>854.39647549160668</v>
      </c>
      <c r="K141">
        <f>(VLOOKUP(B141,'BD ASVICC'!$A$6:$GR$316,199,FALSE) / 12)*0.3</f>
        <v>1.0249999999999999</v>
      </c>
      <c r="L141" s="846">
        <f>I141*'1. Cops de calor'!$C$32/30</f>
        <v>1400.8062274887195</v>
      </c>
      <c r="M141" s="846">
        <f>J141*'1. Cops de calor'!$C$33/30</f>
        <v>4271.9823774580336</v>
      </c>
      <c r="N141" s="846">
        <f>K141*'1. Cops de calor'!$C$34*0.25/30</f>
        <v>16143.749999999996</v>
      </c>
      <c r="O141" s="779">
        <f t="shared" si="22"/>
        <v>28361.500186430774</v>
      </c>
      <c r="P141" s="848">
        <f>O141*'A. Dades de partida'!$D$10</f>
        <v>425422.50279646163</v>
      </c>
      <c r="Q141">
        <f t="shared" si="23"/>
        <v>0.60000000000000009</v>
      </c>
      <c r="R141">
        <f t="shared" si="24"/>
        <v>1.35</v>
      </c>
      <c r="S141">
        <f>I141+(I141*'1. Cops de calor'!$C$40)</f>
        <v>103.20358438800612</v>
      </c>
      <c r="T141">
        <f>J141*'1. Cops de calor'!$C$41+J141</f>
        <v>918.47621115347715</v>
      </c>
      <c r="U141">
        <f>'1. Cops de calor'!$C$42*K141+K141</f>
        <v>1.0659999999999998</v>
      </c>
      <c r="V141">
        <f>S141*'1. Cops de calor'!$C$32/30</f>
        <v>1479.2513762280876</v>
      </c>
      <c r="W141">
        <f>T141*'1. Cops de calor'!$C$33/30</f>
        <v>4592.381055767386</v>
      </c>
      <c r="X141">
        <f>K141*'1. Cops de calor'!$C$34/30</f>
        <v>64574.999999999985</v>
      </c>
      <c r="Y141">
        <f t="shared" si="25"/>
        <v>70646.632431995458</v>
      </c>
      <c r="Z141" s="849">
        <f>Y141*(Q141+R141)*'A. Dades de partida'!$D$10</f>
        <v>2066413.9986358674</v>
      </c>
      <c r="AA141" s="850">
        <f t="shared" si="26"/>
        <v>1640991.4958394058</v>
      </c>
      <c r="AB141" t="str">
        <f>VLOOKUP(B141,'BD ASVICC'!$A$6:$BG$316,59,FALSE)</f>
        <v>PREPIRINEU-PIRINEU</v>
      </c>
      <c r="AC141">
        <f t="shared" si="18"/>
        <v>0.5</v>
      </c>
      <c r="AD141">
        <f t="shared" si="19"/>
        <v>0.5</v>
      </c>
    </row>
    <row r="142" spans="1:30">
      <c r="A142">
        <v>8139</v>
      </c>
      <c r="B142" t="s">
        <v>1263</v>
      </c>
      <c r="C142" t="s">
        <v>82</v>
      </c>
      <c r="D142">
        <f>VLOOKUP(A142,'temperatures màximes'!$A$4:$U$314,'temperatures màximes'!U$1,FALSE)</f>
        <v>30</v>
      </c>
      <c r="E142">
        <f>VLOOKUP(A142,'nits tropicals'!$A$4:$U$314,'nits tropicals'!U$1,FALSE)</f>
        <v>0</v>
      </c>
      <c r="F142">
        <f t="shared" si="20"/>
        <v>3</v>
      </c>
      <c r="G142">
        <f t="shared" si="21"/>
        <v>0</v>
      </c>
      <c r="H142" s="840">
        <f>VLOOKUP(B142,'BD ASVICC'!$A$6:$X$316,24,FALSE)/VLOOKUP(C142,'BD Comarcal'!$A$6:$Z$17,26,FALSE)</f>
        <v>1.255870765737093E-3</v>
      </c>
      <c r="I142" s="839">
        <f>(VLOOKUP(C142,'BD Altres'!$D$74:$H$84,5,FALSE) * 1000 / 12) * H142*0.035</f>
        <v>3.5929185966874559</v>
      </c>
      <c r="J142" s="839">
        <f>(VLOOKUP(C142,'BD Altres'!$D$74:$H$84,3,FALSE) / 12) * H142*0.25</f>
        <v>31.410580515806924</v>
      </c>
      <c r="K142">
        <f>(VLOOKUP(B142,'BD ASVICC'!$A$6:$GR$316,199,FALSE) / 12)*0.3</f>
        <v>2.4999999999999998E-2</v>
      </c>
      <c r="L142" s="846">
        <f>I142*'1. Cops de calor'!$C$32/30</f>
        <v>51.498499885853533</v>
      </c>
      <c r="M142" s="846">
        <f>J142*'1. Cops de calor'!$C$33/30</f>
        <v>157.05290257903462</v>
      </c>
      <c r="N142" s="846">
        <f>K142*'1. Cops de calor'!$C$34*0.25/30</f>
        <v>393.74999999999994</v>
      </c>
      <c r="O142" s="779">
        <f t="shared" si="22"/>
        <v>1806.9042073946641</v>
      </c>
      <c r="P142" s="848">
        <f>O142*'A. Dades de partida'!$D$10</f>
        <v>27103.56311091996</v>
      </c>
      <c r="Q142">
        <f t="shared" si="23"/>
        <v>4.5</v>
      </c>
      <c r="R142">
        <f t="shared" si="24"/>
        <v>0</v>
      </c>
      <c r="S142">
        <f>I142+(I142*'1. Cops de calor'!$C$40)</f>
        <v>3.7941220381019534</v>
      </c>
      <c r="T142">
        <f>J142*'1. Cops de calor'!$C$41+J142</f>
        <v>33.766374054492445</v>
      </c>
      <c r="U142">
        <f>'1. Cops de calor'!$C$42*K142+K142</f>
        <v>2.5999999999999999E-2</v>
      </c>
      <c r="V142">
        <f>S142*'1. Cops de calor'!$C$32/30</f>
        <v>54.382415879461327</v>
      </c>
      <c r="W142">
        <f>T142*'1. Cops de calor'!$C$33/30</f>
        <v>168.83187027246223</v>
      </c>
      <c r="X142">
        <f>K142*'1. Cops de calor'!$C$34/30</f>
        <v>1574.9999999999998</v>
      </c>
      <c r="Y142">
        <f t="shared" si="25"/>
        <v>1798.2142861519233</v>
      </c>
      <c r="Z142" s="849">
        <f>Y142*(Q142+R142)*'A. Dades de partida'!$D$10</f>
        <v>121379.46431525482</v>
      </c>
      <c r="AA142" s="850">
        <f t="shared" si="26"/>
        <v>94275.901204334863</v>
      </c>
      <c r="AB142" t="str">
        <f>VLOOKUP(B142,'BD ASVICC'!$A$6:$BG$316,59,FALSE)</f>
        <v>CENTRAL</v>
      </c>
      <c r="AC142">
        <f t="shared" si="18"/>
        <v>0.5</v>
      </c>
      <c r="AD142">
        <f t="shared" si="19"/>
        <v>0.5</v>
      </c>
    </row>
    <row r="143" spans="1:30">
      <c r="A143">
        <v>8140</v>
      </c>
      <c r="B143" t="s">
        <v>1268</v>
      </c>
      <c r="C143" t="s">
        <v>82</v>
      </c>
      <c r="D143">
        <f>VLOOKUP(A143,'temperatures màximes'!$A$4:$U$314,'temperatures màximes'!U$1,FALSE)</f>
        <v>143</v>
      </c>
      <c r="E143">
        <f>VLOOKUP(A143,'nits tropicals'!$A$4:$U$314,'nits tropicals'!U$1,FALSE)</f>
        <v>2</v>
      </c>
      <c r="F143">
        <f t="shared" si="20"/>
        <v>14.3</v>
      </c>
      <c r="G143">
        <f t="shared" si="21"/>
        <v>0.2</v>
      </c>
      <c r="H143" s="840">
        <f>VLOOKUP(B143,'BD ASVICC'!$A$6:$X$316,24,FALSE)/VLOOKUP(C143,'BD Comarcal'!$A$6:$Z$17,26,FALSE)</f>
        <v>3.4338603402893665E-2</v>
      </c>
      <c r="I143" s="839">
        <f>(VLOOKUP(C143,'BD Altres'!$D$74:$H$84,5,FALSE) * 1000 / 12) * H143*0.035</f>
        <v>98.239253684769352</v>
      </c>
      <c r="J143" s="839">
        <f>(VLOOKUP(C143,'BD Altres'!$D$74:$H$84,3,FALSE) / 12) * H143*0.25</f>
        <v>858.84272204863862</v>
      </c>
      <c r="K143">
        <f>(VLOOKUP(B143,'BD ASVICC'!$A$6:$GR$316,199,FALSE) / 12)*0.3</f>
        <v>1.4000000000000001</v>
      </c>
      <c r="L143" s="846">
        <f>I143*'1. Cops de calor'!$C$32/30</f>
        <v>1408.0959694816941</v>
      </c>
      <c r="M143" s="846">
        <f>J143*'1. Cops de calor'!$C$33/30</f>
        <v>4294.2136102431932</v>
      </c>
      <c r="N143" s="846">
        <f>K143*'1. Cops de calor'!$C$34*0.25/30</f>
        <v>22050</v>
      </c>
      <c r="O143" s="779">
        <f t="shared" si="22"/>
        <v>402408.48890601087</v>
      </c>
      <c r="P143" s="848">
        <f>O143*'A. Dades de partida'!$D$10</f>
        <v>6036127.3335901629</v>
      </c>
      <c r="Q143">
        <f t="shared" si="23"/>
        <v>21.450000000000003</v>
      </c>
      <c r="R143">
        <f t="shared" si="24"/>
        <v>0.30000000000000004</v>
      </c>
      <c r="S143">
        <f>I143+(I143*'1. Cops de calor'!$C$40)</f>
        <v>103.74065189111644</v>
      </c>
      <c r="T143">
        <f>J143*'1. Cops de calor'!$C$41+J143</f>
        <v>923.25592620228656</v>
      </c>
      <c r="U143">
        <f>'1. Cops de calor'!$C$42*K143+K143</f>
        <v>1.4560000000000002</v>
      </c>
      <c r="V143">
        <f>S143*'1. Cops de calor'!$C$32/30</f>
        <v>1486.9493437726692</v>
      </c>
      <c r="W143">
        <f>T143*'1. Cops de calor'!$C$33/30</f>
        <v>4616.2796310114327</v>
      </c>
      <c r="X143">
        <f>K143*'1. Cops de calor'!$C$34/30</f>
        <v>88200</v>
      </c>
      <c r="Y143">
        <f t="shared" si="25"/>
        <v>94303.228974784099</v>
      </c>
      <c r="Z143" s="849">
        <f>Y143*(Q143+R143)*'A. Dades de partida'!$D$10</f>
        <v>30766428.453023318</v>
      </c>
      <c r="AA143" s="850">
        <f t="shared" si="26"/>
        <v>24730301.119433157</v>
      </c>
      <c r="AB143" t="str">
        <f>VLOOKUP(B143,'BD ASVICC'!$A$6:$BG$316,59,FALSE)</f>
        <v>CENTRAL</v>
      </c>
      <c r="AC143">
        <f t="shared" si="18"/>
        <v>0.5</v>
      </c>
      <c r="AD143">
        <f t="shared" si="19"/>
        <v>0.5</v>
      </c>
    </row>
    <row r="144" spans="1:30">
      <c r="A144">
        <v>8141</v>
      </c>
      <c r="B144" t="s">
        <v>1269</v>
      </c>
      <c r="C144" t="s">
        <v>82</v>
      </c>
      <c r="D144">
        <f>VLOOKUP(A144,'temperatures màximes'!$A$4:$U$314,'temperatures màximes'!U$1,FALSE)</f>
        <v>143</v>
      </c>
      <c r="E144">
        <f>VLOOKUP(A144,'nits tropicals'!$A$4:$U$314,'nits tropicals'!U$1,FALSE)</f>
        <v>2</v>
      </c>
      <c r="F144">
        <f t="shared" si="20"/>
        <v>14.3</v>
      </c>
      <c r="G144">
        <f t="shared" si="21"/>
        <v>0.2</v>
      </c>
      <c r="H144" s="840">
        <f>VLOOKUP(B144,'BD ASVICC'!$A$6:$X$316,24,FALSE)/VLOOKUP(C144,'BD Comarcal'!$A$6:$Z$17,26,FALSE)</f>
        <v>3.4665473876167703E-2</v>
      </c>
      <c r="I144" s="839">
        <f>(VLOOKUP(C144,'BD Altres'!$D$74:$H$84,5,FALSE) * 1000 / 12) * H144*0.035</f>
        <v>99.174396881167453</v>
      </c>
      <c r="J144" s="839">
        <f>(VLOOKUP(C144,'BD Altres'!$D$74:$H$84,3,FALSE) / 12) * H144*0.25</f>
        <v>867.01807862124588</v>
      </c>
      <c r="K144">
        <f>(VLOOKUP(B144,'BD ASVICC'!$A$6:$GR$316,199,FALSE) / 12)*0.3</f>
        <v>1.2749999999999999</v>
      </c>
      <c r="L144" s="846">
        <f>I144*'1. Cops de calor'!$C$32/30</f>
        <v>1421.4996886300667</v>
      </c>
      <c r="M144" s="846">
        <f>J144*'1. Cops de calor'!$C$33/30</f>
        <v>4335.0903931062294</v>
      </c>
      <c r="N144" s="846">
        <f>K144*'1. Cops de calor'!$C$34*0.25/30</f>
        <v>20081.249999999996</v>
      </c>
      <c r="O144" s="779">
        <f t="shared" si="22"/>
        <v>374648.68118517625</v>
      </c>
      <c r="P144" s="848">
        <f>O144*'A. Dades de partida'!$D$10</f>
        <v>5619730.2177776434</v>
      </c>
      <c r="Q144">
        <f t="shared" si="23"/>
        <v>21.450000000000003</v>
      </c>
      <c r="R144">
        <f t="shared" si="24"/>
        <v>0.30000000000000004</v>
      </c>
      <c r="S144">
        <f>I144+(I144*'1. Cops de calor'!$C$40)</f>
        <v>104.72816310651282</v>
      </c>
      <c r="T144">
        <f>J144*'1. Cops de calor'!$C$41+J144</f>
        <v>932.04443451783936</v>
      </c>
      <c r="U144">
        <f>'1. Cops de calor'!$C$42*K144+K144</f>
        <v>1.3259999999999998</v>
      </c>
      <c r="V144">
        <f>S144*'1. Cops de calor'!$C$32/30</f>
        <v>1501.1036711933505</v>
      </c>
      <c r="W144">
        <f>T144*'1. Cops de calor'!$C$33/30</f>
        <v>4660.2221725891968</v>
      </c>
      <c r="X144">
        <f>K144*'1. Cops de calor'!$C$34/30</f>
        <v>80324.999999999985</v>
      </c>
      <c r="Y144">
        <f t="shared" si="25"/>
        <v>86486.325843782528</v>
      </c>
      <c r="Z144" s="849">
        <f>Y144*(Q144+R144)*'A. Dades de partida'!$D$10</f>
        <v>28216163.806534052</v>
      </c>
      <c r="AA144" s="850">
        <f t="shared" si="26"/>
        <v>22596433.588756409</v>
      </c>
      <c r="AB144" t="str">
        <f>VLOOKUP(B144,'BD ASVICC'!$A$6:$BG$316,59,FALSE)</f>
        <v>CENTRAL</v>
      </c>
      <c r="AC144">
        <f t="shared" si="18"/>
        <v>0.5</v>
      </c>
      <c r="AD144">
        <f t="shared" si="19"/>
        <v>0.5</v>
      </c>
    </row>
    <row r="145" spans="1:30">
      <c r="A145">
        <v>8142</v>
      </c>
      <c r="B145" t="s">
        <v>1272</v>
      </c>
      <c r="C145" t="s">
        <v>84</v>
      </c>
      <c r="D145">
        <f>VLOOKUP(A145,'temperatures màximes'!$A$4:$U$314,'temperatures màximes'!U$1,FALSE)</f>
        <v>17</v>
      </c>
      <c r="E145">
        <f>VLOOKUP(A145,'nits tropicals'!$A$4:$U$314,'nits tropicals'!U$1,FALSE)</f>
        <v>3</v>
      </c>
      <c r="F145">
        <f t="shared" si="20"/>
        <v>1.7</v>
      </c>
      <c r="G145">
        <f t="shared" si="21"/>
        <v>0.3</v>
      </c>
      <c r="H145" s="840">
        <f>VLOOKUP(B145,'BD ASVICC'!$A$6:$X$316,24,FALSE)/VLOOKUP(C145,'BD Comarcal'!$A$6:$Z$17,26,FALSE)</f>
        <v>3.8542038899382308E-3</v>
      </c>
      <c r="I145" s="839">
        <f>(VLOOKUP(C145,'BD Altres'!$D$74:$H$84,5,FALSE) * 1000 / 12) * H145*0.035</f>
        <v>2.4773091694055069</v>
      </c>
      <c r="J145" s="839">
        <f>(VLOOKUP(C145,'BD Altres'!$D$74:$H$84,3,FALSE) / 12) * H145*0.25</f>
        <v>21.657523551994728</v>
      </c>
      <c r="K145">
        <f>(VLOOKUP(B145,'BD ASVICC'!$A$6:$GR$316,199,FALSE) / 12)*0.3</f>
        <v>2.4999999999999998E-2</v>
      </c>
      <c r="L145" s="846">
        <f>I145*'1. Cops de calor'!$C$32/30</f>
        <v>35.508098094812262</v>
      </c>
      <c r="M145" s="846">
        <f>J145*'1. Cops de calor'!$C$33/30</f>
        <v>108.28761775997364</v>
      </c>
      <c r="N145" s="846">
        <f>K145*'1. Cops de calor'!$C$34*0.25/30</f>
        <v>393.74999999999994</v>
      </c>
      <c r="O145" s="779">
        <f t="shared" si="22"/>
        <v>1075.0914317095717</v>
      </c>
      <c r="P145" s="848">
        <f>O145*'A. Dades de partida'!$D$10</f>
        <v>16126.371475643575</v>
      </c>
      <c r="Q145">
        <f t="shared" si="23"/>
        <v>2.5499999999999998</v>
      </c>
      <c r="R145">
        <f t="shared" si="24"/>
        <v>0.44999999999999996</v>
      </c>
      <c r="S145">
        <f>I145+(I145*'1. Cops de calor'!$C$40)</f>
        <v>2.6160384828922152</v>
      </c>
      <c r="T145">
        <f>J145*'1. Cops de calor'!$C$41+J145</f>
        <v>23.281837818394333</v>
      </c>
      <c r="U145">
        <f>'1. Cops de calor'!$C$42*K145+K145</f>
        <v>2.5999999999999999E-2</v>
      </c>
      <c r="V145">
        <f>S145*'1. Cops de calor'!$C$32/30</f>
        <v>37.496551588121754</v>
      </c>
      <c r="W145">
        <f>T145*'1. Cops de calor'!$C$33/30</f>
        <v>116.40918909197167</v>
      </c>
      <c r="X145">
        <f>K145*'1. Cops de calor'!$C$34/30</f>
        <v>1574.9999999999998</v>
      </c>
      <c r="Y145">
        <f t="shared" si="25"/>
        <v>1728.9057406800932</v>
      </c>
      <c r="Z145" s="849">
        <f>Y145*(Q145+R145)*'A. Dades de partida'!$D$10</f>
        <v>77800.758330604192</v>
      </c>
      <c r="AA145" s="850">
        <f t="shared" si="26"/>
        <v>61674.38685496062</v>
      </c>
      <c r="AB145" t="str">
        <f>VLOOKUP(B145,'BD ASVICC'!$A$6:$BG$316,59,FALSE)</f>
        <v>PREPIRINEU-PIRINEU</v>
      </c>
      <c r="AC145">
        <f t="shared" si="18"/>
        <v>0.5</v>
      </c>
      <c r="AD145">
        <f t="shared" si="19"/>
        <v>0.5</v>
      </c>
    </row>
    <row r="146" spans="1:30">
      <c r="A146">
        <v>8143</v>
      </c>
      <c r="B146" t="s">
        <v>1274</v>
      </c>
      <c r="C146" t="s">
        <v>81</v>
      </c>
      <c r="D146">
        <f>VLOOKUP(A146,'temperatures màximes'!$A$4:$U$314,'temperatures màximes'!U$1,FALSE)</f>
        <v>77</v>
      </c>
      <c r="E146">
        <f>VLOOKUP(A146,'nits tropicals'!$A$4:$U$314,'nits tropicals'!U$1,FALSE)</f>
        <v>2</v>
      </c>
      <c r="F146">
        <f t="shared" si="20"/>
        <v>7.7</v>
      </c>
      <c r="G146">
        <f t="shared" si="21"/>
        <v>0.2</v>
      </c>
      <c r="H146" s="840">
        <f>VLOOKUP(B146,'BD ASVICC'!$A$6:$X$316,24,FALSE)/VLOOKUP(C146,'BD Comarcal'!$A$6:$Z$17,26,FALSE)</f>
        <v>3.0696827342047931E-2</v>
      </c>
      <c r="I146" s="839">
        <f>(VLOOKUP(C146,'BD Altres'!$D$74:$H$84,5,FALSE) * 1000 / 12) * H146*0.035</f>
        <v>25.606837940839331</v>
      </c>
      <c r="J146" s="839">
        <f>(VLOOKUP(C146,'BD Altres'!$D$74:$H$84,3,FALSE) / 12) * H146*0.25</f>
        <v>12.366570404086517</v>
      </c>
      <c r="K146">
        <f>(VLOOKUP(B146,'BD ASVICC'!$A$6:$GR$316,199,FALSE) / 12)*0.3</f>
        <v>0.77500000000000002</v>
      </c>
      <c r="L146" s="846">
        <f>I146*'1. Cops de calor'!$C$32/30</f>
        <v>367.03134381869705</v>
      </c>
      <c r="M146" s="846">
        <f>J146*'1. Cops de calor'!$C$33/30</f>
        <v>61.832852020432583</v>
      </c>
      <c r="N146" s="846">
        <f>K146*'1. Cops de calor'!$C$34*0.25/30</f>
        <v>12206.249999999998</v>
      </c>
      <c r="O146" s="779">
        <f t="shared" si="22"/>
        <v>99817.402147129105</v>
      </c>
      <c r="P146" s="848">
        <f>O146*'A. Dades de partida'!$D$10</f>
        <v>1497261.0322069365</v>
      </c>
      <c r="Q146">
        <f t="shared" si="23"/>
        <v>11.55</v>
      </c>
      <c r="R146">
        <f t="shared" si="24"/>
        <v>0.30000000000000004</v>
      </c>
      <c r="S146">
        <f>I146+(I146*'1. Cops de calor'!$C$40)</f>
        <v>27.040820865526332</v>
      </c>
      <c r="T146">
        <f>J146*'1. Cops de calor'!$C$41+J146</f>
        <v>13.294063184393005</v>
      </c>
      <c r="U146">
        <f>'1. Cops de calor'!$C$42*K146+K146</f>
        <v>0.80600000000000005</v>
      </c>
      <c r="V146">
        <f>S146*'1. Cops de calor'!$C$32/30</f>
        <v>387.5850990725441</v>
      </c>
      <c r="W146">
        <f>T146*'1. Cops de calor'!$C$33/30</f>
        <v>66.470315921965025</v>
      </c>
      <c r="X146">
        <f>K146*'1. Cops de calor'!$C$34/30</f>
        <v>48824.999999999993</v>
      </c>
      <c r="Y146">
        <f t="shared" si="25"/>
        <v>49279.055414994502</v>
      </c>
      <c r="Z146" s="849">
        <f>Y146*(Q146+R146)*'A. Dades de partida'!$D$10</f>
        <v>8759352.1000152733</v>
      </c>
      <c r="AA146" s="850">
        <f t="shared" si="26"/>
        <v>7262091.0678083366</v>
      </c>
      <c r="AB146" t="str">
        <f>VLOOKUP(B146,'BD ASVICC'!$A$6:$BG$316,59,FALSE)</f>
        <v>CENTRAL</v>
      </c>
      <c r="AC146">
        <f t="shared" si="18"/>
        <v>0.5</v>
      </c>
      <c r="AD146">
        <f t="shared" si="19"/>
        <v>0.5</v>
      </c>
    </row>
    <row r="147" spans="1:30">
      <c r="A147">
        <v>8144</v>
      </c>
      <c r="B147" t="s">
        <v>1278</v>
      </c>
      <c r="C147" t="s">
        <v>84</v>
      </c>
      <c r="D147">
        <f>VLOOKUP(A147,'temperatures màximes'!$A$4:$U$314,'temperatures màximes'!U$1,FALSE)</f>
        <v>17</v>
      </c>
      <c r="E147">
        <f>VLOOKUP(A147,'nits tropicals'!$A$4:$U$314,'nits tropicals'!U$1,FALSE)</f>
        <v>3</v>
      </c>
      <c r="F147">
        <f t="shared" si="20"/>
        <v>1.7</v>
      </c>
      <c r="G147">
        <f t="shared" si="21"/>
        <v>0.3</v>
      </c>
      <c r="H147" s="840">
        <f>VLOOKUP(B147,'BD ASVICC'!$A$6:$X$316,24,FALSE)/VLOOKUP(C147,'BD Comarcal'!$A$6:$Z$17,26,FALSE)</f>
        <v>2.1823472356935016E-2</v>
      </c>
      <c r="I147" s="839">
        <f>(VLOOKUP(C147,'BD Altres'!$D$74:$H$84,5,FALSE) * 1000 / 12) * H147*0.035</f>
        <v>14.027147945971581</v>
      </c>
      <c r="J147" s="839">
        <f>(VLOOKUP(C147,'BD Altres'!$D$74:$H$84,3,FALSE) / 12) * H147*0.25</f>
        <v>122.63034858910922</v>
      </c>
      <c r="K147">
        <f>(VLOOKUP(B147,'BD ASVICC'!$A$6:$GR$316,199,FALSE) / 12)*0.3</f>
        <v>0.3</v>
      </c>
      <c r="L147" s="846">
        <f>I147*'1. Cops de calor'!$C$32/30</f>
        <v>201.05578722559267</v>
      </c>
      <c r="M147" s="846">
        <f>J147*'1. Cops de calor'!$C$33/30</f>
        <v>613.15174294554606</v>
      </c>
      <c r="N147" s="846">
        <f>K147*'1. Cops de calor'!$C$34*0.25/30</f>
        <v>4724.9999999999991</v>
      </c>
      <c r="O147" s="779">
        <f t="shared" si="22"/>
        <v>11078.415060342275</v>
      </c>
      <c r="P147" s="848">
        <f>O147*'A. Dades de partida'!$D$10</f>
        <v>166176.22590513411</v>
      </c>
      <c r="Q147">
        <f t="shared" si="23"/>
        <v>2.5499999999999998</v>
      </c>
      <c r="R147">
        <f t="shared" si="24"/>
        <v>0.44999999999999996</v>
      </c>
      <c r="S147">
        <f>I147+(I147*'1. Cops de calor'!$C$40)</f>
        <v>14.81266823094599</v>
      </c>
      <c r="T147">
        <f>J147*'1. Cops de calor'!$C$41+J147</f>
        <v>131.8276247332924</v>
      </c>
      <c r="U147">
        <f>'1. Cops de calor'!$C$42*K147+K147</f>
        <v>0.312</v>
      </c>
      <c r="V147">
        <f>S147*'1. Cops de calor'!$C$32/30</f>
        <v>212.31491131022585</v>
      </c>
      <c r="W147">
        <f>T147*'1. Cops de calor'!$C$33/30</f>
        <v>659.13812366646198</v>
      </c>
      <c r="X147">
        <f>K147*'1. Cops de calor'!$C$34/30</f>
        <v>18899.999999999996</v>
      </c>
      <c r="Y147">
        <f t="shared" si="25"/>
        <v>19771.453034976683</v>
      </c>
      <c r="Z147" s="849">
        <f>Y147*(Q147+R147)*'A. Dades de partida'!$D$10</f>
        <v>889715.38657395064</v>
      </c>
      <c r="AA147" s="850">
        <f t="shared" si="26"/>
        <v>723539.16066881653</v>
      </c>
      <c r="AB147" t="str">
        <f>VLOOKUP(B147,'BD ASVICC'!$A$6:$BG$316,59,FALSE)</f>
        <v>PREPIRINEU-PIRINEU</v>
      </c>
      <c r="AC147">
        <f t="shared" si="18"/>
        <v>0.5</v>
      </c>
      <c r="AD147">
        <f t="shared" si="19"/>
        <v>0.5</v>
      </c>
    </row>
    <row r="148" spans="1:30">
      <c r="A148">
        <v>8145</v>
      </c>
      <c r="B148" t="s">
        <v>1281</v>
      </c>
      <c r="C148" t="s">
        <v>791</v>
      </c>
      <c r="D148">
        <f>VLOOKUP(A148,'temperatures màximes'!$A$4:$U$314,'temperatures màximes'!U$1,FALSE)</f>
        <v>15</v>
      </c>
      <c r="E148">
        <f>VLOOKUP(A148,'nits tropicals'!$A$4:$U$314,'nits tropicals'!U$1,FALSE)</f>
        <v>10</v>
      </c>
      <c r="F148">
        <f t="shared" si="20"/>
        <v>1.5</v>
      </c>
      <c r="G148">
        <f t="shared" si="21"/>
        <v>1</v>
      </c>
      <c r="H148" s="840">
        <f>VLOOKUP(B148,'BD ASVICC'!$A$6:$X$316,24,FALSE)/VLOOKUP(C148,'BD Comarcal'!$A$6:$Z$17,26,FALSE)</f>
        <v>3.320630439896495E-2</v>
      </c>
      <c r="I148" s="839">
        <f>(VLOOKUP(C148,'BD Altres'!$D$74:$H$84,5,FALSE) * 1000 / 12) * H148*0.035</f>
        <v>65.702121183364099</v>
      </c>
      <c r="J148" s="839">
        <f>(VLOOKUP(C148,'BD Altres'!$D$74:$H$84,3,FALSE) / 12) * H148*0.25</f>
        <v>8.5110697248212741</v>
      </c>
      <c r="K148">
        <f>(VLOOKUP(B148,'BD ASVICC'!$A$6:$GR$316,199,FALSE) / 12)*0.3</f>
        <v>0.5</v>
      </c>
      <c r="L148" s="846">
        <f>I148*'1. Cops de calor'!$C$32/30</f>
        <v>941.73040362821871</v>
      </c>
      <c r="M148" s="846">
        <f>J148*'1. Cops de calor'!$C$33/30</f>
        <v>42.555348624106372</v>
      </c>
      <c r="N148" s="846">
        <f>K148*'1. Cops de calor'!$C$34*0.25/30</f>
        <v>7874.9999999999991</v>
      </c>
      <c r="O148" s="779">
        <f t="shared" si="22"/>
        <v>22148.214380630812</v>
      </c>
      <c r="P148" s="848">
        <f>O148*'A. Dades de partida'!$D$10</f>
        <v>332223.21570946218</v>
      </c>
      <c r="Q148">
        <f t="shared" si="23"/>
        <v>2.25</v>
      </c>
      <c r="R148">
        <f t="shared" si="24"/>
        <v>1.5</v>
      </c>
      <c r="S148">
        <f>I148+(I148*'1. Cops de calor'!$C$40)</f>
        <v>69.381439969632481</v>
      </c>
      <c r="T148">
        <f>J148*'1. Cops de calor'!$C$41+J148</f>
        <v>9.1493999541828703</v>
      </c>
      <c r="U148">
        <f>'1. Cops de calor'!$C$42*K148+K148</f>
        <v>0.52</v>
      </c>
      <c r="V148">
        <f>S148*'1. Cops de calor'!$C$32/30</f>
        <v>994.46730623139899</v>
      </c>
      <c r="W148">
        <f>T148*'1. Cops de calor'!$C$33/30</f>
        <v>45.746999770914357</v>
      </c>
      <c r="X148">
        <f>K148*'1. Cops de calor'!$C$34/30</f>
        <v>31499.999999999996</v>
      </c>
      <c r="Y148">
        <f t="shared" si="25"/>
        <v>32540.214306002308</v>
      </c>
      <c r="Z148" s="849">
        <f>Y148*(Q148+R148)*'A. Dades de partida'!$D$10</f>
        <v>1830387.0547126299</v>
      </c>
      <c r="AA148" s="850">
        <f t="shared" si="26"/>
        <v>1498163.8390031676</v>
      </c>
      <c r="AB148" t="str">
        <f>VLOOKUP(B148,'BD ASVICC'!$A$6:$BG$316,59,FALSE)</f>
        <v>LITORAL</v>
      </c>
      <c r="AC148">
        <f t="shared" si="18"/>
        <v>0.5</v>
      </c>
      <c r="AD148">
        <f t="shared" si="19"/>
        <v>0.5</v>
      </c>
    </row>
    <row r="149" spans="1:30">
      <c r="A149">
        <v>8146</v>
      </c>
      <c r="B149" t="s">
        <v>1286</v>
      </c>
      <c r="C149" t="s">
        <v>791</v>
      </c>
      <c r="D149">
        <f>VLOOKUP(A149,'temperatures màximes'!$A$4:$U$314,'temperatures màximes'!U$1,FALSE)</f>
        <v>15</v>
      </c>
      <c r="E149">
        <f>VLOOKUP(A149,'nits tropicals'!$A$4:$U$314,'nits tropicals'!U$1,FALSE)</f>
        <v>10</v>
      </c>
      <c r="F149">
        <f t="shared" si="20"/>
        <v>1.5</v>
      </c>
      <c r="G149">
        <f t="shared" si="21"/>
        <v>1</v>
      </c>
      <c r="H149" s="840">
        <f>VLOOKUP(B149,'BD ASVICC'!$A$6:$X$316,24,FALSE)/VLOOKUP(C149,'BD Comarcal'!$A$6:$Z$17,26,FALSE)</f>
        <v>1.621265584568337E-2</v>
      </c>
      <c r="I149" s="839">
        <f>(VLOOKUP(C149,'BD Altres'!$D$74:$H$84,5,FALSE) * 1000 / 12) * H149*0.035</f>
        <v>32.078423009049686</v>
      </c>
      <c r="J149" s="839">
        <f>(VLOOKUP(C149,'BD Altres'!$D$74:$H$84,3,FALSE) / 12) * H149*0.25</f>
        <v>4.1554471906679105</v>
      </c>
      <c r="K149">
        <f>(VLOOKUP(B149,'BD ASVICC'!$A$6:$GR$316,199,FALSE) / 12)*0.3</f>
        <v>0.3</v>
      </c>
      <c r="L149" s="846">
        <f>I149*'1. Cops de calor'!$C$32/30</f>
        <v>459.7907297963788</v>
      </c>
      <c r="M149" s="846">
        <f>J149*'1. Cops de calor'!$C$33/30</f>
        <v>20.777235953339552</v>
      </c>
      <c r="N149" s="846">
        <f>K149*'1. Cops de calor'!$C$34*0.25/30</f>
        <v>4724.9999999999991</v>
      </c>
      <c r="O149" s="779">
        <f t="shared" si="22"/>
        <v>13013.919914374294</v>
      </c>
      <c r="P149" s="848">
        <f>O149*'A. Dades de partida'!$D$10</f>
        <v>195208.79871561439</v>
      </c>
      <c r="Q149">
        <f t="shared" si="23"/>
        <v>2.25</v>
      </c>
      <c r="R149">
        <f t="shared" si="24"/>
        <v>1.5</v>
      </c>
      <c r="S149">
        <f>I149+(I149*'1. Cops de calor'!$C$40)</f>
        <v>33.874814697556467</v>
      </c>
      <c r="T149">
        <f>J149*'1. Cops de calor'!$C$41+J149</f>
        <v>4.4671057299680035</v>
      </c>
      <c r="U149">
        <f>'1. Cops de calor'!$C$42*K149+K149</f>
        <v>0.312</v>
      </c>
      <c r="V149">
        <f>S149*'1. Cops de calor'!$C$32/30</f>
        <v>485.53901066497599</v>
      </c>
      <c r="W149">
        <f>T149*'1. Cops de calor'!$C$33/30</f>
        <v>22.335528649840015</v>
      </c>
      <c r="X149">
        <f>K149*'1. Cops de calor'!$C$34/30</f>
        <v>18899.999999999996</v>
      </c>
      <c r="Y149">
        <f t="shared" si="25"/>
        <v>19407.874539314813</v>
      </c>
      <c r="Z149" s="849">
        <f>Y149*(Q149+R149)*'A. Dades de partida'!$D$10</f>
        <v>1091692.9428364581</v>
      </c>
      <c r="AA149" s="850">
        <f t="shared" si="26"/>
        <v>896484.14412084373</v>
      </c>
      <c r="AB149" t="str">
        <f>VLOOKUP(B149,'BD ASVICC'!$A$6:$BG$316,59,FALSE)</f>
        <v>CENTRAL</v>
      </c>
      <c r="AC149">
        <f t="shared" si="18"/>
        <v>0.5</v>
      </c>
      <c r="AD149">
        <f t="shared" si="19"/>
        <v>0.5</v>
      </c>
    </row>
    <row r="150" spans="1:30">
      <c r="A150">
        <v>8147</v>
      </c>
      <c r="B150" t="s">
        <v>1291</v>
      </c>
      <c r="C150" t="s">
        <v>90</v>
      </c>
      <c r="D150">
        <f>VLOOKUP(A150,'temperatures màximes'!$A$4:$U$314,'temperatures màximes'!U$1,FALSE)</f>
        <v>39</v>
      </c>
      <c r="E150">
        <f>VLOOKUP(A150,'nits tropicals'!$A$4:$U$314,'nits tropicals'!U$1,FALSE)</f>
        <v>3</v>
      </c>
      <c r="F150">
        <f t="shared" si="20"/>
        <v>3.9</v>
      </c>
      <c r="G150">
        <f t="shared" si="21"/>
        <v>0.3</v>
      </c>
      <c r="H150" s="840">
        <f>VLOOKUP(B150,'BD ASVICC'!$A$6:$X$316,24,FALSE)/VLOOKUP(C150,'BD Comarcal'!$A$6:$Z$17,26,FALSE)</f>
        <v>2.9195575163326062E-2</v>
      </c>
      <c r="I150" s="839">
        <f>(VLOOKUP(C150,'BD Altres'!$D$74:$H$84,5,FALSE) * 1000 / 12) * H150*0.035</f>
        <v>53.801260237978113</v>
      </c>
      <c r="J150" s="839">
        <f>(VLOOKUP(C150,'BD Altres'!$D$74:$H$84,3,FALSE) / 12) * H150*0.25</f>
        <v>164.09102531432873</v>
      </c>
      <c r="K150">
        <f>(VLOOKUP(B150,'BD ASVICC'!$A$6:$GR$316,199,FALSE) / 12)*0.3</f>
        <v>5.05</v>
      </c>
      <c r="L150" s="846">
        <f>I150*'1. Cops de calor'!$C$32/30</f>
        <v>771.15139674435295</v>
      </c>
      <c r="M150" s="846">
        <f>J150*'1. Cops de calor'!$C$33/30</f>
        <v>820.45512657164363</v>
      </c>
      <c r="N150" s="846">
        <f>K150*'1. Cops de calor'!$C$34*0.25/30</f>
        <v>79537.499999999985</v>
      </c>
      <c r="O150" s="779">
        <f t="shared" si="22"/>
        <v>340742.2473979271</v>
      </c>
      <c r="P150" s="848">
        <f>O150*'A. Dades de partida'!$D$10</f>
        <v>5111133.7109689061</v>
      </c>
      <c r="Q150">
        <f t="shared" si="23"/>
        <v>5.85</v>
      </c>
      <c r="R150">
        <f t="shared" si="24"/>
        <v>0.44999999999999996</v>
      </c>
      <c r="S150">
        <f>I150+(I150*'1. Cops de calor'!$C$40)</f>
        <v>56.814130811304885</v>
      </c>
      <c r="T150">
        <f>J150*'1. Cops de calor'!$C$41+J150</f>
        <v>176.39785221290339</v>
      </c>
      <c r="U150">
        <f>'1. Cops de calor'!$C$42*K150+K150</f>
        <v>5.2519999999999998</v>
      </c>
      <c r="V150">
        <f>S150*'1. Cops de calor'!$C$32/30</f>
        <v>814.33587496203666</v>
      </c>
      <c r="W150">
        <f>T150*'1. Cops de calor'!$C$33/30</f>
        <v>881.98926106451688</v>
      </c>
      <c r="X150">
        <f>K150*'1. Cops de calor'!$C$34/30</f>
        <v>318149.99999999994</v>
      </c>
      <c r="Y150">
        <f t="shared" si="25"/>
        <v>319846.32513602648</v>
      </c>
      <c r="Z150" s="849">
        <f>Y150*(Q150+R150)*'A. Dades de partida'!$D$10</f>
        <v>30225477.725354504</v>
      </c>
      <c r="AA150" s="850">
        <f t="shared" si="26"/>
        <v>25114344.014385596</v>
      </c>
      <c r="AB150" t="str">
        <f>VLOOKUP(B150,'BD ASVICC'!$A$6:$BG$316,59,FALSE)</f>
        <v>LITORAL</v>
      </c>
      <c r="AC150">
        <f t="shared" si="18"/>
        <v>0.5</v>
      </c>
      <c r="AD150">
        <f t="shared" si="19"/>
        <v>0.5</v>
      </c>
    </row>
    <row r="151" spans="1:30">
      <c r="A151">
        <v>8148</v>
      </c>
      <c r="B151" t="s">
        <v>1294</v>
      </c>
      <c r="C151" t="s">
        <v>85</v>
      </c>
      <c r="D151">
        <f>VLOOKUP(A151,'temperatures màximes'!$A$4:$U$314,'temperatures màximes'!U$1,FALSE)</f>
        <v>19</v>
      </c>
      <c r="E151">
        <f>VLOOKUP(A151,'nits tropicals'!$A$4:$U$314,'nits tropicals'!U$1,FALSE)</f>
        <v>137</v>
      </c>
      <c r="F151">
        <f t="shared" si="20"/>
        <v>1.9</v>
      </c>
      <c r="G151">
        <f t="shared" si="21"/>
        <v>13.7</v>
      </c>
      <c r="H151" s="840">
        <f>VLOOKUP(B151,'BD ASVICC'!$A$6:$X$316,24,FALSE)/VLOOKUP(C151,'BD Comarcal'!$A$6:$Z$17,26,FALSE)</f>
        <v>2.4299409025300252E-2</v>
      </c>
      <c r="I151" s="839">
        <f>(VLOOKUP(C151,'BD Altres'!$D$74:$H$84,5,FALSE) * 1000 / 12) * H151*0.035</f>
        <v>75.076741479726607</v>
      </c>
      <c r="J151" s="839">
        <f>(VLOOKUP(C151,'BD Altres'!$D$74:$H$84,3,FALSE) / 12) * H151*0.25</f>
        <v>8.6075397698745046</v>
      </c>
      <c r="K151">
        <f>(VLOOKUP(B151,'BD ASVICC'!$A$6:$GR$316,199,FALSE) / 12)*0.3</f>
        <v>0.42499999999999999</v>
      </c>
      <c r="L151" s="846">
        <f>I151*'1. Cops de calor'!$C$32/30</f>
        <v>1076.0999612094147</v>
      </c>
      <c r="M151" s="846">
        <f>J151*'1. Cops de calor'!$C$33/30</f>
        <v>43.037698849372525</v>
      </c>
      <c r="N151" s="846">
        <f>K151*'1. Cops de calor'!$C$34*0.25/30</f>
        <v>6693.7499999999991</v>
      </c>
      <c r="O151" s="779">
        <f t="shared" si="22"/>
        <v>121881.04749691706</v>
      </c>
      <c r="P151" s="848">
        <f>O151*'A. Dades de partida'!$D$10</f>
        <v>1828215.712453756</v>
      </c>
      <c r="Q151">
        <f t="shared" si="23"/>
        <v>2.8499999999999996</v>
      </c>
      <c r="R151">
        <f t="shared" si="24"/>
        <v>20.549999999999997</v>
      </c>
      <c r="S151">
        <f>I151+(I151*'1. Cops de calor'!$C$40)</f>
        <v>79.281039002591299</v>
      </c>
      <c r="T151">
        <f>J151*'1. Cops de calor'!$C$41+J151</f>
        <v>9.253105252615093</v>
      </c>
      <c r="U151">
        <f>'1. Cops de calor'!$C$42*K151+K151</f>
        <v>0.442</v>
      </c>
      <c r="V151">
        <f>S151*'1. Cops de calor'!$C$32/30</f>
        <v>1136.3615590371419</v>
      </c>
      <c r="W151">
        <f>T151*'1. Cops de calor'!$C$33/30</f>
        <v>46.265526263075465</v>
      </c>
      <c r="X151">
        <f>K151*'1. Cops de calor'!$C$34/30</f>
        <v>26774.999999999996</v>
      </c>
      <c r="Y151">
        <f t="shared" si="25"/>
        <v>27957.627085300213</v>
      </c>
      <c r="Z151" s="849">
        <f>Y151*(Q151+R151)*'A. Dades de partida'!$D$10</f>
        <v>9813127.1069403738</v>
      </c>
      <c r="AA151" s="850">
        <f t="shared" si="26"/>
        <v>7984911.3944866173</v>
      </c>
      <c r="AB151" t="str">
        <f>VLOOKUP(B151,'BD ASVICC'!$A$6:$BG$316,59,FALSE)</f>
        <v>LITORAL</v>
      </c>
      <c r="AC151">
        <f t="shared" si="18"/>
        <v>0.5</v>
      </c>
      <c r="AD151">
        <f t="shared" si="19"/>
        <v>0.5</v>
      </c>
    </row>
    <row r="152" spans="1:30">
      <c r="A152">
        <v>8149</v>
      </c>
      <c r="B152" t="s">
        <v>1298</v>
      </c>
      <c r="C152" t="s">
        <v>88</v>
      </c>
      <c r="D152">
        <f>VLOOKUP(A152,'temperatures màximes'!$A$4:$U$314,'temperatures màximes'!U$1,FALSE)</f>
        <v>83</v>
      </c>
      <c r="E152">
        <f>VLOOKUP(A152,'nits tropicals'!$A$4:$U$314,'nits tropicals'!U$1,FALSE)</f>
        <v>0</v>
      </c>
      <c r="F152">
        <f t="shared" si="20"/>
        <v>8.3000000000000007</v>
      </c>
      <c r="G152">
        <f t="shared" si="21"/>
        <v>0</v>
      </c>
      <c r="H152" s="840">
        <f>VLOOKUP(B152,'BD ASVICC'!$A$6:$X$316,24,FALSE)/VLOOKUP(C152,'BD Comarcal'!$A$6:$Z$17,26,FALSE)</f>
        <v>7.6136750599135189E-3</v>
      </c>
      <c r="I152" s="839">
        <f>(VLOOKUP(C152,'BD Altres'!$D$74:$H$84,5,FALSE) * 1000 / 12) * H152*0.035</f>
        <v>8.4717996864579401</v>
      </c>
      <c r="J152" s="839">
        <f>(VLOOKUP(C152,'BD Altres'!$D$74:$H$84,3,FALSE) / 12) * H152*0.25</f>
        <v>5.4198263150455208</v>
      </c>
      <c r="K152">
        <f>(VLOOKUP(B152,'BD ASVICC'!$A$6:$GR$316,199,FALSE) / 12)*0.3</f>
        <v>0.19999999999999998</v>
      </c>
      <c r="L152" s="846">
        <f>I152*'1. Cops de calor'!$C$32/30</f>
        <v>121.42912883923049</v>
      </c>
      <c r="M152" s="846">
        <f>J152*'1. Cops de calor'!$C$33/30</f>
        <v>27.099131575227602</v>
      </c>
      <c r="N152" s="846">
        <f>K152*'1. Cops de calor'!$C$34*0.25/30</f>
        <v>3149.9999999999995</v>
      </c>
      <c r="O152" s="779">
        <f t="shared" si="22"/>
        <v>27377.784561439999</v>
      </c>
      <c r="P152" s="848">
        <f>O152*'A. Dades de partida'!$D$10</f>
        <v>410666.76842159999</v>
      </c>
      <c r="Q152">
        <f t="shared" si="23"/>
        <v>12.450000000000001</v>
      </c>
      <c r="R152">
        <f t="shared" si="24"/>
        <v>0</v>
      </c>
      <c r="S152">
        <f>I152+(I152*'1. Cops de calor'!$C$40)</f>
        <v>8.9462204688995843</v>
      </c>
      <c r="T152">
        <f>J152*'1. Cops de calor'!$C$41+J152</f>
        <v>5.8263132886739353</v>
      </c>
      <c r="U152">
        <f>'1. Cops de calor'!$C$42*K152+K152</f>
        <v>0.20799999999999999</v>
      </c>
      <c r="V152">
        <f>S152*'1. Cops de calor'!$C$32/30</f>
        <v>128.22916005422738</v>
      </c>
      <c r="W152">
        <f>T152*'1. Cops de calor'!$C$33/30</f>
        <v>29.131566443369675</v>
      </c>
      <c r="X152">
        <f>K152*'1. Cops de calor'!$C$34/30</f>
        <v>12599.999999999998</v>
      </c>
      <c r="Y152">
        <f t="shared" si="25"/>
        <v>12757.360726497594</v>
      </c>
      <c r="Z152" s="849">
        <f>Y152*(Q152+R152)*'A. Dades de partida'!$D$10</f>
        <v>2382437.1156734261</v>
      </c>
      <c r="AA152" s="850">
        <f t="shared" si="26"/>
        <v>1971770.347251826</v>
      </c>
      <c r="AB152" t="str">
        <f>VLOOKUP(B152,'BD ASVICC'!$A$6:$BG$316,59,FALSE)</f>
        <v>PREPIRINEU-PIRINEU</v>
      </c>
      <c r="AC152">
        <f t="shared" si="18"/>
        <v>0.5</v>
      </c>
      <c r="AD152">
        <f t="shared" si="19"/>
        <v>0.5</v>
      </c>
    </row>
    <row r="153" spans="1:30">
      <c r="A153">
        <v>8150</v>
      </c>
      <c r="B153" t="s">
        <v>1301</v>
      </c>
      <c r="C153" t="s">
        <v>88</v>
      </c>
      <c r="D153">
        <f>VLOOKUP(A153,'temperatures màximes'!$A$4:$U$314,'temperatures màximes'!U$1,FALSE)</f>
        <v>46</v>
      </c>
      <c r="E153">
        <f>VLOOKUP(A153,'nits tropicals'!$A$4:$U$314,'nits tropicals'!U$1,FALSE)</f>
        <v>0</v>
      </c>
      <c r="F153">
        <f t="shared" si="20"/>
        <v>4.5999999999999996</v>
      </c>
      <c r="G153">
        <f t="shared" si="21"/>
        <v>0</v>
      </c>
      <c r="H153" s="840">
        <f>VLOOKUP(B153,'BD ASVICC'!$A$6:$X$316,24,FALSE)/VLOOKUP(C153,'BD Comarcal'!$A$6:$Z$17,26,FALSE)</f>
        <v>1.991763095842355E-3</v>
      </c>
      <c r="I153" s="839">
        <f>(VLOOKUP(C153,'BD Altres'!$D$74:$H$84,5,FALSE) * 1000 / 12) * H153*0.035</f>
        <v>2.2162513947695874</v>
      </c>
      <c r="J153" s="839">
        <f>(VLOOKUP(C153,'BD Altres'!$D$74:$H$84,3,FALSE) / 12) * H153*0.25</f>
        <v>1.4178448587882797</v>
      </c>
      <c r="K153">
        <f>(VLOOKUP(B153,'BD ASVICC'!$A$6:$GR$316,199,FALSE) / 12)*0.3</f>
        <v>4.9999999999999996E-2</v>
      </c>
      <c r="L153" s="846">
        <f>I153*'1. Cops de calor'!$C$32/30</f>
        <v>31.76626999169742</v>
      </c>
      <c r="M153" s="846">
        <f>J153*'1. Cops de calor'!$C$33/30</f>
        <v>7.089224293941399</v>
      </c>
      <c r="N153" s="846">
        <f>K153*'1. Cops de calor'!$C$34*0.25/30</f>
        <v>787.49999999999989</v>
      </c>
      <c r="O153" s="779">
        <f t="shared" si="22"/>
        <v>3801.2352737139377</v>
      </c>
      <c r="P153" s="848">
        <f>O153*'A. Dades de partida'!$D$10</f>
        <v>57018.529105709065</v>
      </c>
      <c r="Q153">
        <f t="shared" si="23"/>
        <v>6.8999999999999995</v>
      </c>
      <c r="R153">
        <f t="shared" si="24"/>
        <v>0</v>
      </c>
      <c r="S153">
        <f>I153+(I153*'1. Cops de calor'!$C$40)</f>
        <v>2.3403614728766842</v>
      </c>
      <c r="T153">
        <f>J153*'1. Cops de calor'!$C$41+J153</f>
        <v>1.5241832231974006</v>
      </c>
      <c r="U153">
        <f>'1. Cops de calor'!$C$42*K153+K153</f>
        <v>5.1999999999999998E-2</v>
      </c>
      <c r="V153">
        <f>S153*'1. Cops de calor'!$C$32/30</f>
        <v>33.545181111232473</v>
      </c>
      <c r="W153">
        <f>T153*'1. Cops de calor'!$C$33/30</f>
        <v>7.6209161159870034</v>
      </c>
      <c r="X153">
        <f>K153*'1. Cops de calor'!$C$34/30</f>
        <v>3149.9999999999995</v>
      </c>
      <c r="Y153">
        <f t="shared" si="25"/>
        <v>3191.1660972272189</v>
      </c>
      <c r="Z153" s="849">
        <f>Y153*(Q153+R153)*'A. Dades de partida'!$D$10</f>
        <v>330285.69106301712</v>
      </c>
      <c r="AA153" s="850">
        <f t="shared" si="26"/>
        <v>273267.16195730807</v>
      </c>
      <c r="AB153" t="str">
        <f>VLOOKUP(B153,'BD ASVICC'!$A$6:$BG$316,59,FALSE)</f>
        <v>PREPIRINEU-PIRINEU</v>
      </c>
      <c r="AC153">
        <f t="shared" si="18"/>
        <v>0.5</v>
      </c>
      <c r="AD153">
        <f t="shared" si="19"/>
        <v>0.5</v>
      </c>
    </row>
    <row r="154" spans="1:30">
      <c r="A154">
        <v>8151</v>
      </c>
      <c r="B154" t="s">
        <v>1304</v>
      </c>
      <c r="C154" t="s">
        <v>88</v>
      </c>
      <c r="D154">
        <f>VLOOKUP(A154,'temperatures màximes'!$A$4:$U$314,'temperatures màximes'!U$1,FALSE)</f>
        <v>83</v>
      </c>
      <c r="E154">
        <f>VLOOKUP(A154,'nits tropicals'!$A$4:$U$314,'nits tropicals'!U$1,FALSE)</f>
        <v>0</v>
      </c>
      <c r="F154">
        <f t="shared" si="20"/>
        <v>8.3000000000000007</v>
      </c>
      <c r="G154">
        <f t="shared" si="21"/>
        <v>0</v>
      </c>
      <c r="H154" s="840">
        <f>VLOOKUP(B154,'BD ASVICC'!$A$6:$X$316,24,FALSE)/VLOOKUP(C154,'BD Comarcal'!$A$6:$Z$17,26,FALSE)</f>
        <v>3.5144981078250588E-3</v>
      </c>
      <c r="I154" s="839">
        <f>(VLOOKUP(C154,'BD Altres'!$D$74:$H$84,5,FALSE) * 1000 / 12) * H154*0.035</f>
        <v>3.9106113320611753</v>
      </c>
      <c r="J154" s="839">
        <f>(VLOOKUP(C154,'BD Altres'!$D$74:$H$84,3,FALSE) / 12) * H154*0.25</f>
        <v>2.501810121797384</v>
      </c>
      <c r="K154">
        <f>(VLOOKUP(B154,'BD ASVICC'!$A$6:$GR$316,199,FALSE) / 12)*0.3</f>
        <v>0.15</v>
      </c>
      <c r="L154" s="846">
        <f>I154*'1. Cops de calor'!$C$32/30</f>
        <v>56.052095759543512</v>
      </c>
      <c r="M154" s="846">
        <f>J154*'1. Cops de calor'!$C$33/30</f>
        <v>12.50905060898692</v>
      </c>
      <c r="N154" s="846">
        <f>K154*'1. Cops de calor'!$C$34*0.25/30</f>
        <v>2362.4999999999995</v>
      </c>
      <c r="O154" s="779">
        <f t="shared" si="22"/>
        <v>20177.8075148588</v>
      </c>
      <c r="P154" s="848">
        <f>O154*'A. Dades de partida'!$D$10</f>
        <v>302667.11272288201</v>
      </c>
      <c r="Q154">
        <f t="shared" si="23"/>
        <v>12.450000000000001</v>
      </c>
      <c r="R154">
        <f t="shared" si="24"/>
        <v>0</v>
      </c>
      <c r="S154">
        <f>I154+(I154*'1. Cops de calor'!$C$40)</f>
        <v>4.1296055666566014</v>
      </c>
      <c r="T154">
        <f>J154*'1. Cops de calor'!$C$41+J154</f>
        <v>2.6894458809321877</v>
      </c>
      <c r="U154">
        <f>'1. Cops de calor'!$C$42*K154+K154</f>
        <v>0.156</v>
      </c>
      <c r="V154">
        <f>S154*'1. Cops de calor'!$C$32/30</f>
        <v>59.191013122077955</v>
      </c>
      <c r="W154">
        <f>T154*'1. Cops de calor'!$C$33/30</f>
        <v>13.447229404660938</v>
      </c>
      <c r="X154">
        <f>K154*'1. Cops de calor'!$C$34/30</f>
        <v>9449.9999999999982</v>
      </c>
      <c r="Y154">
        <f t="shared" si="25"/>
        <v>9522.6382425267366</v>
      </c>
      <c r="Z154" s="849">
        <f>Y154*(Q154+R154)*'A. Dades de partida'!$D$10</f>
        <v>1778352.6917918683</v>
      </c>
      <c r="AA154" s="850">
        <f t="shared" si="26"/>
        <v>1475685.5790689862</v>
      </c>
      <c r="AB154" t="str">
        <f>VLOOKUP(B154,'BD ASVICC'!$A$6:$BG$316,59,FALSE)</f>
        <v>CENTRAL</v>
      </c>
      <c r="AC154">
        <f t="shared" si="18"/>
        <v>0.5</v>
      </c>
      <c r="AD154">
        <f t="shared" si="19"/>
        <v>0.5</v>
      </c>
    </row>
    <row r="155" spans="1:30">
      <c r="A155">
        <v>8152</v>
      </c>
      <c r="B155" t="s">
        <v>1306</v>
      </c>
      <c r="C155" t="s">
        <v>81</v>
      </c>
      <c r="D155">
        <f>VLOOKUP(A155,'temperatures màximes'!$A$4:$U$314,'temperatures màximes'!U$1,FALSE)</f>
        <v>77</v>
      </c>
      <c r="E155">
        <f>VLOOKUP(A155,'nits tropicals'!$A$4:$U$314,'nits tropicals'!U$1,FALSE)</f>
        <v>2</v>
      </c>
      <c r="F155">
        <f t="shared" si="20"/>
        <v>7.7</v>
      </c>
      <c r="G155">
        <f t="shared" si="21"/>
        <v>0.2</v>
      </c>
      <c r="H155" s="840">
        <f>VLOOKUP(B155,'BD ASVICC'!$A$6:$X$316,24,FALSE)/VLOOKUP(C155,'BD Comarcal'!$A$6:$Z$17,26,FALSE)</f>
        <v>1.1829384531590415E-3</v>
      </c>
      <c r="I155" s="839">
        <f>(VLOOKUP(C155,'BD Altres'!$D$74:$H$84,5,FALSE) * 1000 / 12) * H155*0.035</f>
        <v>0.98678970717401371</v>
      </c>
      <c r="J155" s="839">
        <f>(VLOOKUP(C155,'BD Altres'!$D$74:$H$84,3,FALSE) / 12) * H155*0.25</f>
        <v>0.4765603787546509</v>
      </c>
      <c r="K155">
        <f>(VLOOKUP(B155,'BD ASVICC'!$A$6:$GR$316,199,FALSE) / 12)*0.3</f>
        <v>2.4999999999999998E-2</v>
      </c>
      <c r="L155" s="846">
        <f>I155*'1. Cops de calor'!$C$32/30</f>
        <v>14.14398580282753</v>
      </c>
      <c r="M155" s="846">
        <f>J155*'1. Cops de calor'!$C$33/30</f>
        <v>2.3828018937732547</v>
      </c>
      <c r="N155" s="846">
        <f>K155*'1. Cops de calor'!$C$34*0.25/30</f>
        <v>393.74999999999994</v>
      </c>
      <c r="O155" s="779">
        <f t="shared" si="22"/>
        <v>3241.1866228031458</v>
      </c>
      <c r="P155" s="848">
        <f>O155*'A. Dades de partida'!$D$10</f>
        <v>48617.79934204719</v>
      </c>
      <c r="Q155">
        <f t="shared" si="23"/>
        <v>11.55</v>
      </c>
      <c r="R155">
        <f t="shared" si="24"/>
        <v>0.30000000000000004</v>
      </c>
      <c r="S155">
        <f>I155+(I155*'1. Cops de calor'!$C$40)</f>
        <v>1.0420499307757585</v>
      </c>
      <c r="T155">
        <f>J155*'1. Cops de calor'!$C$41+J155</f>
        <v>0.51230240716124975</v>
      </c>
      <c r="U155">
        <f>'1. Cops de calor'!$C$42*K155+K155</f>
        <v>2.5999999999999999E-2</v>
      </c>
      <c r="V155">
        <f>S155*'1. Cops de calor'!$C$32/30</f>
        <v>14.936049007785872</v>
      </c>
      <c r="W155">
        <f>T155*'1. Cops de calor'!$C$33/30</f>
        <v>2.5615120358062486</v>
      </c>
      <c r="X155">
        <f>K155*'1. Cops de calor'!$C$34/30</f>
        <v>1574.9999999999998</v>
      </c>
      <c r="Y155">
        <f t="shared" si="25"/>
        <v>1592.497561043592</v>
      </c>
      <c r="Z155" s="849">
        <f>Y155*(Q155+R155)*'A. Dades de partida'!$D$10</f>
        <v>283066.44147549855</v>
      </c>
      <c r="AA155" s="850">
        <f t="shared" si="26"/>
        <v>234448.64213345136</v>
      </c>
      <c r="AB155" t="str">
        <f>VLOOKUP(B155,'BD ASVICC'!$A$6:$BG$316,59,FALSE)</f>
        <v>CENTRAL</v>
      </c>
      <c r="AC155">
        <f t="shared" si="18"/>
        <v>0.5</v>
      </c>
      <c r="AD155">
        <f t="shared" si="19"/>
        <v>0.5</v>
      </c>
    </row>
    <row r="156" spans="1:30">
      <c r="A156">
        <v>8153</v>
      </c>
      <c r="B156" t="s">
        <v>1309</v>
      </c>
      <c r="C156" t="s">
        <v>86</v>
      </c>
      <c r="D156">
        <f>VLOOKUP(A156,'temperatures màximes'!$A$4:$U$314,'temperatures màximes'!U$1,FALSE)</f>
        <v>2</v>
      </c>
      <c r="E156">
        <f>VLOOKUP(A156,'nits tropicals'!$A$4:$U$314,'nits tropicals'!U$1,FALSE)</f>
        <v>264</v>
      </c>
      <c r="F156">
        <f t="shared" si="20"/>
        <v>0.2</v>
      </c>
      <c r="G156">
        <f t="shared" si="21"/>
        <v>26.4</v>
      </c>
      <c r="H156" s="840">
        <f>VLOOKUP(B156,'BD ASVICC'!$A$6:$X$316,24,FALSE)/VLOOKUP(C156,'BD Comarcal'!$A$6:$Z$17,26,FALSE)</f>
        <v>1.5900159681090814E-3</v>
      </c>
      <c r="I156" s="839">
        <f>(VLOOKUP(C156,'BD Altres'!$D$74:$H$84,5,FALSE) * 1000 / 12) * H156*0.035</f>
        <v>3.704613056147172</v>
      </c>
      <c r="J156" s="839">
        <f>(VLOOKUP(C156,'BD Altres'!$D$74:$H$84,3,FALSE) / 12) * H156*0.25</f>
        <v>1.6700699059479003</v>
      </c>
      <c r="K156">
        <f>(VLOOKUP(B156,'BD ASVICC'!$A$6:$GR$316,199,FALSE) / 12)*0.3</f>
        <v>9.9999999999999992E-2</v>
      </c>
      <c r="L156" s="846">
        <f>I156*'1. Cops de calor'!$C$32/30</f>
        <v>53.099453804776125</v>
      </c>
      <c r="M156" s="846">
        <f>J156*'1. Cops de calor'!$C$33/30</f>
        <v>8.3503495297395016</v>
      </c>
      <c r="N156" s="846">
        <f>K156*'1. Cops de calor'!$C$34*0.25/30</f>
        <v>1574.9999999999998</v>
      </c>
      <c r="O156" s="779">
        <f t="shared" si="22"/>
        <v>43529.564768698103</v>
      </c>
      <c r="P156" s="848">
        <f>O156*'A. Dades de partida'!$D$10</f>
        <v>652943.47153047158</v>
      </c>
      <c r="Q156">
        <f t="shared" si="23"/>
        <v>0.30000000000000004</v>
      </c>
      <c r="R156">
        <f t="shared" si="24"/>
        <v>39.599999999999994</v>
      </c>
      <c r="S156">
        <f>I156+(I156*'1. Cops de calor'!$C$40)</f>
        <v>3.9120713872914137</v>
      </c>
      <c r="T156">
        <f>J156*'1. Cops de calor'!$C$41+J156</f>
        <v>1.7953251488939928</v>
      </c>
      <c r="U156">
        <f>'1. Cops de calor'!$C$42*K156+K156</f>
        <v>0.104</v>
      </c>
      <c r="V156">
        <f>S156*'1. Cops de calor'!$C$32/30</f>
        <v>56.073023217843591</v>
      </c>
      <c r="W156">
        <f>T156*'1. Cops de calor'!$C$33/30</f>
        <v>8.9766257444699633</v>
      </c>
      <c r="X156">
        <f>K156*'1. Cops de calor'!$C$34/30</f>
        <v>6299.9999999999991</v>
      </c>
      <c r="Y156">
        <f t="shared" si="25"/>
        <v>6365.0496489623129</v>
      </c>
      <c r="Z156" s="849">
        <f>Y156*(Q156+R156)*'A. Dades de partida'!$D$10</f>
        <v>3809482.2149039432</v>
      </c>
      <c r="AA156" s="850">
        <f t="shared" si="26"/>
        <v>3156538.7433734718</v>
      </c>
      <c r="AB156" t="str">
        <f>VLOOKUP(B156,'BD ASVICC'!$A$6:$BG$316,59,FALSE)</f>
        <v>CENTRAL</v>
      </c>
      <c r="AC156">
        <f t="shared" si="18"/>
        <v>0.5</v>
      </c>
      <c r="AD156">
        <f t="shared" si="19"/>
        <v>0.5</v>
      </c>
    </row>
    <row r="157" spans="1:30">
      <c r="A157">
        <v>8154</v>
      </c>
      <c r="B157" t="s">
        <v>1310</v>
      </c>
      <c r="C157" t="s">
        <v>791</v>
      </c>
      <c r="D157">
        <f>VLOOKUP(A157,'temperatures màximes'!$A$4:$U$314,'temperatures màximes'!U$1,FALSE)</f>
        <v>15</v>
      </c>
      <c r="E157">
        <f>VLOOKUP(A157,'nits tropicals'!$A$4:$U$314,'nits tropicals'!U$1,FALSE)</f>
        <v>10</v>
      </c>
      <c r="F157">
        <f t="shared" si="20"/>
        <v>1.5</v>
      </c>
      <c r="G157">
        <f t="shared" si="21"/>
        <v>1</v>
      </c>
      <c r="H157" s="840">
        <f>VLOOKUP(B157,'BD ASVICC'!$A$6:$X$316,24,FALSE)/VLOOKUP(C157,'BD Comarcal'!$A$6:$Z$17,26,FALSE)</f>
        <v>8.4121383203952012E-3</v>
      </c>
      <c r="I157" s="839">
        <f>(VLOOKUP(C157,'BD Altres'!$D$74:$H$84,5,FALSE) * 1000 / 12) * H157*0.035</f>
        <v>16.644289129477897</v>
      </c>
      <c r="J157" s="839">
        <f>(VLOOKUP(C157,'BD Altres'!$D$74:$H$84,3,FALSE) / 12) * H157*0.25</f>
        <v>2.156105506939705</v>
      </c>
      <c r="K157">
        <f>(VLOOKUP(B157,'BD ASVICC'!$A$6:$GR$316,199,FALSE) / 12)*0.3</f>
        <v>0.19999999999999998</v>
      </c>
      <c r="L157" s="846">
        <f>I157*'1. Cops de calor'!$C$32/30</f>
        <v>238.56814418918322</v>
      </c>
      <c r="M157" s="846">
        <f>J157*'1. Cops de calor'!$C$33/30</f>
        <v>10.780527534698527</v>
      </c>
      <c r="N157" s="846">
        <f>K157*'1. Cops de calor'!$C$34*0.25/30</f>
        <v>3149.9999999999995</v>
      </c>
      <c r="O157" s="779">
        <f t="shared" si="22"/>
        <v>8498.3716793097028</v>
      </c>
      <c r="P157" s="848">
        <f>O157*'A. Dades de partida'!$D$10</f>
        <v>127475.57518964555</v>
      </c>
      <c r="Q157">
        <f t="shared" si="23"/>
        <v>2.25</v>
      </c>
      <c r="R157">
        <f t="shared" si="24"/>
        <v>1.5</v>
      </c>
      <c r="S157">
        <f>I157+(I157*'1. Cops de calor'!$C$40)</f>
        <v>17.576369320728659</v>
      </c>
      <c r="T157">
        <f>J157*'1. Cops de calor'!$C$41+J157</f>
        <v>2.3178134199601828</v>
      </c>
      <c r="U157">
        <f>'1. Cops de calor'!$C$42*K157+K157</f>
        <v>0.20799999999999999</v>
      </c>
      <c r="V157">
        <f>S157*'1. Cops de calor'!$C$32/30</f>
        <v>251.92796026377746</v>
      </c>
      <c r="W157">
        <f>T157*'1. Cops de calor'!$C$33/30</f>
        <v>11.589067099800912</v>
      </c>
      <c r="X157">
        <f>K157*'1. Cops de calor'!$C$34/30</f>
        <v>12599.999999999998</v>
      </c>
      <c r="Y157">
        <f t="shared" si="25"/>
        <v>12863.517027363576</v>
      </c>
      <c r="Z157" s="849">
        <f>Y157*(Q157+R157)*'A. Dades de partida'!$D$10</f>
        <v>723572.83278920106</v>
      </c>
      <c r="AA157" s="850">
        <f t="shared" si="26"/>
        <v>596097.25759955554</v>
      </c>
      <c r="AB157" t="str">
        <f>VLOOKUP(B157,'BD ASVICC'!$A$6:$BG$316,59,FALSE)</f>
        <v>LITORAL</v>
      </c>
      <c r="AC157">
        <f t="shared" si="18"/>
        <v>0.5</v>
      </c>
      <c r="AD157">
        <f t="shared" si="19"/>
        <v>0.5</v>
      </c>
    </row>
    <row r="158" spans="1:30">
      <c r="A158">
        <v>8155</v>
      </c>
      <c r="B158" t="s">
        <v>1311</v>
      </c>
      <c r="C158" t="s">
        <v>86</v>
      </c>
      <c r="D158">
        <f>VLOOKUP(A158,'temperatures màximes'!$A$4:$U$314,'temperatures màximes'!U$1,FALSE)</f>
        <v>0</v>
      </c>
      <c r="E158">
        <f>VLOOKUP(A158,'nits tropicals'!$A$4:$U$314,'nits tropicals'!U$1,FALSE)</f>
        <v>62</v>
      </c>
      <c r="F158">
        <f t="shared" si="20"/>
        <v>0</v>
      </c>
      <c r="G158">
        <f t="shared" si="21"/>
        <v>6.2</v>
      </c>
      <c r="H158" s="840">
        <f>VLOOKUP(B158,'BD ASVICC'!$A$6:$X$316,24,FALSE)/VLOOKUP(C158,'BD Comarcal'!$A$6:$Z$17,26,FALSE)</f>
        <v>2.0686062445498917E-2</v>
      </c>
      <c r="I158" s="839">
        <f>(VLOOKUP(C158,'BD Altres'!$D$74:$H$84,5,FALSE) * 1000 / 12) * H158*0.035</f>
        <v>48.196910315943185</v>
      </c>
      <c r="J158" s="839">
        <f>(VLOOKUP(C158,'BD Altres'!$D$74:$H$84,3,FALSE) / 12) * H158*0.25</f>
        <v>21.727561896042982</v>
      </c>
      <c r="K158">
        <f>(VLOOKUP(B158,'BD ASVICC'!$A$6:$GR$316,199,FALSE) / 12)*0.3</f>
        <v>1.45</v>
      </c>
      <c r="L158" s="846">
        <f>I158*'1. Cops de calor'!$C$32/30</f>
        <v>690.82238119518559</v>
      </c>
      <c r="M158" s="846">
        <f>J158*'1. Cops de calor'!$C$33/30</f>
        <v>108.63780948021491</v>
      </c>
      <c r="N158" s="846">
        <f>K158*'1. Cops de calor'!$C$34*0.25/30</f>
        <v>22837.499999999996</v>
      </c>
      <c r="O158" s="779">
        <f t="shared" si="22"/>
        <v>146549.15318218747</v>
      </c>
      <c r="P158" s="848">
        <f>O158*'A. Dades de partida'!$D$10</f>
        <v>2198237.2977328119</v>
      </c>
      <c r="Q158">
        <f t="shared" si="23"/>
        <v>0</v>
      </c>
      <c r="R158">
        <f t="shared" si="24"/>
        <v>9.3000000000000007</v>
      </c>
      <c r="S158">
        <f>I158+(I158*'1. Cops de calor'!$C$40)</f>
        <v>50.895937293636003</v>
      </c>
      <c r="T158">
        <f>J158*'1. Cops de calor'!$C$41+J158</f>
        <v>23.357129038246207</v>
      </c>
      <c r="U158">
        <f>'1. Cops de calor'!$C$42*K158+K158</f>
        <v>1.508</v>
      </c>
      <c r="V158">
        <f>S158*'1. Cops de calor'!$C$32/30</f>
        <v>729.50843454211611</v>
      </c>
      <c r="W158">
        <f>T158*'1. Cops de calor'!$C$33/30</f>
        <v>116.78564519123103</v>
      </c>
      <c r="X158">
        <f>K158*'1. Cops de calor'!$C$34/30</f>
        <v>91349.999999999985</v>
      </c>
      <c r="Y158">
        <f t="shared" si="25"/>
        <v>92196.294079733329</v>
      </c>
      <c r="Z158" s="849">
        <f>Y158*(Q158+R158)*'A. Dades de partida'!$D$10</f>
        <v>12861383.024122801</v>
      </c>
      <c r="AA158" s="850">
        <f t="shared" si="26"/>
        <v>10663145.726389989</v>
      </c>
      <c r="AB158" t="str">
        <f>VLOOKUP(B158,'BD ASVICC'!$A$6:$BG$316,59,FALSE)</f>
        <v>LITORAL</v>
      </c>
      <c r="AC158">
        <f t="shared" si="18"/>
        <v>0.5</v>
      </c>
      <c r="AD158">
        <f t="shared" si="19"/>
        <v>0.5</v>
      </c>
    </row>
    <row r="159" spans="1:30">
      <c r="A159">
        <v>8156</v>
      </c>
      <c r="B159" t="s">
        <v>1316</v>
      </c>
      <c r="C159" t="s">
        <v>89</v>
      </c>
      <c r="D159">
        <f>VLOOKUP(A159,'temperatures màximes'!$A$4:$U$314,'temperatures màximes'!U$1,FALSE)</f>
        <v>42</v>
      </c>
      <c r="E159">
        <f>VLOOKUP(A159,'nits tropicals'!$A$4:$U$314,'nits tropicals'!U$1,FALSE)</f>
        <v>8</v>
      </c>
      <c r="F159">
        <f t="shared" si="20"/>
        <v>4.2</v>
      </c>
      <c r="G159">
        <f t="shared" si="21"/>
        <v>0.8</v>
      </c>
      <c r="H159" s="840">
        <f>VLOOKUP(B159,'BD ASVICC'!$A$6:$X$316,24,FALSE)/VLOOKUP(C159,'BD Comarcal'!$A$6:$Z$17,26,FALSE)</f>
        <v>1.6028930372467488E-2</v>
      </c>
      <c r="I159" s="839">
        <f>(VLOOKUP(C159,'BD Altres'!$D$74:$H$84,5,FALSE) * 1000 / 12) * H159*0.035</f>
        <v>64.890492042420135</v>
      </c>
      <c r="J159" s="839">
        <f>(VLOOKUP(C159,'BD Altres'!$D$74:$H$84,3,FALSE) / 12) * H159*0.25</f>
        <v>28.483423293987574</v>
      </c>
      <c r="K159">
        <f>(VLOOKUP(B159,'BD ASVICC'!$A$6:$GR$316,199,FALSE) / 12)*0.3</f>
        <v>2.625</v>
      </c>
      <c r="L159" s="846">
        <f>I159*'1. Cops de calor'!$C$32/30</f>
        <v>930.09705260802195</v>
      </c>
      <c r="M159" s="846">
        <f>J159*'1. Cops de calor'!$C$33/30</f>
        <v>142.41711646993787</v>
      </c>
      <c r="N159" s="846">
        <f>K159*'1. Cops de calor'!$C$34*0.25/30</f>
        <v>41343.749999999993</v>
      </c>
      <c r="O159" s="779">
        <f t="shared" si="22"/>
        <v>212081.32084538974</v>
      </c>
      <c r="P159" s="848">
        <f>O159*'A. Dades de partida'!$D$10</f>
        <v>3181219.8126808461</v>
      </c>
      <c r="Q159">
        <f t="shared" si="23"/>
        <v>6.3000000000000007</v>
      </c>
      <c r="R159">
        <f t="shared" si="24"/>
        <v>1.2000000000000002</v>
      </c>
      <c r="S159">
        <f>I159+(I159*'1. Cops de calor'!$C$40)</f>
        <v>68.524359596795662</v>
      </c>
      <c r="T159">
        <f>J159*'1. Cops de calor'!$C$41+J159</f>
        <v>30.619680041036641</v>
      </c>
      <c r="U159">
        <f>'1. Cops de calor'!$C$42*K159+K159</f>
        <v>2.73</v>
      </c>
      <c r="V159">
        <f>S159*'1. Cops de calor'!$C$32/30</f>
        <v>982.18248755407114</v>
      </c>
      <c r="W159">
        <f>T159*'1. Cops de calor'!$C$33/30</f>
        <v>153.0984002051832</v>
      </c>
      <c r="X159">
        <f>K159*'1. Cops de calor'!$C$34/30</f>
        <v>165374.99999999997</v>
      </c>
      <c r="Y159">
        <f t="shared" si="25"/>
        <v>166510.28088775923</v>
      </c>
      <c r="Z159" s="849">
        <f>Y159*(Q159+R159)*'A. Dades de partida'!$D$10</f>
        <v>18732406.599872917</v>
      </c>
      <c r="AA159" s="850">
        <f t="shared" si="26"/>
        <v>15551186.787192071</v>
      </c>
      <c r="AB159" t="str">
        <f>VLOOKUP(B159,'BD ASVICC'!$A$6:$BG$316,59,FALSE)</f>
        <v>LITORAL</v>
      </c>
      <c r="AC159">
        <f t="shared" si="18"/>
        <v>0.5</v>
      </c>
      <c r="AD159">
        <f t="shared" si="19"/>
        <v>0.5</v>
      </c>
    </row>
    <row r="160" spans="1:30">
      <c r="A160">
        <v>8157</v>
      </c>
      <c r="B160" t="s">
        <v>1320</v>
      </c>
      <c r="C160" t="s">
        <v>90</v>
      </c>
      <c r="D160">
        <f>VLOOKUP(A160,'temperatures màximes'!$A$4:$U$314,'temperatures màximes'!U$1,FALSE)</f>
        <v>2</v>
      </c>
      <c r="E160">
        <f>VLOOKUP(A160,'nits tropicals'!$A$4:$U$314,'nits tropicals'!U$1,FALSE)</f>
        <v>246</v>
      </c>
      <c r="F160">
        <f t="shared" si="20"/>
        <v>0.2</v>
      </c>
      <c r="G160">
        <f t="shared" si="21"/>
        <v>24.6</v>
      </c>
      <c r="H160" s="840">
        <f>VLOOKUP(B160,'BD ASVICC'!$A$6:$X$316,24,FALSE)/VLOOKUP(C160,'BD Comarcal'!$A$6:$Z$17,26,FALSE)</f>
        <v>1.4011900484390955E-2</v>
      </c>
      <c r="I160" s="839">
        <f>(VLOOKUP(C160,'BD Altres'!$D$74:$H$84,5,FALSE) * 1000 / 12) * H160*0.035</f>
        <v>25.820964312986913</v>
      </c>
      <c r="J160" s="839">
        <f>(VLOOKUP(C160,'BD Altres'!$D$74:$H$84,3,FALSE) / 12) * H160*0.25</f>
        <v>78.752588507803011</v>
      </c>
      <c r="K160">
        <f>(VLOOKUP(B160,'BD ASVICC'!$A$6:$GR$316,199,FALSE) / 12)*0.3</f>
        <v>2.65</v>
      </c>
      <c r="L160" s="846">
        <f>I160*'1. Cops de calor'!$C$32/30</f>
        <v>370.10048848614576</v>
      </c>
      <c r="M160" s="846">
        <f>J160*'1. Cops de calor'!$C$33/30</f>
        <v>393.76294253901506</v>
      </c>
      <c r="N160" s="846">
        <f>K160*'1. Cops de calor'!$C$34*0.25/30</f>
        <v>41737.499999999993</v>
      </c>
      <c r="O160" s="779">
        <f t="shared" si="22"/>
        <v>1054033.8130894238</v>
      </c>
      <c r="P160" s="848">
        <f>O160*'A. Dades de partida'!$D$10</f>
        <v>15810507.196341358</v>
      </c>
      <c r="Q160">
        <f t="shared" si="23"/>
        <v>0.30000000000000004</v>
      </c>
      <c r="R160">
        <f t="shared" si="24"/>
        <v>36.900000000000006</v>
      </c>
      <c r="S160">
        <f>I160+(I160*'1. Cops de calor'!$C$40)</f>
        <v>27.266938314514181</v>
      </c>
      <c r="T160">
        <f>J160*'1. Cops de calor'!$C$41+J160</f>
        <v>84.659032645888232</v>
      </c>
      <c r="U160">
        <f>'1. Cops de calor'!$C$42*K160+K160</f>
        <v>2.7559999999999998</v>
      </c>
      <c r="V160">
        <f>S160*'1. Cops de calor'!$C$32/30</f>
        <v>390.82611584136993</v>
      </c>
      <c r="W160">
        <f>T160*'1. Cops de calor'!$C$33/30</f>
        <v>423.29516322944113</v>
      </c>
      <c r="X160">
        <f>K160*'1. Cops de calor'!$C$34/30</f>
        <v>166949.99999999997</v>
      </c>
      <c r="Y160">
        <f t="shared" si="25"/>
        <v>167764.12127907079</v>
      </c>
      <c r="Z160" s="849">
        <f>Y160*(Q160+R160)*'A. Dades de partida'!$D$10</f>
        <v>93612379.673721507</v>
      </c>
      <c r="AA160" s="850">
        <f t="shared" si="26"/>
        <v>77801872.477380157</v>
      </c>
      <c r="AB160" t="str">
        <f>VLOOKUP(B160,'BD ASVICC'!$A$6:$BG$316,59,FALSE)</f>
        <v>LITORAL</v>
      </c>
      <c r="AC160">
        <f t="shared" si="18"/>
        <v>0.5</v>
      </c>
      <c r="AD160">
        <f t="shared" si="19"/>
        <v>0.5</v>
      </c>
    </row>
    <row r="161" spans="1:30">
      <c r="A161">
        <v>8158</v>
      </c>
      <c r="B161" t="s">
        <v>1324</v>
      </c>
      <c r="C161" t="s">
        <v>90</v>
      </c>
      <c r="D161">
        <f>VLOOKUP(A161,'temperatures màximes'!$A$4:$U$314,'temperatures màximes'!U$1,FALSE)</f>
        <v>2</v>
      </c>
      <c r="E161">
        <f>VLOOKUP(A161,'nits tropicals'!$A$4:$U$314,'nits tropicals'!U$1,FALSE)</f>
        <v>246</v>
      </c>
      <c r="F161">
        <f t="shared" si="20"/>
        <v>0.2</v>
      </c>
      <c r="G161">
        <f t="shared" si="21"/>
        <v>24.6</v>
      </c>
      <c r="H161" s="840">
        <f>VLOOKUP(B161,'BD ASVICC'!$A$6:$X$316,24,FALSE)/VLOOKUP(C161,'BD Comarcal'!$A$6:$Z$17,26,FALSE)</f>
        <v>5.0315909828950603E-3</v>
      </c>
      <c r="I161" s="839">
        <f>(VLOOKUP(C161,'BD Altres'!$D$74:$H$84,5,FALSE) * 1000 / 12) * H161*0.035</f>
        <v>9.2721562896917238</v>
      </c>
      <c r="J161" s="839">
        <f>(VLOOKUP(C161,'BD Altres'!$D$74:$H$84,3,FALSE) / 12) * H161*0.25</f>
        <v>28.279590956053692</v>
      </c>
      <c r="K161">
        <f>(VLOOKUP(B161,'BD ASVICC'!$A$6:$GR$316,199,FALSE) / 12)*0.3</f>
        <v>0.57499999999999996</v>
      </c>
      <c r="L161" s="846">
        <f>I161*'1. Cops de calor'!$C$32/30</f>
        <v>132.90090681891471</v>
      </c>
      <c r="M161" s="846">
        <f>J161*'1. Cops de calor'!$C$33/30</f>
        <v>141.39795478026844</v>
      </c>
      <c r="N161" s="846">
        <f>K161*'1. Cops de calor'!$C$34*0.25/30</f>
        <v>9056.2499999999982</v>
      </c>
      <c r="O161" s="779">
        <f t="shared" si="22"/>
        <v>231397.61176765972</v>
      </c>
      <c r="P161" s="848">
        <f>O161*'A. Dades de partida'!$D$10</f>
        <v>3470964.1765148956</v>
      </c>
      <c r="Q161">
        <f t="shared" si="23"/>
        <v>0.30000000000000004</v>
      </c>
      <c r="R161">
        <f t="shared" si="24"/>
        <v>36.900000000000006</v>
      </c>
      <c r="S161">
        <f>I161+(I161*'1. Cops de calor'!$C$40)</f>
        <v>9.7913970419144611</v>
      </c>
      <c r="T161">
        <f>J161*'1. Cops de calor'!$C$41+J161</f>
        <v>30.40056027775772</v>
      </c>
      <c r="U161">
        <f>'1. Cops de calor'!$C$42*K161+K161</f>
        <v>0.59799999999999998</v>
      </c>
      <c r="V161">
        <f>S161*'1. Cops de calor'!$C$32/30</f>
        <v>140.34335760077394</v>
      </c>
      <c r="W161">
        <f>T161*'1. Cops de calor'!$C$33/30</f>
        <v>152.00280138878861</v>
      </c>
      <c r="X161">
        <f>K161*'1. Cops de calor'!$C$34/30</f>
        <v>36224.999999999993</v>
      </c>
      <c r="Y161">
        <f t="shared" si="25"/>
        <v>36517.346158989552</v>
      </c>
      <c r="Z161" s="849">
        <f>Y161*(Q161+R161)*'A. Dades de partida'!$D$10</f>
        <v>20376679.156716172</v>
      </c>
      <c r="AA161" s="850">
        <f t="shared" si="26"/>
        <v>16905714.980201274</v>
      </c>
      <c r="AB161" t="str">
        <f>VLOOKUP(B161,'BD ASVICC'!$A$6:$BG$316,59,FALSE)</f>
        <v>LITORAL</v>
      </c>
      <c r="AC161">
        <f t="shared" si="18"/>
        <v>0.5</v>
      </c>
      <c r="AD161">
        <f t="shared" si="19"/>
        <v>0.5</v>
      </c>
    </row>
    <row r="162" spans="1:30">
      <c r="A162">
        <v>8159</v>
      </c>
      <c r="B162" t="s">
        <v>1325</v>
      </c>
      <c r="C162" t="s">
        <v>24</v>
      </c>
      <c r="D162">
        <f>VLOOKUP(A162,'temperatures màximes'!$A$4:$U$314,'temperatures màximes'!U$1,FALSE)</f>
        <v>39</v>
      </c>
      <c r="E162">
        <f>VLOOKUP(A162,'nits tropicals'!$A$4:$U$314,'nits tropicals'!U$1,FALSE)</f>
        <v>2</v>
      </c>
      <c r="F162">
        <f t="shared" si="20"/>
        <v>3.9</v>
      </c>
      <c r="G162">
        <f t="shared" si="21"/>
        <v>0.2</v>
      </c>
      <c r="H162" s="840">
        <f>VLOOKUP(B162,'BD ASVICC'!$A$6:$X$316,24,FALSE)/VLOOKUP(C162,'BD Comarcal'!$A$6:$Z$17,26,FALSE)</f>
        <v>4.6935500749991282E-2</v>
      </c>
      <c r="I162" s="839">
        <f>(VLOOKUP(C162,'BD Altres'!$D$74:$H$84,5,FALSE) * 1000 / 12) * H162*0.035</f>
        <v>332.15464298182025</v>
      </c>
      <c r="J162" s="839">
        <f>(VLOOKUP(C162,'BD Altres'!$D$74:$H$84,3,FALSE) / 12) * H162*0.25</f>
        <v>74.675080524897055</v>
      </c>
      <c r="K162">
        <f>(VLOOKUP(B162,'BD ASVICC'!$A$6:$GR$316,199,FALSE) / 12)*0.3</f>
        <v>2.6749999999999998</v>
      </c>
      <c r="L162" s="846">
        <f>I162*'1. Cops de calor'!$C$32/30</f>
        <v>4760.883216072757</v>
      </c>
      <c r="M162" s="846">
        <f>J162*'1. Cops de calor'!$C$33/30</f>
        <v>373.37540262448528</v>
      </c>
      <c r="N162" s="846">
        <f>K162*'1. Cops de calor'!$C$34*0.25/30</f>
        <v>42131.249999999993</v>
      </c>
      <c r="O162" s="779">
        <f t="shared" si="22"/>
        <v>193788.58533665864</v>
      </c>
      <c r="P162" s="848">
        <f>O162*'A. Dades de partida'!$D$10</f>
        <v>2906828.7800498796</v>
      </c>
      <c r="Q162">
        <f t="shared" si="23"/>
        <v>5.85</v>
      </c>
      <c r="R162">
        <f t="shared" si="24"/>
        <v>0.30000000000000004</v>
      </c>
      <c r="S162">
        <f>I162+(I162*'1. Cops de calor'!$C$40)</f>
        <v>350.75530298880216</v>
      </c>
      <c r="T162">
        <f>J162*'1. Cops de calor'!$C$41+J162</f>
        <v>80.275711564264327</v>
      </c>
      <c r="U162">
        <f>'1. Cops de calor'!$C$42*K162+K162</f>
        <v>2.782</v>
      </c>
      <c r="V162">
        <f>S162*'1. Cops de calor'!$C$32/30</f>
        <v>5027.4926761728311</v>
      </c>
      <c r="W162">
        <f>T162*'1. Cops de calor'!$C$33/30</f>
        <v>401.37855782132164</v>
      </c>
      <c r="X162">
        <f>K162*'1. Cops de calor'!$C$34/30</f>
        <v>168524.99999999997</v>
      </c>
      <c r="Y162">
        <f t="shared" si="25"/>
        <v>173953.87123399411</v>
      </c>
      <c r="Z162" s="849">
        <f>Y162*(Q162+R162)*'A. Dades de partida'!$D$10</f>
        <v>16047244.621335955</v>
      </c>
      <c r="AA162" s="850">
        <f t="shared" si="26"/>
        <v>13140415.841286076</v>
      </c>
      <c r="AB162" t="str">
        <f>VLOOKUP(B162,'BD ASVICC'!$A$6:$BG$316,59,FALSE)</f>
        <v>LITORAL</v>
      </c>
      <c r="AC162">
        <f t="shared" si="18"/>
        <v>0.5</v>
      </c>
      <c r="AD162">
        <f t="shared" si="19"/>
        <v>0.5</v>
      </c>
    </row>
    <row r="163" spans="1:30">
      <c r="A163">
        <v>8160</v>
      </c>
      <c r="B163" t="s">
        <v>1326</v>
      </c>
      <c r="C163" t="s">
        <v>88</v>
      </c>
      <c r="D163">
        <f>VLOOKUP(A163,'temperatures màximes'!$A$4:$U$314,'temperatures màximes'!U$1,FALSE)</f>
        <v>10</v>
      </c>
      <c r="E163">
        <f>VLOOKUP(A163,'nits tropicals'!$A$4:$U$314,'nits tropicals'!U$1,FALSE)</f>
        <v>0</v>
      </c>
      <c r="F163">
        <f t="shared" si="20"/>
        <v>1</v>
      </c>
      <c r="G163">
        <f t="shared" si="21"/>
        <v>0</v>
      </c>
      <c r="H163" s="840">
        <f>VLOOKUP(B163,'BD ASVICC'!$A$6:$X$316,24,FALSE)/VLOOKUP(C163,'BD Comarcal'!$A$6:$Z$17,26,FALSE)</f>
        <v>2.6406923625522838E-3</v>
      </c>
      <c r="I163" s="839">
        <f>(VLOOKUP(C163,'BD Altres'!$D$74:$H$84,5,FALSE) * 1000 / 12) * H163*0.035</f>
        <v>2.9383203975816148</v>
      </c>
      <c r="J163" s="839">
        <f>(VLOOKUP(C163,'BD Altres'!$D$74:$H$84,3,FALSE) / 12) * H163*0.25</f>
        <v>1.879787861167687</v>
      </c>
      <c r="K163">
        <f>(VLOOKUP(B163,'BD ASVICC'!$A$6:$GR$316,199,FALSE) / 12)*0.3</f>
        <v>0</v>
      </c>
      <c r="L163" s="846">
        <f>I163*'1. Cops de calor'!$C$32/30</f>
        <v>42.115925698669813</v>
      </c>
      <c r="M163" s="846">
        <f>J163*'1. Cops de calor'!$C$33/30</f>
        <v>9.3989393058384358</v>
      </c>
      <c r="N163" s="846">
        <f>K163*'1. Cops de calor'!$C$34*0.25/30</f>
        <v>0</v>
      </c>
      <c r="O163" s="779">
        <f t="shared" si="22"/>
        <v>51.514865004508252</v>
      </c>
      <c r="P163" s="848">
        <f>O163*'A. Dades de partida'!$D$10</f>
        <v>772.72297506762379</v>
      </c>
      <c r="Q163">
        <f t="shared" si="23"/>
        <v>1.5</v>
      </c>
      <c r="R163">
        <f t="shared" si="24"/>
        <v>0</v>
      </c>
      <c r="S163">
        <f>I163+(I163*'1. Cops de calor'!$C$40)</f>
        <v>3.1028663398461851</v>
      </c>
      <c r="T163">
        <f>J163*'1. Cops de calor'!$C$41+J163</f>
        <v>2.0207719507552637</v>
      </c>
      <c r="U163">
        <f>'1. Cops de calor'!$C$42*K163+K163</f>
        <v>0</v>
      </c>
      <c r="V163">
        <f>S163*'1. Cops de calor'!$C$32/30</f>
        <v>44.474417537795325</v>
      </c>
      <c r="W163">
        <f>T163*'1. Cops de calor'!$C$33/30</f>
        <v>10.103859753776318</v>
      </c>
      <c r="X163">
        <f>K163*'1. Cops de calor'!$C$34/30</f>
        <v>0</v>
      </c>
      <c r="Y163">
        <f t="shared" si="25"/>
        <v>54.578277291571645</v>
      </c>
      <c r="Z163" s="849">
        <f>Y163*(Q163+R163)*'A. Dades de partida'!$D$10</f>
        <v>1228.011239060362</v>
      </c>
      <c r="AA163" s="850">
        <f t="shared" si="26"/>
        <v>455.28826399273817</v>
      </c>
      <c r="AB163" t="str">
        <f>VLOOKUP(B163,'BD ASVICC'!$A$6:$BG$316,59,FALSE)</f>
        <v>PREPIRINEU-PIRINEU</v>
      </c>
      <c r="AC163">
        <f t="shared" si="18"/>
        <v>0.5</v>
      </c>
      <c r="AD163">
        <f t="shared" si="19"/>
        <v>0.5</v>
      </c>
    </row>
    <row r="164" spans="1:30">
      <c r="A164">
        <v>8161</v>
      </c>
      <c r="B164" t="s">
        <v>1330</v>
      </c>
      <c r="C164" t="s">
        <v>81</v>
      </c>
      <c r="D164">
        <f>VLOOKUP(A164,'temperatures màximes'!$A$4:$U$314,'temperatures màximes'!U$1,FALSE)</f>
        <v>77</v>
      </c>
      <c r="E164">
        <f>VLOOKUP(A164,'nits tropicals'!$A$4:$U$314,'nits tropicals'!U$1,FALSE)</f>
        <v>2</v>
      </c>
      <c r="F164">
        <f t="shared" si="20"/>
        <v>7.7</v>
      </c>
      <c r="G164">
        <f t="shared" si="21"/>
        <v>0.2</v>
      </c>
      <c r="H164" s="840">
        <f>VLOOKUP(B164,'BD ASVICC'!$A$6:$X$316,24,FALSE)/VLOOKUP(C164,'BD Comarcal'!$A$6:$Z$17,26,FALSE)</f>
        <v>0.12766373910675383</v>
      </c>
      <c r="I164" s="839">
        <f>(VLOOKUP(C164,'BD Altres'!$D$74:$H$84,5,FALSE) * 1000 / 12) * H164*0.035</f>
        <v>106.49519710300272</v>
      </c>
      <c r="J164" s="839">
        <f>(VLOOKUP(C164,'BD Altres'!$D$74:$H$84,3,FALSE) / 12) * H164*0.25</f>
        <v>51.430807494233946</v>
      </c>
      <c r="K164">
        <f>(VLOOKUP(B164,'BD ASVICC'!$A$6:$GR$316,199,FALSE) / 12)*0.3</f>
        <v>3.4999999999999996</v>
      </c>
      <c r="L164" s="846">
        <f>I164*'1. Cops de calor'!$C$32/30</f>
        <v>1526.4311584763723</v>
      </c>
      <c r="M164" s="846">
        <f>J164*'1. Cops de calor'!$C$33/30</f>
        <v>257.15403747116972</v>
      </c>
      <c r="N164" s="846">
        <f>K164*'1. Cops de calor'!$C$34*0.25/30</f>
        <v>55124.999999999985</v>
      </c>
      <c r="O164" s="779">
        <f t="shared" si="22"/>
        <v>449577.8230479855</v>
      </c>
      <c r="P164" s="848">
        <f>O164*'A. Dades de partida'!$D$10</f>
        <v>6743667.3457197826</v>
      </c>
      <c r="Q164">
        <f t="shared" si="23"/>
        <v>11.55</v>
      </c>
      <c r="R164">
        <f t="shared" si="24"/>
        <v>0.30000000000000004</v>
      </c>
      <c r="S164">
        <f>I164+(I164*'1. Cops de calor'!$C$40)</f>
        <v>112.45892814077088</v>
      </c>
      <c r="T164">
        <f>J164*'1. Cops de calor'!$C$41+J164</f>
        <v>55.288118056301492</v>
      </c>
      <c r="U164">
        <f>'1. Cops de calor'!$C$42*K164+K164</f>
        <v>3.6399999999999997</v>
      </c>
      <c r="V164">
        <f>S164*'1. Cops de calor'!$C$32/30</f>
        <v>1611.9113033510491</v>
      </c>
      <c r="W164">
        <f>T164*'1. Cops de calor'!$C$33/30</f>
        <v>276.44059028150747</v>
      </c>
      <c r="X164">
        <f>K164*'1. Cops de calor'!$C$34/30</f>
        <v>220499.99999999994</v>
      </c>
      <c r="Y164">
        <f t="shared" si="25"/>
        <v>222388.3518936325</v>
      </c>
      <c r="Z164" s="849">
        <f>Y164*(Q164+R164)*'A. Dades de partida'!$D$10</f>
        <v>39529529.549093179</v>
      </c>
      <c r="AA164" s="850">
        <f t="shared" si="26"/>
        <v>32785862.203373395</v>
      </c>
      <c r="AB164" t="str">
        <f>VLOOKUP(B164,'BD ASVICC'!$A$6:$BG$316,59,FALSE)</f>
        <v>CENTRAL</v>
      </c>
      <c r="AC164">
        <f t="shared" si="18"/>
        <v>0.5</v>
      </c>
      <c r="AD164">
        <f t="shared" si="19"/>
        <v>0.5</v>
      </c>
    </row>
    <row r="165" spans="1:30">
      <c r="A165">
        <v>8162</v>
      </c>
      <c r="B165" t="s">
        <v>1334</v>
      </c>
      <c r="C165" t="s">
        <v>81</v>
      </c>
      <c r="D165">
        <f>VLOOKUP(A165,'temperatures màximes'!$A$4:$U$314,'temperatures màximes'!U$1,FALSE)</f>
        <v>35</v>
      </c>
      <c r="E165">
        <f>VLOOKUP(A165,'nits tropicals'!$A$4:$U$314,'nits tropicals'!U$1,FALSE)</f>
        <v>45</v>
      </c>
      <c r="F165">
        <f t="shared" si="20"/>
        <v>3.5</v>
      </c>
      <c r="G165">
        <f t="shared" si="21"/>
        <v>4.5</v>
      </c>
      <c r="H165" s="840">
        <f>VLOOKUP(B165,'BD ASVICC'!$A$6:$X$316,24,FALSE)/VLOOKUP(C165,'BD Comarcal'!$A$6:$Z$17,26,FALSE)</f>
        <v>2.4603417755991286E-2</v>
      </c>
      <c r="I165" s="839">
        <f>(VLOOKUP(C165,'BD Altres'!$D$74:$H$84,5,FALSE) * 1000 / 12) * H165*0.035</f>
        <v>20.523806067914197</v>
      </c>
      <c r="J165" s="839">
        <f>(VLOOKUP(C165,'BD Altres'!$D$74:$H$84,3,FALSE) / 12) * H165*0.25</f>
        <v>9.9117701797100413</v>
      </c>
      <c r="K165">
        <f>(VLOOKUP(B165,'BD ASVICC'!$A$6:$GR$316,199,FALSE) / 12)*0.3</f>
        <v>0.39999999999999997</v>
      </c>
      <c r="L165" s="846">
        <f>I165*'1. Cops de calor'!$C$32/30</f>
        <v>294.17455364010345</v>
      </c>
      <c r="M165" s="846">
        <f>J165*'1. Cops de calor'!$C$33/30</f>
        <v>49.558850898550205</v>
      </c>
      <c r="N165" s="846">
        <f>K165*'1. Cops de calor'!$C$34*0.25/30</f>
        <v>6299.9999999999991</v>
      </c>
      <c r="O165" s="779">
        <f t="shared" si="22"/>
        <v>53149.867236309219</v>
      </c>
      <c r="P165" s="848">
        <f>O165*'A. Dades de partida'!$D$10</f>
        <v>797248.00854463829</v>
      </c>
      <c r="Q165">
        <f t="shared" si="23"/>
        <v>5.25</v>
      </c>
      <c r="R165">
        <f t="shared" si="24"/>
        <v>6.75</v>
      </c>
      <c r="S165">
        <f>I165+(I165*'1. Cops de calor'!$C$40)</f>
        <v>21.673139207717391</v>
      </c>
      <c r="T165">
        <f>J165*'1. Cops de calor'!$C$41+J165</f>
        <v>10.655152943188295</v>
      </c>
      <c r="U165">
        <f>'1. Cops de calor'!$C$42*K165+K165</f>
        <v>0.41599999999999998</v>
      </c>
      <c r="V165">
        <f>S165*'1. Cops de calor'!$C$32/30</f>
        <v>310.64832864394924</v>
      </c>
      <c r="W165">
        <f>T165*'1. Cops de calor'!$C$33/30</f>
        <v>53.275764715941477</v>
      </c>
      <c r="X165">
        <f>K165*'1. Cops de calor'!$C$34/30</f>
        <v>25199.999999999996</v>
      </c>
      <c r="Y165">
        <f t="shared" si="25"/>
        <v>25563.924093359889</v>
      </c>
      <c r="Z165" s="849">
        <f>Y165*(Q165+R165)*'A. Dades de partida'!$D$10</f>
        <v>4601506.3368047792</v>
      </c>
      <c r="AA165" s="850">
        <f t="shared" si="26"/>
        <v>3804258.328260141</v>
      </c>
      <c r="AB165" t="str">
        <f>VLOOKUP(B165,'BD ASVICC'!$A$6:$BG$316,59,FALSE)</f>
        <v>CENTRAL</v>
      </c>
      <c r="AC165">
        <f t="shared" si="18"/>
        <v>0.5</v>
      </c>
      <c r="AD165">
        <f t="shared" si="19"/>
        <v>0.5</v>
      </c>
    </row>
    <row r="166" spans="1:30">
      <c r="A166">
        <v>8163</v>
      </c>
      <c r="B166" t="s">
        <v>347</v>
      </c>
      <c r="C166" t="s">
        <v>86</v>
      </c>
      <c r="D166">
        <f>VLOOKUP(A166,'temperatures màximes'!$A$4:$U$314,'temperatures màximes'!U$1,FALSE)</f>
        <v>0</v>
      </c>
      <c r="E166">
        <f>VLOOKUP(A166,'nits tropicals'!$A$4:$U$314,'nits tropicals'!U$1,FALSE)</f>
        <v>62</v>
      </c>
      <c r="F166">
        <f t="shared" si="20"/>
        <v>0</v>
      </c>
      <c r="G166">
        <f t="shared" si="21"/>
        <v>6.2</v>
      </c>
      <c r="H166" s="840">
        <f>VLOOKUP(B166,'BD ASVICC'!$A$6:$X$316,24,FALSE)/VLOOKUP(C166,'BD Comarcal'!$A$6:$Z$17,26,FALSE)</f>
        <v>5.9433075503108689E-2</v>
      </c>
      <c r="I166" s="839">
        <f>(VLOOKUP(C166,'BD Altres'!$D$74:$H$84,5,FALSE) * 1000 / 12) * H166*0.035</f>
        <v>138.47442534658376</v>
      </c>
      <c r="J166" s="839">
        <f>(VLOOKUP(C166,'BD Altres'!$D$74:$H$84,3,FALSE) / 12) * H166*0.25</f>
        <v>62.425405031442892</v>
      </c>
      <c r="K166">
        <f>(VLOOKUP(B166,'BD ASVICC'!$A$6:$GR$316,199,FALSE) / 12)*0.3</f>
        <v>4.8249999999999993</v>
      </c>
      <c r="L166" s="846">
        <f>I166*'1. Cops de calor'!$C$32/30</f>
        <v>1984.8000966343673</v>
      </c>
      <c r="M166" s="846">
        <f>J166*'1. Cops de calor'!$C$33/30</f>
        <v>312.12702515721446</v>
      </c>
      <c r="N166" s="846">
        <f>K166*'1. Cops de calor'!$C$34*0.25/30</f>
        <v>75993.749999999985</v>
      </c>
      <c r="O166" s="779">
        <f t="shared" si="22"/>
        <v>485402.19815510773</v>
      </c>
      <c r="P166" s="848">
        <f>O166*'A. Dades de partida'!$D$10</f>
        <v>7281032.9723266158</v>
      </c>
      <c r="Q166">
        <f t="shared" si="23"/>
        <v>0</v>
      </c>
      <c r="R166">
        <f t="shared" si="24"/>
        <v>9.3000000000000007</v>
      </c>
      <c r="S166">
        <f>I166+(I166*'1. Cops de calor'!$C$40)</f>
        <v>146.22899316599245</v>
      </c>
      <c r="T166">
        <f>J166*'1. Cops de calor'!$C$41+J166</f>
        <v>67.107310408801112</v>
      </c>
      <c r="U166">
        <f>'1. Cops de calor'!$C$42*K166+K166</f>
        <v>5.0179999999999989</v>
      </c>
      <c r="V166">
        <f>S166*'1. Cops de calor'!$C$32/30</f>
        <v>2095.9489020458918</v>
      </c>
      <c r="W166">
        <f>T166*'1. Cops de calor'!$C$33/30</f>
        <v>335.53655204400553</v>
      </c>
      <c r="X166">
        <f>K166*'1. Cops de calor'!$C$34/30</f>
        <v>303974.99999999994</v>
      </c>
      <c r="Y166">
        <f t="shared" si="25"/>
        <v>306406.48545408982</v>
      </c>
      <c r="Z166" s="849">
        <f>Y166*(Q166+R166)*'A. Dades de partida'!$D$10</f>
        <v>42743704.720845535</v>
      </c>
      <c r="AA166" s="850">
        <f t="shared" si="26"/>
        <v>35462671.748518921</v>
      </c>
      <c r="AB166" t="str">
        <f>VLOOKUP(B166,'BD ASVICC'!$A$6:$BG$316,59,FALSE)</f>
        <v>LITORAL</v>
      </c>
      <c r="AC166">
        <f t="shared" si="18"/>
        <v>0.5</v>
      </c>
      <c r="AD166">
        <f t="shared" si="19"/>
        <v>0.5</v>
      </c>
    </row>
    <row r="167" spans="1:30">
      <c r="A167">
        <v>8164</v>
      </c>
      <c r="B167" t="s">
        <v>1339</v>
      </c>
      <c r="C167" t="s">
        <v>791</v>
      </c>
      <c r="D167">
        <f>VLOOKUP(A167,'temperatures màximes'!$A$4:$U$314,'temperatures màximes'!U$1,FALSE)</f>
        <v>15</v>
      </c>
      <c r="E167">
        <f>VLOOKUP(A167,'nits tropicals'!$A$4:$U$314,'nits tropicals'!U$1,FALSE)</f>
        <v>10</v>
      </c>
      <c r="F167">
        <f t="shared" si="20"/>
        <v>1.5</v>
      </c>
      <c r="G167">
        <f t="shared" si="21"/>
        <v>1</v>
      </c>
      <c r="H167" s="840">
        <f>VLOOKUP(B167,'BD ASVICC'!$A$6:$X$316,24,FALSE)/VLOOKUP(C167,'BD Comarcal'!$A$6:$Z$17,26,FALSE)</f>
        <v>1.1790167019524818E-2</v>
      </c>
      <c r="I167" s="839">
        <f>(VLOOKUP(C167,'BD Altres'!$D$74:$H$84,5,FALSE) * 1000 / 12) * H167*0.035</f>
        <v>23.328069663574727</v>
      </c>
      <c r="J167" s="839">
        <f>(VLOOKUP(C167,'BD Altres'!$D$74:$H$84,3,FALSE) / 12) * H167*0.25</f>
        <v>3.0219241612924503</v>
      </c>
      <c r="K167">
        <f>(VLOOKUP(B167,'BD ASVICC'!$A$6:$GR$316,199,FALSE) / 12)*0.3</f>
        <v>0.25</v>
      </c>
      <c r="L167" s="846">
        <f>I167*'1. Cops de calor'!$C$32/30</f>
        <v>334.36899851123775</v>
      </c>
      <c r="M167" s="846">
        <f>J167*'1. Cops de calor'!$C$33/30</f>
        <v>15.109620806462253</v>
      </c>
      <c r="N167" s="846">
        <f>K167*'1. Cops de calor'!$C$34*0.25/30</f>
        <v>3937.4999999999995</v>
      </c>
      <c r="O167" s="779">
        <f t="shared" si="22"/>
        <v>10717.446548294249</v>
      </c>
      <c r="P167" s="848">
        <f>O167*'A. Dades de partida'!$D$10</f>
        <v>160761.69822441373</v>
      </c>
      <c r="Q167">
        <f t="shared" si="23"/>
        <v>2.25</v>
      </c>
      <c r="R167">
        <f t="shared" si="24"/>
        <v>1.5</v>
      </c>
      <c r="S167">
        <f>I167+(I167*'1. Cops de calor'!$C$40)</f>
        <v>24.63444156473491</v>
      </c>
      <c r="T167">
        <f>J167*'1. Cops de calor'!$C$41+J167</f>
        <v>3.2485684733893843</v>
      </c>
      <c r="U167">
        <f>'1. Cops de calor'!$C$42*K167+K167</f>
        <v>0.26</v>
      </c>
      <c r="V167">
        <f>S167*'1. Cops de calor'!$C$32/30</f>
        <v>353.09366242786706</v>
      </c>
      <c r="W167">
        <f>T167*'1. Cops de calor'!$C$33/30</f>
        <v>16.24284236694692</v>
      </c>
      <c r="X167">
        <f>K167*'1. Cops de calor'!$C$34/30</f>
        <v>15749.999999999998</v>
      </c>
      <c r="Y167">
        <f t="shared" si="25"/>
        <v>16119.336504794812</v>
      </c>
      <c r="Z167" s="849">
        <f>Y167*(Q167+R167)*'A. Dades de partida'!$D$10</f>
        <v>906712.6783947082</v>
      </c>
      <c r="AA167" s="850">
        <f t="shared" si="26"/>
        <v>745950.98017029441</v>
      </c>
      <c r="AB167" t="str">
        <f>VLOOKUP(B167,'BD ASVICC'!$A$6:$BG$316,59,FALSE)</f>
        <v>CENTRAL</v>
      </c>
      <c r="AC167">
        <f t="shared" si="18"/>
        <v>0.5</v>
      </c>
      <c r="AD167">
        <f t="shared" si="19"/>
        <v>0.5</v>
      </c>
    </row>
    <row r="168" spans="1:30">
      <c r="A168">
        <v>8165</v>
      </c>
      <c r="B168" t="s">
        <v>1340</v>
      </c>
      <c r="C168" t="s">
        <v>81</v>
      </c>
      <c r="D168">
        <f>VLOOKUP(A168,'temperatures màximes'!$A$4:$U$314,'temperatures màximes'!U$1,FALSE)</f>
        <v>77</v>
      </c>
      <c r="E168">
        <f>VLOOKUP(A168,'nits tropicals'!$A$4:$U$314,'nits tropicals'!U$1,FALSE)</f>
        <v>2</v>
      </c>
      <c r="F168">
        <f t="shared" si="20"/>
        <v>7.7</v>
      </c>
      <c r="G168">
        <f t="shared" si="21"/>
        <v>0.2</v>
      </c>
      <c r="H168" s="840">
        <f>VLOOKUP(B168,'BD ASVICC'!$A$6:$X$316,24,FALSE)/VLOOKUP(C168,'BD Comarcal'!$A$6:$Z$17,26,FALSE)</f>
        <v>1.8373842592592591E-2</v>
      </c>
      <c r="I168" s="839">
        <f>(VLOOKUP(C168,'BD Altres'!$D$74:$H$84,5,FALSE) * 1000 / 12) * H168*0.035</f>
        <v>15.327186890566152</v>
      </c>
      <c r="J168" s="839">
        <f>(VLOOKUP(C168,'BD Altres'!$D$74:$H$84,3,FALSE) / 12) * H168*0.25</f>
        <v>7.4021140843977786</v>
      </c>
      <c r="K168">
        <f>(VLOOKUP(B168,'BD ASVICC'!$A$6:$GR$316,199,FALSE) / 12)*0.3</f>
        <v>0.47499999999999998</v>
      </c>
      <c r="L168" s="846">
        <f>I168*'1. Cops de calor'!$C$32/30</f>
        <v>219.68967876478152</v>
      </c>
      <c r="M168" s="846">
        <f>J168*'1. Cops de calor'!$C$33/30</f>
        <v>37.010570421988888</v>
      </c>
      <c r="N168" s="846">
        <f>K168*'1. Cops de calor'!$C$34*0.25/30</f>
        <v>7481.2499999999991</v>
      </c>
      <c r="O168" s="779">
        <f t="shared" si="22"/>
        <v>61129.806968575482</v>
      </c>
      <c r="P168" s="848">
        <f>O168*'A. Dades de partida'!$D$10</f>
        <v>916947.10452863225</v>
      </c>
      <c r="Q168">
        <f t="shared" si="23"/>
        <v>11.55</v>
      </c>
      <c r="R168">
        <f t="shared" si="24"/>
        <v>0.30000000000000004</v>
      </c>
      <c r="S168">
        <f>I168+(I168*'1. Cops de calor'!$C$40)</f>
        <v>16.185509356437855</v>
      </c>
      <c r="T168">
        <f>J168*'1. Cops de calor'!$C$41+J168</f>
        <v>7.957272640727612</v>
      </c>
      <c r="U168">
        <f>'1. Cops de calor'!$C$42*K168+K168</f>
        <v>0.49399999999999999</v>
      </c>
      <c r="V168">
        <f>S168*'1. Cops de calor'!$C$32/30</f>
        <v>231.99230077560927</v>
      </c>
      <c r="W168">
        <f>T168*'1. Cops de calor'!$C$33/30</f>
        <v>39.786363203638061</v>
      </c>
      <c r="X168">
        <f>K168*'1. Cops de calor'!$C$34/30</f>
        <v>29924.999999999996</v>
      </c>
      <c r="Y168">
        <f t="shared" si="25"/>
        <v>30196.778663979243</v>
      </c>
      <c r="Z168" s="849">
        <f>Y168*(Q168+R168)*'A. Dades de partida'!$D$10</f>
        <v>5367477.4075223114</v>
      </c>
      <c r="AA168" s="850">
        <f t="shared" si="26"/>
        <v>4450530.3029936794</v>
      </c>
      <c r="AB168" t="str">
        <f>VLOOKUP(B168,'BD ASVICC'!$A$6:$BG$316,59,FALSE)</f>
        <v>CENTRAL</v>
      </c>
      <c r="AC168">
        <f t="shared" si="18"/>
        <v>0.5</v>
      </c>
      <c r="AD168">
        <f t="shared" si="19"/>
        <v>0.5</v>
      </c>
    </row>
    <row r="169" spans="1:30">
      <c r="A169">
        <v>8166</v>
      </c>
      <c r="B169" t="s">
        <v>1343</v>
      </c>
      <c r="C169" t="s">
        <v>84</v>
      </c>
      <c r="D169">
        <f>VLOOKUP(A169,'temperatures màximes'!$A$4:$U$314,'temperatures màximes'!U$1,FALSE)</f>
        <v>17</v>
      </c>
      <c r="E169">
        <f>VLOOKUP(A169,'nits tropicals'!$A$4:$U$314,'nits tropicals'!U$1,FALSE)</f>
        <v>3</v>
      </c>
      <c r="F169">
        <f t="shared" si="20"/>
        <v>1.7</v>
      </c>
      <c r="G169">
        <f t="shared" si="21"/>
        <v>0.3</v>
      </c>
      <c r="H169" s="840">
        <f>VLOOKUP(B169,'BD ASVICC'!$A$6:$X$316,24,FALSE)/VLOOKUP(C169,'BD Comarcal'!$A$6:$Z$17,26,FALSE)</f>
        <v>2.8332227270406862E-2</v>
      </c>
      <c r="I169" s="839">
        <f>(VLOOKUP(C169,'BD Altres'!$D$74:$H$84,5,FALSE) * 1000 / 12) * H169*0.035</f>
        <v>18.210683298278894</v>
      </c>
      <c r="J169" s="839">
        <f>(VLOOKUP(C169,'BD Altres'!$D$74:$H$84,3,FALSE) / 12) * H169*0.25</f>
        <v>159.20431220340495</v>
      </c>
      <c r="K169">
        <f>(VLOOKUP(B169,'BD ASVICC'!$A$6:$GR$316,199,FALSE) / 12)*0.3</f>
        <v>0.5</v>
      </c>
      <c r="L169" s="846">
        <f>I169*'1. Cops de calor'!$C$32/30</f>
        <v>261.01979394199748</v>
      </c>
      <c r="M169" s="846">
        <f>J169*'1. Cops de calor'!$C$33/30</f>
        <v>796.02156101702485</v>
      </c>
      <c r="N169" s="846">
        <f>K169*'1. Cops de calor'!$C$34*0.25/30</f>
        <v>7874.9999999999991</v>
      </c>
      <c r="O169" s="779">
        <f t="shared" si="22"/>
        <v>17864.082709918042</v>
      </c>
      <c r="P169" s="848">
        <f>O169*'A. Dades de partida'!$D$10</f>
        <v>267961.24064877065</v>
      </c>
      <c r="Q169">
        <f t="shared" si="23"/>
        <v>2.5499999999999998</v>
      </c>
      <c r="R169">
        <f t="shared" si="24"/>
        <v>0.44999999999999996</v>
      </c>
      <c r="S169">
        <f>I169+(I169*'1. Cops de calor'!$C$40)</f>
        <v>19.230481562982511</v>
      </c>
      <c r="T169">
        <f>J169*'1. Cops de calor'!$C$41+J169</f>
        <v>171.14463561866032</v>
      </c>
      <c r="U169">
        <f>'1. Cops de calor'!$C$42*K169+K169</f>
        <v>0.52</v>
      </c>
      <c r="V169">
        <f>S169*'1. Cops de calor'!$C$32/30</f>
        <v>275.63690240274929</v>
      </c>
      <c r="W169">
        <f>T169*'1. Cops de calor'!$C$33/30</f>
        <v>855.72317809330161</v>
      </c>
      <c r="X169">
        <f>K169*'1. Cops de calor'!$C$34/30</f>
        <v>31499.999999999996</v>
      </c>
      <c r="Y169">
        <f t="shared" si="25"/>
        <v>32631.360080496048</v>
      </c>
      <c r="Z169" s="849">
        <f>Y169*(Q169+R169)*'A. Dades de partida'!$D$10</f>
        <v>1468411.2036223223</v>
      </c>
      <c r="AA169" s="850">
        <f t="shared" si="26"/>
        <v>1200449.9629735516</v>
      </c>
      <c r="AB169" t="str">
        <f>VLOOKUP(B169,'BD ASVICC'!$A$6:$BG$316,59,FALSE)</f>
        <v>PREPIRINEU-PIRINEU</v>
      </c>
      <c r="AC169">
        <f t="shared" si="18"/>
        <v>0.5</v>
      </c>
      <c r="AD169">
        <f t="shared" si="19"/>
        <v>0.5</v>
      </c>
    </row>
    <row r="170" spans="1:30">
      <c r="A170">
        <v>8167</v>
      </c>
      <c r="B170" t="s">
        <v>1349</v>
      </c>
      <c r="C170" t="s">
        <v>89</v>
      </c>
      <c r="D170">
        <f>VLOOKUP(A170,'temperatures màximes'!$A$4:$U$314,'temperatures màximes'!U$1,FALSE)</f>
        <v>42</v>
      </c>
      <c r="E170">
        <f>VLOOKUP(A170,'nits tropicals'!$A$4:$U$314,'nits tropicals'!U$1,FALSE)</f>
        <v>8</v>
      </c>
      <c r="F170">
        <f t="shared" si="20"/>
        <v>4.2</v>
      </c>
      <c r="G170">
        <f t="shared" si="21"/>
        <v>0.8</v>
      </c>
      <c r="H170" s="840">
        <f>VLOOKUP(B170,'BD ASVICC'!$A$6:$X$316,24,FALSE)/VLOOKUP(C170,'BD Comarcal'!$A$6:$Z$17,26,FALSE)</f>
        <v>9.178979032115368E-3</v>
      </c>
      <c r="I170" s="839">
        <f>(VLOOKUP(C170,'BD Altres'!$D$74:$H$84,5,FALSE) * 1000 / 12) * H170*0.035</f>
        <v>37.159589068034158</v>
      </c>
      <c r="J170" s="839">
        <f>(VLOOKUP(C170,'BD Altres'!$D$74:$H$84,3,FALSE) / 12) * H170*0.25</f>
        <v>16.311053769842477</v>
      </c>
      <c r="K170">
        <f>(VLOOKUP(B170,'BD ASVICC'!$A$6:$GR$316,199,FALSE) / 12)*0.3</f>
        <v>0.85</v>
      </c>
      <c r="L170" s="846">
        <f>I170*'1. Cops de calor'!$C$32/30</f>
        <v>532.620776641823</v>
      </c>
      <c r="M170" s="846">
        <f>J170*'1. Cops de calor'!$C$33/30</f>
        <v>81.555268849212382</v>
      </c>
      <c r="N170" s="846">
        <f>K170*'1. Cops de calor'!$C$34*0.25/30</f>
        <v>13387.499999999998</v>
      </c>
      <c r="O170" s="779">
        <f t="shared" si="22"/>
        <v>70008.380227455171</v>
      </c>
      <c r="P170" s="848">
        <f>O170*'A. Dades de partida'!$D$10</f>
        <v>1050125.7034118276</v>
      </c>
      <c r="Q170">
        <f t="shared" si="23"/>
        <v>6.3000000000000007</v>
      </c>
      <c r="R170">
        <f t="shared" si="24"/>
        <v>1.2000000000000002</v>
      </c>
      <c r="S170">
        <f>I170+(I170*'1. Cops de calor'!$C$40)</f>
        <v>39.240526055844072</v>
      </c>
      <c r="T170">
        <f>J170*'1. Cops de calor'!$C$41+J170</f>
        <v>17.534382802580662</v>
      </c>
      <c r="U170">
        <f>'1. Cops de calor'!$C$42*K170+K170</f>
        <v>0.88400000000000001</v>
      </c>
      <c r="V170">
        <f>S170*'1. Cops de calor'!$C$32/30</f>
        <v>562.44754013376507</v>
      </c>
      <c r="W170">
        <f>T170*'1. Cops de calor'!$C$33/30</f>
        <v>87.671914012903301</v>
      </c>
      <c r="X170">
        <f>K170*'1. Cops de calor'!$C$34/30</f>
        <v>53549.999999999993</v>
      </c>
      <c r="Y170">
        <f t="shared" si="25"/>
        <v>54200.119454146661</v>
      </c>
      <c r="Z170" s="849">
        <f>Y170*(Q170+R170)*'A. Dades de partida'!$D$10</f>
        <v>6097513.4385914998</v>
      </c>
      <c r="AA170" s="850">
        <f t="shared" si="26"/>
        <v>5047387.735179672</v>
      </c>
      <c r="AB170" t="str">
        <f>VLOOKUP(B170,'BD ASVICC'!$A$6:$BG$316,59,FALSE)</f>
        <v>LITORAL</v>
      </c>
      <c r="AC170">
        <f t="shared" si="18"/>
        <v>0.5</v>
      </c>
      <c r="AD170">
        <f t="shared" si="19"/>
        <v>0.5</v>
      </c>
    </row>
    <row r="171" spans="1:30">
      <c r="A171">
        <v>8168</v>
      </c>
      <c r="B171" t="s">
        <v>1352</v>
      </c>
      <c r="C171" t="s">
        <v>791</v>
      </c>
      <c r="D171">
        <f>VLOOKUP(A171,'temperatures màximes'!$A$4:$U$314,'temperatures màximes'!U$1,FALSE)</f>
        <v>8</v>
      </c>
      <c r="E171">
        <f>VLOOKUP(A171,'nits tropicals'!$A$4:$U$314,'nits tropicals'!U$1,FALSE)</f>
        <v>49</v>
      </c>
      <c r="F171">
        <f t="shared" si="20"/>
        <v>0.8</v>
      </c>
      <c r="G171">
        <f t="shared" si="21"/>
        <v>4.9000000000000004</v>
      </c>
      <c r="H171" s="840">
        <f>VLOOKUP(B171,'BD ASVICC'!$A$6:$X$316,24,FALSE)/VLOOKUP(C171,'BD Comarcal'!$A$6:$Z$17,26,FALSE)</f>
        <v>4.2625264643613272E-3</v>
      </c>
      <c r="I171" s="839">
        <f>(VLOOKUP(C171,'BD Altres'!$D$74:$H$84,5,FALSE) * 1000 / 12) * H171*0.035</f>
        <v>8.4338512031918214</v>
      </c>
      <c r="J171" s="839">
        <f>(VLOOKUP(C171,'BD Altres'!$D$74:$H$84,3,FALSE) / 12) * H171*0.25</f>
        <v>1.0925232602278372</v>
      </c>
      <c r="K171">
        <f>(VLOOKUP(B171,'BD ASVICC'!$A$6:$GR$316,199,FALSE) / 12)*0.3</f>
        <v>9.9999999999999992E-2</v>
      </c>
      <c r="L171" s="846">
        <f>I171*'1. Cops de calor'!$C$32/30</f>
        <v>120.88520057908276</v>
      </c>
      <c r="M171" s="846">
        <f>J171*'1. Cops de calor'!$C$33/30</f>
        <v>5.4626163011391862</v>
      </c>
      <c r="N171" s="846">
        <f>K171*'1. Cops de calor'!$C$34*0.25/30</f>
        <v>1574.9999999999998</v>
      </c>
      <c r="O171" s="779">
        <f t="shared" si="22"/>
        <v>9697.6825562172635</v>
      </c>
      <c r="P171" s="848">
        <f>O171*'A. Dades de partida'!$D$10</f>
        <v>145465.23834325894</v>
      </c>
      <c r="Q171">
        <f t="shared" si="23"/>
        <v>1.2000000000000002</v>
      </c>
      <c r="R171">
        <f t="shared" si="24"/>
        <v>7.3500000000000005</v>
      </c>
      <c r="S171">
        <f>I171+(I171*'1. Cops de calor'!$C$40)</f>
        <v>8.9061468705705629</v>
      </c>
      <c r="T171">
        <f>J171*'1. Cops de calor'!$C$41+J171</f>
        <v>1.1744625047449251</v>
      </c>
      <c r="U171">
        <f>'1. Cops de calor'!$C$42*K171+K171</f>
        <v>0.104</v>
      </c>
      <c r="V171">
        <f>S171*'1. Cops de calor'!$C$32/30</f>
        <v>127.6547718115114</v>
      </c>
      <c r="W171">
        <f>T171*'1. Cops de calor'!$C$33/30</f>
        <v>5.8723125237246254</v>
      </c>
      <c r="X171">
        <f>K171*'1. Cops de calor'!$C$34/30</f>
        <v>6299.9999999999991</v>
      </c>
      <c r="Y171">
        <f t="shared" si="25"/>
        <v>6433.5270843352355</v>
      </c>
      <c r="Z171" s="849">
        <f>Y171*(Q171+R171)*'A. Dades de partida'!$D$10</f>
        <v>825099.84856599406</v>
      </c>
      <c r="AA171" s="850">
        <f t="shared" si="26"/>
        <v>679634.61022273509</v>
      </c>
      <c r="AB171" t="str">
        <f>VLOOKUP(B171,'BD ASVICC'!$A$6:$BG$316,59,FALSE)</f>
        <v>CENTRAL</v>
      </c>
      <c r="AC171">
        <f t="shared" si="18"/>
        <v>0.5</v>
      </c>
      <c r="AD171">
        <f t="shared" si="19"/>
        <v>0.5</v>
      </c>
    </row>
    <row r="172" spans="1:30">
      <c r="A172">
        <v>8169</v>
      </c>
      <c r="B172" t="s">
        <v>348</v>
      </c>
      <c r="C172" t="s">
        <v>90</v>
      </c>
      <c r="D172">
        <f>VLOOKUP(A172,'temperatures màximes'!$A$4:$U$314,'temperatures màximes'!U$1,FALSE)</f>
        <v>2</v>
      </c>
      <c r="E172">
        <f>VLOOKUP(A172,'nits tropicals'!$A$4:$U$314,'nits tropicals'!U$1,FALSE)</f>
        <v>246</v>
      </c>
      <c r="F172">
        <f t="shared" si="20"/>
        <v>0.2</v>
      </c>
      <c r="G172">
        <f t="shared" si="21"/>
        <v>24.6</v>
      </c>
      <c r="H172" s="840">
        <f>VLOOKUP(B172,'BD ASVICC'!$A$6:$X$316,24,FALSE)/VLOOKUP(C172,'BD Comarcal'!$A$6:$Z$17,26,FALSE)</f>
        <v>7.8353293006520691E-2</v>
      </c>
      <c r="I172" s="839">
        <f>(VLOOKUP(C172,'BD Altres'!$D$74:$H$84,5,FALSE) * 1000 / 12) * H172*0.035</f>
        <v>144.3885206564338</v>
      </c>
      <c r="J172" s="839">
        <f>(VLOOKUP(C172,'BD Altres'!$D$74:$H$84,3,FALSE) / 12) * H172*0.25</f>
        <v>440.37742412228198</v>
      </c>
      <c r="K172">
        <f>(VLOOKUP(B172,'BD ASVICC'!$A$6:$GR$316,199,FALSE) / 12)*0.3</f>
        <v>11.924999999999999</v>
      </c>
      <c r="L172" s="846">
        <f>I172*'1. Cops de calor'!$C$32/30</f>
        <v>2069.5687960755513</v>
      </c>
      <c r="M172" s="846">
        <f>J172*'1. Cops de calor'!$C$33/30</f>
        <v>2201.88712061141</v>
      </c>
      <c r="N172" s="846">
        <f>K172*'1. Cops de calor'!$C$34*0.25/30</f>
        <v>187818.74999999997</v>
      </c>
      <c r="O172" s="779">
        <f t="shared" si="22"/>
        <v>4763837.1067338362</v>
      </c>
      <c r="P172" s="848">
        <f>O172*'A. Dades de partida'!$D$10</f>
        <v>71457556.601007551</v>
      </c>
      <c r="Q172">
        <f t="shared" si="23"/>
        <v>0.30000000000000004</v>
      </c>
      <c r="R172">
        <f t="shared" si="24"/>
        <v>36.900000000000006</v>
      </c>
      <c r="S172">
        <f>I172+(I172*'1. Cops de calor'!$C$40)</f>
        <v>152.47427781319408</v>
      </c>
      <c r="T172">
        <f>J172*'1. Cops de calor'!$C$41+J172</f>
        <v>473.40573093145315</v>
      </c>
      <c r="U172">
        <f>'1. Cops de calor'!$C$42*K172+K172</f>
        <v>12.401999999999999</v>
      </c>
      <c r="V172">
        <f>S172*'1. Cops de calor'!$C$32/30</f>
        <v>2185.4646486557817</v>
      </c>
      <c r="W172">
        <f>T172*'1. Cops de calor'!$C$33/30</f>
        <v>2367.0286546572661</v>
      </c>
      <c r="X172">
        <f>K172*'1. Cops de calor'!$C$34/30</f>
        <v>751274.99999999988</v>
      </c>
      <c r="Y172">
        <f t="shared" si="25"/>
        <v>755827.49330331292</v>
      </c>
      <c r="Z172" s="849">
        <f>Y172*(Q172+R172)*'A. Dades de partida'!$D$10</f>
        <v>421751741.26324868</v>
      </c>
      <c r="AA172" s="850">
        <f t="shared" si="26"/>
        <v>350294184.6622411</v>
      </c>
      <c r="AB172" t="str">
        <f>VLOOKUP(B172,'BD ASVICC'!$A$6:$BG$316,59,FALSE)</f>
        <v>LITORAL</v>
      </c>
      <c r="AC172">
        <f t="shared" si="18"/>
        <v>0.5</v>
      </c>
      <c r="AD172">
        <f t="shared" si="19"/>
        <v>0.5</v>
      </c>
    </row>
    <row r="173" spans="1:30">
      <c r="A173">
        <v>8170</v>
      </c>
      <c r="B173" t="s">
        <v>1359</v>
      </c>
      <c r="C173" t="s">
        <v>81</v>
      </c>
      <c r="D173">
        <f>VLOOKUP(A173,'temperatures màximes'!$A$4:$U$314,'temperatures màximes'!U$1,FALSE)</f>
        <v>77</v>
      </c>
      <c r="E173">
        <f>VLOOKUP(A173,'nits tropicals'!$A$4:$U$314,'nits tropicals'!U$1,FALSE)</f>
        <v>2</v>
      </c>
      <c r="F173">
        <f t="shared" si="20"/>
        <v>7.7</v>
      </c>
      <c r="G173">
        <f t="shared" si="21"/>
        <v>0.2</v>
      </c>
      <c r="H173" s="840">
        <f>VLOOKUP(B173,'BD ASVICC'!$A$6:$X$316,24,FALSE)/VLOOKUP(C173,'BD Comarcal'!$A$6:$Z$17,26,FALSE)</f>
        <v>4.5530364923747277E-3</v>
      </c>
      <c r="I173" s="839">
        <f>(VLOOKUP(C173,'BD Altres'!$D$74:$H$84,5,FALSE) * 1000 / 12) * H173*0.035</f>
        <v>3.7980754916409873</v>
      </c>
      <c r="J173" s="839">
        <f>(VLOOKUP(C173,'BD Altres'!$D$74:$H$84,3,FALSE) / 12) * H173*0.25</f>
        <v>1.8342431844153828</v>
      </c>
      <c r="K173">
        <f>(VLOOKUP(B173,'BD ASVICC'!$A$6:$GR$316,199,FALSE) / 12)*0.3</f>
        <v>4.9999999999999996E-2</v>
      </c>
      <c r="L173" s="846">
        <f>I173*'1. Cops de calor'!$C$32/30</f>
        <v>54.439082046854153</v>
      </c>
      <c r="M173" s="846">
        <f>J173*'1. Cops de calor'!$C$33/30</f>
        <v>9.1712159220769145</v>
      </c>
      <c r="N173" s="846">
        <f>K173*'1. Cops de calor'!$C$34*0.25/30</f>
        <v>787.49999999999989</v>
      </c>
      <c r="O173" s="779">
        <f t="shared" si="22"/>
        <v>6723.7713539545548</v>
      </c>
      <c r="P173" s="848">
        <f>O173*'A. Dades de partida'!$D$10</f>
        <v>100856.57030931833</v>
      </c>
      <c r="Q173">
        <f t="shared" si="23"/>
        <v>11.55</v>
      </c>
      <c r="R173">
        <f t="shared" si="24"/>
        <v>0.30000000000000004</v>
      </c>
      <c r="S173">
        <f>I173+(I173*'1. Cops de calor'!$C$40)</f>
        <v>4.0107677191728826</v>
      </c>
      <c r="T173">
        <f>J173*'1. Cops de calor'!$C$41+J173</f>
        <v>1.9718114232465365</v>
      </c>
      <c r="U173">
        <f>'1. Cops de calor'!$C$42*K173+K173</f>
        <v>5.1999999999999998E-2</v>
      </c>
      <c r="V173">
        <f>S173*'1. Cops de calor'!$C$32/30</f>
        <v>57.487670641477983</v>
      </c>
      <c r="W173">
        <f>T173*'1. Cops de calor'!$C$33/30</f>
        <v>9.8590571162326821</v>
      </c>
      <c r="X173">
        <f>K173*'1. Cops de calor'!$C$34/30</f>
        <v>3149.9999999999995</v>
      </c>
      <c r="Y173">
        <f t="shared" si="25"/>
        <v>3217.3467277577101</v>
      </c>
      <c r="Z173" s="849">
        <f>Y173*(Q173+R173)*'A. Dades de partida'!$D$10</f>
        <v>571883.38085893309</v>
      </c>
      <c r="AA173" s="850">
        <f t="shared" si="26"/>
        <v>471026.81054961478</v>
      </c>
      <c r="AB173" t="str">
        <f>VLOOKUP(B173,'BD ASVICC'!$A$6:$BG$316,59,FALSE)</f>
        <v>PREPIRINEU-PIRINEU</v>
      </c>
      <c r="AC173">
        <f t="shared" si="18"/>
        <v>0.5</v>
      </c>
      <c r="AD173">
        <f t="shared" si="19"/>
        <v>0.5</v>
      </c>
    </row>
    <row r="174" spans="1:30">
      <c r="A174">
        <v>8171</v>
      </c>
      <c r="B174" t="s">
        <v>1363</v>
      </c>
      <c r="C174" t="s">
        <v>88</v>
      </c>
      <c r="D174">
        <f>VLOOKUP(A174,'temperatures màximes'!$A$4:$U$314,'temperatures màximes'!U$1,FALSE)</f>
        <v>10</v>
      </c>
      <c r="E174">
        <f>VLOOKUP(A174,'nits tropicals'!$A$4:$U$314,'nits tropicals'!U$1,FALSE)</f>
        <v>0</v>
      </c>
      <c r="F174">
        <f t="shared" si="20"/>
        <v>1</v>
      </c>
      <c r="G174">
        <f t="shared" si="21"/>
        <v>0</v>
      </c>
      <c r="H174" s="840">
        <f>VLOOKUP(B174,'BD ASVICC'!$A$6:$X$316,24,FALSE)/VLOOKUP(C174,'BD Comarcal'!$A$6:$Z$17,26,FALSE)</f>
        <v>1.6480233357534325E-2</v>
      </c>
      <c r="I174" s="839">
        <f>(VLOOKUP(C174,'BD Altres'!$D$74:$H$84,5,FALSE) * 1000 / 12) * H174*0.035</f>
        <v>18.337692992206424</v>
      </c>
      <c r="J174" s="839">
        <f>(VLOOKUP(C174,'BD Altres'!$D$74:$H$84,3,FALSE) / 12) * H174*0.25</f>
        <v>11.731522783199798</v>
      </c>
      <c r="K174">
        <f>(VLOOKUP(B174,'BD ASVICC'!$A$6:$GR$316,199,FALSE) / 12)*0.3</f>
        <v>0.85</v>
      </c>
      <c r="L174" s="846">
        <f>I174*'1. Cops de calor'!$C$32/30</f>
        <v>262.84026622162543</v>
      </c>
      <c r="M174" s="846">
        <f>J174*'1. Cops de calor'!$C$33/30</f>
        <v>58.657613915998994</v>
      </c>
      <c r="N174" s="846">
        <f>K174*'1. Cops de calor'!$C$34*0.25/30</f>
        <v>13387.499999999998</v>
      </c>
      <c r="O174" s="779">
        <f t="shared" si="22"/>
        <v>13708.997880137622</v>
      </c>
      <c r="P174" s="848">
        <f>O174*'A. Dades de partida'!$D$10</f>
        <v>205634.96820206434</v>
      </c>
      <c r="Q174">
        <f t="shared" si="23"/>
        <v>1.5</v>
      </c>
      <c r="R174">
        <f t="shared" si="24"/>
        <v>0</v>
      </c>
      <c r="S174">
        <f>I174+(I174*'1. Cops de calor'!$C$40)</f>
        <v>19.364603799769984</v>
      </c>
      <c r="T174">
        <f>J174*'1. Cops de calor'!$C$41+J174</f>
        <v>12.611386991939783</v>
      </c>
      <c r="U174">
        <f>'1. Cops de calor'!$C$42*K174+K174</f>
        <v>0.88400000000000001</v>
      </c>
      <c r="V174">
        <f>S174*'1. Cops de calor'!$C$32/30</f>
        <v>277.55932113003644</v>
      </c>
      <c r="W174">
        <f>T174*'1. Cops de calor'!$C$33/30</f>
        <v>63.056934959698914</v>
      </c>
      <c r="X174">
        <f>K174*'1. Cops de calor'!$C$34/30</f>
        <v>53549.999999999993</v>
      </c>
      <c r="Y174">
        <f t="shared" si="25"/>
        <v>53890.616256089728</v>
      </c>
      <c r="Z174" s="849">
        <f>Y174*(Q174+R174)*'A. Dades de partida'!$D$10</f>
        <v>1212538.8657620188</v>
      </c>
      <c r="AA174" s="850">
        <f t="shared" si="26"/>
        <v>1006903.8975599546</v>
      </c>
      <c r="AB174" t="str">
        <f>VLOOKUP(B174,'BD ASVICC'!$A$6:$BG$316,59,FALSE)</f>
        <v>PREPIRINEU-PIRINEU</v>
      </c>
      <c r="AC174">
        <f t="shared" si="18"/>
        <v>0.5</v>
      </c>
      <c r="AD174">
        <f t="shared" si="19"/>
        <v>0.5</v>
      </c>
    </row>
    <row r="175" spans="1:30">
      <c r="A175">
        <v>8172</v>
      </c>
      <c r="B175" t="s">
        <v>349</v>
      </c>
      <c r="C175" t="s">
        <v>86</v>
      </c>
      <c r="D175">
        <f>VLOOKUP(A175,'temperatures màximes'!$A$4:$U$314,'temperatures màximes'!U$1,FALSE)</f>
        <v>2</v>
      </c>
      <c r="E175">
        <f>VLOOKUP(A175,'nits tropicals'!$A$4:$U$314,'nits tropicals'!U$1,FALSE)</f>
        <v>403</v>
      </c>
      <c r="F175">
        <f t="shared" si="20"/>
        <v>0.2</v>
      </c>
      <c r="G175">
        <f t="shared" si="21"/>
        <v>40.299999999999997</v>
      </c>
      <c r="H175" s="840">
        <f>VLOOKUP(B175,'BD ASVICC'!$A$6:$X$316,24,FALSE)/VLOOKUP(C175,'BD Comarcal'!$A$6:$Z$17,26,FALSE)</f>
        <v>6.3115933001891264E-2</v>
      </c>
      <c r="I175" s="839">
        <f>(VLOOKUP(C175,'BD Altres'!$D$74:$H$84,5,FALSE) * 1000 / 12) * H175*0.035</f>
        <v>147.05519575868533</v>
      </c>
      <c r="J175" s="839">
        <f>(VLOOKUP(C175,'BD Altres'!$D$74:$H$84,3,FALSE) / 12) * H175*0.25</f>
        <v>66.293686608467524</v>
      </c>
      <c r="K175">
        <f>(VLOOKUP(B175,'BD ASVICC'!$A$6:$GR$316,199,FALSE) / 12)*0.3</f>
        <v>6.1499999999999995</v>
      </c>
      <c r="L175" s="846">
        <f>I175*'1. Cops de calor'!$C$32/30</f>
        <v>2107.7911392078231</v>
      </c>
      <c r="M175" s="846">
        <f>J175*'1. Cops de calor'!$C$33/30</f>
        <v>331.46843304233767</v>
      </c>
      <c r="N175" s="846">
        <f>K175*'1. Cops de calor'!$C$34*0.25/30</f>
        <v>96862.499999999985</v>
      </c>
      <c r="O175" s="779">
        <f t="shared" si="22"/>
        <v>4021721.262676131</v>
      </c>
      <c r="P175" s="848">
        <f>O175*'A. Dades de partida'!$D$10</f>
        <v>60325818.940141961</v>
      </c>
      <c r="Q175">
        <f t="shared" si="23"/>
        <v>0.30000000000000004</v>
      </c>
      <c r="R175">
        <f t="shared" si="24"/>
        <v>60.449999999999996</v>
      </c>
      <c r="S175">
        <f>I175+(I175*'1. Cops de calor'!$C$40)</f>
        <v>155.2902867211717</v>
      </c>
      <c r="T175">
        <f>J175*'1. Cops de calor'!$C$41+J175</f>
        <v>71.265713104102588</v>
      </c>
      <c r="U175">
        <f>'1. Cops de calor'!$C$42*K175+K175</f>
        <v>6.395999999999999</v>
      </c>
      <c r="V175">
        <f>S175*'1. Cops de calor'!$C$32/30</f>
        <v>2225.8274430034608</v>
      </c>
      <c r="W175">
        <f>T175*'1. Cops de calor'!$C$33/30</f>
        <v>356.32856552051294</v>
      </c>
      <c r="X175">
        <f>K175*'1. Cops de calor'!$C$34/30</f>
        <v>387449.99999999994</v>
      </c>
      <c r="Y175">
        <f t="shared" si="25"/>
        <v>390032.15600852389</v>
      </c>
      <c r="Z175" s="849">
        <f>Y175*(Q175+R175)*'A. Dades de partida'!$D$10</f>
        <v>355416802.16276735</v>
      </c>
      <c r="AA175" s="850">
        <f t="shared" si="26"/>
        <v>295090983.22262537</v>
      </c>
      <c r="AB175" t="str">
        <f>VLOOKUP(B175,'BD ASVICC'!$A$6:$BG$316,59,FALSE)</f>
        <v>LITORAL</v>
      </c>
      <c r="AC175">
        <f t="shared" si="18"/>
        <v>0.5</v>
      </c>
      <c r="AD175">
        <f t="shared" si="19"/>
        <v>0.5</v>
      </c>
    </row>
    <row r="176" spans="1:30">
      <c r="A176">
        <v>8174</v>
      </c>
      <c r="B176" t="s">
        <v>1365</v>
      </c>
      <c r="C176" t="s">
        <v>791</v>
      </c>
      <c r="D176">
        <f>VLOOKUP(A176,'temperatures màximes'!$A$4:$U$314,'temperatures màximes'!U$1,FALSE)</f>
        <v>15</v>
      </c>
      <c r="E176">
        <f>VLOOKUP(A176,'nits tropicals'!$A$4:$U$314,'nits tropicals'!U$1,FALSE)</f>
        <v>10</v>
      </c>
      <c r="F176">
        <f t="shared" si="20"/>
        <v>1.5</v>
      </c>
      <c r="G176">
        <f t="shared" si="21"/>
        <v>1</v>
      </c>
      <c r="H176" s="840">
        <f>VLOOKUP(B176,'BD ASVICC'!$A$6:$X$316,24,FALSE)/VLOOKUP(C176,'BD Comarcal'!$A$6:$Z$17,26,FALSE)</f>
        <v>4.817689955304634E-3</v>
      </c>
      <c r="I176" s="839">
        <f>(VLOOKUP(C176,'BD Altres'!$D$74:$H$84,5,FALSE) * 1000 / 12) * H176*0.035</f>
        <v>9.532299814645059</v>
      </c>
      <c r="J176" s="839">
        <f>(VLOOKUP(C176,'BD Altres'!$D$74:$H$84,3,FALSE) / 12) * H176*0.25</f>
        <v>1.2348165766813524</v>
      </c>
      <c r="K176">
        <f>(VLOOKUP(B176,'BD ASVICC'!$A$6:$GR$316,199,FALSE) / 12)*0.3</f>
        <v>0.125</v>
      </c>
      <c r="L176" s="846">
        <f>I176*'1. Cops de calor'!$C$32/30</f>
        <v>136.62963067657918</v>
      </c>
      <c r="M176" s="846">
        <f>J176*'1. Cops de calor'!$C$33/30</f>
        <v>6.1740828834067623</v>
      </c>
      <c r="N176" s="846">
        <f>K176*'1. Cops de calor'!$C$34*0.25/30</f>
        <v>1968.7499999999998</v>
      </c>
      <c r="O176" s="779">
        <f t="shared" si="22"/>
        <v>5278.8842838999644</v>
      </c>
      <c r="P176" s="848">
        <f>O176*'A. Dades de partida'!$D$10</f>
        <v>79183.264258499461</v>
      </c>
      <c r="Q176">
        <f t="shared" si="23"/>
        <v>2.25</v>
      </c>
      <c r="R176">
        <f t="shared" si="24"/>
        <v>1.5</v>
      </c>
      <c r="S176">
        <f>I176+(I176*'1. Cops de calor'!$C$40)</f>
        <v>10.066108604265182</v>
      </c>
      <c r="T176">
        <f>J176*'1. Cops de calor'!$C$41+J176</f>
        <v>1.3274278199324538</v>
      </c>
      <c r="U176">
        <f>'1. Cops de calor'!$C$42*K176+K176</f>
        <v>0.13</v>
      </c>
      <c r="V176">
        <f>S176*'1. Cops de calor'!$C$32/30</f>
        <v>144.2808899944676</v>
      </c>
      <c r="W176">
        <f>T176*'1. Cops de calor'!$C$33/30</f>
        <v>6.637139099662269</v>
      </c>
      <c r="X176">
        <f>K176*'1. Cops de calor'!$C$34/30</f>
        <v>7874.9999999999991</v>
      </c>
      <c r="Y176">
        <f t="shared" si="25"/>
        <v>8025.9180290941285</v>
      </c>
      <c r="Z176" s="849">
        <f>Y176*(Q176+R176)*'A. Dades de partida'!$D$10</f>
        <v>451457.88913654472</v>
      </c>
      <c r="AA176" s="850">
        <f t="shared" si="26"/>
        <v>372274.62487804529</v>
      </c>
      <c r="AB176" t="str">
        <f>VLOOKUP(B176,'BD ASVICC'!$A$6:$BG$316,59,FALSE)</f>
        <v>LITORAL</v>
      </c>
      <c r="AC176">
        <f t="shared" si="18"/>
        <v>0.5</v>
      </c>
      <c r="AD176">
        <f t="shared" si="19"/>
        <v>0.5</v>
      </c>
    </row>
    <row r="177" spans="1:30">
      <c r="A177">
        <v>8175</v>
      </c>
      <c r="B177" t="s">
        <v>1366</v>
      </c>
      <c r="C177" t="s">
        <v>84</v>
      </c>
      <c r="D177">
        <f>VLOOKUP(A177,'temperatures màximes'!$A$4:$U$314,'temperatures màximes'!U$1,FALSE)</f>
        <v>11</v>
      </c>
      <c r="E177">
        <f>VLOOKUP(A177,'nits tropicals'!$A$4:$U$314,'nits tropicals'!U$1,FALSE)</f>
        <v>0</v>
      </c>
      <c r="F177">
        <f t="shared" si="20"/>
        <v>1.1000000000000001</v>
      </c>
      <c r="G177">
        <f t="shared" si="21"/>
        <v>0</v>
      </c>
      <c r="H177" s="840">
        <f>VLOOKUP(B177,'BD ASVICC'!$A$6:$X$316,24,FALSE)/VLOOKUP(C177,'BD Comarcal'!$A$6:$Z$17,26,FALSE)</f>
        <v>0.1052376333656644</v>
      </c>
      <c r="I177" s="839">
        <f>(VLOOKUP(C177,'BD Altres'!$D$74:$H$84,5,FALSE) * 1000 / 12) * H177*0.035</f>
        <v>67.642024539462952</v>
      </c>
      <c r="J177" s="839">
        <f>(VLOOKUP(C177,'BD Altres'!$D$74:$H$84,3,FALSE) / 12) * H177*0.25</f>
        <v>591.35079208525997</v>
      </c>
      <c r="K177">
        <f>(VLOOKUP(B177,'BD ASVICC'!$A$6:$GR$316,199,FALSE) / 12)*0.3</f>
        <v>1.875</v>
      </c>
      <c r="L177" s="846">
        <f>I177*'1. Cops de calor'!$C$32/30</f>
        <v>969.53568506563568</v>
      </c>
      <c r="M177" s="846">
        <f>J177*'1. Cops de calor'!$C$33/30</f>
        <v>2956.7539604262997</v>
      </c>
      <c r="N177" s="846">
        <f>K177*'1. Cops de calor'!$C$34*0.25/30</f>
        <v>29531.249999999996</v>
      </c>
      <c r="O177" s="779">
        <f t="shared" si="22"/>
        <v>36803.293610041132</v>
      </c>
      <c r="P177" s="848">
        <f>O177*'A. Dades de partida'!$D$10</f>
        <v>552049.40415061696</v>
      </c>
      <c r="Q177">
        <f t="shared" si="23"/>
        <v>1.6500000000000001</v>
      </c>
      <c r="R177">
        <f t="shared" si="24"/>
        <v>0</v>
      </c>
      <c r="S177">
        <f>I177+(I177*'1. Cops de calor'!$C$40)</f>
        <v>71.429977913672872</v>
      </c>
      <c r="T177">
        <f>J177*'1. Cops de calor'!$C$41+J177</f>
        <v>635.7021014916545</v>
      </c>
      <c r="U177">
        <f>'1. Cops de calor'!$C$42*K177+K177</f>
        <v>1.95</v>
      </c>
      <c r="V177">
        <f>S177*'1. Cops de calor'!$C$32/30</f>
        <v>1023.8296834293111</v>
      </c>
      <c r="W177">
        <f>T177*'1. Cops de calor'!$C$33/30</f>
        <v>3178.5105074582725</v>
      </c>
      <c r="X177">
        <f>K177*'1. Cops de calor'!$C$34/30</f>
        <v>118124.99999999999</v>
      </c>
      <c r="Y177">
        <f t="shared" si="25"/>
        <v>122327.34019088757</v>
      </c>
      <c r="Z177" s="849">
        <f>Y177*(Q177+R177)*'A. Dades de partida'!$D$10</f>
        <v>3027601.6697244677</v>
      </c>
      <c r="AA177" s="850">
        <f t="shared" si="26"/>
        <v>2475552.2655738508</v>
      </c>
      <c r="AB177" t="str">
        <f>VLOOKUP(B177,'BD ASVICC'!$A$6:$BG$316,59,FALSE)</f>
        <v>CENTRAL</v>
      </c>
      <c r="AC177">
        <f t="shared" si="18"/>
        <v>0.5</v>
      </c>
      <c r="AD177">
        <f t="shared" si="19"/>
        <v>0.5</v>
      </c>
    </row>
    <row r="178" spans="1:30">
      <c r="A178">
        <v>8176</v>
      </c>
      <c r="B178" t="s">
        <v>1368</v>
      </c>
      <c r="C178" t="s">
        <v>81</v>
      </c>
      <c r="D178">
        <f>VLOOKUP(A178,'temperatures màximes'!$A$4:$U$314,'temperatures màximes'!U$1,FALSE)</f>
        <v>77</v>
      </c>
      <c r="E178">
        <f>VLOOKUP(A178,'nits tropicals'!$A$4:$U$314,'nits tropicals'!U$1,FALSE)</f>
        <v>2</v>
      </c>
      <c r="F178">
        <f t="shared" si="20"/>
        <v>7.7</v>
      </c>
      <c r="G178">
        <f t="shared" si="21"/>
        <v>0.2</v>
      </c>
      <c r="H178" s="840">
        <f>VLOOKUP(B178,'BD ASVICC'!$A$6:$X$316,24,FALSE)/VLOOKUP(C178,'BD Comarcal'!$A$6:$Z$17,26,FALSE)</f>
        <v>1.6850490196078432E-3</v>
      </c>
      <c r="I178" s="839">
        <f>(VLOOKUP(C178,'BD Altres'!$D$74:$H$84,5,FALSE) * 1000 / 12) * H178*0.035</f>
        <v>1.4056428922334872</v>
      </c>
      <c r="J178" s="839">
        <f>(VLOOKUP(C178,'BD Altres'!$D$74:$H$84,3,FALSE) / 12) * H178*0.25</f>
        <v>0.67884140283036609</v>
      </c>
      <c r="K178">
        <f>(VLOOKUP(B178,'BD ASVICC'!$A$6:$GR$316,199,FALSE) / 12)*0.3</f>
        <v>7.4999999999999997E-2</v>
      </c>
      <c r="L178" s="846">
        <f>I178*'1. Cops de calor'!$C$32/30</f>
        <v>20.147548122013315</v>
      </c>
      <c r="M178" s="846">
        <f>J178*'1. Cops de calor'!$C$33/30</f>
        <v>3.3942070141518306</v>
      </c>
      <c r="N178" s="846">
        <f>K178*'1. Cops de calor'!$C$34*0.25/30</f>
        <v>1181.2499999999998</v>
      </c>
      <c r="O178" s="779">
        <f t="shared" si="22"/>
        <v>9517.854865575704</v>
      </c>
      <c r="P178" s="848">
        <f>O178*'A. Dades de partida'!$D$10</f>
        <v>142767.82298363556</v>
      </c>
      <c r="Q178">
        <f t="shared" si="23"/>
        <v>11.55</v>
      </c>
      <c r="R178">
        <f t="shared" si="24"/>
        <v>0.30000000000000004</v>
      </c>
      <c r="S178">
        <f>I178+(I178*'1. Cops de calor'!$C$40)</f>
        <v>1.4843588941985624</v>
      </c>
      <c r="T178">
        <f>J178*'1. Cops de calor'!$C$41+J178</f>
        <v>0.72975450804264352</v>
      </c>
      <c r="U178">
        <f>'1. Cops de calor'!$C$42*K178+K178</f>
        <v>7.8E-2</v>
      </c>
      <c r="V178">
        <f>S178*'1. Cops de calor'!$C$32/30</f>
        <v>21.275810816846061</v>
      </c>
      <c r="W178">
        <f>T178*'1. Cops de calor'!$C$33/30</f>
        <v>3.6487725402132174</v>
      </c>
      <c r="X178">
        <f>K178*'1. Cops de calor'!$C$34/30</f>
        <v>4724.9999999999991</v>
      </c>
      <c r="Y178">
        <f t="shared" si="25"/>
        <v>4749.9245833570585</v>
      </c>
      <c r="Z178" s="849">
        <f>Y178*(Q178+R178)*'A. Dades de partida'!$D$10</f>
        <v>844299.0946917173</v>
      </c>
      <c r="AA178" s="850">
        <f t="shared" si="26"/>
        <v>701531.27170808171</v>
      </c>
      <c r="AB178" t="str">
        <f>VLOOKUP(B178,'BD ASVICC'!$A$6:$BG$316,59,FALSE)</f>
        <v>PREPIRINEU-PIRINEU</v>
      </c>
      <c r="AC178">
        <f t="shared" si="18"/>
        <v>0.5</v>
      </c>
      <c r="AD178">
        <f t="shared" si="19"/>
        <v>0.5</v>
      </c>
    </row>
    <row r="179" spans="1:30">
      <c r="A179">
        <v>8177</v>
      </c>
      <c r="B179" t="s">
        <v>1372</v>
      </c>
      <c r="C179" t="s">
        <v>84</v>
      </c>
      <c r="D179">
        <f>VLOOKUP(A179,'temperatures màximes'!$A$4:$U$314,'temperatures màximes'!U$1,FALSE)</f>
        <v>17</v>
      </c>
      <c r="E179">
        <f>VLOOKUP(A179,'nits tropicals'!$A$4:$U$314,'nits tropicals'!U$1,FALSE)</f>
        <v>3</v>
      </c>
      <c r="F179">
        <f t="shared" si="20"/>
        <v>1.7</v>
      </c>
      <c r="G179">
        <f t="shared" si="21"/>
        <v>0.3</v>
      </c>
      <c r="H179" s="840">
        <f>VLOOKUP(B179,'BD ASVICC'!$A$6:$X$316,24,FALSE)/VLOOKUP(C179,'BD Comarcal'!$A$6:$Z$17,26,FALSE)</f>
        <v>1.3783245699116851E-3</v>
      </c>
      <c r="I179" s="839">
        <f>(VLOOKUP(C179,'BD Altres'!$D$74:$H$84,5,FALSE) * 1000 / 12) * H179*0.035</f>
        <v>0.88592513342978396</v>
      </c>
      <c r="J179" s="839">
        <f>(VLOOKUP(C179,'BD Altres'!$D$74:$H$84,3,FALSE) / 12) * H179*0.25</f>
        <v>7.7450746477332135</v>
      </c>
      <c r="K179">
        <f>(VLOOKUP(B179,'BD ASVICC'!$A$6:$GR$316,199,FALSE) / 12)*0.3</f>
        <v>2.4999999999999998E-2</v>
      </c>
      <c r="L179" s="846">
        <f>I179*'1. Cops de calor'!$C$32/30</f>
        <v>12.698260245826903</v>
      </c>
      <c r="M179" s="846">
        <f>J179*'1. Cops de calor'!$C$33/30</f>
        <v>38.725373238666066</v>
      </c>
      <c r="N179" s="846">
        <f>K179*'1. Cops de calor'!$C$34*0.25/30</f>
        <v>393.74999999999994</v>
      </c>
      <c r="O179" s="779">
        <f t="shared" si="22"/>
        <v>890.34726696898588</v>
      </c>
      <c r="P179" s="848">
        <f>O179*'A. Dades de partida'!$D$10</f>
        <v>13355.209004534789</v>
      </c>
      <c r="Q179">
        <f t="shared" si="23"/>
        <v>2.5499999999999998</v>
      </c>
      <c r="R179">
        <f t="shared" si="24"/>
        <v>0.44999999999999996</v>
      </c>
      <c r="S179">
        <f>I179+(I179*'1. Cops de calor'!$C$40)</f>
        <v>0.93553694090185191</v>
      </c>
      <c r="T179">
        <f>J179*'1. Cops de calor'!$C$41+J179</f>
        <v>8.3259552463132049</v>
      </c>
      <c r="U179">
        <f>'1. Cops de calor'!$C$42*K179+K179</f>
        <v>2.5999999999999999E-2</v>
      </c>
      <c r="V179">
        <f>S179*'1. Cops de calor'!$C$32/30</f>
        <v>13.409362819593211</v>
      </c>
      <c r="W179">
        <f>T179*'1. Cops de calor'!$C$33/30</f>
        <v>41.629776231566019</v>
      </c>
      <c r="X179">
        <f>K179*'1. Cops de calor'!$C$34/30</f>
        <v>1574.9999999999998</v>
      </c>
      <c r="Y179">
        <f t="shared" si="25"/>
        <v>1630.0391390511591</v>
      </c>
      <c r="Z179" s="849">
        <f>Y179*(Q179+R179)*'A. Dades de partida'!$D$10</f>
        <v>73351.761257302147</v>
      </c>
      <c r="AA179" s="850">
        <f t="shared" si="26"/>
        <v>59996.55225276736</v>
      </c>
      <c r="AB179" t="str">
        <f>VLOOKUP(B179,'BD ASVICC'!$A$6:$BG$316,59,FALSE)</f>
        <v>PREPIRINEU-PIRINEU</v>
      </c>
      <c r="AC179">
        <f t="shared" si="18"/>
        <v>0.5</v>
      </c>
      <c r="AD179">
        <f t="shared" si="19"/>
        <v>0.5</v>
      </c>
    </row>
    <row r="180" spans="1:30">
      <c r="A180">
        <v>8178</v>
      </c>
      <c r="B180" t="s">
        <v>1375</v>
      </c>
      <c r="C180" t="s">
        <v>82</v>
      </c>
      <c r="D180">
        <f>VLOOKUP(A180,'temperatures màximes'!$A$4:$U$314,'temperatures màximes'!U$1,FALSE)</f>
        <v>90</v>
      </c>
      <c r="E180">
        <f>VLOOKUP(A180,'nits tropicals'!$A$4:$U$314,'nits tropicals'!U$1,FALSE)</f>
        <v>1</v>
      </c>
      <c r="F180">
        <f t="shared" si="20"/>
        <v>9</v>
      </c>
      <c r="G180">
        <f t="shared" si="21"/>
        <v>0.1</v>
      </c>
      <c r="H180" s="840">
        <f>VLOOKUP(B180,'BD ASVICC'!$A$6:$X$316,24,FALSE)/VLOOKUP(C180,'BD Comarcal'!$A$6:$Z$17,26,FALSE)</f>
        <v>3.0565256535975823E-3</v>
      </c>
      <c r="I180" s="839">
        <f>(VLOOKUP(C180,'BD Altres'!$D$74:$H$84,5,FALSE) * 1000 / 12) * H180*0.035</f>
        <v>8.7444091873717547</v>
      </c>
      <c r="J180" s="839">
        <f>(VLOOKUP(C180,'BD Altres'!$D$74:$H$84,3,FALSE) / 12) * H180*0.25</f>
        <v>76.446755319292649</v>
      </c>
      <c r="K180">
        <f>(VLOOKUP(B180,'BD ASVICC'!$A$6:$GR$316,199,FALSE) / 12)*0.3</f>
        <v>4.9999999999999996E-2</v>
      </c>
      <c r="L180" s="846">
        <f>I180*'1. Cops de calor'!$C$32/30</f>
        <v>125.33653168566183</v>
      </c>
      <c r="M180" s="846">
        <f>J180*'1. Cops de calor'!$C$33/30</f>
        <v>382.23377659646326</v>
      </c>
      <c r="N180" s="846">
        <f>K180*'1. Cops de calor'!$C$34*0.25/30</f>
        <v>787.49999999999989</v>
      </c>
      <c r="O180" s="779">
        <f t="shared" si="22"/>
        <v>11785.139805367338</v>
      </c>
      <c r="P180" s="848">
        <f>O180*'A. Dades de partida'!$D$10</f>
        <v>176777.09708051008</v>
      </c>
      <c r="Q180">
        <f t="shared" si="23"/>
        <v>13.5</v>
      </c>
      <c r="R180">
        <f t="shared" si="24"/>
        <v>0.15000000000000002</v>
      </c>
      <c r="S180">
        <f>I180+(I180*'1. Cops de calor'!$C$40)</f>
        <v>9.2340961018645729</v>
      </c>
      <c r="T180">
        <f>J180*'1. Cops de calor'!$C$41+J180</f>
        <v>82.180261968239591</v>
      </c>
      <c r="U180">
        <f>'1. Cops de calor'!$C$42*K180+K180</f>
        <v>5.1999999999999998E-2</v>
      </c>
      <c r="V180">
        <f>S180*'1. Cops de calor'!$C$32/30</f>
        <v>132.35537746005886</v>
      </c>
      <c r="W180">
        <f>T180*'1. Cops de calor'!$C$33/30</f>
        <v>410.90130984119793</v>
      </c>
      <c r="X180">
        <f>K180*'1. Cops de calor'!$C$34/30</f>
        <v>3149.9999999999995</v>
      </c>
      <c r="Y180">
        <f t="shared" si="25"/>
        <v>3693.2566873012565</v>
      </c>
      <c r="Z180" s="849">
        <f>Y180*(Q180+R180)*'A. Dades de partida'!$D$10</f>
        <v>756194.30672493228</v>
      </c>
      <c r="AA180" s="850">
        <f t="shared" si="26"/>
        <v>579417.20964442217</v>
      </c>
      <c r="AB180" t="str">
        <f>VLOOKUP(B180,'BD ASVICC'!$A$6:$BG$316,59,FALSE)</f>
        <v>CENTRAL</v>
      </c>
      <c r="AC180">
        <f t="shared" si="18"/>
        <v>0.5</v>
      </c>
      <c r="AD180">
        <f t="shared" si="19"/>
        <v>0.5</v>
      </c>
    </row>
    <row r="181" spans="1:30">
      <c r="A181">
        <v>8179</v>
      </c>
      <c r="B181" t="s">
        <v>1377</v>
      </c>
      <c r="C181" t="s">
        <v>89</v>
      </c>
      <c r="D181">
        <f>VLOOKUP(A181,'temperatures màximes'!$A$4:$U$314,'temperatures màximes'!U$1,FALSE)</f>
        <v>26</v>
      </c>
      <c r="E181">
        <f>VLOOKUP(A181,'nits tropicals'!$A$4:$U$314,'nits tropicals'!U$1,FALSE)</f>
        <v>4</v>
      </c>
      <c r="F181">
        <f t="shared" si="20"/>
        <v>2.6</v>
      </c>
      <c r="G181">
        <f t="shared" si="21"/>
        <v>0.4</v>
      </c>
      <c r="H181" s="840">
        <f>VLOOKUP(B181,'BD ASVICC'!$A$6:$X$316,24,FALSE)/VLOOKUP(C181,'BD Comarcal'!$A$6:$Z$17,26,FALSE)</f>
        <v>7.9956648677342304E-4</v>
      </c>
      <c r="I181" s="839">
        <f>(VLOOKUP(C181,'BD Altres'!$D$74:$H$84,5,FALSE) * 1000 / 12) * H181*0.035</f>
        <v>3.2369136019504454</v>
      </c>
      <c r="J181" s="839">
        <f>(VLOOKUP(C181,'BD Altres'!$D$74:$H$84,3,FALSE) / 12) * H181*0.25</f>
        <v>1.4208303464573628</v>
      </c>
      <c r="K181">
        <f>(VLOOKUP(B181,'BD ASVICC'!$A$6:$GR$316,199,FALSE) / 12)*0.3</f>
        <v>0.15</v>
      </c>
      <c r="L181" s="846">
        <f>I181*'1. Cops de calor'!$C$32/30</f>
        <v>46.395761627956382</v>
      </c>
      <c r="M181" s="846">
        <f>J181*'1. Cops de calor'!$C$33/30</f>
        <v>7.1041517322868142</v>
      </c>
      <c r="N181" s="846">
        <f>K181*'1. Cops de calor'!$C$34*0.25/30</f>
        <v>2362.4999999999995</v>
      </c>
      <c r="O181" s="779">
        <f t="shared" si="22"/>
        <v>7247.9997400807279</v>
      </c>
      <c r="P181" s="848">
        <f>O181*'A. Dades de partida'!$D$10</f>
        <v>108719.99610121091</v>
      </c>
      <c r="Q181">
        <f t="shared" si="23"/>
        <v>3.9000000000000004</v>
      </c>
      <c r="R181">
        <f t="shared" si="24"/>
        <v>0.60000000000000009</v>
      </c>
      <c r="S181">
        <f>I181+(I181*'1. Cops de calor'!$C$40)</f>
        <v>3.4181807636596702</v>
      </c>
      <c r="T181">
        <f>J181*'1. Cops de calor'!$C$41+J181</f>
        <v>1.527392622441665</v>
      </c>
      <c r="U181">
        <f>'1. Cops de calor'!$C$42*K181+K181</f>
        <v>0.156</v>
      </c>
      <c r="V181">
        <f>S181*'1. Cops de calor'!$C$32/30</f>
        <v>48.993924279121941</v>
      </c>
      <c r="W181">
        <f>T181*'1. Cops de calor'!$C$33/30</f>
        <v>7.6369631122083241</v>
      </c>
      <c r="X181">
        <f>K181*'1. Cops de calor'!$C$34/30</f>
        <v>9449.9999999999982</v>
      </c>
      <c r="Y181">
        <f t="shared" si="25"/>
        <v>9506.6308873913276</v>
      </c>
      <c r="Z181" s="849">
        <f>Y181*(Q181+R181)*'A. Dades de partida'!$D$10</f>
        <v>641697.58489891456</v>
      </c>
      <c r="AA181" s="850">
        <f t="shared" si="26"/>
        <v>532977.58879770362</v>
      </c>
      <c r="AB181" t="str">
        <f>VLOOKUP(B181,'BD ASVICC'!$A$6:$BG$316,59,FALSE)</f>
        <v>CENTRAL</v>
      </c>
      <c r="AC181">
        <f t="shared" si="18"/>
        <v>0.5</v>
      </c>
      <c r="AD181">
        <f t="shared" si="19"/>
        <v>0.5</v>
      </c>
    </row>
    <row r="182" spans="1:30">
      <c r="A182">
        <v>8180</v>
      </c>
      <c r="B182" t="s">
        <v>1383</v>
      </c>
      <c r="C182" t="s">
        <v>89</v>
      </c>
      <c r="D182">
        <f>VLOOKUP(A182,'temperatures màximes'!$A$4:$U$314,'temperatures màximes'!U$1,FALSE)</f>
        <v>37</v>
      </c>
      <c r="E182">
        <f>VLOOKUP(A182,'nits tropicals'!$A$4:$U$314,'nits tropicals'!U$1,FALSE)</f>
        <v>39</v>
      </c>
      <c r="F182">
        <f t="shared" si="20"/>
        <v>3.7</v>
      </c>
      <c r="G182">
        <f t="shared" si="21"/>
        <v>3.9</v>
      </c>
      <c r="H182" s="840">
        <f>VLOOKUP(B182,'BD ASVICC'!$A$6:$X$316,24,FALSE)/VLOOKUP(C182,'BD Comarcal'!$A$6:$Z$17,26,FALSE)</f>
        <v>4.1634964168804744E-2</v>
      </c>
      <c r="I182" s="839">
        <f>(VLOOKUP(C182,'BD Altres'!$D$74:$H$84,5,FALSE) * 1000 / 12) * H182*0.035</f>
        <v>168.55231436546384</v>
      </c>
      <c r="J182" s="839">
        <f>(VLOOKUP(C182,'BD Altres'!$D$74:$H$84,3,FALSE) / 12) * H182*0.25</f>
        <v>73.985367750244535</v>
      </c>
      <c r="K182">
        <f>(VLOOKUP(B182,'BD ASVICC'!$A$6:$GR$316,199,FALSE) / 12)*0.3</f>
        <v>4.7749999999999995</v>
      </c>
      <c r="L182" s="846">
        <f>I182*'1. Cops de calor'!$C$32/30</f>
        <v>2415.9165059049819</v>
      </c>
      <c r="M182" s="846">
        <f>J182*'1. Cops de calor'!$C$33/30</f>
        <v>369.9268387512227</v>
      </c>
      <c r="N182" s="846">
        <f>K182*'1. Cops de calor'!$C$34*0.25/30</f>
        <v>75206.249999999985</v>
      </c>
      <c r="O182" s="779">
        <f t="shared" si="22"/>
        <v>592739.90941938711</v>
      </c>
      <c r="P182" s="848">
        <f>O182*'A. Dades de partida'!$D$10</f>
        <v>8891098.6412908062</v>
      </c>
      <c r="Q182">
        <f t="shared" si="23"/>
        <v>5.5500000000000007</v>
      </c>
      <c r="R182">
        <f t="shared" si="24"/>
        <v>5.85</v>
      </c>
      <c r="S182">
        <f>I182+(I182*'1. Cops de calor'!$C$40)</f>
        <v>177.99124396992983</v>
      </c>
      <c r="T182">
        <f>J182*'1. Cops de calor'!$C$41+J182</f>
        <v>79.534270331512872</v>
      </c>
      <c r="U182">
        <f>'1. Cops de calor'!$C$42*K182+K182</f>
        <v>4.9659999999999993</v>
      </c>
      <c r="V182">
        <f>S182*'1. Cops de calor'!$C$32/30</f>
        <v>2551.2078302356608</v>
      </c>
      <c r="W182">
        <f>T182*'1. Cops de calor'!$C$33/30</f>
        <v>397.6713516575644</v>
      </c>
      <c r="X182">
        <f>K182*'1. Cops de calor'!$C$34/30</f>
        <v>300824.99999999994</v>
      </c>
      <c r="Y182">
        <f t="shared" si="25"/>
        <v>303773.87918189319</v>
      </c>
      <c r="Z182" s="849">
        <f>Y182*(Q182+R182)*'A. Dades de partida'!$D$10</f>
        <v>51945333.340103738</v>
      </c>
      <c r="AA182" s="850">
        <f t="shared" si="26"/>
        <v>43054234.698812932</v>
      </c>
      <c r="AB182" t="str">
        <f>VLOOKUP(B182,'BD ASVICC'!$A$6:$BG$316,59,FALSE)</f>
        <v>LITORAL</v>
      </c>
      <c r="AC182">
        <f t="shared" si="18"/>
        <v>0.5</v>
      </c>
      <c r="AD182">
        <f t="shared" si="19"/>
        <v>0.5</v>
      </c>
    </row>
    <row r="183" spans="1:30">
      <c r="A183">
        <v>8181</v>
      </c>
      <c r="B183" t="s">
        <v>1384</v>
      </c>
      <c r="C183" t="s">
        <v>24</v>
      </c>
      <c r="D183">
        <f>VLOOKUP(A183,'temperatures màximes'!$A$4:$U$314,'temperatures màximes'!U$1,FALSE)</f>
        <v>39</v>
      </c>
      <c r="E183">
        <f>VLOOKUP(A183,'nits tropicals'!$A$4:$U$314,'nits tropicals'!U$1,FALSE)</f>
        <v>2</v>
      </c>
      <c r="F183">
        <f t="shared" si="20"/>
        <v>3.9</v>
      </c>
      <c r="G183">
        <f t="shared" si="21"/>
        <v>0.2</v>
      </c>
      <c r="H183" s="840">
        <f>VLOOKUP(B183,'BD ASVICC'!$A$6:$X$316,24,FALSE)/VLOOKUP(C183,'BD Comarcal'!$A$6:$Z$17,26,FALSE)</f>
        <v>2.6409161355266633E-2</v>
      </c>
      <c r="I183" s="839">
        <f>(VLOOKUP(C183,'BD Altres'!$D$74:$H$84,5,FALSE) * 1000 / 12) * H183*0.035</f>
        <v>186.89319217308025</v>
      </c>
      <c r="J183" s="839">
        <f>(VLOOKUP(C183,'BD Altres'!$D$74:$H$84,3,FALSE) / 12) * H183*0.25</f>
        <v>42.017368927291173</v>
      </c>
      <c r="K183">
        <f>(VLOOKUP(B183,'BD ASVICC'!$A$6:$GR$316,199,FALSE) / 12)*0.3</f>
        <v>1.5999999999999999</v>
      </c>
      <c r="L183" s="846">
        <f>I183*'1. Cops de calor'!$C$32/30</f>
        <v>2678.8024211474835</v>
      </c>
      <c r="M183" s="846">
        <f>J183*'1. Cops de calor'!$C$33/30</f>
        <v>210.08684463645585</v>
      </c>
      <c r="N183" s="846">
        <f>K183*'1. Cops de calor'!$C$34*0.25/30</f>
        <v>25199.999999999996</v>
      </c>
      <c r="O183" s="779">
        <f t="shared" si="22"/>
        <v>115164.44598971412</v>
      </c>
      <c r="P183" s="848">
        <f>O183*'A. Dades de partida'!$D$10</f>
        <v>1727466.6898457119</v>
      </c>
      <c r="Q183">
        <f t="shared" si="23"/>
        <v>5.85</v>
      </c>
      <c r="R183">
        <f t="shared" si="24"/>
        <v>0.30000000000000004</v>
      </c>
      <c r="S183">
        <f>I183+(I183*'1. Cops de calor'!$C$40)</f>
        <v>197.35921093477273</v>
      </c>
      <c r="T183">
        <f>J183*'1. Cops de calor'!$C$41+J183</f>
        <v>45.16867159683801</v>
      </c>
      <c r="U183">
        <f>'1. Cops de calor'!$C$42*K183+K183</f>
        <v>1.6639999999999999</v>
      </c>
      <c r="V183">
        <f>S183*'1. Cops de calor'!$C$32/30</f>
        <v>2828.8153567317427</v>
      </c>
      <c r="W183">
        <f>T183*'1. Cops de calor'!$C$33/30</f>
        <v>225.84335798419005</v>
      </c>
      <c r="X183">
        <f>K183*'1. Cops de calor'!$C$34/30</f>
        <v>100799.99999999999</v>
      </c>
      <c r="Y183">
        <f t="shared" si="25"/>
        <v>103854.65871471592</v>
      </c>
      <c r="Z183" s="849">
        <f>Y183*(Q183+R183)*'A. Dades de partida'!$D$10</f>
        <v>9580592.2664325424</v>
      </c>
      <c r="AA183" s="850">
        <f t="shared" si="26"/>
        <v>7853125.5765868304</v>
      </c>
      <c r="AB183" t="str">
        <f>VLOOKUP(B183,'BD ASVICC'!$A$6:$BG$316,59,FALSE)</f>
        <v>CENTRAL</v>
      </c>
      <c r="AC183">
        <f t="shared" si="18"/>
        <v>0.5</v>
      </c>
      <c r="AD183">
        <f t="shared" si="19"/>
        <v>0.5</v>
      </c>
    </row>
    <row r="184" spans="1:30">
      <c r="A184">
        <v>8182</v>
      </c>
      <c r="B184" t="s">
        <v>1387</v>
      </c>
      <c r="C184" t="s">
        <v>82</v>
      </c>
      <c r="D184">
        <f>VLOOKUP(A184,'temperatures màximes'!$A$4:$U$314,'temperatures màximes'!U$1,FALSE)</f>
        <v>138</v>
      </c>
      <c r="E184">
        <f>VLOOKUP(A184,'nits tropicals'!$A$4:$U$314,'nits tropicals'!U$1,FALSE)</f>
        <v>5</v>
      </c>
      <c r="F184">
        <f t="shared" si="20"/>
        <v>13.8</v>
      </c>
      <c r="G184">
        <f t="shared" si="21"/>
        <v>0.5</v>
      </c>
      <c r="H184" s="840">
        <f>VLOOKUP(B184,'BD ASVICC'!$A$6:$X$316,24,FALSE)/VLOOKUP(C184,'BD Comarcal'!$A$6:$Z$17,26,FALSE)</f>
        <v>2.1355537587237142E-2</v>
      </c>
      <c r="I184" s="839">
        <f>(VLOOKUP(C184,'BD Altres'!$D$74:$H$84,5,FALSE) * 1000 / 12) * H184*0.035</f>
        <v>61.096022164676192</v>
      </c>
      <c r="J184" s="839">
        <f>(VLOOKUP(C184,'BD Altres'!$D$74:$H$84,3,FALSE) / 12) * H184*0.25</f>
        <v>534.12329607700906</v>
      </c>
      <c r="K184">
        <f>(VLOOKUP(B184,'BD ASVICC'!$A$6:$GR$316,199,FALSE) / 12)*0.3</f>
        <v>0.64999999999999991</v>
      </c>
      <c r="L184" s="846">
        <f>I184*'1. Cops de calor'!$C$32/30</f>
        <v>875.70965102702542</v>
      </c>
      <c r="M184" s="846">
        <f>J184*'1. Cops de calor'!$C$33/30</f>
        <v>2670.6164803850456</v>
      </c>
      <c r="N184" s="846">
        <f>K184*'1. Cops de calor'!$C$34*0.25/30</f>
        <v>10237.499999999998</v>
      </c>
      <c r="O184" s="779">
        <f t="shared" si="22"/>
        <v>197108.71367919259</v>
      </c>
      <c r="P184" s="848">
        <f>O184*'A. Dades de partida'!$D$10</f>
        <v>2956630.7051878888</v>
      </c>
      <c r="Q184">
        <f t="shared" si="23"/>
        <v>20.700000000000003</v>
      </c>
      <c r="R184">
        <f t="shared" si="24"/>
        <v>0.75</v>
      </c>
      <c r="S184">
        <f>I184+(I184*'1. Cops de calor'!$C$40)</f>
        <v>64.517399405898061</v>
      </c>
      <c r="T184">
        <f>J184*'1. Cops de calor'!$C$41+J184</f>
        <v>574.18254328278476</v>
      </c>
      <c r="U184">
        <f>'1. Cops de calor'!$C$42*K184+K184</f>
        <v>0.67599999999999993</v>
      </c>
      <c r="V184">
        <f>S184*'1. Cops de calor'!$C$32/30</f>
        <v>924.74939148453882</v>
      </c>
      <c r="W184">
        <f>T184*'1. Cops de calor'!$C$33/30</f>
        <v>2870.9127164139236</v>
      </c>
      <c r="X184">
        <f>K184*'1. Cops de calor'!$C$34/30</f>
        <v>40949.999999999993</v>
      </c>
      <c r="Y184">
        <f t="shared" si="25"/>
        <v>44745.662107898454</v>
      </c>
      <c r="Z184" s="849">
        <f>Y184*(Q184+R184)*'A. Dades de partida'!$D$10</f>
        <v>14396916.783216329</v>
      </c>
      <c r="AA184" s="850">
        <f t="shared" si="26"/>
        <v>11440286.07802844</v>
      </c>
      <c r="AB184" t="str">
        <f>VLOOKUP(B184,'BD ASVICC'!$A$6:$BG$316,59,FALSE)</f>
        <v>CENTRAL</v>
      </c>
      <c r="AC184">
        <f t="shared" si="18"/>
        <v>0.5</v>
      </c>
      <c r="AD184">
        <f t="shared" si="19"/>
        <v>0.5</v>
      </c>
    </row>
    <row r="185" spans="1:30">
      <c r="A185">
        <v>8183</v>
      </c>
      <c r="B185" t="s">
        <v>1390</v>
      </c>
      <c r="C185" t="s">
        <v>88</v>
      </c>
      <c r="D185">
        <f>VLOOKUP(A185,'temperatures màximes'!$A$4:$U$314,'temperatures màximes'!U$1,FALSE)</f>
        <v>83</v>
      </c>
      <c r="E185">
        <f>VLOOKUP(A185,'nits tropicals'!$A$4:$U$314,'nits tropicals'!U$1,FALSE)</f>
        <v>0</v>
      </c>
      <c r="F185">
        <f t="shared" si="20"/>
        <v>8.3000000000000007</v>
      </c>
      <c r="G185">
        <f t="shared" si="21"/>
        <v>0</v>
      </c>
      <c r="H185" s="840">
        <f>VLOOKUP(B185,'BD ASVICC'!$A$6:$X$316,24,FALSE)/VLOOKUP(C185,'BD Comarcal'!$A$6:$Z$17,26,FALSE)</f>
        <v>3.929555836829627E-2</v>
      </c>
      <c r="I185" s="839">
        <f>(VLOOKUP(C185,'BD Altres'!$D$74:$H$84,5,FALSE) * 1000 / 12) * H185*0.035</f>
        <v>43.724495259389663</v>
      </c>
      <c r="J185" s="839">
        <f>(VLOOKUP(C185,'BD Altres'!$D$74:$H$84,3,FALSE) / 12) * H185*0.25</f>
        <v>27.972706955964899</v>
      </c>
      <c r="K185">
        <f>(VLOOKUP(B185,'BD ASVICC'!$A$6:$GR$316,199,FALSE) / 12)*0.3</f>
        <v>1.3499999999999999</v>
      </c>
      <c r="L185" s="846">
        <f>I185*'1. Cops de calor'!$C$32/30</f>
        <v>626.71776538458516</v>
      </c>
      <c r="M185" s="846">
        <f>J185*'1. Cops de calor'!$C$33/30</f>
        <v>139.8635347798245</v>
      </c>
      <c r="N185" s="846">
        <f>K185*'1. Cops de calor'!$C$34*0.25/30</f>
        <v>21262.499999999996</v>
      </c>
      <c r="O185" s="779">
        <f t="shared" si="22"/>
        <v>182841.37479136459</v>
      </c>
      <c r="P185" s="848">
        <f>O185*'A. Dades de partida'!$D$10</f>
        <v>2742620.6218704688</v>
      </c>
      <c r="Q185">
        <f t="shared" si="23"/>
        <v>12.450000000000001</v>
      </c>
      <c r="R185">
        <f t="shared" si="24"/>
        <v>0</v>
      </c>
      <c r="S185">
        <f>I185+(I185*'1. Cops de calor'!$C$40)</f>
        <v>46.173066993915484</v>
      </c>
      <c r="T185">
        <f>J185*'1. Cops de calor'!$C$41+J185</f>
        <v>30.070659977662267</v>
      </c>
      <c r="U185">
        <f>'1. Cops de calor'!$C$42*K185+K185</f>
        <v>1.4039999999999999</v>
      </c>
      <c r="V185">
        <f>S185*'1. Cops de calor'!$C$32/30</f>
        <v>661.81396024612195</v>
      </c>
      <c r="W185">
        <f>T185*'1. Cops de calor'!$C$33/30</f>
        <v>150.35329988831134</v>
      </c>
      <c r="X185">
        <f>K185*'1. Cops de calor'!$C$34/30</f>
        <v>85049.999999999985</v>
      </c>
      <c r="Y185">
        <f t="shared" si="25"/>
        <v>85862.167260134418</v>
      </c>
      <c r="Z185" s="849">
        <f>Y185*(Q185+R185)*'A. Dades de partida'!$D$10</f>
        <v>16034759.735830104</v>
      </c>
      <c r="AA185" s="850">
        <f t="shared" si="26"/>
        <v>13292139.113959635</v>
      </c>
      <c r="AB185" t="str">
        <f>VLOOKUP(B185,'BD ASVICC'!$A$6:$BG$316,59,FALSE)</f>
        <v>CENTRAL</v>
      </c>
      <c r="AC185">
        <f t="shared" si="18"/>
        <v>0.5</v>
      </c>
      <c r="AD185">
        <f t="shared" si="19"/>
        <v>0.5</v>
      </c>
    </row>
    <row r="186" spans="1:30">
      <c r="A186">
        <v>8184</v>
      </c>
      <c r="B186" t="s">
        <v>1394</v>
      </c>
      <c r="C186" t="s">
        <v>89</v>
      </c>
      <c r="D186">
        <f>VLOOKUP(A186,'temperatures màximes'!$A$4:$U$314,'temperatures màximes'!U$1,FALSE)</f>
        <v>37</v>
      </c>
      <c r="E186">
        <f>VLOOKUP(A186,'nits tropicals'!$A$4:$U$314,'nits tropicals'!U$1,FALSE)</f>
        <v>39</v>
      </c>
      <c r="F186">
        <f t="shared" si="20"/>
        <v>3.7</v>
      </c>
      <c r="G186">
        <f t="shared" si="21"/>
        <v>3.9</v>
      </c>
      <c r="H186" s="840">
        <f>VLOOKUP(B186,'BD ASVICC'!$A$6:$X$316,24,FALSE)/VLOOKUP(C186,'BD Comarcal'!$A$6:$Z$17,26,FALSE)</f>
        <v>8.3127267097230825E-2</v>
      </c>
      <c r="I186" s="839">
        <f>(VLOOKUP(C186,'BD Altres'!$D$74:$H$84,5,FALSE) * 1000 / 12) * H186*0.035</f>
        <v>336.52708812974981</v>
      </c>
      <c r="J186" s="839">
        <f>(VLOOKUP(C186,'BD Altres'!$D$74:$H$84,3,FALSE) / 12) * H186*0.25</f>
        <v>147.71722635153608</v>
      </c>
      <c r="K186">
        <f>(VLOOKUP(B186,'BD ASVICC'!$A$6:$GR$316,199,FALSE) / 12)*0.3</f>
        <v>12.225</v>
      </c>
      <c r="L186" s="846">
        <f>I186*'1. Cops de calor'!$C$32/30</f>
        <v>4823.5549298597471</v>
      </c>
      <c r="M186" s="846">
        <f>J186*'1. Cops de calor'!$C$33/30</f>
        <v>738.58613175768039</v>
      </c>
      <c r="N186" s="846">
        <f>K186*'1. Cops de calor'!$C$34*0.25/30</f>
        <v>192543.74999999997</v>
      </c>
      <c r="O186" s="779">
        <f t="shared" si="22"/>
        <v>1505604.7720682921</v>
      </c>
      <c r="P186" s="848">
        <f>O186*'A. Dades de partida'!$D$10</f>
        <v>22584071.581024382</v>
      </c>
      <c r="Q186">
        <f t="shared" si="23"/>
        <v>5.5500000000000007</v>
      </c>
      <c r="R186">
        <f t="shared" si="24"/>
        <v>5.85</v>
      </c>
      <c r="S186">
        <f>I186+(I186*'1. Cops de calor'!$C$40)</f>
        <v>355.37260506501582</v>
      </c>
      <c r="T186">
        <f>J186*'1. Cops de calor'!$C$41+J186</f>
        <v>158.79601832790129</v>
      </c>
      <c r="U186">
        <f>'1. Cops de calor'!$C$42*K186+K186</f>
        <v>12.714</v>
      </c>
      <c r="V186">
        <f>S186*'1. Cops de calor'!$C$32/30</f>
        <v>5093.6740059318936</v>
      </c>
      <c r="W186">
        <f>T186*'1. Cops de calor'!$C$33/30</f>
        <v>793.98009163950655</v>
      </c>
      <c r="X186">
        <f>K186*'1. Cops de calor'!$C$34/30</f>
        <v>770174.99999999988</v>
      </c>
      <c r="Y186">
        <f t="shared" si="25"/>
        <v>776062.65409757127</v>
      </c>
      <c r="Z186" s="849">
        <f>Y186*(Q186+R186)*'A. Dades de partida'!$D$10</f>
        <v>132706713.85068467</v>
      </c>
      <c r="AA186" s="850">
        <f t="shared" si="26"/>
        <v>110122642.26966029</v>
      </c>
      <c r="AB186" t="str">
        <f>VLOOKUP(B186,'BD ASVICC'!$A$6:$BG$316,59,FALSE)</f>
        <v>LITORAL</v>
      </c>
      <c r="AC186">
        <f t="shared" si="18"/>
        <v>0.5</v>
      </c>
      <c r="AD186">
        <f t="shared" si="19"/>
        <v>0.5</v>
      </c>
    </row>
    <row r="187" spans="1:30">
      <c r="A187">
        <v>8185</v>
      </c>
      <c r="B187" t="s">
        <v>1399</v>
      </c>
      <c r="C187" t="s">
        <v>81</v>
      </c>
      <c r="D187">
        <f>VLOOKUP(A187,'temperatures màximes'!$A$4:$U$314,'temperatures màximes'!U$1,FALSE)</f>
        <v>77</v>
      </c>
      <c r="E187">
        <f>VLOOKUP(A187,'nits tropicals'!$A$4:$U$314,'nits tropicals'!U$1,FALSE)</f>
        <v>2</v>
      </c>
      <c r="F187">
        <f t="shared" si="20"/>
        <v>7.7</v>
      </c>
      <c r="G187">
        <f t="shared" si="21"/>
        <v>0.2</v>
      </c>
      <c r="H187" s="840">
        <f>VLOOKUP(B187,'BD ASVICC'!$A$6:$X$316,24,FALSE)/VLOOKUP(C187,'BD Comarcal'!$A$6:$Z$17,26,FALSE)</f>
        <v>1.9658905228758169E-3</v>
      </c>
      <c r="I187" s="839">
        <f>(VLOOKUP(C187,'BD Altres'!$D$74:$H$84,5,FALSE) * 1000 / 12) * H187*0.035</f>
        <v>1.6399167076057346</v>
      </c>
      <c r="J187" s="839">
        <f>(VLOOKUP(C187,'BD Altres'!$D$74:$H$84,3,FALSE) / 12) * H187*0.25</f>
        <v>0.79198163663542698</v>
      </c>
      <c r="K187">
        <f>(VLOOKUP(B187,'BD ASVICC'!$A$6:$GR$316,199,FALSE) / 12)*0.3</f>
        <v>4.9999999999999996E-2</v>
      </c>
      <c r="L187" s="846">
        <f>I187*'1. Cops de calor'!$C$32/30</f>
        <v>23.505472809015529</v>
      </c>
      <c r="M187" s="846">
        <f>J187*'1. Cops de calor'!$C$33/30</f>
        <v>3.9599081831771348</v>
      </c>
      <c r="N187" s="846">
        <f>K187*'1. Cops de calor'!$C$34*0.25/30</f>
        <v>787.49999999999989</v>
      </c>
      <c r="O187" s="779">
        <f t="shared" si="22"/>
        <v>6438.2265098383214</v>
      </c>
      <c r="P187" s="848">
        <f>O187*'A. Dades de partida'!$D$10</f>
        <v>96573.39764757482</v>
      </c>
      <c r="Q187">
        <f t="shared" si="23"/>
        <v>11.55</v>
      </c>
      <c r="R187">
        <f t="shared" si="24"/>
        <v>0.30000000000000004</v>
      </c>
      <c r="S187">
        <f>I187+(I187*'1. Cops de calor'!$C$40)</f>
        <v>1.7317520432316558</v>
      </c>
      <c r="T187">
        <f>J187*'1. Cops de calor'!$C$41+J187</f>
        <v>0.85138025938308404</v>
      </c>
      <c r="U187">
        <f>'1. Cops de calor'!$C$42*K187+K187</f>
        <v>5.1999999999999998E-2</v>
      </c>
      <c r="V187">
        <f>S187*'1. Cops de calor'!$C$32/30</f>
        <v>24.8217792863204</v>
      </c>
      <c r="W187">
        <f>T187*'1. Cops de calor'!$C$33/30</f>
        <v>4.2569012969154203</v>
      </c>
      <c r="X187">
        <f>K187*'1. Cops de calor'!$C$34/30</f>
        <v>3149.9999999999995</v>
      </c>
      <c r="Y187">
        <f t="shared" si="25"/>
        <v>3179.0786805832354</v>
      </c>
      <c r="Z187" s="849">
        <f>Y187*(Q187+R187)*'A. Dades de partida'!$D$10</f>
        <v>565081.23547367018</v>
      </c>
      <c r="AA187" s="850">
        <f t="shared" si="26"/>
        <v>468507.83782609535</v>
      </c>
      <c r="AB187" t="str">
        <f>VLOOKUP(B187,'BD ASVICC'!$A$6:$BG$316,59,FALSE)</f>
        <v>CENTRAL</v>
      </c>
      <c r="AC187">
        <f t="shared" si="18"/>
        <v>0.5</v>
      </c>
      <c r="AD187">
        <f t="shared" si="19"/>
        <v>0.5</v>
      </c>
    </row>
    <row r="188" spans="1:30">
      <c r="A188">
        <v>8187</v>
      </c>
      <c r="B188" t="s">
        <v>947</v>
      </c>
      <c r="C188" t="s">
        <v>89</v>
      </c>
      <c r="D188">
        <f>VLOOKUP(A188,'temperatures màximes'!$A$4:$U$314,'temperatures màximes'!U$1,FALSE)</f>
        <v>37</v>
      </c>
      <c r="E188">
        <f>VLOOKUP(A188,'nits tropicals'!$A$4:$U$314,'nits tropicals'!U$1,FALSE)</f>
        <v>39</v>
      </c>
      <c r="F188">
        <f t="shared" si="20"/>
        <v>3.7</v>
      </c>
      <c r="G188">
        <f t="shared" si="21"/>
        <v>3.9</v>
      </c>
      <c r="H188" s="840">
        <f>VLOOKUP(B188,'BD ASVICC'!$A$6:$X$316,24,FALSE)/VLOOKUP(C188,'BD Comarcal'!$A$6:$Z$17,26,FALSE)</f>
        <v>0.23029947801468637</v>
      </c>
      <c r="I188" s="839">
        <f>(VLOOKUP(C188,'BD Altres'!$D$74:$H$84,5,FALSE) * 1000 / 12) * H188*0.035</f>
        <v>932.32961265805318</v>
      </c>
      <c r="J188" s="839">
        <f>(VLOOKUP(C188,'BD Altres'!$D$74:$H$84,3,FALSE) / 12) * H188*0.25</f>
        <v>409.24237389814652</v>
      </c>
      <c r="K188">
        <f>(VLOOKUP(B188,'BD ASVICC'!$A$6:$GR$316,199,FALSE) / 12)*0.3</f>
        <v>42.424999999999997</v>
      </c>
      <c r="L188" s="846">
        <f>I188*'1. Cops de calor'!$C$32/30</f>
        <v>13363.391114765429</v>
      </c>
      <c r="M188" s="846">
        <f>J188*'1. Cops de calor'!$C$33/30</f>
        <v>2046.2118694907326</v>
      </c>
      <c r="N188" s="846">
        <f>K188*'1. Cops de calor'!$C$34*0.25/30</f>
        <v>668193.74999999988</v>
      </c>
      <c r="O188" s="779">
        <f t="shared" si="22"/>
        <v>5195385.482680345</v>
      </c>
      <c r="P188" s="848">
        <f>O188*'A. Dades de partida'!$D$10</f>
        <v>77930782.240205169</v>
      </c>
      <c r="Q188">
        <f t="shared" si="23"/>
        <v>5.5500000000000007</v>
      </c>
      <c r="R188">
        <f t="shared" si="24"/>
        <v>5.85</v>
      </c>
      <c r="S188">
        <f>I188+(I188*'1. Cops de calor'!$C$40)</f>
        <v>984.54007096690418</v>
      </c>
      <c r="T188">
        <f>J188*'1. Cops de calor'!$C$41+J188</f>
        <v>439.93555194050754</v>
      </c>
      <c r="U188">
        <f>'1. Cops de calor'!$C$42*K188+K188</f>
        <v>44.122</v>
      </c>
      <c r="V188">
        <f>S188*'1. Cops de calor'!$C$32/30</f>
        <v>14111.741017192293</v>
      </c>
      <c r="W188">
        <f>T188*'1. Cops de calor'!$C$33/30</f>
        <v>2199.6777597025375</v>
      </c>
      <c r="X188">
        <f>K188*'1. Cops de calor'!$C$34/30</f>
        <v>2672774.9999999995</v>
      </c>
      <c r="Y188">
        <f t="shared" si="25"/>
        <v>2689086.4187768945</v>
      </c>
      <c r="Z188" s="849">
        <f>Y188*(Q188+R188)*'A. Dades de partida'!$D$10</f>
        <v>459833777.61084896</v>
      </c>
      <c r="AA188" s="850">
        <f t="shared" si="26"/>
        <v>381902995.37064379</v>
      </c>
      <c r="AB188" t="str">
        <f>VLOOKUP(B188,'BD ASVICC'!$A$6:$BG$316,59,FALSE)</f>
        <v>LITORAL</v>
      </c>
      <c r="AC188">
        <f t="shared" si="18"/>
        <v>0.5</v>
      </c>
      <c r="AD188">
        <f t="shared" si="19"/>
        <v>0.5</v>
      </c>
    </row>
    <row r="189" spans="1:30">
      <c r="A189">
        <v>8188</v>
      </c>
      <c r="B189" t="s">
        <v>1409</v>
      </c>
      <c r="C189" t="s">
        <v>84</v>
      </c>
      <c r="D189">
        <f>VLOOKUP(A189,'temperatures màximes'!$A$4:$U$314,'temperatures màximes'!U$1,FALSE)</f>
        <v>11</v>
      </c>
      <c r="E189">
        <f>VLOOKUP(A189,'nits tropicals'!$A$4:$U$314,'nits tropicals'!U$1,FALSE)</f>
        <v>0</v>
      </c>
      <c r="F189">
        <f t="shared" si="20"/>
        <v>1.1000000000000001</v>
      </c>
      <c r="G189">
        <f t="shared" si="21"/>
        <v>0</v>
      </c>
      <c r="H189" s="840">
        <f>VLOOKUP(B189,'BD ASVICC'!$A$6:$X$316,24,FALSE)/VLOOKUP(C189,'BD Comarcal'!$A$6:$Z$17,26,FALSE)</f>
        <v>3.8797284190106693E-3</v>
      </c>
      <c r="I189" s="839">
        <f>(VLOOKUP(C189,'BD Altres'!$D$74:$H$84,5,FALSE) * 1000 / 12) * H189*0.035</f>
        <v>2.4937151903949477</v>
      </c>
      <c r="J189" s="839">
        <f>(VLOOKUP(C189,'BD Altres'!$D$74:$H$84,3,FALSE) / 12) * H189*0.25</f>
        <v>21.800950860286083</v>
      </c>
      <c r="K189">
        <f>(VLOOKUP(B189,'BD ASVICC'!$A$6:$GR$316,199,FALSE) / 12)*0.3</f>
        <v>2.4999999999999998E-2</v>
      </c>
      <c r="L189" s="846">
        <f>I189*'1. Cops de calor'!$C$32/30</f>
        <v>35.74325106232758</v>
      </c>
      <c r="M189" s="846">
        <f>J189*'1. Cops de calor'!$C$33/30</f>
        <v>109.00475430143041</v>
      </c>
      <c r="N189" s="846">
        <f>K189*'1. Cops de calor'!$C$34*0.25/30</f>
        <v>393.74999999999994</v>
      </c>
      <c r="O189" s="779">
        <f t="shared" si="22"/>
        <v>592.34780590013372</v>
      </c>
      <c r="P189" s="848">
        <f>O189*'A. Dades de partida'!$D$10</f>
        <v>8885.2170885020059</v>
      </c>
      <c r="Q189">
        <f t="shared" si="23"/>
        <v>1.6500000000000001</v>
      </c>
      <c r="R189">
        <f t="shared" si="24"/>
        <v>0</v>
      </c>
      <c r="S189">
        <f>I189+(I189*'1. Cops de calor'!$C$40)</f>
        <v>2.6333632410570647</v>
      </c>
      <c r="T189">
        <f>J189*'1. Cops de calor'!$C$41+J189</f>
        <v>23.43602217480754</v>
      </c>
      <c r="U189">
        <f>'1. Cops de calor'!$C$42*K189+K189</f>
        <v>2.5999999999999999E-2</v>
      </c>
      <c r="V189">
        <f>S189*'1. Cops de calor'!$C$32/30</f>
        <v>37.744873121817925</v>
      </c>
      <c r="W189">
        <f>T189*'1. Cops de calor'!$C$33/30</f>
        <v>117.18011087403769</v>
      </c>
      <c r="X189">
        <f>K189*'1. Cops de calor'!$C$34/30</f>
        <v>1574.9999999999998</v>
      </c>
      <c r="Y189">
        <f t="shared" si="25"/>
        <v>1729.9249839958554</v>
      </c>
      <c r="Z189" s="849">
        <f>Y189*(Q189+R189)*'A. Dades de partida'!$D$10</f>
        <v>42815.643353897423</v>
      </c>
      <c r="AA189" s="850">
        <f t="shared" si="26"/>
        <v>33930.426265395421</v>
      </c>
      <c r="AB189" t="str">
        <f>VLOOKUP(B189,'BD ASVICC'!$A$6:$BG$316,59,FALSE)</f>
        <v>PREPIRINEU-PIRINEU</v>
      </c>
      <c r="AC189">
        <f t="shared" si="18"/>
        <v>0.5</v>
      </c>
      <c r="AD189">
        <f t="shared" si="19"/>
        <v>0.5</v>
      </c>
    </row>
    <row r="190" spans="1:30">
      <c r="A190">
        <v>8189</v>
      </c>
      <c r="B190" t="s">
        <v>1411</v>
      </c>
      <c r="C190" t="s">
        <v>81</v>
      </c>
      <c r="D190">
        <f>VLOOKUP(A190,'temperatures màximes'!$A$4:$U$314,'temperatures màximes'!U$1,FALSE)</f>
        <v>77</v>
      </c>
      <c r="E190">
        <f>VLOOKUP(A190,'nits tropicals'!$A$4:$U$314,'nits tropicals'!U$1,FALSE)</f>
        <v>2</v>
      </c>
      <c r="F190">
        <f t="shared" si="20"/>
        <v>7.7</v>
      </c>
      <c r="G190">
        <f t="shared" si="21"/>
        <v>0.2</v>
      </c>
      <c r="H190" s="840">
        <f>VLOOKUP(B190,'BD ASVICC'!$A$6:$X$316,24,FALSE)/VLOOKUP(C190,'BD Comarcal'!$A$6:$Z$17,26,FALSE)</f>
        <v>1.3446350762527234E-3</v>
      </c>
      <c r="I190" s="839">
        <f>(VLOOKUP(C190,'BD Altres'!$D$74:$H$84,5,FALSE) * 1000 / 12) * H190*0.035</f>
        <v>1.1216746311762169</v>
      </c>
      <c r="J190" s="839">
        <f>(VLOOKUP(C190,'BD Altres'!$D$74:$H$84,3,FALSE) / 12) * H190*0.25</f>
        <v>0.54170172549089812</v>
      </c>
      <c r="K190">
        <f>(VLOOKUP(B190,'BD ASVICC'!$A$6:$GR$316,199,FALSE) / 12)*0.3</f>
        <v>0</v>
      </c>
      <c r="L190" s="846">
        <f>I190*'1. Cops de calor'!$C$32/30</f>
        <v>16.077336380192442</v>
      </c>
      <c r="M190" s="846">
        <f>J190*'1. Cops de calor'!$C$33/30</f>
        <v>2.7085086274544907</v>
      </c>
      <c r="N190" s="846">
        <f>K190*'1. Cops de calor'!$C$34*0.25/30</f>
        <v>0</v>
      </c>
      <c r="O190" s="779">
        <f t="shared" si="22"/>
        <v>148.4081755604108</v>
      </c>
      <c r="P190" s="848">
        <f>O190*'A. Dades de partida'!$D$10</f>
        <v>2226.1226334061621</v>
      </c>
      <c r="Q190">
        <f t="shared" si="23"/>
        <v>11.55</v>
      </c>
      <c r="R190">
        <f t="shared" si="24"/>
        <v>0.30000000000000004</v>
      </c>
      <c r="S190">
        <f>I190+(I190*'1. Cops de calor'!$C$40)</f>
        <v>1.184488410522085</v>
      </c>
      <c r="T190">
        <f>J190*'1. Cops de calor'!$C$41+J190</f>
        <v>0.58232935490271553</v>
      </c>
      <c r="U190">
        <f>'1. Cops de calor'!$C$42*K190+K190</f>
        <v>0</v>
      </c>
      <c r="V190">
        <f>S190*'1. Cops de calor'!$C$32/30</f>
        <v>16.977667217483219</v>
      </c>
      <c r="W190">
        <f>T190*'1. Cops de calor'!$C$33/30</f>
        <v>2.9116467745135779</v>
      </c>
      <c r="X190">
        <f>K190*'1. Cops de calor'!$C$34/30</f>
        <v>0</v>
      </c>
      <c r="Y190">
        <f t="shared" si="25"/>
        <v>19.889313991996797</v>
      </c>
      <c r="Z190" s="849">
        <f>Y190*(Q190+R190)*'A. Dades de partida'!$D$10</f>
        <v>3535.3255620774312</v>
      </c>
      <c r="AA190" s="850">
        <f t="shared" si="26"/>
        <v>1309.2029286712691</v>
      </c>
      <c r="AB190" t="str">
        <f>VLOOKUP(B190,'BD ASVICC'!$A$6:$BG$316,59,FALSE)</f>
        <v>PREPIRINEU-PIRINEU</v>
      </c>
      <c r="AC190">
        <f t="shared" si="18"/>
        <v>0.5</v>
      </c>
      <c r="AD190">
        <f t="shared" si="19"/>
        <v>0.5</v>
      </c>
    </row>
    <row r="191" spans="1:30">
      <c r="A191">
        <v>8190</v>
      </c>
      <c r="B191" t="s">
        <v>1413</v>
      </c>
      <c r="C191" t="s">
        <v>84</v>
      </c>
      <c r="D191">
        <f>VLOOKUP(A191,'temperatures màximes'!$A$4:$U$314,'temperatures màximes'!U$1,FALSE)</f>
        <v>0</v>
      </c>
      <c r="E191">
        <f>VLOOKUP(A191,'nits tropicals'!$A$4:$U$314,'nits tropicals'!U$1,FALSE)</f>
        <v>0</v>
      </c>
      <c r="F191">
        <f t="shared" si="20"/>
        <v>0</v>
      </c>
      <c r="G191">
        <f t="shared" si="21"/>
        <v>0</v>
      </c>
      <c r="H191" s="840">
        <f>VLOOKUP(B191,'BD ASVICC'!$A$6:$X$316,24,FALSE)/VLOOKUP(C191,'BD Comarcal'!$A$6:$Z$17,26,FALSE)</f>
        <v>7.0447700239930572E-3</v>
      </c>
      <c r="I191" s="839">
        <f>(VLOOKUP(C191,'BD Altres'!$D$74:$H$84,5,FALSE) * 1000 / 12) * H191*0.035</f>
        <v>4.5280617930855627</v>
      </c>
      <c r="J191" s="839">
        <f>(VLOOKUP(C191,'BD Altres'!$D$74:$H$84,3,FALSE) / 12) * H191*0.25</f>
        <v>39.585937088414205</v>
      </c>
      <c r="K191">
        <f>(VLOOKUP(B191,'BD ASVICC'!$A$6:$GR$316,199,FALSE) / 12)*0.3</f>
        <v>2.4999999999999998E-2</v>
      </c>
      <c r="L191" s="846">
        <f>I191*'1. Cops de calor'!$C$32/30</f>
        <v>64.902219034226405</v>
      </c>
      <c r="M191" s="846">
        <f>J191*'1. Cops de calor'!$C$33/30</f>
        <v>197.92968544207102</v>
      </c>
      <c r="N191" s="846">
        <f>K191*'1. Cops de calor'!$C$34*0.25/30</f>
        <v>393.74999999999994</v>
      </c>
      <c r="O191" s="779">
        <f t="shared" si="22"/>
        <v>0</v>
      </c>
      <c r="P191" s="848">
        <f>O191*'A. Dades de partida'!$D$10</f>
        <v>0</v>
      </c>
      <c r="Q191">
        <f t="shared" si="23"/>
        <v>0</v>
      </c>
      <c r="R191">
        <f t="shared" si="24"/>
        <v>0</v>
      </c>
      <c r="S191">
        <f>I191+(I191*'1. Cops de calor'!$C$40)</f>
        <v>4.7816332534983541</v>
      </c>
      <c r="T191">
        <f>J191*'1. Cops de calor'!$C$41+J191</f>
        <v>42.55488237004527</v>
      </c>
      <c r="U191">
        <f>'1. Cops de calor'!$C$42*K191+K191</f>
        <v>2.5999999999999999E-2</v>
      </c>
      <c r="V191">
        <f>S191*'1. Cops de calor'!$C$32/30</f>
        <v>68.536743300143087</v>
      </c>
      <c r="W191">
        <f>T191*'1. Cops de calor'!$C$33/30</f>
        <v>212.77441185022636</v>
      </c>
      <c r="X191">
        <f>K191*'1. Cops de calor'!$C$34/30</f>
        <v>1574.9999999999998</v>
      </c>
      <c r="Y191">
        <f t="shared" si="25"/>
        <v>1856.3111551503694</v>
      </c>
      <c r="Z191" s="849">
        <f>Y191*(Q191+R191)*'A. Dades de partida'!$D$10</f>
        <v>0</v>
      </c>
      <c r="AA191" s="850">
        <f t="shared" si="26"/>
        <v>0</v>
      </c>
      <c r="AB191" t="str">
        <f>VLOOKUP(B191,'BD ASVICC'!$A$6:$BG$316,59,FALSE)</f>
        <v>PREPIRINEU-PIRINEU</v>
      </c>
      <c r="AC191">
        <f t="shared" si="18"/>
        <v>0.5</v>
      </c>
      <c r="AD191">
        <f t="shared" si="19"/>
        <v>0.5</v>
      </c>
    </row>
    <row r="192" spans="1:30">
      <c r="A192">
        <v>8191</v>
      </c>
      <c r="B192" t="s">
        <v>1416</v>
      </c>
      <c r="C192" t="s">
        <v>82</v>
      </c>
      <c r="D192">
        <f>VLOOKUP(A192,'temperatures màximes'!$A$4:$U$314,'temperatures màximes'!U$1,FALSE)</f>
        <v>143</v>
      </c>
      <c r="E192">
        <f>VLOOKUP(A192,'nits tropicals'!$A$4:$U$314,'nits tropicals'!U$1,FALSE)</f>
        <v>2</v>
      </c>
      <c r="F192">
        <f t="shared" si="20"/>
        <v>14.3</v>
      </c>
      <c r="G192">
        <f t="shared" si="21"/>
        <v>0.2</v>
      </c>
      <c r="H192" s="840">
        <f>VLOOKUP(B192,'BD ASVICC'!$A$6:$X$316,24,FALSE)/VLOOKUP(C192,'BD Comarcal'!$A$6:$Z$17,26,FALSE)</f>
        <v>3.7802283505657154E-2</v>
      </c>
      <c r="I192" s="839">
        <f>(VLOOKUP(C192,'BD Altres'!$D$74:$H$84,5,FALSE) * 1000 / 12) * H192*0.035</f>
        <v>108.14849036239139</v>
      </c>
      <c r="J192" s="839">
        <f>(VLOOKUP(C192,'BD Altres'!$D$74:$H$84,3,FALSE) / 12) * H192*0.25</f>
        <v>945.47281625661753</v>
      </c>
      <c r="K192">
        <f>(VLOOKUP(B192,'BD ASVICC'!$A$6:$GR$316,199,FALSE) / 12)*0.3</f>
        <v>2.0750000000000002</v>
      </c>
      <c r="L192" s="846">
        <f>I192*'1. Cops de calor'!$C$32/30</f>
        <v>1550.128361860943</v>
      </c>
      <c r="M192" s="846">
        <f>J192*'1. Cops de calor'!$C$33/30</f>
        <v>4727.3640812830872</v>
      </c>
      <c r="N192" s="846">
        <f>K192*'1. Cops de calor'!$C$34*0.25/30</f>
        <v>32681.25</v>
      </c>
      <c r="O192" s="779">
        <f t="shared" si="22"/>
        <v>564901.76542558847</v>
      </c>
      <c r="P192" s="848">
        <f>O192*'A. Dades de partida'!$D$10</f>
        <v>8473526.4813838266</v>
      </c>
      <c r="Q192">
        <f t="shared" si="23"/>
        <v>21.450000000000003</v>
      </c>
      <c r="R192">
        <f t="shared" si="24"/>
        <v>0.30000000000000004</v>
      </c>
      <c r="S192">
        <f>I192+(I192*'1. Cops de calor'!$C$40)</f>
        <v>114.2048058226853</v>
      </c>
      <c r="T192">
        <f>J192*'1. Cops de calor'!$C$41+J192</f>
        <v>1016.3832774758639</v>
      </c>
      <c r="U192">
        <f>'1. Cops de calor'!$C$42*K192+K192</f>
        <v>2.1580000000000004</v>
      </c>
      <c r="V192">
        <f>S192*'1. Cops de calor'!$C$32/30</f>
        <v>1636.9355501251559</v>
      </c>
      <c r="W192">
        <f>T192*'1. Cops de calor'!$C$33/30</f>
        <v>5081.9163873793195</v>
      </c>
      <c r="X192">
        <f>K192*'1. Cops de calor'!$C$34/30</f>
        <v>130725</v>
      </c>
      <c r="Y192">
        <f t="shared" si="25"/>
        <v>137443.85193750449</v>
      </c>
      <c r="Z192" s="849">
        <f>Y192*(Q192+R192)*'A. Dades de partida'!$D$10</f>
        <v>44841056.694610849</v>
      </c>
      <c r="AA192" s="850">
        <f t="shared" si="26"/>
        <v>36367530.213227019</v>
      </c>
      <c r="AB192" t="str">
        <f>VLOOKUP(B192,'BD ASVICC'!$A$6:$BG$316,59,FALSE)</f>
        <v>CENTRAL</v>
      </c>
      <c r="AC192">
        <f t="shared" si="18"/>
        <v>0.5</v>
      </c>
      <c r="AD192">
        <f t="shared" si="19"/>
        <v>0.5</v>
      </c>
    </row>
    <row r="193" spans="1:30">
      <c r="A193">
        <v>8192</v>
      </c>
      <c r="B193" t="s">
        <v>1418</v>
      </c>
      <c r="C193" t="s">
        <v>82</v>
      </c>
      <c r="D193">
        <f>VLOOKUP(A193,'temperatures màximes'!$A$4:$U$314,'temperatures màximes'!U$1,FALSE)</f>
        <v>143</v>
      </c>
      <c r="E193">
        <f>VLOOKUP(A193,'nits tropicals'!$A$4:$U$314,'nits tropicals'!U$1,FALSE)</f>
        <v>2</v>
      </c>
      <c r="F193">
        <f t="shared" si="20"/>
        <v>14.3</v>
      </c>
      <c r="G193">
        <f t="shared" si="21"/>
        <v>0.2</v>
      </c>
      <c r="H193" s="840">
        <f>VLOOKUP(B193,'BD ASVICC'!$A$6:$X$316,24,FALSE)/VLOOKUP(C193,'BD Comarcal'!$A$6:$Z$17,26,FALSE)</f>
        <v>4.3123964193346749E-2</v>
      </c>
      <c r="I193" s="839">
        <f>(VLOOKUP(C193,'BD Altres'!$D$74:$H$84,5,FALSE) * 1000 / 12) * H193*0.035</f>
        <v>123.3732778405921</v>
      </c>
      <c r="J193" s="839">
        <f>(VLOOKUP(C193,'BD Altres'!$D$74:$H$84,3,FALSE) / 12) * H193*0.25</f>
        <v>1078.5733583509957</v>
      </c>
      <c r="K193">
        <f>(VLOOKUP(B193,'BD ASVICC'!$A$6:$GR$316,199,FALSE) / 12)*0.3</f>
        <v>0.125</v>
      </c>
      <c r="L193" s="846">
        <f>I193*'1. Cops de calor'!$C$32/30</f>
        <v>1768.3503157151533</v>
      </c>
      <c r="M193" s="846">
        <f>J193*'1. Cops de calor'!$C$33/30</f>
        <v>5392.8667917549783</v>
      </c>
      <c r="N193" s="846">
        <f>K193*'1. Cops de calor'!$C$34*0.25/30</f>
        <v>1968.7499999999998</v>
      </c>
      <c r="O193" s="779">
        <f t="shared" si="22"/>
        <v>132384.5230583169</v>
      </c>
      <c r="P193" s="848">
        <f>O193*'A. Dades de partida'!$D$10</f>
        <v>1985767.8458747535</v>
      </c>
      <c r="Q193">
        <f t="shared" si="23"/>
        <v>21.450000000000003</v>
      </c>
      <c r="R193">
        <f t="shared" si="24"/>
        <v>0.30000000000000004</v>
      </c>
      <c r="S193">
        <f>I193+(I193*'1. Cops de calor'!$C$40)</f>
        <v>130.28218139966526</v>
      </c>
      <c r="T193">
        <f>J193*'1. Cops de calor'!$C$41+J193</f>
        <v>1159.4663602273204</v>
      </c>
      <c r="U193">
        <f>'1. Cops de calor'!$C$42*K193+K193</f>
        <v>0.13</v>
      </c>
      <c r="V193">
        <f>S193*'1. Cops de calor'!$C$32/30</f>
        <v>1867.377933395202</v>
      </c>
      <c r="W193">
        <f>T193*'1. Cops de calor'!$C$33/30</f>
        <v>5797.3318011366018</v>
      </c>
      <c r="X193">
        <f>K193*'1. Cops de calor'!$C$34/30</f>
        <v>7874.9999999999991</v>
      </c>
      <c r="Y193">
        <f t="shared" si="25"/>
        <v>15539.709734531803</v>
      </c>
      <c r="Z193" s="849">
        <f>Y193*(Q193+R193)*'A. Dades de partida'!$D$10</f>
        <v>5069830.3008910017</v>
      </c>
      <c r="AA193" s="850">
        <f t="shared" si="26"/>
        <v>3084062.4550162479</v>
      </c>
      <c r="AB193" t="str">
        <f>VLOOKUP(B193,'BD ASVICC'!$A$6:$BG$316,59,FALSE)</f>
        <v>CENTRAL</v>
      </c>
      <c r="AC193">
        <f t="shared" si="18"/>
        <v>0.5</v>
      </c>
      <c r="AD193">
        <f t="shared" si="19"/>
        <v>0.5</v>
      </c>
    </row>
    <row r="194" spans="1:30">
      <c r="A194">
        <v>8193</v>
      </c>
      <c r="B194" t="s">
        <v>1421</v>
      </c>
      <c r="C194" t="s">
        <v>86</v>
      </c>
      <c r="D194">
        <f>VLOOKUP(A194,'temperatures màximes'!$A$4:$U$314,'temperatures màximes'!U$1,FALSE)</f>
        <v>2</v>
      </c>
      <c r="E194">
        <f>VLOOKUP(A194,'nits tropicals'!$A$4:$U$314,'nits tropicals'!U$1,FALSE)</f>
        <v>264</v>
      </c>
      <c r="F194">
        <f t="shared" si="20"/>
        <v>0.2</v>
      </c>
      <c r="G194">
        <f t="shared" si="21"/>
        <v>26.4</v>
      </c>
      <c r="H194" s="840">
        <f>VLOOKUP(B194,'BD ASVICC'!$A$6:$X$316,24,FALSE)/VLOOKUP(C194,'BD Comarcal'!$A$6:$Z$17,26,FALSE)</f>
        <v>2.9263541749244065E-3</v>
      </c>
      <c r="I194" s="839">
        <f>(VLOOKUP(C194,'BD Altres'!$D$74:$H$84,5,FALSE) * 1000 / 12) * H194*0.035</f>
        <v>6.8181767358150234</v>
      </c>
      <c r="J194" s="839">
        <f>(VLOOKUP(C194,'BD Altres'!$D$74:$H$84,3,FALSE) / 12) * H194*0.25</f>
        <v>3.0736899123713499</v>
      </c>
      <c r="K194">
        <f>(VLOOKUP(B194,'BD ASVICC'!$A$6:$GR$316,199,FALSE) / 12)*0.3</f>
        <v>3.2749999999999999</v>
      </c>
      <c r="L194" s="846">
        <f>I194*'1. Cops de calor'!$C$32/30</f>
        <v>97.727199880015334</v>
      </c>
      <c r="M194" s="846">
        <f>J194*'1. Cops de calor'!$C$33/30</f>
        <v>15.36844956185675</v>
      </c>
      <c r="N194" s="846">
        <f>K194*'1. Cops de calor'!$C$34*0.25/30</f>
        <v>51581.249999999993</v>
      </c>
      <c r="O194" s="779">
        <f t="shared" si="22"/>
        <v>1375069.5942751535</v>
      </c>
      <c r="P194" s="848">
        <f>O194*'A. Dades de partida'!$D$10</f>
        <v>20626043.914127301</v>
      </c>
      <c r="Q194">
        <f t="shared" si="23"/>
        <v>0.30000000000000004</v>
      </c>
      <c r="R194">
        <f t="shared" si="24"/>
        <v>39.599999999999994</v>
      </c>
      <c r="S194">
        <f>I194+(I194*'1. Cops de calor'!$C$40)</f>
        <v>7.1999946330206646</v>
      </c>
      <c r="T194">
        <f>J194*'1. Cops de calor'!$C$41+J194</f>
        <v>3.304216655799201</v>
      </c>
      <c r="U194">
        <f>'1. Cops de calor'!$C$42*K194+K194</f>
        <v>3.4059999999999997</v>
      </c>
      <c r="V194">
        <f>S194*'1. Cops de calor'!$C$32/30</f>
        <v>103.1999230732962</v>
      </c>
      <c r="W194">
        <f>T194*'1. Cops de calor'!$C$33/30</f>
        <v>16.521083278996006</v>
      </c>
      <c r="X194">
        <f>K194*'1. Cops de calor'!$C$34/30</f>
        <v>206324.99999999997</v>
      </c>
      <c r="Y194">
        <f t="shared" si="25"/>
        <v>206444.72100635225</v>
      </c>
      <c r="Z194" s="849">
        <f>Y194*(Q194+R194)*'A. Dades de partida'!$D$10</f>
        <v>123557165.52230179</v>
      </c>
      <c r="AA194" s="850">
        <f t="shared" si="26"/>
        <v>102931121.60817449</v>
      </c>
      <c r="AB194" t="str">
        <f>VLOOKUP(B194,'BD ASVICC'!$A$6:$BG$316,59,FALSE)</f>
        <v>LITORAL</v>
      </c>
      <c r="AC194">
        <f t="shared" si="18"/>
        <v>0.5</v>
      </c>
      <c r="AD194">
        <f t="shared" si="19"/>
        <v>0.5</v>
      </c>
    </row>
    <row r="195" spans="1:30">
      <c r="A195">
        <v>8194</v>
      </c>
      <c r="B195" t="s">
        <v>350</v>
      </c>
      <c r="C195" t="s">
        <v>83</v>
      </c>
      <c r="D195">
        <f>VLOOKUP(A195,'temperatures màximes'!$A$4:$U$314,'temperatures màximes'!U$1,FALSE)</f>
        <v>33</v>
      </c>
      <c r="E195">
        <f>VLOOKUP(A195,'nits tropicals'!$A$4:$U$314,'nits tropicals'!U$1,FALSE)</f>
        <v>199</v>
      </c>
      <c r="F195">
        <f t="shared" si="20"/>
        <v>3.3</v>
      </c>
      <c r="G195">
        <f t="shared" si="21"/>
        <v>19.899999999999999</v>
      </c>
      <c r="H195" s="840">
        <f>VLOOKUP(B195,'BD ASVICC'!$A$6:$X$316,24,FALSE)/VLOOKUP(C195,'BD Comarcal'!$A$6:$Z$17,26,FALSE)</f>
        <v>1.6345154339800601E-2</v>
      </c>
      <c r="I195" s="839">
        <f>(VLOOKUP(C195,'BD Altres'!$D$74:$H$84,5,FALSE) * 1000 / 12) * H195*0.035</f>
        <v>152.06943808256742</v>
      </c>
      <c r="J195" s="839">
        <f>(VLOOKUP(C195,'BD Altres'!$D$74:$H$84,3,FALSE) / 12) * H195*0.25</f>
        <v>86.824602973610482</v>
      </c>
      <c r="K195">
        <f>(VLOOKUP(B195,'BD ASVICC'!$A$6:$GR$316,199,FALSE) / 12)*0.3</f>
        <v>7.7750000000000004</v>
      </c>
      <c r="L195" s="846">
        <f>I195*'1. Cops de calor'!$C$32/30</f>
        <v>2179.6619458501327</v>
      </c>
      <c r="M195" s="846">
        <f>J195*'1. Cops de calor'!$C$33/30</f>
        <v>434.12301486805239</v>
      </c>
      <c r="N195" s="846">
        <f>K195*'1. Cops de calor'!$C$34*0.25/30</f>
        <v>122456.24999999999</v>
      </c>
      <c r="O195" s="779">
        <f t="shared" si="22"/>
        <v>2901624.8110886617</v>
      </c>
      <c r="P195" s="848">
        <f>O195*'A. Dades de partida'!$D$10</f>
        <v>43524372.166329928</v>
      </c>
      <c r="Q195">
        <f t="shared" si="23"/>
        <v>4.9499999999999993</v>
      </c>
      <c r="R195">
        <f t="shared" si="24"/>
        <v>29.849999999999998</v>
      </c>
      <c r="S195">
        <f>I195+(I195*'1. Cops de calor'!$C$40)</f>
        <v>160.58532661519118</v>
      </c>
      <c r="T195">
        <f>J195*'1. Cops de calor'!$C$41+J195</f>
        <v>93.336448196631267</v>
      </c>
      <c r="U195">
        <f>'1. Cops de calor'!$C$42*K195+K195</f>
        <v>8.0860000000000003</v>
      </c>
      <c r="V195">
        <f>S195*'1. Cops de calor'!$C$32/30</f>
        <v>2301.72301481774</v>
      </c>
      <c r="W195">
        <f>T195*'1. Cops de calor'!$C$33/30</f>
        <v>466.68224098315636</v>
      </c>
      <c r="X195">
        <f>K195*'1. Cops de calor'!$C$34/30</f>
        <v>489824.99999999994</v>
      </c>
      <c r="Y195">
        <f t="shared" si="25"/>
        <v>492593.40525580081</v>
      </c>
      <c r="Z195" s="849">
        <f>Y195*(Q195+R195)*'A. Dades de partida'!$D$10</f>
        <v>257133757.54352802</v>
      </c>
      <c r="AA195" s="850">
        <f t="shared" si="26"/>
        <v>213609385.3771981</v>
      </c>
      <c r="AB195" t="str">
        <f>VLOOKUP(B195,'BD ASVICC'!$A$6:$BG$316,59,FALSE)</f>
        <v>LITORAL</v>
      </c>
      <c r="AC195">
        <f t="shared" si="18"/>
        <v>0.5</v>
      </c>
      <c r="AD195">
        <f t="shared" si="19"/>
        <v>0.5</v>
      </c>
    </row>
    <row r="196" spans="1:30">
      <c r="A196">
        <v>8195</v>
      </c>
      <c r="B196" t="s">
        <v>1424</v>
      </c>
      <c r="C196" t="s">
        <v>88</v>
      </c>
      <c r="D196">
        <f>VLOOKUP(A196,'temperatures màximes'!$A$4:$U$314,'temperatures màximes'!U$1,FALSE)</f>
        <v>10</v>
      </c>
      <c r="E196">
        <f>VLOOKUP(A196,'nits tropicals'!$A$4:$U$314,'nits tropicals'!U$1,FALSE)</f>
        <v>0</v>
      </c>
      <c r="F196">
        <f t="shared" si="20"/>
        <v>1</v>
      </c>
      <c r="G196">
        <f t="shared" si="21"/>
        <v>0</v>
      </c>
      <c r="H196" s="840">
        <f>VLOOKUP(B196,'BD ASVICC'!$A$6:$X$316,24,FALSE)/VLOOKUP(C196,'BD Comarcal'!$A$6:$Z$17,26,FALSE)</f>
        <v>5.9110388650805376E-4</v>
      </c>
      <c r="I196" s="839">
        <f>(VLOOKUP(C196,'BD Altres'!$D$74:$H$84,5,FALSE) * 1000 / 12) * H196*0.035</f>
        <v>0.65772622038323236</v>
      </c>
      <c r="J196" s="839">
        <f>(VLOOKUP(C196,'BD Altres'!$D$74:$H$84,3,FALSE) / 12) * H196*0.25</f>
        <v>0.42077976454361848</v>
      </c>
      <c r="K196">
        <f>(VLOOKUP(B196,'BD ASVICC'!$A$6:$GR$316,199,FALSE) / 12)*0.3</f>
        <v>4.9999999999999996E-2</v>
      </c>
      <c r="L196" s="846">
        <f>I196*'1. Cops de calor'!$C$32/30</f>
        <v>9.4274091588263307</v>
      </c>
      <c r="M196" s="846">
        <f>J196*'1. Cops de calor'!$C$33/30</f>
        <v>2.1038988227180924</v>
      </c>
      <c r="N196" s="846">
        <f>K196*'1. Cops de calor'!$C$34*0.25/30</f>
        <v>787.49999999999989</v>
      </c>
      <c r="O196" s="779">
        <f t="shared" si="22"/>
        <v>799.03130798154427</v>
      </c>
      <c r="P196" s="848">
        <f>O196*'A. Dades de partida'!$D$10</f>
        <v>11985.469619723164</v>
      </c>
      <c r="Q196">
        <f t="shared" si="23"/>
        <v>1.5</v>
      </c>
      <c r="R196">
        <f t="shared" si="24"/>
        <v>0</v>
      </c>
      <c r="S196">
        <f>I196+(I196*'1. Cops de calor'!$C$40)</f>
        <v>0.6945588887246934</v>
      </c>
      <c r="T196">
        <f>J196*'1. Cops de calor'!$C$41+J196</f>
        <v>0.45233824688438984</v>
      </c>
      <c r="U196">
        <f>'1. Cops de calor'!$C$42*K196+K196</f>
        <v>5.1999999999999998E-2</v>
      </c>
      <c r="V196">
        <f>S196*'1. Cops de calor'!$C$32/30</f>
        <v>9.9553440717206065</v>
      </c>
      <c r="W196">
        <f>T196*'1. Cops de calor'!$C$33/30</f>
        <v>2.2616912344219489</v>
      </c>
      <c r="X196">
        <f>K196*'1. Cops de calor'!$C$34/30</f>
        <v>3149.9999999999995</v>
      </c>
      <c r="Y196">
        <f t="shared" si="25"/>
        <v>3162.217035306142</v>
      </c>
      <c r="Z196" s="849">
        <f>Y196*(Q196+R196)*'A. Dades de partida'!$D$10</f>
        <v>71149.883294388201</v>
      </c>
      <c r="AA196" s="850">
        <f t="shared" si="26"/>
        <v>59164.413674665033</v>
      </c>
      <c r="AB196" t="str">
        <f>VLOOKUP(B196,'BD ASVICC'!$A$6:$BG$316,59,FALSE)</f>
        <v>PREPIRINEU-PIRINEU</v>
      </c>
      <c r="AC196">
        <f t="shared" ref="AC196:AC259" si="27">VLOOKUP(AB196,Taulatend,2,FALSE)</f>
        <v>0.5</v>
      </c>
      <c r="AD196">
        <f t="shared" ref="AD196:AD259" si="28">VLOOKUP(AB196,Taulatend,3,FALSE)</f>
        <v>0.5</v>
      </c>
    </row>
    <row r="197" spans="1:30">
      <c r="A197">
        <v>8196</v>
      </c>
      <c r="B197" t="s">
        <v>1426</v>
      </c>
      <c r="C197" t="s">
        <v>90</v>
      </c>
      <c r="D197">
        <f>VLOOKUP(A197,'temperatures màximes'!$A$4:$U$314,'temperatures màximes'!U$1,FALSE)</f>
        <v>102</v>
      </c>
      <c r="E197">
        <f>VLOOKUP(A197,'nits tropicals'!$A$4:$U$314,'nits tropicals'!U$1,FALSE)</f>
        <v>125</v>
      </c>
      <c r="F197">
        <f t="shared" ref="F197:F260" si="29">D197/10</f>
        <v>10.199999999999999</v>
      </c>
      <c r="G197">
        <f t="shared" ref="G197:G260" si="30">E197/10</f>
        <v>12.5</v>
      </c>
      <c r="H197" s="840">
        <f>VLOOKUP(B197,'BD ASVICC'!$A$6:$X$316,24,FALSE)/VLOOKUP(C197,'BD Comarcal'!$A$6:$Z$17,26,FALSE)</f>
        <v>3.3874028717728363E-2</v>
      </c>
      <c r="I197" s="839">
        <f>(VLOOKUP(C197,'BD Altres'!$D$74:$H$84,5,FALSE) * 1000 / 12) * H197*0.035</f>
        <v>62.422659055558952</v>
      </c>
      <c r="J197" s="839">
        <f>(VLOOKUP(C197,'BD Altres'!$D$74:$H$84,3,FALSE) / 12) * H197*0.25</f>
        <v>190.38584007076736</v>
      </c>
      <c r="K197">
        <f>(VLOOKUP(B197,'BD ASVICC'!$A$6:$GR$316,199,FALSE) / 12)*0.3</f>
        <v>4.5</v>
      </c>
      <c r="L197" s="846">
        <f>I197*'1. Cops de calor'!$C$32/30</f>
        <v>894.72477979634493</v>
      </c>
      <c r="M197" s="846">
        <f>J197*'1. Cops de calor'!$C$33/30</f>
        <v>951.92920035383679</v>
      </c>
      <c r="N197" s="846">
        <f>K197*'1. Cops de calor'!$C$34*0.25/30</f>
        <v>70874.999999999985</v>
      </c>
      <c r="O197" s="779">
        <f t="shared" ref="O197:O260" si="31">(L197+M197+N197)*(F197+G197)</f>
        <v>1650781.5453494086</v>
      </c>
      <c r="P197" s="848">
        <f>O197*'A. Dades de partida'!$D$10</f>
        <v>24761723.18024113</v>
      </c>
      <c r="Q197">
        <f t="shared" ref="Q197:Q260" si="32">F197*(1+AC197)</f>
        <v>15.299999999999999</v>
      </c>
      <c r="R197">
        <f t="shared" ref="R197:R260" si="33">G197*(1+AD197)</f>
        <v>18.75</v>
      </c>
      <c r="S197">
        <f>I197+(I197*'1. Cops de calor'!$C$40)</f>
        <v>65.918327962670247</v>
      </c>
      <c r="T197">
        <f>J197*'1. Cops de calor'!$C$41+J197</f>
        <v>204.66477807607492</v>
      </c>
      <c r="U197">
        <f>'1. Cops de calor'!$C$42*K197+K197</f>
        <v>4.68</v>
      </c>
      <c r="V197">
        <f>S197*'1. Cops de calor'!$C$32/30</f>
        <v>944.82936746494011</v>
      </c>
      <c r="W197">
        <f>T197*'1. Cops de calor'!$C$33/30</f>
        <v>1023.3238903803746</v>
      </c>
      <c r="X197">
        <f>K197*'1. Cops de calor'!$C$34/30</f>
        <v>283499.99999999994</v>
      </c>
      <c r="Y197">
        <f t="shared" ref="Y197:Y260" si="34">SUM(V197:X197)</f>
        <v>285468.15325784526</v>
      </c>
      <c r="Z197" s="849">
        <f>Y197*(Q197+R197)*'A. Dades de partida'!$D$10</f>
        <v>145802859.27644446</v>
      </c>
      <c r="AA197" s="850">
        <f t="shared" ref="AA197:AA260" si="35">Z197-P197</f>
        <v>121041136.09620333</v>
      </c>
      <c r="AB197" t="str">
        <f>VLOOKUP(B197,'BD ASVICC'!$A$6:$BG$316,59,FALSE)</f>
        <v>LITORAL</v>
      </c>
      <c r="AC197">
        <f t="shared" si="27"/>
        <v>0.5</v>
      </c>
      <c r="AD197">
        <f t="shared" si="28"/>
        <v>0.5</v>
      </c>
    </row>
    <row r="198" spans="1:30">
      <c r="A198">
        <v>8197</v>
      </c>
      <c r="B198" t="s">
        <v>351</v>
      </c>
      <c r="C198" t="s">
        <v>86</v>
      </c>
      <c r="D198">
        <f>VLOOKUP(A198,'temperatures màximes'!$A$4:$U$314,'temperatures màximes'!U$1,FALSE)</f>
        <v>2</v>
      </c>
      <c r="E198">
        <f>VLOOKUP(A198,'nits tropicals'!$A$4:$U$314,'nits tropicals'!U$1,FALSE)</f>
        <v>403</v>
      </c>
      <c r="F198">
        <f t="shared" si="29"/>
        <v>0.2</v>
      </c>
      <c r="G198">
        <f t="shared" si="30"/>
        <v>40.299999999999997</v>
      </c>
      <c r="H198" s="840">
        <f>VLOOKUP(B198,'BD ASVICC'!$A$6:$X$316,24,FALSE)/VLOOKUP(C198,'BD Comarcal'!$A$6:$Z$17,26,FALSE)</f>
        <v>2.4151481863172557E-2</v>
      </c>
      <c r="I198" s="839">
        <f>(VLOOKUP(C198,'BD Altres'!$D$74:$H$84,5,FALSE) * 1000 / 12) * H198*0.035</f>
        <v>56.271066976776766</v>
      </c>
      <c r="J198" s="839">
        <f>(VLOOKUP(C198,'BD Altres'!$D$74:$H$84,3,FALSE) / 12) * H198*0.25</f>
        <v>25.367457844903793</v>
      </c>
      <c r="K198">
        <f>(VLOOKUP(B198,'BD ASVICC'!$A$6:$GR$316,199,FALSE) / 12)*0.3</f>
        <v>2.2250000000000001</v>
      </c>
      <c r="L198" s="846">
        <f>I198*'1. Cops de calor'!$C$32/30</f>
        <v>806.55196000046692</v>
      </c>
      <c r="M198" s="846">
        <f>J198*'1. Cops de calor'!$C$33/30</f>
        <v>126.83728922451897</v>
      </c>
      <c r="N198" s="846">
        <f>K198*'1. Cops de calor'!$C$34*0.25/30</f>
        <v>35043.75</v>
      </c>
      <c r="O198" s="779">
        <f t="shared" si="31"/>
        <v>1457074.1395936119</v>
      </c>
      <c r="P198" s="848">
        <f>O198*'A. Dades de partida'!$D$10</f>
        <v>21856112.093904179</v>
      </c>
      <c r="Q198">
        <f t="shared" si="32"/>
        <v>0.30000000000000004</v>
      </c>
      <c r="R198">
        <f t="shared" si="33"/>
        <v>60.449999999999996</v>
      </c>
      <c r="S198">
        <f>I198+(I198*'1. Cops de calor'!$C$40)</f>
        <v>59.422246727476264</v>
      </c>
      <c r="T198">
        <f>J198*'1. Cops de calor'!$C$41+J198</f>
        <v>27.270017183271577</v>
      </c>
      <c r="U198">
        <f>'1. Cops de calor'!$C$42*K198+K198</f>
        <v>2.3140000000000001</v>
      </c>
      <c r="V198">
        <f>S198*'1. Cops de calor'!$C$32/30</f>
        <v>851.71886976049302</v>
      </c>
      <c r="W198">
        <f>T198*'1. Cops de calor'!$C$33/30</f>
        <v>136.3500859163579</v>
      </c>
      <c r="X198">
        <f>K198*'1. Cops de calor'!$C$34/30</f>
        <v>140175</v>
      </c>
      <c r="Y198">
        <f t="shared" si="34"/>
        <v>141163.06895567686</v>
      </c>
      <c r="Z198" s="849">
        <f>Y198*(Q198+R198)*'A. Dades de partida'!$D$10</f>
        <v>128634846.58586054</v>
      </c>
      <c r="AA198" s="850">
        <f t="shared" si="35"/>
        <v>106778734.49195635</v>
      </c>
      <c r="AB198" t="str">
        <f>VLOOKUP(B198,'BD ASVICC'!$A$6:$BG$316,59,FALSE)</f>
        <v>LITORAL</v>
      </c>
      <c r="AC198">
        <f t="shared" si="27"/>
        <v>0.5</v>
      </c>
      <c r="AD198">
        <f t="shared" si="28"/>
        <v>0.5</v>
      </c>
    </row>
    <row r="199" spans="1:30">
      <c r="A199">
        <v>8198</v>
      </c>
      <c r="B199" t="s">
        <v>1429</v>
      </c>
      <c r="C199" t="s">
        <v>24</v>
      </c>
      <c r="D199">
        <f>VLOOKUP(A199,'temperatures màximes'!$A$4:$U$314,'temperatures màximes'!U$1,FALSE)</f>
        <v>39</v>
      </c>
      <c r="E199">
        <f>VLOOKUP(A199,'nits tropicals'!$A$4:$U$314,'nits tropicals'!U$1,FALSE)</f>
        <v>2</v>
      </c>
      <c r="F199">
        <f t="shared" si="29"/>
        <v>3.9</v>
      </c>
      <c r="G199">
        <f t="shared" si="30"/>
        <v>0.2</v>
      </c>
      <c r="H199" s="840">
        <f>VLOOKUP(B199,'BD ASVICC'!$A$6:$X$316,24,FALSE)/VLOOKUP(C199,'BD Comarcal'!$A$6:$Z$17,26,FALSE)</f>
        <v>1.4606142453493065E-2</v>
      </c>
      <c r="I199" s="839">
        <f>(VLOOKUP(C199,'BD Altres'!$D$74:$H$84,5,FALSE) * 1000 / 12) * H199*0.035</f>
        <v>103.36521299354622</v>
      </c>
      <c r="J199" s="839">
        <f>(VLOOKUP(C199,'BD Altres'!$D$74:$H$84,3,FALSE) / 12) * H199*0.25</f>
        <v>23.238590117160189</v>
      </c>
      <c r="K199">
        <f>(VLOOKUP(B199,'BD ASVICC'!$A$6:$GR$316,199,FALSE) / 12)*0.3</f>
        <v>0.97499999999999998</v>
      </c>
      <c r="L199" s="846">
        <f>I199*'1. Cops de calor'!$C$32/30</f>
        <v>1481.5680529074959</v>
      </c>
      <c r="M199" s="846">
        <f>J199*'1. Cops de calor'!$C$33/30</f>
        <v>116.19295058580094</v>
      </c>
      <c r="N199" s="846">
        <f>K199*'1. Cops de calor'!$C$34*0.25/30</f>
        <v>15356.249999999998</v>
      </c>
      <c r="O199" s="779">
        <f t="shared" si="31"/>
        <v>69511.445114322501</v>
      </c>
      <c r="P199" s="848">
        <f>O199*'A. Dades de partida'!$D$10</f>
        <v>1042671.6767148376</v>
      </c>
      <c r="Q199">
        <f t="shared" si="32"/>
        <v>5.85</v>
      </c>
      <c r="R199">
        <f t="shared" si="33"/>
        <v>0.30000000000000004</v>
      </c>
      <c r="S199">
        <f>I199+(I199*'1. Cops de calor'!$C$40)</f>
        <v>109.15366492118481</v>
      </c>
      <c r="T199">
        <f>J199*'1. Cops de calor'!$C$41+J199</f>
        <v>24.981484375947204</v>
      </c>
      <c r="U199">
        <f>'1. Cops de calor'!$C$42*K199+K199</f>
        <v>1.014</v>
      </c>
      <c r="V199">
        <f>S199*'1. Cops de calor'!$C$32/30</f>
        <v>1564.5358638703156</v>
      </c>
      <c r="W199">
        <f>T199*'1. Cops de calor'!$C$33/30</f>
        <v>124.90742187973602</v>
      </c>
      <c r="X199">
        <f>K199*'1. Cops de calor'!$C$34/30</f>
        <v>61424.999999999993</v>
      </c>
      <c r="Y199">
        <f t="shared" si="34"/>
        <v>63114.443285750043</v>
      </c>
      <c r="Z199" s="849">
        <f>Y199*(Q199+R199)*'A. Dades de partida'!$D$10</f>
        <v>5822307.393110441</v>
      </c>
      <c r="AA199" s="850">
        <f t="shared" si="35"/>
        <v>4779635.7163956035</v>
      </c>
      <c r="AB199" t="str">
        <f>VLOOKUP(B199,'BD ASVICC'!$A$6:$BG$316,59,FALSE)</f>
        <v>CENTRAL</v>
      </c>
      <c r="AC199">
        <f t="shared" si="27"/>
        <v>0.5</v>
      </c>
      <c r="AD199">
        <f t="shared" si="28"/>
        <v>0.5</v>
      </c>
    </row>
    <row r="200" spans="1:30">
      <c r="A200">
        <v>8199</v>
      </c>
      <c r="B200" t="s">
        <v>1431</v>
      </c>
      <c r="C200" t="s">
        <v>88</v>
      </c>
      <c r="D200">
        <f>VLOOKUP(A200,'temperatures màximes'!$A$4:$U$314,'temperatures màximes'!U$1,FALSE)</f>
        <v>83</v>
      </c>
      <c r="E200">
        <f>VLOOKUP(A200,'nits tropicals'!$A$4:$U$314,'nits tropicals'!U$1,FALSE)</f>
        <v>0</v>
      </c>
      <c r="F200">
        <f t="shared" si="29"/>
        <v>8.3000000000000007</v>
      </c>
      <c r="G200">
        <f t="shared" si="30"/>
        <v>0</v>
      </c>
      <c r="H200" s="840">
        <f>VLOOKUP(B200,'BD ASVICC'!$A$6:$X$316,24,FALSE)/VLOOKUP(C200,'BD Comarcal'!$A$6:$Z$17,26,FALSE)</f>
        <v>5.4612859079548447E-3</v>
      </c>
      <c r="I200" s="839">
        <f>(VLOOKUP(C200,'BD Altres'!$D$74:$H$84,5,FALSE) * 1000 / 12) * H200*0.035</f>
        <v>6.0768183404972564</v>
      </c>
      <c r="J200" s="839">
        <f>(VLOOKUP(C200,'BD Altres'!$D$74:$H$84,3,FALSE) / 12) * H200*0.25</f>
        <v>3.8876391289356058</v>
      </c>
      <c r="K200">
        <f>(VLOOKUP(B200,'BD ASVICC'!$A$6:$GR$316,199,FALSE) / 12)*0.3</f>
        <v>7.4999999999999997E-2</v>
      </c>
      <c r="L200" s="846">
        <f>I200*'1. Cops de calor'!$C$32/30</f>
        <v>87.101062880460674</v>
      </c>
      <c r="M200" s="846">
        <f>J200*'1. Cops de calor'!$C$33/30</f>
        <v>19.438195644678029</v>
      </c>
      <c r="N200" s="846">
        <f>K200*'1. Cops de calor'!$C$34*0.25/30</f>
        <v>1181.2499999999998</v>
      </c>
      <c r="O200" s="779">
        <f t="shared" si="31"/>
        <v>10688.65084575865</v>
      </c>
      <c r="P200" s="848">
        <f>O200*'A. Dades de partida'!$D$10</f>
        <v>160329.76268637975</v>
      </c>
      <c r="Q200">
        <f t="shared" si="32"/>
        <v>12.450000000000001</v>
      </c>
      <c r="R200">
        <f t="shared" si="33"/>
        <v>0</v>
      </c>
      <c r="S200">
        <f>I200+(I200*'1. Cops de calor'!$C$40)</f>
        <v>6.4171201675651028</v>
      </c>
      <c r="T200">
        <f>J200*'1. Cops de calor'!$C$41+J200</f>
        <v>4.1792120636057764</v>
      </c>
      <c r="U200">
        <f>'1. Cops de calor'!$C$42*K200+K200</f>
        <v>7.8E-2</v>
      </c>
      <c r="V200">
        <f>S200*'1. Cops de calor'!$C$32/30</f>
        <v>91.978722401766476</v>
      </c>
      <c r="W200">
        <f>T200*'1. Cops de calor'!$C$33/30</f>
        <v>20.896060318028884</v>
      </c>
      <c r="X200">
        <f>K200*'1. Cops de calor'!$C$34/30</f>
        <v>4724.9999999999991</v>
      </c>
      <c r="Y200">
        <f t="shared" si="34"/>
        <v>4837.8747827197949</v>
      </c>
      <c r="Z200" s="849">
        <f>Y200*(Q200+R200)*'A. Dades de partida'!$D$10</f>
        <v>903473.11567292176</v>
      </c>
      <c r="AA200" s="850">
        <f t="shared" si="35"/>
        <v>743143.35298654204</v>
      </c>
      <c r="AB200" t="str">
        <f>VLOOKUP(B200,'BD ASVICC'!$A$6:$BG$316,59,FALSE)</f>
        <v>PREPIRINEU-PIRINEU</v>
      </c>
      <c r="AC200">
        <f t="shared" si="27"/>
        <v>0.5</v>
      </c>
      <c r="AD200">
        <f t="shared" si="28"/>
        <v>0.5</v>
      </c>
    </row>
    <row r="201" spans="1:30">
      <c r="A201">
        <v>8200</v>
      </c>
      <c r="B201" t="s">
        <v>1094</v>
      </c>
      <c r="C201" t="s">
        <v>90</v>
      </c>
      <c r="D201">
        <f>VLOOKUP(A201,'temperatures màximes'!$A$4:$U$314,'temperatures màximes'!U$1,FALSE)</f>
        <v>2</v>
      </c>
      <c r="E201">
        <f>VLOOKUP(A201,'nits tropicals'!$A$4:$U$314,'nits tropicals'!U$1,FALSE)</f>
        <v>246</v>
      </c>
      <c r="F201">
        <f t="shared" si="29"/>
        <v>0.2</v>
      </c>
      <c r="G201">
        <f t="shared" si="30"/>
        <v>24.6</v>
      </c>
      <c r="H201" s="840">
        <f>VLOOKUP(B201,'BD ASVICC'!$A$6:$X$316,24,FALSE)/VLOOKUP(C201,'BD Comarcal'!$A$6:$Z$17,26,FALSE)</f>
        <v>0.10174556077853221</v>
      </c>
      <c r="I201" s="839">
        <f>(VLOOKUP(C201,'BD Altres'!$D$74:$H$84,5,FALSE) * 1000 / 12) * H201*0.035</f>
        <v>187.49551474433801</v>
      </c>
      <c r="J201" s="839">
        <f>(VLOOKUP(C201,'BD Altres'!$D$74:$H$84,3,FALSE) / 12) * H201*0.25</f>
        <v>571.8514979044752</v>
      </c>
      <c r="K201">
        <f>(VLOOKUP(B201,'BD ASVICC'!$A$6:$GR$316,199,FALSE) / 12)*0.3</f>
        <v>16.225000000000001</v>
      </c>
      <c r="L201" s="846">
        <f>I201*'1. Cops de calor'!$C$32/30</f>
        <v>2687.4357113355118</v>
      </c>
      <c r="M201" s="846">
        <f>J201*'1. Cops de calor'!$C$33/30</f>
        <v>2859.2574895223756</v>
      </c>
      <c r="N201" s="846">
        <f>K201*'1. Cops de calor'!$C$34*0.25/30</f>
        <v>255543.75</v>
      </c>
      <c r="O201" s="779">
        <f t="shared" si="31"/>
        <v>6475042.9913812764</v>
      </c>
      <c r="P201" s="848">
        <f>O201*'A. Dades de partida'!$D$10</f>
        <v>97125644.87071915</v>
      </c>
      <c r="Q201">
        <f t="shared" si="32"/>
        <v>0.30000000000000004</v>
      </c>
      <c r="R201">
        <f t="shared" si="33"/>
        <v>36.900000000000006</v>
      </c>
      <c r="S201">
        <f>I201+(I201*'1. Cops de calor'!$C$40)</f>
        <v>197.99526357002094</v>
      </c>
      <c r="T201">
        <f>J201*'1. Cops de calor'!$C$41+J201</f>
        <v>614.74036024731083</v>
      </c>
      <c r="U201">
        <f>'1. Cops de calor'!$C$42*K201+K201</f>
        <v>16.874000000000002</v>
      </c>
      <c r="V201">
        <f>S201*'1. Cops de calor'!$C$32/30</f>
        <v>2837.9321111703002</v>
      </c>
      <c r="W201">
        <f>T201*'1. Cops de calor'!$C$33/30</f>
        <v>3073.7018012365538</v>
      </c>
      <c r="X201">
        <f>K201*'1. Cops de calor'!$C$34/30</f>
        <v>1022175</v>
      </c>
      <c r="Y201">
        <f t="shared" si="34"/>
        <v>1028086.6339124069</v>
      </c>
      <c r="Z201" s="849">
        <f>Y201*(Q201+R201)*'A. Dades de partida'!$D$10</f>
        <v>573672341.72312307</v>
      </c>
      <c r="AA201" s="850">
        <f t="shared" si="35"/>
        <v>476546696.85240394</v>
      </c>
      <c r="AB201" t="str">
        <f>VLOOKUP(B201,'BD ASVICC'!$A$6:$BG$316,59,FALSE)</f>
        <v>LITORAL</v>
      </c>
      <c r="AC201">
        <f t="shared" si="27"/>
        <v>0.5</v>
      </c>
      <c r="AD201">
        <f t="shared" si="28"/>
        <v>0.5</v>
      </c>
    </row>
    <row r="202" spans="1:30">
      <c r="A202">
        <v>8201</v>
      </c>
      <c r="B202" t="s">
        <v>1435</v>
      </c>
      <c r="C202" t="s">
        <v>88</v>
      </c>
      <c r="D202">
        <f>VLOOKUP(A202,'temperatures màximes'!$A$4:$U$314,'temperatures màximes'!U$1,FALSE)</f>
        <v>10</v>
      </c>
      <c r="E202">
        <f>VLOOKUP(A202,'nits tropicals'!$A$4:$U$314,'nits tropicals'!U$1,FALSE)</f>
        <v>0</v>
      </c>
      <c r="F202">
        <f t="shared" si="29"/>
        <v>1</v>
      </c>
      <c r="G202">
        <f t="shared" si="30"/>
        <v>0</v>
      </c>
      <c r="H202" s="840">
        <f>VLOOKUP(B202,'BD ASVICC'!$A$6:$X$316,24,FALSE)/VLOOKUP(C202,'BD Comarcal'!$A$6:$Z$17,26,FALSE)</f>
        <v>3.3859972629320038E-3</v>
      </c>
      <c r="I202" s="839">
        <f>(VLOOKUP(C202,'BD Altres'!$D$74:$H$84,5,FALSE) * 1000 / 12) * H202*0.035</f>
        <v>3.7676273711082988</v>
      </c>
      <c r="J202" s="839">
        <f>(VLOOKUP(C202,'BD Altres'!$D$74:$H$84,3,FALSE) / 12) * H202*0.25</f>
        <v>2.4103362599400757</v>
      </c>
      <c r="K202">
        <f>(VLOOKUP(B202,'BD ASVICC'!$A$6:$GR$316,199,FALSE) / 12)*0.3</f>
        <v>0.42499999999999999</v>
      </c>
      <c r="L202" s="846">
        <f>I202*'1. Cops de calor'!$C$32/30</f>
        <v>54.002658985885617</v>
      </c>
      <c r="M202" s="846">
        <f>J202*'1. Cops de calor'!$C$33/30</f>
        <v>12.051681299700379</v>
      </c>
      <c r="N202" s="846">
        <f>K202*'1. Cops de calor'!$C$34*0.25/30</f>
        <v>6693.7499999999991</v>
      </c>
      <c r="O202" s="779">
        <f t="shared" si="31"/>
        <v>6759.8043402855847</v>
      </c>
      <c r="P202" s="848">
        <f>O202*'A. Dades de partida'!$D$10</f>
        <v>101397.06510428377</v>
      </c>
      <c r="Q202">
        <f t="shared" si="32"/>
        <v>1.5</v>
      </c>
      <c r="R202">
        <f t="shared" si="33"/>
        <v>0</v>
      </c>
      <c r="S202">
        <f>I202+(I202*'1. Cops de calor'!$C$40)</f>
        <v>3.9786145038903635</v>
      </c>
      <c r="T202">
        <f>J202*'1. Cops de calor'!$C$41+J202</f>
        <v>2.5911114794355816</v>
      </c>
      <c r="U202">
        <f>'1. Cops de calor'!$C$42*K202+K202</f>
        <v>0.442</v>
      </c>
      <c r="V202">
        <f>S202*'1. Cops de calor'!$C$32/30</f>
        <v>57.026807889095217</v>
      </c>
      <c r="W202">
        <f>T202*'1. Cops de calor'!$C$33/30</f>
        <v>12.955557397177907</v>
      </c>
      <c r="X202">
        <f>K202*'1. Cops de calor'!$C$34/30</f>
        <v>26774.999999999996</v>
      </c>
      <c r="Y202">
        <f t="shared" si="34"/>
        <v>26844.982365286269</v>
      </c>
      <c r="Z202" s="849">
        <f>Y202*(Q202+R202)*'A. Dades de partida'!$D$10</f>
        <v>604012.10321894102</v>
      </c>
      <c r="AA202" s="850">
        <f t="shared" si="35"/>
        <v>502615.03811465728</v>
      </c>
      <c r="AB202" t="str">
        <f>VLOOKUP(B202,'BD ASVICC'!$A$6:$BG$316,59,FALSE)</f>
        <v>PREPIRINEU-PIRINEU</v>
      </c>
      <c r="AC202">
        <f t="shared" si="27"/>
        <v>0.5</v>
      </c>
      <c r="AD202">
        <f t="shared" si="28"/>
        <v>0.5</v>
      </c>
    </row>
    <row r="203" spans="1:30">
      <c r="A203">
        <v>8202</v>
      </c>
      <c r="B203" t="s">
        <v>1437</v>
      </c>
      <c r="C203" t="s">
        <v>24</v>
      </c>
      <c r="D203">
        <f>VLOOKUP(A203,'temperatures màximes'!$A$4:$U$314,'temperatures màximes'!U$1,FALSE)</f>
        <v>39</v>
      </c>
      <c r="E203">
        <f>VLOOKUP(A203,'nits tropicals'!$A$4:$U$314,'nits tropicals'!U$1,FALSE)</f>
        <v>2</v>
      </c>
      <c r="F203">
        <f t="shared" si="29"/>
        <v>3.9</v>
      </c>
      <c r="G203">
        <f t="shared" si="30"/>
        <v>0.2</v>
      </c>
      <c r="H203" s="840">
        <f>VLOOKUP(B203,'BD ASVICC'!$A$6:$X$316,24,FALSE)/VLOOKUP(C203,'BD Comarcal'!$A$6:$Z$17,26,FALSE)</f>
        <v>4.3703810753031112E-2</v>
      </c>
      <c r="I203" s="839">
        <f>(VLOOKUP(C203,'BD Altres'!$D$74:$H$84,5,FALSE) * 1000 / 12) * H203*0.035</f>
        <v>309.28451653135465</v>
      </c>
      <c r="J203" s="839">
        <f>(VLOOKUP(C203,'BD Altres'!$D$74:$H$84,3,FALSE) / 12) * H203*0.25</f>
        <v>69.533413622482044</v>
      </c>
      <c r="K203">
        <f>(VLOOKUP(B203,'BD ASVICC'!$A$6:$GR$316,199,FALSE) / 12)*0.3</f>
        <v>3.4</v>
      </c>
      <c r="L203" s="846">
        <f>I203*'1. Cops de calor'!$C$32/30</f>
        <v>4433.0780702827496</v>
      </c>
      <c r="M203" s="846">
        <f>J203*'1. Cops de calor'!$C$33/30</f>
        <v>347.66706811241022</v>
      </c>
      <c r="N203" s="846">
        <f>K203*'1. Cops de calor'!$C$34*0.25/30</f>
        <v>53549.999999999993</v>
      </c>
      <c r="O203" s="779">
        <f t="shared" si="31"/>
        <v>239156.05506742012</v>
      </c>
      <c r="P203" s="848">
        <f>O203*'A. Dades de partida'!$D$10</f>
        <v>3587340.8260113019</v>
      </c>
      <c r="Q203">
        <f t="shared" si="32"/>
        <v>5.85</v>
      </c>
      <c r="R203">
        <f t="shared" si="33"/>
        <v>0.30000000000000004</v>
      </c>
      <c r="S203">
        <f>I203+(I203*'1. Cops de calor'!$C$40)</f>
        <v>326.60444945711049</v>
      </c>
      <c r="T203">
        <f>J203*'1. Cops de calor'!$C$41+J203</f>
        <v>74.748419644168195</v>
      </c>
      <c r="U203">
        <f>'1. Cops de calor'!$C$42*K203+K203</f>
        <v>3.536</v>
      </c>
      <c r="V203">
        <f>S203*'1. Cops de calor'!$C$32/30</f>
        <v>4681.3304422185838</v>
      </c>
      <c r="W203">
        <f>T203*'1. Cops de calor'!$C$33/30</f>
        <v>373.742098220841</v>
      </c>
      <c r="X203">
        <f>K203*'1. Cops de calor'!$C$34/30</f>
        <v>214199.99999999997</v>
      </c>
      <c r="Y203">
        <f t="shared" si="34"/>
        <v>219255.0725404394</v>
      </c>
      <c r="Z203" s="849">
        <f>Y203*(Q203+R203)*'A. Dades de partida'!$D$10</f>
        <v>20226280.441855535</v>
      </c>
      <c r="AA203" s="850">
        <f t="shared" si="35"/>
        <v>16638939.615844233</v>
      </c>
      <c r="AB203" t="str">
        <f>VLOOKUP(B203,'BD ASVICC'!$A$6:$BG$316,59,FALSE)</f>
        <v>CENTRAL</v>
      </c>
      <c r="AC203">
        <f t="shared" si="27"/>
        <v>0.5</v>
      </c>
      <c r="AD203">
        <f t="shared" si="28"/>
        <v>0.5</v>
      </c>
    </row>
    <row r="204" spans="1:30">
      <c r="A204">
        <v>8203</v>
      </c>
      <c r="B204" t="s">
        <v>1443</v>
      </c>
      <c r="C204" t="s">
        <v>86</v>
      </c>
      <c r="D204">
        <f>VLOOKUP(A204,'temperatures màximes'!$A$4:$U$314,'temperatures màximes'!U$1,FALSE)</f>
        <v>2</v>
      </c>
      <c r="E204">
        <f>VLOOKUP(A204,'nits tropicals'!$A$4:$U$314,'nits tropicals'!U$1,FALSE)</f>
        <v>264</v>
      </c>
      <c r="F204">
        <f t="shared" si="29"/>
        <v>0.2</v>
      </c>
      <c r="G204">
        <f t="shared" si="30"/>
        <v>26.4</v>
      </c>
      <c r="H204" s="840">
        <f>VLOOKUP(B204,'BD ASVICC'!$A$6:$X$316,24,FALSE)/VLOOKUP(C204,'BD Comarcal'!$A$6:$Z$17,26,FALSE)</f>
        <v>7.5401184584546043E-3</v>
      </c>
      <c r="I204" s="839">
        <f>(VLOOKUP(C204,'BD Altres'!$D$74:$H$84,5,FALSE) * 1000 / 12) * H204*0.035</f>
        <v>17.567887270532673</v>
      </c>
      <c r="J204" s="839">
        <f>(VLOOKUP(C204,'BD Altres'!$D$74:$H$84,3,FALSE) / 12) * H204*0.25</f>
        <v>7.9197474599723083</v>
      </c>
      <c r="K204">
        <f>(VLOOKUP(B204,'BD ASVICC'!$A$6:$GR$316,199,FALSE) / 12)*0.3</f>
        <v>0.27499999999999997</v>
      </c>
      <c r="L204" s="846">
        <f>I204*'1. Cops de calor'!$C$32/30</f>
        <v>251.8063842109683</v>
      </c>
      <c r="M204" s="846">
        <f>J204*'1. Cops de calor'!$C$33/30</f>
        <v>39.59873729986154</v>
      </c>
      <c r="N204" s="846">
        <f>K204*'1. Cops de calor'!$C$34*0.25/30</f>
        <v>4331.2499999999991</v>
      </c>
      <c r="O204" s="779">
        <f t="shared" si="31"/>
        <v>122962.62623218805</v>
      </c>
      <c r="P204" s="848">
        <f>O204*'A. Dades de partida'!$D$10</f>
        <v>1844439.3934828208</v>
      </c>
      <c r="Q204">
        <f t="shared" si="32"/>
        <v>0.30000000000000004</v>
      </c>
      <c r="R204">
        <f t="shared" si="33"/>
        <v>39.599999999999994</v>
      </c>
      <c r="S204">
        <f>I204+(I204*'1. Cops de calor'!$C$40)</f>
        <v>18.551688957682501</v>
      </c>
      <c r="T204">
        <f>J204*'1. Cops de calor'!$C$41+J204</f>
        <v>8.5137285194702308</v>
      </c>
      <c r="U204">
        <f>'1. Cops de calor'!$C$42*K204+K204</f>
        <v>0.28599999999999998</v>
      </c>
      <c r="V204">
        <f>S204*'1. Cops de calor'!$C$32/30</f>
        <v>265.90754172678248</v>
      </c>
      <c r="W204">
        <f>T204*'1. Cops de calor'!$C$33/30</f>
        <v>42.568642597351158</v>
      </c>
      <c r="X204">
        <f>K204*'1. Cops de calor'!$C$34/30</f>
        <v>17324.999999999996</v>
      </c>
      <c r="Y204">
        <f t="shared" si="34"/>
        <v>17633.476184324129</v>
      </c>
      <c r="Z204" s="849">
        <f>Y204*(Q204+R204)*'A. Dades de partida'!$D$10</f>
        <v>10553635.496317988</v>
      </c>
      <c r="AA204" s="850">
        <f t="shared" si="35"/>
        <v>8709196.1028351672</v>
      </c>
      <c r="AB204" t="str">
        <f>VLOOKUP(B204,'BD ASVICC'!$A$6:$BG$316,59,FALSE)</f>
        <v>LITORAL</v>
      </c>
      <c r="AC204">
        <f t="shared" si="27"/>
        <v>0.5</v>
      </c>
      <c r="AD204">
        <f t="shared" si="28"/>
        <v>0.5</v>
      </c>
    </row>
    <row r="205" spans="1:30">
      <c r="A205">
        <v>8204</v>
      </c>
      <c r="B205" t="s">
        <v>1446</v>
      </c>
      <c r="C205" t="s">
        <v>90</v>
      </c>
      <c r="D205">
        <f>VLOOKUP(A205,'temperatures màximes'!$A$4:$U$314,'temperatures màximes'!U$1,FALSE)</f>
        <v>2</v>
      </c>
      <c r="E205">
        <f>VLOOKUP(A205,'nits tropicals'!$A$4:$U$314,'nits tropicals'!U$1,FALSE)</f>
        <v>246</v>
      </c>
      <c r="F205">
        <f t="shared" si="29"/>
        <v>0.2</v>
      </c>
      <c r="G205">
        <f t="shared" si="30"/>
        <v>24.6</v>
      </c>
      <c r="H205" s="840">
        <f>VLOOKUP(B205,'BD ASVICC'!$A$6:$X$316,24,FALSE)/VLOOKUP(C205,'BD Comarcal'!$A$6:$Z$17,26,FALSE)</f>
        <v>4.9686189239680299E-3</v>
      </c>
      <c r="I205" s="839">
        <f>(VLOOKUP(C205,'BD Altres'!$D$74:$H$84,5,FALSE) * 1000 / 12) * H205*0.035</f>
        <v>9.1561121250845385</v>
      </c>
      <c r="J205" s="839">
        <f>(VLOOKUP(C205,'BD Altres'!$D$74:$H$84,3,FALSE) / 12) * H205*0.25</f>
        <v>27.925662333045413</v>
      </c>
      <c r="K205">
        <f>(VLOOKUP(B205,'BD ASVICC'!$A$6:$GR$316,199,FALSE) / 12)*0.3</f>
        <v>0.6</v>
      </c>
      <c r="L205" s="846">
        <f>I205*'1. Cops de calor'!$C$32/30</f>
        <v>131.23760712621171</v>
      </c>
      <c r="M205" s="846">
        <f>J205*'1. Cops de calor'!$C$33/30</f>
        <v>139.62831166522707</v>
      </c>
      <c r="N205" s="846">
        <f>K205*'1. Cops de calor'!$C$34*0.25/30</f>
        <v>9449.9999999999982</v>
      </c>
      <c r="O205" s="779">
        <f t="shared" si="31"/>
        <v>241077.47478602763</v>
      </c>
      <c r="P205" s="848">
        <f>O205*'A. Dades de partida'!$D$10</f>
        <v>3616162.1217904142</v>
      </c>
      <c r="Q205">
        <f t="shared" si="32"/>
        <v>0.30000000000000004</v>
      </c>
      <c r="R205">
        <f t="shared" si="33"/>
        <v>36.900000000000006</v>
      </c>
      <c r="S205">
        <f>I205+(I205*'1. Cops de calor'!$C$40)</f>
        <v>9.6688544040892719</v>
      </c>
      <c r="T205">
        <f>J205*'1. Cops de calor'!$C$41+J205</f>
        <v>30.020087008023818</v>
      </c>
      <c r="U205">
        <f>'1. Cops de calor'!$C$42*K205+K205</f>
        <v>0.624</v>
      </c>
      <c r="V205">
        <f>S205*'1. Cops de calor'!$C$32/30</f>
        <v>138.58691312527955</v>
      </c>
      <c r="W205">
        <f>T205*'1. Cops de calor'!$C$33/30</f>
        <v>150.10043504011909</v>
      </c>
      <c r="X205">
        <f>K205*'1. Cops de calor'!$C$34/30</f>
        <v>37799.999999999993</v>
      </c>
      <c r="Y205">
        <f t="shared" si="34"/>
        <v>38088.687348165389</v>
      </c>
      <c r="Z205" s="849">
        <f>Y205*(Q205+R205)*'A. Dades de partida'!$D$10</f>
        <v>21253487.540276289</v>
      </c>
      <c r="AA205" s="850">
        <f t="shared" si="35"/>
        <v>17637325.418485876</v>
      </c>
      <c r="AB205" t="str">
        <f>VLOOKUP(B205,'BD ASVICC'!$A$6:$BG$316,59,FALSE)</f>
        <v>LITORAL</v>
      </c>
      <c r="AC205">
        <f t="shared" si="27"/>
        <v>0.5</v>
      </c>
      <c r="AD205">
        <f t="shared" si="28"/>
        <v>0.5</v>
      </c>
    </row>
    <row r="206" spans="1:30">
      <c r="A206">
        <v>8205</v>
      </c>
      <c r="B206" t="s">
        <v>1450</v>
      </c>
      <c r="C206" t="s">
        <v>89</v>
      </c>
      <c r="D206">
        <f>VLOOKUP(A206,'temperatures màximes'!$A$4:$U$314,'temperatures màximes'!U$1,FALSE)</f>
        <v>37</v>
      </c>
      <c r="E206">
        <f>VLOOKUP(A206,'nits tropicals'!$A$4:$U$314,'nits tropicals'!U$1,FALSE)</f>
        <v>39</v>
      </c>
      <c r="F206">
        <f t="shared" si="29"/>
        <v>3.7</v>
      </c>
      <c r="G206">
        <f t="shared" si="30"/>
        <v>3.9</v>
      </c>
      <c r="H206" s="840">
        <f>VLOOKUP(B206,'BD ASVICC'!$A$6:$X$316,24,FALSE)/VLOOKUP(C206,'BD Comarcal'!$A$6:$Z$17,26,FALSE)</f>
        <v>9.8337830664425377E-2</v>
      </c>
      <c r="I206" s="839">
        <f>(VLOOKUP(C206,'BD Altres'!$D$74:$H$84,5,FALSE) * 1000 / 12) * H206*0.035</f>
        <v>398.10455656851394</v>
      </c>
      <c r="J206" s="839">
        <f>(VLOOKUP(C206,'BD Altres'!$D$74:$H$84,3,FALSE) / 12) * H206*0.25</f>
        <v>174.74641111664613</v>
      </c>
      <c r="K206">
        <f>(VLOOKUP(B206,'BD ASVICC'!$A$6:$GR$316,199,FALSE) / 12)*0.3</f>
        <v>12.325000000000001</v>
      </c>
      <c r="L206" s="846">
        <f>I206*'1. Cops de calor'!$C$32/30</f>
        <v>5706.1653108153669</v>
      </c>
      <c r="M206" s="846">
        <f>J206*'1. Cops de calor'!$C$33/30</f>
        <v>873.73205558323059</v>
      </c>
      <c r="N206" s="846">
        <f>K206*'1. Cops de calor'!$C$34*0.25/30</f>
        <v>194118.75</v>
      </c>
      <c r="O206" s="779">
        <f t="shared" si="31"/>
        <v>1525309.7199846292</v>
      </c>
      <c r="P206" s="848">
        <f>O206*'A. Dades de partida'!$D$10</f>
        <v>22879645.799769439</v>
      </c>
      <c r="Q206">
        <f t="shared" si="32"/>
        <v>5.5500000000000007</v>
      </c>
      <c r="R206">
        <f t="shared" si="33"/>
        <v>5.85</v>
      </c>
      <c r="S206">
        <f>I206+(I206*'1. Cops de calor'!$C$40)</f>
        <v>420.39841173635074</v>
      </c>
      <c r="T206">
        <f>J206*'1. Cops de calor'!$C$41+J206</f>
        <v>187.85239195039458</v>
      </c>
      <c r="U206">
        <f>'1. Cops de calor'!$C$42*K206+K206</f>
        <v>12.818000000000001</v>
      </c>
      <c r="V206">
        <f>S206*'1. Cops de calor'!$C$32/30</f>
        <v>6025.7105682210267</v>
      </c>
      <c r="W206">
        <f>T206*'1. Cops de calor'!$C$33/30</f>
        <v>939.26195975197288</v>
      </c>
      <c r="X206">
        <f>K206*'1. Cops de calor'!$C$34/30</f>
        <v>776475</v>
      </c>
      <c r="Y206">
        <f t="shared" si="34"/>
        <v>783439.972527973</v>
      </c>
      <c r="Z206" s="849">
        <f>Y206*(Q206+R206)*'A. Dades de partida'!$D$10</f>
        <v>133968235.30228338</v>
      </c>
      <c r="AA206" s="850">
        <f t="shared" si="35"/>
        <v>111088589.50251395</v>
      </c>
      <c r="AB206" t="str">
        <f>VLOOKUP(B206,'BD ASVICC'!$A$6:$BG$316,59,FALSE)</f>
        <v>LITORAL</v>
      </c>
      <c r="AC206">
        <f t="shared" si="27"/>
        <v>0.5</v>
      </c>
      <c r="AD206">
        <f t="shared" si="28"/>
        <v>0.5</v>
      </c>
    </row>
    <row r="207" spans="1:30">
      <c r="A207">
        <v>8206</v>
      </c>
      <c r="B207" t="s">
        <v>1457</v>
      </c>
      <c r="C207" t="s">
        <v>791</v>
      </c>
      <c r="D207">
        <f>VLOOKUP(A207,'temperatures màximes'!$A$4:$U$314,'temperatures màximes'!U$1,FALSE)</f>
        <v>15</v>
      </c>
      <c r="E207">
        <f>VLOOKUP(A207,'nits tropicals'!$A$4:$U$314,'nits tropicals'!U$1,FALSE)</f>
        <v>10</v>
      </c>
      <c r="F207">
        <f t="shared" si="29"/>
        <v>1.5</v>
      </c>
      <c r="G207">
        <f t="shared" si="30"/>
        <v>1</v>
      </c>
      <c r="H207" s="840">
        <f>VLOOKUP(B207,'BD ASVICC'!$A$6:$X$316,24,FALSE)/VLOOKUP(C207,'BD Comarcal'!$A$6:$Z$17,26,FALSE)</f>
        <v>9.1554928252175951E-3</v>
      </c>
      <c r="I207" s="839">
        <f>(VLOOKUP(C207,'BD Altres'!$D$74:$H$84,5,FALSE) * 1000 / 12) * H207*0.035</f>
        <v>18.115093202440708</v>
      </c>
      <c r="J207" s="839">
        <f>(VLOOKUP(C207,'BD Altres'!$D$74:$H$84,3,FALSE) / 12) * H207*0.25</f>
        <v>2.3466338459198353</v>
      </c>
      <c r="K207">
        <f>(VLOOKUP(B207,'BD ASVICC'!$A$6:$GR$316,199,FALSE) / 12)*0.3</f>
        <v>0.27499999999999997</v>
      </c>
      <c r="L207" s="846">
        <f>I207*'1. Cops de calor'!$C$32/30</f>
        <v>259.64966923498349</v>
      </c>
      <c r="M207" s="846">
        <f>J207*'1. Cops de calor'!$C$33/30</f>
        <v>11.733169229599177</v>
      </c>
      <c r="N207" s="846">
        <f>K207*'1. Cops de calor'!$C$34*0.25/30</f>
        <v>4331.2499999999991</v>
      </c>
      <c r="O207" s="779">
        <f t="shared" si="31"/>
        <v>11506.582096161455</v>
      </c>
      <c r="P207" s="848">
        <f>O207*'A. Dades de partida'!$D$10</f>
        <v>172598.73144242182</v>
      </c>
      <c r="Q207">
        <f t="shared" si="32"/>
        <v>2.25</v>
      </c>
      <c r="R207">
        <f t="shared" si="33"/>
        <v>1.5</v>
      </c>
      <c r="S207">
        <f>I207+(I207*'1. Cops de calor'!$C$40)</f>
        <v>19.129538421777387</v>
      </c>
      <c r="T207">
        <f>J207*'1. Cops de calor'!$C$41+J207</f>
        <v>2.5226313843638231</v>
      </c>
      <c r="U207">
        <f>'1. Cops de calor'!$C$42*K207+K207</f>
        <v>0.28599999999999998</v>
      </c>
      <c r="V207">
        <f>S207*'1. Cops de calor'!$C$32/30</f>
        <v>274.19005071214252</v>
      </c>
      <c r="W207">
        <f>T207*'1. Cops de calor'!$C$33/30</f>
        <v>12.613156921819115</v>
      </c>
      <c r="X207">
        <f>K207*'1. Cops de calor'!$C$34/30</f>
        <v>17324.999999999996</v>
      </c>
      <c r="Y207">
        <f t="shared" si="34"/>
        <v>17611.803207633959</v>
      </c>
      <c r="Z207" s="849">
        <f>Y207*(Q207+R207)*'A. Dades de partida'!$D$10</f>
        <v>990663.93042941019</v>
      </c>
      <c r="AA207" s="850">
        <f t="shared" si="35"/>
        <v>818065.1989869884</v>
      </c>
      <c r="AB207" t="str">
        <f>VLOOKUP(B207,'BD ASVICC'!$A$6:$BG$316,59,FALSE)</f>
        <v>CENTRAL</v>
      </c>
      <c r="AC207">
        <f t="shared" si="27"/>
        <v>0.5</v>
      </c>
      <c r="AD207">
        <f t="shared" si="28"/>
        <v>0.5</v>
      </c>
    </row>
    <row r="208" spans="1:30">
      <c r="A208">
        <v>8207</v>
      </c>
      <c r="B208" t="s">
        <v>1458</v>
      </c>
      <c r="C208" t="s">
        <v>24</v>
      </c>
      <c r="D208">
        <f>VLOOKUP(A208,'temperatures màximes'!$A$4:$U$314,'temperatures màximes'!U$1,FALSE)</f>
        <v>39</v>
      </c>
      <c r="E208">
        <f>VLOOKUP(A208,'nits tropicals'!$A$4:$U$314,'nits tropicals'!U$1,FALSE)</f>
        <v>2</v>
      </c>
      <c r="F208">
        <f t="shared" si="29"/>
        <v>3.9</v>
      </c>
      <c r="G208">
        <f t="shared" si="30"/>
        <v>0.2</v>
      </c>
      <c r="H208" s="840">
        <f>VLOOKUP(B208,'BD ASVICC'!$A$6:$X$316,24,FALSE)/VLOOKUP(C208,'BD Comarcal'!$A$6:$Z$17,26,FALSE)</f>
        <v>6.4758383208168672E-3</v>
      </c>
      <c r="I208" s="839">
        <f>(VLOOKUP(C208,'BD Altres'!$D$74:$H$84,5,FALSE) * 1000 / 12) * H208*0.035</f>
        <v>45.828418384549067</v>
      </c>
      <c r="J208" s="839">
        <f>(VLOOKUP(C208,'BD Altres'!$D$74:$H$84,3,FALSE) / 12) * H208*0.25</f>
        <v>10.303155188416808</v>
      </c>
      <c r="K208">
        <f>(VLOOKUP(B208,'BD ASVICC'!$A$6:$GR$316,199,FALSE) / 12)*0.3</f>
        <v>0.25</v>
      </c>
      <c r="L208" s="846">
        <f>I208*'1. Cops de calor'!$C$32/30</f>
        <v>656.87399684520324</v>
      </c>
      <c r="M208" s="846">
        <f>J208*'1. Cops de calor'!$C$33/30</f>
        <v>51.515775942084041</v>
      </c>
      <c r="N208" s="846">
        <f>K208*'1. Cops de calor'!$C$34*0.25/30</f>
        <v>3937.4999999999995</v>
      </c>
      <c r="O208" s="779">
        <f t="shared" si="31"/>
        <v>19048.148068427872</v>
      </c>
      <c r="P208" s="848">
        <f>O208*'A. Dades de partida'!$D$10</f>
        <v>285722.22102641809</v>
      </c>
      <c r="Q208">
        <f t="shared" si="32"/>
        <v>5.85</v>
      </c>
      <c r="R208">
        <f t="shared" si="33"/>
        <v>0.30000000000000004</v>
      </c>
      <c r="S208">
        <f>I208+(I208*'1. Cops de calor'!$C$40)</f>
        <v>48.394809814083814</v>
      </c>
      <c r="T208">
        <f>J208*'1. Cops de calor'!$C$41+J208</f>
        <v>11.075891827548068</v>
      </c>
      <c r="U208">
        <f>'1. Cops de calor'!$C$42*K208+K208</f>
        <v>0.26</v>
      </c>
      <c r="V208">
        <f>S208*'1. Cops de calor'!$C$32/30</f>
        <v>693.65894066853468</v>
      </c>
      <c r="W208">
        <f>T208*'1. Cops de calor'!$C$33/30</f>
        <v>55.379459137740341</v>
      </c>
      <c r="X208">
        <f>K208*'1. Cops de calor'!$C$34/30</f>
        <v>15749.999999999998</v>
      </c>
      <c r="Y208">
        <f t="shared" si="34"/>
        <v>16499.038399806272</v>
      </c>
      <c r="Z208" s="849">
        <f>Y208*(Q208+R208)*'A. Dades de partida'!$D$10</f>
        <v>1522036.2923821285</v>
      </c>
      <c r="AA208" s="850">
        <f t="shared" si="35"/>
        <v>1236314.0713557105</v>
      </c>
      <c r="AB208" t="str">
        <f>VLOOKUP(B208,'BD ASVICC'!$A$6:$BG$316,59,FALSE)</f>
        <v>CENTRAL</v>
      </c>
      <c r="AC208">
        <f t="shared" si="27"/>
        <v>0.5</v>
      </c>
      <c r="AD208">
        <f t="shared" si="28"/>
        <v>0.5</v>
      </c>
    </row>
    <row r="209" spans="1:30">
      <c r="A209">
        <v>8208</v>
      </c>
      <c r="B209" t="s">
        <v>1463</v>
      </c>
      <c r="C209" t="s">
        <v>90</v>
      </c>
      <c r="D209">
        <f>VLOOKUP(A209,'temperatures màximes'!$A$4:$U$314,'temperatures màximes'!U$1,FALSE)</f>
        <v>102</v>
      </c>
      <c r="E209">
        <f>VLOOKUP(A209,'nits tropicals'!$A$4:$U$314,'nits tropicals'!U$1,FALSE)</f>
        <v>125</v>
      </c>
      <c r="F209">
        <f t="shared" si="29"/>
        <v>10.199999999999999</v>
      </c>
      <c r="G209">
        <f t="shared" si="30"/>
        <v>12.5</v>
      </c>
      <c r="H209" s="840">
        <f>VLOOKUP(B209,'BD ASVICC'!$A$6:$X$316,24,FALSE)/VLOOKUP(C209,'BD Comarcal'!$A$6:$Z$17,26,FALSE)</f>
        <v>9.4384003615337036E-3</v>
      </c>
      <c r="I209" s="839">
        <f>(VLOOKUP(C209,'BD Altres'!$D$74:$H$84,5,FALSE) * 1000 / 12) * H209*0.035</f>
        <v>17.392972436418045</v>
      </c>
      <c r="J209" s="839">
        <f>(VLOOKUP(C209,'BD Altres'!$D$74:$H$84,3,FALSE) / 12) * H209*0.25</f>
        <v>53.047654789711515</v>
      </c>
      <c r="K209">
        <f>(VLOOKUP(B209,'BD ASVICC'!$A$6:$GR$316,199,FALSE) / 12)*0.3</f>
        <v>1.2249999999999999</v>
      </c>
      <c r="L209" s="846">
        <f>I209*'1. Cops de calor'!$C$32/30</f>
        <v>249.29927158865863</v>
      </c>
      <c r="M209" s="846">
        <f>J209*'1. Cops de calor'!$C$33/30</f>
        <v>265.23827394855761</v>
      </c>
      <c r="N209" s="846">
        <f>K209*'1. Cops de calor'!$C$34*0.25/30</f>
        <v>19293.749999999996</v>
      </c>
      <c r="O209" s="779">
        <f t="shared" si="31"/>
        <v>449648.12728369469</v>
      </c>
      <c r="P209" s="848">
        <f>O209*'A. Dades de partida'!$D$10</f>
        <v>6744721.9092554208</v>
      </c>
      <c r="Q209">
        <f t="shared" si="32"/>
        <v>15.299999999999999</v>
      </c>
      <c r="R209">
        <f t="shared" si="33"/>
        <v>18.75</v>
      </c>
      <c r="S209">
        <f>I209+(I209*'1. Cops de calor'!$C$40)</f>
        <v>18.366978892857457</v>
      </c>
      <c r="T209">
        <f>J209*'1. Cops de calor'!$C$41+J209</f>
        <v>57.026228898939877</v>
      </c>
      <c r="U209">
        <f>'1. Cops de calor'!$C$42*K209+K209</f>
        <v>1.2739999999999998</v>
      </c>
      <c r="V209">
        <f>S209*'1. Cops de calor'!$C$32/30</f>
        <v>263.26003079762353</v>
      </c>
      <c r="W209">
        <f>T209*'1. Cops de calor'!$C$33/30</f>
        <v>285.13114449469941</v>
      </c>
      <c r="X209">
        <f>K209*'1. Cops de calor'!$C$34/30</f>
        <v>77174.999999999985</v>
      </c>
      <c r="Y209">
        <f t="shared" si="34"/>
        <v>77723.391175292301</v>
      </c>
      <c r="Z209" s="849">
        <f>Y209*(Q209+R209)*'A. Dades de partida'!$D$10</f>
        <v>39697222.042780533</v>
      </c>
      <c r="AA209" s="850">
        <f t="shared" si="35"/>
        <v>32952500.133525111</v>
      </c>
      <c r="AB209" t="str">
        <f>VLOOKUP(B209,'BD ASVICC'!$A$6:$BG$316,59,FALSE)</f>
        <v>LITORAL</v>
      </c>
      <c r="AC209">
        <f t="shared" si="27"/>
        <v>0.5</v>
      </c>
      <c r="AD209">
        <f t="shared" si="28"/>
        <v>0.5</v>
      </c>
    </row>
    <row r="210" spans="1:30">
      <c r="A210">
        <v>8209</v>
      </c>
      <c r="B210" t="s">
        <v>1464</v>
      </c>
      <c r="C210" t="s">
        <v>24</v>
      </c>
      <c r="D210">
        <f>VLOOKUP(A210,'temperatures màximes'!$A$4:$U$314,'temperatures màximes'!U$1,FALSE)</f>
        <v>39</v>
      </c>
      <c r="E210">
        <f>VLOOKUP(A210,'nits tropicals'!$A$4:$U$314,'nits tropicals'!U$1,FALSE)</f>
        <v>2</v>
      </c>
      <c r="F210">
        <f t="shared" si="29"/>
        <v>3.9</v>
      </c>
      <c r="G210">
        <f t="shared" si="30"/>
        <v>0.2</v>
      </c>
      <c r="H210" s="840">
        <f>VLOOKUP(B210,'BD ASVICC'!$A$6:$X$316,24,FALSE)/VLOOKUP(C210,'BD Comarcal'!$A$6:$Z$17,26,FALSE)</f>
        <v>2.1552905530998808E-2</v>
      </c>
      <c r="I210" s="839">
        <f>(VLOOKUP(C210,'BD Altres'!$D$74:$H$84,5,FALSE) * 1000 / 12) * H210*0.035</f>
        <v>152.52628665884936</v>
      </c>
      <c r="J210" s="839">
        <f>(VLOOKUP(C210,'BD Altres'!$D$74:$H$84,3,FALSE) / 12) * H210*0.25</f>
        <v>34.290993605157901</v>
      </c>
      <c r="K210">
        <f>(VLOOKUP(B210,'BD ASVICC'!$A$6:$GR$316,199,FALSE) / 12)*0.3</f>
        <v>2.4</v>
      </c>
      <c r="L210" s="846">
        <f>I210*'1. Cops de calor'!$C$32/30</f>
        <v>2186.2101087768406</v>
      </c>
      <c r="M210" s="846">
        <f>J210*'1. Cops de calor'!$C$33/30</f>
        <v>171.45496802578953</v>
      </c>
      <c r="N210" s="846">
        <f>K210*'1. Cops de calor'!$C$34*0.25/30</f>
        <v>37799.999999999993</v>
      </c>
      <c r="O210" s="779">
        <f t="shared" si="31"/>
        <v>164646.42681489073</v>
      </c>
      <c r="P210" s="848">
        <f>O210*'A. Dades de partida'!$D$10</f>
        <v>2469696.4022233607</v>
      </c>
      <c r="Q210">
        <f t="shared" si="32"/>
        <v>5.85</v>
      </c>
      <c r="R210">
        <f t="shared" si="33"/>
        <v>0.30000000000000004</v>
      </c>
      <c r="S210">
        <f>I210+(I210*'1. Cops de calor'!$C$40)</f>
        <v>161.06775871174491</v>
      </c>
      <c r="T210">
        <f>J210*'1. Cops de calor'!$C$41+J210</f>
        <v>36.862818125544742</v>
      </c>
      <c r="U210">
        <f>'1. Cops de calor'!$C$42*K210+K210</f>
        <v>2.496</v>
      </c>
      <c r="V210">
        <f>S210*'1. Cops de calor'!$C$32/30</f>
        <v>2308.6378748683437</v>
      </c>
      <c r="W210">
        <f>T210*'1. Cops de calor'!$C$33/30</f>
        <v>184.31409062772369</v>
      </c>
      <c r="X210">
        <f>K210*'1. Cops de calor'!$C$34/30</f>
        <v>151199.99999999997</v>
      </c>
      <c r="Y210">
        <f t="shared" si="34"/>
        <v>153692.95196549603</v>
      </c>
      <c r="Z210" s="849">
        <f>Y210*(Q210+R210)*'A. Dades de partida'!$D$10</f>
        <v>14178174.818817008</v>
      </c>
      <c r="AA210" s="850">
        <f t="shared" si="35"/>
        <v>11708478.416593648</v>
      </c>
      <c r="AB210" t="str">
        <f>VLOOKUP(B210,'BD ASVICC'!$A$6:$BG$316,59,FALSE)</f>
        <v>LITORAL</v>
      </c>
      <c r="AC210">
        <f t="shared" si="27"/>
        <v>0.5</v>
      </c>
      <c r="AD210">
        <f t="shared" si="28"/>
        <v>0.5</v>
      </c>
    </row>
    <row r="211" spans="1:30">
      <c r="A211">
        <v>8210</v>
      </c>
      <c r="B211" t="s">
        <v>1466</v>
      </c>
      <c r="C211" t="s">
        <v>24</v>
      </c>
      <c r="D211">
        <f>VLOOKUP(A211,'temperatures màximes'!$A$4:$U$314,'temperatures màximes'!U$1,FALSE)</f>
        <v>42</v>
      </c>
      <c r="E211">
        <f>VLOOKUP(A211,'nits tropicals'!$A$4:$U$314,'nits tropicals'!U$1,FALSE)</f>
        <v>8</v>
      </c>
      <c r="F211">
        <f t="shared" si="29"/>
        <v>4.2</v>
      </c>
      <c r="G211">
        <f t="shared" si="30"/>
        <v>0.8</v>
      </c>
      <c r="H211" s="840">
        <f>VLOOKUP(B211,'BD ASVICC'!$A$6:$X$316,24,FALSE)/VLOOKUP(C211,'BD Comarcal'!$A$6:$Z$17,26,FALSE)</f>
        <v>1.4870258983699525E-2</v>
      </c>
      <c r="I211" s="839">
        <f>(VLOOKUP(C211,'BD Altres'!$D$74:$H$84,5,FALSE) * 1000 / 12) * H211*0.035</f>
        <v>105.23432124624428</v>
      </c>
      <c r="J211" s="839">
        <f>(VLOOKUP(C211,'BD Altres'!$D$74:$H$84,3,FALSE) / 12) * H211*0.25</f>
        <v>23.658803449200274</v>
      </c>
      <c r="K211">
        <f>(VLOOKUP(B211,'BD ASVICC'!$A$6:$GR$316,199,FALSE) / 12)*0.3</f>
        <v>1.05</v>
      </c>
      <c r="L211" s="846">
        <f>I211*'1. Cops de calor'!$C$32/30</f>
        <v>1508.3586045295012</v>
      </c>
      <c r="M211" s="846">
        <f>J211*'1. Cops de calor'!$C$33/30</f>
        <v>118.29401724600137</v>
      </c>
      <c r="N211" s="846">
        <f>K211*'1. Cops de calor'!$C$34*0.25/30</f>
        <v>16537.499999999996</v>
      </c>
      <c r="O211" s="779">
        <f t="shared" si="31"/>
        <v>90820.763108877494</v>
      </c>
      <c r="P211" s="848">
        <f>O211*'A. Dades de partida'!$D$10</f>
        <v>1362311.4466331624</v>
      </c>
      <c r="Q211">
        <f t="shared" si="32"/>
        <v>6.3000000000000007</v>
      </c>
      <c r="R211">
        <f t="shared" si="33"/>
        <v>1.2000000000000002</v>
      </c>
      <c r="S211">
        <f>I211+(I211*'1. Cops de calor'!$C$40)</f>
        <v>111.12744323603395</v>
      </c>
      <c r="T211">
        <f>J211*'1. Cops de calor'!$C$41+J211</f>
        <v>25.433213707890296</v>
      </c>
      <c r="U211">
        <f>'1. Cops de calor'!$C$42*K211+K211</f>
        <v>1.0920000000000001</v>
      </c>
      <c r="V211">
        <f>S211*'1. Cops de calor'!$C$32/30</f>
        <v>1592.8266863831532</v>
      </c>
      <c r="W211">
        <f>T211*'1. Cops de calor'!$C$33/30</f>
        <v>127.16606853945149</v>
      </c>
      <c r="X211">
        <f>K211*'1. Cops de calor'!$C$34/30</f>
        <v>66149.999999999985</v>
      </c>
      <c r="Y211">
        <f t="shared" si="34"/>
        <v>67869.992754922583</v>
      </c>
      <c r="Z211" s="849">
        <f>Y211*(Q211+R211)*'A. Dades de partida'!$D$10</f>
        <v>7635374.1849287916</v>
      </c>
      <c r="AA211" s="850">
        <f t="shared" si="35"/>
        <v>6273062.7382956296</v>
      </c>
      <c r="AB211" t="str">
        <f>VLOOKUP(B211,'BD ASVICC'!$A$6:$BG$316,59,FALSE)</f>
        <v>CENTRAL</v>
      </c>
      <c r="AC211">
        <f t="shared" si="27"/>
        <v>0.5</v>
      </c>
      <c r="AD211">
        <f t="shared" si="28"/>
        <v>0.5</v>
      </c>
    </row>
    <row r="212" spans="1:30">
      <c r="A212">
        <v>8211</v>
      </c>
      <c r="B212" t="s">
        <v>1028</v>
      </c>
      <c r="C212" t="s">
        <v>90</v>
      </c>
      <c r="D212">
        <f>VLOOKUP(A212,'temperatures màximes'!$A$4:$U$314,'temperatures màximes'!U$1,FALSE)</f>
        <v>2</v>
      </c>
      <c r="E212">
        <f>VLOOKUP(A212,'nits tropicals'!$A$4:$U$314,'nits tropicals'!U$1,FALSE)</f>
        <v>246</v>
      </c>
      <c r="F212">
        <f t="shared" si="29"/>
        <v>0.2</v>
      </c>
      <c r="G212">
        <f t="shared" si="30"/>
        <v>24.6</v>
      </c>
      <c r="H212" s="840">
        <f>VLOOKUP(B212,'BD ASVICC'!$A$6:$X$316,24,FALSE)/VLOOKUP(C212,'BD Comarcal'!$A$6:$Z$17,26,FALSE)</f>
        <v>5.4435023330530456E-2</v>
      </c>
      <c r="I212" s="839">
        <f>(VLOOKUP(C212,'BD Altres'!$D$74:$H$84,5,FALSE) * 1000 / 12) * H212*0.035</f>
        <v>100.31221648769308</v>
      </c>
      <c r="J212" s="839">
        <f>(VLOOKUP(C212,'BD Altres'!$D$74:$H$84,3,FALSE) / 12) * H212*0.25</f>
        <v>305.94700537143143</v>
      </c>
      <c r="K212">
        <f>(VLOOKUP(B212,'BD ASVICC'!$A$6:$GR$316,199,FALSE) / 12)*0.3</f>
        <v>7.6749999999999989</v>
      </c>
      <c r="L212" s="846">
        <f>I212*'1. Cops de calor'!$C$32/30</f>
        <v>1437.8084363236007</v>
      </c>
      <c r="M212" s="846">
        <f>J212*'1. Cops de calor'!$C$33/30</f>
        <v>1529.7350268571572</v>
      </c>
      <c r="N212" s="846">
        <f>K212*'1. Cops de calor'!$C$34*0.25/30</f>
        <v>120881.24999999997</v>
      </c>
      <c r="O212" s="779">
        <f t="shared" si="31"/>
        <v>3071450.0778868822</v>
      </c>
      <c r="P212" s="848">
        <f>O212*'A. Dades de partida'!$D$10</f>
        <v>46071751.168303236</v>
      </c>
      <c r="Q212">
        <f t="shared" si="32"/>
        <v>0.30000000000000004</v>
      </c>
      <c r="R212">
        <f t="shared" si="33"/>
        <v>36.900000000000006</v>
      </c>
      <c r="S212">
        <f>I212+(I212*'1. Cops de calor'!$C$40)</f>
        <v>105.9297006110039</v>
      </c>
      <c r="T212">
        <f>J212*'1. Cops de calor'!$C$41+J212</f>
        <v>328.89303077428877</v>
      </c>
      <c r="U212">
        <f>'1. Cops de calor'!$C$42*K212+K212</f>
        <v>7.9819999999999993</v>
      </c>
      <c r="V212">
        <f>S212*'1. Cops de calor'!$C$32/30</f>
        <v>1518.3257087577224</v>
      </c>
      <c r="W212">
        <f>T212*'1. Cops de calor'!$C$33/30</f>
        <v>1644.4651538714438</v>
      </c>
      <c r="X212">
        <f>K212*'1. Cops de calor'!$C$34/30</f>
        <v>483524.99999999988</v>
      </c>
      <c r="Y212">
        <f t="shared" si="34"/>
        <v>486687.79086262907</v>
      </c>
      <c r="Z212" s="849">
        <f>Y212*(Q212+R212)*'A. Dades de partida'!$D$10</f>
        <v>271571787.30134702</v>
      </c>
      <c r="AA212" s="850">
        <f t="shared" si="35"/>
        <v>225500036.13304377</v>
      </c>
      <c r="AB212" t="str">
        <f>VLOOKUP(B212,'BD ASVICC'!$A$6:$BG$316,59,FALSE)</f>
        <v>LITORAL</v>
      </c>
      <c r="AC212">
        <f t="shared" si="27"/>
        <v>0.5</v>
      </c>
      <c r="AD212">
        <f t="shared" si="28"/>
        <v>0.5</v>
      </c>
    </row>
    <row r="213" spans="1:30">
      <c r="A213">
        <v>8212</v>
      </c>
      <c r="B213" t="s">
        <v>1470</v>
      </c>
      <c r="C213" t="s">
        <v>82</v>
      </c>
      <c r="D213">
        <f>VLOOKUP(A213,'temperatures màximes'!$A$4:$U$314,'temperatures màximes'!U$1,FALSE)</f>
        <v>70</v>
      </c>
      <c r="E213">
        <f>VLOOKUP(A213,'nits tropicals'!$A$4:$U$314,'nits tropicals'!U$1,FALSE)</f>
        <v>3</v>
      </c>
      <c r="F213">
        <f t="shared" si="29"/>
        <v>7</v>
      </c>
      <c r="G213">
        <f t="shared" si="30"/>
        <v>0.3</v>
      </c>
      <c r="H213" s="840">
        <f>VLOOKUP(B213,'BD ASVICC'!$A$6:$X$316,24,FALSE)/VLOOKUP(C213,'BD Comarcal'!$A$6:$Z$17,26,FALSE)</f>
        <v>3.5095566604159858E-3</v>
      </c>
      <c r="I213" s="839">
        <f>(VLOOKUP(C213,'BD Altres'!$D$74:$H$84,5,FALSE) * 1000 / 12) * H213*0.035</f>
        <v>10.04048484553755</v>
      </c>
      <c r="J213" s="839">
        <f>(VLOOKUP(C213,'BD Altres'!$D$74:$H$84,3,FALSE) / 12) * H213*0.25</f>
        <v>87.777512674309762</v>
      </c>
      <c r="K213">
        <f>(VLOOKUP(B213,'BD ASVICC'!$A$6:$GR$316,199,FALSE) / 12)*0.3</f>
        <v>9.9999999999999992E-2</v>
      </c>
      <c r="L213" s="846">
        <f>I213*'1. Cops de calor'!$C$32/30</f>
        <v>143.91361611937154</v>
      </c>
      <c r="M213" s="846">
        <f>J213*'1. Cops de calor'!$C$33/30</f>
        <v>438.88756337154882</v>
      </c>
      <c r="N213" s="846">
        <f>K213*'1. Cops de calor'!$C$34*0.25/30</f>
        <v>1574.9999999999998</v>
      </c>
      <c r="O213" s="779">
        <f t="shared" si="31"/>
        <v>15751.948610283718</v>
      </c>
      <c r="P213" s="848">
        <f>O213*'A. Dades de partida'!$D$10</f>
        <v>236279.22915425577</v>
      </c>
      <c r="Q213">
        <f t="shared" si="32"/>
        <v>10.5</v>
      </c>
      <c r="R213">
        <f t="shared" si="33"/>
        <v>0.44999999999999996</v>
      </c>
      <c r="S213">
        <f>I213+(I213*'1. Cops de calor'!$C$40)</f>
        <v>10.602751996887653</v>
      </c>
      <c r="T213">
        <f>J213*'1. Cops de calor'!$C$41+J213</f>
        <v>94.36082612488299</v>
      </c>
      <c r="U213">
        <f>'1. Cops de calor'!$C$42*K213+K213</f>
        <v>0.104</v>
      </c>
      <c r="V213">
        <f>S213*'1. Cops de calor'!$C$32/30</f>
        <v>151.97277862205635</v>
      </c>
      <c r="W213">
        <f>T213*'1. Cops de calor'!$C$33/30</f>
        <v>471.80413062441494</v>
      </c>
      <c r="X213">
        <f>K213*'1. Cops de calor'!$C$34/30</f>
        <v>6299.9999999999991</v>
      </c>
      <c r="Y213">
        <f t="shared" si="34"/>
        <v>6923.7769092464705</v>
      </c>
      <c r="Z213" s="849">
        <f>Y213*(Q213+R213)*'A. Dades de partida'!$D$10</f>
        <v>1137230.3573437328</v>
      </c>
      <c r="AA213" s="850">
        <f t="shared" si="35"/>
        <v>900951.12818947714</v>
      </c>
      <c r="AB213" t="str">
        <f>VLOOKUP(B213,'BD ASVICC'!$A$6:$BG$316,59,FALSE)</f>
        <v>PREPIRINEU-PIRINEU</v>
      </c>
      <c r="AC213">
        <f t="shared" si="27"/>
        <v>0.5</v>
      </c>
      <c r="AD213">
        <f t="shared" si="28"/>
        <v>0.5</v>
      </c>
    </row>
    <row r="214" spans="1:30">
      <c r="A214">
        <v>8213</v>
      </c>
      <c r="B214" t="s">
        <v>1473</v>
      </c>
      <c r="C214" t="s">
        <v>82</v>
      </c>
      <c r="D214">
        <f>VLOOKUP(A214,'temperatures màximes'!$A$4:$U$314,'temperatures màximes'!U$1,FALSE)</f>
        <v>143</v>
      </c>
      <c r="E214">
        <f>VLOOKUP(A214,'nits tropicals'!$A$4:$U$314,'nits tropicals'!U$1,FALSE)</f>
        <v>2</v>
      </c>
      <c r="F214">
        <f t="shared" si="29"/>
        <v>14.3</v>
      </c>
      <c r="G214">
        <f t="shared" si="30"/>
        <v>0.2</v>
      </c>
      <c r="H214" s="840">
        <f>VLOOKUP(B214,'BD ASVICC'!$A$6:$X$316,24,FALSE)/VLOOKUP(C214,'BD Comarcal'!$A$6:$Z$17,26,FALSE)</f>
        <v>4.8095836128936066E-2</v>
      </c>
      <c r="I214" s="839">
        <f>(VLOOKUP(C214,'BD Altres'!$D$74:$H$84,5,FALSE) * 1000 / 12) * H214*0.035</f>
        <v>137.59729803843695</v>
      </c>
      <c r="J214" s="839">
        <f>(VLOOKUP(C214,'BD Altres'!$D$74:$H$84,3,FALSE) / 12) * H214*0.25</f>
        <v>1202.9248346396012</v>
      </c>
      <c r="K214">
        <f>(VLOOKUP(B214,'BD ASVICC'!$A$6:$GR$316,199,FALSE) / 12)*0.3</f>
        <v>1.2</v>
      </c>
      <c r="L214" s="846">
        <f>I214*'1. Cops de calor'!$C$32/30</f>
        <v>1972.2279385509296</v>
      </c>
      <c r="M214" s="846">
        <f>J214*'1. Cops de calor'!$C$33/30</f>
        <v>6014.6241731980062</v>
      </c>
      <c r="N214" s="846">
        <f>K214*'1. Cops de calor'!$C$34*0.25/30</f>
        <v>18899.999999999996</v>
      </c>
      <c r="O214" s="779">
        <f t="shared" si="31"/>
        <v>389859.35562035954</v>
      </c>
      <c r="P214" s="848">
        <f>O214*'A. Dades de partida'!$D$10</f>
        <v>5847890.3343053926</v>
      </c>
      <c r="Q214">
        <f t="shared" si="32"/>
        <v>21.450000000000003</v>
      </c>
      <c r="R214">
        <f t="shared" si="33"/>
        <v>0.30000000000000004</v>
      </c>
      <c r="S214">
        <f>I214+(I214*'1. Cops de calor'!$C$40)</f>
        <v>145.30274672858943</v>
      </c>
      <c r="T214">
        <f>J214*'1. Cops de calor'!$C$41+J214</f>
        <v>1293.1441972375712</v>
      </c>
      <c r="U214">
        <f>'1. Cops de calor'!$C$42*K214+K214</f>
        <v>1.248</v>
      </c>
      <c r="V214">
        <f>S214*'1. Cops de calor'!$C$32/30</f>
        <v>2082.6727031097817</v>
      </c>
      <c r="W214">
        <f>T214*'1. Cops de calor'!$C$33/30</f>
        <v>6465.7209861878555</v>
      </c>
      <c r="X214">
        <f>K214*'1. Cops de calor'!$C$34/30</f>
        <v>75599.999999999985</v>
      </c>
      <c r="Y214">
        <f t="shared" si="34"/>
        <v>84148.39368929762</v>
      </c>
      <c r="Z214" s="849">
        <f>Y214*(Q214+R214)*'A. Dades de partida'!$D$10</f>
        <v>27453413.441133354</v>
      </c>
      <c r="AA214" s="850">
        <f t="shared" si="35"/>
        <v>21605523.106827959</v>
      </c>
      <c r="AB214" t="str">
        <f>VLOOKUP(B214,'BD ASVICC'!$A$6:$BG$316,59,FALSE)</f>
        <v>CENTRAL</v>
      </c>
      <c r="AC214">
        <f t="shared" si="27"/>
        <v>0.5</v>
      </c>
      <c r="AD214">
        <f t="shared" si="28"/>
        <v>0.5</v>
      </c>
    </row>
    <row r="215" spans="1:30">
      <c r="A215">
        <v>8214</v>
      </c>
      <c r="B215" t="s">
        <v>1474</v>
      </c>
      <c r="C215" t="s">
        <v>86</v>
      </c>
      <c r="D215">
        <f>VLOOKUP(A215,'temperatures màximes'!$A$4:$U$314,'temperatures màximes'!U$1,FALSE)</f>
        <v>2</v>
      </c>
      <c r="E215">
        <f>VLOOKUP(A215,'nits tropicals'!$A$4:$U$314,'nits tropicals'!U$1,FALSE)</f>
        <v>403</v>
      </c>
      <c r="F215">
        <f t="shared" si="29"/>
        <v>0.2</v>
      </c>
      <c r="G215">
        <f t="shared" si="30"/>
        <v>40.299999999999997</v>
      </c>
      <c r="H215" s="840">
        <f>VLOOKUP(B215,'BD ASVICC'!$A$6:$X$316,24,FALSE)/VLOOKUP(C215,'BD Comarcal'!$A$6:$Z$17,26,FALSE)</f>
        <v>2.0278366043419666E-2</v>
      </c>
      <c r="I215" s="839">
        <f>(VLOOKUP(C215,'BD Altres'!$D$74:$H$84,5,FALSE) * 1000 / 12) * H215*0.035</f>
        <v>47.247009532315715</v>
      </c>
      <c r="J215" s="839">
        <f>(VLOOKUP(C215,'BD Altres'!$D$74:$H$84,3,FALSE) / 12) * H215*0.25</f>
        <v>21.29933884323583</v>
      </c>
      <c r="K215">
        <f>(VLOOKUP(B215,'BD ASVICC'!$A$6:$GR$316,199,FALSE) / 12)*0.3</f>
        <v>1.875</v>
      </c>
      <c r="L215" s="846">
        <f>I215*'1. Cops de calor'!$C$32/30</f>
        <v>677.20713662985861</v>
      </c>
      <c r="M215" s="846">
        <f>J215*'1. Cops de calor'!$C$33/30</f>
        <v>106.49669421617915</v>
      </c>
      <c r="N215" s="846">
        <f>K215*'1. Cops de calor'!$C$34*0.25/30</f>
        <v>29531.249999999996</v>
      </c>
      <c r="O215" s="779">
        <f t="shared" si="31"/>
        <v>1227755.6301492644</v>
      </c>
      <c r="P215" s="848">
        <f>O215*'A. Dades de partida'!$D$10</f>
        <v>18416334.452238966</v>
      </c>
      <c r="Q215">
        <f t="shared" si="32"/>
        <v>0.30000000000000004</v>
      </c>
      <c r="R215">
        <f t="shared" si="33"/>
        <v>60.449999999999996</v>
      </c>
      <c r="S215">
        <f>I215+(I215*'1. Cops de calor'!$C$40)</f>
        <v>49.892842066125397</v>
      </c>
      <c r="T215">
        <f>J215*'1. Cops de calor'!$C$41+J215</f>
        <v>22.896789256478517</v>
      </c>
      <c r="U215">
        <f>'1. Cops de calor'!$C$42*K215+K215</f>
        <v>1.95</v>
      </c>
      <c r="V215">
        <f>S215*'1. Cops de calor'!$C$32/30</f>
        <v>715.13073628113068</v>
      </c>
      <c r="W215">
        <f>T215*'1. Cops de calor'!$C$33/30</f>
        <v>114.48394628239258</v>
      </c>
      <c r="X215">
        <f>K215*'1. Cops de calor'!$C$34/30</f>
        <v>118124.99999999999</v>
      </c>
      <c r="Y215">
        <f t="shared" si="34"/>
        <v>118954.61468256351</v>
      </c>
      <c r="Z215" s="849">
        <f>Y215*(Q215+R215)*'A. Dades de partida'!$D$10</f>
        <v>108397392.62948598</v>
      </c>
      <c r="AA215" s="850">
        <f t="shared" si="35"/>
        <v>89981058.177247018</v>
      </c>
      <c r="AB215" t="str">
        <f>VLOOKUP(B215,'BD ASVICC'!$A$6:$BG$316,59,FALSE)</f>
        <v>LITORAL</v>
      </c>
      <c r="AC215">
        <f t="shared" si="27"/>
        <v>0.5</v>
      </c>
      <c r="AD215">
        <f t="shared" si="28"/>
        <v>0.5</v>
      </c>
    </row>
    <row r="216" spans="1:30">
      <c r="A216">
        <v>8215</v>
      </c>
      <c r="B216" t="s">
        <v>1477</v>
      </c>
      <c r="C216" t="s">
        <v>88</v>
      </c>
      <c r="D216">
        <f>VLOOKUP(A216,'temperatures màximes'!$A$4:$U$314,'temperatures màximes'!U$1,FALSE)</f>
        <v>83</v>
      </c>
      <c r="E216">
        <f>VLOOKUP(A216,'nits tropicals'!$A$4:$U$314,'nits tropicals'!U$1,FALSE)</f>
        <v>0</v>
      </c>
      <c r="F216">
        <f t="shared" si="29"/>
        <v>8.3000000000000007</v>
      </c>
      <c r="G216">
        <f t="shared" si="30"/>
        <v>0</v>
      </c>
      <c r="H216" s="840">
        <f>VLOOKUP(B216,'BD ASVICC'!$A$6:$X$316,24,FALSE)/VLOOKUP(C216,'BD Comarcal'!$A$6:$Z$17,26,FALSE)</f>
        <v>2.224349625098785E-2</v>
      </c>
      <c r="I216" s="839">
        <f>(VLOOKUP(C216,'BD Altres'!$D$74:$H$84,5,FALSE) * 1000 / 12) * H216*0.035</f>
        <v>24.750523640942941</v>
      </c>
      <c r="J216" s="839">
        <f>(VLOOKUP(C216,'BD Altres'!$D$74:$H$84,3,FALSE) / 12) * H216*0.25</f>
        <v>15.83412548750008</v>
      </c>
      <c r="K216">
        <f>(VLOOKUP(B216,'BD ASVICC'!$A$6:$GR$316,199,FALSE) / 12)*0.3</f>
        <v>0.85</v>
      </c>
      <c r="L216" s="846">
        <f>I216*'1. Cops de calor'!$C$32/30</f>
        <v>354.75750552018218</v>
      </c>
      <c r="M216" s="846">
        <f>J216*'1. Cops de calor'!$C$33/30</f>
        <v>79.1706274375004</v>
      </c>
      <c r="N216" s="846">
        <f>K216*'1. Cops de calor'!$C$34*0.25/30</f>
        <v>13387.499999999998</v>
      </c>
      <c r="O216" s="779">
        <f t="shared" si="31"/>
        <v>114717.85350354876</v>
      </c>
      <c r="P216" s="848">
        <f>O216*'A. Dades de partida'!$D$10</f>
        <v>1720767.8025532314</v>
      </c>
      <c r="Q216">
        <f t="shared" si="32"/>
        <v>12.450000000000001</v>
      </c>
      <c r="R216">
        <f t="shared" si="33"/>
        <v>0</v>
      </c>
      <c r="S216">
        <f>I216+(I216*'1. Cops de calor'!$C$40)</f>
        <v>26.136552964835744</v>
      </c>
      <c r="T216">
        <f>J216*'1. Cops de calor'!$C$41+J216</f>
        <v>17.021684899062585</v>
      </c>
      <c r="U216">
        <f>'1. Cops de calor'!$C$42*K216+K216</f>
        <v>0.88400000000000001</v>
      </c>
      <c r="V216">
        <f>S216*'1. Cops de calor'!$C$32/30</f>
        <v>374.62392582931233</v>
      </c>
      <c r="W216">
        <f>T216*'1. Cops de calor'!$C$33/30</f>
        <v>85.108424495312917</v>
      </c>
      <c r="X216">
        <f>K216*'1. Cops de calor'!$C$34/30</f>
        <v>53549.999999999993</v>
      </c>
      <c r="Y216">
        <f t="shared" si="34"/>
        <v>54009.732350324615</v>
      </c>
      <c r="Z216" s="849">
        <f>Y216*(Q216+R216)*'A. Dades de partida'!$D$10</f>
        <v>10086317.516423123</v>
      </c>
      <c r="AA216" s="850">
        <f t="shared" si="35"/>
        <v>8365549.7138698921</v>
      </c>
      <c r="AB216" t="str">
        <f>VLOOKUP(B216,'BD ASVICC'!$A$6:$BG$316,59,FALSE)</f>
        <v>CENTRAL</v>
      </c>
      <c r="AC216">
        <f t="shared" si="27"/>
        <v>0.5</v>
      </c>
      <c r="AD216">
        <f t="shared" si="28"/>
        <v>0.5</v>
      </c>
    </row>
    <row r="217" spans="1:30">
      <c r="A217">
        <v>8216</v>
      </c>
      <c r="B217" t="s">
        <v>1479</v>
      </c>
      <c r="C217" t="s">
        <v>84</v>
      </c>
      <c r="D217">
        <f>VLOOKUP(A217,'temperatures màximes'!$A$4:$U$314,'temperatures màximes'!U$1,FALSE)</f>
        <v>0</v>
      </c>
      <c r="E217">
        <f>VLOOKUP(A217,'nits tropicals'!$A$4:$U$314,'nits tropicals'!U$1,FALSE)</f>
        <v>0</v>
      </c>
      <c r="F217">
        <f t="shared" si="29"/>
        <v>0</v>
      </c>
      <c r="G217">
        <f t="shared" si="30"/>
        <v>0</v>
      </c>
      <c r="H217" s="840">
        <f>VLOOKUP(B217,'BD ASVICC'!$A$6:$X$316,24,FALSE)/VLOOKUP(C217,'BD Comarcal'!$A$6:$Z$17,26,FALSE)</f>
        <v>6.8916228495584256E-4</v>
      </c>
      <c r="I217" s="839">
        <f>(VLOOKUP(C217,'BD Altres'!$D$74:$H$84,5,FALSE) * 1000 / 12) * H217*0.035</f>
        <v>0.44296256671489198</v>
      </c>
      <c r="J217" s="839">
        <f>(VLOOKUP(C217,'BD Altres'!$D$74:$H$84,3,FALSE) / 12) * H217*0.25</f>
        <v>3.8725373238666068</v>
      </c>
      <c r="K217">
        <f>(VLOOKUP(B217,'BD ASVICC'!$A$6:$GR$316,199,FALSE) / 12)*0.3</f>
        <v>0</v>
      </c>
      <c r="L217" s="846">
        <f>I217*'1. Cops de calor'!$C$32/30</f>
        <v>6.3491301229134516</v>
      </c>
      <c r="M217" s="846">
        <f>J217*'1. Cops de calor'!$C$33/30</f>
        <v>19.362686619333033</v>
      </c>
      <c r="N217" s="846">
        <f>K217*'1. Cops de calor'!$C$34*0.25/30</f>
        <v>0</v>
      </c>
      <c r="O217" s="779">
        <f t="shared" si="31"/>
        <v>0</v>
      </c>
      <c r="P217" s="848">
        <f>O217*'A. Dades de partida'!$D$10</f>
        <v>0</v>
      </c>
      <c r="Q217">
        <f t="shared" si="32"/>
        <v>0</v>
      </c>
      <c r="R217">
        <f t="shared" si="33"/>
        <v>0</v>
      </c>
      <c r="S217">
        <f>I217+(I217*'1. Cops de calor'!$C$40)</f>
        <v>0.46776847045092596</v>
      </c>
      <c r="T217">
        <f>J217*'1. Cops de calor'!$C$41+J217</f>
        <v>4.1629776231566025</v>
      </c>
      <c r="U217">
        <f>'1. Cops de calor'!$C$42*K217+K217</f>
        <v>0</v>
      </c>
      <c r="V217">
        <f>S217*'1. Cops de calor'!$C$32/30</f>
        <v>6.7046814097966054</v>
      </c>
      <c r="W217">
        <f>T217*'1. Cops de calor'!$C$33/30</f>
        <v>20.81488811578301</v>
      </c>
      <c r="X217">
        <f>K217*'1. Cops de calor'!$C$34/30</f>
        <v>0</v>
      </c>
      <c r="Y217">
        <f t="shared" si="34"/>
        <v>27.519569525579616</v>
      </c>
      <c r="Z217" s="849">
        <f>Y217*(Q217+R217)*'A. Dades de partida'!$D$10</f>
        <v>0</v>
      </c>
      <c r="AA217" s="850">
        <f t="shared" si="35"/>
        <v>0</v>
      </c>
      <c r="AB217" t="str">
        <f>VLOOKUP(B217,'BD ASVICC'!$A$6:$BG$316,59,FALSE)</f>
        <v>PREPIRINEU-PIRINEU</v>
      </c>
      <c r="AC217">
        <f t="shared" si="27"/>
        <v>0.5</v>
      </c>
      <c r="AD217">
        <f t="shared" si="28"/>
        <v>0.5</v>
      </c>
    </row>
    <row r="218" spans="1:30">
      <c r="A218">
        <v>8217</v>
      </c>
      <c r="B218" t="s">
        <v>1481</v>
      </c>
      <c r="C218" t="s">
        <v>90</v>
      </c>
      <c r="D218">
        <f>VLOOKUP(A218,'temperatures màximes'!$A$4:$U$314,'temperatures màximes'!U$1,FALSE)</f>
        <v>2</v>
      </c>
      <c r="E218">
        <f>VLOOKUP(A218,'nits tropicals'!$A$4:$U$314,'nits tropicals'!U$1,FALSE)</f>
        <v>246</v>
      </c>
      <c r="F218">
        <f t="shared" si="29"/>
        <v>0.2</v>
      </c>
      <c r="G218">
        <f t="shared" si="30"/>
        <v>24.6</v>
      </c>
      <c r="H218" s="840">
        <f>VLOOKUP(B218,'BD ASVICC'!$A$6:$X$316,24,FALSE)/VLOOKUP(C218,'BD Comarcal'!$A$6:$Z$17,26,FALSE)</f>
        <v>4.1366468983791489E-2</v>
      </c>
      <c r="I218" s="839">
        <f>(VLOOKUP(C218,'BD Altres'!$D$74:$H$84,5,FALSE) * 1000 / 12) * H218*0.035</f>
        <v>76.229639268037332</v>
      </c>
      <c r="J218" s="839">
        <f>(VLOOKUP(C218,'BD Altres'!$D$74:$H$84,3,FALSE) / 12) * H218*0.25</f>
        <v>232.49640643183088</v>
      </c>
      <c r="K218">
        <f>(VLOOKUP(B218,'BD ASVICC'!$A$6:$GR$316,199,FALSE) / 12)*0.3</f>
        <v>4.45</v>
      </c>
      <c r="L218" s="846">
        <f>I218*'1. Cops de calor'!$C$32/30</f>
        <v>1092.6248295085352</v>
      </c>
      <c r="M218" s="846">
        <f>J218*'1. Cops de calor'!$C$33/30</f>
        <v>1162.4820321591544</v>
      </c>
      <c r="N218" s="846">
        <f>K218*'1. Cops de calor'!$C$34*0.25/30</f>
        <v>70087.5</v>
      </c>
      <c r="O218" s="779">
        <f t="shared" si="31"/>
        <v>1794096.6501693588</v>
      </c>
      <c r="P218" s="848">
        <f>O218*'A. Dades de partida'!$D$10</f>
        <v>26911449.752540383</v>
      </c>
      <c r="Q218">
        <f t="shared" si="32"/>
        <v>0.30000000000000004</v>
      </c>
      <c r="R218">
        <f t="shared" si="33"/>
        <v>36.900000000000006</v>
      </c>
      <c r="S218">
        <f>I218+(I218*'1. Cops de calor'!$C$40)</f>
        <v>80.498499067047419</v>
      </c>
      <c r="T218">
        <f>J218*'1. Cops de calor'!$C$41+J218</f>
        <v>249.9336369142182</v>
      </c>
      <c r="U218">
        <f>'1. Cops de calor'!$C$42*K218+K218</f>
        <v>4.6280000000000001</v>
      </c>
      <c r="V218">
        <f>S218*'1. Cops de calor'!$C$32/30</f>
        <v>1153.811819961013</v>
      </c>
      <c r="W218">
        <f>T218*'1. Cops de calor'!$C$33/30</f>
        <v>1249.6681845710909</v>
      </c>
      <c r="X218">
        <f>K218*'1. Cops de calor'!$C$34/30</f>
        <v>280350</v>
      </c>
      <c r="Y218">
        <f t="shared" si="34"/>
        <v>282753.48000453209</v>
      </c>
      <c r="Z218" s="849">
        <f>Y218*(Q218+R218)*'A. Dades de partida'!$D$10</f>
        <v>157776441.84252891</v>
      </c>
      <c r="AA218" s="850">
        <f t="shared" si="35"/>
        <v>130864992.08998853</v>
      </c>
      <c r="AB218" t="str">
        <f>VLOOKUP(B218,'BD ASVICC'!$A$6:$BG$316,59,FALSE)</f>
        <v>LITORAL</v>
      </c>
      <c r="AC218">
        <f t="shared" si="27"/>
        <v>0.5</v>
      </c>
      <c r="AD218">
        <f t="shared" si="28"/>
        <v>0.5</v>
      </c>
    </row>
    <row r="219" spans="1:30">
      <c r="A219">
        <v>8218</v>
      </c>
      <c r="B219" t="s">
        <v>1482</v>
      </c>
      <c r="C219" t="s">
        <v>82</v>
      </c>
      <c r="D219">
        <f>VLOOKUP(A219,'temperatures màximes'!$A$4:$U$314,'temperatures màximes'!U$1,FALSE)</f>
        <v>138</v>
      </c>
      <c r="E219">
        <f>VLOOKUP(A219,'nits tropicals'!$A$4:$U$314,'nits tropicals'!U$1,FALSE)</f>
        <v>5</v>
      </c>
      <c r="F219">
        <f t="shared" si="29"/>
        <v>13.8</v>
      </c>
      <c r="G219">
        <f t="shared" si="30"/>
        <v>0.5</v>
      </c>
      <c r="H219" s="840">
        <f>VLOOKUP(B219,'BD ASVICC'!$A$6:$X$316,24,FALSE)/VLOOKUP(C219,'BD Comarcal'!$A$6:$Z$17,26,FALSE)</f>
        <v>6.1698235472901292E-2</v>
      </c>
      <c r="I219" s="839">
        <f>(VLOOKUP(C219,'BD Altres'!$D$74:$H$84,5,FALSE) * 1000 / 12) * H219*0.035</f>
        <v>176.51237982538967</v>
      </c>
      <c r="J219" s="839">
        <f>(VLOOKUP(C219,'BD Altres'!$D$74:$H$84,3,FALSE) / 12) * H219*0.25</f>
        <v>1543.1344099066971</v>
      </c>
      <c r="K219">
        <f>(VLOOKUP(B219,'BD ASVICC'!$A$6:$GR$316,199,FALSE) / 12)*0.3</f>
        <v>2.15</v>
      </c>
      <c r="L219" s="846">
        <f>I219*'1. Cops de calor'!$C$32/30</f>
        <v>2530.0107774972516</v>
      </c>
      <c r="M219" s="846">
        <f>J219*'1. Cops de calor'!$C$33/30</f>
        <v>7715.6720495334857</v>
      </c>
      <c r="N219" s="846">
        <f>K219*'1. Cops de calor'!$C$34*0.25/30</f>
        <v>33862.499999999993</v>
      </c>
      <c r="O219" s="779">
        <f t="shared" si="31"/>
        <v>630747.01442653954</v>
      </c>
      <c r="P219" s="848">
        <f>O219*'A. Dades de partida'!$D$10</f>
        <v>9461205.2163980938</v>
      </c>
      <c r="Q219">
        <f t="shared" si="32"/>
        <v>20.700000000000003</v>
      </c>
      <c r="R219">
        <f t="shared" si="33"/>
        <v>0.75</v>
      </c>
      <c r="S219">
        <f>I219+(I219*'1. Cops de calor'!$C$40)</f>
        <v>186.39707309561149</v>
      </c>
      <c r="T219">
        <f>J219*'1. Cops de calor'!$C$41+J219</f>
        <v>1658.8694906496994</v>
      </c>
      <c r="U219">
        <f>'1. Cops de calor'!$C$42*K219+K219</f>
        <v>2.2359999999999998</v>
      </c>
      <c r="V219">
        <f>S219*'1. Cops de calor'!$C$32/30</f>
        <v>2671.6913810370979</v>
      </c>
      <c r="W219">
        <f>T219*'1. Cops de calor'!$C$33/30</f>
        <v>8294.3474532484961</v>
      </c>
      <c r="X219">
        <f>K219*'1. Cops de calor'!$C$34/30</f>
        <v>135449.99999999997</v>
      </c>
      <c r="Y219">
        <f t="shared" si="34"/>
        <v>146416.03883428557</v>
      </c>
      <c r="Z219" s="849">
        <f>Y219*(Q219+R219)*'A. Dades de partida'!$D$10</f>
        <v>47109360.494931392</v>
      </c>
      <c r="AA219" s="850">
        <f t="shared" si="35"/>
        <v>37648155.278533295</v>
      </c>
      <c r="AB219" t="str">
        <f>VLOOKUP(B219,'BD ASVICC'!$A$6:$BG$316,59,FALSE)</f>
        <v>CENTRAL</v>
      </c>
      <c r="AC219">
        <f t="shared" si="27"/>
        <v>0.5</v>
      </c>
      <c r="AD219">
        <f t="shared" si="28"/>
        <v>0.5</v>
      </c>
    </row>
    <row r="220" spans="1:30">
      <c r="A220">
        <v>8219</v>
      </c>
      <c r="B220" t="s">
        <v>352</v>
      </c>
      <c r="C220" t="s">
        <v>86</v>
      </c>
      <c r="D220">
        <f>VLOOKUP(A220,'temperatures màximes'!$A$4:$U$314,'temperatures màximes'!U$1,FALSE)</f>
        <v>2</v>
      </c>
      <c r="E220">
        <f>VLOOKUP(A220,'nits tropicals'!$A$4:$U$314,'nits tropicals'!U$1,FALSE)</f>
        <v>403</v>
      </c>
      <c r="F220">
        <f t="shared" si="29"/>
        <v>0.2</v>
      </c>
      <c r="G220">
        <f t="shared" si="30"/>
        <v>40.299999999999997</v>
      </c>
      <c r="H220" s="840">
        <f>VLOOKUP(B220,'BD ASVICC'!$A$6:$X$316,24,FALSE)/VLOOKUP(C220,'BD Comarcal'!$A$6:$Z$17,26,FALSE)</f>
        <v>4.6835256678859807E-2</v>
      </c>
      <c r="I220" s="839">
        <f>(VLOOKUP(C220,'BD Altres'!$D$74:$H$84,5,FALSE) * 1000 / 12) * H220*0.035</f>
        <v>109.12249113249462</v>
      </c>
      <c r="J220" s="839">
        <f>(VLOOKUP(C220,'BD Altres'!$D$74:$H$84,3,FALSE) / 12) * H220*0.25</f>
        <v>49.193312699701828</v>
      </c>
      <c r="K220">
        <f>(VLOOKUP(B220,'BD ASVICC'!$A$6:$GR$316,199,FALSE) / 12)*0.3</f>
        <v>3.7</v>
      </c>
      <c r="L220" s="846">
        <f>I220*'1. Cops de calor'!$C$32/30</f>
        <v>1564.0890395657561</v>
      </c>
      <c r="M220" s="846">
        <f>J220*'1. Cops de calor'!$C$33/30</f>
        <v>245.96656349850912</v>
      </c>
      <c r="N220" s="846">
        <f>K220*'1. Cops de calor'!$C$34*0.25/30</f>
        <v>58274.999999999993</v>
      </c>
      <c r="O220" s="779">
        <f t="shared" si="31"/>
        <v>2433444.7519241022</v>
      </c>
      <c r="P220" s="848">
        <f>O220*'A. Dades de partida'!$D$10</f>
        <v>36501671.27886153</v>
      </c>
      <c r="Q220">
        <f t="shared" si="32"/>
        <v>0.30000000000000004</v>
      </c>
      <c r="R220">
        <f t="shared" si="33"/>
        <v>60.449999999999996</v>
      </c>
      <c r="S220">
        <f>I220+(I220*'1. Cops de calor'!$C$40)</f>
        <v>115.23335063591432</v>
      </c>
      <c r="T220">
        <f>J220*'1. Cops de calor'!$C$41+J220</f>
        <v>52.882811152179464</v>
      </c>
      <c r="U220">
        <f>'1. Cops de calor'!$C$42*K220+K220</f>
        <v>3.8480000000000003</v>
      </c>
      <c r="V220">
        <f>S220*'1. Cops de calor'!$C$32/30</f>
        <v>1651.6780257814387</v>
      </c>
      <c r="W220">
        <f>T220*'1. Cops de calor'!$C$33/30</f>
        <v>264.41405576089733</v>
      </c>
      <c r="X220">
        <f>K220*'1. Cops de calor'!$C$34/30</f>
        <v>233099.99999999997</v>
      </c>
      <c r="Y220">
        <f t="shared" si="34"/>
        <v>235016.0920815423</v>
      </c>
      <c r="Z220" s="849">
        <f>Y220*(Q220+R220)*'A. Dades de partida'!$D$10</f>
        <v>214158413.90930539</v>
      </c>
      <c r="AA220" s="850">
        <f t="shared" si="35"/>
        <v>177656742.63044387</v>
      </c>
      <c r="AB220" t="str">
        <f>VLOOKUP(B220,'BD ASVICC'!$A$6:$BG$316,59,FALSE)</f>
        <v>LITORAL</v>
      </c>
      <c r="AC220">
        <f t="shared" si="27"/>
        <v>0.5</v>
      </c>
      <c r="AD220">
        <f t="shared" si="28"/>
        <v>0.5</v>
      </c>
    </row>
    <row r="221" spans="1:30">
      <c r="A221">
        <v>8220</v>
      </c>
      <c r="B221" t="s">
        <v>1485</v>
      </c>
      <c r="C221" t="s">
        <v>88</v>
      </c>
      <c r="D221">
        <f>VLOOKUP(A221,'temperatures màximes'!$A$4:$U$314,'temperatures màximes'!U$1,FALSE)</f>
        <v>83</v>
      </c>
      <c r="E221">
        <f>VLOOKUP(A221,'nits tropicals'!$A$4:$U$314,'nits tropicals'!U$1,FALSE)</f>
        <v>0</v>
      </c>
      <c r="F221">
        <f t="shared" si="29"/>
        <v>8.3000000000000007</v>
      </c>
      <c r="G221">
        <f t="shared" si="30"/>
        <v>0</v>
      </c>
      <c r="H221" s="840">
        <f>VLOOKUP(B221,'BD ASVICC'!$A$6:$X$316,24,FALSE)/VLOOKUP(C221,'BD Comarcal'!$A$6:$Z$17,26,FALSE)</f>
        <v>2.0001156507604038E-2</v>
      </c>
      <c r="I221" s="839">
        <f>(VLOOKUP(C221,'BD Altres'!$D$74:$H$84,5,FALSE) * 1000 / 12) * H221*0.035</f>
        <v>22.255453522315246</v>
      </c>
      <c r="J221" s="839">
        <f>(VLOOKUP(C221,'BD Altres'!$D$74:$H$84,3,FALSE) / 12) * H221*0.25</f>
        <v>14.237906598090049</v>
      </c>
      <c r="K221">
        <f>(VLOOKUP(B221,'BD ASVICC'!$A$6:$GR$316,199,FALSE) / 12)*0.3</f>
        <v>0.57499999999999996</v>
      </c>
      <c r="L221" s="846">
        <f>I221*'1. Cops de calor'!$C$32/30</f>
        <v>318.99483381985186</v>
      </c>
      <c r="M221" s="846">
        <f>J221*'1. Cops de calor'!$C$33/30</f>
        <v>71.189532990450246</v>
      </c>
      <c r="N221" s="846">
        <f>K221*'1. Cops de calor'!$C$34*0.25/30</f>
        <v>9056.2499999999982</v>
      </c>
      <c r="O221" s="779">
        <f t="shared" si="31"/>
        <v>78405.405244525507</v>
      </c>
      <c r="P221" s="848">
        <f>O221*'A. Dades de partida'!$D$10</f>
        <v>1176081.0786678826</v>
      </c>
      <c r="Q221">
        <f t="shared" si="32"/>
        <v>12.450000000000001</v>
      </c>
      <c r="R221">
        <f t="shared" si="33"/>
        <v>0</v>
      </c>
      <c r="S221">
        <f>I221+(I221*'1. Cops de calor'!$C$40)</f>
        <v>23.501758919564899</v>
      </c>
      <c r="T221">
        <f>J221*'1. Cops de calor'!$C$41+J221</f>
        <v>15.305749592946803</v>
      </c>
      <c r="U221">
        <f>'1. Cops de calor'!$C$42*K221+K221</f>
        <v>0.59799999999999998</v>
      </c>
      <c r="V221">
        <f>S221*'1. Cops de calor'!$C$32/30</f>
        <v>336.85854451376355</v>
      </c>
      <c r="W221">
        <f>T221*'1. Cops de calor'!$C$33/30</f>
        <v>76.528747964734023</v>
      </c>
      <c r="X221">
        <f>K221*'1. Cops de calor'!$C$34/30</f>
        <v>36224.999999999993</v>
      </c>
      <c r="Y221">
        <f t="shared" si="34"/>
        <v>36638.387292478488</v>
      </c>
      <c r="Z221" s="849">
        <f>Y221*(Q221+R221)*'A. Dades de partida'!$D$10</f>
        <v>6842218.8268703585</v>
      </c>
      <c r="AA221" s="850">
        <f t="shared" si="35"/>
        <v>5666137.7482024757</v>
      </c>
      <c r="AB221" t="str">
        <f>VLOOKUP(B221,'BD ASVICC'!$A$6:$BG$316,59,FALSE)</f>
        <v>PREPIRINEU-PIRINEU</v>
      </c>
      <c r="AC221">
        <f t="shared" si="27"/>
        <v>0.5</v>
      </c>
      <c r="AD221">
        <f t="shared" si="28"/>
        <v>0.5</v>
      </c>
    </row>
    <row r="222" spans="1:30">
      <c r="A222">
        <v>8221</v>
      </c>
      <c r="B222" t="s">
        <v>1489</v>
      </c>
      <c r="C222" t="s">
        <v>90</v>
      </c>
      <c r="D222">
        <f>VLOOKUP(A222,'temperatures màximes'!$A$4:$U$314,'temperatures màximes'!U$1,FALSE)</f>
        <v>2</v>
      </c>
      <c r="E222">
        <f>VLOOKUP(A222,'nits tropicals'!$A$4:$U$314,'nits tropicals'!U$1,FALSE)</f>
        <v>246</v>
      </c>
      <c r="F222">
        <f t="shared" si="29"/>
        <v>0.2</v>
      </c>
      <c r="G222">
        <f t="shared" si="30"/>
        <v>24.6</v>
      </c>
      <c r="H222" s="840">
        <f>VLOOKUP(B222,'BD ASVICC'!$A$6:$X$316,24,FALSE)/VLOOKUP(C222,'BD Comarcal'!$A$6:$Z$17,26,FALSE)</f>
        <v>2.0900549832506672E-2</v>
      </c>
      <c r="I222" s="839">
        <f>(VLOOKUP(C222,'BD Altres'!$D$74:$H$84,5,FALSE) * 1000 / 12) * H222*0.035</f>
        <v>38.515285770702285</v>
      </c>
      <c r="J222" s="839">
        <f>(VLOOKUP(C222,'BD Altres'!$D$74:$H$84,3,FALSE) / 12) * H222*0.25</f>
        <v>117.4696039541401</v>
      </c>
      <c r="K222">
        <f>(VLOOKUP(B222,'BD ASVICC'!$A$6:$GR$316,199,FALSE) / 12)*0.3</f>
        <v>3</v>
      </c>
      <c r="L222" s="846">
        <f>I222*'1. Cops de calor'!$C$32/30</f>
        <v>552.05242938006609</v>
      </c>
      <c r="M222" s="846">
        <f>J222*'1. Cops de calor'!$C$33/30</f>
        <v>587.34801977070049</v>
      </c>
      <c r="N222" s="846">
        <f>K222*'1. Cops de calor'!$C$34*0.25/30</f>
        <v>47249.999999999993</v>
      </c>
      <c r="O222" s="779">
        <f t="shared" si="31"/>
        <v>1200057.1311389389</v>
      </c>
      <c r="P222" s="848">
        <f>O222*'A. Dades de partida'!$D$10</f>
        <v>18000856.967084084</v>
      </c>
      <c r="Q222">
        <f t="shared" si="32"/>
        <v>0.30000000000000004</v>
      </c>
      <c r="R222">
        <f t="shared" si="33"/>
        <v>36.900000000000006</v>
      </c>
      <c r="S222">
        <f>I222+(I222*'1. Cops de calor'!$C$40)</f>
        <v>40.672141773861611</v>
      </c>
      <c r="T222">
        <f>J222*'1. Cops de calor'!$C$41+J222</f>
        <v>126.2798242507006</v>
      </c>
      <c r="U222">
        <f>'1. Cops de calor'!$C$42*K222+K222</f>
        <v>3.12</v>
      </c>
      <c r="V222">
        <f>S222*'1. Cops de calor'!$C$32/30</f>
        <v>582.96736542534973</v>
      </c>
      <c r="W222">
        <f>T222*'1. Cops de calor'!$C$33/30</f>
        <v>631.39912125350304</v>
      </c>
      <c r="X222">
        <f>K222*'1. Cops de calor'!$C$34/30</f>
        <v>188999.99999999997</v>
      </c>
      <c r="Y222">
        <f t="shared" si="34"/>
        <v>190214.36648667883</v>
      </c>
      <c r="Z222" s="849">
        <f>Y222*(Q222+R222)*'A. Dades de partida'!$D$10</f>
        <v>106139616.49956679</v>
      </c>
      <c r="AA222" s="850">
        <f t="shared" si="35"/>
        <v>88138759.532482713</v>
      </c>
      <c r="AB222" t="str">
        <f>VLOOKUP(B222,'BD ASVICC'!$A$6:$BG$316,59,FALSE)</f>
        <v>LITORAL</v>
      </c>
      <c r="AC222">
        <f t="shared" si="27"/>
        <v>0.5</v>
      </c>
      <c r="AD222">
        <f t="shared" si="28"/>
        <v>0.5</v>
      </c>
    </row>
    <row r="223" spans="1:30">
      <c r="A223">
        <v>8222</v>
      </c>
      <c r="B223" t="s">
        <v>1490</v>
      </c>
      <c r="C223" t="s">
        <v>791</v>
      </c>
      <c r="D223">
        <f>VLOOKUP(A223,'temperatures màximes'!$A$4:$U$314,'temperatures màximes'!U$1,FALSE)</f>
        <v>37</v>
      </c>
      <c r="E223">
        <f>VLOOKUP(A223,'nits tropicals'!$A$4:$U$314,'nits tropicals'!U$1,FALSE)</f>
        <v>7</v>
      </c>
      <c r="F223">
        <f t="shared" si="29"/>
        <v>3.7</v>
      </c>
      <c r="G223">
        <f t="shared" si="30"/>
        <v>0.7</v>
      </c>
      <c r="H223" s="840">
        <f>VLOOKUP(B223,'BD ASVICC'!$A$6:$X$316,24,FALSE)/VLOOKUP(C223,'BD Comarcal'!$A$6:$Z$17,26,FALSE)</f>
        <v>2.4107268877911078E-2</v>
      </c>
      <c r="I223" s="839">
        <f>(VLOOKUP(C223,'BD Altres'!$D$74:$H$84,5,FALSE) * 1000 / 12) * H223*0.035</f>
        <v>47.698734619376246</v>
      </c>
      <c r="J223" s="839">
        <f>(VLOOKUP(C223,'BD Altres'!$D$74:$H$84,3,FALSE) / 12) * H223*0.25</f>
        <v>6.1789063856594231</v>
      </c>
      <c r="K223">
        <f>(VLOOKUP(B223,'BD ASVICC'!$A$6:$GR$316,199,FALSE) / 12)*0.3</f>
        <v>0.35000000000000003</v>
      </c>
      <c r="L223" s="846">
        <f>I223*'1. Cops de calor'!$C$32/30</f>
        <v>683.68186287772619</v>
      </c>
      <c r="M223" s="846">
        <f>J223*'1. Cops de calor'!$C$33/30</f>
        <v>30.894531928297116</v>
      </c>
      <c r="N223" s="846">
        <f>K223*'1. Cops de calor'!$C$34*0.25/30</f>
        <v>5512.5</v>
      </c>
      <c r="O223" s="779">
        <f t="shared" si="31"/>
        <v>27399.136137146503</v>
      </c>
      <c r="P223" s="848">
        <f>O223*'A. Dades de partida'!$D$10</f>
        <v>410987.04205719754</v>
      </c>
      <c r="Q223">
        <f t="shared" si="32"/>
        <v>5.5500000000000007</v>
      </c>
      <c r="R223">
        <f t="shared" si="33"/>
        <v>1.0499999999999998</v>
      </c>
      <c r="S223">
        <f>I223+(I223*'1. Cops de calor'!$C$40)</f>
        <v>50.369863758061314</v>
      </c>
      <c r="T223">
        <f>J223*'1. Cops de calor'!$C$41+J223</f>
        <v>6.6423243645838799</v>
      </c>
      <c r="U223">
        <f>'1. Cops de calor'!$C$42*K223+K223</f>
        <v>0.36400000000000005</v>
      </c>
      <c r="V223">
        <f>S223*'1. Cops de calor'!$C$32/30</f>
        <v>721.96804719887882</v>
      </c>
      <c r="W223">
        <f>T223*'1. Cops de calor'!$C$33/30</f>
        <v>33.211621822919398</v>
      </c>
      <c r="X223">
        <f>K223*'1. Cops de calor'!$C$34/30</f>
        <v>22050</v>
      </c>
      <c r="Y223">
        <f t="shared" si="34"/>
        <v>22805.1796690218</v>
      </c>
      <c r="Z223" s="849">
        <f>Y223*(Q223+R223)*'A. Dades de partida'!$D$10</f>
        <v>2257712.7872331585</v>
      </c>
      <c r="AA223" s="850">
        <f t="shared" si="35"/>
        <v>1846725.7451759609</v>
      </c>
      <c r="AB223" t="str">
        <f>VLOOKUP(B223,'BD ASVICC'!$A$6:$BG$316,59,FALSE)</f>
        <v>LITORAL</v>
      </c>
      <c r="AC223">
        <f t="shared" si="27"/>
        <v>0.5</v>
      </c>
      <c r="AD223">
        <f t="shared" si="28"/>
        <v>0.5</v>
      </c>
    </row>
    <row r="224" spans="1:30">
      <c r="A224">
        <v>8223</v>
      </c>
      <c r="B224" t="s">
        <v>1494</v>
      </c>
      <c r="C224" t="s">
        <v>89</v>
      </c>
      <c r="D224">
        <f>VLOOKUP(A224,'temperatures màximes'!$A$4:$U$314,'temperatures màximes'!U$1,FALSE)</f>
        <v>30</v>
      </c>
      <c r="E224">
        <f>VLOOKUP(A224,'nits tropicals'!$A$4:$U$314,'nits tropicals'!U$1,FALSE)</f>
        <v>0</v>
      </c>
      <c r="F224">
        <f t="shared" si="29"/>
        <v>3</v>
      </c>
      <c r="G224">
        <f t="shared" si="30"/>
        <v>0</v>
      </c>
      <c r="H224" s="840">
        <f>VLOOKUP(B224,'BD ASVICC'!$A$6:$X$316,24,FALSE)/VLOOKUP(C224,'BD Comarcal'!$A$6:$Z$17,26,FALSE)</f>
        <v>2.626515084490843E-3</v>
      </c>
      <c r="I224" s="839">
        <f>(VLOOKUP(C224,'BD Altres'!$D$74:$H$84,5,FALSE) * 1000 / 12) * H224*0.035</f>
        <v>10.633014944166401</v>
      </c>
      <c r="J224" s="839">
        <f>(VLOOKUP(C224,'BD Altres'!$D$74:$H$84,3,FALSE) / 12) * H224*0.25</f>
        <v>4.667319602816371</v>
      </c>
      <c r="K224">
        <f>(VLOOKUP(B224,'BD ASVICC'!$A$6:$GR$316,199,FALSE) / 12)*0.3</f>
        <v>0.625</v>
      </c>
      <c r="L224" s="846">
        <f>I224*'1. Cops de calor'!$C$32/30</f>
        <v>152.40654753305174</v>
      </c>
      <c r="M224" s="846">
        <f>J224*'1. Cops de calor'!$C$33/30</f>
        <v>23.336598014081854</v>
      </c>
      <c r="N224" s="846">
        <f>K224*'1. Cops de calor'!$C$34*0.25/30</f>
        <v>9843.7499999999982</v>
      </c>
      <c r="O224" s="779">
        <f t="shared" si="31"/>
        <v>30058.479436641399</v>
      </c>
      <c r="P224" s="848">
        <f>O224*'A. Dades de partida'!$D$10</f>
        <v>450877.191549621</v>
      </c>
      <c r="Q224">
        <f t="shared" si="32"/>
        <v>4.5</v>
      </c>
      <c r="R224">
        <f t="shared" si="33"/>
        <v>0</v>
      </c>
      <c r="S224">
        <f>I224+(I224*'1. Cops de calor'!$C$40)</f>
        <v>11.22846378103972</v>
      </c>
      <c r="T224">
        <f>J224*'1. Cops de calor'!$C$41+J224</f>
        <v>5.017368573027599</v>
      </c>
      <c r="U224">
        <f>'1. Cops de calor'!$C$42*K224+K224</f>
        <v>0.65</v>
      </c>
      <c r="V224">
        <f>S224*'1. Cops de calor'!$C$32/30</f>
        <v>160.94131419490265</v>
      </c>
      <c r="W224">
        <f>T224*'1. Cops de calor'!$C$33/30</f>
        <v>25.086842865137996</v>
      </c>
      <c r="X224">
        <f>K224*'1. Cops de calor'!$C$34/30</f>
        <v>39374.999999999993</v>
      </c>
      <c r="Y224">
        <f t="shared" si="34"/>
        <v>39561.028157060035</v>
      </c>
      <c r="Z224" s="849">
        <f>Y224*(Q224+R224)*'A. Dades de partida'!$D$10</f>
        <v>2670369.4006015523</v>
      </c>
      <c r="AA224" s="850">
        <f t="shared" si="35"/>
        <v>2219492.2090519313</v>
      </c>
      <c r="AB224" t="str">
        <f>VLOOKUP(B224,'BD ASVICC'!$A$6:$BG$316,59,FALSE)</f>
        <v>CENTRAL</v>
      </c>
      <c r="AC224">
        <f t="shared" si="27"/>
        <v>0.5</v>
      </c>
      <c r="AD224">
        <f t="shared" si="28"/>
        <v>0.5</v>
      </c>
    </row>
    <row r="225" spans="1:30">
      <c r="A225">
        <v>8224</v>
      </c>
      <c r="B225" t="s">
        <v>1496</v>
      </c>
      <c r="C225" t="s">
        <v>88</v>
      </c>
      <c r="D225">
        <f>VLOOKUP(A225,'temperatures màximes'!$A$4:$U$314,'temperatures màximes'!U$1,FALSE)</f>
        <v>83</v>
      </c>
      <c r="E225">
        <f>VLOOKUP(A225,'nits tropicals'!$A$4:$U$314,'nits tropicals'!U$1,FALSE)</f>
        <v>0</v>
      </c>
      <c r="F225">
        <f t="shared" si="29"/>
        <v>8.3000000000000007</v>
      </c>
      <c r="G225">
        <f t="shared" si="30"/>
        <v>0</v>
      </c>
      <c r="H225" s="840">
        <f>VLOOKUP(B225,'BD ASVICC'!$A$6:$X$316,24,FALSE)/VLOOKUP(C225,'BD Comarcal'!$A$6:$Z$17,26,FALSE)</f>
        <v>7.2088973985003947E-3</v>
      </c>
      <c r="I225" s="839">
        <f>(VLOOKUP(C225,'BD Altres'!$D$74:$H$84,5,FALSE) * 1000 / 12) * H225*0.035</f>
        <v>8.0214002094563774</v>
      </c>
      <c r="J225" s="839">
        <f>(VLOOKUP(C225,'BD Altres'!$D$74:$H$84,3,FALSE) / 12) * H225*0.25</f>
        <v>5.1316836501949998</v>
      </c>
      <c r="K225">
        <f>(VLOOKUP(B225,'BD ASVICC'!$A$6:$GR$316,199,FALSE) / 12)*0.3</f>
        <v>0.3</v>
      </c>
      <c r="L225" s="846">
        <f>I225*'1. Cops de calor'!$C$32/30</f>
        <v>114.97340300220807</v>
      </c>
      <c r="M225" s="846">
        <f>J225*'1. Cops de calor'!$C$33/30</f>
        <v>25.658418250975</v>
      </c>
      <c r="N225" s="846">
        <f>K225*'1. Cops de calor'!$C$34*0.25/30</f>
        <v>4724.9999999999991</v>
      </c>
      <c r="O225" s="779">
        <f t="shared" si="31"/>
        <v>40384.744116401416</v>
      </c>
      <c r="P225" s="848">
        <f>O225*'A. Dades de partida'!$D$10</f>
        <v>605771.16174602124</v>
      </c>
      <c r="Q225">
        <f t="shared" si="32"/>
        <v>12.450000000000001</v>
      </c>
      <c r="R225">
        <f t="shared" si="33"/>
        <v>0</v>
      </c>
      <c r="S225">
        <f>I225+(I225*'1. Cops de calor'!$C$40)</f>
        <v>8.4705986211859354</v>
      </c>
      <c r="T225">
        <f>J225*'1. Cops de calor'!$C$41+J225</f>
        <v>5.5165599239596244</v>
      </c>
      <c r="U225">
        <f>'1. Cops de calor'!$C$42*K225+K225</f>
        <v>0.312</v>
      </c>
      <c r="V225">
        <f>S225*'1. Cops de calor'!$C$32/30</f>
        <v>121.41191357033175</v>
      </c>
      <c r="W225">
        <f>T225*'1. Cops de calor'!$C$33/30</f>
        <v>27.58279961979812</v>
      </c>
      <c r="X225">
        <f>K225*'1. Cops de calor'!$C$34/30</f>
        <v>18899.999999999996</v>
      </c>
      <c r="Y225">
        <f t="shared" si="34"/>
        <v>19048.994713190124</v>
      </c>
      <c r="Z225" s="849">
        <f>Y225*(Q225+R225)*'A. Dades de partida'!$D$10</f>
        <v>3557399.7626882563</v>
      </c>
      <c r="AA225" s="850">
        <f t="shared" si="35"/>
        <v>2951628.600942235</v>
      </c>
      <c r="AB225" t="str">
        <f>VLOOKUP(B225,'BD ASVICC'!$A$6:$BG$316,59,FALSE)</f>
        <v>CENTRAL</v>
      </c>
      <c r="AC225">
        <f t="shared" si="27"/>
        <v>0.5</v>
      </c>
      <c r="AD225">
        <f t="shared" si="28"/>
        <v>0.5</v>
      </c>
    </row>
    <row r="226" spans="1:30">
      <c r="A226">
        <v>8225</v>
      </c>
      <c r="B226" t="s">
        <v>1499</v>
      </c>
      <c r="C226" t="s">
        <v>88</v>
      </c>
      <c r="D226">
        <f>VLOOKUP(A226,'temperatures màximes'!$A$4:$U$314,'temperatures màximes'!U$1,FALSE)</f>
        <v>10</v>
      </c>
      <c r="E226">
        <f>VLOOKUP(A226,'nits tropicals'!$A$4:$U$314,'nits tropicals'!U$1,FALSE)</f>
        <v>0</v>
      </c>
      <c r="F226">
        <f t="shared" si="29"/>
        <v>1</v>
      </c>
      <c r="G226">
        <f t="shared" si="30"/>
        <v>0</v>
      </c>
      <c r="H226" s="840">
        <f>VLOOKUP(B226,'BD ASVICC'!$A$6:$X$316,24,FALSE)/VLOOKUP(C226,'BD Comarcal'!$A$6:$Z$17,26,FALSE)</f>
        <v>6.9390456242249797E-4</v>
      </c>
      <c r="I226" s="839">
        <f>(VLOOKUP(C226,'BD Altres'!$D$74:$H$84,5,FALSE) * 1000 / 12) * H226*0.035</f>
        <v>0.77211338914553374</v>
      </c>
      <c r="J226" s="839">
        <f>(VLOOKUP(C226,'BD Altres'!$D$74:$H$84,3,FALSE) / 12) * H226*0.25</f>
        <v>0.49395885402946527</v>
      </c>
      <c r="K226">
        <f>(VLOOKUP(B226,'BD ASVICC'!$A$6:$GR$316,199,FALSE) / 12)*0.3</f>
        <v>2.4999999999999998E-2</v>
      </c>
      <c r="L226" s="846">
        <f>I226*'1. Cops de calor'!$C$32/30</f>
        <v>11.066958577752649</v>
      </c>
      <c r="M226" s="846">
        <f>J226*'1. Cops de calor'!$C$33/30</f>
        <v>2.4697942701473261</v>
      </c>
      <c r="N226" s="846">
        <f>K226*'1. Cops de calor'!$C$34*0.25/30</f>
        <v>393.74999999999994</v>
      </c>
      <c r="O226" s="779">
        <f t="shared" si="31"/>
        <v>407.28675284789995</v>
      </c>
      <c r="P226" s="848">
        <f>O226*'A. Dades de partida'!$D$10</f>
        <v>6109.3012927184991</v>
      </c>
      <c r="Q226">
        <f t="shared" si="32"/>
        <v>1.5</v>
      </c>
      <c r="R226">
        <f t="shared" si="33"/>
        <v>0</v>
      </c>
      <c r="S226">
        <f>I226+(I226*'1. Cops de calor'!$C$40)</f>
        <v>0.81535173893768365</v>
      </c>
      <c r="T226">
        <f>J226*'1. Cops de calor'!$C$41+J226</f>
        <v>0.53100576808167521</v>
      </c>
      <c r="U226">
        <f>'1. Cops de calor'!$C$42*K226+K226</f>
        <v>2.5999999999999999E-2</v>
      </c>
      <c r="V226">
        <f>S226*'1. Cops de calor'!$C$32/30</f>
        <v>11.686708258106798</v>
      </c>
      <c r="W226">
        <f>T226*'1. Cops de calor'!$C$33/30</f>
        <v>2.6550288404083759</v>
      </c>
      <c r="X226">
        <f>K226*'1. Cops de calor'!$C$34/30</f>
        <v>1574.9999999999998</v>
      </c>
      <c r="Y226">
        <f t="shared" si="34"/>
        <v>1589.3417370985148</v>
      </c>
      <c r="Z226" s="849">
        <f>Y226*(Q226+R226)*'A. Dades de partida'!$D$10</f>
        <v>35760.189084716578</v>
      </c>
      <c r="AA226" s="850">
        <f t="shared" si="35"/>
        <v>29650.887791998081</v>
      </c>
      <c r="AB226" t="str">
        <f>VLOOKUP(B226,'BD ASVICC'!$A$6:$BG$316,59,FALSE)</f>
        <v>PREPIRINEU-PIRINEU</v>
      </c>
      <c r="AC226">
        <f t="shared" si="27"/>
        <v>0.5</v>
      </c>
      <c r="AD226">
        <f t="shared" si="28"/>
        <v>0.5</v>
      </c>
    </row>
    <row r="227" spans="1:30">
      <c r="A227">
        <v>8226</v>
      </c>
      <c r="B227" t="s">
        <v>1501</v>
      </c>
      <c r="C227" t="s">
        <v>81</v>
      </c>
      <c r="D227">
        <f>VLOOKUP(A227,'temperatures màximes'!$A$4:$U$314,'temperatures màximes'!U$1,FALSE)</f>
        <v>77</v>
      </c>
      <c r="E227">
        <f>VLOOKUP(A227,'nits tropicals'!$A$4:$U$314,'nits tropicals'!U$1,FALSE)</f>
        <v>2</v>
      </c>
      <c r="F227">
        <f t="shared" si="29"/>
        <v>7.7</v>
      </c>
      <c r="G227">
        <f t="shared" si="30"/>
        <v>0.2</v>
      </c>
      <c r="H227" s="840">
        <f>VLOOKUP(B227,'BD ASVICC'!$A$6:$X$316,24,FALSE)/VLOOKUP(C227,'BD Comarcal'!$A$6:$Z$17,26,FALSE)</f>
        <v>1.0127314814814815E-2</v>
      </c>
      <c r="I227" s="839">
        <f>(VLOOKUP(C227,'BD Altres'!$D$74:$H$84,5,FALSE) * 1000 / 12) * H227*0.035</f>
        <v>8.4480557664537859</v>
      </c>
      <c r="J227" s="839">
        <f>(VLOOKUP(C227,'BD Altres'!$D$74:$H$84,3,FALSE) / 12) * H227*0.25</f>
        <v>4.0799054008491691</v>
      </c>
      <c r="K227">
        <f>(VLOOKUP(B227,'BD ASVICC'!$A$6:$GR$316,199,FALSE) / 12)*0.3</f>
        <v>0.19999999999999998</v>
      </c>
      <c r="L227" s="846">
        <f>I227*'1. Cops de calor'!$C$32/30</f>
        <v>121.08879931917093</v>
      </c>
      <c r="M227" s="846">
        <f>J227*'1. Cops de calor'!$C$33/30</f>
        <v>20.399527004245844</v>
      </c>
      <c r="N227" s="846">
        <f>K227*'1. Cops de calor'!$C$34*0.25/30</f>
        <v>3149.9999999999995</v>
      </c>
      <c r="O227" s="779">
        <f t="shared" si="31"/>
        <v>26002.75777795499</v>
      </c>
      <c r="P227" s="848">
        <f>O227*'A. Dades de partida'!$D$10</f>
        <v>390041.36666932487</v>
      </c>
      <c r="Q227">
        <f t="shared" si="32"/>
        <v>11.55</v>
      </c>
      <c r="R227">
        <f t="shared" si="33"/>
        <v>0.30000000000000004</v>
      </c>
      <c r="S227">
        <f>I227+(I227*'1. Cops de calor'!$C$40)</f>
        <v>8.9211468893751977</v>
      </c>
      <c r="T227">
        <f>J227*'1. Cops de calor'!$C$41+J227</f>
        <v>4.3858983059128569</v>
      </c>
      <c r="U227">
        <f>'1. Cops de calor'!$C$42*K227+K227</f>
        <v>0.20799999999999999</v>
      </c>
      <c r="V227">
        <f>S227*'1. Cops de calor'!$C$32/30</f>
        <v>127.86977208104449</v>
      </c>
      <c r="W227">
        <f>T227*'1. Cops de calor'!$C$33/30</f>
        <v>21.929491529564284</v>
      </c>
      <c r="X227">
        <f>K227*'1. Cops de calor'!$C$34/30</f>
        <v>12599.999999999998</v>
      </c>
      <c r="Y227">
        <f t="shared" si="34"/>
        <v>12749.799263610606</v>
      </c>
      <c r="Z227" s="849">
        <f>Y227*(Q227+R227)*'A. Dades de partida'!$D$10</f>
        <v>2266276.8191067856</v>
      </c>
      <c r="AA227" s="850">
        <f t="shared" si="35"/>
        <v>1876235.4524374607</v>
      </c>
      <c r="AB227" t="str">
        <f>VLOOKUP(B227,'BD ASVICC'!$A$6:$BG$316,59,FALSE)</f>
        <v>CENTRAL</v>
      </c>
      <c r="AC227">
        <f t="shared" si="27"/>
        <v>0.5</v>
      </c>
      <c r="AD227">
        <f t="shared" si="28"/>
        <v>0.5</v>
      </c>
    </row>
    <row r="228" spans="1:30">
      <c r="A228">
        <v>8227</v>
      </c>
      <c r="B228" t="s">
        <v>1506</v>
      </c>
      <c r="C228" t="s">
        <v>791</v>
      </c>
      <c r="D228">
        <f>VLOOKUP(A228,'temperatures màximes'!$A$4:$U$314,'temperatures màximes'!U$1,FALSE)</f>
        <v>25</v>
      </c>
      <c r="E228">
        <f>VLOOKUP(A228,'nits tropicals'!$A$4:$U$314,'nits tropicals'!U$1,FALSE)</f>
        <v>10</v>
      </c>
      <c r="F228">
        <f t="shared" si="29"/>
        <v>2.5</v>
      </c>
      <c r="G228">
        <f t="shared" si="30"/>
        <v>1</v>
      </c>
      <c r="H228" s="840">
        <f>VLOOKUP(B228,'BD ASVICC'!$A$6:$X$316,24,FALSE)/VLOOKUP(C228,'BD Comarcal'!$A$6:$Z$17,26,FALSE)</f>
        <v>2.9160197600564573E-2</v>
      </c>
      <c r="I228" s="839">
        <f>(VLOOKUP(C228,'BD Altres'!$D$74:$H$84,5,FALSE) * 1000 / 12) * H228*0.035</f>
        <v>57.696478760908278</v>
      </c>
      <c r="J228" s="839">
        <f>(VLOOKUP(C228,'BD Altres'!$D$74:$H$84,3,FALSE) / 12) * H228*0.25</f>
        <v>7.474016740499045</v>
      </c>
      <c r="K228">
        <f>(VLOOKUP(B228,'BD ASVICC'!$A$6:$GR$316,199,FALSE) / 12)*0.3</f>
        <v>0.79999999999999993</v>
      </c>
      <c r="L228" s="846">
        <f>I228*'1. Cops de calor'!$C$32/30</f>
        <v>826.98286223968535</v>
      </c>
      <c r="M228" s="846">
        <f>J228*'1. Cops de calor'!$C$33/30</f>
        <v>37.370083702495222</v>
      </c>
      <c r="N228" s="846">
        <f>K228*'1. Cops de calor'!$C$34*0.25/30</f>
        <v>12599.999999999998</v>
      </c>
      <c r="O228" s="779">
        <f t="shared" si="31"/>
        <v>47125.235310797623</v>
      </c>
      <c r="P228" s="848">
        <f>O228*'A. Dades de partida'!$D$10</f>
        <v>706878.52966196439</v>
      </c>
      <c r="Q228">
        <f t="shared" si="32"/>
        <v>3.75</v>
      </c>
      <c r="R228">
        <f t="shared" si="33"/>
        <v>1.5</v>
      </c>
      <c r="S228">
        <f>I228+(I228*'1. Cops de calor'!$C$40)</f>
        <v>60.927481571519138</v>
      </c>
      <c r="T228">
        <f>J228*'1. Cops de calor'!$C$41+J228</f>
        <v>8.0345679960364738</v>
      </c>
      <c r="U228">
        <f>'1. Cops de calor'!$C$42*K228+K228</f>
        <v>0.83199999999999996</v>
      </c>
      <c r="V228">
        <f>S228*'1. Cops de calor'!$C$32/30</f>
        <v>873.29390252510757</v>
      </c>
      <c r="W228">
        <f>T228*'1. Cops de calor'!$C$33/30</f>
        <v>40.172839980182374</v>
      </c>
      <c r="X228">
        <f>K228*'1. Cops de calor'!$C$34/30</f>
        <v>50399.999999999993</v>
      </c>
      <c r="Y228">
        <f t="shared" si="34"/>
        <v>51313.466742505283</v>
      </c>
      <c r="Z228" s="849">
        <f>Y228*(Q228+R228)*'A. Dades de partida'!$D$10</f>
        <v>4040935.5059722913</v>
      </c>
      <c r="AA228" s="850">
        <f t="shared" si="35"/>
        <v>3334056.9763103267</v>
      </c>
      <c r="AB228" t="str">
        <f>VLOOKUP(B228,'BD ASVICC'!$A$6:$BG$316,59,FALSE)</f>
        <v>LITORAL</v>
      </c>
      <c r="AC228">
        <f t="shared" si="27"/>
        <v>0.5</v>
      </c>
      <c r="AD228">
        <f t="shared" si="28"/>
        <v>0.5</v>
      </c>
    </row>
    <row r="229" spans="1:30">
      <c r="A229">
        <v>8228</v>
      </c>
      <c r="B229" t="s">
        <v>1510</v>
      </c>
      <c r="C229" t="s">
        <v>81</v>
      </c>
      <c r="D229">
        <f>VLOOKUP(A229,'temperatures màximes'!$A$4:$U$314,'temperatures màximes'!U$1,FALSE)</f>
        <v>77</v>
      </c>
      <c r="E229">
        <f>VLOOKUP(A229,'nits tropicals'!$A$4:$U$314,'nits tropicals'!U$1,FALSE)</f>
        <v>2</v>
      </c>
      <c r="F229">
        <f t="shared" si="29"/>
        <v>7.7</v>
      </c>
      <c r="G229">
        <f t="shared" si="30"/>
        <v>0.2</v>
      </c>
      <c r="H229" s="840">
        <f>VLOOKUP(B229,'BD ASVICC'!$A$6:$X$316,24,FALSE)/VLOOKUP(C229,'BD Comarcal'!$A$6:$Z$17,26,FALSE)</f>
        <v>3.1573393246187363E-3</v>
      </c>
      <c r="I229" s="839">
        <f>(VLOOKUP(C229,'BD Altres'!$D$74:$H$84,5,FALSE) * 1000 / 12) * H229*0.035</f>
        <v>2.63380562130618</v>
      </c>
      <c r="J229" s="839">
        <f>(VLOOKUP(C229,'BD Altres'!$D$74:$H$84,3,FALSE) / 12) * H229*0.25</f>
        <v>1.2719705073235645</v>
      </c>
      <c r="K229">
        <f>(VLOOKUP(B229,'BD ASVICC'!$A$6:$GR$316,199,FALSE) / 12)*0.3</f>
        <v>9.9999999999999992E-2</v>
      </c>
      <c r="L229" s="846">
        <f>I229*'1. Cops de calor'!$C$32/30</f>
        <v>37.751213905388582</v>
      </c>
      <c r="M229" s="846">
        <f>J229*'1. Cops de calor'!$C$33/30</f>
        <v>6.3598525366178222</v>
      </c>
      <c r="N229" s="846">
        <f>K229*'1. Cops de calor'!$C$34*0.25/30</f>
        <v>1574.9999999999998</v>
      </c>
      <c r="O229" s="779">
        <f t="shared" si="31"/>
        <v>12790.977424891849</v>
      </c>
      <c r="P229" s="848">
        <f>O229*'A. Dades de partida'!$D$10</f>
        <v>191864.66137337775</v>
      </c>
      <c r="Q229">
        <f t="shared" si="32"/>
        <v>11.55</v>
      </c>
      <c r="R229">
        <f t="shared" si="33"/>
        <v>0.30000000000000004</v>
      </c>
      <c r="S229">
        <f>I229+(I229*'1. Cops de calor'!$C$40)</f>
        <v>2.781298736099326</v>
      </c>
      <c r="T229">
        <f>J229*'1. Cops de calor'!$C$41+J229</f>
        <v>1.3673682953728319</v>
      </c>
      <c r="U229">
        <f>'1. Cops de calor'!$C$42*K229+K229</f>
        <v>0.104</v>
      </c>
      <c r="V229">
        <f>S229*'1. Cops de calor'!$C$32/30</f>
        <v>39.865281884090336</v>
      </c>
      <c r="W229">
        <f>T229*'1. Cops de calor'!$C$33/30</f>
        <v>6.8368414768641594</v>
      </c>
      <c r="X229">
        <f>K229*'1. Cops de calor'!$C$34/30</f>
        <v>6299.9999999999991</v>
      </c>
      <c r="Y229">
        <f t="shared" si="34"/>
        <v>6346.7021233609539</v>
      </c>
      <c r="Z229" s="849">
        <f>Y229*(Q229+R229)*'A. Dades de partida'!$D$10</f>
        <v>1128126.3024274097</v>
      </c>
      <c r="AA229" s="850">
        <f t="shared" si="35"/>
        <v>936261.6410540319</v>
      </c>
      <c r="AB229" t="str">
        <f>VLOOKUP(B229,'BD ASVICC'!$A$6:$BG$316,59,FALSE)</f>
        <v>PREPIRINEU-PIRINEU</v>
      </c>
      <c r="AC229">
        <f t="shared" si="27"/>
        <v>0.5</v>
      </c>
      <c r="AD229">
        <f t="shared" si="28"/>
        <v>0.5</v>
      </c>
    </row>
    <row r="230" spans="1:30">
      <c r="A230">
        <v>8229</v>
      </c>
      <c r="B230" t="s">
        <v>1511</v>
      </c>
      <c r="C230" t="s">
        <v>82</v>
      </c>
      <c r="D230">
        <f>VLOOKUP(A230,'temperatures màximes'!$A$4:$U$314,'temperatures màximes'!U$1,FALSE)</f>
        <v>70</v>
      </c>
      <c r="E230">
        <f>VLOOKUP(A230,'nits tropicals'!$A$4:$U$314,'nits tropicals'!U$1,FALSE)</f>
        <v>3</v>
      </c>
      <c r="F230">
        <f t="shared" si="29"/>
        <v>7</v>
      </c>
      <c r="G230">
        <f t="shared" si="30"/>
        <v>0.3</v>
      </c>
      <c r="H230" s="840">
        <f>VLOOKUP(B230,'BD ASVICC'!$A$6:$X$316,24,FALSE)/VLOOKUP(C230,'BD Comarcal'!$A$6:$Z$17,26,FALSE)</f>
        <v>3.543964078655358E-3</v>
      </c>
      <c r="I230" s="839">
        <f>(VLOOKUP(C230,'BD Altres'!$D$74:$H$84,5,FALSE) * 1000 / 12) * H230*0.035</f>
        <v>10.138920971474191</v>
      </c>
      <c r="J230" s="839">
        <f>(VLOOKUP(C230,'BD Altres'!$D$74:$H$84,3,FALSE) / 12) * H230*0.25</f>
        <v>88.638076524057894</v>
      </c>
      <c r="K230">
        <f>(VLOOKUP(B230,'BD ASVICC'!$A$6:$GR$316,199,FALSE) / 12)*0.3</f>
        <v>0.27499999999999997</v>
      </c>
      <c r="L230" s="846">
        <f>I230*'1. Cops de calor'!$C$32/30</f>
        <v>145.32453392446342</v>
      </c>
      <c r="M230" s="846">
        <f>J230*'1. Cops de calor'!$C$33/30</f>
        <v>443.19038262028948</v>
      </c>
      <c r="N230" s="846">
        <f>K230*'1. Cops de calor'!$C$34*0.25/30</f>
        <v>4331.2499999999991</v>
      </c>
      <c r="O230" s="779">
        <f t="shared" si="31"/>
        <v>35914.283890776685</v>
      </c>
      <c r="P230" s="848">
        <f>O230*'A. Dades de partida'!$D$10</f>
        <v>538714.25836165028</v>
      </c>
      <c r="Q230">
        <f t="shared" si="32"/>
        <v>10.5</v>
      </c>
      <c r="R230">
        <f t="shared" si="33"/>
        <v>0.44999999999999996</v>
      </c>
      <c r="S230">
        <f>I230+(I230*'1. Cops de calor'!$C$40)</f>
        <v>10.706700545876746</v>
      </c>
      <c r="T230">
        <f>J230*'1. Cops de calor'!$C$41+J230</f>
        <v>95.285932263362241</v>
      </c>
      <c r="U230">
        <f>'1. Cops de calor'!$C$42*K230+K230</f>
        <v>0.28599999999999998</v>
      </c>
      <c r="V230">
        <f>S230*'1. Cops de calor'!$C$32/30</f>
        <v>153.46270782423335</v>
      </c>
      <c r="W230">
        <f>T230*'1. Cops de calor'!$C$33/30</f>
        <v>476.42966131681118</v>
      </c>
      <c r="X230">
        <f>K230*'1. Cops de calor'!$C$34/30</f>
        <v>17324.999999999996</v>
      </c>
      <c r="Y230">
        <f t="shared" si="34"/>
        <v>17954.892369141042</v>
      </c>
      <c r="Z230" s="849">
        <f>Y230*(Q230+R230)*'A. Dades de partida'!$D$10</f>
        <v>2949091.0716314157</v>
      </c>
      <c r="AA230" s="850">
        <f t="shared" si="35"/>
        <v>2410376.8132697656</v>
      </c>
      <c r="AB230" t="str">
        <f>VLOOKUP(B230,'BD ASVICC'!$A$6:$BG$316,59,FALSE)</f>
        <v>CENTRAL</v>
      </c>
      <c r="AC230">
        <f t="shared" si="27"/>
        <v>0.5</v>
      </c>
      <c r="AD230">
        <f t="shared" si="28"/>
        <v>0.5</v>
      </c>
    </row>
    <row r="231" spans="1:30">
      <c r="A231">
        <v>8230</v>
      </c>
      <c r="B231" t="s">
        <v>1513</v>
      </c>
      <c r="C231" t="s">
        <v>86</v>
      </c>
      <c r="D231">
        <f>VLOOKUP(A231,'temperatures màximes'!$A$4:$U$314,'temperatures màximes'!U$1,FALSE)</f>
        <v>2</v>
      </c>
      <c r="E231">
        <f>VLOOKUP(A231,'nits tropicals'!$A$4:$U$314,'nits tropicals'!U$1,FALSE)</f>
        <v>264</v>
      </c>
      <c r="F231">
        <f t="shared" si="29"/>
        <v>0.2</v>
      </c>
      <c r="G231">
        <f t="shared" si="30"/>
        <v>26.4</v>
      </c>
      <c r="H231" s="840">
        <f>VLOOKUP(B231,'BD ASVICC'!$A$6:$X$316,24,FALSE)/VLOOKUP(C231,'BD Comarcal'!$A$6:$Z$17,26,FALSE)</f>
        <v>2.3659981200665904E-2</v>
      </c>
      <c r="I231" s="839">
        <f>(VLOOKUP(C231,'BD Altres'!$D$74:$H$84,5,FALSE) * 1000 / 12) * H231*0.035</f>
        <v>55.125908809848092</v>
      </c>
      <c r="J231" s="839">
        <f>(VLOOKUP(C231,'BD Altres'!$D$74:$H$84,3,FALSE) / 12) * H231*0.25</f>
        <v>24.851211164575169</v>
      </c>
      <c r="K231">
        <f>(VLOOKUP(B231,'BD ASVICC'!$A$6:$GR$316,199,FALSE) / 12)*0.3</f>
        <v>6.1499999999999995</v>
      </c>
      <c r="L231" s="846">
        <f>I231*'1. Cops de calor'!$C$32/30</f>
        <v>790.13802627448933</v>
      </c>
      <c r="M231" s="846">
        <f>J231*'1. Cops de calor'!$C$33/30</f>
        <v>124.25605582287585</v>
      </c>
      <c r="N231" s="846">
        <f>K231*'1. Cops de calor'!$C$34*0.25/30</f>
        <v>96862.499999999985</v>
      </c>
      <c r="O231" s="779">
        <f t="shared" si="31"/>
        <v>2600865.3825837895</v>
      </c>
      <c r="P231" s="848">
        <f>O231*'A. Dades de partida'!$D$10</f>
        <v>39012980.738756843</v>
      </c>
      <c r="Q231">
        <f t="shared" si="32"/>
        <v>0.30000000000000004</v>
      </c>
      <c r="R231">
        <f t="shared" si="33"/>
        <v>39.599999999999994</v>
      </c>
      <c r="S231">
        <f>I231+(I231*'1. Cops de calor'!$C$40)</f>
        <v>58.212959703199587</v>
      </c>
      <c r="T231">
        <f>J231*'1. Cops de calor'!$C$41+J231</f>
        <v>26.715052001918306</v>
      </c>
      <c r="U231">
        <f>'1. Cops de calor'!$C$42*K231+K231</f>
        <v>6.395999999999999</v>
      </c>
      <c r="V231">
        <f>S231*'1. Cops de calor'!$C$32/30</f>
        <v>834.38575574586082</v>
      </c>
      <c r="W231">
        <f>T231*'1. Cops de calor'!$C$33/30</f>
        <v>133.57526000959152</v>
      </c>
      <c r="X231">
        <f>K231*'1. Cops de calor'!$C$34/30</f>
        <v>387449.99999999994</v>
      </c>
      <c r="Y231">
        <f t="shared" si="34"/>
        <v>388417.96101575537</v>
      </c>
      <c r="Z231" s="849">
        <f>Y231*(Q231+R231)*'A. Dades de partida'!$D$10</f>
        <v>232468149.66792956</v>
      </c>
      <c r="AA231" s="850">
        <f t="shared" si="35"/>
        <v>193455168.92917272</v>
      </c>
      <c r="AB231" t="str">
        <f>VLOOKUP(B231,'BD ASVICC'!$A$6:$BG$316,59,FALSE)</f>
        <v>LITORAL</v>
      </c>
      <c r="AC231">
        <f t="shared" si="27"/>
        <v>0.5</v>
      </c>
      <c r="AD231">
        <f t="shared" si="28"/>
        <v>0.5</v>
      </c>
    </row>
    <row r="232" spans="1:30">
      <c r="A232">
        <v>8231</v>
      </c>
      <c r="B232" t="s">
        <v>1518</v>
      </c>
      <c r="C232" t="s">
        <v>85</v>
      </c>
      <c r="D232">
        <f>VLOOKUP(A232,'temperatures màximes'!$A$4:$U$314,'temperatures màximes'!U$1,FALSE)</f>
        <v>19</v>
      </c>
      <c r="E232">
        <f>VLOOKUP(A232,'nits tropicals'!$A$4:$U$314,'nits tropicals'!U$1,FALSE)</f>
        <v>137</v>
      </c>
      <c r="F232">
        <f t="shared" si="29"/>
        <v>1.9</v>
      </c>
      <c r="G232">
        <f t="shared" si="30"/>
        <v>13.7</v>
      </c>
      <c r="H232" s="840">
        <f>VLOOKUP(B232,'BD ASVICC'!$A$6:$X$316,24,FALSE)/VLOOKUP(C232,'BD Comarcal'!$A$6:$Z$17,26,FALSE)</f>
        <v>0.20317819112720933</v>
      </c>
      <c r="I232" s="839">
        <f>(VLOOKUP(C232,'BD Altres'!$D$74:$H$84,5,FALSE) * 1000 / 12) * H232*0.035</f>
        <v>627.75010345699104</v>
      </c>
      <c r="J232" s="839">
        <f>(VLOOKUP(C232,'BD Altres'!$D$74:$H$84,3,FALSE) / 12) * H232*0.25</f>
        <v>71.971477111962713</v>
      </c>
      <c r="K232">
        <f>(VLOOKUP(B232,'BD ASVICC'!$A$6:$GR$316,199,FALSE) / 12)*0.3</f>
        <v>4.3499999999999996</v>
      </c>
      <c r="L232" s="846">
        <f>I232*'1. Cops de calor'!$C$32/30</f>
        <v>8997.7514828835374</v>
      </c>
      <c r="M232" s="846">
        <f>J232*'1. Cops de calor'!$C$33/30</f>
        <v>359.85738555981357</v>
      </c>
      <c r="N232" s="846">
        <f>K232*'1. Cops de calor'!$C$34*0.25/30</f>
        <v>68512.499999999985</v>
      </c>
      <c r="O232" s="779">
        <f t="shared" si="31"/>
        <v>1214773.6983477159</v>
      </c>
      <c r="P232" s="848">
        <f>O232*'A. Dades de partida'!$D$10</f>
        <v>18221605.475215737</v>
      </c>
      <c r="Q232">
        <f t="shared" si="32"/>
        <v>2.8499999999999996</v>
      </c>
      <c r="R232">
        <f t="shared" si="33"/>
        <v>20.549999999999997</v>
      </c>
      <c r="S232">
        <f>I232+(I232*'1. Cops de calor'!$C$40)</f>
        <v>662.90410925058256</v>
      </c>
      <c r="T232">
        <f>J232*'1. Cops de calor'!$C$41+J232</f>
        <v>77.369337895359919</v>
      </c>
      <c r="U232">
        <f>'1. Cops de calor'!$C$42*K232+K232</f>
        <v>4.524</v>
      </c>
      <c r="V232">
        <f>S232*'1. Cops de calor'!$C$32/30</f>
        <v>9501.6255659250182</v>
      </c>
      <c r="W232">
        <f>T232*'1. Cops de calor'!$C$33/30</f>
        <v>386.84668947679961</v>
      </c>
      <c r="X232">
        <f>K232*'1. Cops de calor'!$C$34/30</f>
        <v>274049.99999999994</v>
      </c>
      <c r="Y232">
        <f t="shared" si="34"/>
        <v>283938.47225540178</v>
      </c>
      <c r="Z232" s="849">
        <f>Y232*(Q232+R232)*'A. Dades de partida'!$D$10</f>
        <v>99662403.761646017</v>
      </c>
      <c r="AA232" s="850">
        <f t="shared" si="35"/>
        <v>81440798.286430284</v>
      </c>
      <c r="AB232" t="str">
        <f>VLOOKUP(B232,'BD ASVICC'!$A$6:$BG$316,59,FALSE)</f>
        <v>LITORAL</v>
      </c>
      <c r="AC232">
        <f t="shared" si="27"/>
        <v>0.5</v>
      </c>
      <c r="AD232">
        <f t="shared" si="28"/>
        <v>0.5</v>
      </c>
    </row>
    <row r="233" spans="1:30">
      <c r="A233">
        <v>8232</v>
      </c>
      <c r="B233" t="s">
        <v>1523</v>
      </c>
      <c r="C233" t="s">
        <v>791</v>
      </c>
      <c r="D233">
        <f>VLOOKUP(A233,'temperatures màximes'!$A$4:$U$314,'temperatures màximes'!U$1,FALSE)</f>
        <v>20</v>
      </c>
      <c r="E233">
        <f>VLOOKUP(A233,'nits tropicals'!$A$4:$U$314,'nits tropicals'!U$1,FALSE)</f>
        <v>8</v>
      </c>
      <c r="F233">
        <f t="shared" si="29"/>
        <v>2</v>
      </c>
      <c r="G233">
        <f t="shared" si="30"/>
        <v>0.8</v>
      </c>
      <c r="H233" s="840">
        <f>VLOOKUP(B233,'BD ASVICC'!$A$6:$X$316,24,FALSE)/VLOOKUP(C233,'BD Comarcal'!$A$6:$Z$17,26,FALSE)</f>
        <v>2.2291225593977889E-2</v>
      </c>
      <c r="I233" s="839">
        <f>(VLOOKUP(C233,'BD Altres'!$D$74:$H$84,5,FALSE) * 1000 / 12) * H233*0.035</f>
        <v>44.10550441580888</v>
      </c>
      <c r="J233" s="839">
        <f>(VLOOKUP(C233,'BD Altres'!$D$74:$H$84,3,FALSE) / 12) * H233*0.25</f>
        <v>5.7134384182775859</v>
      </c>
      <c r="K233">
        <f>(VLOOKUP(B233,'BD ASVICC'!$A$6:$GR$316,199,FALSE) / 12)*0.3</f>
        <v>0.5</v>
      </c>
      <c r="L233" s="846">
        <f>I233*'1. Cops de calor'!$C$32/30</f>
        <v>632.178896626594</v>
      </c>
      <c r="M233" s="846">
        <f>J233*'1. Cops de calor'!$C$33/30</f>
        <v>28.56719209138793</v>
      </c>
      <c r="N233" s="846">
        <f>K233*'1. Cops de calor'!$C$34*0.25/30</f>
        <v>7874.9999999999991</v>
      </c>
      <c r="O233" s="779">
        <f t="shared" si="31"/>
        <v>23900.089048410344</v>
      </c>
      <c r="P233" s="848">
        <f>O233*'A. Dades de partida'!$D$10</f>
        <v>358501.33572615514</v>
      </c>
      <c r="Q233">
        <f t="shared" si="32"/>
        <v>3</v>
      </c>
      <c r="R233">
        <f t="shared" si="33"/>
        <v>1.2000000000000002</v>
      </c>
      <c r="S233">
        <f>I233+(I233*'1. Cops de calor'!$C$40)</f>
        <v>46.575412663094177</v>
      </c>
      <c r="T233">
        <f>J233*'1. Cops de calor'!$C$41+J233</f>
        <v>6.1419462996484047</v>
      </c>
      <c r="U233">
        <f>'1. Cops de calor'!$C$42*K233+K233</f>
        <v>0.52</v>
      </c>
      <c r="V233">
        <f>S233*'1. Cops de calor'!$C$32/30</f>
        <v>667.58091483768317</v>
      </c>
      <c r="W233">
        <f>T233*'1. Cops de calor'!$C$33/30</f>
        <v>30.709731498242025</v>
      </c>
      <c r="X233">
        <f>K233*'1. Cops de calor'!$C$34/30</f>
        <v>31499.999999999996</v>
      </c>
      <c r="Y233">
        <f t="shared" si="34"/>
        <v>32198.290646335921</v>
      </c>
      <c r="Z233" s="849">
        <f>Y233*(Q233+R233)*'A. Dades de partida'!$D$10</f>
        <v>2028492.3107191629</v>
      </c>
      <c r="AA233" s="850">
        <f t="shared" si="35"/>
        <v>1669990.9749930077</v>
      </c>
      <c r="AB233" t="str">
        <f>VLOOKUP(B233,'BD ASVICC'!$A$6:$BG$316,59,FALSE)</f>
        <v>CENTRAL</v>
      </c>
      <c r="AC233">
        <f t="shared" si="27"/>
        <v>0.5</v>
      </c>
      <c r="AD233">
        <f t="shared" si="28"/>
        <v>0.5</v>
      </c>
    </row>
    <row r="234" spans="1:30">
      <c r="A234">
        <v>8233</v>
      </c>
      <c r="B234" t="s">
        <v>1524</v>
      </c>
      <c r="C234" t="s">
        <v>88</v>
      </c>
      <c r="D234">
        <f>VLOOKUP(A234,'temperatures màximes'!$A$4:$U$314,'temperatures màximes'!U$1,FALSE)</f>
        <v>46</v>
      </c>
      <c r="E234">
        <f>VLOOKUP(A234,'nits tropicals'!$A$4:$U$314,'nits tropicals'!U$1,FALSE)</f>
        <v>0</v>
      </c>
      <c r="F234">
        <f t="shared" si="29"/>
        <v>4.5999999999999996</v>
      </c>
      <c r="G234">
        <f t="shared" si="30"/>
        <v>0</v>
      </c>
      <c r="H234" s="840">
        <f>VLOOKUP(B234,'BD ASVICC'!$A$6:$X$316,24,FALSE)/VLOOKUP(C234,'BD Comarcal'!$A$6:$Z$17,26,FALSE)</f>
        <v>1.5593577527772245E-2</v>
      </c>
      <c r="I234" s="839">
        <f>(VLOOKUP(C234,'BD Altres'!$D$74:$H$84,5,FALSE) * 1000 / 12) * H234*0.035</f>
        <v>17.351103661631576</v>
      </c>
      <c r="J234" s="839">
        <f>(VLOOKUP(C234,'BD Altres'!$D$74:$H$84,3,FALSE) / 12) * H234*0.25</f>
        <v>11.100353136384371</v>
      </c>
      <c r="K234">
        <f>(VLOOKUP(B234,'BD ASVICC'!$A$6:$GR$316,199,FALSE) / 12)*0.3</f>
        <v>0.625</v>
      </c>
      <c r="L234" s="846">
        <f>I234*'1. Cops de calor'!$C$32/30</f>
        <v>248.69915248338594</v>
      </c>
      <c r="M234" s="846">
        <f>J234*'1. Cops de calor'!$C$33/30</f>
        <v>55.501765681921853</v>
      </c>
      <c r="N234" s="846">
        <f>K234*'1. Cops de calor'!$C$34*0.25/30</f>
        <v>9843.7499999999982</v>
      </c>
      <c r="O234" s="779">
        <f t="shared" si="31"/>
        <v>46680.574223560405</v>
      </c>
      <c r="P234" s="848">
        <f>O234*'A. Dades de partida'!$D$10</f>
        <v>700208.61335340608</v>
      </c>
      <c r="Q234">
        <f t="shared" si="32"/>
        <v>6.8999999999999995</v>
      </c>
      <c r="R234">
        <f t="shared" si="33"/>
        <v>0</v>
      </c>
      <c r="S234">
        <f>I234+(I234*'1. Cops de calor'!$C$40)</f>
        <v>18.322765466682945</v>
      </c>
      <c r="T234">
        <f>J234*'1. Cops de calor'!$C$41+J234</f>
        <v>11.932879621613198</v>
      </c>
      <c r="U234">
        <f>'1. Cops de calor'!$C$42*K234+K234</f>
        <v>0.65</v>
      </c>
      <c r="V234">
        <f>S234*'1. Cops de calor'!$C$32/30</f>
        <v>262.62630502245554</v>
      </c>
      <c r="W234">
        <f>T234*'1. Cops de calor'!$C$33/30</f>
        <v>59.664398108065988</v>
      </c>
      <c r="X234">
        <f>K234*'1. Cops de calor'!$C$34/30</f>
        <v>39374.999999999993</v>
      </c>
      <c r="Y234">
        <f t="shared" si="34"/>
        <v>39697.290703130515</v>
      </c>
      <c r="Z234" s="849">
        <f>Y234*(Q234+R234)*'A. Dades de partida'!$D$10</f>
        <v>4108669.587774008</v>
      </c>
      <c r="AA234" s="850">
        <f t="shared" si="35"/>
        <v>3408460.974420602</v>
      </c>
      <c r="AB234" t="str">
        <f>VLOOKUP(B234,'BD ASVICC'!$A$6:$BG$316,59,FALSE)</f>
        <v>PREPIRINEU-PIRINEU</v>
      </c>
      <c r="AC234">
        <f t="shared" si="27"/>
        <v>0.5</v>
      </c>
      <c r="AD234">
        <f t="shared" si="28"/>
        <v>0.5</v>
      </c>
    </row>
    <row r="235" spans="1:30">
      <c r="A235">
        <v>8234</v>
      </c>
      <c r="B235" t="s">
        <v>1530</v>
      </c>
      <c r="C235" t="s">
        <v>24</v>
      </c>
      <c r="D235">
        <f>VLOOKUP(A235,'temperatures màximes'!$A$4:$U$314,'temperatures màximes'!U$1,FALSE)</f>
        <v>39</v>
      </c>
      <c r="E235">
        <f>VLOOKUP(A235,'nits tropicals'!$A$4:$U$314,'nits tropicals'!U$1,FALSE)</f>
        <v>2</v>
      </c>
      <c r="F235">
        <f t="shared" si="29"/>
        <v>3.9</v>
      </c>
      <c r="G235">
        <f t="shared" si="30"/>
        <v>0.2</v>
      </c>
      <c r="H235" s="840">
        <f>VLOOKUP(B235,'BD ASVICC'!$A$6:$X$316,24,FALSE)/VLOOKUP(C235,'BD Comarcal'!$A$6:$Z$17,26,FALSE)</f>
        <v>1.0607019519706582E-2</v>
      </c>
      <c r="I235" s="839">
        <f>(VLOOKUP(C235,'BD Altres'!$D$74:$H$84,5,FALSE) * 1000 / 12) * H235*0.035</f>
        <v>75.064092752222166</v>
      </c>
      <c r="J235" s="839">
        <f>(VLOOKUP(C235,'BD Altres'!$D$74:$H$84,3,FALSE) / 12) * H235*0.25</f>
        <v>16.875925985798521</v>
      </c>
      <c r="K235">
        <f>(VLOOKUP(B235,'BD ASVICC'!$A$6:$GR$316,199,FALSE) / 12)*0.3</f>
        <v>0.67499999999999993</v>
      </c>
      <c r="L235" s="846">
        <f>I235*'1. Cops de calor'!$C$32/30</f>
        <v>1075.918662781851</v>
      </c>
      <c r="M235" s="846">
        <f>J235*'1. Cops de calor'!$C$33/30</f>
        <v>84.379629928992614</v>
      </c>
      <c r="N235" s="846">
        <f>K235*'1. Cops de calor'!$C$34*0.25/30</f>
        <v>10631.249999999998</v>
      </c>
      <c r="O235" s="779">
        <f t="shared" si="31"/>
        <v>48345.348000114449</v>
      </c>
      <c r="P235" s="848">
        <f>O235*'A. Dades de partida'!$D$10</f>
        <v>725180.22000171675</v>
      </c>
      <c r="Q235">
        <f t="shared" si="32"/>
        <v>5.85</v>
      </c>
      <c r="R235">
        <f t="shared" si="33"/>
        <v>0.30000000000000004</v>
      </c>
      <c r="S235">
        <f>I235+(I235*'1. Cops de calor'!$C$40)</f>
        <v>79.267681946346613</v>
      </c>
      <c r="T235">
        <f>J235*'1. Cops de calor'!$C$41+J235</f>
        <v>18.141620434733408</v>
      </c>
      <c r="U235">
        <f>'1. Cops de calor'!$C$42*K235+K235</f>
        <v>0.70199999999999996</v>
      </c>
      <c r="V235">
        <f>S235*'1. Cops de calor'!$C$32/30</f>
        <v>1136.1701078976346</v>
      </c>
      <c r="W235">
        <f>T235*'1. Cops de calor'!$C$33/30</f>
        <v>90.708102173667029</v>
      </c>
      <c r="X235">
        <f>K235*'1. Cops de calor'!$C$34/30</f>
        <v>42524.999999999993</v>
      </c>
      <c r="Y235">
        <f t="shared" si="34"/>
        <v>43751.878210071292</v>
      </c>
      <c r="Z235" s="849">
        <f>Y235*(Q235+R235)*'A. Dades de partida'!$D$10</f>
        <v>4036110.7648790767</v>
      </c>
      <c r="AA235" s="850">
        <f t="shared" si="35"/>
        <v>3310930.5448773601</v>
      </c>
      <c r="AB235" t="str">
        <f>VLOOKUP(B235,'BD ASVICC'!$A$6:$BG$316,59,FALSE)</f>
        <v>CENTRAL</v>
      </c>
      <c r="AC235">
        <f t="shared" si="27"/>
        <v>0.5</v>
      </c>
      <c r="AD235">
        <f t="shared" si="28"/>
        <v>0.5</v>
      </c>
    </row>
    <row r="236" spans="1:30">
      <c r="A236">
        <v>8235</v>
      </c>
      <c r="B236" t="s">
        <v>353</v>
      </c>
      <c r="C236" t="s">
        <v>86</v>
      </c>
      <c r="D236">
        <f>VLOOKUP(A236,'temperatures màximes'!$A$4:$U$314,'temperatures màximes'!U$1,FALSE)</f>
        <v>2</v>
      </c>
      <c r="E236">
        <f>VLOOKUP(A236,'nits tropicals'!$A$4:$U$314,'nits tropicals'!U$1,FALSE)</f>
        <v>403</v>
      </c>
      <c r="F236">
        <f t="shared" si="29"/>
        <v>0.2</v>
      </c>
      <c r="G236">
        <f t="shared" si="30"/>
        <v>40.299999999999997</v>
      </c>
      <c r="H236" s="840">
        <f>VLOOKUP(B236,'BD ASVICC'!$A$6:$X$316,24,FALSE)/VLOOKUP(C236,'BD Comarcal'!$A$6:$Z$17,26,FALSE)</f>
        <v>1.1213916037190972E-2</v>
      </c>
      <c r="I236" s="839">
        <f>(VLOOKUP(C236,'BD Altres'!$D$74:$H$84,5,FALSE) * 1000 / 12) * H236*0.035</f>
        <v>26.127548776331409</v>
      </c>
      <c r="J236" s="839">
        <f>(VLOOKUP(C236,'BD Altres'!$D$74:$H$84,3,FALSE) / 12) * H236*0.25</f>
        <v>11.778512969156774</v>
      </c>
      <c r="K236">
        <f>(VLOOKUP(B236,'BD ASVICC'!$A$6:$GR$316,199,FALSE) / 12)*0.3</f>
        <v>0.87499999999999989</v>
      </c>
      <c r="L236" s="846">
        <f>I236*'1. Cops de calor'!$C$32/30</f>
        <v>374.49486579408352</v>
      </c>
      <c r="M236" s="846">
        <f>J236*'1. Cops de calor'!$C$33/30</f>
        <v>58.892564845783873</v>
      </c>
      <c r="N236" s="846">
        <f>K236*'1. Cops de calor'!$C$34*0.25/30</f>
        <v>13781.249999999996</v>
      </c>
      <c r="O236" s="779">
        <f t="shared" si="31"/>
        <v>575692.81594091444</v>
      </c>
      <c r="P236" s="848">
        <f>O236*'A. Dades de partida'!$D$10</f>
        <v>8635392.2391137164</v>
      </c>
      <c r="Q236">
        <f t="shared" si="32"/>
        <v>0.30000000000000004</v>
      </c>
      <c r="R236">
        <f t="shared" si="33"/>
        <v>60.449999999999996</v>
      </c>
      <c r="S236">
        <f>I236+(I236*'1. Cops de calor'!$C$40)</f>
        <v>27.590691507805968</v>
      </c>
      <c r="T236">
        <f>J236*'1. Cops de calor'!$C$41+J236</f>
        <v>12.661901441843531</v>
      </c>
      <c r="U236">
        <f>'1. Cops de calor'!$C$42*K236+K236</f>
        <v>0.90999999999999992</v>
      </c>
      <c r="V236">
        <f>S236*'1. Cops de calor'!$C$32/30</f>
        <v>395.46657827855222</v>
      </c>
      <c r="W236">
        <f>T236*'1. Cops de calor'!$C$33/30</f>
        <v>63.309507209217649</v>
      </c>
      <c r="X236">
        <f>K236*'1. Cops de calor'!$C$34/30</f>
        <v>55124.999999999985</v>
      </c>
      <c r="Y236">
        <f t="shared" si="34"/>
        <v>55583.776085487756</v>
      </c>
      <c r="Z236" s="849">
        <f>Y236*(Q236+R236)*'A. Dades de partida'!$D$10</f>
        <v>50650715.95790071</v>
      </c>
      <c r="AA236" s="850">
        <f t="shared" si="35"/>
        <v>42015323.718786992</v>
      </c>
      <c r="AB236" t="str">
        <f>VLOOKUP(B236,'BD ASVICC'!$A$6:$BG$316,59,FALSE)</f>
        <v>LITORAL</v>
      </c>
      <c r="AC236">
        <f t="shared" si="27"/>
        <v>0.5</v>
      </c>
      <c r="AD236">
        <f t="shared" si="28"/>
        <v>0.5</v>
      </c>
    </row>
    <row r="237" spans="1:30">
      <c r="A237">
        <v>8236</v>
      </c>
      <c r="B237" t="s">
        <v>1532</v>
      </c>
      <c r="C237" t="s">
        <v>791</v>
      </c>
      <c r="D237">
        <f>VLOOKUP(A237,'temperatures màximes'!$A$4:$U$314,'temperatures màximes'!U$1,FALSE)</f>
        <v>20</v>
      </c>
      <c r="E237">
        <f>VLOOKUP(A237,'nits tropicals'!$A$4:$U$314,'nits tropicals'!U$1,FALSE)</f>
        <v>8</v>
      </c>
      <c r="F237">
        <f t="shared" si="29"/>
        <v>2</v>
      </c>
      <c r="G237">
        <f t="shared" si="30"/>
        <v>0.8</v>
      </c>
      <c r="H237" s="840">
        <f>VLOOKUP(B237,'BD ASVICC'!$A$6:$X$316,24,FALSE)/VLOOKUP(C237,'BD Comarcal'!$A$6:$Z$17,26,FALSE)</f>
        <v>1.9957657021877205E-2</v>
      </c>
      <c r="I237" s="839">
        <f>(VLOOKUP(C237,'BD Altres'!$D$74:$H$84,5,FALSE) * 1000 / 12) * H237*0.035</f>
        <v>39.488296693090177</v>
      </c>
      <c r="J237" s="839">
        <f>(VLOOKUP(C237,'BD Altres'!$D$74:$H$84,3,FALSE) / 12) * H237*0.25</f>
        <v>5.115324138947555</v>
      </c>
      <c r="K237">
        <f>(VLOOKUP(B237,'BD ASVICC'!$A$6:$GR$316,199,FALSE) / 12)*0.3</f>
        <v>0.54999999999999993</v>
      </c>
      <c r="L237" s="846">
        <f>I237*'1. Cops de calor'!$C$32/30</f>
        <v>565.99891926762587</v>
      </c>
      <c r="M237" s="846">
        <f>J237*'1. Cops de calor'!$C$33/30</f>
        <v>25.576620694737773</v>
      </c>
      <c r="N237" s="846">
        <f>K237*'1. Cops de calor'!$C$34*0.25/30</f>
        <v>8662.4999999999982</v>
      </c>
      <c r="O237" s="779">
        <f t="shared" si="31"/>
        <v>25911.41151189461</v>
      </c>
      <c r="P237" s="848">
        <f>O237*'A. Dades de partida'!$D$10</f>
        <v>388671.17267841916</v>
      </c>
      <c r="Q237">
        <f t="shared" si="32"/>
        <v>3</v>
      </c>
      <c r="R237">
        <f t="shared" si="33"/>
        <v>1.2000000000000002</v>
      </c>
      <c r="S237">
        <f>I237+(I237*'1. Cops de calor'!$C$40)</f>
        <v>41.699641307903228</v>
      </c>
      <c r="T237">
        <f>J237*'1. Cops de calor'!$C$41+J237</f>
        <v>5.4989734493686218</v>
      </c>
      <c r="U237">
        <f>'1. Cops de calor'!$C$42*K237+K237</f>
        <v>0.57199999999999995</v>
      </c>
      <c r="V237">
        <f>S237*'1. Cops de calor'!$C$32/30</f>
        <v>597.69485874661291</v>
      </c>
      <c r="W237">
        <f>T237*'1. Cops de calor'!$C$33/30</f>
        <v>27.494867246843111</v>
      </c>
      <c r="X237">
        <f>K237*'1. Cops de calor'!$C$34/30</f>
        <v>34649.999999999993</v>
      </c>
      <c r="Y237">
        <f t="shared" si="34"/>
        <v>35275.189725993449</v>
      </c>
      <c r="Z237" s="849">
        <f>Y237*(Q237+R237)*'A. Dades de partida'!$D$10</f>
        <v>2222336.9527375875</v>
      </c>
      <c r="AA237" s="850">
        <f t="shared" si="35"/>
        <v>1833665.7800591683</v>
      </c>
      <c r="AB237" t="str">
        <f>VLOOKUP(B237,'BD ASVICC'!$A$6:$BG$316,59,FALSE)</f>
        <v>CENTRAL</v>
      </c>
      <c r="AC237">
        <f t="shared" si="27"/>
        <v>0.5</v>
      </c>
      <c r="AD237">
        <f t="shared" si="28"/>
        <v>0.5</v>
      </c>
    </row>
    <row r="238" spans="1:30">
      <c r="A238">
        <v>8237</v>
      </c>
      <c r="B238" t="s">
        <v>1536</v>
      </c>
      <c r="C238" t="s">
        <v>88</v>
      </c>
      <c r="D238">
        <f>VLOOKUP(A238,'temperatures màximes'!$A$4:$U$314,'temperatures màximes'!U$1,FALSE)</f>
        <v>53</v>
      </c>
      <c r="E238">
        <f>VLOOKUP(A238,'nits tropicals'!$A$4:$U$314,'nits tropicals'!U$1,FALSE)</f>
        <v>0</v>
      </c>
      <c r="F238">
        <f t="shared" si="29"/>
        <v>5.3</v>
      </c>
      <c r="G238">
        <f t="shared" si="30"/>
        <v>0</v>
      </c>
      <c r="H238" s="840">
        <f>VLOOKUP(B238,'BD ASVICC'!$A$6:$X$316,24,FALSE)/VLOOKUP(C238,'BD Comarcal'!$A$6:$Z$17,26,FALSE)</f>
        <v>1.3653214769887113E-2</v>
      </c>
      <c r="I238" s="839">
        <f>(VLOOKUP(C238,'BD Altres'!$D$74:$H$84,5,FALSE) * 1000 / 12) * H238*0.035</f>
        <v>15.192045851243142</v>
      </c>
      <c r="J238" s="839">
        <f>(VLOOKUP(C238,'BD Altres'!$D$74:$H$84,3,FALSE) / 12) * H238*0.25</f>
        <v>9.7190978223390143</v>
      </c>
      <c r="K238">
        <f>(VLOOKUP(B238,'BD ASVICC'!$A$6:$GR$316,199,FALSE) / 12)*0.3</f>
        <v>0.57499999999999996</v>
      </c>
      <c r="L238" s="846">
        <f>I238*'1. Cops de calor'!$C$32/30</f>
        <v>217.75265720115169</v>
      </c>
      <c r="M238" s="846">
        <f>J238*'1. Cops de calor'!$C$33/30</f>
        <v>48.595489111695073</v>
      </c>
      <c r="N238" s="846">
        <f>K238*'1. Cops de calor'!$C$34*0.25/30</f>
        <v>9056.2499999999982</v>
      </c>
      <c r="O238" s="779">
        <f t="shared" si="31"/>
        <v>49409.770175458078</v>
      </c>
      <c r="P238" s="848">
        <f>O238*'A. Dades de partida'!$D$10</f>
        <v>741146.55263187119</v>
      </c>
      <c r="Q238">
        <f t="shared" si="32"/>
        <v>7.9499999999999993</v>
      </c>
      <c r="R238">
        <f t="shared" si="33"/>
        <v>0</v>
      </c>
      <c r="S238">
        <f>I238+(I238*'1. Cops de calor'!$C$40)</f>
        <v>16.042800418912758</v>
      </c>
      <c r="T238">
        <f>J238*'1. Cops de calor'!$C$41+J238</f>
        <v>10.44803015901444</v>
      </c>
      <c r="U238">
        <f>'1. Cops de calor'!$C$42*K238+K238</f>
        <v>0.59799999999999998</v>
      </c>
      <c r="V238">
        <f>S238*'1. Cops de calor'!$C$32/30</f>
        <v>229.94680600441623</v>
      </c>
      <c r="W238">
        <f>T238*'1. Cops de calor'!$C$33/30</f>
        <v>52.240150795072196</v>
      </c>
      <c r="X238">
        <f>K238*'1. Cops de calor'!$C$34/30</f>
        <v>36224.999999999993</v>
      </c>
      <c r="Y238">
        <f t="shared" si="34"/>
        <v>36507.18695679948</v>
      </c>
      <c r="Z238" s="849">
        <f>Y238*(Q238+R238)*'A. Dades de partida'!$D$10</f>
        <v>4353482.0445983373</v>
      </c>
      <c r="AA238" s="850">
        <f t="shared" si="35"/>
        <v>3612335.491966466</v>
      </c>
      <c r="AB238" t="str">
        <f>VLOOKUP(B238,'BD ASVICC'!$A$6:$BG$316,59,FALSE)</f>
        <v>PREPIRINEU-PIRINEU</v>
      </c>
      <c r="AC238">
        <f t="shared" si="27"/>
        <v>0.5</v>
      </c>
      <c r="AD238">
        <f t="shared" si="28"/>
        <v>0.5</v>
      </c>
    </row>
    <row r="239" spans="1:30">
      <c r="A239">
        <v>8238</v>
      </c>
      <c r="B239" t="s">
        <v>1538</v>
      </c>
      <c r="C239" t="s">
        <v>89</v>
      </c>
      <c r="D239">
        <f>VLOOKUP(A239,'temperatures màximes'!$A$4:$U$314,'temperatures màximes'!U$1,FALSE)</f>
        <v>37</v>
      </c>
      <c r="E239">
        <f>VLOOKUP(A239,'nits tropicals'!$A$4:$U$314,'nits tropicals'!U$1,FALSE)</f>
        <v>39</v>
      </c>
      <c r="F239">
        <f t="shared" si="29"/>
        <v>3.7</v>
      </c>
      <c r="G239">
        <f t="shared" si="30"/>
        <v>3.9</v>
      </c>
      <c r="H239" s="840">
        <f>VLOOKUP(B239,'BD ASVICC'!$A$6:$X$316,24,FALSE)/VLOOKUP(C239,'BD Comarcal'!$A$6:$Z$17,26,FALSE)</f>
        <v>2.1746438998495973E-2</v>
      </c>
      <c r="I239" s="839">
        <f>(VLOOKUP(C239,'BD Altres'!$D$74:$H$84,5,FALSE) * 1000 / 12) * H239*0.035</f>
        <v>88.036886678773925</v>
      </c>
      <c r="J239" s="839">
        <f>(VLOOKUP(C239,'BD Altres'!$D$74:$H$84,3,FALSE) / 12) * H239*0.25</f>
        <v>38.643441124118368</v>
      </c>
      <c r="K239">
        <f>(VLOOKUP(B239,'BD ASVICC'!$A$6:$GR$316,199,FALSE) / 12)*0.3</f>
        <v>3.1</v>
      </c>
      <c r="L239" s="846">
        <f>I239*'1. Cops de calor'!$C$32/30</f>
        <v>1261.8620423957595</v>
      </c>
      <c r="M239" s="846">
        <f>J239*'1. Cops de calor'!$C$33/30</f>
        <v>193.21720562059184</v>
      </c>
      <c r="N239" s="846">
        <f>K239*'1. Cops de calor'!$C$34*0.25/30</f>
        <v>48824.999999999993</v>
      </c>
      <c r="O239" s="779">
        <f t="shared" si="31"/>
        <v>382128.60228492419</v>
      </c>
      <c r="P239" s="848">
        <f>O239*'A. Dades de partida'!$D$10</f>
        <v>5731929.0342738628</v>
      </c>
      <c r="Q239">
        <f t="shared" si="32"/>
        <v>5.5500000000000007</v>
      </c>
      <c r="R239">
        <f t="shared" si="33"/>
        <v>5.85</v>
      </c>
      <c r="S239">
        <f>I239+(I239*'1. Cops de calor'!$C$40)</f>
        <v>92.966952332785269</v>
      </c>
      <c r="T239">
        <f>J239*'1. Cops de calor'!$C$41+J239</f>
        <v>41.541699208427247</v>
      </c>
      <c r="U239">
        <f>'1. Cops de calor'!$C$42*K239+K239</f>
        <v>3.2240000000000002</v>
      </c>
      <c r="V239">
        <f>S239*'1. Cops de calor'!$C$32/30</f>
        <v>1332.5263167699222</v>
      </c>
      <c r="W239">
        <f>T239*'1. Cops de calor'!$C$33/30</f>
        <v>207.70849604213623</v>
      </c>
      <c r="X239">
        <f>K239*'1. Cops de calor'!$C$34/30</f>
        <v>195299.99999999997</v>
      </c>
      <c r="Y239">
        <f t="shared" si="34"/>
        <v>196840.23481281204</v>
      </c>
      <c r="Z239" s="849">
        <f>Y239*(Q239+R239)*'A. Dades de partida'!$D$10</f>
        <v>33659680.152990863</v>
      </c>
      <c r="AA239" s="850">
        <f t="shared" si="35"/>
        <v>27927751.118717</v>
      </c>
      <c r="AB239" t="str">
        <f>VLOOKUP(B239,'BD ASVICC'!$A$6:$BG$316,59,FALSE)</f>
        <v>LITORAL</v>
      </c>
      <c r="AC239">
        <f t="shared" si="27"/>
        <v>0.5</v>
      </c>
      <c r="AD239">
        <f t="shared" si="28"/>
        <v>0.5</v>
      </c>
    </row>
    <row r="240" spans="1:30">
      <c r="A240">
        <v>8239</v>
      </c>
      <c r="B240" t="s">
        <v>1542</v>
      </c>
      <c r="C240" t="s">
        <v>24</v>
      </c>
      <c r="D240">
        <f>VLOOKUP(A240,'temperatures màximes'!$A$4:$U$314,'temperatures màximes'!U$1,FALSE)</f>
        <v>30</v>
      </c>
      <c r="E240">
        <f>VLOOKUP(A240,'nits tropicals'!$A$4:$U$314,'nits tropicals'!U$1,FALSE)</f>
        <v>0</v>
      </c>
      <c r="F240">
        <f t="shared" si="29"/>
        <v>3</v>
      </c>
      <c r="G240">
        <f t="shared" si="30"/>
        <v>0</v>
      </c>
      <c r="H240" s="840">
        <f>VLOOKUP(B240,'BD ASVICC'!$A$6:$X$316,24,FALSE)/VLOOKUP(C240,'BD Comarcal'!$A$6:$Z$17,26,FALSE)</f>
        <v>1.5871908466180626E-3</v>
      </c>
      <c r="I240" s="839">
        <f>(VLOOKUP(C240,'BD Altres'!$D$74:$H$84,5,FALSE) * 1000 / 12) * H240*0.035</f>
        <v>11.232282612911796</v>
      </c>
      <c r="J240" s="839">
        <f>(VLOOKUP(C240,'BD Altres'!$D$74:$H$84,3,FALSE) / 12) * H240*0.25</f>
        <v>2.5252442689578709</v>
      </c>
      <c r="K240">
        <f>(VLOOKUP(B240,'BD ASVICC'!$A$6:$GR$316,199,FALSE) / 12)*0.3</f>
        <v>7.4999999999999997E-2</v>
      </c>
      <c r="L240" s="846">
        <f>I240*'1. Cops de calor'!$C$32/30</f>
        <v>160.99605078506909</v>
      </c>
      <c r="M240" s="846">
        <f>J240*'1. Cops de calor'!$C$33/30</f>
        <v>12.626221344789354</v>
      </c>
      <c r="N240" s="846">
        <f>K240*'1. Cops de calor'!$C$34*0.25/30</f>
        <v>1181.2499999999998</v>
      </c>
      <c r="O240" s="779">
        <f t="shared" si="31"/>
        <v>4064.6168163895745</v>
      </c>
      <c r="P240" s="848">
        <f>O240*'A. Dades de partida'!$D$10</f>
        <v>60969.252245843614</v>
      </c>
      <c r="Q240">
        <f t="shared" si="32"/>
        <v>4.5</v>
      </c>
      <c r="R240">
        <f t="shared" si="33"/>
        <v>0</v>
      </c>
      <c r="S240">
        <f>I240+(I240*'1. Cops de calor'!$C$40)</f>
        <v>11.861290439234857</v>
      </c>
      <c r="T240">
        <f>J240*'1. Cops de calor'!$C$41+J240</f>
        <v>2.7146375891297114</v>
      </c>
      <c r="U240">
        <f>'1. Cops de calor'!$C$42*K240+K240</f>
        <v>7.8E-2</v>
      </c>
      <c r="V240">
        <f>S240*'1. Cops de calor'!$C$32/30</f>
        <v>170.01182962903295</v>
      </c>
      <c r="W240">
        <f>T240*'1. Cops de calor'!$C$33/30</f>
        <v>13.573187945648558</v>
      </c>
      <c r="X240">
        <f>K240*'1. Cops de calor'!$C$34/30</f>
        <v>4724.9999999999991</v>
      </c>
      <c r="Y240">
        <f t="shared" si="34"/>
        <v>4908.5850175746809</v>
      </c>
      <c r="Z240" s="849">
        <f>Y240*(Q240+R240)*'A. Dades de partida'!$D$10</f>
        <v>331329.48868629098</v>
      </c>
      <c r="AA240" s="850">
        <f t="shared" si="35"/>
        <v>270360.23644044739</v>
      </c>
      <c r="AB240" t="str">
        <f>VLOOKUP(B240,'BD ASVICC'!$A$6:$BG$316,59,FALSE)</f>
        <v>CENTRAL</v>
      </c>
      <c r="AC240">
        <f t="shared" si="27"/>
        <v>0.5</v>
      </c>
      <c r="AD240">
        <f t="shared" si="28"/>
        <v>0.5</v>
      </c>
    </row>
    <row r="241" spans="1:30">
      <c r="A241">
        <v>8240</v>
      </c>
      <c r="B241" t="s">
        <v>1544</v>
      </c>
      <c r="C241" t="s">
        <v>791</v>
      </c>
      <c r="D241">
        <f>VLOOKUP(A241,'temperatures màximes'!$A$4:$U$314,'temperatures màximes'!U$1,FALSE)</f>
        <v>37</v>
      </c>
      <c r="E241">
        <f>VLOOKUP(A241,'nits tropicals'!$A$4:$U$314,'nits tropicals'!U$1,FALSE)</f>
        <v>7</v>
      </c>
      <c r="F241">
        <f t="shared" si="29"/>
        <v>3.7</v>
      </c>
      <c r="G241">
        <f t="shared" si="30"/>
        <v>0.7</v>
      </c>
      <c r="H241" s="840">
        <f>VLOOKUP(B241,'BD ASVICC'!$A$6:$X$316,24,FALSE)/VLOOKUP(C241,'BD Comarcal'!$A$6:$Z$17,26,FALSE)</f>
        <v>0.11906845448129852</v>
      </c>
      <c r="I241" s="839">
        <f>(VLOOKUP(C241,'BD Altres'!$D$74:$H$84,5,FALSE) * 1000 / 12) * H241*0.035</f>
        <v>235.58930049710659</v>
      </c>
      <c r="J241" s="839">
        <f>(VLOOKUP(C241,'BD Altres'!$D$74:$H$84,3,FALSE) / 12) * H241*0.25</f>
        <v>30.518298752589519</v>
      </c>
      <c r="K241">
        <f>(VLOOKUP(B241,'BD ASVICC'!$A$6:$GR$316,199,FALSE) / 12)*0.3</f>
        <v>2.3249999999999997</v>
      </c>
      <c r="L241" s="846">
        <f>I241*'1. Cops de calor'!$C$32/30</f>
        <v>3376.7799737918613</v>
      </c>
      <c r="M241" s="846">
        <f>J241*'1. Cops de calor'!$C$33/30</f>
        <v>152.59149376294761</v>
      </c>
      <c r="N241" s="846">
        <f>K241*'1. Cops de calor'!$C$34*0.25/30</f>
        <v>36618.749999999993</v>
      </c>
      <c r="O241" s="779">
        <f t="shared" si="31"/>
        <v>176651.73445724114</v>
      </c>
      <c r="P241" s="848">
        <f>O241*'A. Dades de partida'!$D$10</f>
        <v>2649776.0168586168</v>
      </c>
      <c r="Q241">
        <f t="shared" si="32"/>
        <v>5.5500000000000007</v>
      </c>
      <c r="R241">
        <f t="shared" si="33"/>
        <v>1.0499999999999998</v>
      </c>
      <c r="S241">
        <f>I241+(I241*'1. Cops de calor'!$C$40)</f>
        <v>248.78230132494457</v>
      </c>
      <c r="T241">
        <f>J241*'1. Cops de calor'!$C$41+J241</f>
        <v>32.807171159033736</v>
      </c>
      <c r="U241">
        <f>'1. Cops de calor'!$C$42*K241+K241</f>
        <v>2.4179999999999997</v>
      </c>
      <c r="V241">
        <f>S241*'1. Cops de calor'!$C$32/30</f>
        <v>3565.8796523242054</v>
      </c>
      <c r="W241">
        <f>T241*'1. Cops de calor'!$C$33/30</f>
        <v>164.03585579516869</v>
      </c>
      <c r="X241">
        <f>K241*'1. Cops de calor'!$C$34/30</f>
        <v>146474.99999999997</v>
      </c>
      <c r="Y241">
        <f t="shared" si="34"/>
        <v>150204.91550811933</v>
      </c>
      <c r="Z241" s="849">
        <f>Y241*(Q241+R241)*'A. Dades de partida'!$D$10</f>
        <v>14870286.635303816</v>
      </c>
      <c r="AA241" s="850">
        <f t="shared" si="35"/>
        <v>12220510.618445199</v>
      </c>
      <c r="AB241" t="str">
        <f>VLOOKUP(B241,'BD ASVICC'!$A$6:$BG$316,59,FALSE)</f>
        <v>LITORAL</v>
      </c>
      <c r="AC241">
        <f t="shared" si="27"/>
        <v>0.5</v>
      </c>
      <c r="AD241">
        <f t="shared" si="28"/>
        <v>0.5</v>
      </c>
    </row>
    <row r="242" spans="1:30">
      <c r="A242">
        <v>8241</v>
      </c>
      <c r="B242" t="s">
        <v>1549</v>
      </c>
      <c r="C242" t="s">
        <v>88</v>
      </c>
      <c r="D242">
        <f>VLOOKUP(A242,'temperatures màximes'!$A$4:$U$314,'temperatures màximes'!U$1,FALSE)</f>
        <v>83</v>
      </c>
      <c r="E242">
        <f>VLOOKUP(A242,'nits tropicals'!$A$4:$U$314,'nits tropicals'!U$1,FALSE)</f>
        <v>0</v>
      </c>
      <c r="F242">
        <f t="shared" si="29"/>
        <v>8.3000000000000007</v>
      </c>
      <c r="G242">
        <f t="shared" si="30"/>
        <v>0</v>
      </c>
      <c r="H242" s="840">
        <f>VLOOKUP(B242,'BD ASVICC'!$A$6:$X$316,24,FALSE)/VLOOKUP(C242,'BD Comarcal'!$A$6:$Z$17,26,FALSE)</f>
        <v>5.1400337957222073E-4</v>
      </c>
      <c r="I242" s="839">
        <f>(VLOOKUP(C242,'BD Altres'!$D$74:$H$84,5,FALSE) * 1000 / 12) * H242*0.035</f>
        <v>0.57193584381150653</v>
      </c>
      <c r="J242" s="839">
        <f>(VLOOKUP(C242,'BD Altres'!$D$74:$H$84,3,FALSE) / 12) * H242*0.25</f>
        <v>0.36589544742923352</v>
      </c>
      <c r="K242">
        <f>(VLOOKUP(B242,'BD ASVICC'!$A$6:$GR$316,199,FALSE) / 12)*0.3</f>
        <v>4.9999999999999996E-2</v>
      </c>
      <c r="L242" s="846">
        <f>I242*'1. Cops de calor'!$C$32/30</f>
        <v>8.1977470946315929</v>
      </c>
      <c r="M242" s="846">
        <f>J242*'1. Cops de calor'!$C$33/30</f>
        <v>1.8294772371461676</v>
      </c>
      <c r="N242" s="846">
        <f>K242*'1. Cops de calor'!$C$34*0.25/30</f>
        <v>787.49999999999989</v>
      </c>
      <c r="O242" s="779">
        <f t="shared" si="31"/>
        <v>6619.4759619537554</v>
      </c>
      <c r="P242" s="848">
        <f>O242*'A. Dades de partida'!$D$10</f>
        <v>99292.139429306335</v>
      </c>
      <c r="Q242">
        <f t="shared" si="32"/>
        <v>12.450000000000001</v>
      </c>
      <c r="R242">
        <f t="shared" si="33"/>
        <v>0</v>
      </c>
      <c r="S242">
        <f>I242+(I242*'1. Cops de calor'!$C$40)</f>
        <v>0.60396425106495089</v>
      </c>
      <c r="T242">
        <f>J242*'1. Cops de calor'!$C$41+J242</f>
        <v>0.39333760598642603</v>
      </c>
      <c r="U242">
        <f>'1. Cops de calor'!$C$42*K242+K242</f>
        <v>5.1999999999999998E-2</v>
      </c>
      <c r="V242">
        <f>S242*'1. Cops de calor'!$C$32/30</f>
        <v>8.6568209319309624</v>
      </c>
      <c r="W242">
        <f>T242*'1. Cops de calor'!$C$33/30</f>
        <v>1.9666880299321301</v>
      </c>
      <c r="X242">
        <f>K242*'1. Cops de calor'!$C$34/30</f>
        <v>3149.9999999999995</v>
      </c>
      <c r="Y242">
        <f t="shared" si="34"/>
        <v>3160.6235089618626</v>
      </c>
      <c r="Z242" s="849">
        <f>Y242*(Q242+R242)*'A. Dades de partida'!$D$10</f>
        <v>590246.44029862795</v>
      </c>
      <c r="AA242" s="850">
        <f t="shared" si="35"/>
        <v>490954.30086932163</v>
      </c>
      <c r="AB242" t="str">
        <f>VLOOKUP(B242,'BD ASVICC'!$A$6:$BG$316,59,FALSE)</f>
        <v>CENTRAL</v>
      </c>
      <c r="AC242">
        <f t="shared" si="27"/>
        <v>0.5</v>
      </c>
      <c r="AD242">
        <f t="shared" si="28"/>
        <v>0.5</v>
      </c>
    </row>
    <row r="243" spans="1:30">
      <c r="A243">
        <v>8242</v>
      </c>
      <c r="B243" t="s">
        <v>1555</v>
      </c>
      <c r="C243" t="s">
        <v>82</v>
      </c>
      <c r="D243">
        <f>VLOOKUP(A243,'temperatures màximes'!$A$4:$U$314,'temperatures màximes'!U$1,FALSE)</f>
        <v>143</v>
      </c>
      <c r="E243">
        <f>VLOOKUP(A243,'nits tropicals'!$A$4:$U$314,'nits tropicals'!U$1,FALSE)</f>
        <v>2</v>
      </c>
      <c r="F243">
        <f t="shared" si="29"/>
        <v>14.3</v>
      </c>
      <c r="G243">
        <f t="shared" si="30"/>
        <v>0.2</v>
      </c>
      <c r="H243" s="840">
        <f>VLOOKUP(B243,'BD ASVICC'!$A$6:$X$316,24,FALSE)/VLOOKUP(C243,'BD Comarcal'!$A$6:$Z$17,26,FALSE)</f>
        <v>1.5884758087176929E-3</v>
      </c>
      <c r="I243" s="839">
        <f>(VLOOKUP(C243,'BD Altres'!$D$74:$H$84,5,FALSE) * 1000 / 12) * H243*0.035</f>
        <v>4.5444678140750021</v>
      </c>
      <c r="J243" s="839">
        <f>(VLOOKUP(C243,'BD Altres'!$D$74:$H$84,3,FALSE) / 12) * H243*0.25</f>
        <v>39.729364396705556</v>
      </c>
      <c r="K243">
        <f>(VLOOKUP(B243,'BD ASVICC'!$A$6:$GR$316,199,FALSE) / 12)*0.3</f>
        <v>0.22499999999999998</v>
      </c>
      <c r="L243" s="846">
        <f>I243*'1. Cops de calor'!$C$32/30</f>
        <v>65.137372001741696</v>
      </c>
      <c r="M243" s="846">
        <f>J243*'1. Cops de calor'!$C$33/30</f>
        <v>198.64682198352779</v>
      </c>
      <c r="N243" s="846">
        <f>K243*'1. Cops de calor'!$C$34*0.25/30</f>
        <v>3543.7499999999991</v>
      </c>
      <c r="O243" s="779">
        <f t="shared" si="31"/>
        <v>55209.245812786394</v>
      </c>
      <c r="P243" s="848">
        <f>O243*'A. Dades de partida'!$D$10</f>
        <v>828138.68719179591</v>
      </c>
      <c r="Q243">
        <f t="shared" si="32"/>
        <v>21.450000000000003</v>
      </c>
      <c r="R243">
        <f t="shared" si="33"/>
        <v>0.30000000000000004</v>
      </c>
      <c r="S243">
        <f>I243+(I243*'1. Cops de calor'!$C$40)</f>
        <v>4.7989580116632018</v>
      </c>
      <c r="T243">
        <f>J243*'1. Cops de calor'!$C$41+J243</f>
        <v>42.709066726458474</v>
      </c>
      <c r="U243">
        <f>'1. Cops de calor'!$C$42*K243+K243</f>
        <v>0.23399999999999999</v>
      </c>
      <c r="V243">
        <f>S243*'1. Cops de calor'!$C$32/30</f>
        <v>68.785064833839229</v>
      </c>
      <c r="W243">
        <f>T243*'1. Cops de calor'!$C$33/30</f>
        <v>213.54533363229237</v>
      </c>
      <c r="X243">
        <f>K243*'1. Cops de calor'!$C$34/30</f>
        <v>14174.999999999996</v>
      </c>
      <c r="Y243">
        <f t="shared" si="34"/>
        <v>14457.330398466129</v>
      </c>
      <c r="Z243" s="849">
        <f>Y243*(Q243+R243)*'A. Dades de partida'!$D$10</f>
        <v>4716704.0424995748</v>
      </c>
      <c r="AA243" s="850">
        <f t="shared" si="35"/>
        <v>3888565.3553077788</v>
      </c>
      <c r="AB243" t="str">
        <f>VLOOKUP(B243,'BD ASVICC'!$A$6:$BG$316,59,FALSE)</f>
        <v>CENTRAL</v>
      </c>
      <c r="AC243">
        <f t="shared" si="27"/>
        <v>0.5</v>
      </c>
      <c r="AD243">
        <f t="shared" si="28"/>
        <v>0.5</v>
      </c>
    </row>
    <row r="244" spans="1:30">
      <c r="A244">
        <v>8243</v>
      </c>
      <c r="B244" t="s">
        <v>1556</v>
      </c>
      <c r="C244" t="s">
        <v>88</v>
      </c>
      <c r="D244">
        <f>VLOOKUP(A244,'temperatures màximes'!$A$4:$U$314,'temperatures màximes'!U$1,FALSE)</f>
        <v>83</v>
      </c>
      <c r="E244">
        <f>VLOOKUP(A244,'nits tropicals'!$A$4:$U$314,'nits tropicals'!U$1,FALSE)</f>
        <v>0</v>
      </c>
      <c r="F244">
        <f t="shared" si="29"/>
        <v>8.3000000000000007</v>
      </c>
      <c r="G244">
        <f t="shared" si="30"/>
        <v>0</v>
      </c>
      <c r="H244" s="840">
        <f>VLOOKUP(B244,'BD ASVICC'!$A$6:$X$316,24,FALSE)/VLOOKUP(C244,'BD Comarcal'!$A$6:$Z$17,26,FALSE)</f>
        <v>1.1757827307714548E-3</v>
      </c>
      <c r="I244" s="839">
        <f>(VLOOKUP(C244,'BD Altres'!$D$74:$H$84,5,FALSE) * 1000 / 12) * H244*0.035</f>
        <v>1.3083032427188213</v>
      </c>
      <c r="J244" s="839">
        <f>(VLOOKUP(C244,'BD Altres'!$D$74:$H$84,3,FALSE) / 12) * H244*0.25</f>
        <v>0.8369858359943716</v>
      </c>
      <c r="K244">
        <f>(VLOOKUP(B244,'BD ASVICC'!$A$6:$GR$316,199,FALSE) / 12)*0.3</f>
        <v>0</v>
      </c>
      <c r="L244" s="846">
        <f>I244*'1. Cops de calor'!$C$32/30</f>
        <v>18.752346478969773</v>
      </c>
      <c r="M244" s="846">
        <f>J244*'1. Cops de calor'!$C$33/30</f>
        <v>4.1849291799718582</v>
      </c>
      <c r="N244" s="846">
        <f>K244*'1. Cops de calor'!$C$34*0.25/30</f>
        <v>0</v>
      </c>
      <c r="O244" s="779">
        <f t="shared" si="31"/>
        <v>190.37938796921554</v>
      </c>
      <c r="P244" s="848">
        <f>O244*'A. Dades de partida'!$D$10</f>
        <v>2855.690819538233</v>
      </c>
      <c r="Q244">
        <f t="shared" si="32"/>
        <v>12.450000000000001</v>
      </c>
      <c r="R244">
        <f t="shared" si="33"/>
        <v>0</v>
      </c>
      <c r="S244">
        <f>I244+(I244*'1. Cops de calor'!$C$40)</f>
        <v>1.3815682243110752</v>
      </c>
      <c r="T244">
        <f>J244*'1. Cops de calor'!$C$41+J244</f>
        <v>0.89975977369394944</v>
      </c>
      <c r="U244">
        <f>'1. Cops de calor'!$C$42*K244+K244</f>
        <v>0</v>
      </c>
      <c r="V244">
        <f>S244*'1. Cops de calor'!$C$32/30</f>
        <v>19.802477881792075</v>
      </c>
      <c r="W244">
        <f>T244*'1. Cops de calor'!$C$33/30</f>
        <v>4.4987988684697475</v>
      </c>
      <c r="X244">
        <f>K244*'1. Cops de calor'!$C$34/30</f>
        <v>0</v>
      </c>
      <c r="Y244">
        <f t="shared" si="34"/>
        <v>24.301276750261824</v>
      </c>
      <c r="Z244" s="849">
        <f>Y244*(Q244+R244)*'A. Dades de partida'!$D$10</f>
        <v>4538.2634331113959</v>
      </c>
      <c r="AA244" s="850">
        <f t="shared" si="35"/>
        <v>1682.5726135731629</v>
      </c>
      <c r="AB244" t="str">
        <f>VLOOKUP(B244,'BD ASVICC'!$A$6:$BG$316,59,FALSE)</f>
        <v>CENTRAL</v>
      </c>
      <c r="AC244">
        <f t="shared" si="27"/>
        <v>0.5</v>
      </c>
      <c r="AD244">
        <f t="shared" si="28"/>
        <v>0.5</v>
      </c>
    </row>
    <row r="245" spans="1:30">
      <c r="A245">
        <v>8244</v>
      </c>
      <c r="B245" t="s">
        <v>1558</v>
      </c>
      <c r="C245" t="s">
        <v>90</v>
      </c>
      <c r="D245">
        <f>VLOOKUP(A245,'temperatures màximes'!$A$4:$U$314,'temperatures màximes'!U$1,FALSE)</f>
        <v>102</v>
      </c>
      <c r="E245">
        <f>VLOOKUP(A245,'nits tropicals'!$A$4:$U$314,'nits tropicals'!U$1,FALSE)</f>
        <v>125</v>
      </c>
      <c r="F245">
        <f t="shared" si="29"/>
        <v>10.199999999999999</v>
      </c>
      <c r="G245">
        <f t="shared" si="30"/>
        <v>12.5</v>
      </c>
      <c r="H245" s="840">
        <f>VLOOKUP(B245,'BD ASVICC'!$A$6:$X$316,24,FALSE)/VLOOKUP(C245,'BD Comarcal'!$A$6:$Z$17,26,FALSE)</f>
        <v>9.9681065042728396E-3</v>
      </c>
      <c r="I245" s="839">
        <f>(VLOOKUP(C245,'BD Altres'!$D$74:$H$84,5,FALSE) * 1000 / 12) * H245*0.035</f>
        <v>18.369108644584365</v>
      </c>
      <c r="J245" s="839">
        <f>(VLOOKUP(C245,'BD Altres'!$D$74:$H$84,3,FALSE) / 12) * H245*0.25</f>
        <v>56.024819089134098</v>
      </c>
      <c r="K245">
        <f>(VLOOKUP(B245,'BD ASVICC'!$A$6:$GR$316,199,FALSE) / 12)*0.3</f>
        <v>1</v>
      </c>
      <c r="L245" s="846">
        <f>I245*'1. Cops de calor'!$C$32/30</f>
        <v>263.29055723904258</v>
      </c>
      <c r="M245" s="846">
        <f>J245*'1. Cops de calor'!$C$33/30</f>
        <v>280.12409544567049</v>
      </c>
      <c r="N245" s="846">
        <f>K245*'1. Cops de calor'!$C$34*0.25/30</f>
        <v>15749.999999999998</v>
      </c>
      <c r="O245" s="779">
        <f t="shared" si="31"/>
        <v>369860.51261594292</v>
      </c>
      <c r="P245" s="848">
        <f>O245*'A. Dades de partida'!$D$10</f>
        <v>5547907.6892391434</v>
      </c>
      <c r="Q245">
        <f t="shared" si="32"/>
        <v>15.299999999999999</v>
      </c>
      <c r="R245">
        <f t="shared" si="33"/>
        <v>18.75</v>
      </c>
      <c r="S245">
        <f>I245+(I245*'1. Cops de calor'!$C$40)</f>
        <v>19.397778728681089</v>
      </c>
      <c r="T245">
        <f>J245*'1. Cops de calor'!$C$41+J245</f>
        <v>60.226680520819158</v>
      </c>
      <c r="U245">
        <f>'1. Cops de calor'!$C$42*K245+K245</f>
        <v>1.04</v>
      </c>
      <c r="V245">
        <f>S245*'1. Cops de calor'!$C$32/30</f>
        <v>278.03482844442897</v>
      </c>
      <c r="W245">
        <f>T245*'1. Cops de calor'!$C$33/30</f>
        <v>301.13340260409581</v>
      </c>
      <c r="X245">
        <f>K245*'1. Cops de calor'!$C$34/30</f>
        <v>62999.999999999993</v>
      </c>
      <c r="Y245">
        <f t="shared" si="34"/>
        <v>63579.168231048519</v>
      </c>
      <c r="Z245" s="849">
        <f>Y245*(Q245+R245)*'A. Dades de partida'!$D$10</f>
        <v>32473060.174008027</v>
      </c>
      <c r="AA245" s="850">
        <f t="shared" si="35"/>
        <v>26925152.484768882</v>
      </c>
      <c r="AB245" t="str">
        <f>VLOOKUP(B245,'BD ASVICC'!$A$6:$BG$316,59,FALSE)</f>
        <v>LITORAL</v>
      </c>
      <c r="AC245">
        <f t="shared" si="27"/>
        <v>0.5</v>
      </c>
      <c r="AD245">
        <f t="shared" si="28"/>
        <v>0.5</v>
      </c>
    </row>
    <row r="246" spans="1:30">
      <c r="A246">
        <v>8245</v>
      </c>
      <c r="B246" t="s">
        <v>1559</v>
      </c>
      <c r="C246" t="s">
        <v>83</v>
      </c>
      <c r="D246">
        <f>VLOOKUP(A246,'temperatures màximes'!$A$4:$U$314,'temperatures màximes'!U$1,FALSE)</f>
        <v>33</v>
      </c>
      <c r="E246">
        <f>VLOOKUP(A246,'nits tropicals'!$A$4:$U$314,'nits tropicals'!U$1,FALSE)</f>
        <v>199</v>
      </c>
      <c r="F246">
        <f t="shared" si="29"/>
        <v>3.3</v>
      </c>
      <c r="G246">
        <f t="shared" si="30"/>
        <v>19.899999999999999</v>
      </c>
      <c r="H246" s="840">
        <f>VLOOKUP(B246,'BD ASVICC'!$A$6:$X$316,24,FALSE)/VLOOKUP(C246,'BD Comarcal'!$A$6:$Z$17,26,FALSE)</f>
        <v>5.2468321634443774E-2</v>
      </c>
      <c r="I246" s="839">
        <f>(VLOOKUP(C246,'BD Altres'!$D$74:$H$84,5,FALSE) * 1000 / 12) * H246*0.035</f>
        <v>488.14639630882897</v>
      </c>
      <c r="J246" s="839">
        <f>(VLOOKUP(C246,'BD Altres'!$D$74:$H$84,3,FALSE) / 12) * H246*0.25</f>
        <v>278.70897391953611</v>
      </c>
      <c r="K246">
        <f>(VLOOKUP(B246,'BD ASVICC'!$A$6:$GR$316,199,FALSE) / 12)*0.3</f>
        <v>21.725000000000001</v>
      </c>
      <c r="L246" s="846">
        <f>I246*'1. Cops de calor'!$C$32/30</f>
        <v>6996.7650137598821</v>
      </c>
      <c r="M246" s="846">
        <f>J246*'1. Cops de calor'!$C$33/30</f>
        <v>1393.5448695976806</v>
      </c>
      <c r="N246" s="846">
        <f>K246*'1. Cops de calor'!$C$34*0.25/30</f>
        <v>342168.75</v>
      </c>
      <c r="O246" s="779">
        <f t="shared" si="31"/>
        <v>8132970.1892938949</v>
      </c>
      <c r="P246" s="848">
        <f>O246*'A. Dades de partida'!$D$10</f>
        <v>121994552.83940843</v>
      </c>
      <c r="Q246">
        <f t="shared" si="32"/>
        <v>4.9499999999999993</v>
      </c>
      <c r="R246">
        <f t="shared" si="33"/>
        <v>29.849999999999998</v>
      </c>
      <c r="S246">
        <f>I246+(I246*'1. Cops de calor'!$C$40)</f>
        <v>515.48259450212333</v>
      </c>
      <c r="T246">
        <f>J246*'1. Cops de calor'!$C$41+J246</f>
        <v>299.61214696350129</v>
      </c>
      <c r="U246">
        <f>'1. Cops de calor'!$C$42*K246+K246</f>
        <v>22.594000000000001</v>
      </c>
      <c r="V246">
        <f>S246*'1. Cops de calor'!$C$32/30</f>
        <v>7388.5838545304341</v>
      </c>
      <c r="W246">
        <f>T246*'1. Cops de calor'!$C$33/30</f>
        <v>1498.0607348175065</v>
      </c>
      <c r="X246">
        <f>K246*'1. Cops de calor'!$C$34/30</f>
        <v>1368675</v>
      </c>
      <c r="Y246">
        <f t="shared" si="34"/>
        <v>1377561.644589348</v>
      </c>
      <c r="Z246" s="849">
        <f>Y246*(Q246+R246)*'A. Dades de partida'!$D$10</f>
        <v>719087178.47563958</v>
      </c>
      <c r="AA246" s="850">
        <f t="shared" si="35"/>
        <v>597092625.63623118</v>
      </c>
      <c r="AB246" t="str">
        <f>VLOOKUP(B246,'BD ASVICC'!$A$6:$BG$316,59,FALSE)</f>
        <v>LITORAL</v>
      </c>
      <c r="AC246">
        <f t="shared" si="27"/>
        <v>0.5</v>
      </c>
      <c r="AD246">
        <f t="shared" si="28"/>
        <v>0.5</v>
      </c>
    </row>
    <row r="247" spans="1:30">
      <c r="A247">
        <v>8246</v>
      </c>
      <c r="B247" t="s">
        <v>1561</v>
      </c>
      <c r="C247" t="s">
        <v>88</v>
      </c>
      <c r="D247">
        <f>VLOOKUP(A247,'temperatures màximes'!$A$4:$U$314,'temperatures màximes'!U$1,FALSE)</f>
        <v>83</v>
      </c>
      <c r="E247">
        <f>VLOOKUP(A247,'nits tropicals'!$A$4:$U$314,'nits tropicals'!U$1,FALSE)</f>
        <v>0</v>
      </c>
      <c r="F247">
        <f t="shared" si="29"/>
        <v>8.3000000000000007</v>
      </c>
      <c r="G247">
        <f t="shared" si="30"/>
        <v>0</v>
      </c>
      <c r="H247" s="840">
        <f>VLOOKUP(B247,'BD ASVICC'!$A$6:$X$316,24,FALSE)/VLOOKUP(C247,'BD Comarcal'!$A$6:$Z$17,26,FALSE)</f>
        <v>1.4430644881490096E-2</v>
      </c>
      <c r="I247" s="839">
        <f>(VLOOKUP(C247,'BD Altres'!$D$74:$H$84,5,FALSE) * 1000 / 12) * H247*0.035</f>
        <v>16.057098815008043</v>
      </c>
      <c r="J247" s="839">
        <f>(VLOOKUP(C247,'BD Altres'!$D$74:$H$84,3,FALSE) / 12) * H247*0.25</f>
        <v>10.272514686575731</v>
      </c>
      <c r="K247">
        <f>(VLOOKUP(B247,'BD ASVICC'!$A$6:$GR$316,199,FALSE) / 12)*0.3</f>
        <v>0.35000000000000003</v>
      </c>
      <c r="L247" s="846">
        <f>I247*'1. Cops de calor'!$C$32/30</f>
        <v>230.15174968178195</v>
      </c>
      <c r="M247" s="846">
        <f>J247*'1. Cops de calor'!$C$33/30</f>
        <v>51.362573432878655</v>
      </c>
      <c r="N247" s="846">
        <f>K247*'1. Cops de calor'!$C$34*0.25/30</f>
        <v>5512.5</v>
      </c>
      <c r="O247" s="779">
        <f t="shared" si="31"/>
        <v>48090.318881851686</v>
      </c>
      <c r="P247" s="848">
        <f>O247*'A. Dades de partida'!$D$10</f>
        <v>721354.78322777525</v>
      </c>
      <c r="Q247">
        <f t="shared" si="32"/>
        <v>12.450000000000001</v>
      </c>
      <c r="R247">
        <f t="shared" si="33"/>
        <v>0</v>
      </c>
      <c r="S247">
        <f>I247+(I247*'1. Cops de calor'!$C$40)</f>
        <v>16.956296348648493</v>
      </c>
      <c r="T247">
        <f>J247*'1. Cops de calor'!$C$41+J247</f>
        <v>11.04295328806891</v>
      </c>
      <c r="U247">
        <f>'1. Cops de calor'!$C$42*K247+K247</f>
        <v>0.36400000000000005</v>
      </c>
      <c r="V247">
        <f>S247*'1. Cops de calor'!$C$32/30</f>
        <v>243.04024766396171</v>
      </c>
      <c r="W247">
        <f>T247*'1. Cops de calor'!$C$33/30</f>
        <v>55.214766440344548</v>
      </c>
      <c r="X247">
        <f>K247*'1. Cops de calor'!$C$34/30</f>
        <v>22050</v>
      </c>
      <c r="Y247">
        <f t="shared" si="34"/>
        <v>22348.255014104307</v>
      </c>
      <c r="Z247" s="849">
        <f>Y247*(Q247+R247)*'A. Dades de partida'!$D$10</f>
        <v>4173536.6238839794</v>
      </c>
      <c r="AA247" s="850">
        <f t="shared" si="35"/>
        <v>3452181.8406562041</v>
      </c>
      <c r="AB247" t="str">
        <f>VLOOKUP(B247,'BD ASVICC'!$A$6:$BG$316,59,FALSE)</f>
        <v>CENTRAL</v>
      </c>
      <c r="AC247">
        <f t="shared" si="27"/>
        <v>0.5</v>
      </c>
      <c r="AD247">
        <f t="shared" si="28"/>
        <v>0.5</v>
      </c>
    </row>
    <row r="248" spans="1:30">
      <c r="A248">
        <v>8247</v>
      </c>
      <c r="B248" t="s">
        <v>1562</v>
      </c>
      <c r="C248" t="s">
        <v>88</v>
      </c>
      <c r="D248">
        <f>VLOOKUP(A248,'temperatures màximes'!$A$4:$U$314,'temperatures màximes'!U$1,FALSE)</f>
        <v>4</v>
      </c>
      <c r="E248">
        <f>VLOOKUP(A248,'nits tropicals'!$A$4:$U$314,'nits tropicals'!U$1,FALSE)</f>
        <v>9</v>
      </c>
      <c r="F248">
        <f t="shared" si="29"/>
        <v>0.4</v>
      </c>
      <c r="G248">
        <f t="shared" si="30"/>
        <v>0.9</v>
      </c>
      <c r="H248" s="840">
        <f>VLOOKUP(B248,'BD ASVICC'!$A$6:$X$316,24,FALSE)/VLOOKUP(C248,'BD Comarcal'!$A$6:$Z$17,26,FALSE)</f>
        <v>8.1341034817303919E-3</v>
      </c>
      <c r="I248" s="839">
        <f>(VLOOKUP(C248,'BD Altres'!$D$74:$H$84,5,FALSE) * 1000 / 12) * H248*0.035</f>
        <v>9.0508847283170901</v>
      </c>
      <c r="J248" s="839">
        <f>(VLOOKUP(C248,'BD Altres'!$D$74:$H$84,3,FALSE) / 12) * H248*0.25</f>
        <v>5.7902954555676196</v>
      </c>
      <c r="K248">
        <f>(VLOOKUP(B248,'BD ASVICC'!$A$6:$GR$316,199,FALSE) / 12)*0.3</f>
        <v>0.22499999999999998</v>
      </c>
      <c r="L248" s="846">
        <f>I248*'1. Cops de calor'!$C$32/30</f>
        <v>129.72934777254494</v>
      </c>
      <c r="M248" s="846">
        <f>J248*'1. Cops de calor'!$C$33/30</f>
        <v>28.951477277838098</v>
      </c>
      <c r="N248" s="846">
        <f>K248*'1. Cops de calor'!$C$34*0.25/30</f>
        <v>3543.7499999999991</v>
      </c>
      <c r="O248" s="779">
        <f t="shared" si="31"/>
        <v>4813.1600725654971</v>
      </c>
      <c r="P248" s="848">
        <f>O248*'A. Dades de partida'!$D$10</f>
        <v>72197.401088482453</v>
      </c>
      <c r="Q248">
        <f t="shared" si="32"/>
        <v>0.60000000000000009</v>
      </c>
      <c r="R248">
        <f t="shared" si="33"/>
        <v>1.35</v>
      </c>
      <c r="S248">
        <f>I248+(I248*'1. Cops de calor'!$C$40)</f>
        <v>9.557734273102847</v>
      </c>
      <c r="T248">
        <f>J248*'1. Cops de calor'!$C$41+J248</f>
        <v>6.2245676147351912</v>
      </c>
      <c r="U248">
        <f>'1. Cops de calor'!$C$42*K248+K248</f>
        <v>0.23399999999999999</v>
      </c>
      <c r="V248">
        <f>S248*'1. Cops de calor'!$C$32/30</f>
        <v>136.99419124780746</v>
      </c>
      <c r="W248">
        <f>T248*'1. Cops de calor'!$C$33/30</f>
        <v>31.122838073675954</v>
      </c>
      <c r="X248">
        <f>K248*'1. Cops de calor'!$C$34/30</f>
        <v>14174.999999999996</v>
      </c>
      <c r="Y248">
        <f t="shared" si="34"/>
        <v>14343.11702932148</v>
      </c>
      <c r="Z248" s="849">
        <f>Y248*(Q248+R248)*'A. Dades de partida'!$D$10</f>
        <v>419536.17310765333</v>
      </c>
      <c r="AA248" s="850">
        <f t="shared" si="35"/>
        <v>347338.77201917086</v>
      </c>
      <c r="AB248" t="str">
        <f>VLOOKUP(B248,'BD ASVICC'!$A$6:$BG$316,59,FALSE)</f>
        <v>PREPIRINEU-PIRINEU</v>
      </c>
      <c r="AC248">
        <f t="shared" si="27"/>
        <v>0.5</v>
      </c>
      <c r="AD248">
        <f t="shared" si="28"/>
        <v>0.5</v>
      </c>
    </row>
    <row r="249" spans="1:30">
      <c r="A249">
        <v>8248</v>
      </c>
      <c r="B249" t="s">
        <v>1564</v>
      </c>
      <c r="C249" t="s">
        <v>24</v>
      </c>
      <c r="D249">
        <f>VLOOKUP(A249,'temperatures màximes'!$A$4:$U$314,'temperatures màximes'!U$1,FALSE)</f>
        <v>42</v>
      </c>
      <c r="E249">
        <f>VLOOKUP(A249,'nits tropicals'!$A$4:$U$314,'nits tropicals'!U$1,FALSE)</f>
        <v>8</v>
      </c>
      <c r="F249">
        <f t="shared" si="29"/>
        <v>4.2</v>
      </c>
      <c r="G249">
        <f t="shared" si="30"/>
        <v>0.8</v>
      </c>
      <c r="H249" s="840">
        <f>VLOOKUP(B249,'BD ASVICC'!$A$6:$X$316,24,FALSE)/VLOOKUP(C249,'BD Comarcal'!$A$6:$Z$17,26,FALSE)</f>
        <v>1.7563749258729548E-2</v>
      </c>
      <c r="I249" s="839">
        <f>(VLOOKUP(C249,'BD Altres'!$D$74:$H$84,5,FALSE) * 1000 / 12) * H249*0.035</f>
        <v>124.29569880441953</v>
      </c>
      <c r="J249" s="839">
        <f>(VLOOKUP(C249,'BD Altres'!$D$74:$H$84,3,FALSE) / 12) * H249*0.25</f>
        <v>27.944186580665669</v>
      </c>
      <c r="K249">
        <f>(VLOOKUP(B249,'BD ASVICC'!$A$6:$GR$316,199,FALSE) / 12)*0.3</f>
        <v>1.4000000000000001</v>
      </c>
      <c r="L249" s="846">
        <f>I249*'1. Cops de calor'!$C$32/30</f>
        <v>1781.5716828633465</v>
      </c>
      <c r="M249" s="846">
        <f>J249*'1. Cops de calor'!$C$33/30</f>
        <v>139.72093290332836</v>
      </c>
      <c r="N249" s="846">
        <f>K249*'1. Cops de calor'!$C$34*0.25/30</f>
        <v>22050</v>
      </c>
      <c r="O249" s="779">
        <f t="shared" si="31"/>
        <v>119856.46307883336</v>
      </c>
      <c r="P249" s="848">
        <f>O249*'A. Dades de partida'!$D$10</f>
        <v>1797846.9461825003</v>
      </c>
      <c r="Q249">
        <f t="shared" si="32"/>
        <v>6.3000000000000007</v>
      </c>
      <c r="R249">
        <f t="shared" si="33"/>
        <v>1.2000000000000002</v>
      </c>
      <c r="S249">
        <f>I249+(I249*'1. Cops de calor'!$C$40)</f>
        <v>131.25625793746701</v>
      </c>
      <c r="T249">
        <f>J249*'1. Cops de calor'!$C$41+J249</f>
        <v>30.040000574215593</v>
      </c>
      <c r="U249">
        <f>'1. Cops de calor'!$C$42*K249+K249</f>
        <v>1.4560000000000002</v>
      </c>
      <c r="V249">
        <f>S249*'1. Cops de calor'!$C$32/30</f>
        <v>1881.3396971036939</v>
      </c>
      <c r="W249">
        <f>T249*'1. Cops de calor'!$C$33/30</f>
        <v>150.20000287107797</v>
      </c>
      <c r="X249">
        <f>K249*'1. Cops de calor'!$C$34/30</f>
        <v>88200</v>
      </c>
      <c r="Y249">
        <f t="shared" si="34"/>
        <v>90231.539699974775</v>
      </c>
      <c r="Z249" s="849">
        <f>Y249*(Q249+R249)*'A. Dades de partida'!$D$10</f>
        <v>10151048.216247164</v>
      </c>
      <c r="AA249" s="850">
        <f t="shared" si="35"/>
        <v>8353201.2700646631</v>
      </c>
      <c r="AB249" t="str">
        <f>VLOOKUP(B249,'BD ASVICC'!$A$6:$BG$316,59,FALSE)</f>
        <v>CENTRAL</v>
      </c>
      <c r="AC249">
        <f t="shared" si="27"/>
        <v>0.5</v>
      </c>
      <c r="AD249">
        <f t="shared" si="28"/>
        <v>0.5</v>
      </c>
    </row>
    <row r="250" spans="1:30">
      <c r="A250">
        <v>8249</v>
      </c>
      <c r="B250" t="s">
        <v>1566</v>
      </c>
      <c r="C250" t="s">
        <v>791</v>
      </c>
      <c r="D250">
        <f>VLOOKUP(A250,'temperatures màximes'!$A$4:$U$314,'temperatures màximes'!U$1,FALSE)</f>
        <v>15</v>
      </c>
      <c r="E250">
        <f>VLOOKUP(A250,'nits tropicals'!$A$4:$U$314,'nits tropicals'!U$1,FALSE)</f>
        <v>10</v>
      </c>
      <c r="F250">
        <f t="shared" si="29"/>
        <v>1.5</v>
      </c>
      <c r="G250">
        <f t="shared" si="30"/>
        <v>1</v>
      </c>
      <c r="H250" s="840">
        <f>VLOOKUP(B250,'BD ASVICC'!$A$6:$X$316,24,FALSE)/VLOOKUP(C250,'BD Comarcal'!$A$6:$Z$17,26,FALSE)</f>
        <v>3.519171959538932E-3</v>
      </c>
      <c r="I250" s="839">
        <f>(VLOOKUP(C250,'BD Altres'!$D$74:$H$84,5,FALSE) * 1000 / 12) * H250*0.035</f>
        <v>6.9630471302290076</v>
      </c>
      <c r="J250" s="839">
        <f>(VLOOKUP(C250,'BD Altres'!$D$74:$H$84,3,FALSE) / 12) * H250*0.25</f>
        <v>0.90199492124770664</v>
      </c>
      <c r="K250">
        <f>(VLOOKUP(B250,'BD ASVICC'!$A$6:$GR$316,199,FALSE) / 12)*0.3</f>
        <v>4.9999999999999996E-2</v>
      </c>
      <c r="L250" s="846">
        <f>I250*'1. Cops de calor'!$C$32/30</f>
        <v>99.80367553328243</v>
      </c>
      <c r="M250" s="846">
        <f>J250*'1. Cops de calor'!$C$33/30</f>
        <v>4.5099746062385329</v>
      </c>
      <c r="N250" s="846">
        <f>K250*'1. Cops de calor'!$C$34*0.25/30</f>
        <v>787.49999999999989</v>
      </c>
      <c r="O250" s="779">
        <f t="shared" si="31"/>
        <v>2229.5341253488023</v>
      </c>
      <c r="P250" s="848">
        <f>O250*'A. Dades de partida'!$D$10</f>
        <v>33443.011880232036</v>
      </c>
      <c r="Q250">
        <f t="shared" si="32"/>
        <v>2.25</v>
      </c>
      <c r="R250">
        <f t="shared" si="33"/>
        <v>1.5</v>
      </c>
      <c r="S250">
        <f>I250+(I250*'1. Cops de calor'!$C$40)</f>
        <v>7.3529777695218321</v>
      </c>
      <c r="T250">
        <f>J250*'1. Cops de calor'!$C$41+J250</f>
        <v>0.96964454034128467</v>
      </c>
      <c r="U250">
        <f>'1. Cops de calor'!$C$42*K250+K250</f>
        <v>5.1999999999999998E-2</v>
      </c>
      <c r="V250">
        <f>S250*'1. Cops de calor'!$C$32/30</f>
        <v>105.39268136314627</v>
      </c>
      <c r="W250">
        <f>T250*'1. Cops de calor'!$C$33/30</f>
        <v>4.8482227017064234</v>
      </c>
      <c r="X250">
        <f>K250*'1. Cops de calor'!$C$34/30</f>
        <v>3149.9999999999995</v>
      </c>
      <c r="Y250">
        <f t="shared" si="34"/>
        <v>3260.2409040648522</v>
      </c>
      <c r="Z250" s="849">
        <f>Y250*(Q250+R250)*'A. Dades de partida'!$D$10</f>
        <v>183388.55085364796</v>
      </c>
      <c r="AA250" s="850">
        <f t="shared" si="35"/>
        <v>149945.53897341591</v>
      </c>
      <c r="AB250" t="str">
        <f>VLOOKUP(B250,'BD ASVICC'!$A$6:$BG$316,59,FALSE)</f>
        <v>CENTRAL</v>
      </c>
      <c r="AC250">
        <f t="shared" si="27"/>
        <v>0.5</v>
      </c>
      <c r="AD250">
        <f t="shared" si="28"/>
        <v>0.5</v>
      </c>
    </row>
    <row r="251" spans="1:30">
      <c r="A251">
        <v>8250</v>
      </c>
      <c r="B251" t="s">
        <v>1567</v>
      </c>
      <c r="C251" t="s">
        <v>81</v>
      </c>
      <c r="D251">
        <f>VLOOKUP(A251,'temperatures màximes'!$A$4:$U$314,'temperatures màximes'!U$1,FALSE)</f>
        <v>77</v>
      </c>
      <c r="E251">
        <f>VLOOKUP(A251,'nits tropicals'!$A$4:$U$314,'nits tropicals'!U$1,FALSE)</f>
        <v>2</v>
      </c>
      <c r="F251">
        <f t="shared" si="29"/>
        <v>7.7</v>
      </c>
      <c r="G251">
        <f t="shared" si="30"/>
        <v>0.2</v>
      </c>
      <c r="H251" s="840">
        <f>VLOOKUP(B251,'BD ASVICC'!$A$6:$X$316,24,FALSE)/VLOOKUP(C251,'BD Comarcal'!$A$6:$Z$17,26,FALSE)</f>
        <v>8.1792960239651422E-2</v>
      </c>
      <c r="I251" s="839">
        <f>(VLOOKUP(C251,'BD Altres'!$D$74:$H$84,5,FALSE) * 1000 / 12) * H251*0.035</f>
        <v>68.230473925535577</v>
      </c>
      <c r="J251" s="839">
        <f>(VLOOKUP(C251,'BD Altres'!$D$74:$H$84,3,FALSE) / 12) * H251*0.25</f>
        <v>32.951235972740648</v>
      </c>
      <c r="K251">
        <f>(VLOOKUP(B251,'BD ASVICC'!$A$6:$GR$316,199,FALSE) / 12)*0.3</f>
        <v>1.625</v>
      </c>
      <c r="L251" s="846">
        <f>I251*'1. Cops de calor'!$C$32/30</f>
        <v>977.97012626600986</v>
      </c>
      <c r="M251" s="846">
        <f>J251*'1. Cops de calor'!$C$33/30</f>
        <v>164.75617986370324</v>
      </c>
      <c r="N251" s="846">
        <f>K251*'1. Cops de calor'!$C$34*0.25/30</f>
        <v>25593.749999999996</v>
      </c>
      <c r="O251" s="779">
        <f t="shared" si="31"/>
        <v>211218.16281842472</v>
      </c>
      <c r="P251" s="848">
        <f>O251*'A. Dades de partida'!$D$10</f>
        <v>3168272.4422763707</v>
      </c>
      <c r="Q251">
        <f t="shared" si="32"/>
        <v>11.55</v>
      </c>
      <c r="R251">
        <f t="shared" si="33"/>
        <v>0.30000000000000004</v>
      </c>
      <c r="S251">
        <f>I251+(I251*'1. Cops de calor'!$C$40)</f>
        <v>72.051380465365568</v>
      </c>
      <c r="T251">
        <f>J251*'1. Cops de calor'!$C$41+J251</f>
        <v>35.422578670696197</v>
      </c>
      <c r="U251">
        <f>'1. Cops de calor'!$C$42*K251+K251</f>
        <v>1.69</v>
      </c>
      <c r="V251">
        <f>S251*'1. Cops de calor'!$C$32/30</f>
        <v>1032.7364533369064</v>
      </c>
      <c r="W251">
        <f>T251*'1. Cops de calor'!$C$33/30</f>
        <v>177.11289335348098</v>
      </c>
      <c r="X251">
        <f>K251*'1. Cops de calor'!$C$34/30</f>
        <v>102374.99999999999</v>
      </c>
      <c r="Y251">
        <f t="shared" si="34"/>
        <v>103584.84934669037</v>
      </c>
      <c r="Z251" s="849">
        <f>Y251*(Q251+R251)*'A. Dades de partida'!$D$10</f>
        <v>18412206.971374217</v>
      </c>
      <c r="AA251" s="850">
        <f t="shared" si="35"/>
        <v>15243934.529097848</v>
      </c>
      <c r="AB251" t="str">
        <f>VLOOKUP(B251,'BD ASVICC'!$A$6:$BG$316,59,FALSE)</f>
        <v>CENTRAL</v>
      </c>
      <c r="AC251">
        <f t="shared" si="27"/>
        <v>0.5</v>
      </c>
      <c r="AD251">
        <f t="shared" si="28"/>
        <v>0.5</v>
      </c>
    </row>
    <row r="252" spans="1:30">
      <c r="A252">
        <v>8251</v>
      </c>
      <c r="B252" t="s">
        <v>1571</v>
      </c>
      <c r="C252" t="s">
        <v>791</v>
      </c>
      <c r="D252">
        <f>VLOOKUP(A252,'temperatures màximes'!$A$4:$U$314,'temperatures màximes'!U$1,FALSE)</f>
        <v>15</v>
      </c>
      <c r="E252">
        <f>VLOOKUP(A252,'nits tropicals'!$A$4:$U$314,'nits tropicals'!U$1,FALSE)</f>
        <v>10</v>
      </c>
      <c r="F252">
        <f t="shared" si="29"/>
        <v>1.5</v>
      </c>
      <c r="G252">
        <f t="shared" si="30"/>
        <v>1</v>
      </c>
      <c r="H252" s="840">
        <f>VLOOKUP(B252,'BD ASVICC'!$A$6:$X$316,24,FALSE)/VLOOKUP(C252,'BD Comarcal'!$A$6:$Z$17,26,FALSE)</f>
        <v>6.9254293107504111E-2</v>
      </c>
      <c r="I252" s="839">
        <f>(VLOOKUP(C252,'BD Altres'!$D$74:$H$84,5,FALSE) * 1000 / 12) * H252*0.035</f>
        <v>137.02680983552273</v>
      </c>
      <c r="J252" s="839">
        <f>(VLOOKUP(C252,'BD Altres'!$D$74:$H$84,3,FALSE) / 12) * H252*0.25</f>
        <v>17.75048828979444</v>
      </c>
      <c r="K252">
        <f>(VLOOKUP(B252,'BD ASVICC'!$A$6:$GR$316,199,FALSE) / 12)*0.3</f>
        <v>0.92500000000000004</v>
      </c>
      <c r="L252" s="846">
        <f>I252*'1. Cops de calor'!$C$32/30</f>
        <v>1964.0509409758258</v>
      </c>
      <c r="M252" s="846">
        <f>J252*'1. Cops de calor'!$C$33/30</f>
        <v>88.752441448972192</v>
      </c>
      <c r="N252" s="846">
        <f>K252*'1. Cops de calor'!$C$34*0.25/30</f>
        <v>14568.749999999998</v>
      </c>
      <c r="O252" s="779">
        <f t="shared" si="31"/>
        <v>41553.883456061994</v>
      </c>
      <c r="P252" s="848">
        <f>O252*'A. Dades de partida'!$D$10</f>
        <v>623308.25184092997</v>
      </c>
      <c r="Q252">
        <f t="shared" si="32"/>
        <v>2.25</v>
      </c>
      <c r="R252">
        <f t="shared" si="33"/>
        <v>1.5</v>
      </c>
      <c r="S252">
        <f>I252+(I252*'1. Cops de calor'!$C$40)</f>
        <v>144.70031118631201</v>
      </c>
      <c r="T252">
        <f>J252*'1. Cops de calor'!$C$41+J252</f>
        <v>19.081774911529024</v>
      </c>
      <c r="U252">
        <f>'1. Cops de calor'!$C$42*K252+K252</f>
        <v>0.96200000000000008</v>
      </c>
      <c r="V252">
        <f>S252*'1. Cops de calor'!$C$32/30</f>
        <v>2074.0377936704722</v>
      </c>
      <c r="W252">
        <f>T252*'1. Cops de calor'!$C$33/30</f>
        <v>95.40887455764512</v>
      </c>
      <c r="X252">
        <f>K252*'1. Cops de calor'!$C$34/30</f>
        <v>58274.999999999993</v>
      </c>
      <c r="Y252">
        <f t="shared" si="34"/>
        <v>60444.446668228113</v>
      </c>
      <c r="Z252" s="849">
        <f>Y252*(Q252+R252)*'A. Dades de partida'!$D$10</f>
        <v>3400000.1250878312</v>
      </c>
      <c r="AA252" s="850">
        <f t="shared" si="35"/>
        <v>2776691.8732469012</v>
      </c>
      <c r="AB252" t="str">
        <f>VLOOKUP(B252,'BD ASVICC'!$A$6:$BG$316,59,FALSE)</f>
        <v>LITORAL</v>
      </c>
      <c r="AC252">
        <f t="shared" si="27"/>
        <v>0.5</v>
      </c>
      <c r="AD252">
        <f t="shared" si="28"/>
        <v>0.5</v>
      </c>
    </row>
    <row r="253" spans="1:30">
      <c r="A253">
        <v>8252</v>
      </c>
      <c r="B253" t="s">
        <v>1572</v>
      </c>
      <c r="C253" t="s">
        <v>89</v>
      </c>
      <c r="D253">
        <f>VLOOKUP(A253,'temperatures màximes'!$A$4:$U$314,'temperatures màximes'!U$1,FALSE)</f>
        <v>37</v>
      </c>
      <c r="E253">
        <f>VLOOKUP(A253,'nits tropicals'!$A$4:$U$314,'nits tropicals'!U$1,FALSE)</f>
        <v>39</v>
      </c>
      <c r="F253">
        <f t="shared" si="29"/>
        <v>3.7</v>
      </c>
      <c r="G253">
        <f t="shared" si="30"/>
        <v>3.9</v>
      </c>
      <c r="H253" s="840">
        <f>VLOOKUP(B253,'BD ASVICC'!$A$6:$X$316,24,FALSE)/VLOOKUP(C253,'BD Comarcal'!$A$6:$Z$17,26,FALSE)</f>
        <v>3.6308944528001416E-2</v>
      </c>
      <c r="I253" s="839">
        <f>(VLOOKUP(C253,'BD Altres'!$D$74:$H$84,5,FALSE) * 1000 / 12) * H253*0.035</f>
        <v>146.99079858815631</v>
      </c>
      <c r="J253" s="839">
        <f>(VLOOKUP(C253,'BD Altres'!$D$74:$H$84,3,FALSE) / 12) * H253*0.25</f>
        <v>64.521026189333512</v>
      </c>
      <c r="K253">
        <f>(VLOOKUP(B253,'BD ASVICC'!$A$6:$GR$316,199,FALSE) / 12)*0.3</f>
        <v>5.25</v>
      </c>
      <c r="L253" s="846">
        <f>I253*'1. Cops de calor'!$C$32/30</f>
        <v>2106.8681130969071</v>
      </c>
      <c r="M253" s="846">
        <f>J253*'1. Cops de calor'!$C$33/30</f>
        <v>322.60513094666754</v>
      </c>
      <c r="N253" s="846">
        <f>K253*'1. Cops de calor'!$C$34*0.25/30</f>
        <v>82687.499999999985</v>
      </c>
      <c r="O253" s="779">
        <f t="shared" si="31"/>
        <v>646888.99665473099</v>
      </c>
      <c r="P253" s="848">
        <f>O253*'A. Dades de partida'!$D$10</f>
        <v>9703334.9498209655</v>
      </c>
      <c r="Q253">
        <f t="shared" si="32"/>
        <v>5.5500000000000007</v>
      </c>
      <c r="R253">
        <f t="shared" si="33"/>
        <v>5.85</v>
      </c>
      <c r="S253">
        <f>I253+(I253*'1. Cops de calor'!$C$40)</f>
        <v>155.22228330909306</v>
      </c>
      <c r="T253">
        <f>J253*'1. Cops de calor'!$C$41+J253</f>
        <v>69.36010315353353</v>
      </c>
      <c r="U253">
        <f>'1. Cops de calor'!$C$42*K253+K253</f>
        <v>5.46</v>
      </c>
      <c r="V253">
        <f>S253*'1. Cops de calor'!$C$32/30</f>
        <v>2224.8527274303337</v>
      </c>
      <c r="W253">
        <f>T253*'1. Cops de calor'!$C$33/30</f>
        <v>346.80051576766766</v>
      </c>
      <c r="X253">
        <f>K253*'1. Cops de calor'!$C$34/30</f>
        <v>330749.99999999994</v>
      </c>
      <c r="Y253">
        <f t="shared" si="34"/>
        <v>333321.65324319794</v>
      </c>
      <c r="Z253" s="849">
        <f>Y253*(Q253+R253)*'A. Dades de partida'!$D$10</f>
        <v>56998002.704586849</v>
      </c>
      <c r="AA253" s="850">
        <f t="shared" si="35"/>
        <v>47294667.754765883</v>
      </c>
      <c r="AB253" t="str">
        <f>VLOOKUP(B253,'BD ASVICC'!$A$6:$BG$316,59,FALSE)</f>
        <v>LITORAL</v>
      </c>
      <c r="AC253">
        <f t="shared" si="27"/>
        <v>0.5</v>
      </c>
      <c r="AD253">
        <f t="shared" si="28"/>
        <v>0.5</v>
      </c>
    </row>
    <row r="254" spans="1:30">
      <c r="A254">
        <v>8253</v>
      </c>
      <c r="B254" t="s">
        <v>1574</v>
      </c>
      <c r="C254" t="s">
        <v>88</v>
      </c>
      <c r="D254">
        <f>VLOOKUP(A254,'temperatures màximes'!$A$4:$U$314,'temperatures màximes'!U$1,FALSE)</f>
        <v>53</v>
      </c>
      <c r="E254">
        <f>VLOOKUP(A254,'nits tropicals'!$A$4:$U$314,'nits tropicals'!U$1,FALSE)</f>
        <v>0</v>
      </c>
      <c r="F254">
        <f t="shared" si="29"/>
        <v>5.3</v>
      </c>
      <c r="G254">
        <f t="shared" si="30"/>
        <v>0</v>
      </c>
      <c r="H254" s="840">
        <f>VLOOKUP(B254,'BD ASVICC'!$A$6:$X$316,24,FALSE)/VLOOKUP(C254,'BD Comarcal'!$A$6:$Z$17,26,FALSE)</f>
        <v>9.5090625220860822E-4</v>
      </c>
      <c r="I254" s="839">
        <f>(VLOOKUP(C254,'BD Altres'!$D$74:$H$84,5,FALSE) * 1000 / 12) * H254*0.035</f>
        <v>1.058081311051287</v>
      </c>
      <c r="J254" s="839">
        <f>(VLOOKUP(C254,'BD Altres'!$D$74:$H$84,3,FALSE) / 12) * H254*0.25</f>
        <v>0.67690657774408192</v>
      </c>
      <c r="K254">
        <f>(VLOOKUP(B254,'BD ASVICC'!$A$6:$GR$316,199,FALSE) / 12)*0.3</f>
        <v>2.4999999999999998E-2</v>
      </c>
      <c r="L254" s="846">
        <f>I254*'1. Cops de calor'!$C$32/30</f>
        <v>15.165832125068446</v>
      </c>
      <c r="M254" s="846">
        <f>J254*'1. Cops de calor'!$C$33/30</f>
        <v>3.3845328887204094</v>
      </c>
      <c r="N254" s="846">
        <f>K254*'1. Cops de calor'!$C$34*0.25/30</f>
        <v>393.74999999999994</v>
      </c>
      <c r="O254" s="779">
        <f t="shared" si="31"/>
        <v>2185.1919345730807</v>
      </c>
      <c r="P254" s="848">
        <f>O254*'A. Dades de partida'!$D$10</f>
        <v>32777.879018596213</v>
      </c>
      <c r="Q254">
        <f t="shared" si="32"/>
        <v>7.9499999999999993</v>
      </c>
      <c r="R254">
        <f t="shared" si="33"/>
        <v>0</v>
      </c>
      <c r="S254">
        <f>I254+(I254*'1. Cops de calor'!$C$40)</f>
        <v>1.1173338644701591</v>
      </c>
      <c r="T254">
        <f>J254*'1. Cops de calor'!$C$41+J254</f>
        <v>0.72767457107488809</v>
      </c>
      <c r="U254">
        <f>'1. Cops de calor'!$C$42*K254+K254</f>
        <v>2.5999999999999999E-2</v>
      </c>
      <c r="V254">
        <f>S254*'1. Cops de calor'!$C$32/30</f>
        <v>16.015118724072281</v>
      </c>
      <c r="W254">
        <f>T254*'1. Cops de calor'!$C$33/30</f>
        <v>3.6383728553744406</v>
      </c>
      <c r="X254">
        <f>K254*'1. Cops de calor'!$C$34/30</f>
        <v>1574.9999999999998</v>
      </c>
      <c r="Y254">
        <f t="shared" si="34"/>
        <v>1594.6534915794464</v>
      </c>
      <c r="Z254" s="849">
        <f>Y254*(Q254+R254)*'A. Dades de partida'!$D$10</f>
        <v>190162.42887084896</v>
      </c>
      <c r="AA254" s="850">
        <f t="shared" si="35"/>
        <v>157384.54985225276</v>
      </c>
      <c r="AB254" t="str">
        <f>VLOOKUP(B254,'BD ASVICC'!$A$6:$BG$316,59,FALSE)</f>
        <v>PREPIRINEU-PIRINEU</v>
      </c>
      <c r="AC254">
        <f t="shared" si="27"/>
        <v>0.5</v>
      </c>
      <c r="AD254">
        <f t="shared" si="28"/>
        <v>0.5</v>
      </c>
    </row>
    <row r="255" spans="1:30">
      <c r="A255">
        <v>8254</v>
      </c>
      <c r="B255" t="s">
        <v>1578</v>
      </c>
      <c r="C255" t="s">
        <v>88</v>
      </c>
      <c r="D255">
        <f>VLOOKUP(A255,'temperatures màximes'!$A$4:$U$314,'temperatures màximes'!U$1,FALSE)</f>
        <v>46</v>
      </c>
      <c r="E255">
        <f>VLOOKUP(A255,'nits tropicals'!$A$4:$U$314,'nits tropicals'!U$1,FALSE)</f>
        <v>0</v>
      </c>
      <c r="F255">
        <f t="shared" si="29"/>
        <v>4.5999999999999996</v>
      </c>
      <c r="G255">
        <f t="shared" si="30"/>
        <v>0</v>
      </c>
      <c r="H255" s="840">
        <f>VLOOKUP(B255,'BD ASVICC'!$A$6:$X$316,24,FALSE)/VLOOKUP(C255,'BD Comarcal'!$A$6:$Z$17,26,FALSE)</f>
        <v>1.392949158640718E-2</v>
      </c>
      <c r="I255" s="839">
        <f>(VLOOKUP(C255,'BD Altres'!$D$74:$H$84,5,FALSE) * 1000 / 12) * H255*0.035</f>
        <v>15.499461367291824</v>
      </c>
      <c r="J255" s="839">
        <f>(VLOOKUP(C255,'BD Altres'!$D$74:$H$84,3,FALSE) / 12) * H255*0.25</f>
        <v>9.9157666253322265</v>
      </c>
      <c r="K255">
        <f>(VLOOKUP(B255,'BD ASVICC'!$A$6:$GR$316,199,FALSE) / 12)*0.3</f>
        <v>0.625</v>
      </c>
      <c r="L255" s="846">
        <f>I255*'1. Cops de calor'!$C$32/30</f>
        <v>222.15894626451615</v>
      </c>
      <c r="M255" s="846">
        <f>J255*'1. Cops de calor'!$C$33/30</f>
        <v>49.578833126661131</v>
      </c>
      <c r="N255" s="846">
        <f>K255*'1. Cops de calor'!$C$34*0.25/30</f>
        <v>9843.7499999999982</v>
      </c>
      <c r="O255" s="779">
        <f t="shared" si="31"/>
        <v>46531.243785199396</v>
      </c>
      <c r="P255" s="848">
        <f>O255*'A. Dades de partida'!$D$10</f>
        <v>697968.65677799098</v>
      </c>
      <c r="Q255">
        <f t="shared" si="32"/>
        <v>6.8999999999999995</v>
      </c>
      <c r="R255">
        <f t="shared" si="33"/>
        <v>0</v>
      </c>
      <c r="S255">
        <f>I255+(I255*'1. Cops de calor'!$C$40)</f>
        <v>16.367431203860164</v>
      </c>
      <c r="T255">
        <f>J255*'1. Cops de calor'!$C$41+J255</f>
        <v>10.659449122232143</v>
      </c>
      <c r="U255">
        <f>'1. Cops de calor'!$C$42*K255+K255</f>
        <v>0.65</v>
      </c>
      <c r="V255">
        <f>S255*'1. Cops de calor'!$C$32/30</f>
        <v>234.59984725532902</v>
      </c>
      <c r="W255">
        <f>T255*'1. Cops de calor'!$C$33/30</f>
        <v>53.297245611160719</v>
      </c>
      <c r="X255">
        <f>K255*'1. Cops de calor'!$C$34/30</f>
        <v>39374.999999999993</v>
      </c>
      <c r="Y255">
        <f t="shared" si="34"/>
        <v>39662.897092866486</v>
      </c>
      <c r="Z255" s="849">
        <f>Y255*(Q255+R255)*'A. Dades de partida'!$D$10</f>
        <v>4105109.8491116804</v>
      </c>
      <c r="AA255" s="850">
        <f t="shared" si="35"/>
        <v>3407141.1923336894</v>
      </c>
      <c r="AB255" t="str">
        <f>VLOOKUP(B255,'BD ASVICC'!$A$6:$BG$316,59,FALSE)</f>
        <v>PREPIRINEU-PIRINEU</v>
      </c>
      <c r="AC255">
        <f t="shared" si="27"/>
        <v>0.5</v>
      </c>
      <c r="AD255">
        <f t="shared" si="28"/>
        <v>0.5</v>
      </c>
    </row>
    <row r="256" spans="1:30">
      <c r="A256">
        <v>8255</v>
      </c>
      <c r="B256" t="s">
        <v>1580</v>
      </c>
      <c r="C256" t="s">
        <v>84</v>
      </c>
      <c r="D256">
        <f>VLOOKUP(A256,'temperatures màximes'!$A$4:$U$314,'temperatures màximes'!U$1,FALSE)</f>
        <v>11</v>
      </c>
      <c r="E256">
        <f>VLOOKUP(A256,'nits tropicals'!$A$4:$U$314,'nits tropicals'!U$1,FALSE)</f>
        <v>0</v>
      </c>
      <c r="F256">
        <f t="shared" si="29"/>
        <v>1.1000000000000001</v>
      </c>
      <c r="G256">
        <f t="shared" si="30"/>
        <v>0</v>
      </c>
      <c r="H256" s="840">
        <f>VLOOKUP(B256,'BD ASVICC'!$A$6:$X$316,24,FALSE)/VLOOKUP(C256,'BD Comarcal'!$A$6:$Z$17,26,FALSE)</f>
        <v>4.5433661748940733E-3</v>
      </c>
      <c r="I256" s="839">
        <f>(VLOOKUP(C256,'BD Altres'!$D$74:$H$84,5,FALSE) * 1000 / 12) * H256*0.035</f>
        <v>2.9202717361203989</v>
      </c>
      <c r="J256" s="839">
        <f>(VLOOKUP(C256,'BD Altres'!$D$74:$H$84,3,FALSE) / 12) * H256*0.25</f>
        <v>25.530060875861334</v>
      </c>
      <c r="K256">
        <f>(VLOOKUP(B256,'BD ASVICC'!$A$6:$GR$316,199,FALSE) / 12)*0.3</f>
        <v>4.9999999999999996E-2</v>
      </c>
      <c r="L256" s="846">
        <f>I256*'1. Cops de calor'!$C$32/30</f>
        <v>41.857228217725719</v>
      </c>
      <c r="M256" s="846">
        <f>J256*'1. Cops de calor'!$C$33/30</f>
        <v>127.65030437930666</v>
      </c>
      <c r="N256" s="846">
        <f>K256*'1. Cops de calor'!$C$34*0.25/30</f>
        <v>787.49999999999989</v>
      </c>
      <c r="O256" s="779">
        <f t="shared" si="31"/>
        <v>1052.7082858567355</v>
      </c>
      <c r="P256" s="848">
        <f>O256*'A. Dades de partida'!$D$10</f>
        <v>15790.624287851033</v>
      </c>
      <c r="Q256">
        <f t="shared" si="32"/>
        <v>1.6500000000000001</v>
      </c>
      <c r="R256">
        <f t="shared" si="33"/>
        <v>0</v>
      </c>
      <c r="S256">
        <f>I256+(I256*'1. Cops de calor'!$C$40)</f>
        <v>3.0838069533431414</v>
      </c>
      <c r="T256">
        <f>J256*'1. Cops de calor'!$C$41+J256</f>
        <v>27.444815441550933</v>
      </c>
      <c r="U256">
        <f>'1. Cops de calor'!$C$42*K256+K256</f>
        <v>5.1999999999999998E-2</v>
      </c>
      <c r="V256">
        <f>S256*'1. Cops de calor'!$C$32/30</f>
        <v>44.20123299791836</v>
      </c>
      <c r="W256">
        <f>T256*'1. Cops de calor'!$C$33/30</f>
        <v>137.22407720775468</v>
      </c>
      <c r="X256">
        <f>K256*'1. Cops de calor'!$C$34/30</f>
        <v>3149.9999999999995</v>
      </c>
      <c r="Y256">
        <f t="shared" si="34"/>
        <v>3331.4253102056728</v>
      </c>
      <c r="Z256" s="849">
        <f>Y256*(Q256+R256)*'A. Dades de partida'!$D$10</f>
        <v>82452.776427590405</v>
      </c>
      <c r="AA256" s="850">
        <f t="shared" si="35"/>
        <v>66662.152139739366</v>
      </c>
      <c r="AB256" t="str">
        <f>VLOOKUP(B256,'BD ASVICC'!$A$6:$BG$316,59,FALSE)</f>
        <v>PREPIRINEU-PIRINEU</v>
      </c>
      <c r="AC256">
        <f t="shared" si="27"/>
        <v>0.5</v>
      </c>
      <c r="AD256">
        <f t="shared" si="28"/>
        <v>0.5</v>
      </c>
    </row>
    <row r="257" spans="1:30">
      <c r="A257">
        <v>8256</v>
      </c>
      <c r="B257" t="s">
        <v>1584</v>
      </c>
      <c r="C257" t="s">
        <v>24</v>
      </c>
      <c r="D257">
        <f>VLOOKUP(A257,'temperatures màximes'!$A$4:$U$314,'temperatures màximes'!U$1,FALSE)</f>
        <v>39</v>
      </c>
      <c r="E257">
        <f>VLOOKUP(A257,'nits tropicals'!$A$4:$U$314,'nits tropicals'!U$1,FALSE)</f>
        <v>2</v>
      </c>
      <c r="F257">
        <f t="shared" si="29"/>
        <v>3.9</v>
      </c>
      <c r="G257">
        <f t="shared" si="30"/>
        <v>0.2</v>
      </c>
      <c r="H257" s="840">
        <f>VLOOKUP(B257,'BD ASVICC'!$A$6:$X$316,24,FALSE)/VLOOKUP(C257,'BD Comarcal'!$A$6:$Z$17,26,FALSE)</f>
        <v>2.145323891582656E-3</v>
      </c>
      <c r="I257" s="839">
        <f>(VLOOKUP(C257,'BD Altres'!$D$74:$H$84,5,FALSE) * 1000 / 12) * H257*0.035</f>
        <v>15.18209627899067</v>
      </c>
      <c r="J257" s="839">
        <f>(VLOOKUP(C257,'BD Altres'!$D$74:$H$84,3,FALSE) / 12) * H257*0.25</f>
        <v>3.4132422536463531</v>
      </c>
      <c r="K257">
        <f>(VLOOKUP(B257,'BD ASVICC'!$A$6:$GR$316,199,FALSE) / 12)*0.3</f>
        <v>0.27499999999999997</v>
      </c>
      <c r="L257" s="846">
        <f>I257*'1. Cops de calor'!$C$32/30</f>
        <v>217.61004666553293</v>
      </c>
      <c r="M257" s="846">
        <f>J257*'1. Cops de calor'!$C$33/30</f>
        <v>17.066211268231765</v>
      </c>
      <c r="N257" s="846">
        <f>K257*'1. Cops de calor'!$C$34*0.25/30</f>
        <v>4331.2499999999991</v>
      </c>
      <c r="O257" s="779">
        <f t="shared" si="31"/>
        <v>18720.29765752843</v>
      </c>
      <c r="P257" s="848">
        <f>O257*'A. Dades de partida'!$D$10</f>
        <v>280804.46486292646</v>
      </c>
      <c r="Q257">
        <f t="shared" si="32"/>
        <v>5.85</v>
      </c>
      <c r="R257">
        <f t="shared" si="33"/>
        <v>0.30000000000000004</v>
      </c>
      <c r="S257">
        <f>I257+(I257*'1. Cops de calor'!$C$40)</f>
        <v>16.032293670614148</v>
      </c>
      <c r="T257">
        <f>J257*'1. Cops de calor'!$C$41+J257</f>
        <v>3.6692354226698294</v>
      </c>
      <c r="U257">
        <f>'1. Cops de calor'!$C$42*K257+K257</f>
        <v>0.28599999999999998</v>
      </c>
      <c r="V257">
        <f>S257*'1. Cops de calor'!$C$32/30</f>
        <v>229.79620927880279</v>
      </c>
      <c r="W257">
        <f>T257*'1. Cops de calor'!$C$33/30</f>
        <v>18.346177113349146</v>
      </c>
      <c r="X257">
        <f>K257*'1. Cops de calor'!$C$34/30</f>
        <v>17324.999999999996</v>
      </c>
      <c r="Y257">
        <f t="shared" si="34"/>
        <v>17573.142386392148</v>
      </c>
      <c r="Z257" s="849">
        <f>Y257*(Q257+R257)*'A. Dades de partida'!$D$10</f>
        <v>1621122.3851446754</v>
      </c>
      <c r="AA257" s="850">
        <f t="shared" si="35"/>
        <v>1340317.920281749</v>
      </c>
      <c r="AB257" t="str">
        <f>VLOOKUP(B257,'BD ASVICC'!$A$6:$BG$316,59,FALSE)</f>
        <v>LITORAL</v>
      </c>
      <c r="AC257">
        <f t="shared" si="27"/>
        <v>0.5</v>
      </c>
      <c r="AD257">
        <f t="shared" si="28"/>
        <v>0.5</v>
      </c>
    </row>
    <row r="258" spans="1:30">
      <c r="A258">
        <v>8257</v>
      </c>
      <c r="B258" t="s">
        <v>1587</v>
      </c>
      <c r="C258" t="s">
        <v>81</v>
      </c>
      <c r="D258">
        <f>VLOOKUP(A258,'temperatures màximes'!$A$4:$U$314,'temperatures màximes'!U$1,FALSE)</f>
        <v>77</v>
      </c>
      <c r="E258">
        <f>VLOOKUP(A258,'nits tropicals'!$A$4:$U$314,'nits tropicals'!U$1,FALSE)</f>
        <v>2</v>
      </c>
      <c r="F258">
        <f t="shared" si="29"/>
        <v>7.7</v>
      </c>
      <c r="G258">
        <f t="shared" si="30"/>
        <v>0.2</v>
      </c>
      <c r="H258" s="840">
        <f>VLOOKUP(B258,'BD ASVICC'!$A$6:$X$316,24,FALSE)/VLOOKUP(C258,'BD Comarcal'!$A$6:$Z$17,26,FALSE)</f>
        <v>1.1233660130718953E-3</v>
      </c>
      <c r="I258" s="839">
        <f>(VLOOKUP(C258,'BD Altres'!$D$74:$H$84,5,FALSE) * 1000 / 12) * H258*0.035</f>
        <v>0.93709526148899125</v>
      </c>
      <c r="J258" s="839">
        <f>(VLOOKUP(C258,'BD Altres'!$D$74:$H$84,3,FALSE) / 12) * H258*0.25</f>
        <v>0.45256093522024399</v>
      </c>
      <c r="K258">
        <f>(VLOOKUP(B258,'BD ASVICC'!$A$6:$GR$316,199,FALSE) / 12)*0.3</f>
        <v>0</v>
      </c>
      <c r="L258" s="846">
        <f>I258*'1. Cops de calor'!$C$32/30</f>
        <v>13.431698748008873</v>
      </c>
      <c r="M258" s="846">
        <f>J258*'1. Cops de calor'!$C$33/30</f>
        <v>2.2628046761012199</v>
      </c>
      <c r="N258" s="846">
        <f>K258*'1. Cops de calor'!$C$34*0.25/30</f>
        <v>0</v>
      </c>
      <c r="O258" s="779">
        <f t="shared" si="31"/>
        <v>123.98657705046975</v>
      </c>
      <c r="P258" s="848">
        <f>O258*'A. Dades de partida'!$D$10</f>
        <v>1859.7986557570462</v>
      </c>
      <c r="Q258">
        <f t="shared" si="32"/>
        <v>11.55</v>
      </c>
      <c r="R258">
        <f t="shared" si="33"/>
        <v>0.30000000000000004</v>
      </c>
      <c r="S258">
        <f>I258+(I258*'1. Cops de calor'!$C$40)</f>
        <v>0.9895725961323748</v>
      </c>
      <c r="T258">
        <f>J258*'1. Cops de calor'!$C$41+J258</f>
        <v>0.48650300536176228</v>
      </c>
      <c r="U258">
        <f>'1. Cops de calor'!$C$42*K258+K258</f>
        <v>0</v>
      </c>
      <c r="V258">
        <f>S258*'1. Cops de calor'!$C$32/30</f>
        <v>14.183873877897373</v>
      </c>
      <c r="W258">
        <f>T258*'1. Cops de calor'!$C$33/30</f>
        <v>2.4325150268088112</v>
      </c>
      <c r="X258">
        <f>K258*'1. Cops de calor'!$C$34/30</f>
        <v>0</v>
      </c>
      <c r="Y258">
        <f t="shared" si="34"/>
        <v>16.616388904706184</v>
      </c>
      <c r="Z258" s="849">
        <f>Y258*(Q258+R258)*'A. Dades de partida'!$D$10</f>
        <v>2953.5631278115247</v>
      </c>
      <c r="AA258" s="850">
        <f t="shared" si="35"/>
        <v>1093.7644720544786</v>
      </c>
      <c r="AB258" t="str">
        <f>VLOOKUP(B258,'BD ASVICC'!$A$6:$BG$316,59,FALSE)</f>
        <v>CENTRAL</v>
      </c>
      <c r="AC258">
        <f t="shared" si="27"/>
        <v>0.5</v>
      </c>
      <c r="AD258">
        <f t="shared" si="28"/>
        <v>0.5</v>
      </c>
    </row>
    <row r="259" spans="1:30">
      <c r="A259">
        <v>8258</v>
      </c>
      <c r="B259" t="s">
        <v>1591</v>
      </c>
      <c r="C259" t="s">
        <v>82</v>
      </c>
      <c r="D259">
        <f>VLOOKUP(A259,'temperatures màximes'!$A$4:$U$314,'temperatures màximes'!U$1,FALSE)</f>
        <v>70</v>
      </c>
      <c r="E259">
        <f>VLOOKUP(A259,'nits tropicals'!$A$4:$U$314,'nits tropicals'!U$1,FALSE)</f>
        <v>3</v>
      </c>
      <c r="F259">
        <f t="shared" si="29"/>
        <v>7</v>
      </c>
      <c r="G259">
        <f t="shared" si="30"/>
        <v>0.3</v>
      </c>
      <c r="H259" s="840">
        <f>VLOOKUP(B259,'BD ASVICC'!$A$6:$X$316,24,FALSE)/VLOOKUP(C259,'BD Comarcal'!$A$6:$Z$17,26,FALSE)</f>
        <v>6.0442364707164195E-3</v>
      </c>
      <c r="I259" s="839">
        <f>(VLOOKUP(C259,'BD Altres'!$D$74:$H$84,5,FALSE) * 1000 / 12) * H259*0.035</f>
        <v>17.291946122870222</v>
      </c>
      <c r="J259" s="839">
        <f>(VLOOKUP(C259,'BD Altres'!$D$74:$H$84,3,FALSE) / 12) * H259*0.25</f>
        <v>151.172382939089</v>
      </c>
      <c r="K259">
        <f>(VLOOKUP(B259,'BD ASVICC'!$A$6:$GR$316,199,FALSE) / 12)*0.3</f>
        <v>0.19999999999999998</v>
      </c>
      <c r="L259" s="846">
        <f>I259*'1. Cops de calor'!$C$32/30</f>
        <v>247.85122776113985</v>
      </c>
      <c r="M259" s="846">
        <f>J259*'1. Cops de calor'!$C$33/30</f>
        <v>755.86191469544497</v>
      </c>
      <c r="N259" s="846">
        <f>K259*'1. Cops de calor'!$C$34*0.25/30</f>
        <v>3149.9999999999995</v>
      </c>
      <c r="O259" s="779">
        <f t="shared" si="31"/>
        <v>30322.105939933062</v>
      </c>
      <c r="P259" s="848">
        <f>O259*'A. Dades de partida'!$D$10</f>
        <v>454831.58909899596</v>
      </c>
      <c r="Q259">
        <f t="shared" si="32"/>
        <v>10.5</v>
      </c>
      <c r="R259">
        <f t="shared" si="33"/>
        <v>0.44999999999999996</v>
      </c>
      <c r="S259">
        <f>I259+(I259*'1. Cops de calor'!$C$40)</f>
        <v>18.260295105750956</v>
      </c>
      <c r="T259">
        <f>J259*'1. Cops de calor'!$C$41+J259</f>
        <v>162.51031165952068</v>
      </c>
      <c r="U259">
        <f>'1. Cops de calor'!$C$42*K259+K259</f>
        <v>0.20799999999999999</v>
      </c>
      <c r="V259">
        <f>S259*'1. Cops de calor'!$C$32/30</f>
        <v>261.73089651576373</v>
      </c>
      <c r="W259">
        <f>T259*'1. Cops de calor'!$C$33/30</f>
        <v>812.55155829760349</v>
      </c>
      <c r="X259">
        <f>K259*'1. Cops de calor'!$C$34/30</f>
        <v>12599.999999999998</v>
      </c>
      <c r="Y259">
        <f t="shared" si="34"/>
        <v>13674.282454813365</v>
      </c>
      <c r="Z259" s="849">
        <f>Y259*(Q259+R259)*'A. Dades de partida'!$D$10</f>
        <v>2246000.8932030951</v>
      </c>
      <c r="AA259" s="850">
        <f t="shared" si="35"/>
        <v>1791169.3041040991</v>
      </c>
      <c r="AB259" t="str">
        <f>VLOOKUP(B259,'BD ASVICC'!$A$6:$BG$316,59,FALSE)</f>
        <v>CENTRAL</v>
      </c>
      <c r="AC259">
        <f t="shared" si="27"/>
        <v>0.5</v>
      </c>
      <c r="AD259">
        <f t="shared" si="28"/>
        <v>0.5</v>
      </c>
    </row>
    <row r="260" spans="1:30">
      <c r="A260">
        <v>8259</v>
      </c>
      <c r="B260" t="s">
        <v>1594</v>
      </c>
      <c r="C260" t="s">
        <v>24</v>
      </c>
      <c r="D260">
        <f>VLOOKUP(A260,'temperatures màximes'!$A$4:$U$314,'temperatures màximes'!U$1,FALSE)</f>
        <v>39</v>
      </c>
      <c r="E260">
        <f>VLOOKUP(A260,'nits tropicals'!$A$4:$U$314,'nits tropicals'!U$1,FALSE)</f>
        <v>2</v>
      </c>
      <c r="F260">
        <f t="shared" si="29"/>
        <v>3.9</v>
      </c>
      <c r="G260">
        <f t="shared" si="30"/>
        <v>0.2</v>
      </c>
      <c r="H260" s="840">
        <f>VLOOKUP(B260,'BD ASVICC'!$A$6:$X$316,24,FALSE)/VLOOKUP(C260,'BD Comarcal'!$A$6:$Z$17,26,FALSE)</f>
        <v>2.2908371497341394E-2</v>
      </c>
      <c r="I260" s="839">
        <f>(VLOOKUP(C260,'BD Altres'!$D$74:$H$84,5,FALSE) * 1000 / 12) * H260*0.035</f>
        <v>162.11869127646949</v>
      </c>
      <c r="J260" s="839">
        <f>(VLOOKUP(C260,'BD Altres'!$D$74:$H$84,3,FALSE) / 12) * H260*0.25</f>
        <v>36.447560139401361</v>
      </c>
      <c r="K260">
        <f>(VLOOKUP(B260,'BD ASVICC'!$A$6:$GR$316,199,FALSE) / 12)*0.3</f>
        <v>1.7499999999999998</v>
      </c>
      <c r="L260" s="846">
        <f>I260*'1. Cops de calor'!$C$32/30</f>
        <v>2323.701241629396</v>
      </c>
      <c r="M260" s="846">
        <f>J260*'1. Cops de calor'!$C$33/30</f>
        <v>182.2378006970068</v>
      </c>
      <c r="N260" s="846">
        <f>K260*'1. Cops de calor'!$C$34*0.25/30</f>
        <v>27562.499999999993</v>
      </c>
      <c r="O260" s="779">
        <f t="shared" si="31"/>
        <v>123280.60007353821</v>
      </c>
      <c r="P260" s="848">
        <f>O260*'A. Dades de partida'!$D$10</f>
        <v>1849209.0011030731</v>
      </c>
      <c r="Q260">
        <f t="shared" si="32"/>
        <v>5.85</v>
      </c>
      <c r="R260">
        <f t="shared" si="33"/>
        <v>0.30000000000000004</v>
      </c>
      <c r="S260">
        <f>I260+(I260*'1. Cops de calor'!$C$40)</f>
        <v>171.19733798795178</v>
      </c>
      <c r="T260">
        <f>J260*'1. Cops de calor'!$C$41+J260</f>
        <v>39.181127149856465</v>
      </c>
      <c r="U260">
        <f>'1. Cops de calor'!$C$42*K260+K260</f>
        <v>1.8199999999999998</v>
      </c>
      <c r="V260">
        <f>S260*'1. Cops de calor'!$C$32/30</f>
        <v>2453.8285111606424</v>
      </c>
      <c r="W260">
        <f>T260*'1. Cops de calor'!$C$33/30</f>
        <v>195.90563574928231</v>
      </c>
      <c r="X260">
        <f>K260*'1. Cops de calor'!$C$34/30</f>
        <v>110249.99999999997</v>
      </c>
      <c r="Y260">
        <f t="shared" si="34"/>
        <v>112899.73414690989</v>
      </c>
      <c r="Z260" s="849">
        <f>Y260*(Q260+R260)*'A. Dades de partida'!$D$10</f>
        <v>10415000.475052435</v>
      </c>
      <c r="AA260" s="850">
        <f t="shared" si="35"/>
        <v>8565791.4739493616</v>
      </c>
      <c r="AB260" t="str">
        <f>VLOOKUP(B260,'BD ASVICC'!$A$6:$BG$316,59,FALSE)</f>
        <v>CENTRAL</v>
      </c>
      <c r="AC260">
        <f t="shared" ref="AC260:AC314" si="36">VLOOKUP(AB260,Taulatend,2,FALSE)</f>
        <v>0.5</v>
      </c>
      <c r="AD260">
        <f t="shared" ref="AD260:AD314" si="37">VLOOKUP(AB260,Taulatend,3,FALSE)</f>
        <v>0.5</v>
      </c>
    </row>
    <row r="261" spans="1:30">
      <c r="A261">
        <v>8260</v>
      </c>
      <c r="B261" t="s">
        <v>1598</v>
      </c>
      <c r="C261" t="s">
        <v>89</v>
      </c>
      <c r="D261">
        <f>VLOOKUP(A261,'temperatures màximes'!$A$4:$U$314,'temperatures màximes'!U$1,FALSE)</f>
        <v>37</v>
      </c>
      <c r="E261">
        <f>VLOOKUP(A261,'nits tropicals'!$A$4:$U$314,'nits tropicals'!U$1,FALSE)</f>
        <v>39</v>
      </c>
      <c r="F261">
        <f t="shared" ref="F261:F314" si="38">D261/10</f>
        <v>3.7</v>
      </c>
      <c r="G261">
        <f t="shared" ref="G261:G314" si="39">E261/10</f>
        <v>3.9</v>
      </c>
      <c r="H261" s="840">
        <f>VLOOKUP(B261,'BD ASVICC'!$A$6:$X$316,24,FALSE)/VLOOKUP(C261,'BD Comarcal'!$A$6:$Z$17,26,FALSE)</f>
        <v>2.8262408210209679E-2</v>
      </c>
      <c r="I261" s="839">
        <f>(VLOOKUP(C261,'BD Altres'!$D$74:$H$84,5,FALSE) * 1000 / 12) * H261*0.035</f>
        <v>114.41571785815432</v>
      </c>
      <c r="J261" s="839">
        <f>(VLOOKUP(C261,'BD Altres'!$D$74:$H$84,3,FALSE) / 12) * H261*0.25</f>
        <v>50.222324113505344</v>
      </c>
      <c r="K261">
        <f>(VLOOKUP(B261,'BD ASVICC'!$A$6:$GR$316,199,FALSE) / 12)*0.3</f>
        <v>4.0249999999999995</v>
      </c>
      <c r="L261" s="846">
        <f>I261*'1. Cops de calor'!$C$32/30</f>
        <v>1639.9586226335452</v>
      </c>
      <c r="M261" s="846">
        <f>J261*'1. Cops de calor'!$C$33/30</f>
        <v>251.11162056752673</v>
      </c>
      <c r="N261" s="846">
        <f>K261*'1. Cops de calor'!$C$34*0.25/30</f>
        <v>63393.749999999985</v>
      </c>
      <c r="O261" s="779">
        <f t="shared" ref="O261:O314" si="40">(L261+M261+N261)*(F261+G261)</f>
        <v>496164.63384832803</v>
      </c>
      <c r="P261" s="848">
        <f>O261*'A. Dades de partida'!$D$10</f>
        <v>7442469.5077249203</v>
      </c>
      <c r="Q261">
        <f t="shared" ref="Q261:Q314" si="41">F261*(1+AC261)</f>
        <v>5.5500000000000007</v>
      </c>
      <c r="R261">
        <f t="shared" ref="R261:R314" si="42">G261*(1+AD261)</f>
        <v>5.85</v>
      </c>
      <c r="S261">
        <f>I261+(I261*'1. Cops de calor'!$C$40)</f>
        <v>120.82299805821097</v>
      </c>
      <c r="T261">
        <f>J261*'1. Cops de calor'!$C$41+J261</f>
        <v>53.988998422018241</v>
      </c>
      <c r="U261">
        <f>'1. Cops de calor'!$C$42*K261+K261</f>
        <v>4.1859999999999991</v>
      </c>
      <c r="V261">
        <f>S261*'1. Cops de calor'!$C$32/30</f>
        <v>1731.7963055010239</v>
      </c>
      <c r="W261">
        <f>T261*'1. Cops de calor'!$C$33/30</f>
        <v>269.94499211009122</v>
      </c>
      <c r="X261">
        <f>K261*'1. Cops de calor'!$C$34/30</f>
        <v>253574.99999999994</v>
      </c>
      <c r="Y261">
        <f t="shared" ref="Y261:Y314" si="43">SUM(V261:X261)</f>
        <v>255576.74129761106</v>
      </c>
      <c r="Z261" s="849">
        <f>Y261*(Q261+R261)*'A. Dades de partida'!$D$10</f>
        <v>43703622.761891492</v>
      </c>
      <c r="AA261" s="850">
        <f t="shared" ref="AA261:AA314" si="44">Z261-P261</f>
        <v>36261153.254166573</v>
      </c>
      <c r="AB261" t="str">
        <f>VLOOKUP(B261,'BD ASVICC'!$A$6:$BG$316,59,FALSE)</f>
        <v>LITORAL</v>
      </c>
      <c r="AC261">
        <f t="shared" si="36"/>
        <v>0.5</v>
      </c>
      <c r="AD261">
        <f t="shared" si="37"/>
        <v>0.5</v>
      </c>
    </row>
    <row r="262" spans="1:30">
      <c r="A262">
        <v>8261</v>
      </c>
      <c r="B262" t="s">
        <v>354</v>
      </c>
      <c r="C262" t="s">
        <v>86</v>
      </c>
      <c r="D262">
        <f>VLOOKUP(A262,'temperatures màximes'!$A$4:$U$314,'temperatures màximes'!U$1,FALSE)</f>
        <v>0</v>
      </c>
      <c r="E262">
        <f>VLOOKUP(A262,'nits tropicals'!$A$4:$U$314,'nits tropicals'!U$1,FALSE)</f>
        <v>62</v>
      </c>
      <c r="F262">
        <f t="shared" si="38"/>
        <v>0</v>
      </c>
      <c r="G262">
        <f t="shared" si="39"/>
        <v>6.2</v>
      </c>
      <c r="H262" s="840">
        <f>VLOOKUP(B262,'BD ASVICC'!$A$6:$X$316,24,FALSE)/VLOOKUP(C262,'BD Comarcal'!$A$6:$Z$17,26,FALSE)</f>
        <v>7.5265285783852956E-3</v>
      </c>
      <c r="I262" s="839">
        <f>(VLOOKUP(C262,'BD Altres'!$D$74:$H$84,5,FALSE) * 1000 / 12) * H262*0.035</f>
        <v>17.536223911078423</v>
      </c>
      <c r="J262" s="839">
        <f>(VLOOKUP(C262,'BD Altres'!$D$74:$H$84,3,FALSE) / 12) * H262*0.25</f>
        <v>7.9054733582120695</v>
      </c>
      <c r="K262">
        <f>(VLOOKUP(B262,'BD ASVICC'!$A$6:$GR$316,199,FALSE) / 12)*0.3</f>
        <v>0.44999999999999996</v>
      </c>
      <c r="L262" s="846">
        <f>I262*'1. Cops de calor'!$C$32/30</f>
        <v>251.35254272545743</v>
      </c>
      <c r="M262" s="846">
        <f>J262*'1. Cops de calor'!$C$33/30</f>
        <v>39.527366791060345</v>
      </c>
      <c r="N262" s="846">
        <f>K262*'1. Cops de calor'!$C$34*0.25/30</f>
        <v>7087.4999999999982</v>
      </c>
      <c r="O262" s="779">
        <f t="shared" si="40"/>
        <v>45745.955439002399</v>
      </c>
      <c r="P262" s="848">
        <f>O262*'A. Dades de partida'!$D$10</f>
        <v>686189.33158503601</v>
      </c>
      <c r="Q262">
        <f t="shared" si="41"/>
        <v>0</v>
      </c>
      <c r="R262">
        <f t="shared" si="42"/>
        <v>9.3000000000000007</v>
      </c>
      <c r="S262">
        <f>I262+(I262*'1. Cops de calor'!$C$40)</f>
        <v>18.518252450098814</v>
      </c>
      <c r="T262">
        <f>J262*'1. Cops de calor'!$C$41+J262</f>
        <v>8.4983838600779755</v>
      </c>
      <c r="U262">
        <f>'1. Cops de calor'!$C$42*K262+K262</f>
        <v>0.46799999999999997</v>
      </c>
      <c r="V262">
        <f>S262*'1. Cops de calor'!$C$32/30</f>
        <v>265.42828511808301</v>
      </c>
      <c r="W262">
        <f>T262*'1. Cops de calor'!$C$33/30</f>
        <v>42.491919300389881</v>
      </c>
      <c r="X262">
        <f>K262*'1. Cops de calor'!$C$34/30</f>
        <v>28349.999999999993</v>
      </c>
      <c r="Y262">
        <f t="shared" si="43"/>
        <v>28657.920204418464</v>
      </c>
      <c r="Z262" s="849">
        <f>Y262*(Q262+R262)*'A. Dades de partida'!$D$10</f>
        <v>3997779.8685163762</v>
      </c>
      <c r="AA262" s="850">
        <f t="shared" si="44"/>
        <v>3311590.5369313401</v>
      </c>
      <c r="AB262" t="str">
        <f>VLOOKUP(B262,'BD ASVICC'!$A$6:$BG$316,59,FALSE)</f>
        <v>LITORAL</v>
      </c>
      <c r="AC262">
        <f t="shared" si="36"/>
        <v>0.5</v>
      </c>
      <c r="AD262">
        <f t="shared" si="37"/>
        <v>0.5</v>
      </c>
    </row>
    <row r="263" spans="1:30">
      <c r="A263">
        <v>8262</v>
      </c>
      <c r="B263" t="s">
        <v>1600</v>
      </c>
      <c r="C263" t="s">
        <v>82</v>
      </c>
      <c r="D263">
        <f>VLOOKUP(A263,'temperatures màximes'!$A$4:$U$314,'temperatures màximes'!U$1,FALSE)</f>
        <v>138</v>
      </c>
      <c r="E263">
        <f>VLOOKUP(A263,'nits tropicals'!$A$4:$U$314,'nits tropicals'!U$1,FALSE)</f>
        <v>5</v>
      </c>
      <c r="F263">
        <f t="shared" si="38"/>
        <v>13.8</v>
      </c>
      <c r="G263">
        <f t="shared" si="39"/>
        <v>0.5</v>
      </c>
      <c r="H263" s="840">
        <f>VLOOKUP(B263,'BD ASVICC'!$A$6:$X$316,24,FALSE)/VLOOKUP(C263,'BD Comarcal'!$A$6:$Z$17,26,FALSE)</f>
        <v>5.2958751240100702E-2</v>
      </c>
      <c r="I263" s="839">
        <f>(VLOOKUP(C263,'BD Altres'!$D$74:$H$84,5,FALSE) * 1000 / 12) * H263*0.035</f>
        <v>151.50960383748247</v>
      </c>
      <c r="J263" s="839">
        <f>(VLOOKUP(C263,'BD Altres'!$D$74:$H$84,3,FALSE) / 12) * H263*0.25</f>
        <v>1324.551192070671</v>
      </c>
      <c r="K263">
        <f>(VLOOKUP(B263,'BD ASVICC'!$A$6:$GR$316,199,FALSE) / 12)*0.3</f>
        <v>1.9</v>
      </c>
      <c r="L263" s="846">
        <f>I263*'1. Cops de calor'!$C$32/30</f>
        <v>2171.6376550039154</v>
      </c>
      <c r="M263" s="846">
        <f>J263*'1. Cops de calor'!$C$33/30</f>
        <v>6622.7559603533555</v>
      </c>
      <c r="N263" s="846">
        <f>K263*'1. Cops de calor'!$C$34*0.25/30</f>
        <v>29924.999999999996</v>
      </c>
      <c r="O263" s="779">
        <f t="shared" si="40"/>
        <v>553687.32869960892</v>
      </c>
      <c r="P263" s="848">
        <f>O263*'A. Dades de partida'!$D$10</f>
        <v>8305309.9304941334</v>
      </c>
      <c r="Q263">
        <f t="shared" si="41"/>
        <v>20.700000000000003</v>
      </c>
      <c r="R263">
        <f t="shared" si="42"/>
        <v>0.75</v>
      </c>
      <c r="S263">
        <f>I263+(I263*'1. Cops de calor'!$C$40)</f>
        <v>159.9941416523815</v>
      </c>
      <c r="T263">
        <f>J263*'1. Cops de calor'!$C$41+J263</f>
        <v>1423.8925314759713</v>
      </c>
      <c r="U263">
        <f>'1. Cops de calor'!$C$42*K263+K263</f>
        <v>1.976</v>
      </c>
      <c r="V263">
        <f>S263*'1. Cops de calor'!$C$32/30</f>
        <v>2293.2493636841346</v>
      </c>
      <c r="W263">
        <f>T263*'1. Cops de calor'!$C$33/30</f>
        <v>7119.4626573798569</v>
      </c>
      <c r="X263">
        <f>K263*'1. Cops de calor'!$C$34/30</f>
        <v>119699.99999999999</v>
      </c>
      <c r="Y263">
        <f t="shared" si="43"/>
        <v>129112.71202106398</v>
      </c>
      <c r="Z263" s="849">
        <f>Y263*(Q263+R263)*'A. Dades de partida'!$D$10</f>
        <v>41542015.092777342</v>
      </c>
      <c r="AA263" s="850">
        <f t="shared" si="44"/>
        <v>33236705.162283208</v>
      </c>
      <c r="AB263" t="str">
        <f>VLOOKUP(B263,'BD ASVICC'!$A$6:$BG$316,59,FALSE)</f>
        <v>CENTRAL</v>
      </c>
      <c r="AC263">
        <f t="shared" si="36"/>
        <v>0.5</v>
      </c>
      <c r="AD263">
        <f t="shared" si="37"/>
        <v>0.5</v>
      </c>
    </row>
    <row r="264" spans="1:30">
      <c r="A264">
        <v>8263</v>
      </c>
      <c r="B264" t="s">
        <v>1602</v>
      </c>
      <c r="C264" t="s">
        <v>90</v>
      </c>
      <c r="D264">
        <f>VLOOKUP(A264,'temperatures màximes'!$A$4:$U$314,'temperatures màximes'!U$1,FALSE)</f>
        <v>102</v>
      </c>
      <c r="E264">
        <f>VLOOKUP(A264,'nits tropicals'!$A$4:$U$314,'nits tropicals'!U$1,FALSE)</f>
        <v>125</v>
      </c>
      <c r="F264">
        <f t="shared" si="38"/>
        <v>10.199999999999999</v>
      </c>
      <c r="G264">
        <f t="shared" si="39"/>
        <v>12.5</v>
      </c>
      <c r="H264" s="840">
        <f>VLOOKUP(B264,'BD ASVICC'!$A$6:$X$316,24,FALSE)/VLOOKUP(C264,'BD Comarcal'!$A$6:$Z$17,26,FALSE)</f>
        <v>3.4524739993307678E-2</v>
      </c>
      <c r="I264" s="839">
        <f>(VLOOKUP(C264,'BD Altres'!$D$74:$H$84,5,FALSE) * 1000 / 12) * H264*0.035</f>
        <v>63.621782089833204</v>
      </c>
      <c r="J264" s="839">
        <f>(VLOOKUP(C264,'BD Altres'!$D$74:$H$84,3,FALSE) / 12) * H264*0.25</f>
        <v>194.04310250851958</v>
      </c>
      <c r="K264">
        <f>(VLOOKUP(B264,'BD ASVICC'!$A$6:$GR$316,199,FALSE) / 12)*0.3</f>
        <v>4.8500000000000005</v>
      </c>
      <c r="L264" s="846">
        <f>I264*'1. Cops de calor'!$C$32/30</f>
        <v>911.91220995427591</v>
      </c>
      <c r="M264" s="846">
        <f>J264*'1. Cops de calor'!$C$33/30</f>
        <v>970.21551254259793</v>
      </c>
      <c r="N264" s="846">
        <f>K264*'1. Cops de calor'!$C$34*0.25/30</f>
        <v>76387.5</v>
      </c>
      <c r="O264" s="779">
        <f t="shared" si="40"/>
        <v>1776720.549300679</v>
      </c>
      <c r="P264" s="848">
        <f>O264*'A. Dades de partida'!$D$10</f>
        <v>26650808.239510186</v>
      </c>
      <c r="Q264">
        <f t="shared" si="41"/>
        <v>15.299999999999999</v>
      </c>
      <c r="R264">
        <f t="shared" si="42"/>
        <v>18.75</v>
      </c>
      <c r="S264">
        <f>I264+(I264*'1. Cops de calor'!$C$40)</f>
        <v>67.184601886863859</v>
      </c>
      <c r="T264">
        <f>J264*'1. Cops de calor'!$C$41+J264</f>
        <v>208.59633519665854</v>
      </c>
      <c r="U264">
        <f>'1. Cops de calor'!$C$42*K264+K264</f>
        <v>5.0440000000000005</v>
      </c>
      <c r="V264">
        <f>S264*'1. Cops de calor'!$C$32/30</f>
        <v>962.97929371171529</v>
      </c>
      <c r="W264">
        <f>T264*'1. Cops de calor'!$C$33/30</f>
        <v>1042.9816759832927</v>
      </c>
      <c r="X264">
        <f>K264*'1. Cops de calor'!$C$34/30</f>
        <v>305550</v>
      </c>
      <c r="Y264">
        <f t="shared" si="43"/>
        <v>307555.96096969501</v>
      </c>
      <c r="Z264" s="849">
        <f>Y264*(Q264+R264)*'A. Dades de partida'!$D$10</f>
        <v>157084207.06527171</v>
      </c>
      <c r="AA264" s="850">
        <f t="shared" si="44"/>
        <v>130433398.82576153</v>
      </c>
      <c r="AB264" t="str">
        <f>VLOOKUP(B264,'BD ASVICC'!$A$6:$BG$316,59,FALSE)</f>
        <v>LITORAL</v>
      </c>
      <c r="AC264">
        <f t="shared" si="36"/>
        <v>0.5</v>
      </c>
      <c r="AD264">
        <f t="shared" si="37"/>
        <v>0.5</v>
      </c>
    </row>
    <row r="265" spans="1:30">
      <c r="A265">
        <v>8264</v>
      </c>
      <c r="B265" t="s">
        <v>355</v>
      </c>
      <c r="C265" t="s">
        <v>86</v>
      </c>
      <c r="D265">
        <f>VLOOKUP(A265,'temperatures màximes'!$A$4:$U$314,'temperatures màximes'!U$1,FALSE)</f>
        <v>2</v>
      </c>
      <c r="E265">
        <f>VLOOKUP(A265,'nits tropicals'!$A$4:$U$314,'nits tropicals'!U$1,FALSE)</f>
        <v>403</v>
      </c>
      <c r="F265">
        <f t="shared" si="38"/>
        <v>0.2</v>
      </c>
      <c r="G265">
        <f t="shared" si="39"/>
        <v>40.299999999999997</v>
      </c>
      <c r="H265" s="840">
        <f>VLOOKUP(B265,'BD ASVICC'!$A$6:$X$316,24,FALSE)/VLOOKUP(C265,'BD Comarcal'!$A$6:$Z$17,26,FALSE)</f>
        <v>1.4002106431410742E-2</v>
      </c>
      <c r="I265" s="839">
        <f>(VLOOKUP(C265,'BD Altres'!$D$74:$H$84,5,FALSE) * 1000 / 12) * H265*0.035</f>
        <v>32.62381469102823</v>
      </c>
      <c r="J265" s="839">
        <f>(VLOOKUP(C265,'BD Altres'!$D$74:$H$84,3,FALSE) / 12) * H265*0.25</f>
        <v>14.707082846965699</v>
      </c>
      <c r="K265">
        <f>(VLOOKUP(B265,'BD ASVICC'!$A$6:$GR$316,199,FALSE) / 12)*0.3</f>
        <v>1.125</v>
      </c>
      <c r="L265" s="846">
        <f>I265*'1. Cops de calor'!$C$32/30</f>
        <v>467.60801057140463</v>
      </c>
      <c r="M265" s="846">
        <f>J265*'1. Cops de calor'!$C$33/30</f>
        <v>73.535414234828494</v>
      </c>
      <c r="N265" s="846">
        <f>K265*'1. Cops de calor'!$C$34*0.25/30</f>
        <v>17718.749999999996</v>
      </c>
      <c r="O265" s="779">
        <f t="shared" si="40"/>
        <v>739525.68370465224</v>
      </c>
      <c r="P265" s="848">
        <f>O265*'A. Dades de partida'!$D$10</f>
        <v>11092885.255569784</v>
      </c>
      <c r="Q265">
        <f t="shared" si="41"/>
        <v>0.30000000000000004</v>
      </c>
      <c r="R265">
        <f t="shared" si="42"/>
        <v>60.449999999999996</v>
      </c>
      <c r="S265">
        <f>I265+(I265*'1. Cops de calor'!$C$40)</f>
        <v>34.450748313725811</v>
      </c>
      <c r="T265">
        <f>J265*'1. Cops de calor'!$C$41+J265</f>
        <v>15.810114060488127</v>
      </c>
      <c r="U265">
        <f>'1. Cops de calor'!$C$42*K265+K265</f>
        <v>1.17</v>
      </c>
      <c r="V265">
        <f>S265*'1. Cops de calor'!$C$32/30</f>
        <v>493.79405916340329</v>
      </c>
      <c r="W265">
        <f>T265*'1. Cops de calor'!$C$33/30</f>
        <v>79.050570302440647</v>
      </c>
      <c r="X265">
        <f>K265*'1. Cops de calor'!$C$34/30</f>
        <v>70874.999999999985</v>
      </c>
      <c r="Y265">
        <f t="shared" si="43"/>
        <v>71447.844629465835</v>
      </c>
      <c r="Z265" s="849">
        <f>Y265*(Q265+R265)*'A. Dades de partida'!$D$10</f>
        <v>65106848.418600738</v>
      </c>
      <c r="AA265" s="850">
        <f t="shared" si="44"/>
        <v>54013963.163030952</v>
      </c>
      <c r="AB265" t="str">
        <f>VLOOKUP(B265,'BD ASVICC'!$A$6:$BG$316,59,FALSE)</f>
        <v>LITORAL</v>
      </c>
      <c r="AC265">
        <f t="shared" si="36"/>
        <v>0.5</v>
      </c>
      <c r="AD265">
        <f t="shared" si="37"/>
        <v>0.5</v>
      </c>
    </row>
    <row r="266" spans="1:30">
      <c r="A266">
        <v>8265</v>
      </c>
      <c r="B266" t="s">
        <v>1604</v>
      </c>
      <c r="C266" t="s">
        <v>88</v>
      </c>
      <c r="D266">
        <f>VLOOKUP(A266,'temperatures màximes'!$A$4:$U$314,'temperatures màximes'!U$1,FALSE)</f>
        <v>83</v>
      </c>
      <c r="E266">
        <f>VLOOKUP(A266,'nits tropicals'!$A$4:$U$314,'nits tropicals'!U$1,FALSE)</f>
        <v>0</v>
      </c>
      <c r="F266">
        <f t="shared" si="38"/>
        <v>8.3000000000000007</v>
      </c>
      <c r="G266">
        <f t="shared" si="39"/>
        <v>0</v>
      </c>
      <c r="H266" s="840">
        <f>VLOOKUP(B266,'BD ASVICC'!$A$6:$X$316,24,FALSE)/VLOOKUP(C266,'BD Comarcal'!$A$6:$Z$17,26,FALSE)</f>
        <v>1.2824384320326907E-2</v>
      </c>
      <c r="I266" s="839">
        <f>(VLOOKUP(C266,'BD Altres'!$D$74:$H$84,5,FALSE) * 1000 / 12) * H266*0.035</f>
        <v>14.269799303097088</v>
      </c>
      <c r="J266" s="839">
        <f>(VLOOKUP(C266,'BD Altres'!$D$74:$H$84,3,FALSE) / 12) * H266*0.25</f>
        <v>9.1290914133593759</v>
      </c>
      <c r="K266">
        <f>(VLOOKUP(B266,'BD ASVICC'!$A$6:$GR$316,199,FALSE) / 12)*0.3</f>
        <v>0.44999999999999996</v>
      </c>
      <c r="L266" s="846">
        <f>I266*'1. Cops de calor'!$C$32/30</f>
        <v>204.53379001105824</v>
      </c>
      <c r="M266" s="846">
        <f>J266*'1. Cops de calor'!$C$33/30</f>
        <v>45.64545706679688</v>
      </c>
      <c r="N266" s="846">
        <f>K266*'1. Cops de calor'!$C$34*0.25/30</f>
        <v>7087.4999999999982</v>
      </c>
      <c r="O266" s="779">
        <f t="shared" si="40"/>
        <v>60902.737750746193</v>
      </c>
      <c r="P266" s="848">
        <f>O266*'A. Dades de partida'!$D$10</f>
        <v>913541.0662611929</v>
      </c>
      <c r="Q266">
        <f t="shared" si="41"/>
        <v>12.450000000000001</v>
      </c>
      <c r="R266">
        <f t="shared" si="42"/>
        <v>0</v>
      </c>
      <c r="S266">
        <f>I266+(I266*'1. Cops de calor'!$C$40)</f>
        <v>15.068908064070525</v>
      </c>
      <c r="T266">
        <f>J266*'1. Cops de calor'!$C$41+J266</f>
        <v>9.8137732693613291</v>
      </c>
      <c r="U266">
        <f>'1. Cops de calor'!$C$42*K266+K266</f>
        <v>0.46799999999999997</v>
      </c>
      <c r="V266">
        <f>S266*'1. Cops de calor'!$C$32/30</f>
        <v>215.98768225167754</v>
      </c>
      <c r="W266">
        <f>T266*'1. Cops de calor'!$C$33/30</f>
        <v>49.068866346806644</v>
      </c>
      <c r="X266">
        <f>K266*'1. Cops de calor'!$C$34/30</f>
        <v>28349.999999999993</v>
      </c>
      <c r="Y266">
        <f t="shared" si="43"/>
        <v>28615.056548598477</v>
      </c>
      <c r="Z266" s="849">
        <f>Y266*(Q266+R266)*'A. Dades de partida'!$D$10</f>
        <v>5343861.8104507662</v>
      </c>
      <c r="AA266" s="850">
        <f t="shared" si="44"/>
        <v>4430320.7441895735</v>
      </c>
      <c r="AB266" t="str">
        <f>VLOOKUP(B266,'BD ASVICC'!$A$6:$BG$316,59,FALSE)</f>
        <v>PREPIRINEU-PIRINEU</v>
      </c>
      <c r="AC266">
        <f t="shared" si="36"/>
        <v>0.5</v>
      </c>
      <c r="AD266">
        <f t="shared" si="37"/>
        <v>0.5</v>
      </c>
    </row>
    <row r="267" spans="1:30">
      <c r="A267">
        <v>8266</v>
      </c>
      <c r="B267" t="s">
        <v>1605</v>
      </c>
      <c r="C267" t="s">
        <v>89</v>
      </c>
      <c r="D267">
        <f>VLOOKUP(A267,'temperatures màximes'!$A$4:$U$314,'temperatures màximes'!U$1,FALSE)</f>
        <v>37</v>
      </c>
      <c r="E267">
        <f>VLOOKUP(A267,'nits tropicals'!$A$4:$U$314,'nits tropicals'!U$1,FALSE)</f>
        <v>39</v>
      </c>
      <c r="F267">
        <f t="shared" si="38"/>
        <v>3.7</v>
      </c>
      <c r="G267">
        <f t="shared" si="39"/>
        <v>3.9</v>
      </c>
      <c r="H267" s="840">
        <f>VLOOKUP(B267,'BD ASVICC'!$A$6:$X$316,24,FALSE)/VLOOKUP(C267,'BD Comarcal'!$A$6:$Z$17,26,FALSE)</f>
        <v>6.363686631867646E-2</v>
      </c>
      <c r="I267" s="839">
        <f>(VLOOKUP(C267,'BD Altres'!$D$74:$H$84,5,FALSE) * 1000 / 12) * H267*0.035</f>
        <v>257.62340165564933</v>
      </c>
      <c r="J267" s="839">
        <f>(VLOOKUP(C267,'BD Altres'!$D$74:$H$84,3,FALSE) / 12) * H267*0.25</f>
        <v>113.08276711783682</v>
      </c>
      <c r="K267">
        <f>(VLOOKUP(B267,'BD ASVICC'!$A$6:$GR$316,199,FALSE) / 12)*0.3</f>
        <v>9.75</v>
      </c>
      <c r="L267" s="846">
        <f>I267*'1. Cops de calor'!$C$32/30</f>
        <v>3692.6020903976405</v>
      </c>
      <c r="M267" s="846">
        <f>J267*'1. Cops de calor'!$C$33/30</f>
        <v>565.41383558918415</v>
      </c>
      <c r="N267" s="846">
        <f>K267*'1. Cops de calor'!$C$34*0.25/30</f>
        <v>153562.49999999997</v>
      </c>
      <c r="O267" s="779">
        <f t="shared" si="40"/>
        <v>1199435.9210374998</v>
      </c>
      <c r="P267" s="848">
        <f>O267*'A. Dades de partida'!$D$10</f>
        <v>17991538.815562498</v>
      </c>
      <c r="Q267">
        <f t="shared" si="41"/>
        <v>5.5500000000000007</v>
      </c>
      <c r="R267">
        <f t="shared" si="42"/>
        <v>5.85</v>
      </c>
      <c r="S267">
        <f>I267+(I267*'1. Cops de calor'!$C$40)</f>
        <v>272.05031214836572</v>
      </c>
      <c r="T267">
        <f>J267*'1. Cops de calor'!$C$41+J267</f>
        <v>121.56397465167458</v>
      </c>
      <c r="U267">
        <f>'1. Cops de calor'!$C$42*K267+K267</f>
        <v>10.14</v>
      </c>
      <c r="V267">
        <f>S267*'1. Cops de calor'!$C$32/30</f>
        <v>3899.3878074599083</v>
      </c>
      <c r="W267">
        <f>T267*'1. Cops de calor'!$C$33/30</f>
        <v>607.81987325837292</v>
      </c>
      <c r="X267">
        <f>K267*'1. Cops de calor'!$C$34/30</f>
        <v>614249.99999999988</v>
      </c>
      <c r="Y267">
        <f t="shared" si="43"/>
        <v>618757.20768071816</v>
      </c>
      <c r="Z267" s="849">
        <f>Y267*(Q267+R267)*'A. Dades de partida'!$D$10</f>
        <v>105807482.5134028</v>
      </c>
      <c r="AA267" s="850">
        <f t="shared" si="44"/>
        <v>87815943.697840303</v>
      </c>
      <c r="AB267" t="str">
        <f>VLOOKUP(B267,'BD ASVICC'!$A$6:$BG$316,59,FALSE)</f>
        <v>LITORAL</v>
      </c>
      <c r="AC267">
        <f t="shared" si="36"/>
        <v>0.5</v>
      </c>
      <c r="AD267">
        <f t="shared" si="37"/>
        <v>0.5</v>
      </c>
    </row>
    <row r="268" spans="1:30">
      <c r="A268">
        <v>8267</v>
      </c>
      <c r="B268" t="s">
        <v>1608</v>
      </c>
      <c r="C268" t="s">
        <v>89</v>
      </c>
      <c r="D268">
        <f>VLOOKUP(A268,'temperatures màximes'!$A$4:$U$314,'temperatures màximes'!U$1,FALSE)</f>
        <v>42</v>
      </c>
      <c r="E268">
        <f>VLOOKUP(A268,'nits tropicals'!$A$4:$U$314,'nits tropicals'!U$1,FALSE)</f>
        <v>8</v>
      </c>
      <c r="F268">
        <f t="shared" si="38"/>
        <v>4.2</v>
      </c>
      <c r="G268">
        <f t="shared" si="39"/>
        <v>0.8</v>
      </c>
      <c r="H268" s="840">
        <f>VLOOKUP(B268,'BD ASVICC'!$A$6:$X$316,24,FALSE)/VLOOKUP(C268,'BD Comarcal'!$A$6:$Z$17,26,FALSE)</f>
        <v>9.6213394673980365E-3</v>
      </c>
      <c r="I268" s="839">
        <f>(VLOOKUP(C268,'BD Altres'!$D$74:$H$84,5,FALSE) * 1000 / 12) * H268*0.035</f>
        <v>38.950412637577976</v>
      </c>
      <c r="J268" s="839">
        <f>(VLOOKUP(C268,'BD Altres'!$D$74:$H$84,3,FALSE) / 12) * H268*0.25</f>
        <v>17.097128650316815</v>
      </c>
      <c r="K268">
        <f>(VLOOKUP(B268,'BD ASVICC'!$A$6:$GR$316,199,FALSE) / 12)*0.3</f>
        <v>1.2999999999999998</v>
      </c>
      <c r="L268" s="846">
        <f>I268*'1. Cops de calor'!$C$32/30</f>
        <v>558.28924780528428</v>
      </c>
      <c r="M268" s="846">
        <f>J268*'1. Cops de calor'!$C$33/30</f>
        <v>85.485643251584079</v>
      </c>
      <c r="N268" s="846">
        <f>K268*'1. Cops de calor'!$C$34*0.25/30</f>
        <v>20474.999999999996</v>
      </c>
      <c r="O268" s="779">
        <f t="shared" si="40"/>
        <v>105593.87445528433</v>
      </c>
      <c r="P268" s="848">
        <f>O268*'A. Dades de partida'!$D$10</f>
        <v>1583908.1168292649</v>
      </c>
      <c r="Q268">
        <f t="shared" si="41"/>
        <v>6.3000000000000007</v>
      </c>
      <c r="R268">
        <f t="shared" si="42"/>
        <v>1.2000000000000002</v>
      </c>
      <c r="S268">
        <f>I268+(I268*'1. Cops de calor'!$C$40)</f>
        <v>41.131635745282345</v>
      </c>
      <c r="T268">
        <f>J268*'1. Cops de calor'!$C$41+J268</f>
        <v>18.379413299090576</v>
      </c>
      <c r="U268">
        <f>'1. Cops de calor'!$C$42*K268+K268</f>
        <v>1.3519999999999999</v>
      </c>
      <c r="V268">
        <f>S268*'1. Cops de calor'!$C$32/30</f>
        <v>589.55344568238036</v>
      </c>
      <c r="W268">
        <f>T268*'1. Cops de calor'!$C$33/30</f>
        <v>91.897066495452876</v>
      </c>
      <c r="X268">
        <f>K268*'1. Cops de calor'!$C$34/30</f>
        <v>81899.999999999985</v>
      </c>
      <c r="Y268">
        <f t="shared" si="43"/>
        <v>82581.45051217782</v>
      </c>
      <c r="Z268" s="849">
        <f>Y268*(Q268+R268)*'A. Dades de partida'!$D$10</f>
        <v>9290413.1826200057</v>
      </c>
      <c r="AA268" s="850">
        <f t="shared" si="44"/>
        <v>7706505.0657907408</v>
      </c>
      <c r="AB268" t="str">
        <f>VLOOKUP(B268,'BD ASVICC'!$A$6:$BG$316,59,FALSE)</f>
        <v>CENTRAL</v>
      </c>
      <c r="AC268">
        <f t="shared" si="36"/>
        <v>0.5</v>
      </c>
      <c r="AD268">
        <f t="shared" si="37"/>
        <v>0.5</v>
      </c>
    </row>
    <row r="269" spans="1:30">
      <c r="A269">
        <v>8268</v>
      </c>
      <c r="B269" t="s">
        <v>1610</v>
      </c>
      <c r="C269" t="s">
        <v>84</v>
      </c>
      <c r="D269">
        <f>VLOOKUP(A269,'temperatures màximes'!$A$4:$U$314,'temperatures màximes'!U$1,FALSE)</f>
        <v>11</v>
      </c>
      <c r="E269">
        <f>VLOOKUP(A269,'nits tropicals'!$A$4:$U$314,'nits tropicals'!U$1,FALSE)</f>
        <v>0</v>
      </c>
      <c r="F269">
        <f t="shared" si="38"/>
        <v>1.1000000000000001</v>
      </c>
      <c r="G269">
        <f t="shared" si="39"/>
        <v>0</v>
      </c>
      <c r="H269" s="840">
        <f>VLOOKUP(B269,'BD ASVICC'!$A$6:$X$316,24,FALSE)/VLOOKUP(C269,'BD Comarcal'!$A$6:$Z$17,26,FALSE)</f>
        <v>3.0195517892694881E-2</v>
      </c>
      <c r="I269" s="839">
        <f>(VLOOKUP(C269,'BD Altres'!$D$74:$H$84,5,FALSE) * 1000 / 12) * H269*0.035</f>
        <v>19.408322830508045</v>
      </c>
      <c r="J269" s="839">
        <f>(VLOOKUP(C269,'BD Altres'!$D$74:$H$84,3,FALSE) / 12) * H269*0.25</f>
        <v>169.67450570867393</v>
      </c>
      <c r="K269">
        <f>(VLOOKUP(B269,'BD ASVICC'!$A$6:$GR$316,199,FALSE) / 12)*0.3</f>
        <v>0.375</v>
      </c>
      <c r="L269" s="846">
        <f>I269*'1. Cops de calor'!$C$32/30</f>
        <v>278.18596057061529</v>
      </c>
      <c r="M269" s="846">
        <f>J269*'1. Cops de calor'!$C$33/30</f>
        <v>848.37252854336975</v>
      </c>
      <c r="N269" s="846">
        <f>K269*'1. Cops de calor'!$C$34*0.25/30</f>
        <v>5906.2499999999991</v>
      </c>
      <c r="O269" s="779">
        <f t="shared" si="40"/>
        <v>7736.0893380253829</v>
      </c>
      <c r="P269" s="848">
        <f>O269*'A. Dades de partida'!$D$10</f>
        <v>116041.34007038074</v>
      </c>
      <c r="Q269">
        <f t="shared" si="41"/>
        <v>1.6500000000000001</v>
      </c>
      <c r="R269">
        <f t="shared" si="42"/>
        <v>0</v>
      </c>
      <c r="S269">
        <f>I269+(I269*'1. Cops de calor'!$C$40)</f>
        <v>20.495188909016495</v>
      </c>
      <c r="T269">
        <f>J269*'1. Cops de calor'!$C$41+J269</f>
        <v>182.40009363682447</v>
      </c>
      <c r="U269">
        <f>'1. Cops de calor'!$C$42*K269+K269</f>
        <v>0.39</v>
      </c>
      <c r="V269">
        <f>S269*'1. Cops de calor'!$C$32/30</f>
        <v>293.76437436256975</v>
      </c>
      <c r="W269">
        <f>T269*'1. Cops de calor'!$C$33/30</f>
        <v>912.00046818412227</v>
      </c>
      <c r="X269">
        <f>K269*'1. Cops de calor'!$C$34/30</f>
        <v>23624.999999999996</v>
      </c>
      <c r="Y269">
        <f t="shared" si="43"/>
        <v>24830.764842546687</v>
      </c>
      <c r="Z269" s="849">
        <f>Y269*(Q269+R269)*'A. Dades de partida'!$D$10</f>
        <v>614561.4298530306</v>
      </c>
      <c r="AA269" s="850">
        <f t="shared" si="44"/>
        <v>498520.08978264988</v>
      </c>
      <c r="AB269" t="str">
        <f>VLOOKUP(B269,'BD ASVICC'!$A$6:$BG$316,59,FALSE)</f>
        <v>PREPIRINEU-PIRINEU</v>
      </c>
      <c r="AC269">
        <f t="shared" si="36"/>
        <v>0.5</v>
      </c>
      <c r="AD269">
        <f t="shared" si="37"/>
        <v>0.5</v>
      </c>
    </row>
    <row r="270" spans="1:30">
      <c r="A270">
        <v>8269</v>
      </c>
      <c r="B270" t="s">
        <v>1614</v>
      </c>
      <c r="C270" t="s">
        <v>88</v>
      </c>
      <c r="D270">
        <f>VLOOKUP(A270,'temperatures màximes'!$A$4:$U$314,'temperatures màximes'!U$1,FALSE)</f>
        <v>83</v>
      </c>
      <c r="E270">
        <f>VLOOKUP(A270,'nits tropicals'!$A$4:$U$314,'nits tropicals'!U$1,FALSE)</f>
        <v>0</v>
      </c>
      <c r="F270">
        <f t="shared" si="38"/>
        <v>8.3000000000000007</v>
      </c>
      <c r="G270">
        <f t="shared" si="39"/>
        <v>0</v>
      </c>
      <c r="H270" s="840">
        <f>VLOOKUP(B270,'BD ASVICC'!$A$6:$X$316,24,FALSE)/VLOOKUP(C270,'BD Comarcal'!$A$6:$Z$17,26,FALSE)</f>
        <v>2.2140695575073407E-2</v>
      </c>
      <c r="I270" s="839">
        <f>(VLOOKUP(C270,'BD Altres'!$D$74:$H$84,5,FALSE) * 1000 / 12) * H270*0.035</f>
        <v>24.636136472180645</v>
      </c>
      <c r="J270" s="839">
        <f>(VLOOKUP(C270,'BD Altres'!$D$74:$H$84,3,FALSE) / 12) * H270*0.25</f>
        <v>15.760946398014234</v>
      </c>
      <c r="K270">
        <f>(VLOOKUP(B270,'BD ASVICC'!$A$6:$GR$316,199,FALSE) / 12)*0.3</f>
        <v>0.57499999999999996</v>
      </c>
      <c r="L270" s="846">
        <f>I270*'1. Cops de calor'!$C$32/30</f>
        <v>353.11795610125591</v>
      </c>
      <c r="M270" s="846">
        <f>J270*'1. Cops de calor'!$C$33/30</f>
        <v>78.804731990071161</v>
      </c>
      <c r="N270" s="846">
        <f>K270*'1. Cops de calor'!$C$34*0.25/30</f>
        <v>9056.2499999999982</v>
      </c>
      <c r="O270" s="779">
        <f t="shared" si="40"/>
        <v>78751.833311158</v>
      </c>
      <c r="P270" s="848">
        <f>O270*'A. Dades de partida'!$D$10</f>
        <v>1181277.49966737</v>
      </c>
      <c r="Q270">
        <f t="shared" si="41"/>
        <v>12.450000000000001</v>
      </c>
      <c r="R270">
        <f t="shared" si="42"/>
        <v>0</v>
      </c>
      <c r="S270">
        <f>I270+(I270*'1. Cops de calor'!$C$40)</f>
        <v>26.015760114622761</v>
      </c>
      <c r="T270">
        <f>J270*'1. Cops de calor'!$C$41+J270</f>
        <v>16.943017377865303</v>
      </c>
      <c r="U270">
        <f>'1. Cops de calor'!$C$42*K270+K270</f>
        <v>0.59799999999999998</v>
      </c>
      <c r="V270">
        <f>S270*'1. Cops de calor'!$C$32/30</f>
        <v>372.89256164292624</v>
      </c>
      <c r="W270">
        <f>T270*'1. Cops de calor'!$C$33/30</f>
        <v>84.715086889326514</v>
      </c>
      <c r="X270">
        <f>K270*'1. Cops de calor'!$C$34/30</f>
        <v>36224.999999999993</v>
      </c>
      <c r="Y270">
        <f t="shared" si="43"/>
        <v>36682.607648532248</v>
      </c>
      <c r="Z270" s="849">
        <f>Y270*(Q270+R270)*'A. Dades de partida'!$D$10</f>
        <v>6850476.9783633975</v>
      </c>
      <c r="AA270" s="850">
        <f t="shared" si="44"/>
        <v>5669199.4786960278</v>
      </c>
      <c r="AB270" t="str">
        <f>VLOOKUP(B270,'BD ASVICC'!$A$6:$BG$316,59,FALSE)</f>
        <v>PREPIRINEU-PIRINEU</v>
      </c>
      <c r="AC270">
        <f t="shared" si="36"/>
        <v>0.5</v>
      </c>
      <c r="AD270">
        <f t="shared" si="37"/>
        <v>0.5</v>
      </c>
    </row>
    <row r="271" spans="1:30">
      <c r="A271">
        <v>8270</v>
      </c>
      <c r="B271" t="s">
        <v>356</v>
      </c>
      <c r="C271" t="s">
        <v>85</v>
      </c>
      <c r="D271">
        <f>VLOOKUP(A271,'temperatures màximes'!$A$4:$U$314,'temperatures màximes'!U$1,FALSE)</f>
        <v>19</v>
      </c>
      <c r="E271">
        <f>VLOOKUP(A271,'nits tropicals'!$A$4:$U$314,'nits tropicals'!U$1,FALSE)</f>
        <v>137</v>
      </c>
      <c r="F271">
        <f t="shared" si="38"/>
        <v>1.9</v>
      </c>
      <c r="G271">
        <f t="shared" si="39"/>
        <v>13.7</v>
      </c>
      <c r="H271" s="840">
        <f>VLOOKUP(B271,'BD ASVICC'!$A$6:$X$316,24,FALSE)/VLOOKUP(C271,'BD Comarcal'!$A$6:$Z$17,26,FALSE)</f>
        <v>0.1938914458454751</v>
      </c>
      <c r="I271" s="839">
        <f>(VLOOKUP(C271,'BD Altres'!$D$74:$H$84,5,FALSE) * 1000 / 12) * H271*0.035</f>
        <v>599.05728323330186</v>
      </c>
      <c r="J271" s="839">
        <f>(VLOOKUP(C271,'BD Altres'!$D$74:$H$84,3,FALSE) / 12) * H271*0.25</f>
        <v>68.681848575647564</v>
      </c>
      <c r="K271">
        <f>(VLOOKUP(B271,'BD ASVICC'!$A$6:$GR$316,199,FALSE) / 12)*0.3</f>
        <v>5.0249999999999995</v>
      </c>
      <c r="L271" s="846">
        <f>I271*'1. Cops de calor'!$C$32/30</f>
        <v>8586.4877263439939</v>
      </c>
      <c r="M271" s="846">
        <f>J271*'1. Cops de calor'!$C$33/30</f>
        <v>343.40924287823782</v>
      </c>
      <c r="N271" s="846">
        <f>K271*'1. Cops de calor'!$C$34*0.25/30</f>
        <v>79143.749999999985</v>
      </c>
      <c r="O271" s="779">
        <f t="shared" si="40"/>
        <v>1373948.8927198665</v>
      </c>
      <c r="P271" s="848">
        <f>O271*'A. Dades de partida'!$D$10</f>
        <v>20609233.390797999</v>
      </c>
      <c r="Q271">
        <f t="shared" si="41"/>
        <v>2.8499999999999996</v>
      </c>
      <c r="R271">
        <f t="shared" si="42"/>
        <v>20.549999999999997</v>
      </c>
      <c r="S271">
        <f>I271+(I271*'1. Cops de calor'!$C$40)</f>
        <v>632.60449109436672</v>
      </c>
      <c r="T271">
        <f>J271*'1. Cops de calor'!$C$41+J271</f>
        <v>73.832987218821131</v>
      </c>
      <c r="U271">
        <f>'1. Cops de calor'!$C$42*K271+K271</f>
        <v>5.2259999999999991</v>
      </c>
      <c r="V271">
        <f>S271*'1. Cops de calor'!$C$32/30</f>
        <v>9067.3310390192564</v>
      </c>
      <c r="W271">
        <f>T271*'1. Cops de calor'!$C$33/30</f>
        <v>369.16493609410566</v>
      </c>
      <c r="X271">
        <f>K271*'1. Cops de calor'!$C$34/30</f>
        <v>316574.99999999994</v>
      </c>
      <c r="Y271">
        <f t="shared" si="43"/>
        <v>326011.4959751133</v>
      </c>
      <c r="Z271" s="849">
        <f>Y271*(Q271+R271)*'A. Dades de partida'!$D$10</f>
        <v>114430035.08726476</v>
      </c>
      <c r="AA271" s="850">
        <f t="shared" si="44"/>
        <v>93820801.696466759</v>
      </c>
      <c r="AB271" t="str">
        <f>VLOOKUP(B271,'BD ASVICC'!$A$6:$BG$316,59,FALSE)</f>
        <v>LITORAL</v>
      </c>
      <c r="AC271">
        <f t="shared" si="36"/>
        <v>0.5</v>
      </c>
      <c r="AD271">
        <f t="shared" si="37"/>
        <v>0.5</v>
      </c>
    </row>
    <row r="272" spans="1:30">
      <c r="A272">
        <v>8271</v>
      </c>
      <c r="B272" t="s">
        <v>1621</v>
      </c>
      <c r="C272" t="s">
        <v>88</v>
      </c>
      <c r="D272">
        <f>VLOOKUP(A272,'temperatures màximes'!$A$4:$U$314,'temperatures màximes'!U$1,FALSE)</f>
        <v>10</v>
      </c>
      <c r="E272">
        <f>VLOOKUP(A272,'nits tropicals'!$A$4:$U$314,'nits tropicals'!U$1,FALSE)</f>
        <v>0</v>
      </c>
      <c r="F272">
        <f t="shared" si="38"/>
        <v>1</v>
      </c>
      <c r="G272">
        <f t="shared" si="39"/>
        <v>0</v>
      </c>
      <c r="H272" s="840">
        <f>VLOOKUP(B272,'BD ASVICC'!$A$6:$X$316,24,FALSE)/VLOOKUP(C272,'BD Comarcal'!$A$6:$Z$17,26,FALSE)</f>
        <v>5.3327850630617893E-4</v>
      </c>
      <c r="I272" s="839">
        <f>(VLOOKUP(C272,'BD Altres'!$D$74:$H$84,5,FALSE) * 1000 / 12) * H272*0.035</f>
        <v>0.59338343795443793</v>
      </c>
      <c r="J272" s="839">
        <f>(VLOOKUP(C272,'BD Altres'!$D$74:$H$84,3,FALSE) / 12) * H272*0.25</f>
        <v>0.37961652670782975</v>
      </c>
      <c r="K272">
        <f>(VLOOKUP(B272,'BD ASVICC'!$A$6:$GR$316,199,FALSE) / 12)*0.3</f>
        <v>0</v>
      </c>
      <c r="L272" s="846">
        <f>I272*'1. Cops de calor'!$C$32/30</f>
        <v>8.5051626106802765</v>
      </c>
      <c r="M272" s="846">
        <f>J272*'1. Cops de calor'!$C$33/30</f>
        <v>1.898082633539149</v>
      </c>
      <c r="N272" s="846">
        <f>K272*'1. Cops de calor'!$C$34*0.25/30</f>
        <v>0</v>
      </c>
      <c r="O272" s="779">
        <f t="shared" si="40"/>
        <v>10.403245244219425</v>
      </c>
      <c r="P272" s="848">
        <f>O272*'A. Dades de partida'!$D$10</f>
        <v>156.04867866329138</v>
      </c>
      <c r="Q272">
        <f t="shared" si="41"/>
        <v>1.5</v>
      </c>
      <c r="R272">
        <f t="shared" si="42"/>
        <v>0</v>
      </c>
      <c r="S272">
        <f>I272+(I272*'1. Cops de calor'!$C$40)</f>
        <v>0.62661291047988643</v>
      </c>
      <c r="T272">
        <f>J272*'1. Cops de calor'!$C$41+J272</f>
        <v>0.40808776621091697</v>
      </c>
      <c r="U272">
        <f>'1. Cops de calor'!$C$42*K272+K272</f>
        <v>0</v>
      </c>
      <c r="V272">
        <f>S272*'1. Cops de calor'!$C$32/30</f>
        <v>8.9814517168783734</v>
      </c>
      <c r="W272">
        <f>T272*'1. Cops de calor'!$C$33/30</f>
        <v>2.0404388310545847</v>
      </c>
      <c r="X272">
        <f>K272*'1. Cops de calor'!$C$34/30</f>
        <v>0</v>
      </c>
      <c r="Y272">
        <f t="shared" si="43"/>
        <v>11.021890547932959</v>
      </c>
      <c r="Z272" s="849">
        <f>Y272*(Q272+R272)*'A. Dades de partida'!$D$10</f>
        <v>247.99253732849161</v>
      </c>
      <c r="AA272" s="850">
        <f t="shared" si="44"/>
        <v>91.943858665200224</v>
      </c>
      <c r="AB272" t="str">
        <f>VLOOKUP(B272,'BD ASVICC'!$A$6:$BG$316,59,FALSE)</f>
        <v>PREPIRINEU-PIRINEU</v>
      </c>
      <c r="AC272">
        <f t="shared" si="36"/>
        <v>0.5</v>
      </c>
      <c r="AD272">
        <f t="shared" si="37"/>
        <v>0.5</v>
      </c>
    </row>
    <row r="273" spans="1:30">
      <c r="A273">
        <v>8272</v>
      </c>
      <c r="B273" t="s">
        <v>1625</v>
      </c>
      <c r="C273" t="s">
        <v>88</v>
      </c>
      <c r="D273">
        <f>VLOOKUP(A273,'temperatures màximes'!$A$4:$U$314,'temperatures màximes'!U$1,FALSE)</f>
        <v>10</v>
      </c>
      <c r="E273">
        <f>VLOOKUP(A273,'nits tropicals'!$A$4:$U$314,'nits tropicals'!U$1,FALSE)</f>
        <v>0</v>
      </c>
      <c r="F273">
        <f t="shared" si="38"/>
        <v>1</v>
      </c>
      <c r="G273">
        <f t="shared" si="39"/>
        <v>0</v>
      </c>
      <c r="H273" s="840">
        <f>VLOOKUP(B273,'BD ASVICC'!$A$6:$X$316,24,FALSE)/VLOOKUP(C273,'BD Comarcal'!$A$6:$Z$17,26,FALSE)</f>
        <v>1.2143329842393715E-3</v>
      </c>
      <c r="I273" s="839">
        <f>(VLOOKUP(C273,'BD Altres'!$D$74:$H$84,5,FALSE) * 1000 / 12) * H273*0.035</f>
        <v>1.3511984310046841</v>
      </c>
      <c r="J273" s="839">
        <f>(VLOOKUP(C273,'BD Altres'!$D$74:$H$84,3,FALSE) / 12) * H273*0.25</f>
        <v>0.86442799455156416</v>
      </c>
      <c r="K273">
        <f>(VLOOKUP(B273,'BD ASVICC'!$A$6:$GR$316,199,FALSE) / 12)*0.3</f>
        <v>2.4999999999999998E-2</v>
      </c>
      <c r="L273" s="846">
        <f>I273*'1. Cops de calor'!$C$32/30</f>
        <v>19.36717751106714</v>
      </c>
      <c r="M273" s="846">
        <f>J273*'1. Cops de calor'!$C$33/30</f>
        <v>4.3221399727578209</v>
      </c>
      <c r="N273" s="846">
        <f>K273*'1. Cops de calor'!$C$34*0.25/30</f>
        <v>393.74999999999994</v>
      </c>
      <c r="O273" s="779">
        <f t="shared" si="40"/>
        <v>417.43931748382488</v>
      </c>
      <c r="P273" s="848">
        <f>O273*'A. Dades de partida'!$D$10</f>
        <v>6261.589762257373</v>
      </c>
      <c r="Q273">
        <f t="shared" si="41"/>
        <v>1.5</v>
      </c>
      <c r="R273">
        <f t="shared" si="42"/>
        <v>0</v>
      </c>
      <c r="S273">
        <f>I273+(I273*'1. Cops de calor'!$C$40)</f>
        <v>1.4268655431409463</v>
      </c>
      <c r="T273">
        <f>J273*'1. Cops de calor'!$C$41+J273</f>
        <v>0.92926009414293143</v>
      </c>
      <c r="U273">
        <f>'1. Cops de calor'!$C$42*K273+K273</f>
        <v>2.5999999999999999E-2</v>
      </c>
      <c r="V273">
        <f>S273*'1. Cops de calor'!$C$32/30</f>
        <v>20.451739451686894</v>
      </c>
      <c r="W273">
        <f>T273*'1. Cops de calor'!$C$33/30</f>
        <v>4.6463004707146576</v>
      </c>
      <c r="X273">
        <f>K273*'1. Cops de calor'!$C$34/30</f>
        <v>1574.9999999999998</v>
      </c>
      <c r="Y273">
        <f t="shared" si="43"/>
        <v>1600.0980399224013</v>
      </c>
      <c r="Z273" s="849">
        <f>Y273*(Q273+R273)*'A. Dades de partida'!$D$10</f>
        <v>36002.205898254033</v>
      </c>
      <c r="AA273" s="850">
        <f t="shared" si="44"/>
        <v>29740.616135996661</v>
      </c>
      <c r="AB273" t="str">
        <f>VLOOKUP(B273,'BD ASVICC'!$A$6:$BG$316,59,FALSE)</f>
        <v>PREPIRINEU-PIRINEU</v>
      </c>
      <c r="AC273">
        <f t="shared" si="36"/>
        <v>0.5</v>
      </c>
      <c r="AD273">
        <f t="shared" si="37"/>
        <v>0.5</v>
      </c>
    </row>
    <row r="274" spans="1:30">
      <c r="A274">
        <v>8273</v>
      </c>
      <c r="B274" t="s">
        <v>1627</v>
      </c>
      <c r="C274" t="s">
        <v>791</v>
      </c>
      <c r="D274">
        <f>VLOOKUP(A274,'temperatures màximes'!$A$4:$U$314,'temperatures màximes'!U$1,FALSE)</f>
        <v>37</v>
      </c>
      <c r="E274">
        <f>VLOOKUP(A274,'nits tropicals'!$A$4:$U$314,'nits tropicals'!U$1,FALSE)</f>
        <v>7</v>
      </c>
      <c r="F274">
        <f t="shared" si="38"/>
        <v>3.7</v>
      </c>
      <c r="G274">
        <f t="shared" si="39"/>
        <v>0.7</v>
      </c>
      <c r="H274" s="840">
        <f>VLOOKUP(B274,'BD ASVICC'!$A$6:$X$316,24,FALSE)/VLOOKUP(C274,'BD Comarcal'!$A$6:$Z$17,26,FALSE)</f>
        <v>2.8200423429781227E-2</v>
      </c>
      <c r="I274" s="839">
        <f>(VLOOKUP(C274,'BD Altres'!$D$74:$H$84,5,FALSE) * 1000 / 12) * H274*0.035</f>
        <v>55.797465907209457</v>
      </c>
      <c r="J274" s="839">
        <f>(VLOOKUP(C274,'BD Altres'!$D$74:$H$84,3,FALSE) / 12) * H274*0.25</f>
        <v>7.2280181256133069</v>
      </c>
      <c r="K274">
        <f>(VLOOKUP(B274,'BD ASVICC'!$A$6:$GR$316,199,FALSE) / 12)*0.3</f>
        <v>0.70000000000000007</v>
      </c>
      <c r="L274" s="846">
        <f>I274*'1. Cops de calor'!$C$32/30</f>
        <v>799.76367800333549</v>
      </c>
      <c r="M274" s="846">
        <f>J274*'1. Cops de calor'!$C$33/30</f>
        <v>36.140090628066538</v>
      </c>
      <c r="N274" s="846">
        <f>K274*'1. Cops de calor'!$C$34*0.25/30</f>
        <v>11025</v>
      </c>
      <c r="O274" s="779">
        <f t="shared" si="40"/>
        <v>52187.976581978175</v>
      </c>
      <c r="P274" s="848">
        <f>O274*'A. Dades de partida'!$D$10</f>
        <v>782819.64872967266</v>
      </c>
      <c r="Q274">
        <f t="shared" si="41"/>
        <v>5.5500000000000007</v>
      </c>
      <c r="R274">
        <f t="shared" si="42"/>
        <v>1.0499999999999998</v>
      </c>
      <c r="S274">
        <f>I274+(I274*'1. Cops de calor'!$C$40)</f>
        <v>58.922123998013184</v>
      </c>
      <c r="T274">
        <f>J274*'1. Cops de calor'!$C$41+J274</f>
        <v>7.7701194850343054</v>
      </c>
      <c r="U274">
        <f>'1. Cops de calor'!$C$42*K274+K274</f>
        <v>0.72800000000000009</v>
      </c>
      <c r="V274">
        <f>S274*'1. Cops de calor'!$C$32/30</f>
        <v>844.55044397152233</v>
      </c>
      <c r="W274">
        <f>T274*'1. Cops de calor'!$C$33/30</f>
        <v>38.850597425171522</v>
      </c>
      <c r="X274">
        <f>K274*'1. Cops de calor'!$C$34/30</f>
        <v>44100</v>
      </c>
      <c r="Y274">
        <f t="shared" si="43"/>
        <v>44983.401041396697</v>
      </c>
      <c r="Z274" s="849">
        <f>Y274*(Q274+R274)*'A. Dades de partida'!$D$10</f>
        <v>4453356.7030982738</v>
      </c>
      <c r="AA274" s="850">
        <f t="shared" si="44"/>
        <v>3670537.0543686012</v>
      </c>
      <c r="AB274" t="str">
        <f>VLOOKUP(B274,'BD ASVICC'!$A$6:$BG$316,59,FALSE)</f>
        <v>CENTRAL</v>
      </c>
      <c r="AC274">
        <f t="shared" si="36"/>
        <v>0.5</v>
      </c>
      <c r="AD274">
        <f t="shared" si="37"/>
        <v>0.5</v>
      </c>
    </row>
    <row r="275" spans="1:30">
      <c r="A275">
        <v>8274</v>
      </c>
      <c r="B275" t="s">
        <v>1631</v>
      </c>
      <c r="C275" t="s">
        <v>82</v>
      </c>
      <c r="D275">
        <f>VLOOKUP(A275,'temperatures màximes'!$A$4:$U$314,'temperatures màximes'!U$1,FALSE)</f>
        <v>70</v>
      </c>
      <c r="E275">
        <f>VLOOKUP(A275,'nits tropicals'!$A$4:$U$314,'nits tropicals'!U$1,FALSE)</f>
        <v>3</v>
      </c>
      <c r="F275">
        <f t="shared" si="38"/>
        <v>7</v>
      </c>
      <c r="G275">
        <f t="shared" si="39"/>
        <v>0.3</v>
      </c>
      <c r="H275" s="840">
        <f>VLOOKUP(B275,'BD ASVICC'!$A$6:$X$316,24,FALSE)/VLOOKUP(C275,'BD Comarcal'!$A$6:$Z$17,26,FALSE)</f>
        <v>3.3679127886639029E-2</v>
      </c>
      <c r="I275" s="839">
        <f>(VLOOKUP(C275,'BD Altres'!$D$74:$H$84,5,FALSE) * 1000 / 12) * H275*0.035</f>
        <v>96.352561270983713</v>
      </c>
      <c r="J275" s="839">
        <f>(VLOOKUP(C275,'BD Altres'!$D$74:$H$84,3,FALSE) / 12) * H275*0.25</f>
        <v>842.34858159513271</v>
      </c>
      <c r="K275">
        <f>(VLOOKUP(B275,'BD ASVICC'!$A$6:$GR$316,199,FALSE) / 12)*0.3</f>
        <v>2.0499999999999998</v>
      </c>
      <c r="L275" s="846">
        <f>I275*'1. Cops de calor'!$C$32/30</f>
        <v>1381.0533782174332</v>
      </c>
      <c r="M275" s="846">
        <f>J275*'1. Cops de calor'!$C$33/30</f>
        <v>4211.7429079756639</v>
      </c>
      <c r="N275" s="846">
        <f>K275*'1. Cops de calor'!$C$34*0.25/30</f>
        <v>32287.499999999993</v>
      </c>
      <c r="O275" s="779">
        <f t="shared" si="40"/>
        <v>276526.16288920952</v>
      </c>
      <c r="P275" s="848">
        <f>O275*'A. Dades de partida'!$D$10</f>
        <v>4147892.4433381427</v>
      </c>
      <c r="Q275">
        <f t="shared" si="41"/>
        <v>10.5</v>
      </c>
      <c r="R275">
        <f t="shared" si="42"/>
        <v>0.44999999999999996</v>
      </c>
      <c r="S275">
        <f>I275+(I275*'1. Cops de calor'!$C$40)</f>
        <v>101.7483047021588</v>
      </c>
      <c r="T275">
        <f>J275*'1. Cops de calor'!$C$41+J275</f>
        <v>905.52472521476761</v>
      </c>
      <c r="U275">
        <f>'1. Cops de calor'!$C$42*K275+K275</f>
        <v>2.1319999999999997</v>
      </c>
      <c r="V275">
        <f>S275*'1. Cops de calor'!$C$32/30</f>
        <v>1458.3923673976096</v>
      </c>
      <c r="W275">
        <f>T275*'1. Cops de calor'!$C$33/30</f>
        <v>4527.6236260738378</v>
      </c>
      <c r="X275">
        <f>K275*'1. Cops de calor'!$C$34/30</f>
        <v>129149.99999999997</v>
      </c>
      <c r="Y275">
        <f t="shared" si="43"/>
        <v>135136.01599347143</v>
      </c>
      <c r="Z275" s="849">
        <f>Y275*(Q275+R275)*'A. Dades de partida'!$D$10</f>
        <v>22196090.626927681</v>
      </c>
      <c r="AA275" s="850">
        <f t="shared" si="44"/>
        <v>18048198.18358954</v>
      </c>
      <c r="AB275" t="str">
        <f>VLOOKUP(B275,'BD ASVICC'!$A$6:$BG$316,59,FALSE)</f>
        <v>CENTRAL</v>
      </c>
      <c r="AC275">
        <f t="shared" si="36"/>
        <v>0.5</v>
      </c>
      <c r="AD275">
        <f t="shared" si="37"/>
        <v>0.5</v>
      </c>
    </row>
    <row r="276" spans="1:30">
      <c r="A276">
        <v>8275</v>
      </c>
      <c r="B276" t="s">
        <v>1634</v>
      </c>
      <c r="C276" t="s">
        <v>88</v>
      </c>
      <c r="D276">
        <f>VLOOKUP(A276,'temperatures màximes'!$A$4:$U$314,'temperatures màximes'!U$1,FALSE)</f>
        <v>83</v>
      </c>
      <c r="E276">
        <f>VLOOKUP(A276,'nits tropicals'!$A$4:$U$314,'nits tropicals'!U$1,FALSE)</f>
        <v>0</v>
      </c>
      <c r="F276">
        <f t="shared" si="38"/>
        <v>8.3000000000000007</v>
      </c>
      <c r="G276">
        <f t="shared" si="39"/>
        <v>0</v>
      </c>
      <c r="H276" s="840">
        <f>VLOOKUP(B276,'BD ASVICC'!$A$6:$X$316,24,FALSE)/VLOOKUP(C276,'BD Comarcal'!$A$6:$Z$17,26,FALSE)</f>
        <v>2.0431634337995772E-3</v>
      </c>
      <c r="I276" s="839">
        <f>(VLOOKUP(C276,'BD Altres'!$D$74:$H$84,5,FALSE) * 1000 / 12) * H276*0.035</f>
        <v>2.2734449791507378</v>
      </c>
      <c r="J276" s="839">
        <f>(VLOOKUP(C276,'BD Altres'!$D$74:$H$84,3,FALSE) / 12) * H276*0.25</f>
        <v>1.4544344035312031</v>
      </c>
      <c r="K276">
        <f>(VLOOKUP(B276,'BD ASVICC'!$A$6:$GR$316,199,FALSE) / 12)*0.3</f>
        <v>9.9999999999999992E-2</v>
      </c>
      <c r="L276" s="846">
        <f>I276*'1. Cops de calor'!$C$32/30</f>
        <v>32.586044701160574</v>
      </c>
      <c r="M276" s="846">
        <f>J276*'1. Cops de calor'!$C$33/30</f>
        <v>7.2721720176560156</v>
      </c>
      <c r="N276" s="846">
        <f>K276*'1. Cops de calor'!$C$34*0.25/30</f>
        <v>1574.9999999999998</v>
      </c>
      <c r="O276" s="779">
        <f t="shared" si="40"/>
        <v>13403.323198766177</v>
      </c>
      <c r="P276" s="848">
        <f>O276*'A. Dades de partida'!$D$10</f>
        <v>201049.84798149264</v>
      </c>
      <c r="Q276">
        <f t="shared" si="41"/>
        <v>12.450000000000001</v>
      </c>
      <c r="R276">
        <f t="shared" si="42"/>
        <v>0</v>
      </c>
      <c r="S276">
        <f>I276+(I276*'1. Cops de calor'!$C$40)</f>
        <v>2.400757897983179</v>
      </c>
      <c r="T276">
        <f>J276*'1. Cops de calor'!$C$41+J276</f>
        <v>1.5635169837960434</v>
      </c>
      <c r="U276">
        <f>'1. Cops de calor'!$C$42*K276+K276</f>
        <v>0.104</v>
      </c>
      <c r="V276">
        <f>S276*'1. Cops de calor'!$C$32/30</f>
        <v>34.410863204425567</v>
      </c>
      <c r="W276">
        <f>T276*'1. Cops de calor'!$C$33/30</f>
        <v>7.8175849189802173</v>
      </c>
      <c r="X276">
        <f>K276*'1. Cops de calor'!$C$34/30</f>
        <v>6299.9999999999991</v>
      </c>
      <c r="Y276">
        <f t="shared" si="43"/>
        <v>6342.2284481234046</v>
      </c>
      <c r="Z276" s="849">
        <f>Y276*(Q276+R276)*'A. Dades de partida'!$D$10</f>
        <v>1184411.162687046</v>
      </c>
      <c r="AA276" s="850">
        <f t="shared" si="44"/>
        <v>983361.31470555335</v>
      </c>
      <c r="AB276" t="str">
        <f>VLOOKUP(B276,'BD ASVICC'!$A$6:$BG$316,59,FALSE)</f>
        <v>CENTRAL</v>
      </c>
      <c r="AC276">
        <f t="shared" si="36"/>
        <v>0.5</v>
      </c>
      <c r="AD276">
        <f t="shared" si="37"/>
        <v>0.5</v>
      </c>
    </row>
    <row r="277" spans="1:30">
      <c r="A277">
        <v>8276</v>
      </c>
      <c r="B277" t="s">
        <v>1636</v>
      </c>
      <c r="C277" t="s">
        <v>24</v>
      </c>
      <c r="D277">
        <f>VLOOKUP(A277,'temperatures màximes'!$A$4:$U$314,'temperatures màximes'!U$1,FALSE)</f>
        <v>39</v>
      </c>
      <c r="E277">
        <f>VLOOKUP(A277,'nits tropicals'!$A$4:$U$314,'nits tropicals'!U$1,FALSE)</f>
        <v>2</v>
      </c>
      <c r="F277">
        <f t="shared" si="38"/>
        <v>3.9</v>
      </c>
      <c r="G277">
        <f t="shared" si="39"/>
        <v>0.2</v>
      </c>
      <c r="H277" s="840">
        <f>VLOOKUP(B277,'BD ASVICC'!$A$6:$X$316,24,FALSE)/VLOOKUP(C277,'BD Comarcal'!$A$6:$Z$17,26,FALSE)</f>
        <v>7.8736625986076578E-4</v>
      </c>
      <c r="I277" s="839">
        <f>(VLOOKUP(C277,'BD Altres'!$D$74:$H$84,5,FALSE) * 1000 / 12) * H277*0.035</f>
        <v>5.5720585646469827</v>
      </c>
      <c r="J277" s="839">
        <f>(VLOOKUP(C277,'BD Altres'!$D$74:$H$84,3,FALSE) / 12) * H277*0.25</f>
        <v>1.2527114426855375</v>
      </c>
      <c r="K277">
        <f>(VLOOKUP(B277,'BD ASVICC'!$A$6:$GR$316,199,FALSE) / 12)*0.3</f>
        <v>2.4999999999999998E-2</v>
      </c>
      <c r="L277" s="846">
        <f>I277*'1. Cops de calor'!$C$32/30</f>
        <v>79.866172759940085</v>
      </c>
      <c r="M277" s="846">
        <f>J277*'1. Cops de calor'!$C$33/30</f>
        <v>6.2635572134276876</v>
      </c>
      <c r="N277" s="846">
        <f>K277*'1. Cops de calor'!$C$34*0.25/30</f>
        <v>393.74999999999994</v>
      </c>
      <c r="O277" s="779">
        <f t="shared" si="40"/>
        <v>1967.5068928908074</v>
      </c>
      <c r="P277" s="848">
        <f>O277*'A. Dades de partida'!$D$10</f>
        <v>29512.603393362111</v>
      </c>
      <c r="Q277">
        <f t="shared" si="41"/>
        <v>5.85</v>
      </c>
      <c r="R277">
        <f t="shared" si="42"/>
        <v>0.30000000000000004</v>
      </c>
      <c r="S277">
        <f>I277+(I277*'1. Cops de calor'!$C$40)</f>
        <v>5.8840938442672135</v>
      </c>
      <c r="T277">
        <f>J277*'1. Cops de calor'!$C$41+J277</f>
        <v>1.3466648008869528</v>
      </c>
      <c r="U277">
        <f>'1. Cops de calor'!$C$42*K277+K277</f>
        <v>2.5999999999999999E-2</v>
      </c>
      <c r="V277">
        <f>S277*'1. Cops de calor'!$C$32/30</f>
        <v>84.338678434496714</v>
      </c>
      <c r="W277">
        <f>T277*'1. Cops de calor'!$C$33/30</f>
        <v>6.7333240044347642</v>
      </c>
      <c r="X277">
        <f>K277*'1. Cops de calor'!$C$34/30</f>
        <v>1574.9999999999998</v>
      </c>
      <c r="Y277">
        <f t="shared" si="43"/>
        <v>1666.0720024389313</v>
      </c>
      <c r="Z277" s="849">
        <f>Y277*(Q277+R277)*'A. Dades de partida'!$D$10</f>
        <v>153695.1422249914</v>
      </c>
      <c r="AA277" s="850">
        <f t="shared" si="44"/>
        <v>124182.5388316293</v>
      </c>
      <c r="AB277" t="str">
        <f>VLOOKUP(B277,'BD ASVICC'!$A$6:$BG$316,59,FALSE)</f>
        <v>CENTRAL</v>
      </c>
      <c r="AC277">
        <f t="shared" si="36"/>
        <v>0.5</v>
      </c>
      <c r="AD277">
        <f t="shared" si="37"/>
        <v>0.5</v>
      </c>
    </row>
    <row r="278" spans="1:30">
      <c r="A278">
        <v>8277</v>
      </c>
      <c r="B278" t="s">
        <v>1639</v>
      </c>
      <c r="C278" t="s">
        <v>82</v>
      </c>
      <c r="D278">
        <f>VLOOKUP(A278,'temperatures màximes'!$A$4:$U$314,'temperatures màximes'!U$1,FALSE)</f>
        <v>143</v>
      </c>
      <c r="E278">
        <f>VLOOKUP(A278,'nits tropicals'!$A$4:$U$314,'nits tropicals'!U$1,FALSE)</f>
        <v>2</v>
      </c>
      <c r="F278">
        <f t="shared" si="38"/>
        <v>14.3</v>
      </c>
      <c r="G278">
        <f t="shared" si="39"/>
        <v>0.2</v>
      </c>
      <c r="H278" s="840">
        <f>VLOOKUP(B278,'BD ASVICC'!$A$6:$X$316,24,FALSE)/VLOOKUP(C278,'BD Comarcal'!$A$6:$Z$17,26,FALSE)</f>
        <v>1.0666299654205447E-3</v>
      </c>
      <c r="I278" s="839">
        <f>(VLOOKUP(C278,'BD Altres'!$D$74:$H$84,5,FALSE) * 1000 / 12) * H278*0.035</f>
        <v>3.0515199040359215</v>
      </c>
      <c r="J278" s="839">
        <f>(VLOOKUP(C278,'BD Altres'!$D$74:$H$84,3,FALSE) / 12) * H278*0.25</f>
        <v>26.677479342192179</v>
      </c>
      <c r="K278">
        <f>(VLOOKUP(B278,'BD ASVICC'!$A$6:$GR$316,199,FALSE) / 12)*0.3</f>
        <v>2.4999999999999998E-2</v>
      </c>
      <c r="L278" s="846">
        <f>I278*'1. Cops de calor'!$C$32/30</f>
        <v>43.738451957848206</v>
      </c>
      <c r="M278" s="846">
        <f>J278*'1. Cops de calor'!$C$33/30</f>
        <v>133.3873967109609</v>
      </c>
      <c r="N278" s="846">
        <f>K278*'1. Cops de calor'!$C$34*0.25/30</f>
        <v>393.74999999999994</v>
      </c>
      <c r="O278" s="779">
        <f t="shared" si="40"/>
        <v>8277.6998056977318</v>
      </c>
      <c r="P278" s="848">
        <f>O278*'A. Dades de partida'!$D$10</f>
        <v>124165.49708546598</v>
      </c>
      <c r="Q278">
        <f t="shared" si="41"/>
        <v>21.450000000000003</v>
      </c>
      <c r="R278">
        <f t="shared" si="42"/>
        <v>0.30000000000000004</v>
      </c>
      <c r="S278">
        <f>I278+(I278*'1. Cops de calor'!$C$40)</f>
        <v>3.2224050186619331</v>
      </c>
      <c r="T278">
        <f>J278*'1. Cops de calor'!$C$41+J278</f>
        <v>28.678290292856591</v>
      </c>
      <c r="U278">
        <f>'1. Cops de calor'!$C$42*K278+K278</f>
        <v>2.5999999999999999E-2</v>
      </c>
      <c r="V278">
        <f>S278*'1. Cops de calor'!$C$32/30</f>
        <v>46.187805267487711</v>
      </c>
      <c r="W278">
        <f>T278*'1. Cops de calor'!$C$33/30</f>
        <v>143.39145146428297</v>
      </c>
      <c r="X278">
        <f>K278*'1. Cops de calor'!$C$34/30</f>
        <v>1574.9999999999998</v>
      </c>
      <c r="Y278">
        <f t="shared" si="43"/>
        <v>1764.5792567317703</v>
      </c>
      <c r="Z278" s="849">
        <f>Y278*(Q278+R278)*'A. Dades de partida'!$D$10</f>
        <v>575693.98250874016</v>
      </c>
      <c r="AA278" s="850">
        <f t="shared" si="44"/>
        <v>451528.48542327416</v>
      </c>
      <c r="AB278" t="str">
        <f>VLOOKUP(B278,'BD ASVICC'!$A$6:$BG$316,59,FALSE)</f>
        <v>PREPIRINEU-PIRINEU</v>
      </c>
      <c r="AC278">
        <f t="shared" si="36"/>
        <v>0.5</v>
      </c>
      <c r="AD278">
        <f t="shared" si="37"/>
        <v>0.5</v>
      </c>
    </row>
    <row r="279" spans="1:30">
      <c r="A279">
        <v>8278</v>
      </c>
      <c r="B279" t="s">
        <v>1641</v>
      </c>
      <c r="C279" t="s">
        <v>88</v>
      </c>
      <c r="D279">
        <f>VLOOKUP(A279,'temperatures màximes'!$A$4:$U$314,'temperatures màximes'!U$1,FALSE)</f>
        <v>83</v>
      </c>
      <c r="E279">
        <f>VLOOKUP(A279,'nits tropicals'!$A$4:$U$314,'nits tropicals'!U$1,FALSE)</f>
        <v>0</v>
      </c>
      <c r="F279">
        <f t="shared" si="38"/>
        <v>8.3000000000000007</v>
      </c>
      <c r="G279">
        <f t="shared" si="39"/>
        <v>0</v>
      </c>
      <c r="H279" s="840">
        <f>VLOOKUP(B279,'BD ASVICC'!$A$6:$X$316,24,FALSE)/VLOOKUP(C279,'BD Comarcal'!$A$6:$Z$17,26,FALSE)</f>
        <v>4.0612692028450088E-2</v>
      </c>
      <c r="I279" s="839">
        <f>(VLOOKUP(C279,'BD Altres'!$D$74:$H$84,5,FALSE) * 1000 / 12) * H279*0.035</f>
        <v>45.190080859156659</v>
      </c>
      <c r="J279" s="839">
        <f>(VLOOKUP(C279,'BD Altres'!$D$74:$H$84,3,FALSE) / 12) * H279*0.25</f>
        <v>28.910314040002312</v>
      </c>
      <c r="K279">
        <f>(VLOOKUP(B279,'BD ASVICC'!$A$6:$GR$316,199,FALSE) / 12)*0.3</f>
        <v>1.25</v>
      </c>
      <c r="L279" s="846">
        <f>I279*'1. Cops de calor'!$C$32/30</f>
        <v>647.72449231457881</v>
      </c>
      <c r="M279" s="846">
        <f>J279*'1. Cops de calor'!$C$33/30</f>
        <v>144.55157020001155</v>
      </c>
      <c r="N279" s="846">
        <f>K279*'1. Cops de calor'!$C$34*0.25/30</f>
        <v>19687.499999999996</v>
      </c>
      <c r="O279" s="779">
        <f t="shared" si="40"/>
        <v>169982.14131887109</v>
      </c>
      <c r="P279" s="848">
        <f>O279*'A. Dades de partida'!$D$10</f>
        <v>2549732.1197830662</v>
      </c>
      <c r="Q279">
        <f t="shared" si="41"/>
        <v>12.450000000000001</v>
      </c>
      <c r="R279">
        <f t="shared" si="42"/>
        <v>0</v>
      </c>
      <c r="S279">
        <f>I279+(I279*'1. Cops de calor'!$C$40)</f>
        <v>47.720725387269432</v>
      </c>
      <c r="T279">
        <f>J279*'1. Cops de calor'!$C$41+J279</f>
        <v>31.078587593002485</v>
      </c>
      <c r="U279">
        <f>'1. Cops de calor'!$C$42*K279+K279</f>
        <v>1.3</v>
      </c>
      <c r="V279">
        <f>S279*'1. Cops de calor'!$C$32/30</f>
        <v>683.9970638841952</v>
      </c>
      <c r="W279">
        <f>T279*'1. Cops de calor'!$C$33/30</f>
        <v>155.39293796501244</v>
      </c>
      <c r="X279">
        <f>K279*'1. Cops de calor'!$C$34/30</f>
        <v>78749.999999999985</v>
      </c>
      <c r="Y279">
        <f t="shared" si="43"/>
        <v>79589.390001849199</v>
      </c>
      <c r="Z279" s="849">
        <f>Y279*(Q279+R279)*'A. Dades de partida'!$D$10</f>
        <v>14863318.58284534</v>
      </c>
      <c r="AA279" s="850">
        <f t="shared" si="44"/>
        <v>12313586.463062273</v>
      </c>
      <c r="AB279" t="str">
        <f>VLOOKUP(B279,'BD ASVICC'!$A$6:$BG$316,59,FALSE)</f>
        <v>CENTRAL</v>
      </c>
      <c r="AC279">
        <f t="shared" si="36"/>
        <v>0.5</v>
      </c>
      <c r="AD279">
        <f t="shared" si="37"/>
        <v>0.5</v>
      </c>
    </row>
    <row r="280" spans="1:30">
      <c r="A280">
        <v>8279</v>
      </c>
      <c r="B280" t="s">
        <v>967</v>
      </c>
      <c r="C280" t="s">
        <v>89</v>
      </c>
      <c r="D280">
        <f>VLOOKUP(A280,'temperatures màximes'!$A$4:$U$314,'temperatures màximes'!U$1,FALSE)</f>
        <v>37</v>
      </c>
      <c r="E280">
        <f>VLOOKUP(A280,'nits tropicals'!$A$4:$U$314,'nits tropicals'!U$1,FALSE)</f>
        <v>39</v>
      </c>
      <c r="F280">
        <f t="shared" si="38"/>
        <v>3.7</v>
      </c>
      <c r="G280">
        <f t="shared" si="39"/>
        <v>3.9</v>
      </c>
      <c r="H280" s="840">
        <f>VLOOKUP(B280,'BD ASVICC'!$A$6:$X$316,24,FALSE)/VLOOKUP(C280,'BD Comarcal'!$A$6:$Z$17,26,FALSE)</f>
        <v>0.23790254799610722</v>
      </c>
      <c r="I280" s="839">
        <f>(VLOOKUP(C280,'BD Altres'!$D$74:$H$84,5,FALSE) * 1000 / 12) * H280*0.035</f>
        <v>963.10939275958742</v>
      </c>
      <c r="J280" s="839">
        <f>(VLOOKUP(C280,'BD Altres'!$D$74:$H$84,3,FALSE) / 12) * H280*0.25</f>
        <v>422.7530359062992</v>
      </c>
      <c r="K280">
        <f>(VLOOKUP(B280,'BD ASVICC'!$A$6:$GR$316,199,FALSE) / 12)*0.3</f>
        <v>39.85</v>
      </c>
      <c r="L280" s="846">
        <f>I280*'1. Cops de calor'!$C$32/30</f>
        <v>13804.567962887419</v>
      </c>
      <c r="M280" s="846">
        <f>J280*'1. Cops de calor'!$C$33/30</f>
        <v>2113.765179531496</v>
      </c>
      <c r="N280" s="846">
        <f>K280*'1. Cops de calor'!$C$34*0.25/30</f>
        <v>627637.5</v>
      </c>
      <c r="O280" s="779">
        <f t="shared" si="40"/>
        <v>4891024.3318823837</v>
      </c>
      <c r="P280" s="848">
        <f>O280*'A. Dades de partida'!$D$10</f>
        <v>73365364.978235751</v>
      </c>
      <c r="Q280">
        <f t="shared" si="41"/>
        <v>5.5500000000000007</v>
      </c>
      <c r="R280">
        <f t="shared" si="42"/>
        <v>5.85</v>
      </c>
      <c r="S280">
        <f>I280+(I280*'1. Cops de calor'!$C$40)</f>
        <v>1017.0435187541243</v>
      </c>
      <c r="T280">
        <f>J280*'1. Cops de calor'!$C$41+J280</f>
        <v>454.45951359927165</v>
      </c>
      <c r="U280">
        <f>'1. Cops de calor'!$C$42*K280+K280</f>
        <v>41.444000000000003</v>
      </c>
      <c r="V280">
        <f>S280*'1. Cops de calor'!$C$32/30</f>
        <v>14577.623768809115</v>
      </c>
      <c r="W280">
        <f>T280*'1. Cops de calor'!$C$33/30</f>
        <v>2272.2975679963583</v>
      </c>
      <c r="X280">
        <f>K280*'1. Cops de calor'!$C$34/30</f>
        <v>2510550</v>
      </c>
      <c r="Y280">
        <f t="shared" si="43"/>
        <v>2527399.9213368054</v>
      </c>
      <c r="Z280" s="849">
        <f>Y280*(Q280+R280)*'A. Dades de partida'!$D$10</f>
        <v>432185386.54859376</v>
      </c>
      <c r="AA280" s="850">
        <f t="shared" si="44"/>
        <v>358820021.57035804</v>
      </c>
      <c r="AB280" t="str">
        <f>VLOOKUP(B280,'BD ASVICC'!$A$6:$BG$316,59,FALSE)</f>
        <v>LITORAL</v>
      </c>
      <c r="AC280">
        <f t="shared" si="36"/>
        <v>0.5</v>
      </c>
      <c r="AD280">
        <f t="shared" si="37"/>
        <v>0.5</v>
      </c>
    </row>
    <row r="281" spans="1:30">
      <c r="A281">
        <v>8280</v>
      </c>
      <c r="B281" t="s">
        <v>1650</v>
      </c>
      <c r="C281" t="s">
        <v>88</v>
      </c>
      <c r="D281">
        <f>VLOOKUP(A281,'temperatures màximes'!$A$4:$U$314,'temperatures màximes'!U$1,FALSE)</f>
        <v>83</v>
      </c>
      <c r="E281">
        <f>VLOOKUP(A281,'nits tropicals'!$A$4:$U$314,'nits tropicals'!U$1,FALSE)</f>
        <v>0</v>
      </c>
      <c r="F281">
        <f t="shared" si="38"/>
        <v>8.3000000000000007</v>
      </c>
      <c r="G281">
        <f t="shared" si="39"/>
        <v>0</v>
      </c>
      <c r="H281" s="840">
        <f>VLOOKUP(B281,'BD ASVICC'!$A$6:$X$316,24,FALSE)/VLOOKUP(C281,'BD Comarcal'!$A$6:$Z$17,26,FALSE)</f>
        <v>7.1960473140110894E-4</v>
      </c>
      <c r="I281" s="839">
        <f>(VLOOKUP(C281,'BD Altres'!$D$74:$H$84,5,FALSE) * 1000 / 12) * H281*0.035</f>
        <v>0.80071018133610905</v>
      </c>
      <c r="J281" s="839">
        <f>(VLOOKUP(C281,'BD Altres'!$D$74:$H$84,3,FALSE) / 12) * H281*0.25</f>
        <v>0.51225362640092686</v>
      </c>
      <c r="K281">
        <f>(VLOOKUP(B281,'BD ASVICC'!$A$6:$GR$316,199,FALSE) / 12)*0.3</f>
        <v>0</v>
      </c>
      <c r="L281" s="846">
        <f>I281*'1. Cops de calor'!$C$32/30</f>
        <v>11.476845932484229</v>
      </c>
      <c r="M281" s="846">
        <f>J281*'1. Cops de calor'!$C$33/30</f>
        <v>2.5612681320046344</v>
      </c>
      <c r="N281" s="846">
        <f>K281*'1. Cops de calor'!$C$34*0.25/30</f>
        <v>0</v>
      </c>
      <c r="O281" s="779">
        <f t="shared" si="40"/>
        <v>116.51634673525759</v>
      </c>
      <c r="P281" s="848">
        <f>O281*'A. Dades de partida'!$D$10</f>
        <v>1747.7452010288637</v>
      </c>
      <c r="Q281">
        <f t="shared" si="41"/>
        <v>12.450000000000001</v>
      </c>
      <c r="R281">
        <f t="shared" si="42"/>
        <v>0</v>
      </c>
      <c r="S281">
        <f>I281+(I281*'1. Cops de calor'!$C$40)</f>
        <v>0.84554995149093115</v>
      </c>
      <c r="T281">
        <f>J281*'1. Cops de calor'!$C$41+J281</f>
        <v>0.55067264838099639</v>
      </c>
      <c r="U281">
        <f>'1. Cops de calor'!$C$42*K281+K281</f>
        <v>0</v>
      </c>
      <c r="V281">
        <f>S281*'1. Cops de calor'!$C$32/30</f>
        <v>12.119549304703346</v>
      </c>
      <c r="W281">
        <f>T281*'1. Cops de calor'!$C$33/30</f>
        <v>2.7533632419049821</v>
      </c>
      <c r="X281">
        <f>K281*'1. Cops de calor'!$C$34/30</f>
        <v>0</v>
      </c>
      <c r="Y281">
        <f t="shared" si="43"/>
        <v>14.872912546608328</v>
      </c>
      <c r="Z281" s="849">
        <f>Y281*(Q281+R281)*'A. Dades de partida'!$D$10</f>
        <v>2777.5164180791057</v>
      </c>
      <c r="AA281" s="850">
        <f t="shared" si="44"/>
        <v>1029.7712170502421</v>
      </c>
      <c r="AB281" t="str">
        <f>VLOOKUP(B281,'BD ASVICC'!$A$6:$BG$316,59,FALSE)</f>
        <v>PREPIRINEU-PIRINEU</v>
      </c>
      <c r="AC281">
        <f t="shared" si="36"/>
        <v>0.5</v>
      </c>
      <c r="AD281">
        <f t="shared" si="37"/>
        <v>0.5</v>
      </c>
    </row>
    <row r="282" spans="1:30">
      <c r="A282">
        <v>8281</v>
      </c>
      <c r="B282" t="s">
        <v>1652</v>
      </c>
      <c r="C282" t="s">
        <v>86</v>
      </c>
      <c r="D282">
        <f>VLOOKUP(A282,'temperatures màximes'!$A$4:$U$314,'temperatures màximes'!U$1,FALSE)</f>
        <v>2</v>
      </c>
      <c r="E282">
        <f>VLOOKUP(A282,'nits tropicals'!$A$4:$U$314,'nits tropicals'!U$1,FALSE)</f>
        <v>403</v>
      </c>
      <c r="F282">
        <f t="shared" si="38"/>
        <v>0.2</v>
      </c>
      <c r="G282">
        <f t="shared" si="39"/>
        <v>40.299999999999997</v>
      </c>
      <c r="H282" s="840">
        <f>VLOOKUP(B282,'BD ASVICC'!$A$6:$X$316,24,FALSE)/VLOOKUP(C282,'BD Comarcal'!$A$6:$Z$17,26,FALSE)</f>
        <v>1.4165184992242444E-2</v>
      </c>
      <c r="I282" s="839">
        <f>(VLOOKUP(C282,'BD Altres'!$D$74:$H$84,5,FALSE) * 1000 / 12) * H282*0.035</f>
        <v>33.003775004479223</v>
      </c>
      <c r="J282" s="839">
        <f>(VLOOKUP(C282,'BD Altres'!$D$74:$H$84,3,FALSE) / 12) * H282*0.25</f>
        <v>14.878372068088561</v>
      </c>
      <c r="K282">
        <f>(VLOOKUP(B282,'BD ASVICC'!$A$6:$GR$316,199,FALSE) / 12)*0.3</f>
        <v>1.2999999999999998</v>
      </c>
      <c r="L282" s="846">
        <f>I282*'1. Cops de calor'!$C$32/30</f>
        <v>473.05410839753557</v>
      </c>
      <c r="M282" s="846">
        <f>J282*'1. Cops de calor'!$C$33/30</f>
        <v>74.391860340442818</v>
      </c>
      <c r="N282" s="846">
        <f>K282*'1. Cops de calor'!$C$34*0.25/30</f>
        <v>20474.999999999996</v>
      </c>
      <c r="O282" s="779">
        <f t="shared" si="40"/>
        <v>851409.061733888</v>
      </c>
      <c r="P282" s="848">
        <f>O282*'A. Dades de partida'!$D$10</f>
        <v>12771135.926008319</v>
      </c>
      <c r="Q282">
        <f t="shared" si="41"/>
        <v>0.30000000000000004</v>
      </c>
      <c r="R282">
        <f t="shared" si="42"/>
        <v>60.449999999999996</v>
      </c>
      <c r="S282">
        <f>I282+(I282*'1. Cops de calor'!$C$40)</f>
        <v>34.851986404730063</v>
      </c>
      <c r="T282">
        <f>J282*'1. Cops de calor'!$C$41+J282</f>
        <v>15.994249973195203</v>
      </c>
      <c r="U282">
        <f>'1. Cops de calor'!$C$42*K282+K282</f>
        <v>1.3519999999999999</v>
      </c>
      <c r="V282">
        <f>S282*'1. Cops de calor'!$C$32/30</f>
        <v>499.54513846779753</v>
      </c>
      <c r="W282">
        <f>T282*'1. Cops de calor'!$C$33/30</f>
        <v>79.971249865976006</v>
      </c>
      <c r="X282">
        <f>K282*'1. Cops de calor'!$C$34/30</f>
        <v>81899.999999999985</v>
      </c>
      <c r="Y282">
        <f t="shared" si="43"/>
        <v>82479.516388333752</v>
      </c>
      <c r="Z282" s="849">
        <f>Y282*(Q282+R282)*'A. Dades de partida'!$D$10</f>
        <v>75159459.308869123</v>
      </c>
      <c r="AA282" s="850">
        <f t="shared" si="44"/>
        <v>62388323.382860802</v>
      </c>
      <c r="AB282" t="str">
        <f>VLOOKUP(B282,'BD ASVICC'!$A$6:$BG$316,59,FALSE)</f>
        <v>LITORAL</v>
      </c>
      <c r="AC282">
        <f t="shared" si="36"/>
        <v>0.5</v>
      </c>
      <c r="AD282">
        <f t="shared" si="37"/>
        <v>0.5</v>
      </c>
    </row>
    <row r="283" spans="1:30">
      <c r="A283">
        <v>8282</v>
      </c>
      <c r="B283" t="s">
        <v>1655</v>
      </c>
      <c r="C283" t="s">
        <v>86</v>
      </c>
      <c r="D283">
        <f>VLOOKUP(A283,'temperatures màximes'!$A$4:$U$314,'temperatures màximes'!U$1,FALSE)</f>
        <v>2</v>
      </c>
      <c r="E283">
        <f>VLOOKUP(A283,'nits tropicals'!$A$4:$U$314,'nits tropicals'!U$1,FALSE)</f>
        <v>403</v>
      </c>
      <c r="F283">
        <f t="shared" si="38"/>
        <v>0.2</v>
      </c>
      <c r="G283">
        <f t="shared" si="39"/>
        <v>40.299999999999997</v>
      </c>
      <c r="H283" s="840">
        <f>VLOOKUP(B283,'BD ASVICC'!$A$6:$X$316,24,FALSE)/VLOOKUP(C283,'BD Comarcal'!$A$6:$Z$17,26,FALSE)</f>
        <v>1.9372374038799108E-2</v>
      </c>
      <c r="I283" s="839">
        <f>(VLOOKUP(C283,'BD Altres'!$D$74:$H$84,5,FALSE) * 1000 / 12) * H283*0.035</f>
        <v>45.136118902032429</v>
      </c>
      <c r="J283" s="839">
        <f>(VLOOKUP(C283,'BD Altres'!$D$74:$H$84,3,FALSE) / 12) * H283*0.25</f>
        <v>20.347732059219933</v>
      </c>
      <c r="K283">
        <f>(VLOOKUP(B283,'BD ASVICC'!$A$6:$GR$316,199,FALSE) / 12)*0.3</f>
        <v>1.125</v>
      </c>
      <c r="L283" s="846">
        <f>I283*'1. Cops de calor'!$C$32/30</f>
        <v>646.95103759579808</v>
      </c>
      <c r="M283" s="846">
        <f>J283*'1. Cops de calor'!$C$33/30</f>
        <v>101.73866029609967</v>
      </c>
      <c r="N283" s="846">
        <f>K283*'1. Cops de calor'!$C$34*0.25/30</f>
        <v>17718.749999999996</v>
      </c>
      <c r="O283" s="779">
        <f t="shared" si="40"/>
        <v>747931.3077646218</v>
      </c>
      <c r="P283" s="848">
        <f>O283*'A. Dades de partida'!$D$10</f>
        <v>11218969.616469327</v>
      </c>
      <c r="Q283">
        <f t="shared" si="41"/>
        <v>0.30000000000000004</v>
      </c>
      <c r="R283">
        <f t="shared" si="42"/>
        <v>60.449999999999996</v>
      </c>
      <c r="S283">
        <f>I283+(I283*'1. Cops de calor'!$C$40)</f>
        <v>47.663741560546242</v>
      </c>
      <c r="T283">
        <f>J283*'1. Cops de calor'!$C$41+J283</f>
        <v>21.873811963661428</v>
      </c>
      <c r="U283">
        <f>'1. Cops de calor'!$C$42*K283+K283</f>
        <v>1.17</v>
      </c>
      <c r="V283">
        <f>S283*'1. Cops de calor'!$C$32/30</f>
        <v>683.18029570116278</v>
      </c>
      <c r="W283">
        <f>T283*'1. Cops de calor'!$C$33/30</f>
        <v>109.36905981830714</v>
      </c>
      <c r="X283">
        <f>K283*'1. Cops de calor'!$C$34/30</f>
        <v>70874.999999999985</v>
      </c>
      <c r="Y283">
        <f t="shared" si="43"/>
        <v>71667.549355519455</v>
      </c>
      <c r="Z283" s="849">
        <f>Y283*(Q283+R283)*'A. Dades de partida'!$D$10</f>
        <v>65307054.350217104</v>
      </c>
      <c r="AA283" s="850">
        <f t="shared" si="44"/>
        <v>54088084.73374778</v>
      </c>
      <c r="AB283" t="str">
        <f>VLOOKUP(B283,'BD ASVICC'!$A$6:$BG$316,59,FALSE)</f>
        <v>LITORAL</v>
      </c>
      <c r="AC283">
        <f t="shared" si="36"/>
        <v>0.5</v>
      </c>
      <c r="AD283">
        <f t="shared" si="37"/>
        <v>0.5</v>
      </c>
    </row>
    <row r="284" spans="1:30">
      <c r="A284">
        <v>8283</v>
      </c>
      <c r="B284" t="s">
        <v>1658</v>
      </c>
      <c r="C284" t="s">
        <v>88</v>
      </c>
      <c r="D284">
        <f>VLOOKUP(A284,'temperatures màximes'!$A$4:$U$314,'temperatures màximes'!U$1,FALSE)</f>
        <v>83</v>
      </c>
      <c r="E284">
        <f>VLOOKUP(A284,'nits tropicals'!$A$4:$U$314,'nits tropicals'!U$1,FALSE)</f>
        <v>0</v>
      </c>
      <c r="F284">
        <f t="shared" si="38"/>
        <v>8.3000000000000007</v>
      </c>
      <c r="G284">
        <f t="shared" si="39"/>
        <v>0</v>
      </c>
      <c r="H284" s="840">
        <f>VLOOKUP(B284,'BD ASVICC'!$A$6:$X$316,24,FALSE)/VLOOKUP(C284,'BD Comarcal'!$A$6:$Z$17,26,FALSE)</f>
        <v>5.1085510887234085E-2</v>
      </c>
      <c r="I284" s="839">
        <f>(VLOOKUP(C284,'BD Altres'!$D$74:$H$84,5,FALSE) * 1000 / 12) * H284*0.035</f>
        <v>56.843273676816096</v>
      </c>
      <c r="J284" s="839">
        <f>(VLOOKUP(C284,'BD Altres'!$D$74:$H$84,3,FALSE) / 12) * H284*0.25</f>
        <v>36.365433781372943</v>
      </c>
      <c r="K284">
        <f>(VLOOKUP(B284,'BD ASVICC'!$A$6:$GR$316,199,FALSE) / 12)*0.3</f>
        <v>1.5249999999999999</v>
      </c>
      <c r="L284" s="846">
        <f>I284*'1. Cops de calor'!$C$32/30</f>
        <v>814.75358936769737</v>
      </c>
      <c r="M284" s="846">
        <f>J284*'1. Cops de calor'!$C$33/30</f>
        <v>181.8271689068647</v>
      </c>
      <c r="N284" s="846">
        <f>K284*'1. Cops de calor'!$C$34*0.25/30</f>
        <v>24018.749999999996</v>
      </c>
      <c r="O284" s="779">
        <f t="shared" si="40"/>
        <v>207627.24529367886</v>
      </c>
      <c r="P284" s="848">
        <f>O284*'A. Dades de partida'!$D$10</f>
        <v>3114408.6794051831</v>
      </c>
      <c r="Q284">
        <f t="shared" si="41"/>
        <v>12.450000000000001</v>
      </c>
      <c r="R284">
        <f t="shared" si="42"/>
        <v>0</v>
      </c>
      <c r="S284">
        <f>I284+(I284*'1. Cops de calor'!$C$40)</f>
        <v>60.026497002717797</v>
      </c>
      <c r="T284">
        <f>J284*'1. Cops de calor'!$C$41+J284</f>
        <v>39.092841314975914</v>
      </c>
      <c r="U284">
        <f>'1. Cops de calor'!$C$42*K284+K284</f>
        <v>1.5859999999999999</v>
      </c>
      <c r="V284">
        <f>S284*'1. Cops de calor'!$C$32/30</f>
        <v>860.37979037228843</v>
      </c>
      <c r="W284">
        <f>T284*'1. Cops de calor'!$C$33/30</f>
        <v>195.46420657487957</v>
      </c>
      <c r="X284">
        <f>K284*'1. Cops de calor'!$C$34/30</f>
        <v>96074.999999999985</v>
      </c>
      <c r="Y284">
        <f t="shared" si="43"/>
        <v>97130.843996947151</v>
      </c>
      <c r="Z284" s="849">
        <f>Y284*(Q284+R284)*'A. Dades de partida'!$D$10</f>
        <v>18139185.11642988</v>
      </c>
      <c r="AA284" s="850">
        <f t="shared" si="44"/>
        <v>15024776.437024698</v>
      </c>
      <c r="AB284" t="str">
        <f>VLOOKUP(B284,'BD ASVICC'!$A$6:$BG$316,59,FALSE)</f>
        <v>PREPIRINEU-PIRINEU</v>
      </c>
      <c r="AC284">
        <f t="shared" si="36"/>
        <v>0.5</v>
      </c>
      <c r="AD284">
        <f t="shared" si="37"/>
        <v>0.5</v>
      </c>
    </row>
    <row r="285" spans="1:30">
      <c r="A285">
        <v>8284</v>
      </c>
      <c r="B285" t="s">
        <v>1660</v>
      </c>
      <c r="C285" t="s">
        <v>86</v>
      </c>
      <c r="D285">
        <f>VLOOKUP(A285,'temperatures màximes'!$A$4:$U$314,'temperatures màximes'!U$1,FALSE)</f>
        <v>0</v>
      </c>
      <c r="E285">
        <f>VLOOKUP(A285,'nits tropicals'!$A$4:$U$314,'nits tropicals'!U$1,FALSE)</f>
        <v>62</v>
      </c>
      <c r="F285">
        <f t="shared" si="38"/>
        <v>0</v>
      </c>
      <c r="G285">
        <f t="shared" si="39"/>
        <v>6.2</v>
      </c>
      <c r="H285" s="840">
        <f>VLOOKUP(B285,'BD ASVICC'!$A$6:$X$316,24,FALSE)/VLOOKUP(C285,'BD Comarcal'!$A$6:$Z$17,26,FALSE)</f>
        <v>3.7265716130055151E-2</v>
      </c>
      <c r="I285" s="839">
        <f>(VLOOKUP(C285,'BD Altres'!$D$74:$H$84,5,FALSE) * 1000 / 12) * H285*0.035</f>
        <v>86.826208850127372</v>
      </c>
      <c r="J285" s="839">
        <f>(VLOOKUP(C285,'BD Altres'!$D$74:$H$84,3,FALSE) / 12) * H285*0.25</f>
        <v>39.141966043533913</v>
      </c>
      <c r="K285">
        <f>(VLOOKUP(B285,'BD ASVICC'!$A$6:$GR$316,199,FALSE) / 12)*0.3</f>
        <v>3.7749999999999999</v>
      </c>
      <c r="L285" s="846">
        <f>I285*'1. Cops de calor'!$C$32/30</f>
        <v>1244.5089935184924</v>
      </c>
      <c r="M285" s="846">
        <f>J285*'1. Cops de calor'!$C$33/30</f>
        <v>195.70983021766958</v>
      </c>
      <c r="N285" s="846">
        <f>K285*'1. Cops de calor'!$C$34*0.25/30</f>
        <v>59456.249999999993</v>
      </c>
      <c r="O285" s="779">
        <f t="shared" si="40"/>
        <v>377558.10670716414</v>
      </c>
      <c r="P285" s="848">
        <f>O285*'A. Dades de partida'!$D$10</f>
        <v>5663371.6006074622</v>
      </c>
      <c r="Q285">
        <f t="shared" si="41"/>
        <v>0</v>
      </c>
      <c r="R285">
        <f t="shared" si="42"/>
        <v>9.3000000000000007</v>
      </c>
      <c r="S285">
        <f>I285+(I285*'1. Cops de calor'!$C$40)</f>
        <v>91.688476545734503</v>
      </c>
      <c r="T285">
        <f>J285*'1. Cops de calor'!$C$41+J285</f>
        <v>42.077613496798953</v>
      </c>
      <c r="U285">
        <f>'1. Cops de calor'!$C$42*K285+K285</f>
        <v>3.9259999999999997</v>
      </c>
      <c r="V285">
        <f>S285*'1. Cops de calor'!$C$32/30</f>
        <v>1314.2014971555279</v>
      </c>
      <c r="W285">
        <f>T285*'1. Cops de calor'!$C$33/30</f>
        <v>210.38806748399477</v>
      </c>
      <c r="X285">
        <f>K285*'1. Cops de calor'!$C$34/30</f>
        <v>237824.99999999997</v>
      </c>
      <c r="Y285">
        <f t="shared" si="43"/>
        <v>239349.58956463949</v>
      </c>
      <c r="Z285" s="849">
        <f>Y285*(Q285+R285)*'A. Dades de partida'!$D$10</f>
        <v>33389267.744267214</v>
      </c>
      <c r="AA285" s="850">
        <f t="shared" si="44"/>
        <v>27725896.143659752</v>
      </c>
      <c r="AB285" t="str">
        <f>VLOOKUP(B285,'BD ASVICC'!$A$6:$BG$316,59,FALSE)</f>
        <v>LITORAL</v>
      </c>
      <c r="AC285">
        <f t="shared" si="36"/>
        <v>0.5</v>
      </c>
      <c r="AD285">
        <f t="shared" si="37"/>
        <v>0.5</v>
      </c>
    </row>
    <row r="286" spans="1:30">
      <c r="A286">
        <v>8285</v>
      </c>
      <c r="B286" t="s">
        <v>1667</v>
      </c>
      <c r="C286" t="s">
        <v>88</v>
      </c>
      <c r="D286">
        <f>VLOOKUP(A286,'temperatures màximes'!$A$4:$U$314,'temperatures màximes'!U$1,FALSE)</f>
        <v>46</v>
      </c>
      <c r="E286">
        <f>VLOOKUP(A286,'nits tropicals'!$A$4:$U$314,'nits tropicals'!U$1,FALSE)</f>
        <v>0</v>
      </c>
      <c r="F286">
        <f t="shared" si="38"/>
        <v>4.5999999999999996</v>
      </c>
      <c r="G286">
        <f t="shared" si="39"/>
        <v>0</v>
      </c>
      <c r="H286" s="840">
        <f>VLOOKUP(B286,'BD ASVICC'!$A$6:$X$316,24,FALSE)/VLOOKUP(C286,'BD Comarcal'!$A$6:$Z$17,26,FALSE)</f>
        <v>8.916031122904633E-2</v>
      </c>
      <c r="I286" s="839">
        <f>(VLOOKUP(C286,'BD Altres'!$D$74:$H$84,5,FALSE) * 1000 / 12) * H286*0.035</f>
        <v>99.209421307153434</v>
      </c>
      <c r="J286" s="839">
        <f>(VLOOKUP(C286,'BD Altres'!$D$74:$H$84,3,FALSE) / 12) * H286*0.25</f>
        <v>63.46913904969341</v>
      </c>
      <c r="K286">
        <f>(VLOOKUP(B286,'BD ASVICC'!$A$6:$GR$316,199,FALSE) / 12)*0.3</f>
        <v>2.8249999999999997</v>
      </c>
      <c r="L286" s="846">
        <f>I286*'1. Cops de calor'!$C$32/30</f>
        <v>1422.0017054025327</v>
      </c>
      <c r="M286" s="846">
        <f>J286*'1. Cops de calor'!$C$33/30</f>
        <v>317.34569524846705</v>
      </c>
      <c r="N286" s="846">
        <f>K286*'1. Cops de calor'!$C$34*0.25/30</f>
        <v>44493.749999999993</v>
      </c>
      <c r="O286" s="779">
        <f t="shared" si="40"/>
        <v>212672.24804299456</v>
      </c>
      <c r="P286" s="848">
        <f>O286*'A. Dades de partida'!$D$10</f>
        <v>3190083.7206449183</v>
      </c>
      <c r="Q286">
        <f t="shared" si="41"/>
        <v>6.8999999999999995</v>
      </c>
      <c r="R286">
        <f t="shared" si="42"/>
        <v>0</v>
      </c>
      <c r="S286">
        <f>I286+(I286*'1. Cops de calor'!$C$40)</f>
        <v>104.76514890035402</v>
      </c>
      <c r="T286">
        <f>J286*'1. Cops de calor'!$C$41+J286</f>
        <v>68.229324478420409</v>
      </c>
      <c r="U286">
        <f>'1. Cops de calor'!$C$42*K286+K286</f>
        <v>2.9379999999999997</v>
      </c>
      <c r="V286">
        <f>S286*'1. Cops de calor'!$C$32/30</f>
        <v>1501.6338009050744</v>
      </c>
      <c r="W286">
        <f>T286*'1. Cops de calor'!$C$33/30</f>
        <v>341.14662239210207</v>
      </c>
      <c r="X286">
        <f>K286*'1. Cops de calor'!$C$34/30</f>
        <v>177974.99999999997</v>
      </c>
      <c r="Y286">
        <f t="shared" si="43"/>
        <v>179817.78042329714</v>
      </c>
      <c r="Z286" s="849">
        <f>Y286*(Q286+R286)*'A. Dades de partida'!$D$10</f>
        <v>18611140.273811251</v>
      </c>
      <c r="AA286" s="850">
        <f t="shared" si="44"/>
        <v>15421056.553166334</v>
      </c>
      <c r="AB286" t="str">
        <f>VLOOKUP(B286,'BD ASVICC'!$A$6:$BG$316,59,FALSE)</f>
        <v>CENTRAL</v>
      </c>
      <c r="AC286">
        <f t="shared" si="36"/>
        <v>0.5</v>
      </c>
      <c r="AD286">
        <f t="shared" si="37"/>
        <v>0.5</v>
      </c>
    </row>
    <row r="287" spans="1:30">
      <c r="A287">
        <v>8286</v>
      </c>
      <c r="B287" t="s">
        <v>1670</v>
      </c>
      <c r="C287" t="s">
        <v>81</v>
      </c>
      <c r="D287">
        <f>VLOOKUP(A287,'temperatures màximes'!$A$4:$U$314,'temperatures màximes'!U$1,FALSE)</f>
        <v>77</v>
      </c>
      <c r="E287">
        <f>VLOOKUP(A287,'nits tropicals'!$A$4:$U$314,'nits tropicals'!U$1,FALSE)</f>
        <v>2</v>
      </c>
      <c r="F287">
        <f t="shared" si="38"/>
        <v>7.7</v>
      </c>
      <c r="G287">
        <f t="shared" si="39"/>
        <v>0.2</v>
      </c>
      <c r="H287" s="840">
        <f>VLOOKUP(B287,'BD ASVICC'!$A$6:$X$316,24,FALSE)/VLOOKUP(C287,'BD Comarcal'!$A$6:$Z$17,26,FALSE)</f>
        <v>3.1675517429193903E-2</v>
      </c>
      <c r="I287" s="839">
        <f>(VLOOKUP(C287,'BD Altres'!$D$74:$H$84,5,FALSE) * 1000 / 12) * H287*0.035</f>
        <v>26.423246691378985</v>
      </c>
      <c r="J287" s="839">
        <f>(VLOOKUP(C287,'BD Altres'!$D$74:$H$84,3,FALSE) / 12) * H287*0.25</f>
        <v>12.760846976437488</v>
      </c>
      <c r="K287">
        <f>(VLOOKUP(B287,'BD ASVICC'!$A$6:$GR$316,199,FALSE) / 12)*0.3</f>
        <v>0.27499999999999997</v>
      </c>
      <c r="L287" s="846">
        <f>I287*'1. Cops de calor'!$C$32/30</f>
        <v>378.73320257643212</v>
      </c>
      <c r="M287" s="846">
        <f>J287*'1. Cops de calor'!$C$33/30</f>
        <v>63.804234882187437</v>
      </c>
      <c r="N287" s="846">
        <f>K287*'1. Cops de calor'!$C$34*0.25/30</f>
        <v>4331.2499999999991</v>
      </c>
      <c r="O287" s="779">
        <f t="shared" si="40"/>
        <v>37712.920755923093</v>
      </c>
      <c r="P287" s="848">
        <f>O287*'A. Dades de partida'!$D$10</f>
        <v>565693.81133884634</v>
      </c>
      <c r="Q287">
        <f t="shared" si="41"/>
        <v>11.55</v>
      </c>
      <c r="R287">
        <f t="shared" si="42"/>
        <v>0.30000000000000004</v>
      </c>
      <c r="S287">
        <f>I287+(I287*'1. Cops de calor'!$C$40)</f>
        <v>27.902948506096209</v>
      </c>
      <c r="T287">
        <f>J287*'1. Cops de calor'!$C$41+J287</f>
        <v>13.7179104996703</v>
      </c>
      <c r="U287">
        <f>'1. Cops de calor'!$C$42*K287+K287</f>
        <v>0.28599999999999998</v>
      </c>
      <c r="V287">
        <f>S287*'1. Cops de calor'!$C$32/30</f>
        <v>399.94226192071233</v>
      </c>
      <c r="W287">
        <f>T287*'1. Cops de calor'!$C$33/30</f>
        <v>68.589552498351495</v>
      </c>
      <c r="X287">
        <f>K287*'1. Cops de calor'!$C$34/30</f>
        <v>17324.999999999996</v>
      </c>
      <c r="Y287">
        <f t="shared" si="43"/>
        <v>17793.531814419061</v>
      </c>
      <c r="Z287" s="849">
        <f>Y287*(Q287+R287)*'A. Dades de partida'!$D$10</f>
        <v>3162800.280012988</v>
      </c>
      <c r="AA287" s="850">
        <f t="shared" si="44"/>
        <v>2597106.4686741419</v>
      </c>
      <c r="AB287" t="str">
        <f>VLOOKUP(B287,'BD ASVICC'!$A$6:$BG$316,59,FALSE)</f>
        <v>CENTRAL</v>
      </c>
      <c r="AC287">
        <f t="shared" si="36"/>
        <v>0.5</v>
      </c>
      <c r="AD287">
        <f t="shared" si="37"/>
        <v>0.5</v>
      </c>
    </row>
    <row r="288" spans="1:30">
      <c r="A288">
        <v>8287</v>
      </c>
      <c r="B288" t="s">
        <v>1673</v>
      </c>
      <c r="C288" t="s">
        <v>791</v>
      </c>
      <c r="D288">
        <f>VLOOKUP(A288,'temperatures màximes'!$A$4:$U$314,'temperatures màximes'!U$1,FALSE)</f>
        <v>37</v>
      </c>
      <c r="E288">
        <f>VLOOKUP(A288,'nits tropicals'!$A$4:$U$314,'nits tropicals'!U$1,FALSE)</f>
        <v>7</v>
      </c>
      <c r="F288">
        <f t="shared" si="38"/>
        <v>3.7</v>
      </c>
      <c r="G288">
        <f t="shared" si="39"/>
        <v>0.7</v>
      </c>
      <c r="H288" s="840">
        <f>VLOOKUP(B288,'BD ASVICC'!$A$6:$X$316,24,FALSE)/VLOOKUP(C288,'BD Comarcal'!$A$6:$Z$17,26,FALSE)</f>
        <v>1.3295695130557516E-2</v>
      </c>
      <c r="I288" s="839">
        <f>(VLOOKUP(C288,'BD Altres'!$D$74:$H$84,5,FALSE) * 1000 / 12) * H288*0.035</f>
        <v>26.306913355651304</v>
      </c>
      <c r="J288" s="839">
        <f>(VLOOKUP(C288,'BD Altres'!$D$74:$H$84,3,FALSE) / 12) * H288*0.25</f>
        <v>3.4078043415053729</v>
      </c>
      <c r="K288">
        <f>(VLOOKUP(B288,'BD ASVICC'!$A$6:$GR$316,199,FALSE) / 12)*0.3</f>
        <v>0.47499999999999998</v>
      </c>
      <c r="L288" s="846">
        <f>I288*'1. Cops de calor'!$C$32/30</f>
        <v>377.06575809766866</v>
      </c>
      <c r="M288" s="846">
        <f>J288*'1. Cops de calor'!$C$33/30</f>
        <v>17.039021707526864</v>
      </c>
      <c r="N288" s="846">
        <f>K288*'1. Cops de calor'!$C$34*0.25/30</f>
        <v>7481.2499999999991</v>
      </c>
      <c r="O288" s="779">
        <f t="shared" si="40"/>
        <v>34651.561031142861</v>
      </c>
      <c r="P288" s="848">
        <f>O288*'A. Dades de partida'!$D$10</f>
        <v>519773.41546714294</v>
      </c>
      <c r="Q288">
        <f t="shared" si="41"/>
        <v>5.5500000000000007</v>
      </c>
      <c r="R288">
        <f t="shared" si="42"/>
        <v>1.0499999999999998</v>
      </c>
      <c r="S288">
        <f>I288+(I288*'1. Cops de calor'!$C$40)</f>
        <v>27.780100503567777</v>
      </c>
      <c r="T288">
        <f>J288*'1. Cops de calor'!$C$41+J288</f>
        <v>3.6633896671182757</v>
      </c>
      <c r="U288">
        <f>'1. Cops de calor'!$C$42*K288+K288</f>
        <v>0.49399999999999999</v>
      </c>
      <c r="V288">
        <f>S288*'1. Cops de calor'!$C$32/30</f>
        <v>398.18144055113811</v>
      </c>
      <c r="W288">
        <f>T288*'1. Cops de calor'!$C$33/30</f>
        <v>18.31694833559138</v>
      </c>
      <c r="X288">
        <f>K288*'1. Cops de calor'!$C$34/30</f>
        <v>29924.999999999996</v>
      </c>
      <c r="Y288">
        <f t="shared" si="43"/>
        <v>30341.498388886725</v>
      </c>
      <c r="Z288" s="849">
        <f>Y288*(Q288+R288)*'A. Dades de partida'!$D$10</f>
        <v>3003808.3404997862</v>
      </c>
      <c r="AA288" s="850">
        <f t="shared" si="44"/>
        <v>2484034.9250326431</v>
      </c>
      <c r="AB288" t="str">
        <f>VLOOKUP(B288,'BD ASVICC'!$A$6:$BG$316,59,FALSE)</f>
        <v>LITORAL</v>
      </c>
      <c r="AC288">
        <f t="shared" si="36"/>
        <v>0.5</v>
      </c>
      <c r="AD288">
        <f t="shared" si="37"/>
        <v>0.5</v>
      </c>
    </row>
    <row r="289" spans="1:30">
      <c r="A289">
        <v>8288</v>
      </c>
      <c r="B289" t="s">
        <v>1677</v>
      </c>
      <c r="C289" t="s">
        <v>791</v>
      </c>
      <c r="D289">
        <f>VLOOKUP(A289,'temperatures màximes'!$A$4:$U$314,'temperatures màximes'!U$1,FALSE)</f>
        <v>25</v>
      </c>
      <c r="E289">
        <f>VLOOKUP(A289,'nits tropicals'!$A$4:$U$314,'nits tropicals'!U$1,FALSE)</f>
        <v>10</v>
      </c>
      <c r="F289">
        <f t="shared" si="38"/>
        <v>2.5</v>
      </c>
      <c r="G289">
        <f t="shared" si="39"/>
        <v>1</v>
      </c>
      <c r="H289" s="840">
        <f>VLOOKUP(B289,'BD ASVICC'!$A$6:$X$316,24,FALSE)/VLOOKUP(C289,'BD Comarcal'!$A$6:$Z$17,26,FALSE)</f>
        <v>2.0710421077393553E-2</v>
      </c>
      <c r="I289" s="839">
        <f>(VLOOKUP(C289,'BD Altres'!$D$74:$H$84,5,FALSE) * 1000 / 12) * H289*0.035</f>
        <v>40.97771853912846</v>
      </c>
      <c r="J289" s="839">
        <f>(VLOOKUP(C289,'BD Altres'!$D$74:$H$84,3,FALSE) / 12) * H289*0.25</f>
        <v>5.3082642290540161</v>
      </c>
      <c r="K289">
        <f>(VLOOKUP(B289,'BD ASVICC'!$A$6:$GR$316,199,FALSE) / 12)*0.3</f>
        <v>0.625</v>
      </c>
      <c r="L289" s="846">
        <f>I289*'1. Cops de calor'!$C$32/30</f>
        <v>587.34729906084124</v>
      </c>
      <c r="M289" s="846">
        <f>J289*'1. Cops de calor'!$C$33/30</f>
        <v>26.541321145270082</v>
      </c>
      <c r="N289" s="846">
        <f>K289*'1. Cops de calor'!$C$34*0.25/30</f>
        <v>9843.7499999999982</v>
      </c>
      <c r="O289" s="779">
        <f t="shared" si="40"/>
        <v>36601.735170721382</v>
      </c>
      <c r="P289" s="848">
        <f>O289*'A. Dades de partida'!$D$10</f>
        <v>549026.02756082069</v>
      </c>
      <c r="Q289">
        <f t="shared" si="41"/>
        <v>3.75</v>
      </c>
      <c r="R289">
        <f t="shared" si="42"/>
        <v>1.5</v>
      </c>
      <c r="S289">
        <f>I289+(I289*'1. Cops de calor'!$C$40)</f>
        <v>43.272470777319654</v>
      </c>
      <c r="T289">
        <f>J289*'1. Cops de calor'!$C$41+J289</f>
        <v>5.7063840462330671</v>
      </c>
      <c r="U289">
        <f>'1. Cops de calor'!$C$42*K289+K289</f>
        <v>0.65</v>
      </c>
      <c r="V289">
        <f>S289*'1. Cops de calor'!$C$32/30</f>
        <v>620.23874780824838</v>
      </c>
      <c r="W289">
        <f>T289*'1. Cops de calor'!$C$33/30</f>
        <v>28.531920231165333</v>
      </c>
      <c r="X289">
        <f>K289*'1. Cops de calor'!$C$34/30</f>
        <v>39374.999999999993</v>
      </c>
      <c r="Y289">
        <f t="shared" si="43"/>
        <v>40023.770668039404</v>
      </c>
      <c r="Z289" s="849">
        <f>Y289*(Q289+R289)*'A. Dades de partida'!$D$10</f>
        <v>3151871.9401081032</v>
      </c>
      <c r="AA289" s="850">
        <f t="shared" si="44"/>
        <v>2602845.9125472824</v>
      </c>
      <c r="AB289" t="str">
        <f>VLOOKUP(B289,'BD ASVICC'!$A$6:$BG$316,59,FALSE)</f>
        <v>LITORAL</v>
      </c>
      <c r="AC289">
        <f t="shared" si="36"/>
        <v>0.5</v>
      </c>
      <c r="AD289">
        <f t="shared" si="37"/>
        <v>0.5</v>
      </c>
    </row>
    <row r="290" spans="1:30">
      <c r="A290">
        <v>8289</v>
      </c>
      <c r="B290" t="s">
        <v>1681</v>
      </c>
      <c r="C290" t="s">
        <v>90</v>
      </c>
      <c r="D290">
        <f>VLOOKUP(A290,'temperatures màximes'!$A$4:$U$314,'temperatures màximes'!U$1,FALSE)</f>
        <v>102</v>
      </c>
      <c r="E290">
        <f>VLOOKUP(A290,'nits tropicals'!$A$4:$U$314,'nits tropicals'!U$1,FALSE)</f>
        <v>125</v>
      </c>
      <c r="F290">
        <f t="shared" si="38"/>
        <v>10.199999999999999</v>
      </c>
      <c r="G290">
        <f t="shared" si="39"/>
        <v>12.5</v>
      </c>
      <c r="H290" s="840">
        <f>VLOOKUP(B290,'BD ASVICC'!$A$6:$X$316,24,FALSE)/VLOOKUP(C290,'BD Comarcal'!$A$6:$Z$17,26,FALSE)</f>
        <v>7.3257495218445132E-3</v>
      </c>
      <c r="I290" s="839">
        <f>(VLOOKUP(C290,'BD Altres'!$D$74:$H$84,5,FALSE) * 1000 / 12) * H290*0.035</f>
        <v>13.499804482635827</v>
      </c>
      <c r="J290" s="839">
        <f>(VLOOKUP(C290,'BD Altres'!$D$74:$H$84,3,FALSE) / 12) * H290*0.25</f>
        <v>41.173696476629829</v>
      </c>
      <c r="K290">
        <f>(VLOOKUP(B290,'BD ASVICC'!$A$6:$GR$316,199,FALSE) / 12)*0.3</f>
        <v>0.87499999999999989</v>
      </c>
      <c r="L290" s="846">
        <f>I290*'1. Cops de calor'!$C$32/30</f>
        <v>193.49719758444687</v>
      </c>
      <c r="M290" s="846">
        <f>J290*'1. Cops de calor'!$C$33/30</f>
        <v>205.86848238314914</v>
      </c>
      <c r="N290" s="846">
        <f>K290*'1. Cops de calor'!$C$34*0.25/30</f>
        <v>13781.249999999996</v>
      </c>
      <c r="O290" s="779">
        <f t="shared" si="40"/>
        <v>321899.97593526432</v>
      </c>
      <c r="P290" s="848">
        <f>O290*'A. Dades de partida'!$D$10</f>
        <v>4828499.6390289646</v>
      </c>
      <c r="Q290">
        <f t="shared" si="41"/>
        <v>15.299999999999999</v>
      </c>
      <c r="R290">
        <f t="shared" si="42"/>
        <v>18.75</v>
      </c>
      <c r="S290">
        <f>I290+(I290*'1. Cops de calor'!$C$40)</f>
        <v>14.255793533663434</v>
      </c>
      <c r="T290">
        <f>J290*'1. Cops de calor'!$C$41+J290</f>
        <v>44.261723712377062</v>
      </c>
      <c r="U290">
        <f>'1. Cops de calor'!$C$42*K290+K290</f>
        <v>0.90999999999999992</v>
      </c>
      <c r="V290">
        <f>S290*'1. Cops de calor'!$C$32/30</f>
        <v>204.3330406491759</v>
      </c>
      <c r="W290">
        <f>T290*'1. Cops de calor'!$C$33/30</f>
        <v>221.30861856188531</v>
      </c>
      <c r="X290">
        <f>K290*'1. Cops de calor'!$C$34/30</f>
        <v>55124.999999999985</v>
      </c>
      <c r="Y290">
        <f t="shared" si="43"/>
        <v>55550.641659211047</v>
      </c>
      <c r="Z290" s="849">
        <f>Y290*(Q290+R290)*'A. Dades de partida'!$D$10</f>
        <v>28372490.227442041</v>
      </c>
      <c r="AA290" s="850">
        <f t="shared" si="44"/>
        <v>23543990.588413075</v>
      </c>
      <c r="AB290" t="str">
        <f>VLOOKUP(B290,'BD ASVICC'!$A$6:$BG$316,59,FALSE)</f>
        <v>LITORAL</v>
      </c>
      <c r="AC290">
        <f t="shared" si="36"/>
        <v>0.5</v>
      </c>
      <c r="AD290">
        <f t="shared" si="37"/>
        <v>0.5</v>
      </c>
    </row>
    <row r="291" spans="1:30">
      <c r="A291">
        <v>8290</v>
      </c>
      <c r="B291" t="s">
        <v>1682</v>
      </c>
      <c r="C291" t="s">
        <v>89</v>
      </c>
      <c r="D291">
        <f>VLOOKUP(A291,'temperatures màximes'!$A$4:$U$314,'temperatures màximes'!U$1,FALSE)</f>
        <v>39</v>
      </c>
      <c r="E291">
        <f>VLOOKUP(A291,'nits tropicals'!$A$4:$U$314,'nits tropicals'!U$1,FALSE)</f>
        <v>3</v>
      </c>
      <c r="F291">
        <f t="shared" si="38"/>
        <v>3.9</v>
      </c>
      <c r="G291">
        <f t="shared" si="39"/>
        <v>0.3</v>
      </c>
      <c r="H291" s="840">
        <f>VLOOKUP(B291,'BD ASVICC'!$A$6:$X$316,24,FALSE)/VLOOKUP(C291,'BD Comarcal'!$A$6:$Z$17,26,FALSE)</f>
        <v>2.2549323188534019E-3</v>
      </c>
      <c r="I291" s="839">
        <f>(VLOOKUP(C291,'BD Altres'!$D$74:$H$84,5,FALSE) * 1000 / 12) * H291*0.035</f>
        <v>9.1287231457495981</v>
      </c>
      <c r="J291" s="839">
        <f>(VLOOKUP(C291,'BD Altres'!$D$74:$H$84,3,FALSE) / 12) * H291*0.25</f>
        <v>4.0070167032179294</v>
      </c>
      <c r="K291">
        <f>(VLOOKUP(B291,'BD ASVICC'!$A$6:$GR$316,199,FALSE) / 12)*0.3</f>
        <v>0.47499999999999998</v>
      </c>
      <c r="L291" s="846">
        <f>I291*'1. Cops de calor'!$C$32/30</f>
        <v>130.84503175574426</v>
      </c>
      <c r="M291" s="846">
        <f>J291*'1. Cops de calor'!$C$33/30</f>
        <v>20.035083516089646</v>
      </c>
      <c r="N291" s="846">
        <f>K291*'1. Cops de calor'!$C$34*0.25/30</f>
        <v>7481.2499999999991</v>
      </c>
      <c r="O291" s="779">
        <f t="shared" si="40"/>
        <v>32054.946484141703</v>
      </c>
      <c r="P291" s="848">
        <f>O291*'A. Dades de partida'!$D$10</f>
        <v>480824.19726212556</v>
      </c>
      <c r="Q291">
        <f t="shared" si="41"/>
        <v>5.85</v>
      </c>
      <c r="R291">
        <f t="shared" si="42"/>
        <v>0.44999999999999996</v>
      </c>
      <c r="S291">
        <f>I291+(I291*'1. Cops de calor'!$C$40)</f>
        <v>9.6399316419115753</v>
      </c>
      <c r="T291">
        <f>J291*'1. Cops de calor'!$C$41+J291</f>
        <v>4.3075429559592742</v>
      </c>
      <c r="U291">
        <f>'1. Cops de calor'!$C$42*K291+K291</f>
        <v>0.49399999999999999</v>
      </c>
      <c r="V291">
        <f>S291*'1. Cops de calor'!$C$32/30</f>
        <v>138.17235353406593</v>
      </c>
      <c r="W291">
        <f>T291*'1. Cops de calor'!$C$33/30</f>
        <v>21.537714779796371</v>
      </c>
      <c r="X291">
        <f>K291*'1. Cops de calor'!$C$34/30</f>
        <v>29924.999999999996</v>
      </c>
      <c r="Y291">
        <f t="shared" si="43"/>
        <v>30084.71006831386</v>
      </c>
      <c r="Z291" s="849">
        <f>Y291*(Q291+R291)*'A. Dades de partida'!$D$10</f>
        <v>2843005.1014556596</v>
      </c>
      <c r="AA291" s="850">
        <f t="shared" si="44"/>
        <v>2362180.9041935341</v>
      </c>
      <c r="AB291" t="str">
        <f>VLOOKUP(B291,'BD ASVICC'!$A$6:$BG$316,59,FALSE)</f>
        <v>LITORAL</v>
      </c>
      <c r="AC291">
        <f t="shared" si="36"/>
        <v>0.5</v>
      </c>
      <c r="AD291">
        <f t="shared" si="37"/>
        <v>0.5</v>
      </c>
    </row>
    <row r="292" spans="1:30">
      <c r="A292">
        <v>8291</v>
      </c>
      <c r="B292" t="s">
        <v>1684</v>
      </c>
      <c r="C292" t="s">
        <v>89</v>
      </c>
      <c r="D292">
        <f>VLOOKUP(A292,'temperatures màximes'!$A$4:$U$314,'temperatures màximes'!U$1,FALSE)</f>
        <v>39</v>
      </c>
      <c r="E292">
        <f>VLOOKUP(A292,'nits tropicals'!$A$4:$U$314,'nits tropicals'!U$1,FALSE)</f>
        <v>3</v>
      </c>
      <c r="F292">
        <f t="shared" si="38"/>
        <v>3.9</v>
      </c>
      <c r="G292">
        <f t="shared" si="39"/>
        <v>0.3</v>
      </c>
      <c r="H292" s="840">
        <f>VLOOKUP(B292,'BD ASVICC'!$A$6:$X$316,24,FALSE)/VLOOKUP(C292,'BD Comarcal'!$A$6:$Z$17,26,FALSE)</f>
        <v>6.8477395381757056E-3</v>
      </c>
      <c r="I292" s="839">
        <f>(VLOOKUP(C292,'BD Altres'!$D$74:$H$84,5,FALSE) * 1000 / 12) * H292*0.035</f>
        <v>27.721948856538255</v>
      </c>
      <c r="J292" s="839">
        <f>(VLOOKUP(C292,'BD Altres'!$D$74:$H$84,3,FALSE) / 12) * H292*0.25</f>
        <v>12.168439149742724</v>
      </c>
      <c r="K292">
        <f>(VLOOKUP(B292,'BD ASVICC'!$A$6:$GR$316,199,FALSE) / 12)*0.3</f>
        <v>0.79999999999999993</v>
      </c>
      <c r="L292" s="846">
        <f>I292*'1. Cops de calor'!$C$32/30</f>
        <v>397.34793361038169</v>
      </c>
      <c r="M292" s="846">
        <f>J292*'1. Cops de calor'!$C$33/30</f>
        <v>60.842195748713621</v>
      </c>
      <c r="N292" s="846">
        <f>K292*'1. Cops de calor'!$C$34*0.25/30</f>
        <v>12599.999999999998</v>
      </c>
      <c r="O292" s="779">
        <f t="shared" si="40"/>
        <v>54844.398543308191</v>
      </c>
      <c r="P292" s="848">
        <f>O292*'A. Dades de partida'!$D$10</f>
        <v>822665.97814962291</v>
      </c>
      <c r="Q292">
        <f t="shared" si="41"/>
        <v>5.85</v>
      </c>
      <c r="R292">
        <f t="shared" si="42"/>
        <v>0.44999999999999996</v>
      </c>
      <c r="S292">
        <f>I292+(I292*'1. Cops de calor'!$C$40)</f>
        <v>29.274377992504398</v>
      </c>
      <c r="T292">
        <f>J292*'1. Cops de calor'!$C$41+J292</f>
        <v>13.081072085973428</v>
      </c>
      <c r="U292">
        <f>'1. Cops de calor'!$C$42*K292+K292</f>
        <v>0.83199999999999996</v>
      </c>
      <c r="V292">
        <f>S292*'1. Cops de calor'!$C$32/30</f>
        <v>419.59941789256305</v>
      </c>
      <c r="W292">
        <f>T292*'1. Cops de calor'!$C$33/30</f>
        <v>65.405360429867144</v>
      </c>
      <c r="X292">
        <f>K292*'1. Cops de calor'!$C$34/30</f>
        <v>50399.999999999993</v>
      </c>
      <c r="Y292">
        <f t="shared" si="43"/>
        <v>50885.004778322422</v>
      </c>
      <c r="Z292" s="849">
        <f>Y292*(Q292+R292)*'A. Dades de partida'!$D$10</f>
        <v>4808632.951551469</v>
      </c>
      <c r="AA292" s="850">
        <f t="shared" si="44"/>
        <v>3985966.9734018464</v>
      </c>
      <c r="AB292" t="str">
        <f>VLOOKUP(B292,'BD ASVICC'!$A$6:$BG$316,59,FALSE)</f>
        <v>CENTRAL</v>
      </c>
      <c r="AC292">
        <f t="shared" si="36"/>
        <v>0.5</v>
      </c>
      <c r="AD292">
        <f t="shared" si="37"/>
        <v>0.5</v>
      </c>
    </row>
    <row r="293" spans="1:30">
      <c r="A293">
        <v>8292</v>
      </c>
      <c r="B293" t="s">
        <v>1686</v>
      </c>
      <c r="C293" t="s">
        <v>81</v>
      </c>
      <c r="D293">
        <f>VLOOKUP(A293,'temperatures màximes'!$A$4:$U$314,'temperatures màximes'!U$1,FALSE)</f>
        <v>77</v>
      </c>
      <c r="E293">
        <f>VLOOKUP(A293,'nits tropicals'!$A$4:$U$314,'nits tropicals'!U$1,FALSE)</f>
        <v>2</v>
      </c>
      <c r="F293">
        <f t="shared" si="38"/>
        <v>7.7</v>
      </c>
      <c r="G293">
        <f t="shared" si="39"/>
        <v>0.2</v>
      </c>
      <c r="H293" s="840">
        <f>VLOOKUP(B293,'BD ASVICC'!$A$6:$X$316,24,FALSE)/VLOOKUP(C293,'BD Comarcal'!$A$6:$Z$17,26,FALSE)</f>
        <v>1.201661220043573E-2</v>
      </c>
      <c r="I293" s="839">
        <f>(VLOOKUP(C293,'BD Altres'!$D$74:$H$84,5,FALSE) * 1000 / 12) * H293*0.035</f>
        <v>10.024079615321634</v>
      </c>
      <c r="J293" s="839">
        <f>(VLOOKUP(C293,'BD Altres'!$D$74:$H$84,3,FALSE) / 12) * H293*0.25</f>
        <v>4.8410306100832159</v>
      </c>
      <c r="K293">
        <f>(VLOOKUP(B293,'BD ASVICC'!$A$6:$GR$316,199,FALSE) / 12)*0.3</f>
        <v>0.25</v>
      </c>
      <c r="L293" s="846">
        <f>I293*'1. Cops de calor'!$C$32/30</f>
        <v>143.67847448627674</v>
      </c>
      <c r="M293" s="846">
        <f>J293*'1. Cops de calor'!$C$33/30</f>
        <v>24.205153050416079</v>
      </c>
      <c r="N293" s="846">
        <f>K293*'1. Cops de calor'!$C$34*0.25/30</f>
        <v>3937.4999999999995</v>
      </c>
      <c r="O293" s="779">
        <f t="shared" si="40"/>
        <v>32432.530657539868</v>
      </c>
      <c r="P293" s="848">
        <f>O293*'A. Dades de partida'!$D$10</f>
        <v>486487.95986309805</v>
      </c>
      <c r="Q293">
        <f t="shared" si="41"/>
        <v>11.55</v>
      </c>
      <c r="R293">
        <f t="shared" si="42"/>
        <v>0.30000000000000004</v>
      </c>
      <c r="S293">
        <f>I293+(I293*'1. Cops de calor'!$C$40)</f>
        <v>10.585428073779646</v>
      </c>
      <c r="T293">
        <f>J293*'1. Cops de calor'!$C$41+J293</f>
        <v>5.2041079058394573</v>
      </c>
      <c r="U293">
        <f>'1. Cops de calor'!$C$42*K293+K293</f>
        <v>0.26</v>
      </c>
      <c r="V293">
        <f>S293*'1. Cops de calor'!$C$32/30</f>
        <v>151.72446905750823</v>
      </c>
      <c r="W293">
        <f>T293*'1. Cops de calor'!$C$33/30</f>
        <v>26.020539529197286</v>
      </c>
      <c r="X293">
        <f>K293*'1. Cops de calor'!$C$34/30</f>
        <v>15749.999999999998</v>
      </c>
      <c r="Y293">
        <f t="shared" si="43"/>
        <v>15927.745008586704</v>
      </c>
      <c r="Z293" s="849">
        <f>Y293*(Q293+R293)*'A. Dades de partida'!$D$10</f>
        <v>2831156.6752762869</v>
      </c>
      <c r="AA293" s="850">
        <f t="shared" si="44"/>
        <v>2344668.715413189</v>
      </c>
      <c r="AB293" t="str">
        <f>VLOOKUP(B293,'BD ASVICC'!$A$6:$BG$316,59,FALSE)</f>
        <v>CENTRAL</v>
      </c>
      <c r="AC293">
        <f t="shared" si="36"/>
        <v>0.5</v>
      </c>
      <c r="AD293">
        <f t="shared" si="37"/>
        <v>0.5</v>
      </c>
    </row>
    <row r="294" spans="1:30">
      <c r="A294">
        <v>8293</v>
      </c>
      <c r="B294" t="s">
        <v>1690</v>
      </c>
      <c r="C294" t="s">
        <v>84</v>
      </c>
      <c r="D294">
        <f>VLOOKUP(A294,'temperatures màximes'!$A$4:$U$314,'temperatures màximes'!U$1,FALSE)</f>
        <v>0</v>
      </c>
      <c r="E294">
        <f>VLOOKUP(A294,'nits tropicals'!$A$4:$U$314,'nits tropicals'!U$1,FALSE)</f>
        <v>0</v>
      </c>
      <c r="F294">
        <f t="shared" si="38"/>
        <v>0</v>
      </c>
      <c r="G294">
        <f t="shared" si="39"/>
        <v>0</v>
      </c>
      <c r="H294" s="840">
        <f>VLOOKUP(B294,'BD ASVICC'!$A$6:$X$316,24,FALSE)/VLOOKUP(C294,'BD Comarcal'!$A$6:$Z$17,26,FALSE)</f>
        <v>6.4832303843994077E-3</v>
      </c>
      <c r="I294" s="839">
        <f>(VLOOKUP(C294,'BD Altres'!$D$74:$H$84,5,FALSE) * 1000 / 12) * H294*0.035</f>
        <v>4.1671293313178728</v>
      </c>
      <c r="J294" s="839">
        <f>(VLOOKUP(C294,'BD Altres'!$D$74:$H$84,3,FALSE) / 12) * H294*0.25</f>
        <v>36.430536306004377</v>
      </c>
      <c r="K294">
        <f>(VLOOKUP(B294,'BD ASVICC'!$A$6:$GR$316,199,FALSE) / 12)*0.3</f>
        <v>7.4999999999999997E-2</v>
      </c>
      <c r="L294" s="846">
        <f>I294*'1. Cops de calor'!$C$32/30</f>
        <v>59.728853748889506</v>
      </c>
      <c r="M294" s="846">
        <f>J294*'1. Cops de calor'!$C$33/30</f>
        <v>182.15268153002188</v>
      </c>
      <c r="N294" s="846">
        <f>K294*'1. Cops de calor'!$C$34*0.25/30</f>
        <v>1181.2499999999998</v>
      </c>
      <c r="O294" s="779">
        <f t="shared" si="40"/>
        <v>0</v>
      </c>
      <c r="P294" s="848">
        <f>O294*'A. Dades de partida'!$D$10</f>
        <v>0</v>
      </c>
      <c r="Q294">
        <f t="shared" si="41"/>
        <v>0</v>
      </c>
      <c r="R294">
        <f t="shared" si="42"/>
        <v>0</v>
      </c>
      <c r="S294">
        <f>I294+(I294*'1. Cops de calor'!$C$40)</f>
        <v>4.4004885738716739</v>
      </c>
      <c r="T294">
        <f>J294*'1. Cops de calor'!$C$41+J294</f>
        <v>39.162826528954703</v>
      </c>
      <c r="U294">
        <f>'1. Cops de calor'!$C$42*K294+K294</f>
        <v>7.8E-2</v>
      </c>
      <c r="V294">
        <f>S294*'1. Cops de calor'!$C$32/30</f>
        <v>63.073669558827326</v>
      </c>
      <c r="W294">
        <f>T294*'1. Cops de calor'!$C$33/30</f>
        <v>195.81413264477351</v>
      </c>
      <c r="X294">
        <f>K294*'1. Cops de calor'!$C$34/30</f>
        <v>4724.9999999999991</v>
      </c>
      <c r="Y294">
        <f t="shared" si="43"/>
        <v>4983.8878022035997</v>
      </c>
      <c r="Z294" s="849">
        <f>Y294*(Q294+R294)*'A. Dades de partida'!$D$10</f>
        <v>0</v>
      </c>
      <c r="AA294" s="850">
        <f t="shared" si="44"/>
        <v>0</v>
      </c>
      <c r="AB294" t="str">
        <f>VLOOKUP(B294,'BD ASVICC'!$A$6:$BG$316,59,FALSE)</f>
        <v>PREPIRINEU-PIRINEU</v>
      </c>
      <c r="AC294">
        <f t="shared" si="36"/>
        <v>0.5</v>
      </c>
      <c r="AD294">
        <f t="shared" si="37"/>
        <v>0.5</v>
      </c>
    </row>
    <row r="295" spans="1:30">
      <c r="A295">
        <v>8294</v>
      </c>
      <c r="B295" t="s">
        <v>1692</v>
      </c>
      <c r="C295" t="s">
        <v>24</v>
      </c>
      <c r="D295">
        <f>VLOOKUP(A295,'temperatures màximes'!$A$4:$U$314,'temperatures màximes'!U$1,FALSE)</f>
        <v>39</v>
      </c>
      <c r="E295">
        <f>VLOOKUP(A295,'nits tropicals'!$A$4:$U$314,'nits tropicals'!U$1,FALSE)</f>
        <v>2</v>
      </c>
      <c r="F295">
        <f t="shared" si="38"/>
        <v>3.9</v>
      </c>
      <c r="G295">
        <f t="shared" si="39"/>
        <v>0.2</v>
      </c>
      <c r="H295" s="840">
        <f>VLOOKUP(B295,'BD ASVICC'!$A$6:$X$316,24,FALSE)/VLOOKUP(C295,'BD Comarcal'!$A$6:$Z$17,26,FALSE)</f>
        <v>6.9068964314368438E-3</v>
      </c>
      <c r="I295" s="839">
        <f>(VLOOKUP(C295,'BD Altres'!$D$74:$H$84,5,FALSE) * 1000 / 12) * H295*0.035</f>
        <v>48.878944117726057</v>
      </c>
      <c r="J295" s="839">
        <f>(VLOOKUP(C295,'BD Altres'!$D$74:$H$84,3,FALSE) / 12) * H295*0.25</f>
        <v>10.988975060519966</v>
      </c>
      <c r="K295">
        <f>(VLOOKUP(B295,'BD ASVICC'!$A$6:$GR$316,199,FALSE) / 12)*0.3</f>
        <v>0.32499999999999996</v>
      </c>
      <c r="L295" s="846">
        <f>I295*'1. Cops de calor'!$C$32/30</f>
        <v>700.59819902074014</v>
      </c>
      <c r="M295" s="846">
        <f>J295*'1. Cops de calor'!$C$33/30</f>
        <v>54.944875302599826</v>
      </c>
      <c r="N295" s="846">
        <f>K295*'1. Cops de calor'!$C$34*0.25/30</f>
        <v>5118.7499999999991</v>
      </c>
      <c r="O295" s="779">
        <f t="shared" si="40"/>
        <v>24084.601604725689</v>
      </c>
      <c r="P295" s="848">
        <f>O295*'A. Dades de partida'!$D$10</f>
        <v>361269.02407088532</v>
      </c>
      <c r="Q295">
        <f t="shared" si="41"/>
        <v>5.85</v>
      </c>
      <c r="R295">
        <f t="shared" si="42"/>
        <v>0.30000000000000004</v>
      </c>
      <c r="S295">
        <f>I295+(I295*'1. Cops de calor'!$C$40)</f>
        <v>51.616164988318715</v>
      </c>
      <c r="T295">
        <f>J295*'1. Cops de calor'!$C$41+J295</f>
        <v>11.813148190058964</v>
      </c>
      <c r="U295">
        <f>'1. Cops de calor'!$C$42*K295+K295</f>
        <v>0.33799999999999997</v>
      </c>
      <c r="V295">
        <f>S295*'1. Cops de calor'!$C$32/30</f>
        <v>739.83169816590157</v>
      </c>
      <c r="W295">
        <f>T295*'1. Cops de calor'!$C$33/30</f>
        <v>59.065740950294824</v>
      </c>
      <c r="X295">
        <f>K295*'1. Cops de calor'!$C$34/30</f>
        <v>20474.999999999996</v>
      </c>
      <c r="Y295">
        <f t="shared" si="43"/>
        <v>21273.897439116194</v>
      </c>
      <c r="Z295" s="849">
        <f>Y295*(Q295+R295)*'A. Dades de partida'!$D$10</f>
        <v>1962517.0387584688</v>
      </c>
      <c r="AA295" s="850">
        <f t="shared" si="44"/>
        <v>1601248.0146875835</v>
      </c>
      <c r="AB295" t="str">
        <f>VLOOKUP(B295,'BD ASVICC'!$A$6:$BG$316,59,FALSE)</f>
        <v>LITORAL</v>
      </c>
      <c r="AC295">
        <f t="shared" si="36"/>
        <v>0.5</v>
      </c>
      <c r="AD295">
        <f t="shared" si="37"/>
        <v>0.5</v>
      </c>
    </row>
    <row r="296" spans="1:30">
      <c r="A296">
        <v>8295</v>
      </c>
      <c r="B296" t="s">
        <v>1697</v>
      </c>
      <c r="C296" t="s">
        <v>90</v>
      </c>
      <c r="D296">
        <f>VLOOKUP(A296,'temperatures màximes'!$A$4:$U$314,'temperatures màximes'!U$1,FALSE)</f>
        <v>102</v>
      </c>
      <c r="E296">
        <f>VLOOKUP(A296,'nits tropicals'!$A$4:$U$314,'nits tropicals'!U$1,FALSE)</f>
        <v>125</v>
      </c>
      <c r="F296">
        <f t="shared" si="38"/>
        <v>10.199999999999999</v>
      </c>
      <c r="G296">
        <f t="shared" si="39"/>
        <v>12.5</v>
      </c>
      <c r="H296" s="840">
        <f>VLOOKUP(B296,'BD ASVICC'!$A$6:$X$316,24,FALSE)/VLOOKUP(C296,'BD Comarcal'!$A$6:$Z$17,26,FALSE)</f>
        <v>1.8121136015943045E-2</v>
      </c>
      <c r="I296" s="839">
        <f>(VLOOKUP(C296,'BD Altres'!$D$74:$H$84,5,FALSE) * 1000 / 12) * H296*0.035</f>
        <v>33.393414897549874</v>
      </c>
      <c r="J296" s="839">
        <f>(VLOOKUP(C296,'BD Altres'!$D$74:$H$84,3,FALSE) / 12) * H296*0.25</f>
        <v>101.84816610332369</v>
      </c>
      <c r="K296">
        <f>(VLOOKUP(B296,'BD ASVICC'!$A$6:$GR$316,199,FALSE) / 12)*0.3</f>
        <v>2.7250000000000001</v>
      </c>
      <c r="L296" s="846">
        <f>I296*'1. Cops de calor'!$C$32/30</f>
        <v>478.63894686488152</v>
      </c>
      <c r="M296" s="846">
        <f>J296*'1. Cops de calor'!$C$33/30</f>
        <v>509.24083051661842</v>
      </c>
      <c r="N296" s="846">
        <f>K296*'1. Cops de calor'!$C$34*0.25/30</f>
        <v>42918.749999999993</v>
      </c>
      <c r="O296" s="779">
        <f t="shared" si="40"/>
        <v>996680.49594655994</v>
      </c>
      <c r="P296" s="848">
        <f>O296*'A. Dades de partida'!$D$10</f>
        <v>14950207.439198399</v>
      </c>
      <c r="Q296">
        <f t="shared" si="41"/>
        <v>15.299999999999999</v>
      </c>
      <c r="R296">
        <f t="shared" si="42"/>
        <v>18.75</v>
      </c>
      <c r="S296">
        <f>I296+(I296*'1. Cops de calor'!$C$40)</f>
        <v>35.263446131812664</v>
      </c>
      <c r="T296">
        <f>J296*'1. Cops de calor'!$C$41+J296</f>
        <v>109.48677856107297</v>
      </c>
      <c r="U296">
        <f>'1. Cops de calor'!$C$42*K296+K296</f>
        <v>2.8340000000000001</v>
      </c>
      <c r="V296">
        <f>S296*'1. Cops de calor'!$C$32/30</f>
        <v>505.44272788931482</v>
      </c>
      <c r="W296">
        <f>T296*'1. Cops de calor'!$C$33/30</f>
        <v>547.43389280536474</v>
      </c>
      <c r="X296">
        <f>K296*'1. Cops de calor'!$C$34/30</f>
        <v>171674.99999999997</v>
      </c>
      <c r="Y296">
        <f t="shared" si="43"/>
        <v>172727.87662069465</v>
      </c>
      <c r="Z296" s="849">
        <f>Y296*(Q296+R296)*'A. Dades de partida'!$D$10</f>
        <v>88220762.984019786</v>
      </c>
      <c r="AA296" s="850">
        <f t="shared" si="44"/>
        <v>73270555.544821382</v>
      </c>
      <c r="AB296" t="str">
        <f>VLOOKUP(B296,'BD ASVICC'!$A$6:$BG$316,59,FALSE)</f>
        <v>LITORAL</v>
      </c>
      <c r="AC296">
        <f t="shared" si="36"/>
        <v>0.5</v>
      </c>
      <c r="AD296">
        <f t="shared" si="37"/>
        <v>0.5</v>
      </c>
    </row>
    <row r="297" spans="1:30">
      <c r="A297">
        <v>8296</v>
      </c>
      <c r="B297" t="s">
        <v>1700</v>
      </c>
      <c r="C297" t="s">
        <v>24</v>
      </c>
      <c r="D297">
        <f>VLOOKUP(A297,'temperatures màximes'!$A$4:$U$314,'temperatures màximes'!U$1,FALSE)</f>
        <v>39</v>
      </c>
      <c r="E297">
        <f>VLOOKUP(A297,'nits tropicals'!$A$4:$U$314,'nits tropicals'!U$1,FALSE)</f>
        <v>2</v>
      </c>
      <c r="F297">
        <f t="shared" si="38"/>
        <v>3.9</v>
      </c>
      <c r="G297">
        <f t="shared" si="39"/>
        <v>0.2</v>
      </c>
      <c r="H297" s="840">
        <f>VLOOKUP(B297,'BD ASVICC'!$A$6:$X$316,24,FALSE)/VLOOKUP(C297,'BD Comarcal'!$A$6:$Z$17,26,FALSE)</f>
        <v>6.2914550827482072E-3</v>
      </c>
      <c r="I297" s="839">
        <f>(VLOOKUP(C297,'BD Altres'!$D$74:$H$84,5,FALSE) * 1000 / 12) * H297*0.035</f>
        <v>44.523569227005154</v>
      </c>
      <c r="J297" s="839">
        <f>(VLOOKUP(C297,'BD Altres'!$D$74:$H$84,3,FALSE) / 12) * H297*0.25</f>
        <v>10.00979871133222</v>
      </c>
      <c r="K297">
        <f>(VLOOKUP(B297,'BD ASVICC'!$A$6:$GR$316,199,FALSE) / 12)*0.3</f>
        <v>0.27499999999999997</v>
      </c>
      <c r="L297" s="846">
        <f>I297*'1. Cops de calor'!$C$32/30</f>
        <v>638.17115892040727</v>
      </c>
      <c r="M297" s="846">
        <f>J297*'1. Cops de calor'!$C$33/30</f>
        <v>50.048993556661102</v>
      </c>
      <c r="N297" s="846">
        <f>K297*'1. Cops de calor'!$C$34*0.25/30</f>
        <v>4331.2499999999991</v>
      </c>
      <c r="O297" s="779">
        <f t="shared" si="40"/>
        <v>20579.827625155973</v>
      </c>
      <c r="P297" s="848">
        <f>O297*'A. Dades de partida'!$D$10</f>
        <v>308697.41437733959</v>
      </c>
      <c r="Q297">
        <f t="shared" si="41"/>
        <v>5.85</v>
      </c>
      <c r="R297">
        <f t="shared" si="42"/>
        <v>0.30000000000000004</v>
      </c>
      <c r="S297">
        <f>I297+(I297*'1. Cops de calor'!$C$40)</f>
        <v>47.016889103717446</v>
      </c>
      <c r="T297">
        <f>J297*'1. Cops de calor'!$C$41+J297</f>
        <v>10.760533614682137</v>
      </c>
      <c r="U297">
        <f>'1. Cops de calor'!$C$42*K297+K297</f>
        <v>0.28599999999999998</v>
      </c>
      <c r="V297">
        <f>S297*'1. Cops de calor'!$C$32/30</f>
        <v>673.90874381995002</v>
      </c>
      <c r="W297">
        <f>T297*'1. Cops de calor'!$C$33/30</f>
        <v>53.802668073410686</v>
      </c>
      <c r="X297">
        <f>K297*'1. Cops de calor'!$C$34/30</f>
        <v>17324.999999999996</v>
      </c>
      <c r="Y297">
        <f t="shared" si="43"/>
        <v>18052.711411893357</v>
      </c>
      <c r="Z297" s="849">
        <f>Y297*(Q297+R297)*'A. Dades de partida'!$D$10</f>
        <v>1665362.627747162</v>
      </c>
      <c r="AA297" s="850">
        <f t="shared" si="44"/>
        <v>1356665.2133698224</v>
      </c>
      <c r="AB297" t="str">
        <f>VLOOKUP(B297,'BD ASVICC'!$A$6:$BG$316,59,FALSE)</f>
        <v>LITORAL</v>
      </c>
      <c r="AC297">
        <f t="shared" si="36"/>
        <v>0.5</v>
      </c>
      <c r="AD297">
        <f t="shared" si="37"/>
        <v>0.5</v>
      </c>
    </row>
    <row r="298" spans="1:30">
      <c r="A298">
        <v>8297</v>
      </c>
      <c r="B298" t="s">
        <v>1702</v>
      </c>
      <c r="C298" t="s">
        <v>81</v>
      </c>
      <c r="D298">
        <f>VLOOKUP(A298,'temperatures màximes'!$A$4:$U$314,'temperatures màximes'!U$1,FALSE)</f>
        <v>77</v>
      </c>
      <c r="E298">
        <f>VLOOKUP(A298,'nits tropicals'!$A$4:$U$314,'nits tropicals'!U$1,FALSE)</f>
        <v>2</v>
      </c>
      <c r="F298">
        <f t="shared" si="38"/>
        <v>7.7</v>
      </c>
      <c r="G298">
        <f t="shared" si="39"/>
        <v>0.2</v>
      </c>
      <c r="H298" s="840">
        <f>VLOOKUP(B298,'BD ASVICC'!$A$6:$X$316,24,FALSE)/VLOOKUP(C298,'BD Comarcal'!$A$6:$Z$17,26,FALSE)</f>
        <v>1.4722903050108933E-3</v>
      </c>
      <c r="I298" s="839">
        <f>(VLOOKUP(C298,'BD Altres'!$D$74:$H$84,5,FALSE) * 1000 / 12) * H298*0.035</f>
        <v>1.2281627290726933</v>
      </c>
      <c r="J298" s="839">
        <f>(VLOOKUP(C298,'BD Altres'!$D$74:$H$84,3,FALSE) / 12) * H298*0.25</f>
        <v>0.59312910449319856</v>
      </c>
      <c r="K298">
        <f>(VLOOKUP(B298,'BD ASVICC'!$A$6:$GR$316,199,FALSE) / 12)*0.3</f>
        <v>9.9999999999999992E-2</v>
      </c>
      <c r="L298" s="846">
        <f>I298*'1. Cops de calor'!$C$32/30</f>
        <v>17.60366578337527</v>
      </c>
      <c r="M298" s="846">
        <f>J298*'1. Cops de calor'!$C$33/30</f>
        <v>2.9656455224659926</v>
      </c>
      <c r="N298" s="846">
        <f>K298*'1. Cops de calor'!$C$34*0.25/30</f>
        <v>1574.9999999999998</v>
      </c>
      <c r="O298" s="779">
        <f t="shared" si="40"/>
        <v>12604.997559316143</v>
      </c>
      <c r="P298" s="848">
        <f>O298*'A. Dades de partida'!$D$10</f>
        <v>189074.96338974216</v>
      </c>
      <c r="Q298">
        <f t="shared" si="41"/>
        <v>11.55</v>
      </c>
      <c r="R298">
        <f t="shared" si="42"/>
        <v>0.30000000000000004</v>
      </c>
      <c r="S298">
        <f>I298+(I298*'1. Cops de calor'!$C$40)</f>
        <v>1.2969398419007641</v>
      </c>
      <c r="T298">
        <f>J298*'1. Cops de calor'!$C$41+J298</f>
        <v>0.63761378733018848</v>
      </c>
      <c r="U298">
        <f>'1. Cops de calor'!$C$42*K298+K298</f>
        <v>0.104</v>
      </c>
      <c r="V298">
        <f>S298*'1. Cops de calor'!$C$32/30</f>
        <v>18.589471067244286</v>
      </c>
      <c r="W298">
        <f>T298*'1. Cops de calor'!$C$33/30</f>
        <v>3.1880689366509425</v>
      </c>
      <c r="X298">
        <f>K298*'1. Cops de calor'!$C$34/30</f>
        <v>6299.9999999999991</v>
      </c>
      <c r="Y298">
        <f t="shared" si="43"/>
        <v>6321.7775400038945</v>
      </c>
      <c r="Z298" s="849">
        <f>Y298*(Q298+R298)*'A. Dades de partida'!$D$10</f>
        <v>1123695.9577356924</v>
      </c>
      <c r="AA298" s="850">
        <f t="shared" si="44"/>
        <v>934620.9943459502</v>
      </c>
      <c r="AB298" t="str">
        <f>VLOOKUP(B298,'BD ASVICC'!$A$6:$BG$316,59,FALSE)</f>
        <v>CENTRAL</v>
      </c>
      <c r="AC298">
        <f t="shared" si="36"/>
        <v>0.5</v>
      </c>
      <c r="AD298">
        <f t="shared" si="37"/>
        <v>0.5</v>
      </c>
    </row>
    <row r="299" spans="1:30">
      <c r="A299">
        <v>8298</v>
      </c>
      <c r="B299" t="s">
        <v>815</v>
      </c>
      <c r="C299" t="s">
        <v>88</v>
      </c>
      <c r="D299">
        <f>VLOOKUP(A299,'temperatures màximes'!$A$4:$U$314,'temperatures màximes'!U$1,FALSE)</f>
        <v>83</v>
      </c>
      <c r="E299">
        <f>VLOOKUP(A299,'nits tropicals'!$A$4:$U$314,'nits tropicals'!U$1,FALSE)</f>
        <v>0</v>
      </c>
      <c r="F299">
        <f t="shared" si="38"/>
        <v>8.3000000000000007</v>
      </c>
      <c r="G299">
        <f t="shared" si="39"/>
        <v>0</v>
      </c>
      <c r="H299" s="840">
        <f>VLOOKUP(B299,'BD ASVICC'!$A$6:$X$316,24,FALSE)/VLOOKUP(C299,'BD Comarcal'!$A$6:$Z$17,26,FALSE)</f>
        <v>0.27812080364428399</v>
      </c>
      <c r="I299" s="839">
        <f>(VLOOKUP(C299,'BD Altres'!$D$74:$H$84,5,FALSE) * 1000 / 12) * H299*0.035</f>
        <v>309.46733588835855</v>
      </c>
      <c r="J299" s="839">
        <f>(VLOOKUP(C299,'BD Altres'!$D$74:$H$84,3,FALSE) / 12) * H299*0.25</f>
        <v>197.98145291086539</v>
      </c>
      <c r="K299">
        <f>(VLOOKUP(B299,'BD ASVICC'!$A$6:$GR$316,199,FALSE) / 12)*0.3</f>
        <v>7.85</v>
      </c>
      <c r="L299" s="846">
        <f>I299*'1. Cops de calor'!$C$32/30</f>
        <v>4435.6984810664726</v>
      </c>
      <c r="M299" s="846">
        <f>J299*'1. Cops de calor'!$C$33/30</f>
        <v>989.90726455432696</v>
      </c>
      <c r="N299" s="846">
        <f>K299*'1. Cops de calor'!$C$34*0.25/30</f>
        <v>123637.49999999999</v>
      </c>
      <c r="O299" s="779">
        <f t="shared" si="40"/>
        <v>1071223.7776886527</v>
      </c>
      <c r="P299" s="848">
        <f>O299*'A. Dades de partida'!$D$10</f>
        <v>16068356.665329792</v>
      </c>
      <c r="Q299">
        <f t="shared" si="41"/>
        <v>12.450000000000001</v>
      </c>
      <c r="R299">
        <f t="shared" si="42"/>
        <v>0</v>
      </c>
      <c r="S299">
        <f>I299+(I299*'1. Cops de calor'!$C$40)</f>
        <v>326.79750669810664</v>
      </c>
      <c r="T299">
        <f>J299*'1. Cops de calor'!$C$41+J299</f>
        <v>212.83006187918028</v>
      </c>
      <c r="U299">
        <f>'1. Cops de calor'!$C$42*K299+K299</f>
        <v>8.1639999999999997</v>
      </c>
      <c r="V299">
        <f>S299*'1. Cops de calor'!$C$32/30</f>
        <v>4684.0975960061951</v>
      </c>
      <c r="W299">
        <f>T299*'1. Cops de calor'!$C$33/30</f>
        <v>1064.1503093959013</v>
      </c>
      <c r="X299">
        <f>K299*'1. Cops de calor'!$C$34/30</f>
        <v>494549.99999999994</v>
      </c>
      <c r="Y299">
        <f t="shared" si="43"/>
        <v>500298.24790540204</v>
      </c>
      <c r="Z299" s="849">
        <f>Y299*(Q299+R299)*'A. Dades de partida'!$D$10</f>
        <v>93430697.796333835</v>
      </c>
      <c r="AA299" s="850">
        <f t="shared" si="44"/>
        <v>77362341.131004035</v>
      </c>
      <c r="AB299" t="str">
        <f>VLOOKUP(B299,'BD ASVICC'!$A$6:$BG$316,59,FALSE)</f>
        <v>CENTRAL</v>
      </c>
      <c r="AC299">
        <f t="shared" si="36"/>
        <v>0.5</v>
      </c>
      <c r="AD299">
        <f t="shared" si="37"/>
        <v>0.5</v>
      </c>
    </row>
    <row r="300" spans="1:30">
      <c r="A300">
        <v>8299</v>
      </c>
      <c r="B300" t="s">
        <v>1708</v>
      </c>
      <c r="C300" t="s">
        <v>84</v>
      </c>
      <c r="D300">
        <f>VLOOKUP(A300,'temperatures màximes'!$A$4:$U$314,'temperatures màximes'!U$1,FALSE)</f>
        <v>11</v>
      </c>
      <c r="E300">
        <f>VLOOKUP(A300,'nits tropicals'!$A$4:$U$314,'nits tropicals'!U$1,FALSE)</f>
        <v>0</v>
      </c>
      <c r="F300">
        <f t="shared" si="38"/>
        <v>1.1000000000000001</v>
      </c>
      <c r="G300">
        <f t="shared" si="39"/>
        <v>0</v>
      </c>
      <c r="H300" s="840">
        <f>VLOOKUP(B300,'BD ASVICC'!$A$6:$X$316,24,FALSE)/VLOOKUP(C300,'BD Comarcal'!$A$6:$Z$17,26,FALSE)</f>
        <v>1.0975547501148604E-2</v>
      </c>
      <c r="I300" s="839">
        <f>(VLOOKUP(C300,'BD Altres'!$D$74:$H$84,5,FALSE) * 1000 / 12) * H300*0.035</f>
        <v>7.054589025459391</v>
      </c>
      <c r="J300" s="839">
        <f>(VLOOKUP(C300,'BD Altres'!$D$74:$H$84,3,FALSE) / 12) * H300*0.25</f>
        <v>61.673742565283</v>
      </c>
      <c r="K300">
        <f>(VLOOKUP(B300,'BD ASVICC'!$A$6:$GR$316,199,FALSE) / 12)*0.3</f>
        <v>0.17500000000000002</v>
      </c>
      <c r="L300" s="846">
        <f>I300*'1. Cops de calor'!$C$32/30</f>
        <v>101.1157760315846</v>
      </c>
      <c r="M300" s="846">
        <f>J300*'1. Cops de calor'!$C$33/30</f>
        <v>308.36871282641499</v>
      </c>
      <c r="N300" s="846">
        <f>K300*'1. Cops de calor'!$C$34*0.25/30</f>
        <v>2756.25</v>
      </c>
      <c r="O300" s="779">
        <f t="shared" si="40"/>
        <v>3482.3079377437998</v>
      </c>
      <c r="P300" s="848">
        <f>O300*'A. Dades de partida'!$D$10</f>
        <v>52234.619066157</v>
      </c>
      <c r="Q300">
        <f t="shared" si="41"/>
        <v>1.6500000000000001</v>
      </c>
      <c r="R300">
        <f t="shared" si="42"/>
        <v>0</v>
      </c>
      <c r="S300">
        <f>I300+(I300*'1. Cops de calor'!$C$40)</f>
        <v>7.4496460108851172</v>
      </c>
      <c r="T300">
        <f>J300*'1. Cops de calor'!$C$41+J300</f>
        <v>66.299273257679232</v>
      </c>
      <c r="U300">
        <f>'1. Cops de calor'!$C$42*K300+K300</f>
        <v>0.18200000000000002</v>
      </c>
      <c r="V300">
        <f>S300*'1. Cops de calor'!$C$32/30</f>
        <v>106.77825948935335</v>
      </c>
      <c r="W300">
        <f>T300*'1. Cops de calor'!$C$33/30</f>
        <v>331.49636628839619</v>
      </c>
      <c r="X300">
        <f>K300*'1. Cops de calor'!$C$34/30</f>
        <v>11025</v>
      </c>
      <c r="Y300">
        <f t="shared" si="43"/>
        <v>11463.274625777749</v>
      </c>
      <c r="Z300" s="849">
        <f>Y300*(Q300+R300)*'A. Dades de partida'!$D$10</f>
        <v>283716.04698799929</v>
      </c>
      <c r="AA300" s="850">
        <f t="shared" si="44"/>
        <v>231481.42792184229</v>
      </c>
      <c r="AB300" t="str">
        <f>VLOOKUP(B300,'BD ASVICC'!$A$6:$BG$316,59,FALSE)</f>
        <v>PREPIRINEU-PIRINEU</v>
      </c>
      <c r="AC300">
        <f t="shared" si="36"/>
        <v>0.5</v>
      </c>
      <c r="AD300">
        <f t="shared" si="37"/>
        <v>0.5</v>
      </c>
    </row>
    <row r="301" spans="1:30">
      <c r="A301">
        <v>8300</v>
      </c>
      <c r="B301" t="s">
        <v>1710</v>
      </c>
      <c r="C301" t="s">
        <v>89</v>
      </c>
      <c r="D301">
        <f>VLOOKUP(A301,'temperatures màximes'!$A$4:$U$314,'temperatures màximes'!U$1,FALSE)</f>
        <v>39</v>
      </c>
      <c r="E301">
        <f>VLOOKUP(A301,'nits tropicals'!$A$4:$U$314,'nits tropicals'!U$1,FALSE)</f>
        <v>3</v>
      </c>
      <c r="F301">
        <f t="shared" si="38"/>
        <v>3.9</v>
      </c>
      <c r="G301">
        <f t="shared" si="39"/>
        <v>0.3</v>
      </c>
      <c r="H301" s="840">
        <f>VLOOKUP(B301,'BD ASVICC'!$A$6:$X$316,24,FALSE)/VLOOKUP(C301,'BD Comarcal'!$A$6:$Z$17,26,FALSE)</f>
        <v>8.1327966026718563E-3</v>
      </c>
      <c r="I301" s="839">
        <f>(VLOOKUP(C301,'BD Altres'!$D$74:$H$84,5,FALSE) * 1000 / 12) * H301*0.035</f>
        <v>32.924291326063035</v>
      </c>
      <c r="J301" s="839">
        <f>(VLOOKUP(C301,'BD Altres'!$D$74:$H$84,3,FALSE) / 12) * H301*0.25</f>
        <v>14.45198667752067</v>
      </c>
      <c r="K301">
        <f>(VLOOKUP(B301,'BD ASVICC'!$A$6:$GR$316,199,FALSE) / 12)*0.3</f>
        <v>0.70000000000000007</v>
      </c>
      <c r="L301" s="846">
        <f>I301*'1. Cops de calor'!$C$32/30</f>
        <v>471.91484234023682</v>
      </c>
      <c r="M301" s="846">
        <f>J301*'1. Cops de calor'!$C$33/30</f>
        <v>72.259933387603354</v>
      </c>
      <c r="N301" s="846">
        <f>K301*'1. Cops de calor'!$C$34*0.25/30</f>
        <v>11025</v>
      </c>
      <c r="O301" s="779">
        <f t="shared" si="40"/>
        <v>48590.534058056932</v>
      </c>
      <c r="P301" s="848">
        <f>O301*'A. Dades de partida'!$D$10</f>
        <v>728858.01087085402</v>
      </c>
      <c r="Q301">
        <f t="shared" si="41"/>
        <v>5.85</v>
      </c>
      <c r="R301">
        <f t="shared" si="42"/>
        <v>0.44999999999999996</v>
      </c>
      <c r="S301">
        <f>I301+(I301*'1. Cops de calor'!$C$40)</f>
        <v>34.768051640322561</v>
      </c>
      <c r="T301">
        <f>J301*'1. Cops de calor'!$C$41+J301</f>
        <v>15.53588567833472</v>
      </c>
      <c r="U301">
        <f>'1. Cops de calor'!$C$42*K301+K301</f>
        <v>0.72800000000000009</v>
      </c>
      <c r="V301">
        <f>S301*'1. Cops de calor'!$C$32/30</f>
        <v>498.34207351129004</v>
      </c>
      <c r="W301">
        <f>T301*'1. Cops de calor'!$C$33/30</f>
        <v>77.679428391673596</v>
      </c>
      <c r="X301">
        <f>K301*'1. Cops de calor'!$C$34/30</f>
        <v>44100</v>
      </c>
      <c r="Y301">
        <f t="shared" si="43"/>
        <v>44676.021501902964</v>
      </c>
      <c r="Z301" s="849">
        <f>Y301*(Q301+R301)*'A. Dades de partida'!$D$10</f>
        <v>4221884.0319298301</v>
      </c>
      <c r="AA301" s="850">
        <f t="shared" si="44"/>
        <v>3493026.0210589762</v>
      </c>
      <c r="AB301" t="str">
        <f>VLOOKUP(B301,'BD ASVICC'!$A$6:$BG$316,59,FALSE)</f>
        <v>LITORAL</v>
      </c>
      <c r="AC301">
        <f t="shared" si="36"/>
        <v>0.5</v>
      </c>
      <c r="AD301">
        <f t="shared" si="37"/>
        <v>0.5</v>
      </c>
    </row>
    <row r="302" spans="1:30">
      <c r="A302">
        <v>8301</v>
      </c>
      <c r="B302" t="s">
        <v>357</v>
      </c>
      <c r="C302" t="s">
        <v>90</v>
      </c>
      <c r="D302">
        <f>VLOOKUP(A302,'temperatures màximes'!$A$4:$U$314,'temperatures màximes'!U$1,FALSE)</f>
        <v>2</v>
      </c>
      <c r="E302">
        <f>VLOOKUP(A302,'nits tropicals'!$A$4:$U$314,'nits tropicals'!U$1,FALSE)</f>
        <v>246</v>
      </c>
      <c r="F302">
        <f t="shared" si="38"/>
        <v>0.2</v>
      </c>
      <c r="G302">
        <f t="shared" si="39"/>
        <v>24.6</v>
      </c>
      <c r="H302" s="840">
        <f>VLOOKUP(B302,'BD ASVICC'!$A$6:$X$316,24,FALSE)/VLOOKUP(C302,'BD Comarcal'!$A$6:$Z$17,26,FALSE)</f>
        <v>8.1220373807080776E-2</v>
      </c>
      <c r="I302" s="839">
        <f>(VLOOKUP(C302,'BD Altres'!$D$74:$H$84,5,FALSE) * 1000 / 12) * H302*0.035</f>
        <v>149.67194320972561</v>
      </c>
      <c r="J302" s="839">
        <f>(VLOOKUP(C302,'BD Altres'!$D$74:$H$84,3,FALSE) / 12) * H302*0.25</f>
        <v>456.49158613454131</v>
      </c>
      <c r="K302">
        <f>(VLOOKUP(B302,'BD ASVICC'!$A$6:$GR$316,199,FALSE) / 12)*0.3</f>
        <v>10.1</v>
      </c>
      <c r="L302" s="846">
        <f>I302*'1. Cops de calor'!$C$32/30</f>
        <v>2145.2978526727338</v>
      </c>
      <c r="M302" s="846">
        <f>J302*'1. Cops de calor'!$C$33/30</f>
        <v>2282.4579306727069</v>
      </c>
      <c r="N302" s="846">
        <f>K302*'1. Cops de calor'!$C$34*0.25/30</f>
        <v>159074.99999999997</v>
      </c>
      <c r="O302" s="779">
        <f t="shared" si="40"/>
        <v>4054868.3434269661</v>
      </c>
      <c r="P302" s="848">
        <f>O302*'A. Dades de partida'!$D$10</f>
        <v>60823025.151404493</v>
      </c>
      <c r="Q302">
        <f t="shared" si="41"/>
        <v>0.30000000000000004</v>
      </c>
      <c r="R302">
        <f t="shared" si="42"/>
        <v>36.900000000000006</v>
      </c>
      <c r="S302">
        <f>I302+(I302*'1. Cops de calor'!$C$40)</f>
        <v>158.05357202947025</v>
      </c>
      <c r="T302">
        <f>J302*'1. Cops de calor'!$C$41+J302</f>
        <v>490.7284550946319</v>
      </c>
      <c r="U302">
        <f>'1. Cops de calor'!$C$42*K302+K302</f>
        <v>10.504</v>
      </c>
      <c r="V302">
        <f>S302*'1. Cops de calor'!$C$32/30</f>
        <v>2265.4345324224068</v>
      </c>
      <c r="W302">
        <f>T302*'1. Cops de calor'!$C$33/30</f>
        <v>2453.6422754731598</v>
      </c>
      <c r="X302">
        <f>K302*'1. Cops de calor'!$C$34/30</f>
        <v>636299.99999999988</v>
      </c>
      <c r="Y302">
        <f t="shared" si="43"/>
        <v>641019.07680789544</v>
      </c>
      <c r="Z302" s="849">
        <f>Y302*(Q302+R302)*'A. Dades de partida'!$D$10</f>
        <v>357688644.85880566</v>
      </c>
      <c r="AA302" s="850">
        <f t="shared" si="44"/>
        <v>296865619.70740116</v>
      </c>
      <c r="AB302" t="str">
        <f>VLOOKUP(B302,'BD ASVICC'!$A$6:$BG$316,59,FALSE)</f>
        <v>LITORAL</v>
      </c>
      <c r="AC302">
        <f t="shared" si="36"/>
        <v>0.5</v>
      </c>
      <c r="AD302">
        <f t="shared" si="37"/>
        <v>0.5</v>
      </c>
    </row>
    <row r="303" spans="1:30">
      <c r="A303">
        <v>8302</v>
      </c>
      <c r="B303" t="s">
        <v>1718</v>
      </c>
      <c r="C303" t="s">
        <v>81</v>
      </c>
      <c r="D303">
        <f>VLOOKUP(A303,'temperatures màximes'!$A$4:$U$314,'temperatures màximes'!U$1,FALSE)</f>
        <v>77</v>
      </c>
      <c r="E303">
        <f>VLOOKUP(A303,'nits tropicals'!$A$4:$U$314,'nits tropicals'!U$1,FALSE)</f>
        <v>2</v>
      </c>
      <c r="F303">
        <f t="shared" si="38"/>
        <v>7.7</v>
      </c>
      <c r="G303">
        <f t="shared" si="39"/>
        <v>0.2</v>
      </c>
      <c r="H303" s="840">
        <f>VLOOKUP(B303,'BD ASVICC'!$A$6:$X$316,24,FALSE)/VLOOKUP(C303,'BD Comarcal'!$A$6:$Z$17,26,FALSE)</f>
        <v>0.10560491557734204</v>
      </c>
      <c r="I303" s="839">
        <f>(VLOOKUP(C303,'BD Altres'!$D$74:$H$84,5,FALSE) * 1000 / 12) * H303*0.035</f>
        <v>88.094053786491614</v>
      </c>
      <c r="J303" s="839">
        <f>(VLOOKUP(C303,'BD Altres'!$D$74:$H$84,3,FALSE) / 12) * H303*0.25</f>
        <v>42.544156402636425</v>
      </c>
      <c r="K303">
        <f>(VLOOKUP(B303,'BD ASVICC'!$A$6:$GR$316,199,FALSE) / 12)*0.3</f>
        <v>2.2250000000000001</v>
      </c>
      <c r="L303" s="846">
        <f>I303*'1. Cops de calor'!$C$32/30</f>
        <v>1262.6814376063799</v>
      </c>
      <c r="M303" s="846">
        <f>J303*'1. Cops de calor'!$C$33/30</f>
        <v>212.72078201318212</v>
      </c>
      <c r="N303" s="846">
        <f>K303*'1. Cops de calor'!$C$34*0.25/30</f>
        <v>35043.75</v>
      </c>
      <c r="O303" s="779">
        <f t="shared" si="40"/>
        <v>288501.30253499449</v>
      </c>
      <c r="P303" s="848">
        <f>O303*'A. Dades de partida'!$D$10</f>
        <v>4327519.5380249172</v>
      </c>
      <c r="Q303">
        <f t="shared" si="41"/>
        <v>11.55</v>
      </c>
      <c r="R303">
        <f t="shared" si="42"/>
        <v>0.30000000000000004</v>
      </c>
      <c r="S303">
        <f>I303+(I303*'1. Cops de calor'!$C$40)</f>
        <v>93.027320798535143</v>
      </c>
      <c r="T303">
        <f>J303*'1. Cops de calor'!$C$41+J303</f>
        <v>45.734968132834155</v>
      </c>
      <c r="U303">
        <f>'1. Cops de calor'!$C$42*K303+K303</f>
        <v>2.3140000000000001</v>
      </c>
      <c r="V303">
        <f>S303*'1. Cops de calor'!$C$32/30</f>
        <v>1333.3915981123369</v>
      </c>
      <c r="W303">
        <f>T303*'1. Cops de calor'!$C$33/30</f>
        <v>228.67484066417077</v>
      </c>
      <c r="X303">
        <f>K303*'1. Cops de calor'!$C$34/30</f>
        <v>140175</v>
      </c>
      <c r="Y303">
        <f t="shared" si="43"/>
        <v>141737.0664387765</v>
      </c>
      <c r="Z303" s="849">
        <f>Y303*(Q303+R303)*'A. Dades de partida'!$D$10</f>
        <v>25193763.559492525</v>
      </c>
      <c r="AA303" s="850">
        <f t="shared" si="44"/>
        <v>20866244.021467607</v>
      </c>
      <c r="AB303" t="str">
        <f>VLOOKUP(B303,'BD ASVICC'!$A$6:$BG$316,59,FALSE)</f>
        <v>CENTRAL</v>
      </c>
      <c r="AC303">
        <f t="shared" si="36"/>
        <v>0.5</v>
      </c>
      <c r="AD303">
        <f t="shared" si="37"/>
        <v>0.5</v>
      </c>
    </row>
    <row r="304" spans="1:30">
      <c r="A304">
        <v>8303</v>
      </c>
      <c r="B304" t="s">
        <v>1722</v>
      </c>
      <c r="C304" t="s">
        <v>88</v>
      </c>
      <c r="D304">
        <f>VLOOKUP(A304,'temperatures màximes'!$A$4:$U$314,'temperatures màximes'!U$1,FALSE)</f>
        <v>83</v>
      </c>
      <c r="E304">
        <f>VLOOKUP(A304,'nits tropicals'!$A$4:$U$314,'nits tropicals'!U$1,FALSE)</f>
        <v>0</v>
      </c>
      <c r="F304">
        <f t="shared" si="38"/>
        <v>8.3000000000000007</v>
      </c>
      <c r="G304">
        <f t="shared" si="39"/>
        <v>0</v>
      </c>
      <c r="H304" s="840">
        <f>VLOOKUP(B304,'BD ASVICC'!$A$6:$X$316,24,FALSE)/VLOOKUP(C304,'BD Comarcal'!$A$6:$Z$17,26,FALSE)</f>
        <v>1.9853380535977024E-3</v>
      </c>
      <c r="I304" s="839">
        <f>(VLOOKUP(C304,'BD Altres'!$D$74:$H$84,5,FALSE) * 1000 / 12) * H304*0.035</f>
        <v>2.2091021967219437</v>
      </c>
      <c r="J304" s="839">
        <f>(VLOOKUP(C304,'BD Altres'!$D$74:$H$84,3,FALSE) / 12) * H304*0.25</f>
        <v>1.4132711656954144</v>
      </c>
      <c r="K304">
        <f>(VLOOKUP(B304,'BD ASVICC'!$A$6:$GR$316,199,FALSE) / 12)*0.3</f>
        <v>2.4999999999999998E-2</v>
      </c>
      <c r="L304" s="846">
        <f>I304*'1. Cops de calor'!$C$32/30</f>
        <v>31.663798153014525</v>
      </c>
      <c r="M304" s="846">
        <f>J304*'1. Cops de calor'!$C$33/30</f>
        <v>7.0663558284770724</v>
      </c>
      <c r="N304" s="846">
        <f>K304*'1. Cops de calor'!$C$34*0.25/30</f>
        <v>393.74999999999994</v>
      </c>
      <c r="O304" s="779">
        <f t="shared" si="40"/>
        <v>3589.5852780463802</v>
      </c>
      <c r="P304" s="848">
        <f>O304*'A. Dades de partida'!$D$10</f>
        <v>53843.7791706957</v>
      </c>
      <c r="Q304">
        <f t="shared" si="41"/>
        <v>12.450000000000001</v>
      </c>
      <c r="R304">
        <f t="shared" si="42"/>
        <v>0</v>
      </c>
      <c r="S304">
        <f>I304+(I304*'1. Cops de calor'!$C$40)</f>
        <v>2.3328119197383725</v>
      </c>
      <c r="T304">
        <f>J304*'1. Cops de calor'!$C$41+J304</f>
        <v>1.5192665031225705</v>
      </c>
      <c r="U304">
        <f>'1. Cops de calor'!$C$42*K304+K304</f>
        <v>2.5999999999999999E-2</v>
      </c>
      <c r="V304">
        <f>S304*'1. Cops de calor'!$C$32/30</f>
        <v>33.436970849583339</v>
      </c>
      <c r="W304">
        <f>T304*'1. Cops de calor'!$C$33/30</f>
        <v>7.5963325156128532</v>
      </c>
      <c r="X304">
        <f>K304*'1. Cops de calor'!$C$34/30</f>
        <v>1574.9999999999998</v>
      </c>
      <c r="Y304">
        <f t="shared" si="43"/>
        <v>1616.0333033651959</v>
      </c>
      <c r="Z304" s="849">
        <f>Y304*(Q304+R304)*'A. Dades de partida'!$D$10</f>
        <v>301794.21940345038</v>
      </c>
      <c r="AA304" s="850">
        <f t="shared" si="44"/>
        <v>247950.44023275468</v>
      </c>
      <c r="AB304" t="str">
        <f>VLOOKUP(B304,'BD ASVICC'!$A$6:$BG$316,59,FALSE)</f>
        <v>CENTRAL</v>
      </c>
      <c r="AC304">
        <f t="shared" si="36"/>
        <v>0.5</v>
      </c>
      <c r="AD304">
        <f t="shared" si="37"/>
        <v>0.5</v>
      </c>
    </row>
    <row r="305" spans="1:30">
      <c r="A305">
        <v>8304</v>
      </c>
      <c r="B305" t="s">
        <v>1728</v>
      </c>
      <c r="C305" t="s">
        <v>791</v>
      </c>
      <c r="D305">
        <f>VLOOKUP(A305,'temperatures màximes'!$A$4:$U$314,'temperatures màximes'!U$1,FALSE)</f>
        <v>25</v>
      </c>
      <c r="E305">
        <f>VLOOKUP(A305,'nits tropicals'!$A$4:$U$314,'nits tropicals'!U$1,FALSE)</f>
        <v>10</v>
      </c>
      <c r="F305">
        <f t="shared" si="38"/>
        <v>2.5</v>
      </c>
      <c r="G305">
        <f t="shared" si="39"/>
        <v>1</v>
      </c>
      <c r="H305" s="840">
        <f>VLOOKUP(B305,'BD ASVICC'!$A$6:$X$316,24,FALSE)/VLOOKUP(C305,'BD Comarcal'!$A$6:$Z$17,26,FALSE)</f>
        <v>1.0378734415431664E-2</v>
      </c>
      <c r="I305" s="839">
        <f>(VLOOKUP(C305,'BD Altres'!$D$74:$H$84,5,FALSE) * 1000 / 12) * H305*0.035</f>
        <v>20.535403702252928</v>
      </c>
      <c r="J305" s="839">
        <f>(VLOOKUP(C305,'BD Altres'!$D$74:$H$84,3,FALSE) / 12) * H305*0.25</f>
        <v>2.6601614923428354</v>
      </c>
      <c r="K305">
        <f>(VLOOKUP(B305,'BD ASVICC'!$A$6:$GR$316,199,FALSE) / 12)*0.3</f>
        <v>0.3</v>
      </c>
      <c r="L305" s="846">
        <f>I305*'1. Cops de calor'!$C$32/30</f>
        <v>294.34078639895864</v>
      </c>
      <c r="M305" s="846">
        <f>J305*'1. Cops de calor'!$C$33/30</f>
        <v>13.300807461714177</v>
      </c>
      <c r="N305" s="846">
        <f>K305*'1. Cops de calor'!$C$34*0.25/30</f>
        <v>4724.9999999999991</v>
      </c>
      <c r="O305" s="779">
        <f t="shared" si="40"/>
        <v>17614.245578512349</v>
      </c>
      <c r="P305" s="848">
        <f>O305*'A. Dades de partida'!$D$10</f>
        <v>264213.68367768521</v>
      </c>
      <c r="Q305">
        <f t="shared" si="41"/>
        <v>3.75</v>
      </c>
      <c r="R305">
        <f t="shared" si="42"/>
        <v>1.5</v>
      </c>
      <c r="S305">
        <f>I305+(I305*'1. Cops de calor'!$C$40)</f>
        <v>21.685386309579091</v>
      </c>
      <c r="T305">
        <f>J305*'1. Cops de calor'!$C$41+J305</f>
        <v>2.859673604268548</v>
      </c>
      <c r="U305">
        <f>'1. Cops de calor'!$C$42*K305+K305</f>
        <v>0.312</v>
      </c>
      <c r="V305">
        <f>S305*'1. Cops de calor'!$C$32/30</f>
        <v>310.82387043730034</v>
      </c>
      <c r="W305">
        <f>T305*'1. Cops de calor'!$C$33/30</f>
        <v>14.298368021342741</v>
      </c>
      <c r="X305">
        <f>K305*'1. Cops de calor'!$C$34/30</f>
        <v>18899.999999999996</v>
      </c>
      <c r="Y305">
        <f t="shared" si="43"/>
        <v>19225.12223845864</v>
      </c>
      <c r="Z305" s="849">
        <f>Y305*(Q305+R305)*'A. Dades de partida'!$D$10</f>
        <v>1513978.3762786179</v>
      </c>
      <c r="AA305" s="850">
        <f t="shared" si="44"/>
        <v>1249764.6926009327</v>
      </c>
      <c r="AB305" t="str">
        <f>VLOOKUP(B305,'BD ASVICC'!$A$6:$BG$316,59,FALSE)</f>
        <v>LITORAL</v>
      </c>
      <c r="AC305">
        <f t="shared" si="36"/>
        <v>0.5</v>
      </c>
      <c r="AD305">
        <f t="shared" si="37"/>
        <v>0.5</v>
      </c>
    </row>
    <row r="306" spans="1:30">
      <c r="A306">
        <v>8305</v>
      </c>
      <c r="B306" t="s">
        <v>1729</v>
      </c>
      <c r="C306" t="s">
        <v>791</v>
      </c>
      <c r="D306">
        <f>VLOOKUP(A306,'temperatures màximes'!$A$4:$U$314,'temperatures màximes'!U$1,FALSE)</f>
        <v>15</v>
      </c>
      <c r="E306">
        <f>VLOOKUP(A306,'nits tropicals'!$A$4:$U$314,'nits tropicals'!U$1,FALSE)</f>
        <v>10</v>
      </c>
      <c r="F306">
        <f t="shared" si="38"/>
        <v>1.5</v>
      </c>
      <c r="G306">
        <f t="shared" si="39"/>
        <v>1</v>
      </c>
      <c r="H306" s="840">
        <f>VLOOKUP(B306,'BD ASVICC'!$A$6:$X$316,24,FALSE)/VLOOKUP(C306,'BD Comarcal'!$A$6:$Z$17,26,FALSE)</f>
        <v>0.37040696306751353</v>
      </c>
      <c r="I306" s="839">
        <f>(VLOOKUP(C306,'BD Altres'!$D$74:$H$84,5,FALSE) * 1000 / 12) * H306*0.035</f>
        <v>732.88863711621627</v>
      </c>
      <c r="J306" s="839">
        <f>(VLOOKUP(C306,'BD Altres'!$D$74:$H$84,3,FALSE) / 12) * H306*0.25</f>
        <v>94.938583088010617</v>
      </c>
      <c r="K306">
        <f>(VLOOKUP(B306,'BD ASVICC'!$A$6:$GR$316,199,FALSE) / 12)*0.3</f>
        <v>6.75</v>
      </c>
      <c r="L306" s="846">
        <f>I306*'1. Cops de calor'!$C$32/30</f>
        <v>10504.7371319991</v>
      </c>
      <c r="M306" s="846">
        <f>J306*'1. Cops de calor'!$C$33/30</f>
        <v>474.69291544005307</v>
      </c>
      <c r="N306" s="846">
        <f>K306*'1. Cops de calor'!$C$34*0.25/30</f>
        <v>106312.49999999999</v>
      </c>
      <c r="O306" s="779">
        <f t="shared" si="40"/>
        <v>293229.82511859783</v>
      </c>
      <c r="P306" s="848">
        <f>O306*'A. Dades de partida'!$D$10</f>
        <v>4398447.3767789677</v>
      </c>
      <c r="Q306">
        <f t="shared" si="41"/>
        <v>2.25</v>
      </c>
      <c r="R306">
        <f t="shared" si="42"/>
        <v>1.5</v>
      </c>
      <c r="S306">
        <f>I306+(I306*'1. Cops de calor'!$C$40)</f>
        <v>773.93040079472439</v>
      </c>
      <c r="T306">
        <f>J306*'1. Cops de calor'!$C$41+J306</f>
        <v>102.05897681961142</v>
      </c>
      <c r="U306">
        <f>'1. Cops de calor'!$C$42*K306+K306</f>
        <v>7.02</v>
      </c>
      <c r="V306">
        <f>S306*'1. Cops de calor'!$C$32/30</f>
        <v>11093.002411391051</v>
      </c>
      <c r="W306">
        <f>T306*'1. Cops de calor'!$C$33/30</f>
        <v>510.29488409805708</v>
      </c>
      <c r="X306">
        <f>K306*'1. Cops de calor'!$C$34/30</f>
        <v>425249.99999999994</v>
      </c>
      <c r="Y306">
        <f t="shared" si="43"/>
        <v>436853.29729548906</v>
      </c>
      <c r="Z306" s="849">
        <f>Y306*(Q306+R306)*'A. Dades de partida'!$D$10</f>
        <v>24572997.972871259</v>
      </c>
      <c r="AA306" s="850">
        <f t="shared" si="44"/>
        <v>20174550.596092291</v>
      </c>
      <c r="AB306" t="str">
        <f>VLOOKUP(B306,'BD ASVICC'!$A$6:$BG$316,59,FALSE)</f>
        <v>CENTRAL</v>
      </c>
      <c r="AC306">
        <f t="shared" si="36"/>
        <v>0.5</v>
      </c>
      <c r="AD306">
        <f t="shared" si="37"/>
        <v>0.5</v>
      </c>
    </row>
    <row r="307" spans="1:30">
      <c r="A307">
        <v>8306</v>
      </c>
      <c r="B307" t="s">
        <v>1730</v>
      </c>
      <c r="C307" t="s">
        <v>24</v>
      </c>
      <c r="D307">
        <f>VLOOKUP(A307,'temperatures màximes'!$A$4:$U$314,'temperatures màximes'!U$1,FALSE)</f>
        <v>39</v>
      </c>
      <c r="E307">
        <f>VLOOKUP(A307,'nits tropicals'!$A$4:$U$314,'nits tropicals'!U$1,FALSE)</f>
        <v>2</v>
      </c>
      <c r="F307">
        <f t="shared" si="38"/>
        <v>3.9</v>
      </c>
      <c r="G307">
        <f t="shared" si="39"/>
        <v>0.2</v>
      </c>
      <c r="H307" s="840">
        <f>VLOOKUP(B307,'BD ASVICC'!$A$6:$X$316,24,FALSE)/VLOOKUP(C307,'BD Comarcal'!$A$6:$Z$17,26,FALSE)</f>
        <v>1.7042991194454549E-3</v>
      </c>
      <c r="I307" s="839">
        <f>(VLOOKUP(C307,'BD Altres'!$D$74:$H$84,5,FALSE) * 1000 / 12) * H307*0.035</f>
        <v>12.061038158919416</v>
      </c>
      <c r="J307" s="839">
        <f>(VLOOKUP(C307,'BD Altres'!$D$74:$H$84,3,FALSE) / 12) * H307*0.25</f>
        <v>2.7115652746737577</v>
      </c>
      <c r="K307">
        <f>(VLOOKUP(B307,'BD ASVICC'!$A$6:$GR$316,199,FALSE) / 12)*0.3</f>
        <v>0.27499999999999997</v>
      </c>
      <c r="L307" s="846">
        <f>I307*'1. Cops de calor'!$C$32/30</f>
        <v>172.87488027784497</v>
      </c>
      <c r="M307" s="846">
        <f>J307*'1. Cops de calor'!$C$33/30</f>
        <v>13.557826373368789</v>
      </c>
      <c r="N307" s="846">
        <f>K307*'1. Cops de calor'!$C$34*0.25/30</f>
        <v>4331.2499999999991</v>
      </c>
      <c r="O307" s="779">
        <f t="shared" si="40"/>
        <v>18522.499097269974</v>
      </c>
      <c r="P307" s="848">
        <f>O307*'A. Dades de partida'!$D$10</f>
        <v>277837.48645904963</v>
      </c>
      <c r="Q307">
        <f t="shared" si="41"/>
        <v>5.85</v>
      </c>
      <c r="R307">
        <f t="shared" si="42"/>
        <v>0.30000000000000004</v>
      </c>
      <c r="S307">
        <f>I307+(I307*'1. Cops de calor'!$C$40)</f>
        <v>12.736456295818904</v>
      </c>
      <c r="T307">
        <f>J307*'1. Cops de calor'!$C$41+J307</f>
        <v>2.9149326702742897</v>
      </c>
      <c r="U307">
        <f>'1. Cops de calor'!$C$42*K307+K307</f>
        <v>0.28599999999999998</v>
      </c>
      <c r="V307">
        <f>S307*'1. Cops de calor'!$C$32/30</f>
        <v>182.55587357340428</v>
      </c>
      <c r="W307">
        <f>T307*'1. Cops de calor'!$C$33/30</f>
        <v>14.574663351371449</v>
      </c>
      <c r="X307">
        <f>K307*'1. Cops de calor'!$C$34/30</f>
        <v>17324.999999999996</v>
      </c>
      <c r="Y307">
        <f t="shared" si="43"/>
        <v>17522.130536924771</v>
      </c>
      <c r="Z307" s="849">
        <f>Y307*(Q307+R307)*'A. Dades de partida'!$D$10</f>
        <v>1616416.54203131</v>
      </c>
      <c r="AA307" s="850">
        <f t="shared" si="44"/>
        <v>1338579.0555722604</v>
      </c>
      <c r="AB307" t="str">
        <f>VLOOKUP(B307,'BD ASVICC'!$A$6:$BG$316,59,FALSE)</f>
        <v>CENTRAL</v>
      </c>
      <c r="AC307">
        <f t="shared" si="36"/>
        <v>0.5</v>
      </c>
      <c r="AD307">
        <f t="shared" si="37"/>
        <v>0.5</v>
      </c>
    </row>
    <row r="308" spans="1:30">
      <c r="A308">
        <v>8307</v>
      </c>
      <c r="B308" t="s">
        <v>358</v>
      </c>
      <c r="C308" t="s">
        <v>85</v>
      </c>
      <c r="D308">
        <f>VLOOKUP(A308,'temperatures màximes'!$A$4:$U$314,'temperatures màximes'!U$1,FALSE)</f>
        <v>19</v>
      </c>
      <c r="E308">
        <f>VLOOKUP(A308,'nits tropicals'!$A$4:$U$314,'nits tropicals'!U$1,FALSE)</f>
        <v>137</v>
      </c>
      <c r="F308">
        <f t="shared" si="38"/>
        <v>1.9</v>
      </c>
      <c r="G308">
        <f t="shared" si="39"/>
        <v>13.7</v>
      </c>
      <c r="H308" s="840">
        <f>VLOOKUP(B308,'BD ASVICC'!$A$6:$X$316,24,FALSE)/VLOOKUP(C308,'BD Comarcal'!$A$6:$Z$17,26,FALSE)</f>
        <v>0.44916800566464227</v>
      </c>
      <c r="I308" s="839">
        <f>(VLOOKUP(C308,'BD Altres'!$D$74:$H$84,5,FALSE) * 1000 / 12) * H308*0.035</f>
        <v>1387.7732667135117</v>
      </c>
      <c r="J308" s="839">
        <f>(VLOOKUP(C308,'BD Altres'!$D$74:$H$84,3,FALSE) / 12) * H308*0.25</f>
        <v>159.10804530629329</v>
      </c>
      <c r="K308">
        <f>(VLOOKUP(B308,'BD ASVICC'!$A$6:$GR$316,199,FALSE) / 12)*0.3</f>
        <v>12.95</v>
      </c>
      <c r="L308" s="846">
        <f>I308*'1. Cops de calor'!$C$32/30</f>
        <v>19891.416822893669</v>
      </c>
      <c r="M308" s="846">
        <f>J308*'1. Cops de calor'!$C$33/30</f>
        <v>795.54022653146649</v>
      </c>
      <c r="N308" s="846">
        <f>K308*'1. Cops de calor'!$C$34*0.25/30</f>
        <v>203962.49999999997</v>
      </c>
      <c r="O308" s="779">
        <f t="shared" si="40"/>
        <v>3504531.5299710315</v>
      </c>
      <c r="P308" s="848">
        <f>O308*'A. Dades de partida'!$D$10</f>
        <v>52567972.94956547</v>
      </c>
      <c r="Q308">
        <f t="shared" si="41"/>
        <v>2.8499999999999996</v>
      </c>
      <c r="R308">
        <f t="shared" si="42"/>
        <v>20.549999999999997</v>
      </c>
      <c r="S308">
        <f>I308+(I308*'1. Cops de calor'!$C$40)</f>
        <v>1465.4885696494684</v>
      </c>
      <c r="T308">
        <f>J308*'1. Cops de calor'!$C$41+J308</f>
        <v>171.04114870426528</v>
      </c>
      <c r="U308">
        <f>'1. Cops de calor'!$C$42*K308+K308</f>
        <v>13.468</v>
      </c>
      <c r="V308">
        <f>S308*'1. Cops de calor'!$C$32/30</f>
        <v>21005.336164975713</v>
      </c>
      <c r="W308">
        <f>T308*'1. Cops de calor'!$C$33/30</f>
        <v>855.20574352132644</v>
      </c>
      <c r="X308">
        <f>K308*'1. Cops de calor'!$C$34/30</f>
        <v>815849.99999999988</v>
      </c>
      <c r="Y308">
        <f t="shared" si="43"/>
        <v>837710.54190849687</v>
      </c>
      <c r="Z308" s="849">
        <f>Y308*(Q308+R308)*'A. Dades de partida'!$D$10</f>
        <v>294036400.20988238</v>
      </c>
      <c r="AA308" s="850">
        <f t="shared" si="44"/>
        <v>241468427.26031691</v>
      </c>
      <c r="AB308" t="str">
        <f>VLOOKUP(B308,'BD ASVICC'!$A$6:$BG$316,59,FALSE)</f>
        <v>LITORAL</v>
      </c>
      <c r="AC308">
        <f t="shared" si="36"/>
        <v>0.5</v>
      </c>
      <c r="AD308">
        <f t="shared" si="37"/>
        <v>0.5</v>
      </c>
    </row>
    <row r="309" spans="1:30">
      <c r="A309">
        <v>8308</v>
      </c>
      <c r="B309" t="s">
        <v>1737</v>
      </c>
      <c r="C309" t="s">
        <v>84</v>
      </c>
      <c r="D309">
        <f>VLOOKUP(A309,'temperatures màximes'!$A$4:$U$314,'temperatures màximes'!U$1,FALSE)</f>
        <v>11</v>
      </c>
      <c r="E309">
        <f>VLOOKUP(A309,'nits tropicals'!$A$4:$U$314,'nits tropicals'!U$1,FALSE)</f>
        <v>0</v>
      </c>
      <c r="F309">
        <f t="shared" si="38"/>
        <v>1.1000000000000001</v>
      </c>
      <c r="G309">
        <f t="shared" si="39"/>
        <v>0</v>
      </c>
      <c r="H309" s="840">
        <f>VLOOKUP(B309,'BD ASVICC'!$A$6:$X$316,24,FALSE)/VLOOKUP(C309,'BD Comarcal'!$A$6:$Z$17,26,FALSE)</f>
        <v>4.1349737097350556E-3</v>
      </c>
      <c r="I309" s="839">
        <f>(VLOOKUP(C309,'BD Altres'!$D$74:$H$84,5,FALSE) * 1000 / 12) * H309*0.035</f>
        <v>2.6577754002893523</v>
      </c>
      <c r="J309" s="839">
        <f>(VLOOKUP(C309,'BD Altres'!$D$74:$H$84,3,FALSE) / 12) * H309*0.25</f>
        <v>23.235223943199642</v>
      </c>
      <c r="K309">
        <f>(VLOOKUP(B309,'BD ASVICC'!$A$6:$GR$316,199,FALSE) / 12)*0.3</f>
        <v>0.15</v>
      </c>
      <c r="L309" s="846">
        <f>I309*'1. Cops de calor'!$C$32/30</f>
        <v>38.094780737480718</v>
      </c>
      <c r="M309" s="846">
        <f>J309*'1. Cops de calor'!$C$33/30</f>
        <v>116.17611971599821</v>
      </c>
      <c r="N309" s="846">
        <f>K309*'1. Cops de calor'!$C$34*0.25/30</f>
        <v>2362.4999999999995</v>
      </c>
      <c r="O309" s="779">
        <f t="shared" si="40"/>
        <v>2768.4479904988266</v>
      </c>
      <c r="P309" s="848">
        <f>O309*'A. Dades de partida'!$D$10</f>
        <v>41526.7198574824</v>
      </c>
      <c r="Q309">
        <f t="shared" si="41"/>
        <v>1.6500000000000001</v>
      </c>
      <c r="R309">
        <f t="shared" si="42"/>
        <v>0</v>
      </c>
      <c r="S309">
        <f>I309+(I309*'1. Cops de calor'!$C$40)</f>
        <v>2.8066108227055562</v>
      </c>
      <c r="T309">
        <f>J309*'1. Cops de calor'!$C$41+J309</f>
        <v>24.977865738939617</v>
      </c>
      <c r="U309">
        <f>'1. Cops de calor'!$C$42*K309+K309</f>
        <v>0.156</v>
      </c>
      <c r="V309">
        <f>S309*'1. Cops de calor'!$C$32/30</f>
        <v>40.228088458779638</v>
      </c>
      <c r="W309">
        <f>T309*'1. Cops de calor'!$C$33/30</f>
        <v>124.88932869469809</v>
      </c>
      <c r="X309">
        <f>K309*'1. Cops de calor'!$C$34/30</f>
        <v>9449.9999999999982</v>
      </c>
      <c r="Y309">
        <f t="shared" si="43"/>
        <v>9615.1174171534767</v>
      </c>
      <c r="Z309" s="849">
        <f>Y309*(Q309+R309)*'A. Dades de partida'!$D$10</f>
        <v>237974.15607454858</v>
      </c>
      <c r="AA309" s="850">
        <f t="shared" si="44"/>
        <v>196447.43621706619</v>
      </c>
      <c r="AB309" t="str">
        <f>VLOOKUP(B309,'BD ASVICC'!$A$6:$BG$316,59,FALSE)</f>
        <v>PREPIRINEU-PIRINEU</v>
      </c>
      <c r="AC309">
        <f t="shared" si="36"/>
        <v>0.5</v>
      </c>
      <c r="AD309">
        <f t="shared" si="37"/>
        <v>0.5</v>
      </c>
    </row>
    <row r="310" spans="1:30">
      <c r="A310">
        <v>8901</v>
      </c>
      <c r="B310" t="s">
        <v>1742</v>
      </c>
      <c r="C310" t="s">
        <v>88</v>
      </c>
      <c r="D310">
        <f>VLOOKUP(A310,'temperatures màximes'!$A$4:$U$314,'temperatures màximes'!U$1,FALSE)</f>
        <v>46</v>
      </c>
      <c r="E310">
        <f>VLOOKUP(A310,'nits tropicals'!$A$4:$U$314,'nits tropicals'!U$1,FALSE)</f>
        <v>0</v>
      </c>
      <c r="F310">
        <f t="shared" si="38"/>
        <v>4.5999999999999996</v>
      </c>
      <c r="G310">
        <f t="shared" si="39"/>
        <v>0</v>
      </c>
      <c r="H310" s="840">
        <f>VLOOKUP(B310,'BD ASVICC'!$A$6:$X$316,24,FALSE)/VLOOKUP(C310,'BD Comarcal'!$A$6:$Z$17,26,FALSE)</f>
        <v>1.7797367017688141E-3</v>
      </c>
      <c r="I310" s="839">
        <f>(VLOOKUP(C310,'BD Altres'!$D$74:$H$84,5,FALSE) * 1000 / 12) * H310*0.035</f>
        <v>1.9803278591973412</v>
      </c>
      <c r="J310" s="839">
        <f>(VLOOKUP(C310,'BD Altres'!$D$74:$H$84,3,FALSE) / 12) * H310*0.25</f>
        <v>1.266912986723721</v>
      </c>
      <c r="K310">
        <f>(VLOOKUP(B310,'BD ASVICC'!$A$6:$GR$316,199,FALSE) / 12)*0.3</f>
        <v>0.19999999999999998</v>
      </c>
      <c r="L310" s="846">
        <f>I310*'1. Cops de calor'!$C$32/30</f>
        <v>28.384699315161889</v>
      </c>
      <c r="M310" s="846">
        <f>J310*'1. Cops de calor'!$C$33/30</f>
        <v>6.334564933618605</v>
      </c>
      <c r="N310" s="846">
        <f>K310*'1. Cops de calor'!$C$34*0.25/30</f>
        <v>3149.9999999999995</v>
      </c>
      <c r="O310" s="779">
        <f t="shared" si="40"/>
        <v>14649.708615544387</v>
      </c>
      <c r="P310" s="848">
        <f>O310*'A. Dades de partida'!$D$10</f>
        <v>219745.62923316579</v>
      </c>
      <c r="Q310">
        <f t="shared" si="41"/>
        <v>6.8999999999999995</v>
      </c>
      <c r="R310">
        <f t="shared" si="42"/>
        <v>0</v>
      </c>
      <c r="S310">
        <f>I310+(I310*'1. Cops de calor'!$C$40)</f>
        <v>2.0912262193123925</v>
      </c>
      <c r="T310">
        <f>J310*'1. Cops de calor'!$C$41+J310</f>
        <v>1.361931460728</v>
      </c>
      <c r="U310">
        <f>'1. Cops de calor'!$C$42*K310+K310</f>
        <v>0.20799999999999999</v>
      </c>
      <c r="V310">
        <f>S310*'1. Cops de calor'!$C$32/30</f>
        <v>29.974242476810961</v>
      </c>
      <c r="W310">
        <f>T310*'1. Cops de calor'!$C$33/30</f>
        <v>6.8096573036399999</v>
      </c>
      <c r="X310">
        <f>K310*'1. Cops de calor'!$C$34/30</f>
        <v>12599.999999999998</v>
      </c>
      <c r="Y310">
        <f t="shared" si="43"/>
        <v>12636.783899780448</v>
      </c>
      <c r="Z310" s="849">
        <f>Y310*(Q310+R310)*'A. Dades de partida'!$D$10</f>
        <v>1307907.1336272762</v>
      </c>
      <c r="AA310" s="850">
        <f t="shared" si="44"/>
        <v>1088161.5043941103</v>
      </c>
      <c r="AB310" t="str">
        <f>VLOOKUP(B310,'BD ASVICC'!$A$6:$BG$316,59,FALSE)</f>
        <v>PREPIRINEU-PIRINEU</v>
      </c>
      <c r="AC310">
        <f t="shared" si="36"/>
        <v>0.5</v>
      </c>
      <c r="AD310">
        <f t="shared" si="37"/>
        <v>0.5</v>
      </c>
    </row>
    <row r="311" spans="1:30">
      <c r="A311">
        <v>8902</v>
      </c>
      <c r="B311" t="s">
        <v>1743</v>
      </c>
      <c r="C311" t="s">
        <v>24</v>
      </c>
      <c r="D311">
        <f>VLOOKUP(A311,'temperatures màximes'!$A$4:$U$314,'temperatures màximes'!U$1,FALSE)</f>
        <v>39</v>
      </c>
      <c r="E311">
        <f>VLOOKUP(A311,'nits tropicals'!$A$4:$U$314,'nits tropicals'!U$1,FALSE)</f>
        <v>2</v>
      </c>
      <c r="F311">
        <f t="shared" si="38"/>
        <v>3.9</v>
      </c>
      <c r="G311">
        <f t="shared" si="39"/>
        <v>0.2</v>
      </c>
      <c r="H311" s="840">
        <f>VLOOKUP(B311,'BD ASVICC'!$A$6:$X$316,24,FALSE)/VLOOKUP(C311,'BD Comarcal'!$A$6:$Z$17,26,FALSE)</f>
        <v>1.2999018283840553E-2</v>
      </c>
      <c r="I311" s="839">
        <f>(VLOOKUP(C311,'BD Altres'!$D$74:$H$84,5,FALSE) * 1000 / 12) * H311*0.035</f>
        <v>91.991865606845906</v>
      </c>
      <c r="J311" s="839">
        <f>(VLOOKUP(C311,'BD Altres'!$D$74:$H$84,3,FALSE) / 12) * H311*0.25</f>
        <v>20.681631634463443</v>
      </c>
      <c r="K311">
        <f>(VLOOKUP(B311,'BD ASVICC'!$A$6:$GR$316,199,FALSE) / 12)*0.3</f>
        <v>0.85</v>
      </c>
      <c r="L311" s="846">
        <f>I311*'1. Cops de calor'!$C$32/30</f>
        <v>1318.5500736981246</v>
      </c>
      <c r="M311" s="846">
        <f>J311*'1. Cops de calor'!$C$33/30</f>
        <v>103.40815817231721</v>
      </c>
      <c r="N311" s="846">
        <f>K311*'1. Cops de calor'!$C$34*0.25/30</f>
        <v>13387.499999999998</v>
      </c>
      <c r="O311" s="779">
        <f t="shared" si="40"/>
        <v>60718.778750668796</v>
      </c>
      <c r="P311" s="848">
        <f>O311*'A. Dades de partida'!$D$10</f>
        <v>910781.681260032</v>
      </c>
      <c r="Q311">
        <f t="shared" si="41"/>
        <v>5.85</v>
      </c>
      <c r="R311">
        <f t="shared" si="42"/>
        <v>0.30000000000000004</v>
      </c>
      <c r="S311">
        <f>I311+(I311*'1. Cops de calor'!$C$40)</f>
        <v>97.14341008082927</v>
      </c>
      <c r="T311">
        <f>J311*'1. Cops de calor'!$C$41+J311</f>
        <v>22.2327540070482</v>
      </c>
      <c r="U311">
        <f>'1. Cops de calor'!$C$42*K311+K311</f>
        <v>0.88400000000000001</v>
      </c>
      <c r="V311">
        <f>S311*'1. Cops de calor'!$C$32/30</f>
        <v>1392.3888778252194</v>
      </c>
      <c r="W311">
        <f>T311*'1. Cops de calor'!$C$33/30</f>
        <v>111.163770035241</v>
      </c>
      <c r="X311">
        <f>K311*'1. Cops de calor'!$C$34/30</f>
        <v>53549.999999999993</v>
      </c>
      <c r="Y311">
        <f t="shared" si="43"/>
        <v>55053.552647860452</v>
      </c>
      <c r="Z311" s="849">
        <f>Y311*(Q311+R311)*'A. Dades de partida'!$D$10</f>
        <v>5078690.2317651268</v>
      </c>
      <c r="AA311" s="850">
        <f t="shared" si="44"/>
        <v>4167908.5505050947</v>
      </c>
      <c r="AB311" t="str">
        <f>VLOOKUP(B311,'BD ASVICC'!$A$6:$BG$316,59,FALSE)</f>
        <v>LITORAL</v>
      </c>
      <c r="AC311">
        <f t="shared" si="36"/>
        <v>0.5</v>
      </c>
      <c r="AD311">
        <f t="shared" si="37"/>
        <v>0.5</v>
      </c>
    </row>
    <row r="312" spans="1:30">
      <c r="A312">
        <v>8903</v>
      </c>
      <c r="B312" t="s">
        <v>1746</v>
      </c>
      <c r="C312" t="s">
        <v>84</v>
      </c>
      <c r="D312">
        <f>VLOOKUP(A312,'temperatures màximes'!$A$4:$U$314,'temperatures màximes'!U$1,FALSE)</f>
        <v>17</v>
      </c>
      <c r="E312">
        <f>VLOOKUP(A312,'nits tropicals'!$A$4:$U$314,'nits tropicals'!U$1,FALSE)</f>
        <v>3</v>
      </c>
      <c r="F312">
        <f t="shared" si="38"/>
        <v>1.7</v>
      </c>
      <c r="G312">
        <f t="shared" si="39"/>
        <v>0.3</v>
      </c>
      <c r="H312" s="840">
        <f>VLOOKUP(B312,'BD ASVICC'!$A$6:$X$316,24,FALSE)/VLOOKUP(C312,'BD Comarcal'!$A$6:$Z$17,26,FALSE)</f>
        <v>6.4066567971820922E-3</v>
      </c>
      <c r="I312" s="839">
        <f>(VLOOKUP(C312,'BD Altres'!$D$74:$H$84,5,FALSE) * 1000 / 12) * H312*0.035</f>
        <v>4.1179112683495518</v>
      </c>
      <c r="J312" s="839">
        <f>(VLOOKUP(C312,'BD Altres'!$D$74:$H$84,3,FALSE) / 12) * H312*0.25</f>
        <v>36.000254381130311</v>
      </c>
      <c r="K312">
        <f>(VLOOKUP(B312,'BD ASVICC'!$A$6:$GR$316,199,FALSE) / 12)*0.3</f>
        <v>0</v>
      </c>
      <c r="L312" s="846">
        <f>I312*'1. Cops de calor'!$C$32/30</f>
        <v>59.023394846343571</v>
      </c>
      <c r="M312" s="846">
        <f>J312*'1. Cops de calor'!$C$33/30</f>
        <v>180.00127190565158</v>
      </c>
      <c r="N312" s="846">
        <f>K312*'1. Cops de calor'!$C$34*0.25/30</f>
        <v>0</v>
      </c>
      <c r="O312" s="779">
        <f t="shared" si="40"/>
        <v>478.04933350399028</v>
      </c>
      <c r="P312" s="848">
        <f>O312*'A. Dades de partida'!$D$10</f>
        <v>7170.7400025598545</v>
      </c>
      <c r="Q312">
        <f t="shared" si="41"/>
        <v>2.5499999999999998</v>
      </c>
      <c r="R312">
        <f t="shared" si="42"/>
        <v>0.44999999999999996</v>
      </c>
      <c r="S312">
        <f>I312+(I312*'1. Cops de calor'!$C$40)</f>
        <v>4.3485142993771264</v>
      </c>
      <c r="T312">
        <f>J312*'1. Cops de calor'!$C$41+J312</f>
        <v>38.700273459715085</v>
      </c>
      <c r="U312">
        <f>'1. Cops de calor'!$C$42*K312+K312</f>
        <v>0</v>
      </c>
      <c r="V312">
        <f>S312*'1. Cops de calor'!$C$32/30</f>
        <v>62.328704957738815</v>
      </c>
      <c r="W312">
        <f>T312*'1. Cops de calor'!$C$33/30</f>
        <v>193.50136729857545</v>
      </c>
      <c r="X312">
        <f>K312*'1. Cops de calor'!$C$34/30</f>
        <v>0</v>
      </c>
      <c r="Y312">
        <f t="shared" si="43"/>
        <v>255.83007225631425</v>
      </c>
      <c r="Z312" s="849">
        <f>Y312*(Q312+R312)*'A. Dades de partida'!$D$10</f>
        <v>11512.353251534141</v>
      </c>
      <c r="AA312" s="850">
        <f t="shared" si="44"/>
        <v>4341.6132489742868</v>
      </c>
      <c r="AB312" t="str">
        <f>VLOOKUP(B312,'BD ASVICC'!$A$6:$BG$316,59,FALSE)</f>
        <v>PREPIRINEU-PIRINEU</v>
      </c>
      <c r="AC312">
        <f t="shared" si="36"/>
        <v>0.5</v>
      </c>
      <c r="AD312">
        <f t="shared" si="37"/>
        <v>0.5</v>
      </c>
    </row>
    <row r="313" spans="1:30">
      <c r="A313">
        <v>8904</v>
      </c>
      <c r="B313" t="s">
        <v>1748</v>
      </c>
      <c r="C313" t="s">
        <v>89</v>
      </c>
      <c r="D313">
        <f>VLOOKUP(A313,'temperatures màximes'!$A$4:$U$314,'temperatures màximes'!U$1,FALSE)</f>
        <v>37</v>
      </c>
      <c r="E313">
        <f>VLOOKUP(A313,'nits tropicals'!$A$4:$U$314,'nits tropicals'!U$1,FALSE)</f>
        <v>39</v>
      </c>
      <c r="F313">
        <f t="shared" si="38"/>
        <v>3.7</v>
      </c>
      <c r="G313">
        <f t="shared" si="39"/>
        <v>3.9</v>
      </c>
      <c r="H313" s="840">
        <f>VLOOKUP(B313,'BD ASVICC'!$A$6:$X$316,24,FALSE)/VLOOKUP(C313,'BD Comarcal'!$A$6:$Z$17,26,FALSE)</f>
        <v>1.4909758471202336E-2</v>
      </c>
      <c r="I313" s="839">
        <f>(VLOOKUP(C313,'BD Altres'!$D$74:$H$84,5,FALSE) * 1000 / 12) * H313*0.035</f>
        <v>60.35970841147428</v>
      </c>
      <c r="J313" s="839">
        <f>(VLOOKUP(C313,'BD Altres'!$D$74:$H$84,3,FALSE) / 12) * H313*0.25</f>
        <v>26.494653846387504</v>
      </c>
      <c r="K313">
        <f>(VLOOKUP(B313,'BD ASVICC'!$A$6:$GR$316,199,FALSE) / 12)*0.3</f>
        <v>2.4250000000000003</v>
      </c>
      <c r="L313" s="846">
        <f>I313*'1. Cops de calor'!$C$32/30</f>
        <v>865.15582056446476</v>
      </c>
      <c r="M313" s="846">
        <f>J313*'1. Cops de calor'!$C$33/30</f>
        <v>132.47326923193751</v>
      </c>
      <c r="N313" s="846">
        <f>K313*'1. Cops de calor'!$C$34*0.25/30</f>
        <v>38193.75</v>
      </c>
      <c r="O313" s="779">
        <f t="shared" si="40"/>
        <v>297854.48108245264</v>
      </c>
      <c r="P313" s="848">
        <f>O313*'A. Dades de partida'!$D$10</f>
        <v>4467817.2162367897</v>
      </c>
      <c r="Q313">
        <f t="shared" si="41"/>
        <v>5.5500000000000007</v>
      </c>
      <c r="R313">
        <f t="shared" si="42"/>
        <v>5.85</v>
      </c>
      <c r="S313">
        <f>I313+(I313*'1. Cops de calor'!$C$40)</f>
        <v>63.73985208251684</v>
      </c>
      <c r="T313">
        <f>J313*'1. Cops de calor'!$C$41+J313</f>
        <v>28.481752884866566</v>
      </c>
      <c r="U313">
        <f>'1. Cops de calor'!$C$42*K313+K313</f>
        <v>2.5220000000000002</v>
      </c>
      <c r="V313">
        <f>S313*'1. Cops de calor'!$C$32/30</f>
        <v>913.60454651607472</v>
      </c>
      <c r="W313">
        <f>T313*'1. Cops de calor'!$C$33/30</f>
        <v>142.40876442433282</v>
      </c>
      <c r="X313">
        <f>K313*'1. Cops de calor'!$C$34/30</f>
        <v>152775</v>
      </c>
      <c r="Y313">
        <f t="shared" si="43"/>
        <v>153831.01331094041</v>
      </c>
      <c r="Z313" s="849">
        <f>Y313*(Q313+R313)*'A. Dades de partida'!$D$10</f>
        <v>26305103.276170809</v>
      </c>
      <c r="AA313" s="850">
        <f t="shared" si="44"/>
        <v>21837286.05993402</v>
      </c>
      <c r="AB313" t="str">
        <f>VLOOKUP(B313,'BD ASVICC'!$A$6:$BG$316,59,FALSE)</f>
        <v>LITORAL</v>
      </c>
      <c r="AC313">
        <f t="shared" si="36"/>
        <v>0.5</v>
      </c>
      <c r="AD313">
        <f t="shared" si="37"/>
        <v>0.5</v>
      </c>
    </row>
    <row r="314" spans="1:30">
      <c r="A314">
        <v>8905</v>
      </c>
      <c r="B314" t="s">
        <v>1749</v>
      </c>
      <c r="C314" t="s">
        <v>90</v>
      </c>
      <c r="D314">
        <f>VLOOKUP(A314,'temperatures màximes'!$A$4:$U$314,'temperatures màximes'!U$1,FALSE)</f>
        <v>102</v>
      </c>
      <c r="E314">
        <f>VLOOKUP(A314,'nits tropicals'!$A$4:$U$314,'nits tropicals'!U$1,FALSE)</f>
        <v>125</v>
      </c>
      <c r="F314">
        <f t="shared" si="38"/>
        <v>10.199999999999999</v>
      </c>
      <c r="G314">
        <f t="shared" si="39"/>
        <v>12.5</v>
      </c>
      <c r="H314" s="840">
        <f>VLOOKUP(B314,'BD ASVICC'!$A$6:$X$316,24,FALSE)/VLOOKUP(C314,'BD Comarcal'!$A$6:$Z$17,26,FALSE)</f>
        <v>3.7042387604135411E-3</v>
      </c>
      <c r="I314" s="839">
        <f>(VLOOKUP(C314,'BD Altres'!$D$74:$H$84,5,FALSE) * 1000 / 12) * H314*0.035</f>
        <v>6.8261273298343976</v>
      </c>
      <c r="J314" s="839">
        <f>(VLOOKUP(C314,'BD Altres'!$D$74:$H$84,3,FALSE) / 12) * H314*0.25</f>
        <v>20.819330765192902</v>
      </c>
      <c r="K314">
        <f>(VLOOKUP(B314,'BD ASVICC'!$A$6:$GR$316,199,FALSE) / 12)*0.3</f>
        <v>0.35000000000000003</v>
      </c>
      <c r="L314" s="846">
        <f>I314*'1. Cops de calor'!$C$32/30</f>
        <v>97.841158394293032</v>
      </c>
      <c r="M314" s="846">
        <f>J314*'1. Cops de calor'!$C$33/30</f>
        <v>104.09665382596451</v>
      </c>
      <c r="N314" s="846">
        <f>K314*'1. Cops de calor'!$C$34*0.25/30</f>
        <v>5512.5</v>
      </c>
      <c r="O314" s="779">
        <f t="shared" si="40"/>
        <v>129717.73833739985</v>
      </c>
      <c r="P314" s="848">
        <f>O314*'A. Dades de partida'!$D$10</f>
        <v>1945766.0750609976</v>
      </c>
      <c r="Q314">
        <f t="shared" si="41"/>
        <v>15.299999999999999</v>
      </c>
      <c r="R314">
        <f t="shared" si="42"/>
        <v>18.75</v>
      </c>
      <c r="S314">
        <f>I314+(I314*'1. Cops de calor'!$C$40)</f>
        <v>7.2083904603051234</v>
      </c>
      <c r="T314">
        <f>J314*'1. Cops de calor'!$C$41+J314</f>
        <v>22.380780572582371</v>
      </c>
      <c r="U314">
        <f>'1. Cops de calor'!$C$42*K314+K314</f>
        <v>0.36400000000000005</v>
      </c>
      <c r="V314">
        <f>S314*'1. Cops de calor'!$C$32/30</f>
        <v>103.32026326437344</v>
      </c>
      <c r="W314">
        <f>T314*'1. Cops de calor'!$C$33/30</f>
        <v>111.90390286291185</v>
      </c>
      <c r="X314">
        <f>K314*'1. Cops de calor'!$C$34/30</f>
        <v>22050</v>
      </c>
      <c r="Y314">
        <f t="shared" si="43"/>
        <v>22265.224166127286</v>
      </c>
      <c r="Z314" s="849">
        <f>Y314*(Q314+R314)*'A. Dades de partida'!$D$10</f>
        <v>11371963.24284951</v>
      </c>
      <c r="AA314" s="850">
        <f t="shared" si="44"/>
        <v>9426197.167788513</v>
      </c>
      <c r="AB314" t="str">
        <f>VLOOKUP(B314,'BD ASVICC'!$A$6:$BG$316,59,FALSE)</f>
        <v>LITORAL</v>
      </c>
      <c r="AC314">
        <f t="shared" si="36"/>
        <v>0.5</v>
      </c>
      <c r="AD314">
        <f t="shared" si="37"/>
        <v>0.5</v>
      </c>
    </row>
  </sheetData>
  <mergeCells count="4">
    <mergeCell ref="F2:G2"/>
    <mergeCell ref="I2:K2"/>
    <mergeCell ref="L2:N2"/>
    <mergeCell ref="S2:U2"/>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4"/>
  <sheetViews>
    <sheetView workbookViewId="0">
      <selection activeCell="Y12" sqref="Y12"/>
    </sheetView>
  </sheetViews>
  <sheetFormatPr defaultRowHeight="15"/>
  <cols>
    <col min="1" max="1" width="6.7109375" style="794" customWidth="1"/>
    <col min="2" max="2" width="19" style="794" customWidth="1"/>
    <col min="3" max="4" width="11.42578125" style="794"/>
    <col min="5" max="6" width="18.7109375" style="795" customWidth="1"/>
    <col min="7" max="17" width="9.140625" style="798"/>
    <col min="18" max="20" width="9.140625" style="802"/>
    <col min="21" max="21" width="9.140625" style="798"/>
  </cols>
  <sheetData>
    <row r="1" spans="1:21">
      <c r="A1" s="794">
        <v>1</v>
      </c>
      <c r="B1" s="794">
        <v>2</v>
      </c>
      <c r="C1" s="794">
        <v>3</v>
      </c>
      <c r="D1" s="794">
        <v>4</v>
      </c>
      <c r="E1" s="794">
        <v>5</v>
      </c>
      <c r="F1" s="794">
        <v>6</v>
      </c>
      <c r="G1" s="794">
        <v>7</v>
      </c>
      <c r="H1" s="794">
        <v>8</v>
      </c>
      <c r="I1" s="794">
        <v>9</v>
      </c>
      <c r="J1" s="794">
        <v>10</v>
      </c>
      <c r="K1" s="794">
        <v>11</v>
      </c>
      <c r="L1" s="794">
        <v>12</v>
      </c>
      <c r="M1" s="794">
        <v>13</v>
      </c>
      <c r="N1" s="794">
        <v>14</v>
      </c>
      <c r="O1" s="794">
        <v>15</v>
      </c>
      <c r="P1" s="794">
        <v>16</v>
      </c>
      <c r="Q1" s="794">
        <v>17</v>
      </c>
      <c r="R1" s="794">
        <v>18</v>
      </c>
      <c r="S1" s="794">
        <v>19</v>
      </c>
      <c r="T1" s="794">
        <v>20</v>
      </c>
      <c r="U1" s="794">
        <v>21</v>
      </c>
    </row>
    <row r="2" spans="1:21">
      <c r="G2" s="1186" t="s">
        <v>2618</v>
      </c>
      <c r="H2" s="1186"/>
      <c r="I2" s="1186"/>
      <c r="J2" s="1186"/>
      <c r="K2" s="1186"/>
      <c r="L2" s="1186"/>
      <c r="M2" s="1186"/>
      <c r="N2" s="1186"/>
      <c r="O2" s="1186"/>
      <c r="P2" s="1186"/>
      <c r="Q2" s="1186"/>
      <c r="R2" s="1186"/>
      <c r="S2" s="1186"/>
      <c r="T2" s="1186"/>
      <c r="U2" s="1186"/>
    </row>
    <row r="3" spans="1:21" ht="26.25">
      <c r="A3" s="787" t="s">
        <v>2579</v>
      </c>
      <c r="B3" s="787" t="s">
        <v>2600</v>
      </c>
      <c r="C3" s="787" t="s">
        <v>2601</v>
      </c>
      <c r="D3" s="787" t="s">
        <v>153</v>
      </c>
      <c r="E3" s="787" t="s">
        <v>2602</v>
      </c>
      <c r="F3" s="787" t="s">
        <v>564</v>
      </c>
      <c r="G3" s="796">
        <v>2004</v>
      </c>
      <c r="H3" s="796">
        <v>2005</v>
      </c>
      <c r="I3" s="796">
        <v>2006</v>
      </c>
      <c r="J3" s="796">
        <v>2007</v>
      </c>
      <c r="K3" s="796">
        <v>2008</v>
      </c>
      <c r="L3" s="796">
        <v>2009</v>
      </c>
      <c r="M3" s="796">
        <v>2010</v>
      </c>
      <c r="N3" s="796">
        <v>2011</v>
      </c>
      <c r="O3" s="796">
        <v>2012</v>
      </c>
      <c r="P3" s="796">
        <v>2013</v>
      </c>
      <c r="Q3" s="796">
        <v>2014</v>
      </c>
      <c r="R3" s="801">
        <v>2015</v>
      </c>
      <c r="S3" s="801">
        <v>2016</v>
      </c>
      <c r="T3" s="801">
        <v>2017</v>
      </c>
      <c r="U3" s="797" t="s">
        <v>38</v>
      </c>
    </row>
    <row r="4" spans="1:21">
      <c r="A4" s="788">
        <v>8001</v>
      </c>
      <c r="B4" s="789" t="s">
        <v>672</v>
      </c>
      <c r="C4" s="788">
        <v>105</v>
      </c>
      <c r="D4" s="788" t="s">
        <v>90</v>
      </c>
      <c r="E4" s="790" t="s">
        <v>1697</v>
      </c>
      <c r="F4" s="790" t="s">
        <v>2615</v>
      </c>
      <c r="G4" s="798">
        <v>9</v>
      </c>
      <c r="H4" s="798">
        <v>26</v>
      </c>
      <c r="I4" s="798">
        <v>23</v>
      </c>
      <c r="J4" s="798">
        <v>3</v>
      </c>
      <c r="K4" s="798">
        <v>0</v>
      </c>
      <c r="L4" s="798">
        <v>6</v>
      </c>
      <c r="M4" s="798">
        <v>5</v>
      </c>
      <c r="N4" s="798">
        <v>2</v>
      </c>
      <c r="O4" s="798">
        <v>14</v>
      </c>
      <c r="P4" s="798">
        <v>10</v>
      </c>
      <c r="Q4" s="798">
        <v>4</v>
      </c>
      <c r="R4" s="802">
        <f>VLOOKUP($E4,[2]tropical!$A$4:$AF$46,[2]tropical!AD$1,FALSE)</f>
        <v>0</v>
      </c>
      <c r="S4" s="802">
        <f>VLOOKUP($E4,[2]tropical!$A$4:$AF$46,[2]tropical!AE$1,FALSE)</f>
        <v>0</v>
      </c>
      <c r="T4" s="802">
        <f>VLOOKUP($E4,[2]tropical!$A$4:$AF$46,[2]tropical!AF$1,FALSE)</f>
        <v>0</v>
      </c>
      <c r="U4" s="798">
        <f>SUM(G4:T4)</f>
        <v>102</v>
      </c>
    </row>
    <row r="5" spans="1:21">
      <c r="A5" s="788">
        <v>8002</v>
      </c>
      <c r="B5" s="788" t="s">
        <v>694</v>
      </c>
      <c r="C5" s="788">
        <v>480</v>
      </c>
      <c r="D5" s="788" t="s">
        <v>82</v>
      </c>
      <c r="E5" s="790" t="s">
        <v>1004</v>
      </c>
      <c r="F5" s="790" t="s">
        <v>2616</v>
      </c>
      <c r="G5" s="798">
        <v>5</v>
      </c>
      <c r="H5" s="798">
        <v>8</v>
      </c>
      <c r="I5" s="798">
        <v>9</v>
      </c>
      <c r="J5" s="798">
        <v>2</v>
      </c>
      <c r="K5" s="798">
        <v>2</v>
      </c>
      <c r="L5" s="798">
        <v>12</v>
      </c>
      <c r="M5" s="798">
        <v>6</v>
      </c>
      <c r="N5" s="798">
        <v>5</v>
      </c>
      <c r="O5" s="798">
        <v>18</v>
      </c>
      <c r="P5" s="798">
        <v>1</v>
      </c>
      <c r="Q5" s="798">
        <v>2</v>
      </c>
      <c r="R5" s="802">
        <f>VLOOKUP($E5,[2]tropical!$A$4:$AF$46,[2]tropical!AD$1,FALSE)</f>
        <v>0</v>
      </c>
      <c r="S5" s="802">
        <f>VLOOKUP($E5,[2]tropical!$A$4:$AF$46,[2]tropical!AE$1,FALSE)</f>
        <v>0</v>
      </c>
      <c r="T5" s="802">
        <f>VLOOKUP($E5,[2]tropical!$A$4:$AF$46,[2]tropical!AF$1,FALSE)</f>
        <v>0</v>
      </c>
      <c r="U5" s="798">
        <f t="shared" ref="U5:U68" si="0">SUM(G5:T5)</f>
        <v>70</v>
      </c>
    </row>
    <row r="6" spans="1:21">
      <c r="A6" s="788">
        <v>8003</v>
      </c>
      <c r="B6" s="788" t="s">
        <v>707</v>
      </c>
      <c r="C6" s="788">
        <v>90</v>
      </c>
      <c r="D6" s="788" t="s">
        <v>86</v>
      </c>
      <c r="E6" s="790" t="s">
        <v>352</v>
      </c>
      <c r="F6" s="790" t="s">
        <v>2615</v>
      </c>
      <c r="G6" s="798">
        <v>0</v>
      </c>
      <c r="H6" s="798">
        <v>1</v>
      </c>
      <c r="I6" s="798">
        <v>0</v>
      </c>
      <c r="J6" s="798">
        <v>0</v>
      </c>
      <c r="K6" s="798">
        <v>0</v>
      </c>
      <c r="L6" s="798">
        <v>1</v>
      </c>
      <c r="M6" s="798">
        <v>0</v>
      </c>
      <c r="N6" s="798">
        <v>0</v>
      </c>
      <c r="O6" s="798">
        <v>0</v>
      </c>
      <c r="P6" s="798">
        <v>0</v>
      </c>
      <c r="Q6" s="798">
        <v>0</v>
      </c>
      <c r="R6" s="802">
        <f>VLOOKUP($E6,[2]tropical!$A$4:$AF$46,[2]tropical!AD$1,FALSE)</f>
        <v>0</v>
      </c>
      <c r="S6" s="802">
        <f>VLOOKUP($E6,[2]tropical!$A$4:$AF$46,[2]tropical!AE$1,FALSE)</f>
        <v>0</v>
      </c>
      <c r="T6" s="802">
        <f>VLOOKUP($E6,[2]tropical!$A$4:$AF$46,[2]tropical!AF$1,FALSE)</f>
        <v>0</v>
      </c>
      <c r="U6" s="798">
        <f t="shared" si="0"/>
        <v>2</v>
      </c>
    </row>
    <row r="7" spans="1:21">
      <c r="A7" s="788">
        <v>8004</v>
      </c>
      <c r="B7" s="788" t="s">
        <v>716</v>
      </c>
      <c r="C7" s="788">
        <v>855</v>
      </c>
      <c r="D7" s="788" t="s">
        <v>88</v>
      </c>
      <c r="E7" s="790" t="s">
        <v>1326</v>
      </c>
      <c r="F7" s="790" t="s">
        <v>2617</v>
      </c>
      <c r="G7" s="798">
        <v>0</v>
      </c>
      <c r="H7" s="798">
        <v>0</v>
      </c>
      <c r="I7" s="798">
        <v>2</v>
      </c>
      <c r="J7" s="798">
        <v>1</v>
      </c>
      <c r="K7" s="798">
        <v>0</v>
      </c>
      <c r="L7" s="798">
        <v>0</v>
      </c>
      <c r="M7" s="798">
        <v>0</v>
      </c>
      <c r="N7" s="798">
        <v>0</v>
      </c>
      <c r="O7" s="798">
        <v>7</v>
      </c>
      <c r="P7" s="798">
        <v>0</v>
      </c>
      <c r="Q7" s="798">
        <v>0</v>
      </c>
      <c r="R7" s="802">
        <f>VLOOKUP($E7,[2]tropical!$A$4:$AF$46,[2]tropical!AD$1,FALSE)</f>
        <v>0</v>
      </c>
      <c r="S7" s="802">
        <f>VLOOKUP($E7,[2]tropical!$A$4:$AF$46,[2]tropical!AE$1,FALSE)</f>
        <v>0</v>
      </c>
      <c r="T7" s="802">
        <f>VLOOKUP($E7,[2]tropical!$A$4:$AF$46,[2]tropical!AF$1,FALSE)</f>
        <v>0</v>
      </c>
      <c r="U7" s="798">
        <f t="shared" si="0"/>
        <v>10</v>
      </c>
    </row>
    <row r="8" spans="1:21">
      <c r="A8" s="788">
        <v>8005</v>
      </c>
      <c r="B8" s="788" t="s">
        <v>725</v>
      </c>
      <c r="C8" s="788">
        <v>281</v>
      </c>
      <c r="D8" s="788" t="s">
        <v>24</v>
      </c>
      <c r="E8" s="790" t="s">
        <v>867</v>
      </c>
      <c r="F8" s="790" t="s">
        <v>2616</v>
      </c>
      <c r="G8" s="798">
        <v>0</v>
      </c>
      <c r="H8" s="798">
        <v>3</v>
      </c>
      <c r="I8" s="798">
        <v>9</v>
      </c>
      <c r="J8" s="798">
        <v>4</v>
      </c>
      <c r="K8" s="798">
        <v>7</v>
      </c>
      <c r="L8" s="798">
        <v>7</v>
      </c>
      <c r="M8" s="798">
        <v>4</v>
      </c>
      <c r="N8" s="798">
        <v>0</v>
      </c>
      <c r="O8" s="798">
        <v>7</v>
      </c>
      <c r="P8" s="798">
        <v>1</v>
      </c>
      <c r="Q8" s="798">
        <v>0</v>
      </c>
      <c r="R8" s="802">
        <f>VLOOKUP($E8,[2]tropical!$A$4:$AF$46,[2]tropical!AD$1,FALSE)</f>
        <v>0</v>
      </c>
      <c r="S8" s="802">
        <f>VLOOKUP($E8,[2]tropical!$A$4:$AF$46,[2]tropical!AE$1,FALSE)</f>
        <v>0</v>
      </c>
      <c r="T8" s="802">
        <f>VLOOKUP($E8,[2]tropical!$A$4:$AF$46,[2]tropical!AF$1,FALSE)</f>
        <v>0</v>
      </c>
      <c r="U8" s="798">
        <f t="shared" si="0"/>
        <v>42</v>
      </c>
    </row>
    <row r="9" spans="1:21">
      <c r="A9" s="788">
        <v>8006</v>
      </c>
      <c r="B9" s="788" t="s">
        <v>334</v>
      </c>
      <c r="C9" s="788">
        <v>10</v>
      </c>
      <c r="D9" s="788" t="s">
        <v>86</v>
      </c>
      <c r="E9" s="790" t="s">
        <v>352</v>
      </c>
      <c r="F9" s="790" t="s">
        <v>2615</v>
      </c>
      <c r="G9" s="798">
        <v>0</v>
      </c>
      <c r="H9" s="798">
        <v>1</v>
      </c>
      <c r="I9" s="798">
        <v>0</v>
      </c>
      <c r="J9" s="798">
        <v>0</v>
      </c>
      <c r="K9" s="798">
        <v>0</v>
      </c>
      <c r="L9" s="798">
        <v>1</v>
      </c>
      <c r="M9" s="798">
        <v>0</v>
      </c>
      <c r="N9" s="798">
        <v>0</v>
      </c>
      <c r="O9" s="798">
        <v>0</v>
      </c>
      <c r="P9" s="798">
        <v>0</v>
      </c>
      <c r="Q9" s="798">
        <v>0</v>
      </c>
      <c r="R9" s="802">
        <f>VLOOKUP($E9,[2]tropical!$A$4:$AF$46,[2]tropical!AD$1,FALSE)</f>
        <v>0</v>
      </c>
      <c r="S9" s="802">
        <f>VLOOKUP($E9,[2]tropical!$A$4:$AF$46,[2]tropical!AE$1,FALSE)</f>
        <v>0</v>
      </c>
      <c r="T9" s="802">
        <f>VLOOKUP($E9,[2]tropical!$A$4:$AF$46,[2]tropical!AF$1,FALSE)</f>
        <v>0</v>
      </c>
      <c r="U9" s="798">
        <f t="shared" si="0"/>
        <v>2</v>
      </c>
    </row>
    <row r="10" spans="1:21">
      <c r="A10" s="788">
        <v>8007</v>
      </c>
      <c r="B10" s="788" t="s">
        <v>742</v>
      </c>
      <c r="C10" s="788">
        <v>121</v>
      </c>
      <c r="D10" s="788" t="s">
        <v>86</v>
      </c>
      <c r="E10" s="790" t="s">
        <v>864</v>
      </c>
      <c r="F10" s="790" t="s">
        <v>2615</v>
      </c>
      <c r="G10" s="798">
        <v>0</v>
      </c>
      <c r="H10" s="798">
        <v>1</v>
      </c>
      <c r="I10" s="798">
        <v>0</v>
      </c>
      <c r="J10" s="798">
        <v>0</v>
      </c>
      <c r="K10" s="798">
        <v>0</v>
      </c>
      <c r="L10" s="798">
        <v>1</v>
      </c>
      <c r="M10" s="798">
        <v>0</v>
      </c>
      <c r="N10" s="798">
        <v>0</v>
      </c>
      <c r="O10" s="798">
        <v>0</v>
      </c>
      <c r="P10" s="798">
        <v>0</v>
      </c>
      <c r="Q10" s="798">
        <v>0</v>
      </c>
      <c r="R10" s="802">
        <f>VLOOKUP($E10,[2]tropical!$A$4:$AF$46,[2]tropical!AD$1,FALSE)</f>
        <v>0</v>
      </c>
      <c r="S10" s="802">
        <f>VLOOKUP($E10,[2]tropical!$A$4:$AF$46,[2]tropical!AE$1,FALSE)</f>
        <v>0</v>
      </c>
      <c r="T10" s="802">
        <f>VLOOKUP($E10,[2]tropical!$A$4:$AF$46,[2]tropical!AF$1,FALSE)</f>
        <v>0</v>
      </c>
      <c r="U10" s="798">
        <f t="shared" si="0"/>
        <v>2</v>
      </c>
    </row>
    <row r="11" spans="1:21">
      <c r="A11" s="788">
        <v>8008</v>
      </c>
      <c r="B11" s="788" t="s">
        <v>751</v>
      </c>
      <c r="C11" s="788">
        <v>716</v>
      </c>
      <c r="D11" s="788" t="s">
        <v>81</v>
      </c>
      <c r="E11" s="790" t="s">
        <v>1274</v>
      </c>
      <c r="F11" s="790" t="s">
        <v>2616</v>
      </c>
      <c r="G11" s="798">
        <v>4</v>
      </c>
      <c r="H11" s="798">
        <v>15</v>
      </c>
      <c r="I11" s="798">
        <v>20</v>
      </c>
      <c r="J11" s="798">
        <v>2</v>
      </c>
      <c r="K11" s="798">
        <v>5</v>
      </c>
      <c r="L11" s="798">
        <v>8</v>
      </c>
      <c r="M11" s="798">
        <v>2</v>
      </c>
      <c r="N11" s="798">
        <v>4</v>
      </c>
      <c r="O11" s="798">
        <v>16</v>
      </c>
      <c r="P11" s="798">
        <v>0</v>
      </c>
      <c r="Q11" s="798">
        <v>1</v>
      </c>
      <c r="R11" s="802">
        <f>VLOOKUP($E11,[2]tropical!$A$4:$AF$46,[2]tropical!AD$1,FALSE)</f>
        <v>0</v>
      </c>
      <c r="S11" s="802">
        <f>VLOOKUP($E11,[2]tropical!$A$4:$AF$46,[2]tropical!AE$1,FALSE)</f>
        <v>0</v>
      </c>
      <c r="T11" s="802">
        <f>VLOOKUP($E11,[2]tropical!$A$4:$AF$46,[2]tropical!AF$1,FALSE)</f>
        <v>0</v>
      </c>
      <c r="U11" s="798">
        <f t="shared" si="0"/>
        <v>77</v>
      </c>
    </row>
    <row r="12" spans="1:21">
      <c r="A12" s="788">
        <v>8009</v>
      </c>
      <c r="B12" s="788" t="s">
        <v>761</v>
      </c>
      <c r="C12" s="788">
        <v>88</v>
      </c>
      <c r="D12" s="788" t="s">
        <v>86</v>
      </c>
      <c r="E12" s="790" t="s">
        <v>864</v>
      </c>
      <c r="F12" s="790" t="s">
        <v>2615</v>
      </c>
      <c r="G12" s="798">
        <v>0</v>
      </c>
      <c r="H12" s="798">
        <v>1</v>
      </c>
      <c r="I12" s="798">
        <v>0</v>
      </c>
      <c r="J12" s="798">
        <v>0</v>
      </c>
      <c r="K12" s="798">
        <v>0</v>
      </c>
      <c r="L12" s="798">
        <v>1</v>
      </c>
      <c r="M12" s="798">
        <v>0</v>
      </c>
      <c r="N12" s="798">
        <v>0</v>
      </c>
      <c r="O12" s="798">
        <v>0</v>
      </c>
      <c r="P12" s="798">
        <v>0</v>
      </c>
      <c r="Q12" s="798">
        <v>0</v>
      </c>
      <c r="R12" s="802">
        <f>VLOOKUP($E12,[2]tropical!$A$4:$AF$46,[2]tropical!AD$1,FALSE)</f>
        <v>0</v>
      </c>
      <c r="S12" s="802">
        <f>VLOOKUP($E12,[2]tropical!$A$4:$AF$46,[2]tropical!AE$1,FALSE)</f>
        <v>0</v>
      </c>
      <c r="T12" s="802">
        <f>VLOOKUP($E12,[2]tropical!$A$4:$AF$46,[2]tropical!AF$1,FALSE)</f>
        <v>0</v>
      </c>
      <c r="U12" s="798">
        <f t="shared" si="0"/>
        <v>2</v>
      </c>
    </row>
    <row r="13" spans="1:21">
      <c r="A13" s="788">
        <v>8010</v>
      </c>
      <c r="B13" s="788" t="s">
        <v>767</v>
      </c>
      <c r="C13" s="788">
        <v>316</v>
      </c>
      <c r="D13" s="788" t="s">
        <v>82</v>
      </c>
      <c r="E13" s="790" t="s">
        <v>767</v>
      </c>
      <c r="F13" s="790" t="s">
        <v>2616</v>
      </c>
      <c r="G13" s="798">
        <v>0</v>
      </c>
      <c r="H13" s="798">
        <v>0</v>
      </c>
      <c r="I13" s="798">
        <v>27</v>
      </c>
      <c r="J13" s="798">
        <v>10</v>
      </c>
      <c r="K13" s="798">
        <v>13</v>
      </c>
      <c r="L13" s="798">
        <v>30</v>
      </c>
      <c r="M13" s="798">
        <v>11</v>
      </c>
      <c r="N13" s="798">
        <v>11</v>
      </c>
      <c r="O13" s="798">
        <v>26</v>
      </c>
      <c r="P13" s="798">
        <v>12</v>
      </c>
      <c r="Q13" s="798">
        <v>3</v>
      </c>
      <c r="R13" s="802">
        <f>VLOOKUP($E13,[2]tropical!$A$4:$AF$46,[2]tropical!AD$1,FALSE)</f>
        <v>0</v>
      </c>
      <c r="S13" s="802">
        <f>VLOOKUP($E13,[2]tropical!$A$4:$AF$46,[2]tropical!AE$1,FALSE)</f>
        <v>0</v>
      </c>
      <c r="T13" s="802">
        <f>VLOOKUP($E13,[2]tropical!$A$4:$AF$46,[2]tropical!AF$1,FALSE)</f>
        <v>0</v>
      </c>
      <c r="U13" s="798">
        <f t="shared" si="0"/>
        <v>143</v>
      </c>
    </row>
    <row r="14" spans="1:21">
      <c r="A14" s="788">
        <v>8011</v>
      </c>
      <c r="B14" s="788" t="s">
        <v>774</v>
      </c>
      <c r="C14" s="788">
        <v>677</v>
      </c>
      <c r="D14" s="788" t="s">
        <v>84</v>
      </c>
      <c r="E14" s="790" t="s">
        <v>2603</v>
      </c>
      <c r="F14" s="790" t="s">
        <v>2617</v>
      </c>
      <c r="G14" s="798">
        <v>0</v>
      </c>
      <c r="H14" s="798">
        <v>5</v>
      </c>
      <c r="I14" s="798">
        <v>1</v>
      </c>
      <c r="J14" s="798">
        <v>1</v>
      </c>
      <c r="K14" s="798">
        <v>0</v>
      </c>
      <c r="L14" s="798">
        <v>0</v>
      </c>
      <c r="M14" s="798">
        <v>0</v>
      </c>
      <c r="N14" s="798">
        <v>0</v>
      </c>
      <c r="O14" s="798">
        <v>10</v>
      </c>
      <c r="P14" s="798">
        <v>0</v>
      </c>
      <c r="Q14" s="798">
        <v>0</v>
      </c>
      <c r="R14" s="802">
        <f>VLOOKUP($E14,[2]tropical!$A$4:$AF$46,[2]tropical!AD$1,FALSE)</f>
        <v>0</v>
      </c>
      <c r="S14" s="802">
        <f>VLOOKUP($E14,[2]tropical!$A$4:$AF$46,[2]tropical!AE$1,FALSE)</f>
        <v>0</v>
      </c>
      <c r="T14" s="802">
        <f>VLOOKUP($E14,[2]tropical!$A$4:$AF$46,[2]tropical!AF$1,FALSE)</f>
        <v>0</v>
      </c>
      <c r="U14" s="798">
        <f t="shared" si="0"/>
        <v>17</v>
      </c>
    </row>
    <row r="15" spans="1:21">
      <c r="A15" s="788">
        <v>8012</v>
      </c>
      <c r="B15" s="788" t="s">
        <v>781</v>
      </c>
      <c r="C15" s="788">
        <v>353</v>
      </c>
      <c r="D15" s="788" t="s">
        <v>82</v>
      </c>
      <c r="E15" s="790" t="s">
        <v>767</v>
      </c>
      <c r="F15" s="790" t="s">
        <v>2616</v>
      </c>
      <c r="G15" s="798">
        <v>0</v>
      </c>
      <c r="H15" s="798">
        <v>0</v>
      </c>
      <c r="I15" s="798">
        <v>27</v>
      </c>
      <c r="J15" s="798">
        <v>10</v>
      </c>
      <c r="K15" s="798">
        <v>13</v>
      </c>
      <c r="L15" s="798">
        <v>30</v>
      </c>
      <c r="M15" s="798">
        <v>11</v>
      </c>
      <c r="N15" s="798">
        <v>11</v>
      </c>
      <c r="O15" s="798">
        <v>26</v>
      </c>
      <c r="P15" s="798">
        <v>12</v>
      </c>
      <c r="Q15" s="798">
        <v>3</v>
      </c>
      <c r="R15" s="802">
        <f>VLOOKUP($E15,[2]tropical!$A$4:$AF$46,[2]tropical!AD$1,FALSE)</f>
        <v>0</v>
      </c>
      <c r="S15" s="802">
        <f>VLOOKUP($E15,[2]tropical!$A$4:$AF$46,[2]tropical!AE$1,FALSE)</f>
        <v>0</v>
      </c>
      <c r="T15" s="802">
        <f>VLOOKUP($E15,[2]tropical!$A$4:$AF$46,[2]tropical!AF$1,FALSE)</f>
        <v>0</v>
      </c>
      <c r="U15" s="798">
        <f t="shared" si="0"/>
        <v>143</v>
      </c>
    </row>
    <row r="16" spans="1:21">
      <c r="A16" s="788">
        <v>8013</v>
      </c>
      <c r="B16" s="788" t="s">
        <v>787</v>
      </c>
      <c r="C16" s="788">
        <v>280</v>
      </c>
      <c r="D16" s="788" t="s">
        <v>791</v>
      </c>
      <c r="E16" s="790" t="s">
        <v>1108</v>
      </c>
      <c r="F16" s="790" t="s">
        <v>2615</v>
      </c>
      <c r="G16" s="798">
        <v>1</v>
      </c>
      <c r="H16" s="798">
        <v>4</v>
      </c>
      <c r="I16" s="798">
        <v>1</v>
      </c>
      <c r="J16" s="798">
        <v>1</v>
      </c>
      <c r="K16" s="798">
        <v>0</v>
      </c>
      <c r="L16" s="798">
        <v>5</v>
      </c>
      <c r="M16" s="798">
        <v>1</v>
      </c>
      <c r="N16" s="798">
        <v>0</v>
      </c>
      <c r="O16" s="798">
        <v>2</v>
      </c>
      <c r="P16" s="798">
        <v>0</v>
      </c>
      <c r="Q16" s="798">
        <v>0</v>
      </c>
      <c r="R16" s="802">
        <f>VLOOKUP($E16,[2]tropical!$A$4:$AF$46,[2]tropical!AD$1,FALSE)</f>
        <v>0</v>
      </c>
      <c r="S16" s="802">
        <f>VLOOKUP($E16,[2]tropical!$A$4:$AF$46,[2]tropical!AE$1,FALSE)</f>
        <v>0</v>
      </c>
      <c r="T16" s="802">
        <f>VLOOKUP($E16,[2]tropical!$A$4:$AF$46,[2]tropical!AF$1,FALSE)</f>
        <v>0</v>
      </c>
      <c r="U16" s="798">
        <f t="shared" si="0"/>
        <v>15</v>
      </c>
    </row>
    <row r="17" spans="1:21">
      <c r="A17" s="788">
        <v>8014</v>
      </c>
      <c r="B17" s="788" t="s">
        <v>797</v>
      </c>
      <c r="C17" s="788">
        <v>404</v>
      </c>
      <c r="D17" s="788" t="s">
        <v>24</v>
      </c>
      <c r="E17" s="790" t="s">
        <v>867</v>
      </c>
      <c r="F17" s="790" t="s">
        <v>2616</v>
      </c>
      <c r="G17" s="798">
        <v>0</v>
      </c>
      <c r="H17" s="798">
        <v>3</v>
      </c>
      <c r="I17" s="798">
        <v>9</v>
      </c>
      <c r="J17" s="798">
        <v>4</v>
      </c>
      <c r="K17" s="798">
        <v>7</v>
      </c>
      <c r="L17" s="798">
        <v>7</v>
      </c>
      <c r="M17" s="798">
        <v>4</v>
      </c>
      <c r="N17" s="798">
        <v>0</v>
      </c>
      <c r="O17" s="798">
        <v>7</v>
      </c>
      <c r="P17" s="798">
        <v>1</v>
      </c>
      <c r="Q17" s="798">
        <v>0</v>
      </c>
      <c r="R17" s="802">
        <f>VLOOKUP($E17,[2]tropical!$A$4:$AF$46,[2]tropical!AD$1,FALSE)</f>
        <v>0</v>
      </c>
      <c r="S17" s="802">
        <f>VLOOKUP($E17,[2]tropical!$A$4:$AF$46,[2]tropical!AE$1,FALSE)</f>
        <v>0</v>
      </c>
      <c r="T17" s="802">
        <f>VLOOKUP($E17,[2]tropical!$A$4:$AF$46,[2]tropical!AF$1,FALSE)</f>
        <v>0</v>
      </c>
      <c r="U17" s="798">
        <f t="shared" si="0"/>
        <v>42</v>
      </c>
    </row>
    <row r="18" spans="1:21">
      <c r="A18" s="788">
        <v>8015</v>
      </c>
      <c r="B18" s="788" t="s">
        <v>335</v>
      </c>
      <c r="C18" s="788">
        <v>6</v>
      </c>
      <c r="D18" s="788" t="s">
        <v>83</v>
      </c>
      <c r="E18" s="790" t="s">
        <v>2604</v>
      </c>
      <c r="F18" s="790" t="s">
        <v>2615</v>
      </c>
      <c r="G18" s="798">
        <v>2</v>
      </c>
      <c r="H18" s="798">
        <v>4</v>
      </c>
      <c r="I18" s="798">
        <v>0</v>
      </c>
      <c r="J18" s="798">
        <v>0</v>
      </c>
      <c r="K18" s="798">
        <v>0</v>
      </c>
      <c r="L18" s="798">
        <v>0</v>
      </c>
      <c r="M18" s="798">
        <v>0</v>
      </c>
      <c r="N18" s="798">
        <v>0</v>
      </c>
      <c r="O18" s="798">
        <v>0</v>
      </c>
      <c r="P18" s="798">
        <v>0</v>
      </c>
      <c r="Q18" s="798">
        <v>0</v>
      </c>
      <c r="R18" s="802">
        <f>VLOOKUP($E18,[2]tropical!$A$4:$AF$46,[2]tropical!AD$1,FALSE)</f>
        <v>0</v>
      </c>
      <c r="S18" s="802">
        <f>VLOOKUP($E18,[2]tropical!$A$4:$AF$46,[2]tropical!AE$1,FALSE)</f>
        <v>0</v>
      </c>
      <c r="T18" s="802">
        <f>VLOOKUP($E18,[2]tropical!$A$4:$AF$46,[2]tropical!AF$1,FALSE)</f>
        <v>0</v>
      </c>
      <c r="U18" s="798">
        <f t="shared" si="0"/>
        <v>6</v>
      </c>
    </row>
    <row r="19" spans="1:21">
      <c r="A19" s="788">
        <v>8016</v>
      </c>
      <c r="B19" s="788" t="s">
        <v>807</v>
      </c>
      <c r="C19" s="788">
        <v>785</v>
      </c>
      <c r="D19" s="788" t="s">
        <v>84</v>
      </c>
      <c r="E19" s="790" t="s">
        <v>1125</v>
      </c>
      <c r="F19" s="790" t="s">
        <v>2617</v>
      </c>
      <c r="G19" s="798">
        <v>3</v>
      </c>
      <c r="H19" s="798">
        <v>0</v>
      </c>
      <c r="I19" s="798">
        <v>1</v>
      </c>
      <c r="J19" s="798">
        <v>2</v>
      </c>
      <c r="K19" s="798">
        <v>0</v>
      </c>
      <c r="L19" s="798">
        <v>0</v>
      </c>
      <c r="M19" s="798">
        <v>0</v>
      </c>
      <c r="N19" s="798">
        <v>0</v>
      </c>
      <c r="O19" s="798">
        <v>5</v>
      </c>
      <c r="P19" s="798">
        <v>0</v>
      </c>
      <c r="Q19" s="798">
        <v>0</v>
      </c>
      <c r="R19" s="802">
        <f>VLOOKUP($E19,[2]tropical!$A$4:$AF$46,[2]tropical!AD$1,FALSE)</f>
        <v>0</v>
      </c>
      <c r="S19" s="802">
        <f>VLOOKUP($E19,[2]tropical!$A$4:$AF$46,[2]tropical!AE$1,FALSE)</f>
        <v>0</v>
      </c>
      <c r="T19" s="802">
        <f>VLOOKUP($E19,[2]tropical!$A$4:$AF$46,[2]tropical!AF$1,FALSE)</f>
        <v>0</v>
      </c>
      <c r="U19" s="798">
        <f t="shared" si="0"/>
        <v>11</v>
      </c>
    </row>
    <row r="20" spans="1:21">
      <c r="A20" s="788">
        <v>8017</v>
      </c>
      <c r="B20" s="788" t="s">
        <v>812</v>
      </c>
      <c r="C20" s="788">
        <v>587</v>
      </c>
      <c r="D20" s="788" t="s">
        <v>88</v>
      </c>
      <c r="E20" s="790" t="s">
        <v>1127</v>
      </c>
      <c r="F20" s="790" t="s">
        <v>2617</v>
      </c>
      <c r="G20" s="798">
        <v>1</v>
      </c>
      <c r="H20" s="798">
        <v>9</v>
      </c>
      <c r="I20" s="798">
        <v>16</v>
      </c>
      <c r="J20" s="798">
        <v>7</v>
      </c>
      <c r="K20" s="798">
        <v>4</v>
      </c>
      <c r="L20" s="798">
        <v>11</v>
      </c>
      <c r="M20" s="798">
        <v>8</v>
      </c>
      <c r="N20" s="798">
        <v>5</v>
      </c>
      <c r="O20" s="798">
        <v>21</v>
      </c>
      <c r="P20" s="798">
        <v>0</v>
      </c>
      <c r="Q20" s="798">
        <v>1</v>
      </c>
      <c r="R20" s="802">
        <f>VLOOKUP($E20,[2]tropical!$A$4:$AF$46,[2]tropical!AD$1,FALSE)</f>
        <v>0</v>
      </c>
      <c r="S20" s="802">
        <f>VLOOKUP($E20,[2]tropical!$A$4:$AF$46,[2]tropical!AE$1,FALSE)</f>
        <v>0</v>
      </c>
      <c r="T20" s="802">
        <f>VLOOKUP($E20,[2]tropical!$A$4:$AF$46,[2]tropical!AF$1,FALSE)</f>
        <v>0</v>
      </c>
      <c r="U20" s="798">
        <f t="shared" si="0"/>
        <v>83</v>
      </c>
    </row>
    <row r="21" spans="1:21">
      <c r="A21" s="788">
        <v>8018</v>
      </c>
      <c r="B21" s="788" t="s">
        <v>817</v>
      </c>
      <c r="C21" s="788">
        <v>327</v>
      </c>
      <c r="D21" s="788" t="s">
        <v>82</v>
      </c>
      <c r="E21" s="790" t="s">
        <v>767</v>
      </c>
      <c r="F21" s="790" t="s">
        <v>2616</v>
      </c>
      <c r="G21" s="798">
        <v>0</v>
      </c>
      <c r="H21" s="798">
        <v>0</v>
      </c>
      <c r="I21" s="798">
        <v>27</v>
      </c>
      <c r="J21" s="798">
        <v>10</v>
      </c>
      <c r="K21" s="798">
        <v>13</v>
      </c>
      <c r="L21" s="798">
        <v>30</v>
      </c>
      <c r="M21" s="798">
        <v>11</v>
      </c>
      <c r="N21" s="798">
        <v>11</v>
      </c>
      <c r="O21" s="798">
        <v>26</v>
      </c>
      <c r="P21" s="798">
        <v>12</v>
      </c>
      <c r="Q21" s="798">
        <v>3</v>
      </c>
      <c r="R21" s="802">
        <f>VLOOKUP($E21,[2]tropical!$A$4:$AF$46,[2]tropical!AD$1,FALSE)</f>
        <v>0</v>
      </c>
      <c r="S21" s="802">
        <f>VLOOKUP($E21,[2]tropical!$A$4:$AF$46,[2]tropical!AE$1,FALSE)</f>
        <v>0</v>
      </c>
      <c r="T21" s="802">
        <f>VLOOKUP($E21,[2]tropical!$A$4:$AF$46,[2]tropical!AF$1,FALSE)</f>
        <v>0</v>
      </c>
      <c r="U21" s="798">
        <f t="shared" si="0"/>
        <v>143</v>
      </c>
    </row>
    <row r="22" spans="1:21">
      <c r="A22" s="788">
        <v>8019</v>
      </c>
      <c r="B22" s="788" t="s">
        <v>331</v>
      </c>
      <c r="C22" s="788">
        <v>13</v>
      </c>
      <c r="D22" s="788" t="s">
        <v>83</v>
      </c>
      <c r="E22" s="790" t="s">
        <v>2605</v>
      </c>
      <c r="F22" s="790" t="s">
        <v>2615</v>
      </c>
      <c r="G22" s="798">
        <v>5</v>
      </c>
      <c r="H22" s="798">
        <v>7</v>
      </c>
      <c r="I22" s="798">
        <v>11</v>
      </c>
      <c r="J22" s="798">
        <v>0</v>
      </c>
      <c r="K22" s="798">
        <v>0</v>
      </c>
      <c r="L22" s="798">
        <v>6</v>
      </c>
      <c r="M22" s="798">
        <v>2</v>
      </c>
      <c r="N22" s="798">
        <v>0</v>
      </c>
      <c r="O22" s="798">
        <v>1</v>
      </c>
      <c r="P22" s="798">
        <v>1</v>
      </c>
      <c r="Q22" s="798">
        <v>0</v>
      </c>
      <c r="R22" s="802">
        <f>VLOOKUP($E22,[2]tropical!$A$4:$AF$46,[2]tropical!AD$1,FALSE)</f>
        <v>0</v>
      </c>
      <c r="S22" s="802">
        <f>VLOOKUP($E22,[2]tropical!$A$4:$AF$46,[2]tropical!AE$1,FALSE)</f>
        <v>0</v>
      </c>
      <c r="T22" s="802">
        <f>VLOOKUP($E22,[2]tropical!$A$4:$AF$46,[2]tropical!AF$1,FALSE)</f>
        <v>0</v>
      </c>
      <c r="U22" s="798">
        <f t="shared" si="0"/>
        <v>33</v>
      </c>
    </row>
    <row r="23" spans="1:21">
      <c r="A23" s="788">
        <v>8020</v>
      </c>
      <c r="B23" s="788" t="s">
        <v>825</v>
      </c>
      <c r="C23" s="788">
        <v>399</v>
      </c>
      <c r="D23" s="788" t="s">
        <v>90</v>
      </c>
      <c r="E23" s="790" t="s">
        <v>2606</v>
      </c>
      <c r="F23" s="790" t="s">
        <v>2616</v>
      </c>
      <c r="G23" s="798">
        <v>0</v>
      </c>
      <c r="H23" s="798">
        <v>0</v>
      </c>
      <c r="I23" s="798">
        <v>0</v>
      </c>
      <c r="J23" s="798">
        <v>0</v>
      </c>
      <c r="K23" s="798">
        <v>0</v>
      </c>
      <c r="L23" s="798">
        <v>0</v>
      </c>
      <c r="M23" s="798">
        <v>0</v>
      </c>
      <c r="N23" s="798">
        <v>0</v>
      </c>
      <c r="O23" s="798">
        <v>0</v>
      </c>
      <c r="P23" s="798">
        <v>0</v>
      </c>
      <c r="Q23" s="798">
        <v>0</v>
      </c>
      <c r="R23" s="802">
        <f>VLOOKUP($E23,[2]tropical!$A$4:$AF$46,[2]tropical!AD$1,FALSE)</f>
        <v>0</v>
      </c>
      <c r="S23" s="802">
        <f>VLOOKUP($E23,[2]tropical!$A$4:$AF$46,[2]tropical!AE$1,FALSE)</f>
        <v>0</v>
      </c>
      <c r="T23" s="802">
        <f>VLOOKUP($E23,[2]tropical!$A$4:$AF$46,[2]tropical!AF$1,FALSE)</f>
        <v>0</v>
      </c>
      <c r="U23" s="798">
        <f t="shared" si="0"/>
        <v>0</v>
      </c>
    </row>
    <row r="24" spans="1:21">
      <c r="A24" s="788">
        <v>8021</v>
      </c>
      <c r="B24" s="788" t="s">
        <v>829</v>
      </c>
      <c r="C24" s="788">
        <v>653</v>
      </c>
      <c r="D24" s="788" t="s">
        <v>81</v>
      </c>
      <c r="E24" s="790" t="s">
        <v>1274</v>
      </c>
      <c r="F24" s="790" t="s">
        <v>2616</v>
      </c>
      <c r="G24" s="798">
        <v>4</v>
      </c>
      <c r="H24" s="798">
        <v>15</v>
      </c>
      <c r="I24" s="798">
        <v>20</v>
      </c>
      <c r="J24" s="798">
        <v>2</v>
      </c>
      <c r="K24" s="798">
        <v>5</v>
      </c>
      <c r="L24" s="798">
        <v>8</v>
      </c>
      <c r="M24" s="798">
        <v>2</v>
      </c>
      <c r="N24" s="798">
        <v>4</v>
      </c>
      <c r="O24" s="798">
        <v>16</v>
      </c>
      <c r="P24" s="798">
        <v>0</v>
      </c>
      <c r="Q24" s="798">
        <v>1</v>
      </c>
      <c r="R24" s="802">
        <f>VLOOKUP($E24,[2]tropical!$A$4:$AF$46,[2]tropical!AD$1,FALSE)</f>
        <v>0</v>
      </c>
      <c r="S24" s="802">
        <f>VLOOKUP($E24,[2]tropical!$A$4:$AF$46,[2]tropical!AE$1,FALSE)</f>
        <v>0</v>
      </c>
      <c r="T24" s="802">
        <f>VLOOKUP($E24,[2]tropical!$A$4:$AF$46,[2]tropical!AF$1,FALSE)</f>
        <v>0</v>
      </c>
      <c r="U24" s="798">
        <f t="shared" si="0"/>
        <v>77</v>
      </c>
    </row>
    <row r="25" spans="1:21">
      <c r="A25" s="788">
        <v>8022</v>
      </c>
      <c r="B25" s="788" t="s">
        <v>777</v>
      </c>
      <c r="C25" s="788">
        <v>704</v>
      </c>
      <c r="D25" s="788" t="s">
        <v>84</v>
      </c>
      <c r="E25" s="790" t="s">
        <v>1125</v>
      </c>
      <c r="F25" s="790" t="s">
        <v>2617</v>
      </c>
      <c r="G25" s="798">
        <v>3</v>
      </c>
      <c r="H25" s="798">
        <v>0</v>
      </c>
      <c r="I25" s="798">
        <v>1</v>
      </c>
      <c r="J25" s="798">
        <v>2</v>
      </c>
      <c r="K25" s="798">
        <v>0</v>
      </c>
      <c r="L25" s="798">
        <v>0</v>
      </c>
      <c r="M25" s="798">
        <v>0</v>
      </c>
      <c r="N25" s="798">
        <v>0</v>
      </c>
      <c r="O25" s="798">
        <v>5</v>
      </c>
      <c r="P25" s="798">
        <v>0</v>
      </c>
      <c r="Q25" s="798">
        <v>0</v>
      </c>
      <c r="R25" s="802">
        <f>VLOOKUP($E25,[2]tropical!$A$4:$AF$46,[2]tropical!AD$1,FALSE)</f>
        <v>0</v>
      </c>
      <c r="S25" s="802">
        <f>VLOOKUP($E25,[2]tropical!$A$4:$AF$46,[2]tropical!AE$1,FALSE)</f>
        <v>0</v>
      </c>
      <c r="T25" s="802">
        <f>VLOOKUP($E25,[2]tropical!$A$4:$AF$46,[2]tropical!AF$1,FALSE)</f>
        <v>0</v>
      </c>
      <c r="U25" s="798">
        <f t="shared" si="0"/>
        <v>11</v>
      </c>
    </row>
    <row r="26" spans="1:21">
      <c r="A26" s="788">
        <v>8023</v>
      </c>
      <c r="B26" s="788" t="s">
        <v>838</v>
      </c>
      <c r="C26" s="788">
        <v>307</v>
      </c>
      <c r="D26" s="788" t="s">
        <v>24</v>
      </c>
      <c r="E26" s="790" t="s">
        <v>867</v>
      </c>
      <c r="F26" s="790" t="s">
        <v>2616</v>
      </c>
      <c r="G26" s="798">
        <v>0</v>
      </c>
      <c r="H26" s="798">
        <v>3</v>
      </c>
      <c r="I26" s="798">
        <v>9</v>
      </c>
      <c r="J26" s="798">
        <v>4</v>
      </c>
      <c r="K26" s="798">
        <v>7</v>
      </c>
      <c r="L26" s="798">
        <v>7</v>
      </c>
      <c r="M26" s="798">
        <v>4</v>
      </c>
      <c r="N26" s="798">
        <v>0</v>
      </c>
      <c r="O26" s="798">
        <v>7</v>
      </c>
      <c r="P26" s="798">
        <v>1</v>
      </c>
      <c r="Q26" s="798">
        <v>0</v>
      </c>
      <c r="R26" s="802">
        <f>VLOOKUP($E26,[2]tropical!$A$4:$AF$46,[2]tropical!AD$1,FALSE)</f>
        <v>0</v>
      </c>
      <c r="S26" s="802">
        <f>VLOOKUP($E26,[2]tropical!$A$4:$AF$46,[2]tropical!AE$1,FALSE)</f>
        <v>0</v>
      </c>
      <c r="T26" s="802">
        <f>VLOOKUP($E26,[2]tropical!$A$4:$AF$46,[2]tropical!AF$1,FALSE)</f>
        <v>0</v>
      </c>
      <c r="U26" s="798">
        <f t="shared" si="0"/>
        <v>42</v>
      </c>
    </row>
    <row r="27" spans="1:21">
      <c r="A27" s="788">
        <v>8024</v>
      </c>
      <c r="B27" s="788" t="s">
        <v>843</v>
      </c>
      <c r="C27" s="788">
        <v>854</v>
      </c>
      <c r="D27" s="788" t="s">
        <v>84</v>
      </c>
      <c r="E27" s="790" t="s">
        <v>2603</v>
      </c>
      <c r="F27" s="790" t="s">
        <v>2617</v>
      </c>
      <c r="G27" s="798">
        <v>0</v>
      </c>
      <c r="H27" s="798">
        <v>5</v>
      </c>
      <c r="I27" s="798">
        <v>1</v>
      </c>
      <c r="J27" s="798">
        <v>1</v>
      </c>
      <c r="K27" s="798">
        <v>0</v>
      </c>
      <c r="L27" s="798">
        <v>0</v>
      </c>
      <c r="M27" s="798">
        <v>0</v>
      </c>
      <c r="N27" s="798">
        <v>0</v>
      </c>
      <c r="O27" s="798">
        <v>10</v>
      </c>
      <c r="P27" s="798">
        <v>0</v>
      </c>
      <c r="Q27" s="798">
        <v>0</v>
      </c>
      <c r="R27" s="802">
        <f>VLOOKUP($E27,[2]tropical!$A$4:$AF$46,[2]tropical!AD$1,FALSE)</f>
        <v>0</v>
      </c>
      <c r="S27" s="802">
        <f>VLOOKUP($E27,[2]tropical!$A$4:$AF$46,[2]tropical!AE$1,FALSE)</f>
        <v>0</v>
      </c>
      <c r="T27" s="802">
        <f>VLOOKUP($E27,[2]tropical!$A$4:$AF$46,[2]tropical!AF$1,FALSE)</f>
        <v>0</v>
      </c>
      <c r="U27" s="798">
        <f t="shared" si="0"/>
        <v>17</v>
      </c>
    </row>
    <row r="28" spans="1:21">
      <c r="A28" s="788">
        <v>8025</v>
      </c>
      <c r="B28" s="788" t="s">
        <v>846</v>
      </c>
      <c r="C28" s="788">
        <v>489</v>
      </c>
      <c r="D28" s="788" t="s">
        <v>81</v>
      </c>
      <c r="E28" s="790" t="s">
        <v>1334</v>
      </c>
      <c r="F28" s="790" t="s">
        <v>2615</v>
      </c>
      <c r="G28" s="798">
        <v>3</v>
      </c>
      <c r="H28" s="798">
        <v>3</v>
      </c>
      <c r="I28" s="798">
        <v>14</v>
      </c>
      <c r="J28" s="798">
        <v>2</v>
      </c>
      <c r="K28" s="798">
        <v>0</v>
      </c>
      <c r="L28" s="798">
        <v>4</v>
      </c>
      <c r="M28" s="798">
        <v>1</v>
      </c>
      <c r="N28" s="798">
        <v>2</v>
      </c>
      <c r="O28" s="798">
        <v>3</v>
      </c>
      <c r="P28" s="798">
        <v>2</v>
      </c>
      <c r="Q28" s="798">
        <v>1</v>
      </c>
      <c r="R28" s="802">
        <f>VLOOKUP($E28,[2]tropical!$A$4:$AF$46,[2]tropical!AD$1,FALSE)</f>
        <v>0</v>
      </c>
      <c r="S28" s="802">
        <f>VLOOKUP($E28,[2]tropical!$A$4:$AF$46,[2]tropical!AE$1,FALSE)</f>
        <v>0</v>
      </c>
      <c r="T28" s="802">
        <f>VLOOKUP($E28,[2]tropical!$A$4:$AF$46,[2]tropical!AF$1,FALSE)</f>
        <v>0</v>
      </c>
      <c r="U28" s="798">
        <f t="shared" si="0"/>
        <v>35</v>
      </c>
    </row>
    <row r="29" spans="1:21">
      <c r="A29" s="788">
        <v>8026</v>
      </c>
      <c r="B29" s="788" t="s">
        <v>850</v>
      </c>
      <c r="C29" s="788">
        <v>843</v>
      </c>
      <c r="D29" s="788" t="s">
        <v>88</v>
      </c>
      <c r="E29" s="790" t="s">
        <v>1233</v>
      </c>
      <c r="F29" s="790" t="s">
        <v>2616</v>
      </c>
      <c r="G29" s="798">
        <v>0</v>
      </c>
      <c r="H29" s="798">
        <v>2</v>
      </c>
      <c r="I29" s="798">
        <v>0</v>
      </c>
      <c r="J29" s="798">
        <v>0</v>
      </c>
      <c r="K29" s="798">
        <v>0</v>
      </c>
      <c r="L29" s="798">
        <v>0</v>
      </c>
      <c r="M29" s="798">
        <v>0</v>
      </c>
      <c r="N29" s="798">
        <v>0</v>
      </c>
      <c r="O29" s="798">
        <v>2</v>
      </c>
      <c r="P29" s="798">
        <v>0</v>
      </c>
      <c r="Q29" s="798">
        <v>0</v>
      </c>
      <c r="R29" s="802">
        <f>VLOOKUP($E29,[2]tropical!$A$4:$AF$46,[2]tropical!AD$1,FALSE)</f>
        <v>0</v>
      </c>
      <c r="S29" s="802">
        <f>VLOOKUP($E29,[2]tropical!$A$4:$AF$46,[2]tropical!AE$1,FALSE)</f>
        <v>0</v>
      </c>
      <c r="T29" s="802">
        <f>VLOOKUP($E29,[2]tropical!$A$4:$AF$46,[2]tropical!AF$1,FALSE)</f>
        <v>0</v>
      </c>
      <c r="U29" s="798">
        <f t="shared" si="0"/>
        <v>4</v>
      </c>
    </row>
    <row r="30" spans="1:21">
      <c r="A30" s="788">
        <v>8027</v>
      </c>
      <c r="B30" s="788" t="s">
        <v>854</v>
      </c>
      <c r="C30" s="788">
        <v>252</v>
      </c>
      <c r="D30" s="788" t="s">
        <v>791</v>
      </c>
      <c r="E30" s="790" t="s">
        <v>2607</v>
      </c>
      <c r="F30" s="790" t="s">
        <v>2615</v>
      </c>
      <c r="G30" s="798">
        <v>1</v>
      </c>
      <c r="H30" s="798">
        <v>4</v>
      </c>
      <c r="I30" s="798">
        <v>1</v>
      </c>
      <c r="J30" s="798">
        <v>1</v>
      </c>
      <c r="K30" s="798">
        <v>0</v>
      </c>
      <c r="L30" s="798">
        <v>5</v>
      </c>
      <c r="M30" s="798">
        <v>1</v>
      </c>
      <c r="N30" s="798">
        <v>0</v>
      </c>
      <c r="O30" s="798">
        <v>2</v>
      </c>
      <c r="P30" s="798">
        <v>0</v>
      </c>
      <c r="Q30" s="798">
        <v>0</v>
      </c>
      <c r="R30" s="802">
        <f>VLOOKUP($E30,[2]tropical!$A$4:$AF$46,[2]tropical!AD$1,FALSE)</f>
        <v>0</v>
      </c>
      <c r="S30" s="802">
        <f>VLOOKUP($E30,[2]tropical!$A$4:$AF$46,[2]tropical!AE$1,FALSE)</f>
        <v>0</v>
      </c>
      <c r="T30" s="802">
        <f>VLOOKUP($E30,[2]tropical!$A$4:$AF$46,[2]tropical!AF$1,FALSE)</f>
        <v>0</v>
      </c>
      <c r="U30" s="798">
        <f t="shared" si="0"/>
        <v>15</v>
      </c>
    </row>
    <row r="31" spans="1:21">
      <c r="A31" s="788">
        <v>8028</v>
      </c>
      <c r="B31" s="788" t="s">
        <v>856</v>
      </c>
      <c r="C31" s="788">
        <v>299</v>
      </c>
      <c r="D31" s="788" t="s">
        <v>81</v>
      </c>
      <c r="E31" s="790" t="s">
        <v>2608</v>
      </c>
      <c r="F31" s="790" t="s">
        <v>2616</v>
      </c>
      <c r="G31" s="798">
        <v>1</v>
      </c>
      <c r="H31" s="798">
        <v>3</v>
      </c>
      <c r="I31" s="798">
        <v>7</v>
      </c>
      <c r="J31" s="798">
        <v>2</v>
      </c>
      <c r="K31" s="798">
        <v>1</v>
      </c>
      <c r="L31" s="798">
        <v>3</v>
      </c>
      <c r="M31" s="798">
        <v>1</v>
      </c>
      <c r="N31" s="798">
        <v>0</v>
      </c>
      <c r="O31" s="798">
        <v>1</v>
      </c>
      <c r="P31" s="798">
        <v>0</v>
      </c>
      <c r="Q31" s="798">
        <v>1</v>
      </c>
      <c r="R31" s="802">
        <f>VLOOKUP($E31,[2]tropical!$A$4:$AF$46,[2]tropical!AD$1,FALSE)</f>
        <v>0</v>
      </c>
      <c r="S31" s="802">
        <f>VLOOKUP($E31,[2]tropical!$A$4:$AF$46,[2]tropical!AE$1,FALSE)</f>
        <v>0</v>
      </c>
      <c r="T31" s="802">
        <f>VLOOKUP($E31,[2]tropical!$A$4:$AF$46,[2]tropical!AF$1,FALSE)</f>
        <v>0</v>
      </c>
      <c r="U31" s="798">
        <f t="shared" si="0"/>
        <v>20</v>
      </c>
    </row>
    <row r="32" spans="1:21">
      <c r="A32" s="788">
        <v>8029</v>
      </c>
      <c r="B32" s="788" t="s">
        <v>336</v>
      </c>
      <c r="C32" s="788">
        <v>104</v>
      </c>
      <c r="D32" s="788" t="s">
        <v>86</v>
      </c>
      <c r="E32" s="790" t="s">
        <v>352</v>
      </c>
      <c r="F32" s="790" t="s">
        <v>2615</v>
      </c>
      <c r="G32" s="798">
        <v>0</v>
      </c>
      <c r="H32" s="798">
        <v>1</v>
      </c>
      <c r="I32" s="798">
        <v>0</v>
      </c>
      <c r="J32" s="798">
        <v>0</v>
      </c>
      <c r="K32" s="798">
        <v>0</v>
      </c>
      <c r="L32" s="798">
        <v>1</v>
      </c>
      <c r="M32" s="798">
        <v>0</v>
      </c>
      <c r="N32" s="798">
        <v>0</v>
      </c>
      <c r="O32" s="798">
        <v>0</v>
      </c>
      <c r="P32" s="798">
        <v>0</v>
      </c>
      <c r="Q32" s="798">
        <v>0</v>
      </c>
      <c r="R32" s="802">
        <f>VLOOKUP($E32,[2]tropical!$A$4:$AF$46,[2]tropical!AD$1,FALSE)</f>
        <v>0</v>
      </c>
      <c r="S32" s="802">
        <f>VLOOKUP($E32,[2]tropical!$A$4:$AF$46,[2]tropical!AE$1,FALSE)</f>
        <v>0</v>
      </c>
      <c r="T32" s="802">
        <f>VLOOKUP($E32,[2]tropical!$A$4:$AF$46,[2]tropical!AF$1,FALSE)</f>
        <v>0</v>
      </c>
      <c r="U32" s="798">
        <f t="shared" si="0"/>
        <v>2</v>
      </c>
    </row>
    <row r="33" spans="1:21">
      <c r="A33" s="788">
        <v>8030</v>
      </c>
      <c r="B33" s="788" t="s">
        <v>864</v>
      </c>
      <c r="C33" s="788">
        <v>147</v>
      </c>
      <c r="D33" s="788" t="s">
        <v>86</v>
      </c>
      <c r="E33" s="790" t="s">
        <v>864</v>
      </c>
      <c r="F33" s="790" t="s">
        <v>2615</v>
      </c>
      <c r="G33" s="798">
        <v>0</v>
      </c>
      <c r="H33" s="798">
        <v>1</v>
      </c>
      <c r="I33" s="798">
        <v>0</v>
      </c>
      <c r="J33" s="798">
        <v>0</v>
      </c>
      <c r="K33" s="798">
        <v>0</v>
      </c>
      <c r="L33" s="798">
        <v>1</v>
      </c>
      <c r="M33" s="798">
        <v>0</v>
      </c>
      <c r="N33" s="798">
        <v>0</v>
      </c>
      <c r="O33" s="798">
        <v>0</v>
      </c>
      <c r="P33" s="798">
        <v>0</v>
      </c>
      <c r="Q33" s="798">
        <v>0</v>
      </c>
      <c r="R33" s="802">
        <f>VLOOKUP($E33,[2]tropical!$A$4:$AF$46,[2]tropical!AD$1,FALSE)</f>
        <v>0</v>
      </c>
      <c r="S33" s="802">
        <f>VLOOKUP($E33,[2]tropical!$A$4:$AF$46,[2]tropical!AE$1,FALSE)</f>
        <v>0</v>
      </c>
      <c r="T33" s="802">
        <f>VLOOKUP($E33,[2]tropical!$A$4:$AF$46,[2]tropical!AF$1,FALSE)</f>
        <v>0</v>
      </c>
      <c r="U33" s="798">
        <f t="shared" si="0"/>
        <v>2</v>
      </c>
    </row>
    <row r="34" spans="1:21">
      <c r="A34" s="788">
        <v>8031</v>
      </c>
      <c r="B34" s="788" t="s">
        <v>865</v>
      </c>
      <c r="C34" s="788">
        <v>680</v>
      </c>
      <c r="D34" s="788" t="s">
        <v>81</v>
      </c>
      <c r="E34" s="790" t="s">
        <v>1274</v>
      </c>
      <c r="F34" s="790" t="s">
        <v>2616</v>
      </c>
      <c r="G34" s="798">
        <v>4</v>
      </c>
      <c r="H34" s="798">
        <v>15</v>
      </c>
      <c r="I34" s="798">
        <v>20</v>
      </c>
      <c r="J34" s="798">
        <v>2</v>
      </c>
      <c r="K34" s="798">
        <v>5</v>
      </c>
      <c r="L34" s="798">
        <v>8</v>
      </c>
      <c r="M34" s="798">
        <v>2</v>
      </c>
      <c r="N34" s="798">
        <v>4</v>
      </c>
      <c r="O34" s="798">
        <v>16</v>
      </c>
      <c r="P34" s="798">
        <v>0</v>
      </c>
      <c r="Q34" s="798">
        <v>1</v>
      </c>
      <c r="R34" s="802">
        <f>VLOOKUP($E34,[2]tropical!$A$4:$AF$46,[2]tropical!AD$1,FALSE)</f>
        <v>0</v>
      </c>
      <c r="S34" s="802">
        <f>VLOOKUP($E34,[2]tropical!$A$4:$AF$46,[2]tropical!AE$1,FALSE)</f>
        <v>0</v>
      </c>
      <c r="T34" s="802">
        <f>VLOOKUP($E34,[2]tropical!$A$4:$AF$46,[2]tropical!AF$1,FALSE)</f>
        <v>0</v>
      </c>
      <c r="U34" s="798">
        <f t="shared" si="0"/>
        <v>77</v>
      </c>
    </row>
    <row r="35" spans="1:21">
      <c r="A35" s="788">
        <v>8032</v>
      </c>
      <c r="B35" s="788" t="s">
        <v>337</v>
      </c>
      <c r="C35" s="788">
        <v>33</v>
      </c>
      <c r="D35" s="788" t="s">
        <v>86</v>
      </c>
      <c r="E35" s="790" t="s">
        <v>352</v>
      </c>
      <c r="F35" s="790" t="s">
        <v>2615</v>
      </c>
      <c r="G35" s="798">
        <v>0</v>
      </c>
      <c r="H35" s="798">
        <v>1</v>
      </c>
      <c r="I35" s="798">
        <v>0</v>
      </c>
      <c r="J35" s="798">
        <v>0</v>
      </c>
      <c r="K35" s="798">
        <v>0</v>
      </c>
      <c r="L35" s="798">
        <v>1</v>
      </c>
      <c r="M35" s="798">
        <v>0</v>
      </c>
      <c r="N35" s="798">
        <v>0</v>
      </c>
      <c r="O35" s="798">
        <v>0</v>
      </c>
      <c r="P35" s="798">
        <v>0</v>
      </c>
      <c r="Q35" s="798">
        <v>0</v>
      </c>
      <c r="R35" s="802">
        <f>VLOOKUP($E35,[2]tropical!$A$4:$AF$46,[2]tropical!AD$1,FALSE)</f>
        <v>0</v>
      </c>
      <c r="S35" s="802">
        <f>VLOOKUP($E35,[2]tropical!$A$4:$AF$46,[2]tropical!AE$1,FALSE)</f>
        <v>0</v>
      </c>
      <c r="T35" s="802">
        <f>VLOOKUP($E35,[2]tropical!$A$4:$AF$46,[2]tropical!AF$1,FALSE)</f>
        <v>0</v>
      </c>
      <c r="U35" s="798">
        <f t="shared" si="0"/>
        <v>2</v>
      </c>
    </row>
    <row r="36" spans="1:21">
      <c r="A36" s="788">
        <v>8033</v>
      </c>
      <c r="B36" s="788" t="s">
        <v>867</v>
      </c>
      <c r="C36" s="788">
        <v>203</v>
      </c>
      <c r="D36" s="788" t="s">
        <v>24</v>
      </c>
      <c r="E36" s="790" t="s">
        <v>867</v>
      </c>
      <c r="F36" s="790" t="s">
        <v>2616</v>
      </c>
      <c r="G36" s="798">
        <v>0</v>
      </c>
      <c r="H36" s="798">
        <v>3</v>
      </c>
      <c r="I36" s="798">
        <v>9</v>
      </c>
      <c r="J36" s="798">
        <v>4</v>
      </c>
      <c r="K36" s="798">
        <v>7</v>
      </c>
      <c r="L36" s="798">
        <v>7</v>
      </c>
      <c r="M36" s="798">
        <v>4</v>
      </c>
      <c r="N36" s="798">
        <v>0</v>
      </c>
      <c r="O36" s="798">
        <v>7</v>
      </c>
      <c r="P36" s="798">
        <v>1</v>
      </c>
      <c r="Q36" s="798">
        <v>0</v>
      </c>
      <c r="R36" s="802">
        <f>VLOOKUP($E36,[2]tropical!$A$4:$AF$46,[2]tropical!AD$1,FALSE)</f>
        <v>0</v>
      </c>
      <c r="S36" s="802">
        <f>VLOOKUP($E36,[2]tropical!$A$4:$AF$46,[2]tropical!AE$1,FALSE)</f>
        <v>0</v>
      </c>
      <c r="T36" s="802">
        <f>VLOOKUP($E36,[2]tropical!$A$4:$AF$46,[2]tropical!AF$1,FALSE)</f>
        <v>0</v>
      </c>
      <c r="U36" s="798">
        <f t="shared" si="0"/>
        <v>42</v>
      </c>
    </row>
    <row r="37" spans="1:21">
      <c r="A37" s="788">
        <v>8034</v>
      </c>
      <c r="B37" s="788" t="s">
        <v>875</v>
      </c>
      <c r="C37" s="788">
        <v>552</v>
      </c>
      <c r="D37" s="788" t="s">
        <v>82</v>
      </c>
      <c r="E37" s="790" t="s">
        <v>767</v>
      </c>
      <c r="F37" s="790" t="s">
        <v>2616</v>
      </c>
      <c r="G37" s="798">
        <v>0</v>
      </c>
      <c r="H37" s="798">
        <v>0</v>
      </c>
      <c r="I37" s="798">
        <v>27</v>
      </c>
      <c r="J37" s="798">
        <v>10</v>
      </c>
      <c r="K37" s="798">
        <v>13</v>
      </c>
      <c r="L37" s="798">
        <v>30</v>
      </c>
      <c r="M37" s="798">
        <v>11</v>
      </c>
      <c r="N37" s="798">
        <v>11</v>
      </c>
      <c r="O37" s="798">
        <v>26</v>
      </c>
      <c r="P37" s="798">
        <v>12</v>
      </c>
      <c r="Q37" s="798">
        <v>3</v>
      </c>
      <c r="R37" s="802">
        <f>VLOOKUP($E37,[2]tropical!$A$4:$AF$46,[2]tropical!AD$1,FALSE)</f>
        <v>0</v>
      </c>
      <c r="S37" s="802">
        <f>VLOOKUP($E37,[2]tropical!$A$4:$AF$46,[2]tropical!AE$1,FALSE)</f>
        <v>0</v>
      </c>
      <c r="T37" s="802">
        <f>VLOOKUP($E37,[2]tropical!$A$4:$AF$46,[2]tropical!AF$1,FALSE)</f>
        <v>0</v>
      </c>
      <c r="U37" s="798">
        <f t="shared" si="0"/>
        <v>143</v>
      </c>
    </row>
    <row r="38" spans="1:21">
      <c r="A38" s="788">
        <v>8035</v>
      </c>
      <c r="B38" s="788" t="s">
        <v>338</v>
      </c>
      <c r="C38" s="788">
        <v>5</v>
      </c>
      <c r="D38" s="788" t="s">
        <v>86</v>
      </c>
      <c r="E38" s="790" t="s">
        <v>343</v>
      </c>
      <c r="F38" s="790" t="s">
        <v>2615</v>
      </c>
      <c r="G38" s="798">
        <v>0</v>
      </c>
      <c r="H38" s="798">
        <v>0</v>
      </c>
      <c r="I38" s="798">
        <v>0</v>
      </c>
      <c r="J38" s="798">
        <v>0</v>
      </c>
      <c r="K38" s="798">
        <v>0</v>
      </c>
      <c r="L38" s="798">
        <v>0</v>
      </c>
      <c r="M38" s="798">
        <v>0</v>
      </c>
      <c r="N38" s="798">
        <v>0</v>
      </c>
      <c r="O38" s="798">
        <v>0</v>
      </c>
      <c r="P38" s="798">
        <v>0</v>
      </c>
      <c r="Q38" s="798">
        <v>0</v>
      </c>
      <c r="R38" s="802">
        <f>VLOOKUP($E38,[2]tropical!$A$4:$AF$46,[2]tropical!AD$1,FALSE)</f>
        <v>0</v>
      </c>
      <c r="S38" s="802">
        <f>VLOOKUP($E38,[2]tropical!$A$4:$AF$46,[2]tropical!AE$1,FALSE)</f>
        <v>0</v>
      </c>
      <c r="T38" s="802">
        <f>VLOOKUP($E38,[2]tropical!$A$4:$AF$46,[2]tropical!AF$1,FALSE)</f>
        <v>0</v>
      </c>
      <c r="U38" s="798">
        <f t="shared" si="0"/>
        <v>0</v>
      </c>
    </row>
    <row r="39" spans="1:21">
      <c r="A39" s="788">
        <v>8036</v>
      </c>
      <c r="B39" s="788" t="s">
        <v>881</v>
      </c>
      <c r="C39" s="788">
        <v>688</v>
      </c>
      <c r="D39" s="788" t="s">
        <v>81</v>
      </c>
      <c r="E39" s="790" t="s">
        <v>1274</v>
      </c>
      <c r="F39" s="790" t="s">
        <v>2616</v>
      </c>
      <c r="G39" s="798">
        <v>4</v>
      </c>
      <c r="H39" s="798">
        <v>15</v>
      </c>
      <c r="I39" s="798">
        <v>20</v>
      </c>
      <c r="J39" s="798">
        <v>2</v>
      </c>
      <c r="K39" s="798">
        <v>5</v>
      </c>
      <c r="L39" s="798">
        <v>8</v>
      </c>
      <c r="M39" s="798">
        <v>2</v>
      </c>
      <c r="N39" s="798">
        <v>4</v>
      </c>
      <c r="O39" s="798">
        <v>16</v>
      </c>
      <c r="P39" s="798">
        <v>0</v>
      </c>
      <c r="Q39" s="798">
        <v>1</v>
      </c>
      <c r="R39" s="802">
        <f>VLOOKUP($E39,[2]tropical!$A$4:$AF$46,[2]tropical!AD$1,FALSE)</f>
        <v>0</v>
      </c>
      <c r="S39" s="802">
        <f>VLOOKUP($E39,[2]tropical!$A$4:$AF$46,[2]tropical!AE$1,FALSE)</f>
        <v>0</v>
      </c>
      <c r="T39" s="802">
        <f>VLOOKUP($E39,[2]tropical!$A$4:$AF$46,[2]tropical!AF$1,FALSE)</f>
        <v>0</v>
      </c>
      <c r="U39" s="798">
        <f t="shared" si="0"/>
        <v>77</v>
      </c>
    </row>
    <row r="40" spans="1:21">
      <c r="A40" s="788">
        <v>8037</v>
      </c>
      <c r="B40" s="788" t="s">
        <v>886</v>
      </c>
      <c r="C40" s="788">
        <v>489</v>
      </c>
      <c r="D40" s="788" t="s">
        <v>88</v>
      </c>
      <c r="E40" s="790" t="s">
        <v>1127</v>
      </c>
      <c r="F40" s="790" t="s">
        <v>2617</v>
      </c>
      <c r="G40" s="798">
        <v>1</v>
      </c>
      <c r="H40" s="798">
        <v>9</v>
      </c>
      <c r="I40" s="798">
        <v>16</v>
      </c>
      <c r="J40" s="798">
        <v>7</v>
      </c>
      <c r="K40" s="798">
        <v>4</v>
      </c>
      <c r="L40" s="798">
        <v>11</v>
      </c>
      <c r="M40" s="798">
        <v>8</v>
      </c>
      <c r="N40" s="798">
        <v>5</v>
      </c>
      <c r="O40" s="798">
        <v>21</v>
      </c>
      <c r="P40" s="798">
        <v>0</v>
      </c>
      <c r="Q40" s="798">
        <v>1</v>
      </c>
      <c r="R40" s="802">
        <f>VLOOKUP($E40,[2]tropical!$A$4:$AF$46,[2]tropical!AD$1,FALSE)</f>
        <v>0</v>
      </c>
      <c r="S40" s="802">
        <f>VLOOKUP($E40,[2]tropical!$A$4:$AF$46,[2]tropical!AE$1,FALSE)</f>
        <v>0</v>
      </c>
      <c r="T40" s="802">
        <f>VLOOKUP($E40,[2]tropical!$A$4:$AF$46,[2]tropical!AF$1,FALSE)</f>
        <v>0</v>
      </c>
      <c r="U40" s="798">
        <f t="shared" si="0"/>
        <v>83</v>
      </c>
    </row>
    <row r="41" spans="1:21">
      <c r="A41" s="788">
        <v>8038</v>
      </c>
      <c r="B41" s="788" t="s">
        <v>890</v>
      </c>
      <c r="C41" s="788">
        <v>260</v>
      </c>
      <c r="D41" s="788" t="s">
        <v>82</v>
      </c>
      <c r="E41" s="790" t="s">
        <v>767</v>
      </c>
      <c r="F41" s="790" t="s">
        <v>2616</v>
      </c>
      <c r="G41" s="798">
        <v>0</v>
      </c>
      <c r="H41" s="798">
        <v>0</v>
      </c>
      <c r="I41" s="798">
        <v>27</v>
      </c>
      <c r="J41" s="798">
        <v>10</v>
      </c>
      <c r="K41" s="798">
        <v>13</v>
      </c>
      <c r="L41" s="798">
        <v>30</v>
      </c>
      <c r="M41" s="798">
        <v>11</v>
      </c>
      <c r="N41" s="798">
        <v>11</v>
      </c>
      <c r="O41" s="798">
        <v>26</v>
      </c>
      <c r="P41" s="798">
        <v>12</v>
      </c>
      <c r="Q41" s="798">
        <v>3</v>
      </c>
      <c r="R41" s="802">
        <f>VLOOKUP($E41,[2]tropical!$A$4:$AF$46,[2]tropical!AD$1,FALSE)</f>
        <v>0</v>
      </c>
      <c r="S41" s="802">
        <f>VLOOKUP($E41,[2]tropical!$A$4:$AF$46,[2]tropical!AE$1,FALSE)</f>
        <v>0</v>
      </c>
      <c r="T41" s="802">
        <f>VLOOKUP($E41,[2]tropical!$A$4:$AF$46,[2]tropical!AF$1,FALSE)</f>
        <v>0</v>
      </c>
      <c r="U41" s="798">
        <f t="shared" si="0"/>
        <v>143</v>
      </c>
    </row>
    <row r="42" spans="1:21">
      <c r="A42" s="788">
        <v>8039</v>
      </c>
      <c r="B42" s="788" t="s">
        <v>894</v>
      </c>
      <c r="C42" s="788">
        <v>321</v>
      </c>
      <c r="D42" s="788" t="s">
        <v>24</v>
      </c>
      <c r="E42" s="790" t="s">
        <v>1743</v>
      </c>
      <c r="F42" s="790" t="s">
        <v>2616</v>
      </c>
      <c r="G42" s="798">
        <v>1</v>
      </c>
      <c r="H42" s="798">
        <v>7</v>
      </c>
      <c r="I42" s="798">
        <v>11</v>
      </c>
      <c r="J42" s="798">
        <v>2</v>
      </c>
      <c r="K42" s="798">
        <v>2</v>
      </c>
      <c r="L42" s="798">
        <v>5</v>
      </c>
      <c r="M42" s="798">
        <v>4</v>
      </c>
      <c r="N42" s="798">
        <v>0</v>
      </c>
      <c r="O42" s="798">
        <v>7</v>
      </c>
      <c r="P42" s="798">
        <v>0</v>
      </c>
      <c r="Q42" s="798">
        <v>0</v>
      </c>
      <c r="R42" s="802">
        <f>VLOOKUP($E42,[2]tropical!$A$4:$AF$46,[2]tropical!AD$1,FALSE)</f>
        <v>0</v>
      </c>
      <c r="S42" s="802">
        <f>VLOOKUP($E42,[2]tropical!$A$4:$AF$46,[2]tropical!AE$1,FALSE)</f>
        <v>0</v>
      </c>
      <c r="T42" s="802">
        <f>VLOOKUP($E42,[2]tropical!$A$4:$AF$46,[2]tropical!AF$1,FALSE)</f>
        <v>0</v>
      </c>
      <c r="U42" s="798">
        <f t="shared" si="0"/>
        <v>39</v>
      </c>
    </row>
    <row r="43" spans="1:21">
      <c r="A43" s="788">
        <v>8040</v>
      </c>
      <c r="B43" s="788" t="s">
        <v>339</v>
      </c>
      <c r="C43" s="788">
        <v>15</v>
      </c>
      <c r="D43" s="788" t="s">
        <v>86</v>
      </c>
      <c r="E43" s="790" t="s">
        <v>352</v>
      </c>
      <c r="F43" s="790" t="s">
        <v>2615</v>
      </c>
      <c r="G43" s="798">
        <v>0</v>
      </c>
      <c r="H43" s="798">
        <v>1</v>
      </c>
      <c r="I43" s="798">
        <v>0</v>
      </c>
      <c r="J43" s="798">
        <v>0</v>
      </c>
      <c r="K43" s="798">
        <v>0</v>
      </c>
      <c r="L43" s="798">
        <v>1</v>
      </c>
      <c r="M43" s="798">
        <v>0</v>
      </c>
      <c r="N43" s="798">
        <v>0</v>
      </c>
      <c r="O43" s="798">
        <v>0</v>
      </c>
      <c r="P43" s="798">
        <v>0</v>
      </c>
      <c r="Q43" s="798">
        <v>0</v>
      </c>
      <c r="R43" s="802">
        <f>VLOOKUP($E43,[2]tropical!$A$4:$AF$46,[2]tropical!AD$1,FALSE)</f>
        <v>0</v>
      </c>
      <c r="S43" s="802">
        <f>VLOOKUP($E43,[2]tropical!$A$4:$AF$46,[2]tropical!AE$1,FALSE)</f>
        <v>0</v>
      </c>
      <c r="T43" s="802">
        <f>VLOOKUP($E43,[2]tropical!$A$4:$AF$46,[2]tropical!AF$1,FALSE)</f>
        <v>0</v>
      </c>
      <c r="U43" s="798">
        <f t="shared" si="0"/>
        <v>2</v>
      </c>
    </row>
    <row r="44" spans="1:21">
      <c r="A44" s="788">
        <v>8041</v>
      </c>
      <c r="B44" s="788" t="s">
        <v>900</v>
      </c>
      <c r="C44" s="788">
        <v>175</v>
      </c>
      <c r="D44" s="788" t="s">
        <v>24</v>
      </c>
      <c r="E44" s="790" t="s">
        <v>1743</v>
      </c>
      <c r="F44" s="790" t="s">
        <v>2616</v>
      </c>
      <c r="G44" s="798">
        <v>1</v>
      </c>
      <c r="H44" s="798">
        <v>7</v>
      </c>
      <c r="I44" s="798">
        <v>11</v>
      </c>
      <c r="J44" s="798">
        <v>2</v>
      </c>
      <c r="K44" s="798">
        <v>2</v>
      </c>
      <c r="L44" s="798">
        <v>5</v>
      </c>
      <c r="M44" s="798">
        <v>4</v>
      </c>
      <c r="N44" s="798">
        <v>0</v>
      </c>
      <c r="O44" s="798">
        <v>7</v>
      </c>
      <c r="P44" s="798">
        <v>0</v>
      </c>
      <c r="Q44" s="798">
        <v>0</v>
      </c>
      <c r="R44" s="802">
        <f>VLOOKUP($E44,[2]tropical!$A$4:$AF$46,[2]tropical!AD$1,FALSE)</f>
        <v>0</v>
      </c>
      <c r="S44" s="802">
        <f>VLOOKUP($E44,[2]tropical!$A$4:$AF$46,[2]tropical!AE$1,FALSE)</f>
        <v>0</v>
      </c>
      <c r="T44" s="802">
        <f>VLOOKUP($E44,[2]tropical!$A$4:$AF$46,[2]tropical!AF$1,FALSE)</f>
        <v>0</v>
      </c>
      <c r="U44" s="798">
        <f t="shared" si="0"/>
        <v>39</v>
      </c>
    </row>
    <row r="45" spans="1:21">
      <c r="A45" s="788">
        <v>8042</v>
      </c>
      <c r="B45" s="788" t="s">
        <v>901</v>
      </c>
      <c r="C45" s="788">
        <v>346</v>
      </c>
      <c r="D45" s="788" t="s">
        <v>24</v>
      </c>
      <c r="E45" s="790" t="s">
        <v>1743</v>
      </c>
      <c r="F45" s="790" t="s">
        <v>2616</v>
      </c>
      <c r="G45" s="798">
        <v>1</v>
      </c>
      <c r="H45" s="798">
        <v>7</v>
      </c>
      <c r="I45" s="798">
        <v>11</v>
      </c>
      <c r="J45" s="798">
        <v>2</v>
      </c>
      <c r="K45" s="798">
        <v>2</v>
      </c>
      <c r="L45" s="798">
        <v>5</v>
      </c>
      <c r="M45" s="798">
        <v>4</v>
      </c>
      <c r="N45" s="798">
        <v>0</v>
      </c>
      <c r="O45" s="798">
        <v>7</v>
      </c>
      <c r="P45" s="798">
        <v>0</v>
      </c>
      <c r="Q45" s="798">
        <v>0</v>
      </c>
      <c r="R45" s="802">
        <f>VLOOKUP($E45,[2]tropical!$A$4:$AF$46,[2]tropical!AD$1,FALSE)</f>
        <v>0</v>
      </c>
      <c r="S45" s="802">
        <f>VLOOKUP($E45,[2]tropical!$A$4:$AF$46,[2]tropical!AE$1,FALSE)</f>
        <v>0</v>
      </c>
      <c r="T45" s="802">
        <f>VLOOKUP($E45,[2]tropical!$A$4:$AF$46,[2]tropical!AF$1,FALSE)</f>
        <v>0</v>
      </c>
      <c r="U45" s="798">
        <f t="shared" si="0"/>
        <v>39</v>
      </c>
    </row>
    <row r="46" spans="1:21">
      <c r="A46" s="788">
        <v>8043</v>
      </c>
      <c r="B46" s="788" t="s">
        <v>906</v>
      </c>
      <c r="C46" s="788">
        <v>142</v>
      </c>
      <c r="D46" s="788" t="s">
        <v>85</v>
      </c>
      <c r="E46" s="790" t="s">
        <v>2609</v>
      </c>
      <c r="F46" s="790" t="s">
        <v>2615</v>
      </c>
      <c r="G46" s="798">
        <v>1</v>
      </c>
      <c r="H46" s="798">
        <v>4</v>
      </c>
      <c r="I46" s="798">
        <v>5</v>
      </c>
      <c r="J46" s="798">
        <v>1</v>
      </c>
      <c r="K46" s="798">
        <v>0</v>
      </c>
      <c r="L46" s="798">
        <v>3</v>
      </c>
      <c r="M46" s="798">
        <v>1</v>
      </c>
      <c r="N46" s="798">
        <v>1</v>
      </c>
      <c r="O46" s="798">
        <v>1</v>
      </c>
      <c r="P46" s="798">
        <v>2</v>
      </c>
      <c r="Q46" s="798">
        <v>0</v>
      </c>
      <c r="R46" s="802">
        <f>VLOOKUP($E46,[2]tropical!$A$4:$AF$46,[2]tropical!AD$1,FALSE)</f>
        <v>0</v>
      </c>
      <c r="S46" s="802">
        <f>VLOOKUP($E46,[2]tropical!$A$4:$AF$46,[2]tropical!AE$1,FALSE)</f>
        <v>0</v>
      </c>
      <c r="T46" s="802">
        <f>VLOOKUP($E46,[2]tropical!$A$4:$AF$46,[2]tropical!AF$1,FALSE)</f>
        <v>0</v>
      </c>
      <c r="U46" s="798">
        <f t="shared" si="0"/>
        <v>19</v>
      </c>
    </row>
    <row r="47" spans="1:21">
      <c r="A47" s="788">
        <v>8044</v>
      </c>
      <c r="B47" s="788" t="s">
        <v>912</v>
      </c>
      <c r="C47" s="788">
        <v>317</v>
      </c>
      <c r="D47" s="788" t="s">
        <v>81</v>
      </c>
      <c r="E47" s="790" t="s">
        <v>2608</v>
      </c>
      <c r="F47" s="790" t="s">
        <v>2616</v>
      </c>
      <c r="G47" s="798">
        <v>1</v>
      </c>
      <c r="H47" s="798">
        <v>3</v>
      </c>
      <c r="I47" s="798">
        <v>7</v>
      </c>
      <c r="J47" s="798">
        <v>2</v>
      </c>
      <c r="K47" s="798">
        <v>1</v>
      </c>
      <c r="L47" s="798">
        <v>3</v>
      </c>
      <c r="M47" s="798">
        <v>1</v>
      </c>
      <c r="N47" s="798">
        <v>0</v>
      </c>
      <c r="O47" s="798">
        <v>1</v>
      </c>
      <c r="P47" s="798">
        <v>0</v>
      </c>
      <c r="Q47" s="798">
        <v>1</v>
      </c>
      <c r="R47" s="802">
        <f>VLOOKUP($E47,[2]tropical!$A$4:$AF$46,[2]tropical!AD$1,FALSE)</f>
        <v>0</v>
      </c>
      <c r="S47" s="802">
        <f>VLOOKUP($E47,[2]tropical!$A$4:$AF$46,[2]tropical!AE$1,FALSE)</f>
        <v>0</v>
      </c>
      <c r="T47" s="802">
        <f>VLOOKUP($E47,[2]tropical!$A$4:$AF$46,[2]tropical!AF$1,FALSE)</f>
        <v>0</v>
      </c>
      <c r="U47" s="798">
        <f t="shared" si="0"/>
        <v>20</v>
      </c>
    </row>
    <row r="48" spans="1:21">
      <c r="A48" s="788">
        <v>8045</v>
      </c>
      <c r="B48" s="788" t="s">
        <v>916</v>
      </c>
      <c r="C48" s="788">
        <v>1279</v>
      </c>
      <c r="D48" s="788" t="s">
        <v>84</v>
      </c>
      <c r="E48" s="790" t="s">
        <v>1105</v>
      </c>
      <c r="F48" s="790" t="s">
        <v>2617</v>
      </c>
      <c r="G48" s="798">
        <v>0</v>
      </c>
      <c r="H48" s="798">
        <v>0</v>
      </c>
      <c r="I48" s="798">
        <v>0</v>
      </c>
      <c r="J48" s="798">
        <v>0</v>
      </c>
      <c r="K48" s="798">
        <v>0</v>
      </c>
      <c r="L48" s="798">
        <v>0</v>
      </c>
      <c r="M48" s="798">
        <v>0</v>
      </c>
      <c r="N48" s="798">
        <v>0</v>
      </c>
      <c r="O48" s="798">
        <v>0</v>
      </c>
      <c r="P48" s="798">
        <v>0</v>
      </c>
      <c r="Q48" s="798">
        <v>0</v>
      </c>
      <c r="R48" s="802">
        <f>VLOOKUP($E48,[2]tropical!$A$4:$AF$46,[2]tropical!AD$1,FALSE)</f>
        <v>0</v>
      </c>
      <c r="S48" s="802">
        <f>VLOOKUP($E48,[2]tropical!$A$4:$AF$46,[2]tropical!AE$1,FALSE)</f>
        <v>0</v>
      </c>
      <c r="T48" s="802">
        <f>VLOOKUP($E48,[2]tropical!$A$4:$AF$46,[2]tropical!AF$1,FALSE)</f>
        <v>0</v>
      </c>
      <c r="U48" s="798">
        <f t="shared" si="0"/>
        <v>0</v>
      </c>
    </row>
    <row r="49" spans="1:21">
      <c r="A49" s="788">
        <v>8046</v>
      </c>
      <c r="B49" s="788" t="s">
        <v>920</v>
      </c>
      <c r="C49" s="788">
        <v>193</v>
      </c>
      <c r="D49" s="788" t="s">
        <v>24</v>
      </c>
      <c r="E49" s="790" t="s">
        <v>1743</v>
      </c>
      <c r="F49" s="790" t="s">
        <v>2616</v>
      </c>
      <c r="G49" s="798">
        <v>1</v>
      </c>
      <c r="H49" s="798">
        <v>7</v>
      </c>
      <c r="I49" s="798">
        <v>11</v>
      </c>
      <c r="J49" s="798">
        <v>2</v>
      </c>
      <c r="K49" s="798">
        <v>2</v>
      </c>
      <c r="L49" s="798">
        <v>5</v>
      </c>
      <c r="M49" s="798">
        <v>4</v>
      </c>
      <c r="N49" s="798">
        <v>0</v>
      </c>
      <c r="O49" s="798">
        <v>7</v>
      </c>
      <c r="P49" s="798">
        <v>0</v>
      </c>
      <c r="Q49" s="798">
        <v>0</v>
      </c>
      <c r="R49" s="802">
        <f>VLOOKUP($E49,[2]tropical!$A$4:$AF$46,[2]tropical!AD$1,FALSE)</f>
        <v>0</v>
      </c>
      <c r="S49" s="802">
        <f>VLOOKUP($E49,[2]tropical!$A$4:$AF$46,[2]tropical!AE$1,FALSE)</f>
        <v>0</v>
      </c>
      <c r="T49" s="802">
        <f>VLOOKUP($E49,[2]tropical!$A$4:$AF$46,[2]tropical!AF$1,FALSE)</f>
        <v>0</v>
      </c>
      <c r="U49" s="798">
        <f t="shared" si="0"/>
        <v>39</v>
      </c>
    </row>
    <row r="50" spans="1:21">
      <c r="A50" s="788">
        <v>8047</v>
      </c>
      <c r="B50" s="788" t="s">
        <v>924</v>
      </c>
      <c r="C50" s="788">
        <v>507</v>
      </c>
      <c r="D50" s="788" t="s">
        <v>82</v>
      </c>
      <c r="E50" s="790" t="s">
        <v>1004</v>
      </c>
      <c r="F50" s="790" t="s">
        <v>2616</v>
      </c>
      <c r="G50" s="798">
        <v>5</v>
      </c>
      <c r="H50" s="798">
        <v>8</v>
      </c>
      <c r="I50" s="798">
        <v>9</v>
      </c>
      <c r="J50" s="798">
        <v>2</v>
      </c>
      <c r="K50" s="798">
        <v>2</v>
      </c>
      <c r="L50" s="798">
        <v>12</v>
      </c>
      <c r="M50" s="798">
        <v>6</v>
      </c>
      <c r="N50" s="798">
        <v>5</v>
      </c>
      <c r="O50" s="798">
        <v>18</v>
      </c>
      <c r="P50" s="798">
        <v>1</v>
      </c>
      <c r="Q50" s="798">
        <v>2</v>
      </c>
      <c r="R50" s="802">
        <f>VLOOKUP($E50,[2]tropical!$A$4:$AF$46,[2]tropical!AD$1,FALSE)</f>
        <v>0</v>
      </c>
      <c r="S50" s="802">
        <f>VLOOKUP($E50,[2]tropical!$A$4:$AF$46,[2]tropical!AE$1,FALSE)</f>
        <v>0</v>
      </c>
      <c r="T50" s="802">
        <f>VLOOKUP($E50,[2]tropical!$A$4:$AF$46,[2]tropical!AF$1,FALSE)</f>
        <v>0</v>
      </c>
      <c r="U50" s="798">
        <f t="shared" si="0"/>
        <v>70</v>
      </c>
    </row>
    <row r="51" spans="1:21">
      <c r="A51" s="788">
        <v>8048</v>
      </c>
      <c r="B51" s="788" t="s">
        <v>929</v>
      </c>
      <c r="C51" s="788">
        <v>351</v>
      </c>
      <c r="D51" s="788" t="s">
        <v>81</v>
      </c>
      <c r="E51" s="790" t="s">
        <v>2608</v>
      </c>
      <c r="F51" s="790" t="s">
        <v>2616</v>
      </c>
      <c r="G51" s="798">
        <v>1</v>
      </c>
      <c r="H51" s="798">
        <v>3</v>
      </c>
      <c r="I51" s="798">
        <v>7</v>
      </c>
      <c r="J51" s="798">
        <v>2</v>
      </c>
      <c r="K51" s="798">
        <v>1</v>
      </c>
      <c r="L51" s="798">
        <v>3</v>
      </c>
      <c r="M51" s="798">
        <v>1</v>
      </c>
      <c r="N51" s="798">
        <v>0</v>
      </c>
      <c r="O51" s="798">
        <v>1</v>
      </c>
      <c r="P51" s="798">
        <v>0</v>
      </c>
      <c r="Q51" s="798">
        <v>1</v>
      </c>
      <c r="R51" s="802">
        <f>VLOOKUP($E51,[2]tropical!$A$4:$AF$46,[2]tropical!AD$1,FALSE)</f>
        <v>0</v>
      </c>
      <c r="S51" s="802">
        <f>VLOOKUP($E51,[2]tropical!$A$4:$AF$46,[2]tropical!AE$1,FALSE)</f>
        <v>0</v>
      </c>
      <c r="T51" s="802">
        <f>VLOOKUP($E51,[2]tropical!$A$4:$AF$46,[2]tropical!AF$1,FALSE)</f>
        <v>0</v>
      </c>
      <c r="U51" s="798">
        <f t="shared" si="0"/>
        <v>20</v>
      </c>
    </row>
    <row r="52" spans="1:21">
      <c r="A52" s="788">
        <v>8049</v>
      </c>
      <c r="B52" s="788" t="s">
        <v>934</v>
      </c>
      <c r="C52" s="788">
        <v>611</v>
      </c>
      <c r="D52" s="788" t="s">
        <v>84</v>
      </c>
      <c r="E52" s="790" t="s">
        <v>1125</v>
      </c>
      <c r="F52" s="790" t="s">
        <v>2617</v>
      </c>
      <c r="G52" s="798">
        <v>3</v>
      </c>
      <c r="H52" s="798">
        <v>0</v>
      </c>
      <c r="I52" s="798">
        <v>1</v>
      </c>
      <c r="J52" s="798">
        <v>2</v>
      </c>
      <c r="K52" s="798">
        <v>0</v>
      </c>
      <c r="L52" s="798">
        <v>0</v>
      </c>
      <c r="M52" s="798">
        <v>0</v>
      </c>
      <c r="N52" s="798">
        <v>0</v>
      </c>
      <c r="O52" s="798">
        <v>5</v>
      </c>
      <c r="P52" s="798">
        <v>0</v>
      </c>
      <c r="Q52" s="798">
        <v>0</v>
      </c>
      <c r="R52" s="802">
        <f>VLOOKUP($E52,[2]tropical!$A$4:$AF$46,[2]tropical!AD$1,FALSE)</f>
        <v>0</v>
      </c>
      <c r="S52" s="802">
        <f>VLOOKUP($E52,[2]tropical!$A$4:$AF$46,[2]tropical!AE$1,FALSE)</f>
        <v>0</v>
      </c>
      <c r="T52" s="802">
        <f>VLOOKUP($E52,[2]tropical!$A$4:$AF$46,[2]tropical!AF$1,FALSE)</f>
        <v>0</v>
      </c>
      <c r="U52" s="798">
        <f t="shared" si="0"/>
        <v>11</v>
      </c>
    </row>
    <row r="53" spans="1:21">
      <c r="A53" s="788">
        <v>8050</v>
      </c>
      <c r="B53" s="788" t="s">
        <v>942</v>
      </c>
      <c r="C53" s="788">
        <v>920</v>
      </c>
      <c r="D53" s="788" t="s">
        <v>84</v>
      </c>
      <c r="E53" s="790" t="s">
        <v>2603</v>
      </c>
      <c r="F53" s="790" t="s">
        <v>2617</v>
      </c>
      <c r="G53" s="798">
        <v>0</v>
      </c>
      <c r="H53" s="798">
        <v>5</v>
      </c>
      <c r="I53" s="798">
        <v>1</v>
      </c>
      <c r="J53" s="798">
        <v>1</v>
      </c>
      <c r="K53" s="798">
        <v>0</v>
      </c>
      <c r="L53" s="798">
        <v>0</v>
      </c>
      <c r="M53" s="798">
        <v>0</v>
      </c>
      <c r="N53" s="798">
        <v>0</v>
      </c>
      <c r="O53" s="798">
        <v>10</v>
      </c>
      <c r="P53" s="798">
        <v>0</v>
      </c>
      <c r="Q53" s="798">
        <v>0</v>
      </c>
      <c r="R53" s="802">
        <f>VLOOKUP($E53,[2]tropical!$A$4:$AF$46,[2]tropical!AD$1,FALSE)</f>
        <v>0</v>
      </c>
      <c r="S53" s="802">
        <f>VLOOKUP($E53,[2]tropical!$A$4:$AF$46,[2]tropical!AE$1,FALSE)</f>
        <v>0</v>
      </c>
      <c r="T53" s="802">
        <f>VLOOKUP($E53,[2]tropical!$A$4:$AF$46,[2]tropical!AF$1,FALSE)</f>
        <v>0</v>
      </c>
      <c r="U53" s="798">
        <f t="shared" si="0"/>
        <v>17</v>
      </c>
    </row>
    <row r="54" spans="1:21">
      <c r="A54" s="788">
        <v>8051</v>
      </c>
      <c r="B54" s="788" t="s">
        <v>944</v>
      </c>
      <c r="C54" s="788">
        <v>331</v>
      </c>
      <c r="D54" s="788" t="s">
        <v>89</v>
      </c>
      <c r="E54" s="790" t="s">
        <v>1605</v>
      </c>
      <c r="F54" s="790" t="s">
        <v>2615</v>
      </c>
      <c r="G54" s="798">
        <v>2</v>
      </c>
      <c r="H54" s="798">
        <v>5</v>
      </c>
      <c r="I54" s="798">
        <v>9</v>
      </c>
      <c r="J54" s="798">
        <v>1</v>
      </c>
      <c r="K54" s="798">
        <v>3</v>
      </c>
      <c r="L54" s="798">
        <v>6</v>
      </c>
      <c r="M54" s="798">
        <v>4</v>
      </c>
      <c r="N54" s="798">
        <v>0</v>
      </c>
      <c r="O54" s="798">
        <v>7</v>
      </c>
      <c r="P54" s="798">
        <v>0</v>
      </c>
      <c r="Q54" s="798">
        <v>0</v>
      </c>
      <c r="R54" s="802">
        <f>VLOOKUP($E54,[2]tropical!$A$4:$AF$46,[2]tropical!AD$1,FALSE)</f>
        <v>0</v>
      </c>
      <c r="S54" s="802">
        <f>VLOOKUP($E54,[2]tropical!$A$4:$AF$46,[2]tropical!AE$1,FALSE)</f>
        <v>0</v>
      </c>
      <c r="T54" s="802">
        <f>VLOOKUP($E54,[2]tropical!$A$4:$AF$46,[2]tropical!AF$1,FALSE)</f>
        <v>0</v>
      </c>
      <c r="U54" s="798">
        <f t="shared" si="0"/>
        <v>37</v>
      </c>
    </row>
    <row r="55" spans="1:21">
      <c r="A55" s="788">
        <v>8052</v>
      </c>
      <c r="B55" s="788" t="s">
        <v>951</v>
      </c>
      <c r="C55" s="788">
        <v>1395</v>
      </c>
      <c r="D55" s="788" t="s">
        <v>84</v>
      </c>
      <c r="E55" s="790" t="s">
        <v>1125</v>
      </c>
      <c r="F55" s="790" t="s">
        <v>2617</v>
      </c>
      <c r="G55" s="798">
        <v>3</v>
      </c>
      <c r="H55" s="798">
        <v>0</v>
      </c>
      <c r="I55" s="798">
        <v>1</v>
      </c>
      <c r="J55" s="798">
        <v>2</v>
      </c>
      <c r="K55" s="798">
        <v>0</v>
      </c>
      <c r="L55" s="798">
        <v>0</v>
      </c>
      <c r="M55" s="798">
        <v>0</v>
      </c>
      <c r="N55" s="798">
        <v>0</v>
      </c>
      <c r="O55" s="798">
        <v>5</v>
      </c>
      <c r="P55" s="798">
        <v>0</v>
      </c>
      <c r="Q55" s="798">
        <v>0</v>
      </c>
      <c r="R55" s="802">
        <f>VLOOKUP($E55,[2]tropical!$A$4:$AF$46,[2]tropical!AD$1,FALSE)</f>
        <v>0</v>
      </c>
      <c r="S55" s="802">
        <f>VLOOKUP($E55,[2]tropical!$A$4:$AF$46,[2]tropical!AE$1,FALSE)</f>
        <v>0</v>
      </c>
      <c r="T55" s="802">
        <f>VLOOKUP($E55,[2]tropical!$A$4:$AF$46,[2]tropical!AF$1,FALSE)</f>
        <v>0</v>
      </c>
      <c r="U55" s="798">
        <f t="shared" si="0"/>
        <v>11</v>
      </c>
    </row>
    <row r="56" spans="1:21">
      <c r="A56" s="788">
        <v>8053</v>
      </c>
      <c r="B56" s="788" t="s">
        <v>958</v>
      </c>
      <c r="C56" s="788">
        <v>178</v>
      </c>
      <c r="D56" s="788" t="s">
        <v>82</v>
      </c>
      <c r="E56" s="790" t="s">
        <v>2610</v>
      </c>
      <c r="F56" s="790" t="s">
        <v>2616</v>
      </c>
      <c r="G56" s="798">
        <v>7</v>
      </c>
      <c r="H56" s="798">
        <v>19</v>
      </c>
      <c r="I56" s="798">
        <v>23</v>
      </c>
      <c r="J56" s="798">
        <v>3</v>
      </c>
      <c r="K56" s="798">
        <v>10</v>
      </c>
      <c r="L56" s="798">
        <v>20</v>
      </c>
      <c r="M56" s="798">
        <v>9</v>
      </c>
      <c r="N56" s="798">
        <v>5</v>
      </c>
      <c r="O56" s="798">
        <v>25</v>
      </c>
      <c r="P56" s="798">
        <v>12</v>
      </c>
      <c r="Q56" s="798">
        <v>5</v>
      </c>
      <c r="R56" s="802">
        <f>VLOOKUP($E56,[2]tropical!$A$4:$AF$46,[2]tropical!AD$1,FALSE)</f>
        <v>0</v>
      </c>
      <c r="S56" s="802">
        <f>VLOOKUP($E56,[2]tropical!$A$4:$AF$46,[2]tropical!AE$1,FALSE)</f>
        <v>0</v>
      </c>
      <c r="T56" s="802">
        <f>VLOOKUP($E56,[2]tropical!$A$4:$AF$46,[2]tropical!AF$1,FALSE)</f>
        <v>0</v>
      </c>
      <c r="U56" s="798">
        <f t="shared" si="0"/>
        <v>138</v>
      </c>
    </row>
    <row r="57" spans="1:21">
      <c r="A57" s="788">
        <v>8054</v>
      </c>
      <c r="B57" s="788" t="s">
        <v>964</v>
      </c>
      <c r="C57" s="788">
        <v>132</v>
      </c>
      <c r="D57" s="788" t="s">
        <v>89</v>
      </c>
      <c r="E57" s="790" t="s">
        <v>1605</v>
      </c>
      <c r="F57" s="790" t="s">
        <v>2615</v>
      </c>
      <c r="G57" s="798">
        <v>2</v>
      </c>
      <c r="H57" s="798">
        <v>5</v>
      </c>
      <c r="I57" s="798">
        <v>9</v>
      </c>
      <c r="J57" s="798">
        <v>1</v>
      </c>
      <c r="K57" s="798">
        <v>3</v>
      </c>
      <c r="L57" s="798">
        <v>6</v>
      </c>
      <c r="M57" s="798">
        <v>4</v>
      </c>
      <c r="N57" s="798">
        <v>0</v>
      </c>
      <c r="O57" s="798">
        <v>7</v>
      </c>
      <c r="P57" s="798">
        <v>0</v>
      </c>
      <c r="Q57" s="798">
        <v>0</v>
      </c>
      <c r="R57" s="802">
        <f>VLOOKUP($E57,[2]tropical!$A$4:$AF$46,[2]tropical!AD$1,FALSE)</f>
        <v>0</v>
      </c>
      <c r="S57" s="802">
        <f>VLOOKUP($E57,[2]tropical!$A$4:$AF$46,[2]tropical!AE$1,FALSE)</f>
        <v>0</v>
      </c>
      <c r="T57" s="802">
        <f>VLOOKUP($E57,[2]tropical!$A$4:$AF$46,[2]tropical!AF$1,FALSE)</f>
        <v>0</v>
      </c>
      <c r="U57" s="798">
        <f t="shared" si="0"/>
        <v>37</v>
      </c>
    </row>
    <row r="58" spans="1:21">
      <c r="A58" s="788">
        <v>8055</v>
      </c>
      <c r="B58" s="788" t="s">
        <v>970</v>
      </c>
      <c r="C58" s="788">
        <v>773</v>
      </c>
      <c r="D58" s="788" t="s">
        <v>24</v>
      </c>
      <c r="E58" s="790" t="s">
        <v>867</v>
      </c>
      <c r="F58" s="790" t="s">
        <v>2616</v>
      </c>
      <c r="G58" s="798">
        <v>0</v>
      </c>
      <c r="H58" s="798">
        <v>3</v>
      </c>
      <c r="I58" s="798">
        <v>9</v>
      </c>
      <c r="J58" s="798">
        <v>4</v>
      </c>
      <c r="K58" s="798">
        <v>7</v>
      </c>
      <c r="L58" s="798">
        <v>7</v>
      </c>
      <c r="M58" s="798">
        <v>4</v>
      </c>
      <c r="N58" s="798">
        <v>0</v>
      </c>
      <c r="O58" s="798">
        <v>7</v>
      </c>
      <c r="P58" s="798">
        <v>1</v>
      </c>
      <c r="Q58" s="798">
        <v>0</v>
      </c>
      <c r="R58" s="802">
        <f>VLOOKUP($E58,[2]tropical!$A$4:$AF$46,[2]tropical!AD$1,FALSE)</f>
        <v>0</v>
      </c>
      <c r="S58" s="802">
        <f>VLOOKUP($E58,[2]tropical!$A$4:$AF$46,[2]tropical!AE$1,FALSE)</f>
        <v>0</v>
      </c>
      <c r="T58" s="802">
        <f>VLOOKUP($E58,[2]tropical!$A$4:$AF$46,[2]tropical!AF$1,FALSE)</f>
        <v>0</v>
      </c>
      <c r="U58" s="798">
        <f t="shared" si="0"/>
        <v>42</v>
      </c>
    </row>
    <row r="59" spans="1:21">
      <c r="A59" s="788">
        <v>8056</v>
      </c>
      <c r="B59" s="788" t="s">
        <v>340</v>
      </c>
      <c r="C59" s="788">
        <v>3</v>
      </c>
      <c r="D59" s="788" t="s">
        <v>90</v>
      </c>
      <c r="E59" s="790" t="s">
        <v>357</v>
      </c>
      <c r="F59" s="790" t="s">
        <v>2615</v>
      </c>
      <c r="G59" s="798">
        <v>0</v>
      </c>
      <c r="H59" s="798">
        <v>1</v>
      </c>
      <c r="I59" s="798">
        <v>0</v>
      </c>
      <c r="J59" s="798">
        <v>0</v>
      </c>
      <c r="K59" s="798">
        <v>0</v>
      </c>
      <c r="L59" s="798">
        <v>0</v>
      </c>
      <c r="M59" s="798">
        <v>1</v>
      </c>
      <c r="N59" s="798">
        <v>0</v>
      </c>
      <c r="O59" s="798">
        <v>0</v>
      </c>
      <c r="P59" s="798">
        <v>0</v>
      </c>
      <c r="Q59" s="798">
        <v>0</v>
      </c>
      <c r="R59" s="802">
        <f>VLOOKUP($E59,[2]tropical!$A$4:$AF$46,[2]tropical!AD$1,FALSE)</f>
        <v>0</v>
      </c>
      <c r="S59" s="802">
        <f>VLOOKUP($E59,[2]tropical!$A$4:$AF$46,[2]tropical!AE$1,FALSE)</f>
        <v>0</v>
      </c>
      <c r="T59" s="802">
        <f>VLOOKUP($E59,[2]tropical!$A$4:$AF$46,[2]tropical!AF$1,FALSE)</f>
        <v>0</v>
      </c>
      <c r="U59" s="798">
        <f t="shared" si="0"/>
        <v>2</v>
      </c>
    </row>
    <row r="60" spans="1:21">
      <c r="A60" s="788">
        <v>8057</v>
      </c>
      <c r="B60" s="788" t="s">
        <v>980</v>
      </c>
      <c r="C60" s="788">
        <v>954</v>
      </c>
      <c r="D60" s="788" t="s">
        <v>84</v>
      </c>
      <c r="E60" s="790" t="s">
        <v>2603</v>
      </c>
      <c r="F60" s="790" t="s">
        <v>2617</v>
      </c>
      <c r="G60" s="798">
        <v>0</v>
      </c>
      <c r="H60" s="798">
        <v>5</v>
      </c>
      <c r="I60" s="798">
        <v>1</v>
      </c>
      <c r="J60" s="798">
        <v>1</v>
      </c>
      <c r="K60" s="798">
        <v>0</v>
      </c>
      <c r="L60" s="798">
        <v>0</v>
      </c>
      <c r="M60" s="798">
        <v>0</v>
      </c>
      <c r="N60" s="798">
        <v>0</v>
      </c>
      <c r="O60" s="798">
        <v>10</v>
      </c>
      <c r="P60" s="798">
        <v>0</v>
      </c>
      <c r="Q60" s="798">
        <v>0</v>
      </c>
      <c r="R60" s="802">
        <f>VLOOKUP($E60,[2]tropical!$A$4:$AF$46,[2]tropical!AD$1,FALSE)</f>
        <v>0</v>
      </c>
      <c r="S60" s="802">
        <f>VLOOKUP($E60,[2]tropical!$A$4:$AF$46,[2]tropical!AE$1,FALSE)</f>
        <v>0</v>
      </c>
      <c r="T60" s="802">
        <f>VLOOKUP($E60,[2]tropical!$A$4:$AF$46,[2]tropical!AF$1,FALSE)</f>
        <v>0</v>
      </c>
      <c r="U60" s="798">
        <f t="shared" si="0"/>
        <v>17</v>
      </c>
    </row>
    <row r="61" spans="1:21">
      <c r="A61" s="788">
        <v>8058</v>
      </c>
      <c r="B61" s="788" t="s">
        <v>984</v>
      </c>
      <c r="C61" s="788">
        <v>137</v>
      </c>
      <c r="D61" s="788" t="s">
        <v>791</v>
      </c>
      <c r="E61" s="790" t="s">
        <v>1506</v>
      </c>
      <c r="F61" s="790" t="s">
        <v>2616</v>
      </c>
      <c r="G61" s="798">
        <v>2</v>
      </c>
      <c r="H61" s="798">
        <v>5</v>
      </c>
      <c r="I61" s="798">
        <v>10</v>
      </c>
      <c r="J61" s="798">
        <v>1</v>
      </c>
      <c r="K61" s="798">
        <v>0</v>
      </c>
      <c r="L61" s="798">
        <v>5</v>
      </c>
      <c r="M61" s="798">
        <v>1</v>
      </c>
      <c r="N61" s="798">
        <v>0</v>
      </c>
      <c r="O61" s="798">
        <v>1</v>
      </c>
      <c r="P61" s="798">
        <v>0</v>
      </c>
      <c r="Q61" s="798">
        <v>0</v>
      </c>
      <c r="R61" s="802">
        <f>VLOOKUP($E61,[2]tropical!$A$4:$AF$46,[2]tropical!AD$1,FALSE)</f>
        <v>0</v>
      </c>
      <c r="S61" s="802">
        <f>VLOOKUP($E61,[2]tropical!$A$4:$AF$46,[2]tropical!AE$1,FALSE)</f>
        <v>0</v>
      </c>
      <c r="T61" s="802">
        <f>VLOOKUP($E61,[2]tropical!$A$4:$AF$46,[2]tropical!AF$1,FALSE)</f>
        <v>0</v>
      </c>
      <c r="U61" s="798">
        <f t="shared" si="0"/>
        <v>25</v>
      </c>
    </row>
    <row r="62" spans="1:21">
      <c r="A62" s="788">
        <v>8059</v>
      </c>
      <c r="B62" s="788" t="s">
        <v>993</v>
      </c>
      <c r="C62" s="788">
        <v>700</v>
      </c>
      <c r="D62" s="788" t="s">
        <v>82</v>
      </c>
      <c r="E62" s="790" t="s">
        <v>1121</v>
      </c>
      <c r="F62" s="790" t="s">
        <v>2616</v>
      </c>
      <c r="G62" s="798">
        <v>8</v>
      </c>
      <c r="H62" s="798">
        <v>22</v>
      </c>
      <c r="I62" s="798">
        <v>15</v>
      </c>
      <c r="J62" s="798">
        <v>5</v>
      </c>
      <c r="K62" s="798">
        <v>4</v>
      </c>
      <c r="L62" s="798">
        <v>9</v>
      </c>
      <c r="M62" s="798">
        <v>1</v>
      </c>
      <c r="N62" s="798">
        <v>4</v>
      </c>
      <c r="O62" s="798">
        <v>17</v>
      </c>
      <c r="P62" s="798">
        <v>3</v>
      </c>
      <c r="Q62" s="798">
        <v>2</v>
      </c>
      <c r="R62" s="802">
        <f>VLOOKUP($E62,[2]tropical!$A$4:$AF$46,[2]tropical!AD$1,FALSE)</f>
        <v>0</v>
      </c>
      <c r="S62" s="802">
        <f>VLOOKUP($E62,[2]tropical!$A$4:$AF$46,[2]tropical!AE$1,FALSE)</f>
        <v>0</v>
      </c>
      <c r="T62" s="802">
        <f>VLOOKUP($E62,[2]tropical!$A$4:$AF$46,[2]tropical!AF$1,FALSE)</f>
        <v>0</v>
      </c>
      <c r="U62" s="798">
        <f t="shared" si="0"/>
        <v>90</v>
      </c>
    </row>
    <row r="63" spans="1:21">
      <c r="A63" s="788">
        <v>8060</v>
      </c>
      <c r="B63" s="788" t="s">
        <v>997</v>
      </c>
      <c r="C63" s="788">
        <v>467</v>
      </c>
      <c r="D63" s="788" t="s">
        <v>81</v>
      </c>
      <c r="E63" s="790" t="s">
        <v>1274</v>
      </c>
      <c r="F63" s="790" t="s">
        <v>2616</v>
      </c>
      <c r="G63" s="798">
        <v>4</v>
      </c>
      <c r="H63" s="798">
        <v>15</v>
      </c>
      <c r="I63" s="798">
        <v>20</v>
      </c>
      <c r="J63" s="798">
        <v>2</v>
      </c>
      <c r="K63" s="798">
        <v>5</v>
      </c>
      <c r="L63" s="798">
        <v>8</v>
      </c>
      <c r="M63" s="798">
        <v>2</v>
      </c>
      <c r="N63" s="798">
        <v>4</v>
      </c>
      <c r="O63" s="798">
        <v>16</v>
      </c>
      <c r="P63" s="798">
        <v>0</v>
      </c>
      <c r="Q63" s="798">
        <v>1</v>
      </c>
      <c r="R63" s="802">
        <f>VLOOKUP($E63,[2]tropical!$A$4:$AF$46,[2]tropical!AD$1,FALSE)</f>
        <v>0</v>
      </c>
      <c r="S63" s="802">
        <f>VLOOKUP($E63,[2]tropical!$A$4:$AF$46,[2]tropical!AE$1,FALSE)</f>
        <v>0</v>
      </c>
      <c r="T63" s="802">
        <f>VLOOKUP($E63,[2]tropical!$A$4:$AF$46,[2]tropical!AF$1,FALSE)</f>
        <v>0</v>
      </c>
      <c r="U63" s="798">
        <f t="shared" si="0"/>
        <v>77</v>
      </c>
    </row>
    <row r="64" spans="1:21">
      <c r="A64" s="788">
        <v>8061</v>
      </c>
      <c r="B64" s="788" t="s">
        <v>1002</v>
      </c>
      <c r="C64" s="788">
        <v>266</v>
      </c>
      <c r="D64" s="788" t="s">
        <v>82</v>
      </c>
      <c r="E64" s="790" t="s">
        <v>1121</v>
      </c>
      <c r="F64" s="790" t="s">
        <v>2616</v>
      </c>
      <c r="G64" s="798">
        <v>8</v>
      </c>
      <c r="H64" s="798">
        <v>22</v>
      </c>
      <c r="I64" s="798">
        <v>15</v>
      </c>
      <c r="J64" s="798">
        <v>5</v>
      </c>
      <c r="K64" s="798">
        <v>4</v>
      </c>
      <c r="L64" s="798">
        <v>9</v>
      </c>
      <c r="M64" s="798">
        <v>1</v>
      </c>
      <c r="N64" s="798">
        <v>4</v>
      </c>
      <c r="O64" s="798">
        <v>17</v>
      </c>
      <c r="P64" s="798">
        <v>3</v>
      </c>
      <c r="Q64" s="798">
        <v>2</v>
      </c>
      <c r="R64" s="802">
        <f>VLOOKUP($E64,[2]tropical!$A$4:$AF$46,[2]tropical!AD$1,FALSE)</f>
        <v>0</v>
      </c>
      <c r="S64" s="802">
        <f>VLOOKUP($E64,[2]tropical!$A$4:$AF$46,[2]tropical!AE$1,FALSE)</f>
        <v>0</v>
      </c>
      <c r="T64" s="802">
        <f>VLOOKUP($E64,[2]tropical!$A$4:$AF$46,[2]tropical!AF$1,FALSE)</f>
        <v>0</v>
      </c>
      <c r="U64" s="798">
        <f t="shared" si="0"/>
        <v>90</v>
      </c>
    </row>
    <row r="65" spans="1:21">
      <c r="A65" s="788">
        <v>8062</v>
      </c>
      <c r="B65" s="788" t="s">
        <v>1004</v>
      </c>
      <c r="C65" s="788">
        <v>469</v>
      </c>
      <c r="D65" s="788" t="s">
        <v>82</v>
      </c>
      <c r="E65" s="790" t="s">
        <v>1004</v>
      </c>
      <c r="F65" s="790" t="s">
        <v>2616</v>
      </c>
      <c r="G65" s="798">
        <v>5</v>
      </c>
      <c r="H65" s="798">
        <v>8</v>
      </c>
      <c r="I65" s="798">
        <v>9</v>
      </c>
      <c r="J65" s="798">
        <v>2</v>
      </c>
      <c r="K65" s="798">
        <v>2</v>
      </c>
      <c r="L65" s="798">
        <v>12</v>
      </c>
      <c r="M65" s="798">
        <v>6</v>
      </c>
      <c r="N65" s="798">
        <v>5</v>
      </c>
      <c r="O65" s="798">
        <v>18</v>
      </c>
      <c r="P65" s="798">
        <v>1</v>
      </c>
      <c r="Q65" s="798">
        <v>2</v>
      </c>
      <c r="R65" s="802">
        <f>VLOOKUP($E65,[2]tropical!$A$4:$AF$46,[2]tropical!AD$1,FALSE)</f>
        <v>0</v>
      </c>
      <c r="S65" s="802">
        <f>VLOOKUP($E65,[2]tropical!$A$4:$AF$46,[2]tropical!AE$1,FALSE)</f>
        <v>0</v>
      </c>
      <c r="T65" s="802">
        <f>VLOOKUP($E65,[2]tropical!$A$4:$AF$46,[2]tropical!AF$1,FALSE)</f>
        <v>0</v>
      </c>
      <c r="U65" s="798">
        <f t="shared" si="0"/>
        <v>70</v>
      </c>
    </row>
    <row r="66" spans="1:21">
      <c r="A66" s="788">
        <v>8063</v>
      </c>
      <c r="B66" s="788" t="s">
        <v>1008</v>
      </c>
      <c r="C66" s="788">
        <v>415</v>
      </c>
      <c r="D66" s="788" t="s">
        <v>81</v>
      </c>
      <c r="E66" s="790" t="s">
        <v>1274</v>
      </c>
      <c r="F66" s="790" t="s">
        <v>2616</v>
      </c>
      <c r="G66" s="798">
        <v>4</v>
      </c>
      <c r="H66" s="798">
        <v>15</v>
      </c>
      <c r="I66" s="798">
        <v>20</v>
      </c>
      <c r="J66" s="798">
        <v>2</v>
      </c>
      <c r="K66" s="798">
        <v>5</v>
      </c>
      <c r="L66" s="798">
        <v>8</v>
      </c>
      <c r="M66" s="798">
        <v>2</v>
      </c>
      <c r="N66" s="798">
        <v>4</v>
      </c>
      <c r="O66" s="798">
        <v>16</v>
      </c>
      <c r="P66" s="798">
        <v>0</v>
      </c>
      <c r="Q66" s="798">
        <v>1</v>
      </c>
      <c r="R66" s="802">
        <f>VLOOKUP($E66,[2]tropical!$A$4:$AF$46,[2]tropical!AD$1,FALSE)</f>
        <v>0</v>
      </c>
      <c r="S66" s="802">
        <f>VLOOKUP($E66,[2]tropical!$A$4:$AF$46,[2]tropical!AE$1,FALSE)</f>
        <v>0</v>
      </c>
      <c r="T66" s="802">
        <f>VLOOKUP($E66,[2]tropical!$A$4:$AF$46,[2]tropical!AF$1,FALSE)</f>
        <v>0</v>
      </c>
      <c r="U66" s="798">
        <f t="shared" si="0"/>
        <v>77</v>
      </c>
    </row>
    <row r="67" spans="1:21">
      <c r="A67" s="788">
        <v>8064</v>
      </c>
      <c r="B67" s="788" t="s">
        <v>1012</v>
      </c>
      <c r="C67" s="788">
        <v>726</v>
      </c>
      <c r="D67" s="788" t="s">
        <v>24</v>
      </c>
      <c r="E67" s="790" t="s">
        <v>867</v>
      </c>
      <c r="F67" s="790" t="s">
        <v>2616</v>
      </c>
      <c r="G67" s="798">
        <v>0</v>
      </c>
      <c r="H67" s="798">
        <v>3</v>
      </c>
      <c r="I67" s="798">
        <v>9</v>
      </c>
      <c r="J67" s="798">
        <v>4</v>
      </c>
      <c r="K67" s="798">
        <v>7</v>
      </c>
      <c r="L67" s="798">
        <v>7</v>
      </c>
      <c r="M67" s="798">
        <v>4</v>
      </c>
      <c r="N67" s="798">
        <v>0</v>
      </c>
      <c r="O67" s="798">
        <v>7</v>
      </c>
      <c r="P67" s="798">
        <v>1</v>
      </c>
      <c r="Q67" s="798">
        <v>0</v>
      </c>
      <c r="R67" s="802">
        <f>VLOOKUP($E67,[2]tropical!$A$4:$AF$46,[2]tropical!AD$1,FALSE)</f>
        <v>0</v>
      </c>
      <c r="S67" s="802">
        <f>VLOOKUP($E67,[2]tropical!$A$4:$AF$46,[2]tropical!AE$1,FALSE)</f>
        <v>0</v>
      </c>
      <c r="T67" s="802">
        <f>VLOOKUP($E67,[2]tropical!$A$4:$AF$46,[2]tropical!AF$1,FALSE)</f>
        <v>0</v>
      </c>
      <c r="U67" s="798">
        <f t="shared" si="0"/>
        <v>42</v>
      </c>
    </row>
    <row r="68" spans="1:21">
      <c r="A68" s="788">
        <v>8065</v>
      </c>
      <c r="B68" s="788" t="s">
        <v>1014</v>
      </c>
      <c r="C68" s="788">
        <v>198</v>
      </c>
      <c r="D68" s="788" t="s">
        <v>791</v>
      </c>
      <c r="E68" s="790" t="s">
        <v>1506</v>
      </c>
      <c r="F68" s="790" t="s">
        <v>2616</v>
      </c>
      <c r="G68" s="798">
        <v>2</v>
      </c>
      <c r="H68" s="798">
        <v>5</v>
      </c>
      <c r="I68" s="798">
        <v>10</v>
      </c>
      <c r="J68" s="798">
        <v>1</v>
      </c>
      <c r="K68" s="798">
        <v>0</v>
      </c>
      <c r="L68" s="798">
        <v>5</v>
      </c>
      <c r="M68" s="798">
        <v>1</v>
      </c>
      <c r="N68" s="798">
        <v>0</v>
      </c>
      <c r="O68" s="798">
        <v>1</v>
      </c>
      <c r="P68" s="798">
        <v>0</v>
      </c>
      <c r="Q68" s="798">
        <v>0</v>
      </c>
      <c r="R68" s="802">
        <f>VLOOKUP($E68,[2]tropical!$A$4:$AF$46,[2]tropical!AD$1,FALSE)</f>
        <v>0</v>
      </c>
      <c r="S68" s="802">
        <f>VLOOKUP($E68,[2]tropical!$A$4:$AF$46,[2]tropical!AE$1,FALSE)</f>
        <v>0</v>
      </c>
      <c r="T68" s="802">
        <f>VLOOKUP($E68,[2]tropical!$A$4:$AF$46,[2]tropical!AF$1,FALSE)</f>
        <v>0</v>
      </c>
      <c r="U68" s="798">
        <f t="shared" si="0"/>
        <v>25</v>
      </c>
    </row>
    <row r="69" spans="1:21">
      <c r="A69" s="788">
        <v>8066</v>
      </c>
      <c r="B69" s="788" t="s">
        <v>1021</v>
      </c>
      <c r="C69" s="788">
        <v>178</v>
      </c>
      <c r="D69" s="788" t="s">
        <v>90</v>
      </c>
      <c r="E69" s="790" t="s">
        <v>1697</v>
      </c>
      <c r="F69" s="790" t="s">
        <v>2615</v>
      </c>
      <c r="G69" s="798">
        <v>9</v>
      </c>
      <c r="H69" s="798">
        <v>26</v>
      </c>
      <c r="I69" s="798">
        <v>23</v>
      </c>
      <c r="J69" s="798">
        <v>3</v>
      </c>
      <c r="K69" s="798">
        <v>0</v>
      </c>
      <c r="L69" s="798">
        <v>6</v>
      </c>
      <c r="M69" s="798">
        <v>5</v>
      </c>
      <c r="N69" s="798">
        <v>2</v>
      </c>
      <c r="O69" s="798">
        <v>14</v>
      </c>
      <c r="P69" s="798">
        <v>10</v>
      </c>
      <c r="Q69" s="798">
        <v>4</v>
      </c>
      <c r="R69" s="802">
        <f>VLOOKUP($E69,[2]tropical!$A$4:$AF$46,[2]tropical!AD$1,FALSE)</f>
        <v>0</v>
      </c>
      <c r="S69" s="802">
        <f>VLOOKUP($E69,[2]tropical!$A$4:$AF$46,[2]tropical!AE$1,FALSE)</f>
        <v>0</v>
      </c>
      <c r="T69" s="802">
        <f>VLOOKUP($E69,[2]tropical!$A$4:$AF$46,[2]tropical!AF$1,FALSE)</f>
        <v>0</v>
      </c>
      <c r="U69" s="798">
        <f t="shared" ref="U69:U132" si="1">SUM(G69:T69)</f>
        <v>102</v>
      </c>
    </row>
    <row r="70" spans="1:21">
      <c r="A70" s="788">
        <v>8067</v>
      </c>
      <c r="B70" s="788" t="s">
        <v>1025</v>
      </c>
      <c r="C70" s="788">
        <v>496</v>
      </c>
      <c r="D70" s="788" t="s">
        <v>88</v>
      </c>
      <c r="E70" s="790" t="s">
        <v>1127</v>
      </c>
      <c r="F70" s="790" t="s">
        <v>2617</v>
      </c>
      <c r="G70" s="798">
        <v>1</v>
      </c>
      <c r="H70" s="798">
        <v>9</v>
      </c>
      <c r="I70" s="798">
        <v>16</v>
      </c>
      <c r="J70" s="798">
        <v>7</v>
      </c>
      <c r="K70" s="798">
        <v>4</v>
      </c>
      <c r="L70" s="798">
        <v>11</v>
      </c>
      <c r="M70" s="798">
        <v>8</v>
      </c>
      <c r="N70" s="798">
        <v>5</v>
      </c>
      <c r="O70" s="798">
        <v>21</v>
      </c>
      <c r="P70" s="798">
        <v>0</v>
      </c>
      <c r="Q70" s="798">
        <v>1</v>
      </c>
      <c r="R70" s="802">
        <f>VLOOKUP($E70,[2]tropical!$A$4:$AF$46,[2]tropical!AD$1,FALSE)</f>
        <v>0</v>
      </c>
      <c r="S70" s="802">
        <f>VLOOKUP($E70,[2]tropical!$A$4:$AF$46,[2]tropical!AE$1,FALSE)</f>
        <v>0</v>
      </c>
      <c r="T70" s="802">
        <f>VLOOKUP($E70,[2]tropical!$A$4:$AF$46,[2]tropical!AF$1,FALSE)</f>
        <v>0</v>
      </c>
      <c r="U70" s="798">
        <f t="shared" si="1"/>
        <v>83</v>
      </c>
    </row>
    <row r="71" spans="1:21">
      <c r="A71" s="788">
        <v>8068</v>
      </c>
      <c r="B71" s="788" t="s">
        <v>1027</v>
      </c>
      <c r="C71" s="788">
        <v>122</v>
      </c>
      <c r="D71" s="788" t="s">
        <v>90</v>
      </c>
      <c r="E71" s="790" t="s">
        <v>1697</v>
      </c>
      <c r="F71" s="790" t="s">
        <v>2615</v>
      </c>
      <c r="G71" s="798">
        <v>9</v>
      </c>
      <c r="H71" s="798">
        <v>26</v>
      </c>
      <c r="I71" s="798">
        <v>23</v>
      </c>
      <c r="J71" s="798">
        <v>3</v>
      </c>
      <c r="K71" s="798">
        <v>0</v>
      </c>
      <c r="L71" s="798">
        <v>6</v>
      </c>
      <c r="M71" s="798">
        <v>5</v>
      </c>
      <c r="N71" s="798">
        <v>2</v>
      </c>
      <c r="O71" s="798">
        <v>14</v>
      </c>
      <c r="P71" s="798">
        <v>10</v>
      </c>
      <c r="Q71" s="798">
        <v>4</v>
      </c>
      <c r="R71" s="802">
        <f>VLOOKUP($E71,[2]tropical!$A$4:$AF$46,[2]tropical!AD$1,FALSE)</f>
        <v>0</v>
      </c>
      <c r="S71" s="802">
        <f>VLOOKUP($E71,[2]tropical!$A$4:$AF$46,[2]tropical!AE$1,FALSE)</f>
        <v>0</v>
      </c>
      <c r="T71" s="802">
        <f>VLOOKUP($E71,[2]tropical!$A$4:$AF$46,[2]tropical!AF$1,FALSE)</f>
        <v>0</v>
      </c>
      <c r="U71" s="798">
        <f t="shared" si="1"/>
        <v>102</v>
      </c>
    </row>
    <row r="72" spans="1:21">
      <c r="A72" s="788">
        <v>8069</v>
      </c>
      <c r="B72" s="788" t="s">
        <v>1030</v>
      </c>
      <c r="C72" s="788">
        <v>388</v>
      </c>
      <c r="D72" s="788" t="s">
        <v>90</v>
      </c>
      <c r="E72" s="790" t="s">
        <v>1334</v>
      </c>
      <c r="F72" s="790" t="s">
        <v>2615</v>
      </c>
      <c r="G72" s="798">
        <v>3</v>
      </c>
      <c r="H72" s="798">
        <v>3</v>
      </c>
      <c r="I72" s="798">
        <v>14</v>
      </c>
      <c r="J72" s="798">
        <v>2</v>
      </c>
      <c r="K72" s="798">
        <v>0</v>
      </c>
      <c r="L72" s="798">
        <v>4</v>
      </c>
      <c r="M72" s="798">
        <v>1</v>
      </c>
      <c r="N72" s="798">
        <v>2</v>
      </c>
      <c r="O72" s="798">
        <v>3</v>
      </c>
      <c r="P72" s="798">
        <v>2</v>
      </c>
      <c r="Q72" s="798">
        <v>1</v>
      </c>
      <c r="R72" s="802">
        <f>VLOOKUP($E72,[2]tropical!$A$4:$AF$46,[2]tropical!AD$1,FALSE)</f>
        <v>0</v>
      </c>
      <c r="S72" s="802">
        <f>VLOOKUP($E72,[2]tropical!$A$4:$AF$46,[2]tropical!AE$1,FALSE)</f>
        <v>0</v>
      </c>
      <c r="T72" s="802">
        <f>VLOOKUP($E72,[2]tropical!$A$4:$AF$46,[2]tropical!AF$1,FALSE)</f>
        <v>0</v>
      </c>
      <c r="U72" s="798">
        <f t="shared" si="1"/>
        <v>35</v>
      </c>
    </row>
    <row r="73" spans="1:21">
      <c r="A73" s="788">
        <v>8070</v>
      </c>
      <c r="B73" s="788" t="s">
        <v>1034</v>
      </c>
      <c r="C73" s="788">
        <v>901</v>
      </c>
      <c r="D73" s="788" t="s">
        <v>88</v>
      </c>
      <c r="E73" s="790" t="s">
        <v>1233</v>
      </c>
      <c r="F73" s="790" t="s">
        <v>2616</v>
      </c>
      <c r="G73" s="798">
        <v>0</v>
      </c>
      <c r="H73" s="798">
        <v>2</v>
      </c>
      <c r="I73" s="798">
        <v>0</v>
      </c>
      <c r="J73" s="798">
        <v>0</v>
      </c>
      <c r="K73" s="798">
        <v>0</v>
      </c>
      <c r="L73" s="798">
        <v>0</v>
      </c>
      <c r="M73" s="798">
        <v>0</v>
      </c>
      <c r="N73" s="798">
        <v>0</v>
      </c>
      <c r="O73" s="798">
        <v>2</v>
      </c>
      <c r="P73" s="798">
        <v>0</v>
      </c>
      <c r="Q73" s="798">
        <v>0</v>
      </c>
      <c r="R73" s="802">
        <f>VLOOKUP($E73,[2]tropical!$A$4:$AF$46,[2]tropical!AD$1,FALSE)</f>
        <v>0</v>
      </c>
      <c r="S73" s="802">
        <f>VLOOKUP($E73,[2]tropical!$A$4:$AF$46,[2]tropical!AE$1,FALSE)</f>
        <v>0</v>
      </c>
      <c r="T73" s="802">
        <f>VLOOKUP($E73,[2]tropical!$A$4:$AF$46,[2]tropical!AF$1,FALSE)</f>
        <v>0</v>
      </c>
      <c r="U73" s="798">
        <f t="shared" si="1"/>
        <v>4</v>
      </c>
    </row>
    <row r="74" spans="1:21">
      <c r="A74" s="788">
        <v>8071</v>
      </c>
      <c r="B74" s="788" t="s">
        <v>1037</v>
      </c>
      <c r="C74" s="788">
        <v>432</v>
      </c>
      <c r="D74" s="788" t="s">
        <v>81</v>
      </c>
      <c r="E74" s="790" t="s">
        <v>1274</v>
      </c>
      <c r="F74" s="790" t="s">
        <v>2616</v>
      </c>
      <c r="G74" s="798">
        <v>4</v>
      </c>
      <c r="H74" s="798">
        <v>15</v>
      </c>
      <c r="I74" s="798">
        <v>20</v>
      </c>
      <c r="J74" s="798">
        <v>2</v>
      </c>
      <c r="K74" s="798">
        <v>5</v>
      </c>
      <c r="L74" s="798">
        <v>8</v>
      </c>
      <c r="M74" s="798">
        <v>2</v>
      </c>
      <c r="N74" s="798">
        <v>4</v>
      </c>
      <c r="O74" s="798">
        <v>16</v>
      </c>
      <c r="P74" s="798">
        <v>0</v>
      </c>
      <c r="Q74" s="798">
        <v>1</v>
      </c>
      <c r="R74" s="802">
        <f>VLOOKUP($E74,[2]tropical!$A$4:$AF$46,[2]tropical!AD$1,FALSE)</f>
        <v>0</v>
      </c>
      <c r="S74" s="802">
        <f>VLOOKUP($E74,[2]tropical!$A$4:$AF$46,[2]tropical!AE$1,FALSE)</f>
        <v>0</v>
      </c>
      <c r="T74" s="802">
        <f>VLOOKUP($E74,[2]tropical!$A$4:$AF$46,[2]tropical!AF$1,FALSE)</f>
        <v>0</v>
      </c>
      <c r="U74" s="798">
        <f t="shared" si="1"/>
        <v>77</v>
      </c>
    </row>
    <row r="75" spans="1:21">
      <c r="A75" s="788">
        <v>8072</v>
      </c>
      <c r="B75" s="788" t="s">
        <v>1043</v>
      </c>
      <c r="C75" s="788">
        <v>342</v>
      </c>
      <c r="D75" s="788" t="s">
        <v>90</v>
      </c>
      <c r="E75" s="790" t="s">
        <v>1697</v>
      </c>
      <c r="F75" s="790" t="s">
        <v>2615</v>
      </c>
      <c r="G75" s="798">
        <v>9</v>
      </c>
      <c r="H75" s="798">
        <v>26</v>
      </c>
      <c r="I75" s="798">
        <v>23</v>
      </c>
      <c r="J75" s="798">
        <v>3</v>
      </c>
      <c r="K75" s="798">
        <v>0</v>
      </c>
      <c r="L75" s="798">
        <v>6</v>
      </c>
      <c r="M75" s="798">
        <v>5</v>
      </c>
      <c r="N75" s="798">
        <v>2</v>
      </c>
      <c r="O75" s="798">
        <v>14</v>
      </c>
      <c r="P75" s="798">
        <v>10</v>
      </c>
      <c r="Q75" s="798">
        <v>4</v>
      </c>
      <c r="R75" s="802">
        <f>VLOOKUP($E75,[2]tropical!$A$4:$AF$46,[2]tropical!AD$1,FALSE)</f>
        <v>0</v>
      </c>
      <c r="S75" s="802">
        <f>VLOOKUP($E75,[2]tropical!$A$4:$AF$46,[2]tropical!AE$1,FALSE)</f>
        <v>0</v>
      </c>
      <c r="T75" s="802">
        <f>VLOOKUP($E75,[2]tropical!$A$4:$AF$46,[2]tropical!AF$1,FALSE)</f>
        <v>0</v>
      </c>
      <c r="U75" s="798">
        <f t="shared" si="1"/>
        <v>102</v>
      </c>
    </row>
    <row r="76" spans="1:21">
      <c r="A76" s="788">
        <v>8073</v>
      </c>
      <c r="B76" s="788" t="s">
        <v>1046</v>
      </c>
      <c r="C76" s="788">
        <v>27</v>
      </c>
      <c r="D76" s="788" t="s">
        <v>90</v>
      </c>
      <c r="E76" s="790" t="s">
        <v>357</v>
      </c>
      <c r="F76" s="790" t="s">
        <v>2615</v>
      </c>
      <c r="G76" s="798">
        <v>0</v>
      </c>
      <c r="H76" s="798">
        <v>1</v>
      </c>
      <c r="I76" s="798">
        <v>0</v>
      </c>
      <c r="J76" s="798">
        <v>0</v>
      </c>
      <c r="K76" s="798">
        <v>0</v>
      </c>
      <c r="L76" s="798">
        <v>0</v>
      </c>
      <c r="M76" s="798">
        <v>1</v>
      </c>
      <c r="N76" s="798">
        <v>0</v>
      </c>
      <c r="O76" s="798">
        <v>0</v>
      </c>
      <c r="P76" s="798">
        <v>0</v>
      </c>
      <c r="Q76" s="798">
        <v>0</v>
      </c>
      <c r="R76" s="802">
        <f>VLOOKUP($E76,[2]tropical!$A$4:$AF$46,[2]tropical!AD$1,FALSE)</f>
        <v>0</v>
      </c>
      <c r="S76" s="802">
        <f>VLOOKUP($E76,[2]tropical!$A$4:$AF$46,[2]tropical!AE$1,FALSE)</f>
        <v>0</v>
      </c>
      <c r="T76" s="802">
        <f>VLOOKUP($E76,[2]tropical!$A$4:$AF$46,[2]tropical!AF$1,FALSE)</f>
        <v>0</v>
      </c>
      <c r="U76" s="798">
        <f t="shared" si="1"/>
        <v>2</v>
      </c>
    </row>
    <row r="77" spans="1:21">
      <c r="A77" s="788">
        <v>8074</v>
      </c>
      <c r="B77" s="788" t="s">
        <v>341</v>
      </c>
      <c r="C77" s="788">
        <v>12</v>
      </c>
      <c r="D77" s="788" t="s">
        <v>85</v>
      </c>
      <c r="E77" s="790" t="s">
        <v>2609</v>
      </c>
      <c r="F77" s="790" t="s">
        <v>2615</v>
      </c>
      <c r="G77" s="798">
        <v>1</v>
      </c>
      <c r="H77" s="798">
        <v>4</v>
      </c>
      <c r="I77" s="798">
        <v>5</v>
      </c>
      <c r="J77" s="798">
        <v>1</v>
      </c>
      <c r="K77" s="798">
        <v>0</v>
      </c>
      <c r="L77" s="798">
        <v>3</v>
      </c>
      <c r="M77" s="798">
        <v>1</v>
      </c>
      <c r="N77" s="798">
        <v>1</v>
      </c>
      <c r="O77" s="798">
        <v>1</v>
      </c>
      <c r="P77" s="798">
        <v>2</v>
      </c>
      <c r="Q77" s="798">
        <v>0</v>
      </c>
      <c r="R77" s="802">
        <f>VLOOKUP($E77,[2]tropical!$A$4:$AF$46,[2]tropical!AD$1,FALSE)</f>
        <v>0</v>
      </c>
      <c r="S77" s="802">
        <f>VLOOKUP($E77,[2]tropical!$A$4:$AF$46,[2]tropical!AE$1,FALSE)</f>
        <v>0</v>
      </c>
      <c r="T77" s="802">
        <f>VLOOKUP($E77,[2]tropical!$A$4:$AF$46,[2]tropical!AF$1,FALSE)</f>
        <v>0</v>
      </c>
      <c r="U77" s="798">
        <f t="shared" si="1"/>
        <v>19</v>
      </c>
    </row>
    <row r="78" spans="1:21">
      <c r="A78" s="788">
        <v>8075</v>
      </c>
      <c r="B78" s="788" t="s">
        <v>1050</v>
      </c>
      <c r="C78" s="788">
        <v>147</v>
      </c>
      <c r="D78" s="788" t="s">
        <v>86</v>
      </c>
      <c r="E78" s="790" t="s">
        <v>2611</v>
      </c>
      <c r="F78" s="790" t="s">
        <v>2616</v>
      </c>
      <c r="G78" s="798">
        <v>1</v>
      </c>
      <c r="H78" s="798">
        <v>0</v>
      </c>
      <c r="I78" s="798">
        <v>0</v>
      </c>
      <c r="J78" s="798">
        <v>0</v>
      </c>
      <c r="K78" s="798">
        <v>0</v>
      </c>
      <c r="L78" s="798">
        <v>0</v>
      </c>
      <c r="M78" s="798">
        <v>1</v>
      </c>
      <c r="N78" s="798">
        <v>0</v>
      </c>
      <c r="O78" s="798">
        <v>0</v>
      </c>
      <c r="P78" s="798">
        <v>0</v>
      </c>
      <c r="Q78" s="798">
        <v>0</v>
      </c>
      <c r="R78" s="802">
        <f>VLOOKUP($E78,[2]tropical!$A$4:$AF$46,[2]tropical!AD$1,FALSE)</f>
        <v>0</v>
      </c>
      <c r="S78" s="802">
        <f>VLOOKUP($E78,[2]tropical!$A$4:$AF$46,[2]tropical!AE$1,FALSE)</f>
        <v>0</v>
      </c>
      <c r="T78" s="802">
        <f>VLOOKUP($E78,[2]tropical!$A$4:$AF$46,[2]tropical!AF$1,FALSE)</f>
        <v>0</v>
      </c>
      <c r="U78" s="798">
        <f t="shared" si="1"/>
        <v>2</v>
      </c>
    </row>
    <row r="79" spans="1:21">
      <c r="A79" s="788">
        <v>8076</v>
      </c>
      <c r="B79" s="788" t="s">
        <v>1053</v>
      </c>
      <c r="C79" s="788">
        <v>187</v>
      </c>
      <c r="D79" s="788" t="s">
        <v>90</v>
      </c>
      <c r="E79" s="790" t="s">
        <v>1697</v>
      </c>
      <c r="F79" s="790" t="s">
        <v>2615</v>
      </c>
      <c r="G79" s="798">
        <v>9</v>
      </c>
      <c r="H79" s="798">
        <v>26</v>
      </c>
      <c r="I79" s="798">
        <v>23</v>
      </c>
      <c r="J79" s="798">
        <v>3</v>
      </c>
      <c r="K79" s="798">
        <v>0</v>
      </c>
      <c r="L79" s="798">
        <v>6</v>
      </c>
      <c r="M79" s="798">
        <v>5</v>
      </c>
      <c r="N79" s="798">
        <v>2</v>
      </c>
      <c r="O79" s="798">
        <v>14</v>
      </c>
      <c r="P79" s="798">
        <v>10</v>
      </c>
      <c r="Q79" s="798">
        <v>4</v>
      </c>
      <c r="R79" s="802">
        <f>VLOOKUP($E79,[2]tropical!$A$4:$AF$46,[2]tropical!AD$1,FALSE)</f>
        <v>0</v>
      </c>
      <c r="S79" s="802">
        <f>VLOOKUP($E79,[2]tropical!$A$4:$AF$46,[2]tropical!AE$1,FALSE)</f>
        <v>0</v>
      </c>
      <c r="T79" s="802">
        <f>VLOOKUP($E79,[2]tropical!$A$4:$AF$46,[2]tropical!AF$1,FALSE)</f>
        <v>0</v>
      </c>
      <c r="U79" s="798">
        <f t="shared" si="1"/>
        <v>102</v>
      </c>
    </row>
    <row r="80" spans="1:21">
      <c r="A80" s="788">
        <v>8077</v>
      </c>
      <c r="B80" s="788" t="s">
        <v>1061</v>
      </c>
      <c r="C80" s="788">
        <v>110</v>
      </c>
      <c r="D80" s="788" t="s">
        <v>90</v>
      </c>
      <c r="E80" s="790" t="s">
        <v>357</v>
      </c>
      <c r="F80" s="790" t="s">
        <v>2615</v>
      </c>
      <c r="G80" s="798">
        <v>0</v>
      </c>
      <c r="H80" s="798">
        <v>1</v>
      </c>
      <c r="I80" s="798">
        <v>0</v>
      </c>
      <c r="J80" s="798">
        <v>0</v>
      </c>
      <c r="K80" s="798">
        <v>0</v>
      </c>
      <c r="L80" s="798">
        <v>0</v>
      </c>
      <c r="M80" s="798">
        <v>1</v>
      </c>
      <c r="N80" s="798">
        <v>0</v>
      </c>
      <c r="O80" s="798">
        <v>0</v>
      </c>
      <c r="P80" s="798">
        <v>0</v>
      </c>
      <c r="Q80" s="798">
        <v>0</v>
      </c>
      <c r="R80" s="802">
        <f>VLOOKUP($E80,[2]tropical!$A$4:$AF$46,[2]tropical!AD$1,FALSE)</f>
        <v>0</v>
      </c>
      <c r="S80" s="802">
        <f>VLOOKUP($E80,[2]tropical!$A$4:$AF$46,[2]tropical!AE$1,FALSE)</f>
        <v>0</v>
      </c>
      <c r="T80" s="802">
        <f>VLOOKUP($E80,[2]tropical!$A$4:$AF$46,[2]tropical!AF$1,FALSE)</f>
        <v>0</v>
      </c>
      <c r="U80" s="798">
        <f t="shared" si="1"/>
        <v>2</v>
      </c>
    </row>
    <row r="81" spans="1:21">
      <c r="A81" s="788">
        <v>8078</v>
      </c>
      <c r="B81" s="788" t="s">
        <v>1062</v>
      </c>
      <c r="C81" s="788">
        <v>803</v>
      </c>
      <c r="D81" s="788" t="s">
        <v>84</v>
      </c>
      <c r="E81" s="790" t="s">
        <v>2603</v>
      </c>
      <c r="F81" s="790" t="s">
        <v>2617</v>
      </c>
      <c r="G81" s="798">
        <v>0</v>
      </c>
      <c r="H81" s="798">
        <v>5</v>
      </c>
      <c r="I81" s="798">
        <v>1</v>
      </c>
      <c r="J81" s="798">
        <v>1</v>
      </c>
      <c r="K81" s="798">
        <v>0</v>
      </c>
      <c r="L81" s="798">
        <v>0</v>
      </c>
      <c r="M81" s="798">
        <v>0</v>
      </c>
      <c r="N81" s="798">
        <v>0</v>
      </c>
      <c r="O81" s="798">
        <v>10</v>
      </c>
      <c r="P81" s="798">
        <v>0</v>
      </c>
      <c r="Q81" s="798">
        <v>0</v>
      </c>
      <c r="R81" s="802">
        <f>VLOOKUP($E81,[2]tropical!$A$4:$AF$46,[2]tropical!AD$1,FALSE)</f>
        <v>0</v>
      </c>
      <c r="S81" s="802">
        <f>VLOOKUP($E81,[2]tropical!$A$4:$AF$46,[2]tropical!AE$1,FALSE)</f>
        <v>0</v>
      </c>
      <c r="T81" s="802">
        <f>VLOOKUP($E81,[2]tropical!$A$4:$AF$46,[2]tropical!AF$1,FALSE)</f>
        <v>0</v>
      </c>
      <c r="U81" s="798">
        <f t="shared" si="1"/>
        <v>17</v>
      </c>
    </row>
    <row r="82" spans="1:21">
      <c r="A82" s="788">
        <v>8079</v>
      </c>
      <c r="B82" s="788" t="s">
        <v>1063</v>
      </c>
      <c r="C82" s="788">
        <v>870</v>
      </c>
      <c r="D82" s="788" t="s">
        <v>82</v>
      </c>
      <c r="E82" s="790" t="s">
        <v>1233</v>
      </c>
      <c r="F82" s="790" t="s">
        <v>2616</v>
      </c>
      <c r="G82" s="798">
        <v>0</v>
      </c>
      <c r="H82" s="798">
        <v>2</v>
      </c>
      <c r="I82" s="798">
        <v>0</v>
      </c>
      <c r="J82" s="798">
        <v>0</v>
      </c>
      <c r="K82" s="798">
        <v>0</v>
      </c>
      <c r="L82" s="798">
        <v>0</v>
      </c>
      <c r="M82" s="798">
        <v>0</v>
      </c>
      <c r="N82" s="798">
        <v>0</v>
      </c>
      <c r="O82" s="798">
        <v>2</v>
      </c>
      <c r="P82" s="798">
        <v>0</v>
      </c>
      <c r="Q82" s="798">
        <v>0</v>
      </c>
      <c r="R82" s="802">
        <f>VLOOKUP($E82,[2]tropical!$A$4:$AF$46,[2]tropical!AD$1,FALSE)</f>
        <v>0</v>
      </c>
      <c r="S82" s="802">
        <f>VLOOKUP($E82,[2]tropical!$A$4:$AF$46,[2]tropical!AE$1,FALSE)</f>
        <v>0</v>
      </c>
      <c r="T82" s="802">
        <f>VLOOKUP($E82,[2]tropical!$A$4:$AF$46,[2]tropical!AF$1,FALSE)</f>
        <v>0</v>
      </c>
      <c r="U82" s="798">
        <f t="shared" si="1"/>
        <v>4</v>
      </c>
    </row>
    <row r="83" spans="1:21">
      <c r="A83" s="788">
        <v>8080</v>
      </c>
      <c r="B83" s="788" t="s">
        <v>1067</v>
      </c>
      <c r="C83" s="788">
        <v>1154</v>
      </c>
      <c r="D83" s="788" t="s">
        <v>84</v>
      </c>
      <c r="E83" s="790" t="s">
        <v>2603</v>
      </c>
      <c r="F83" s="790" t="s">
        <v>2617</v>
      </c>
      <c r="G83" s="798">
        <v>0</v>
      </c>
      <c r="H83" s="798">
        <v>5</v>
      </c>
      <c r="I83" s="798">
        <v>1</v>
      </c>
      <c r="J83" s="798">
        <v>1</v>
      </c>
      <c r="K83" s="798">
        <v>0</v>
      </c>
      <c r="L83" s="798">
        <v>0</v>
      </c>
      <c r="M83" s="798">
        <v>0</v>
      </c>
      <c r="N83" s="798">
        <v>0</v>
      </c>
      <c r="O83" s="798">
        <v>10</v>
      </c>
      <c r="P83" s="798">
        <v>0</v>
      </c>
      <c r="Q83" s="798">
        <v>0</v>
      </c>
      <c r="R83" s="802">
        <f>VLOOKUP($E83,[2]tropical!$A$4:$AF$46,[2]tropical!AD$1,FALSE)</f>
        <v>0</v>
      </c>
      <c r="S83" s="802">
        <f>VLOOKUP($E83,[2]tropical!$A$4:$AF$46,[2]tropical!AE$1,FALSE)</f>
        <v>0</v>
      </c>
      <c r="T83" s="802">
        <f>VLOOKUP($E83,[2]tropical!$A$4:$AF$46,[2]tropical!AF$1,FALSE)</f>
        <v>0</v>
      </c>
      <c r="U83" s="798">
        <f t="shared" si="1"/>
        <v>17</v>
      </c>
    </row>
    <row r="84" spans="1:21">
      <c r="A84" s="788">
        <v>8081</v>
      </c>
      <c r="B84" s="788" t="s">
        <v>1068</v>
      </c>
      <c r="C84" s="788">
        <v>386</v>
      </c>
      <c r="D84" s="788" t="s">
        <v>24</v>
      </c>
      <c r="E84" s="790" t="s">
        <v>1743</v>
      </c>
      <c r="F84" s="790" t="s">
        <v>2616</v>
      </c>
      <c r="G84" s="798">
        <v>1</v>
      </c>
      <c r="H84" s="798">
        <v>7</v>
      </c>
      <c r="I84" s="798">
        <v>11</v>
      </c>
      <c r="J84" s="798">
        <v>2</v>
      </c>
      <c r="K84" s="798">
        <v>2</v>
      </c>
      <c r="L84" s="798">
        <v>5</v>
      </c>
      <c r="M84" s="798">
        <v>4</v>
      </c>
      <c r="N84" s="798">
        <v>0</v>
      </c>
      <c r="O84" s="798">
        <v>7</v>
      </c>
      <c r="P84" s="798">
        <v>0</v>
      </c>
      <c r="Q84" s="798">
        <v>0</v>
      </c>
      <c r="R84" s="802">
        <f>VLOOKUP($E84,[2]tropical!$A$4:$AF$46,[2]tropical!AD$1,FALSE)</f>
        <v>0</v>
      </c>
      <c r="S84" s="802">
        <f>VLOOKUP($E84,[2]tropical!$A$4:$AF$46,[2]tropical!AE$1,FALSE)</f>
        <v>0</v>
      </c>
      <c r="T84" s="802">
        <f>VLOOKUP($E84,[2]tropical!$A$4:$AF$46,[2]tropical!AF$1,FALSE)</f>
        <v>0</v>
      </c>
      <c r="U84" s="798">
        <f t="shared" si="1"/>
        <v>39</v>
      </c>
    </row>
    <row r="85" spans="1:21">
      <c r="A85" s="788">
        <v>8082</v>
      </c>
      <c r="B85" s="788" t="s">
        <v>1071</v>
      </c>
      <c r="C85" s="788">
        <v>45</v>
      </c>
      <c r="D85" s="788" t="s">
        <v>1075</v>
      </c>
      <c r="E85" s="790" t="s">
        <v>343</v>
      </c>
      <c r="F85" s="790" t="s">
        <v>2615</v>
      </c>
      <c r="G85" s="798">
        <v>0</v>
      </c>
      <c r="H85" s="798">
        <v>0</v>
      </c>
      <c r="I85" s="798">
        <v>0</v>
      </c>
      <c r="J85" s="798">
        <v>0</v>
      </c>
      <c r="K85" s="798">
        <v>0</v>
      </c>
      <c r="L85" s="798">
        <v>0</v>
      </c>
      <c r="M85" s="798">
        <v>0</v>
      </c>
      <c r="N85" s="798">
        <v>0</v>
      </c>
      <c r="O85" s="798">
        <v>0</v>
      </c>
      <c r="P85" s="798">
        <v>0</v>
      </c>
      <c r="Q85" s="798">
        <v>0</v>
      </c>
      <c r="R85" s="802">
        <f>VLOOKUP($E85,[2]tropical!$A$4:$AF$46,[2]tropical!AD$1,FALSE)</f>
        <v>0</v>
      </c>
      <c r="S85" s="802">
        <f>VLOOKUP($E85,[2]tropical!$A$4:$AF$46,[2]tropical!AE$1,FALSE)</f>
        <v>0</v>
      </c>
      <c r="T85" s="802">
        <f>VLOOKUP($E85,[2]tropical!$A$4:$AF$46,[2]tropical!AF$1,FALSE)</f>
        <v>0</v>
      </c>
      <c r="U85" s="798">
        <f t="shared" si="1"/>
        <v>0</v>
      </c>
    </row>
    <row r="86" spans="1:21">
      <c r="A86" s="788">
        <v>8083</v>
      </c>
      <c r="B86" s="788" t="s">
        <v>1077</v>
      </c>
      <c r="C86" s="788">
        <v>552</v>
      </c>
      <c r="D86" s="788" t="s">
        <v>88</v>
      </c>
      <c r="E86" s="790" t="s">
        <v>1127</v>
      </c>
      <c r="F86" s="790" t="s">
        <v>2617</v>
      </c>
      <c r="G86" s="798">
        <v>1</v>
      </c>
      <c r="H86" s="798">
        <v>9</v>
      </c>
      <c r="I86" s="798">
        <v>16</v>
      </c>
      <c r="J86" s="798">
        <v>7</v>
      </c>
      <c r="K86" s="798">
        <v>4</v>
      </c>
      <c r="L86" s="798">
        <v>11</v>
      </c>
      <c r="M86" s="798">
        <v>8</v>
      </c>
      <c r="N86" s="798">
        <v>5</v>
      </c>
      <c r="O86" s="798">
        <v>21</v>
      </c>
      <c r="P86" s="798">
        <v>0</v>
      </c>
      <c r="Q86" s="798">
        <v>1</v>
      </c>
      <c r="R86" s="802">
        <f>VLOOKUP($E86,[2]tropical!$A$4:$AF$46,[2]tropical!AD$1,FALSE)</f>
        <v>0</v>
      </c>
      <c r="S86" s="802">
        <f>VLOOKUP($E86,[2]tropical!$A$4:$AF$46,[2]tropical!AE$1,FALSE)</f>
        <v>0</v>
      </c>
      <c r="T86" s="802">
        <f>VLOOKUP($E86,[2]tropical!$A$4:$AF$46,[2]tropical!AF$1,FALSE)</f>
        <v>0</v>
      </c>
      <c r="U86" s="798">
        <f t="shared" si="1"/>
        <v>83</v>
      </c>
    </row>
    <row r="87" spans="1:21">
      <c r="A87" s="788">
        <v>8084</v>
      </c>
      <c r="B87" s="788" t="s">
        <v>1078</v>
      </c>
      <c r="C87" s="788">
        <v>525</v>
      </c>
      <c r="D87" s="788" t="s">
        <v>82</v>
      </c>
      <c r="E87" s="790" t="s">
        <v>1121</v>
      </c>
      <c r="F87" s="790" t="s">
        <v>2616</v>
      </c>
      <c r="G87" s="798">
        <v>8</v>
      </c>
      <c r="H87" s="798">
        <v>22</v>
      </c>
      <c r="I87" s="798">
        <v>15</v>
      </c>
      <c r="J87" s="798">
        <v>5</v>
      </c>
      <c r="K87" s="798">
        <v>4</v>
      </c>
      <c r="L87" s="798">
        <v>9</v>
      </c>
      <c r="M87" s="798">
        <v>1</v>
      </c>
      <c r="N87" s="798">
        <v>4</v>
      </c>
      <c r="O87" s="798">
        <v>17</v>
      </c>
      <c r="P87" s="798">
        <v>3</v>
      </c>
      <c r="Q87" s="798">
        <v>2</v>
      </c>
      <c r="R87" s="802">
        <f>VLOOKUP($E87,[2]tropical!$A$4:$AF$46,[2]tropical!AD$1,FALSE)</f>
        <v>0</v>
      </c>
      <c r="S87" s="802">
        <f>VLOOKUP($E87,[2]tropical!$A$4:$AF$46,[2]tropical!AE$1,FALSE)</f>
        <v>0</v>
      </c>
      <c r="T87" s="802">
        <f>VLOOKUP($E87,[2]tropical!$A$4:$AF$46,[2]tropical!AF$1,FALSE)</f>
        <v>0</v>
      </c>
      <c r="U87" s="798">
        <f t="shared" si="1"/>
        <v>90</v>
      </c>
    </row>
    <row r="88" spans="1:21">
      <c r="A88" s="788">
        <v>8085</v>
      </c>
      <c r="B88" s="788" t="s">
        <v>1080</v>
      </c>
      <c r="C88" s="788">
        <v>319</v>
      </c>
      <c r="D88" s="788" t="s">
        <v>791</v>
      </c>
      <c r="E88" s="790" t="s">
        <v>2612</v>
      </c>
      <c r="F88" s="790" t="s">
        <v>2615</v>
      </c>
      <c r="G88" s="798">
        <v>1</v>
      </c>
      <c r="H88" s="798">
        <v>2</v>
      </c>
      <c r="I88" s="798">
        <v>1</v>
      </c>
      <c r="J88" s="798">
        <v>2</v>
      </c>
      <c r="K88" s="798">
        <v>0</v>
      </c>
      <c r="L88" s="798">
        <v>0</v>
      </c>
      <c r="M88" s="798">
        <v>1</v>
      </c>
      <c r="N88" s="798">
        <v>0</v>
      </c>
      <c r="O88" s="798">
        <v>0</v>
      </c>
      <c r="P88" s="798">
        <v>0</v>
      </c>
      <c r="Q88" s="798">
        <v>1</v>
      </c>
      <c r="R88" s="802">
        <f>VLOOKUP($E88,[2]tropical!$A$4:$AF$46,[2]tropical!AD$1,FALSE)</f>
        <v>0</v>
      </c>
      <c r="S88" s="802">
        <f>VLOOKUP($E88,[2]tropical!$A$4:$AF$46,[2]tropical!AE$1,FALSE)</f>
        <v>0</v>
      </c>
      <c r="T88" s="802">
        <f>VLOOKUP($E88,[2]tropical!$A$4:$AF$46,[2]tropical!AF$1,FALSE)</f>
        <v>0</v>
      </c>
      <c r="U88" s="798">
        <f t="shared" si="1"/>
        <v>8</v>
      </c>
    </row>
    <row r="89" spans="1:21">
      <c r="A89" s="788">
        <v>8086</v>
      </c>
      <c r="B89" s="788" t="s">
        <v>1084</v>
      </c>
      <c r="C89" s="788">
        <v>181</v>
      </c>
      <c r="D89" s="788" t="s">
        <v>24</v>
      </c>
      <c r="E89" s="790" t="s">
        <v>1743</v>
      </c>
      <c r="F89" s="790" t="s">
        <v>2616</v>
      </c>
      <c r="G89" s="798">
        <v>1</v>
      </c>
      <c r="H89" s="798">
        <v>7</v>
      </c>
      <c r="I89" s="798">
        <v>11</v>
      </c>
      <c r="J89" s="798">
        <v>2</v>
      </c>
      <c r="K89" s="798">
        <v>2</v>
      </c>
      <c r="L89" s="798">
        <v>5</v>
      </c>
      <c r="M89" s="798">
        <v>4</v>
      </c>
      <c r="N89" s="798">
        <v>0</v>
      </c>
      <c r="O89" s="798">
        <v>7</v>
      </c>
      <c r="P89" s="798">
        <v>0</v>
      </c>
      <c r="Q89" s="798">
        <v>0</v>
      </c>
      <c r="R89" s="802">
        <f>VLOOKUP($E89,[2]tropical!$A$4:$AF$46,[2]tropical!AD$1,FALSE)</f>
        <v>0</v>
      </c>
      <c r="S89" s="802">
        <f>VLOOKUP($E89,[2]tropical!$A$4:$AF$46,[2]tropical!AE$1,FALSE)</f>
        <v>0</v>
      </c>
      <c r="T89" s="802">
        <f>VLOOKUP($E89,[2]tropical!$A$4:$AF$46,[2]tropical!AF$1,FALSE)</f>
        <v>0</v>
      </c>
      <c r="U89" s="798">
        <f t="shared" si="1"/>
        <v>39</v>
      </c>
    </row>
    <row r="90" spans="1:21">
      <c r="A90" s="788">
        <v>8087</v>
      </c>
      <c r="B90" s="788" t="s">
        <v>1087</v>
      </c>
      <c r="C90" s="788">
        <v>502</v>
      </c>
      <c r="D90" s="788" t="s">
        <v>89</v>
      </c>
      <c r="E90" s="790" t="s">
        <v>1494</v>
      </c>
      <c r="F90" s="790" t="s">
        <v>2616</v>
      </c>
      <c r="G90" s="798">
        <v>2</v>
      </c>
      <c r="H90" s="798">
        <v>2</v>
      </c>
      <c r="I90" s="798">
        <v>13</v>
      </c>
      <c r="J90" s="798">
        <v>2</v>
      </c>
      <c r="K90" s="798">
        <v>2</v>
      </c>
      <c r="L90" s="798">
        <v>4</v>
      </c>
      <c r="M90" s="798">
        <v>0</v>
      </c>
      <c r="N90" s="798">
        <v>0</v>
      </c>
      <c r="O90" s="798">
        <v>5</v>
      </c>
      <c r="P90" s="798">
        <v>0</v>
      </c>
      <c r="Q90" s="798">
        <v>0</v>
      </c>
      <c r="R90" s="802">
        <f>VLOOKUP($E90,[2]tropical!$A$4:$AF$46,[2]tropical!AD$1,FALSE)</f>
        <v>0</v>
      </c>
      <c r="S90" s="802">
        <f>VLOOKUP($E90,[2]tropical!$A$4:$AF$46,[2]tropical!AE$1,FALSE)</f>
        <v>0</v>
      </c>
      <c r="T90" s="802">
        <f>VLOOKUP($E90,[2]tropical!$A$4:$AF$46,[2]tropical!AF$1,FALSE)</f>
        <v>0</v>
      </c>
      <c r="U90" s="798">
        <f t="shared" si="1"/>
        <v>30</v>
      </c>
    </row>
    <row r="91" spans="1:21">
      <c r="A91" s="788">
        <v>8088</v>
      </c>
      <c r="B91" s="788" t="s">
        <v>1091</v>
      </c>
      <c r="C91" s="788">
        <v>252</v>
      </c>
      <c r="D91" s="788" t="s">
        <v>24</v>
      </c>
      <c r="E91" s="790" t="s">
        <v>867</v>
      </c>
      <c r="F91" s="790" t="s">
        <v>2616</v>
      </c>
      <c r="G91" s="798">
        <v>0</v>
      </c>
      <c r="H91" s="798">
        <v>3</v>
      </c>
      <c r="I91" s="798">
        <v>9</v>
      </c>
      <c r="J91" s="798">
        <v>4</v>
      </c>
      <c r="K91" s="798">
        <v>7</v>
      </c>
      <c r="L91" s="798">
        <v>7</v>
      </c>
      <c r="M91" s="798">
        <v>4</v>
      </c>
      <c r="N91" s="798">
        <v>0</v>
      </c>
      <c r="O91" s="798">
        <v>7</v>
      </c>
      <c r="P91" s="798">
        <v>1</v>
      </c>
      <c r="Q91" s="798">
        <v>0</v>
      </c>
      <c r="R91" s="802">
        <f>VLOOKUP($E91,[2]tropical!$A$4:$AF$46,[2]tropical!AD$1,FALSE)</f>
        <v>0</v>
      </c>
      <c r="S91" s="802">
        <f>VLOOKUP($E91,[2]tropical!$A$4:$AF$46,[2]tropical!AE$1,FALSE)</f>
        <v>0</v>
      </c>
      <c r="T91" s="802">
        <f>VLOOKUP($E91,[2]tropical!$A$4:$AF$46,[2]tropical!AF$1,FALSE)</f>
        <v>0</v>
      </c>
      <c r="U91" s="798">
        <f t="shared" si="1"/>
        <v>42</v>
      </c>
    </row>
    <row r="92" spans="1:21">
      <c r="A92" s="788">
        <v>8089</v>
      </c>
      <c r="B92" s="788" t="s">
        <v>342</v>
      </c>
      <c r="C92" s="788">
        <v>9</v>
      </c>
      <c r="D92" s="788" t="s">
        <v>90</v>
      </c>
      <c r="E92" s="790" t="s">
        <v>357</v>
      </c>
      <c r="F92" s="790" t="s">
        <v>2615</v>
      </c>
      <c r="G92" s="798">
        <v>0</v>
      </c>
      <c r="H92" s="798">
        <v>1</v>
      </c>
      <c r="I92" s="798">
        <v>0</v>
      </c>
      <c r="J92" s="798">
        <v>0</v>
      </c>
      <c r="K92" s="798">
        <v>0</v>
      </c>
      <c r="L92" s="798">
        <v>0</v>
      </c>
      <c r="M92" s="798">
        <v>1</v>
      </c>
      <c r="N92" s="798">
        <v>0</v>
      </c>
      <c r="O92" s="798">
        <v>0</v>
      </c>
      <c r="P92" s="798">
        <v>0</v>
      </c>
      <c r="Q92" s="798">
        <v>0</v>
      </c>
      <c r="R92" s="802">
        <f>VLOOKUP($E92,[2]tropical!$A$4:$AF$46,[2]tropical!AD$1,FALSE)</f>
        <v>0</v>
      </c>
      <c r="S92" s="802">
        <f>VLOOKUP($E92,[2]tropical!$A$4:$AF$46,[2]tropical!AE$1,FALSE)</f>
        <v>0</v>
      </c>
      <c r="T92" s="802">
        <f>VLOOKUP($E92,[2]tropical!$A$4:$AF$46,[2]tropical!AF$1,FALSE)</f>
        <v>0</v>
      </c>
      <c r="U92" s="798">
        <f t="shared" si="1"/>
        <v>2</v>
      </c>
    </row>
    <row r="93" spans="1:21">
      <c r="A93" s="788">
        <v>8090</v>
      </c>
      <c r="B93" s="788" t="s">
        <v>1100</v>
      </c>
      <c r="C93" s="788">
        <v>481</v>
      </c>
      <c r="D93" s="788" t="s">
        <v>82</v>
      </c>
      <c r="E93" s="790" t="s">
        <v>1004</v>
      </c>
      <c r="F93" s="790" t="s">
        <v>2616</v>
      </c>
      <c r="G93" s="798">
        <v>5</v>
      </c>
      <c r="H93" s="798">
        <v>8</v>
      </c>
      <c r="I93" s="798">
        <v>9</v>
      </c>
      <c r="J93" s="798">
        <v>2</v>
      </c>
      <c r="K93" s="798">
        <v>2</v>
      </c>
      <c r="L93" s="798">
        <v>12</v>
      </c>
      <c r="M93" s="798">
        <v>6</v>
      </c>
      <c r="N93" s="798">
        <v>5</v>
      </c>
      <c r="O93" s="798">
        <v>18</v>
      </c>
      <c r="P93" s="798">
        <v>1</v>
      </c>
      <c r="Q93" s="798">
        <v>2</v>
      </c>
      <c r="R93" s="802">
        <f>VLOOKUP($E93,[2]tropical!$A$4:$AF$46,[2]tropical!AD$1,FALSE)</f>
        <v>0</v>
      </c>
      <c r="S93" s="802">
        <f>VLOOKUP($E93,[2]tropical!$A$4:$AF$46,[2]tropical!AE$1,FALSE)</f>
        <v>0</v>
      </c>
      <c r="T93" s="802">
        <f>VLOOKUP($E93,[2]tropical!$A$4:$AF$46,[2]tropical!AF$1,FALSE)</f>
        <v>0</v>
      </c>
      <c r="U93" s="798">
        <f t="shared" si="1"/>
        <v>70</v>
      </c>
    </row>
    <row r="94" spans="1:21">
      <c r="A94" s="788">
        <v>8091</v>
      </c>
      <c r="B94" s="788" t="s">
        <v>1102</v>
      </c>
      <c r="C94" s="788">
        <v>196</v>
      </c>
      <c r="D94" s="788" t="s">
        <v>791</v>
      </c>
      <c r="E94" s="790" t="s">
        <v>1544</v>
      </c>
      <c r="F94" s="790" t="s">
        <v>2616</v>
      </c>
      <c r="G94" s="798">
        <v>0</v>
      </c>
      <c r="H94" s="798">
        <v>0</v>
      </c>
      <c r="I94" s="798">
        <v>4</v>
      </c>
      <c r="J94" s="798">
        <v>2</v>
      </c>
      <c r="K94" s="798">
        <v>0</v>
      </c>
      <c r="L94" s="798">
        <v>9</v>
      </c>
      <c r="M94" s="798">
        <v>4</v>
      </c>
      <c r="N94" s="798">
        <v>4</v>
      </c>
      <c r="O94" s="798">
        <v>9</v>
      </c>
      <c r="P94" s="798">
        <v>4</v>
      </c>
      <c r="Q94" s="798">
        <v>1</v>
      </c>
      <c r="R94" s="802">
        <f>VLOOKUP($E94,[2]tropical!$A$4:$AF$46,[2]tropical!AD$1,FALSE)</f>
        <v>0</v>
      </c>
      <c r="S94" s="802">
        <f>VLOOKUP($E94,[2]tropical!$A$4:$AF$46,[2]tropical!AE$1,FALSE)</f>
        <v>0</v>
      </c>
      <c r="T94" s="802">
        <f>VLOOKUP($E94,[2]tropical!$A$4:$AF$46,[2]tropical!AF$1,FALSE)</f>
        <v>0</v>
      </c>
      <c r="U94" s="798">
        <f t="shared" si="1"/>
        <v>37</v>
      </c>
    </row>
    <row r="95" spans="1:21">
      <c r="A95" s="788">
        <v>8092</v>
      </c>
      <c r="B95" s="788" t="s">
        <v>1104</v>
      </c>
      <c r="C95" s="788">
        <v>469</v>
      </c>
      <c r="D95" s="788" t="s">
        <v>84</v>
      </c>
      <c r="E95" s="790" t="s">
        <v>1125</v>
      </c>
      <c r="F95" s="790" t="s">
        <v>2617</v>
      </c>
      <c r="G95" s="798">
        <v>3</v>
      </c>
      <c r="H95" s="798">
        <v>0</v>
      </c>
      <c r="I95" s="798">
        <v>1</v>
      </c>
      <c r="J95" s="798">
        <v>2</v>
      </c>
      <c r="K95" s="798">
        <v>0</v>
      </c>
      <c r="L95" s="798">
        <v>0</v>
      </c>
      <c r="M95" s="798">
        <v>0</v>
      </c>
      <c r="N95" s="798">
        <v>0</v>
      </c>
      <c r="O95" s="798">
        <v>5</v>
      </c>
      <c r="P95" s="798">
        <v>0</v>
      </c>
      <c r="Q95" s="798">
        <v>0</v>
      </c>
      <c r="R95" s="802">
        <f>VLOOKUP($E95,[2]tropical!$A$4:$AF$46,[2]tropical!AD$1,FALSE)</f>
        <v>0</v>
      </c>
      <c r="S95" s="802">
        <f>VLOOKUP($E95,[2]tropical!$A$4:$AF$46,[2]tropical!AE$1,FALSE)</f>
        <v>0</v>
      </c>
      <c r="T95" s="802">
        <f>VLOOKUP($E95,[2]tropical!$A$4:$AF$46,[2]tropical!AF$1,FALSE)</f>
        <v>0</v>
      </c>
      <c r="U95" s="798">
        <f t="shared" si="1"/>
        <v>11</v>
      </c>
    </row>
    <row r="96" spans="1:21">
      <c r="A96" s="788">
        <v>8093</v>
      </c>
      <c r="B96" s="788" t="s">
        <v>1105</v>
      </c>
      <c r="C96" s="788">
        <v>1340</v>
      </c>
      <c r="D96" s="788" t="s">
        <v>84</v>
      </c>
      <c r="E96" s="790" t="s">
        <v>1105</v>
      </c>
      <c r="F96" s="790" t="s">
        <v>2617</v>
      </c>
      <c r="G96" s="798">
        <v>0</v>
      </c>
      <c r="H96" s="798">
        <v>0</v>
      </c>
      <c r="I96" s="798">
        <v>0</v>
      </c>
      <c r="J96" s="798">
        <v>0</v>
      </c>
      <c r="K96" s="798">
        <v>0</v>
      </c>
      <c r="L96" s="798">
        <v>0</v>
      </c>
      <c r="M96" s="798">
        <v>0</v>
      </c>
      <c r="N96" s="798">
        <v>0</v>
      </c>
      <c r="O96" s="798">
        <v>0</v>
      </c>
      <c r="P96" s="798">
        <v>0</v>
      </c>
      <c r="Q96" s="798">
        <v>0</v>
      </c>
      <c r="R96" s="802">
        <f>VLOOKUP($E96,[2]tropical!$A$4:$AF$46,[2]tropical!AD$1,FALSE)</f>
        <v>0</v>
      </c>
      <c r="S96" s="802">
        <f>VLOOKUP($E96,[2]tropical!$A$4:$AF$46,[2]tropical!AE$1,FALSE)</f>
        <v>0</v>
      </c>
      <c r="T96" s="802">
        <f>VLOOKUP($E96,[2]tropical!$A$4:$AF$46,[2]tropical!AF$1,FALSE)</f>
        <v>0</v>
      </c>
      <c r="U96" s="798">
        <f t="shared" si="1"/>
        <v>0</v>
      </c>
    </row>
    <row r="97" spans="1:21">
      <c r="A97" s="788">
        <v>8094</v>
      </c>
      <c r="B97" s="788" t="s">
        <v>1108</v>
      </c>
      <c r="C97" s="788">
        <v>272</v>
      </c>
      <c r="D97" s="788" t="s">
        <v>791</v>
      </c>
      <c r="E97" s="790" t="s">
        <v>2607</v>
      </c>
      <c r="F97" s="790" t="s">
        <v>2615</v>
      </c>
      <c r="G97" s="798">
        <v>1</v>
      </c>
      <c r="H97" s="798">
        <v>4</v>
      </c>
      <c r="I97" s="798">
        <v>1</v>
      </c>
      <c r="J97" s="798">
        <v>1</v>
      </c>
      <c r="K97" s="798">
        <v>0</v>
      </c>
      <c r="L97" s="798">
        <v>5</v>
      </c>
      <c r="M97" s="798">
        <v>1</v>
      </c>
      <c r="N97" s="798">
        <v>0</v>
      </c>
      <c r="O97" s="798">
        <v>2</v>
      </c>
      <c r="P97" s="798">
        <v>0</v>
      </c>
      <c r="Q97" s="798">
        <v>0</v>
      </c>
      <c r="R97" s="802">
        <f>VLOOKUP($E97,[2]tropical!$A$4:$AF$46,[2]tropical!AD$1,FALSE)</f>
        <v>0</v>
      </c>
      <c r="S97" s="802">
        <f>VLOOKUP($E97,[2]tropical!$A$4:$AF$46,[2]tropical!AE$1,FALSE)</f>
        <v>0</v>
      </c>
      <c r="T97" s="802">
        <f>VLOOKUP($E97,[2]tropical!$A$4:$AF$46,[2]tropical!AF$1,FALSE)</f>
        <v>0</v>
      </c>
      <c r="U97" s="798">
        <f t="shared" si="1"/>
        <v>15</v>
      </c>
    </row>
    <row r="98" spans="1:21">
      <c r="A98" s="788">
        <v>8095</v>
      </c>
      <c r="B98" s="788" t="s">
        <v>1110</v>
      </c>
      <c r="C98" s="788">
        <v>782</v>
      </c>
      <c r="D98" s="788" t="s">
        <v>24</v>
      </c>
      <c r="E98" s="790" t="s">
        <v>1494</v>
      </c>
      <c r="F98" s="790" t="s">
        <v>2616</v>
      </c>
      <c r="G98" s="798">
        <v>2</v>
      </c>
      <c r="H98" s="798">
        <v>2</v>
      </c>
      <c r="I98" s="798">
        <v>13</v>
      </c>
      <c r="J98" s="798">
        <v>2</v>
      </c>
      <c r="K98" s="798">
        <v>2</v>
      </c>
      <c r="L98" s="798">
        <v>4</v>
      </c>
      <c r="M98" s="798">
        <v>0</v>
      </c>
      <c r="N98" s="798">
        <v>0</v>
      </c>
      <c r="O98" s="798">
        <v>5</v>
      </c>
      <c r="P98" s="798">
        <v>0</v>
      </c>
      <c r="Q98" s="798">
        <v>0</v>
      </c>
      <c r="R98" s="802">
        <f>VLOOKUP($E98,[2]tropical!$A$4:$AF$46,[2]tropical!AD$1,FALSE)</f>
        <v>0</v>
      </c>
      <c r="S98" s="802">
        <f>VLOOKUP($E98,[2]tropical!$A$4:$AF$46,[2]tropical!AE$1,FALSE)</f>
        <v>0</v>
      </c>
      <c r="T98" s="802">
        <f>VLOOKUP($E98,[2]tropical!$A$4:$AF$46,[2]tropical!AF$1,FALSE)</f>
        <v>0</v>
      </c>
      <c r="U98" s="798">
        <f t="shared" si="1"/>
        <v>30</v>
      </c>
    </row>
    <row r="99" spans="1:21">
      <c r="A99" s="788">
        <v>8096</v>
      </c>
      <c r="B99" s="788" t="s">
        <v>1113</v>
      </c>
      <c r="C99" s="788">
        <v>145</v>
      </c>
      <c r="D99" s="788" t="s">
        <v>24</v>
      </c>
      <c r="E99" s="790" t="s">
        <v>1743</v>
      </c>
      <c r="F99" s="790" t="s">
        <v>2616</v>
      </c>
      <c r="G99" s="798">
        <v>1</v>
      </c>
      <c r="H99" s="798">
        <v>7</v>
      </c>
      <c r="I99" s="798">
        <v>11</v>
      </c>
      <c r="J99" s="798">
        <v>2</v>
      </c>
      <c r="K99" s="798">
        <v>2</v>
      </c>
      <c r="L99" s="798">
        <v>5</v>
      </c>
      <c r="M99" s="798">
        <v>4</v>
      </c>
      <c r="N99" s="798">
        <v>0</v>
      </c>
      <c r="O99" s="798">
        <v>7</v>
      </c>
      <c r="P99" s="798">
        <v>0</v>
      </c>
      <c r="Q99" s="798">
        <v>0</v>
      </c>
      <c r="R99" s="802">
        <f>VLOOKUP($E99,[2]tropical!$A$4:$AF$46,[2]tropical!AD$1,FALSE)</f>
        <v>0</v>
      </c>
      <c r="S99" s="802">
        <f>VLOOKUP($E99,[2]tropical!$A$4:$AF$46,[2]tropical!AE$1,FALSE)</f>
        <v>0</v>
      </c>
      <c r="T99" s="802">
        <f>VLOOKUP($E99,[2]tropical!$A$4:$AF$46,[2]tropical!AF$1,FALSE)</f>
        <v>0</v>
      </c>
      <c r="U99" s="798">
        <f t="shared" si="1"/>
        <v>39</v>
      </c>
    </row>
    <row r="100" spans="1:21">
      <c r="A100" s="788">
        <v>8097</v>
      </c>
      <c r="B100" s="788" t="s">
        <v>1116</v>
      </c>
      <c r="C100" s="788">
        <v>177</v>
      </c>
      <c r="D100" s="788" t="s">
        <v>24</v>
      </c>
      <c r="E100" s="790" t="s">
        <v>1743</v>
      </c>
      <c r="F100" s="790" t="s">
        <v>2616</v>
      </c>
      <c r="G100" s="798">
        <v>1</v>
      </c>
      <c r="H100" s="798">
        <v>7</v>
      </c>
      <c r="I100" s="798">
        <v>11</v>
      </c>
      <c r="J100" s="798">
        <v>2</v>
      </c>
      <c r="K100" s="798">
        <v>2</v>
      </c>
      <c r="L100" s="798">
        <v>5</v>
      </c>
      <c r="M100" s="798">
        <v>4</v>
      </c>
      <c r="N100" s="798">
        <v>0</v>
      </c>
      <c r="O100" s="798">
        <v>7</v>
      </c>
      <c r="P100" s="798">
        <v>0</v>
      </c>
      <c r="Q100" s="798">
        <v>0</v>
      </c>
      <c r="R100" s="802">
        <f>VLOOKUP($E100,[2]tropical!$A$4:$AF$46,[2]tropical!AD$1,FALSE)</f>
        <v>0</v>
      </c>
      <c r="S100" s="802">
        <f>VLOOKUP($E100,[2]tropical!$A$4:$AF$46,[2]tropical!AE$1,FALSE)</f>
        <v>0</v>
      </c>
      <c r="T100" s="802">
        <f>VLOOKUP($E100,[2]tropical!$A$4:$AF$46,[2]tropical!AF$1,FALSE)</f>
        <v>0</v>
      </c>
      <c r="U100" s="798">
        <f t="shared" si="1"/>
        <v>39</v>
      </c>
    </row>
    <row r="101" spans="1:21">
      <c r="A101" s="788">
        <v>8098</v>
      </c>
      <c r="B101" s="788" t="s">
        <v>1121</v>
      </c>
      <c r="C101" s="788">
        <v>334</v>
      </c>
      <c r="D101" s="788" t="s">
        <v>82</v>
      </c>
      <c r="E101" s="790" t="s">
        <v>1121</v>
      </c>
      <c r="F101" s="790" t="s">
        <v>2616</v>
      </c>
      <c r="G101" s="798">
        <v>8</v>
      </c>
      <c r="H101" s="798">
        <v>22</v>
      </c>
      <c r="I101" s="798">
        <v>15</v>
      </c>
      <c r="J101" s="798">
        <v>5</v>
      </c>
      <c r="K101" s="798">
        <v>4</v>
      </c>
      <c r="L101" s="798">
        <v>9</v>
      </c>
      <c r="M101" s="798">
        <v>1</v>
      </c>
      <c r="N101" s="798">
        <v>4</v>
      </c>
      <c r="O101" s="798">
        <v>17</v>
      </c>
      <c r="P101" s="798">
        <v>3</v>
      </c>
      <c r="Q101" s="798">
        <v>2</v>
      </c>
      <c r="R101" s="802">
        <f>VLOOKUP($E101,[2]tropical!$A$4:$AF$46,[2]tropical!AD$1,FALSE)</f>
        <v>0</v>
      </c>
      <c r="S101" s="802">
        <f>VLOOKUP($E101,[2]tropical!$A$4:$AF$46,[2]tropical!AE$1,FALSE)</f>
        <v>0</v>
      </c>
      <c r="T101" s="802">
        <f>VLOOKUP($E101,[2]tropical!$A$4:$AF$46,[2]tropical!AF$1,FALSE)</f>
        <v>0</v>
      </c>
      <c r="U101" s="798">
        <f t="shared" si="1"/>
        <v>90</v>
      </c>
    </row>
    <row r="102" spans="1:21">
      <c r="A102" s="788">
        <v>8099</v>
      </c>
      <c r="B102" s="788" t="s">
        <v>1125</v>
      </c>
      <c r="C102" s="788">
        <v>720</v>
      </c>
      <c r="D102" s="788" t="s">
        <v>84</v>
      </c>
      <c r="E102" s="790" t="s">
        <v>1125</v>
      </c>
      <c r="F102" s="790" t="s">
        <v>2617</v>
      </c>
      <c r="G102" s="798">
        <v>3</v>
      </c>
      <c r="H102" s="798">
        <v>0</v>
      </c>
      <c r="I102" s="798">
        <v>1</v>
      </c>
      <c r="J102" s="798">
        <v>2</v>
      </c>
      <c r="K102" s="798">
        <v>0</v>
      </c>
      <c r="L102" s="798">
        <v>0</v>
      </c>
      <c r="M102" s="798">
        <v>0</v>
      </c>
      <c r="N102" s="798">
        <v>0</v>
      </c>
      <c r="O102" s="798">
        <v>5</v>
      </c>
      <c r="P102" s="798">
        <v>0</v>
      </c>
      <c r="Q102" s="798">
        <v>0</v>
      </c>
      <c r="R102" s="802">
        <f>VLOOKUP($E102,[2]tropical!$A$4:$AF$46,[2]tropical!AD$1,FALSE)</f>
        <v>0</v>
      </c>
      <c r="S102" s="802">
        <f>VLOOKUP($E102,[2]tropical!$A$4:$AF$46,[2]tropical!AE$1,FALSE)</f>
        <v>0</v>
      </c>
      <c r="T102" s="802">
        <f>VLOOKUP($E102,[2]tropical!$A$4:$AF$46,[2]tropical!AF$1,FALSE)</f>
        <v>0</v>
      </c>
      <c r="U102" s="798">
        <f t="shared" si="1"/>
        <v>11</v>
      </c>
    </row>
    <row r="103" spans="1:21">
      <c r="A103" s="788">
        <v>8100</v>
      </c>
      <c r="B103" s="788" t="s">
        <v>1127</v>
      </c>
      <c r="C103" s="788">
        <v>516</v>
      </c>
      <c r="D103" s="788" t="s">
        <v>88</v>
      </c>
      <c r="E103" s="790" t="s">
        <v>1127</v>
      </c>
      <c r="F103" s="790" t="s">
        <v>2617</v>
      </c>
      <c r="G103" s="798">
        <v>1</v>
      </c>
      <c r="H103" s="798">
        <v>9</v>
      </c>
      <c r="I103" s="798">
        <v>16</v>
      </c>
      <c r="J103" s="798">
        <v>7</v>
      </c>
      <c r="K103" s="798">
        <v>4</v>
      </c>
      <c r="L103" s="798">
        <v>11</v>
      </c>
      <c r="M103" s="798">
        <v>8</v>
      </c>
      <c r="N103" s="798">
        <v>5</v>
      </c>
      <c r="O103" s="798">
        <v>21</v>
      </c>
      <c r="P103" s="798">
        <v>0</v>
      </c>
      <c r="Q103" s="798">
        <v>1</v>
      </c>
      <c r="R103" s="802">
        <f>VLOOKUP($E103,[2]tropical!$A$4:$AF$46,[2]tropical!AD$1,FALSE)</f>
        <v>0</v>
      </c>
      <c r="S103" s="802">
        <f>VLOOKUP($E103,[2]tropical!$A$4:$AF$46,[2]tropical!AE$1,FALSE)</f>
        <v>0</v>
      </c>
      <c r="T103" s="802">
        <f>VLOOKUP($E103,[2]tropical!$A$4:$AF$46,[2]tropical!AF$1,FALSE)</f>
        <v>0</v>
      </c>
      <c r="U103" s="798">
        <f t="shared" si="1"/>
        <v>83</v>
      </c>
    </row>
    <row r="104" spans="1:21" ht="24">
      <c r="A104" s="788">
        <v>8101</v>
      </c>
      <c r="B104" s="791" t="s">
        <v>2613</v>
      </c>
      <c r="C104" s="788">
        <v>8</v>
      </c>
      <c r="D104" s="788" t="s">
        <v>83</v>
      </c>
      <c r="E104" s="790" t="s">
        <v>2605</v>
      </c>
      <c r="F104" s="790" t="s">
        <v>2615</v>
      </c>
      <c r="G104" s="798">
        <v>5</v>
      </c>
      <c r="H104" s="798">
        <v>7</v>
      </c>
      <c r="I104" s="798">
        <v>11</v>
      </c>
      <c r="J104" s="798">
        <v>0</v>
      </c>
      <c r="K104" s="798">
        <v>0</v>
      </c>
      <c r="L104" s="798">
        <v>6</v>
      </c>
      <c r="M104" s="798">
        <v>2</v>
      </c>
      <c r="N104" s="798">
        <v>0</v>
      </c>
      <c r="O104" s="798">
        <v>1</v>
      </c>
      <c r="P104" s="798">
        <v>1</v>
      </c>
      <c r="Q104" s="798">
        <v>0</v>
      </c>
      <c r="R104" s="802">
        <f>VLOOKUP($E104,[2]tropical!$A$4:$AF$46,[2]tropical!AD$1,FALSE)</f>
        <v>0</v>
      </c>
      <c r="S104" s="802">
        <f>VLOOKUP($E104,[2]tropical!$A$4:$AF$46,[2]tropical!AE$1,FALSE)</f>
        <v>0</v>
      </c>
      <c r="T104" s="802">
        <f>VLOOKUP($E104,[2]tropical!$A$4:$AF$46,[2]tropical!AF$1,FALSE)</f>
        <v>0</v>
      </c>
      <c r="U104" s="798">
        <f t="shared" si="1"/>
        <v>33</v>
      </c>
    </row>
    <row r="105" spans="1:21">
      <c r="A105" s="788">
        <v>8102</v>
      </c>
      <c r="B105" s="788" t="s">
        <v>1136</v>
      </c>
      <c r="C105" s="788">
        <v>313</v>
      </c>
      <c r="D105" s="788" t="s">
        <v>81</v>
      </c>
      <c r="E105" s="790" t="s">
        <v>1274</v>
      </c>
      <c r="F105" s="790" t="s">
        <v>2616</v>
      </c>
      <c r="G105" s="798">
        <v>4</v>
      </c>
      <c r="H105" s="798">
        <v>15</v>
      </c>
      <c r="I105" s="798">
        <v>20</v>
      </c>
      <c r="J105" s="798">
        <v>2</v>
      </c>
      <c r="K105" s="798">
        <v>5</v>
      </c>
      <c r="L105" s="798">
        <v>8</v>
      </c>
      <c r="M105" s="798">
        <v>2</v>
      </c>
      <c r="N105" s="798">
        <v>4</v>
      </c>
      <c r="O105" s="798">
        <v>16</v>
      </c>
      <c r="P105" s="798">
        <v>0</v>
      </c>
      <c r="Q105" s="798">
        <v>1</v>
      </c>
      <c r="R105" s="802">
        <f>VLOOKUP($E105,[2]tropical!$A$4:$AF$46,[2]tropical!AD$1,FALSE)</f>
        <v>0</v>
      </c>
      <c r="S105" s="802">
        <f>VLOOKUP($E105,[2]tropical!$A$4:$AF$46,[2]tropical!AE$1,FALSE)</f>
        <v>0</v>
      </c>
      <c r="T105" s="802">
        <f>VLOOKUP($E105,[2]tropical!$A$4:$AF$46,[2]tropical!AF$1,FALSE)</f>
        <v>0</v>
      </c>
      <c r="U105" s="798">
        <f t="shared" si="1"/>
        <v>77</v>
      </c>
    </row>
    <row r="106" spans="1:21">
      <c r="A106" s="788">
        <v>8103</v>
      </c>
      <c r="B106" s="788" t="s">
        <v>1137</v>
      </c>
      <c r="C106" s="788">
        <v>380</v>
      </c>
      <c r="D106" s="788" t="s">
        <v>81</v>
      </c>
      <c r="E106" s="790" t="s">
        <v>1274</v>
      </c>
      <c r="F106" s="790" t="s">
        <v>2616</v>
      </c>
      <c r="G106" s="798">
        <v>4</v>
      </c>
      <c r="H106" s="798">
        <v>15</v>
      </c>
      <c r="I106" s="798">
        <v>20</v>
      </c>
      <c r="J106" s="798">
        <v>2</v>
      </c>
      <c r="K106" s="798">
        <v>5</v>
      </c>
      <c r="L106" s="798">
        <v>8</v>
      </c>
      <c r="M106" s="798">
        <v>2</v>
      </c>
      <c r="N106" s="798">
        <v>4</v>
      </c>
      <c r="O106" s="798">
        <v>16</v>
      </c>
      <c r="P106" s="798">
        <v>0</v>
      </c>
      <c r="Q106" s="798">
        <v>1</v>
      </c>
      <c r="R106" s="802">
        <f>VLOOKUP($E106,[2]tropical!$A$4:$AF$46,[2]tropical!AD$1,FALSE)</f>
        <v>0</v>
      </c>
      <c r="S106" s="802">
        <f>VLOOKUP($E106,[2]tropical!$A$4:$AF$46,[2]tropical!AE$1,FALSE)</f>
        <v>0</v>
      </c>
      <c r="T106" s="802">
        <f>VLOOKUP($E106,[2]tropical!$A$4:$AF$46,[2]tropical!AF$1,FALSE)</f>
        <v>0</v>
      </c>
      <c r="U106" s="798">
        <f t="shared" si="1"/>
        <v>77</v>
      </c>
    </row>
    <row r="107" spans="1:21">
      <c r="A107" s="788">
        <v>8104</v>
      </c>
      <c r="B107" s="788" t="s">
        <v>1142</v>
      </c>
      <c r="C107" s="788">
        <v>615</v>
      </c>
      <c r="D107" s="788" t="s">
        <v>81</v>
      </c>
      <c r="E107" s="790" t="s">
        <v>1274</v>
      </c>
      <c r="F107" s="790" t="s">
        <v>2616</v>
      </c>
      <c r="G107" s="798">
        <v>4</v>
      </c>
      <c r="H107" s="798">
        <v>15</v>
      </c>
      <c r="I107" s="798">
        <v>20</v>
      </c>
      <c r="J107" s="798">
        <v>2</v>
      </c>
      <c r="K107" s="798">
        <v>5</v>
      </c>
      <c r="L107" s="798">
        <v>8</v>
      </c>
      <c r="M107" s="798">
        <v>2</v>
      </c>
      <c r="N107" s="798">
        <v>4</v>
      </c>
      <c r="O107" s="798">
        <v>16</v>
      </c>
      <c r="P107" s="798">
        <v>0</v>
      </c>
      <c r="Q107" s="798">
        <v>1</v>
      </c>
      <c r="R107" s="802">
        <f>VLOOKUP($E107,[2]tropical!$A$4:$AF$46,[2]tropical!AD$1,FALSE)</f>
        <v>0</v>
      </c>
      <c r="S107" s="802">
        <f>VLOOKUP($E107,[2]tropical!$A$4:$AF$46,[2]tropical!AE$1,FALSE)</f>
        <v>0</v>
      </c>
      <c r="T107" s="802">
        <f>VLOOKUP($E107,[2]tropical!$A$4:$AF$46,[2]tropical!AF$1,FALSE)</f>
        <v>0</v>
      </c>
      <c r="U107" s="798">
        <f t="shared" si="1"/>
        <v>77</v>
      </c>
    </row>
    <row r="108" spans="1:21">
      <c r="A108" s="788">
        <v>8105</v>
      </c>
      <c r="B108" s="788" t="s">
        <v>1147</v>
      </c>
      <c r="C108" s="788">
        <v>45</v>
      </c>
      <c r="D108" s="788" t="s">
        <v>24</v>
      </c>
      <c r="E108" s="790" t="s">
        <v>1743</v>
      </c>
      <c r="F108" s="790" t="s">
        <v>2616</v>
      </c>
      <c r="G108" s="798">
        <v>1</v>
      </c>
      <c r="H108" s="798">
        <v>7</v>
      </c>
      <c r="I108" s="798">
        <v>11</v>
      </c>
      <c r="J108" s="798">
        <v>2</v>
      </c>
      <c r="K108" s="798">
        <v>2</v>
      </c>
      <c r="L108" s="798">
        <v>5</v>
      </c>
      <c r="M108" s="798">
        <v>4</v>
      </c>
      <c r="N108" s="798">
        <v>0</v>
      </c>
      <c r="O108" s="798">
        <v>7</v>
      </c>
      <c r="P108" s="798">
        <v>0</v>
      </c>
      <c r="Q108" s="798">
        <v>0</v>
      </c>
      <c r="R108" s="802">
        <f>VLOOKUP($E108,[2]tropical!$A$4:$AF$46,[2]tropical!AD$1,FALSE)</f>
        <v>0</v>
      </c>
      <c r="S108" s="802">
        <f>VLOOKUP($E108,[2]tropical!$A$4:$AF$46,[2]tropical!AE$1,FALSE)</f>
        <v>0</v>
      </c>
      <c r="T108" s="802">
        <f>VLOOKUP($E108,[2]tropical!$A$4:$AF$46,[2]tropical!AF$1,FALSE)</f>
        <v>0</v>
      </c>
      <c r="U108" s="798">
        <f t="shared" si="1"/>
        <v>39</v>
      </c>
    </row>
    <row r="109" spans="1:21">
      <c r="A109" s="788">
        <v>8106</v>
      </c>
      <c r="B109" s="788" t="s">
        <v>1149</v>
      </c>
      <c r="C109" s="788">
        <v>198</v>
      </c>
      <c r="D109" s="788" t="s">
        <v>24</v>
      </c>
      <c r="E109" s="790" t="s">
        <v>1743</v>
      </c>
      <c r="F109" s="790" t="s">
        <v>2616</v>
      </c>
      <c r="G109" s="798">
        <v>1</v>
      </c>
      <c r="H109" s="798">
        <v>7</v>
      </c>
      <c r="I109" s="798">
        <v>11</v>
      </c>
      <c r="J109" s="798">
        <v>2</v>
      </c>
      <c r="K109" s="798">
        <v>2</v>
      </c>
      <c r="L109" s="798">
        <v>5</v>
      </c>
      <c r="M109" s="798">
        <v>4</v>
      </c>
      <c r="N109" s="798">
        <v>0</v>
      </c>
      <c r="O109" s="798">
        <v>7</v>
      </c>
      <c r="P109" s="798">
        <v>0</v>
      </c>
      <c r="Q109" s="798">
        <v>0</v>
      </c>
      <c r="R109" s="802">
        <f>VLOOKUP($E109,[2]tropical!$A$4:$AF$46,[2]tropical!AD$1,FALSE)</f>
        <v>0</v>
      </c>
      <c r="S109" s="802">
        <f>VLOOKUP($E109,[2]tropical!$A$4:$AF$46,[2]tropical!AE$1,FALSE)</f>
        <v>0</v>
      </c>
      <c r="T109" s="802">
        <f>VLOOKUP($E109,[2]tropical!$A$4:$AF$46,[2]tropical!AF$1,FALSE)</f>
        <v>0</v>
      </c>
      <c r="U109" s="798">
        <f t="shared" si="1"/>
        <v>39</v>
      </c>
    </row>
    <row r="110" spans="1:21">
      <c r="A110" s="788">
        <v>8107</v>
      </c>
      <c r="B110" s="788" t="s">
        <v>1155</v>
      </c>
      <c r="C110" s="788">
        <v>145</v>
      </c>
      <c r="D110" s="788" t="s">
        <v>24</v>
      </c>
      <c r="E110" s="790" t="s">
        <v>867</v>
      </c>
      <c r="F110" s="790" t="s">
        <v>2616</v>
      </c>
      <c r="G110" s="798">
        <v>0</v>
      </c>
      <c r="H110" s="798">
        <v>3</v>
      </c>
      <c r="I110" s="798">
        <v>9</v>
      </c>
      <c r="J110" s="798">
        <v>4</v>
      </c>
      <c r="K110" s="798">
        <v>7</v>
      </c>
      <c r="L110" s="798">
        <v>7</v>
      </c>
      <c r="M110" s="798">
        <v>4</v>
      </c>
      <c r="N110" s="798">
        <v>0</v>
      </c>
      <c r="O110" s="798">
        <v>7</v>
      </c>
      <c r="P110" s="798">
        <v>1</v>
      </c>
      <c r="Q110" s="798">
        <v>0</v>
      </c>
      <c r="R110" s="802">
        <f>VLOOKUP($E110,[2]tropical!$A$4:$AF$46,[2]tropical!AD$1,FALSE)</f>
        <v>0</v>
      </c>
      <c r="S110" s="802">
        <f>VLOOKUP($E110,[2]tropical!$A$4:$AF$46,[2]tropical!AE$1,FALSE)</f>
        <v>0</v>
      </c>
      <c r="T110" s="802">
        <f>VLOOKUP($E110,[2]tropical!$A$4:$AF$46,[2]tropical!AF$1,FALSE)</f>
        <v>0</v>
      </c>
      <c r="U110" s="798">
        <f t="shared" si="1"/>
        <v>42</v>
      </c>
    </row>
    <row r="111" spans="1:21">
      <c r="A111" s="788">
        <v>8108</v>
      </c>
      <c r="B111" s="788" t="s">
        <v>1158</v>
      </c>
      <c r="C111" s="788">
        <v>125</v>
      </c>
      <c r="D111" s="788" t="s">
        <v>24</v>
      </c>
      <c r="E111" s="790" t="s">
        <v>867</v>
      </c>
      <c r="F111" s="790" t="s">
        <v>2616</v>
      </c>
      <c r="G111" s="798">
        <v>0</v>
      </c>
      <c r="H111" s="798">
        <v>3</v>
      </c>
      <c r="I111" s="798">
        <v>9</v>
      </c>
      <c r="J111" s="798">
        <v>4</v>
      </c>
      <c r="K111" s="798">
        <v>7</v>
      </c>
      <c r="L111" s="798">
        <v>7</v>
      </c>
      <c r="M111" s="798">
        <v>4</v>
      </c>
      <c r="N111" s="798">
        <v>0</v>
      </c>
      <c r="O111" s="798">
        <v>7</v>
      </c>
      <c r="P111" s="798">
        <v>1</v>
      </c>
      <c r="Q111" s="798">
        <v>0</v>
      </c>
      <c r="R111" s="802">
        <f>VLOOKUP($E111,[2]tropical!$A$4:$AF$46,[2]tropical!AD$1,FALSE)</f>
        <v>0</v>
      </c>
      <c r="S111" s="802">
        <f>VLOOKUP($E111,[2]tropical!$A$4:$AF$46,[2]tropical!AE$1,FALSE)</f>
        <v>0</v>
      </c>
      <c r="T111" s="802">
        <f>VLOOKUP($E111,[2]tropical!$A$4:$AF$46,[2]tropical!AF$1,FALSE)</f>
        <v>0</v>
      </c>
      <c r="U111" s="798">
        <f t="shared" si="1"/>
        <v>42</v>
      </c>
    </row>
    <row r="112" spans="1:21">
      <c r="A112" s="788">
        <v>8109</v>
      </c>
      <c r="B112" s="788" t="s">
        <v>1160</v>
      </c>
      <c r="C112" s="788">
        <v>745</v>
      </c>
      <c r="D112" s="788" t="s">
        <v>88</v>
      </c>
      <c r="E112" s="790" t="s">
        <v>1326</v>
      </c>
      <c r="F112" s="790" t="s">
        <v>2617</v>
      </c>
      <c r="G112" s="798">
        <v>0</v>
      </c>
      <c r="H112" s="798">
        <v>0</v>
      </c>
      <c r="I112" s="798">
        <v>2</v>
      </c>
      <c r="J112" s="798">
        <v>1</v>
      </c>
      <c r="K112" s="798">
        <v>0</v>
      </c>
      <c r="L112" s="798">
        <v>0</v>
      </c>
      <c r="M112" s="798">
        <v>0</v>
      </c>
      <c r="N112" s="798">
        <v>0</v>
      </c>
      <c r="O112" s="798">
        <v>7</v>
      </c>
      <c r="P112" s="798">
        <v>0</v>
      </c>
      <c r="Q112" s="798">
        <v>0</v>
      </c>
      <c r="R112" s="802">
        <f>VLOOKUP($E112,[2]tropical!$A$4:$AF$46,[2]tropical!AD$1,FALSE)</f>
        <v>0</v>
      </c>
      <c r="S112" s="802">
        <f>VLOOKUP($E112,[2]tropical!$A$4:$AF$46,[2]tropical!AE$1,FALSE)</f>
        <v>0</v>
      </c>
      <c r="T112" s="802">
        <f>VLOOKUP($E112,[2]tropical!$A$4:$AF$46,[2]tropical!AF$1,FALSE)</f>
        <v>0</v>
      </c>
      <c r="U112" s="798">
        <f t="shared" si="1"/>
        <v>10</v>
      </c>
    </row>
    <row r="113" spans="1:21">
      <c r="A113" s="788">
        <v>8110</v>
      </c>
      <c r="B113" s="788" t="s">
        <v>343</v>
      </c>
      <c r="C113" s="788">
        <v>4</v>
      </c>
      <c r="D113" s="788" t="s">
        <v>86</v>
      </c>
      <c r="E113" s="790" t="s">
        <v>343</v>
      </c>
      <c r="F113" s="790" t="s">
        <v>2615</v>
      </c>
      <c r="G113" s="798">
        <v>0</v>
      </c>
      <c r="H113" s="798">
        <v>0</v>
      </c>
      <c r="I113" s="798">
        <v>0</v>
      </c>
      <c r="J113" s="798">
        <v>0</v>
      </c>
      <c r="K113" s="798">
        <v>0</v>
      </c>
      <c r="L113" s="798">
        <v>0</v>
      </c>
      <c r="M113" s="798">
        <v>0</v>
      </c>
      <c r="N113" s="798">
        <v>0</v>
      </c>
      <c r="O113" s="798">
        <v>0</v>
      </c>
      <c r="P113" s="798">
        <v>0</v>
      </c>
      <c r="Q113" s="798">
        <v>0</v>
      </c>
      <c r="R113" s="802">
        <f>VLOOKUP($E113,[2]tropical!$A$4:$AF$46,[2]tropical!AD$1,FALSE)</f>
        <v>0</v>
      </c>
      <c r="S113" s="802">
        <f>VLOOKUP($E113,[2]tropical!$A$4:$AF$46,[2]tropical!AE$1,FALSE)</f>
        <v>0</v>
      </c>
      <c r="T113" s="802">
        <f>VLOOKUP($E113,[2]tropical!$A$4:$AF$46,[2]tropical!AF$1,FALSE)</f>
        <v>0</v>
      </c>
      <c r="U113" s="798">
        <f t="shared" si="1"/>
        <v>0</v>
      </c>
    </row>
    <row r="114" spans="1:21">
      <c r="A114" s="788">
        <v>8111</v>
      </c>
      <c r="B114" s="788" t="s">
        <v>1171</v>
      </c>
      <c r="C114" s="788">
        <v>580</v>
      </c>
      <c r="D114" s="788" t="s">
        <v>88</v>
      </c>
      <c r="E114" s="790" t="s">
        <v>1127</v>
      </c>
      <c r="F114" s="790" t="s">
        <v>2617</v>
      </c>
      <c r="G114" s="798">
        <v>1</v>
      </c>
      <c r="H114" s="798">
        <v>9</v>
      </c>
      <c r="I114" s="798">
        <v>16</v>
      </c>
      <c r="J114" s="798">
        <v>7</v>
      </c>
      <c r="K114" s="798">
        <v>4</v>
      </c>
      <c r="L114" s="798">
        <v>11</v>
      </c>
      <c r="M114" s="798">
        <v>8</v>
      </c>
      <c r="N114" s="798">
        <v>5</v>
      </c>
      <c r="O114" s="798">
        <v>21</v>
      </c>
      <c r="P114" s="798">
        <v>0</v>
      </c>
      <c r="Q114" s="798">
        <v>1</v>
      </c>
      <c r="R114" s="802">
        <f>VLOOKUP($E114,[2]tropical!$A$4:$AF$46,[2]tropical!AD$1,FALSE)</f>
        <v>0</v>
      </c>
      <c r="S114" s="802">
        <f>VLOOKUP($E114,[2]tropical!$A$4:$AF$46,[2]tropical!AE$1,FALSE)</f>
        <v>0</v>
      </c>
      <c r="T114" s="802">
        <f>VLOOKUP($E114,[2]tropical!$A$4:$AF$46,[2]tropical!AF$1,FALSE)</f>
        <v>0</v>
      </c>
      <c r="U114" s="798">
        <f t="shared" si="1"/>
        <v>83</v>
      </c>
    </row>
    <row r="115" spans="1:21">
      <c r="A115" s="788">
        <v>8112</v>
      </c>
      <c r="B115" s="788" t="s">
        <v>721</v>
      </c>
      <c r="C115" s="788">
        <v>461</v>
      </c>
      <c r="D115" s="788" t="s">
        <v>88</v>
      </c>
      <c r="E115" s="790" t="s">
        <v>1127</v>
      </c>
      <c r="F115" s="790" t="s">
        <v>2617</v>
      </c>
      <c r="G115" s="798">
        <v>1</v>
      </c>
      <c r="H115" s="798">
        <v>9</v>
      </c>
      <c r="I115" s="798">
        <v>16</v>
      </c>
      <c r="J115" s="798">
        <v>7</v>
      </c>
      <c r="K115" s="798">
        <v>4</v>
      </c>
      <c r="L115" s="798">
        <v>11</v>
      </c>
      <c r="M115" s="798">
        <v>8</v>
      </c>
      <c r="N115" s="798">
        <v>5</v>
      </c>
      <c r="O115" s="798">
        <v>21</v>
      </c>
      <c r="P115" s="798">
        <v>0</v>
      </c>
      <c r="Q115" s="798">
        <v>1</v>
      </c>
      <c r="R115" s="802">
        <f>VLOOKUP($E115,[2]tropical!$A$4:$AF$46,[2]tropical!AD$1,FALSE)</f>
        <v>0</v>
      </c>
      <c r="S115" s="802">
        <f>VLOOKUP($E115,[2]tropical!$A$4:$AF$46,[2]tropical!AE$1,FALSE)</f>
        <v>0</v>
      </c>
      <c r="T115" s="802">
        <f>VLOOKUP($E115,[2]tropical!$A$4:$AF$46,[2]tropical!AF$1,FALSE)</f>
        <v>0</v>
      </c>
      <c r="U115" s="798">
        <f t="shared" si="1"/>
        <v>83</v>
      </c>
    </row>
    <row r="116" spans="1:21">
      <c r="A116" s="788">
        <v>8113</v>
      </c>
      <c r="B116" s="788" t="s">
        <v>699</v>
      </c>
      <c r="C116" s="788">
        <v>238</v>
      </c>
      <c r="D116" s="788" t="s">
        <v>82</v>
      </c>
      <c r="E116" s="790" t="s">
        <v>2610</v>
      </c>
      <c r="F116" s="790" t="s">
        <v>2616</v>
      </c>
      <c r="G116" s="798">
        <v>7</v>
      </c>
      <c r="H116" s="798">
        <v>19</v>
      </c>
      <c r="I116" s="798">
        <v>23</v>
      </c>
      <c r="J116" s="798">
        <v>3</v>
      </c>
      <c r="K116" s="798">
        <v>10</v>
      </c>
      <c r="L116" s="798">
        <v>20</v>
      </c>
      <c r="M116" s="798">
        <v>9</v>
      </c>
      <c r="N116" s="798">
        <v>5</v>
      </c>
      <c r="O116" s="798">
        <v>25</v>
      </c>
      <c r="P116" s="798">
        <v>12</v>
      </c>
      <c r="Q116" s="798">
        <v>5</v>
      </c>
      <c r="R116" s="802">
        <f>VLOOKUP($E116,[2]tropical!$A$4:$AF$46,[2]tropical!AD$1,FALSE)</f>
        <v>0</v>
      </c>
      <c r="S116" s="802">
        <f>VLOOKUP($E116,[2]tropical!$A$4:$AF$46,[2]tropical!AE$1,FALSE)</f>
        <v>0</v>
      </c>
      <c r="T116" s="802">
        <f>VLOOKUP($E116,[2]tropical!$A$4:$AF$46,[2]tropical!AF$1,FALSE)</f>
        <v>0</v>
      </c>
      <c r="U116" s="798">
        <f t="shared" si="1"/>
        <v>138</v>
      </c>
    </row>
    <row r="117" spans="1:21">
      <c r="A117" s="788">
        <v>8114</v>
      </c>
      <c r="B117" s="788" t="s">
        <v>677</v>
      </c>
      <c r="C117" s="788">
        <v>56</v>
      </c>
      <c r="D117" s="788" t="s">
        <v>90</v>
      </c>
      <c r="E117" s="790" t="s">
        <v>1697</v>
      </c>
      <c r="F117" s="790" t="s">
        <v>2615</v>
      </c>
      <c r="G117" s="798">
        <v>9</v>
      </c>
      <c r="H117" s="798">
        <v>26</v>
      </c>
      <c r="I117" s="798">
        <v>23</v>
      </c>
      <c r="J117" s="798">
        <v>3</v>
      </c>
      <c r="K117" s="798">
        <v>0</v>
      </c>
      <c r="L117" s="798">
        <v>6</v>
      </c>
      <c r="M117" s="798">
        <v>5</v>
      </c>
      <c r="N117" s="798">
        <v>2</v>
      </c>
      <c r="O117" s="798">
        <v>14</v>
      </c>
      <c r="P117" s="798">
        <v>10</v>
      </c>
      <c r="Q117" s="798">
        <v>4</v>
      </c>
      <c r="R117" s="802">
        <f>VLOOKUP($E117,[2]tropical!$A$4:$AF$46,[2]tropical!AD$1,FALSE)</f>
        <v>0</v>
      </c>
      <c r="S117" s="802">
        <f>VLOOKUP($E117,[2]tropical!$A$4:$AF$46,[2]tropical!AE$1,FALSE)</f>
        <v>0</v>
      </c>
      <c r="T117" s="802">
        <f>VLOOKUP($E117,[2]tropical!$A$4:$AF$46,[2]tropical!AF$1,FALSE)</f>
        <v>0</v>
      </c>
      <c r="U117" s="798">
        <f t="shared" si="1"/>
        <v>102</v>
      </c>
    </row>
    <row r="118" spans="1:21">
      <c r="A118" s="788">
        <v>8115</v>
      </c>
      <c r="B118" s="788" t="s">
        <v>1183</v>
      </c>
      <c r="C118" s="788">
        <v>96</v>
      </c>
      <c r="D118" s="788" t="s">
        <v>24</v>
      </c>
      <c r="E118" s="790" t="s">
        <v>1743</v>
      </c>
      <c r="F118" s="790" t="s">
        <v>2616</v>
      </c>
      <c r="G118" s="798">
        <v>1</v>
      </c>
      <c r="H118" s="798">
        <v>7</v>
      </c>
      <c r="I118" s="798">
        <v>11</v>
      </c>
      <c r="J118" s="798">
        <v>2</v>
      </c>
      <c r="K118" s="798">
        <v>2</v>
      </c>
      <c r="L118" s="798">
        <v>5</v>
      </c>
      <c r="M118" s="798">
        <v>4</v>
      </c>
      <c r="N118" s="798">
        <v>0</v>
      </c>
      <c r="O118" s="798">
        <v>7</v>
      </c>
      <c r="P118" s="798">
        <v>0</v>
      </c>
      <c r="Q118" s="798">
        <v>0</v>
      </c>
      <c r="R118" s="802">
        <f>VLOOKUP($E118,[2]tropical!$A$4:$AF$46,[2]tropical!AD$1,FALSE)</f>
        <v>0</v>
      </c>
      <c r="S118" s="802">
        <f>VLOOKUP($E118,[2]tropical!$A$4:$AF$46,[2]tropical!AE$1,FALSE)</f>
        <v>0</v>
      </c>
      <c r="T118" s="802">
        <f>VLOOKUP($E118,[2]tropical!$A$4:$AF$46,[2]tropical!AF$1,FALSE)</f>
        <v>0</v>
      </c>
      <c r="U118" s="798">
        <f t="shared" si="1"/>
        <v>39</v>
      </c>
    </row>
    <row r="119" spans="1:21">
      <c r="A119" s="788">
        <v>8116</v>
      </c>
      <c r="B119" s="788" t="s">
        <v>1184</v>
      </c>
      <c r="C119" s="788">
        <v>468</v>
      </c>
      <c r="D119" s="788" t="s">
        <v>88</v>
      </c>
      <c r="E119" s="790" t="s">
        <v>1127</v>
      </c>
      <c r="F119" s="790" t="s">
        <v>2617</v>
      </c>
      <c r="G119" s="798">
        <v>1</v>
      </c>
      <c r="H119" s="798">
        <v>9</v>
      </c>
      <c r="I119" s="798">
        <v>16</v>
      </c>
      <c r="J119" s="798">
        <v>7</v>
      </c>
      <c r="K119" s="798">
        <v>4</v>
      </c>
      <c r="L119" s="798">
        <v>11</v>
      </c>
      <c r="M119" s="798">
        <v>8</v>
      </c>
      <c r="N119" s="798">
        <v>5</v>
      </c>
      <c r="O119" s="798">
        <v>21</v>
      </c>
      <c r="P119" s="798">
        <v>0</v>
      </c>
      <c r="Q119" s="798">
        <v>1</v>
      </c>
      <c r="R119" s="802">
        <f>VLOOKUP($E119,[2]tropical!$A$4:$AF$46,[2]tropical!AD$1,FALSE)</f>
        <v>0</v>
      </c>
      <c r="S119" s="802">
        <f>VLOOKUP($E119,[2]tropical!$A$4:$AF$46,[2]tropical!AE$1,FALSE)</f>
        <v>0</v>
      </c>
      <c r="T119" s="802">
        <f>VLOOKUP($E119,[2]tropical!$A$4:$AF$46,[2]tropical!AF$1,FALSE)</f>
        <v>0</v>
      </c>
      <c r="U119" s="798">
        <f t="shared" si="1"/>
        <v>83</v>
      </c>
    </row>
    <row r="120" spans="1:21">
      <c r="A120" s="788">
        <v>8117</v>
      </c>
      <c r="B120" s="788" t="s">
        <v>1187</v>
      </c>
      <c r="C120" s="788">
        <v>533</v>
      </c>
      <c r="D120" s="788" t="s">
        <v>88</v>
      </c>
      <c r="E120" s="790" t="s">
        <v>1127</v>
      </c>
      <c r="F120" s="790" t="s">
        <v>2617</v>
      </c>
      <c r="G120" s="798">
        <v>1</v>
      </c>
      <c r="H120" s="798">
        <v>9</v>
      </c>
      <c r="I120" s="798">
        <v>16</v>
      </c>
      <c r="J120" s="798">
        <v>7</v>
      </c>
      <c r="K120" s="798">
        <v>4</v>
      </c>
      <c r="L120" s="798">
        <v>11</v>
      </c>
      <c r="M120" s="798">
        <v>8</v>
      </c>
      <c r="N120" s="798">
        <v>5</v>
      </c>
      <c r="O120" s="798">
        <v>21</v>
      </c>
      <c r="P120" s="798">
        <v>0</v>
      </c>
      <c r="Q120" s="798">
        <v>1</v>
      </c>
      <c r="R120" s="802">
        <f>VLOOKUP($E120,[2]tropical!$A$4:$AF$46,[2]tropical!AD$1,FALSE)</f>
        <v>0</v>
      </c>
      <c r="S120" s="802">
        <f>VLOOKUP($E120,[2]tropical!$A$4:$AF$46,[2]tropical!AE$1,FALSE)</f>
        <v>0</v>
      </c>
      <c r="T120" s="802">
        <f>VLOOKUP($E120,[2]tropical!$A$4:$AF$46,[2]tropical!AF$1,FALSE)</f>
        <v>0</v>
      </c>
      <c r="U120" s="798">
        <f t="shared" si="1"/>
        <v>83</v>
      </c>
    </row>
    <row r="121" spans="1:21">
      <c r="A121" s="788">
        <v>8118</v>
      </c>
      <c r="B121" s="788" t="s">
        <v>344</v>
      </c>
      <c r="C121" s="788">
        <v>27</v>
      </c>
      <c r="D121" s="788" t="s">
        <v>86</v>
      </c>
      <c r="E121" s="790" t="s">
        <v>352</v>
      </c>
      <c r="F121" s="790" t="s">
        <v>2615</v>
      </c>
      <c r="G121" s="798">
        <v>0</v>
      </c>
      <c r="H121" s="798">
        <v>1</v>
      </c>
      <c r="I121" s="798">
        <v>0</v>
      </c>
      <c r="J121" s="798">
        <v>0</v>
      </c>
      <c r="K121" s="798">
        <v>0</v>
      </c>
      <c r="L121" s="798">
        <v>1</v>
      </c>
      <c r="M121" s="798">
        <v>0</v>
      </c>
      <c r="N121" s="798">
        <v>0</v>
      </c>
      <c r="O121" s="798">
        <v>0</v>
      </c>
      <c r="P121" s="798">
        <v>0</v>
      </c>
      <c r="Q121" s="798">
        <v>0</v>
      </c>
      <c r="R121" s="802">
        <f>VLOOKUP($E121,[2]tropical!$A$4:$AF$46,[2]tropical!AD$1,FALSE)</f>
        <v>0</v>
      </c>
      <c r="S121" s="802">
        <f>VLOOKUP($E121,[2]tropical!$A$4:$AF$46,[2]tropical!AE$1,FALSE)</f>
        <v>0</v>
      </c>
      <c r="T121" s="802">
        <f>VLOOKUP($E121,[2]tropical!$A$4:$AF$46,[2]tropical!AF$1,FALSE)</f>
        <v>0</v>
      </c>
      <c r="U121" s="798">
        <f t="shared" si="1"/>
        <v>2</v>
      </c>
    </row>
    <row r="122" spans="1:21">
      <c r="A122" s="788">
        <v>8119</v>
      </c>
      <c r="B122" s="788" t="s">
        <v>1194</v>
      </c>
      <c r="C122" s="788">
        <v>257</v>
      </c>
      <c r="D122" s="788" t="s">
        <v>81</v>
      </c>
      <c r="E122" s="790" t="s">
        <v>1274</v>
      </c>
      <c r="F122" s="790" t="s">
        <v>2616</v>
      </c>
      <c r="G122" s="798">
        <v>4</v>
      </c>
      <c r="H122" s="798">
        <v>15</v>
      </c>
      <c r="I122" s="798">
        <v>20</v>
      </c>
      <c r="J122" s="798">
        <v>2</v>
      </c>
      <c r="K122" s="798">
        <v>5</v>
      </c>
      <c r="L122" s="798">
        <v>8</v>
      </c>
      <c r="M122" s="798">
        <v>2</v>
      </c>
      <c r="N122" s="798">
        <v>4</v>
      </c>
      <c r="O122" s="798">
        <v>16</v>
      </c>
      <c r="P122" s="798">
        <v>0</v>
      </c>
      <c r="Q122" s="798">
        <v>1</v>
      </c>
      <c r="R122" s="802">
        <f>VLOOKUP($E122,[2]tropical!$A$4:$AF$46,[2]tropical!AD$1,FALSE)</f>
        <v>0</v>
      </c>
      <c r="S122" s="802">
        <f>VLOOKUP($E122,[2]tropical!$A$4:$AF$46,[2]tropical!AE$1,FALSE)</f>
        <v>0</v>
      </c>
      <c r="T122" s="802">
        <f>VLOOKUP($E122,[2]tropical!$A$4:$AF$46,[2]tropical!AF$1,FALSE)</f>
        <v>0</v>
      </c>
      <c r="U122" s="798">
        <f t="shared" si="1"/>
        <v>77</v>
      </c>
    </row>
    <row r="123" spans="1:21">
      <c r="A123" s="788">
        <v>8120</v>
      </c>
      <c r="B123" s="788" t="s">
        <v>1197</v>
      </c>
      <c r="C123" s="788">
        <v>423</v>
      </c>
      <c r="D123" s="788" t="s">
        <v>89</v>
      </c>
      <c r="E123" s="790" t="s">
        <v>1605</v>
      </c>
      <c r="F123" s="790" t="s">
        <v>2615</v>
      </c>
      <c r="G123" s="798">
        <v>2</v>
      </c>
      <c r="H123" s="798">
        <v>5</v>
      </c>
      <c r="I123" s="798">
        <v>9</v>
      </c>
      <c r="J123" s="798">
        <v>1</v>
      </c>
      <c r="K123" s="798">
        <v>3</v>
      </c>
      <c r="L123" s="798">
        <v>6</v>
      </c>
      <c r="M123" s="798">
        <v>4</v>
      </c>
      <c r="N123" s="798">
        <v>0</v>
      </c>
      <c r="O123" s="798">
        <v>7</v>
      </c>
      <c r="P123" s="798">
        <v>0</v>
      </c>
      <c r="Q123" s="798">
        <v>0</v>
      </c>
      <c r="R123" s="802">
        <f>VLOOKUP($E123,[2]tropical!$A$4:$AF$46,[2]tropical!AD$1,FALSE)</f>
        <v>0</v>
      </c>
      <c r="S123" s="802">
        <f>VLOOKUP($E123,[2]tropical!$A$4:$AF$46,[2]tropical!AE$1,FALSE)</f>
        <v>0</v>
      </c>
      <c r="T123" s="802">
        <f>VLOOKUP($E123,[2]tropical!$A$4:$AF$46,[2]tropical!AF$1,FALSE)</f>
        <v>0</v>
      </c>
      <c r="U123" s="798">
        <f t="shared" si="1"/>
        <v>37</v>
      </c>
    </row>
    <row r="124" spans="1:21">
      <c r="A124" s="788">
        <v>8121</v>
      </c>
      <c r="B124" s="788" t="s">
        <v>345</v>
      </c>
      <c r="C124" s="788">
        <v>28</v>
      </c>
      <c r="D124" s="788" t="s">
        <v>86</v>
      </c>
      <c r="E124" s="790" t="s">
        <v>352</v>
      </c>
      <c r="F124" s="790" t="s">
        <v>2615</v>
      </c>
      <c r="G124" s="798">
        <v>0</v>
      </c>
      <c r="H124" s="798">
        <v>1</v>
      </c>
      <c r="I124" s="798">
        <v>0</v>
      </c>
      <c r="J124" s="798">
        <v>0</v>
      </c>
      <c r="K124" s="798">
        <v>0</v>
      </c>
      <c r="L124" s="798">
        <v>1</v>
      </c>
      <c r="M124" s="798">
        <v>0</v>
      </c>
      <c r="N124" s="798">
        <v>0</v>
      </c>
      <c r="O124" s="798">
        <v>0</v>
      </c>
      <c r="P124" s="798">
        <v>0</v>
      </c>
      <c r="Q124" s="798">
        <v>0</v>
      </c>
      <c r="R124" s="802">
        <f>VLOOKUP($E124,[2]tropical!$A$4:$AF$46,[2]tropical!AD$1,FALSE)</f>
        <v>0</v>
      </c>
      <c r="S124" s="802">
        <f>VLOOKUP($E124,[2]tropical!$A$4:$AF$46,[2]tropical!AE$1,FALSE)</f>
        <v>0</v>
      </c>
      <c r="T124" s="802">
        <f>VLOOKUP($E124,[2]tropical!$A$4:$AF$46,[2]tropical!AF$1,FALSE)</f>
        <v>0</v>
      </c>
      <c r="U124" s="798">
        <f t="shared" si="1"/>
        <v>2</v>
      </c>
    </row>
    <row r="125" spans="1:21">
      <c r="A125" s="788">
        <v>8122</v>
      </c>
      <c r="B125" s="788" t="s">
        <v>1204</v>
      </c>
      <c r="C125" s="788">
        <v>430</v>
      </c>
      <c r="D125" s="788" t="s">
        <v>791</v>
      </c>
      <c r="E125" s="790" t="s">
        <v>2608</v>
      </c>
      <c r="F125" s="790" t="s">
        <v>2616</v>
      </c>
      <c r="G125" s="798">
        <v>1</v>
      </c>
      <c r="H125" s="798">
        <v>3</v>
      </c>
      <c r="I125" s="798">
        <v>7</v>
      </c>
      <c r="J125" s="798">
        <v>2</v>
      </c>
      <c r="K125" s="798">
        <v>1</v>
      </c>
      <c r="L125" s="798">
        <v>3</v>
      </c>
      <c r="M125" s="798">
        <v>1</v>
      </c>
      <c r="N125" s="798">
        <v>0</v>
      </c>
      <c r="O125" s="798">
        <v>1</v>
      </c>
      <c r="P125" s="798">
        <v>0</v>
      </c>
      <c r="Q125" s="798">
        <v>1</v>
      </c>
      <c r="R125" s="802">
        <f>VLOOKUP($E125,[2]tropical!$A$4:$AF$46,[2]tropical!AD$1,FALSE)</f>
        <v>0</v>
      </c>
      <c r="S125" s="802">
        <f>VLOOKUP($E125,[2]tropical!$A$4:$AF$46,[2]tropical!AE$1,FALSE)</f>
        <v>0</v>
      </c>
      <c r="T125" s="802">
        <f>VLOOKUP($E125,[2]tropical!$A$4:$AF$46,[2]tropical!AF$1,FALSE)</f>
        <v>0</v>
      </c>
      <c r="U125" s="798">
        <f t="shared" si="1"/>
        <v>20</v>
      </c>
    </row>
    <row r="126" spans="1:21">
      <c r="A126" s="788">
        <v>8123</v>
      </c>
      <c r="B126" s="788" t="s">
        <v>1208</v>
      </c>
      <c r="C126" s="788">
        <v>37</v>
      </c>
      <c r="D126" s="788" t="s">
        <v>90</v>
      </c>
      <c r="E126" s="790" t="s">
        <v>357</v>
      </c>
      <c r="F126" s="790" t="s">
        <v>2615</v>
      </c>
      <c r="G126" s="798">
        <v>0</v>
      </c>
      <c r="H126" s="798">
        <v>1</v>
      </c>
      <c r="I126" s="798">
        <v>0</v>
      </c>
      <c r="J126" s="798">
        <v>0</v>
      </c>
      <c r="K126" s="798">
        <v>0</v>
      </c>
      <c r="L126" s="798">
        <v>0</v>
      </c>
      <c r="M126" s="798">
        <v>1</v>
      </c>
      <c r="N126" s="798">
        <v>0</v>
      </c>
      <c r="O126" s="798">
        <v>0</v>
      </c>
      <c r="P126" s="798">
        <v>0</v>
      </c>
      <c r="Q126" s="798">
        <v>0</v>
      </c>
      <c r="R126" s="802">
        <f>VLOOKUP($E126,[2]tropical!$A$4:$AF$46,[2]tropical!AD$1,FALSE)</f>
        <v>0</v>
      </c>
      <c r="S126" s="802">
        <f>VLOOKUP($E126,[2]tropical!$A$4:$AF$46,[2]tropical!AE$1,FALSE)</f>
        <v>0</v>
      </c>
      <c r="T126" s="802">
        <f>VLOOKUP($E126,[2]tropical!$A$4:$AF$46,[2]tropical!AF$1,FALSE)</f>
        <v>0</v>
      </c>
      <c r="U126" s="798">
        <f t="shared" si="1"/>
        <v>2</v>
      </c>
    </row>
    <row r="127" spans="1:21">
      <c r="A127" s="788">
        <v>8124</v>
      </c>
      <c r="B127" s="788" t="s">
        <v>1214</v>
      </c>
      <c r="C127" s="788">
        <v>65</v>
      </c>
      <c r="D127" s="788" t="s">
        <v>24</v>
      </c>
      <c r="E127" s="790" t="s">
        <v>1743</v>
      </c>
      <c r="F127" s="790" t="s">
        <v>2616</v>
      </c>
      <c r="G127" s="798">
        <v>1</v>
      </c>
      <c r="H127" s="798">
        <v>7</v>
      </c>
      <c r="I127" s="798">
        <v>11</v>
      </c>
      <c r="J127" s="798">
        <v>2</v>
      </c>
      <c r="K127" s="798">
        <v>2</v>
      </c>
      <c r="L127" s="798">
        <v>5</v>
      </c>
      <c r="M127" s="798">
        <v>4</v>
      </c>
      <c r="N127" s="798">
        <v>0</v>
      </c>
      <c r="O127" s="798">
        <v>7</v>
      </c>
      <c r="P127" s="798">
        <v>0</v>
      </c>
      <c r="Q127" s="798">
        <v>0</v>
      </c>
      <c r="R127" s="802">
        <f>VLOOKUP($E127,[2]tropical!$A$4:$AF$46,[2]tropical!AD$1,FALSE)</f>
        <v>0</v>
      </c>
      <c r="S127" s="802">
        <f>VLOOKUP($E127,[2]tropical!$A$4:$AF$46,[2]tropical!AE$1,FALSE)</f>
        <v>0</v>
      </c>
      <c r="T127" s="802">
        <f>VLOOKUP($E127,[2]tropical!$A$4:$AF$46,[2]tropical!AF$1,FALSE)</f>
        <v>0</v>
      </c>
      <c r="U127" s="798">
        <f t="shared" si="1"/>
        <v>39</v>
      </c>
    </row>
    <row r="128" spans="1:21">
      <c r="A128" s="788">
        <v>8125</v>
      </c>
      <c r="B128" s="788" t="s">
        <v>1220</v>
      </c>
      <c r="C128" s="788">
        <v>36</v>
      </c>
      <c r="D128" s="788" t="s">
        <v>89</v>
      </c>
      <c r="E128" s="790" t="s">
        <v>1605</v>
      </c>
      <c r="F128" s="790" t="s">
        <v>2615</v>
      </c>
      <c r="G128" s="798">
        <v>2</v>
      </c>
      <c r="H128" s="798">
        <v>5</v>
      </c>
      <c r="I128" s="798">
        <v>9</v>
      </c>
      <c r="J128" s="798">
        <v>1</v>
      </c>
      <c r="K128" s="798">
        <v>3</v>
      </c>
      <c r="L128" s="798">
        <v>6</v>
      </c>
      <c r="M128" s="798">
        <v>4</v>
      </c>
      <c r="N128" s="798">
        <v>0</v>
      </c>
      <c r="O128" s="798">
        <v>7</v>
      </c>
      <c r="P128" s="798">
        <v>0</v>
      </c>
      <c r="Q128" s="798">
        <v>0</v>
      </c>
      <c r="R128" s="802">
        <f>VLOOKUP($E128,[2]tropical!$A$4:$AF$46,[2]tropical!AD$1,FALSE)</f>
        <v>0</v>
      </c>
      <c r="S128" s="802">
        <f>VLOOKUP($E128,[2]tropical!$A$4:$AF$46,[2]tropical!AE$1,FALSE)</f>
        <v>0</v>
      </c>
      <c r="T128" s="802">
        <f>VLOOKUP($E128,[2]tropical!$A$4:$AF$46,[2]tropical!AF$1,FALSE)</f>
        <v>0</v>
      </c>
      <c r="U128" s="798">
        <f t="shared" si="1"/>
        <v>37</v>
      </c>
    </row>
    <row r="129" spans="1:21">
      <c r="A129" s="788">
        <v>8126</v>
      </c>
      <c r="B129" s="788" t="s">
        <v>346</v>
      </c>
      <c r="C129" s="788">
        <v>20</v>
      </c>
      <c r="D129" s="788" t="s">
        <v>86</v>
      </c>
      <c r="E129" s="790" t="s">
        <v>352</v>
      </c>
      <c r="F129" s="790" t="s">
        <v>2615</v>
      </c>
      <c r="G129" s="798">
        <v>0</v>
      </c>
      <c r="H129" s="798">
        <v>1</v>
      </c>
      <c r="I129" s="798">
        <v>0</v>
      </c>
      <c r="J129" s="798">
        <v>0</v>
      </c>
      <c r="K129" s="798">
        <v>0</v>
      </c>
      <c r="L129" s="798">
        <v>1</v>
      </c>
      <c r="M129" s="798">
        <v>0</v>
      </c>
      <c r="N129" s="798">
        <v>0</v>
      </c>
      <c r="O129" s="798">
        <v>0</v>
      </c>
      <c r="P129" s="798">
        <v>0</v>
      </c>
      <c r="Q129" s="798">
        <v>0</v>
      </c>
      <c r="R129" s="802">
        <f>VLOOKUP($E129,[2]tropical!$A$4:$AF$46,[2]tropical!AD$1,FALSE)</f>
        <v>0</v>
      </c>
      <c r="S129" s="802">
        <f>VLOOKUP($E129,[2]tropical!$A$4:$AF$46,[2]tropical!AE$1,FALSE)</f>
        <v>0</v>
      </c>
      <c r="T129" s="802">
        <f>VLOOKUP($E129,[2]tropical!$A$4:$AF$46,[2]tropical!AF$1,FALSE)</f>
        <v>0</v>
      </c>
      <c r="U129" s="798">
        <f t="shared" si="1"/>
        <v>2</v>
      </c>
    </row>
    <row r="130" spans="1:21">
      <c r="A130" s="788">
        <v>8127</v>
      </c>
      <c r="B130" s="788" t="s">
        <v>1227</v>
      </c>
      <c r="C130" s="788">
        <v>161</v>
      </c>
      <c r="D130" s="788" t="s">
        <v>82</v>
      </c>
      <c r="E130" s="790" t="s">
        <v>2610</v>
      </c>
      <c r="F130" s="790" t="s">
        <v>2616</v>
      </c>
      <c r="G130" s="798">
        <v>7</v>
      </c>
      <c r="H130" s="798">
        <v>19</v>
      </c>
      <c r="I130" s="798">
        <v>23</v>
      </c>
      <c r="J130" s="798">
        <v>3</v>
      </c>
      <c r="K130" s="798">
        <v>10</v>
      </c>
      <c r="L130" s="798">
        <v>20</v>
      </c>
      <c r="M130" s="798">
        <v>9</v>
      </c>
      <c r="N130" s="798">
        <v>5</v>
      </c>
      <c r="O130" s="798">
        <v>25</v>
      </c>
      <c r="P130" s="798">
        <v>12</v>
      </c>
      <c r="Q130" s="798">
        <v>5</v>
      </c>
      <c r="R130" s="802">
        <f>VLOOKUP($E130,[2]tropical!$A$4:$AF$46,[2]tropical!AD$1,FALSE)</f>
        <v>0</v>
      </c>
      <c r="S130" s="802">
        <f>VLOOKUP($E130,[2]tropical!$A$4:$AF$46,[2]tropical!AE$1,FALSE)</f>
        <v>0</v>
      </c>
      <c r="T130" s="802">
        <f>VLOOKUP($E130,[2]tropical!$A$4:$AF$46,[2]tropical!AF$1,FALSE)</f>
        <v>0</v>
      </c>
      <c r="U130" s="798">
        <f t="shared" si="1"/>
        <v>138</v>
      </c>
    </row>
    <row r="131" spans="1:21">
      <c r="A131" s="788">
        <v>8128</v>
      </c>
      <c r="B131" s="788" t="s">
        <v>1230</v>
      </c>
      <c r="C131" s="788">
        <v>447</v>
      </c>
      <c r="D131" s="788" t="s">
        <v>82</v>
      </c>
      <c r="E131" s="790" t="s">
        <v>767</v>
      </c>
      <c r="F131" s="790" t="s">
        <v>2616</v>
      </c>
      <c r="G131" s="798">
        <v>0</v>
      </c>
      <c r="H131" s="798">
        <v>0</v>
      </c>
      <c r="I131" s="798">
        <v>27</v>
      </c>
      <c r="J131" s="798">
        <v>10</v>
      </c>
      <c r="K131" s="798">
        <v>13</v>
      </c>
      <c r="L131" s="798">
        <v>30</v>
      </c>
      <c r="M131" s="798">
        <v>11</v>
      </c>
      <c r="N131" s="798">
        <v>11</v>
      </c>
      <c r="O131" s="798">
        <v>26</v>
      </c>
      <c r="P131" s="798">
        <v>12</v>
      </c>
      <c r="Q131" s="798">
        <v>3</v>
      </c>
      <c r="R131" s="802">
        <f>VLOOKUP($E131,[2]tropical!$A$4:$AF$46,[2]tropical!AD$1,FALSE)</f>
        <v>0</v>
      </c>
      <c r="S131" s="802">
        <f>VLOOKUP($E131,[2]tropical!$A$4:$AF$46,[2]tropical!AE$1,FALSE)</f>
        <v>0</v>
      </c>
      <c r="T131" s="802">
        <f>VLOOKUP($E131,[2]tropical!$A$4:$AF$46,[2]tropical!AF$1,FALSE)</f>
        <v>0</v>
      </c>
      <c r="U131" s="798">
        <f t="shared" si="1"/>
        <v>143</v>
      </c>
    </row>
    <row r="132" spans="1:21">
      <c r="A132" s="788">
        <v>8129</v>
      </c>
      <c r="B132" s="788" t="s">
        <v>1233</v>
      </c>
      <c r="C132" s="788">
        <v>807</v>
      </c>
      <c r="D132" s="788" t="s">
        <v>88</v>
      </c>
      <c r="E132" s="790" t="s">
        <v>1233</v>
      </c>
      <c r="F132" s="790" t="s">
        <v>2616</v>
      </c>
      <c r="G132" s="798">
        <v>0</v>
      </c>
      <c r="H132" s="798">
        <v>2</v>
      </c>
      <c r="I132" s="798">
        <v>0</v>
      </c>
      <c r="J132" s="798">
        <v>0</v>
      </c>
      <c r="K132" s="798">
        <v>0</v>
      </c>
      <c r="L132" s="798">
        <v>0</v>
      </c>
      <c r="M132" s="798">
        <v>0</v>
      </c>
      <c r="N132" s="798">
        <v>0</v>
      </c>
      <c r="O132" s="798">
        <v>2</v>
      </c>
      <c r="P132" s="798">
        <v>0</v>
      </c>
      <c r="Q132" s="798">
        <v>0</v>
      </c>
      <c r="R132" s="802">
        <f>VLOOKUP($E132,[2]tropical!$A$4:$AF$46,[2]tropical!AD$1,FALSE)</f>
        <v>0</v>
      </c>
      <c r="S132" s="802">
        <f>VLOOKUP($E132,[2]tropical!$A$4:$AF$46,[2]tropical!AE$1,FALSE)</f>
        <v>0</v>
      </c>
      <c r="T132" s="802">
        <f>VLOOKUP($E132,[2]tropical!$A$4:$AF$46,[2]tropical!AF$1,FALSE)</f>
        <v>0</v>
      </c>
      <c r="U132" s="798">
        <f t="shared" si="1"/>
        <v>4</v>
      </c>
    </row>
    <row r="133" spans="1:21">
      <c r="A133" s="788">
        <v>8130</v>
      </c>
      <c r="B133" s="788" t="s">
        <v>1237</v>
      </c>
      <c r="C133" s="788">
        <v>728</v>
      </c>
      <c r="D133" s="788" t="s">
        <v>84</v>
      </c>
      <c r="E133" s="790" t="s">
        <v>1125</v>
      </c>
      <c r="F133" s="790" t="s">
        <v>2617</v>
      </c>
      <c r="G133" s="798">
        <v>3</v>
      </c>
      <c r="H133" s="798">
        <v>0</v>
      </c>
      <c r="I133" s="798">
        <v>1</v>
      </c>
      <c r="J133" s="798">
        <v>2</v>
      </c>
      <c r="K133" s="798">
        <v>0</v>
      </c>
      <c r="L133" s="798">
        <v>0</v>
      </c>
      <c r="M133" s="798">
        <v>0</v>
      </c>
      <c r="N133" s="798">
        <v>0</v>
      </c>
      <c r="O133" s="798">
        <v>5</v>
      </c>
      <c r="P133" s="798">
        <v>0</v>
      </c>
      <c r="Q133" s="798">
        <v>0</v>
      </c>
      <c r="R133" s="802">
        <f>VLOOKUP($E133,[2]tropical!$A$4:$AF$46,[2]tropical!AD$1,FALSE)</f>
        <v>0</v>
      </c>
      <c r="S133" s="802">
        <f>VLOOKUP($E133,[2]tropical!$A$4:$AF$46,[2]tropical!AE$1,FALSE)</f>
        <v>0</v>
      </c>
      <c r="T133" s="802">
        <f>VLOOKUP($E133,[2]tropical!$A$4:$AF$46,[2]tropical!AF$1,FALSE)</f>
        <v>0</v>
      </c>
      <c r="U133" s="798">
        <f t="shared" ref="U133:U196" si="2">SUM(G133:T133)</f>
        <v>11</v>
      </c>
    </row>
    <row r="134" spans="1:21">
      <c r="A134" s="788">
        <v>8131</v>
      </c>
      <c r="B134" s="788" t="s">
        <v>1240</v>
      </c>
      <c r="C134" s="788">
        <v>577</v>
      </c>
      <c r="D134" s="788" t="s">
        <v>88</v>
      </c>
      <c r="E134" s="790" t="s">
        <v>1240</v>
      </c>
      <c r="F134" s="790" t="s">
        <v>2617</v>
      </c>
      <c r="G134" s="798">
        <v>0</v>
      </c>
      <c r="H134" s="798">
        <v>3</v>
      </c>
      <c r="I134" s="798">
        <v>11</v>
      </c>
      <c r="J134" s="798">
        <v>10</v>
      </c>
      <c r="K134" s="798">
        <v>3</v>
      </c>
      <c r="L134" s="798">
        <v>3</v>
      </c>
      <c r="M134" s="798">
        <v>2</v>
      </c>
      <c r="N134" s="798">
        <v>0</v>
      </c>
      <c r="O134" s="798">
        <v>21</v>
      </c>
      <c r="P134" s="798">
        <v>0</v>
      </c>
      <c r="Q134" s="798">
        <v>0</v>
      </c>
      <c r="R134" s="802">
        <f>VLOOKUP($E134,[2]tropical!$A$4:$AF$46,[2]tropical!AD$1,FALSE)</f>
        <v>0</v>
      </c>
      <c r="S134" s="802">
        <f>VLOOKUP($E134,[2]tropical!$A$4:$AF$46,[2]tropical!AE$1,FALSE)</f>
        <v>0</v>
      </c>
      <c r="T134" s="802">
        <f>VLOOKUP($E134,[2]tropical!$A$4:$AF$46,[2]tropical!AF$1,FALSE)</f>
        <v>0</v>
      </c>
      <c r="U134" s="798">
        <f t="shared" si="2"/>
        <v>53</v>
      </c>
    </row>
    <row r="135" spans="1:21">
      <c r="A135" s="788">
        <v>8132</v>
      </c>
      <c r="B135" s="788" t="s">
        <v>1245</v>
      </c>
      <c r="C135" s="788">
        <v>756</v>
      </c>
      <c r="D135" s="788" t="s">
        <v>84</v>
      </c>
      <c r="E135" s="790" t="s">
        <v>1125</v>
      </c>
      <c r="F135" s="790" t="s">
        <v>2617</v>
      </c>
      <c r="G135" s="798">
        <v>3</v>
      </c>
      <c r="H135" s="798">
        <v>0</v>
      </c>
      <c r="I135" s="798">
        <v>1</v>
      </c>
      <c r="J135" s="798">
        <v>2</v>
      </c>
      <c r="K135" s="798">
        <v>0</v>
      </c>
      <c r="L135" s="798">
        <v>0</v>
      </c>
      <c r="M135" s="798">
        <v>0</v>
      </c>
      <c r="N135" s="798">
        <v>0</v>
      </c>
      <c r="O135" s="798">
        <v>5</v>
      </c>
      <c r="P135" s="798">
        <v>0</v>
      </c>
      <c r="Q135" s="798">
        <v>0</v>
      </c>
      <c r="R135" s="802">
        <f>VLOOKUP($E135,[2]tropical!$A$4:$AF$46,[2]tropical!AD$1,FALSE)</f>
        <v>0</v>
      </c>
      <c r="S135" s="802">
        <f>VLOOKUP($E135,[2]tropical!$A$4:$AF$46,[2]tropical!AE$1,FALSE)</f>
        <v>0</v>
      </c>
      <c r="T135" s="802">
        <f>VLOOKUP($E135,[2]tropical!$A$4:$AF$46,[2]tropical!AF$1,FALSE)</f>
        <v>0</v>
      </c>
      <c r="U135" s="798">
        <f t="shared" si="2"/>
        <v>11</v>
      </c>
    </row>
    <row r="136" spans="1:21">
      <c r="A136" s="788">
        <v>8133</v>
      </c>
      <c r="B136" s="788" t="s">
        <v>1249</v>
      </c>
      <c r="C136" s="788">
        <v>709</v>
      </c>
      <c r="D136" s="788" t="s">
        <v>81</v>
      </c>
      <c r="E136" s="790" t="s">
        <v>1274</v>
      </c>
      <c r="F136" s="790" t="s">
        <v>2616</v>
      </c>
      <c r="G136" s="798">
        <v>4</v>
      </c>
      <c r="H136" s="798">
        <v>15</v>
      </c>
      <c r="I136" s="798">
        <v>20</v>
      </c>
      <c r="J136" s="798">
        <v>2</v>
      </c>
      <c r="K136" s="798">
        <v>5</v>
      </c>
      <c r="L136" s="798">
        <v>8</v>
      </c>
      <c r="M136" s="798">
        <v>2</v>
      </c>
      <c r="N136" s="798">
        <v>4</v>
      </c>
      <c r="O136" s="798">
        <v>16</v>
      </c>
      <c r="P136" s="798">
        <v>0</v>
      </c>
      <c r="Q136" s="798">
        <v>1</v>
      </c>
      <c r="R136" s="802">
        <f>VLOOKUP($E136,[2]tropical!$A$4:$AF$46,[2]tropical!AD$1,FALSE)</f>
        <v>0</v>
      </c>
      <c r="S136" s="802">
        <f>VLOOKUP($E136,[2]tropical!$A$4:$AF$46,[2]tropical!AE$1,FALSE)</f>
        <v>0</v>
      </c>
      <c r="T136" s="802">
        <f>VLOOKUP($E136,[2]tropical!$A$4:$AF$46,[2]tropical!AF$1,FALSE)</f>
        <v>0</v>
      </c>
      <c r="U136" s="798">
        <f t="shared" si="2"/>
        <v>77</v>
      </c>
    </row>
    <row r="137" spans="1:21">
      <c r="A137" s="788">
        <v>8134</v>
      </c>
      <c r="B137" s="788" t="s">
        <v>1253</v>
      </c>
      <c r="C137" s="788">
        <v>330</v>
      </c>
      <c r="D137" s="788" t="s">
        <v>24</v>
      </c>
      <c r="E137" s="790" t="s">
        <v>867</v>
      </c>
      <c r="F137" s="790" t="s">
        <v>2616</v>
      </c>
      <c r="G137" s="798">
        <v>0</v>
      </c>
      <c r="H137" s="798">
        <v>3</v>
      </c>
      <c r="I137" s="798">
        <v>9</v>
      </c>
      <c r="J137" s="798">
        <v>4</v>
      </c>
      <c r="K137" s="798">
        <v>7</v>
      </c>
      <c r="L137" s="798">
        <v>7</v>
      </c>
      <c r="M137" s="798">
        <v>4</v>
      </c>
      <c r="N137" s="798">
        <v>0</v>
      </c>
      <c r="O137" s="798">
        <v>7</v>
      </c>
      <c r="P137" s="798">
        <v>1</v>
      </c>
      <c r="Q137" s="798">
        <v>0</v>
      </c>
      <c r="R137" s="802">
        <f>VLOOKUP($E137,[2]tropical!$A$4:$AF$46,[2]tropical!AD$1,FALSE)</f>
        <v>0</v>
      </c>
      <c r="S137" s="802">
        <f>VLOOKUP($E137,[2]tropical!$A$4:$AF$46,[2]tropical!AE$1,FALSE)</f>
        <v>0</v>
      </c>
      <c r="T137" s="802">
        <f>VLOOKUP($E137,[2]tropical!$A$4:$AF$46,[2]tropical!AF$1,FALSE)</f>
        <v>0</v>
      </c>
      <c r="U137" s="798">
        <f t="shared" si="2"/>
        <v>42</v>
      </c>
    </row>
    <row r="138" spans="1:21">
      <c r="A138" s="788">
        <v>8135</v>
      </c>
      <c r="B138" s="788" t="s">
        <v>1255</v>
      </c>
      <c r="C138" s="788">
        <v>72</v>
      </c>
      <c r="D138" s="788" t="s">
        <v>24</v>
      </c>
      <c r="E138" s="790" t="s">
        <v>1743</v>
      </c>
      <c r="F138" s="790" t="s">
        <v>2616</v>
      </c>
      <c r="G138" s="798">
        <v>1</v>
      </c>
      <c r="H138" s="798">
        <v>7</v>
      </c>
      <c r="I138" s="798">
        <v>11</v>
      </c>
      <c r="J138" s="798">
        <v>2</v>
      </c>
      <c r="K138" s="798">
        <v>2</v>
      </c>
      <c r="L138" s="798">
        <v>5</v>
      </c>
      <c r="M138" s="798">
        <v>4</v>
      </c>
      <c r="N138" s="798">
        <v>0</v>
      </c>
      <c r="O138" s="798">
        <v>7</v>
      </c>
      <c r="P138" s="798">
        <v>0</v>
      </c>
      <c r="Q138" s="798">
        <v>0</v>
      </c>
      <c r="R138" s="802">
        <f>VLOOKUP($E138,[2]tropical!$A$4:$AF$46,[2]tropical!AD$1,FALSE)</f>
        <v>0</v>
      </c>
      <c r="S138" s="802">
        <f>VLOOKUP($E138,[2]tropical!$A$4:$AF$46,[2]tropical!AE$1,FALSE)</f>
        <v>0</v>
      </c>
      <c r="T138" s="802">
        <f>VLOOKUP($E138,[2]tropical!$A$4:$AF$46,[2]tropical!AF$1,FALSE)</f>
        <v>0</v>
      </c>
      <c r="U138" s="798">
        <f t="shared" si="2"/>
        <v>39</v>
      </c>
    </row>
    <row r="139" spans="1:21">
      <c r="A139" s="788">
        <v>8136</v>
      </c>
      <c r="B139" s="788" t="s">
        <v>1256</v>
      </c>
      <c r="C139" s="788">
        <v>116</v>
      </c>
      <c r="D139" s="788" t="s">
        <v>24</v>
      </c>
      <c r="E139" s="790" t="s">
        <v>1743</v>
      </c>
      <c r="F139" s="790" t="s">
        <v>2616</v>
      </c>
      <c r="G139" s="798">
        <v>1</v>
      </c>
      <c r="H139" s="798">
        <v>7</v>
      </c>
      <c r="I139" s="798">
        <v>11</v>
      </c>
      <c r="J139" s="798">
        <v>2</v>
      </c>
      <c r="K139" s="798">
        <v>2</v>
      </c>
      <c r="L139" s="798">
        <v>5</v>
      </c>
      <c r="M139" s="798">
        <v>4</v>
      </c>
      <c r="N139" s="798">
        <v>0</v>
      </c>
      <c r="O139" s="798">
        <v>7</v>
      </c>
      <c r="P139" s="798">
        <v>0</v>
      </c>
      <c r="Q139" s="798">
        <v>0</v>
      </c>
      <c r="R139" s="802">
        <f>VLOOKUP($E139,[2]tropical!$A$4:$AF$46,[2]tropical!AD$1,FALSE)</f>
        <v>0</v>
      </c>
      <c r="S139" s="802">
        <f>VLOOKUP($E139,[2]tropical!$A$4:$AF$46,[2]tropical!AE$1,FALSE)</f>
        <v>0</v>
      </c>
      <c r="T139" s="802">
        <f>VLOOKUP($E139,[2]tropical!$A$4:$AF$46,[2]tropical!AF$1,FALSE)</f>
        <v>0</v>
      </c>
      <c r="U139" s="798">
        <f t="shared" si="2"/>
        <v>39</v>
      </c>
    </row>
    <row r="140" spans="1:21">
      <c r="A140" s="788">
        <v>8137</v>
      </c>
      <c r="B140" s="788" t="s">
        <v>1258</v>
      </c>
      <c r="C140" s="788">
        <v>528</v>
      </c>
      <c r="D140" s="788" t="s">
        <v>24</v>
      </c>
      <c r="E140" s="790" t="s">
        <v>867</v>
      </c>
      <c r="F140" s="790" t="s">
        <v>2616</v>
      </c>
      <c r="G140" s="798">
        <v>0</v>
      </c>
      <c r="H140" s="798">
        <v>3</v>
      </c>
      <c r="I140" s="798">
        <v>9</v>
      </c>
      <c r="J140" s="798">
        <v>4</v>
      </c>
      <c r="K140" s="798">
        <v>7</v>
      </c>
      <c r="L140" s="798">
        <v>7</v>
      </c>
      <c r="M140" s="798">
        <v>4</v>
      </c>
      <c r="N140" s="798">
        <v>0</v>
      </c>
      <c r="O140" s="798">
        <v>7</v>
      </c>
      <c r="P140" s="798">
        <v>1</v>
      </c>
      <c r="Q140" s="798">
        <v>0</v>
      </c>
      <c r="R140" s="802">
        <f>VLOOKUP($E140,[2]tropical!$A$4:$AF$46,[2]tropical!AD$1,FALSE)</f>
        <v>0</v>
      </c>
      <c r="S140" s="802">
        <f>VLOOKUP($E140,[2]tropical!$A$4:$AF$46,[2]tropical!AE$1,FALSE)</f>
        <v>0</v>
      </c>
      <c r="T140" s="802">
        <f>VLOOKUP($E140,[2]tropical!$A$4:$AF$46,[2]tropical!AF$1,FALSE)</f>
        <v>0</v>
      </c>
      <c r="U140" s="798">
        <f t="shared" si="2"/>
        <v>42</v>
      </c>
    </row>
    <row r="141" spans="1:21">
      <c r="A141" s="788">
        <v>8138</v>
      </c>
      <c r="B141" s="788" t="s">
        <v>1260</v>
      </c>
      <c r="C141" s="788">
        <v>717</v>
      </c>
      <c r="D141" s="788" t="s">
        <v>82</v>
      </c>
      <c r="E141" s="790" t="s">
        <v>1233</v>
      </c>
      <c r="F141" s="790" t="s">
        <v>2616</v>
      </c>
      <c r="G141" s="798">
        <v>0</v>
      </c>
      <c r="H141" s="798">
        <v>2</v>
      </c>
      <c r="I141" s="798">
        <v>0</v>
      </c>
      <c r="J141" s="798">
        <v>0</v>
      </c>
      <c r="K141" s="798">
        <v>0</v>
      </c>
      <c r="L141" s="798">
        <v>0</v>
      </c>
      <c r="M141" s="798">
        <v>0</v>
      </c>
      <c r="N141" s="798">
        <v>0</v>
      </c>
      <c r="O141" s="798">
        <v>2</v>
      </c>
      <c r="P141" s="798">
        <v>0</v>
      </c>
      <c r="Q141" s="798">
        <v>0</v>
      </c>
      <c r="R141" s="802">
        <f>VLOOKUP($E141,[2]tropical!$A$4:$AF$46,[2]tropical!AD$1,FALSE)</f>
        <v>0</v>
      </c>
      <c r="S141" s="802">
        <f>VLOOKUP($E141,[2]tropical!$A$4:$AF$46,[2]tropical!AE$1,FALSE)</f>
        <v>0</v>
      </c>
      <c r="T141" s="802">
        <f>VLOOKUP($E141,[2]tropical!$A$4:$AF$46,[2]tropical!AF$1,FALSE)</f>
        <v>0</v>
      </c>
      <c r="U141" s="798">
        <f t="shared" si="2"/>
        <v>4</v>
      </c>
    </row>
    <row r="142" spans="1:21">
      <c r="A142" s="788">
        <v>8139</v>
      </c>
      <c r="B142" s="788" t="s">
        <v>1263</v>
      </c>
      <c r="C142" s="788">
        <v>454</v>
      </c>
      <c r="D142" s="788" t="s">
        <v>82</v>
      </c>
      <c r="E142" s="790" t="s">
        <v>1494</v>
      </c>
      <c r="F142" s="790" t="s">
        <v>2616</v>
      </c>
      <c r="G142" s="798">
        <v>2</v>
      </c>
      <c r="H142" s="798">
        <v>2</v>
      </c>
      <c r="I142" s="798">
        <v>13</v>
      </c>
      <c r="J142" s="798">
        <v>2</v>
      </c>
      <c r="K142" s="798">
        <v>2</v>
      </c>
      <c r="L142" s="798">
        <v>4</v>
      </c>
      <c r="M142" s="798">
        <v>0</v>
      </c>
      <c r="N142" s="798">
        <v>0</v>
      </c>
      <c r="O142" s="798">
        <v>5</v>
      </c>
      <c r="P142" s="798">
        <v>0</v>
      </c>
      <c r="Q142" s="798">
        <v>0</v>
      </c>
      <c r="R142" s="802">
        <f>VLOOKUP($E142,[2]tropical!$A$4:$AF$46,[2]tropical!AD$1,FALSE)</f>
        <v>0</v>
      </c>
      <c r="S142" s="802">
        <f>VLOOKUP($E142,[2]tropical!$A$4:$AF$46,[2]tropical!AE$1,FALSE)</f>
        <v>0</v>
      </c>
      <c r="T142" s="802">
        <f>VLOOKUP($E142,[2]tropical!$A$4:$AF$46,[2]tropical!AF$1,FALSE)</f>
        <v>0</v>
      </c>
      <c r="U142" s="798">
        <f t="shared" si="2"/>
        <v>30</v>
      </c>
    </row>
    <row r="143" spans="1:21">
      <c r="A143" s="788">
        <v>8140</v>
      </c>
      <c r="B143" s="788" t="s">
        <v>1268</v>
      </c>
      <c r="C143" s="788">
        <v>269</v>
      </c>
      <c r="D143" s="788" t="s">
        <v>82</v>
      </c>
      <c r="E143" s="790" t="s">
        <v>767</v>
      </c>
      <c r="F143" s="790" t="s">
        <v>2616</v>
      </c>
      <c r="G143" s="798">
        <v>0</v>
      </c>
      <c r="H143" s="798">
        <v>0</v>
      </c>
      <c r="I143" s="798">
        <v>27</v>
      </c>
      <c r="J143" s="798">
        <v>10</v>
      </c>
      <c r="K143" s="798">
        <v>13</v>
      </c>
      <c r="L143" s="798">
        <v>30</v>
      </c>
      <c r="M143" s="798">
        <v>11</v>
      </c>
      <c r="N143" s="798">
        <v>11</v>
      </c>
      <c r="O143" s="798">
        <v>26</v>
      </c>
      <c r="P143" s="798">
        <v>12</v>
      </c>
      <c r="Q143" s="798">
        <v>3</v>
      </c>
      <c r="R143" s="802">
        <f>VLOOKUP($E143,[2]tropical!$A$4:$AF$46,[2]tropical!AD$1,FALSE)</f>
        <v>0</v>
      </c>
      <c r="S143" s="802">
        <f>VLOOKUP($E143,[2]tropical!$A$4:$AF$46,[2]tropical!AE$1,FALSE)</f>
        <v>0</v>
      </c>
      <c r="T143" s="802">
        <f>VLOOKUP($E143,[2]tropical!$A$4:$AF$46,[2]tropical!AF$1,FALSE)</f>
        <v>0</v>
      </c>
      <c r="U143" s="798">
        <f t="shared" si="2"/>
        <v>143</v>
      </c>
    </row>
    <row r="144" spans="1:21">
      <c r="A144" s="788">
        <v>8141</v>
      </c>
      <c r="B144" s="788" t="s">
        <v>1269</v>
      </c>
      <c r="C144" s="788">
        <v>370</v>
      </c>
      <c r="D144" s="788" t="s">
        <v>82</v>
      </c>
      <c r="E144" s="790" t="s">
        <v>767</v>
      </c>
      <c r="F144" s="790" t="s">
        <v>2616</v>
      </c>
      <c r="G144" s="798">
        <v>0</v>
      </c>
      <c r="H144" s="798">
        <v>0</v>
      </c>
      <c r="I144" s="798">
        <v>27</v>
      </c>
      <c r="J144" s="798">
        <v>10</v>
      </c>
      <c r="K144" s="798">
        <v>13</v>
      </c>
      <c r="L144" s="798">
        <v>30</v>
      </c>
      <c r="M144" s="798">
        <v>11</v>
      </c>
      <c r="N144" s="798">
        <v>11</v>
      </c>
      <c r="O144" s="798">
        <v>26</v>
      </c>
      <c r="P144" s="798">
        <v>12</v>
      </c>
      <c r="Q144" s="798">
        <v>3</v>
      </c>
      <c r="R144" s="802">
        <f>VLOOKUP($E144,[2]tropical!$A$4:$AF$46,[2]tropical!AD$1,FALSE)</f>
        <v>0</v>
      </c>
      <c r="S144" s="802">
        <f>VLOOKUP($E144,[2]tropical!$A$4:$AF$46,[2]tropical!AE$1,FALSE)</f>
        <v>0</v>
      </c>
      <c r="T144" s="802">
        <f>VLOOKUP($E144,[2]tropical!$A$4:$AF$46,[2]tropical!AF$1,FALSE)</f>
        <v>0</v>
      </c>
      <c r="U144" s="798">
        <f t="shared" si="2"/>
        <v>143</v>
      </c>
    </row>
    <row r="145" spans="1:21">
      <c r="A145" s="788">
        <v>8142</v>
      </c>
      <c r="B145" s="788" t="s">
        <v>1272</v>
      </c>
      <c r="C145" s="788">
        <v>876</v>
      </c>
      <c r="D145" s="788" t="s">
        <v>84</v>
      </c>
      <c r="E145" s="790" t="s">
        <v>2603</v>
      </c>
      <c r="F145" s="790" t="s">
        <v>2617</v>
      </c>
      <c r="G145" s="798">
        <v>0</v>
      </c>
      <c r="H145" s="798">
        <v>5</v>
      </c>
      <c r="I145" s="798">
        <v>1</v>
      </c>
      <c r="J145" s="798">
        <v>1</v>
      </c>
      <c r="K145" s="798">
        <v>0</v>
      </c>
      <c r="L145" s="798">
        <v>0</v>
      </c>
      <c r="M145" s="798">
        <v>0</v>
      </c>
      <c r="N145" s="798">
        <v>0</v>
      </c>
      <c r="O145" s="798">
        <v>10</v>
      </c>
      <c r="P145" s="798">
        <v>0</v>
      </c>
      <c r="Q145" s="798">
        <v>0</v>
      </c>
      <c r="R145" s="802">
        <f>VLOOKUP($E145,[2]tropical!$A$4:$AF$46,[2]tropical!AD$1,FALSE)</f>
        <v>0</v>
      </c>
      <c r="S145" s="802">
        <f>VLOOKUP($E145,[2]tropical!$A$4:$AF$46,[2]tropical!AE$1,FALSE)</f>
        <v>0</v>
      </c>
      <c r="T145" s="802">
        <f>VLOOKUP($E145,[2]tropical!$A$4:$AF$46,[2]tropical!AF$1,FALSE)</f>
        <v>0</v>
      </c>
      <c r="U145" s="798">
        <f t="shared" si="2"/>
        <v>17</v>
      </c>
    </row>
    <row r="146" spans="1:21">
      <c r="A146" s="788">
        <v>8143</v>
      </c>
      <c r="B146" s="788" t="s">
        <v>1274</v>
      </c>
      <c r="C146" s="788">
        <v>421</v>
      </c>
      <c r="D146" s="788" t="s">
        <v>81</v>
      </c>
      <c r="E146" s="790" t="s">
        <v>1274</v>
      </c>
      <c r="F146" s="790" t="s">
        <v>2616</v>
      </c>
      <c r="G146" s="798">
        <v>4</v>
      </c>
      <c r="H146" s="798">
        <v>15</v>
      </c>
      <c r="I146" s="798">
        <v>20</v>
      </c>
      <c r="J146" s="798">
        <v>2</v>
      </c>
      <c r="K146" s="798">
        <v>5</v>
      </c>
      <c r="L146" s="798">
        <v>8</v>
      </c>
      <c r="M146" s="798">
        <v>2</v>
      </c>
      <c r="N146" s="798">
        <v>4</v>
      </c>
      <c r="O146" s="798">
        <v>16</v>
      </c>
      <c r="P146" s="798">
        <v>0</v>
      </c>
      <c r="Q146" s="798">
        <v>1</v>
      </c>
      <c r="R146" s="802">
        <f>VLOOKUP($E146,[2]tropical!$A$4:$AF$46,[2]tropical!AD$1,FALSE)</f>
        <v>0</v>
      </c>
      <c r="S146" s="802">
        <f>VLOOKUP($E146,[2]tropical!$A$4:$AF$46,[2]tropical!AE$1,FALSE)</f>
        <v>0</v>
      </c>
      <c r="T146" s="802">
        <f>VLOOKUP($E146,[2]tropical!$A$4:$AF$46,[2]tropical!AF$1,FALSE)</f>
        <v>0</v>
      </c>
      <c r="U146" s="798">
        <f t="shared" si="2"/>
        <v>77</v>
      </c>
    </row>
    <row r="147" spans="1:21">
      <c r="A147" s="788">
        <v>8144</v>
      </c>
      <c r="B147" s="788" t="s">
        <v>1278</v>
      </c>
      <c r="C147" s="788">
        <v>553</v>
      </c>
      <c r="D147" s="788" t="s">
        <v>84</v>
      </c>
      <c r="E147" s="790" t="s">
        <v>2603</v>
      </c>
      <c r="F147" s="790" t="s">
        <v>2617</v>
      </c>
      <c r="G147" s="798">
        <v>0</v>
      </c>
      <c r="H147" s="798">
        <v>5</v>
      </c>
      <c r="I147" s="798">
        <v>1</v>
      </c>
      <c r="J147" s="798">
        <v>1</v>
      </c>
      <c r="K147" s="798">
        <v>0</v>
      </c>
      <c r="L147" s="798">
        <v>0</v>
      </c>
      <c r="M147" s="798">
        <v>0</v>
      </c>
      <c r="N147" s="798">
        <v>0</v>
      </c>
      <c r="O147" s="798">
        <v>10</v>
      </c>
      <c r="P147" s="798">
        <v>0</v>
      </c>
      <c r="Q147" s="798">
        <v>0</v>
      </c>
      <c r="R147" s="802">
        <f>VLOOKUP($E147,[2]tropical!$A$4:$AF$46,[2]tropical!AD$1,FALSE)</f>
        <v>0</v>
      </c>
      <c r="S147" s="802">
        <f>VLOOKUP($E147,[2]tropical!$A$4:$AF$46,[2]tropical!AE$1,FALSE)</f>
        <v>0</v>
      </c>
      <c r="T147" s="802">
        <f>VLOOKUP($E147,[2]tropical!$A$4:$AF$46,[2]tropical!AF$1,FALSE)</f>
        <v>0</v>
      </c>
      <c r="U147" s="798">
        <f t="shared" si="2"/>
        <v>17</v>
      </c>
    </row>
    <row r="148" spans="1:21">
      <c r="A148" s="788">
        <v>8145</v>
      </c>
      <c r="B148" s="788" t="s">
        <v>1281</v>
      </c>
      <c r="C148" s="788">
        <v>189</v>
      </c>
      <c r="D148" s="788" t="s">
        <v>791</v>
      </c>
      <c r="E148" s="790" t="s">
        <v>2607</v>
      </c>
      <c r="F148" s="790" t="s">
        <v>2615</v>
      </c>
      <c r="G148" s="798">
        <v>1</v>
      </c>
      <c r="H148" s="798">
        <v>4</v>
      </c>
      <c r="I148" s="798">
        <v>1</v>
      </c>
      <c r="J148" s="798">
        <v>1</v>
      </c>
      <c r="K148" s="798">
        <v>0</v>
      </c>
      <c r="L148" s="798">
        <v>5</v>
      </c>
      <c r="M148" s="798">
        <v>1</v>
      </c>
      <c r="N148" s="798">
        <v>0</v>
      </c>
      <c r="O148" s="798">
        <v>2</v>
      </c>
      <c r="P148" s="798">
        <v>0</v>
      </c>
      <c r="Q148" s="798">
        <v>0</v>
      </c>
      <c r="R148" s="802">
        <f>VLOOKUP($E148,[2]tropical!$A$4:$AF$46,[2]tropical!AD$1,FALSE)</f>
        <v>0</v>
      </c>
      <c r="S148" s="802">
        <f>VLOOKUP($E148,[2]tropical!$A$4:$AF$46,[2]tropical!AE$1,FALSE)</f>
        <v>0</v>
      </c>
      <c r="T148" s="802">
        <f>VLOOKUP($E148,[2]tropical!$A$4:$AF$46,[2]tropical!AF$1,FALSE)</f>
        <v>0</v>
      </c>
      <c r="U148" s="798">
        <f t="shared" si="2"/>
        <v>15</v>
      </c>
    </row>
    <row r="149" spans="1:21">
      <c r="A149" s="788">
        <v>8146</v>
      </c>
      <c r="B149" s="788" t="s">
        <v>1286</v>
      </c>
      <c r="C149" s="788">
        <v>265</v>
      </c>
      <c r="D149" s="788" t="s">
        <v>791</v>
      </c>
      <c r="E149" s="790" t="s">
        <v>2607</v>
      </c>
      <c r="F149" s="790" t="s">
        <v>2615</v>
      </c>
      <c r="G149" s="798">
        <v>1</v>
      </c>
      <c r="H149" s="798">
        <v>4</v>
      </c>
      <c r="I149" s="798">
        <v>1</v>
      </c>
      <c r="J149" s="798">
        <v>1</v>
      </c>
      <c r="K149" s="798">
        <v>0</v>
      </c>
      <c r="L149" s="798">
        <v>5</v>
      </c>
      <c r="M149" s="798">
        <v>1</v>
      </c>
      <c r="N149" s="798">
        <v>0</v>
      </c>
      <c r="O149" s="798">
        <v>2</v>
      </c>
      <c r="P149" s="798">
        <v>0</v>
      </c>
      <c r="Q149" s="798">
        <v>0</v>
      </c>
      <c r="R149" s="802">
        <f>VLOOKUP($E149,[2]tropical!$A$4:$AF$46,[2]tropical!AD$1,FALSE)</f>
        <v>0</v>
      </c>
      <c r="S149" s="802">
        <f>VLOOKUP($E149,[2]tropical!$A$4:$AF$46,[2]tropical!AE$1,FALSE)</f>
        <v>0</v>
      </c>
      <c r="T149" s="802">
        <f>VLOOKUP($E149,[2]tropical!$A$4:$AF$46,[2]tropical!AF$1,FALSE)</f>
        <v>0</v>
      </c>
      <c r="U149" s="798">
        <f t="shared" si="2"/>
        <v>15</v>
      </c>
    </row>
    <row r="150" spans="1:21">
      <c r="A150" s="788">
        <v>8147</v>
      </c>
      <c r="B150" s="788" t="s">
        <v>1291</v>
      </c>
      <c r="C150" s="788">
        <v>124</v>
      </c>
      <c r="D150" s="788" t="s">
        <v>90</v>
      </c>
      <c r="E150" s="790" t="s">
        <v>1684</v>
      </c>
      <c r="F150" s="790" t="s">
        <v>2616</v>
      </c>
      <c r="G150" s="798">
        <v>3</v>
      </c>
      <c r="H150" s="798">
        <v>5</v>
      </c>
      <c r="I150" s="798">
        <v>9</v>
      </c>
      <c r="J150" s="798">
        <v>2</v>
      </c>
      <c r="K150" s="798">
        <v>3</v>
      </c>
      <c r="L150" s="798">
        <v>7</v>
      </c>
      <c r="M150" s="798">
        <v>1</v>
      </c>
      <c r="N150" s="798">
        <v>2</v>
      </c>
      <c r="O150" s="798">
        <v>6</v>
      </c>
      <c r="P150" s="798">
        <v>0</v>
      </c>
      <c r="Q150" s="798">
        <v>1</v>
      </c>
      <c r="R150" s="802">
        <f>VLOOKUP($E150,[2]tropical!$A$4:$AF$46,[2]tropical!AD$1,FALSE)</f>
        <v>0</v>
      </c>
      <c r="S150" s="802">
        <f>VLOOKUP($E150,[2]tropical!$A$4:$AF$46,[2]tropical!AE$1,FALSE)</f>
        <v>0</v>
      </c>
      <c r="T150" s="802">
        <f>VLOOKUP($E150,[2]tropical!$A$4:$AF$46,[2]tropical!AF$1,FALSE)</f>
        <v>0</v>
      </c>
      <c r="U150" s="798">
        <f t="shared" si="2"/>
        <v>39</v>
      </c>
    </row>
    <row r="151" spans="1:21">
      <c r="A151" s="788">
        <v>8148</v>
      </c>
      <c r="B151" s="788" t="s">
        <v>1294</v>
      </c>
      <c r="C151" s="788">
        <v>211</v>
      </c>
      <c r="D151" s="788" t="s">
        <v>85</v>
      </c>
      <c r="E151" s="790" t="s">
        <v>2609</v>
      </c>
      <c r="F151" s="790" t="s">
        <v>2615</v>
      </c>
      <c r="G151" s="798">
        <v>1</v>
      </c>
      <c r="H151" s="798">
        <v>4</v>
      </c>
      <c r="I151" s="798">
        <v>5</v>
      </c>
      <c r="J151" s="798">
        <v>1</v>
      </c>
      <c r="K151" s="798">
        <v>0</v>
      </c>
      <c r="L151" s="798">
        <v>3</v>
      </c>
      <c r="M151" s="798">
        <v>1</v>
      </c>
      <c r="N151" s="798">
        <v>1</v>
      </c>
      <c r="O151" s="798">
        <v>1</v>
      </c>
      <c r="P151" s="798">
        <v>2</v>
      </c>
      <c r="Q151" s="798">
        <v>0</v>
      </c>
      <c r="R151" s="802">
        <f>VLOOKUP($E151,[2]tropical!$A$4:$AF$46,[2]tropical!AD$1,FALSE)</f>
        <v>0</v>
      </c>
      <c r="S151" s="802">
        <f>VLOOKUP($E151,[2]tropical!$A$4:$AF$46,[2]tropical!AE$1,FALSE)</f>
        <v>0</v>
      </c>
      <c r="T151" s="802">
        <f>VLOOKUP($E151,[2]tropical!$A$4:$AF$46,[2]tropical!AF$1,FALSE)</f>
        <v>0</v>
      </c>
      <c r="U151" s="798">
        <f t="shared" si="2"/>
        <v>19</v>
      </c>
    </row>
    <row r="152" spans="1:21">
      <c r="A152" s="788">
        <v>8149</v>
      </c>
      <c r="B152" s="788" t="s">
        <v>1298</v>
      </c>
      <c r="C152" s="788">
        <v>572</v>
      </c>
      <c r="D152" s="788" t="s">
        <v>88</v>
      </c>
      <c r="E152" s="790" t="s">
        <v>1127</v>
      </c>
      <c r="F152" s="790" t="s">
        <v>2617</v>
      </c>
      <c r="G152" s="798">
        <v>1</v>
      </c>
      <c r="H152" s="798">
        <v>9</v>
      </c>
      <c r="I152" s="798">
        <v>16</v>
      </c>
      <c r="J152" s="798">
        <v>7</v>
      </c>
      <c r="K152" s="798">
        <v>4</v>
      </c>
      <c r="L152" s="798">
        <v>11</v>
      </c>
      <c r="M152" s="798">
        <v>8</v>
      </c>
      <c r="N152" s="798">
        <v>5</v>
      </c>
      <c r="O152" s="798">
        <v>21</v>
      </c>
      <c r="P152" s="798">
        <v>0</v>
      </c>
      <c r="Q152" s="798">
        <v>1</v>
      </c>
      <c r="R152" s="802">
        <f>VLOOKUP($E152,[2]tropical!$A$4:$AF$46,[2]tropical!AD$1,FALSE)</f>
        <v>0</v>
      </c>
      <c r="S152" s="802">
        <f>VLOOKUP($E152,[2]tropical!$A$4:$AF$46,[2]tropical!AE$1,FALSE)</f>
        <v>0</v>
      </c>
      <c r="T152" s="802">
        <f>VLOOKUP($E152,[2]tropical!$A$4:$AF$46,[2]tropical!AF$1,FALSE)</f>
        <v>0</v>
      </c>
      <c r="U152" s="798">
        <f t="shared" si="2"/>
        <v>83</v>
      </c>
    </row>
    <row r="153" spans="1:21">
      <c r="A153" s="788">
        <v>8150</v>
      </c>
      <c r="B153" s="788" t="s">
        <v>1301</v>
      </c>
      <c r="C153" s="788">
        <v>576</v>
      </c>
      <c r="D153" s="788" t="s">
        <v>88</v>
      </c>
      <c r="E153" s="790" t="s">
        <v>1301</v>
      </c>
      <c r="F153" s="790" t="s">
        <v>2617</v>
      </c>
      <c r="G153" s="798">
        <v>1</v>
      </c>
      <c r="H153" s="798">
        <v>7</v>
      </c>
      <c r="I153" s="798">
        <v>11</v>
      </c>
      <c r="J153" s="798">
        <v>2</v>
      </c>
      <c r="K153" s="798">
        <v>2</v>
      </c>
      <c r="L153" s="798">
        <v>1</v>
      </c>
      <c r="M153" s="798">
        <v>1</v>
      </c>
      <c r="N153" s="798">
        <v>4</v>
      </c>
      <c r="O153" s="798">
        <v>17</v>
      </c>
      <c r="P153" s="798">
        <v>0</v>
      </c>
      <c r="Q153" s="798">
        <v>0</v>
      </c>
      <c r="R153" s="802">
        <f>VLOOKUP($E153,[2]tropical!$A$4:$AF$46,[2]tropical!AD$1,FALSE)</f>
        <v>0</v>
      </c>
      <c r="S153" s="802">
        <f>VLOOKUP($E153,[2]tropical!$A$4:$AF$46,[2]tropical!AE$1,FALSE)</f>
        <v>0</v>
      </c>
      <c r="T153" s="802">
        <f>VLOOKUP($E153,[2]tropical!$A$4:$AF$46,[2]tropical!AF$1,FALSE)</f>
        <v>0</v>
      </c>
      <c r="U153" s="798">
        <f t="shared" si="2"/>
        <v>46</v>
      </c>
    </row>
    <row r="154" spans="1:21">
      <c r="A154" s="788">
        <v>8151</v>
      </c>
      <c r="B154" s="788" t="s">
        <v>1304</v>
      </c>
      <c r="C154" s="788">
        <v>468</v>
      </c>
      <c r="D154" s="788" t="s">
        <v>88</v>
      </c>
      <c r="E154" s="790" t="s">
        <v>1127</v>
      </c>
      <c r="F154" s="790" t="s">
        <v>2617</v>
      </c>
      <c r="G154" s="798">
        <v>1</v>
      </c>
      <c r="H154" s="798">
        <v>9</v>
      </c>
      <c r="I154" s="798">
        <v>16</v>
      </c>
      <c r="J154" s="798">
        <v>7</v>
      </c>
      <c r="K154" s="798">
        <v>4</v>
      </c>
      <c r="L154" s="798">
        <v>11</v>
      </c>
      <c r="M154" s="798">
        <v>8</v>
      </c>
      <c r="N154" s="798">
        <v>5</v>
      </c>
      <c r="O154" s="798">
        <v>21</v>
      </c>
      <c r="P154" s="798">
        <v>0</v>
      </c>
      <c r="Q154" s="798">
        <v>1</v>
      </c>
      <c r="R154" s="802">
        <f>VLOOKUP($E154,[2]tropical!$A$4:$AF$46,[2]tropical!AD$1,FALSE)</f>
        <v>0</v>
      </c>
      <c r="S154" s="802">
        <f>VLOOKUP($E154,[2]tropical!$A$4:$AF$46,[2]tropical!AE$1,FALSE)</f>
        <v>0</v>
      </c>
      <c r="T154" s="802">
        <f>VLOOKUP($E154,[2]tropical!$A$4:$AF$46,[2]tropical!AF$1,FALSE)</f>
        <v>0</v>
      </c>
      <c r="U154" s="798">
        <f t="shared" si="2"/>
        <v>83</v>
      </c>
    </row>
    <row r="155" spans="1:21">
      <c r="A155" s="788">
        <v>8152</v>
      </c>
      <c r="B155" s="788" t="s">
        <v>1306</v>
      </c>
      <c r="C155" s="788">
        <v>375</v>
      </c>
      <c r="D155" s="788" t="s">
        <v>81</v>
      </c>
      <c r="E155" s="790" t="s">
        <v>1274</v>
      </c>
      <c r="F155" s="790" t="s">
        <v>2616</v>
      </c>
      <c r="G155" s="798">
        <v>4</v>
      </c>
      <c r="H155" s="798">
        <v>15</v>
      </c>
      <c r="I155" s="798">
        <v>20</v>
      </c>
      <c r="J155" s="798">
        <v>2</v>
      </c>
      <c r="K155" s="798">
        <v>5</v>
      </c>
      <c r="L155" s="798">
        <v>8</v>
      </c>
      <c r="M155" s="798">
        <v>2</v>
      </c>
      <c r="N155" s="798">
        <v>4</v>
      </c>
      <c r="O155" s="798">
        <v>16</v>
      </c>
      <c r="P155" s="798">
        <v>0</v>
      </c>
      <c r="Q155" s="798">
        <v>1</v>
      </c>
      <c r="R155" s="802">
        <f>VLOOKUP($E155,[2]tropical!$A$4:$AF$46,[2]tropical!AD$1,FALSE)</f>
        <v>0</v>
      </c>
      <c r="S155" s="802">
        <f>VLOOKUP($E155,[2]tropical!$A$4:$AF$46,[2]tropical!AE$1,FALSE)</f>
        <v>0</v>
      </c>
      <c r="T155" s="802">
        <f>VLOOKUP($E155,[2]tropical!$A$4:$AF$46,[2]tropical!AF$1,FALSE)</f>
        <v>0</v>
      </c>
      <c r="U155" s="798">
        <f t="shared" si="2"/>
        <v>77</v>
      </c>
    </row>
    <row r="156" spans="1:21">
      <c r="A156" s="788">
        <v>8153</v>
      </c>
      <c r="B156" s="788" t="s">
        <v>1309</v>
      </c>
      <c r="C156" s="788">
        <v>259</v>
      </c>
      <c r="D156" s="788" t="s">
        <v>86</v>
      </c>
      <c r="E156" s="790" t="s">
        <v>864</v>
      </c>
      <c r="F156" s="790" t="s">
        <v>2615</v>
      </c>
      <c r="G156" s="798">
        <v>0</v>
      </c>
      <c r="H156" s="798">
        <v>1</v>
      </c>
      <c r="I156" s="798">
        <v>0</v>
      </c>
      <c r="J156" s="798">
        <v>0</v>
      </c>
      <c r="K156" s="798">
        <v>0</v>
      </c>
      <c r="L156" s="798">
        <v>1</v>
      </c>
      <c r="M156" s="798">
        <v>0</v>
      </c>
      <c r="N156" s="798">
        <v>0</v>
      </c>
      <c r="O156" s="798">
        <v>0</v>
      </c>
      <c r="P156" s="798">
        <v>0</v>
      </c>
      <c r="Q156" s="798">
        <v>0</v>
      </c>
      <c r="R156" s="802">
        <f>VLOOKUP($E156,[2]tropical!$A$4:$AF$46,[2]tropical!AD$1,FALSE)</f>
        <v>0</v>
      </c>
      <c r="S156" s="802">
        <f>VLOOKUP($E156,[2]tropical!$A$4:$AF$46,[2]tropical!AE$1,FALSE)</f>
        <v>0</v>
      </c>
      <c r="T156" s="802">
        <f>VLOOKUP($E156,[2]tropical!$A$4:$AF$46,[2]tropical!AF$1,FALSE)</f>
        <v>0</v>
      </c>
      <c r="U156" s="798">
        <f t="shared" si="2"/>
        <v>2</v>
      </c>
    </row>
    <row r="157" spans="1:21">
      <c r="A157" s="788">
        <v>8154</v>
      </c>
      <c r="B157" s="788" t="s">
        <v>1310</v>
      </c>
      <c r="C157" s="788">
        <v>201</v>
      </c>
      <c r="D157" s="788" t="s">
        <v>791</v>
      </c>
      <c r="E157" s="790" t="s">
        <v>2607</v>
      </c>
      <c r="F157" s="790" t="s">
        <v>2615</v>
      </c>
      <c r="G157" s="798">
        <v>1</v>
      </c>
      <c r="H157" s="798">
        <v>4</v>
      </c>
      <c r="I157" s="798">
        <v>1</v>
      </c>
      <c r="J157" s="798">
        <v>1</v>
      </c>
      <c r="K157" s="798">
        <v>0</v>
      </c>
      <c r="L157" s="798">
        <v>5</v>
      </c>
      <c r="M157" s="798">
        <v>1</v>
      </c>
      <c r="N157" s="798">
        <v>0</v>
      </c>
      <c r="O157" s="798">
        <v>2</v>
      </c>
      <c r="P157" s="798">
        <v>0</v>
      </c>
      <c r="Q157" s="798">
        <v>0</v>
      </c>
      <c r="R157" s="802">
        <f>VLOOKUP($E157,[2]tropical!$A$4:$AF$46,[2]tropical!AD$1,FALSE)</f>
        <v>0</v>
      </c>
      <c r="S157" s="802">
        <f>VLOOKUP($E157,[2]tropical!$A$4:$AF$46,[2]tropical!AE$1,FALSE)</f>
        <v>0</v>
      </c>
      <c r="T157" s="802">
        <f>VLOOKUP($E157,[2]tropical!$A$4:$AF$46,[2]tropical!AF$1,FALSE)</f>
        <v>0</v>
      </c>
      <c r="U157" s="798">
        <f t="shared" si="2"/>
        <v>15</v>
      </c>
    </row>
    <row r="158" spans="1:21">
      <c r="A158" s="788">
        <v>8155</v>
      </c>
      <c r="B158" s="788" t="s">
        <v>1311</v>
      </c>
      <c r="C158" s="788">
        <v>16</v>
      </c>
      <c r="D158" s="788" t="s">
        <v>86</v>
      </c>
      <c r="E158" s="790" t="s">
        <v>343</v>
      </c>
      <c r="F158" s="790" t="s">
        <v>2615</v>
      </c>
      <c r="G158" s="798">
        <v>0</v>
      </c>
      <c r="H158" s="798">
        <v>0</v>
      </c>
      <c r="I158" s="798">
        <v>0</v>
      </c>
      <c r="J158" s="798">
        <v>0</v>
      </c>
      <c r="K158" s="798">
        <v>0</v>
      </c>
      <c r="L158" s="798">
        <v>0</v>
      </c>
      <c r="M158" s="798">
        <v>0</v>
      </c>
      <c r="N158" s="798">
        <v>0</v>
      </c>
      <c r="O158" s="798">
        <v>0</v>
      </c>
      <c r="P158" s="798">
        <v>0</v>
      </c>
      <c r="Q158" s="798">
        <v>0</v>
      </c>
      <c r="R158" s="802">
        <f>VLOOKUP($E158,[2]tropical!$A$4:$AF$46,[2]tropical!AD$1,FALSE)</f>
        <v>0</v>
      </c>
      <c r="S158" s="802">
        <f>VLOOKUP($E158,[2]tropical!$A$4:$AF$46,[2]tropical!AE$1,FALSE)</f>
        <v>0</v>
      </c>
      <c r="T158" s="802">
        <f>VLOOKUP($E158,[2]tropical!$A$4:$AF$46,[2]tropical!AF$1,FALSE)</f>
        <v>0</v>
      </c>
      <c r="U158" s="798">
        <f t="shared" si="2"/>
        <v>0</v>
      </c>
    </row>
    <row r="159" spans="1:21">
      <c r="A159" s="788">
        <v>8156</v>
      </c>
      <c r="B159" s="788" t="s">
        <v>1316</v>
      </c>
      <c r="C159" s="788">
        <v>130</v>
      </c>
      <c r="D159" s="788" t="s">
        <v>89</v>
      </c>
      <c r="E159" s="790" t="s">
        <v>867</v>
      </c>
      <c r="F159" s="790" t="s">
        <v>2616</v>
      </c>
      <c r="G159" s="798">
        <v>0</v>
      </c>
      <c r="H159" s="798">
        <v>3</v>
      </c>
      <c r="I159" s="798">
        <v>9</v>
      </c>
      <c r="J159" s="798">
        <v>4</v>
      </c>
      <c r="K159" s="798">
        <v>7</v>
      </c>
      <c r="L159" s="798">
        <v>7</v>
      </c>
      <c r="M159" s="798">
        <v>4</v>
      </c>
      <c r="N159" s="798">
        <v>0</v>
      </c>
      <c r="O159" s="798">
        <v>7</v>
      </c>
      <c r="P159" s="798">
        <v>1</v>
      </c>
      <c r="Q159" s="798">
        <v>0</v>
      </c>
      <c r="R159" s="802">
        <f>VLOOKUP($E159,[2]tropical!$A$4:$AF$46,[2]tropical!AD$1,FALSE)</f>
        <v>0</v>
      </c>
      <c r="S159" s="802">
        <f>VLOOKUP($E159,[2]tropical!$A$4:$AF$46,[2]tropical!AE$1,FALSE)</f>
        <v>0</v>
      </c>
      <c r="T159" s="802">
        <f>VLOOKUP($E159,[2]tropical!$A$4:$AF$46,[2]tropical!AF$1,FALSE)</f>
        <v>0</v>
      </c>
      <c r="U159" s="798">
        <f t="shared" si="2"/>
        <v>42</v>
      </c>
    </row>
    <row r="160" spans="1:21">
      <c r="A160" s="788">
        <v>8157</v>
      </c>
      <c r="B160" s="788" t="s">
        <v>1320</v>
      </c>
      <c r="C160" s="788">
        <v>41</v>
      </c>
      <c r="D160" s="788" t="s">
        <v>90</v>
      </c>
      <c r="E160" s="790" t="s">
        <v>357</v>
      </c>
      <c r="F160" s="790" t="s">
        <v>2615</v>
      </c>
      <c r="G160" s="798">
        <v>0</v>
      </c>
      <c r="H160" s="798">
        <v>1</v>
      </c>
      <c r="I160" s="798">
        <v>0</v>
      </c>
      <c r="J160" s="798">
        <v>0</v>
      </c>
      <c r="K160" s="798">
        <v>0</v>
      </c>
      <c r="L160" s="798">
        <v>0</v>
      </c>
      <c r="M160" s="798">
        <v>1</v>
      </c>
      <c r="N160" s="798">
        <v>0</v>
      </c>
      <c r="O160" s="798">
        <v>0</v>
      </c>
      <c r="P160" s="798">
        <v>0</v>
      </c>
      <c r="Q160" s="798">
        <v>0</v>
      </c>
      <c r="R160" s="802">
        <f>VLOOKUP($E160,[2]tropical!$A$4:$AF$46,[2]tropical!AD$1,FALSE)</f>
        <v>0</v>
      </c>
      <c r="S160" s="802">
        <f>VLOOKUP($E160,[2]tropical!$A$4:$AF$46,[2]tropical!AE$1,FALSE)</f>
        <v>0</v>
      </c>
      <c r="T160" s="802">
        <f>VLOOKUP($E160,[2]tropical!$A$4:$AF$46,[2]tropical!AF$1,FALSE)</f>
        <v>0</v>
      </c>
      <c r="U160" s="798">
        <f t="shared" si="2"/>
        <v>2</v>
      </c>
    </row>
    <row r="161" spans="1:21">
      <c r="A161" s="788">
        <v>8158</v>
      </c>
      <c r="B161" s="788" t="s">
        <v>1324</v>
      </c>
      <c r="C161" s="788">
        <v>135</v>
      </c>
      <c r="D161" s="788" t="s">
        <v>90</v>
      </c>
      <c r="E161" s="790" t="s">
        <v>357</v>
      </c>
      <c r="F161" s="790" t="s">
        <v>2615</v>
      </c>
      <c r="G161" s="798">
        <v>0</v>
      </c>
      <c r="H161" s="798">
        <v>1</v>
      </c>
      <c r="I161" s="798">
        <v>0</v>
      </c>
      <c r="J161" s="798">
        <v>0</v>
      </c>
      <c r="K161" s="798">
        <v>0</v>
      </c>
      <c r="L161" s="798">
        <v>0</v>
      </c>
      <c r="M161" s="798">
        <v>1</v>
      </c>
      <c r="N161" s="798">
        <v>0</v>
      </c>
      <c r="O161" s="798">
        <v>0</v>
      </c>
      <c r="P161" s="798">
        <v>0</v>
      </c>
      <c r="Q161" s="798">
        <v>0</v>
      </c>
      <c r="R161" s="802">
        <f>VLOOKUP($E161,[2]tropical!$A$4:$AF$46,[2]tropical!AD$1,FALSE)</f>
        <v>0</v>
      </c>
      <c r="S161" s="802">
        <f>VLOOKUP($E161,[2]tropical!$A$4:$AF$46,[2]tropical!AE$1,FALSE)</f>
        <v>0</v>
      </c>
      <c r="T161" s="802">
        <f>VLOOKUP($E161,[2]tropical!$A$4:$AF$46,[2]tropical!AF$1,FALSE)</f>
        <v>0</v>
      </c>
      <c r="U161" s="798">
        <f t="shared" si="2"/>
        <v>2</v>
      </c>
    </row>
    <row r="162" spans="1:21">
      <c r="A162" s="788">
        <v>8159</v>
      </c>
      <c r="B162" s="788" t="s">
        <v>1325</v>
      </c>
      <c r="C162" s="788">
        <v>98</v>
      </c>
      <c r="D162" s="788" t="s">
        <v>24</v>
      </c>
      <c r="E162" s="790" t="s">
        <v>1743</v>
      </c>
      <c r="F162" s="790" t="s">
        <v>2616</v>
      </c>
      <c r="G162" s="798">
        <v>1</v>
      </c>
      <c r="H162" s="798">
        <v>7</v>
      </c>
      <c r="I162" s="798">
        <v>11</v>
      </c>
      <c r="J162" s="798">
        <v>2</v>
      </c>
      <c r="K162" s="798">
        <v>2</v>
      </c>
      <c r="L162" s="798">
        <v>5</v>
      </c>
      <c r="M162" s="798">
        <v>4</v>
      </c>
      <c r="N162" s="798">
        <v>0</v>
      </c>
      <c r="O162" s="798">
        <v>7</v>
      </c>
      <c r="P162" s="798">
        <v>0</v>
      </c>
      <c r="Q162" s="798">
        <v>0</v>
      </c>
      <c r="R162" s="802">
        <f>VLOOKUP($E162,[2]tropical!$A$4:$AF$46,[2]tropical!AD$1,FALSE)</f>
        <v>0</v>
      </c>
      <c r="S162" s="802">
        <f>VLOOKUP($E162,[2]tropical!$A$4:$AF$46,[2]tropical!AE$1,FALSE)</f>
        <v>0</v>
      </c>
      <c r="T162" s="802">
        <f>VLOOKUP($E162,[2]tropical!$A$4:$AF$46,[2]tropical!AF$1,FALSE)</f>
        <v>0</v>
      </c>
      <c r="U162" s="798">
        <f t="shared" si="2"/>
        <v>39</v>
      </c>
    </row>
    <row r="163" spans="1:21">
      <c r="A163" s="788">
        <v>8160</v>
      </c>
      <c r="B163" s="788" t="s">
        <v>1326</v>
      </c>
      <c r="C163" s="788">
        <v>754</v>
      </c>
      <c r="D163" s="788" t="s">
        <v>88</v>
      </c>
      <c r="E163" s="790" t="s">
        <v>1326</v>
      </c>
      <c r="F163" s="790" t="s">
        <v>2617</v>
      </c>
      <c r="G163" s="798">
        <v>0</v>
      </c>
      <c r="H163" s="798">
        <v>0</v>
      </c>
      <c r="I163" s="798">
        <v>2</v>
      </c>
      <c r="J163" s="798">
        <v>1</v>
      </c>
      <c r="K163" s="798">
        <v>0</v>
      </c>
      <c r="L163" s="798">
        <v>0</v>
      </c>
      <c r="M163" s="798">
        <v>0</v>
      </c>
      <c r="N163" s="798">
        <v>0</v>
      </c>
      <c r="O163" s="798">
        <v>7</v>
      </c>
      <c r="P163" s="798">
        <v>0</v>
      </c>
      <c r="Q163" s="798">
        <v>0</v>
      </c>
      <c r="R163" s="802">
        <f>VLOOKUP($E163,[2]tropical!$A$4:$AF$46,[2]tropical!AD$1,FALSE)</f>
        <v>0</v>
      </c>
      <c r="S163" s="802">
        <f>VLOOKUP($E163,[2]tropical!$A$4:$AF$46,[2]tropical!AE$1,FALSE)</f>
        <v>0</v>
      </c>
      <c r="T163" s="802">
        <f>VLOOKUP($E163,[2]tropical!$A$4:$AF$46,[2]tropical!AF$1,FALSE)</f>
        <v>0</v>
      </c>
      <c r="U163" s="798">
        <f t="shared" si="2"/>
        <v>10</v>
      </c>
    </row>
    <row r="164" spans="1:21">
      <c r="A164" s="788">
        <v>8161</v>
      </c>
      <c r="B164" s="788" t="s">
        <v>1330</v>
      </c>
      <c r="C164" s="788">
        <v>324</v>
      </c>
      <c r="D164" s="788" t="s">
        <v>81</v>
      </c>
      <c r="E164" s="790" t="s">
        <v>1274</v>
      </c>
      <c r="F164" s="790" t="s">
        <v>2616</v>
      </c>
      <c r="G164" s="798">
        <v>4</v>
      </c>
      <c r="H164" s="798">
        <v>15</v>
      </c>
      <c r="I164" s="798">
        <v>20</v>
      </c>
      <c r="J164" s="798">
        <v>2</v>
      </c>
      <c r="K164" s="798">
        <v>5</v>
      </c>
      <c r="L164" s="798">
        <v>8</v>
      </c>
      <c r="M164" s="798">
        <v>2</v>
      </c>
      <c r="N164" s="798">
        <v>4</v>
      </c>
      <c r="O164" s="798">
        <v>16</v>
      </c>
      <c r="P164" s="798">
        <v>0</v>
      </c>
      <c r="Q164" s="798">
        <v>1</v>
      </c>
      <c r="R164" s="802">
        <f>VLOOKUP($E164,[2]tropical!$A$4:$AF$46,[2]tropical!AD$1,FALSE)</f>
        <v>0</v>
      </c>
      <c r="S164" s="802">
        <f>VLOOKUP($E164,[2]tropical!$A$4:$AF$46,[2]tropical!AE$1,FALSE)</f>
        <v>0</v>
      </c>
      <c r="T164" s="802">
        <f>VLOOKUP($E164,[2]tropical!$A$4:$AF$46,[2]tropical!AF$1,FALSE)</f>
        <v>0</v>
      </c>
      <c r="U164" s="798">
        <f t="shared" si="2"/>
        <v>77</v>
      </c>
    </row>
    <row r="165" spans="1:21">
      <c r="A165" s="788">
        <v>8162</v>
      </c>
      <c r="B165" s="788" t="s">
        <v>1334</v>
      </c>
      <c r="C165" s="788">
        <v>361</v>
      </c>
      <c r="D165" s="788" t="s">
        <v>81</v>
      </c>
      <c r="E165" s="790" t="s">
        <v>1334</v>
      </c>
      <c r="F165" s="790" t="s">
        <v>2615</v>
      </c>
      <c r="G165" s="798">
        <v>3</v>
      </c>
      <c r="H165" s="798">
        <v>3</v>
      </c>
      <c r="I165" s="798">
        <v>14</v>
      </c>
      <c r="J165" s="798">
        <v>2</v>
      </c>
      <c r="K165" s="798">
        <v>0</v>
      </c>
      <c r="L165" s="798">
        <v>4</v>
      </c>
      <c r="M165" s="798">
        <v>1</v>
      </c>
      <c r="N165" s="798">
        <v>2</v>
      </c>
      <c r="O165" s="798">
        <v>3</v>
      </c>
      <c r="P165" s="798">
        <v>2</v>
      </c>
      <c r="Q165" s="798">
        <v>1</v>
      </c>
      <c r="R165" s="802">
        <f>VLOOKUP($E165,[2]tropical!$A$4:$AF$46,[2]tropical!AD$1,FALSE)</f>
        <v>0</v>
      </c>
      <c r="S165" s="802">
        <f>VLOOKUP($E165,[2]tropical!$A$4:$AF$46,[2]tropical!AE$1,FALSE)</f>
        <v>0</v>
      </c>
      <c r="T165" s="802">
        <f>VLOOKUP($E165,[2]tropical!$A$4:$AF$46,[2]tropical!AF$1,FALSE)</f>
        <v>0</v>
      </c>
      <c r="U165" s="798">
        <f t="shared" si="2"/>
        <v>35</v>
      </c>
    </row>
    <row r="166" spans="1:21">
      <c r="A166" s="788">
        <v>8163</v>
      </c>
      <c r="B166" s="788" t="s">
        <v>347</v>
      </c>
      <c r="C166" s="788">
        <v>10</v>
      </c>
      <c r="D166" s="788" t="s">
        <v>86</v>
      </c>
      <c r="E166" s="790" t="s">
        <v>343</v>
      </c>
      <c r="F166" s="790" t="s">
        <v>2615</v>
      </c>
      <c r="G166" s="798">
        <v>0</v>
      </c>
      <c r="H166" s="798">
        <v>0</v>
      </c>
      <c r="I166" s="798">
        <v>0</v>
      </c>
      <c r="J166" s="798">
        <v>0</v>
      </c>
      <c r="K166" s="798">
        <v>0</v>
      </c>
      <c r="L166" s="798">
        <v>0</v>
      </c>
      <c r="M166" s="798">
        <v>0</v>
      </c>
      <c r="N166" s="798">
        <v>0</v>
      </c>
      <c r="O166" s="798">
        <v>0</v>
      </c>
      <c r="P166" s="798">
        <v>0</v>
      </c>
      <c r="Q166" s="798">
        <v>0</v>
      </c>
      <c r="R166" s="802">
        <f>VLOOKUP($E166,[2]tropical!$A$4:$AF$46,[2]tropical!AD$1,FALSE)</f>
        <v>0</v>
      </c>
      <c r="S166" s="802">
        <f>VLOOKUP($E166,[2]tropical!$A$4:$AF$46,[2]tropical!AE$1,FALSE)</f>
        <v>0</v>
      </c>
      <c r="T166" s="802">
        <f>VLOOKUP($E166,[2]tropical!$A$4:$AF$46,[2]tropical!AF$1,FALSE)</f>
        <v>0</v>
      </c>
      <c r="U166" s="798">
        <f t="shared" si="2"/>
        <v>0</v>
      </c>
    </row>
    <row r="167" spans="1:21">
      <c r="A167" s="788">
        <v>8164</v>
      </c>
      <c r="B167" s="788" t="s">
        <v>1339</v>
      </c>
      <c r="C167" s="788">
        <v>216</v>
      </c>
      <c r="D167" s="788" t="s">
        <v>791</v>
      </c>
      <c r="E167" s="790" t="s">
        <v>2607</v>
      </c>
      <c r="F167" s="790" t="s">
        <v>2615</v>
      </c>
      <c r="G167" s="798">
        <v>1</v>
      </c>
      <c r="H167" s="798">
        <v>4</v>
      </c>
      <c r="I167" s="798">
        <v>1</v>
      </c>
      <c r="J167" s="798">
        <v>1</v>
      </c>
      <c r="K167" s="798">
        <v>0</v>
      </c>
      <c r="L167" s="798">
        <v>5</v>
      </c>
      <c r="M167" s="798">
        <v>1</v>
      </c>
      <c r="N167" s="798">
        <v>0</v>
      </c>
      <c r="O167" s="798">
        <v>2</v>
      </c>
      <c r="P167" s="798">
        <v>0</v>
      </c>
      <c r="Q167" s="798">
        <v>0</v>
      </c>
      <c r="R167" s="802">
        <f>VLOOKUP($E167,[2]tropical!$A$4:$AF$46,[2]tropical!AD$1,FALSE)</f>
        <v>0</v>
      </c>
      <c r="S167" s="802">
        <f>VLOOKUP($E167,[2]tropical!$A$4:$AF$46,[2]tropical!AE$1,FALSE)</f>
        <v>0</v>
      </c>
      <c r="T167" s="802">
        <f>VLOOKUP($E167,[2]tropical!$A$4:$AF$46,[2]tropical!AF$1,FALSE)</f>
        <v>0</v>
      </c>
      <c r="U167" s="798">
        <f t="shared" si="2"/>
        <v>15</v>
      </c>
    </row>
    <row r="168" spans="1:21">
      <c r="A168" s="788">
        <v>8165</v>
      </c>
      <c r="B168" s="788" t="s">
        <v>1340</v>
      </c>
      <c r="C168" s="788">
        <v>265</v>
      </c>
      <c r="D168" s="788" t="s">
        <v>81</v>
      </c>
      <c r="E168" s="790" t="s">
        <v>1274</v>
      </c>
      <c r="F168" s="790" t="s">
        <v>2616</v>
      </c>
      <c r="G168" s="798">
        <v>4</v>
      </c>
      <c r="H168" s="798">
        <v>15</v>
      </c>
      <c r="I168" s="798">
        <v>20</v>
      </c>
      <c r="J168" s="798">
        <v>2</v>
      </c>
      <c r="K168" s="798">
        <v>5</v>
      </c>
      <c r="L168" s="798">
        <v>8</v>
      </c>
      <c r="M168" s="798">
        <v>2</v>
      </c>
      <c r="N168" s="798">
        <v>4</v>
      </c>
      <c r="O168" s="798">
        <v>16</v>
      </c>
      <c r="P168" s="798">
        <v>0</v>
      </c>
      <c r="Q168" s="798">
        <v>1</v>
      </c>
      <c r="R168" s="802">
        <f>VLOOKUP($E168,[2]tropical!$A$4:$AF$46,[2]tropical!AD$1,FALSE)</f>
        <v>0</v>
      </c>
      <c r="S168" s="802">
        <f>VLOOKUP($E168,[2]tropical!$A$4:$AF$46,[2]tropical!AE$1,FALSE)</f>
        <v>0</v>
      </c>
      <c r="T168" s="802">
        <f>VLOOKUP($E168,[2]tropical!$A$4:$AF$46,[2]tropical!AF$1,FALSE)</f>
        <v>0</v>
      </c>
      <c r="U168" s="798">
        <f t="shared" si="2"/>
        <v>77</v>
      </c>
    </row>
    <row r="169" spans="1:21">
      <c r="A169" s="788">
        <v>8166</v>
      </c>
      <c r="B169" s="788" t="s">
        <v>1343</v>
      </c>
      <c r="C169" s="788">
        <v>843</v>
      </c>
      <c r="D169" s="788" t="s">
        <v>84</v>
      </c>
      <c r="E169" s="790" t="s">
        <v>2603</v>
      </c>
      <c r="F169" s="790" t="s">
        <v>2617</v>
      </c>
      <c r="G169" s="798">
        <v>0</v>
      </c>
      <c r="H169" s="798">
        <v>5</v>
      </c>
      <c r="I169" s="798">
        <v>1</v>
      </c>
      <c r="J169" s="798">
        <v>1</v>
      </c>
      <c r="K169" s="798">
        <v>0</v>
      </c>
      <c r="L169" s="798">
        <v>0</v>
      </c>
      <c r="M169" s="798">
        <v>0</v>
      </c>
      <c r="N169" s="798">
        <v>0</v>
      </c>
      <c r="O169" s="798">
        <v>10</v>
      </c>
      <c r="P169" s="798">
        <v>0</v>
      </c>
      <c r="Q169" s="798">
        <v>0</v>
      </c>
      <c r="R169" s="802">
        <f>VLOOKUP($E169,[2]tropical!$A$4:$AF$46,[2]tropical!AD$1,FALSE)</f>
        <v>0</v>
      </c>
      <c r="S169" s="802">
        <f>VLOOKUP($E169,[2]tropical!$A$4:$AF$46,[2]tropical!AE$1,FALSE)</f>
        <v>0</v>
      </c>
      <c r="T169" s="802">
        <f>VLOOKUP($E169,[2]tropical!$A$4:$AF$46,[2]tropical!AF$1,FALSE)</f>
        <v>0</v>
      </c>
      <c r="U169" s="798">
        <f t="shared" si="2"/>
        <v>17</v>
      </c>
    </row>
    <row r="170" spans="1:21">
      <c r="A170" s="788">
        <v>8167</v>
      </c>
      <c r="B170" s="788" t="s">
        <v>1349</v>
      </c>
      <c r="C170" s="788">
        <v>123</v>
      </c>
      <c r="D170" s="788" t="s">
        <v>89</v>
      </c>
      <c r="E170" s="790" t="s">
        <v>867</v>
      </c>
      <c r="F170" s="790" t="s">
        <v>2616</v>
      </c>
      <c r="G170" s="798">
        <v>0</v>
      </c>
      <c r="H170" s="798">
        <v>3</v>
      </c>
      <c r="I170" s="798">
        <v>9</v>
      </c>
      <c r="J170" s="798">
        <v>4</v>
      </c>
      <c r="K170" s="798">
        <v>7</v>
      </c>
      <c r="L170" s="798">
        <v>7</v>
      </c>
      <c r="M170" s="798">
        <v>4</v>
      </c>
      <c r="N170" s="798">
        <v>0</v>
      </c>
      <c r="O170" s="798">
        <v>7</v>
      </c>
      <c r="P170" s="798">
        <v>1</v>
      </c>
      <c r="Q170" s="798">
        <v>0</v>
      </c>
      <c r="R170" s="802">
        <f>VLOOKUP($E170,[2]tropical!$A$4:$AF$46,[2]tropical!AD$1,FALSE)</f>
        <v>0</v>
      </c>
      <c r="S170" s="802">
        <f>VLOOKUP($E170,[2]tropical!$A$4:$AF$46,[2]tropical!AE$1,FALSE)</f>
        <v>0</v>
      </c>
      <c r="T170" s="802">
        <f>VLOOKUP($E170,[2]tropical!$A$4:$AF$46,[2]tropical!AF$1,FALSE)</f>
        <v>0</v>
      </c>
      <c r="U170" s="798">
        <f t="shared" si="2"/>
        <v>42</v>
      </c>
    </row>
    <row r="171" spans="1:21">
      <c r="A171" s="788">
        <v>8168</v>
      </c>
      <c r="B171" s="788" t="s">
        <v>1352</v>
      </c>
      <c r="C171" s="788">
        <v>584</v>
      </c>
      <c r="D171" s="788" t="s">
        <v>791</v>
      </c>
      <c r="E171" s="790" t="s">
        <v>2612</v>
      </c>
      <c r="F171" s="790" t="s">
        <v>2615</v>
      </c>
      <c r="G171" s="798">
        <v>1</v>
      </c>
      <c r="H171" s="798">
        <v>2</v>
      </c>
      <c r="I171" s="798">
        <v>1</v>
      </c>
      <c r="J171" s="798">
        <v>2</v>
      </c>
      <c r="K171" s="798">
        <v>0</v>
      </c>
      <c r="L171" s="798">
        <v>0</v>
      </c>
      <c r="M171" s="798">
        <v>1</v>
      </c>
      <c r="N171" s="798">
        <v>0</v>
      </c>
      <c r="O171" s="798">
        <v>0</v>
      </c>
      <c r="P171" s="798">
        <v>0</v>
      </c>
      <c r="Q171" s="798">
        <v>1</v>
      </c>
      <c r="R171" s="802">
        <f>VLOOKUP($E171,[2]tropical!$A$4:$AF$46,[2]tropical!AD$1,FALSE)</f>
        <v>0</v>
      </c>
      <c r="S171" s="802">
        <f>VLOOKUP($E171,[2]tropical!$A$4:$AF$46,[2]tropical!AE$1,FALSE)</f>
        <v>0</v>
      </c>
      <c r="T171" s="802">
        <f>VLOOKUP($E171,[2]tropical!$A$4:$AF$46,[2]tropical!AF$1,FALSE)</f>
        <v>0</v>
      </c>
      <c r="U171" s="798">
        <f t="shared" si="2"/>
        <v>8</v>
      </c>
    </row>
    <row r="172" spans="1:21">
      <c r="A172" s="788">
        <v>8169</v>
      </c>
      <c r="B172" s="791" t="s">
        <v>2614</v>
      </c>
      <c r="C172" s="788">
        <v>8</v>
      </c>
      <c r="D172" s="788" t="s">
        <v>90</v>
      </c>
      <c r="E172" s="790" t="s">
        <v>357</v>
      </c>
      <c r="F172" s="790" t="s">
        <v>2615</v>
      </c>
      <c r="G172" s="798">
        <v>0</v>
      </c>
      <c r="H172" s="798">
        <v>1</v>
      </c>
      <c r="I172" s="798">
        <v>0</v>
      </c>
      <c r="J172" s="798">
        <v>0</v>
      </c>
      <c r="K172" s="798">
        <v>0</v>
      </c>
      <c r="L172" s="798">
        <v>0</v>
      </c>
      <c r="M172" s="798">
        <v>1</v>
      </c>
      <c r="N172" s="798">
        <v>0</v>
      </c>
      <c r="O172" s="798">
        <v>0</v>
      </c>
      <c r="P172" s="798">
        <v>0</v>
      </c>
      <c r="Q172" s="798">
        <v>0</v>
      </c>
      <c r="R172" s="802">
        <f>VLOOKUP($E172,[2]tropical!$A$4:$AF$46,[2]tropical!AD$1,FALSE)</f>
        <v>0</v>
      </c>
      <c r="S172" s="802">
        <f>VLOOKUP($E172,[2]tropical!$A$4:$AF$46,[2]tropical!AE$1,FALSE)</f>
        <v>0</v>
      </c>
      <c r="T172" s="802">
        <f>VLOOKUP($E172,[2]tropical!$A$4:$AF$46,[2]tropical!AF$1,FALSE)</f>
        <v>0</v>
      </c>
      <c r="U172" s="798">
        <f t="shared" si="2"/>
        <v>2</v>
      </c>
    </row>
    <row r="173" spans="1:21">
      <c r="A173" s="788">
        <v>8170</v>
      </c>
      <c r="B173" s="788" t="s">
        <v>1359</v>
      </c>
      <c r="C173" s="788">
        <v>608</v>
      </c>
      <c r="D173" s="788" t="s">
        <v>81</v>
      </c>
      <c r="E173" s="790" t="s">
        <v>1274</v>
      </c>
      <c r="F173" s="790" t="s">
        <v>2616</v>
      </c>
      <c r="G173" s="798">
        <v>4</v>
      </c>
      <c r="H173" s="798">
        <v>15</v>
      </c>
      <c r="I173" s="798">
        <v>20</v>
      </c>
      <c r="J173" s="798">
        <v>2</v>
      </c>
      <c r="K173" s="798">
        <v>5</v>
      </c>
      <c r="L173" s="798">
        <v>8</v>
      </c>
      <c r="M173" s="798">
        <v>2</v>
      </c>
      <c r="N173" s="798">
        <v>4</v>
      </c>
      <c r="O173" s="798">
        <v>16</v>
      </c>
      <c r="P173" s="798">
        <v>0</v>
      </c>
      <c r="Q173" s="798">
        <v>1</v>
      </c>
      <c r="R173" s="802">
        <f>VLOOKUP($E173,[2]tropical!$A$4:$AF$46,[2]tropical!AD$1,FALSE)</f>
        <v>0</v>
      </c>
      <c r="S173" s="802">
        <f>VLOOKUP($E173,[2]tropical!$A$4:$AF$46,[2]tropical!AE$1,FALSE)</f>
        <v>0</v>
      </c>
      <c r="T173" s="802">
        <f>VLOOKUP($E173,[2]tropical!$A$4:$AF$46,[2]tropical!AF$1,FALSE)</f>
        <v>0</v>
      </c>
      <c r="U173" s="798">
        <f t="shared" si="2"/>
        <v>77</v>
      </c>
    </row>
    <row r="174" spans="1:21">
      <c r="A174" s="788">
        <v>8171</v>
      </c>
      <c r="B174" s="788" t="s">
        <v>1363</v>
      </c>
      <c r="C174" s="788">
        <v>707</v>
      </c>
      <c r="D174" s="788" t="s">
        <v>88</v>
      </c>
      <c r="E174" s="790" t="s">
        <v>1326</v>
      </c>
      <c r="F174" s="790" t="s">
        <v>2617</v>
      </c>
      <c r="G174" s="798">
        <v>0</v>
      </c>
      <c r="H174" s="798">
        <v>0</v>
      </c>
      <c r="I174" s="798">
        <v>2</v>
      </c>
      <c r="J174" s="798">
        <v>1</v>
      </c>
      <c r="K174" s="798">
        <v>0</v>
      </c>
      <c r="L174" s="798">
        <v>0</v>
      </c>
      <c r="M174" s="798">
        <v>0</v>
      </c>
      <c r="N174" s="798">
        <v>0</v>
      </c>
      <c r="O174" s="798">
        <v>7</v>
      </c>
      <c r="P174" s="798">
        <v>0</v>
      </c>
      <c r="Q174" s="798">
        <v>0</v>
      </c>
      <c r="R174" s="802">
        <f>VLOOKUP($E174,[2]tropical!$A$4:$AF$46,[2]tropical!AD$1,FALSE)</f>
        <v>0</v>
      </c>
      <c r="S174" s="802">
        <f>VLOOKUP($E174,[2]tropical!$A$4:$AF$46,[2]tropical!AE$1,FALSE)</f>
        <v>0</v>
      </c>
      <c r="T174" s="802">
        <f>VLOOKUP($E174,[2]tropical!$A$4:$AF$46,[2]tropical!AF$1,FALSE)</f>
        <v>0</v>
      </c>
      <c r="U174" s="798">
        <f t="shared" si="2"/>
        <v>10</v>
      </c>
    </row>
    <row r="175" spans="1:21">
      <c r="A175" s="788">
        <v>8172</v>
      </c>
      <c r="B175" s="788" t="s">
        <v>349</v>
      </c>
      <c r="C175" s="788">
        <v>8</v>
      </c>
      <c r="D175" s="788" t="s">
        <v>86</v>
      </c>
      <c r="E175" s="790" t="s">
        <v>352</v>
      </c>
      <c r="F175" s="790" t="s">
        <v>2615</v>
      </c>
      <c r="G175" s="798">
        <v>0</v>
      </c>
      <c r="H175" s="798">
        <v>1</v>
      </c>
      <c r="I175" s="798">
        <v>0</v>
      </c>
      <c r="J175" s="798">
        <v>0</v>
      </c>
      <c r="K175" s="798">
        <v>0</v>
      </c>
      <c r="L175" s="798">
        <v>1</v>
      </c>
      <c r="M175" s="798">
        <v>0</v>
      </c>
      <c r="N175" s="798">
        <v>0</v>
      </c>
      <c r="O175" s="798">
        <v>0</v>
      </c>
      <c r="P175" s="798">
        <v>0</v>
      </c>
      <c r="Q175" s="798">
        <v>0</v>
      </c>
      <c r="R175" s="802">
        <f>VLOOKUP($E175,[2]tropical!$A$4:$AF$46,[2]tropical!AD$1,FALSE)</f>
        <v>0</v>
      </c>
      <c r="S175" s="802">
        <f>VLOOKUP($E175,[2]tropical!$A$4:$AF$46,[2]tropical!AE$1,FALSE)</f>
        <v>0</v>
      </c>
      <c r="T175" s="802">
        <f>VLOOKUP($E175,[2]tropical!$A$4:$AF$46,[2]tropical!AF$1,FALSE)</f>
        <v>0</v>
      </c>
      <c r="U175" s="798">
        <f t="shared" si="2"/>
        <v>2</v>
      </c>
    </row>
    <row r="176" spans="1:21">
      <c r="A176" s="788">
        <v>8174</v>
      </c>
      <c r="B176" s="788" t="s">
        <v>1365</v>
      </c>
      <c r="C176" s="788">
        <v>239</v>
      </c>
      <c r="D176" s="788" t="s">
        <v>791</v>
      </c>
      <c r="E176" s="790" t="s">
        <v>2607</v>
      </c>
      <c r="F176" s="790" t="s">
        <v>2615</v>
      </c>
      <c r="G176" s="798">
        <v>1</v>
      </c>
      <c r="H176" s="798">
        <v>4</v>
      </c>
      <c r="I176" s="798">
        <v>1</v>
      </c>
      <c r="J176" s="798">
        <v>1</v>
      </c>
      <c r="K176" s="798">
        <v>0</v>
      </c>
      <c r="L176" s="798">
        <v>5</v>
      </c>
      <c r="M176" s="798">
        <v>1</v>
      </c>
      <c r="N176" s="798">
        <v>0</v>
      </c>
      <c r="O176" s="798">
        <v>2</v>
      </c>
      <c r="P176" s="798">
        <v>0</v>
      </c>
      <c r="Q176" s="798">
        <v>0</v>
      </c>
      <c r="R176" s="802">
        <f>VLOOKUP($E176,[2]tropical!$A$4:$AF$46,[2]tropical!AD$1,FALSE)</f>
        <v>0</v>
      </c>
      <c r="S176" s="802">
        <f>VLOOKUP($E176,[2]tropical!$A$4:$AF$46,[2]tropical!AE$1,FALSE)</f>
        <v>0</v>
      </c>
      <c r="T176" s="802">
        <f>VLOOKUP($E176,[2]tropical!$A$4:$AF$46,[2]tropical!AF$1,FALSE)</f>
        <v>0</v>
      </c>
      <c r="U176" s="798">
        <f t="shared" si="2"/>
        <v>15</v>
      </c>
    </row>
    <row r="177" spans="1:21">
      <c r="A177" s="788">
        <v>8175</v>
      </c>
      <c r="B177" s="788" t="s">
        <v>1366</v>
      </c>
      <c r="C177" s="788">
        <v>455</v>
      </c>
      <c r="D177" s="788" t="s">
        <v>84</v>
      </c>
      <c r="E177" s="790" t="s">
        <v>1125</v>
      </c>
      <c r="F177" s="790" t="s">
        <v>2617</v>
      </c>
      <c r="G177" s="798">
        <v>3</v>
      </c>
      <c r="H177" s="798">
        <v>0</v>
      </c>
      <c r="I177" s="798">
        <v>1</v>
      </c>
      <c r="J177" s="798">
        <v>2</v>
      </c>
      <c r="K177" s="798">
        <v>0</v>
      </c>
      <c r="L177" s="798">
        <v>0</v>
      </c>
      <c r="M177" s="798">
        <v>0</v>
      </c>
      <c r="N177" s="798">
        <v>0</v>
      </c>
      <c r="O177" s="798">
        <v>5</v>
      </c>
      <c r="P177" s="798">
        <v>0</v>
      </c>
      <c r="Q177" s="798">
        <v>0</v>
      </c>
      <c r="R177" s="802">
        <f>VLOOKUP($E177,[2]tropical!$A$4:$AF$46,[2]tropical!AD$1,FALSE)</f>
        <v>0</v>
      </c>
      <c r="S177" s="802">
        <f>VLOOKUP($E177,[2]tropical!$A$4:$AF$46,[2]tropical!AE$1,FALSE)</f>
        <v>0</v>
      </c>
      <c r="T177" s="802">
        <f>VLOOKUP($E177,[2]tropical!$A$4:$AF$46,[2]tropical!AF$1,FALSE)</f>
        <v>0</v>
      </c>
      <c r="U177" s="798">
        <f t="shared" si="2"/>
        <v>11</v>
      </c>
    </row>
    <row r="178" spans="1:21">
      <c r="A178" s="788">
        <v>8176</v>
      </c>
      <c r="B178" s="788" t="s">
        <v>1368</v>
      </c>
      <c r="C178" s="788">
        <v>770</v>
      </c>
      <c r="D178" s="788" t="s">
        <v>81</v>
      </c>
      <c r="E178" s="790" t="s">
        <v>1274</v>
      </c>
      <c r="F178" s="790" t="s">
        <v>2616</v>
      </c>
      <c r="G178" s="798">
        <v>4</v>
      </c>
      <c r="H178" s="798">
        <v>15</v>
      </c>
      <c r="I178" s="798">
        <v>20</v>
      </c>
      <c r="J178" s="798">
        <v>2</v>
      </c>
      <c r="K178" s="798">
        <v>5</v>
      </c>
      <c r="L178" s="798">
        <v>8</v>
      </c>
      <c r="M178" s="798">
        <v>2</v>
      </c>
      <c r="N178" s="798">
        <v>4</v>
      </c>
      <c r="O178" s="798">
        <v>16</v>
      </c>
      <c r="P178" s="798">
        <v>0</v>
      </c>
      <c r="Q178" s="798">
        <v>1</v>
      </c>
      <c r="R178" s="802">
        <f>VLOOKUP($E178,[2]tropical!$A$4:$AF$46,[2]tropical!AD$1,FALSE)</f>
        <v>0</v>
      </c>
      <c r="S178" s="802">
        <f>VLOOKUP($E178,[2]tropical!$A$4:$AF$46,[2]tropical!AE$1,FALSE)</f>
        <v>0</v>
      </c>
      <c r="T178" s="802">
        <f>VLOOKUP($E178,[2]tropical!$A$4:$AF$46,[2]tropical!AF$1,FALSE)</f>
        <v>0</v>
      </c>
      <c r="U178" s="798">
        <f t="shared" si="2"/>
        <v>77</v>
      </c>
    </row>
    <row r="179" spans="1:21">
      <c r="A179" s="788">
        <v>8177</v>
      </c>
      <c r="B179" s="788" t="s">
        <v>1372</v>
      </c>
      <c r="C179" s="788">
        <v>885</v>
      </c>
      <c r="D179" s="788" t="s">
        <v>84</v>
      </c>
      <c r="E179" s="790" t="s">
        <v>2603</v>
      </c>
      <c r="F179" s="790" t="s">
        <v>2617</v>
      </c>
      <c r="G179" s="798">
        <v>0</v>
      </c>
      <c r="H179" s="798">
        <v>5</v>
      </c>
      <c r="I179" s="798">
        <v>1</v>
      </c>
      <c r="J179" s="798">
        <v>1</v>
      </c>
      <c r="K179" s="798">
        <v>0</v>
      </c>
      <c r="L179" s="798">
        <v>0</v>
      </c>
      <c r="M179" s="798">
        <v>0</v>
      </c>
      <c r="N179" s="798">
        <v>0</v>
      </c>
      <c r="O179" s="798">
        <v>10</v>
      </c>
      <c r="P179" s="798">
        <v>0</v>
      </c>
      <c r="Q179" s="798">
        <v>0</v>
      </c>
      <c r="R179" s="802">
        <f>VLOOKUP($E179,[2]tropical!$A$4:$AF$46,[2]tropical!AD$1,FALSE)</f>
        <v>0</v>
      </c>
      <c r="S179" s="802">
        <f>VLOOKUP($E179,[2]tropical!$A$4:$AF$46,[2]tropical!AE$1,FALSE)</f>
        <v>0</v>
      </c>
      <c r="T179" s="802">
        <f>VLOOKUP($E179,[2]tropical!$A$4:$AF$46,[2]tropical!AF$1,FALSE)</f>
        <v>0</v>
      </c>
      <c r="U179" s="798">
        <f t="shared" si="2"/>
        <v>17</v>
      </c>
    </row>
    <row r="180" spans="1:21">
      <c r="A180" s="788">
        <v>8178</v>
      </c>
      <c r="B180" s="788" t="s">
        <v>1375</v>
      </c>
      <c r="C180" s="788">
        <v>361</v>
      </c>
      <c r="D180" s="788" t="s">
        <v>82</v>
      </c>
      <c r="E180" s="790" t="s">
        <v>1121</v>
      </c>
      <c r="F180" s="790" t="s">
        <v>2616</v>
      </c>
      <c r="G180" s="798">
        <v>8</v>
      </c>
      <c r="H180" s="798">
        <v>22</v>
      </c>
      <c r="I180" s="798">
        <v>15</v>
      </c>
      <c r="J180" s="798">
        <v>5</v>
      </c>
      <c r="K180" s="798">
        <v>4</v>
      </c>
      <c r="L180" s="798">
        <v>9</v>
      </c>
      <c r="M180" s="798">
        <v>1</v>
      </c>
      <c r="N180" s="798">
        <v>4</v>
      </c>
      <c r="O180" s="798">
        <v>17</v>
      </c>
      <c r="P180" s="798">
        <v>3</v>
      </c>
      <c r="Q180" s="798">
        <v>2</v>
      </c>
      <c r="R180" s="802">
        <f>VLOOKUP($E180,[2]tropical!$A$4:$AF$46,[2]tropical!AD$1,FALSE)</f>
        <v>0</v>
      </c>
      <c r="S180" s="802">
        <f>VLOOKUP($E180,[2]tropical!$A$4:$AF$46,[2]tropical!AE$1,FALSE)</f>
        <v>0</v>
      </c>
      <c r="T180" s="802">
        <f>VLOOKUP($E180,[2]tropical!$A$4:$AF$46,[2]tropical!AF$1,FALSE)</f>
        <v>0</v>
      </c>
      <c r="U180" s="798">
        <f t="shared" si="2"/>
        <v>90</v>
      </c>
    </row>
    <row r="181" spans="1:21">
      <c r="A181" s="788">
        <v>8179</v>
      </c>
      <c r="B181" s="788" t="s">
        <v>1377</v>
      </c>
      <c r="C181" s="788">
        <v>322</v>
      </c>
      <c r="D181" s="788" t="s">
        <v>89</v>
      </c>
      <c r="E181" s="790" t="s">
        <v>1377</v>
      </c>
      <c r="F181" s="790" t="s">
        <v>2616</v>
      </c>
      <c r="G181" s="798">
        <v>4</v>
      </c>
      <c r="H181" s="798">
        <v>2</v>
      </c>
      <c r="I181" s="798">
        <v>8</v>
      </c>
      <c r="J181" s="798">
        <v>2</v>
      </c>
      <c r="K181" s="798">
        <v>0</v>
      </c>
      <c r="L181" s="798">
        <v>4</v>
      </c>
      <c r="M181" s="798">
        <v>1</v>
      </c>
      <c r="N181" s="798">
        <v>2</v>
      </c>
      <c r="O181" s="798">
        <v>3</v>
      </c>
      <c r="P181" s="798">
        <v>0</v>
      </c>
      <c r="Q181" s="798">
        <v>0</v>
      </c>
      <c r="R181" s="802">
        <f>VLOOKUP($E181,[2]tropical!$A$4:$AF$46,[2]tropical!AD$1,FALSE)</f>
        <v>0</v>
      </c>
      <c r="S181" s="802">
        <f>VLOOKUP($E181,[2]tropical!$A$4:$AF$46,[2]tropical!AE$1,FALSE)</f>
        <v>0</v>
      </c>
      <c r="T181" s="802">
        <f>VLOOKUP($E181,[2]tropical!$A$4:$AF$46,[2]tropical!AF$1,FALSE)</f>
        <v>0</v>
      </c>
      <c r="U181" s="798">
        <f t="shared" si="2"/>
        <v>26</v>
      </c>
    </row>
    <row r="182" spans="1:21">
      <c r="A182" s="788">
        <v>8180</v>
      </c>
      <c r="B182" s="788" t="s">
        <v>1383</v>
      </c>
      <c r="C182" s="788">
        <v>79</v>
      </c>
      <c r="D182" s="788" t="s">
        <v>89</v>
      </c>
      <c r="E182" s="790" t="s">
        <v>1605</v>
      </c>
      <c r="F182" s="790" t="s">
        <v>2615</v>
      </c>
      <c r="G182" s="798">
        <v>2</v>
      </c>
      <c r="H182" s="798">
        <v>5</v>
      </c>
      <c r="I182" s="798">
        <v>9</v>
      </c>
      <c r="J182" s="798">
        <v>1</v>
      </c>
      <c r="K182" s="798">
        <v>3</v>
      </c>
      <c r="L182" s="798">
        <v>6</v>
      </c>
      <c r="M182" s="798">
        <v>4</v>
      </c>
      <c r="N182" s="798">
        <v>0</v>
      </c>
      <c r="O182" s="798">
        <v>7</v>
      </c>
      <c r="P182" s="798">
        <v>0</v>
      </c>
      <c r="Q182" s="798">
        <v>0</v>
      </c>
      <c r="R182" s="802">
        <f>VLOOKUP($E182,[2]tropical!$A$4:$AF$46,[2]tropical!AD$1,FALSE)</f>
        <v>0</v>
      </c>
      <c r="S182" s="802">
        <f>VLOOKUP($E182,[2]tropical!$A$4:$AF$46,[2]tropical!AE$1,FALSE)</f>
        <v>0</v>
      </c>
      <c r="T182" s="802">
        <f>VLOOKUP($E182,[2]tropical!$A$4:$AF$46,[2]tropical!AF$1,FALSE)</f>
        <v>0</v>
      </c>
      <c r="U182" s="798">
        <f t="shared" si="2"/>
        <v>37</v>
      </c>
    </row>
    <row r="183" spans="1:21">
      <c r="A183" s="788">
        <v>8181</v>
      </c>
      <c r="B183" s="788" t="s">
        <v>1384</v>
      </c>
      <c r="C183" s="788">
        <v>123</v>
      </c>
      <c r="D183" s="788" t="s">
        <v>24</v>
      </c>
      <c r="E183" s="790" t="s">
        <v>1743</v>
      </c>
      <c r="F183" s="790" t="s">
        <v>2616</v>
      </c>
      <c r="G183" s="798">
        <v>1</v>
      </c>
      <c r="H183" s="798">
        <v>7</v>
      </c>
      <c r="I183" s="798">
        <v>11</v>
      </c>
      <c r="J183" s="798">
        <v>2</v>
      </c>
      <c r="K183" s="798">
        <v>2</v>
      </c>
      <c r="L183" s="798">
        <v>5</v>
      </c>
      <c r="M183" s="798">
        <v>4</v>
      </c>
      <c r="N183" s="798">
        <v>0</v>
      </c>
      <c r="O183" s="798">
        <v>7</v>
      </c>
      <c r="P183" s="798">
        <v>0</v>
      </c>
      <c r="Q183" s="798">
        <v>0</v>
      </c>
      <c r="R183" s="802">
        <f>VLOOKUP($E183,[2]tropical!$A$4:$AF$46,[2]tropical!AD$1,FALSE)</f>
        <v>0</v>
      </c>
      <c r="S183" s="802">
        <f>VLOOKUP($E183,[2]tropical!$A$4:$AF$46,[2]tropical!AE$1,FALSE)</f>
        <v>0</v>
      </c>
      <c r="T183" s="802">
        <f>VLOOKUP($E183,[2]tropical!$A$4:$AF$46,[2]tropical!AF$1,FALSE)</f>
        <v>0</v>
      </c>
      <c r="U183" s="798">
        <f t="shared" si="2"/>
        <v>39</v>
      </c>
    </row>
    <row r="184" spans="1:21">
      <c r="A184" s="788">
        <v>8182</v>
      </c>
      <c r="B184" s="788" t="s">
        <v>1387</v>
      </c>
      <c r="C184" s="788">
        <v>202</v>
      </c>
      <c r="D184" s="788" t="s">
        <v>82</v>
      </c>
      <c r="E184" s="790" t="s">
        <v>2610</v>
      </c>
      <c r="F184" s="790" t="s">
        <v>2616</v>
      </c>
      <c r="G184" s="798">
        <v>7</v>
      </c>
      <c r="H184" s="798">
        <v>19</v>
      </c>
      <c r="I184" s="798">
        <v>23</v>
      </c>
      <c r="J184" s="798">
        <v>3</v>
      </c>
      <c r="K184" s="798">
        <v>10</v>
      </c>
      <c r="L184" s="798">
        <v>20</v>
      </c>
      <c r="M184" s="798">
        <v>9</v>
      </c>
      <c r="N184" s="798">
        <v>5</v>
      </c>
      <c r="O184" s="798">
        <v>25</v>
      </c>
      <c r="P184" s="798">
        <v>12</v>
      </c>
      <c r="Q184" s="798">
        <v>5</v>
      </c>
      <c r="R184" s="802">
        <f>VLOOKUP($E184,[2]tropical!$A$4:$AF$46,[2]tropical!AD$1,FALSE)</f>
        <v>0</v>
      </c>
      <c r="S184" s="802">
        <f>VLOOKUP($E184,[2]tropical!$A$4:$AF$46,[2]tropical!AE$1,FALSE)</f>
        <v>0</v>
      </c>
      <c r="T184" s="802">
        <f>VLOOKUP($E184,[2]tropical!$A$4:$AF$46,[2]tropical!AF$1,FALSE)</f>
        <v>0</v>
      </c>
      <c r="U184" s="798">
        <f t="shared" si="2"/>
        <v>138</v>
      </c>
    </row>
    <row r="185" spans="1:21">
      <c r="A185" s="788">
        <v>8183</v>
      </c>
      <c r="B185" s="788" t="s">
        <v>1390</v>
      </c>
      <c r="C185" s="788">
        <v>443</v>
      </c>
      <c r="D185" s="788" t="s">
        <v>88</v>
      </c>
      <c r="E185" s="790" t="s">
        <v>1127</v>
      </c>
      <c r="F185" s="790" t="s">
        <v>2617</v>
      </c>
      <c r="G185" s="798">
        <v>1</v>
      </c>
      <c r="H185" s="798">
        <v>9</v>
      </c>
      <c r="I185" s="798">
        <v>16</v>
      </c>
      <c r="J185" s="798">
        <v>7</v>
      </c>
      <c r="K185" s="798">
        <v>4</v>
      </c>
      <c r="L185" s="798">
        <v>11</v>
      </c>
      <c r="M185" s="798">
        <v>8</v>
      </c>
      <c r="N185" s="798">
        <v>5</v>
      </c>
      <c r="O185" s="798">
        <v>21</v>
      </c>
      <c r="P185" s="798">
        <v>0</v>
      </c>
      <c r="Q185" s="798">
        <v>1</v>
      </c>
      <c r="R185" s="802">
        <f>VLOOKUP($E185,[2]tropical!$A$4:$AF$46,[2]tropical!AD$1,FALSE)</f>
        <v>0</v>
      </c>
      <c r="S185" s="802">
        <f>VLOOKUP($E185,[2]tropical!$A$4:$AF$46,[2]tropical!AE$1,FALSE)</f>
        <v>0</v>
      </c>
      <c r="T185" s="802">
        <f>VLOOKUP($E185,[2]tropical!$A$4:$AF$46,[2]tropical!AF$1,FALSE)</f>
        <v>0</v>
      </c>
      <c r="U185" s="798">
        <f t="shared" si="2"/>
        <v>83</v>
      </c>
    </row>
    <row r="186" spans="1:21">
      <c r="A186" s="788">
        <v>8184</v>
      </c>
      <c r="B186" s="788" t="s">
        <v>1394</v>
      </c>
      <c r="C186" s="788">
        <v>123</v>
      </c>
      <c r="D186" s="788" t="s">
        <v>89</v>
      </c>
      <c r="E186" s="790" t="s">
        <v>1605</v>
      </c>
      <c r="F186" s="790" t="s">
        <v>2615</v>
      </c>
      <c r="G186" s="798">
        <v>2</v>
      </c>
      <c r="H186" s="798">
        <v>5</v>
      </c>
      <c r="I186" s="798">
        <v>9</v>
      </c>
      <c r="J186" s="798">
        <v>1</v>
      </c>
      <c r="K186" s="798">
        <v>3</v>
      </c>
      <c r="L186" s="798">
        <v>6</v>
      </c>
      <c r="M186" s="798">
        <v>4</v>
      </c>
      <c r="N186" s="798">
        <v>0</v>
      </c>
      <c r="O186" s="798">
        <v>7</v>
      </c>
      <c r="P186" s="798">
        <v>0</v>
      </c>
      <c r="Q186" s="798">
        <v>0</v>
      </c>
      <c r="R186" s="802">
        <f>VLOOKUP($E186,[2]tropical!$A$4:$AF$46,[2]tropical!AD$1,FALSE)</f>
        <v>0</v>
      </c>
      <c r="S186" s="802">
        <f>VLOOKUP($E186,[2]tropical!$A$4:$AF$46,[2]tropical!AE$1,FALSE)</f>
        <v>0</v>
      </c>
      <c r="T186" s="802">
        <f>VLOOKUP($E186,[2]tropical!$A$4:$AF$46,[2]tropical!AF$1,FALSE)</f>
        <v>0</v>
      </c>
      <c r="U186" s="798">
        <f t="shared" si="2"/>
        <v>37</v>
      </c>
    </row>
    <row r="187" spans="1:21">
      <c r="A187" s="788">
        <v>8185</v>
      </c>
      <c r="B187" s="788" t="s">
        <v>1399</v>
      </c>
      <c r="C187" s="788">
        <v>629</v>
      </c>
      <c r="D187" s="788" t="s">
        <v>81</v>
      </c>
      <c r="E187" s="790" t="s">
        <v>1274</v>
      </c>
      <c r="F187" s="790" t="s">
        <v>2616</v>
      </c>
      <c r="G187" s="798">
        <v>4</v>
      </c>
      <c r="H187" s="798">
        <v>15</v>
      </c>
      <c r="I187" s="798">
        <v>20</v>
      </c>
      <c r="J187" s="798">
        <v>2</v>
      </c>
      <c r="K187" s="798">
        <v>5</v>
      </c>
      <c r="L187" s="798">
        <v>8</v>
      </c>
      <c r="M187" s="798">
        <v>2</v>
      </c>
      <c r="N187" s="798">
        <v>4</v>
      </c>
      <c r="O187" s="798">
        <v>16</v>
      </c>
      <c r="P187" s="798">
        <v>0</v>
      </c>
      <c r="Q187" s="798">
        <v>1</v>
      </c>
      <c r="R187" s="802">
        <f>VLOOKUP($E187,[2]tropical!$A$4:$AF$46,[2]tropical!AD$1,FALSE)</f>
        <v>0</v>
      </c>
      <c r="S187" s="802">
        <f>VLOOKUP($E187,[2]tropical!$A$4:$AF$46,[2]tropical!AE$1,FALSE)</f>
        <v>0</v>
      </c>
      <c r="T187" s="802">
        <f>VLOOKUP($E187,[2]tropical!$A$4:$AF$46,[2]tropical!AF$1,FALSE)</f>
        <v>0</v>
      </c>
      <c r="U187" s="798">
        <f t="shared" si="2"/>
        <v>77</v>
      </c>
    </row>
    <row r="188" spans="1:21">
      <c r="A188" s="788">
        <v>8187</v>
      </c>
      <c r="B188" s="788" t="s">
        <v>947</v>
      </c>
      <c r="C188" s="788">
        <v>190</v>
      </c>
      <c r="D188" s="788" t="s">
        <v>89</v>
      </c>
      <c r="E188" s="790" t="s">
        <v>1605</v>
      </c>
      <c r="F188" s="790" t="s">
        <v>2615</v>
      </c>
      <c r="G188" s="798">
        <v>2</v>
      </c>
      <c r="H188" s="798">
        <v>5</v>
      </c>
      <c r="I188" s="798">
        <v>9</v>
      </c>
      <c r="J188" s="798">
        <v>1</v>
      </c>
      <c r="K188" s="798">
        <v>3</v>
      </c>
      <c r="L188" s="798">
        <v>6</v>
      </c>
      <c r="M188" s="798">
        <v>4</v>
      </c>
      <c r="N188" s="798">
        <v>0</v>
      </c>
      <c r="O188" s="798">
        <v>7</v>
      </c>
      <c r="P188" s="798">
        <v>0</v>
      </c>
      <c r="Q188" s="798">
        <v>0</v>
      </c>
      <c r="R188" s="802">
        <f>VLOOKUP($E188,[2]tropical!$A$4:$AF$46,[2]tropical!AD$1,FALSE)</f>
        <v>0</v>
      </c>
      <c r="S188" s="802">
        <f>VLOOKUP($E188,[2]tropical!$A$4:$AF$46,[2]tropical!AE$1,FALSE)</f>
        <v>0</v>
      </c>
      <c r="T188" s="802">
        <f>VLOOKUP($E188,[2]tropical!$A$4:$AF$46,[2]tropical!AF$1,FALSE)</f>
        <v>0</v>
      </c>
      <c r="U188" s="798">
        <f t="shared" si="2"/>
        <v>37</v>
      </c>
    </row>
    <row r="189" spans="1:21">
      <c r="A189" s="788">
        <v>8188</v>
      </c>
      <c r="B189" s="788" t="s">
        <v>1409</v>
      </c>
      <c r="C189" s="788">
        <v>738</v>
      </c>
      <c r="D189" s="788" t="s">
        <v>84</v>
      </c>
      <c r="E189" s="790" t="s">
        <v>1125</v>
      </c>
      <c r="F189" s="790" t="s">
        <v>2617</v>
      </c>
      <c r="G189" s="798">
        <v>3</v>
      </c>
      <c r="H189" s="798">
        <v>0</v>
      </c>
      <c r="I189" s="798">
        <v>1</v>
      </c>
      <c r="J189" s="798">
        <v>2</v>
      </c>
      <c r="K189" s="798">
        <v>0</v>
      </c>
      <c r="L189" s="798">
        <v>0</v>
      </c>
      <c r="M189" s="798">
        <v>0</v>
      </c>
      <c r="N189" s="798">
        <v>0</v>
      </c>
      <c r="O189" s="798">
        <v>5</v>
      </c>
      <c r="P189" s="798">
        <v>0</v>
      </c>
      <c r="Q189" s="798">
        <v>0</v>
      </c>
      <c r="R189" s="802">
        <f>VLOOKUP($E189,[2]tropical!$A$4:$AF$46,[2]tropical!AD$1,FALSE)</f>
        <v>0</v>
      </c>
      <c r="S189" s="802">
        <f>VLOOKUP($E189,[2]tropical!$A$4:$AF$46,[2]tropical!AE$1,FALSE)</f>
        <v>0</v>
      </c>
      <c r="T189" s="802">
        <f>VLOOKUP($E189,[2]tropical!$A$4:$AF$46,[2]tropical!AF$1,FALSE)</f>
        <v>0</v>
      </c>
      <c r="U189" s="798">
        <f t="shared" si="2"/>
        <v>11</v>
      </c>
    </row>
    <row r="190" spans="1:21">
      <c r="A190" s="788">
        <v>8189</v>
      </c>
      <c r="B190" s="788" t="s">
        <v>1411</v>
      </c>
      <c r="C190" s="788">
        <v>588</v>
      </c>
      <c r="D190" s="788" t="s">
        <v>81</v>
      </c>
      <c r="E190" s="790" t="s">
        <v>1274</v>
      </c>
      <c r="F190" s="790" t="s">
        <v>2616</v>
      </c>
      <c r="G190" s="798">
        <v>4</v>
      </c>
      <c r="H190" s="798">
        <v>15</v>
      </c>
      <c r="I190" s="798">
        <v>20</v>
      </c>
      <c r="J190" s="798">
        <v>2</v>
      </c>
      <c r="K190" s="798">
        <v>5</v>
      </c>
      <c r="L190" s="798">
        <v>8</v>
      </c>
      <c r="M190" s="798">
        <v>2</v>
      </c>
      <c r="N190" s="798">
        <v>4</v>
      </c>
      <c r="O190" s="798">
        <v>16</v>
      </c>
      <c r="P190" s="798">
        <v>0</v>
      </c>
      <c r="Q190" s="798">
        <v>1</v>
      </c>
      <c r="R190" s="802">
        <f>VLOOKUP($E190,[2]tropical!$A$4:$AF$46,[2]tropical!AD$1,FALSE)</f>
        <v>0</v>
      </c>
      <c r="S190" s="802">
        <f>VLOOKUP($E190,[2]tropical!$A$4:$AF$46,[2]tropical!AE$1,FALSE)</f>
        <v>0</v>
      </c>
      <c r="T190" s="802">
        <f>VLOOKUP($E190,[2]tropical!$A$4:$AF$46,[2]tropical!AF$1,FALSE)</f>
        <v>0</v>
      </c>
      <c r="U190" s="798">
        <f t="shared" si="2"/>
        <v>77</v>
      </c>
    </row>
    <row r="191" spans="1:21">
      <c r="A191" s="788">
        <v>8190</v>
      </c>
      <c r="B191" s="788" t="s">
        <v>1413</v>
      </c>
      <c r="C191" s="788">
        <v>1215</v>
      </c>
      <c r="D191" s="788" t="s">
        <v>84</v>
      </c>
      <c r="E191" s="790" t="s">
        <v>1105</v>
      </c>
      <c r="F191" s="790" t="s">
        <v>2617</v>
      </c>
      <c r="G191" s="798">
        <v>0</v>
      </c>
      <c r="H191" s="798">
        <v>0</v>
      </c>
      <c r="I191" s="798">
        <v>0</v>
      </c>
      <c r="J191" s="798">
        <v>0</v>
      </c>
      <c r="K191" s="798">
        <v>0</v>
      </c>
      <c r="L191" s="798">
        <v>0</v>
      </c>
      <c r="M191" s="798">
        <v>0</v>
      </c>
      <c r="N191" s="798">
        <v>0</v>
      </c>
      <c r="O191" s="798">
        <v>0</v>
      </c>
      <c r="P191" s="798">
        <v>0</v>
      </c>
      <c r="Q191" s="798">
        <v>0</v>
      </c>
      <c r="R191" s="802">
        <f>VLOOKUP($E191,[2]tropical!$A$4:$AF$46,[2]tropical!AD$1,FALSE)</f>
        <v>0</v>
      </c>
      <c r="S191" s="802">
        <f>VLOOKUP($E191,[2]tropical!$A$4:$AF$46,[2]tropical!AE$1,FALSE)</f>
        <v>0</v>
      </c>
      <c r="T191" s="802">
        <f>VLOOKUP($E191,[2]tropical!$A$4:$AF$46,[2]tropical!AF$1,FALSE)</f>
        <v>0</v>
      </c>
      <c r="U191" s="798">
        <f t="shared" si="2"/>
        <v>0</v>
      </c>
    </row>
    <row r="192" spans="1:21">
      <c r="A192" s="788">
        <v>8191</v>
      </c>
      <c r="B192" s="788" t="s">
        <v>1416</v>
      </c>
      <c r="C192" s="788">
        <v>278</v>
      </c>
      <c r="D192" s="788" t="s">
        <v>82</v>
      </c>
      <c r="E192" s="790" t="s">
        <v>767</v>
      </c>
      <c r="F192" s="790" t="s">
        <v>2616</v>
      </c>
      <c r="G192" s="798">
        <v>0</v>
      </c>
      <c r="H192" s="798">
        <v>0</v>
      </c>
      <c r="I192" s="798">
        <v>27</v>
      </c>
      <c r="J192" s="798">
        <v>10</v>
      </c>
      <c r="K192" s="798">
        <v>13</v>
      </c>
      <c r="L192" s="798">
        <v>30</v>
      </c>
      <c r="M192" s="798">
        <v>11</v>
      </c>
      <c r="N192" s="798">
        <v>11</v>
      </c>
      <c r="O192" s="798">
        <v>26</v>
      </c>
      <c r="P192" s="798">
        <v>12</v>
      </c>
      <c r="Q192" s="798">
        <v>3</v>
      </c>
      <c r="R192" s="802">
        <f>VLOOKUP($E192,[2]tropical!$A$4:$AF$46,[2]tropical!AD$1,FALSE)</f>
        <v>0</v>
      </c>
      <c r="S192" s="802">
        <f>VLOOKUP($E192,[2]tropical!$A$4:$AF$46,[2]tropical!AE$1,FALSE)</f>
        <v>0</v>
      </c>
      <c r="T192" s="802">
        <f>VLOOKUP($E192,[2]tropical!$A$4:$AF$46,[2]tropical!AF$1,FALSE)</f>
        <v>0</v>
      </c>
      <c r="U192" s="798">
        <f t="shared" si="2"/>
        <v>143</v>
      </c>
    </row>
    <row r="193" spans="1:21">
      <c r="A193" s="788">
        <v>8192</v>
      </c>
      <c r="B193" s="788" t="s">
        <v>1418</v>
      </c>
      <c r="C193" s="788">
        <v>336</v>
      </c>
      <c r="D193" s="788" t="s">
        <v>82</v>
      </c>
      <c r="E193" s="790" t="s">
        <v>767</v>
      </c>
      <c r="F193" s="790" t="s">
        <v>2616</v>
      </c>
      <c r="G193" s="798">
        <v>0</v>
      </c>
      <c r="H193" s="798">
        <v>0</v>
      </c>
      <c r="I193" s="798">
        <v>27</v>
      </c>
      <c r="J193" s="798">
        <v>10</v>
      </c>
      <c r="K193" s="798">
        <v>13</v>
      </c>
      <c r="L193" s="798">
        <v>30</v>
      </c>
      <c r="M193" s="798">
        <v>11</v>
      </c>
      <c r="N193" s="798">
        <v>11</v>
      </c>
      <c r="O193" s="798">
        <v>26</v>
      </c>
      <c r="P193" s="798">
        <v>12</v>
      </c>
      <c r="Q193" s="798">
        <v>3</v>
      </c>
      <c r="R193" s="802">
        <f>VLOOKUP($E193,[2]tropical!$A$4:$AF$46,[2]tropical!AD$1,FALSE)</f>
        <v>0</v>
      </c>
      <c r="S193" s="802">
        <f>VLOOKUP($E193,[2]tropical!$A$4:$AF$46,[2]tropical!AE$1,FALSE)</f>
        <v>0</v>
      </c>
      <c r="T193" s="802">
        <f>VLOOKUP($E193,[2]tropical!$A$4:$AF$46,[2]tropical!AF$1,FALSE)</f>
        <v>0</v>
      </c>
      <c r="U193" s="798">
        <f t="shared" si="2"/>
        <v>143</v>
      </c>
    </row>
    <row r="194" spans="1:21">
      <c r="A194" s="788">
        <v>8193</v>
      </c>
      <c r="B194" s="788" t="s">
        <v>1421</v>
      </c>
      <c r="C194" s="788">
        <v>129</v>
      </c>
      <c r="D194" s="788" t="s">
        <v>86</v>
      </c>
      <c r="E194" s="790" t="s">
        <v>864</v>
      </c>
      <c r="F194" s="790" t="s">
        <v>2615</v>
      </c>
      <c r="G194" s="798">
        <v>0</v>
      </c>
      <c r="H194" s="798">
        <v>1</v>
      </c>
      <c r="I194" s="798">
        <v>0</v>
      </c>
      <c r="J194" s="798">
        <v>0</v>
      </c>
      <c r="K194" s="798">
        <v>0</v>
      </c>
      <c r="L194" s="798">
        <v>1</v>
      </c>
      <c r="M194" s="798">
        <v>0</v>
      </c>
      <c r="N194" s="798">
        <v>0</v>
      </c>
      <c r="O194" s="798">
        <v>0</v>
      </c>
      <c r="P194" s="798">
        <v>0</v>
      </c>
      <c r="Q194" s="798">
        <v>0</v>
      </c>
      <c r="R194" s="802">
        <f>VLOOKUP($E194,[2]tropical!$A$4:$AF$46,[2]tropical!AD$1,FALSE)</f>
        <v>0</v>
      </c>
      <c r="S194" s="802">
        <f>VLOOKUP($E194,[2]tropical!$A$4:$AF$46,[2]tropical!AE$1,FALSE)</f>
        <v>0</v>
      </c>
      <c r="T194" s="802">
        <f>VLOOKUP($E194,[2]tropical!$A$4:$AF$46,[2]tropical!AF$1,FALSE)</f>
        <v>0</v>
      </c>
      <c r="U194" s="798">
        <f t="shared" si="2"/>
        <v>2</v>
      </c>
    </row>
    <row r="195" spans="1:21">
      <c r="A195" s="788">
        <v>8194</v>
      </c>
      <c r="B195" s="788" t="s">
        <v>350</v>
      </c>
      <c r="C195" s="788">
        <v>14</v>
      </c>
      <c r="D195" s="788" t="s">
        <v>83</v>
      </c>
      <c r="E195" s="790" t="s">
        <v>2605</v>
      </c>
      <c r="F195" s="790" t="s">
        <v>2615</v>
      </c>
      <c r="G195" s="798">
        <v>5</v>
      </c>
      <c r="H195" s="798">
        <v>7</v>
      </c>
      <c r="I195" s="798">
        <v>11</v>
      </c>
      <c r="J195" s="798">
        <v>0</v>
      </c>
      <c r="K195" s="798">
        <v>0</v>
      </c>
      <c r="L195" s="798">
        <v>6</v>
      </c>
      <c r="M195" s="798">
        <v>2</v>
      </c>
      <c r="N195" s="798">
        <v>0</v>
      </c>
      <c r="O195" s="798">
        <v>1</v>
      </c>
      <c r="P195" s="798">
        <v>1</v>
      </c>
      <c r="Q195" s="798">
        <v>0</v>
      </c>
      <c r="R195" s="802">
        <f>VLOOKUP($E195,[2]tropical!$A$4:$AF$46,[2]tropical!AD$1,FALSE)</f>
        <v>0</v>
      </c>
      <c r="S195" s="802">
        <f>VLOOKUP($E195,[2]tropical!$A$4:$AF$46,[2]tropical!AE$1,FALSE)</f>
        <v>0</v>
      </c>
      <c r="T195" s="802">
        <f>VLOOKUP($E195,[2]tropical!$A$4:$AF$46,[2]tropical!AF$1,FALSE)</f>
        <v>0</v>
      </c>
      <c r="U195" s="798">
        <f t="shared" si="2"/>
        <v>33</v>
      </c>
    </row>
    <row r="196" spans="1:21">
      <c r="A196" s="788">
        <v>8195</v>
      </c>
      <c r="B196" s="788" t="s">
        <v>1424</v>
      </c>
      <c r="C196" s="788">
        <v>816</v>
      </c>
      <c r="D196" s="788" t="s">
        <v>88</v>
      </c>
      <c r="E196" s="790" t="s">
        <v>1326</v>
      </c>
      <c r="F196" s="790" t="s">
        <v>2617</v>
      </c>
      <c r="G196" s="798">
        <v>0</v>
      </c>
      <c r="H196" s="798">
        <v>0</v>
      </c>
      <c r="I196" s="798">
        <v>2</v>
      </c>
      <c r="J196" s="798">
        <v>1</v>
      </c>
      <c r="K196" s="798">
        <v>0</v>
      </c>
      <c r="L196" s="798">
        <v>0</v>
      </c>
      <c r="M196" s="798">
        <v>0</v>
      </c>
      <c r="N196" s="798">
        <v>0</v>
      </c>
      <c r="O196" s="798">
        <v>7</v>
      </c>
      <c r="P196" s="798">
        <v>0</v>
      </c>
      <c r="Q196" s="798">
        <v>0</v>
      </c>
      <c r="R196" s="802">
        <f>VLOOKUP($E196,[2]tropical!$A$4:$AF$46,[2]tropical!AD$1,FALSE)</f>
        <v>0</v>
      </c>
      <c r="S196" s="802">
        <f>VLOOKUP($E196,[2]tropical!$A$4:$AF$46,[2]tropical!AE$1,FALSE)</f>
        <v>0</v>
      </c>
      <c r="T196" s="802">
        <f>VLOOKUP($E196,[2]tropical!$A$4:$AF$46,[2]tropical!AF$1,FALSE)</f>
        <v>0</v>
      </c>
      <c r="U196" s="798">
        <f t="shared" si="2"/>
        <v>10</v>
      </c>
    </row>
    <row r="197" spans="1:21">
      <c r="A197" s="788">
        <v>8196</v>
      </c>
      <c r="B197" s="788" t="s">
        <v>1426</v>
      </c>
      <c r="C197" s="788">
        <v>42</v>
      </c>
      <c r="D197" s="788" t="s">
        <v>90</v>
      </c>
      <c r="E197" s="790" t="s">
        <v>1697</v>
      </c>
      <c r="F197" s="790" t="s">
        <v>2615</v>
      </c>
      <c r="G197" s="798">
        <v>9</v>
      </c>
      <c r="H197" s="798">
        <v>26</v>
      </c>
      <c r="I197" s="798">
        <v>23</v>
      </c>
      <c r="J197" s="798">
        <v>3</v>
      </c>
      <c r="K197" s="798">
        <v>0</v>
      </c>
      <c r="L197" s="798">
        <v>6</v>
      </c>
      <c r="M197" s="798">
        <v>5</v>
      </c>
      <c r="N197" s="798">
        <v>2</v>
      </c>
      <c r="O197" s="798">
        <v>14</v>
      </c>
      <c r="P197" s="798">
        <v>10</v>
      </c>
      <c r="Q197" s="798">
        <v>4</v>
      </c>
      <c r="R197" s="802">
        <f>VLOOKUP($E197,[2]tropical!$A$4:$AF$46,[2]tropical!AD$1,FALSE)</f>
        <v>0</v>
      </c>
      <c r="S197" s="802">
        <f>VLOOKUP($E197,[2]tropical!$A$4:$AF$46,[2]tropical!AE$1,FALSE)</f>
        <v>0</v>
      </c>
      <c r="T197" s="802">
        <f>VLOOKUP($E197,[2]tropical!$A$4:$AF$46,[2]tropical!AF$1,FALSE)</f>
        <v>0</v>
      </c>
      <c r="U197" s="798">
        <f t="shared" ref="U197:U260" si="3">SUM(G197:T197)</f>
        <v>102</v>
      </c>
    </row>
    <row r="198" spans="1:21">
      <c r="A198" s="788">
        <v>8197</v>
      </c>
      <c r="B198" s="788" t="s">
        <v>351</v>
      </c>
      <c r="C198" s="788">
        <v>114</v>
      </c>
      <c r="D198" s="788" t="s">
        <v>86</v>
      </c>
      <c r="E198" s="790" t="s">
        <v>352</v>
      </c>
      <c r="F198" s="790" t="s">
        <v>2615</v>
      </c>
      <c r="G198" s="798">
        <v>0</v>
      </c>
      <c r="H198" s="798">
        <v>1</v>
      </c>
      <c r="I198" s="798">
        <v>0</v>
      </c>
      <c r="J198" s="798">
        <v>0</v>
      </c>
      <c r="K198" s="798">
        <v>0</v>
      </c>
      <c r="L198" s="798">
        <v>1</v>
      </c>
      <c r="M198" s="798">
        <v>0</v>
      </c>
      <c r="N198" s="798">
        <v>0</v>
      </c>
      <c r="O198" s="798">
        <v>0</v>
      </c>
      <c r="P198" s="798">
        <v>0</v>
      </c>
      <c r="Q198" s="798">
        <v>0</v>
      </c>
      <c r="R198" s="802">
        <f>VLOOKUP($E198,[2]tropical!$A$4:$AF$46,[2]tropical!AD$1,FALSE)</f>
        <v>0</v>
      </c>
      <c r="S198" s="802">
        <f>VLOOKUP($E198,[2]tropical!$A$4:$AF$46,[2]tropical!AE$1,FALSE)</f>
        <v>0</v>
      </c>
      <c r="T198" s="802">
        <f>VLOOKUP($E198,[2]tropical!$A$4:$AF$46,[2]tropical!AF$1,FALSE)</f>
        <v>0</v>
      </c>
      <c r="U198" s="798">
        <f t="shared" si="3"/>
        <v>2</v>
      </c>
    </row>
    <row r="199" spans="1:21">
      <c r="A199" s="788">
        <v>8198</v>
      </c>
      <c r="B199" s="788" t="s">
        <v>1429</v>
      </c>
      <c r="C199" s="788">
        <v>258</v>
      </c>
      <c r="D199" s="788" t="s">
        <v>24</v>
      </c>
      <c r="E199" s="790" t="s">
        <v>1743</v>
      </c>
      <c r="F199" s="790" t="s">
        <v>2616</v>
      </c>
      <c r="G199" s="798">
        <v>1</v>
      </c>
      <c r="H199" s="798">
        <v>7</v>
      </c>
      <c r="I199" s="798">
        <v>11</v>
      </c>
      <c r="J199" s="798">
        <v>2</v>
      </c>
      <c r="K199" s="798">
        <v>2</v>
      </c>
      <c r="L199" s="798">
        <v>5</v>
      </c>
      <c r="M199" s="798">
        <v>4</v>
      </c>
      <c r="N199" s="798">
        <v>0</v>
      </c>
      <c r="O199" s="798">
        <v>7</v>
      </c>
      <c r="P199" s="798">
        <v>0</v>
      </c>
      <c r="Q199" s="798">
        <v>0</v>
      </c>
      <c r="R199" s="802">
        <f>VLOOKUP($E199,[2]tropical!$A$4:$AF$46,[2]tropical!AD$1,FALSE)</f>
        <v>0</v>
      </c>
      <c r="S199" s="802">
        <f>VLOOKUP($E199,[2]tropical!$A$4:$AF$46,[2]tropical!AE$1,FALSE)</f>
        <v>0</v>
      </c>
      <c r="T199" s="802">
        <f>VLOOKUP($E199,[2]tropical!$A$4:$AF$46,[2]tropical!AF$1,FALSE)</f>
        <v>0</v>
      </c>
      <c r="U199" s="798">
        <f t="shared" si="3"/>
        <v>39</v>
      </c>
    </row>
    <row r="200" spans="1:21">
      <c r="A200" s="788">
        <v>8199</v>
      </c>
      <c r="B200" s="788" t="s">
        <v>1431</v>
      </c>
      <c r="C200" s="788">
        <v>868</v>
      </c>
      <c r="D200" s="788" t="s">
        <v>88</v>
      </c>
      <c r="E200" s="790" t="s">
        <v>1127</v>
      </c>
      <c r="F200" s="790" t="s">
        <v>2617</v>
      </c>
      <c r="G200" s="798">
        <v>1</v>
      </c>
      <c r="H200" s="798">
        <v>9</v>
      </c>
      <c r="I200" s="798">
        <v>16</v>
      </c>
      <c r="J200" s="798">
        <v>7</v>
      </c>
      <c r="K200" s="798">
        <v>4</v>
      </c>
      <c r="L200" s="798">
        <v>11</v>
      </c>
      <c r="M200" s="798">
        <v>8</v>
      </c>
      <c r="N200" s="798">
        <v>5</v>
      </c>
      <c r="O200" s="798">
        <v>21</v>
      </c>
      <c r="P200" s="798">
        <v>0</v>
      </c>
      <c r="Q200" s="798">
        <v>1</v>
      </c>
      <c r="R200" s="802">
        <f>VLOOKUP($E200,[2]tropical!$A$4:$AF$46,[2]tropical!AD$1,FALSE)</f>
        <v>0</v>
      </c>
      <c r="S200" s="802">
        <f>VLOOKUP($E200,[2]tropical!$A$4:$AF$46,[2]tropical!AE$1,FALSE)</f>
        <v>0</v>
      </c>
      <c r="T200" s="802">
        <f>VLOOKUP($E200,[2]tropical!$A$4:$AF$46,[2]tropical!AF$1,FALSE)</f>
        <v>0</v>
      </c>
      <c r="U200" s="798">
        <f t="shared" si="3"/>
        <v>83</v>
      </c>
    </row>
    <row r="201" spans="1:21">
      <c r="A201" s="788">
        <v>8200</v>
      </c>
      <c r="B201" s="788" t="s">
        <v>1094</v>
      </c>
      <c r="C201" s="788">
        <v>30</v>
      </c>
      <c r="D201" s="788" t="s">
        <v>90</v>
      </c>
      <c r="E201" s="790" t="s">
        <v>357</v>
      </c>
      <c r="F201" s="790" t="s">
        <v>2615</v>
      </c>
      <c r="G201" s="798">
        <v>0</v>
      </c>
      <c r="H201" s="798">
        <v>1</v>
      </c>
      <c r="I201" s="798">
        <v>0</v>
      </c>
      <c r="J201" s="798">
        <v>0</v>
      </c>
      <c r="K201" s="798">
        <v>0</v>
      </c>
      <c r="L201" s="798">
        <v>0</v>
      </c>
      <c r="M201" s="798">
        <v>1</v>
      </c>
      <c r="N201" s="798">
        <v>0</v>
      </c>
      <c r="O201" s="798">
        <v>0</v>
      </c>
      <c r="P201" s="798">
        <v>0</v>
      </c>
      <c r="Q201" s="798">
        <v>0</v>
      </c>
      <c r="R201" s="802">
        <f>VLOOKUP($E201,[2]tropical!$A$4:$AF$46,[2]tropical!AD$1,FALSE)</f>
        <v>0</v>
      </c>
      <c r="S201" s="802">
        <f>VLOOKUP($E201,[2]tropical!$A$4:$AF$46,[2]tropical!AE$1,FALSE)</f>
        <v>0</v>
      </c>
      <c r="T201" s="802">
        <f>VLOOKUP($E201,[2]tropical!$A$4:$AF$46,[2]tropical!AF$1,FALSE)</f>
        <v>0</v>
      </c>
      <c r="U201" s="798">
        <f t="shared" si="3"/>
        <v>2</v>
      </c>
    </row>
    <row r="202" spans="1:21">
      <c r="A202" s="788">
        <v>8201</v>
      </c>
      <c r="B202" s="788" t="s">
        <v>1435</v>
      </c>
      <c r="C202" s="788">
        <v>813</v>
      </c>
      <c r="D202" s="788" t="s">
        <v>88</v>
      </c>
      <c r="E202" s="790" t="s">
        <v>1326</v>
      </c>
      <c r="F202" s="790" t="s">
        <v>2617</v>
      </c>
      <c r="G202" s="798">
        <v>0</v>
      </c>
      <c r="H202" s="798">
        <v>0</v>
      </c>
      <c r="I202" s="798">
        <v>2</v>
      </c>
      <c r="J202" s="798">
        <v>1</v>
      </c>
      <c r="K202" s="798">
        <v>0</v>
      </c>
      <c r="L202" s="798">
        <v>0</v>
      </c>
      <c r="M202" s="798">
        <v>0</v>
      </c>
      <c r="N202" s="798">
        <v>0</v>
      </c>
      <c r="O202" s="798">
        <v>7</v>
      </c>
      <c r="P202" s="798">
        <v>0</v>
      </c>
      <c r="Q202" s="798">
        <v>0</v>
      </c>
      <c r="R202" s="802">
        <f>VLOOKUP($E202,[2]tropical!$A$4:$AF$46,[2]tropical!AD$1,FALSE)</f>
        <v>0</v>
      </c>
      <c r="S202" s="802">
        <f>VLOOKUP($E202,[2]tropical!$A$4:$AF$46,[2]tropical!AE$1,FALSE)</f>
        <v>0</v>
      </c>
      <c r="T202" s="802">
        <f>VLOOKUP($E202,[2]tropical!$A$4:$AF$46,[2]tropical!AF$1,FALSE)</f>
        <v>0</v>
      </c>
      <c r="U202" s="798">
        <f t="shared" si="3"/>
        <v>10</v>
      </c>
    </row>
    <row r="203" spans="1:21">
      <c r="A203" s="788">
        <v>8202</v>
      </c>
      <c r="B203" s="788" t="s">
        <v>1437</v>
      </c>
      <c r="C203" s="788">
        <v>152</v>
      </c>
      <c r="D203" s="788" t="s">
        <v>24</v>
      </c>
      <c r="E203" s="790" t="s">
        <v>1743</v>
      </c>
      <c r="F203" s="790" t="s">
        <v>2616</v>
      </c>
      <c r="G203" s="798">
        <v>1</v>
      </c>
      <c r="H203" s="798">
        <v>7</v>
      </c>
      <c r="I203" s="798">
        <v>11</v>
      </c>
      <c r="J203" s="798">
        <v>2</v>
      </c>
      <c r="K203" s="798">
        <v>2</v>
      </c>
      <c r="L203" s="798">
        <v>5</v>
      </c>
      <c r="M203" s="798">
        <v>4</v>
      </c>
      <c r="N203" s="798">
        <v>0</v>
      </c>
      <c r="O203" s="798">
        <v>7</v>
      </c>
      <c r="P203" s="798">
        <v>0</v>
      </c>
      <c r="Q203" s="798">
        <v>0</v>
      </c>
      <c r="R203" s="802">
        <f>VLOOKUP($E203,[2]tropical!$A$4:$AF$46,[2]tropical!AD$1,FALSE)</f>
        <v>0</v>
      </c>
      <c r="S203" s="802">
        <f>VLOOKUP($E203,[2]tropical!$A$4:$AF$46,[2]tropical!AE$1,FALSE)</f>
        <v>0</v>
      </c>
      <c r="T203" s="802">
        <f>VLOOKUP($E203,[2]tropical!$A$4:$AF$46,[2]tropical!AF$1,FALSE)</f>
        <v>0</v>
      </c>
      <c r="U203" s="798">
        <f t="shared" si="3"/>
        <v>39</v>
      </c>
    </row>
    <row r="204" spans="1:21">
      <c r="A204" s="788">
        <v>8203</v>
      </c>
      <c r="B204" s="788" t="s">
        <v>1443</v>
      </c>
      <c r="C204" s="788">
        <v>71</v>
      </c>
      <c r="D204" s="788" t="s">
        <v>86</v>
      </c>
      <c r="E204" s="790" t="s">
        <v>864</v>
      </c>
      <c r="F204" s="790" t="s">
        <v>2615</v>
      </c>
      <c r="G204" s="798">
        <v>0</v>
      </c>
      <c r="H204" s="798">
        <v>1</v>
      </c>
      <c r="I204" s="798">
        <v>0</v>
      </c>
      <c r="J204" s="798">
        <v>0</v>
      </c>
      <c r="K204" s="798">
        <v>0</v>
      </c>
      <c r="L204" s="798">
        <v>1</v>
      </c>
      <c r="M204" s="798">
        <v>0</v>
      </c>
      <c r="N204" s="798">
        <v>0</v>
      </c>
      <c r="O204" s="798">
        <v>0</v>
      </c>
      <c r="P204" s="798">
        <v>0</v>
      </c>
      <c r="Q204" s="798">
        <v>0</v>
      </c>
      <c r="R204" s="802">
        <f>VLOOKUP($E204,[2]tropical!$A$4:$AF$46,[2]tropical!AD$1,FALSE)</f>
        <v>0</v>
      </c>
      <c r="S204" s="802">
        <f>VLOOKUP($E204,[2]tropical!$A$4:$AF$46,[2]tropical!AE$1,FALSE)</f>
        <v>0</v>
      </c>
      <c r="T204" s="802">
        <f>VLOOKUP($E204,[2]tropical!$A$4:$AF$46,[2]tropical!AF$1,FALSE)</f>
        <v>0</v>
      </c>
      <c r="U204" s="798">
        <f t="shared" si="3"/>
        <v>2</v>
      </c>
    </row>
    <row r="205" spans="1:21">
      <c r="A205" s="788">
        <v>8204</v>
      </c>
      <c r="B205" s="788" t="s">
        <v>1446</v>
      </c>
      <c r="C205" s="788">
        <v>87</v>
      </c>
      <c r="D205" s="788" t="s">
        <v>90</v>
      </c>
      <c r="E205" s="790" t="s">
        <v>357</v>
      </c>
      <c r="F205" s="790" t="s">
        <v>2615</v>
      </c>
      <c r="G205" s="798">
        <v>0</v>
      </c>
      <c r="H205" s="798">
        <v>1</v>
      </c>
      <c r="I205" s="798">
        <v>0</v>
      </c>
      <c r="J205" s="798">
        <v>0</v>
      </c>
      <c r="K205" s="798">
        <v>0</v>
      </c>
      <c r="L205" s="798">
        <v>0</v>
      </c>
      <c r="M205" s="798">
        <v>1</v>
      </c>
      <c r="N205" s="798">
        <v>0</v>
      </c>
      <c r="O205" s="798">
        <v>0</v>
      </c>
      <c r="P205" s="798">
        <v>0</v>
      </c>
      <c r="Q205" s="798">
        <v>0</v>
      </c>
      <c r="R205" s="802">
        <f>VLOOKUP($E205,[2]tropical!$A$4:$AF$46,[2]tropical!AD$1,FALSE)</f>
        <v>0</v>
      </c>
      <c r="S205" s="802">
        <f>VLOOKUP($E205,[2]tropical!$A$4:$AF$46,[2]tropical!AE$1,FALSE)</f>
        <v>0</v>
      </c>
      <c r="T205" s="802">
        <f>VLOOKUP($E205,[2]tropical!$A$4:$AF$46,[2]tropical!AF$1,FALSE)</f>
        <v>0</v>
      </c>
      <c r="U205" s="798">
        <f t="shared" si="3"/>
        <v>2</v>
      </c>
    </row>
    <row r="206" spans="1:21">
      <c r="A206" s="788">
        <v>8205</v>
      </c>
      <c r="B206" s="788" t="s">
        <v>1450</v>
      </c>
      <c r="C206" s="788">
        <v>124</v>
      </c>
      <c r="D206" s="788" t="s">
        <v>89</v>
      </c>
      <c r="E206" s="790" t="s">
        <v>1605</v>
      </c>
      <c r="F206" s="790" t="s">
        <v>2615</v>
      </c>
      <c r="G206" s="798">
        <v>2</v>
      </c>
      <c r="H206" s="798">
        <v>5</v>
      </c>
      <c r="I206" s="798">
        <v>9</v>
      </c>
      <c r="J206" s="798">
        <v>1</v>
      </c>
      <c r="K206" s="798">
        <v>3</v>
      </c>
      <c r="L206" s="798">
        <v>6</v>
      </c>
      <c r="M206" s="798">
        <v>4</v>
      </c>
      <c r="N206" s="798">
        <v>0</v>
      </c>
      <c r="O206" s="798">
        <v>7</v>
      </c>
      <c r="P206" s="798">
        <v>0</v>
      </c>
      <c r="Q206" s="798">
        <v>0</v>
      </c>
      <c r="R206" s="802">
        <f>VLOOKUP($E206,[2]tropical!$A$4:$AF$46,[2]tropical!AD$1,FALSE)</f>
        <v>0</v>
      </c>
      <c r="S206" s="802">
        <f>VLOOKUP($E206,[2]tropical!$A$4:$AF$46,[2]tropical!AE$1,FALSE)</f>
        <v>0</v>
      </c>
      <c r="T206" s="802">
        <f>VLOOKUP($E206,[2]tropical!$A$4:$AF$46,[2]tropical!AF$1,FALSE)</f>
        <v>0</v>
      </c>
      <c r="U206" s="798">
        <f t="shared" si="3"/>
        <v>37</v>
      </c>
    </row>
    <row r="207" spans="1:21">
      <c r="A207" s="788">
        <v>8206</v>
      </c>
      <c r="B207" s="788" t="s">
        <v>1457</v>
      </c>
      <c r="C207" s="788">
        <v>266</v>
      </c>
      <c r="D207" s="788" t="s">
        <v>791</v>
      </c>
      <c r="E207" s="790" t="s">
        <v>2607</v>
      </c>
      <c r="F207" s="790" t="s">
        <v>2615</v>
      </c>
      <c r="G207" s="798">
        <v>1</v>
      </c>
      <c r="H207" s="798">
        <v>4</v>
      </c>
      <c r="I207" s="798">
        <v>1</v>
      </c>
      <c r="J207" s="798">
        <v>1</v>
      </c>
      <c r="K207" s="798">
        <v>0</v>
      </c>
      <c r="L207" s="798">
        <v>5</v>
      </c>
      <c r="M207" s="798">
        <v>1</v>
      </c>
      <c r="N207" s="798">
        <v>0</v>
      </c>
      <c r="O207" s="798">
        <v>2</v>
      </c>
      <c r="P207" s="798">
        <v>0</v>
      </c>
      <c r="Q207" s="798">
        <v>0</v>
      </c>
      <c r="R207" s="802">
        <f>VLOOKUP($E207,[2]tropical!$A$4:$AF$46,[2]tropical!AD$1,FALSE)</f>
        <v>0</v>
      </c>
      <c r="S207" s="802">
        <f>VLOOKUP($E207,[2]tropical!$A$4:$AF$46,[2]tropical!AE$1,FALSE)</f>
        <v>0</v>
      </c>
      <c r="T207" s="802">
        <f>VLOOKUP($E207,[2]tropical!$A$4:$AF$46,[2]tropical!AF$1,FALSE)</f>
        <v>0</v>
      </c>
      <c r="U207" s="798">
        <f t="shared" si="3"/>
        <v>15</v>
      </c>
    </row>
    <row r="208" spans="1:21">
      <c r="A208" s="788">
        <v>8207</v>
      </c>
      <c r="B208" s="788" t="s">
        <v>1458</v>
      </c>
      <c r="C208" s="788">
        <v>231</v>
      </c>
      <c r="D208" s="788" t="s">
        <v>24</v>
      </c>
      <c r="E208" s="790" t="s">
        <v>1743</v>
      </c>
      <c r="F208" s="790" t="s">
        <v>2616</v>
      </c>
      <c r="G208" s="798">
        <v>1</v>
      </c>
      <c r="H208" s="798">
        <v>7</v>
      </c>
      <c r="I208" s="798">
        <v>11</v>
      </c>
      <c r="J208" s="798">
        <v>2</v>
      </c>
      <c r="K208" s="798">
        <v>2</v>
      </c>
      <c r="L208" s="798">
        <v>5</v>
      </c>
      <c r="M208" s="798">
        <v>4</v>
      </c>
      <c r="N208" s="798">
        <v>0</v>
      </c>
      <c r="O208" s="798">
        <v>7</v>
      </c>
      <c r="P208" s="798">
        <v>0</v>
      </c>
      <c r="Q208" s="798">
        <v>0</v>
      </c>
      <c r="R208" s="802">
        <f>VLOOKUP($E208,[2]tropical!$A$4:$AF$46,[2]tropical!AD$1,FALSE)</f>
        <v>0</v>
      </c>
      <c r="S208" s="802">
        <f>VLOOKUP($E208,[2]tropical!$A$4:$AF$46,[2]tropical!AE$1,FALSE)</f>
        <v>0</v>
      </c>
      <c r="T208" s="802">
        <f>VLOOKUP($E208,[2]tropical!$A$4:$AF$46,[2]tropical!AF$1,FALSE)</f>
        <v>0</v>
      </c>
      <c r="U208" s="798">
        <f t="shared" si="3"/>
        <v>39</v>
      </c>
    </row>
    <row r="209" spans="1:21">
      <c r="A209" s="788">
        <v>8208</v>
      </c>
      <c r="B209" s="788" t="s">
        <v>1463</v>
      </c>
      <c r="C209" s="788">
        <v>183</v>
      </c>
      <c r="D209" s="788" t="s">
        <v>90</v>
      </c>
      <c r="E209" s="790" t="s">
        <v>1697</v>
      </c>
      <c r="F209" s="790" t="s">
        <v>2615</v>
      </c>
      <c r="G209" s="798">
        <v>9</v>
      </c>
      <c r="H209" s="798">
        <v>26</v>
      </c>
      <c r="I209" s="798">
        <v>23</v>
      </c>
      <c r="J209" s="798">
        <v>3</v>
      </c>
      <c r="K209" s="798">
        <v>0</v>
      </c>
      <c r="L209" s="798">
        <v>6</v>
      </c>
      <c r="M209" s="798">
        <v>5</v>
      </c>
      <c r="N209" s="798">
        <v>2</v>
      </c>
      <c r="O209" s="798">
        <v>14</v>
      </c>
      <c r="P209" s="798">
        <v>10</v>
      </c>
      <c r="Q209" s="798">
        <v>4</v>
      </c>
      <c r="R209" s="802">
        <f>VLOOKUP($E209,[2]tropical!$A$4:$AF$46,[2]tropical!AD$1,FALSE)</f>
        <v>0</v>
      </c>
      <c r="S209" s="802">
        <f>VLOOKUP($E209,[2]tropical!$A$4:$AF$46,[2]tropical!AE$1,FALSE)</f>
        <v>0</v>
      </c>
      <c r="T209" s="802">
        <f>VLOOKUP($E209,[2]tropical!$A$4:$AF$46,[2]tropical!AF$1,FALSE)</f>
        <v>0</v>
      </c>
      <c r="U209" s="798">
        <f t="shared" si="3"/>
        <v>102</v>
      </c>
    </row>
    <row r="210" spans="1:21">
      <c r="A210" s="788">
        <v>8209</v>
      </c>
      <c r="B210" s="788" t="s">
        <v>1464</v>
      </c>
      <c r="C210" s="788">
        <v>112</v>
      </c>
      <c r="D210" s="788" t="s">
        <v>24</v>
      </c>
      <c r="E210" s="790" t="s">
        <v>1743</v>
      </c>
      <c r="F210" s="790" t="s">
        <v>2616</v>
      </c>
      <c r="G210" s="798">
        <v>1</v>
      </c>
      <c r="H210" s="798">
        <v>7</v>
      </c>
      <c r="I210" s="798">
        <v>11</v>
      </c>
      <c r="J210" s="798">
        <v>2</v>
      </c>
      <c r="K210" s="798">
        <v>2</v>
      </c>
      <c r="L210" s="798">
        <v>5</v>
      </c>
      <c r="M210" s="798">
        <v>4</v>
      </c>
      <c r="N210" s="798">
        <v>0</v>
      </c>
      <c r="O210" s="798">
        <v>7</v>
      </c>
      <c r="P210" s="798">
        <v>0</v>
      </c>
      <c r="Q210" s="798">
        <v>0</v>
      </c>
      <c r="R210" s="802">
        <f>VLOOKUP($E210,[2]tropical!$A$4:$AF$46,[2]tropical!AD$1,FALSE)</f>
        <v>0</v>
      </c>
      <c r="S210" s="802">
        <f>VLOOKUP($E210,[2]tropical!$A$4:$AF$46,[2]tropical!AE$1,FALSE)</f>
        <v>0</v>
      </c>
      <c r="T210" s="802">
        <f>VLOOKUP($E210,[2]tropical!$A$4:$AF$46,[2]tropical!AF$1,FALSE)</f>
        <v>0</v>
      </c>
      <c r="U210" s="798">
        <f t="shared" si="3"/>
        <v>39</v>
      </c>
    </row>
    <row r="211" spans="1:21">
      <c r="A211" s="788">
        <v>8210</v>
      </c>
      <c r="B211" s="788" t="s">
        <v>1466</v>
      </c>
      <c r="C211" s="788">
        <v>480</v>
      </c>
      <c r="D211" s="788" t="s">
        <v>24</v>
      </c>
      <c r="E211" s="790" t="s">
        <v>867</v>
      </c>
      <c r="F211" s="790" t="s">
        <v>2616</v>
      </c>
      <c r="G211" s="798">
        <v>0</v>
      </c>
      <c r="H211" s="798">
        <v>3</v>
      </c>
      <c r="I211" s="798">
        <v>9</v>
      </c>
      <c r="J211" s="798">
        <v>4</v>
      </c>
      <c r="K211" s="798">
        <v>7</v>
      </c>
      <c r="L211" s="798">
        <v>7</v>
      </c>
      <c r="M211" s="798">
        <v>4</v>
      </c>
      <c r="N211" s="798">
        <v>0</v>
      </c>
      <c r="O211" s="798">
        <v>7</v>
      </c>
      <c r="P211" s="798">
        <v>1</v>
      </c>
      <c r="Q211" s="798">
        <v>0</v>
      </c>
      <c r="R211" s="802">
        <f>VLOOKUP($E211,[2]tropical!$A$4:$AF$46,[2]tropical!AD$1,FALSE)</f>
        <v>0</v>
      </c>
      <c r="S211" s="802">
        <f>VLOOKUP($E211,[2]tropical!$A$4:$AF$46,[2]tropical!AE$1,FALSE)</f>
        <v>0</v>
      </c>
      <c r="T211" s="802">
        <f>VLOOKUP($E211,[2]tropical!$A$4:$AF$46,[2]tropical!AF$1,FALSE)</f>
        <v>0</v>
      </c>
      <c r="U211" s="798">
        <f t="shared" si="3"/>
        <v>42</v>
      </c>
    </row>
    <row r="212" spans="1:21">
      <c r="A212" s="788">
        <v>8211</v>
      </c>
      <c r="B212" s="792" t="s">
        <v>1028</v>
      </c>
      <c r="C212" s="788">
        <v>25</v>
      </c>
      <c r="D212" s="788" t="s">
        <v>90</v>
      </c>
      <c r="E212" s="790" t="s">
        <v>357</v>
      </c>
      <c r="F212" s="790" t="s">
        <v>2615</v>
      </c>
      <c r="G212" s="798">
        <v>0</v>
      </c>
      <c r="H212" s="798">
        <v>1</v>
      </c>
      <c r="I212" s="798">
        <v>0</v>
      </c>
      <c r="J212" s="798">
        <v>0</v>
      </c>
      <c r="K212" s="798">
        <v>0</v>
      </c>
      <c r="L212" s="798">
        <v>0</v>
      </c>
      <c r="M212" s="798">
        <v>1</v>
      </c>
      <c r="N212" s="798">
        <v>0</v>
      </c>
      <c r="O212" s="798">
        <v>0</v>
      </c>
      <c r="P212" s="798">
        <v>0</v>
      </c>
      <c r="Q212" s="798">
        <v>0</v>
      </c>
      <c r="R212" s="802">
        <f>VLOOKUP($E212,[2]tropical!$A$4:$AF$46,[2]tropical!AD$1,FALSE)</f>
        <v>0</v>
      </c>
      <c r="S212" s="802">
        <f>VLOOKUP($E212,[2]tropical!$A$4:$AF$46,[2]tropical!AE$1,FALSE)</f>
        <v>0</v>
      </c>
      <c r="T212" s="802">
        <f>VLOOKUP($E212,[2]tropical!$A$4:$AF$46,[2]tropical!AF$1,FALSE)</f>
        <v>0</v>
      </c>
      <c r="U212" s="798">
        <f t="shared" si="3"/>
        <v>2</v>
      </c>
    </row>
    <row r="213" spans="1:21">
      <c r="A213" s="788">
        <v>8212</v>
      </c>
      <c r="B213" s="788" t="s">
        <v>1470</v>
      </c>
      <c r="C213" s="788">
        <v>617</v>
      </c>
      <c r="D213" s="788" t="s">
        <v>82</v>
      </c>
      <c r="E213" s="790" t="s">
        <v>1004</v>
      </c>
      <c r="F213" s="790" t="s">
        <v>2616</v>
      </c>
      <c r="G213" s="798">
        <v>5</v>
      </c>
      <c r="H213" s="798">
        <v>8</v>
      </c>
      <c r="I213" s="798">
        <v>9</v>
      </c>
      <c r="J213" s="798">
        <v>2</v>
      </c>
      <c r="K213" s="798">
        <v>2</v>
      </c>
      <c r="L213" s="798">
        <v>12</v>
      </c>
      <c r="M213" s="798">
        <v>6</v>
      </c>
      <c r="N213" s="798">
        <v>5</v>
      </c>
      <c r="O213" s="798">
        <v>18</v>
      </c>
      <c r="P213" s="798">
        <v>1</v>
      </c>
      <c r="Q213" s="798">
        <v>2</v>
      </c>
      <c r="R213" s="802">
        <f>VLOOKUP($E213,[2]tropical!$A$4:$AF$46,[2]tropical!AD$1,FALSE)</f>
        <v>0</v>
      </c>
      <c r="S213" s="802">
        <f>VLOOKUP($E213,[2]tropical!$A$4:$AF$46,[2]tropical!AE$1,FALSE)</f>
        <v>0</v>
      </c>
      <c r="T213" s="802">
        <f>VLOOKUP($E213,[2]tropical!$A$4:$AF$46,[2]tropical!AF$1,FALSE)</f>
        <v>0</v>
      </c>
      <c r="U213" s="798">
        <f t="shared" si="3"/>
        <v>70</v>
      </c>
    </row>
    <row r="214" spans="1:21">
      <c r="A214" s="788">
        <v>8213</v>
      </c>
      <c r="B214" s="792" t="s">
        <v>1473</v>
      </c>
      <c r="C214" s="788">
        <v>247</v>
      </c>
      <c r="D214" s="788" t="s">
        <v>82</v>
      </c>
      <c r="E214" s="790" t="s">
        <v>767</v>
      </c>
      <c r="F214" s="790" t="s">
        <v>2616</v>
      </c>
      <c r="G214" s="798">
        <v>0</v>
      </c>
      <c r="H214" s="798">
        <v>0</v>
      </c>
      <c r="I214" s="798">
        <v>27</v>
      </c>
      <c r="J214" s="798">
        <v>10</v>
      </c>
      <c r="K214" s="798">
        <v>13</v>
      </c>
      <c r="L214" s="798">
        <v>30</v>
      </c>
      <c r="M214" s="798">
        <v>11</v>
      </c>
      <c r="N214" s="798">
        <v>11</v>
      </c>
      <c r="O214" s="798">
        <v>26</v>
      </c>
      <c r="P214" s="798">
        <v>12</v>
      </c>
      <c r="Q214" s="798">
        <v>3</v>
      </c>
      <c r="R214" s="802">
        <f>VLOOKUP($E214,[2]tropical!$A$4:$AF$46,[2]tropical!AD$1,FALSE)</f>
        <v>0</v>
      </c>
      <c r="S214" s="802">
        <f>VLOOKUP($E214,[2]tropical!$A$4:$AF$46,[2]tropical!AE$1,FALSE)</f>
        <v>0</v>
      </c>
      <c r="T214" s="802">
        <f>VLOOKUP($E214,[2]tropical!$A$4:$AF$46,[2]tropical!AF$1,FALSE)</f>
        <v>0</v>
      </c>
      <c r="U214" s="798">
        <f t="shared" si="3"/>
        <v>143</v>
      </c>
    </row>
    <row r="215" spans="1:21">
      <c r="A215" s="788">
        <v>8214</v>
      </c>
      <c r="B215" s="788" t="s">
        <v>1474</v>
      </c>
      <c r="C215" s="788">
        <v>142</v>
      </c>
      <c r="D215" s="788" t="s">
        <v>86</v>
      </c>
      <c r="E215" s="790" t="s">
        <v>352</v>
      </c>
      <c r="F215" s="790" t="s">
        <v>2615</v>
      </c>
      <c r="G215" s="798">
        <v>0</v>
      </c>
      <c r="H215" s="798">
        <v>1</v>
      </c>
      <c r="I215" s="798">
        <v>0</v>
      </c>
      <c r="J215" s="798">
        <v>0</v>
      </c>
      <c r="K215" s="798">
        <v>0</v>
      </c>
      <c r="L215" s="798">
        <v>1</v>
      </c>
      <c r="M215" s="798">
        <v>0</v>
      </c>
      <c r="N215" s="798">
        <v>0</v>
      </c>
      <c r="O215" s="798">
        <v>0</v>
      </c>
      <c r="P215" s="798">
        <v>0</v>
      </c>
      <c r="Q215" s="798">
        <v>0</v>
      </c>
      <c r="R215" s="802">
        <f>VLOOKUP($E215,[2]tropical!$A$4:$AF$46,[2]tropical!AD$1,FALSE)</f>
        <v>0</v>
      </c>
      <c r="S215" s="802">
        <f>VLOOKUP($E215,[2]tropical!$A$4:$AF$46,[2]tropical!AE$1,FALSE)</f>
        <v>0</v>
      </c>
      <c r="T215" s="802">
        <f>VLOOKUP($E215,[2]tropical!$A$4:$AF$46,[2]tropical!AF$1,FALSE)</f>
        <v>0</v>
      </c>
      <c r="U215" s="798">
        <f t="shared" si="3"/>
        <v>2</v>
      </c>
    </row>
    <row r="216" spans="1:21">
      <c r="A216" s="788">
        <v>8215</v>
      </c>
      <c r="B216" s="788" t="s">
        <v>1477</v>
      </c>
      <c r="C216" s="788">
        <v>536</v>
      </c>
      <c r="D216" s="788" t="s">
        <v>88</v>
      </c>
      <c r="E216" s="790" t="s">
        <v>1127</v>
      </c>
      <c r="F216" s="790" t="s">
        <v>2617</v>
      </c>
      <c r="G216" s="798">
        <v>1</v>
      </c>
      <c r="H216" s="798">
        <v>9</v>
      </c>
      <c r="I216" s="798">
        <v>16</v>
      </c>
      <c r="J216" s="798">
        <v>7</v>
      </c>
      <c r="K216" s="798">
        <v>4</v>
      </c>
      <c r="L216" s="798">
        <v>11</v>
      </c>
      <c r="M216" s="798">
        <v>8</v>
      </c>
      <c r="N216" s="798">
        <v>5</v>
      </c>
      <c r="O216" s="798">
        <v>21</v>
      </c>
      <c r="P216" s="798">
        <v>0</v>
      </c>
      <c r="Q216" s="798">
        <v>1</v>
      </c>
      <c r="R216" s="802">
        <f>VLOOKUP($E216,[2]tropical!$A$4:$AF$46,[2]tropical!AD$1,FALSE)</f>
        <v>0</v>
      </c>
      <c r="S216" s="802">
        <f>VLOOKUP($E216,[2]tropical!$A$4:$AF$46,[2]tropical!AE$1,FALSE)</f>
        <v>0</v>
      </c>
      <c r="T216" s="802">
        <f>VLOOKUP($E216,[2]tropical!$A$4:$AF$46,[2]tropical!AF$1,FALSE)</f>
        <v>0</v>
      </c>
      <c r="U216" s="798">
        <f t="shared" si="3"/>
        <v>83</v>
      </c>
    </row>
    <row r="217" spans="1:21">
      <c r="A217" s="788">
        <v>8216</v>
      </c>
      <c r="B217" s="788" t="s">
        <v>1479</v>
      </c>
      <c r="C217" s="788">
        <v>1072</v>
      </c>
      <c r="D217" s="788" t="s">
        <v>84</v>
      </c>
      <c r="E217" s="790" t="s">
        <v>1105</v>
      </c>
      <c r="F217" s="790" t="s">
        <v>2617</v>
      </c>
      <c r="G217" s="798">
        <v>0</v>
      </c>
      <c r="H217" s="798">
        <v>0</v>
      </c>
      <c r="I217" s="798">
        <v>0</v>
      </c>
      <c r="J217" s="798">
        <v>0</v>
      </c>
      <c r="K217" s="798">
        <v>0</v>
      </c>
      <c r="L217" s="798">
        <v>0</v>
      </c>
      <c r="M217" s="798">
        <v>0</v>
      </c>
      <c r="N217" s="798">
        <v>0</v>
      </c>
      <c r="O217" s="798">
        <v>0</v>
      </c>
      <c r="P217" s="798">
        <v>0</v>
      </c>
      <c r="Q217" s="798">
        <v>0</v>
      </c>
      <c r="R217" s="802">
        <f>VLOOKUP($E217,[2]tropical!$A$4:$AF$46,[2]tropical!AD$1,FALSE)</f>
        <v>0</v>
      </c>
      <c r="S217" s="802">
        <f>VLOOKUP($E217,[2]tropical!$A$4:$AF$46,[2]tropical!AE$1,FALSE)</f>
        <v>0</v>
      </c>
      <c r="T217" s="802">
        <f>VLOOKUP($E217,[2]tropical!$A$4:$AF$46,[2]tropical!AF$1,FALSE)</f>
        <v>0</v>
      </c>
      <c r="U217" s="798">
        <f t="shared" si="3"/>
        <v>0</v>
      </c>
    </row>
    <row r="218" spans="1:21">
      <c r="A218" s="788">
        <v>8217</v>
      </c>
      <c r="B218" s="793" t="s">
        <v>1481</v>
      </c>
      <c r="C218" s="788">
        <v>10</v>
      </c>
      <c r="D218" s="788" t="s">
        <v>90</v>
      </c>
      <c r="E218" s="790" t="s">
        <v>357</v>
      </c>
      <c r="F218" s="790" t="s">
        <v>2615</v>
      </c>
      <c r="G218" s="798">
        <v>0</v>
      </c>
      <c r="H218" s="798">
        <v>1</v>
      </c>
      <c r="I218" s="798">
        <v>0</v>
      </c>
      <c r="J218" s="798">
        <v>0</v>
      </c>
      <c r="K218" s="798">
        <v>0</v>
      </c>
      <c r="L218" s="798">
        <v>0</v>
      </c>
      <c r="M218" s="798">
        <v>1</v>
      </c>
      <c r="N218" s="798">
        <v>0</v>
      </c>
      <c r="O218" s="798">
        <v>0</v>
      </c>
      <c r="P218" s="798">
        <v>0</v>
      </c>
      <c r="Q218" s="798">
        <v>0</v>
      </c>
      <c r="R218" s="802">
        <f>VLOOKUP($E218,[2]tropical!$A$4:$AF$46,[2]tropical!AD$1,FALSE)</f>
        <v>0</v>
      </c>
      <c r="S218" s="802">
        <f>VLOOKUP($E218,[2]tropical!$A$4:$AF$46,[2]tropical!AE$1,FALSE)</f>
        <v>0</v>
      </c>
      <c r="T218" s="802">
        <f>VLOOKUP($E218,[2]tropical!$A$4:$AF$46,[2]tropical!AF$1,FALSE)</f>
        <v>0</v>
      </c>
      <c r="U218" s="798">
        <f t="shared" si="3"/>
        <v>2</v>
      </c>
    </row>
    <row r="219" spans="1:21">
      <c r="A219" s="788">
        <v>8218</v>
      </c>
      <c r="B219" s="788" t="s">
        <v>1482</v>
      </c>
      <c r="C219" s="788">
        <v>277</v>
      </c>
      <c r="D219" s="788" t="s">
        <v>82</v>
      </c>
      <c r="E219" s="790" t="s">
        <v>2610</v>
      </c>
      <c r="F219" s="790" t="s">
        <v>2616</v>
      </c>
      <c r="G219" s="798">
        <v>7</v>
      </c>
      <c r="H219" s="798">
        <v>19</v>
      </c>
      <c r="I219" s="798">
        <v>23</v>
      </c>
      <c r="J219" s="798">
        <v>3</v>
      </c>
      <c r="K219" s="798">
        <v>10</v>
      </c>
      <c r="L219" s="798">
        <v>20</v>
      </c>
      <c r="M219" s="798">
        <v>9</v>
      </c>
      <c r="N219" s="798">
        <v>5</v>
      </c>
      <c r="O219" s="798">
        <v>25</v>
      </c>
      <c r="P219" s="798">
        <v>12</v>
      </c>
      <c r="Q219" s="798">
        <v>5</v>
      </c>
      <c r="R219" s="802">
        <f>VLOOKUP($E219,[2]tropical!$A$4:$AF$46,[2]tropical!AD$1,FALSE)</f>
        <v>0</v>
      </c>
      <c r="S219" s="802">
        <f>VLOOKUP($E219,[2]tropical!$A$4:$AF$46,[2]tropical!AE$1,FALSE)</f>
        <v>0</v>
      </c>
      <c r="T219" s="802">
        <f>VLOOKUP($E219,[2]tropical!$A$4:$AF$46,[2]tropical!AF$1,FALSE)</f>
        <v>0</v>
      </c>
      <c r="U219" s="798">
        <f t="shared" si="3"/>
        <v>138</v>
      </c>
    </row>
    <row r="220" spans="1:21">
      <c r="A220" s="788">
        <v>8219</v>
      </c>
      <c r="B220" s="788" t="s">
        <v>352</v>
      </c>
      <c r="C220" s="788">
        <v>10</v>
      </c>
      <c r="D220" s="788" t="s">
        <v>86</v>
      </c>
      <c r="E220" s="790" t="s">
        <v>352</v>
      </c>
      <c r="F220" s="790" t="s">
        <v>2615</v>
      </c>
      <c r="G220" s="798">
        <v>0</v>
      </c>
      <c r="H220" s="798">
        <v>1</v>
      </c>
      <c r="I220" s="798">
        <v>0</v>
      </c>
      <c r="J220" s="798">
        <v>0</v>
      </c>
      <c r="K220" s="798">
        <v>0</v>
      </c>
      <c r="L220" s="798">
        <v>1</v>
      </c>
      <c r="M220" s="798">
        <v>0</v>
      </c>
      <c r="N220" s="798">
        <v>0</v>
      </c>
      <c r="O220" s="798">
        <v>0</v>
      </c>
      <c r="P220" s="798">
        <v>0</v>
      </c>
      <c r="Q220" s="798">
        <v>0</v>
      </c>
      <c r="R220" s="802">
        <f>VLOOKUP($E220,[2]tropical!$A$4:$AF$46,[2]tropical!AD$1,FALSE)</f>
        <v>0</v>
      </c>
      <c r="S220" s="802">
        <f>VLOOKUP($E220,[2]tropical!$A$4:$AF$46,[2]tropical!AE$1,FALSE)</f>
        <v>0</v>
      </c>
      <c r="T220" s="802">
        <f>VLOOKUP($E220,[2]tropical!$A$4:$AF$46,[2]tropical!AF$1,FALSE)</f>
        <v>0</v>
      </c>
      <c r="U220" s="798">
        <f t="shared" si="3"/>
        <v>2</v>
      </c>
    </row>
    <row r="221" spans="1:21">
      <c r="A221" s="788">
        <v>8220</v>
      </c>
      <c r="B221" s="788" t="s">
        <v>1485</v>
      </c>
      <c r="C221" s="788">
        <v>600</v>
      </c>
      <c r="D221" s="788" t="s">
        <v>88</v>
      </c>
      <c r="E221" s="790" t="s">
        <v>1127</v>
      </c>
      <c r="F221" s="790" t="s">
        <v>2617</v>
      </c>
      <c r="G221" s="798">
        <v>1</v>
      </c>
      <c r="H221" s="798">
        <v>9</v>
      </c>
      <c r="I221" s="798">
        <v>16</v>
      </c>
      <c r="J221" s="798">
        <v>7</v>
      </c>
      <c r="K221" s="798">
        <v>4</v>
      </c>
      <c r="L221" s="798">
        <v>11</v>
      </c>
      <c r="M221" s="798">
        <v>8</v>
      </c>
      <c r="N221" s="798">
        <v>5</v>
      </c>
      <c r="O221" s="798">
        <v>21</v>
      </c>
      <c r="P221" s="798">
        <v>0</v>
      </c>
      <c r="Q221" s="798">
        <v>1</v>
      </c>
      <c r="R221" s="802">
        <f>VLOOKUP($E221,[2]tropical!$A$4:$AF$46,[2]tropical!AD$1,FALSE)</f>
        <v>0</v>
      </c>
      <c r="S221" s="802">
        <f>VLOOKUP($E221,[2]tropical!$A$4:$AF$46,[2]tropical!AE$1,FALSE)</f>
        <v>0</v>
      </c>
      <c r="T221" s="802">
        <f>VLOOKUP($E221,[2]tropical!$A$4:$AF$46,[2]tropical!AF$1,FALSE)</f>
        <v>0</v>
      </c>
      <c r="U221" s="798">
        <f t="shared" si="3"/>
        <v>83</v>
      </c>
    </row>
    <row r="222" spans="1:21">
      <c r="A222" s="788">
        <v>8221</v>
      </c>
      <c r="B222" s="788" t="s">
        <v>1489</v>
      </c>
      <c r="C222" s="788">
        <v>122</v>
      </c>
      <c r="D222" s="788" t="s">
        <v>90</v>
      </c>
      <c r="E222" s="790" t="s">
        <v>357</v>
      </c>
      <c r="F222" s="790" t="s">
        <v>2615</v>
      </c>
      <c r="G222" s="798">
        <v>0</v>
      </c>
      <c r="H222" s="798">
        <v>1</v>
      </c>
      <c r="I222" s="798">
        <v>0</v>
      </c>
      <c r="J222" s="798">
        <v>0</v>
      </c>
      <c r="K222" s="798">
        <v>0</v>
      </c>
      <c r="L222" s="798">
        <v>0</v>
      </c>
      <c r="M222" s="798">
        <v>1</v>
      </c>
      <c r="N222" s="798">
        <v>0</v>
      </c>
      <c r="O222" s="798">
        <v>0</v>
      </c>
      <c r="P222" s="798">
        <v>0</v>
      </c>
      <c r="Q222" s="798">
        <v>0</v>
      </c>
      <c r="R222" s="802">
        <f>VLOOKUP($E222,[2]tropical!$A$4:$AF$46,[2]tropical!AD$1,FALSE)</f>
        <v>0</v>
      </c>
      <c r="S222" s="802">
        <f>VLOOKUP($E222,[2]tropical!$A$4:$AF$46,[2]tropical!AE$1,FALSE)</f>
        <v>0</v>
      </c>
      <c r="T222" s="802">
        <f>VLOOKUP($E222,[2]tropical!$A$4:$AF$46,[2]tropical!AF$1,FALSE)</f>
        <v>0</v>
      </c>
      <c r="U222" s="798">
        <f t="shared" si="3"/>
        <v>2</v>
      </c>
    </row>
    <row r="223" spans="1:21">
      <c r="A223" s="788">
        <v>8222</v>
      </c>
      <c r="B223" s="788" t="s">
        <v>1490</v>
      </c>
      <c r="C223" s="788">
        <v>196</v>
      </c>
      <c r="D223" s="788" t="s">
        <v>791</v>
      </c>
      <c r="E223" s="790" t="s">
        <v>1544</v>
      </c>
      <c r="F223" s="790" t="s">
        <v>2616</v>
      </c>
      <c r="G223" s="798">
        <v>0</v>
      </c>
      <c r="H223" s="798">
        <v>0</v>
      </c>
      <c r="I223" s="798">
        <v>4</v>
      </c>
      <c r="J223" s="798">
        <v>2</v>
      </c>
      <c r="K223" s="798">
        <v>0</v>
      </c>
      <c r="L223" s="798">
        <v>9</v>
      </c>
      <c r="M223" s="798">
        <v>4</v>
      </c>
      <c r="N223" s="798">
        <v>4</v>
      </c>
      <c r="O223" s="798">
        <v>9</v>
      </c>
      <c r="P223" s="798">
        <v>4</v>
      </c>
      <c r="Q223" s="798">
        <v>1</v>
      </c>
      <c r="R223" s="802">
        <f>VLOOKUP($E223,[2]tropical!$A$4:$AF$46,[2]tropical!AD$1,FALSE)</f>
        <v>0</v>
      </c>
      <c r="S223" s="802">
        <f>VLOOKUP($E223,[2]tropical!$A$4:$AF$46,[2]tropical!AE$1,FALSE)</f>
        <v>0</v>
      </c>
      <c r="T223" s="802">
        <f>VLOOKUP($E223,[2]tropical!$A$4:$AF$46,[2]tropical!AF$1,FALSE)</f>
        <v>0</v>
      </c>
      <c r="U223" s="798">
        <f t="shared" si="3"/>
        <v>37</v>
      </c>
    </row>
    <row r="224" spans="1:21">
      <c r="A224" s="788">
        <v>8223</v>
      </c>
      <c r="B224" s="788" t="s">
        <v>1494</v>
      </c>
      <c r="C224" s="788">
        <v>466</v>
      </c>
      <c r="D224" s="788" t="s">
        <v>89</v>
      </c>
      <c r="E224" s="790" t="s">
        <v>1494</v>
      </c>
      <c r="F224" s="790" t="s">
        <v>2616</v>
      </c>
      <c r="G224" s="798">
        <v>2</v>
      </c>
      <c r="H224" s="798">
        <v>2</v>
      </c>
      <c r="I224" s="798">
        <v>13</v>
      </c>
      <c r="J224" s="798">
        <v>2</v>
      </c>
      <c r="K224" s="798">
        <v>2</v>
      </c>
      <c r="L224" s="798">
        <v>4</v>
      </c>
      <c r="M224" s="798">
        <v>0</v>
      </c>
      <c r="N224" s="798">
        <v>0</v>
      </c>
      <c r="O224" s="798">
        <v>5</v>
      </c>
      <c r="P224" s="798">
        <v>0</v>
      </c>
      <c r="Q224" s="798">
        <v>0</v>
      </c>
      <c r="R224" s="802">
        <f>VLOOKUP($E224,[2]tropical!$A$4:$AF$46,[2]tropical!AD$1,FALSE)</f>
        <v>0</v>
      </c>
      <c r="S224" s="802">
        <f>VLOOKUP($E224,[2]tropical!$A$4:$AF$46,[2]tropical!AE$1,FALSE)</f>
        <v>0</v>
      </c>
      <c r="T224" s="802">
        <f>VLOOKUP($E224,[2]tropical!$A$4:$AF$46,[2]tropical!AF$1,FALSE)</f>
        <v>0</v>
      </c>
      <c r="U224" s="798">
        <f t="shared" si="3"/>
        <v>30</v>
      </c>
    </row>
    <row r="225" spans="1:21">
      <c r="A225" s="788">
        <v>8224</v>
      </c>
      <c r="B225" s="788" t="s">
        <v>1496</v>
      </c>
      <c r="C225" s="788">
        <v>404</v>
      </c>
      <c r="D225" s="788" t="s">
        <v>88</v>
      </c>
      <c r="E225" s="790" t="s">
        <v>1127</v>
      </c>
      <c r="F225" s="790" t="s">
        <v>2617</v>
      </c>
      <c r="G225" s="798">
        <v>1</v>
      </c>
      <c r="H225" s="798">
        <v>9</v>
      </c>
      <c r="I225" s="798">
        <v>16</v>
      </c>
      <c r="J225" s="798">
        <v>7</v>
      </c>
      <c r="K225" s="798">
        <v>4</v>
      </c>
      <c r="L225" s="798">
        <v>11</v>
      </c>
      <c r="M225" s="798">
        <v>8</v>
      </c>
      <c r="N225" s="798">
        <v>5</v>
      </c>
      <c r="O225" s="798">
        <v>21</v>
      </c>
      <c r="P225" s="798">
        <v>0</v>
      </c>
      <c r="Q225" s="798">
        <v>1</v>
      </c>
      <c r="R225" s="802">
        <f>VLOOKUP($E225,[2]tropical!$A$4:$AF$46,[2]tropical!AD$1,FALSE)</f>
        <v>0</v>
      </c>
      <c r="S225" s="802">
        <f>VLOOKUP($E225,[2]tropical!$A$4:$AF$46,[2]tropical!AE$1,FALSE)</f>
        <v>0</v>
      </c>
      <c r="T225" s="802">
        <f>VLOOKUP($E225,[2]tropical!$A$4:$AF$46,[2]tropical!AF$1,FALSE)</f>
        <v>0</v>
      </c>
      <c r="U225" s="798">
        <f t="shared" si="3"/>
        <v>83</v>
      </c>
    </row>
    <row r="226" spans="1:21">
      <c r="A226" s="788">
        <v>8225</v>
      </c>
      <c r="B226" s="788" t="s">
        <v>1499</v>
      </c>
      <c r="C226" s="788">
        <v>629</v>
      </c>
      <c r="D226" s="788" t="s">
        <v>88</v>
      </c>
      <c r="E226" s="790" t="s">
        <v>1326</v>
      </c>
      <c r="F226" s="790" t="s">
        <v>2617</v>
      </c>
      <c r="G226" s="798">
        <v>0</v>
      </c>
      <c r="H226" s="798">
        <v>0</v>
      </c>
      <c r="I226" s="798">
        <v>2</v>
      </c>
      <c r="J226" s="798">
        <v>1</v>
      </c>
      <c r="K226" s="798">
        <v>0</v>
      </c>
      <c r="L226" s="798">
        <v>0</v>
      </c>
      <c r="M226" s="798">
        <v>0</v>
      </c>
      <c r="N226" s="798">
        <v>0</v>
      </c>
      <c r="O226" s="798">
        <v>7</v>
      </c>
      <c r="P226" s="798">
        <v>0</v>
      </c>
      <c r="Q226" s="798">
        <v>0</v>
      </c>
      <c r="R226" s="802">
        <f>VLOOKUP($E226,[2]tropical!$A$4:$AF$46,[2]tropical!AD$1,FALSE)</f>
        <v>0</v>
      </c>
      <c r="S226" s="802">
        <f>VLOOKUP($E226,[2]tropical!$A$4:$AF$46,[2]tropical!AE$1,FALSE)</f>
        <v>0</v>
      </c>
      <c r="T226" s="802">
        <f>VLOOKUP($E226,[2]tropical!$A$4:$AF$46,[2]tropical!AF$1,FALSE)</f>
        <v>0</v>
      </c>
      <c r="U226" s="798">
        <f t="shared" si="3"/>
        <v>10</v>
      </c>
    </row>
    <row r="227" spans="1:21">
      <c r="A227" s="788">
        <v>8226</v>
      </c>
      <c r="B227" s="788" t="s">
        <v>1501</v>
      </c>
      <c r="C227" s="788">
        <v>465</v>
      </c>
      <c r="D227" s="788" t="s">
        <v>81</v>
      </c>
      <c r="E227" s="790" t="s">
        <v>1274</v>
      </c>
      <c r="F227" s="790" t="s">
        <v>2616</v>
      </c>
      <c r="G227" s="798">
        <v>4</v>
      </c>
      <c r="H227" s="798">
        <v>15</v>
      </c>
      <c r="I227" s="798">
        <v>20</v>
      </c>
      <c r="J227" s="798">
        <v>2</v>
      </c>
      <c r="K227" s="798">
        <v>5</v>
      </c>
      <c r="L227" s="798">
        <v>8</v>
      </c>
      <c r="M227" s="798">
        <v>2</v>
      </c>
      <c r="N227" s="798">
        <v>4</v>
      </c>
      <c r="O227" s="798">
        <v>16</v>
      </c>
      <c r="P227" s="798">
        <v>0</v>
      </c>
      <c r="Q227" s="798">
        <v>1</v>
      </c>
      <c r="R227" s="802">
        <f>VLOOKUP($E227,[2]tropical!$A$4:$AF$46,[2]tropical!AD$1,FALSE)</f>
        <v>0</v>
      </c>
      <c r="S227" s="802">
        <f>VLOOKUP($E227,[2]tropical!$A$4:$AF$46,[2]tropical!AE$1,FALSE)</f>
        <v>0</v>
      </c>
      <c r="T227" s="802">
        <f>VLOOKUP($E227,[2]tropical!$A$4:$AF$46,[2]tropical!AF$1,FALSE)</f>
        <v>0</v>
      </c>
      <c r="U227" s="798">
        <f t="shared" si="3"/>
        <v>77</v>
      </c>
    </row>
    <row r="228" spans="1:21">
      <c r="A228" s="788">
        <v>8227</v>
      </c>
      <c r="B228" s="788" t="s">
        <v>1506</v>
      </c>
      <c r="C228" s="788">
        <v>291</v>
      </c>
      <c r="D228" s="788" t="s">
        <v>791</v>
      </c>
      <c r="E228" s="790" t="s">
        <v>1506</v>
      </c>
      <c r="F228" s="790" t="s">
        <v>2616</v>
      </c>
      <c r="G228" s="798">
        <v>2</v>
      </c>
      <c r="H228" s="798">
        <v>5</v>
      </c>
      <c r="I228" s="798">
        <v>10</v>
      </c>
      <c r="J228" s="798">
        <v>1</v>
      </c>
      <c r="K228" s="798">
        <v>0</v>
      </c>
      <c r="L228" s="798">
        <v>5</v>
      </c>
      <c r="M228" s="798">
        <v>1</v>
      </c>
      <c r="N228" s="798">
        <v>0</v>
      </c>
      <c r="O228" s="798">
        <v>1</v>
      </c>
      <c r="P228" s="798">
        <v>0</v>
      </c>
      <c r="Q228" s="798">
        <v>0</v>
      </c>
      <c r="R228" s="802">
        <f>VLOOKUP($E228,[2]tropical!$A$4:$AF$46,[2]tropical!AD$1,FALSE)</f>
        <v>0</v>
      </c>
      <c r="S228" s="802">
        <f>VLOOKUP($E228,[2]tropical!$A$4:$AF$46,[2]tropical!AE$1,FALSE)</f>
        <v>0</v>
      </c>
      <c r="T228" s="802">
        <f>VLOOKUP($E228,[2]tropical!$A$4:$AF$46,[2]tropical!AF$1,FALSE)</f>
        <v>0</v>
      </c>
      <c r="U228" s="798">
        <f t="shared" si="3"/>
        <v>25</v>
      </c>
    </row>
    <row r="229" spans="1:21">
      <c r="A229" s="788">
        <v>8228</v>
      </c>
      <c r="B229" s="788" t="s">
        <v>1510</v>
      </c>
      <c r="C229" s="788">
        <v>646</v>
      </c>
      <c r="D229" s="788" t="s">
        <v>81</v>
      </c>
      <c r="E229" s="790" t="s">
        <v>1274</v>
      </c>
      <c r="F229" s="790" t="s">
        <v>2616</v>
      </c>
      <c r="G229" s="798">
        <v>4</v>
      </c>
      <c r="H229" s="798">
        <v>15</v>
      </c>
      <c r="I229" s="798">
        <v>20</v>
      </c>
      <c r="J229" s="798">
        <v>2</v>
      </c>
      <c r="K229" s="798">
        <v>5</v>
      </c>
      <c r="L229" s="798">
        <v>8</v>
      </c>
      <c r="M229" s="798">
        <v>2</v>
      </c>
      <c r="N229" s="798">
        <v>4</v>
      </c>
      <c r="O229" s="798">
        <v>16</v>
      </c>
      <c r="P229" s="798">
        <v>0</v>
      </c>
      <c r="Q229" s="798">
        <v>1</v>
      </c>
      <c r="R229" s="802">
        <f>VLOOKUP($E229,[2]tropical!$A$4:$AF$46,[2]tropical!AD$1,FALSE)</f>
        <v>0</v>
      </c>
      <c r="S229" s="802">
        <f>VLOOKUP($E229,[2]tropical!$A$4:$AF$46,[2]tropical!AE$1,FALSE)</f>
        <v>0</v>
      </c>
      <c r="T229" s="802">
        <f>VLOOKUP($E229,[2]tropical!$A$4:$AF$46,[2]tropical!AF$1,FALSE)</f>
        <v>0</v>
      </c>
      <c r="U229" s="798">
        <f t="shared" si="3"/>
        <v>77</v>
      </c>
    </row>
    <row r="230" spans="1:21">
      <c r="A230" s="788">
        <v>8229</v>
      </c>
      <c r="B230" s="788" t="s">
        <v>1511</v>
      </c>
      <c r="C230" s="788">
        <v>569</v>
      </c>
      <c r="D230" s="788" t="s">
        <v>82</v>
      </c>
      <c r="E230" s="790" t="s">
        <v>1004</v>
      </c>
      <c r="F230" s="790" t="s">
        <v>2616</v>
      </c>
      <c r="G230" s="798">
        <v>5</v>
      </c>
      <c r="H230" s="798">
        <v>8</v>
      </c>
      <c r="I230" s="798">
        <v>9</v>
      </c>
      <c r="J230" s="798">
        <v>2</v>
      </c>
      <c r="K230" s="798">
        <v>2</v>
      </c>
      <c r="L230" s="798">
        <v>12</v>
      </c>
      <c r="M230" s="798">
        <v>6</v>
      </c>
      <c r="N230" s="798">
        <v>5</v>
      </c>
      <c r="O230" s="798">
        <v>18</v>
      </c>
      <c r="P230" s="798">
        <v>1</v>
      </c>
      <c r="Q230" s="798">
        <v>2</v>
      </c>
      <c r="R230" s="802">
        <f>VLOOKUP($E230,[2]tropical!$A$4:$AF$46,[2]tropical!AD$1,FALSE)</f>
        <v>0</v>
      </c>
      <c r="S230" s="802">
        <f>VLOOKUP($E230,[2]tropical!$A$4:$AF$46,[2]tropical!AE$1,FALSE)</f>
        <v>0</v>
      </c>
      <c r="T230" s="802">
        <f>VLOOKUP($E230,[2]tropical!$A$4:$AF$46,[2]tropical!AF$1,FALSE)</f>
        <v>0</v>
      </c>
      <c r="U230" s="798">
        <f t="shared" si="3"/>
        <v>70</v>
      </c>
    </row>
    <row r="231" spans="1:21">
      <c r="A231" s="788">
        <v>8230</v>
      </c>
      <c r="B231" s="788" t="s">
        <v>1513</v>
      </c>
      <c r="C231" s="788">
        <v>142</v>
      </c>
      <c r="D231" s="788" t="s">
        <v>86</v>
      </c>
      <c r="E231" s="790" t="s">
        <v>864</v>
      </c>
      <c r="F231" s="790" t="s">
        <v>2615</v>
      </c>
      <c r="G231" s="798">
        <v>0</v>
      </c>
      <c r="H231" s="798">
        <v>1</v>
      </c>
      <c r="I231" s="798">
        <v>0</v>
      </c>
      <c r="J231" s="798">
        <v>0</v>
      </c>
      <c r="K231" s="798">
        <v>0</v>
      </c>
      <c r="L231" s="798">
        <v>1</v>
      </c>
      <c r="M231" s="798">
        <v>0</v>
      </c>
      <c r="N231" s="798">
        <v>0</v>
      </c>
      <c r="O231" s="798">
        <v>0</v>
      </c>
      <c r="P231" s="798">
        <v>0</v>
      </c>
      <c r="Q231" s="798">
        <v>0</v>
      </c>
      <c r="R231" s="802">
        <f>VLOOKUP($E231,[2]tropical!$A$4:$AF$46,[2]tropical!AD$1,FALSE)</f>
        <v>0</v>
      </c>
      <c r="S231" s="802">
        <f>VLOOKUP($E231,[2]tropical!$A$4:$AF$46,[2]tropical!AE$1,FALSE)</f>
        <v>0</v>
      </c>
      <c r="T231" s="802">
        <f>VLOOKUP($E231,[2]tropical!$A$4:$AF$46,[2]tropical!AF$1,FALSE)</f>
        <v>0</v>
      </c>
      <c r="U231" s="798">
        <f t="shared" si="3"/>
        <v>2</v>
      </c>
    </row>
    <row r="232" spans="1:21">
      <c r="A232" s="788">
        <v>8231</v>
      </c>
      <c r="B232" s="788" t="s">
        <v>1518</v>
      </c>
      <c r="C232" s="788">
        <v>44</v>
      </c>
      <c r="D232" s="788" t="s">
        <v>85</v>
      </c>
      <c r="E232" s="790" t="s">
        <v>2609</v>
      </c>
      <c r="F232" s="790" t="s">
        <v>2615</v>
      </c>
      <c r="G232" s="798">
        <v>1</v>
      </c>
      <c r="H232" s="798">
        <v>4</v>
      </c>
      <c r="I232" s="798">
        <v>5</v>
      </c>
      <c r="J232" s="798">
        <v>1</v>
      </c>
      <c r="K232" s="798">
        <v>0</v>
      </c>
      <c r="L232" s="798">
        <v>3</v>
      </c>
      <c r="M232" s="798">
        <v>1</v>
      </c>
      <c r="N232" s="798">
        <v>1</v>
      </c>
      <c r="O232" s="798">
        <v>1</v>
      </c>
      <c r="P232" s="798">
        <v>2</v>
      </c>
      <c r="Q232" s="798">
        <v>0</v>
      </c>
      <c r="R232" s="802">
        <f>VLOOKUP($E232,[2]tropical!$A$4:$AF$46,[2]tropical!AD$1,FALSE)</f>
        <v>0</v>
      </c>
      <c r="S232" s="802">
        <f>VLOOKUP($E232,[2]tropical!$A$4:$AF$46,[2]tropical!AE$1,FALSE)</f>
        <v>0</v>
      </c>
      <c r="T232" s="802">
        <f>VLOOKUP($E232,[2]tropical!$A$4:$AF$46,[2]tropical!AF$1,FALSE)</f>
        <v>0</v>
      </c>
      <c r="U232" s="798">
        <f t="shared" si="3"/>
        <v>19</v>
      </c>
    </row>
    <row r="233" spans="1:21">
      <c r="A233" s="788">
        <v>8232</v>
      </c>
      <c r="B233" s="788" t="s">
        <v>1523</v>
      </c>
      <c r="C233" s="788">
        <v>246</v>
      </c>
      <c r="D233" s="788" t="s">
        <v>791</v>
      </c>
      <c r="E233" s="790" t="s">
        <v>2608</v>
      </c>
      <c r="F233" s="790" t="s">
        <v>2616</v>
      </c>
      <c r="G233" s="798">
        <v>1</v>
      </c>
      <c r="H233" s="798">
        <v>3</v>
      </c>
      <c r="I233" s="798">
        <v>7</v>
      </c>
      <c r="J233" s="798">
        <v>2</v>
      </c>
      <c r="K233" s="798">
        <v>1</v>
      </c>
      <c r="L233" s="798">
        <v>3</v>
      </c>
      <c r="M233" s="798">
        <v>1</v>
      </c>
      <c r="N233" s="798">
        <v>0</v>
      </c>
      <c r="O233" s="798">
        <v>1</v>
      </c>
      <c r="P233" s="798">
        <v>0</v>
      </c>
      <c r="Q233" s="798">
        <v>1</v>
      </c>
      <c r="R233" s="802">
        <f>VLOOKUP($E233,[2]tropical!$A$4:$AF$46,[2]tropical!AD$1,FALSE)</f>
        <v>0</v>
      </c>
      <c r="S233" s="802">
        <f>VLOOKUP($E233,[2]tropical!$A$4:$AF$46,[2]tropical!AE$1,FALSE)</f>
        <v>0</v>
      </c>
      <c r="T233" s="802">
        <f>VLOOKUP($E233,[2]tropical!$A$4:$AF$46,[2]tropical!AF$1,FALSE)</f>
        <v>0</v>
      </c>
      <c r="U233" s="798">
        <f t="shared" si="3"/>
        <v>20</v>
      </c>
    </row>
    <row r="234" spans="1:21">
      <c r="A234" s="788">
        <v>8233</v>
      </c>
      <c r="B234" s="788" t="s">
        <v>1524</v>
      </c>
      <c r="C234" s="788">
        <v>621</v>
      </c>
      <c r="D234" s="788" t="s">
        <v>88</v>
      </c>
      <c r="E234" s="790" t="s">
        <v>1301</v>
      </c>
      <c r="F234" s="790" t="s">
        <v>2617</v>
      </c>
      <c r="G234" s="798">
        <v>1</v>
      </c>
      <c r="H234" s="798">
        <v>7</v>
      </c>
      <c r="I234" s="798">
        <v>11</v>
      </c>
      <c r="J234" s="798">
        <v>2</v>
      </c>
      <c r="K234" s="798">
        <v>2</v>
      </c>
      <c r="L234" s="798">
        <v>1</v>
      </c>
      <c r="M234" s="798">
        <v>1</v>
      </c>
      <c r="N234" s="798">
        <v>4</v>
      </c>
      <c r="O234" s="798">
        <v>17</v>
      </c>
      <c r="P234" s="798">
        <v>0</v>
      </c>
      <c r="Q234" s="798">
        <v>0</v>
      </c>
      <c r="R234" s="802">
        <f>VLOOKUP($E234,[2]tropical!$A$4:$AF$46,[2]tropical!AD$1,FALSE)</f>
        <v>0</v>
      </c>
      <c r="S234" s="802">
        <f>VLOOKUP($E234,[2]tropical!$A$4:$AF$46,[2]tropical!AE$1,FALSE)</f>
        <v>0</v>
      </c>
      <c r="T234" s="802">
        <f>VLOOKUP($E234,[2]tropical!$A$4:$AF$46,[2]tropical!AF$1,FALSE)</f>
        <v>0</v>
      </c>
      <c r="U234" s="798">
        <f t="shared" si="3"/>
        <v>46</v>
      </c>
    </row>
    <row r="235" spans="1:21">
      <c r="A235" s="788">
        <v>8234</v>
      </c>
      <c r="B235" s="788" t="s">
        <v>1530</v>
      </c>
      <c r="C235" s="788">
        <v>305</v>
      </c>
      <c r="D235" s="788" t="s">
        <v>24</v>
      </c>
      <c r="E235" s="790" t="s">
        <v>1743</v>
      </c>
      <c r="F235" s="790" t="s">
        <v>2616</v>
      </c>
      <c r="G235" s="798">
        <v>1</v>
      </c>
      <c r="H235" s="798">
        <v>7</v>
      </c>
      <c r="I235" s="798">
        <v>11</v>
      </c>
      <c r="J235" s="798">
        <v>2</v>
      </c>
      <c r="K235" s="798">
        <v>2</v>
      </c>
      <c r="L235" s="798">
        <v>5</v>
      </c>
      <c r="M235" s="798">
        <v>4</v>
      </c>
      <c r="N235" s="798">
        <v>0</v>
      </c>
      <c r="O235" s="798">
        <v>7</v>
      </c>
      <c r="P235" s="798">
        <v>0</v>
      </c>
      <c r="Q235" s="798">
        <v>0</v>
      </c>
      <c r="R235" s="802">
        <f>VLOOKUP($E235,[2]tropical!$A$4:$AF$46,[2]tropical!AD$1,FALSE)</f>
        <v>0</v>
      </c>
      <c r="S235" s="802">
        <f>VLOOKUP($E235,[2]tropical!$A$4:$AF$46,[2]tropical!AE$1,FALSE)</f>
        <v>0</v>
      </c>
      <c r="T235" s="802">
        <f>VLOOKUP($E235,[2]tropical!$A$4:$AF$46,[2]tropical!AF$1,FALSE)</f>
        <v>0</v>
      </c>
      <c r="U235" s="798">
        <f t="shared" si="3"/>
        <v>39</v>
      </c>
    </row>
    <row r="236" spans="1:21">
      <c r="A236" s="788">
        <v>8235</v>
      </c>
      <c r="B236" s="788" t="s">
        <v>353</v>
      </c>
      <c r="C236" s="788">
        <v>15</v>
      </c>
      <c r="D236" s="788" t="s">
        <v>86</v>
      </c>
      <c r="E236" s="790" t="s">
        <v>352</v>
      </c>
      <c r="F236" s="790" t="s">
        <v>2615</v>
      </c>
      <c r="G236" s="798">
        <v>0</v>
      </c>
      <c r="H236" s="798">
        <v>1</v>
      </c>
      <c r="I236" s="798">
        <v>0</v>
      </c>
      <c r="J236" s="798">
        <v>0</v>
      </c>
      <c r="K236" s="798">
        <v>0</v>
      </c>
      <c r="L236" s="798">
        <v>1</v>
      </c>
      <c r="M236" s="798">
        <v>0</v>
      </c>
      <c r="N236" s="798">
        <v>0</v>
      </c>
      <c r="O236" s="798">
        <v>0</v>
      </c>
      <c r="P236" s="798">
        <v>0</v>
      </c>
      <c r="Q236" s="798">
        <v>0</v>
      </c>
      <c r="R236" s="802">
        <f>VLOOKUP($E236,[2]tropical!$A$4:$AF$46,[2]tropical!AD$1,FALSE)</f>
        <v>0</v>
      </c>
      <c r="S236" s="802">
        <f>VLOOKUP($E236,[2]tropical!$A$4:$AF$46,[2]tropical!AE$1,FALSE)</f>
        <v>0</v>
      </c>
      <c r="T236" s="802">
        <f>VLOOKUP($E236,[2]tropical!$A$4:$AF$46,[2]tropical!AF$1,FALSE)</f>
        <v>0</v>
      </c>
      <c r="U236" s="798">
        <f t="shared" si="3"/>
        <v>2</v>
      </c>
    </row>
    <row r="237" spans="1:21">
      <c r="A237" s="788">
        <v>8236</v>
      </c>
      <c r="B237" s="788" t="s">
        <v>1532</v>
      </c>
      <c r="C237" s="788">
        <v>326</v>
      </c>
      <c r="D237" s="788" t="s">
        <v>791</v>
      </c>
      <c r="E237" s="790" t="s">
        <v>2608</v>
      </c>
      <c r="F237" s="790" t="s">
        <v>2616</v>
      </c>
      <c r="G237" s="798">
        <v>1</v>
      </c>
      <c r="H237" s="798">
        <v>3</v>
      </c>
      <c r="I237" s="798">
        <v>7</v>
      </c>
      <c r="J237" s="798">
        <v>2</v>
      </c>
      <c r="K237" s="798">
        <v>1</v>
      </c>
      <c r="L237" s="798">
        <v>3</v>
      </c>
      <c r="M237" s="798">
        <v>1</v>
      </c>
      <c r="N237" s="798">
        <v>0</v>
      </c>
      <c r="O237" s="798">
        <v>1</v>
      </c>
      <c r="P237" s="798">
        <v>0</v>
      </c>
      <c r="Q237" s="798">
        <v>1</v>
      </c>
      <c r="R237" s="802">
        <f>VLOOKUP($E237,[2]tropical!$A$4:$AF$46,[2]tropical!AD$1,FALSE)</f>
        <v>0</v>
      </c>
      <c r="S237" s="802">
        <f>VLOOKUP($E237,[2]tropical!$A$4:$AF$46,[2]tropical!AE$1,FALSE)</f>
        <v>0</v>
      </c>
      <c r="T237" s="802">
        <f>VLOOKUP($E237,[2]tropical!$A$4:$AF$46,[2]tropical!AF$1,FALSE)</f>
        <v>0</v>
      </c>
      <c r="U237" s="798">
        <f t="shared" si="3"/>
        <v>20</v>
      </c>
    </row>
    <row r="238" spans="1:21">
      <c r="A238" s="788">
        <v>8237</v>
      </c>
      <c r="B238" s="788" t="s">
        <v>1536</v>
      </c>
      <c r="C238" s="788">
        <v>587</v>
      </c>
      <c r="D238" s="788" t="s">
        <v>88</v>
      </c>
      <c r="E238" s="790" t="s">
        <v>1240</v>
      </c>
      <c r="F238" s="790" t="s">
        <v>2617</v>
      </c>
      <c r="G238" s="798">
        <v>0</v>
      </c>
      <c r="H238" s="798">
        <v>3</v>
      </c>
      <c r="I238" s="798">
        <v>11</v>
      </c>
      <c r="J238" s="798">
        <v>10</v>
      </c>
      <c r="K238" s="798">
        <v>3</v>
      </c>
      <c r="L238" s="798">
        <v>3</v>
      </c>
      <c r="M238" s="798">
        <v>2</v>
      </c>
      <c r="N238" s="798">
        <v>0</v>
      </c>
      <c r="O238" s="798">
        <v>21</v>
      </c>
      <c r="P238" s="798">
        <v>0</v>
      </c>
      <c r="Q238" s="798">
        <v>0</v>
      </c>
      <c r="R238" s="802">
        <f>VLOOKUP($E238,[2]tropical!$A$4:$AF$46,[2]tropical!AD$1,FALSE)</f>
        <v>0</v>
      </c>
      <c r="S238" s="802">
        <f>VLOOKUP($E238,[2]tropical!$A$4:$AF$46,[2]tropical!AE$1,FALSE)</f>
        <v>0</v>
      </c>
      <c r="T238" s="802">
        <f>VLOOKUP($E238,[2]tropical!$A$4:$AF$46,[2]tropical!AF$1,FALSE)</f>
        <v>0</v>
      </c>
      <c r="U238" s="798">
        <f t="shared" si="3"/>
        <v>53</v>
      </c>
    </row>
    <row r="239" spans="1:21">
      <c r="A239" s="788">
        <v>8238</v>
      </c>
      <c r="B239" s="788" t="s">
        <v>1538</v>
      </c>
      <c r="C239" s="788">
        <v>188</v>
      </c>
      <c r="D239" s="788" t="s">
        <v>89</v>
      </c>
      <c r="E239" s="790" t="s">
        <v>1605</v>
      </c>
      <c r="F239" s="790" t="s">
        <v>2615</v>
      </c>
      <c r="G239" s="798">
        <v>2</v>
      </c>
      <c r="H239" s="798">
        <v>5</v>
      </c>
      <c r="I239" s="798">
        <v>9</v>
      </c>
      <c r="J239" s="798">
        <v>1</v>
      </c>
      <c r="K239" s="798">
        <v>3</v>
      </c>
      <c r="L239" s="798">
        <v>6</v>
      </c>
      <c r="M239" s="798">
        <v>4</v>
      </c>
      <c r="N239" s="798">
        <v>0</v>
      </c>
      <c r="O239" s="798">
        <v>7</v>
      </c>
      <c r="P239" s="798">
        <v>0</v>
      </c>
      <c r="Q239" s="798">
        <v>0</v>
      </c>
      <c r="R239" s="802">
        <f>VLOOKUP($E239,[2]tropical!$A$4:$AF$46,[2]tropical!AD$1,FALSE)</f>
        <v>0</v>
      </c>
      <c r="S239" s="802">
        <f>VLOOKUP($E239,[2]tropical!$A$4:$AF$46,[2]tropical!AE$1,FALSE)</f>
        <v>0</v>
      </c>
      <c r="T239" s="802">
        <f>VLOOKUP($E239,[2]tropical!$A$4:$AF$46,[2]tropical!AF$1,FALSE)</f>
        <v>0</v>
      </c>
      <c r="U239" s="798">
        <f t="shared" si="3"/>
        <v>37</v>
      </c>
    </row>
    <row r="240" spans="1:21">
      <c r="A240" s="788">
        <v>8239</v>
      </c>
      <c r="B240" s="788" t="s">
        <v>1542</v>
      </c>
      <c r="C240" s="788">
        <v>627</v>
      </c>
      <c r="D240" s="788" t="s">
        <v>24</v>
      </c>
      <c r="E240" s="790" t="s">
        <v>1494</v>
      </c>
      <c r="F240" s="790" t="s">
        <v>2616</v>
      </c>
      <c r="G240" s="798">
        <v>2</v>
      </c>
      <c r="H240" s="798">
        <v>2</v>
      </c>
      <c r="I240" s="798">
        <v>13</v>
      </c>
      <c r="J240" s="798">
        <v>2</v>
      </c>
      <c r="K240" s="798">
        <v>2</v>
      </c>
      <c r="L240" s="798">
        <v>4</v>
      </c>
      <c r="M240" s="798">
        <v>0</v>
      </c>
      <c r="N240" s="798">
        <v>0</v>
      </c>
      <c r="O240" s="798">
        <v>5</v>
      </c>
      <c r="P240" s="798">
        <v>0</v>
      </c>
      <c r="Q240" s="798">
        <v>0</v>
      </c>
      <c r="R240" s="802">
        <f>VLOOKUP($E240,[2]tropical!$A$4:$AF$46,[2]tropical!AD$1,FALSE)</f>
        <v>0</v>
      </c>
      <c r="S240" s="802">
        <f>VLOOKUP($E240,[2]tropical!$A$4:$AF$46,[2]tropical!AE$1,FALSE)</f>
        <v>0</v>
      </c>
      <c r="T240" s="802">
        <f>VLOOKUP($E240,[2]tropical!$A$4:$AF$46,[2]tropical!AF$1,FALSE)</f>
        <v>0</v>
      </c>
      <c r="U240" s="798">
        <f t="shared" si="3"/>
        <v>30</v>
      </c>
    </row>
    <row r="241" spans="1:21">
      <c r="A241" s="788">
        <v>8240</v>
      </c>
      <c r="B241" s="788" t="s">
        <v>1544</v>
      </c>
      <c r="C241" s="788">
        <v>162</v>
      </c>
      <c r="D241" s="788" t="s">
        <v>791</v>
      </c>
      <c r="E241" s="790" t="s">
        <v>1544</v>
      </c>
      <c r="F241" s="790" t="s">
        <v>2616</v>
      </c>
      <c r="G241" s="798">
        <v>0</v>
      </c>
      <c r="H241" s="798">
        <v>0</v>
      </c>
      <c r="I241" s="798">
        <v>4</v>
      </c>
      <c r="J241" s="798">
        <v>2</v>
      </c>
      <c r="K241" s="798">
        <v>0</v>
      </c>
      <c r="L241" s="798">
        <v>9</v>
      </c>
      <c r="M241" s="798">
        <v>4</v>
      </c>
      <c r="N241" s="798">
        <v>4</v>
      </c>
      <c r="O241" s="798">
        <v>9</v>
      </c>
      <c r="P241" s="798">
        <v>4</v>
      </c>
      <c r="Q241" s="798">
        <v>1</v>
      </c>
      <c r="R241" s="802">
        <f>VLOOKUP($E241,[2]tropical!$A$4:$AF$46,[2]tropical!AD$1,FALSE)</f>
        <v>0</v>
      </c>
      <c r="S241" s="802">
        <f>VLOOKUP($E241,[2]tropical!$A$4:$AF$46,[2]tropical!AE$1,FALSE)</f>
        <v>0</v>
      </c>
      <c r="T241" s="802">
        <f>VLOOKUP($E241,[2]tropical!$A$4:$AF$46,[2]tropical!AF$1,FALSE)</f>
        <v>0</v>
      </c>
      <c r="U241" s="798">
        <f t="shared" si="3"/>
        <v>37</v>
      </c>
    </row>
    <row r="242" spans="1:21">
      <c r="A242" s="788">
        <v>8241</v>
      </c>
      <c r="B242" s="788" t="s">
        <v>1549</v>
      </c>
      <c r="C242" s="788">
        <v>531</v>
      </c>
      <c r="D242" s="788" t="s">
        <v>88</v>
      </c>
      <c r="E242" s="790" t="s">
        <v>1127</v>
      </c>
      <c r="F242" s="790" t="s">
        <v>2617</v>
      </c>
      <c r="G242" s="798">
        <v>1</v>
      </c>
      <c r="H242" s="798">
        <v>9</v>
      </c>
      <c r="I242" s="798">
        <v>16</v>
      </c>
      <c r="J242" s="798">
        <v>7</v>
      </c>
      <c r="K242" s="798">
        <v>4</v>
      </c>
      <c r="L242" s="798">
        <v>11</v>
      </c>
      <c r="M242" s="798">
        <v>8</v>
      </c>
      <c r="N242" s="798">
        <v>5</v>
      </c>
      <c r="O242" s="798">
        <v>21</v>
      </c>
      <c r="P242" s="798">
        <v>0</v>
      </c>
      <c r="Q242" s="798">
        <v>1</v>
      </c>
      <c r="R242" s="802">
        <f>VLOOKUP($E242,[2]tropical!$A$4:$AF$46,[2]tropical!AD$1,FALSE)</f>
        <v>0</v>
      </c>
      <c r="S242" s="802">
        <f>VLOOKUP($E242,[2]tropical!$A$4:$AF$46,[2]tropical!AE$1,FALSE)</f>
        <v>0</v>
      </c>
      <c r="T242" s="802">
        <f>VLOOKUP($E242,[2]tropical!$A$4:$AF$46,[2]tropical!AF$1,FALSE)</f>
        <v>0</v>
      </c>
      <c r="U242" s="798">
        <f t="shared" si="3"/>
        <v>83</v>
      </c>
    </row>
    <row r="243" spans="1:21">
      <c r="A243" s="788">
        <v>8242</v>
      </c>
      <c r="B243" s="788" t="s">
        <v>1555</v>
      </c>
      <c r="C243" s="788">
        <v>291</v>
      </c>
      <c r="D243" s="788" t="s">
        <v>82</v>
      </c>
      <c r="E243" s="790" t="s">
        <v>767</v>
      </c>
      <c r="F243" s="790" t="s">
        <v>2616</v>
      </c>
      <c r="G243" s="798">
        <v>0</v>
      </c>
      <c r="H243" s="798">
        <v>0</v>
      </c>
      <c r="I243" s="798">
        <v>27</v>
      </c>
      <c r="J243" s="798">
        <v>10</v>
      </c>
      <c r="K243" s="798">
        <v>13</v>
      </c>
      <c r="L243" s="798">
        <v>30</v>
      </c>
      <c r="M243" s="798">
        <v>11</v>
      </c>
      <c r="N243" s="798">
        <v>11</v>
      </c>
      <c r="O243" s="798">
        <v>26</v>
      </c>
      <c r="P243" s="798">
        <v>12</v>
      </c>
      <c r="Q243" s="798">
        <v>3</v>
      </c>
      <c r="R243" s="802">
        <f>VLOOKUP($E243,[2]tropical!$A$4:$AF$46,[2]tropical!AD$1,FALSE)</f>
        <v>0</v>
      </c>
      <c r="S243" s="802">
        <f>VLOOKUP($E243,[2]tropical!$A$4:$AF$46,[2]tropical!AE$1,FALSE)</f>
        <v>0</v>
      </c>
      <c r="T243" s="802">
        <f>VLOOKUP($E243,[2]tropical!$A$4:$AF$46,[2]tropical!AF$1,FALSE)</f>
        <v>0</v>
      </c>
      <c r="U243" s="798">
        <f t="shared" si="3"/>
        <v>143</v>
      </c>
    </row>
    <row r="244" spans="1:21">
      <c r="A244" s="788">
        <v>8243</v>
      </c>
      <c r="B244" s="788" t="s">
        <v>1556</v>
      </c>
      <c r="C244" s="788">
        <v>519</v>
      </c>
      <c r="D244" s="788" t="s">
        <v>88</v>
      </c>
      <c r="E244" s="790" t="s">
        <v>1127</v>
      </c>
      <c r="F244" s="790" t="s">
        <v>2617</v>
      </c>
      <c r="G244" s="798">
        <v>1</v>
      </c>
      <c r="H244" s="798">
        <v>9</v>
      </c>
      <c r="I244" s="798">
        <v>16</v>
      </c>
      <c r="J244" s="798">
        <v>7</v>
      </c>
      <c r="K244" s="798">
        <v>4</v>
      </c>
      <c r="L244" s="798">
        <v>11</v>
      </c>
      <c r="M244" s="798">
        <v>8</v>
      </c>
      <c r="N244" s="798">
        <v>5</v>
      </c>
      <c r="O244" s="798">
        <v>21</v>
      </c>
      <c r="P244" s="798">
        <v>0</v>
      </c>
      <c r="Q244" s="798">
        <v>1</v>
      </c>
      <c r="R244" s="802">
        <f>VLOOKUP($E244,[2]tropical!$A$4:$AF$46,[2]tropical!AD$1,FALSE)</f>
        <v>0</v>
      </c>
      <c r="S244" s="802">
        <f>VLOOKUP($E244,[2]tropical!$A$4:$AF$46,[2]tropical!AE$1,FALSE)</f>
        <v>0</v>
      </c>
      <c r="T244" s="802">
        <f>VLOOKUP($E244,[2]tropical!$A$4:$AF$46,[2]tropical!AF$1,FALSE)</f>
        <v>0</v>
      </c>
      <c r="U244" s="798">
        <f t="shared" si="3"/>
        <v>83</v>
      </c>
    </row>
    <row r="245" spans="1:21">
      <c r="A245" s="788">
        <v>8244</v>
      </c>
      <c r="B245" s="788" t="s">
        <v>1558</v>
      </c>
      <c r="C245" s="788">
        <v>73</v>
      </c>
      <c r="D245" s="788" t="s">
        <v>90</v>
      </c>
      <c r="E245" s="790" t="s">
        <v>1697</v>
      </c>
      <c r="F245" s="790" t="s">
        <v>2615</v>
      </c>
      <c r="G245" s="798">
        <v>9</v>
      </c>
      <c r="H245" s="798">
        <v>26</v>
      </c>
      <c r="I245" s="798">
        <v>23</v>
      </c>
      <c r="J245" s="798">
        <v>3</v>
      </c>
      <c r="K245" s="798">
        <v>0</v>
      </c>
      <c r="L245" s="798">
        <v>6</v>
      </c>
      <c r="M245" s="798">
        <v>5</v>
      </c>
      <c r="N245" s="798">
        <v>2</v>
      </c>
      <c r="O245" s="798">
        <v>14</v>
      </c>
      <c r="P245" s="798">
        <v>10</v>
      </c>
      <c r="Q245" s="798">
        <v>4</v>
      </c>
      <c r="R245" s="802">
        <f>VLOOKUP($E245,[2]tropical!$A$4:$AF$46,[2]tropical!AD$1,FALSE)</f>
        <v>0</v>
      </c>
      <c r="S245" s="802">
        <f>VLOOKUP($E245,[2]tropical!$A$4:$AF$46,[2]tropical!AE$1,FALSE)</f>
        <v>0</v>
      </c>
      <c r="T245" s="802">
        <f>VLOOKUP($E245,[2]tropical!$A$4:$AF$46,[2]tropical!AF$1,FALSE)</f>
        <v>0</v>
      </c>
      <c r="U245" s="798">
        <f t="shared" si="3"/>
        <v>102</v>
      </c>
    </row>
    <row r="246" spans="1:21">
      <c r="A246" s="788">
        <v>8245</v>
      </c>
      <c r="B246" s="788" t="s">
        <v>1559</v>
      </c>
      <c r="C246" s="788">
        <v>56</v>
      </c>
      <c r="D246" s="788" t="s">
        <v>83</v>
      </c>
      <c r="E246" s="790" t="s">
        <v>2605</v>
      </c>
      <c r="F246" s="790" t="s">
        <v>2615</v>
      </c>
      <c r="G246" s="798">
        <v>5</v>
      </c>
      <c r="H246" s="798">
        <v>7</v>
      </c>
      <c r="I246" s="798">
        <v>11</v>
      </c>
      <c r="J246" s="798">
        <v>0</v>
      </c>
      <c r="K246" s="798">
        <v>0</v>
      </c>
      <c r="L246" s="798">
        <v>6</v>
      </c>
      <c r="M246" s="798">
        <v>2</v>
      </c>
      <c r="N246" s="798">
        <v>0</v>
      </c>
      <c r="O246" s="798">
        <v>1</v>
      </c>
      <c r="P246" s="798">
        <v>1</v>
      </c>
      <c r="Q246" s="798">
        <v>0</v>
      </c>
      <c r="R246" s="802">
        <f>VLOOKUP($E246,[2]tropical!$A$4:$AF$46,[2]tropical!AD$1,FALSE)</f>
        <v>0</v>
      </c>
      <c r="S246" s="802">
        <f>VLOOKUP($E246,[2]tropical!$A$4:$AF$46,[2]tropical!AE$1,FALSE)</f>
        <v>0</v>
      </c>
      <c r="T246" s="802">
        <f>VLOOKUP($E246,[2]tropical!$A$4:$AF$46,[2]tropical!AF$1,FALSE)</f>
        <v>0</v>
      </c>
      <c r="U246" s="798">
        <f t="shared" si="3"/>
        <v>33</v>
      </c>
    </row>
    <row r="247" spans="1:21">
      <c r="A247" s="788">
        <v>8246</v>
      </c>
      <c r="B247" s="788" t="s">
        <v>1561</v>
      </c>
      <c r="C247" s="788">
        <v>538</v>
      </c>
      <c r="D247" s="788" t="s">
        <v>88</v>
      </c>
      <c r="E247" s="790" t="s">
        <v>1127</v>
      </c>
      <c r="F247" s="790" t="s">
        <v>2617</v>
      </c>
      <c r="G247" s="798">
        <v>1</v>
      </c>
      <c r="H247" s="798">
        <v>9</v>
      </c>
      <c r="I247" s="798">
        <v>16</v>
      </c>
      <c r="J247" s="798">
        <v>7</v>
      </c>
      <c r="K247" s="798">
        <v>4</v>
      </c>
      <c r="L247" s="798">
        <v>11</v>
      </c>
      <c r="M247" s="798">
        <v>8</v>
      </c>
      <c r="N247" s="798">
        <v>5</v>
      </c>
      <c r="O247" s="798">
        <v>21</v>
      </c>
      <c r="P247" s="798">
        <v>0</v>
      </c>
      <c r="Q247" s="798">
        <v>1</v>
      </c>
      <c r="R247" s="802">
        <f>VLOOKUP($E247,[2]tropical!$A$4:$AF$46,[2]tropical!AD$1,FALSE)</f>
        <v>0</v>
      </c>
      <c r="S247" s="802">
        <f>VLOOKUP($E247,[2]tropical!$A$4:$AF$46,[2]tropical!AE$1,FALSE)</f>
        <v>0</v>
      </c>
      <c r="T247" s="802">
        <f>VLOOKUP($E247,[2]tropical!$A$4:$AF$46,[2]tropical!AF$1,FALSE)</f>
        <v>0</v>
      </c>
      <c r="U247" s="798">
        <f t="shared" si="3"/>
        <v>83</v>
      </c>
    </row>
    <row r="248" spans="1:21">
      <c r="A248" s="788">
        <v>8247</v>
      </c>
      <c r="B248" s="788" t="s">
        <v>1562</v>
      </c>
      <c r="C248" s="788">
        <v>568</v>
      </c>
      <c r="D248" s="788" t="s">
        <v>88</v>
      </c>
      <c r="E248" s="790" t="s">
        <v>1233</v>
      </c>
      <c r="F248" s="790" t="s">
        <v>2616</v>
      </c>
      <c r="G248" s="798">
        <v>0</v>
      </c>
      <c r="H248" s="798">
        <v>2</v>
      </c>
      <c r="I248" s="798">
        <v>0</v>
      </c>
      <c r="J248" s="798">
        <v>0</v>
      </c>
      <c r="K248" s="798">
        <v>0</v>
      </c>
      <c r="L248" s="798">
        <v>0</v>
      </c>
      <c r="M248" s="798">
        <v>0</v>
      </c>
      <c r="N248" s="798">
        <v>0</v>
      </c>
      <c r="O248" s="798">
        <v>2</v>
      </c>
      <c r="P248" s="798">
        <v>0</v>
      </c>
      <c r="Q248" s="798">
        <v>0</v>
      </c>
      <c r="R248" s="802">
        <f>VLOOKUP($E248,[2]tropical!$A$4:$AF$46,[2]tropical!AD$1,FALSE)</f>
        <v>0</v>
      </c>
      <c r="S248" s="802">
        <f>VLOOKUP($E248,[2]tropical!$A$4:$AF$46,[2]tropical!AE$1,FALSE)</f>
        <v>0</v>
      </c>
      <c r="T248" s="802">
        <f>VLOOKUP($E248,[2]tropical!$A$4:$AF$46,[2]tropical!AF$1,FALSE)</f>
        <v>0</v>
      </c>
      <c r="U248" s="798">
        <f t="shared" si="3"/>
        <v>4</v>
      </c>
    </row>
    <row r="249" spans="1:21">
      <c r="A249" s="788">
        <v>8248</v>
      </c>
      <c r="B249" s="788" t="s">
        <v>1564</v>
      </c>
      <c r="C249" s="788">
        <v>242</v>
      </c>
      <c r="D249" s="788" t="s">
        <v>24</v>
      </c>
      <c r="E249" s="790" t="s">
        <v>867</v>
      </c>
      <c r="F249" s="790" t="s">
        <v>2616</v>
      </c>
      <c r="G249" s="798">
        <v>0</v>
      </c>
      <c r="H249" s="798">
        <v>3</v>
      </c>
      <c r="I249" s="798">
        <v>9</v>
      </c>
      <c r="J249" s="798">
        <v>4</v>
      </c>
      <c r="K249" s="798">
        <v>7</v>
      </c>
      <c r="L249" s="798">
        <v>7</v>
      </c>
      <c r="M249" s="798">
        <v>4</v>
      </c>
      <c r="N249" s="798">
        <v>0</v>
      </c>
      <c r="O249" s="798">
        <v>7</v>
      </c>
      <c r="P249" s="798">
        <v>1</v>
      </c>
      <c r="Q249" s="798">
        <v>0</v>
      </c>
      <c r="R249" s="802">
        <f>VLOOKUP($E249,[2]tropical!$A$4:$AF$46,[2]tropical!AD$1,FALSE)</f>
        <v>0</v>
      </c>
      <c r="S249" s="802">
        <f>VLOOKUP($E249,[2]tropical!$A$4:$AF$46,[2]tropical!AE$1,FALSE)</f>
        <v>0</v>
      </c>
      <c r="T249" s="802">
        <f>VLOOKUP($E249,[2]tropical!$A$4:$AF$46,[2]tropical!AF$1,FALSE)</f>
        <v>0</v>
      </c>
      <c r="U249" s="798">
        <f t="shared" si="3"/>
        <v>42</v>
      </c>
    </row>
    <row r="250" spans="1:21">
      <c r="A250" s="788">
        <v>8249</v>
      </c>
      <c r="B250" s="788" t="s">
        <v>1566</v>
      </c>
      <c r="C250" s="788">
        <v>240</v>
      </c>
      <c r="D250" s="788" t="s">
        <v>791</v>
      </c>
      <c r="E250" s="790" t="s">
        <v>2607</v>
      </c>
      <c r="F250" s="790" t="s">
        <v>2615</v>
      </c>
      <c r="G250" s="798">
        <v>1</v>
      </c>
      <c r="H250" s="798">
        <v>4</v>
      </c>
      <c r="I250" s="798">
        <v>1</v>
      </c>
      <c r="J250" s="798">
        <v>1</v>
      </c>
      <c r="K250" s="798">
        <v>0</v>
      </c>
      <c r="L250" s="798">
        <v>5</v>
      </c>
      <c r="M250" s="798">
        <v>1</v>
      </c>
      <c r="N250" s="798">
        <v>0</v>
      </c>
      <c r="O250" s="798">
        <v>2</v>
      </c>
      <c r="P250" s="798">
        <v>0</v>
      </c>
      <c r="Q250" s="798">
        <v>0</v>
      </c>
      <c r="R250" s="802">
        <f>VLOOKUP($E250,[2]tropical!$A$4:$AF$46,[2]tropical!AD$1,FALSE)</f>
        <v>0</v>
      </c>
      <c r="S250" s="802">
        <f>VLOOKUP($E250,[2]tropical!$A$4:$AF$46,[2]tropical!AE$1,FALSE)</f>
        <v>0</v>
      </c>
      <c r="T250" s="802">
        <f>VLOOKUP($E250,[2]tropical!$A$4:$AF$46,[2]tropical!AF$1,FALSE)</f>
        <v>0</v>
      </c>
      <c r="U250" s="798">
        <f t="shared" si="3"/>
        <v>15</v>
      </c>
    </row>
    <row r="251" spans="1:21">
      <c r="A251" s="788">
        <v>8250</v>
      </c>
      <c r="B251" s="788" t="s">
        <v>1567</v>
      </c>
      <c r="C251" s="788">
        <v>316</v>
      </c>
      <c r="D251" s="788" t="s">
        <v>81</v>
      </c>
      <c r="E251" s="790" t="s">
        <v>1274</v>
      </c>
      <c r="F251" s="790" t="s">
        <v>2616</v>
      </c>
      <c r="G251" s="798">
        <v>4</v>
      </c>
      <c r="H251" s="798">
        <v>15</v>
      </c>
      <c r="I251" s="798">
        <v>20</v>
      </c>
      <c r="J251" s="798">
        <v>2</v>
      </c>
      <c r="K251" s="798">
        <v>5</v>
      </c>
      <c r="L251" s="798">
        <v>8</v>
      </c>
      <c r="M251" s="798">
        <v>2</v>
      </c>
      <c r="N251" s="798">
        <v>4</v>
      </c>
      <c r="O251" s="798">
        <v>16</v>
      </c>
      <c r="P251" s="798">
        <v>0</v>
      </c>
      <c r="Q251" s="798">
        <v>1</v>
      </c>
      <c r="R251" s="802">
        <f>VLOOKUP($E251,[2]tropical!$A$4:$AF$46,[2]tropical!AD$1,FALSE)</f>
        <v>0</v>
      </c>
      <c r="S251" s="802">
        <f>VLOOKUP($E251,[2]tropical!$A$4:$AF$46,[2]tropical!AE$1,FALSE)</f>
        <v>0</v>
      </c>
      <c r="T251" s="802">
        <f>VLOOKUP($E251,[2]tropical!$A$4:$AF$46,[2]tropical!AF$1,FALSE)</f>
        <v>0</v>
      </c>
      <c r="U251" s="798">
        <f t="shared" si="3"/>
        <v>77</v>
      </c>
    </row>
    <row r="252" spans="1:21">
      <c r="A252" s="788">
        <v>8251</v>
      </c>
      <c r="B252" s="788" t="s">
        <v>1571</v>
      </c>
      <c r="C252" s="788">
        <v>161</v>
      </c>
      <c r="D252" s="788" t="s">
        <v>791</v>
      </c>
      <c r="E252" s="790" t="s">
        <v>2607</v>
      </c>
      <c r="F252" s="790" t="s">
        <v>2615</v>
      </c>
      <c r="G252" s="798">
        <v>1</v>
      </c>
      <c r="H252" s="798">
        <v>4</v>
      </c>
      <c r="I252" s="798">
        <v>1</v>
      </c>
      <c r="J252" s="798">
        <v>1</v>
      </c>
      <c r="K252" s="798">
        <v>0</v>
      </c>
      <c r="L252" s="798">
        <v>5</v>
      </c>
      <c r="M252" s="798">
        <v>1</v>
      </c>
      <c r="N252" s="798">
        <v>0</v>
      </c>
      <c r="O252" s="798">
        <v>2</v>
      </c>
      <c r="P252" s="798">
        <v>0</v>
      </c>
      <c r="Q252" s="798">
        <v>0</v>
      </c>
      <c r="R252" s="802">
        <f>VLOOKUP($E252,[2]tropical!$A$4:$AF$46,[2]tropical!AD$1,FALSE)</f>
        <v>0</v>
      </c>
      <c r="S252" s="802">
        <f>VLOOKUP($E252,[2]tropical!$A$4:$AF$46,[2]tropical!AE$1,FALSE)</f>
        <v>0</v>
      </c>
      <c r="T252" s="802">
        <f>VLOOKUP($E252,[2]tropical!$A$4:$AF$46,[2]tropical!AF$1,FALSE)</f>
        <v>0</v>
      </c>
      <c r="U252" s="798">
        <f t="shared" si="3"/>
        <v>15</v>
      </c>
    </row>
    <row r="253" spans="1:21">
      <c r="A253" s="788">
        <v>8252</v>
      </c>
      <c r="B253" s="788" t="s">
        <v>1572</v>
      </c>
      <c r="C253" s="788">
        <v>146</v>
      </c>
      <c r="D253" s="788" t="s">
        <v>89</v>
      </c>
      <c r="E253" s="790" t="s">
        <v>1605</v>
      </c>
      <c r="F253" s="790" t="s">
        <v>2615</v>
      </c>
      <c r="G253" s="798">
        <v>2</v>
      </c>
      <c r="H253" s="798">
        <v>5</v>
      </c>
      <c r="I253" s="798">
        <v>9</v>
      </c>
      <c r="J253" s="798">
        <v>1</v>
      </c>
      <c r="K253" s="798">
        <v>3</v>
      </c>
      <c r="L253" s="798">
        <v>6</v>
      </c>
      <c r="M253" s="798">
        <v>4</v>
      </c>
      <c r="N253" s="798">
        <v>0</v>
      </c>
      <c r="O253" s="798">
        <v>7</v>
      </c>
      <c r="P253" s="798">
        <v>0</v>
      </c>
      <c r="Q253" s="798">
        <v>0</v>
      </c>
      <c r="R253" s="802">
        <f>VLOOKUP($E253,[2]tropical!$A$4:$AF$46,[2]tropical!AD$1,FALSE)</f>
        <v>0</v>
      </c>
      <c r="S253" s="802">
        <f>VLOOKUP($E253,[2]tropical!$A$4:$AF$46,[2]tropical!AE$1,FALSE)</f>
        <v>0</v>
      </c>
      <c r="T253" s="802">
        <f>VLOOKUP($E253,[2]tropical!$A$4:$AF$46,[2]tropical!AF$1,FALSE)</f>
        <v>0</v>
      </c>
      <c r="U253" s="798">
        <f t="shared" si="3"/>
        <v>37</v>
      </c>
    </row>
    <row r="254" spans="1:21">
      <c r="A254" s="788">
        <v>8253</v>
      </c>
      <c r="B254" s="788" t="s">
        <v>1574</v>
      </c>
      <c r="C254" s="788">
        <v>866</v>
      </c>
      <c r="D254" s="788" t="s">
        <v>88</v>
      </c>
      <c r="E254" s="790" t="s">
        <v>1240</v>
      </c>
      <c r="F254" s="790" t="s">
        <v>2617</v>
      </c>
      <c r="G254" s="798">
        <v>0</v>
      </c>
      <c r="H254" s="798">
        <v>3</v>
      </c>
      <c r="I254" s="798">
        <v>11</v>
      </c>
      <c r="J254" s="798">
        <v>10</v>
      </c>
      <c r="K254" s="798">
        <v>3</v>
      </c>
      <c r="L254" s="798">
        <v>3</v>
      </c>
      <c r="M254" s="798">
        <v>2</v>
      </c>
      <c r="N254" s="798">
        <v>0</v>
      </c>
      <c r="O254" s="798">
        <v>21</v>
      </c>
      <c r="P254" s="798">
        <v>0</v>
      </c>
      <c r="Q254" s="798">
        <v>0</v>
      </c>
      <c r="R254" s="802">
        <f>VLOOKUP($E254,[2]tropical!$A$4:$AF$46,[2]tropical!AD$1,FALSE)</f>
        <v>0</v>
      </c>
      <c r="S254" s="802">
        <f>VLOOKUP($E254,[2]tropical!$A$4:$AF$46,[2]tropical!AE$1,FALSE)</f>
        <v>0</v>
      </c>
      <c r="T254" s="802">
        <f>VLOOKUP($E254,[2]tropical!$A$4:$AF$46,[2]tropical!AF$1,FALSE)</f>
        <v>0</v>
      </c>
      <c r="U254" s="798">
        <f t="shared" si="3"/>
        <v>53</v>
      </c>
    </row>
    <row r="255" spans="1:21">
      <c r="A255" s="788">
        <v>8254</v>
      </c>
      <c r="B255" s="788" t="s">
        <v>1578</v>
      </c>
      <c r="C255" s="788">
        <v>693</v>
      </c>
      <c r="D255" s="788" t="s">
        <v>88</v>
      </c>
      <c r="E255" s="790" t="s">
        <v>1301</v>
      </c>
      <c r="F255" s="790" t="s">
        <v>2617</v>
      </c>
      <c r="G255" s="798">
        <v>1</v>
      </c>
      <c r="H255" s="798">
        <v>7</v>
      </c>
      <c r="I255" s="798">
        <v>11</v>
      </c>
      <c r="J255" s="798">
        <v>2</v>
      </c>
      <c r="K255" s="798">
        <v>2</v>
      </c>
      <c r="L255" s="798">
        <v>1</v>
      </c>
      <c r="M255" s="798">
        <v>1</v>
      </c>
      <c r="N255" s="798">
        <v>4</v>
      </c>
      <c r="O255" s="798">
        <v>17</v>
      </c>
      <c r="P255" s="798">
        <v>0</v>
      </c>
      <c r="Q255" s="798">
        <v>0</v>
      </c>
      <c r="R255" s="802">
        <f>VLOOKUP($E255,[2]tropical!$A$4:$AF$46,[2]tropical!AD$1,FALSE)</f>
        <v>0</v>
      </c>
      <c r="S255" s="802">
        <f>VLOOKUP($E255,[2]tropical!$A$4:$AF$46,[2]tropical!AE$1,FALSE)</f>
        <v>0</v>
      </c>
      <c r="T255" s="802">
        <f>VLOOKUP($E255,[2]tropical!$A$4:$AF$46,[2]tropical!AF$1,FALSE)</f>
        <v>0</v>
      </c>
      <c r="U255" s="798">
        <f t="shared" si="3"/>
        <v>46</v>
      </c>
    </row>
    <row r="256" spans="1:21">
      <c r="A256" s="788">
        <v>8255</v>
      </c>
      <c r="B256" s="788" t="s">
        <v>1580</v>
      </c>
      <c r="C256" s="788">
        <v>532</v>
      </c>
      <c r="D256" s="788" t="s">
        <v>84</v>
      </c>
      <c r="E256" s="790" t="s">
        <v>1125</v>
      </c>
      <c r="F256" s="790" t="s">
        <v>2617</v>
      </c>
      <c r="G256" s="798">
        <v>3</v>
      </c>
      <c r="H256" s="798">
        <v>0</v>
      </c>
      <c r="I256" s="798">
        <v>1</v>
      </c>
      <c r="J256" s="798">
        <v>2</v>
      </c>
      <c r="K256" s="798">
        <v>0</v>
      </c>
      <c r="L256" s="798">
        <v>0</v>
      </c>
      <c r="M256" s="798">
        <v>0</v>
      </c>
      <c r="N256" s="798">
        <v>0</v>
      </c>
      <c r="O256" s="798">
        <v>5</v>
      </c>
      <c r="P256" s="798">
        <v>0</v>
      </c>
      <c r="Q256" s="798">
        <v>0</v>
      </c>
      <c r="R256" s="802">
        <f>VLOOKUP($E256,[2]tropical!$A$4:$AF$46,[2]tropical!AD$1,FALSE)</f>
        <v>0</v>
      </c>
      <c r="S256" s="802">
        <f>VLOOKUP($E256,[2]tropical!$A$4:$AF$46,[2]tropical!AE$1,FALSE)</f>
        <v>0</v>
      </c>
      <c r="T256" s="802">
        <f>VLOOKUP($E256,[2]tropical!$A$4:$AF$46,[2]tropical!AF$1,FALSE)</f>
        <v>0</v>
      </c>
      <c r="U256" s="798">
        <f t="shared" si="3"/>
        <v>11</v>
      </c>
    </row>
    <row r="257" spans="1:21">
      <c r="A257" s="788">
        <v>8256</v>
      </c>
      <c r="B257" s="788" t="s">
        <v>1584</v>
      </c>
      <c r="C257" s="788">
        <v>181</v>
      </c>
      <c r="D257" s="788" t="s">
        <v>24</v>
      </c>
      <c r="E257" s="790" t="s">
        <v>1743</v>
      </c>
      <c r="F257" s="790" t="s">
        <v>2616</v>
      </c>
      <c r="G257" s="798">
        <v>1</v>
      </c>
      <c r="H257" s="798">
        <v>7</v>
      </c>
      <c r="I257" s="798">
        <v>11</v>
      </c>
      <c r="J257" s="798">
        <v>2</v>
      </c>
      <c r="K257" s="798">
        <v>2</v>
      </c>
      <c r="L257" s="798">
        <v>5</v>
      </c>
      <c r="M257" s="798">
        <v>4</v>
      </c>
      <c r="N257" s="798">
        <v>0</v>
      </c>
      <c r="O257" s="798">
        <v>7</v>
      </c>
      <c r="P257" s="798">
        <v>0</v>
      </c>
      <c r="Q257" s="798">
        <v>0</v>
      </c>
      <c r="R257" s="802">
        <f>VLOOKUP($E257,[2]tropical!$A$4:$AF$46,[2]tropical!AD$1,FALSE)</f>
        <v>0</v>
      </c>
      <c r="S257" s="802">
        <f>VLOOKUP($E257,[2]tropical!$A$4:$AF$46,[2]tropical!AE$1,FALSE)</f>
        <v>0</v>
      </c>
      <c r="T257" s="802">
        <f>VLOOKUP($E257,[2]tropical!$A$4:$AF$46,[2]tropical!AF$1,FALSE)</f>
        <v>0</v>
      </c>
      <c r="U257" s="798">
        <f t="shared" si="3"/>
        <v>39</v>
      </c>
    </row>
    <row r="258" spans="1:21">
      <c r="A258" s="788">
        <v>8257</v>
      </c>
      <c r="B258" s="788" t="s">
        <v>1587</v>
      </c>
      <c r="C258" s="788">
        <v>543</v>
      </c>
      <c r="D258" s="788" t="s">
        <v>81</v>
      </c>
      <c r="E258" s="790" t="s">
        <v>1274</v>
      </c>
      <c r="F258" s="790" t="s">
        <v>2616</v>
      </c>
      <c r="G258" s="798">
        <v>4</v>
      </c>
      <c r="H258" s="798">
        <v>15</v>
      </c>
      <c r="I258" s="798">
        <v>20</v>
      </c>
      <c r="J258" s="798">
        <v>2</v>
      </c>
      <c r="K258" s="798">
        <v>5</v>
      </c>
      <c r="L258" s="798">
        <v>8</v>
      </c>
      <c r="M258" s="798">
        <v>2</v>
      </c>
      <c r="N258" s="798">
        <v>4</v>
      </c>
      <c r="O258" s="798">
        <v>16</v>
      </c>
      <c r="P258" s="798">
        <v>0</v>
      </c>
      <c r="Q258" s="798">
        <v>1</v>
      </c>
      <c r="R258" s="802">
        <f>VLOOKUP($E258,[2]tropical!$A$4:$AF$46,[2]tropical!AD$1,FALSE)</f>
        <v>0</v>
      </c>
      <c r="S258" s="802">
        <f>VLOOKUP($E258,[2]tropical!$A$4:$AF$46,[2]tropical!AE$1,FALSE)</f>
        <v>0</v>
      </c>
      <c r="T258" s="802">
        <f>VLOOKUP($E258,[2]tropical!$A$4:$AF$46,[2]tropical!AF$1,FALSE)</f>
        <v>0</v>
      </c>
      <c r="U258" s="798">
        <f t="shared" si="3"/>
        <v>77</v>
      </c>
    </row>
    <row r="259" spans="1:21">
      <c r="A259" s="788">
        <v>8258</v>
      </c>
      <c r="B259" s="788" t="s">
        <v>1591</v>
      </c>
      <c r="C259" s="788">
        <v>542</v>
      </c>
      <c r="D259" s="788" t="s">
        <v>82</v>
      </c>
      <c r="E259" s="790" t="s">
        <v>1004</v>
      </c>
      <c r="F259" s="790" t="s">
        <v>2616</v>
      </c>
      <c r="G259" s="798">
        <v>5</v>
      </c>
      <c r="H259" s="798">
        <v>8</v>
      </c>
      <c r="I259" s="798">
        <v>9</v>
      </c>
      <c r="J259" s="798">
        <v>2</v>
      </c>
      <c r="K259" s="798">
        <v>2</v>
      </c>
      <c r="L259" s="798">
        <v>12</v>
      </c>
      <c r="M259" s="798">
        <v>6</v>
      </c>
      <c r="N259" s="798">
        <v>5</v>
      </c>
      <c r="O259" s="798">
        <v>18</v>
      </c>
      <c r="P259" s="798">
        <v>1</v>
      </c>
      <c r="Q259" s="798">
        <v>2</v>
      </c>
      <c r="R259" s="802">
        <f>VLOOKUP($E259,[2]tropical!$A$4:$AF$46,[2]tropical!AD$1,FALSE)</f>
        <v>0</v>
      </c>
      <c r="S259" s="802">
        <f>VLOOKUP($E259,[2]tropical!$A$4:$AF$46,[2]tropical!AE$1,FALSE)</f>
        <v>0</v>
      </c>
      <c r="T259" s="802">
        <f>VLOOKUP($E259,[2]tropical!$A$4:$AF$46,[2]tropical!AF$1,FALSE)</f>
        <v>0</v>
      </c>
      <c r="U259" s="798">
        <f t="shared" si="3"/>
        <v>70</v>
      </c>
    </row>
    <row r="260" spans="1:21">
      <c r="A260" s="788">
        <v>8259</v>
      </c>
      <c r="B260" s="788" t="s">
        <v>1594</v>
      </c>
      <c r="C260" s="788">
        <v>208</v>
      </c>
      <c r="D260" s="788" t="s">
        <v>24</v>
      </c>
      <c r="E260" s="790" t="s">
        <v>1743</v>
      </c>
      <c r="F260" s="790" t="s">
        <v>2616</v>
      </c>
      <c r="G260" s="798">
        <v>1</v>
      </c>
      <c r="H260" s="798">
        <v>7</v>
      </c>
      <c r="I260" s="798">
        <v>11</v>
      </c>
      <c r="J260" s="798">
        <v>2</v>
      </c>
      <c r="K260" s="798">
        <v>2</v>
      </c>
      <c r="L260" s="798">
        <v>5</v>
      </c>
      <c r="M260" s="798">
        <v>4</v>
      </c>
      <c r="N260" s="798">
        <v>0</v>
      </c>
      <c r="O260" s="798">
        <v>7</v>
      </c>
      <c r="P260" s="798">
        <v>0</v>
      </c>
      <c r="Q260" s="798">
        <v>0</v>
      </c>
      <c r="R260" s="802">
        <f>VLOOKUP($E260,[2]tropical!$A$4:$AF$46,[2]tropical!AD$1,FALSE)</f>
        <v>0</v>
      </c>
      <c r="S260" s="802">
        <f>VLOOKUP($E260,[2]tropical!$A$4:$AF$46,[2]tropical!AE$1,FALSE)</f>
        <v>0</v>
      </c>
      <c r="T260" s="802">
        <f>VLOOKUP($E260,[2]tropical!$A$4:$AF$46,[2]tropical!AF$1,FALSE)</f>
        <v>0</v>
      </c>
      <c r="U260" s="798">
        <f t="shared" si="3"/>
        <v>39</v>
      </c>
    </row>
    <row r="261" spans="1:21">
      <c r="A261" s="788">
        <v>8260</v>
      </c>
      <c r="B261" s="788" t="s">
        <v>1598</v>
      </c>
      <c r="C261" s="788">
        <v>74</v>
      </c>
      <c r="D261" s="788" t="s">
        <v>89</v>
      </c>
      <c r="E261" s="790" t="s">
        <v>1605</v>
      </c>
      <c r="F261" s="790" t="s">
        <v>2615</v>
      </c>
      <c r="G261" s="798">
        <v>2</v>
      </c>
      <c r="H261" s="798">
        <v>5</v>
      </c>
      <c r="I261" s="798">
        <v>9</v>
      </c>
      <c r="J261" s="798">
        <v>1</v>
      </c>
      <c r="K261" s="798">
        <v>3</v>
      </c>
      <c r="L261" s="798">
        <v>6</v>
      </c>
      <c r="M261" s="798">
        <v>4</v>
      </c>
      <c r="N261" s="798">
        <v>0</v>
      </c>
      <c r="O261" s="798">
        <v>7</v>
      </c>
      <c r="P261" s="798">
        <v>0</v>
      </c>
      <c r="Q261" s="798">
        <v>0</v>
      </c>
      <c r="R261" s="802">
        <f>VLOOKUP($E261,[2]tropical!$A$4:$AF$46,[2]tropical!AD$1,FALSE)</f>
        <v>0</v>
      </c>
      <c r="S261" s="802">
        <f>VLOOKUP($E261,[2]tropical!$A$4:$AF$46,[2]tropical!AE$1,FALSE)</f>
        <v>0</v>
      </c>
      <c r="T261" s="802">
        <f>VLOOKUP($E261,[2]tropical!$A$4:$AF$46,[2]tropical!AF$1,FALSE)</f>
        <v>0</v>
      </c>
      <c r="U261" s="798">
        <f t="shared" ref="U261:U314" si="4">SUM(G261:T261)</f>
        <v>37</v>
      </c>
    </row>
    <row r="262" spans="1:21">
      <c r="A262" s="788">
        <v>8261</v>
      </c>
      <c r="B262" s="788" t="s">
        <v>354</v>
      </c>
      <c r="C262" s="788">
        <v>10</v>
      </c>
      <c r="D262" s="788" t="s">
        <v>86</v>
      </c>
      <c r="E262" s="790" t="s">
        <v>343</v>
      </c>
      <c r="F262" s="790" t="s">
        <v>2615</v>
      </c>
      <c r="G262" s="798">
        <v>0</v>
      </c>
      <c r="H262" s="798">
        <v>0</v>
      </c>
      <c r="I262" s="798">
        <v>0</v>
      </c>
      <c r="J262" s="798">
        <v>0</v>
      </c>
      <c r="K262" s="798">
        <v>0</v>
      </c>
      <c r="L262" s="798">
        <v>0</v>
      </c>
      <c r="M262" s="798">
        <v>0</v>
      </c>
      <c r="N262" s="798">
        <v>0</v>
      </c>
      <c r="O262" s="798">
        <v>0</v>
      </c>
      <c r="P262" s="798">
        <v>0</v>
      </c>
      <c r="Q262" s="798">
        <v>0</v>
      </c>
      <c r="R262" s="802">
        <f>VLOOKUP($E262,[2]tropical!$A$4:$AF$46,[2]tropical!AD$1,FALSE)</f>
        <v>0</v>
      </c>
      <c r="S262" s="802">
        <f>VLOOKUP($E262,[2]tropical!$A$4:$AF$46,[2]tropical!AE$1,FALSE)</f>
        <v>0</v>
      </c>
      <c r="T262" s="802">
        <f>VLOOKUP($E262,[2]tropical!$A$4:$AF$46,[2]tropical!AF$1,FALSE)</f>
        <v>0</v>
      </c>
      <c r="U262" s="798">
        <f t="shared" si="4"/>
        <v>0</v>
      </c>
    </row>
    <row r="263" spans="1:21">
      <c r="A263" s="788">
        <v>8262</v>
      </c>
      <c r="B263" s="788" t="s">
        <v>1600</v>
      </c>
      <c r="C263" s="788">
        <v>176</v>
      </c>
      <c r="D263" s="788" t="s">
        <v>82</v>
      </c>
      <c r="E263" s="790" t="s">
        <v>2610</v>
      </c>
      <c r="F263" s="790" t="s">
        <v>2616</v>
      </c>
      <c r="G263" s="798">
        <v>7</v>
      </c>
      <c r="H263" s="798">
        <v>19</v>
      </c>
      <c r="I263" s="798">
        <v>23</v>
      </c>
      <c r="J263" s="798">
        <v>3</v>
      </c>
      <c r="K263" s="798">
        <v>10</v>
      </c>
      <c r="L263" s="798">
        <v>20</v>
      </c>
      <c r="M263" s="798">
        <v>9</v>
      </c>
      <c r="N263" s="798">
        <v>5</v>
      </c>
      <c r="O263" s="798">
        <v>25</v>
      </c>
      <c r="P263" s="798">
        <v>12</v>
      </c>
      <c r="Q263" s="798">
        <v>5</v>
      </c>
      <c r="R263" s="802">
        <f>VLOOKUP($E263,[2]tropical!$A$4:$AF$46,[2]tropical!AD$1,FALSE)</f>
        <v>0</v>
      </c>
      <c r="S263" s="802">
        <f>VLOOKUP($E263,[2]tropical!$A$4:$AF$46,[2]tropical!AE$1,FALSE)</f>
        <v>0</v>
      </c>
      <c r="T263" s="802">
        <f>VLOOKUP($E263,[2]tropical!$A$4:$AF$46,[2]tropical!AF$1,FALSE)</f>
        <v>0</v>
      </c>
      <c r="U263" s="798">
        <f t="shared" si="4"/>
        <v>138</v>
      </c>
    </row>
    <row r="264" spans="1:21">
      <c r="A264" s="788">
        <v>8263</v>
      </c>
      <c r="B264" s="788" t="s">
        <v>1602</v>
      </c>
      <c r="C264" s="788">
        <v>22</v>
      </c>
      <c r="D264" s="788" t="s">
        <v>90</v>
      </c>
      <c r="E264" s="790" t="s">
        <v>1697</v>
      </c>
      <c r="F264" s="790" t="s">
        <v>2615</v>
      </c>
      <c r="G264" s="798">
        <v>9</v>
      </c>
      <c r="H264" s="798">
        <v>26</v>
      </c>
      <c r="I264" s="798">
        <v>23</v>
      </c>
      <c r="J264" s="798">
        <v>3</v>
      </c>
      <c r="K264" s="798">
        <v>0</v>
      </c>
      <c r="L264" s="798">
        <v>6</v>
      </c>
      <c r="M264" s="798">
        <v>5</v>
      </c>
      <c r="N264" s="798">
        <v>2</v>
      </c>
      <c r="O264" s="798">
        <v>14</v>
      </c>
      <c r="P264" s="798">
        <v>10</v>
      </c>
      <c r="Q264" s="798">
        <v>4</v>
      </c>
      <c r="R264" s="802">
        <f>VLOOKUP($E264,[2]tropical!$A$4:$AF$46,[2]tropical!AD$1,FALSE)</f>
        <v>0</v>
      </c>
      <c r="S264" s="802">
        <f>VLOOKUP($E264,[2]tropical!$A$4:$AF$46,[2]tropical!AE$1,FALSE)</f>
        <v>0</v>
      </c>
      <c r="T264" s="802">
        <f>VLOOKUP($E264,[2]tropical!$A$4:$AF$46,[2]tropical!AF$1,FALSE)</f>
        <v>0</v>
      </c>
      <c r="U264" s="798">
        <f t="shared" si="4"/>
        <v>102</v>
      </c>
    </row>
    <row r="265" spans="1:21">
      <c r="A265" s="788">
        <v>8264</v>
      </c>
      <c r="B265" s="788" t="s">
        <v>355</v>
      </c>
      <c r="C265" s="788">
        <v>143</v>
      </c>
      <c r="D265" s="788" t="s">
        <v>86</v>
      </c>
      <c r="E265" s="790" t="s">
        <v>352</v>
      </c>
      <c r="F265" s="790" t="s">
        <v>2615</v>
      </c>
      <c r="G265" s="798">
        <v>0</v>
      </c>
      <c r="H265" s="798">
        <v>1</v>
      </c>
      <c r="I265" s="798">
        <v>0</v>
      </c>
      <c r="J265" s="798">
        <v>0</v>
      </c>
      <c r="K265" s="798">
        <v>0</v>
      </c>
      <c r="L265" s="798">
        <v>1</v>
      </c>
      <c r="M265" s="798">
        <v>0</v>
      </c>
      <c r="N265" s="798">
        <v>0</v>
      </c>
      <c r="O265" s="798">
        <v>0</v>
      </c>
      <c r="P265" s="798">
        <v>0</v>
      </c>
      <c r="Q265" s="798">
        <v>0</v>
      </c>
      <c r="R265" s="802">
        <f>VLOOKUP($E265,[2]tropical!$A$4:$AF$46,[2]tropical!AD$1,FALSE)</f>
        <v>0</v>
      </c>
      <c r="S265" s="802">
        <f>VLOOKUP($E265,[2]tropical!$A$4:$AF$46,[2]tropical!AE$1,FALSE)</f>
        <v>0</v>
      </c>
      <c r="T265" s="802">
        <f>VLOOKUP($E265,[2]tropical!$A$4:$AF$46,[2]tropical!AF$1,FALSE)</f>
        <v>0</v>
      </c>
      <c r="U265" s="798">
        <f t="shared" si="4"/>
        <v>2</v>
      </c>
    </row>
    <row r="266" spans="1:21">
      <c r="A266" s="788">
        <v>8265</v>
      </c>
      <c r="B266" s="788" t="s">
        <v>1604</v>
      </c>
      <c r="C266" s="788">
        <v>555</v>
      </c>
      <c r="D266" s="788" t="s">
        <v>88</v>
      </c>
      <c r="E266" s="790" t="s">
        <v>1127</v>
      </c>
      <c r="F266" s="790" t="s">
        <v>2617</v>
      </c>
      <c r="G266" s="798">
        <v>1</v>
      </c>
      <c r="H266" s="798">
        <v>9</v>
      </c>
      <c r="I266" s="798">
        <v>16</v>
      </c>
      <c r="J266" s="798">
        <v>7</v>
      </c>
      <c r="K266" s="798">
        <v>4</v>
      </c>
      <c r="L266" s="798">
        <v>11</v>
      </c>
      <c r="M266" s="798">
        <v>8</v>
      </c>
      <c r="N266" s="798">
        <v>5</v>
      </c>
      <c r="O266" s="798">
        <v>21</v>
      </c>
      <c r="P266" s="798">
        <v>0</v>
      </c>
      <c r="Q266" s="798">
        <v>1</v>
      </c>
      <c r="R266" s="802">
        <f>VLOOKUP($E266,[2]tropical!$A$4:$AF$46,[2]tropical!AD$1,FALSE)</f>
        <v>0</v>
      </c>
      <c r="S266" s="802">
        <f>VLOOKUP($E266,[2]tropical!$A$4:$AF$46,[2]tropical!AE$1,FALSE)</f>
        <v>0</v>
      </c>
      <c r="T266" s="802">
        <f>VLOOKUP($E266,[2]tropical!$A$4:$AF$46,[2]tropical!AF$1,FALSE)</f>
        <v>0</v>
      </c>
      <c r="U266" s="798">
        <f t="shared" si="4"/>
        <v>83</v>
      </c>
    </row>
    <row r="267" spans="1:21">
      <c r="A267" s="788">
        <v>8266</v>
      </c>
      <c r="B267" s="788" t="s">
        <v>1605</v>
      </c>
      <c r="C267" s="788">
        <v>82</v>
      </c>
      <c r="D267" s="788" t="s">
        <v>89</v>
      </c>
      <c r="E267" s="790" t="s">
        <v>1605</v>
      </c>
      <c r="F267" s="790" t="s">
        <v>2615</v>
      </c>
      <c r="G267" s="798">
        <v>2</v>
      </c>
      <c r="H267" s="798">
        <v>5</v>
      </c>
      <c r="I267" s="798">
        <v>9</v>
      </c>
      <c r="J267" s="798">
        <v>1</v>
      </c>
      <c r="K267" s="798">
        <v>3</v>
      </c>
      <c r="L267" s="798">
        <v>6</v>
      </c>
      <c r="M267" s="798">
        <v>4</v>
      </c>
      <c r="N267" s="798">
        <v>0</v>
      </c>
      <c r="O267" s="798">
        <v>7</v>
      </c>
      <c r="P267" s="798">
        <v>0</v>
      </c>
      <c r="Q267" s="798">
        <v>0</v>
      </c>
      <c r="R267" s="802">
        <f>VLOOKUP($E267,[2]tropical!$A$4:$AF$46,[2]tropical!AD$1,FALSE)</f>
        <v>0</v>
      </c>
      <c r="S267" s="802">
        <f>VLOOKUP($E267,[2]tropical!$A$4:$AF$46,[2]tropical!AE$1,FALSE)</f>
        <v>0</v>
      </c>
      <c r="T267" s="802">
        <f>VLOOKUP($E267,[2]tropical!$A$4:$AF$46,[2]tropical!AF$1,FALSE)</f>
        <v>0</v>
      </c>
      <c r="U267" s="798">
        <f t="shared" si="4"/>
        <v>37</v>
      </c>
    </row>
    <row r="268" spans="1:21">
      <c r="A268" s="788">
        <v>8267</v>
      </c>
      <c r="B268" s="788" t="s">
        <v>1608</v>
      </c>
      <c r="C268" s="788">
        <v>207</v>
      </c>
      <c r="D268" s="788" t="s">
        <v>89</v>
      </c>
      <c r="E268" s="790" t="s">
        <v>867</v>
      </c>
      <c r="F268" s="790" t="s">
        <v>2616</v>
      </c>
      <c r="G268" s="798">
        <v>0</v>
      </c>
      <c r="H268" s="798">
        <v>3</v>
      </c>
      <c r="I268" s="798">
        <v>9</v>
      </c>
      <c r="J268" s="798">
        <v>4</v>
      </c>
      <c r="K268" s="798">
        <v>7</v>
      </c>
      <c r="L268" s="798">
        <v>7</v>
      </c>
      <c r="M268" s="798">
        <v>4</v>
      </c>
      <c r="N268" s="798">
        <v>0</v>
      </c>
      <c r="O268" s="798">
        <v>7</v>
      </c>
      <c r="P268" s="798">
        <v>1</v>
      </c>
      <c r="Q268" s="798">
        <v>0</v>
      </c>
      <c r="R268" s="802">
        <f>VLOOKUP($E268,[2]tropical!$A$4:$AF$46,[2]tropical!AD$1,FALSE)</f>
        <v>0</v>
      </c>
      <c r="S268" s="802">
        <f>VLOOKUP($E268,[2]tropical!$A$4:$AF$46,[2]tropical!AE$1,FALSE)</f>
        <v>0</v>
      </c>
      <c r="T268" s="802">
        <f>VLOOKUP($E268,[2]tropical!$A$4:$AF$46,[2]tropical!AF$1,FALSE)</f>
        <v>0</v>
      </c>
      <c r="U268" s="798">
        <f t="shared" si="4"/>
        <v>42</v>
      </c>
    </row>
    <row r="269" spans="1:21">
      <c r="A269" s="788">
        <v>8268</v>
      </c>
      <c r="B269" s="788" t="s">
        <v>1610</v>
      </c>
      <c r="C269" s="788">
        <v>650</v>
      </c>
      <c r="D269" s="788" t="s">
        <v>84</v>
      </c>
      <c r="E269" s="790" t="s">
        <v>1125</v>
      </c>
      <c r="F269" s="790" t="s">
        <v>2617</v>
      </c>
      <c r="G269" s="798">
        <v>3</v>
      </c>
      <c r="H269" s="798">
        <v>0</v>
      </c>
      <c r="I269" s="798">
        <v>1</v>
      </c>
      <c r="J269" s="798">
        <v>2</v>
      </c>
      <c r="K269" s="798">
        <v>0</v>
      </c>
      <c r="L269" s="798">
        <v>0</v>
      </c>
      <c r="M269" s="798">
        <v>0</v>
      </c>
      <c r="N269" s="798">
        <v>0</v>
      </c>
      <c r="O269" s="798">
        <v>5</v>
      </c>
      <c r="P269" s="798">
        <v>0</v>
      </c>
      <c r="Q269" s="798">
        <v>0</v>
      </c>
      <c r="R269" s="802">
        <f>VLOOKUP($E269,[2]tropical!$A$4:$AF$46,[2]tropical!AD$1,FALSE)</f>
        <v>0</v>
      </c>
      <c r="S269" s="802">
        <f>VLOOKUP($E269,[2]tropical!$A$4:$AF$46,[2]tropical!AE$1,FALSE)</f>
        <v>0</v>
      </c>
      <c r="T269" s="802">
        <f>VLOOKUP($E269,[2]tropical!$A$4:$AF$46,[2]tropical!AF$1,FALSE)</f>
        <v>0</v>
      </c>
      <c r="U269" s="798">
        <f t="shared" si="4"/>
        <v>11</v>
      </c>
    </row>
    <row r="270" spans="1:21">
      <c r="A270" s="788">
        <v>8269</v>
      </c>
      <c r="B270" s="788" t="s">
        <v>1614</v>
      </c>
      <c r="C270" s="788">
        <v>663</v>
      </c>
      <c r="D270" s="788" t="s">
        <v>88</v>
      </c>
      <c r="E270" s="790" t="s">
        <v>1127</v>
      </c>
      <c r="F270" s="790" t="s">
        <v>2617</v>
      </c>
      <c r="G270" s="798">
        <v>1</v>
      </c>
      <c r="H270" s="798">
        <v>9</v>
      </c>
      <c r="I270" s="798">
        <v>16</v>
      </c>
      <c r="J270" s="798">
        <v>7</v>
      </c>
      <c r="K270" s="798">
        <v>4</v>
      </c>
      <c r="L270" s="798">
        <v>11</v>
      </c>
      <c r="M270" s="798">
        <v>8</v>
      </c>
      <c r="N270" s="798">
        <v>5</v>
      </c>
      <c r="O270" s="798">
        <v>21</v>
      </c>
      <c r="P270" s="798">
        <v>0</v>
      </c>
      <c r="Q270" s="798">
        <v>1</v>
      </c>
      <c r="R270" s="802">
        <f>VLOOKUP($E270,[2]tropical!$A$4:$AF$46,[2]tropical!AD$1,FALSE)</f>
        <v>0</v>
      </c>
      <c r="S270" s="802">
        <f>VLOOKUP($E270,[2]tropical!$A$4:$AF$46,[2]tropical!AE$1,FALSE)</f>
        <v>0</v>
      </c>
      <c r="T270" s="802">
        <f>VLOOKUP($E270,[2]tropical!$A$4:$AF$46,[2]tropical!AF$1,FALSE)</f>
        <v>0</v>
      </c>
      <c r="U270" s="798">
        <f t="shared" si="4"/>
        <v>83</v>
      </c>
    </row>
    <row r="271" spans="1:21">
      <c r="A271" s="788">
        <v>8270</v>
      </c>
      <c r="B271" s="788" t="s">
        <v>356</v>
      </c>
      <c r="C271" s="788">
        <v>10</v>
      </c>
      <c r="D271" s="788" t="s">
        <v>85</v>
      </c>
      <c r="E271" s="790" t="s">
        <v>2609</v>
      </c>
      <c r="F271" s="790" t="s">
        <v>2615</v>
      </c>
      <c r="G271" s="798">
        <v>1</v>
      </c>
      <c r="H271" s="798">
        <v>4</v>
      </c>
      <c r="I271" s="798">
        <v>5</v>
      </c>
      <c r="J271" s="798">
        <v>1</v>
      </c>
      <c r="K271" s="798">
        <v>0</v>
      </c>
      <c r="L271" s="798">
        <v>3</v>
      </c>
      <c r="M271" s="798">
        <v>1</v>
      </c>
      <c r="N271" s="798">
        <v>1</v>
      </c>
      <c r="O271" s="798">
        <v>1</v>
      </c>
      <c r="P271" s="798">
        <v>2</v>
      </c>
      <c r="Q271" s="798">
        <v>0</v>
      </c>
      <c r="R271" s="802">
        <f>VLOOKUP($E271,[2]tropical!$A$4:$AF$46,[2]tropical!AD$1,FALSE)</f>
        <v>0</v>
      </c>
      <c r="S271" s="802">
        <f>VLOOKUP($E271,[2]tropical!$A$4:$AF$46,[2]tropical!AE$1,FALSE)</f>
        <v>0</v>
      </c>
      <c r="T271" s="802">
        <f>VLOOKUP($E271,[2]tropical!$A$4:$AF$46,[2]tropical!AF$1,FALSE)</f>
        <v>0</v>
      </c>
      <c r="U271" s="798">
        <f t="shared" si="4"/>
        <v>19</v>
      </c>
    </row>
    <row r="272" spans="1:21">
      <c r="A272" s="788">
        <v>8271</v>
      </c>
      <c r="B272" s="788" t="s">
        <v>1621</v>
      </c>
      <c r="C272" s="788">
        <v>881</v>
      </c>
      <c r="D272" s="788" t="s">
        <v>88</v>
      </c>
      <c r="E272" s="790" t="s">
        <v>1326</v>
      </c>
      <c r="F272" s="790" t="s">
        <v>2617</v>
      </c>
      <c r="G272" s="798">
        <v>0</v>
      </c>
      <c r="H272" s="798">
        <v>0</v>
      </c>
      <c r="I272" s="798">
        <v>2</v>
      </c>
      <c r="J272" s="798">
        <v>1</v>
      </c>
      <c r="K272" s="798">
        <v>0</v>
      </c>
      <c r="L272" s="798">
        <v>0</v>
      </c>
      <c r="M272" s="798">
        <v>0</v>
      </c>
      <c r="N272" s="798">
        <v>0</v>
      </c>
      <c r="O272" s="798">
        <v>7</v>
      </c>
      <c r="P272" s="798">
        <v>0</v>
      </c>
      <c r="Q272" s="798">
        <v>0</v>
      </c>
      <c r="R272" s="802">
        <f>VLOOKUP($E272,[2]tropical!$A$4:$AF$46,[2]tropical!AD$1,FALSE)</f>
        <v>0</v>
      </c>
      <c r="S272" s="802">
        <f>VLOOKUP($E272,[2]tropical!$A$4:$AF$46,[2]tropical!AE$1,FALSE)</f>
        <v>0</v>
      </c>
      <c r="T272" s="802">
        <f>VLOOKUP($E272,[2]tropical!$A$4:$AF$46,[2]tropical!AF$1,FALSE)</f>
        <v>0</v>
      </c>
      <c r="U272" s="798">
        <f t="shared" si="4"/>
        <v>10</v>
      </c>
    </row>
    <row r="273" spans="1:21">
      <c r="A273" s="788">
        <v>8272</v>
      </c>
      <c r="B273" s="788" t="s">
        <v>1625</v>
      </c>
      <c r="C273" s="788">
        <v>716</v>
      </c>
      <c r="D273" s="788" t="s">
        <v>88</v>
      </c>
      <c r="E273" s="790" t="s">
        <v>1326</v>
      </c>
      <c r="F273" s="790" t="s">
        <v>2617</v>
      </c>
      <c r="G273" s="798">
        <v>0</v>
      </c>
      <c r="H273" s="798">
        <v>0</v>
      </c>
      <c r="I273" s="798">
        <v>2</v>
      </c>
      <c r="J273" s="798">
        <v>1</v>
      </c>
      <c r="K273" s="798">
        <v>0</v>
      </c>
      <c r="L273" s="798">
        <v>0</v>
      </c>
      <c r="M273" s="798">
        <v>0</v>
      </c>
      <c r="N273" s="798">
        <v>0</v>
      </c>
      <c r="O273" s="798">
        <v>7</v>
      </c>
      <c r="P273" s="798">
        <v>0</v>
      </c>
      <c r="Q273" s="798">
        <v>0</v>
      </c>
      <c r="R273" s="802">
        <f>VLOOKUP($E273,[2]tropical!$A$4:$AF$46,[2]tropical!AD$1,FALSE)</f>
        <v>0</v>
      </c>
      <c r="S273" s="802">
        <f>VLOOKUP($E273,[2]tropical!$A$4:$AF$46,[2]tropical!AE$1,FALSE)</f>
        <v>0</v>
      </c>
      <c r="T273" s="802">
        <f>VLOOKUP($E273,[2]tropical!$A$4:$AF$46,[2]tropical!AF$1,FALSE)</f>
        <v>0</v>
      </c>
      <c r="U273" s="798">
        <f t="shared" si="4"/>
        <v>10</v>
      </c>
    </row>
    <row r="274" spans="1:21">
      <c r="A274" s="788">
        <v>8273</v>
      </c>
      <c r="B274" s="788" t="s">
        <v>1627</v>
      </c>
      <c r="C274" s="788">
        <v>243</v>
      </c>
      <c r="D274" s="788" t="s">
        <v>791</v>
      </c>
      <c r="E274" s="790" t="s">
        <v>1544</v>
      </c>
      <c r="F274" s="790" t="s">
        <v>2616</v>
      </c>
      <c r="G274" s="798">
        <v>0</v>
      </c>
      <c r="H274" s="798">
        <v>0</v>
      </c>
      <c r="I274" s="798">
        <v>4</v>
      </c>
      <c r="J274" s="798">
        <v>2</v>
      </c>
      <c r="K274" s="798">
        <v>0</v>
      </c>
      <c r="L274" s="798">
        <v>9</v>
      </c>
      <c r="M274" s="798">
        <v>4</v>
      </c>
      <c r="N274" s="798">
        <v>4</v>
      </c>
      <c r="O274" s="798">
        <v>9</v>
      </c>
      <c r="P274" s="798">
        <v>4</v>
      </c>
      <c r="Q274" s="798">
        <v>1</v>
      </c>
      <c r="R274" s="802">
        <f>VLOOKUP($E274,[2]tropical!$A$4:$AF$46,[2]tropical!AD$1,FALSE)</f>
        <v>0</v>
      </c>
      <c r="S274" s="802">
        <f>VLOOKUP($E274,[2]tropical!$A$4:$AF$46,[2]tropical!AE$1,FALSE)</f>
        <v>0</v>
      </c>
      <c r="T274" s="802">
        <f>VLOOKUP($E274,[2]tropical!$A$4:$AF$46,[2]tropical!AF$1,FALSE)</f>
        <v>0</v>
      </c>
      <c r="U274" s="798">
        <f t="shared" si="4"/>
        <v>37</v>
      </c>
    </row>
    <row r="275" spans="1:21">
      <c r="A275" s="788">
        <v>8274</v>
      </c>
      <c r="B275" s="788" t="s">
        <v>1631</v>
      </c>
      <c r="C275" s="788">
        <v>326</v>
      </c>
      <c r="D275" s="788" t="s">
        <v>82</v>
      </c>
      <c r="E275" s="790" t="s">
        <v>1004</v>
      </c>
      <c r="F275" s="790" t="s">
        <v>2616</v>
      </c>
      <c r="G275" s="798">
        <v>5</v>
      </c>
      <c r="H275" s="798">
        <v>8</v>
      </c>
      <c r="I275" s="798">
        <v>9</v>
      </c>
      <c r="J275" s="798">
        <v>2</v>
      </c>
      <c r="K275" s="798">
        <v>2</v>
      </c>
      <c r="L275" s="798">
        <v>12</v>
      </c>
      <c r="M275" s="798">
        <v>6</v>
      </c>
      <c r="N275" s="798">
        <v>5</v>
      </c>
      <c r="O275" s="798">
        <v>18</v>
      </c>
      <c r="P275" s="798">
        <v>1</v>
      </c>
      <c r="Q275" s="798">
        <v>2</v>
      </c>
      <c r="R275" s="802">
        <f>VLOOKUP($E275,[2]tropical!$A$4:$AF$46,[2]tropical!AD$1,FALSE)</f>
        <v>0</v>
      </c>
      <c r="S275" s="802">
        <f>VLOOKUP($E275,[2]tropical!$A$4:$AF$46,[2]tropical!AE$1,FALSE)</f>
        <v>0</v>
      </c>
      <c r="T275" s="802">
        <f>VLOOKUP($E275,[2]tropical!$A$4:$AF$46,[2]tropical!AF$1,FALSE)</f>
        <v>0</v>
      </c>
      <c r="U275" s="798">
        <f t="shared" si="4"/>
        <v>70</v>
      </c>
    </row>
    <row r="276" spans="1:21">
      <c r="A276" s="788">
        <v>8275</v>
      </c>
      <c r="B276" s="788" t="s">
        <v>1634</v>
      </c>
      <c r="C276" s="788">
        <v>537</v>
      </c>
      <c r="D276" s="788" t="s">
        <v>88</v>
      </c>
      <c r="E276" s="790" t="s">
        <v>1127</v>
      </c>
      <c r="F276" s="790" t="s">
        <v>2617</v>
      </c>
      <c r="G276" s="798">
        <v>1</v>
      </c>
      <c r="H276" s="798">
        <v>9</v>
      </c>
      <c r="I276" s="798">
        <v>16</v>
      </c>
      <c r="J276" s="798">
        <v>7</v>
      </c>
      <c r="K276" s="798">
        <v>4</v>
      </c>
      <c r="L276" s="798">
        <v>11</v>
      </c>
      <c r="M276" s="798">
        <v>8</v>
      </c>
      <c r="N276" s="798">
        <v>5</v>
      </c>
      <c r="O276" s="798">
        <v>21</v>
      </c>
      <c r="P276" s="798">
        <v>0</v>
      </c>
      <c r="Q276" s="798">
        <v>1</v>
      </c>
      <c r="R276" s="802">
        <f>VLOOKUP($E276,[2]tropical!$A$4:$AF$46,[2]tropical!AD$1,FALSE)</f>
        <v>0</v>
      </c>
      <c r="S276" s="802">
        <f>VLOOKUP($E276,[2]tropical!$A$4:$AF$46,[2]tropical!AE$1,FALSE)</f>
        <v>0</v>
      </c>
      <c r="T276" s="802">
        <f>VLOOKUP($E276,[2]tropical!$A$4:$AF$46,[2]tropical!AF$1,FALSE)</f>
        <v>0</v>
      </c>
      <c r="U276" s="798">
        <f t="shared" si="4"/>
        <v>83</v>
      </c>
    </row>
    <row r="277" spans="1:21">
      <c r="A277" s="788">
        <v>8276</v>
      </c>
      <c r="B277" s="788" t="s">
        <v>1636</v>
      </c>
      <c r="C277" s="788">
        <v>354</v>
      </c>
      <c r="D277" s="788" t="s">
        <v>24</v>
      </c>
      <c r="E277" s="790" t="s">
        <v>1743</v>
      </c>
      <c r="F277" s="790" t="s">
        <v>2616</v>
      </c>
      <c r="G277" s="798">
        <v>1</v>
      </c>
      <c r="H277" s="798">
        <v>7</v>
      </c>
      <c r="I277" s="798">
        <v>11</v>
      </c>
      <c r="J277" s="798">
        <v>2</v>
      </c>
      <c r="K277" s="798">
        <v>2</v>
      </c>
      <c r="L277" s="798">
        <v>5</v>
      </c>
      <c r="M277" s="798">
        <v>4</v>
      </c>
      <c r="N277" s="798">
        <v>0</v>
      </c>
      <c r="O277" s="798">
        <v>7</v>
      </c>
      <c r="P277" s="798">
        <v>0</v>
      </c>
      <c r="Q277" s="798">
        <v>0</v>
      </c>
      <c r="R277" s="802">
        <f>VLOOKUP($E277,[2]tropical!$A$4:$AF$46,[2]tropical!AD$1,FALSE)</f>
        <v>0</v>
      </c>
      <c r="S277" s="802">
        <f>VLOOKUP($E277,[2]tropical!$A$4:$AF$46,[2]tropical!AE$1,FALSE)</f>
        <v>0</v>
      </c>
      <c r="T277" s="802">
        <f>VLOOKUP($E277,[2]tropical!$A$4:$AF$46,[2]tropical!AF$1,FALSE)</f>
        <v>0</v>
      </c>
      <c r="U277" s="798">
        <f t="shared" si="4"/>
        <v>39</v>
      </c>
    </row>
    <row r="278" spans="1:21">
      <c r="A278" s="788">
        <v>8277</v>
      </c>
      <c r="B278" s="788" t="s">
        <v>1639</v>
      </c>
      <c r="C278" s="788">
        <v>552</v>
      </c>
      <c r="D278" s="788" t="s">
        <v>82</v>
      </c>
      <c r="E278" s="790" t="s">
        <v>767</v>
      </c>
      <c r="F278" s="790" t="s">
        <v>2616</v>
      </c>
      <c r="G278" s="798">
        <v>0</v>
      </c>
      <c r="H278" s="798">
        <v>0</v>
      </c>
      <c r="I278" s="798">
        <v>27</v>
      </c>
      <c r="J278" s="798">
        <v>10</v>
      </c>
      <c r="K278" s="798">
        <v>13</v>
      </c>
      <c r="L278" s="798">
        <v>30</v>
      </c>
      <c r="M278" s="798">
        <v>11</v>
      </c>
      <c r="N278" s="798">
        <v>11</v>
      </c>
      <c r="O278" s="798">
        <v>26</v>
      </c>
      <c r="P278" s="798">
        <v>12</v>
      </c>
      <c r="Q278" s="798">
        <v>3</v>
      </c>
      <c r="R278" s="802">
        <f>VLOOKUP($E278,[2]tropical!$A$4:$AF$46,[2]tropical!AD$1,FALSE)</f>
        <v>0</v>
      </c>
      <c r="S278" s="802">
        <f>VLOOKUP($E278,[2]tropical!$A$4:$AF$46,[2]tropical!AE$1,FALSE)</f>
        <v>0</v>
      </c>
      <c r="T278" s="802">
        <f>VLOOKUP($E278,[2]tropical!$A$4:$AF$46,[2]tropical!AF$1,FALSE)</f>
        <v>0</v>
      </c>
      <c r="U278" s="798">
        <f t="shared" si="4"/>
        <v>143</v>
      </c>
    </row>
    <row r="279" spans="1:21">
      <c r="A279" s="788">
        <v>8278</v>
      </c>
      <c r="B279" s="788" t="s">
        <v>1641</v>
      </c>
      <c r="C279" s="788">
        <v>623</v>
      </c>
      <c r="D279" s="788" t="s">
        <v>88</v>
      </c>
      <c r="E279" s="790" t="s">
        <v>1127</v>
      </c>
      <c r="F279" s="790" t="s">
        <v>2617</v>
      </c>
      <c r="G279" s="798">
        <v>1</v>
      </c>
      <c r="H279" s="798">
        <v>9</v>
      </c>
      <c r="I279" s="798">
        <v>16</v>
      </c>
      <c r="J279" s="798">
        <v>7</v>
      </c>
      <c r="K279" s="798">
        <v>4</v>
      </c>
      <c r="L279" s="798">
        <v>11</v>
      </c>
      <c r="M279" s="798">
        <v>8</v>
      </c>
      <c r="N279" s="798">
        <v>5</v>
      </c>
      <c r="O279" s="798">
        <v>21</v>
      </c>
      <c r="P279" s="798">
        <v>0</v>
      </c>
      <c r="Q279" s="798">
        <v>1</v>
      </c>
      <c r="R279" s="802">
        <f>VLOOKUP($E279,[2]tropical!$A$4:$AF$46,[2]tropical!AD$1,FALSE)</f>
        <v>0</v>
      </c>
      <c r="S279" s="802">
        <f>VLOOKUP($E279,[2]tropical!$A$4:$AF$46,[2]tropical!AE$1,FALSE)</f>
        <v>0</v>
      </c>
      <c r="T279" s="802">
        <f>VLOOKUP($E279,[2]tropical!$A$4:$AF$46,[2]tropical!AF$1,FALSE)</f>
        <v>0</v>
      </c>
      <c r="U279" s="798">
        <f t="shared" si="4"/>
        <v>83</v>
      </c>
    </row>
    <row r="280" spans="1:21">
      <c r="A280" s="788">
        <v>8279</v>
      </c>
      <c r="B280" s="788" t="s">
        <v>967</v>
      </c>
      <c r="C280" s="788">
        <v>277</v>
      </c>
      <c r="D280" s="788" t="s">
        <v>89</v>
      </c>
      <c r="E280" s="790" t="s">
        <v>1605</v>
      </c>
      <c r="F280" s="790" t="s">
        <v>2615</v>
      </c>
      <c r="G280" s="798">
        <v>2</v>
      </c>
      <c r="H280" s="798">
        <v>5</v>
      </c>
      <c r="I280" s="798">
        <v>9</v>
      </c>
      <c r="J280" s="798">
        <v>1</v>
      </c>
      <c r="K280" s="798">
        <v>3</v>
      </c>
      <c r="L280" s="798">
        <v>6</v>
      </c>
      <c r="M280" s="798">
        <v>4</v>
      </c>
      <c r="N280" s="798">
        <v>0</v>
      </c>
      <c r="O280" s="798">
        <v>7</v>
      </c>
      <c r="P280" s="798">
        <v>0</v>
      </c>
      <c r="Q280" s="798">
        <v>0</v>
      </c>
      <c r="R280" s="802">
        <f>VLOOKUP($E280,[2]tropical!$A$4:$AF$46,[2]tropical!AD$1,FALSE)</f>
        <v>0</v>
      </c>
      <c r="S280" s="802">
        <f>VLOOKUP($E280,[2]tropical!$A$4:$AF$46,[2]tropical!AE$1,FALSE)</f>
        <v>0</v>
      </c>
      <c r="T280" s="802">
        <f>VLOOKUP($E280,[2]tropical!$A$4:$AF$46,[2]tropical!AF$1,FALSE)</f>
        <v>0</v>
      </c>
      <c r="U280" s="798">
        <f t="shared" si="4"/>
        <v>37</v>
      </c>
    </row>
    <row r="281" spans="1:21">
      <c r="A281" s="788">
        <v>8280</v>
      </c>
      <c r="B281" s="788" t="s">
        <v>1650</v>
      </c>
      <c r="C281" s="788">
        <v>869</v>
      </c>
      <c r="D281" s="788" t="s">
        <v>88</v>
      </c>
      <c r="E281" s="790" t="s">
        <v>1127</v>
      </c>
      <c r="F281" s="790" t="s">
        <v>2617</v>
      </c>
      <c r="G281" s="798">
        <v>1</v>
      </c>
      <c r="H281" s="798">
        <v>9</v>
      </c>
      <c r="I281" s="798">
        <v>16</v>
      </c>
      <c r="J281" s="798">
        <v>7</v>
      </c>
      <c r="K281" s="798">
        <v>4</v>
      </c>
      <c r="L281" s="798">
        <v>11</v>
      </c>
      <c r="M281" s="798">
        <v>8</v>
      </c>
      <c r="N281" s="798">
        <v>5</v>
      </c>
      <c r="O281" s="798">
        <v>21</v>
      </c>
      <c r="P281" s="798">
        <v>0</v>
      </c>
      <c r="Q281" s="798">
        <v>1</v>
      </c>
      <c r="R281" s="802">
        <f>VLOOKUP($E281,[2]tropical!$A$4:$AF$46,[2]tropical!AD$1,FALSE)</f>
        <v>0</v>
      </c>
      <c r="S281" s="802">
        <f>VLOOKUP($E281,[2]tropical!$A$4:$AF$46,[2]tropical!AE$1,FALSE)</f>
        <v>0</v>
      </c>
      <c r="T281" s="802">
        <f>VLOOKUP($E281,[2]tropical!$A$4:$AF$46,[2]tropical!AF$1,FALSE)</f>
        <v>0</v>
      </c>
      <c r="U281" s="798">
        <f t="shared" si="4"/>
        <v>83</v>
      </c>
    </row>
    <row r="282" spans="1:21">
      <c r="A282" s="788">
        <v>8281</v>
      </c>
      <c r="B282" s="788" t="s">
        <v>1652</v>
      </c>
      <c r="C282" s="788">
        <v>128</v>
      </c>
      <c r="D282" s="788" t="s">
        <v>86</v>
      </c>
      <c r="E282" s="790" t="s">
        <v>352</v>
      </c>
      <c r="F282" s="790" t="s">
        <v>2615</v>
      </c>
      <c r="G282" s="798">
        <v>0</v>
      </c>
      <c r="H282" s="798">
        <v>1</v>
      </c>
      <c r="I282" s="798">
        <v>0</v>
      </c>
      <c r="J282" s="798">
        <v>0</v>
      </c>
      <c r="K282" s="798">
        <v>0</v>
      </c>
      <c r="L282" s="798">
        <v>1</v>
      </c>
      <c r="M282" s="798">
        <v>0</v>
      </c>
      <c r="N282" s="798">
        <v>0</v>
      </c>
      <c r="O282" s="798">
        <v>0</v>
      </c>
      <c r="P282" s="798">
        <v>0</v>
      </c>
      <c r="Q282" s="798">
        <v>0</v>
      </c>
      <c r="R282" s="802">
        <f>VLOOKUP($E282,[2]tropical!$A$4:$AF$46,[2]tropical!AD$1,FALSE)</f>
        <v>0</v>
      </c>
      <c r="S282" s="802">
        <f>VLOOKUP($E282,[2]tropical!$A$4:$AF$46,[2]tropical!AE$1,FALSE)</f>
        <v>0</v>
      </c>
      <c r="T282" s="802">
        <f>VLOOKUP($E282,[2]tropical!$A$4:$AF$46,[2]tropical!AF$1,FALSE)</f>
        <v>0</v>
      </c>
      <c r="U282" s="798">
        <f t="shared" si="4"/>
        <v>2</v>
      </c>
    </row>
    <row r="283" spans="1:21">
      <c r="A283" s="788">
        <v>8282</v>
      </c>
      <c r="B283" s="788" t="s">
        <v>1655</v>
      </c>
      <c r="C283" s="788">
        <v>136</v>
      </c>
      <c r="D283" s="788" t="s">
        <v>86</v>
      </c>
      <c r="E283" s="790" t="s">
        <v>352</v>
      </c>
      <c r="F283" s="790" t="s">
        <v>2615</v>
      </c>
      <c r="G283" s="798">
        <v>0</v>
      </c>
      <c r="H283" s="798">
        <v>1</v>
      </c>
      <c r="I283" s="798">
        <v>0</v>
      </c>
      <c r="J283" s="798">
        <v>0</v>
      </c>
      <c r="K283" s="798">
        <v>0</v>
      </c>
      <c r="L283" s="798">
        <v>1</v>
      </c>
      <c r="M283" s="798">
        <v>0</v>
      </c>
      <c r="N283" s="798">
        <v>0</v>
      </c>
      <c r="O283" s="798">
        <v>0</v>
      </c>
      <c r="P283" s="798">
        <v>0</v>
      </c>
      <c r="Q283" s="798">
        <v>0</v>
      </c>
      <c r="R283" s="802">
        <f>VLOOKUP($E283,[2]tropical!$A$4:$AF$46,[2]tropical!AD$1,FALSE)</f>
        <v>0</v>
      </c>
      <c r="S283" s="802">
        <f>VLOOKUP($E283,[2]tropical!$A$4:$AF$46,[2]tropical!AE$1,FALSE)</f>
        <v>0</v>
      </c>
      <c r="T283" s="802">
        <f>VLOOKUP($E283,[2]tropical!$A$4:$AF$46,[2]tropical!AF$1,FALSE)</f>
        <v>0</v>
      </c>
      <c r="U283" s="798">
        <f t="shared" si="4"/>
        <v>2</v>
      </c>
    </row>
    <row r="284" spans="1:21">
      <c r="A284" s="788">
        <v>8283</v>
      </c>
      <c r="B284" s="788" t="s">
        <v>1658</v>
      </c>
      <c r="C284" s="788">
        <v>596</v>
      </c>
      <c r="D284" s="788" t="s">
        <v>88</v>
      </c>
      <c r="E284" s="790" t="s">
        <v>1127</v>
      </c>
      <c r="F284" s="790" t="s">
        <v>2617</v>
      </c>
      <c r="G284" s="798">
        <v>1</v>
      </c>
      <c r="H284" s="798">
        <v>9</v>
      </c>
      <c r="I284" s="798">
        <v>16</v>
      </c>
      <c r="J284" s="798">
        <v>7</v>
      </c>
      <c r="K284" s="798">
        <v>4</v>
      </c>
      <c r="L284" s="798">
        <v>11</v>
      </c>
      <c r="M284" s="798">
        <v>8</v>
      </c>
      <c r="N284" s="798">
        <v>5</v>
      </c>
      <c r="O284" s="798">
        <v>21</v>
      </c>
      <c r="P284" s="798">
        <v>0</v>
      </c>
      <c r="Q284" s="798">
        <v>1</v>
      </c>
      <c r="R284" s="802">
        <f>VLOOKUP($E284,[2]tropical!$A$4:$AF$46,[2]tropical!AD$1,FALSE)</f>
        <v>0</v>
      </c>
      <c r="S284" s="802">
        <f>VLOOKUP($E284,[2]tropical!$A$4:$AF$46,[2]tropical!AE$1,FALSE)</f>
        <v>0</v>
      </c>
      <c r="T284" s="802">
        <f>VLOOKUP($E284,[2]tropical!$A$4:$AF$46,[2]tropical!AF$1,FALSE)</f>
        <v>0</v>
      </c>
      <c r="U284" s="798">
        <f t="shared" si="4"/>
        <v>83</v>
      </c>
    </row>
    <row r="285" spans="1:21">
      <c r="A285" s="788">
        <v>8284</v>
      </c>
      <c r="B285" s="788" t="s">
        <v>1660</v>
      </c>
      <c r="C285" s="788">
        <v>34</v>
      </c>
      <c r="D285" s="788" t="s">
        <v>86</v>
      </c>
      <c r="E285" s="790" t="s">
        <v>343</v>
      </c>
      <c r="F285" s="790" t="s">
        <v>2615</v>
      </c>
      <c r="G285" s="798">
        <v>0</v>
      </c>
      <c r="H285" s="798">
        <v>0</v>
      </c>
      <c r="I285" s="798">
        <v>0</v>
      </c>
      <c r="J285" s="798">
        <v>0</v>
      </c>
      <c r="K285" s="798">
        <v>0</v>
      </c>
      <c r="L285" s="798">
        <v>0</v>
      </c>
      <c r="M285" s="798">
        <v>0</v>
      </c>
      <c r="N285" s="798">
        <v>0</v>
      </c>
      <c r="O285" s="798">
        <v>0</v>
      </c>
      <c r="P285" s="798">
        <v>0</v>
      </c>
      <c r="Q285" s="798">
        <v>0</v>
      </c>
      <c r="R285" s="802">
        <f>VLOOKUP($E285,[2]tropical!$A$4:$AF$46,[2]tropical!AD$1,FALSE)</f>
        <v>0</v>
      </c>
      <c r="S285" s="802">
        <f>VLOOKUP($E285,[2]tropical!$A$4:$AF$46,[2]tropical!AE$1,FALSE)</f>
        <v>0</v>
      </c>
      <c r="T285" s="802">
        <f>VLOOKUP($E285,[2]tropical!$A$4:$AF$46,[2]tropical!AF$1,FALSE)</f>
        <v>0</v>
      </c>
      <c r="U285" s="798">
        <f t="shared" si="4"/>
        <v>0</v>
      </c>
    </row>
    <row r="286" spans="1:21">
      <c r="A286" s="788">
        <v>8285</v>
      </c>
      <c r="B286" s="788" t="s">
        <v>1667</v>
      </c>
      <c r="C286" s="788">
        <v>508</v>
      </c>
      <c r="D286" s="788" t="s">
        <v>88</v>
      </c>
      <c r="E286" s="790" t="s">
        <v>1301</v>
      </c>
      <c r="F286" s="790" t="s">
        <v>2617</v>
      </c>
      <c r="G286" s="798">
        <v>1</v>
      </c>
      <c r="H286" s="798">
        <v>7</v>
      </c>
      <c r="I286" s="798">
        <v>11</v>
      </c>
      <c r="J286" s="798">
        <v>2</v>
      </c>
      <c r="K286" s="798">
        <v>2</v>
      </c>
      <c r="L286" s="798">
        <v>1</v>
      </c>
      <c r="M286" s="798">
        <v>1</v>
      </c>
      <c r="N286" s="798">
        <v>4</v>
      </c>
      <c r="O286" s="798">
        <v>17</v>
      </c>
      <c r="P286" s="798">
        <v>0</v>
      </c>
      <c r="Q286" s="798">
        <v>0</v>
      </c>
      <c r="R286" s="802">
        <f>VLOOKUP($E286,[2]tropical!$A$4:$AF$46,[2]tropical!AD$1,FALSE)</f>
        <v>0</v>
      </c>
      <c r="S286" s="802">
        <f>VLOOKUP($E286,[2]tropical!$A$4:$AF$46,[2]tropical!AE$1,FALSE)</f>
        <v>0</v>
      </c>
      <c r="T286" s="802">
        <f>VLOOKUP($E286,[2]tropical!$A$4:$AF$46,[2]tropical!AF$1,FALSE)</f>
        <v>0</v>
      </c>
      <c r="U286" s="798">
        <f t="shared" si="4"/>
        <v>46</v>
      </c>
    </row>
    <row r="287" spans="1:21">
      <c r="A287" s="788">
        <v>8286</v>
      </c>
      <c r="B287" s="788" t="s">
        <v>1670</v>
      </c>
      <c r="C287" s="788">
        <v>363</v>
      </c>
      <c r="D287" s="788" t="s">
        <v>81</v>
      </c>
      <c r="E287" s="790" t="s">
        <v>1274</v>
      </c>
      <c r="F287" s="790" t="s">
        <v>2616</v>
      </c>
      <c r="G287" s="798">
        <v>4</v>
      </c>
      <c r="H287" s="798">
        <v>15</v>
      </c>
      <c r="I287" s="798">
        <v>20</v>
      </c>
      <c r="J287" s="798">
        <v>2</v>
      </c>
      <c r="K287" s="798">
        <v>5</v>
      </c>
      <c r="L287" s="798">
        <v>8</v>
      </c>
      <c r="M287" s="798">
        <v>2</v>
      </c>
      <c r="N287" s="798">
        <v>4</v>
      </c>
      <c r="O287" s="798">
        <v>16</v>
      </c>
      <c r="P287" s="798">
        <v>0</v>
      </c>
      <c r="Q287" s="798">
        <v>1</v>
      </c>
      <c r="R287" s="802">
        <f>VLOOKUP($E287,[2]tropical!$A$4:$AF$46,[2]tropical!AD$1,FALSE)</f>
        <v>0</v>
      </c>
      <c r="S287" s="802">
        <f>VLOOKUP($E287,[2]tropical!$A$4:$AF$46,[2]tropical!AE$1,FALSE)</f>
        <v>0</v>
      </c>
      <c r="T287" s="802">
        <f>VLOOKUP($E287,[2]tropical!$A$4:$AF$46,[2]tropical!AF$1,FALSE)</f>
        <v>0</v>
      </c>
      <c r="U287" s="798">
        <f t="shared" si="4"/>
        <v>77</v>
      </c>
    </row>
    <row r="288" spans="1:21">
      <c r="A288" s="788">
        <v>8287</v>
      </c>
      <c r="B288" s="788" t="s">
        <v>1673</v>
      </c>
      <c r="C288" s="788">
        <v>202</v>
      </c>
      <c r="D288" s="788" t="s">
        <v>791</v>
      </c>
      <c r="E288" s="790" t="s">
        <v>1544</v>
      </c>
      <c r="F288" s="790" t="s">
        <v>2616</v>
      </c>
      <c r="G288" s="798">
        <v>0</v>
      </c>
      <c r="H288" s="798">
        <v>0</v>
      </c>
      <c r="I288" s="798">
        <v>4</v>
      </c>
      <c r="J288" s="798">
        <v>2</v>
      </c>
      <c r="K288" s="798">
        <v>0</v>
      </c>
      <c r="L288" s="798">
        <v>9</v>
      </c>
      <c r="M288" s="798">
        <v>4</v>
      </c>
      <c r="N288" s="798">
        <v>4</v>
      </c>
      <c r="O288" s="798">
        <v>9</v>
      </c>
      <c r="P288" s="798">
        <v>4</v>
      </c>
      <c r="Q288" s="798">
        <v>1</v>
      </c>
      <c r="R288" s="802">
        <f>VLOOKUP($E288,[2]tropical!$A$4:$AF$46,[2]tropical!AD$1,FALSE)</f>
        <v>0</v>
      </c>
      <c r="S288" s="802">
        <f>VLOOKUP($E288,[2]tropical!$A$4:$AF$46,[2]tropical!AE$1,FALSE)</f>
        <v>0</v>
      </c>
      <c r="T288" s="802">
        <f>VLOOKUP($E288,[2]tropical!$A$4:$AF$46,[2]tropical!AF$1,FALSE)</f>
        <v>0</v>
      </c>
      <c r="U288" s="798">
        <f t="shared" si="4"/>
        <v>37</v>
      </c>
    </row>
    <row r="289" spans="1:21">
      <c r="A289" s="788">
        <v>8288</v>
      </c>
      <c r="B289" s="788" t="s">
        <v>1677</v>
      </c>
      <c r="C289" s="788">
        <v>367</v>
      </c>
      <c r="D289" s="788" t="s">
        <v>791</v>
      </c>
      <c r="E289" s="790" t="s">
        <v>1506</v>
      </c>
      <c r="F289" s="790" t="s">
        <v>2616</v>
      </c>
      <c r="G289" s="798">
        <v>2</v>
      </c>
      <c r="H289" s="798">
        <v>5</v>
      </c>
      <c r="I289" s="798">
        <v>10</v>
      </c>
      <c r="J289" s="798">
        <v>1</v>
      </c>
      <c r="K289" s="798">
        <v>0</v>
      </c>
      <c r="L289" s="798">
        <v>5</v>
      </c>
      <c r="M289" s="798">
        <v>1</v>
      </c>
      <c r="N289" s="798">
        <v>0</v>
      </c>
      <c r="O289" s="798">
        <v>1</v>
      </c>
      <c r="P289" s="798">
        <v>0</v>
      </c>
      <c r="Q289" s="798">
        <v>0</v>
      </c>
      <c r="R289" s="802">
        <f>VLOOKUP($E289,[2]tropical!$A$4:$AF$46,[2]tropical!AD$1,FALSE)</f>
        <v>0</v>
      </c>
      <c r="S289" s="802">
        <f>VLOOKUP($E289,[2]tropical!$A$4:$AF$46,[2]tropical!AE$1,FALSE)</f>
        <v>0</v>
      </c>
      <c r="T289" s="802">
        <f>VLOOKUP($E289,[2]tropical!$A$4:$AF$46,[2]tropical!AF$1,FALSE)</f>
        <v>0</v>
      </c>
      <c r="U289" s="798">
        <f t="shared" si="4"/>
        <v>25</v>
      </c>
    </row>
    <row r="290" spans="1:21">
      <c r="A290" s="788">
        <v>8289</v>
      </c>
      <c r="B290" s="788" t="s">
        <v>1681</v>
      </c>
      <c r="C290" s="788">
        <v>126</v>
      </c>
      <c r="D290" s="788" t="s">
        <v>90</v>
      </c>
      <c r="E290" s="790" t="s">
        <v>1697</v>
      </c>
      <c r="F290" s="790" t="s">
        <v>2615</v>
      </c>
      <c r="G290" s="798">
        <v>9</v>
      </c>
      <c r="H290" s="798">
        <v>26</v>
      </c>
      <c r="I290" s="798">
        <v>23</v>
      </c>
      <c r="J290" s="798">
        <v>3</v>
      </c>
      <c r="K290" s="798">
        <v>0</v>
      </c>
      <c r="L290" s="798">
        <v>6</v>
      </c>
      <c r="M290" s="798">
        <v>5</v>
      </c>
      <c r="N290" s="798">
        <v>2</v>
      </c>
      <c r="O290" s="798">
        <v>14</v>
      </c>
      <c r="P290" s="798">
        <v>10</v>
      </c>
      <c r="Q290" s="798">
        <v>4</v>
      </c>
      <c r="R290" s="802">
        <f>VLOOKUP($E290,[2]tropical!$A$4:$AF$46,[2]tropical!AD$1,FALSE)</f>
        <v>0</v>
      </c>
      <c r="S290" s="802">
        <f>VLOOKUP($E290,[2]tropical!$A$4:$AF$46,[2]tropical!AE$1,FALSE)</f>
        <v>0</v>
      </c>
      <c r="T290" s="802">
        <f>VLOOKUP($E290,[2]tropical!$A$4:$AF$46,[2]tropical!AF$1,FALSE)</f>
        <v>0</v>
      </c>
      <c r="U290" s="798">
        <f t="shared" si="4"/>
        <v>102</v>
      </c>
    </row>
    <row r="291" spans="1:21">
      <c r="A291" s="788">
        <v>8290</v>
      </c>
      <c r="B291" s="788" t="s">
        <v>1682</v>
      </c>
      <c r="C291" s="788">
        <v>342</v>
      </c>
      <c r="D291" s="788" t="s">
        <v>89</v>
      </c>
      <c r="E291" s="790" t="s">
        <v>1684</v>
      </c>
      <c r="F291" s="790" t="s">
        <v>2616</v>
      </c>
      <c r="G291" s="798">
        <v>3</v>
      </c>
      <c r="H291" s="798">
        <v>5</v>
      </c>
      <c r="I291" s="798">
        <v>9</v>
      </c>
      <c r="J291" s="798">
        <v>2</v>
      </c>
      <c r="K291" s="798">
        <v>3</v>
      </c>
      <c r="L291" s="798">
        <v>7</v>
      </c>
      <c r="M291" s="798">
        <v>1</v>
      </c>
      <c r="N291" s="798">
        <v>2</v>
      </c>
      <c r="O291" s="798">
        <v>6</v>
      </c>
      <c r="P291" s="798">
        <v>0</v>
      </c>
      <c r="Q291" s="798">
        <v>1</v>
      </c>
      <c r="R291" s="802">
        <f>VLOOKUP($E291,[2]tropical!$A$4:$AF$46,[2]tropical!AD$1,FALSE)</f>
        <v>0</v>
      </c>
      <c r="S291" s="802">
        <f>VLOOKUP($E291,[2]tropical!$A$4:$AF$46,[2]tropical!AE$1,FALSE)</f>
        <v>0</v>
      </c>
      <c r="T291" s="802">
        <f>VLOOKUP($E291,[2]tropical!$A$4:$AF$46,[2]tropical!AF$1,FALSE)</f>
        <v>0</v>
      </c>
      <c r="U291" s="798">
        <f t="shared" si="4"/>
        <v>39</v>
      </c>
    </row>
    <row r="292" spans="1:21">
      <c r="A292" s="788">
        <v>8291</v>
      </c>
      <c r="B292" s="788" t="s">
        <v>1684</v>
      </c>
      <c r="C292" s="788">
        <v>382</v>
      </c>
      <c r="D292" s="788" t="s">
        <v>89</v>
      </c>
      <c r="E292" s="790" t="s">
        <v>1684</v>
      </c>
      <c r="F292" s="790" t="s">
        <v>2616</v>
      </c>
      <c r="G292" s="798">
        <v>3</v>
      </c>
      <c r="H292" s="798">
        <v>5</v>
      </c>
      <c r="I292" s="798">
        <v>9</v>
      </c>
      <c r="J292" s="798">
        <v>2</v>
      </c>
      <c r="K292" s="798">
        <v>3</v>
      </c>
      <c r="L292" s="798">
        <v>7</v>
      </c>
      <c r="M292" s="798">
        <v>1</v>
      </c>
      <c r="N292" s="798">
        <v>2</v>
      </c>
      <c r="O292" s="798">
        <v>6</v>
      </c>
      <c r="P292" s="798">
        <v>0</v>
      </c>
      <c r="Q292" s="798">
        <v>1</v>
      </c>
      <c r="R292" s="802">
        <f>VLOOKUP($E292,[2]tropical!$A$4:$AF$46,[2]tropical!AD$1,FALSE)</f>
        <v>0</v>
      </c>
      <c r="S292" s="802">
        <f>VLOOKUP($E292,[2]tropical!$A$4:$AF$46,[2]tropical!AE$1,FALSE)</f>
        <v>0</v>
      </c>
      <c r="T292" s="802">
        <f>VLOOKUP($E292,[2]tropical!$A$4:$AF$46,[2]tropical!AF$1,FALSE)</f>
        <v>0</v>
      </c>
      <c r="U292" s="798">
        <f t="shared" si="4"/>
        <v>39</v>
      </c>
    </row>
    <row r="293" spans="1:21">
      <c r="A293" s="788">
        <v>8292</v>
      </c>
      <c r="B293" s="788" t="s">
        <v>1686</v>
      </c>
      <c r="C293" s="788">
        <v>289</v>
      </c>
      <c r="D293" s="788" t="s">
        <v>81</v>
      </c>
      <c r="E293" s="790" t="s">
        <v>1274</v>
      </c>
      <c r="F293" s="790" t="s">
        <v>2616</v>
      </c>
      <c r="G293" s="798">
        <v>4</v>
      </c>
      <c r="H293" s="798">
        <v>15</v>
      </c>
      <c r="I293" s="798">
        <v>20</v>
      </c>
      <c r="J293" s="798">
        <v>2</v>
      </c>
      <c r="K293" s="798">
        <v>5</v>
      </c>
      <c r="L293" s="798">
        <v>8</v>
      </c>
      <c r="M293" s="798">
        <v>2</v>
      </c>
      <c r="N293" s="798">
        <v>4</v>
      </c>
      <c r="O293" s="798">
        <v>16</v>
      </c>
      <c r="P293" s="798">
        <v>0</v>
      </c>
      <c r="Q293" s="798">
        <v>1</v>
      </c>
      <c r="R293" s="802">
        <f>VLOOKUP($E293,[2]tropical!$A$4:$AF$46,[2]tropical!AD$1,FALSE)</f>
        <v>0</v>
      </c>
      <c r="S293" s="802">
        <f>VLOOKUP($E293,[2]tropical!$A$4:$AF$46,[2]tropical!AE$1,FALSE)</f>
        <v>0</v>
      </c>
      <c r="T293" s="802">
        <f>VLOOKUP($E293,[2]tropical!$A$4:$AF$46,[2]tropical!AF$1,FALSE)</f>
        <v>0</v>
      </c>
      <c r="U293" s="798">
        <f t="shared" si="4"/>
        <v>77</v>
      </c>
    </row>
    <row r="294" spans="1:21">
      <c r="A294" s="788">
        <v>8293</v>
      </c>
      <c r="B294" s="788" t="s">
        <v>1690</v>
      </c>
      <c r="C294" s="788">
        <v>1123</v>
      </c>
      <c r="D294" s="788" t="s">
        <v>84</v>
      </c>
      <c r="E294" s="790" t="s">
        <v>1105</v>
      </c>
      <c r="F294" s="790" t="s">
        <v>2617</v>
      </c>
      <c r="G294" s="798">
        <v>0</v>
      </c>
      <c r="H294" s="798">
        <v>0</v>
      </c>
      <c r="I294" s="798">
        <v>0</v>
      </c>
      <c r="J294" s="798">
        <v>0</v>
      </c>
      <c r="K294" s="798">
        <v>0</v>
      </c>
      <c r="L294" s="798">
        <v>0</v>
      </c>
      <c r="M294" s="798">
        <v>0</v>
      </c>
      <c r="N294" s="798">
        <v>0</v>
      </c>
      <c r="O294" s="798">
        <v>0</v>
      </c>
      <c r="P294" s="798">
        <v>0</v>
      </c>
      <c r="Q294" s="798">
        <v>0</v>
      </c>
      <c r="R294" s="802">
        <f>VLOOKUP($E294,[2]tropical!$A$4:$AF$46,[2]tropical!AD$1,FALSE)</f>
        <v>0</v>
      </c>
      <c r="S294" s="802">
        <f>VLOOKUP($E294,[2]tropical!$A$4:$AF$46,[2]tropical!AE$1,FALSE)</f>
        <v>0</v>
      </c>
      <c r="T294" s="802">
        <f>VLOOKUP($E294,[2]tropical!$A$4:$AF$46,[2]tropical!AF$1,FALSE)</f>
        <v>0</v>
      </c>
      <c r="U294" s="798">
        <f t="shared" si="4"/>
        <v>0</v>
      </c>
    </row>
    <row r="295" spans="1:21">
      <c r="A295" s="788">
        <v>8294</v>
      </c>
      <c r="B295" s="788" t="s">
        <v>1692</v>
      </c>
      <c r="C295" s="788">
        <v>222</v>
      </c>
      <c r="D295" s="788" t="s">
        <v>24</v>
      </c>
      <c r="E295" s="790" t="s">
        <v>1743</v>
      </c>
      <c r="F295" s="790" t="s">
        <v>2616</v>
      </c>
      <c r="G295" s="798">
        <v>1</v>
      </c>
      <c r="H295" s="798">
        <v>7</v>
      </c>
      <c r="I295" s="798">
        <v>11</v>
      </c>
      <c r="J295" s="798">
        <v>2</v>
      </c>
      <c r="K295" s="798">
        <v>2</v>
      </c>
      <c r="L295" s="798">
        <v>5</v>
      </c>
      <c r="M295" s="798">
        <v>4</v>
      </c>
      <c r="N295" s="798">
        <v>0</v>
      </c>
      <c r="O295" s="798">
        <v>7</v>
      </c>
      <c r="P295" s="798">
        <v>0</v>
      </c>
      <c r="Q295" s="798">
        <v>0</v>
      </c>
      <c r="R295" s="802">
        <f>VLOOKUP($E295,[2]tropical!$A$4:$AF$46,[2]tropical!AD$1,FALSE)</f>
        <v>0</v>
      </c>
      <c r="S295" s="802">
        <f>VLOOKUP($E295,[2]tropical!$A$4:$AF$46,[2]tropical!AE$1,FALSE)</f>
        <v>0</v>
      </c>
      <c r="T295" s="802">
        <f>VLOOKUP($E295,[2]tropical!$A$4:$AF$46,[2]tropical!AF$1,FALSE)</f>
        <v>0</v>
      </c>
      <c r="U295" s="798">
        <f t="shared" si="4"/>
        <v>39</v>
      </c>
    </row>
    <row r="296" spans="1:21">
      <c r="A296" s="788">
        <v>8295</v>
      </c>
      <c r="B296" s="788" t="s">
        <v>1697</v>
      </c>
      <c r="C296" s="788">
        <v>177</v>
      </c>
      <c r="D296" s="788" t="s">
        <v>90</v>
      </c>
      <c r="E296" s="790" t="s">
        <v>1697</v>
      </c>
      <c r="F296" s="790" t="s">
        <v>2615</v>
      </c>
      <c r="G296" s="798">
        <v>9</v>
      </c>
      <c r="H296" s="798">
        <v>26</v>
      </c>
      <c r="I296" s="798">
        <v>23</v>
      </c>
      <c r="J296" s="798">
        <v>3</v>
      </c>
      <c r="K296" s="798">
        <v>0</v>
      </c>
      <c r="L296" s="798">
        <v>6</v>
      </c>
      <c r="M296" s="798">
        <v>5</v>
      </c>
      <c r="N296" s="798">
        <v>2</v>
      </c>
      <c r="O296" s="798">
        <v>14</v>
      </c>
      <c r="P296" s="798">
        <v>10</v>
      </c>
      <c r="Q296" s="798">
        <v>4</v>
      </c>
      <c r="R296" s="802">
        <f>VLOOKUP($E296,[2]tropical!$A$4:$AF$46,[2]tropical!AD$1,FALSE)</f>
        <v>0</v>
      </c>
      <c r="S296" s="802">
        <f>VLOOKUP($E296,[2]tropical!$A$4:$AF$46,[2]tropical!AE$1,FALSE)</f>
        <v>0</v>
      </c>
      <c r="T296" s="802">
        <f>VLOOKUP($E296,[2]tropical!$A$4:$AF$46,[2]tropical!AF$1,FALSE)</f>
        <v>0</v>
      </c>
      <c r="U296" s="798">
        <f t="shared" si="4"/>
        <v>102</v>
      </c>
    </row>
    <row r="297" spans="1:21">
      <c r="A297" s="788">
        <v>8296</v>
      </c>
      <c r="B297" s="788" t="s">
        <v>1700</v>
      </c>
      <c r="C297" s="788">
        <v>153</v>
      </c>
      <c r="D297" s="788" t="s">
        <v>24</v>
      </c>
      <c r="E297" s="790" t="s">
        <v>1743</v>
      </c>
      <c r="F297" s="790" t="s">
        <v>2616</v>
      </c>
      <c r="G297" s="798">
        <v>1</v>
      </c>
      <c r="H297" s="798">
        <v>7</v>
      </c>
      <c r="I297" s="798">
        <v>11</v>
      </c>
      <c r="J297" s="798">
        <v>2</v>
      </c>
      <c r="K297" s="798">
        <v>2</v>
      </c>
      <c r="L297" s="798">
        <v>5</v>
      </c>
      <c r="M297" s="798">
        <v>4</v>
      </c>
      <c r="N297" s="798">
        <v>0</v>
      </c>
      <c r="O297" s="798">
        <v>7</v>
      </c>
      <c r="P297" s="798">
        <v>0</v>
      </c>
      <c r="Q297" s="798">
        <v>0</v>
      </c>
      <c r="R297" s="802">
        <f>VLOOKUP($E297,[2]tropical!$A$4:$AF$46,[2]tropical!AD$1,FALSE)</f>
        <v>0</v>
      </c>
      <c r="S297" s="802">
        <f>VLOOKUP($E297,[2]tropical!$A$4:$AF$46,[2]tropical!AE$1,FALSE)</f>
        <v>0</v>
      </c>
      <c r="T297" s="802">
        <f>VLOOKUP($E297,[2]tropical!$A$4:$AF$46,[2]tropical!AF$1,FALSE)</f>
        <v>0</v>
      </c>
      <c r="U297" s="798">
        <f t="shared" si="4"/>
        <v>39</v>
      </c>
    </row>
    <row r="298" spans="1:21">
      <c r="A298" s="788">
        <v>8297</v>
      </c>
      <c r="B298" s="788" t="s">
        <v>1702</v>
      </c>
      <c r="C298" s="788">
        <v>564</v>
      </c>
      <c r="D298" s="788" t="s">
        <v>81</v>
      </c>
      <c r="E298" s="790" t="s">
        <v>1274</v>
      </c>
      <c r="F298" s="790" t="s">
        <v>2616</v>
      </c>
      <c r="G298" s="798">
        <v>4</v>
      </c>
      <c r="H298" s="798">
        <v>15</v>
      </c>
      <c r="I298" s="798">
        <v>20</v>
      </c>
      <c r="J298" s="798">
        <v>2</v>
      </c>
      <c r="K298" s="798">
        <v>5</v>
      </c>
      <c r="L298" s="798">
        <v>8</v>
      </c>
      <c r="M298" s="798">
        <v>2</v>
      </c>
      <c r="N298" s="798">
        <v>4</v>
      </c>
      <c r="O298" s="798">
        <v>16</v>
      </c>
      <c r="P298" s="798">
        <v>0</v>
      </c>
      <c r="Q298" s="798">
        <v>1</v>
      </c>
      <c r="R298" s="802">
        <f>VLOOKUP($E298,[2]tropical!$A$4:$AF$46,[2]tropical!AD$1,FALSE)</f>
        <v>0</v>
      </c>
      <c r="S298" s="802">
        <f>VLOOKUP($E298,[2]tropical!$A$4:$AF$46,[2]tropical!AE$1,FALSE)</f>
        <v>0</v>
      </c>
      <c r="T298" s="802">
        <f>VLOOKUP($E298,[2]tropical!$A$4:$AF$46,[2]tropical!AF$1,FALSE)</f>
        <v>0</v>
      </c>
      <c r="U298" s="798">
        <f t="shared" si="4"/>
        <v>77</v>
      </c>
    </row>
    <row r="299" spans="1:21">
      <c r="A299" s="788">
        <v>8298</v>
      </c>
      <c r="B299" s="788" t="s">
        <v>815</v>
      </c>
      <c r="C299" s="788">
        <v>484</v>
      </c>
      <c r="D299" s="788" t="s">
        <v>88</v>
      </c>
      <c r="E299" s="790" t="s">
        <v>1127</v>
      </c>
      <c r="F299" s="790" t="s">
        <v>2617</v>
      </c>
      <c r="G299" s="798">
        <v>1</v>
      </c>
      <c r="H299" s="798">
        <v>9</v>
      </c>
      <c r="I299" s="798">
        <v>16</v>
      </c>
      <c r="J299" s="798">
        <v>7</v>
      </c>
      <c r="K299" s="798">
        <v>4</v>
      </c>
      <c r="L299" s="798">
        <v>11</v>
      </c>
      <c r="M299" s="798">
        <v>8</v>
      </c>
      <c r="N299" s="798">
        <v>5</v>
      </c>
      <c r="O299" s="798">
        <v>21</v>
      </c>
      <c r="P299" s="798">
        <v>0</v>
      </c>
      <c r="Q299" s="798">
        <v>1</v>
      </c>
      <c r="R299" s="802">
        <f>VLOOKUP($E299,[2]tropical!$A$4:$AF$46,[2]tropical!AD$1,FALSE)</f>
        <v>0</v>
      </c>
      <c r="S299" s="802">
        <f>VLOOKUP($E299,[2]tropical!$A$4:$AF$46,[2]tropical!AE$1,FALSE)</f>
        <v>0</v>
      </c>
      <c r="T299" s="802">
        <f>VLOOKUP($E299,[2]tropical!$A$4:$AF$46,[2]tropical!AF$1,FALSE)</f>
        <v>0</v>
      </c>
      <c r="U299" s="798">
        <f t="shared" si="4"/>
        <v>83</v>
      </c>
    </row>
    <row r="300" spans="1:21">
      <c r="A300" s="788">
        <v>8299</v>
      </c>
      <c r="B300" s="788" t="s">
        <v>1708</v>
      </c>
      <c r="C300" s="788">
        <v>757</v>
      </c>
      <c r="D300" s="788" t="s">
        <v>84</v>
      </c>
      <c r="E300" s="790" t="s">
        <v>1125</v>
      </c>
      <c r="F300" s="790" t="s">
        <v>2617</v>
      </c>
      <c r="G300" s="798">
        <v>3</v>
      </c>
      <c r="H300" s="798">
        <v>0</v>
      </c>
      <c r="I300" s="798">
        <v>1</v>
      </c>
      <c r="J300" s="798">
        <v>2</v>
      </c>
      <c r="K300" s="798">
        <v>0</v>
      </c>
      <c r="L300" s="798">
        <v>0</v>
      </c>
      <c r="M300" s="798">
        <v>0</v>
      </c>
      <c r="N300" s="798">
        <v>0</v>
      </c>
      <c r="O300" s="798">
        <v>5</v>
      </c>
      <c r="P300" s="798">
        <v>0</v>
      </c>
      <c r="Q300" s="798">
        <v>0</v>
      </c>
      <c r="R300" s="802">
        <f>VLOOKUP($E300,[2]tropical!$A$4:$AF$46,[2]tropical!AD$1,FALSE)</f>
        <v>0</v>
      </c>
      <c r="S300" s="802">
        <f>VLOOKUP($E300,[2]tropical!$A$4:$AF$46,[2]tropical!AE$1,FALSE)</f>
        <v>0</v>
      </c>
      <c r="T300" s="802">
        <f>VLOOKUP($E300,[2]tropical!$A$4:$AF$46,[2]tropical!AF$1,FALSE)</f>
        <v>0</v>
      </c>
      <c r="U300" s="798">
        <f t="shared" si="4"/>
        <v>11</v>
      </c>
    </row>
    <row r="301" spans="1:21">
      <c r="A301" s="788">
        <v>8300</v>
      </c>
      <c r="B301" s="788" t="s">
        <v>1710</v>
      </c>
      <c r="C301" s="788">
        <v>274</v>
      </c>
      <c r="D301" s="788" t="s">
        <v>89</v>
      </c>
      <c r="E301" s="790" t="s">
        <v>1684</v>
      </c>
      <c r="F301" s="790" t="s">
        <v>2616</v>
      </c>
      <c r="G301" s="798">
        <v>3</v>
      </c>
      <c r="H301" s="798">
        <v>5</v>
      </c>
      <c r="I301" s="798">
        <v>9</v>
      </c>
      <c r="J301" s="798">
        <v>2</v>
      </c>
      <c r="K301" s="798">
        <v>3</v>
      </c>
      <c r="L301" s="798">
        <v>7</v>
      </c>
      <c r="M301" s="798">
        <v>1</v>
      </c>
      <c r="N301" s="798">
        <v>2</v>
      </c>
      <c r="O301" s="798">
        <v>6</v>
      </c>
      <c r="P301" s="798">
        <v>0</v>
      </c>
      <c r="Q301" s="798">
        <v>1</v>
      </c>
      <c r="R301" s="802">
        <f>VLOOKUP($E301,[2]tropical!$A$4:$AF$46,[2]tropical!AD$1,FALSE)</f>
        <v>0</v>
      </c>
      <c r="S301" s="802">
        <f>VLOOKUP($E301,[2]tropical!$A$4:$AF$46,[2]tropical!AE$1,FALSE)</f>
        <v>0</v>
      </c>
      <c r="T301" s="802">
        <f>VLOOKUP($E301,[2]tropical!$A$4:$AF$46,[2]tropical!AF$1,FALSE)</f>
        <v>0</v>
      </c>
      <c r="U301" s="798">
        <f t="shared" si="4"/>
        <v>39</v>
      </c>
    </row>
    <row r="302" spans="1:21">
      <c r="A302" s="788">
        <v>8301</v>
      </c>
      <c r="B302" s="788" t="s">
        <v>357</v>
      </c>
      <c r="C302" s="788">
        <v>18</v>
      </c>
      <c r="D302" s="788" t="s">
        <v>90</v>
      </c>
      <c r="E302" s="790" t="s">
        <v>357</v>
      </c>
      <c r="F302" s="790" t="s">
        <v>2615</v>
      </c>
      <c r="G302" s="798">
        <v>0</v>
      </c>
      <c r="H302" s="798">
        <v>1</v>
      </c>
      <c r="I302" s="798">
        <v>0</v>
      </c>
      <c r="J302" s="798">
        <v>0</v>
      </c>
      <c r="K302" s="798">
        <v>0</v>
      </c>
      <c r="L302" s="798">
        <v>0</v>
      </c>
      <c r="M302" s="798">
        <v>1</v>
      </c>
      <c r="N302" s="798">
        <v>0</v>
      </c>
      <c r="O302" s="798">
        <v>0</v>
      </c>
      <c r="P302" s="798">
        <v>0</v>
      </c>
      <c r="Q302" s="798">
        <v>0</v>
      </c>
      <c r="R302" s="802">
        <f>VLOOKUP($E302,[2]tropical!$A$4:$AF$46,[2]tropical!AD$1,FALSE)</f>
        <v>0</v>
      </c>
      <c r="S302" s="802">
        <f>VLOOKUP($E302,[2]tropical!$A$4:$AF$46,[2]tropical!AE$1,FALSE)</f>
        <v>0</v>
      </c>
      <c r="T302" s="802">
        <f>VLOOKUP($E302,[2]tropical!$A$4:$AF$46,[2]tropical!AF$1,FALSE)</f>
        <v>0</v>
      </c>
      <c r="U302" s="798">
        <f t="shared" si="4"/>
        <v>2</v>
      </c>
    </row>
    <row r="303" spans="1:21">
      <c r="A303" s="788">
        <v>8302</v>
      </c>
      <c r="B303" s="788" t="s">
        <v>1718</v>
      </c>
      <c r="C303" s="788">
        <v>302</v>
      </c>
      <c r="D303" s="788" t="s">
        <v>81</v>
      </c>
      <c r="E303" s="790" t="s">
        <v>1274</v>
      </c>
      <c r="F303" s="790" t="s">
        <v>2616</v>
      </c>
      <c r="G303" s="798">
        <v>4</v>
      </c>
      <c r="H303" s="798">
        <v>15</v>
      </c>
      <c r="I303" s="798">
        <v>20</v>
      </c>
      <c r="J303" s="798">
        <v>2</v>
      </c>
      <c r="K303" s="798">
        <v>5</v>
      </c>
      <c r="L303" s="798">
        <v>8</v>
      </c>
      <c r="M303" s="798">
        <v>2</v>
      </c>
      <c r="N303" s="798">
        <v>4</v>
      </c>
      <c r="O303" s="798">
        <v>16</v>
      </c>
      <c r="P303" s="798">
        <v>0</v>
      </c>
      <c r="Q303" s="798">
        <v>1</v>
      </c>
      <c r="R303" s="802">
        <f>VLOOKUP($E303,[2]tropical!$A$4:$AF$46,[2]tropical!AD$1,FALSE)</f>
        <v>0</v>
      </c>
      <c r="S303" s="802">
        <f>VLOOKUP($E303,[2]tropical!$A$4:$AF$46,[2]tropical!AE$1,FALSE)</f>
        <v>0</v>
      </c>
      <c r="T303" s="802">
        <f>VLOOKUP($E303,[2]tropical!$A$4:$AF$46,[2]tropical!AF$1,FALSE)</f>
        <v>0</v>
      </c>
      <c r="U303" s="798">
        <f t="shared" si="4"/>
        <v>77</v>
      </c>
    </row>
    <row r="304" spans="1:21">
      <c r="A304" s="788">
        <v>8303</v>
      </c>
      <c r="B304" s="788" t="s">
        <v>1722</v>
      </c>
      <c r="C304" s="788">
        <v>558</v>
      </c>
      <c r="D304" s="788" t="s">
        <v>88</v>
      </c>
      <c r="E304" s="790" t="s">
        <v>1127</v>
      </c>
      <c r="F304" s="790" t="s">
        <v>2617</v>
      </c>
      <c r="G304" s="798">
        <v>1</v>
      </c>
      <c r="H304" s="798">
        <v>9</v>
      </c>
      <c r="I304" s="798">
        <v>16</v>
      </c>
      <c r="J304" s="798">
        <v>7</v>
      </c>
      <c r="K304" s="798">
        <v>4</v>
      </c>
      <c r="L304" s="798">
        <v>11</v>
      </c>
      <c r="M304" s="798">
        <v>8</v>
      </c>
      <c r="N304" s="798">
        <v>5</v>
      </c>
      <c r="O304" s="798">
        <v>21</v>
      </c>
      <c r="P304" s="798">
        <v>0</v>
      </c>
      <c r="Q304" s="798">
        <v>1</v>
      </c>
      <c r="R304" s="802">
        <f>VLOOKUP($E304,[2]tropical!$A$4:$AF$46,[2]tropical!AD$1,FALSE)</f>
        <v>0</v>
      </c>
      <c r="S304" s="802">
        <f>VLOOKUP($E304,[2]tropical!$A$4:$AF$46,[2]tropical!AE$1,FALSE)</f>
        <v>0</v>
      </c>
      <c r="T304" s="802">
        <f>VLOOKUP($E304,[2]tropical!$A$4:$AF$46,[2]tropical!AF$1,FALSE)</f>
        <v>0</v>
      </c>
      <c r="U304" s="798">
        <f t="shared" si="4"/>
        <v>83</v>
      </c>
    </row>
    <row r="305" spans="1:21">
      <c r="A305" s="788">
        <v>8304</v>
      </c>
      <c r="B305" s="788" t="s">
        <v>1728</v>
      </c>
      <c r="C305" s="788">
        <v>286</v>
      </c>
      <c r="D305" s="788" t="s">
        <v>791</v>
      </c>
      <c r="E305" s="790" t="s">
        <v>1506</v>
      </c>
      <c r="F305" s="790" t="s">
        <v>2616</v>
      </c>
      <c r="G305" s="798">
        <v>2</v>
      </c>
      <c r="H305" s="798">
        <v>5</v>
      </c>
      <c r="I305" s="798">
        <v>10</v>
      </c>
      <c r="J305" s="798">
        <v>1</v>
      </c>
      <c r="K305" s="798">
        <v>0</v>
      </c>
      <c r="L305" s="798">
        <v>5</v>
      </c>
      <c r="M305" s="798">
        <v>1</v>
      </c>
      <c r="N305" s="798">
        <v>0</v>
      </c>
      <c r="O305" s="798">
        <v>1</v>
      </c>
      <c r="P305" s="798">
        <v>0</v>
      </c>
      <c r="Q305" s="798">
        <v>0</v>
      </c>
      <c r="R305" s="802">
        <f>VLOOKUP($E305,[2]tropical!$A$4:$AF$46,[2]tropical!AD$1,FALSE)</f>
        <v>0</v>
      </c>
      <c r="S305" s="802">
        <f>VLOOKUP($E305,[2]tropical!$A$4:$AF$46,[2]tropical!AE$1,FALSE)</f>
        <v>0</v>
      </c>
      <c r="T305" s="802">
        <f>VLOOKUP($E305,[2]tropical!$A$4:$AF$46,[2]tropical!AF$1,FALSE)</f>
        <v>0</v>
      </c>
      <c r="U305" s="798">
        <f t="shared" si="4"/>
        <v>25</v>
      </c>
    </row>
    <row r="306" spans="1:21">
      <c r="A306" s="788">
        <v>8305</v>
      </c>
      <c r="B306" s="788" t="s">
        <v>1729</v>
      </c>
      <c r="C306" s="788">
        <v>223</v>
      </c>
      <c r="D306" s="788" t="s">
        <v>791</v>
      </c>
      <c r="E306" s="790" t="s">
        <v>2607</v>
      </c>
      <c r="F306" s="790" t="s">
        <v>2615</v>
      </c>
      <c r="G306" s="798">
        <v>1</v>
      </c>
      <c r="H306" s="798">
        <v>4</v>
      </c>
      <c r="I306" s="798">
        <v>1</v>
      </c>
      <c r="J306" s="798">
        <v>1</v>
      </c>
      <c r="K306" s="798">
        <v>0</v>
      </c>
      <c r="L306" s="798">
        <v>5</v>
      </c>
      <c r="M306" s="798">
        <v>1</v>
      </c>
      <c r="N306" s="798">
        <v>0</v>
      </c>
      <c r="O306" s="798">
        <v>2</v>
      </c>
      <c r="P306" s="798">
        <v>0</v>
      </c>
      <c r="Q306" s="798">
        <v>0</v>
      </c>
      <c r="R306" s="802">
        <f>VLOOKUP($E306,[2]tropical!$A$4:$AF$46,[2]tropical!AD$1,FALSE)</f>
        <v>0</v>
      </c>
      <c r="S306" s="802">
        <f>VLOOKUP($E306,[2]tropical!$A$4:$AF$46,[2]tropical!AE$1,FALSE)</f>
        <v>0</v>
      </c>
      <c r="T306" s="802">
        <f>VLOOKUP($E306,[2]tropical!$A$4:$AF$46,[2]tropical!AF$1,FALSE)</f>
        <v>0</v>
      </c>
      <c r="U306" s="798">
        <f t="shared" si="4"/>
        <v>15</v>
      </c>
    </row>
    <row r="307" spans="1:21">
      <c r="A307" s="788">
        <v>8306</v>
      </c>
      <c r="B307" s="788" t="s">
        <v>1730</v>
      </c>
      <c r="C307" s="788">
        <v>200</v>
      </c>
      <c r="D307" s="788" t="s">
        <v>24</v>
      </c>
      <c r="E307" s="790" t="s">
        <v>1743</v>
      </c>
      <c r="F307" s="790" t="s">
        <v>2616</v>
      </c>
      <c r="G307" s="798">
        <v>1</v>
      </c>
      <c r="H307" s="798">
        <v>7</v>
      </c>
      <c r="I307" s="798">
        <v>11</v>
      </c>
      <c r="J307" s="798">
        <v>2</v>
      </c>
      <c r="K307" s="798">
        <v>2</v>
      </c>
      <c r="L307" s="798">
        <v>5</v>
      </c>
      <c r="M307" s="798">
        <v>4</v>
      </c>
      <c r="N307" s="798">
        <v>0</v>
      </c>
      <c r="O307" s="798">
        <v>7</v>
      </c>
      <c r="P307" s="798">
        <v>0</v>
      </c>
      <c r="Q307" s="798">
        <v>0</v>
      </c>
      <c r="R307" s="802">
        <f>VLOOKUP($E307,[2]tropical!$A$4:$AF$46,[2]tropical!AD$1,FALSE)</f>
        <v>0</v>
      </c>
      <c r="S307" s="802">
        <f>VLOOKUP($E307,[2]tropical!$A$4:$AF$46,[2]tropical!AE$1,FALSE)</f>
        <v>0</v>
      </c>
      <c r="T307" s="802">
        <f>VLOOKUP($E307,[2]tropical!$A$4:$AF$46,[2]tropical!AF$1,FALSE)</f>
        <v>0</v>
      </c>
      <c r="U307" s="798">
        <f t="shared" si="4"/>
        <v>39</v>
      </c>
    </row>
    <row r="308" spans="1:21">
      <c r="A308" s="788">
        <v>8307</v>
      </c>
      <c r="B308" s="788" t="s">
        <v>358</v>
      </c>
      <c r="C308" s="788">
        <v>22</v>
      </c>
      <c r="D308" s="788" t="s">
        <v>85</v>
      </c>
      <c r="E308" s="790" t="s">
        <v>2609</v>
      </c>
      <c r="F308" s="790" t="s">
        <v>2615</v>
      </c>
      <c r="G308" s="798">
        <v>1</v>
      </c>
      <c r="H308" s="798">
        <v>4</v>
      </c>
      <c r="I308" s="798">
        <v>5</v>
      </c>
      <c r="J308" s="798">
        <v>1</v>
      </c>
      <c r="K308" s="798">
        <v>0</v>
      </c>
      <c r="L308" s="798">
        <v>3</v>
      </c>
      <c r="M308" s="798">
        <v>1</v>
      </c>
      <c r="N308" s="798">
        <v>1</v>
      </c>
      <c r="O308" s="798">
        <v>1</v>
      </c>
      <c r="P308" s="798">
        <v>2</v>
      </c>
      <c r="Q308" s="798">
        <v>0</v>
      </c>
      <c r="R308" s="802">
        <f>VLOOKUP($E308,[2]tropical!$A$4:$AF$46,[2]tropical!AD$1,FALSE)</f>
        <v>0</v>
      </c>
      <c r="S308" s="802">
        <f>VLOOKUP($E308,[2]tropical!$A$4:$AF$46,[2]tropical!AE$1,FALSE)</f>
        <v>0</v>
      </c>
      <c r="T308" s="802">
        <f>VLOOKUP($E308,[2]tropical!$A$4:$AF$46,[2]tropical!AF$1,FALSE)</f>
        <v>0</v>
      </c>
      <c r="U308" s="798">
        <f t="shared" si="4"/>
        <v>19</v>
      </c>
    </row>
    <row r="309" spans="1:21">
      <c r="A309" s="788">
        <v>8308</v>
      </c>
      <c r="B309" s="788" t="s">
        <v>1737</v>
      </c>
      <c r="C309" s="788">
        <v>729</v>
      </c>
      <c r="D309" s="788" t="s">
        <v>84</v>
      </c>
      <c r="E309" s="790" t="s">
        <v>1125</v>
      </c>
      <c r="F309" s="790" t="s">
        <v>2617</v>
      </c>
      <c r="G309" s="798">
        <v>3</v>
      </c>
      <c r="H309" s="798">
        <v>0</v>
      </c>
      <c r="I309" s="798">
        <v>1</v>
      </c>
      <c r="J309" s="798">
        <v>2</v>
      </c>
      <c r="K309" s="798">
        <v>0</v>
      </c>
      <c r="L309" s="798">
        <v>0</v>
      </c>
      <c r="M309" s="798">
        <v>0</v>
      </c>
      <c r="N309" s="798">
        <v>0</v>
      </c>
      <c r="O309" s="798">
        <v>5</v>
      </c>
      <c r="P309" s="798">
        <v>0</v>
      </c>
      <c r="Q309" s="798">
        <v>0</v>
      </c>
      <c r="R309" s="802">
        <f>VLOOKUP($E309,[2]tropical!$A$4:$AF$46,[2]tropical!AD$1,FALSE)</f>
        <v>0</v>
      </c>
      <c r="S309" s="802">
        <f>VLOOKUP($E309,[2]tropical!$A$4:$AF$46,[2]tropical!AE$1,FALSE)</f>
        <v>0</v>
      </c>
      <c r="T309" s="802">
        <f>VLOOKUP($E309,[2]tropical!$A$4:$AF$46,[2]tropical!AF$1,FALSE)</f>
        <v>0</v>
      </c>
      <c r="U309" s="798">
        <f t="shared" si="4"/>
        <v>11</v>
      </c>
    </row>
    <row r="310" spans="1:21">
      <c r="A310" s="788">
        <v>8901</v>
      </c>
      <c r="B310" s="788" t="s">
        <v>1742</v>
      </c>
      <c r="C310" s="788">
        <v>822</v>
      </c>
      <c r="D310" s="788" t="s">
        <v>88</v>
      </c>
      <c r="E310" s="790" t="s">
        <v>1301</v>
      </c>
      <c r="F310" s="790" t="s">
        <v>2617</v>
      </c>
      <c r="G310" s="798">
        <v>1</v>
      </c>
      <c r="H310" s="798">
        <v>7</v>
      </c>
      <c r="I310" s="798">
        <v>11</v>
      </c>
      <c r="J310" s="798">
        <v>2</v>
      </c>
      <c r="K310" s="798">
        <v>2</v>
      </c>
      <c r="L310" s="798">
        <v>1</v>
      </c>
      <c r="M310" s="798">
        <v>1</v>
      </c>
      <c r="N310" s="798">
        <v>4</v>
      </c>
      <c r="O310" s="798">
        <v>17</v>
      </c>
      <c r="P310" s="798">
        <v>0</v>
      </c>
      <c r="Q310" s="798">
        <v>0</v>
      </c>
      <c r="R310" s="802">
        <f>VLOOKUP($E310,[2]tropical!$A$4:$AF$46,[2]tropical!AD$1,FALSE)</f>
        <v>0</v>
      </c>
      <c r="S310" s="802">
        <f>VLOOKUP($E310,[2]tropical!$A$4:$AF$46,[2]tropical!AE$1,FALSE)</f>
        <v>0</v>
      </c>
      <c r="T310" s="802">
        <f>VLOOKUP($E310,[2]tropical!$A$4:$AF$46,[2]tropical!AF$1,FALSE)</f>
        <v>0</v>
      </c>
      <c r="U310" s="798">
        <f t="shared" si="4"/>
        <v>46</v>
      </c>
    </row>
    <row r="311" spans="1:21">
      <c r="A311" s="788">
        <v>8902</v>
      </c>
      <c r="B311" s="788" t="s">
        <v>1743</v>
      </c>
      <c r="C311" s="788">
        <v>91</v>
      </c>
      <c r="D311" s="788" t="s">
        <v>24</v>
      </c>
      <c r="E311" s="790" t="s">
        <v>1743</v>
      </c>
      <c r="F311" s="790" t="s">
        <v>2616</v>
      </c>
      <c r="G311" s="798">
        <v>1</v>
      </c>
      <c r="H311" s="798">
        <v>7</v>
      </c>
      <c r="I311" s="798">
        <v>11</v>
      </c>
      <c r="J311" s="798">
        <v>2</v>
      </c>
      <c r="K311" s="798">
        <v>2</v>
      </c>
      <c r="L311" s="798">
        <v>5</v>
      </c>
      <c r="M311" s="798">
        <v>4</v>
      </c>
      <c r="N311" s="798">
        <v>0</v>
      </c>
      <c r="O311" s="798">
        <v>7</v>
      </c>
      <c r="P311" s="798">
        <v>0</v>
      </c>
      <c r="Q311" s="798">
        <v>0</v>
      </c>
      <c r="R311" s="802">
        <f>VLOOKUP($E311,[2]tropical!$A$4:$AF$46,[2]tropical!AD$1,FALSE)</f>
        <v>0</v>
      </c>
      <c r="S311" s="802">
        <f>VLOOKUP($E311,[2]tropical!$A$4:$AF$46,[2]tropical!AE$1,FALSE)</f>
        <v>0</v>
      </c>
      <c r="T311" s="802">
        <f>VLOOKUP($E311,[2]tropical!$A$4:$AF$46,[2]tropical!AF$1,FALSE)</f>
        <v>0</v>
      </c>
      <c r="U311" s="798">
        <f t="shared" si="4"/>
        <v>39</v>
      </c>
    </row>
    <row r="312" spans="1:21">
      <c r="A312" s="788">
        <v>8903</v>
      </c>
      <c r="B312" s="788" t="s">
        <v>1746</v>
      </c>
      <c r="C312" s="788">
        <v>954</v>
      </c>
      <c r="D312" s="788" t="s">
        <v>84</v>
      </c>
      <c r="E312" s="790" t="s">
        <v>2603</v>
      </c>
      <c r="F312" s="790" t="s">
        <v>2617</v>
      </c>
      <c r="G312" s="798">
        <v>0</v>
      </c>
      <c r="H312" s="798">
        <v>5</v>
      </c>
      <c r="I312" s="798">
        <v>1</v>
      </c>
      <c r="J312" s="798">
        <v>1</v>
      </c>
      <c r="K312" s="798">
        <v>0</v>
      </c>
      <c r="L312" s="798">
        <v>0</v>
      </c>
      <c r="M312" s="798">
        <v>0</v>
      </c>
      <c r="N312" s="798">
        <v>0</v>
      </c>
      <c r="O312" s="798">
        <v>10</v>
      </c>
      <c r="P312" s="798">
        <v>0</v>
      </c>
      <c r="Q312" s="798">
        <v>0</v>
      </c>
      <c r="R312" s="802">
        <f>VLOOKUP($E312,[2]tropical!$A$4:$AF$46,[2]tropical!AD$1,FALSE)</f>
        <v>0</v>
      </c>
      <c r="S312" s="802">
        <f>VLOOKUP($E312,[2]tropical!$A$4:$AF$46,[2]tropical!AE$1,FALSE)</f>
        <v>0</v>
      </c>
      <c r="T312" s="802">
        <f>VLOOKUP($E312,[2]tropical!$A$4:$AF$46,[2]tropical!AF$1,FALSE)</f>
        <v>0</v>
      </c>
      <c r="U312" s="798">
        <f t="shared" si="4"/>
        <v>17</v>
      </c>
    </row>
    <row r="313" spans="1:21">
      <c r="A313" s="788">
        <v>8904</v>
      </c>
      <c r="B313" s="788" t="s">
        <v>1748</v>
      </c>
      <c r="C313" s="788">
        <v>120</v>
      </c>
      <c r="D313" s="788" t="s">
        <v>89</v>
      </c>
      <c r="E313" s="790" t="s">
        <v>1605</v>
      </c>
      <c r="F313" s="790" t="s">
        <v>2615</v>
      </c>
      <c r="G313" s="798">
        <v>2</v>
      </c>
      <c r="H313" s="798">
        <v>5</v>
      </c>
      <c r="I313" s="798">
        <v>9</v>
      </c>
      <c r="J313" s="798">
        <v>1</v>
      </c>
      <c r="K313" s="798">
        <v>3</v>
      </c>
      <c r="L313" s="798">
        <v>6</v>
      </c>
      <c r="M313" s="798">
        <v>4</v>
      </c>
      <c r="N313" s="798">
        <v>0</v>
      </c>
      <c r="O313" s="798">
        <v>7</v>
      </c>
      <c r="P313" s="798">
        <v>0</v>
      </c>
      <c r="Q313" s="798">
        <v>0</v>
      </c>
      <c r="R313" s="802">
        <f>VLOOKUP($E313,[2]tropical!$A$4:$AF$46,[2]tropical!AD$1,FALSE)</f>
        <v>0</v>
      </c>
      <c r="S313" s="802">
        <f>VLOOKUP($E313,[2]tropical!$A$4:$AF$46,[2]tropical!AE$1,FALSE)</f>
        <v>0</v>
      </c>
      <c r="T313" s="802">
        <f>VLOOKUP($E313,[2]tropical!$A$4:$AF$46,[2]tropical!AF$1,FALSE)</f>
        <v>0</v>
      </c>
      <c r="U313" s="798">
        <f t="shared" si="4"/>
        <v>37</v>
      </c>
    </row>
    <row r="314" spans="1:21">
      <c r="A314" s="788">
        <v>8905</v>
      </c>
      <c r="B314" s="788" t="s">
        <v>1749</v>
      </c>
      <c r="C314" s="788">
        <v>100</v>
      </c>
      <c r="D314" s="788" t="s">
        <v>90</v>
      </c>
      <c r="E314" s="790" t="s">
        <v>1697</v>
      </c>
      <c r="F314" s="790" t="s">
        <v>2615</v>
      </c>
      <c r="G314" s="798">
        <v>9</v>
      </c>
      <c r="H314" s="798">
        <v>26</v>
      </c>
      <c r="I314" s="798">
        <v>23</v>
      </c>
      <c r="J314" s="798">
        <v>3</v>
      </c>
      <c r="K314" s="798">
        <v>0</v>
      </c>
      <c r="L314" s="798">
        <v>6</v>
      </c>
      <c r="M314" s="798">
        <v>5</v>
      </c>
      <c r="N314" s="798">
        <v>2</v>
      </c>
      <c r="O314" s="798">
        <v>14</v>
      </c>
      <c r="P314" s="798">
        <v>10</v>
      </c>
      <c r="Q314" s="798">
        <v>4</v>
      </c>
      <c r="R314" s="802">
        <f>VLOOKUP($E314,[2]tropical!$A$4:$AF$46,[2]tropical!AD$1,FALSE)</f>
        <v>0</v>
      </c>
      <c r="S314" s="802">
        <f>VLOOKUP($E314,[2]tropical!$A$4:$AF$46,[2]tropical!AE$1,FALSE)</f>
        <v>0</v>
      </c>
      <c r="T314" s="802">
        <f>VLOOKUP($E314,[2]tropical!$A$4:$AF$46,[2]tropical!AF$1,FALSE)</f>
        <v>0</v>
      </c>
      <c r="U314" s="798">
        <f t="shared" si="4"/>
        <v>102</v>
      </c>
    </row>
  </sheetData>
  <mergeCells count="1">
    <mergeCell ref="G2:U2"/>
  </mergeCells>
  <dataValidations count="1">
    <dataValidation type="list" allowBlank="1" showInputMessage="1" showErrorMessage="1" sqref="E4:E314 E65540:E65850 E131076:E131386 E196612:E196922 E262148:E262458 E327684:E327994 E393220:E393530 E458756:E459066 E524292:E524602 E589828:E590138 E655364:E655674 E720900:E721210 E786436:E786746 E851972:E852282 E917508:E917818 E983044:E983354">
      <formula1>estacions</formula1>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4"/>
  <sheetViews>
    <sheetView workbookViewId="0">
      <selection activeCell="D1" sqref="D1:D1048576"/>
    </sheetView>
  </sheetViews>
  <sheetFormatPr defaultRowHeight="15"/>
  <cols>
    <col min="1" max="1" width="6.7109375" style="794" customWidth="1"/>
    <col min="2" max="2" width="19" style="794" customWidth="1"/>
    <col min="3" max="4" width="9.140625" style="794"/>
    <col min="5" max="5" width="18.7109375" style="795" customWidth="1"/>
    <col min="6" max="6" width="11.85546875" style="795" customWidth="1"/>
    <col min="7" max="17" width="9.140625" style="800"/>
    <col min="18" max="20" width="9.140625" style="805"/>
    <col min="21" max="21" width="9.140625" style="800"/>
  </cols>
  <sheetData>
    <row r="1" spans="1:21">
      <c r="A1" s="794">
        <v>1</v>
      </c>
      <c r="B1" s="794">
        <v>2</v>
      </c>
      <c r="C1" s="794">
        <v>3</v>
      </c>
      <c r="D1" s="794">
        <v>4</v>
      </c>
      <c r="E1" s="794">
        <v>5</v>
      </c>
      <c r="F1" s="794">
        <v>6</v>
      </c>
      <c r="G1" s="794">
        <v>7</v>
      </c>
      <c r="H1" s="794">
        <v>8</v>
      </c>
      <c r="I1" s="794">
        <v>9</v>
      </c>
      <c r="J1" s="794">
        <v>10</v>
      </c>
      <c r="K1" s="794">
        <v>11</v>
      </c>
      <c r="L1" s="794">
        <v>12</v>
      </c>
      <c r="M1" s="794">
        <v>13</v>
      </c>
      <c r="N1" s="794">
        <v>14</v>
      </c>
      <c r="O1" s="794">
        <v>15</v>
      </c>
      <c r="P1" s="794">
        <v>16</v>
      </c>
      <c r="Q1" s="794">
        <v>17</v>
      </c>
      <c r="R1" s="794">
        <v>18</v>
      </c>
      <c r="S1" s="794">
        <v>19</v>
      </c>
      <c r="T1" s="794">
        <v>20</v>
      </c>
      <c r="U1" s="794">
        <v>21</v>
      </c>
    </row>
    <row r="2" spans="1:21">
      <c r="G2" s="1187" t="s">
        <v>2620</v>
      </c>
      <c r="H2" s="1187"/>
      <c r="I2" s="1187"/>
      <c r="J2" s="1187"/>
      <c r="K2" s="1187"/>
      <c r="L2" s="1187"/>
      <c r="M2" s="1187"/>
      <c r="N2" s="1187"/>
      <c r="O2" s="1187"/>
      <c r="P2" s="1187"/>
      <c r="Q2" s="1187"/>
      <c r="R2" s="1187"/>
      <c r="S2" s="1187"/>
      <c r="T2" s="1187"/>
      <c r="U2" s="1187"/>
    </row>
    <row r="3" spans="1:21" ht="26.25">
      <c r="A3" s="787" t="s">
        <v>2579</v>
      </c>
      <c r="B3" s="787" t="s">
        <v>2600</v>
      </c>
      <c r="C3" s="787" t="s">
        <v>2601</v>
      </c>
      <c r="D3" s="787" t="s">
        <v>153</v>
      </c>
      <c r="E3" s="787" t="s">
        <v>2602</v>
      </c>
      <c r="F3" s="787" t="s">
        <v>564</v>
      </c>
      <c r="G3" s="799">
        <v>2004</v>
      </c>
      <c r="H3" s="799">
        <v>2005</v>
      </c>
      <c r="I3" s="799">
        <v>2006</v>
      </c>
      <c r="J3" s="799">
        <v>2007</v>
      </c>
      <c r="K3" s="799">
        <v>2008</v>
      </c>
      <c r="L3" s="799">
        <v>2009</v>
      </c>
      <c r="M3" s="799">
        <v>2010</v>
      </c>
      <c r="N3" s="799">
        <v>2011</v>
      </c>
      <c r="O3" s="799">
        <v>2012</v>
      </c>
      <c r="P3" s="799">
        <v>2013</v>
      </c>
      <c r="Q3" s="799">
        <v>2014</v>
      </c>
      <c r="R3" s="804">
        <v>2015</v>
      </c>
      <c r="S3" s="804">
        <v>2016</v>
      </c>
      <c r="T3" s="804">
        <v>2017</v>
      </c>
      <c r="U3" s="803" t="s">
        <v>38</v>
      </c>
    </row>
    <row r="4" spans="1:21">
      <c r="A4" s="788">
        <v>8001</v>
      </c>
      <c r="B4" s="789" t="s">
        <v>672</v>
      </c>
      <c r="C4" s="788">
        <v>105</v>
      </c>
      <c r="D4" s="788" t="s">
        <v>90</v>
      </c>
      <c r="E4" s="790" t="s">
        <v>1697</v>
      </c>
      <c r="F4" s="790" t="s">
        <v>2615</v>
      </c>
      <c r="G4" s="800">
        <f>VLOOKUP($E4,[2]tropical!$A$4:$AF$46,[2]tropical!C$1,FALSE)</f>
        <v>8</v>
      </c>
      <c r="H4" s="800">
        <f>VLOOKUP($E4,[2]tropical!$A$4:$AF$46,[2]tropical!D$1,FALSE)</f>
        <v>14</v>
      </c>
      <c r="I4" s="800">
        <f>VLOOKUP($E4,[2]tropical!$A$4:$AF$46,[2]tropical!E$1,FALSE)</f>
        <v>22</v>
      </c>
      <c r="J4" s="800">
        <f>VLOOKUP($E4,[2]tropical!$A$4:$AF$46,[2]tropical!F$1,FALSE)</f>
        <v>5</v>
      </c>
      <c r="K4" s="800">
        <f>VLOOKUP($E4,[2]tropical!$A$4:$AF$46,[2]tropical!G$1,FALSE)</f>
        <v>5</v>
      </c>
      <c r="L4" s="800">
        <f>VLOOKUP($E4,[2]tropical!$A$4:$AF$46,[2]tropical!H$1,FALSE)</f>
        <v>17</v>
      </c>
      <c r="M4" s="800">
        <f>VLOOKUP($E4,[2]tropical!$A$4:$AF$46,[2]tropical!I$1,FALSE)</f>
        <v>24</v>
      </c>
      <c r="N4" s="800">
        <f>VLOOKUP($E4,[2]tropical!$A$4:$AF$46,[2]tropical!J$1,FALSE)</f>
        <v>3</v>
      </c>
      <c r="O4" s="800">
        <f>VLOOKUP($E4,[2]tropical!$A$4:$AF$46,[2]tropical!K$1,FALSE)</f>
        <v>17</v>
      </c>
      <c r="P4" s="800">
        <f>VLOOKUP($E4,[2]tropical!$A$4:$AF$46,[2]tropical!L$1,FALSE)</f>
        <v>7</v>
      </c>
      <c r="Q4" s="800">
        <f>VLOOKUP($E4,[2]tropical!$A$4:$AF$46,[2]tropical!M$1,FALSE)</f>
        <v>3</v>
      </c>
      <c r="R4" s="805">
        <f>VLOOKUP($E4,[2]tropical!$A$4:$AF$46,[2]tropical!N$1,FALSE)</f>
        <v>0</v>
      </c>
      <c r="S4" s="805">
        <f>VLOOKUP($E4,[2]tropical!$A$4:$AF$46,[2]tropical!O$1,FALSE)</f>
        <v>0</v>
      </c>
      <c r="T4" s="805">
        <f>VLOOKUP($E4,[2]tropical!$A$4:$AF$46,[2]tropical!P$1,FALSE)</f>
        <v>0</v>
      </c>
      <c r="U4" s="800">
        <f>SUM(G4:T4)</f>
        <v>125</v>
      </c>
    </row>
    <row r="5" spans="1:21">
      <c r="A5" s="788">
        <v>8002</v>
      </c>
      <c r="B5" s="788" t="s">
        <v>694</v>
      </c>
      <c r="C5" s="788">
        <v>480</v>
      </c>
      <c r="D5" s="788" t="s">
        <v>82</v>
      </c>
      <c r="E5" s="790" t="s">
        <v>1004</v>
      </c>
      <c r="F5" s="790" t="s">
        <v>2616</v>
      </c>
      <c r="G5" s="800">
        <f>VLOOKUP($E5,[2]tropical!$A$4:$AF$46,[2]tropical!C$1,FALSE)</f>
        <v>0</v>
      </c>
      <c r="H5" s="800">
        <f>VLOOKUP($E5,[2]tropical!$A$4:$AF$46,[2]tropical!D$1,FALSE)</f>
        <v>0</v>
      </c>
      <c r="I5" s="800">
        <f>VLOOKUP($E5,[2]tropical!$A$4:$AF$46,[2]tropical!E$1,FALSE)</f>
        <v>0</v>
      </c>
      <c r="J5" s="800">
        <f>VLOOKUP($E5,[2]tropical!$A$4:$AF$46,[2]tropical!F$1,FALSE)</f>
        <v>0</v>
      </c>
      <c r="K5" s="800">
        <f>VLOOKUP($E5,[2]tropical!$A$4:$AF$46,[2]tropical!G$1,FALSE)</f>
        <v>0</v>
      </c>
      <c r="L5" s="800">
        <f>VLOOKUP($E5,[2]tropical!$A$4:$AF$46,[2]tropical!H$1,FALSE)</f>
        <v>0</v>
      </c>
      <c r="M5" s="800">
        <f>VLOOKUP($E5,[2]tropical!$A$4:$AF$46,[2]tropical!I$1,FALSE)</f>
        <v>0</v>
      </c>
      <c r="N5" s="800">
        <f>VLOOKUP($E5,[2]tropical!$A$4:$AF$46,[2]tropical!J$1,FALSE)</f>
        <v>0</v>
      </c>
      <c r="O5" s="800">
        <f>VLOOKUP($E5,[2]tropical!$A$4:$AF$46,[2]tropical!K$1,FALSE)</f>
        <v>3</v>
      </c>
      <c r="P5" s="800">
        <f>VLOOKUP($E5,[2]tropical!$A$4:$AF$46,[2]tropical!L$1,FALSE)</f>
        <v>0</v>
      </c>
      <c r="Q5" s="800">
        <f>VLOOKUP($E5,[2]tropical!$A$4:$AF$46,[2]tropical!M$1,FALSE)</f>
        <v>0</v>
      </c>
      <c r="R5" s="805">
        <f>VLOOKUP($E5,[2]tropical!$A$4:$AF$46,[2]tropical!N$1,FALSE)</f>
        <v>0</v>
      </c>
      <c r="S5" s="805">
        <f>VLOOKUP($E5,[2]tropical!$A$4:$AF$46,[2]tropical!O$1,FALSE)</f>
        <v>0</v>
      </c>
      <c r="T5" s="805">
        <f>VLOOKUP($E5,[2]tropical!$A$4:$AF$46,[2]tropical!P$1,FALSE)</f>
        <v>0</v>
      </c>
      <c r="U5" s="800">
        <f t="shared" ref="U5:U68" si="0">SUM(G5:T5)</f>
        <v>3</v>
      </c>
    </row>
    <row r="6" spans="1:21">
      <c r="A6" s="788">
        <v>8003</v>
      </c>
      <c r="B6" s="788" t="s">
        <v>707</v>
      </c>
      <c r="C6" s="788">
        <v>90</v>
      </c>
      <c r="D6" s="788" t="s">
        <v>86</v>
      </c>
      <c r="E6" s="790" t="s">
        <v>352</v>
      </c>
      <c r="F6" s="790" t="s">
        <v>2615</v>
      </c>
      <c r="G6" s="800">
        <f>VLOOKUP($E6,[2]tropical!$A$4:$AF$46,[2]tropical!C$1,FALSE)</f>
        <v>41</v>
      </c>
      <c r="H6" s="800">
        <f>VLOOKUP($E6,[2]tropical!$A$4:$AF$46,[2]tropical!D$1,FALSE)</f>
        <v>57</v>
      </c>
      <c r="I6" s="800">
        <f>VLOOKUP($E6,[2]tropical!$A$4:$AF$46,[2]tropical!E$1,FALSE)</f>
        <v>52</v>
      </c>
      <c r="J6" s="800">
        <f>VLOOKUP($E6,[2]tropical!$A$4:$AF$46,[2]tropical!F$1,FALSE)</f>
        <v>9</v>
      </c>
      <c r="K6" s="800">
        <f>VLOOKUP($E6,[2]tropical!$A$4:$AF$46,[2]tropical!G$1,FALSE)</f>
        <v>37</v>
      </c>
      <c r="L6" s="800">
        <f>VLOOKUP($E6,[2]tropical!$A$4:$AF$46,[2]tropical!H$1,FALSE)</f>
        <v>47</v>
      </c>
      <c r="M6" s="800">
        <f>VLOOKUP($E6,[2]tropical!$A$4:$AF$46,[2]tropical!I$1,FALSE)</f>
        <v>42</v>
      </c>
      <c r="N6" s="800">
        <f>VLOOKUP($E6,[2]tropical!$A$4:$AF$46,[2]tropical!J$1,FALSE)</f>
        <v>27</v>
      </c>
      <c r="O6" s="800">
        <f>VLOOKUP($E6,[2]tropical!$A$4:$AF$46,[2]tropical!K$1,FALSE)</f>
        <v>39</v>
      </c>
      <c r="P6" s="800">
        <f>VLOOKUP($E6,[2]tropical!$A$4:$AF$46,[2]tropical!L$1,FALSE)</f>
        <v>32</v>
      </c>
      <c r="Q6" s="800">
        <f>VLOOKUP($E6,[2]tropical!$A$4:$AF$46,[2]tropical!M$1,FALSE)</f>
        <v>20</v>
      </c>
      <c r="R6" s="805">
        <f>VLOOKUP($E6,[2]tropical!$A$4:$AF$46,[2]tropical!N$1,FALSE)</f>
        <v>0</v>
      </c>
      <c r="S6" s="805">
        <f>VLOOKUP($E6,[2]tropical!$A$4:$AF$46,[2]tropical!O$1,FALSE)</f>
        <v>0</v>
      </c>
      <c r="T6" s="805">
        <f>VLOOKUP($E6,[2]tropical!$A$4:$AF$46,[2]tropical!P$1,FALSE)</f>
        <v>0</v>
      </c>
      <c r="U6" s="800">
        <f t="shared" si="0"/>
        <v>403</v>
      </c>
    </row>
    <row r="7" spans="1:21">
      <c r="A7" s="788">
        <v>8004</v>
      </c>
      <c r="B7" s="788" t="s">
        <v>716</v>
      </c>
      <c r="C7" s="788">
        <v>855</v>
      </c>
      <c r="D7" s="788" t="s">
        <v>88</v>
      </c>
      <c r="E7" s="790" t="s">
        <v>1326</v>
      </c>
      <c r="F7" s="790" t="s">
        <v>2617</v>
      </c>
      <c r="G7" s="800">
        <f>VLOOKUP($E7,[2]tropical!$A$4:$AF$46,[2]tropical!C$1,FALSE)</f>
        <v>0</v>
      </c>
      <c r="H7" s="800">
        <f>VLOOKUP($E7,[2]tropical!$A$4:$AF$46,[2]tropical!D$1,FALSE)</f>
        <v>0</v>
      </c>
      <c r="I7" s="800">
        <f>VLOOKUP($E7,[2]tropical!$A$4:$AF$46,[2]tropical!E$1,FALSE)</f>
        <v>0</v>
      </c>
      <c r="J7" s="800">
        <f>VLOOKUP($E7,[2]tropical!$A$4:$AF$46,[2]tropical!F$1,FALSE)</f>
        <v>0</v>
      </c>
      <c r="K7" s="800">
        <f>VLOOKUP($E7,[2]tropical!$A$4:$AF$46,[2]tropical!G$1,FALSE)</f>
        <v>0</v>
      </c>
      <c r="L7" s="800">
        <f>VLOOKUP($E7,[2]tropical!$A$4:$AF$46,[2]tropical!H$1,FALSE)</f>
        <v>0</v>
      </c>
      <c r="M7" s="800">
        <f>VLOOKUP($E7,[2]tropical!$A$4:$AF$46,[2]tropical!I$1,FALSE)</f>
        <v>0</v>
      </c>
      <c r="N7" s="800">
        <f>VLOOKUP($E7,[2]tropical!$A$4:$AF$46,[2]tropical!J$1,FALSE)</f>
        <v>0</v>
      </c>
      <c r="O7" s="800">
        <f>VLOOKUP($E7,[2]tropical!$A$4:$AF$46,[2]tropical!K$1,FALSE)</f>
        <v>0</v>
      </c>
      <c r="P7" s="800">
        <f>VLOOKUP($E7,[2]tropical!$A$4:$AF$46,[2]tropical!L$1,FALSE)</f>
        <v>0</v>
      </c>
      <c r="Q7" s="800">
        <f>VLOOKUP($E7,[2]tropical!$A$4:$AF$46,[2]tropical!M$1,FALSE)</f>
        <v>0</v>
      </c>
      <c r="R7" s="805">
        <f>VLOOKUP($E7,[2]tropical!$A$4:$AF$46,[2]tropical!N$1,FALSE)</f>
        <v>0</v>
      </c>
      <c r="S7" s="805">
        <f>VLOOKUP($E7,[2]tropical!$A$4:$AF$46,[2]tropical!O$1,FALSE)</f>
        <v>0</v>
      </c>
      <c r="T7" s="805">
        <f>VLOOKUP($E7,[2]tropical!$A$4:$AF$46,[2]tropical!P$1,FALSE)</f>
        <v>0</v>
      </c>
      <c r="U7" s="800">
        <f t="shared" si="0"/>
        <v>0</v>
      </c>
    </row>
    <row r="8" spans="1:21">
      <c r="A8" s="788">
        <v>8005</v>
      </c>
      <c r="B8" s="788" t="s">
        <v>725</v>
      </c>
      <c r="C8" s="788">
        <v>281</v>
      </c>
      <c r="D8" s="788" t="s">
        <v>24</v>
      </c>
      <c r="E8" s="790" t="s">
        <v>867</v>
      </c>
      <c r="F8" s="790" t="s">
        <v>2616</v>
      </c>
      <c r="G8" s="800">
        <f>VLOOKUP($E8,[2]tropical!$A$4:$AF$46,[2]tropical!C$1,FALSE)</f>
        <v>0</v>
      </c>
      <c r="H8" s="800">
        <f>VLOOKUP($E8,[2]tropical!$A$4:$AF$46,[2]tropical!D$1,FALSE)</f>
        <v>1</v>
      </c>
      <c r="I8" s="800">
        <f>VLOOKUP($E8,[2]tropical!$A$4:$AF$46,[2]tropical!E$1,FALSE)</f>
        <v>2</v>
      </c>
      <c r="J8" s="800">
        <f>VLOOKUP($E8,[2]tropical!$A$4:$AF$46,[2]tropical!F$1,FALSE)</f>
        <v>1</v>
      </c>
      <c r="K8" s="800">
        <f>VLOOKUP($E8,[2]tropical!$A$4:$AF$46,[2]tropical!G$1,FALSE)</f>
        <v>0</v>
      </c>
      <c r="L8" s="800">
        <f>VLOOKUP($E8,[2]tropical!$A$4:$AF$46,[2]tropical!H$1,FALSE)</f>
        <v>2</v>
      </c>
      <c r="M8" s="800">
        <f>VLOOKUP($E8,[2]tropical!$A$4:$AF$46,[2]tropical!I$1,FALSE)</f>
        <v>0</v>
      </c>
      <c r="N8" s="800">
        <f>VLOOKUP($E8,[2]tropical!$A$4:$AF$46,[2]tropical!J$1,FALSE)</f>
        <v>0</v>
      </c>
      <c r="O8" s="800">
        <f>VLOOKUP($E8,[2]tropical!$A$4:$AF$46,[2]tropical!K$1,FALSE)</f>
        <v>2</v>
      </c>
      <c r="P8" s="800">
        <f>VLOOKUP($E8,[2]tropical!$A$4:$AF$46,[2]tropical!L$1,FALSE)</f>
        <v>0</v>
      </c>
      <c r="Q8" s="800">
        <f>VLOOKUP($E8,[2]tropical!$A$4:$AF$46,[2]tropical!M$1,FALSE)</f>
        <v>0</v>
      </c>
      <c r="R8" s="805">
        <f>VLOOKUP($E8,[2]tropical!$A$4:$AF$46,[2]tropical!N$1,FALSE)</f>
        <v>0</v>
      </c>
      <c r="S8" s="805">
        <f>VLOOKUP($E8,[2]tropical!$A$4:$AF$46,[2]tropical!O$1,FALSE)</f>
        <v>0</v>
      </c>
      <c r="T8" s="805">
        <f>VLOOKUP($E8,[2]tropical!$A$4:$AF$46,[2]tropical!P$1,FALSE)</f>
        <v>0</v>
      </c>
      <c r="U8" s="800">
        <f t="shared" si="0"/>
        <v>8</v>
      </c>
    </row>
    <row r="9" spans="1:21">
      <c r="A9" s="788">
        <v>8006</v>
      </c>
      <c r="B9" s="788" t="s">
        <v>334</v>
      </c>
      <c r="C9" s="788">
        <v>10</v>
      </c>
      <c r="D9" s="788" t="s">
        <v>86</v>
      </c>
      <c r="E9" s="790" t="s">
        <v>352</v>
      </c>
      <c r="F9" s="790" t="s">
        <v>2615</v>
      </c>
      <c r="G9" s="800">
        <f>VLOOKUP($E9,[2]tropical!$A$4:$AF$46,[2]tropical!C$1,FALSE)</f>
        <v>41</v>
      </c>
      <c r="H9" s="800">
        <f>VLOOKUP($E9,[2]tropical!$A$4:$AF$46,[2]tropical!D$1,FALSE)</f>
        <v>57</v>
      </c>
      <c r="I9" s="800">
        <f>VLOOKUP($E9,[2]tropical!$A$4:$AF$46,[2]tropical!E$1,FALSE)</f>
        <v>52</v>
      </c>
      <c r="J9" s="800">
        <f>VLOOKUP($E9,[2]tropical!$A$4:$AF$46,[2]tropical!F$1,FALSE)</f>
        <v>9</v>
      </c>
      <c r="K9" s="800">
        <f>VLOOKUP($E9,[2]tropical!$A$4:$AF$46,[2]tropical!G$1,FALSE)</f>
        <v>37</v>
      </c>
      <c r="L9" s="800">
        <f>VLOOKUP($E9,[2]tropical!$A$4:$AF$46,[2]tropical!H$1,FALSE)</f>
        <v>47</v>
      </c>
      <c r="M9" s="800">
        <f>VLOOKUP($E9,[2]tropical!$A$4:$AF$46,[2]tropical!I$1,FALSE)</f>
        <v>42</v>
      </c>
      <c r="N9" s="800">
        <f>VLOOKUP($E9,[2]tropical!$A$4:$AF$46,[2]tropical!J$1,FALSE)</f>
        <v>27</v>
      </c>
      <c r="O9" s="800">
        <f>VLOOKUP($E9,[2]tropical!$A$4:$AF$46,[2]tropical!K$1,FALSE)</f>
        <v>39</v>
      </c>
      <c r="P9" s="800">
        <f>VLOOKUP($E9,[2]tropical!$A$4:$AF$46,[2]tropical!L$1,FALSE)</f>
        <v>32</v>
      </c>
      <c r="Q9" s="800">
        <f>VLOOKUP($E9,[2]tropical!$A$4:$AF$46,[2]tropical!M$1,FALSE)</f>
        <v>20</v>
      </c>
      <c r="R9" s="805">
        <f>VLOOKUP($E9,[2]tropical!$A$4:$AF$46,[2]tropical!N$1,FALSE)</f>
        <v>0</v>
      </c>
      <c r="S9" s="805">
        <f>VLOOKUP($E9,[2]tropical!$A$4:$AF$46,[2]tropical!O$1,FALSE)</f>
        <v>0</v>
      </c>
      <c r="T9" s="805">
        <f>VLOOKUP($E9,[2]tropical!$A$4:$AF$46,[2]tropical!P$1,FALSE)</f>
        <v>0</v>
      </c>
      <c r="U9" s="800">
        <f t="shared" si="0"/>
        <v>403</v>
      </c>
    </row>
    <row r="10" spans="1:21">
      <c r="A10" s="788">
        <v>8007</v>
      </c>
      <c r="B10" s="788" t="s">
        <v>742</v>
      </c>
      <c r="C10" s="788">
        <v>121</v>
      </c>
      <c r="D10" s="788" t="s">
        <v>86</v>
      </c>
      <c r="E10" s="790" t="s">
        <v>864</v>
      </c>
      <c r="F10" s="790" t="s">
        <v>2615</v>
      </c>
      <c r="G10" s="800">
        <f>VLOOKUP($E10,[2]tropical!$A$4:$AF$46,[2]tropical!C$1,FALSE)</f>
        <v>23</v>
      </c>
      <c r="H10" s="800">
        <f>VLOOKUP($E10,[2]tropical!$A$4:$AF$46,[2]tropical!D$1,FALSE)</f>
        <v>30</v>
      </c>
      <c r="I10" s="800">
        <f>VLOOKUP($E10,[2]tropical!$A$4:$AF$46,[2]tropical!E$1,FALSE)</f>
        <v>35</v>
      </c>
      <c r="J10" s="800">
        <f>VLOOKUP($E10,[2]tropical!$A$4:$AF$46,[2]tropical!F$1,FALSE)</f>
        <v>18</v>
      </c>
      <c r="K10" s="800">
        <f>VLOOKUP($E10,[2]tropical!$A$4:$AF$46,[2]tropical!G$1,FALSE)</f>
        <v>24</v>
      </c>
      <c r="L10" s="800">
        <f>VLOOKUP($E10,[2]tropical!$A$4:$AF$46,[2]tropical!H$1,FALSE)</f>
        <v>26</v>
      </c>
      <c r="M10" s="800">
        <f>VLOOKUP($E10,[2]tropical!$A$4:$AF$46,[2]tropical!I$1,FALSE)</f>
        <v>38</v>
      </c>
      <c r="N10" s="800">
        <f>VLOOKUP($E10,[2]tropical!$A$4:$AF$46,[2]tropical!J$1,FALSE)</f>
        <v>14</v>
      </c>
      <c r="O10" s="800">
        <f>VLOOKUP($E10,[2]tropical!$A$4:$AF$46,[2]tropical!K$1,FALSE)</f>
        <v>28</v>
      </c>
      <c r="P10" s="800">
        <f>VLOOKUP($E10,[2]tropical!$A$4:$AF$46,[2]tropical!L$1,FALSE)</f>
        <v>18</v>
      </c>
      <c r="Q10" s="800">
        <f>VLOOKUP($E10,[2]tropical!$A$4:$AF$46,[2]tropical!M$1,FALSE)</f>
        <v>10</v>
      </c>
      <c r="R10" s="805">
        <f>VLOOKUP($E10,[2]tropical!$A$4:$AF$46,[2]tropical!N$1,FALSE)</f>
        <v>0</v>
      </c>
      <c r="S10" s="805">
        <f>VLOOKUP($E10,[2]tropical!$A$4:$AF$46,[2]tropical!O$1,FALSE)</f>
        <v>0</v>
      </c>
      <c r="T10" s="805">
        <f>VLOOKUP($E10,[2]tropical!$A$4:$AF$46,[2]tropical!P$1,FALSE)</f>
        <v>0</v>
      </c>
      <c r="U10" s="800">
        <f t="shared" si="0"/>
        <v>264</v>
      </c>
    </row>
    <row r="11" spans="1:21">
      <c r="A11" s="788">
        <v>8008</v>
      </c>
      <c r="B11" s="788" t="s">
        <v>751</v>
      </c>
      <c r="C11" s="788">
        <v>716</v>
      </c>
      <c r="D11" s="788" t="s">
        <v>81</v>
      </c>
      <c r="E11" s="790" t="s">
        <v>1274</v>
      </c>
      <c r="F11" s="790" t="s">
        <v>2616</v>
      </c>
      <c r="G11" s="800">
        <f>VLOOKUP($E11,[2]tropical!$A$4:$AF$46,[2]tropical!C$1,FALSE)</f>
        <v>0</v>
      </c>
      <c r="H11" s="800">
        <f>VLOOKUP($E11,[2]tropical!$A$4:$AF$46,[2]tropical!D$1,FALSE)</f>
        <v>0</v>
      </c>
      <c r="I11" s="800">
        <f>VLOOKUP($E11,[2]tropical!$A$4:$AF$46,[2]tropical!E$1,FALSE)</f>
        <v>0</v>
      </c>
      <c r="J11" s="800">
        <f>VLOOKUP($E11,[2]tropical!$A$4:$AF$46,[2]tropical!F$1,FALSE)</f>
        <v>0</v>
      </c>
      <c r="K11" s="800">
        <f>VLOOKUP($E11,[2]tropical!$A$4:$AF$46,[2]tropical!G$1,FALSE)</f>
        <v>1</v>
      </c>
      <c r="L11" s="800">
        <f>VLOOKUP($E11,[2]tropical!$A$4:$AF$46,[2]tropical!H$1,FALSE)</f>
        <v>0</v>
      </c>
      <c r="M11" s="800">
        <f>VLOOKUP($E11,[2]tropical!$A$4:$AF$46,[2]tropical!I$1,FALSE)</f>
        <v>0</v>
      </c>
      <c r="N11" s="800">
        <f>VLOOKUP($E11,[2]tropical!$A$4:$AF$46,[2]tropical!J$1,FALSE)</f>
        <v>0</v>
      </c>
      <c r="O11" s="800">
        <f>VLOOKUP($E11,[2]tropical!$A$4:$AF$46,[2]tropical!K$1,FALSE)</f>
        <v>1</v>
      </c>
      <c r="P11" s="800">
        <f>VLOOKUP($E11,[2]tropical!$A$4:$AF$46,[2]tropical!L$1,FALSE)</f>
        <v>0</v>
      </c>
      <c r="Q11" s="800">
        <f>VLOOKUP($E11,[2]tropical!$A$4:$AF$46,[2]tropical!M$1,FALSE)</f>
        <v>0</v>
      </c>
      <c r="R11" s="805">
        <f>VLOOKUP($E11,[2]tropical!$A$4:$AF$46,[2]tropical!N$1,FALSE)</f>
        <v>0</v>
      </c>
      <c r="S11" s="805">
        <f>VLOOKUP($E11,[2]tropical!$A$4:$AF$46,[2]tropical!O$1,FALSE)</f>
        <v>0</v>
      </c>
      <c r="T11" s="805">
        <f>VLOOKUP($E11,[2]tropical!$A$4:$AF$46,[2]tropical!P$1,FALSE)</f>
        <v>0</v>
      </c>
      <c r="U11" s="800">
        <f t="shared" si="0"/>
        <v>2</v>
      </c>
    </row>
    <row r="12" spans="1:21">
      <c r="A12" s="788">
        <v>8009</v>
      </c>
      <c r="B12" s="788" t="s">
        <v>761</v>
      </c>
      <c r="C12" s="788">
        <v>88</v>
      </c>
      <c r="D12" s="788" t="s">
        <v>86</v>
      </c>
      <c r="E12" s="790" t="s">
        <v>864</v>
      </c>
      <c r="F12" s="790" t="s">
        <v>2615</v>
      </c>
      <c r="G12" s="800">
        <f>VLOOKUP($E12,[2]tropical!$A$4:$AF$46,[2]tropical!C$1,FALSE)</f>
        <v>23</v>
      </c>
      <c r="H12" s="800">
        <f>VLOOKUP($E12,[2]tropical!$A$4:$AF$46,[2]tropical!D$1,FALSE)</f>
        <v>30</v>
      </c>
      <c r="I12" s="800">
        <f>VLOOKUP($E12,[2]tropical!$A$4:$AF$46,[2]tropical!E$1,FALSE)</f>
        <v>35</v>
      </c>
      <c r="J12" s="800">
        <f>VLOOKUP($E12,[2]tropical!$A$4:$AF$46,[2]tropical!F$1,FALSE)</f>
        <v>18</v>
      </c>
      <c r="K12" s="800">
        <f>VLOOKUP($E12,[2]tropical!$A$4:$AF$46,[2]tropical!G$1,FALSE)</f>
        <v>24</v>
      </c>
      <c r="L12" s="800">
        <f>VLOOKUP($E12,[2]tropical!$A$4:$AF$46,[2]tropical!H$1,FALSE)</f>
        <v>26</v>
      </c>
      <c r="M12" s="800">
        <f>VLOOKUP($E12,[2]tropical!$A$4:$AF$46,[2]tropical!I$1,FALSE)</f>
        <v>38</v>
      </c>
      <c r="N12" s="800">
        <f>VLOOKUP($E12,[2]tropical!$A$4:$AF$46,[2]tropical!J$1,FALSE)</f>
        <v>14</v>
      </c>
      <c r="O12" s="800">
        <f>VLOOKUP($E12,[2]tropical!$A$4:$AF$46,[2]tropical!K$1,FALSE)</f>
        <v>28</v>
      </c>
      <c r="P12" s="800">
        <f>VLOOKUP($E12,[2]tropical!$A$4:$AF$46,[2]tropical!L$1,FALSE)</f>
        <v>18</v>
      </c>
      <c r="Q12" s="800">
        <f>VLOOKUP($E12,[2]tropical!$A$4:$AF$46,[2]tropical!M$1,FALSE)</f>
        <v>10</v>
      </c>
      <c r="R12" s="805">
        <f>VLOOKUP($E12,[2]tropical!$A$4:$AF$46,[2]tropical!N$1,FALSE)</f>
        <v>0</v>
      </c>
      <c r="S12" s="805">
        <f>VLOOKUP($E12,[2]tropical!$A$4:$AF$46,[2]tropical!O$1,FALSE)</f>
        <v>0</v>
      </c>
      <c r="T12" s="805">
        <f>VLOOKUP($E12,[2]tropical!$A$4:$AF$46,[2]tropical!P$1,FALSE)</f>
        <v>0</v>
      </c>
      <c r="U12" s="800">
        <f t="shared" si="0"/>
        <v>264</v>
      </c>
    </row>
    <row r="13" spans="1:21">
      <c r="A13" s="788">
        <v>8010</v>
      </c>
      <c r="B13" s="788" t="s">
        <v>767</v>
      </c>
      <c r="C13" s="788">
        <v>316</v>
      </c>
      <c r="D13" s="788" t="s">
        <v>82</v>
      </c>
      <c r="E13" s="790" t="s">
        <v>767</v>
      </c>
      <c r="F13" s="790" t="s">
        <v>2616</v>
      </c>
      <c r="G13" s="800">
        <f>VLOOKUP($E13,[2]tropical!$A$4:$AF$46,[2]tropical!C$1,FALSE)</f>
        <v>0</v>
      </c>
      <c r="H13" s="800">
        <f>VLOOKUP($E13,[2]tropical!$A$4:$AF$46,[2]tropical!D$1,FALSE)</f>
        <v>0</v>
      </c>
      <c r="I13" s="800">
        <f>VLOOKUP($E13,[2]tropical!$A$4:$AF$46,[2]tropical!E$1,FALSE)</f>
        <v>2</v>
      </c>
      <c r="J13" s="800">
        <f>VLOOKUP($E13,[2]tropical!$A$4:$AF$46,[2]tropical!F$1,FALSE)</f>
        <v>0</v>
      </c>
      <c r="K13" s="800">
        <f>VLOOKUP($E13,[2]tropical!$A$4:$AF$46,[2]tropical!G$1,FALSE)</f>
        <v>0</v>
      </c>
      <c r="L13" s="800">
        <f>VLOOKUP($E13,[2]tropical!$A$4:$AF$46,[2]tropical!H$1,FALSE)</f>
        <v>0</v>
      </c>
      <c r="M13" s="800">
        <f>VLOOKUP($E13,[2]tropical!$A$4:$AF$46,[2]tropical!I$1,FALSE)</f>
        <v>0</v>
      </c>
      <c r="N13" s="800">
        <f>VLOOKUP($E13,[2]tropical!$A$4:$AF$46,[2]tropical!J$1,FALSE)</f>
        <v>0</v>
      </c>
      <c r="O13" s="800">
        <f>VLOOKUP($E13,[2]tropical!$A$4:$AF$46,[2]tropical!K$1,FALSE)</f>
        <v>0</v>
      </c>
      <c r="P13" s="800">
        <f>VLOOKUP($E13,[2]tropical!$A$4:$AF$46,[2]tropical!L$1,FALSE)</f>
        <v>0</v>
      </c>
      <c r="Q13" s="800">
        <f>VLOOKUP($E13,[2]tropical!$A$4:$AF$46,[2]tropical!M$1,FALSE)</f>
        <v>0</v>
      </c>
      <c r="R13" s="805">
        <f>VLOOKUP($E13,[2]tropical!$A$4:$AF$46,[2]tropical!N$1,FALSE)</f>
        <v>0</v>
      </c>
      <c r="S13" s="805">
        <f>VLOOKUP($E13,[2]tropical!$A$4:$AF$46,[2]tropical!O$1,FALSE)</f>
        <v>0</v>
      </c>
      <c r="T13" s="805">
        <f>VLOOKUP($E13,[2]tropical!$A$4:$AF$46,[2]tropical!P$1,FALSE)</f>
        <v>0</v>
      </c>
      <c r="U13" s="800">
        <f t="shared" si="0"/>
        <v>2</v>
      </c>
    </row>
    <row r="14" spans="1:21">
      <c r="A14" s="788">
        <v>8011</v>
      </c>
      <c r="B14" s="788" t="s">
        <v>774</v>
      </c>
      <c r="C14" s="788">
        <v>677</v>
      </c>
      <c r="D14" s="788" t="s">
        <v>84</v>
      </c>
      <c r="E14" s="790" t="s">
        <v>2603</v>
      </c>
      <c r="F14" s="790" t="s">
        <v>2617</v>
      </c>
      <c r="G14" s="800">
        <f>VLOOKUP($E14,[2]tropical!$A$4:$AF$46,[2]tropical!C$1,FALSE)</f>
        <v>0</v>
      </c>
      <c r="H14" s="800">
        <f>VLOOKUP($E14,[2]tropical!$A$4:$AF$46,[2]tropical!D$1,FALSE)</f>
        <v>1</v>
      </c>
      <c r="I14" s="800">
        <f>VLOOKUP($E14,[2]tropical!$A$4:$AF$46,[2]tropical!E$1,FALSE)</f>
        <v>0</v>
      </c>
      <c r="J14" s="800">
        <f>VLOOKUP($E14,[2]tropical!$A$4:$AF$46,[2]tropical!F$1,FALSE)</f>
        <v>0</v>
      </c>
      <c r="K14" s="800">
        <f>VLOOKUP($E14,[2]tropical!$A$4:$AF$46,[2]tropical!G$1,FALSE)</f>
        <v>0</v>
      </c>
      <c r="L14" s="800">
        <f>VLOOKUP($E14,[2]tropical!$A$4:$AF$46,[2]tropical!H$1,FALSE)</f>
        <v>0</v>
      </c>
      <c r="M14" s="800">
        <f>VLOOKUP($E14,[2]tropical!$A$4:$AF$46,[2]tropical!I$1,FALSE)</f>
        <v>0</v>
      </c>
      <c r="N14" s="800">
        <f>VLOOKUP($E14,[2]tropical!$A$4:$AF$46,[2]tropical!J$1,FALSE)</f>
        <v>0</v>
      </c>
      <c r="O14" s="800">
        <f>VLOOKUP($E14,[2]tropical!$A$4:$AF$46,[2]tropical!K$1,FALSE)</f>
        <v>2</v>
      </c>
      <c r="P14" s="800">
        <f>VLOOKUP($E14,[2]tropical!$A$4:$AF$46,[2]tropical!L$1,FALSE)</f>
        <v>0</v>
      </c>
      <c r="Q14" s="800">
        <f>VLOOKUP($E14,[2]tropical!$A$4:$AF$46,[2]tropical!M$1,FALSE)</f>
        <v>0</v>
      </c>
      <c r="R14" s="805">
        <f>VLOOKUP($E14,[2]tropical!$A$4:$AF$46,[2]tropical!N$1,FALSE)</f>
        <v>0</v>
      </c>
      <c r="S14" s="805">
        <f>VLOOKUP($E14,[2]tropical!$A$4:$AF$46,[2]tropical!O$1,FALSE)</f>
        <v>0</v>
      </c>
      <c r="T14" s="805">
        <f>VLOOKUP($E14,[2]tropical!$A$4:$AF$46,[2]tropical!P$1,FALSE)</f>
        <v>0</v>
      </c>
      <c r="U14" s="800">
        <f t="shared" si="0"/>
        <v>3</v>
      </c>
    </row>
    <row r="15" spans="1:21">
      <c r="A15" s="788">
        <v>8012</v>
      </c>
      <c r="B15" s="788" t="s">
        <v>781</v>
      </c>
      <c r="C15" s="788">
        <v>353</v>
      </c>
      <c r="D15" s="788" t="s">
        <v>82</v>
      </c>
      <c r="E15" s="790" t="s">
        <v>767</v>
      </c>
      <c r="F15" s="790" t="s">
        <v>2616</v>
      </c>
      <c r="G15" s="800">
        <f>VLOOKUP($E15,[2]tropical!$A$4:$AF$46,[2]tropical!C$1,FALSE)</f>
        <v>0</v>
      </c>
      <c r="H15" s="800">
        <f>VLOOKUP($E15,[2]tropical!$A$4:$AF$46,[2]tropical!D$1,FALSE)</f>
        <v>0</v>
      </c>
      <c r="I15" s="800">
        <f>VLOOKUP($E15,[2]tropical!$A$4:$AF$46,[2]tropical!E$1,FALSE)</f>
        <v>2</v>
      </c>
      <c r="J15" s="800">
        <f>VLOOKUP($E15,[2]tropical!$A$4:$AF$46,[2]tropical!F$1,FALSE)</f>
        <v>0</v>
      </c>
      <c r="K15" s="800">
        <f>VLOOKUP($E15,[2]tropical!$A$4:$AF$46,[2]tropical!G$1,FALSE)</f>
        <v>0</v>
      </c>
      <c r="L15" s="800">
        <f>VLOOKUP($E15,[2]tropical!$A$4:$AF$46,[2]tropical!H$1,FALSE)</f>
        <v>0</v>
      </c>
      <c r="M15" s="800">
        <f>VLOOKUP($E15,[2]tropical!$A$4:$AF$46,[2]tropical!I$1,FALSE)</f>
        <v>0</v>
      </c>
      <c r="N15" s="800">
        <f>VLOOKUP($E15,[2]tropical!$A$4:$AF$46,[2]tropical!J$1,FALSE)</f>
        <v>0</v>
      </c>
      <c r="O15" s="800">
        <f>VLOOKUP($E15,[2]tropical!$A$4:$AF$46,[2]tropical!K$1,FALSE)</f>
        <v>0</v>
      </c>
      <c r="P15" s="800">
        <f>VLOOKUP($E15,[2]tropical!$A$4:$AF$46,[2]tropical!L$1,FALSE)</f>
        <v>0</v>
      </c>
      <c r="Q15" s="800">
        <f>VLOOKUP($E15,[2]tropical!$A$4:$AF$46,[2]tropical!M$1,FALSE)</f>
        <v>0</v>
      </c>
      <c r="R15" s="805">
        <f>VLOOKUP($E15,[2]tropical!$A$4:$AF$46,[2]tropical!N$1,FALSE)</f>
        <v>0</v>
      </c>
      <c r="S15" s="805">
        <f>VLOOKUP($E15,[2]tropical!$A$4:$AF$46,[2]tropical!O$1,FALSE)</f>
        <v>0</v>
      </c>
      <c r="T15" s="805">
        <f>VLOOKUP($E15,[2]tropical!$A$4:$AF$46,[2]tropical!P$1,FALSE)</f>
        <v>0</v>
      </c>
      <c r="U15" s="800">
        <f t="shared" si="0"/>
        <v>2</v>
      </c>
    </row>
    <row r="16" spans="1:21">
      <c r="A16" s="788">
        <v>8013</v>
      </c>
      <c r="B16" s="788" t="s">
        <v>787</v>
      </c>
      <c r="C16" s="788">
        <v>280</v>
      </c>
      <c r="D16" s="788" t="s">
        <v>791</v>
      </c>
      <c r="E16" s="790" t="s">
        <v>1108</v>
      </c>
      <c r="F16" s="790" t="s">
        <v>2615</v>
      </c>
      <c r="G16" s="800">
        <f>VLOOKUP($E16,[2]tropical!$A$4:$AF$46,[2]tropical!C$1,FALSE)</f>
        <v>0</v>
      </c>
      <c r="H16" s="800">
        <f>VLOOKUP($E16,[2]tropical!$A$4:$AF$46,[2]tropical!D$1,FALSE)</f>
        <v>3</v>
      </c>
      <c r="I16" s="800">
        <f>VLOOKUP($E16,[2]tropical!$A$4:$AF$46,[2]tropical!E$1,FALSE)</f>
        <v>2</v>
      </c>
      <c r="J16" s="800">
        <f>VLOOKUP($E16,[2]tropical!$A$4:$AF$46,[2]tropical!F$1,FALSE)</f>
        <v>0</v>
      </c>
      <c r="K16" s="800">
        <f>VLOOKUP($E16,[2]tropical!$A$4:$AF$46,[2]tropical!G$1,FALSE)</f>
        <v>1</v>
      </c>
      <c r="L16" s="800">
        <f>VLOOKUP($E16,[2]tropical!$A$4:$AF$46,[2]tropical!H$1,FALSE)</f>
        <v>1</v>
      </c>
      <c r="M16" s="800">
        <f>VLOOKUP($E16,[2]tropical!$A$4:$AF$46,[2]tropical!I$1,FALSE)</f>
        <v>1</v>
      </c>
      <c r="N16" s="800">
        <f>VLOOKUP($E16,[2]tropical!$A$4:$AF$46,[2]tropical!J$1,FALSE)</f>
        <v>1</v>
      </c>
      <c r="O16" s="800">
        <f>VLOOKUP($E16,[2]tropical!$A$4:$AF$46,[2]tropical!K$1,FALSE)</f>
        <v>1</v>
      </c>
      <c r="P16" s="800">
        <f>VLOOKUP($E16,[2]tropical!$A$4:$AF$46,[2]tropical!L$1,FALSE)</f>
        <v>0</v>
      </c>
      <c r="Q16" s="800">
        <f>VLOOKUP($E16,[2]tropical!$A$4:$AF$46,[2]tropical!M$1,FALSE)</f>
        <v>0</v>
      </c>
      <c r="R16" s="805">
        <f>VLOOKUP($E16,[2]tropical!$A$4:$AF$46,[2]tropical!N$1,FALSE)</f>
        <v>0</v>
      </c>
      <c r="S16" s="805">
        <f>VLOOKUP($E16,[2]tropical!$A$4:$AF$46,[2]tropical!O$1,FALSE)</f>
        <v>0</v>
      </c>
      <c r="T16" s="805">
        <f>VLOOKUP($E16,[2]tropical!$A$4:$AF$46,[2]tropical!P$1,FALSE)</f>
        <v>0</v>
      </c>
      <c r="U16" s="800">
        <f t="shared" si="0"/>
        <v>10</v>
      </c>
    </row>
    <row r="17" spans="1:21">
      <c r="A17" s="788">
        <v>8014</v>
      </c>
      <c r="B17" s="788" t="s">
        <v>797</v>
      </c>
      <c r="C17" s="788">
        <v>404</v>
      </c>
      <c r="D17" s="788" t="s">
        <v>24</v>
      </c>
      <c r="E17" s="790" t="s">
        <v>867</v>
      </c>
      <c r="F17" s="790" t="s">
        <v>2616</v>
      </c>
      <c r="G17" s="800">
        <f>VLOOKUP($E17,[2]tropical!$A$4:$AF$46,[2]tropical!C$1,FALSE)</f>
        <v>0</v>
      </c>
      <c r="H17" s="800">
        <f>VLOOKUP($E17,[2]tropical!$A$4:$AF$46,[2]tropical!D$1,FALSE)</f>
        <v>1</v>
      </c>
      <c r="I17" s="800">
        <f>VLOOKUP($E17,[2]tropical!$A$4:$AF$46,[2]tropical!E$1,FALSE)</f>
        <v>2</v>
      </c>
      <c r="J17" s="800">
        <f>VLOOKUP($E17,[2]tropical!$A$4:$AF$46,[2]tropical!F$1,FALSE)</f>
        <v>1</v>
      </c>
      <c r="K17" s="800">
        <f>VLOOKUP($E17,[2]tropical!$A$4:$AF$46,[2]tropical!G$1,FALSE)</f>
        <v>0</v>
      </c>
      <c r="L17" s="800">
        <f>VLOOKUP($E17,[2]tropical!$A$4:$AF$46,[2]tropical!H$1,FALSE)</f>
        <v>2</v>
      </c>
      <c r="M17" s="800">
        <f>VLOOKUP($E17,[2]tropical!$A$4:$AF$46,[2]tropical!I$1,FALSE)</f>
        <v>0</v>
      </c>
      <c r="N17" s="800">
        <f>VLOOKUP($E17,[2]tropical!$A$4:$AF$46,[2]tropical!J$1,FALSE)</f>
        <v>0</v>
      </c>
      <c r="O17" s="800">
        <f>VLOOKUP($E17,[2]tropical!$A$4:$AF$46,[2]tropical!K$1,FALSE)</f>
        <v>2</v>
      </c>
      <c r="P17" s="800">
        <f>VLOOKUP($E17,[2]tropical!$A$4:$AF$46,[2]tropical!L$1,FALSE)</f>
        <v>0</v>
      </c>
      <c r="Q17" s="800">
        <f>VLOOKUP($E17,[2]tropical!$A$4:$AF$46,[2]tropical!M$1,FALSE)</f>
        <v>0</v>
      </c>
      <c r="R17" s="805">
        <f>VLOOKUP($E17,[2]tropical!$A$4:$AF$46,[2]tropical!N$1,FALSE)</f>
        <v>0</v>
      </c>
      <c r="S17" s="805">
        <f>VLOOKUP($E17,[2]tropical!$A$4:$AF$46,[2]tropical!O$1,FALSE)</f>
        <v>0</v>
      </c>
      <c r="T17" s="805">
        <f>VLOOKUP($E17,[2]tropical!$A$4:$AF$46,[2]tropical!P$1,FALSE)</f>
        <v>0</v>
      </c>
      <c r="U17" s="800">
        <f t="shared" si="0"/>
        <v>8</v>
      </c>
    </row>
    <row r="18" spans="1:21">
      <c r="A18" s="788">
        <v>8015</v>
      </c>
      <c r="B18" s="788" t="s">
        <v>335</v>
      </c>
      <c r="C18" s="788">
        <v>6</v>
      </c>
      <c r="D18" s="788" t="s">
        <v>83</v>
      </c>
      <c r="E18" s="790" t="s">
        <v>2604</v>
      </c>
      <c r="F18" s="790" t="s">
        <v>2615</v>
      </c>
      <c r="G18" s="800">
        <f>VLOOKUP($E18,[2]tropical!$A$4:$AF$46,[2]tropical!C$1,FALSE)</f>
        <v>0</v>
      </c>
      <c r="H18" s="800">
        <f>VLOOKUP($E18,[2]tropical!$A$4:$AF$46,[2]tropical!D$1,FALSE)</f>
        <v>0</v>
      </c>
      <c r="I18" s="800">
        <f>VLOOKUP($E18,[2]tropical!$A$4:$AF$46,[2]tropical!E$1,FALSE)</f>
        <v>66</v>
      </c>
      <c r="J18" s="800">
        <f>VLOOKUP($E18,[2]tropical!$A$4:$AF$46,[2]tropical!F$1,FALSE)</f>
        <v>40</v>
      </c>
      <c r="K18" s="800">
        <f>VLOOKUP($E18,[2]tropical!$A$4:$AF$46,[2]tropical!G$1,FALSE)</f>
        <v>61</v>
      </c>
      <c r="L18" s="800">
        <f>VLOOKUP($E18,[2]tropical!$A$4:$AF$46,[2]tropical!H$1,FALSE)</f>
        <v>65</v>
      </c>
      <c r="M18" s="800">
        <f>VLOOKUP($E18,[2]tropical!$A$4:$AF$46,[2]tropical!I$1,FALSE)</f>
        <v>56</v>
      </c>
      <c r="N18" s="800">
        <f>VLOOKUP($E18,[2]tropical!$A$4:$AF$46,[2]tropical!J$1,FALSE)</f>
        <v>51</v>
      </c>
      <c r="O18" s="800">
        <f>VLOOKUP($E18,[2]tropical!$A$4:$AF$46,[2]tropical!K$1,FALSE)</f>
        <v>64</v>
      </c>
      <c r="P18" s="800">
        <f>VLOOKUP($E18,[2]tropical!$A$4:$AF$46,[2]tropical!L$1,FALSE)</f>
        <v>50</v>
      </c>
      <c r="Q18" s="800">
        <f>VLOOKUP($E18,[2]tropical!$A$4:$AF$46,[2]tropical!M$1,FALSE)</f>
        <v>51</v>
      </c>
      <c r="R18" s="805">
        <f>VLOOKUP($E18,[2]tropical!$A$4:$AF$46,[2]tropical!N$1,FALSE)</f>
        <v>0</v>
      </c>
      <c r="S18" s="805">
        <f>VLOOKUP($E18,[2]tropical!$A$4:$AF$46,[2]tropical!O$1,FALSE)</f>
        <v>0</v>
      </c>
      <c r="T18" s="805">
        <f>VLOOKUP($E18,[2]tropical!$A$4:$AF$46,[2]tropical!P$1,FALSE)</f>
        <v>0</v>
      </c>
      <c r="U18" s="800">
        <f t="shared" si="0"/>
        <v>504</v>
      </c>
    </row>
    <row r="19" spans="1:21">
      <c r="A19" s="788">
        <v>8016</v>
      </c>
      <c r="B19" s="788" t="s">
        <v>807</v>
      </c>
      <c r="C19" s="788">
        <v>785</v>
      </c>
      <c r="D19" s="788" t="s">
        <v>84</v>
      </c>
      <c r="E19" s="790" t="s">
        <v>1125</v>
      </c>
      <c r="F19" s="790" t="s">
        <v>2617</v>
      </c>
      <c r="G19" s="800">
        <f>VLOOKUP($E19,[2]tropical!$A$4:$AF$46,[2]tropical!C$1,FALSE)</f>
        <v>0</v>
      </c>
      <c r="H19" s="800">
        <f>VLOOKUP($E19,[2]tropical!$A$4:$AF$46,[2]tropical!D$1,FALSE)</f>
        <v>0</v>
      </c>
      <c r="I19" s="800">
        <f>VLOOKUP($E19,[2]tropical!$A$4:$AF$46,[2]tropical!E$1,FALSE)</f>
        <v>0</v>
      </c>
      <c r="J19" s="800">
        <f>VLOOKUP($E19,[2]tropical!$A$4:$AF$46,[2]tropical!F$1,FALSE)</f>
        <v>0</v>
      </c>
      <c r="K19" s="800">
        <f>VLOOKUP($E19,[2]tropical!$A$4:$AF$46,[2]tropical!G$1,FALSE)</f>
        <v>0</v>
      </c>
      <c r="L19" s="800">
        <f>VLOOKUP($E19,[2]tropical!$A$4:$AF$46,[2]tropical!H$1,FALSE)</f>
        <v>0</v>
      </c>
      <c r="M19" s="800">
        <f>VLOOKUP($E19,[2]tropical!$A$4:$AF$46,[2]tropical!I$1,FALSE)</f>
        <v>0</v>
      </c>
      <c r="N19" s="800">
        <f>VLOOKUP($E19,[2]tropical!$A$4:$AF$46,[2]tropical!J$1,FALSE)</f>
        <v>0</v>
      </c>
      <c r="O19" s="800">
        <f>VLOOKUP($E19,[2]tropical!$A$4:$AF$46,[2]tropical!K$1,FALSE)</f>
        <v>0</v>
      </c>
      <c r="P19" s="800">
        <f>VLOOKUP($E19,[2]tropical!$A$4:$AF$46,[2]tropical!L$1,FALSE)</f>
        <v>0</v>
      </c>
      <c r="Q19" s="800">
        <f>VLOOKUP($E19,[2]tropical!$A$4:$AF$46,[2]tropical!M$1,FALSE)</f>
        <v>0</v>
      </c>
      <c r="R19" s="805">
        <f>VLOOKUP($E19,[2]tropical!$A$4:$AF$46,[2]tropical!N$1,FALSE)</f>
        <v>0</v>
      </c>
      <c r="S19" s="805">
        <f>VLOOKUP($E19,[2]tropical!$A$4:$AF$46,[2]tropical!O$1,FALSE)</f>
        <v>0</v>
      </c>
      <c r="T19" s="805">
        <f>VLOOKUP($E19,[2]tropical!$A$4:$AF$46,[2]tropical!P$1,FALSE)</f>
        <v>0</v>
      </c>
      <c r="U19" s="800">
        <f t="shared" si="0"/>
        <v>0</v>
      </c>
    </row>
    <row r="20" spans="1:21">
      <c r="A20" s="788">
        <v>8017</v>
      </c>
      <c r="B20" s="788" t="s">
        <v>812</v>
      </c>
      <c r="C20" s="788">
        <v>587</v>
      </c>
      <c r="D20" s="788" t="s">
        <v>88</v>
      </c>
      <c r="E20" s="790" t="s">
        <v>1127</v>
      </c>
      <c r="F20" s="790" t="s">
        <v>2617</v>
      </c>
      <c r="G20" s="800">
        <f>VLOOKUP($E20,[2]tropical!$A$4:$AF$46,[2]tropical!C$1,FALSE)</f>
        <v>0</v>
      </c>
      <c r="H20" s="800">
        <f>VLOOKUP($E20,[2]tropical!$A$4:$AF$46,[2]tropical!D$1,FALSE)</f>
        <v>0</v>
      </c>
      <c r="I20" s="800">
        <f>VLOOKUP($E20,[2]tropical!$A$4:$AF$46,[2]tropical!E$1,FALSE)</f>
        <v>0</v>
      </c>
      <c r="J20" s="800">
        <f>VLOOKUP($E20,[2]tropical!$A$4:$AF$46,[2]tropical!F$1,FALSE)</f>
        <v>0</v>
      </c>
      <c r="K20" s="800">
        <f>VLOOKUP($E20,[2]tropical!$A$4:$AF$46,[2]tropical!G$1,FALSE)</f>
        <v>0</v>
      </c>
      <c r="L20" s="800">
        <f>VLOOKUP($E20,[2]tropical!$A$4:$AF$46,[2]tropical!H$1,FALSE)</f>
        <v>0</v>
      </c>
      <c r="M20" s="800">
        <f>VLOOKUP($E20,[2]tropical!$A$4:$AF$46,[2]tropical!I$1,FALSE)</f>
        <v>0</v>
      </c>
      <c r="N20" s="800">
        <f>VLOOKUP($E20,[2]tropical!$A$4:$AF$46,[2]tropical!J$1,FALSE)</f>
        <v>0</v>
      </c>
      <c r="O20" s="800">
        <f>VLOOKUP($E20,[2]tropical!$A$4:$AF$46,[2]tropical!K$1,FALSE)</f>
        <v>0</v>
      </c>
      <c r="P20" s="800">
        <f>VLOOKUP($E20,[2]tropical!$A$4:$AF$46,[2]tropical!L$1,FALSE)</f>
        <v>0</v>
      </c>
      <c r="Q20" s="800">
        <f>VLOOKUP($E20,[2]tropical!$A$4:$AF$46,[2]tropical!M$1,FALSE)</f>
        <v>0</v>
      </c>
      <c r="R20" s="805">
        <f>VLOOKUP($E20,[2]tropical!$A$4:$AF$46,[2]tropical!N$1,FALSE)</f>
        <v>0</v>
      </c>
      <c r="S20" s="805">
        <f>VLOOKUP($E20,[2]tropical!$A$4:$AF$46,[2]tropical!O$1,FALSE)</f>
        <v>0</v>
      </c>
      <c r="T20" s="805">
        <f>VLOOKUP($E20,[2]tropical!$A$4:$AF$46,[2]tropical!P$1,FALSE)</f>
        <v>0</v>
      </c>
      <c r="U20" s="800">
        <f t="shared" si="0"/>
        <v>0</v>
      </c>
    </row>
    <row r="21" spans="1:21">
      <c r="A21" s="788">
        <v>8018</v>
      </c>
      <c r="B21" s="788" t="s">
        <v>817</v>
      </c>
      <c r="C21" s="788">
        <v>327</v>
      </c>
      <c r="D21" s="788" t="s">
        <v>82</v>
      </c>
      <c r="E21" s="790" t="s">
        <v>767</v>
      </c>
      <c r="F21" s="790" t="s">
        <v>2616</v>
      </c>
      <c r="G21" s="800">
        <f>VLOOKUP($E21,[2]tropical!$A$4:$AF$46,[2]tropical!C$1,FALSE)</f>
        <v>0</v>
      </c>
      <c r="H21" s="800">
        <f>VLOOKUP($E21,[2]tropical!$A$4:$AF$46,[2]tropical!D$1,FALSE)</f>
        <v>0</v>
      </c>
      <c r="I21" s="800">
        <f>VLOOKUP($E21,[2]tropical!$A$4:$AF$46,[2]tropical!E$1,FALSE)</f>
        <v>2</v>
      </c>
      <c r="J21" s="800">
        <f>VLOOKUP($E21,[2]tropical!$A$4:$AF$46,[2]tropical!F$1,FALSE)</f>
        <v>0</v>
      </c>
      <c r="K21" s="800">
        <f>VLOOKUP($E21,[2]tropical!$A$4:$AF$46,[2]tropical!G$1,FALSE)</f>
        <v>0</v>
      </c>
      <c r="L21" s="800">
        <f>VLOOKUP($E21,[2]tropical!$A$4:$AF$46,[2]tropical!H$1,FALSE)</f>
        <v>0</v>
      </c>
      <c r="M21" s="800">
        <f>VLOOKUP($E21,[2]tropical!$A$4:$AF$46,[2]tropical!I$1,FALSE)</f>
        <v>0</v>
      </c>
      <c r="N21" s="800">
        <f>VLOOKUP($E21,[2]tropical!$A$4:$AF$46,[2]tropical!J$1,FALSE)</f>
        <v>0</v>
      </c>
      <c r="O21" s="800">
        <f>VLOOKUP($E21,[2]tropical!$A$4:$AF$46,[2]tropical!K$1,FALSE)</f>
        <v>0</v>
      </c>
      <c r="P21" s="800">
        <f>VLOOKUP($E21,[2]tropical!$A$4:$AF$46,[2]tropical!L$1,FALSE)</f>
        <v>0</v>
      </c>
      <c r="Q21" s="800">
        <f>VLOOKUP($E21,[2]tropical!$A$4:$AF$46,[2]tropical!M$1,FALSE)</f>
        <v>0</v>
      </c>
      <c r="R21" s="805">
        <f>VLOOKUP($E21,[2]tropical!$A$4:$AF$46,[2]tropical!N$1,FALSE)</f>
        <v>0</v>
      </c>
      <c r="S21" s="805">
        <f>VLOOKUP($E21,[2]tropical!$A$4:$AF$46,[2]tropical!O$1,FALSE)</f>
        <v>0</v>
      </c>
      <c r="T21" s="805">
        <f>VLOOKUP($E21,[2]tropical!$A$4:$AF$46,[2]tropical!P$1,FALSE)</f>
        <v>0</v>
      </c>
      <c r="U21" s="800">
        <f t="shared" si="0"/>
        <v>2</v>
      </c>
    </row>
    <row r="22" spans="1:21">
      <c r="A22" s="788">
        <v>8019</v>
      </c>
      <c r="B22" s="788" t="s">
        <v>331</v>
      </c>
      <c r="C22" s="788">
        <v>13</v>
      </c>
      <c r="D22" s="788" t="s">
        <v>83</v>
      </c>
      <c r="E22" s="790" t="s">
        <v>2605</v>
      </c>
      <c r="F22" s="790" t="s">
        <v>2615</v>
      </c>
      <c r="G22" s="800">
        <f>VLOOKUP($E22,[2]tropical!$A$4:$AF$46,[2]tropical!C$1,FALSE)</f>
        <v>12</v>
      </c>
      <c r="H22" s="800">
        <f>VLOOKUP($E22,[2]tropical!$A$4:$AF$46,[2]tropical!D$1,FALSE)</f>
        <v>23</v>
      </c>
      <c r="I22" s="800">
        <f>VLOOKUP($E22,[2]tropical!$A$4:$AF$46,[2]tropical!E$1,FALSE)</f>
        <v>31</v>
      </c>
      <c r="J22" s="800">
        <f>VLOOKUP($E22,[2]tropical!$A$4:$AF$46,[2]tropical!F$1,FALSE)</f>
        <v>7</v>
      </c>
      <c r="K22" s="800">
        <f>VLOOKUP($E22,[2]tropical!$A$4:$AF$46,[2]tropical!G$1,FALSE)</f>
        <v>12</v>
      </c>
      <c r="L22" s="800">
        <f>VLOOKUP($E22,[2]tropical!$A$4:$AF$46,[2]tropical!H$1,FALSE)</f>
        <v>30</v>
      </c>
      <c r="M22" s="800">
        <f>VLOOKUP($E22,[2]tropical!$A$4:$AF$46,[2]tropical!I$1,FALSE)</f>
        <v>27</v>
      </c>
      <c r="N22" s="800">
        <f>VLOOKUP($E22,[2]tropical!$A$4:$AF$46,[2]tropical!J$1,FALSE)</f>
        <v>9</v>
      </c>
      <c r="O22" s="800">
        <f>VLOOKUP($E22,[2]tropical!$A$4:$AF$46,[2]tropical!K$1,FALSE)</f>
        <v>20</v>
      </c>
      <c r="P22" s="800">
        <f>VLOOKUP($E22,[2]tropical!$A$4:$AF$46,[2]tropical!L$1,FALSE)</f>
        <v>24</v>
      </c>
      <c r="Q22" s="800">
        <f>VLOOKUP($E22,[2]tropical!$A$4:$AF$46,[2]tropical!M$1,FALSE)</f>
        <v>4</v>
      </c>
      <c r="R22" s="805">
        <f>VLOOKUP($E22,[2]tropical!$A$4:$AF$46,[2]tropical!N$1,FALSE)</f>
        <v>0</v>
      </c>
      <c r="S22" s="805">
        <f>VLOOKUP($E22,[2]tropical!$A$4:$AF$46,[2]tropical!O$1,FALSE)</f>
        <v>0</v>
      </c>
      <c r="T22" s="805">
        <f>VLOOKUP($E22,[2]tropical!$A$4:$AF$46,[2]tropical!P$1,FALSE)</f>
        <v>0</v>
      </c>
      <c r="U22" s="800">
        <f t="shared" si="0"/>
        <v>199</v>
      </c>
    </row>
    <row r="23" spans="1:21">
      <c r="A23" s="788">
        <v>8020</v>
      </c>
      <c r="B23" s="788" t="s">
        <v>825</v>
      </c>
      <c r="C23" s="788">
        <v>399</v>
      </c>
      <c r="D23" s="788" t="s">
        <v>90</v>
      </c>
      <c r="E23" s="790" t="s">
        <v>2606</v>
      </c>
      <c r="F23" s="790" t="s">
        <v>2616</v>
      </c>
      <c r="G23" s="800">
        <f>VLOOKUP($E23,[2]tropical!$A$4:$AF$46,[2]tropical!C$1,FALSE)</f>
        <v>4</v>
      </c>
      <c r="H23" s="800">
        <f>VLOOKUP($E23,[2]tropical!$A$4:$AF$46,[2]tropical!D$1,FALSE)</f>
        <v>6</v>
      </c>
      <c r="I23" s="800">
        <f>VLOOKUP($E23,[2]tropical!$A$4:$AF$46,[2]tropical!E$1,FALSE)</f>
        <v>18</v>
      </c>
      <c r="J23" s="800">
        <f>VLOOKUP($E23,[2]tropical!$A$4:$AF$46,[2]tropical!F$1,FALSE)</f>
        <v>3</v>
      </c>
      <c r="K23" s="800">
        <f>VLOOKUP($E23,[2]tropical!$A$4:$AF$46,[2]tropical!G$1,FALSE)</f>
        <v>3</v>
      </c>
      <c r="L23" s="800">
        <f>VLOOKUP($E23,[2]tropical!$A$4:$AF$46,[2]tropical!H$1,FALSE)</f>
        <v>8</v>
      </c>
      <c r="M23" s="800">
        <f>VLOOKUP($E23,[2]tropical!$A$4:$AF$46,[2]tropical!I$1,FALSE)</f>
        <v>1</v>
      </c>
      <c r="N23" s="800">
        <f>VLOOKUP($E23,[2]tropical!$A$4:$AF$46,[2]tropical!J$1,FALSE)</f>
        <v>3</v>
      </c>
      <c r="O23" s="800">
        <f>VLOOKUP($E23,[2]tropical!$A$4:$AF$46,[2]tropical!K$1,FALSE)</f>
        <v>11</v>
      </c>
      <c r="P23" s="800">
        <f>VLOOKUP($E23,[2]tropical!$A$4:$AF$46,[2]tropical!L$1,FALSE)</f>
        <v>2</v>
      </c>
      <c r="Q23" s="800">
        <f>VLOOKUP($E23,[2]tropical!$A$4:$AF$46,[2]tropical!M$1,FALSE)</f>
        <v>1</v>
      </c>
      <c r="R23" s="805">
        <f>VLOOKUP($E23,[2]tropical!$A$4:$AF$46,[2]tropical!N$1,FALSE)</f>
        <v>0</v>
      </c>
      <c r="S23" s="805">
        <f>VLOOKUP($E23,[2]tropical!$A$4:$AF$46,[2]tropical!O$1,FALSE)</f>
        <v>0</v>
      </c>
      <c r="T23" s="805">
        <f>VLOOKUP($E23,[2]tropical!$A$4:$AF$46,[2]tropical!P$1,FALSE)</f>
        <v>0</v>
      </c>
      <c r="U23" s="800">
        <f t="shared" si="0"/>
        <v>60</v>
      </c>
    </row>
    <row r="24" spans="1:21">
      <c r="A24" s="788">
        <v>8021</v>
      </c>
      <c r="B24" s="788" t="s">
        <v>829</v>
      </c>
      <c r="C24" s="788">
        <v>653</v>
      </c>
      <c r="D24" s="788" t="s">
        <v>81</v>
      </c>
      <c r="E24" s="790" t="s">
        <v>1274</v>
      </c>
      <c r="F24" s="790" t="s">
        <v>2616</v>
      </c>
      <c r="G24" s="800">
        <f>VLOOKUP($E24,[2]tropical!$A$4:$AF$46,[2]tropical!C$1,FALSE)</f>
        <v>0</v>
      </c>
      <c r="H24" s="800">
        <f>VLOOKUP($E24,[2]tropical!$A$4:$AF$46,[2]tropical!D$1,FALSE)</f>
        <v>0</v>
      </c>
      <c r="I24" s="800">
        <f>VLOOKUP($E24,[2]tropical!$A$4:$AF$46,[2]tropical!E$1,FALSE)</f>
        <v>0</v>
      </c>
      <c r="J24" s="800">
        <f>VLOOKUP($E24,[2]tropical!$A$4:$AF$46,[2]tropical!F$1,FALSE)</f>
        <v>0</v>
      </c>
      <c r="K24" s="800">
        <f>VLOOKUP($E24,[2]tropical!$A$4:$AF$46,[2]tropical!G$1,FALSE)</f>
        <v>1</v>
      </c>
      <c r="L24" s="800">
        <f>VLOOKUP($E24,[2]tropical!$A$4:$AF$46,[2]tropical!H$1,FALSE)</f>
        <v>0</v>
      </c>
      <c r="M24" s="800">
        <f>VLOOKUP($E24,[2]tropical!$A$4:$AF$46,[2]tropical!I$1,FALSE)</f>
        <v>0</v>
      </c>
      <c r="N24" s="800">
        <f>VLOOKUP($E24,[2]tropical!$A$4:$AF$46,[2]tropical!J$1,FALSE)</f>
        <v>0</v>
      </c>
      <c r="O24" s="800">
        <f>VLOOKUP($E24,[2]tropical!$A$4:$AF$46,[2]tropical!K$1,FALSE)</f>
        <v>1</v>
      </c>
      <c r="P24" s="800">
        <f>VLOOKUP($E24,[2]tropical!$A$4:$AF$46,[2]tropical!L$1,FALSE)</f>
        <v>0</v>
      </c>
      <c r="Q24" s="800">
        <f>VLOOKUP($E24,[2]tropical!$A$4:$AF$46,[2]tropical!M$1,FALSE)</f>
        <v>0</v>
      </c>
      <c r="R24" s="805">
        <f>VLOOKUP($E24,[2]tropical!$A$4:$AF$46,[2]tropical!N$1,FALSE)</f>
        <v>0</v>
      </c>
      <c r="S24" s="805">
        <f>VLOOKUP($E24,[2]tropical!$A$4:$AF$46,[2]tropical!O$1,FALSE)</f>
        <v>0</v>
      </c>
      <c r="T24" s="805">
        <f>VLOOKUP($E24,[2]tropical!$A$4:$AF$46,[2]tropical!P$1,FALSE)</f>
        <v>0</v>
      </c>
      <c r="U24" s="800">
        <f t="shared" si="0"/>
        <v>2</v>
      </c>
    </row>
    <row r="25" spans="1:21">
      <c r="A25" s="788">
        <v>8022</v>
      </c>
      <c r="B25" s="788" t="s">
        <v>777</v>
      </c>
      <c r="C25" s="788">
        <v>704</v>
      </c>
      <c r="D25" s="788" t="s">
        <v>84</v>
      </c>
      <c r="E25" s="790" t="s">
        <v>1125</v>
      </c>
      <c r="F25" s="790" t="s">
        <v>2617</v>
      </c>
      <c r="G25" s="800">
        <f>VLOOKUP($E25,[2]tropical!$A$4:$AF$46,[2]tropical!C$1,FALSE)</f>
        <v>0</v>
      </c>
      <c r="H25" s="800">
        <f>VLOOKUP($E25,[2]tropical!$A$4:$AF$46,[2]tropical!D$1,FALSE)</f>
        <v>0</v>
      </c>
      <c r="I25" s="800">
        <f>VLOOKUP($E25,[2]tropical!$A$4:$AF$46,[2]tropical!E$1,FALSE)</f>
        <v>0</v>
      </c>
      <c r="J25" s="800">
        <f>VLOOKUP($E25,[2]tropical!$A$4:$AF$46,[2]tropical!F$1,FALSE)</f>
        <v>0</v>
      </c>
      <c r="K25" s="800">
        <f>VLOOKUP($E25,[2]tropical!$A$4:$AF$46,[2]tropical!G$1,FALSE)</f>
        <v>0</v>
      </c>
      <c r="L25" s="800">
        <f>VLOOKUP($E25,[2]tropical!$A$4:$AF$46,[2]tropical!H$1,FALSE)</f>
        <v>0</v>
      </c>
      <c r="M25" s="800">
        <f>VLOOKUP($E25,[2]tropical!$A$4:$AF$46,[2]tropical!I$1,FALSE)</f>
        <v>0</v>
      </c>
      <c r="N25" s="800">
        <f>VLOOKUP($E25,[2]tropical!$A$4:$AF$46,[2]tropical!J$1,FALSE)</f>
        <v>0</v>
      </c>
      <c r="O25" s="800">
        <f>VLOOKUP($E25,[2]tropical!$A$4:$AF$46,[2]tropical!K$1,FALSE)</f>
        <v>0</v>
      </c>
      <c r="P25" s="800">
        <f>VLOOKUP($E25,[2]tropical!$A$4:$AF$46,[2]tropical!L$1,FALSE)</f>
        <v>0</v>
      </c>
      <c r="Q25" s="800">
        <f>VLOOKUP($E25,[2]tropical!$A$4:$AF$46,[2]tropical!M$1,FALSE)</f>
        <v>0</v>
      </c>
      <c r="R25" s="805">
        <f>VLOOKUP($E25,[2]tropical!$A$4:$AF$46,[2]tropical!N$1,FALSE)</f>
        <v>0</v>
      </c>
      <c r="S25" s="805">
        <f>VLOOKUP($E25,[2]tropical!$A$4:$AF$46,[2]tropical!O$1,FALSE)</f>
        <v>0</v>
      </c>
      <c r="T25" s="805">
        <f>VLOOKUP($E25,[2]tropical!$A$4:$AF$46,[2]tropical!P$1,FALSE)</f>
        <v>0</v>
      </c>
      <c r="U25" s="800">
        <f t="shared" si="0"/>
        <v>0</v>
      </c>
    </row>
    <row r="26" spans="1:21">
      <c r="A26" s="788">
        <v>8023</v>
      </c>
      <c r="B26" s="788" t="s">
        <v>838</v>
      </c>
      <c r="C26" s="788">
        <v>307</v>
      </c>
      <c r="D26" s="788" t="s">
        <v>24</v>
      </c>
      <c r="E26" s="790" t="s">
        <v>867</v>
      </c>
      <c r="F26" s="790" t="s">
        <v>2616</v>
      </c>
      <c r="G26" s="800">
        <f>VLOOKUP($E26,[2]tropical!$A$4:$AF$46,[2]tropical!C$1,FALSE)</f>
        <v>0</v>
      </c>
      <c r="H26" s="800">
        <f>VLOOKUP($E26,[2]tropical!$A$4:$AF$46,[2]tropical!D$1,FALSE)</f>
        <v>1</v>
      </c>
      <c r="I26" s="800">
        <f>VLOOKUP($E26,[2]tropical!$A$4:$AF$46,[2]tropical!E$1,FALSE)</f>
        <v>2</v>
      </c>
      <c r="J26" s="800">
        <f>VLOOKUP($E26,[2]tropical!$A$4:$AF$46,[2]tropical!F$1,FALSE)</f>
        <v>1</v>
      </c>
      <c r="K26" s="800">
        <f>VLOOKUP($E26,[2]tropical!$A$4:$AF$46,[2]tropical!G$1,FALSE)</f>
        <v>0</v>
      </c>
      <c r="L26" s="800">
        <f>VLOOKUP($E26,[2]tropical!$A$4:$AF$46,[2]tropical!H$1,FALSE)</f>
        <v>2</v>
      </c>
      <c r="M26" s="800">
        <f>VLOOKUP($E26,[2]tropical!$A$4:$AF$46,[2]tropical!I$1,FALSE)</f>
        <v>0</v>
      </c>
      <c r="N26" s="800">
        <f>VLOOKUP($E26,[2]tropical!$A$4:$AF$46,[2]tropical!J$1,FALSE)</f>
        <v>0</v>
      </c>
      <c r="O26" s="800">
        <f>VLOOKUP($E26,[2]tropical!$A$4:$AF$46,[2]tropical!K$1,FALSE)</f>
        <v>2</v>
      </c>
      <c r="P26" s="800">
        <f>VLOOKUP($E26,[2]tropical!$A$4:$AF$46,[2]tropical!L$1,FALSE)</f>
        <v>0</v>
      </c>
      <c r="Q26" s="800">
        <f>VLOOKUP($E26,[2]tropical!$A$4:$AF$46,[2]tropical!M$1,FALSE)</f>
        <v>0</v>
      </c>
      <c r="R26" s="805">
        <f>VLOOKUP($E26,[2]tropical!$A$4:$AF$46,[2]tropical!N$1,FALSE)</f>
        <v>0</v>
      </c>
      <c r="S26" s="805">
        <f>VLOOKUP($E26,[2]tropical!$A$4:$AF$46,[2]tropical!O$1,FALSE)</f>
        <v>0</v>
      </c>
      <c r="T26" s="805">
        <f>VLOOKUP($E26,[2]tropical!$A$4:$AF$46,[2]tropical!P$1,FALSE)</f>
        <v>0</v>
      </c>
      <c r="U26" s="800">
        <f t="shared" si="0"/>
        <v>8</v>
      </c>
    </row>
    <row r="27" spans="1:21">
      <c r="A27" s="788">
        <v>8024</v>
      </c>
      <c r="B27" s="788" t="s">
        <v>843</v>
      </c>
      <c r="C27" s="788">
        <v>854</v>
      </c>
      <c r="D27" s="788" t="s">
        <v>84</v>
      </c>
      <c r="E27" s="790" t="s">
        <v>2603</v>
      </c>
      <c r="F27" s="790" t="s">
        <v>2617</v>
      </c>
      <c r="G27" s="800">
        <f>VLOOKUP($E27,[2]tropical!$A$4:$AF$46,[2]tropical!C$1,FALSE)</f>
        <v>0</v>
      </c>
      <c r="H27" s="800">
        <f>VLOOKUP($E27,[2]tropical!$A$4:$AF$46,[2]tropical!D$1,FALSE)</f>
        <v>1</v>
      </c>
      <c r="I27" s="800">
        <f>VLOOKUP($E27,[2]tropical!$A$4:$AF$46,[2]tropical!E$1,FALSE)</f>
        <v>0</v>
      </c>
      <c r="J27" s="800">
        <f>VLOOKUP($E27,[2]tropical!$A$4:$AF$46,[2]tropical!F$1,FALSE)</f>
        <v>0</v>
      </c>
      <c r="K27" s="800">
        <f>VLOOKUP($E27,[2]tropical!$A$4:$AF$46,[2]tropical!G$1,FALSE)</f>
        <v>0</v>
      </c>
      <c r="L27" s="800">
        <f>VLOOKUP($E27,[2]tropical!$A$4:$AF$46,[2]tropical!H$1,FALSE)</f>
        <v>0</v>
      </c>
      <c r="M27" s="800">
        <f>VLOOKUP($E27,[2]tropical!$A$4:$AF$46,[2]tropical!I$1,FALSE)</f>
        <v>0</v>
      </c>
      <c r="N27" s="800">
        <f>VLOOKUP($E27,[2]tropical!$A$4:$AF$46,[2]tropical!J$1,FALSE)</f>
        <v>0</v>
      </c>
      <c r="O27" s="800">
        <f>VLOOKUP($E27,[2]tropical!$A$4:$AF$46,[2]tropical!K$1,FALSE)</f>
        <v>2</v>
      </c>
      <c r="P27" s="800">
        <f>VLOOKUP($E27,[2]tropical!$A$4:$AF$46,[2]tropical!L$1,FALSE)</f>
        <v>0</v>
      </c>
      <c r="Q27" s="800">
        <f>VLOOKUP($E27,[2]tropical!$A$4:$AF$46,[2]tropical!M$1,FALSE)</f>
        <v>0</v>
      </c>
      <c r="R27" s="805">
        <f>VLOOKUP($E27,[2]tropical!$A$4:$AF$46,[2]tropical!N$1,FALSE)</f>
        <v>0</v>
      </c>
      <c r="S27" s="805">
        <f>VLOOKUP($E27,[2]tropical!$A$4:$AF$46,[2]tropical!O$1,FALSE)</f>
        <v>0</v>
      </c>
      <c r="T27" s="805">
        <f>VLOOKUP($E27,[2]tropical!$A$4:$AF$46,[2]tropical!P$1,FALSE)</f>
        <v>0</v>
      </c>
      <c r="U27" s="800">
        <f t="shared" si="0"/>
        <v>3</v>
      </c>
    </row>
    <row r="28" spans="1:21">
      <c r="A28" s="788">
        <v>8025</v>
      </c>
      <c r="B28" s="788" t="s">
        <v>846</v>
      </c>
      <c r="C28" s="788">
        <v>489</v>
      </c>
      <c r="D28" s="788" t="s">
        <v>81</v>
      </c>
      <c r="E28" s="790" t="s">
        <v>1334</v>
      </c>
      <c r="F28" s="790" t="s">
        <v>2615</v>
      </c>
      <c r="G28" s="800">
        <f>VLOOKUP($E28,[2]tropical!$A$4:$AF$46,[2]tropical!C$1,FALSE)</f>
        <v>3</v>
      </c>
      <c r="H28" s="800">
        <f>VLOOKUP($E28,[2]tropical!$A$4:$AF$46,[2]tropical!D$1,FALSE)</f>
        <v>3</v>
      </c>
      <c r="I28" s="800">
        <f>VLOOKUP($E28,[2]tropical!$A$4:$AF$46,[2]tropical!E$1,FALSE)</f>
        <v>13</v>
      </c>
      <c r="J28" s="800">
        <f>VLOOKUP($E28,[2]tropical!$A$4:$AF$46,[2]tropical!F$1,FALSE)</f>
        <v>2</v>
      </c>
      <c r="K28" s="800">
        <f>VLOOKUP($E28,[2]tropical!$A$4:$AF$46,[2]tropical!G$1,FALSE)</f>
        <v>3</v>
      </c>
      <c r="L28" s="800">
        <f>VLOOKUP($E28,[2]tropical!$A$4:$AF$46,[2]tropical!H$1,FALSE)</f>
        <v>6</v>
      </c>
      <c r="M28" s="800">
        <f>VLOOKUP($E28,[2]tropical!$A$4:$AF$46,[2]tropical!I$1,FALSE)</f>
        <v>2</v>
      </c>
      <c r="N28" s="800">
        <f>VLOOKUP($E28,[2]tropical!$A$4:$AF$46,[2]tropical!J$1,FALSE)</f>
        <v>2</v>
      </c>
      <c r="O28" s="800">
        <f>VLOOKUP($E28,[2]tropical!$A$4:$AF$46,[2]tropical!K$1,FALSE)</f>
        <v>10</v>
      </c>
      <c r="P28" s="800">
        <f>VLOOKUP($E28,[2]tropical!$A$4:$AF$46,[2]tropical!L$1,FALSE)</f>
        <v>0</v>
      </c>
      <c r="Q28" s="800">
        <f>VLOOKUP($E28,[2]tropical!$A$4:$AF$46,[2]tropical!M$1,FALSE)</f>
        <v>1</v>
      </c>
      <c r="R28" s="805">
        <f>VLOOKUP($E28,[2]tropical!$A$4:$AF$46,[2]tropical!N$1,FALSE)</f>
        <v>0</v>
      </c>
      <c r="S28" s="805">
        <f>VLOOKUP($E28,[2]tropical!$A$4:$AF$46,[2]tropical!O$1,FALSE)</f>
        <v>0</v>
      </c>
      <c r="T28" s="805">
        <f>VLOOKUP($E28,[2]tropical!$A$4:$AF$46,[2]tropical!P$1,FALSE)</f>
        <v>0</v>
      </c>
      <c r="U28" s="800">
        <f t="shared" si="0"/>
        <v>45</v>
      </c>
    </row>
    <row r="29" spans="1:21">
      <c r="A29" s="788">
        <v>8026</v>
      </c>
      <c r="B29" s="788" t="s">
        <v>850</v>
      </c>
      <c r="C29" s="788">
        <v>843</v>
      </c>
      <c r="D29" s="788" t="s">
        <v>88</v>
      </c>
      <c r="E29" s="790" t="s">
        <v>1233</v>
      </c>
      <c r="F29" s="790" t="s">
        <v>2616</v>
      </c>
      <c r="G29" s="800">
        <f>VLOOKUP($E29,[2]tropical!$A$4:$AF$46,[2]tropical!C$1,FALSE)</f>
        <v>0</v>
      </c>
      <c r="H29" s="800">
        <f>VLOOKUP($E29,[2]tropical!$A$4:$AF$46,[2]tropical!D$1,FALSE)</f>
        <v>1</v>
      </c>
      <c r="I29" s="800">
        <f>VLOOKUP($E29,[2]tropical!$A$4:$AF$46,[2]tropical!E$1,FALSE)</f>
        <v>1</v>
      </c>
      <c r="J29" s="800">
        <f>VLOOKUP($E29,[2]tropical!$A$4:$AF$46,[2]tropical!F$1,FALSE)</f>
        <v>2</v>
      </c>
      <c r="K29" s="800">
        <f>VLOOKUP($E29,[2]tropical!$A$4:$AF$46,[2]tropical!G$1,FALSE)</f>
        <v>1</v>
      </c>
      <c r="L29" s="800">
        <f>VLOOKUP($E29,[2]tropical!$A$4:$AF$46,[2]tropical!H$1,FALSE)</f>
        <v>2</v>
      </c>
      <c r="M29" s="800">
        <f>VLOOKUP($E29,[2]tropical!$A$4:$AF$46,[2]tropical!I$1,FALSE)</f>
        <v>0</v>
      </c>
      <c r="N29" s="800">
        <f>VLOOKUP($E29,[2]tropical!$A$4:$AF$46,[2]tropical!J$1,FALSE)</f>
        <v>0</v>
      </c>
      <c r="O29" s="800">
        <f>VLOOKUP($E29,[2]tropical!$A$4:$AF$46,[2]tropical!K$1,FALSE)</f>
        <v>2</v>
      </c>
      <c r="P29" s="800">
        <f>VLOOKUP($E29,[2]tropical!$A$4:$AF$46,[2]tropical!L$1,FALSE)</f>
        <v>0</v>
      </c>
      <c r="Q29" s="800">
        <f>VLOOKUP($E29,[2]tropical!$A$4:$AF$46,[2]tropical!M$1,FALSE)</f>
        <v>0</v>
      </c>
      <c r="R29" s="805">
        <f>VLOOKUP($E29,[2]tropical!$A$4:$AF$46,[2]tropical!N$1,FALSE)</f>
        <v>0</v>
      </c>
      <c r="S29" s="805">
        <f>VLOOKUP($E29,[2]tropical!$A$4:$AF$46,[2]tropical!O$1,FALSE)</f>
        <v>0</v>
      </c>
      <c r="T29" s="805">
        <f>VLOOKUP($E29,[2]tropical!$A$4:$AF$46,[2]tropical!P$1,FALSE)</f>
        <v>0</v>
      </c>
      <c r="U29" s="800">
        <f t="shared" si="0"/>
        <v>9</v>
      </c>
    </row>
    <row r="30" spans="1:21">
      <c r="A30" s="788">
        <v>8027</v>
      </c>
      <c r="B30" s="788" t="s">
        <v>854</v>
      </c>
      <c r="C30" s="788">
        <v>252</v>
      </c>
      <c r="D30" s="788" t="s">
        <v>791</v>
      </c>
      <c r="E30" s="790" t="s">
        <v>2607</v>
      </c>
      <c r="F30" s="790" t="s">
        <v>2615</v>
      </c>
      <c r="G30" s="800">
        <f>VLOOKUP($E30,[2]tropical!$A$4:$AF$46,[2]tropical!C$1,FALSE)</f>
        <v>0</v>
      </c>
      <c r="H30" s="800">
        <f>VLOOKUP($E30,[2]tropical!$A$4:$AF$46,[2]tropical!D$1,FALSE)</f>
        <v>3</v>
      </c>
      <c r="I30" s="800">
        <f>VLOOKUP($E30,[2]tropical!$A$4:$AF$46,[2]tropical!E$1,FALSE)</f>
        <v>2</v>
      </c>
      <c r="J30" s="800">
        <f>VLOOKUP($E30,[2]tropical!$A$4:$AF$46,[2]tropical!F$1,FALSE)</f>
        <v>0</v>
      </c>
      <c r="K30" s="800">
        <f>VLOOKUP($E30,[2]tropical!$A$4:$AF$46,[2]tropical!G$1,FALSE)</f>
        <v>1</v>
      </c>
      <c r="L30" s="800">
        <f>VLOOKUP($E30,[2]tropical!$A$4:$AF$46,[2]tropical!H$1,FALSE)</f>
        <v>1</v>
      </c>
      <c r="M30" s="800">
        <f>VLOOKUP($E30,[2]tropical!$A$4:$AF$46,[2]tropical!I$1,FALSE)</f>
        <v>1</v>
      </c>
      <c r="N30" s="800">
        <f>VLOOKUP($E30,[2]tropical!$A$4:$AF$46,[2]tropical!J$1,FALSE)</f>
        <v>1</v>
      </c>
      <c r="O30" s="800">
        <f>VLOOKUP($E30,[2]tropical!$A$4:$AF$46,[2]tropical!K$1,FALSE)</f>
        <v>1</v>
      </c>
      <c r="P30" s="800">
        <f>VLOOKUP($E30,[2]tropical!$A$4:$AF$46,[2]tropical!L$1,FALSE)</f>
        <v>0</v>
      </c>
      <c r="Q30" s="800">
        <f>VLOOKUP($E30,[2]tropical!$A$4:$AF$46,[2]tropical!M$1,FALSE)</f>
        <v>0</v>
      </c>
      <c r="R30" s="805">
        <f>VLOOKUP($E30,[2]tropical!$A$4:$AF$46,[2]tropical!N$1,FALSE)</f>
        <v>0</v>
      </c>
      <c r="S30" s="805">
        <f>VLOOKUP($E30,[2]tropical!$A$4:$AF$46,[2]tropical!O$1,FALSE)</f>
        <v>0</v>
      </c>
      <c r="T30" s="805">
        <f>VLOOKUP($E30,[2]tropical!$A$4:$AF$46,[2]tropical!P$1,FALSE)</f>
        <v>0</v>
      </c>
      <c r="U30" s="800">
        <f t="shared" si="0"/>
        <v>10</v>
      </c>
    </row>
    <row r="31" spans="1:21">
      <c r="A31" s="788">
        <v>8028</v>
      </c>
      <c r="B31" s="788" t="s">
        <v>856</v>
      </c>
      <c r="C31" s="788">
        <v>299</v>
      </c>
      <c r="D31" s="788" t="s">
        <v>81</v>
      </c>
      <c r="E31" s="790" t="s">
        <v>2608</v>
      </c>
      <c r="F31" s="790" t="s">
        <v>2616</v>
      </c>
      <c r="G31" s="800">
        <f>VLOOKUP($E31,[2]tropical!$A$4:$AF$46,[2]tropical!C$1,FALSE)</f>
        <v>0</v>
      </c>
      <c r="H31" s="800">
        <f>VLOOKUP($E31,[2]tropical!$A$4:$AF$46,[2]tropical!D$1,FALSE)</f>
        <v>2</v>
      </c>
      <c r="I31" s="800">
        <f>VLOOKUP($E31,[2]tropical!$A$4:$AF$46,[2]tropical!E$1,FALSE)</f>
        <v>2</v>
      </c>
      <c r="J31" s="800">
        <f>VLOOKUP($E31,[2]tropical!$A$4:$AF$46,[2]tropical!F$1,FALSE)</f>
        <v>1</v>
      </c>
      <c r="K31" s="800">
        <f>VLOOKUP($E31,[2]tropical!$A$4:$AF$46,[2]tropical!G$1,FALSE)</f>
        <v>1</v>
      </c>
      <c r="L31" s="800">
        <f>VLOOKUP($E31,[2]tropical!$A$4:$AF$46,[2]tropical!H$1,FALSE)</f>
        <v>1</v>
      </c>
      <c r="M31" s="800">
        <f>VLOOKUP($E31,[2]tropical!$A$4:$AF$46,[2]tropical!I$1,FALSE)</f>
        <v>0</v>
      </c>
      <c r="N31" s="800">
        <f>VLOOKUP($E31,[2]tropical!$A$4:$AF$46,[2]tropical!J$1,FALSE)</f>
        <v>0</v>
      </c>
      <c r="O31" s="800">
        <f>VLOOKUP($E31,[2]tropical!$A$4:$AF$46,[2]tropical!K$1,FALSE)</f>
        <v>1</v>
      </c>
      <c r="P31" s="800">
        <f>VLOOKUP($E31,[2]tropical!$A$4:$AF$46,[2]tropical!L$1,FALSE)</f>
        <v>0</v>
      </c>
      <c r="Q31" s="800">
        <f>VLOOKUP($E31,[2]tropical!$A$4:$AF$46,[2]tropical!M$1,FALSE)</f>
        <v>0</v>
      </c>
      <c r="R31" s="805">
        <f>VLOOKUP($E31,[2]tropical!$A$4:$AF$46,[2]tropical!N$1,FALSE)</f>
        <v>0</v>
      </c>
      <c r="S31" s="805">
        <f>VLOOKUP($E31,[2]tropical!$A$4:$AF$46,[2]tropical!O$1,FALSE)</f>
        <v>0</v>
      </c>
      <c r="T31" s="805">
        <f>VLOOKUP($E31,[2]tropical!$A$4:$AF$46,[2]tropical!P$1,FALSE)</f>
        <v>0</v>
      </c>
      <c r="U31" s="800">
        <f t="shared" si="0"/>
        <v>8</v>
      </c>
    </row>
    <row r="32" spans="1:21">
      <c r="A32" s="788">
        <v>8029</v>
      </c>
      <c r="B32" s="788" t="s">
        <v>336</v>
      </c>
      <c r="C32" s="788">
        <v>104</v>
      </c>
      <c r="D32" s="788" t="s">
        <v>86</v>
      </c>
      <c r="E32" s="790" t="s">
        <v>352</v>
      </c>
      <c r="F32" s="790" t="s">
        <v>2615</v>
      </c>
      <c r="G32" s="800">
        <f>VLOOKUP($E32,[2]tropical!$A$4:$AF$46,[2]tropical!C$1,FALSE)</f>
        <v>41</v>
      </c>
      <c r="H32" s="800">
        <f>VLOOKUP($E32,[2]tropical!$A$4:$AF$46,[2]tropical!D$1,FALSE)</f>
        <v>57</v>
      </c>
      <c r="I32" s="800">
        <f>VLOOKUP($E32,[2]tropical!$A$4:$AF$46,[2]tropical!E$1,FALSE)</f>
        <v>52</v>
      </c>
      <c r="J32" s="800">
        <f>VLOOKUP($E32,[2]tropical!$A$4:$AF$46,[2]tropical!F$1,FALSE)</f>
        <v>9</v>
      </c>
      <c r="K32" s="800">
        <f>VLOOKUP($E32,[2]tropical!$A$4:$AF$46,[2]tropical!G$1,FALSE)</f>
        <v>37</v>
      </c>
      <c r="L32" s="800">
        <f>VLOOKUP($E32,[2]tropical!$A$4:$AF$46,[2]tropical!H$1,FALSE)</f>
        <v>47</v>
      </c>
      <c r="M32" s="800">
        <f>VLOOKUP($E32,[2]tropical!$A$4:$AF$46,[2]tropical!I$1,FALSE)</f>
        <v>42</v>
      </c>
      <c r="N32" s="800">
        <f>VLOOKUP($E32,[2]tropical!$A$4:$AF$46,[2]tropical!J$1,FALSE)</f>
        <v>27</v>
      </c>
      <c r="O32" s="800">
        <f>VLOOKUP($E32,[2]tropical!$A$4:$AF$46,[2]tropical!K$1,FALSE)</f>
        <v>39</v>
      </c>
      <c r="P32" s="800">
        <f>VLOOKUP($E32,[2]tropical!$A$4:$AF$46,[2]tropical!L$1,FALSE)</f>
        <v>32</v>
      </c>
      <c r="Q32" s="800">
        <f>VLOOKUP($E32,[2]tropical!$A$4:$AF$46,[2]tropical!M$1,FALSE)</f>
        <v>20</v>
      </c>
      <c r="R32" s="805">
        <f>VLOOKUP($E32,[2]tropical!$A$4:$AF$46,[2]tropical!N$1,FALSE)</f>
        <v>0</v>
      </c>
      <c r="S32" s="805">
        <f>VLOOKUP($E32,[2]tropical!$A$4:$AF$46,[2]tropical!O$1,FALSE)</f>
        <v>0</v>
      </c>
      <c r="T32" s="805">
        <f>VLOOKUP($E32,[2]tropical!$A$4:$AF$46,[2]tropical!P$1,FALSE)</f>
        <v>0</v>
      </c>
      <c r="U32" s="800">
        <f t="shared" si="0"/>
        <v>403</v>
      </c>
    </row>
    <row r="33" spans="1:21">
      <c r="A33" s="788">
        <v>8030</v>
      </c>
      <c r="B33" s="788" t="s">
        <v>864</v>
      </c>
      <c r="C33" s="788">
        <v>147</v>
      </c>
      <c r="D33" s="788" t="s">
        <v>86</v>
      </c>
      <c r="E33" s="790" t="s">
        <v>864</v>
      </c>
      <c r="F33" s="790" t="s">
        <v>2615</v>
      </c>
      <c r="G33" s="800">
        <f>VLOOKUP($E33,[2]tropical!$A$4:$AF$46,[2]tropical!C$1,FALSE)</f>
        <v>23</v>
      </c>
      <c r="H33" s="800">
        <f>VLOOKUP($E33,[2]tropical!$A$4:$AF$46,[2]tropical!D$1,FALSE)</f>
        <v>30</v>
      </c>
      <c r="I33" s="800">
        <f>VLOOKUP($E33,[2]tropical!$A$4:$AF$46,[2]tropical!E$1,FALSE)</f>
        <v>35</v>
      </c>
      <c r="J33" s="800">
        <f>VLOOKUP($E33,[2]tropical!$A$4:$AF$46,[2]tropical!F$1,FALSE)</f>
        <v>18</v>
      </c>
      <c r="K33" s="800">
        <f>VLOOKUP($E33,[2]tropical!$A$4:$AF$46,[2]tropical!G$1,FALSE)</f>
        <v>24</v>
      </c>
      <c r="L33" s="800">
        <f>VLOOKUP($E33,[2]tropical!$A$4:$AF$46,[2]tropical!H$1,FALSE)</f>
        <v>26</v>
      </c>
      <c r="M33" s="800">
        <f>VLOOKUP($E33,[2]tropical!$A$4:$AF$46,[2]tropical!I$1,FALSE)</f>
        <v>38</v>
      </c>
      <c r="N33" s="800">
        <f>VLOOKUP($E33,[2]tropical!$A$4:$AF$46,[2]tropical!J$1,FALSE)</f>
        <v>14</v>
      </c>
      <c r="O33" s="800">
        <f>VLOOKUP($E33,[2]tropical!$A$4:$AF$46,[2]tropical!K$1,FALSE)</f>
        <v>28</v>
      </c>
      <c r="P33" s="800">
        <f>VLOOKUP($E33,[2]tropical!$A$4:$AF$46,[2]tropical!L$1,FALSE)</f>
        <v>18</v>
      </c>
      <c r="Q33" s="800">
        <f>VLOOKUP($E33,[2]tropical!$A$4:$AF$46,[2]tropical!M$1,FALSE)</f>
        <v>10</v>
      </c>
      <c r="R33" s="805">
        <f>VLOOKUP($E33,[2]tropical!$A$4:$AF$46,[2]tropical!N$1,FALSE)</f>
        <v>0</v>
      </c>
      <c r="S33" s="805">
        <f>VLOOKUP($E33,[2]tropical!$A$4:$AF$46,[2]tropical!O$1,FALSE)</f>
        <v>0</v>
      </c>
      <c r="T33" s="805">
        <f>VLOOKUP($E33,[2]tropical!$A$4:$AF$46,[2]tropical!P$1,FALSE)</f>
        <v>0</v>
      </c>
      <c r="U33" s="800">
        <f t="shared" si="0"/>
        <v>264</v>
      </c>
    </row>
    <row r="34" spans="1:21">
      <c r="A34" s="788">
        <v>8031</v>
      </c>
      <c r="B34" s="788" t="s">
        <v>865</v>
      </c>
      <c r="C34" s="788">
        <v>680</v>
      </c>
      <c r="D34" s="788" t="s">
        <v>81</v>
      </c>
      <c r="E34" s="790" t="s">
        <v>1274</v>
      </c>
      <c r="F34" s="790" t="s">
        <v>2616</v>
      </c>
      <c r="G34" s="800">
        <f>VLOOKUP($E34,[2]tropical!$A$4:$AF$46,[2]tropical!C$1,FALSE)</f>
        <v>0</v>
      </c>
      <c r="H34" s="800">
        <f>VLOOKUP($E34,[2]tropical!$A$4:$AF$46,[2]tropical!D$1,FALSE)</f>
        <v>0</v>
      </c>
      <c r="I34" s="800">
        <f>VLOOKUP($E34,[2]tropical!$A$4:$AF$46,[2]tropical!E$1,FALSE)</f>
        <v>0</v>
      </c>
      <c r="J34" s="800">
        <f>VLOOKUP($E34,[2]tropical!$A$4:$AF$46,[2]tropical!F$1,FALSE)</f>
        <v>0</v>
      </c>
      <c r="K34" s="800">
        <f>VLOOKUP($E34,[2]tropical!$A$4:$AF$46,[2]tropical!G$1,FALSE)</f>
        <v>1</v>
      </c>
      <c r="L34" s="800">
        <f>VLOOKUP($E34,[2]tropical!$A$4:$AF$46,[2]tropical!H$1,FALSE)</f>
        <v>0</v>
      </c>
      <c r="M34" s="800">
        <f>VLOOKUP($E34,[2]tropical!$A$4:$AF$46,[2]tropical!I$1,FALSE)</f>
        <v>0</v>
      </c>
      <c r="N34" s="800">
        <f>VLOOKUP($E34,[2]tropical!$A$4:$AF$46,[2]tropical!J$1,FALSE)</f>
        <v>0</v>
      </c>
      <c r="O34" s="800">
        <f>VLOOKUP($E34,[2]tropical!$A$4:$AF$46,[2]tropical!K$1,FALSE)</f>
        <v>1</v>
      </c>
      <c r="P34" s="800">
        <f>VLOOKUP($E34,[2]tropical!$A$4:$AF$46,[2]tropical!L$1,FALSE)</f>
        <v>0</v>
      </c>
      <c r="Q34" s="800">
        <f>VLOOKUP($E34,[2]tropical!$A$4:$AF$46,[2]tropical!M$1,FALSE)</f>
        <v>0</v>
      </c>
      <c r="R34" s="805">
        <f>VLOOKUP($E34,[2]tropical!$A$4:$AF$46,[2]tropical!N$1,FALSE)</f>
        <v>0</v>
      </c>
      <c r="S34" s="805">
        <f>VLOOKUP($E34,[2]tropical!$A$4:$AF$46,[2]tropical!O$1,FALSE)</f>
        <v>0</v>
      </c>
      <c r="T34" s="805">
        <f>VLOOKUP($E34,[2]tropical!$A$4:$AF$46,[2]tropical!P$1,FALSE)</f>
        <v>0</v>
      </c>
      <c r="U34" s="800">
        <f t="shared" si="0"/>
        <v>2</v>
      </c>
    </row>
    <row r="35" spans="1:21">
      <c r="A35" s="788">
        <v>8032</v>
      </c>
      <c r="B35" s="788" t="s">
        <v>337</v>
      </c>
      <c r="C35" s="788">
        <v>33</v>
      </c>
      <c r="D35" s="788" t="s">
        <v>86</v>
      </c>
      <c r="E35" s="790" t="s">
        <v>352</v>
      </c>
      <c r="F35" s="790" t="s">
        <v>2615</v>
      </c>
      <c r="G35" s="800">
        <f>VLOOKUP($E35,[2]tropical!$A$4:$AF$46,[2]tropical!C$1,FALSE)</f>
        <v>41</v>
      </c>
      <c r="H35" s="800">
        <f>VLOOKUP($E35,[2]tropical!$A$4:$AF$46,[2]tropical!D$1,FALSE)</f>
        <v>57</v>
      </c>
      <c r="I35" s="800">
        <f>VLOOKUP($E35,[2]tropical!$A$4:$AF$46,[2]tropical!E$1,FALSE)</f>
        <v>52</v>
      </c>
      <c r="J35" s="800">
        <f>VLOOKUP($E35,[2]tropical!$A$4:$AF$46,[2]tropical!F$1,FALSE)</f>
        <v>9</v>
      </c>
      <c r="K35" s="800">
        <f>VLOOKUP($E35,[2]tropical!$A$4:$AF$46,[2]tropical!G$1,FALSE)</f>
        <v>37</v>
      </c>
      <c r="L35" s="800">
        <f>VLOOKUP($E35,[2]tropical!$A$4:$AF$46,[2]tropical!H$1,FALSE)</f>
        <v>47</v>
      </c>
      <c r="M35" s="800">
        <f>VLOOKUP($E35,[2]tropical!$A$4:$AF$46,[2]tropical!I$1,FALSE)</f>
        <v>42</v>
      </c>
      <c r="N35" s="800">
        <f>VLOOKUP($E35,[2]tropical!$A$4:$AF$46,[2]tropical!J$1,FALSE)</f>
        <v>27</v>
      </c>
      <c r="O35" s="800">
        <f>VLOOKUP($E35,[2]tropical!$A$4:$AF$46,[2]tropical!K$1,FALSE)</f>
        <v>39</v>
      </c>
      <c r="P35" s="800">
        <f>VLOOKUP($E35,[2]tropical!$A$4:$AF$46,[2]tropical!L$1,FALSE)</f>
        <v>32</v>
      </c>
      <c r="Q35" s="800">
        <f>VLOOKUP($E35,[2]tropical!$A$4:$AF$46,[2]tropical!M$1,FALSE)</f>
        <v>20</v>
      </c>
      <c r="R35" s="805">
        <f>VLOOKUP($E35,[2]tropical!$A$4:$AF$46,[2]tropical!N$1,FALSE)</f>
        <v>0</v>
      </c>
      <c r="S35" s="805">
        <f>VLOOKUP($E35,[2]tropical!$A$4:$AF$46,[2]tropical!O$1,FALSE)</f>
        <v>0</v>
      </c>
      <c r="T35" s="805">
        <f>VLOOKUP($E35,[2]tropical!$A$4:$AF$46,[2]tropical!P$1,FALSE)</f>
        <v>0</v>
      </c>
      <c r="U35" s="800">
        <f t="shared" si="0"/>
        <v>403</v>
      </c>
    </row>
    <row r="36" spans="1:21">
      <c r="A36" s="788">
        <v>8033</v>
      </c>
      <c r="B36" s="788" t="s">
        <v>867</v>
      </c>
      <c r="C36" s="788">
        <v>203</v>
      </c>
      <c r="D36" s="788" t="s">
        <v>24</v>
      </c>
      <c r="E36" s="790" t="s">
        <v>867</v>
      </c>
      <c r="F36" s="790" t="s">
        <v>2616</v>
      </c>
      <c r="G36" s="800">
        <f>VLOOKUP($E36,[2]tropical!$A$4:$AF$46,[2]tropical!C$1,FALSE)</f>
        <v>0</v>
      </c>
      <c r="H36" s="800">
        <f>VLOOKUP($E36,[2]tropical!$A$4:$AF$46,[2]tropical!D$1,FALSE)</f>
        <v>1</v>
      </c>
      <c r="I36" s="800">
        <f>VLOOKUP($E36,[2]tropical!$A$4:$AF$46,[2]tropical!E$1,FALSE)</f>
        <v>2</v>
      </c>
      <c r="J36" s="800">
        <f>VLOOKUP($E36,[2]tropical!$A$4:$AF$46,[2]tropical!F$1,FALSE)</f>
        <v>1</v>
      </c>
      <c r="K36" s="800">
        <f>VLOOKUP($E36,[2]tropical!$A$4:$AF$46,[2]tropical!G$1,FALSE)</f>
        <v>0</v>
      </c>
      <c r="L36" s="800">
        <f>VLOOKUP($E36,[2]tropical!$A$4:$AF$46,[2]tropical!H$1,FALSE)</f>
        <v>2</v>
      </c>
      <c r="M36" s="800">
        <f>VLOOKUP($E36,[2]tropical!$A$4:$AF$46,[2]tropical!I$1,FALSE)</f>
        <v>0</v>
      </c>
      <c r="N36" s="800">
        <f>VLOOKUP($E36,[2]tropical!$A$4:$AF$46,[2]tropical!J$1,FALSE)</f>
        <v>0</v>
      </c>
      <c r="O36" s="800">
        <f>VLOOKUP($E36,[2]tropical!$A$4:$AF$46,[2]tropical!K$1,FALSE)</f>
        <v>2</v>
      </c>
      <c r="P36" s="800">
        <f>VLOOKUP($E36,[2]tropical!$A$4:$AF$46,[2]tropical!L$1,FALSE)</f>
        <v>0</v>
      </c>
      <c r="Q36" s="800">
        <f>VLOOKUP($E36,[2]tropical!$A$4:$AF$46,[2]tropical!M$1,FALSE)</f>
        <v>0</v>
      </c>
      <c r="R36" s="805">
        <f>VLOOKUP($E36,[2]tropical!$A$4:$AF$46,[2]tropical!N$1,FALSE)</f>
        <v>0</v>
      </c>
      <c r="S36" s="805">
        <f>VLOOKUP($E36,[2]tropical!$A$4:$AF$46,[2]tropical!O$1,FALSE)</f>
        <v>0</v>
      </c>
      <c r="T36" s="805">
        <f>VLOOKUP($E36,[2]tropical!$A$4:$AF$46,[2]tropical!P$1,FALSE)</f>
        <v>0</v>
      </c>
      <c r="U36" s="800">
        <f t="shared" si="0"/>
        <v>8</v>
      </c>
    </row>
    <row r="37" spans="1:21">
      <c r="A37" s="788">
        <v>8034</v>
      </c>
      <c r="B37" s="788" t="s">
        <v>875</v>
      </c>
      <c r="C37" s="788">
        <v>552</v>
      </c>
      <c r="D37" s="788" t="s">
        <v>82</v>
      </c>
      <c r="E37" s="790" t="s">
        <v>767</v>
      </c>
      <c r="F37" s="790" t="s">
        <v>2616</v>
      </c>
      <c r="G37" s="800">
        <f>VLOOKUP($E37,[2]tropical!$A$4:$AF$46,[2]tropical!C$1,FALSE)</f>
        <v>0</v>
      </c>
      <c r="H37" s="800">
        <f>VLOOKUP($E37,[2]tropical!$A$4:$AF$46,[2]tropical!D$1,FALSE)</f>
        <v>0</v>
      </c>
      <c r="I37" s="800">
        <f>VLOOKUP($E37,[2]tropical!$A$4:$AF$46,[2]tropical!E$1,FALSE)</f>
        <v>2</v>
      </c>
      <c r="J37" s="800">
        <f>VLOOKUP($E37,[2]tropical!$A$4:$AF$46,[2]tropical!F$1,FALSE)</f>
        <v>0</v>
      </c>
      <c r="K37" s="800">
        <f>VLOOKUP($E37,[2]tropical!$A$4:$AF$46,[2]tropical!G$1,FALSE)</f>
        <v>0</v>
      </c>
      <c r="L37" s="800">
        <f>VLOOKUP($E37,[2]tropical!$A$4:$AF$46,[2]tropical!H$1,FALSE)</f>
        <v>0</v>
      </c>
      <c r="M37" s="800">
        <f>VLOOKUP($E37,[2]tropical!$A$4:$AF$46,[2]tropical!I$1,FALSE)</f>
        <v>0</v>
      </c>
      <c r="N37" s="800">
        <f>VLOOKUP($E37,[2]tropical!$A$4:$AF$46,[2]tropical!J$1,FALSE)</f>
        <v>0</v>
      </c>
      <c r="O37" s="800">
        <f>VLOOKUP($E37,[2]tropical!$A$4:$AF$46,[2]tropical!K$1,FALSE)</f>
        <v>0</v>
      </c>
      <c r="P37" s="800">
        <f>VLOOKUP($E37,[2]tropical!$A$4:$AF$46,[2]tropical!L$1,FALSE)</f>
        <v>0</v>
      </c>
      <c r="Q37" s="800">
        <f>VLOOKUP($E37,[2]tropical!$A$4:$AF$46,[2]tropical!M$1,FALSE)</f>
        <v>0</v>
      </c>
      <c r="R37" s="805">
        <f>VLOOKUP($E37,[2]tropical!$A$4:$AF$46,[2]tropical!N$1,FALSE)</f>
        <v>0</v>
      </c>
      <c r="S37" s="805">
        <f>VLOOKUP($E37,[2]tropical!$A$4:$AF$46,[2]tropical!O$1,FALSE)</f>
        <v>0</v>
      </c>
      <c r="T37" s="805">
        <f>VLOOKUP($E37,[2]tropical!$A$4:$AF$46,[2]tropical!P$1,FALSE)</f>
        <v>0</v>
      </c>
      <c r="U37" s="800">
        <f t="shared" si="0"/>
        <v>2</v>
      </c>
    </row>
    <row r="38" spans="1:21">
      <c r="A38" s="788">
        <v>8035</v>
      </c>
      <c r="B38" s="788" t="s">
        <v>338</v>
      </c>
      <c r="C38" s="788">
        <v>5</v>
      </c>
      <c r="D38" s="788" t="s">
        <v>86</v>
      </c>
      <c r="E38" s="790" t="s">
        <v>343</v>
      </c>
      <c r="F38" s="790" t="s">
        <v>2615</v>
      </c>
      <c r="G38" s="800">
        <f>VLOOKUP($E38,[2]tropical!$A$4:$AF$46,[2]tropical!C$1,FALSE)</f>
        <v>14</v>
      </c>
      <c r="H38" s="800">
        <f>VLOOKUP($E38,[2]tropical!$A$4:$AF$46,[2]tropical!D$1,FALSE)</f>
        <v>8</v>
      </c>
      <c r="I38" s="800">
        <f>VLOOKUP($E38,[2]tropical!$A$4:$AF$46,[2]tropical!E$1,FALSE)</f>
        <v>3</v>
      </c>
      <c r="J38" s="800">
        <f>VLOOKUP($E38,[2]tropical!$A$4:$AF$46,[2]tropical!F$1,FALSE)</f>
        <v>4</v>
      </c>
      <c r="K38" s="800">
        <f>VLOOKUP($E38,[2]tropical!$A$4:$AF$46,[2]tropical!G$1,FALSE)</f>
        <v>2</v>
      </c>
      <c r="L38" s="800">
        <f>VLOOKUP($E38,[2]tropical!$A$4:$AF$46,[2]tropical!H$1,FALSE)</f>
        <v>9</v>
      </c>
      <c r="M38" s="800">
        <f>VLOOKUP($E38,[2]tropical!$A$4:$AF$46,[2]tropical!I$1,FALSE)</f>
        <v>4</v>
      </c>
      <c r="N38" s="800">
        <f>VLOOKUP($E38,[2]tropical!$A$4:$AF$46,[2]tropical!J$1,FALSE)</f>
        <v>3</v>
      </c>
      <c r="O38" s="800">
        <f>VLOOKUP($E38,[2]tropical!$A$4:$AF$46,[2]tropical!K$1,FALSE)</f>
        <v>7</v>
      </c>
      <c r="P38" s="800">
        <f>VLOOKUP($E38,[2]tropical!$A$4:$AF$46,[2]tropical!L$1,FALSE)</f>
        <v>5</v>
      </c>
      <c r="Q38" s="800">
        <f>VLOOKUP($E38,[2]tropical!$A$4:$AF$46,[2]tropical!M$1,FALSE)</f>
        <v>3</v>
      </c>
      <c r="R38" s="805">
        <f>VLOOKUP($E38,[2]tropical!$A$4:$AF$46,[2]tropical!N$1,FALSE)</f>
        <v>0</v>
      </c>
      <c r="S38" s="805">
        <f>VLOOKUP($E38,[2]tropical!$A$4:$AF$46,[2]tropical!O$1,FALSE)</f>
        <v>0</v>
      </c>
      <c r="T38" s="805">
        <f>VLOOKUP($E38,[2]tropical!$A$4:$AF$46,[2]tropical!P$1,FALSE)</f>
        <v>0</v>
      </c>
      <c r="U38" s="800">
        <f t="shared" si="0"/>
        <v>62</v>
      </c>
    </row>
    <row r="39" spans="1:21">
      <c r="A39" s="788">
        <v>8036</v>
      </c>
      <c r="B39" s="788" t="s">
        <v>881</v>
      </c>
      <c r="C39" s="788">
        <v>688</v>
      </c>
      <c r="D39" s="788" t="s">
        <v>81</v>
      </c>
      <c r="E39" s="790" t="s">
        <v>1274</v>
      </c>
      <c r="F39" s="790" t="s">
        <v>2616</v>
      </c>
      <c r="G39" s="800">
        <f>VLOOKUP($E39,[2]tropical!$A$4:$AF$46,[2]tropical!C$1,FALSE)</f>
        <v>0</v>
      </c>
      <c r="H39" s="800">
        <f>VLOOKUP($E39,[2]tropical!$A$4:$AF$46,[2]tropical!D$1,FALSE)</f>
        <v>0</v>
      </c>
      <c r="I39" s="800">
        <f>VLOOKUP($E39,[2]tropical!$A$4:$AF$46,[2]tropical!E$1,FALSE)</f>
        <v>0</v>
      </c>
      <c r="J39" s="800">
        <f>VLOOKUP($E39,[2]tropical!$A$4:$AF$46,[2]tropical!F$1,FALSE)</f>
        <v>0</v>
      </c>
      <c r="K39" s="800">
        <f>VLOOKUP($E39,[2]tropical!$A$4:$AF$46,[2]tropical!G$1,FALSE)</f>
        <v>1</v>
      </c>
      <c r="L39" s="800">
        <f>VLOOKUP($E39,[2]tropical!$A$4:$AF$46,[2]tropical!H$1,FALSE)</f>
        <v>0</v>
      </c>
      <c r="M39" s="800">
        <f>VLOOKUP($E39,[2]tropical!$A$4:$AF$46,[2]tropical!I$1,FALSE)</f>
        <v>0</v>
      </c>
      <c r="N39" s="800">
        <f>VLOOKUP($E39,[2]tropical!$A$4:$AF$46,[2]tropical!J$1,FALSE)</f>
        <v>0</v>
      </c>
      <c r="O39" s="800">
        <f>VLOOKUP($E39,[2]tropical!$A$4:$AF$46,[2]tropical!K$1,FALSE)</f>
        <v>1</v>
      </c>
      <c r="P39" s="800">
        <f>VLOOKUP($E39,[2]tropical!$A$4:$AF$46,[2]tropical!L$1,FALSE)</f>
        <v>0</v>
      </c>
      <c r="Q39" s="800">
        <f>VLOOKUP($E39,[2]tropical!$A$4:$AF$46,[2]tropical!M$1,FALSE)</f>
        <v>0</v>
      </c>
      <c r="R39" s="805">
        <f>VLOOKUP($E39,[2]tropical!$A$4:$AF$46,[2]tropical!N$1,FALSE)</f>
        <v>0</v>
      </c>
      <c r="S39" s="805">
        <f>VLOOKUP($E39,[2]tropical!$A$4:$AF$46,[2]tropical!O$1,FALSE)</f>
        <v>0</v>
      </c>
      <c r="T39" s="805">
        <f>VLOOKUP($E39,[2]tropical!$A$4:$AF$46,[2]tropical!P$1,FALSE)</f>
        <v>0</v>
      </c>
      <c r="U39" s="800">
        <f t="shared" si="0"/>
        <v>2</v>
      </c>
    </row>
    <row r="40" spans="1:21">
      <c r="A40" s="788">
        <v>8037</v>
      </c>
      <c r="B40" s="788" t="s">
        <v>886</v>
      </c>
      <c r="C40" s="788">
        <v>489</v>
      </c>
      <c r="D40" s="788" t="s">
        <v>88</v>
      </c>
      <c r="E40" s="790" t="s">
        <v>1127</v>
      </c>
      <c r="F40" s="790" t="s">
        <v>2617</v>
      </c>
      <c r="G40" s="800">
        <f>VLOOKUP($E40,[2]tropical!$A$4:$AF$46,[2]tropical!C$1,FALSE)</f>
        <v>0</v>
      </c>
      <c r="H40" s="800">
        <f>VLOOKUP($E40,[2]tropical!$A$4:$AF$46,[2]tropical!D$1,FALSE)</f>
        <v>0</v>
      </c>
      <c r="I40" s="800">
        <f>VLOOKUP($E40,[2]tropical!$A$4:$AF$46,[2]tropical!E$1,FALSE)</f>
        <v>0</v>
      </c>
      <c r="J40" s="800">
        <f>VLOOKUP($E40,[2]tropical!$A$4:$AF$46,[2]tropical!F$1,FALSE)</f>
        <v>0</v>
      </c>
      <c r="K40" s="800">
        <f>VLOOKUP($E40,[2]tropical!$A$4:$AF$46,[2]tropical!G$1,FALSE)</f>
        <v>0</v>
      </c>
      <c r="L40" s="800">
        <f>VLOOKUP($E40,[2]tropical!$A$4:$AF$46,[2]tropical!H$1,FALSE)</f>
        <v>0</v>
      </c>
      <c r="M40" s="800">
        <f>VLOOKUP($E40,[2]tropical!$A$4:$AF$46,[2]tropical!I$1,FALSE)</f>
        <v>0</v>
      </c>
      <c r="N40" s="800">
        <f>VLOOKUP($E40,[2]tropical!$A$4:$AF$46,[2]tropical!J$1,FALSE)</f>
        <v>0</v>
      </c>
      <c r="O40" s="800">
        <f>VLOOKUP($E40,[2]tropical!$A$4:$AF$46,[2]tropical!K$1,FALSE)</f>
        <v>0</v>
      </c>
      <c r="P40" s="800">
        <f>VLOOKUP($E40,[2]tropical!$A$4:$AF$46,[2]tropical!L$1,FALSE)</f>
        <v>0</v>
      </c>
      <c r="Q40" s="800">
        <f>VLOOKUP($E40,[2]tropical!$A$4:$AF$46,[2]tropical!M$1,FALSE)</f>
        <v>0</v>
      </c>
      <c r="R40" s="805">
        <f>VLOOKUP($E40,[2]tropical!$A$4:$AF$46,[2]tropical!N$1,FALSE)</f>
        <v>0</v>
      </c>
      <c r="S40" s="805">
        <f>VLOOKUP($E40,[2]tropical!$A$4:$AF$46,[2]tropical!O$1,FALSE)</f>
        <v>0</v>
      </c>
      <c r="T40" s="805">
        <f>VLOOKUP($E40,[2]tropical!$A$4:$AF$46,[2]tropical!P$1,FALSE)</f>
        <v>0</v>
      </c>
      <c r="U40" s="800">
        <f t="shared" si="0"/>
        <v>0</v>
      </c>
    </row>
    <row r="41" spans="1:21">
      <c r="A41" s="788">
        <v>8038</v>
      </c>
      <c r="B41" s="788" t="s">
        <v>890</v>
      </c>
      <c r="C41" s="788">
        <v>260</v>
      </c>
      <c r="D41" s="788" t="s">
        <v>82</v>
      </c>
      <c r="E41" s="790" t="s">
        <v>767</v>
      </c>
      <c r="F41" s="790" t="s">
        <v>2616</v>
      </c>
      <c r="G41" s="800">
        <f>VLOOKUP($E41,[2]tropical!$A$4:$AF$46,[2]tropical!C$1,FALSE)</f>
        <v>0</v>
      </c>
      <c r="H41" s="800">
        <f>VLOOKUP($E41,[2]tropical!$A$4:$AF$46,[2]tropical!D$1,FALSE)</f>
        <v>0</v>
      </c>
      <c r="I41" s="800">
        <f>VLOOKUP($E41,[2]tropical!$A$4:$AF$46,[2]tropical!E$1,FALSE)</f>
        <v>2</v>
      </c>
      <c r="J41" s="800">
        <f>VLOOKUP($E41,[2]tropical!$A$4:$AF$46,[2]tropical!F$1,FALSE)</f>
        <v>0</v>
      </c>
      <c r="K41" s="800">
        <f>VLOOKUP($E41,[2]tropical!$A$4:$AF$46,[2]tropical!G$1,FALSE)</f>
        <v>0</v>
      </c>
      <c r="L41" s="800">
        <f>VLOOKUP($E41,[2]tropical!$A$4:$AF$46,[2]tropical!H$1,FALSE)</f>
        <v>0</v>
      </c>
      <c r="M41" s="800">
        <f>VLOOKUP($E41,[2]tropical!$A$4:$AF$46,[2]tropical!I$1,FALSE)</f>
        <v>0</v>
      </c>
      <c r="N41" s="800">
        <f>VLOOKUP($E41,[2]tropical!$A$4:$AF$46,[2]tropical!J$1,FALSE)</f>
        <v>0</v>
      </c>
      <c r="O41" s="800">
        <f>VLOOKUP($E41,[2]tropical!$A$4:$AF$46,[2]tropical!K$1,FALSE)</f>
        <v>0</v>
      </c>
      <c r="P41" s="800">
        <f>VLOOKUP($E41,[2]tropical!$A$4:$AF$46,[2]tropical!L$1,FALSE)</f>
        <v>0</v>
      </c>
      <c r="Q41" s="800">
        <f>VLOOKUP($E41,[2]tropical!$A$4:$AF$46,[2]tropical!M$1,FALSE)</f>
        <v>0</v>
      </c>
      <c r="R41" s="805">
        <f>VLOOKUP($E41,[2]tropical!$A$4:$AF$46,[2]tropical!N$1,FALSE)</f>
        <v>0</v>
      </c>
      <c r="S41" s="805">
        <f>VLOOKUP($E41,[2]tropical!$A$4:$AF$46,[2]tropical!O$1,FALSE)</f>
        <v>0</v>
      </c>
      <c r="T41" s="805">
        <f>VLOOKUP($E41,[2]tropical!$A$4:$AF$46,[2]tropical!P$1,FALSE)</f>
        <v>0</v>
      </c>
      <c r="U41" s="800">
        <f t="shared" si="0"/>
        <v>2</v>
      </c>
    </row>
    <row r="42" spans="1:21">
      <c r="A42" s="788">
        <v>8039</v>
      </c>
      <c r="B42" s="788" t="s">
        <v>894</v>
      </c>
      <c r="C42" s="788">
        <v>321</v>
      </c>
      <c r="D42" s="788" t="s">
        <v>24</v>
      </c>
      <c r="E42" s="790" t="s">
        <v>1743</v>
      </c>
      <c r="F42" s="790" t="s">
        <v>2616</v>
      </c>
      <c r="G42" s="800">
        <f>VLOOKUP($E42,[2]tropical!$A$4:$AF$46,[2]tropical!C$1,FALSE)</f>
        <v>0</v>
      </c>
      <c r="H42" s="800">
        <f>VLOOKUP($E42,[2]tropical!$A$4:$AF$46,[2]tropical!D$1,FALSE)</f>
        <v>0</v>
      </c>
      <c r="I42" s="800">
        <f>VLOOKUP($E42,[2]tropical!$A$4:$AF$46,[2]tropical!E$1,FALSE)</f>
        <v>2</v>
      </c>
      <c r="J42" s="800">
        <f>VLOOKUP($E42,[2]tropical!$A$4:$AF$46,[2]tropical!F$1,FALSE)</f>
        <v>0</v>
      </c>
      <c r="K42" s="800">
        <f>VLOOKUP($E42,[2]tropical!$A$4:$AF$46,[2]tropical!G$1,FALSE)</f>
        <v>0</v>
      </c>
      <c r="L42" s="800">
        <f>VLOOKUP($E42,[2]tropical!$A$4:$AF$46,[2]tropical!H$1,FALSE)</f>
        <v>0</v>
      </c>
      <c r="M42" s="800">
        <f>VLOOKUP($E42,[2]tropical!$A$4:$AF$46,[2]tropical!I$1,FALSE)</f>
        <v>0</v>
      </c>
      <c r="N42" s="800">
        <f>VLOOKUP($E42,[2]tropical!$A$4:$AF$46,[2]tropical!J$1,FALSE)</f>
        <v>0</v>
      </c>
      <c r="O42" s="800">
        <f>VLOOKUP($E42,[2]tropical!$A$4:$AF$46,[2]tropical!K$1,FALSE)</f>
        <v>0</v>
      </c>
      <c r="P42" s="800">
        <f>VLOOKUP($E42,[2]tropical!$A$4:$AF$46,[2]tropical!L$1,FALSE)</f>
        <v>0</v>
      </c>
      <c r="Q42" s="800">
        <f>VLOOKUP($E42,[2]tropical!$A$4:$AF$46,[2]tropical!M$1,FALSE)</f>
        <v>0</v>
      </c>
      <c r="R42" s="805">
        <f>VLOOKUP($E42,[2]tropical!$A$4:$AF$46,[2]tropical!N$1,FALSE)</f>
        <v>0</v>
      </c>
      <c r="S42" s="805">
        <f>VLOOKUP($E42,[2]tropical!$A$4:$AF$46,[2]tropical!O$1,FALSE)</f>
        <v>0</v>
      </c>
      <c r="T42" s="805">
        <f>VLOOKUP($E42,[2]tropical!$A$4:$AF$46,[2]tropical!P$1,FALSE)</f>
        <v>0</v>
      </c>
      <c r="U42" s="800">
        <f t="shared" si="0"/>
        <v>2</v>
      </c>
    </row>
    <row r="43" spans="1:21">
      <c r="A43" s="788">
        <v>8040</v>
      </c>
      <c r="B43" s="788" t="s">
        <v>339</v>
      </c>
      <c r="C43" s="788">
        <v>15</v>
      </c>
      <c r="D43" s="788" t="s">
        <v>86</v>
      </c>
      <c r="E43" s="790" t="s">
        <v>352</v>
      </c>
      <c r="F43" s="790" t="s">
        <v>2615</v>
      </c>
      <c r="G43" s="800">
        <f>VLOOKUP($E43,[2]tropical!$A$4:$AF$46,[2]tropical!C$1,FALSE)</f>
        <v>41</v>
      </c>
      <c r="H43" s="800">
        <f>VLOOKUP($E43,[2]tropical!$A$4:$AF$46,[2]tropical!D$1,FALSE)</f>
        <v>57</v>
      </c>
      <c r="I43" s="800">
        <f>VLOOKUP($E43,[2]tropical!$A$4:$AF$46,[2]tropical!E$1,FALSE)</f>
        <v>52</v>
      </c>
      <c r="J43" s="800">
        <f>VLOOKUP($E43,[2]tropical!$A$4:$AF$46,[2]tropical!F$1,FALSE)</f>
        <v>9</v>
      </c>
      <c r="K43" s="800">
        <f>VLOOKUP($E43,[2]tropical!$A$4:$AF$46,[2]tropical!G$1,FALSE)</f>
        <v>37</v>
      </c>
      <c r="L43" s="800">
        <f>VLOOKUP($E43,[2]tropical!$A$4:$AF$46,[2]tropical!H$1,FALSE)</f>
        <v>47</v>
      </c>
      <c r="M43" s="800">
        <f>VLOOKUP($E43,[2]tropical!$A$4:$AF$46,[2]tropical!I$1,FALSE)</f>
        <v>42</v>
      </c>
      <c r="N43" s="800">
        <f>VLOOKUP($E43,[2]tropical!$A$4:$AF$46,[2]tropical!J$1,FALSE)</f>
        <v>27</v>
      </c>
      <c r="O43" s="800">
        <f>VLOOKUP($E43,[2]tropical!$A$4:$AF$46,[2]tropical!K$1,FALSE)</f>
        <v>39</v>
      </c>
      <c r="P43" s="800">
        <f>VLOOKUP($E43,[2]tropical!$A$4:$AF$46,[2]tropical!L$1,FALSE)</f>
        <v>32</v>
      </c>
      <c r="Q43" s="800">
        <f>VLOOKUP($E43,[2]tropical!$A$4:$AF$46,[2]tropical!M$1,FALSE)</f>
        <v>20</v>
      </c>
      <c r="R43" s="805">
        <f>VLOOKUP($E43,[2]tropical!$A$4:$AF$46,[2]tropical!N$1,FALSE)</f>
        <v>0</v>
      </c>
      <c r="S43" s="805">
        <f>VLOOKUP($E43,[2]tropical!$A$4:$AF$46,[2]tropical!O$1,FALSE)</f>
        <v>0</v>
      </c>
      <c r="T43" s="805">
        <f>VLOOKUP($E43,[2]tropical!$A$4:$AF$46,[2]tropical!P$1,FALSE)</f>
        <v>0</v>
      </c>
      <c r="U43" s="800">
        <f t="shared" si="0"/>
        <v>403</v>
      </c>
    </row>
    <row r="44" spans="1:21">
      <c r="A44" s="788">
        <v>8041</v>
      </c>
      <c r="B44" s="788" t="s">
        <v>900</v>
      </c>
      <c r="C44" s="788">
        <v>175</v>
      </c>
      <c r="D44" s="788" t="s">
        <v>24</v>
      </c>
      <c r="E44" s="790" t="s">
        <v>1743</v>
      </c>
      <c r="F44" s="790" t="s">
        <v>2616</v>
      </c>
      <c r="G44" s="800">
        <f>VLOOKUP($E44,[2]tropical!$A$4:$AF$46,[2]tropical!C$1,FALSE)</f>
        <v>0</v>
      </c>
      <c r="H44" s="800">
        <f>VLOOKUP($E44,[2]tropical!$A$4:$AF$46,[2]tropical!D$1,FALSE)</f>
        <v>0</v>
      </c>
      <c r="I44" s="800">
        <f>VLOOKUP($E44,[2]tropical!$A$4:$AF$46,[2]tropical!E$1,FALSE)</f>
        <v>2</v>
      </c>
      <c r="J44" s="800">
        <f>VLOOKUP($E44,[2]tropical!$A$4:$AF$46,[2]tropical!F$1,FALSE)</f>
        <v>0</v>
      </c>
      <c r="K44" s="800">
        <f>VLOOKUP($E44,[2]tropical!$A$4:$AF$46,[2]tropical!G$1,FALSE)</f>
        <v>0</v>
      </c>
      <c r="L44" s="800">
        <f>VLOOKUP($E44,[2]tropical!$A$4:$AF$46,[2]tropical!H$1,FALSE)</f>
        <v>0</v>
      </c>
      <c r="M44" s="800">
        <f>VLOOKUP($E44,[2]tropical!$A$4:$AF$46,[2]tropical!I$1,FALSE)</f>
        <v>0</v>
      </c>
      <c r="N44" s="800">
        <f>VLOOKUP($E44,[2]tropical!$A$4:$AF$46,[2]tropical!J$1,FALSE)</f>
        <v>0</v>
      </c>
      <c r="O44" s="800">
        <f>VLOOKUP($E44,[2]tropical!$A$4:$AF$46,[2]tropical!K$1,FALSE)</f>
        <v>0</v>
      </c>
      <c r="P44" s="800">
        <f>VLOOKUP($E44,[2]tropical!$A$4:$AF$46,[2]tropical!L$1,FALSE)</f>
        <v>0</v>
      </c>
      <c r="Q44" s="800">
        <f>VLOOKUP($E44,[2]tropical!$A$4:$AF$46,[2]tropical!M$1,FALSE)</f>
        <v>0</v>
      </c>
      <c r="R44" s="805">
        <f>VLOOKUP($E44,[2]tropical!$A$4:$AF$46,[2]tropical!N$1,FALSE)</f>
        <v>0</v>
      </c>
      <c r="S44" s="805">
        <f>VLOOKUP($E44,[2]tropical!$A$4:$AF$46,[2]tropical!O$1,FALSE)</f>
        <v>0</v>
      </c>
      <c r="T44" s="805">
        <f>VLOOKUP($E44,[2]tropical!$A$4:$AF$46,[2]tropical!P$1,FALSE)</f>
        <v>0</v>
      </c>
      <c r="U44" s="800">
        <f t="shared" si="0"/>
        <v>2</v>
      </c>
    </row>
    <row r="45" spans="1:21">
      <c r="A45" s="788">
        <v>8042</v>
      </c>
      <c r="B45" s="788" t="s">
        <v>901</v>
      </c>
      <c r="C45" s="788">
        <v>346</v>
      </c>
      <c r="D45" s="788" t="s">
        <v>24</v>
      </c>
      <c r="E45" s="790" t="s">
        <v>1743</v>
      </c>
      <c r="F45" s="790" t="s">
        <v>2616</v>
      </c>
      <c r="G45" s="800">
        <f>VLOOKUP($E45,[2]tropical!$A$4:$AF$46,[2]tropical!C$1,FALSE)</f>
        <v>0</v>
      </c>
      <c r="H45" s="800">
        <f>VLOOKUP($E45,[2]tropical!$A$4:$AF$46,[2]tropical!D$1,FALSE)</f>
        <v>0</v>
      </c>
      <c r="I45" s="800">
        <f>VLOOKUP($E45,[2]tropical!$A$4:$AF$46,[2]tropical!E$1,FALSE)</f>
        <v>2</v>
      </c>
      <c r="J45" s="800">
        <f>VLOOKUP($E45,[2]tropical!$A$4:$AF$46,[2]tropical!F$1,FALSE)</f>
        <v>0</v>
      </c>
      <c r="K45" s="800">
        <f>VLOOKUP($E45,[2]tropical!$A$4:$AF$46,[2]tropical!G$1,FALSE)</f>
        <v>0</v>
      </c>
      <c r="L45" s="800">
        <f>VLOOKUP($E45,[2]tropical!$A$4:$AF$46,[2]tropical!H$1,FALSE)</f>
        <v>0</v>
      </c>
      <c r="M45" s="800">
        <f>VLOOKUP($E45,[2]tropical!$A$4:$AF$46,[2]tropical!I$1,FALSE)</f>
        <v>0</v>
      </c>
      <c r="N45" s="800">
        <f>VLOOKUP($E45,[2]tropical!$A$4:$AF$46,[2]tropical!J$1,FALSE)</f>
        <v>0</v>
      </c>
      <c r="O45" s="800">
        <f>VLOOKUP($E45,[2]tropical!$A$4:$AF$46,[2]tropical!K$1,FALSE)</f>
        <v>0</v>
      </c>
      <c r="P45" s="800">
        <f>VLOOKUP($E45,[2]tropical!$A$4:$AF$46,[2]tropical!L$1,FALSE)</f>
        <v>0</v>
      </c>
      <c r="Q45" s="800">
        <f>VLOOKUP($E45,[2]tropical!$A$4:$AF$46,[2]tropical!M$1,FALSE)</f>
        <v>0</v>
      </c>
      <c r="R45" s="805">
        <f>VLOOKUP($E45,[2]tropical!$A$4:$AF$46,[2]tropical!N$1,FALSE)</f>
        <v>0</v>
      </c>
      <c r="S45" s="805">
        <f>VLOOKUP($E45,[2]tropical!$A$4:$AF$46,[2]tropical!O$1,FALSE)</f>
        <v>0</v>
      </c>
      <c r="T45" s="805">
        <f>VLOOKUP($E45,[2]tropical!$A$4:$AF$46,[2]tropical!P$1,FALSE)</f>
        <v>0</v>
      </c>
      <c r="U45" s="800">
        <f t="shared" si="0"/>
        <v>2</v>
      </c>
    </row>
    <row r="46" spans="1:21">
      <c r="A46" s="788">
        <v>8043</v>
      </c>
      <c r="B46" s="788" t="s">
        <v>906</v>
      </c>
      <c r="C46" s="788">
        <v>142</v>
      </c>
      <c r="D46" s="788" t="s">
        <v>85</v>
      </c>
      <c r="E46" s="790" t="s">
        <v>2609</v>
      </c>
      <c r="F46" s="790" t="s">
        <v>2615</v>
      </c>
      <c r="G46" s="800">
        <f>VLOOKUP($E46,[2]tropical!$A$4:$AF$46,[2]tropical!C$1,FALSE)</f>
        <v>10</v>
      </c>
      <c r="H46" s="800">
        <f>VLOOKUP($E46,[2]tropical!$A$4:$AF$46,[2]tropical!D$1,FALSE)</f>
        <v>13</v>
      </c>
      <c r="I46" s="800">
        <f>VLOOKUP($E46,[2]tropical!$A$4:$AF$46,[2]tropical!E$1,FALSE)</f>
        <v>16</v>
      </c>
      <c r="J46" s="800">
        <f>VLOOKUP($E46,[2]tropical!$A$4:$AF$46,[2]tropical!F$1,FALSE)</f>
        <v>9</v>
      </c>
      <c r="K46" s="800">
        <f>VLOOKUP($E46,[2]tropical!$A$4:$AF$46,[2]tropical!G$1,FALSE)</f>
        <v>9</v>
      </c>
      <c r="L46" s="800">
        <f>VLOOKUP($E46,[2]tropical!$A$4:$AF$46,[2]tropical!H$1,FALSE)</f>
        <v>25</v>
      </c>
      <c r="M46" s="800">
        <f>VLOOKUP($E46,[2]tropical!$A$4:$AF$46,[2]tropical!I$1,FALSE)</f>
        <v>14</v>
      </c>
      <c r="N46" s="800">
        <f>VLOOKUP($E46,[2]tropical!$A$4:$AF$46,[2]tropical!J$1,FALSE)</f>
        <v>10</v>
      </c>
      <c r="O46" s="800">
        <f>VLOOKUP($E46,[2]tropical!$A$4:$AF$46,[2]tropical!K$1,FALSE)</f>
        <v>18</v>
      </c>
      <c r="P46" s="800">
        <f>VLOOKUP($E46,[2]tropical!$A$4:$AF$46,[2]tropical!L$1,FALSE)</f>
        <v>5</v>
      </c>
      <c r="Q46" s="800">
        <f>VLOOKUP($E46,[2]tropical!$A$4:$AF$46,[2]tropical!M$1,FALSE)</f>
        <v>8</v>
      </c>
      <c r="R46" s="805">
        <f>VLOOKUP($E46,[2]tropical!$A$4:$AF$46,[2]tropical!N$1,FALSE)</f>
        <v>0</v>
      </c>
      <c r="S46" s="805">
        <f>VLOOKUP($E46,[2]tropical!$A$4:$AF$46,[2]tropical!O$1,FALSE)</f>
        <v>0</v>
      </c>
      <c r="T46" s="805">
        <f>VLOOKUP($E46,[2]tropical!$A$4:$AF$46,[2]tropical!P$1,FALSE)</f>
        <v>0</v>
      </c>
      <c r="U46" s="800">
        <f t="shared" si="0"/>
        <v>137</v>
      </c>
    </row>
    <row r="47" spans="1:21">
      <c r="A47" s="788">
        <v>8044</v>
      </c>
      <c r="B47" s="788" t="s">
        <v>912</v>
      </c>
      <c r="C47" s="788">
        <v>317</v>
      </c>
      <c r="D47" s="788" t="s">
        <v>81</v>
      </c>
      <c r="E47" s="790" t="s">
        <v>2608</v>
      </c>
      <c r="F47" s="790" t="s">
        <v>2616</v>
      </c>
      <c r="G47" s="800">
        <f>VLOOKUP($E47,[2]tropical!$A$4:$AF$46,[2]tropical!C$1,FALSE)</f>
        <v>0</v>
      </c>
      <c r="H47" s="800">
        <f>VLOOKUP($E47,[2]tropical!$A$4:$AF$46,[2]tropical!D$1,FALSE)</f>
        <v>2</v>
      </c>
      <c r="I47" s="800">
        <f>VLOOKUP($E47,[2]tropical!$A$4:$AF$46,[2]tropical!E$1,FALSE)</f>
        <v>2</v>
      </c>
      <c r="J47" s="800">
        <f>VLOOKUP($E47,[2]tropical!$A$4:$AF$46,[2]tropical!F$1,FALSE)</f>
        <v>1</v>
      </c>
      <c r="K47" s="800">
        <f>VLOOKUP($E47,[2]tropical!$A$4:$AF$46,[2]tropical!G$1,FALSE)</f>
        <v>1</v>
      </c>
      <c r="L47" s="800">
        <f>VLOOKUP($E47,[2]tropical!$A$4:$AF$46,[2]tropical!H$1,FALSE)</f>
        <v>1</v>
      </c>
      <c r="M47" s="800">
        <f>VLOOKUP($E47,[2]tropical!$A$4:$AF$46,[2]tropical!I$1,FALSE)</f>
        <v>0</v>
      </c>
      <c r="N47" s="800">
        <f>VLOOKUP($E47,[2]tropical!$A$4:$AF$46,[2]tropical!J$1,FALSE)</f>
        <v>0</v>
      </c>
      <c r="O47" s="800">
        <f>VLOOKUP($E47,[2]tropical!$A$4:$AF$46,[2]tropical!K$1,FALSE)</f>
        <v>1</v>
      </c>
      <c r="P47" s="800">
        <f>VLOOKUP($E47,[2]tropical!$A$4:$AF$46,[2]tropical!L$1,FALSE)</f>
        <v>0</v>
      </c>
      <c r="Q47" s="800">
        <f>VLOOKUP($E47,[2]tropical!$A$4:$AF$46,[2]tropical!M$1,FALSE)</f>
        <v>0</v>
      </c>
      <c r="R47" s="805">
        <f>VLOOKUP($E47,[2]tropical!$A$4:$AF$46,[2]tropical!N$1,FALSE)</f>
        <v>0</v>
      </c>
      <c r="S47" s="805">
        <f>VLOOKUP($E47,[2]tropical!$A$4:$AF$46,[2]tropical!O$1,FALSE)</f>
        <v>0</v>
      </c>
      <c r="T47" s="805">
        <f>VLOOKUP($E47,[2]tropical!$A$4:$AF$46,[2]tropical!P$1,FALSE)</f>
        <v>0</v>
      </c>
      <c r="U47" s="800">
        <f t="shared" si="0"/>
        <v>8</v>
      </c>
    </row>
    <row r="48" spans="1:21">
      <c r="A48" s="788">
        <v>8045</v>
      </c>
      <c r="B48" s="788" t="s">
        <v>916</v>
      </c>
      <c r="C48" s="788">
        <v>1279</v>
      </c>
      <c r="D48" s="788" t="s">
        <v>84</v>
      </c>
      <c r="E48" s="790" t="s">
        <v>1105</v>
      </c>
      <c r="F48" s="790" t="s">
        <v>2617</v>
      </c>
      <c r="G48" s="800">
        <f>VLOOKUP($E48,[2]tropical!$A$4:$AF$46,[2]tropical!C$1,FALSE)</f>
        <v>0</v>
      </c>
      <c r="H48" s="800">
        <f>VLOOKUP($E48,[2]tropical!$A$4:$AF$46,[2]tropical!D$1,FALSE)</f>
        <v>0</v>
      </c>
      <c r="I48" s="800">
        <f>VLOOKUP($E48,[2]tropical!$A$4:$AF$46,[2]tropical!E$1,FALSE)</f>
        <v>0</v>
      </c>
      <c r="J48" s="800">
        <f>VLOOKUP($E48,[2]tropical!$A$4:$AF$46,[2]tropical!F$1,FALSE)</f>
        <v>0</v>
      </c>
      <c r="K48" s="800">
        <f>VLOOKUP($E48,[2]tropical!$A$4:$AF$46,[2]tropical!G$1,FALSE)</f>
        <v>0</v>
      </c>
      <c r="L48" s="800">
        <f>VLOOKUP($E48,[2]tropical!$A$4:$AF$46,[2]tropical!H$1,FALSE)</f>
        <v>0</v>
      </c>
      <c r="M48" s="800">
        <f>VLOOKUP($E48,[2]tropical!$A$4:$AF$46,[2]tropical!I$1,FALSE)</f>
        <v>0</v>
      </c>
      <c r="N48" s="800">
        <f>VLOOKUP($E48,[2]tropical!$A$4:$AF$46,[2]tropical!J$1,FALSE)</f>
        <v>0</v>
      </c>
      <c r="O48" s="800">
        <f>VLOOKUP($E48,[2]tropical!$A$4:$AF$46,[2]tropical!K$1,FALSE)</f>
        <v>0</v>
      </c>
      <c r="P48" s="800">
        <f>VLOOKUP($E48,[2]tropical!$A$4:$AF$46,[2]tropical!L$1,FALSE)</f>
        <v>0</v>
      </c>
      <c r="Q48" s="800">
        <f>VLOOKUP($E48,[2]tropical!$A$4:$AF$46,[2]tropical!M$1,FALSE)</f>
        <v>0</v>
      </c>
      <c r="R48" s="805">
        <f>VLOOKUP($E48,[2]tropical!$A$4:$AF$46,[2]tropical!N$1,FALSE)</f>
        <v>0</v>
      </c>
      <c r="S48" s="805">
        <f>VLOOKUP($E48,[2]tropical!$A$4:$AF$46,[2]tropical!O$1,FALSE)</f>
        <v>0</v>
      </c>
      <c r="T48" s="805">
        <f>VLOOKUP($E48,[2]tropical!$A$4:$AF$46,[2]tropical!P$1,FALSE)</f>
        <v>0</v>
      </c>
      <c r="U48" s="800">
        <f t="shared" si="0"/>
        <v>0</v>
      </c>
    </row>
    <row r="49" spans="1:21">
      <c r="A49" s="788">
        <v>8046</v>
      </c>
      <c r="B49" s="788" t="s">
        <v>920</v>
      </c>
      <c r="C49" s="788">
        <v>193</v>
      </c>
      <c r="D49" s="788" t="s">
        <v>24</v>
      </c>
      <c r="E49" s="790" t="s">
        <v>1743</v>
      </c>
      <c r="F49" s="790" t="s">
        <v>2616</v>
      </c>
      <c r="G49" s="800">
        <f>VLOOKUP($E49,[2]tropical!$A$4:$AF$46,[2]tropical!C$1,FALSE)</f>
        <v>0</v>
      </c>
      <c r="H49" s="800">
        <f>VLOOKUP($E49,[2]tropical!$A$4:$AF$46,[2]tropical!D$1,FALSE)</f>
        <v>0</v>
      </c>
      <c r="I49" s="800">
        <f>VLOOKUP($E49,[2]tropical!$A$4:$AF$46,[2]tropical!E$1,FALSE)</f>
        <v>2</v>
      </c>
      <c r="J49" s="800">
        <f>VLOOKUP($E49,[2]tropical!$A$4:$AF$46,[2]tropical!F$1,FALSE)</f>
        <v>0</v>
      </c>
      <c r="K49" s="800">
        <f>VLOOKUP($E49,[2]tropical!$A$4:$AF$46,[2]tropical!G$1,FALSE)</f>
        <v>0</v>
      </c>
      <c r="L49" s="800">
        <f>VLOOKUP($E49,[2]tropical!$A$4:$AF$46,[2]tropical!H$1,FALSE)</f>
        <v>0</v>
      </c>
      <c r="M49" s="800">
        <f>VLOOKUP($E49,[2]tropical!$A$4:$AF$46,[2]tropical!I$1,FALSE)</f>
        <v>0</v>
      </c>
      <c r="N49" s="800">
        <f>VLOOKUP($E49,[2]tropical!$A$4:$AF$46,[2]tropical!J$1,FALSE)</f>
        <v>0</v>
      </c>
      <c r="O49" s="800">
        <f>VLOOKUP($E49,[2]tropical!$A$4:$AF$46,[2]tropical!K$1,FALSE)</f>
        <v>0</v>
      </c>
      <c r="P49" s="800">
        <f>VLOOKUP($E49,[2]tropical!$A$4:$AF$46,[2]tropical!L$1,FALSE)</f>
        <v>0</v>
      </c>
      <c r="Q49" s="800">
        <f>VLOOKUP($E49,[2]tropical!$A$4:$AF$46,[2]tropical!M$1,FALSE)</f>
        <v>0</v>
      </c>
      <c r="R49" s="805">
        <f>VLOOKUP($E49,[2]tropical!$A$4:$AF$46,[2]tropical!N$1,FALSE)</f>
        <v>0</v>
      </c>
      <c r="S49" s="805">
        <f>VLOOKUP($E49,[2]tropical!$A$4:$AF$46,[2]tropical!O$1,FALSE)</f>
        <v>0</v>
      </c>
      <c r="T49" s="805">
        <f>VLOOKUP($E49,[2]tropical!$A$4:$AF$46,[2]tropical!P$1,FALSE)</f>
        <v>0</v>
      </c>
      <c r="U49" s="800">
        <f t="shared" si="0"/>
        <v>2</v>
      </c>
    </row>
    <row r="50" spans="1:21">
      <c r="A50" s="788">
        <v>8047</v>
      </c>
      <c r="B50" s="788" t="s">
        <v>924</v>
      </c>
      <c r="C50" s="788">
        <v>507</v>
      </c>
      <c r="D50" s="788" t="s">
        <v>82</v>
      </c>
      <c r="E50" s="790" t="s">
        <v>1004</v>
      </c>
      <c r="F50" s="790" t="s">
        <v>2616</v>
      </c>
      <c r="G50" s="800">
        <f>VLOOKUP($E50,[2]tropical!$A$4:$AF$46,[2]tropical!C$1,FALSE)</f>
        <v>0</v>
      </c>
      <c r="H50" s="800">
        <f>VLOOKUP($E50,[2]tropical!$A$4:$AF$46,[2]tropical!D$1,FALSE)</f>
        <v>0</v>
      </c>
      <c r="I50" s="800">
        <f>VLOOKUP($E50,[2]tropical!$A$4:$AF$46,[2]tropical!E$1,FALSE)</f>
        <v>0</v>
      </c>
      <c r="J50" s="800">
        <f>VLOOKUP($E50,[2]tropical!$A$4:$AF$46,[2]tropical!F$1,FALSE)</f>
        <v>0</v>
      </c>
      <c r="K50" s="800">
        <f>VLOOKUP($E50,[2]tropical!$A$4:$AF$46,[2]tropical!G$1,FALSE)</f>
        <v>0</v>
      </c>
      <c r="L50" s="800">
        <f>VLOOKUP($E50,[2]tropical!$A$4:$AF$46,[2]tropical!H$1,FALSE)</f>
        <v>0</v>
      </c>
      <c r="M50" s="800">
        <f>VLOOKUP($E50,[2]tropical!$A$4:$AF$46,[2]tropical!I$1,FALSE)</f>
        <v>0</v>
      </c>
      <c r="N50" s="800">
        <f>VLOOKUP($E50,[2]tropical!$A$4:$AF$46,[2]tropical!J$1,FALSE)</f>
        <v>0</v>
      </c>
      <c r="O50" s="800">
        <f>VLOOKUP($E50,[2]tropical!$A$4:$AF$46,[2]tropical!K$1,FALSE)</f>
        <v>3</v>
      </c>
      <c r="P50" s="800">
        <f>VLOOKUP($E50,[2]tropical!$A$4:$AF$46,[2]tropical!L$1,FALSE)</f>
        <v>0</v>
      </c>
      <c r="Q50" s="800">
        <f>VLOOKUP($E50,[2]tropical!$A$4:$AF$46,[2]tropical!M$1,FALSE)</f>
        <v>0</v>
      </c>
      <c r="R50" s="805">
        <f>VLOOKUP($E50,[2]tropical!$A$4:$AF$46,[2]tropical!N$1,FALSE)</f>
        <v>0</v>
      </c>
      <c r="S50" s="805">
        <f>VLOOKUP($E50,[2]tropical!$A$4:$AF$46,[2]tropical!O$1,FALSE)</f>
        <v>0</v>
      </c>
      <c r="T50" s="805">
        <f>VLOOKUP($E50,[2]tropical!$A$4:$AF$46,[2]tropical!P$1,FALSE)</f>
        <v>0</v>
      </c>
      <c r="U50" s="800">
        <f t="shared" si="0"/>
        <v>3</v>
      </c>
    </row>
    <row r="51" spans="1:21">
      <c r="A51" s="788">
        <v>8048</v>
      </c>
      <c r="B51" s="788" t="s">
        <v>929</v>
      </c>
      <c r="C51" s="788">
        <v>351</v>
      </c>
      <c r="D51" s="788" t="s">
        <v>81</v>
      </c>
      <c r="E51" s="790" t="s">
        <v>2608</v>
      </c>
      <c r="F51" s="790" t="s">
        <v>2616</v>
      </c>
      <c r="G51" s="800">
        <f>VLOOKUP($E51,[2]tropical!$A$4:$AF$46,[2]tropical!C$1,FALSE)</f>
        <v>0</v>
      </c>
      <c r="H51" s="800">
        <f>VLOOKUP($E51,[2]tropical!$A$4:$AF$46,[2]tropical!D$1,FALSE)</f>
        <v>2</v>
      </c>
      <c r="I51" s="800">
        <f>VLOOKUP($E51,[2]tropical!$A$4:$AF$46,[2]tropical!E$1,FALSE)</f>
        <v>2</v>
      </c>
      <c r="J51" s="800">
        <f>VLOOKUP($E51,[2]tropical!$A$4:$AF$46,[2]tropical!F$1,FALSE)</f>
        <v>1</v>
      </c>
      <c r="K51" s="800">
        <f>VLOOKUP($E51,[2]tropical!$A$4:$AF$46,[2]tropical!G$1,FALSE)</f>
        <v>1</v>
      </c>
      <c r="L51" s="800">
        <f>VLOOKUP($E51,[2]tropical!$A$4:$AF$46,[2]tropical!H$1,FALSE)</f>
        <v>1</v>
      </c>
      <c r="M51" s="800">
        <f>VLOOKUP($E51,[2]tropical!$A$4:$AF$46,[2]tropical!I$1,FALSE)</f>
        <v>0</v>
      </c>
      <c r="N51" s="800">
        <f>VLOOKUP($E51,[2]tropical!$A$4:$AF$46,[2]tropical!J$1,FALSE)</f>
        <v>0</v>
      </c>
      <c r="O51" s="800">
        <f>VLOOKUP($E51,[2]tropical!$A$4:$AF$46,[2]tropical!K$1,FALSE)</f>
        <v>1</v>
      </c>
      <c r="P51" s="800">
        <f>VLOOKUP($E51,[2]tropical!$A$4:$AF$46,[2]tropical!L$1,FALSE)</f>
        <v>0</v>
      </c>
      <c r="Q51" s="800">
        <f>VLOOKUP($E51,[2]tropical!$A$4:$AF$46,[2]tropical!M$1,FALSE)</f>
        <v>0</v>
      </c>
      <c r="R51" s="805">
        <f>VLOOKUP($E51,[2]tropical!$A$4:$AF$46,[2]tropical!N$1,FALSE)</f>
        <v>0</v>
      </c>
      <c r="S51" s="805">
        <f>VLOOKUP($E51,[2]tropical!$A$4:$AF$46,[2]tropical!O$1,FALSE)</f>
        <v>0</v>
      </c>
      <c r="T51" s="805">
        <f>VLOOKUP($E51,[2]tropical!$A$4:$AF$46,[2]tropical!P$1,FALSE)</f>
        <v>0</v>
      </c>
      <c r="U51" s="800">
        <f t="shared" si="0"/>
        <v>8</v>
      </c>
    </row>
    <row r="52" spans="1:21">
      <c r="A52" s="788">
        <v>8049</v>
      </c>
      <c r="B52" s="788" t="s">
        <v>934</v>
      </c>
      <c r="C52" s="788">
        <v>611</v>
      </c>
      <c r="D52" s="788" t="s">
        <v>84</v>
      </c>
      <c r="E52" s="790" t="s">
        <v>1125</v>
      </c>
      <c r="F52" s="790" t="s">
        <v>2617</v>
      </c>
      <c r="G52" s="800">
        <f>VLOOKUP($E52,[2]tropical!$A$4:$AF$46,[2]tropical!C$1,FALSE)</f>
        <v>0</v>
      </c>
      <c r="H52" s="800">
        <f>VLOOKUP($E52,[2]tropical!$A$4:$AF$46,[2]tropical!D$1,FALSE)</f>
        <v>0</v>
      </c>
      <c r="I52" s="800">
        <f>VLOOKUP($E52,[2]tropical!$A$4:$AF$46,[2]tropical!E$1,FALSE)</f>
        <v>0</v>
      </c>
      <c r="J52" s="800">
        <f>VLOOKUP($E52,[2]tropical!$A$4:$AF$46,[2]tropical!F$1,FALSE)</f>
        <v>0</v>
      </c>
      <c r="K52" s="800">
        <f>VLOOKUP($E52,[2]tropical!$A$4:$AF$46,[2]tropical!G$1,FALSE)</f>
        <v>0</v>
      </c>
      <c r="L52" s="800">
        <f>VLOOKUP($E52,[2]tropical!$A$4:$AF$46,[2]tropical!H$1,FALSE)</f>
        <v>0</v>
      </c>
      <c r="M52" s="800">
        <f>VLOOKUP($E52,[2]tropical!$A$4:$AF$46,[2]tropical!I$1,FALSE)</f>
        <v>0</v>
      </c>
      <c r="N52" s="800">
        <f>VLOOKUP($E52,[2]tropical!$A$4:$AF$46,[2]tropical!J$1,FALSE)</f>
        <v>0</v>
      </c>
      <c r="O52" s="800">
        <f>VLOOKUP($E52,[2]tropical!$A$4:$AF$46,[2]tropical!K$1,FALSE)</f>
        <v>0</v>
      </c>
      <c r="P52" s="800">
        <f>VLOOKUP($E52,[2]tropical!$A$4:$AF$46,[2]tropical!L$1,FALSE)</f>
        <v>0</v>
      </c>
      <c r="Q52" s="800">
        <f>VLOOKUP($E52,[2]tropical!$A$4:$AF$46,[2]tropical!M$1,FALSE)</f>
        <v>0</v>
      </c>
      <c r="R52" s="805">
        <f>VLOOKUP($E52,[2]tropical!$A$4:$AF$46,[2]tropical!N$1,FALSE)</f>
        <v>0</v>
      </c>
      <c r="S52" s="805">
        <f>VLOOKUP($E52,[2]tropical!$A$4:$AF$46,[2]tropical!O$1,FALSE)</f>
        <v>0</v>
      </c>
      <c r="T52" s="805">
        <f>VLOOKUP($E52,[2]tropical!$A$4:$AF$46,[2]tropical!P$1,FALSE)</f>
        <v>0</v>
      </c>
      <c r="U52" s="800">
        <f t="shared" si="0"/>
        <v>0</v>
      </c>
    </row>
    <row r="53" spans="1:21">
      <c r="A53" s="788">
        <v>8050</v>
      </c>
      <c r="B53" s="788" t="s">
        <v>942</v>
      </c>
      <c r="C53" s="788">
        <v>920</v>
      </c>
      <c r="D53" s="788" t="s">
        <v>84</v>
      </c>
      <c r="E53" s="790" t="s">
        <v>2603</v>
      </c>
      <c r="F53" s="790" t="s">
        <v>2617</v>
      </c>
      <c r="G53" s="800">
        <f>VLOOKUP($E53,[2]tropical!$A$4:$AF$46,[2]tropical!C$1,FALSE)</f>
        <v>0</v>
      </c>
      <c r="H53" s="800">
        <f>VLOOKUP($E53,[2]tropical!$A$4:$AF$46,[2]tropical!D$1,FALSE)</f>
        <v>1</v>
      </c>
      <c r="I53" s="800">
        <f>VLOOKUP($E53,[2]tropical!$A$4:$AF$46,[2]tropical!E$1,FALSE)</f>
        <v>0</v>
      </c>
      <c r="J53" s="800">
        <f>VLOOKUP($E53,[2]tropical!$A$4:$AF$46,[2]tropical!F$1,FALSE)</f>
        <v>0</v>
      </c>
      <c r="K53" s="800">
        <f>VLOOKUP($E53,[2]tropical!$A$4:$AF$46,[2]tropical!G$1,FALSE)</f>
        <v>0</v>
      </c>
      <c r="L53" s="800">
        <f>VLOOKUP($E53,[2]tropical!$A$4:$AF$46,[2]tropical!H$1,FALSE)</f>
        <v>0</v>
      </c>
      <c r="M53" s="800">
        <f>VLOOKUP($E53,[2]tropical!$A$4:$AF$46,[2]tropical!I$1,FALSE)</f>
        <v>0</v>
      </c>
      <c r="N53" s="800">
        <f>VLOOKUP($E53,[2]tropical!$A$4:$AF$46,[2]tropical!J$1,FALSE)</f>
        <v>0</v>
      </c>
      <c r="O53" s="800">
        <f>VLOOKUP($E53,[2]tropical!$A$4:$AF$46,[2]tropical!K$1,FALSE)</f>
        <v>2</v>
      </c>
      <c r="P53" s="800">
        <f>VLOOKUP($E53,[2]tropical!$A$4:$AF$46,[2]tropical!L$1,FALSE)</f>
        <v>0</v>
      </c>
      <c r="Q53" s="800">
        <f>VLOOKUP($E53,[2]tropical!$A$4:$AF$46,[2]tropical!M$1,FALSE)</f>
        <v>0</v>
      </c>
      <c r="R53" s="805">
        <f>VLOOKUP($E53,[2]tropical!$A$4:$AF$46,[2]tropical!N$1,FALSE)</f>
        <v>0</v>
      </c>
      <c r="S53" s="805">
        <f>VLOOKUP($E53,[2]tropical!$A$4:$AF$46,[2]tropical!O$1,FALSE)</f>
        <v>0</v>
      </c>
      <c r="T53" s="805">
        <f>VLOOKUP($E53,[2]tropical!$A$4:$AF$46,[2]tropical!P$1,FALSE)</f>
        <v>0</v>
      </c>
      <c r="U53" s="800">
        <f t="shared" si="0"/>
        <v>3</v>
      </c>
    </row>
    <row r="54" spans="1:21">
      <c r="A54" s="788">
        <v>8051</v>
      </c>
      <c r="B54" s="788" t="s">
        <v>944</v>
      </c>
      <c r="C54" s="788">
        <v>331</v>
      </c>
      <c r="D54" s="788" t="s">
        <v>89</v>
      </c>
      <c r="E54" s="790" t="s">
        <v>1605</v>
      </c>
      <c r="F54" s="790" t="s">
        <v>2615</v>
      </c>
      <c r="G54" s="800">
        <f>VLOOKUP($E54,[2]tropical!$A$4:$AF$46,[2]tropical!C$1,FALSE)</f>
        <v>4</v>
      </c>
      <c r="H54" s="800">
        <f>VLOOKUP($E54,[2]tropical!$A$4:$AF$46,[2]tropical!D$1,FALSE)</f>
        <v>8</v>
      </c>
      <c r="I54" s="800">
        <f>VLOOKUP($E54,[2]tropical!$A$4:$AF$46,[2]tropical!E$1,FALSE)</f>
        <v>9</v>
      </c>
      <c r="J54" s="800">
        <f>VLOOKUP($E54,[2]tropical!$A$4:$AF$46,[2]tropical!F$1,FALSE)</f>
        <v>0</v>
      </c>
      <c r="K54" s="800">
        <f>VLOOKUP($E54,[2]tropical!$A$4:$AF$46,[2]tropical!G$1,FALSE)</f>
        <v>1</v>
      </c>
      <c r="L54" s="800">
        <f>VLOOKUP($E54,[2]tropical!$A$4:$AF$46,[2]tropical!H$1,FALSE)</f>
        <v>4</v>
      </c>
      <c r="M54" s="800">
        <f>VLOOKUP($E54,[2]tropical!$A$4:$AF$46,[2]tropical!I$1,FALSE)</f>
        <v>5</v>
      </c>
      <c r="N54" s="800">
        <f>VLOOKUP($E54,[2]tropical!$A$4:$AF$46,[2]tropical!J$1,FALSE)</f>
        <v>1</v>
      </c>
      <c r="O54" s="800">
        <f>VLOOKUP($E54,[2]tropical!$A$4:$AF$46,[2]tropical!K$1,FALSE)</f>
        <v>4</v>
      </c>
      <c r="P54" s="800">
        <f>VLOOKUP($E54,[2]tropical!$A$4:$AF$46,[2]tropical!L$1,FALSE)</f>
        <v>3</v>
      </c>
      <c r="Q54" s="800">
        <f>VLOOKUP($E54,[2]tropical!$A$4:$AF$46,[2]tropical!M$1,FALSE)</f>
        <v>0</v>
      </c>
      <c r="R54" s="805">
        <f>VLOOKUP($E54,[2]tropical!$A$4:$AF$46,[2]tropical!N$1,FALSE)</f>
        <v>0</v>
      </c>
      <c r="S54" s="805">
        <f>VLOOKUP($E54,[2]tropical!$A$4:$AF$46,[2]tropical!O$1,FALSE)</f>
        <v>0</v>
      </c>
      <c r="T54" s="805">
        <f>VLOOKUP($E54,[2]tropical!$A$4:$AF$46,[2]tropical!P$1,FALSE)</f>
        <v>0</v>
      </c>
      <c r="U54" s="800">
        <f t="shared" si="0"/>
        <v>39</v>
      </c>
    </row>
    <row r="55" spans="1:21">
      <c r="A55" s="788">
        <v>8052</v>
      </c>
      <c r="B55" s="788" t="s">
        <v>951</v>
      </c>
      <c r="C55" s="788">
        <v>1395</v>
      </c>
      <c r="D55" s="788" t="s">
        <v>84</v>
      </c>
      <c r="E55" s="790" t="s">
        <v>1125</v>
      </c>
      <c r="F55" s="790" t="s">
        <v>2617</v>
      </c>
      <c r="G55" s="800">
        <f>VLOOKUP($E55,[2]tropical!$A$4:$AF$46,[2]tropical!C$1,FALSE)</f>
        <v>0</v>
      </c>
      <c r="H55" s="800">
        <f>VLOOKUP($E55,[2]tropical!$A$4:$AF$46,[2]tropical!D$1,FALSE)</f>
        <v>0</v>
      </c>
      <c r="I55" s="800">
        <f>VLOOKUP($E55,[2]tropical!$A$4:$AF$46,[2]tropical!E$1,FALSE)</f>
        <v>0</v>
      </c>
      <c r="J55" s="800">
        <f>VLOOKUP($E55,[2]tropical!$A$4:$AF$46,[2]tropical!F$1,FALSE)</f>
        <v>0</v>
      </c>
      <c r="K55" s="800">
        <f>VLOOKUP($E55,[2]tropical!$A$4:$AF$46,[2]tropical!G$1,FALSE)</f>
        <v>0</v>
      </c>
      <c r="L55" s="800">
        <f>VLOOKUP($E55,[2]tropical!$A$4:$AF$46,[2]tropical!H$1,FALSE)</f>
        <v>0</v>
      </c>
      <c r="M55" s="800">
        <f>VLOOKUP($E55,[2]tropical!$A$4:$AF$46,[2]tropical!I$1,FALSE)</f>
        <v>0</v>
      </c>
      <c r="N55" s="800">
        <f>VLOOKUP($E55,[2]tropical!$A$4:$AF$46,[2]tropical!J$1,FALSE)</f>
        <v>0</v>
      </c>
      <c r="O55" s="800">
        <f>VLOOKUP($E55,[2]tropical!$A$4:$AF$46,[2]tropical!K$1,FALSE)</f>
        <v>0</v>
      </c>
      <c r="P55" s="800">
        <f>VLOOKUP($E55,[2]tropical!$A$4:$AF$46,[2]tropical!L$1,FALSE)</f>
        <v>0</v>
      </c>
      <c r="Q55" s="800">
        <f>VLOOKUP($E55,[2]tropical!$A$4:$AF$46,[2]tropical!M$1,FALSE)</f>
        <v>0</v>
      </c>
      <c r="R55" s="805">
        <f>VLOOKUP($E55,[2]tropical!$A$4:$AF$46,[2]tropical!N$1,FALSE)</f>
        <v>0</v>
      </c>
      <c r="S55" s="805">
        <f>VLOOKUP($E55,[2]tropical!$A$4:$AF$46,[2]tropical!O$1,FALSE)</f>
        <v>0</v>
      </c>
      <c r="T55" s="805">
        <f>VLOOKUP($E55,[2]tropical!$A$4:$AF$46,[2]tropical!P$1,FALSE)</f>
        <v>0</v>
      </c>
      <c r="U55" s="800">
        <f t="shared" si="0"/>
        <v>0</v>
      </c>
    </row>
    <row r="56" spans="1:21">
      <c r="A56" s="788">
        <v>8053</v>
      </c>
      <c r="B56" s="788" t="s">
        <v>958</v>
      </c>
      <c r="C56" s="788">
        <v>178</v>
      </c>
      <c r="D56" s="788" t="s">
        <v>82</v>
      </c>
      <c r="E56" s="790" t="s">
        <v>2610</v>
      </c>
      <c r="F56" s="790" t="s">
        <v>2616</v>
      </c>
      <c r="G56" s="800">
        <f>VLOOKUP($E56,[2]tropical!$A$4:$AF$46,[2]tropical!C$1,FALSE)</f>
        <v>0</v>
      </c>
      <c r="H56" s="800">
        <f>VLOOKUP($E56,[2]tropical!$A$4:$AF$46,[2]tropical!D$1,FALSE)</f>
        <v>2</v>
      </c>
      <c r="I56" s="800">
        <f>VLOOKUP($E56,[2]tropical!$A$4:$AF$46,[2]tropical!E$1,FALSE)</f>
        <v>2</v>
      </c>
      <c r="J56" s="800">
        <f>VLOOKUP($E56,[2]tropical!$A$4:$AF$46,[2]tropical!F$1,FALSE)</f>
        <v>0</v>
      </c>
      <c r="K56" s="800">
        <f>VLOOKUP($E56,[2]tropical!$A$4:$AF$46,[2]tropical!G$1,FALSE)</f>
        <v>0</v>
      </c>
      <c r="L56" s="800">
        <f>VLOOKUP($E56,[2]tropical!$A$4:$AF$46,[2]tropical!H$1,FALSE)</f>
        <v>0</v>
      </c>
      <c r="M56" s="800">
        <f>VLOOKUP($E56,[2]tropical!$A$4:$AF$46,[2]tropical!I$1,FALSE)</f>
        <v>0</v>
      </c>
      <c r="N56" s="800">
        <f>VLOOKUP($E56,[2]tropical!$A$4:$AF$46,[2]tropical!J$1,FALSE)</f>
        <v>0</v>
      </c>
      <c r="O56" s="800">
        <f>VLOOKUP($E56,[2]tropical!$A$4:$AF$46,[2]tropical!K$1,FALSE)</f>
        <v>1</v>
      </c>
      <c r="P56" s="800">
        <f>VLOOKUP($E56,[2]tropical!$A$4:$AF$46,[2]tropical!L$1,FALSE)</f>
        <v>0</v>
      </c>
      <c r="Q56" s="800">
        <f>VLOOKUP($E56,[2]tropical!$A$4:$AF$46,[2]tropical!M$1,FALSE)</f>
        <v>0</v>
      </c>
      <c r="R56" s="805">
        <f>VLOOKUP($E56,[2]tropical!$A$4:$AF$46,[2]tropical!N$1,FALSE)</f>
        <v>0</v>
      </c>
      <c r="S56" s="805">
        <f>VLOOKUP($E56,[2]tropical!$A$4:$AF$46,[2]tropical!O$1,FALSE)</f>
        <v>0</v>
      </c>
      <c r="T56" s="805">
        <f>VLOOKUP($E56,[2]tropical!$A$4:$AF$46,[2]tropical!P$1,FALSE)</f>
        <v>0</v>
      </c>
      <c r="U56" s="800">
        <f t="shared" si="0"/>
        <v>5</v>
      </c>
    </row>
    <row r="57" spans="1:21">
      <c r="A57" s="788">
        <v>8054</v>
      </c>
      <c r="B57" s="788" t="s">
        <v>964</v>
      </c>
      <c r="C57" s="788">
        <v>132</v>
      </c>
      <c r="D57" s="788" t="s">
        <v>89</v>
      </c>
      <c r="E57" s="790" t="s">
        <v>1605</v>
      </c>
      <c r="F57" s="790" t="s">
        <v>2615</v>
      </c>
      <c r="G57" s="800">
        <f>VLOOKUP($E57,[2]tropical!$A$4:$AF$46,[2]tropical!C$1,FALSE)</f>
        <v>4</v>
      </c>
      <c r="H57" s="800">
        <f>VLOOKUP($E57,[2]tropical!$A$4:$AF$46,[2]tropical!D$1,FALSE)</f>
        <v>8</v>
      </c>
      <c r="I57" s="800">
        <f>VLOOKUP($E57,[2]tropical!$A$4:$AF$46,[2]tropical!E$1,FALSE)</f>
        <v>9</v>
      </c>
      <c r="J57" s="800">
        <f>VLOOKUP($E57,[2]tropical!$A$4:$AF$46,[2]tropical!F$1,FALSE)</f>
        <v>0</v>
      </c>
      <c r="K57" s="800">
        <f>VLOOKUP($E57,[2]tropical!$A$4:$AF$46,[2]tropical!G$1,FALSE)</f>
        <v>1</v>
      </c>
      <c r="L57" s="800">
        <f>VLOOKUP($E57,[2]tropical!$A$4:$AF$46,[2]tropical!H$1,FALSE)</f>
        <v>4</v>
      </c>
      <c r="M57" s="800">
        <f>VLOOKUP($E57,[2]tropical!$A$4:$AF$46,[2]tropical!I$1,FALSE)</f>
        <v>5</v>
      </c>
      <c r="N57" s="800">
        <f>VLOOKUP($E57,[2]tropical!$A$4:$AF$46,[2]tropical!J$1,FALSE)</f>
        <v>1</v>
      </c>
      <c r="O57" s="800">
        <f>VLOOKUP($E57,[2]tropical!$A$4:$AF$46,[2]tropical!K$1,FALSE)</f>
        <v>4</v>
      </c>
      <c r="P57" s="800">
        <f>VLOOKUP($E57,[2]tropical!$A$4:$AF$46,[2]tropical!L$1,FALSE)</f>
        <v>3</v>
      </c>
      <c r="Q57" s="800">
        <f>VLOOKUP($E57,[2]tropical!$A$4:$AF$46,[2]tropical!M$1,FALSE)</f>
        <v>0</v>
      </c>
      <c r="R57" s="805">
        <f>VLOOKUP($E57,[2]tropical!$A$4:$AF$46,[2]tropical!N$1,FALSE)</f>
        <v>0</v>
      </c>
      <c r="S57" s="805">
        <f>VLOOKUP($E57,[2]tropical!$A$4:$AF$46,[2]tropical!O$1,FALSE)</f>
        <v>0</v>
      </c>
      <c r="T57" s="805">
        <f>VLOOKUP($E57,[2]tropical!$A$4:$AF$46,[2]tropical!P$1,FALSE)</f>
        <v>0</v>
      </c>
      <c r="U57" s="800">
        <f t="shared" si="0"/>
        <v>39</v>
      </c>
    </row>
    <row r="58" spans="1:21">
      <c r="A58" s="788">
        <v>8055</v>
      </c>
      <c r="B58" s="788" t="s">
        <v>970</v>
      </c>
      <c r="C58" s="788">
        <v>773</v>
      </c>
      <c r="D58" s="788" t="s">
        <v>24</v>
      </c>
      <c r="E58" s="790" t="s">
        <v>867</v>
      </c>
      <c r="F58" s="790" t="s">
        <v>2616</v>
      </c>
      <c r="G58" s="800">
        <f>VLOOKUP($E58,[2]tropical!$A$4:$AF$46,[2]tropical!C$1,FALSE)</f>
        <v>0</v>
      </c>
      <c r="H58" s="800">
        <f>VLOOKUP($E58,[2]tropical!$A$4:$AF$46,[2]tropical!D$1,FALSE)</f>
        <v>1</v>
      </c>
      <c r="I58" s="800">
        <f>VLOOKUP($E58,[2]tropical!$A$4:$AF$46,[2]tropical!E$1,FALSE)</f>
        <v>2</v>
      </c>
      <c r="J58" s="800">
        <f>VLOOKUP($E58,[2]tropical!$A$4:$AF$46,[2]tropical!F$1,FALSE)</f>
        <v>1</v>
      </c>
      <c r="K58" s="800">
        <f>VLOOKUP($E58,[2]tropical!$A$4:$AF$46,[2]tropical!G$1,FALSE)</f>
        <v>0</v>
      </c>
      <c r="L58" s="800">
        <f>VLOOKUP($E58,[2]tropical!$A$4:$AF$46,[2]tropical!H$1,FALSE)</f>
        <v>2</v>
      </c>
      <c r="M58" s="800">
        <f>VLOOKUP($E58,[2]tropical!$A$4:$AF$46,[2]tropical!I$1,FALSE)</f>
        <v>0</v>
      </c>
      <c r="N58" s="800">
        <f>VLOOKUP($E58,[2]tropical!$A$4:$AF$46,[2]tropical!J$1,FALSE)</f>
        <v>0</v>
      </c>
      <c r="O58" s="800">
        <f>VLOOKUP($E58,[2]tropical!$A$4:$AF$46,[2]tropical!K$1,FALSE)</f>
        <v>2</v>
      </c>
      <c r="P58" s="800">
        <f>VLOOKUP($E58,[2]tropical!$A$4:$AF$46,[2]tropical!L$1,FALSE)</f>
        <v>0</v>
      </c>
      <c r="Q58" s="800">
        <f>VLOOKUP($E58,[2]tropical!$A$4:$AF$46,[2]tropical!M$1,FALSE)</f>
        <v>0</v>
      </c>
      <c r="R58" s="805">
        <f>VLOOKUP($E58,[2]tropical!$A$4:$AF$46,[2]tropical!N$1,FALSE)</f>
        <v>0</v>
      </c>
      <c r="S58" s="805">
        <f>VLOOKUP($E58,[2]tropical!$A$4:$AF$46,[2]tropical!O$1,FALSE)</f>
        <v>0</v>
      </c>
      <c r="T58" s="805">
        <f>VLOOKUP($E58,[2]tropical!$A$4:$AF$46,[2]tropical!P$1,FALSE)</f>
        <v>0</v>
      </c>
      <c r="U58" s="800">
        <f t="shared" si="0"/>
        <v>8</v>
      </c>
    </row>
    <row r="59" spans="1:21">
      <c r="A59" s="788">
        <v>8056</v>
      </c>
      <c r="B59" s="788" t="s">
        <v>340</v>
      </c>
      <c r="C59" s="788">
        <v>3</v>
      </c>
      <c r="D59" s="788" t="s">
        <v>90</v>
      </c>
      <c r="E59" s="790" t="s">
        <v>357</v>
      </c>
      <c r="F59" s="790" t="s">
        <v>2615</v>
      </c>
      <c r="G59" s="800">
        <f>VLOOKUP($E59,[2]tropical!$A$4:$AF$46,[2]tropical!C$1,FALSE)</f>
        <v>33</v>
      </c>
      <c r="H59" s="800">
        <f>VLOOKUP($E59,[2]tropical!$A$4:$AF$46,[2]tropical!D$1,FALSE)</f>
        <v>25</v>
      </c>
      <c r="I59" s="800">
        <f>VLOOKUP($E59,[2]tropical!$A$4:$AF$46,[2]tropical!E$1,FALSE)</f>
        <v>28</v>
      </c>
      <c r="J59" s="800">
        <f>VLOOKUP($E59,[2]tropical!$A$4:$AF$46,[2]tropical!F$1,FALSE)</f>
        <v>10</v>
      </c>
      <c r="K59" s="800">
        <f>VLOOKUP($E59,[2]tropical!$A$4:$AF$46,[2]tropical!G$1,FALSE)</f>
        <v>21</v>
      </c>
      <c r="L59" s="800">
        <f>VLOOKUP($E59,[2]tropical!$A$4:$AF$46,[2]tropical!H$1,FALSE)</f>
        <v>36</v>
      </c>
      <c r="M59" s="800">
        <f>VLOOKUP($E59,[2]tropical!$A$4:$AF$46,[2]tropical!I$1,FALSE)</f>
        <v>23</v>
      </c>
      <c r="N59" s="800">
        <f>VLOOKUP($E59,[2]tropical!$A$4:$AF$46,[2]tropical!J$1,FALSE)</f>
        <v>16</v>
      </c>
      <c r="O59" s="800">
        <f>VLOOKUP($E59,[2]tropical!$A$4:$AF$46,[2]tropical!K$1,FALSE)</f>
        <v>22</v>
      </c>
      <c r="P59" s="800">
        <f>VLOOKUP($E59,[2]tropical!$A$4:$AF$46,[2]tropical!L$1,FALSE)</f>
        <v>19</v>
      </c>
      <c r="Q59" s="800">
        <f>VLOOKUP($E59,[2]tropical!$A$4:$AF$46,[2]tropical!M$1,FALSE)</f>
        <v>13</v>
      </c>
      <c r="R59" s="805">
        <f>VLOOKUP($E59,[2]tropical!$A$4:$AF$46,[2]tropical!N$1,FALSE)</f>
        <v>0</v>
      </c>
      <c r="S59" s="805">
        <f>VLOOKUP($E59,[2]tropical!$A$4:$AF$46,[2]tropical!O$1,FALSE)</f>
        <v>0</v>
      </c>
      <c r="T59" s="805">
        <f>VLOOKUP($E59,[2]tropical!$A$4:$AF$46,[2]tropical!P$1,FALSE)</f>
        <v>0</v>
      </c>
      <c r="U59" s="800">
        <f t="shared" si="0"/>
        <v>246</v>
      </c>
    </row>
    <row r="60" spans="1:21">
      <c r="A60" s="788">
        <v>8057</v>
      </c>
      <c r="B60" s="788" t="s">
        <v>980</v>
      </c>
      <c r="C60" s="788">
        <v>954</v>
      </c>
      <c r="D60" s="788" t="s">
        <v>84</v>
      </c>
      <c r="E60" s="790" t="s">
        <v>2603</v>
      </c>
      <c r="F60" s="790" t="s">
        <v>2617</v>
      </c>
      <c r="G60" s="800">
        <f>VLOOKUP($E60,[2]tropical!$A$4:$AF$46,[2]tropical!C$1,FALSE)</f>
        <v>0</v>
      </c>
      <c r="H60" s="800">
        <f>VLOOKUP($E60,[2]tropical!$A$4:$AF$46,[2]tropical!D$1,FALSE)</f>
        <v>1</v>
      </c>
      <c r="I60" s="800">
        <f>VLOOKUP($E60,[2]tropical!$A$4:$AF$46,[2]tropical!E$1,FALSE)</f>
        <v>0</v>
      </c>
      <c r="J60" s="800">
        <f>VLOOKUP($E60,[2]tropical!$A$4:$AF$46,[2]tropical!F$1,FALSE)</f>
        <v>0</v>
      </c>
      <c r="K60" s="800">
        <f>VLOOKUP($E60,[2]tropical!$A$4:$AF$46,[2]tropical!G$1,FALSE)</f>
        <v>0</v>
      </c>
      <c r="L60" s="800">
        <f>VLOOKUP($E60,[2]tropical!$A$4:$AF$46,[2]tropical!H$1,FALSE)</f>
        <v>0</v>
      </c>
      <c r="M60" s="800">
        <f>VLOOKUP($E60,[2]tropical!$A$4:$AF$46,[2]tropical!I$1,FALSE)</f>
        <v>0</v>
      </c>
      <c r="N60" s="800">
        <f>VLOOKUP($E60,[2]tropical!$A$4:$AF$46,[2]tropical!J$1,FALSE)</f>
        <v>0</v>
      </c>
      <c r="O60" s="800">
        <f>VLOOKUP($E60,[2]tropical!$A$4:$AF$46,[2]tropical!K$1,FALSE)</f>
        <v>2</v>
      </c>
      <c r="P60" s="800">
        <f>VLOOKUP($E60,[2]tropical!$A$4:$AF$46,[2]tropical!L$1,FALSE)</f>
        <v>0</v>
      </c>
      <c r="Q60" s="800">
        <f>VLOOKUP($E60,[2]tropical!$A$4:$AF$46,[2]tropical!M$1,FALSE)</f>
        <v>0</v>
      </c>
      <c r="R60" s="805">
        <f>VLOOKUP($E60,[2]tropical!$A$4:$AF$46,[2]tropical!N$1,FALSE)</f>
        <v>0</v>
      </c>
      <c r="S60" s="805">
        <f>VLOOKUP($E60,[2]tropical!$A$4:$AF$46,[2]tropical!O$1,FALSE)</f>
        <v>0</v>
      </c>
      <c r="T60" s="805">
        <f>VLOOKUP($E60,[2]tropical!$A$4:$AF$46,[2]tropical!P$1,FALSE)</f>
        <v>0</v>
      </c>
      <c r="U60" s="800">
        <f t="shared" si="0"/>
        <v>3</v>
      </c>
    </row>
    <row r="61" spans="1:21">
      <c r="A61" s="788">
        <v>8058</v>
      </c>
      <c r="B61" s="788" t="s">
        <v>984</v>
      </c>
      <c r="C61" s="788">
        <v>137</v>
      </c>
      <c r="D61" s="788" t="s">
        <v>791</v>
      </c>
      <c r="E61" s="790" t="s">
        <v>1506</v>
      </c>
      <c r="F61" s="790" t="s">
        <v>2616</v>
      </c>
      <c r="G61" s="800">
        <f>VLOOKUP($E61,[2]tropical!$A$4:$AF$46,[2]tropical!C$1,FALSE)</f>
        <v>1</v>
      </c>
      <c r="H61" s="800">
        <f>VLOOKUP($E61,[2]tropical!$A$4:$AF$46,[2]tropical!D$1,FALSE)</f>
        <v>1</v>
      </c>
      <c r="I61" s="800">
        <f>VLOOKUP($E61,[2]tropical!$A$4:$AF$46,[2]tropical!E$1,FALSE)</f>
        <v>3</v>
      </c>
      <c r="J61" s="800">
        <f>VLOOKUP($E61,[2]tropical!$A$4:$AF$46,[2]tropical!F$1,FALSE)</f>
        <v>2</v>
      </c>
      <c r="K61" s="800">
        <f>VLOOKUP($E61,[2]tropical!$A$4:$AF$46,[2]tropical!G$1,FALSE)</f>
        <v>1</v>
      </c>
      <c r="L61" s="800">
        <f>VLOOKUP($E61,[2]tropical!$A$4:$AF$46,[2]tropical!H$1,FALSE)</f>
        <v>1</v>
      </c>
      <c r="M61" s="800">
        <f>VLOOKUP($E61,[2]tropical!$A$4:$AF$46,[2]tropical!I$1,FALSE)</f>
        <v>0</v>
      </c>
      <c r="N61" s="800">
        <f>VLOOKUP($E61,[2]tropical!$A$4:$AF$46,[2]tropical!J$1,FALSE)</f>
        <v>0</v>
      </c>
      <c r="O61" s="800">
        <f>VLOOKUP($E61,[2]tropical!$A$4:$AF$46,[2]tropical!K$1,FALSE)</f>
        <v>1</v>
      </c>
      <c r="P61" s="800">
        <f>VLOOKUP($E61,[2]tropical!$A$4:$AF$46,[2]tropical!L$1,FALSE)</f>
        <v>0</v>
      </c>
      <c r="Q61" s="800">
        <f>VLOOKUP($E61,[2]tropical!$A$4:$AF$46,[2]tropical!M$1,FALSE)</f>
        <v>0</v>
      </c>
      <c r="R61" s="805">
        <f>VLOOKUP($E61,[2]tropical!$A$4:$AF$46,[2]tropical!N$1,FALSE)</f>
        <v>0</v>
      </c>
      <c r="S61" s="805">
        <f>VLOOKUP($E61,[2]tropical!$A$4:$AF$46,[2]tropical!O$1,FALSE)</f>
        <v>0</v>
      </c>
      <c r="T61" s="805">
        <f>VLOOKUP($E61,[2]tropical!$A$4:$AF$46,[2]tropical!P$1,FALSE)</f>
        <v>0</v>
      </c>
      <c r="U61" s="800">
        <f t="shared" si="0"/>
        <v>10</v>
      </c>
    </row>
    <row r="62" spans="1:21">
      <c r="A62" s="788">
        <v>8059</v>
      </c>
      <c r="B62" s="788" t="s">
        <v>993</v>
      </c>
      <c r="C62" s="788">
        <v>700</v>
      </c>
      <c r="D62" s="788" t="s">
        <v>82</v>
      </c>
      <c r="E62" s="790" t="s">
        <v>1121</v>
      </c>
      <c r="F62" s="790" t="s">
        <v>2616</v>
      </c>
      <c r="G62" s="800">
        <f>VLOOKUP($E62,[2]tropical!$A$4:$AF$46,[2]tropical!C$1,FALSE)</f>
        <v>0</v>
      </c>
      <c r="H62" s="800">
        <f>VLOOKUP($E62,[2]tropical!$A$4:$AF$46,[2]tropical!D$1,FALSE)</f>
        <v>0</v>
      </c>
      <c r="I62" s="800">
        <f>VLOOKUP($E62,[2]tropical!$A$4:$AF$46,[2]tropical!E$1,FALSE)</f>
        <v>1</v>
      </c>
      <c r="J62" s="800">
        <f>VLOOKUP($E62,[2]tropical!$A$4:$AF$46,[2]tropical!F$1,FALSE)</f>
        <v>0</v>
      </c>
      <c r="K62" s="800">
        <f>VLOOKUP($E62,[2]tropical!$A$4:$AF$46,[2]tropical!G$1,FALSE)</f>
        <v>0</v>
      </c>
      <c r="L62" s="800">
        <f>VLOOKUP($E62,[2]tropical!$A$4:$AF$46,[2]tropical!H$1,FALSE)</f>
        <v>0</v>
      </c>
      <c r="M62" s="800">
        <f>VLOOKUP($E62,[2]tropical!$A$4:$AF$46,[2]tropical!I$1,FALSE)</f>
        <v>0</v>
      </c>
      <c r="N62" s="800">
        <f>VLOOKUP($E62,[2]tropical!$A$4:$AF$46,[2]tropical!J$1,FALSE)</f>
        <v>0</v>
      </c>
      <c r="O62" s="800">
        <f>VLOOKUP($E62,[2]tropical!$A$4:$AF$46,[2]tropical!K$1,FALSE)</f>
        <v>0</v>
      </c>
      <c r="P62" s="800">
        <f>VLOOKUP($E62,[2]tropical!$A$4:$AF$46,[2]tropical!L$1,FALSE)</f>
        <v>0</v>
      </c>
      <c r="Q62" s="800">
        <f>VLOOKUP($E62,[2]tropical!$A$4:$AF$46,[2]tropical!M$1,FALSE)</f>
        <v>0</v>
      </c>
      <c r="R62" s="805">
        <f>VLOOKUP($E62,[2]tropical!$A$4:$AF$46,[2]tropical!N$1,FALSE)</f>
        <v>0</v>
      </c>
      <c r="S62" s="805">
        <f>VLOOKUP($E62,[2]tropical!$A$4:$AF$46,[2]tropical!O$1,FALSE)</f>
        <v>0</v>
      </c>
      <c r="T62" s="805">
        <f>VLOOKUP($E62,[2]tropical!$A$4:$AF$46,[2]tropical!P$1,FALSE)</f>
        <v>0</v>
      </c>
      <c r="U62" s="800">
        <f t="shared" si="0"/>
        <v>1</v>
      </c>
    </row>
    <row r="63" spans="1:21">
      <c r="A63" s="788">
        <v>8060</v>
      </c>
      <c r="B63" s="788" t="s">
        <v>997</v>
      </c>
      <c r="C63" s="788">
        <v>467</v>
      </c>
      <c r="D63" s="788" t="s">
        <v>81</v>
      </c>
      <c r="E63" s="790" t="s">
        <v>1274</v>
      </c>
      <c r="F63" s="790" t="s">
        <v>2616</v>
      </c>
      <c r="G63" s="800">
        <f>VLOOKUP($E63,[2]tropical!$A$4:$AF$46,[2]tropical!C$1,FALSE)</f>
        <v>0</v>
      </c>
      <c r="H63" s="800">
        <f>VLOOKUP($E63,[2]tropical!$A$4:$AF$46,[2]tropical!D$1,FALSE)</f>
        <v>0</v>
      </c>
      <c r="I63" s="800">
        <f>VLOOKUP($E63,[2]tropical!$A$4:$AF$46,[2]tropical!E$1,FALSE)</f>
        <v>0</v>
      </c>
      <c r="J63" s="800">
        <f>VLOOKUP($E63,[2]tropical!$A$4:$AF$46,[2]tropical!F$1,FALSE)</f>
        <v>0</v>
      </c>
      <c r="K63" s="800">
        <f>VLOOKUP($E63,[2]tropical!$A$4:$AF$46,[2]tropical!G$1,FALSE)</f>
        <v>1</v>
      </c>
      <c r="L63" s="800">
        <f>VLOOKUP($E63,[2]tropical!$A$4:$AF$46,[2]tropical!H$1,FALSE)</f>
        <v>0</v>
      </c>
      <c r="M63" s="800">
        <f>VLOOKUP($E63,[2]tropical!$A$4:$AF$46,[2]tropical!I$1,FALSE)</f>
        <v>0</v>
      </c>
      <c r="N63" s="800">
        <f>VLOOKUP($E63,[2]tropical!$A$4:$AF$46,[2]tropical!J$1,FALSE)</f>
        <v>0</v>
      </c>
      <c r="O63" s="800">
        <f>VLOOKUP($E63,[2]tropical!$A$4:$AF$46,[2]tropical!K$1,FALSE)</f>
        <v>1</v>
      </c>
      <c r="P63" s="800">
        <f>VLOOKUP($E63,[2]tropical!$A$4:$AF$46,[2]tropical!L$1,FALSE)</f>
        <v>0</v>
      </c>
      <c r="Q63" s="800">
        <f>VLOOKUP($E63,[2]tropical!$A$4:$AF$46,[2]tropical!M$1,FALSE)</f>
        <v>0</v>
      </c>
      <c r="R63" s="805">
        <f>VLOOKUP($E63,[2]tropical!$A$4:$AF$46,[2]tropical!N$1,FALSE)</f>
        <v>0</v>
      </c>
      <c r="S63" s="805">
        <f>VLOOKUP($E63,[2]tropical!$A$4:$AF$46,[2]tropical!O$1,FALSE)</f>
        <v>0</v>
      </c>
      <c r="T63" s="805">
        <f>VLOOKUP($E63,[2]tropical!$A$4:$AF$46,[2]tropical!P$1,FALSE)</f>
        <v>0</v>
      </c>
      <c r="U63" s="800">
        <f t="shared" si="0"/>
        <v>2</v>
      </c>
    </row>
    <row r="64" spans="1:21">
      <c r="A64" s="788">
        <v>8061</v>
      </c>
      <c r="B64" s="788" t="s">
        <v>1002</v>
      </c>
      <c r="C64" s="788">
        <v>266</v>
      </c>
      <c r="D64" s="788" t="s">
        <v>82</v>
      </c>
      <c r="E64" s="790" t="s">
        <v>1121</v>
      </c>
      <c r="F64" s="790" t="s">
        <v>2616</v>
      </c>
      <c r="G64" s="800">
        <f>VLOOKUP($E64,[2]tropical!$A$4:$AF$46,[2]tropical!C$1,FALSE)</f>
        <v>0</v>
      </c>
      <c r="H64" s="800">
        <f>VLOOKUP($E64,[2]tropical!$A$4:$AF$46,[2]tropical!D$1,FALSE)</f>
        <v>0</v>
      </c>
      <c r="I64" s="800">
        <f>VLOOKUP($E64,[2]tropical!$A$4:$AF$46,[2]tropical!E$1,FALSE)</f>
        <v>1</v>
      </c>
      <c r="J64" s="800">
        <f>VLOOKUP($E64,[2]tropical!$A$4:$AF$46,[2]tropical!F$1,FALSE)</f>
        <v>0</v>
      </c>
      <c r="K64" s="800">
        <f>VLOOKUP($E64,[2]tropical!$A$4:$AF$46,[2]tropical!G$1,FALSE)</f>
        <v>0</v>
      </c>
      <c r="L64" s="800">
        <f>VLOOKUP($E64,[2]tropical!$A$4:$AF$46,[2]tropical!H$1,FALSE)</f>
        <v>0</v>
      </c>
      <c r="M64" s="800">
        <f>VLOOKUP($E64,[2]tropical!$A$4:$AF$46,[2]tropical!I$1,FALSE)</f>
        <v>0</v>
      </c>
      <c r="N64" s="800">
        <f>VLOOKUP($E64,[2]tropical!$A$4:$AF$46,[2]tropical!J$1,FALSE)</f>
        <v>0</v>
      </c>
      <c r="O64" s="800">
        <f>VLOOKUP($E64,[2]tropical!$A$4:$AF$46,[2]tropical!K$1,FALSE)</f>
        <v>0</v>
      </c>
      <c r="P64" s="800">
        <f>VLOOKUP($E64,[2]tropical!$A$4:$AF$46,[2]tropical!L$1,FALSE)</f>
        <v>0</v>
      </c>
      <c r="Q64" s="800">
        <f>VLOOKUP($E64,[2]tropical!$A$4:$AF$46,[2]tropical!M$1,FALSE)</f>
        <v>0</v>
      </c>
      <c r="R64" s="805">
        <f>VLOOKUP($E64,[2]tropical!$A$4:$AF$46,[2]tropical!N$1,FALSE)</f>
        <v>0</v>
      </c>
      <c r="S64" s="805">
        <f>VLOOKUP($E64,[2]tropical!$A$4:$AF$46,[2]tropical!O$1,FALSE)</f>
        <v>0</v>
      </c>
      <c r="T64" s="805">
        <f>VLOOKUP($E64,[2]tropical!$A$4:$AF$46,[2]tropical!P$1,FALSE)</f>
        <v>0</v>
      </c>
      <c r="U64" s="800">
        <f t="shared" si="0"/>
        <v>1</v>
      </c>
    </row>
    <row r="65" spans="1:21">
      <c r="A65" s="788">
        <v>8062</v>
      </c>
      <c r="B65" s="788" t="s">
        <v>1004</v>
      </c>
      <c r="C65" s="788">
        <v>469</v>
      </c>
      <c r="D65" s="788" t="s">
        <v>82</v>
      </c>
      <c r="E65" s="790" t="s">
        <v>1004</v>
      </c>
      <c r="F65" s="790" t="s">
        <v>2616</v>
      </c>
      <c r="G65" s="800">
        <f>VLOOKUP($E65,[2]tropical!$A$4:$AF$46,[2]tropical!C$1,FALSE)</f>
        <v>0</v>
      </c>
      <c r="H65" s="800">
        <f>VLOOKUP($E65,[2]tropical!$A$4:$AF$46,[2]tropical!D$1,FALSE)</f>
        <v>0</v>
      </c>
      <c r="I65" s="800">
        <f>VLOOKUP($E65,[2]tropical!$A$4:$AF$46,[2]tropical!E$1,FALSE)</f>
        <v>0</v>
      </c>
      <c r="J65" s="800">
        <f>VLOOKUP($E65,[2]tropical!$A$4:$AF$46,[2]tropical!F$1,FALSE)</f>
        <v>0</v>
      </c>
      <c r="K65" s="800">
        <f>VLOOKUP($E65,[2]tropical!$A$4:$AF$46,[2]tropical!G$1,FALSE)</f>
        <v>0</v>
      </c>
      <c r="L65" s="800">
        <f>VLOOKUP($E65,[2]tropical!$A$4:$AF$46,[2]tropical!H$1,FALSE)</f>
        <v>0</v>
      </c>
      <c r="M65" s="800">
        <f>VLOOKUP($E65,[2]tropical!$A$4:$AF$46,[2]tropical!I$1,FALSE)</f>
        <v>0</v>
      </c>
      <c r="N65" s="800">
        <f>VLOOKUP($E65,[2]tropical!$A$4:$AF$46,[2]tropical!J$1,FALSE)</f>
        <v>0</v>
      </c>
      <c r="O65" s="800">
        <f>VLOOKUP($E65,[2]tropical!$A$4:$AF$46,[2]tropical!K$1,FALSE)</f>
        <v>3</v>
      </c>
      <c r="P65" s="800">
        <f>VLOOKUP($E65,[2]tropical!$A$4:$AF$46,[2]tropical!L$1,FALSE)</f>
        <v>0</v>
      </c>
      <c r="Q65" s="800">
        <f>VLOOKUP($E65,[2]tropical!$A$4:$AF$46,[2]tropical!M$1,FALSE)</f>
        <v>0</v>
      </c>
      <c r="R65" s="805">
        <f>VLOOKUP($E65,[2]tropical!$A$4:$AF$46,[2]tropical!N$1,FALSE)</f>
        <v>0</v>
      </c>
      <c r="S65" s="805">
        <f>VLOOKUP($E65,[2]tropical!$A$4:$AF$46,[2]tropical!O$1,FALSE)</f>
        <v>0</v>
      </c>
      <c r="T65" s="805">
        <f>VLOOKUP($E65,[2]tropical!$A$4:$AF$46,[2]tropical!P$1,FALSE)</f>
        <v>0</v>
      </c>
      <c r="U65" s="800">
        <f t="shared" si="0"/>
        <v>3</v>
      </c>
    </row>
    <row r="66" spans="1:21">
      <c r="A66" s="788">
        <v>8063</v>
      </c>
      <c r="B66" s="788" t="s">
        <v>1008</v>
      </c>
      <c r="C66" s="788">
        <v>415</v>
      </c>
      <c r="D66" s="788" t="s">
        <v>81</v>
      </c>
      <c r="E66" s="790" t="s">
        <v>1274</v>
      </c>
      <c r="F66" s="790" t="s">
        <v>2616</v>
      </c>
      <c r="G66" s="800">
        <f>VLOOKUP($E66,[2]tropical!$A$4:$AF$46,[2]tropical!C$1,FALSE)</f>
        <v>0</v>
      </c>
      <c r="H66" s="800">
        <f>VLOOKUP($E66,[2]tropical!$A$4:$AF$46,[2]tropical!D$1,FALSE)</f>
        <v>0</v>
      </c>
      <c r="I66" s="800">
        <f>VLOOKUP($E66,[2]tropical!$A$4:$AF$46,[2]tropical!E$1,FALSE)</f>
        <v>0</v>
      </c>
      <c r="J66" s="800">
        <f>VLOOKUP($E66,[2]tropical!$A$4:$AF$46,[2]tropical!F$1,FALSE)</f>
        <v>0</v>
      </c>
      <c r="K66" s="800">
        <f>VLOOKUP($E66,[2]tropical!$A$4:$AF$46,[2]tropical!G$1,FALSE)</f>
        <v>1</v>
      </c>
      <c r="L66" s="800">
        <f>VLOOKUP($E66,[2]tropical!$A$4:$AF$46,[2]tropical!H$1,FALSE)</f>
        <v>0</v>
      </c>
      <c r="M66" s="800">
        <f>VLOOKUP($E66,[2]tropical!$A$4:$AF$46,[2]tropical!I$1,FALSE)</f>
        <v>0</v>
      </c>
      <c r="N66" s="800">
        <f>VLOOKUP($E66,[2]tropical!$A$4:$AF$46,[2]tropical!J$1,FALSE)</f>
        <v>0</v>
      </c>
      <c r="O66" s="800">
        <f>VLOOKUP($E66,[2]tropical!$A$4:$AF$46,[2]tropical!K$1,FALSE)</f>
        <v>1</v>
      </c>
      <c r="P66" s="800">
        <f>VLOOKUP($E66,[2]tropical!$A$4:$AF$46,[2]tropical!L$1,FALSE)</f>
        <v>0</v>
      </c>
      <c r="Q66" s="800">
        <f>VLOOKUP($E66,[2]tropical!$A$4:$AF$46,[2]tropical!M$1,FALSE)</f>
        <v>0</v>
      </c>
      <c r="R66" s="805">
        <f>VLOOKUP($E66,[2]tropical!$A$4:$AF$46,[2]tropical!N$1,FALSE)</f>
        <v>0</v>
      </c>
      <c r="S66" s="805">
        <f>VLOOKUP($E66,[2]tropical!$A$4:$AF$46,[2]tropical!O$1,FALSE)</f>
        <v>0</v>
      </c>
      <c r="T66" s="805">
        <f>VLOOKUP($E66,[2]tropical!$A$4:$AF$46,[2]tropical!P$1,FALSE)</f>
        <v>0</v>
      </c>
      <c r="U66" s="800">
        <f t="shared" si="0"/>
        <v>2</v>
      </c>
    </row>
    <row r="67" spans="1:21">
      <c r="A67" s="788">
        <v>8064</v>
      </c>
      <c r="B67" s="788" t="s">
        <v>1012</v>
      </c>
      <c r="C67" s="788">
        <v>726</v>
      </c>
      <c r="D67" s="788" t="s">
        <v>24</v>
      </c>
      <c r="E67" s="790" t="s">
        <v>867</v>
      </c>
      <c r="F67" s="790" t="s">
        <v>2616</v>
      </c>
      <c r="G67" s="800">
        <f>VLOOKUP($E67,[2]tropical!$A$4:$AF$46,[2]tropical!C$1,FALSE)</f>
        <v>0</v>
      </c>
      <c r="H67" s="800">
        <f>VLOOKUP($E67,[2]tropical!$A$4:$AF$46,[2]tropical!D$1,FALSE)</f>
        <v>1</v>
      </c>
      <c r="I67" s="800">
        <f>VLOOKUP($E67,[2]tropical!$A$4:$AF$46,[2]tropical!E$1,FALSE)</f>
        <v>2</v>
      </c>
      <c r="J67" s="800">
        <f>VLOOKUP($E67,[2]tropical!$A$4:$AF$46,[2]tropical!F$1,FALSE)</f>
        <v>1</v>
      </c>
      <c r="K67" s="800">
        <f>VLOOKUP($E67,[2]tropical!$A$4:$AF$46,[2]tropical!G$1,FALSE)</f>
        <v>0</v>
      </c>
      <c r="L67" s="800">
        <f>VLOOKUP($E67,[2]tropical!$A$4:$AF$46,[2]tropical!H$1,FALSE)</f>
        <v>2</v>
      </c>
      <c r="M67" s="800">
        <f>VLOOKUP($E67,[2]tropical!$A$4:$AF$46,[2]tropical!I$1,FALSE)</f>
        <v>0</v>
      </c>
      <c r="N67" s="800">
        <f>VLOOKUP($E67,[2]tropical!$A$4:$AF$46,[2]tropical!J$1,FALSE)</f>
        <v>0</v>
      </c>
      <c r="O67" s="800">
        <f>VLOOKUP($E67,[2]tropical!$A$4:$AF$46,[2]tropical!K$1,FALSE)</f>
        <v>2</v>
      </c>
      <c r="P67" s="800">
        <f>VLOOKUP($E67,[2]tropical!$A$4:$AF$46,[2]tropical!L$1,FALSE)</f>
        <v>0</v>
      </c>
      <c r="Q67" s="800">
        <f>VLOOKUP($E67,[2]tropical!$A$4:$AF$46,[2]tropical!M$1,FALSE)</f>
        <v>0</v>
      </c>
      <c r="R67" s="805">
        <f>VLOOKUP($E67,[2]tropical!$A$4:$AF$46,[2]tropical!N$1,FALSE)</f>
        <v>0</v>
      </c>
      <c r="S67" s="805">
        <f>VLOOKUP($E67,[2]tropical!$A$4:$AF$46,[2]tropical!O$1,FALSE)</f>
        <v>0</v>
      </c>
      <c r="T67" s="805">
        <f>VLOOKUP($E67,[2]tropical!$A$4:$AF$46,[2]tropical!P$1,FALSE)</f>
        <v>0</v>
      </c>
      <c r="U67" s="800">
        <f t="shared" si="0"/>
        <v>8</v>
      </c>
    </row>
    <row r="68" spans="1:21">
      <c r="A68" s="788">
        <v>8065</v>
      </c>
      <c r="B68" s="788" t="s">
        <v>1014</v>
      </c>
      <c r="C68" s="788">
        <v>198</v>
      </c>
      <c r="D68" s="788" t="s">
        <v>791</v>
      </c>
      <c r="E68" s="790" t="s">
        <v>1506</v>
      </c>
      <c r="F68" s="790" t="s">
        <v>2616</v>
      </c>
      <c r="G68" s="800">
        <f>VLOOKUP($E68,[2]tropical!$A$4:$AF$46,[2]tropical!C$1,FALSE)</f>
        <v>1</v>
      </c>
      <c r="H68" s="800">
        <f>VLOOKUP($E68,[2]tropical!$A$4:$AF$46,[2]tropical!D$1,FALSE)</f>
        <v>1</v>
      </c>
      <c r="I68" s="800">
        <f>VLOOKUP($E68,[2]tropical!$A$4:$AF$46,[2]tropical!E$1,FALSE)</f>
        <v>3</v>
      </c>
      <c r="J68" s="800">
        <f>VLOOKUP($E68,[2]tropical!$A$4:$AF$46,[2]tropical!F$1,FALSE)</f>
        <v>2</v>
      </c>
      <c r="K68" s="800">
        <f>VLOOKUP($E68,[2]tropical!$A$4:$AF$46,[2]tropical!G$1,FALSE)</f>
        <v>1</v>
      </c>
      <c r="L68" s="800">
        <f>VLOOKUP($E68,[2]tropical!$A$4:$AF$46,[2]tropical!H$1,FALSE)</f>
        <v>1</v>
      </c>
      <c r="M68" s="800">
        <f>VLOOKUP($E68,[2]tropical!$A$4:$AF$46,[2]tropical!I$1,FALSE)</f>
        <v>0</v>
      </c>
      <c r="N68" s="800">
        <f>VLOOKUP($E68,[2]tropical!$A$4:$AF$46,[2]tropical!J$1,FALSE)</f>
        <v>0</v>
      </c>
      <c r="O68" s="800">
        <f>VLOOKUP($E68,[2]tropical!$A$4:$AF$46,[2]tropical!K$1,FALSE)</f>
        <v>1</v>
      </c>
      <c r="P68" s="800">
        <f>VLOOKUP($E68,[2]tropical!$A$4:$AF$46,[2]tropical!L$1,FALSE)</f>
        <v>0</v>
      </c>
      <c r="Q68" s="800">
        <f>VLOOKUP($E68,[2]tropical!$A$4:$AF$46,[2]tropical!M$1,FALSE)</f>
        <v>0</v>
      </c>
      <c r="R68" s="805">
        <f>VLOOKUP($E68,[2]tropical!$A$4:$AF$46,[2]tropical!N$1,FALSE)</f>
        <v>0</v>
      </c>
      <c r="S68" s="805">
        <f>VLOOKUP($E68,[2]tropical!$A$4:$AF$46,[2]tropical!O$1,FALSE)</f>
        <v>0</v>
      </c>
      <c r="T68" s="805">
        <f>VLOOKUP($E68,[2]tropical!$A$4:$AF$46,[2]tropical!P$1,FALSE)</f>
        <v>0</v>
      </c>
      <c r="U68" s="800">
        <f t="shared" si="0"/>
        <v>10</v>
      </c>
    </row>
    <row r="69" spans="1:21">
      <c r="A69" s="788">
        <v>8066</v>
      </c>
      <c r="B69" s="788" t="s">
        <v>1021</v>
      </c>
      <c r="C69" s="788">
        <v>178</v>
      </c>
      <c r="D69" s="788" t="s">
        <v>90</v>
      </c>
      <c r="E69" s="790" t="s">
        <v>1697</v>
      </c>
      <c r="F69" s="790" t="s">
        <v>2615</v>
      </c>
      <c r="G69" s="800">
        <f>VLOOKUP($E69,[2]tropical!$A$4:$AF$46,[2]tropical!C$1,FALSE)</f>
        <v>8</v>
      </c>
      <c r="H69" s="800">
        <f>VLOOKUP($E69,[2]tropical!$A$4:$AF$46,[2]tropical!D$1,FALSE)</f>
        <v>14</v>
      </c>
      <c r="I69" s="800">
        <f>VLOOKUP($E69,[2]tropical!$A$4:$AF$46,[2]tropical!E$1,FALSE)</f>
        <v>22</v>
      </c>
      <c r="J69" s="800">
        <f>VLOOKUP($E69,[2]tropical!$A$4:$AF$46,[2]tropical!F$1,FALSE)</f>
        <v>5</v>
      </c>
      <c r="K69" s="800">
        <f>VLOOKUP($E69,[2]tropical!$A$4:$AF$46,[2]tropical!G$1,FALSE)</f>
        <v>5</v>
      </c>
      <c r="L69" s="800">
        <f>VLOOKUP($E69,[2]tropical!$A$4:$AF$46,[2]tropical!H$1,FALSE)</f>
        <v>17</v>
      </c>
      <c r="M69" s="800">
        <f>VLOOKUP($E69,[2]tropical!$A$4:$AF$46,[2]tropical!I$1,FALSE)</f>
        <v>24</v>
      </c>
      <c r="N69" s="800">
        <f>VLOOKUP($E69,[2]tropical!$A$4:$AF$46,[2]tropical!J$1,FALSE)</f>
        <v>3</v>
      </c>
      <c r="O69" s="800">
        <f>VLOOKUP($E69,[2]tropical!$A$4:$AF$46,[2]tropical!K$1,FALSE)</f>
        <v>17</v>
      </c>
      <c r="P69" s="800">
        <f>VLOOKUP($E69,[2]tropical!$A$4:$AF$46,[2]tropical!L$1,FALSE)</f>
        <v>7</v>
      </c>
      <c r="Q69" s="800">
        <f>VLOOKUP($E69,[2]tropical!$A$4:$AF$46,[2]tropical!M$1,FALSE)</f>
        <v>3</v>
      </c>
      <c r="R69" s="805">
        <f>VLOOKUP($E69,[2]tropical!$A$4:$AF$46,[2]tropical!N$1,FALSE)</f>
        <v>0</v>
      </c>
      <c r="S69" s="805">
        <f>VLOOKUP($E69,[2]tropical!$A$4:$AF$46,[2]tropical!O$1,FALSE)</f>
        <v>0</v>
      </c>
      <c r="T69" s="805">
        <f>VLOOKUP($E69,[2]tropical!$A$4:$AF$46,[2]tropical!P$1,FALSE)</f>
        <v>0</v>
      </c>
      <c r="U69" s="800">
        <f t="shared" ref="U69:U132" si="1">SUM(G69:T69)</f>
        <v>125</v>
      </c>
    </row>
    <row r="70" spans="1:21">
      <c r="A70" s="788">
        <v>8067</v>
      </c>
      <c r="B70" s="788" t="s">
        <v>1025</v>
      </c>
      <c r="C70" s="788">
        <v>496</v>
      </c>
      <c r="D70" s="788" t="s">
        <v>88</v>
      </c>
      <c r="E70" s="790" t="s">
        <v>1127</v>
      </c>
      <c r="F70" s="790" t="s">
        <v>2617</v>
      </c>
      <c r="G70" s="800">
        <f>VLOOKUP($E70,[2]tropical!$A$4:$AF$46,[2]tropical!C$1,FALSE)</f>
        <v>0</v>
      </c>
      <c r="H70" s="800">
        <f>VLOOKUP($E70,[2]tropical!$A$4:$AF$46,[2]tropical!D$1,FALSE)</f>
        <v>0</v>
      </c>
      <c r="I70" s="800">
        <f>VLOOKUP($E70,[2]tropical!$A$4:$AF$46,[2]tropical!E$1,FALSE)</f>
        <v>0</v>
      </c>
      <c r="J70" s="800">
        <f>VLOOKUP($E70,[2]tropical!$A$4:$AF$46,[2]tropical!F$1,FALSE)</f>
        <v>0</v>
      </c>
      <c r="K70" s="800">
        <f>VLOOKUP($E70,[2]tropical!$A$4:$AF$46,[2]tropical!G$1,FALSE)</f>
        <v>0</v>
      </c>
      <c r="L70" s="800">
        <f>VLOOKUP($E70,[2]tropical!$A$4:$AF$46,[2]tropical!H$1,FALSE)</f>
        <v>0</v>
      </c>
      <c r="M70" s="800">
        <f>VLOOKUP($E70,[2]tropical!$A$4:$AF$46,[2]tropical!I$1,FALSE)</f>
        <v>0</v>
      </c>
      <c r="N70" s="800">
        <f>VLOOKUP($E70,[2]tropical!$A$4:$AF$46,[2]tropical!J$1,FALSE)</f>
        <v>0</v>
      </c>
      <c r="O70" s="800">
        <f>VLOOKUP($E70,[2]tropical!$A$4:$AF$46,[2]tropical!K$1,FALSE)</f>
        <v>0</v>
      </c>
      <c r="P70" s="800">
        <f>VLOOKUP($E70,[2]tropical!$A$4:$AF$46,[2]tropical!L$1,FALSE)</f>
        <v>0</v>
      </c>
      <c r="Q70" s="800">
        <f>VLOOKUP($E70,[2]tropical!$A$4:$AF$46,[2]tropical!M$1,FALSE)</f>
        <v>0</v>
      </c>
      <c r="R70" s="805">
        <f>VLOOKUP($E70,[2]tropical!$A$4:$AF$46,[2]tropical!N$1,FALSE)</f>
        <v>0</v>
      </c>
      <c r="S70" s="805">
        <f>VLOOKUP($E70,[2]tropical!$A$4:$AF$46,[2]tropical!O$1,FALSE)</f>
        <v>0</v>
      </c>
      <c r="T70" s="805">
        <f>VLOOKUP($E70,[2]tropical!$A$4:$AF$46,[2]tropical!P$1,FALSE)</f>
        <v>0</v>
      </c>
      <c r="U70" s="800">
        <f t="shared" si="1"/>
        <v>0</v>
      </c>
    </row>
    <row r="71" spans="1:21">
      <c r="A71" s="788">
        <v>8068</v>
      </c>
      <c r="B71" s="788" t="s">
        <v>1027</v>
      </c>
      <c r="C71" s="788">
        <v>122</v>
      </c>
      <c r="D71" s="788" t="s">
        <v>90</v>
      </c>
      <c r="E71" s="790" t="s">
        <v>1697</v>
      </c>
      <c r="F71" s="790" t="s">
        <v>2615</v>
      </c>
      <c r="G71" s="800">
        <f>VLOOKUP($E71,[2]tropical!$A$4:$AF$46,[2]tropical!C$1,FALSE)</f>
        <v>8</v>
      </c>
      <c r="H71" s="800">
        <f>VLOOKUP($E71,[2]tropical!$A$4:$AF$46,[2]tropical!D$1,FALSE)</f>
        <v>14</v>
      </c>
      <c r="I71" s="800">
        <f>VLOOKUP($E71,[2]tropical!$A$4:$AF$46,[2]tropical!E$1,FALSE)</f>
        <v>22</v>
      </c>
      <c r="J71" s="800">
        <f>VLOOKUP($E71,[2]tropical!$A$4:$AF$46,[2]tropical!F$1,FALSE)</f>
        <v>5</v>
      </c>
      <c r="K71" s="800">
        <f>VLOOKUP($E71,[2]tropical!$A$4:$AF$46,[2]tropical!G$1,FALSE)</f>
        <v>5</v>
      </c>
      <c r="L71" s="800">
        <f>VLOOKUP($E71,[2]tropical!$A$4:$AF$46,[2]tropical!H$1,FALSE)</f>
        <v>17</v>
      </c>
      <c r="M71" s="800">
        <f>VLOOKUP($E71,[2]tropical!$A$4:$AF$46,[2]tropical!I$1,FALSE)</f>
        <v>24</v>
      </c>
      <c r="N71" s="800">
        <f>VLOOKUP($E71,[2]tropical!$A$4:$AF$46,[2]tropical!J$1,FALSE)</f>
        <v>3</v>
      </c>
      <c r="O71" s="800">
        <f>VLOOKUP($E71,[2]tropical!$A$4:$AF$46,[2]tropical!K$1,FALSE)</f>
        <v>17</v>
      </c>
      <c r="P71" s="800">
        <f>VLOOKUP($E71,[2]tropical!$A$4:$AF$46,[2]tropical!L$1,FALSE)</f>
        <v>7</v>
      </c>
      <c r="Q71" s="800">
        <f>VLOOKUP($E71,[2]tropical!$A$4:$AF$46,[2]tropical!M$1,FALSE)</f>
        <v>3</v>
      </c>
      <c r="R71" s="805">
        <f>VLOOKUP($E71,[2]tropical!$A$4:$AF$46,[2]tropical!N$1,FALSE)</f>
        <v>0</v>
      </c>
      <c r="S71" s="805">
        <f>VLOOKUP($E71,[2]tropical!$A$4:$AF$46,[2]tropical!O$1,FALSE)</f>
        <v>0</v>
      </c>
      <c r="T71" s="805">
        <f>VLOOKUP($E71,[2]tropical!$A$4:$AF$46,[2]tropical!P$1,FALSE)</f>
        <v>0</v>
      </c>
      <c r="U71" s="800">
        <f t="shared" si="1"/>
        <v>125</v>
      </c>
    </row>
    <row r="72" spans="1:21">
      <c r="A72" s="788">
        <v>8069</v>
      </c>
      <c r="B72" s="788" t="s">
        <v>1030</v>
      </c>
      <c r="C72" s="788">
        <v>388</v>
      </c>
      <c r="D72" s="788" t="s">
        <v>90</v>
      </c>
      <c r="E72" s="790" t="s">
        <v>1334</v>
      </c>
      <c r="F72" s="790" t="s">
        <v>2615</v>
      </c>
      <c r="G72" s="800">
        <f>VLOOKUP($E72,[2]tropical!$A$4:$AF$46,[2]tropical!C$1,FALSE)</f>
        <v>3</v>
      </c>
      <c r="H72" s="800">
        <f>VLOOKUP($E72,[2]tropical!$A$4:$AF$46,[2]tropical!D$1,FALSE)</f>
        <v>3</v>
      </c>
      <c r="I72" s="800">
        <f>VLOOKUP($E72,[2]tropical!$A$4:$AF$46,[2]tropical!E$1,FALSE)</f>
        <v>13</v>
      </c>
      <c r="J72" s="800">
        <f>VLOOKUP($E72,[2]tropical!$A$4:$AF$46,[2]tropical!F$1,FALSE)</f>
        <v>2</v>
      </c>
      <c r="K72" s="800">
        <f>VLOOKUP($E72,[2]tropical!$A$4:$AF$46,[2]tropical!G$1,FALSE)</f>
        <v>3</v>
      </c>
      <c r="L72" s="800">
        <f>VLOOKUP($E72,[2]tropical!$A$4:$AF$46,[2]tropical!H$1,FALSE)</f>
        <v>6</v>
      </c>
      <c r="M72" s="800">
        <f>VLOOKUP($E72,[2]tropical!$A$4:$AF$46,[2]tropical!I$1,FALSE)</f>
        <v>2</v>
      </c>
      <c r="N72" s="800">
        <f>VLOOKUP($E72,[2]tropical!$A$4:$AF$46,[2]tropical!J$1,FALSE)</f>
        <v>2</v>
      </c>
      <c r="O72" s="800">
        <f>VLOOKUP($E72,[2]tropical!$A$4:$AF$46,[2]tropical!K$1,FALSE)</f>
        <v>10</v>
      </c>
      <c r="P72" s="800">
        <f>VLOOKUP($E72,[2]tropical!$A$4:$AF$46,[2]tropical!L$1,FALSE)</f>
        <v>0</v>
      </c>
      <c r="Q72" s="800">
        <f>VLOOKUP($E72,[2]tropical!$A$4:$AF$46,[2]tropical!M$1,FALSE)</f>
        <v>1</v>
      </c>
      <c r="R72" s="805">
        <f>VLOOKUP($E72,[2]tropical!$A$4:$AF$46,[2]tropical!N$1,FALSE)</f>
        <v>0</v>
      </c>
      <c r="S72" s="805">
        <f>VLOOKUP($E72,[2]tropical!$A$4:$AF$46,[2]tropical!O$1,FALSE)</f>
        <v>0</v>
      </c>
      <c r="T72" s="805">
        <f>VLOOKUP($E72,[2]tropical!$A$4:$AF$46,[2]tropical!P$1,FALSE)</f>
        <v>0</v>
      </c>
      <c r="U72" s="800">
        <f t="shared" si="1"/>
        <v>45</v>
      </c>
    </row>
    <row r="73" spans="1:21">
      <c r="A73" s="788">
        <v>8070</v>
      </c>
      <c r="B73" s="788" t="s">
        <v>1034</v>
      </c>
      <c r="C73" s="788">
        <v>901</v>
      </c>
      <c r="D73" s="788" t="s">
        <v>88</v>
      </c>
      <c r="E73" s="790" t="s">
        <v>1233</v>
      </c>
      <c r="F73" s="790" t="s">
        <v>2616</v>
      </c>
      <c r="G73" s="800">
        <f>VLOOKUP($E73,[2]tropical!$A$4:$AF$46,[2]tropical!C$1,FALSE)</f>
        <v>0</v>
      </c>
      <c r="H73" s="800">
        <f>VLOOKUP($E73,[2]tropical!$A$4:$AF$46,[2]tropical!D$1,FALSE)</f>
        <v>1</v>
      </c>
      <c r="I73" s="800">
        <f>VLOOKUP($E73,[2]tropical!$A$4:$AF$46,[2]tropical!E$1,FALSE)</f>
        <v>1</v>
      </c>
      <c r="J73" s="800">
        <f>VLOOKUP($E73,[2]tropical!$A$4:$AF$46,[2]tropical!F$1,FALSE)</f>
        <v>2</v>
      </c>
      <c r="K73" s="800">
        <f>VLOOKUP($E73,[2]tropical!$A$4:$AF$46,[2]tropical!G$1,FALSE)</f>
        <v>1</v>
      </c>
      <c r="L73" s="800">
        <f>VLOOKUP($E73,[2]tropical!$A$4:$AF$46,[2]tropical!H$1,FALSE)</f>
        <v>2</v>
      </c>
      <c r="M73" s="800">
        <f>VLOOKUP($E73,[2]tropical!$A$4:$AF$46,[2]tropical!I$1,FALSE)</f>
        <v>0</v>
      </c>
      <c r="N73" s="800">
        <f>VLOOKUP($E73,[2]tropical!$A$4:$AF$46,[2]tropical!J$1,FALSE)</f>
        <v>0</v>
      </c>
      <c r="O73" s="800">
        <f>VLOOKUP($E73,[2]tropical!$A$4:$AF$46,[2]tropical!K$1,FALSE)</f>
        <v>2</v>
      </c>
      <c r="P73" s="800">
        <f>VLOOKUP($E73,[2]tropical!$A$4:$AF$46,[2]tropical!L$1,FALSE)</f>
        <v>0</v>
      </c>
      <c r="Q73" s="800">
        <f>VLOOKUP($E73,[2]tropical!$A$4:$AF$46,[2]tropical!M$1,FALSE)</f>
        <v>0</v>
      </c>
      <c r="R73" s="805">
        <f>VLOOKUP($E73,[2]tropical!$A$4:$AF$46,[2]tropical!N$1,FALSE)</f>
        <v>0</v>
      </c>
      <c r="S73" s="805">
        <f>VLOOKUP($E73,[2]tropical!$A$4:$AF$46,[2]tropical!O$1,FALSE)</f>
        <v>0</v>
      </c>
      <c r="T73" s="805">
        <f>VLOOKUP($E73,[2]tropical!$A$4:$AF$46,[2]tropical!P$1,FALSE)</f>
        <v>0</v>
      </c>
      <c r="U73" s="800">
        <f t="shared" si="1"/>
        <v>9</v>
      </c>
    </row>
    <row r="74" spans="1:21">
      <c r="A74" s="788">
        <v>8071</v>
      </c>
      <c r="B74" s="788" t="s">
        <v>1037</v>
      </c>
      <c r="C74" s="788">
        <v>432</v>
      </c>
      <c r="D74" s="788" t="s">
        <v>81</v>
      </c>
      <c r="E74" s="790" t="s">
        <v>1274</v>
      </c>
      <c r="F74" s="790" t="s">
        <v>2616</v>
      </c>
      <c r="G74" s="800">
        <f>VLOOKUP($E74,[2]tropical!$A$4:$AF$46,[2]tropical!C$1,FALSE)</f>
        <v>0</v>
      </c>
      <c r="H74" s="800">
        <f>VLOOKUP($E74,[2]tropical!$A$4:$AF$46,[2]tropical!D$1,FALSE)</f>
        <v>0</v>
      </c>
      <c r="I74" s="800">
        <f>VLOOKUP($E74,[2]tropical!$A$4:$AF$46,[2]tropical!E$1,FALSE)</f>
        <v>0</v>
      </c>
      <c r="J74" s="800">
        <f>VLOOKUP($E74,[2]tropical!$A$4:$AF$46,[2]tropical!F$1,FALSE)</f>
        <v>0</v>
      </c>
      <c r="K74" s="800">
        <f>VLOOKUP($E74,[2]tropical!$A$4:$AF$46,[2]tropical!G$1,FALSE)</f>
        <v>1</v>
      </c>
      <c r="L74" s="800">
        <f>VLOOKUP($E74,[2]tropical!$A$4:$AF$46,[2]tropical!H$1,FALSE)</f>
        <v>0</v>
      </c>
      <c r="M74" s="800">
        <f>VLOOKUP($E74,[2]tropical!$A$4:$AF$46,[2]tropical!I$1,FALSE)</f>
        <v>0</v>
      </c>
      <c r="N74" s="800">
        <f>VLOOKUP($E74,[2]tropical!$A$4:$AF$46,[2]tropical!J$1,FALSE)</f>
        <v>0</v>
      </c>
      <c r="O74" s="800">
        <f>VLOOKUP($E74,[2]tropical!$A$4:$AF$46,[2]tropical!K$1,FALSE)</f>
        <v>1</v>
      </c>
      <c r="P74" s="800">
        <f>VLOOKUP($E74,[2]tropical!$A$4:$AF$46,[2]tropical!L$1,FALSE)</f>
        <v>0</v>
      </c>
      <c r="Q74" s="800">
        <f>VLOOKUP($E74,[2]tropical!$A$4:$AF$46,[2]tropical!M$1,FALSE)</f>
        <v>0</v>
      </c>
      <c r="R74" s="805">
        <f>VLOOKUP($E74,[2]tropical!$A$4:$AF$46,[2]tropical!N$1,FALSE)</f>
        <v>0</v>
      </c>
      <c r="S74" s="805">
        <f>VLOOKUP($E74,[2]tropical!$A$4:$AF$46,[2]tropical!O$1,FALSE)</f>
        <v>0</v>
      </c>
      <c r="T74" s="805">
        <f>VLOOKUP($E74,[2]tropical!$A$4:$AF$46,[2]tropical!P$1,FALSE)</f>
        <v>0</v>
      </c>
      <c r="U74" s="800">
        <f t="shared" si="1"/>
        <v>2</v>
      </c>
    </row>
    <row r="75" spans="1:21">
      <c r="A75" s="788">
        <v>8072</v>
      </c>
      <c r="B75" s="788" t="s">
        <v>1043</v>
      </c>
      <c r="C75" s="788">
        <v>342</v>
      </c>
      <c r="D75" s="788" t="s">
        <v>90</v>
      </c>
      <c r="E75" s="790" t="s">
        <v>1697</v>
      </c>
      <c r="F75" s="790" t="s">
        <v>2615</v>
      </c>
      <c r="G75" s="800">
        <f>VLOOKUP($E75,[2]tropical!$A$4:$AF$46,[2]tropical!C$1,FALSE)</f>
        <v>8</v>
      </c>
      <c r="H75" s="800">
        <f>VLOOKUP($E75,[2]tropical!$A$4:$AF$46,[2]tropical!D$1,FALSE)</f>
        <v>14</v>
      </c>
      <c r="I75" s="800">
        <f>VLOOKUP($E75,[2]tropical!$A$4:$AF$46,[2]tropical!E$1,FALSE)</f>
        <v>22</v>
      </c>
      <c r="J75" s="800">
        <f>VLOOKUP($E75,[2]tropical!$A$4:$AF$46,[2]tropical!F$1,FALSE)</f>
        <v>5</v>
      </c>
      <c r="K75" s="800">
        <f>VLOOKUP($E75,[2]tropical!$A$4:$AF$46,[2]tropical!G$1,FALSE)</f>
        <v>5</v>
      </c>
      <c r="L75" s="800">
        <f>VLOOKUP($E75,[2]tropical!$A$4:$AF$46,[2]tropical!H$1,FALSE)</f>
        <v>17</v>
      </c>
      <c r="M75" s="800">
        <f>VLOOKUP($E75,[2]tropical!$A$4:$AF$46,[2]tropical!I$1,FALSE)</f>
        <v>24</v>
      </c>
      <c r="N75" s="800">
        <f>VLOOKUP($E75,[2]tropical!$A$4:$AF$46,[2]tropical!J$1,FALSE)</f>
        <v>3</v>
      </c>
      <c r="O75" s="800">
        <f>VLOOKUP($E75,[2]tropical!$A$4:$AF$46,[2]tropical!K$1,FALSE)</f>
        <v>17</v>
      </c>
      <c r="P75" s="800">
        <f>VLOOKUP($E75,[2]tropical!$A$4:$AF$46,[2]tropical!L$1,FALSE)</f>
        <v>7</v>
      </c>
      <c r="Q75" s="800">
        <f>VLOOKUP($E75,[2]tropical!$A$4:$AF$46,[2]tropical!M$1,FALSE)</f>
        <v>3</v>
      </c>
      <c r="R75" s="805">
        <f>VLOOKUP($E75,[2]tropical!$A$4:$AF$46,[2]tropical!N$1,FALSE)</f>
        <v>0</v>
      </c>
      <c r="S75" s="805">
        <f>VLOOKUP($E75,[2]tropical!$A$4:$AF$46,[2]tropical!O$1,FALSE)</f>
        <v>0</v>
      </c>
      <c r="T75" s="805">
        <f>VLOOKUP($E75,[2]tropical!$A$4:$AF$46,[2]tropical!P$1,FALSE)</f>
        <v>0</v>
      </c>
      <c r="U75" s="800">
        <f t="shared" si="1"/>
        <v>125</v>
      </c>
    </row>
    <row r="76" spans="1:21">
      <c r="A76" s="788">
        <v>8073</v>
      </c>
      <c r="B76" s="788" t="s">
        <v>1046</v>
      </c>
      <c r="C76" s="788">
        <v>27</v>
      </c>
      <c r="D76" s="788" t="s">
        <v>90</v>
      </c>
      <c r="E76" s="790" t="s">
        <v>357</v>
      </c>
      <c r="F76" s="790" t="s">
        <v>2615</v>
      </c>
      <c r="G76" s="800">
        <f>VLOOKUP($E76,[2]tropical!$A$4:$AF$46,[2]tropical!C$1,FALSE)</f>
        <v>33</v>
      </c>
      <c r="H76" s="800">
        <f>VLOOKUP($E76,[2]tropical!$A$4:$AF$46,[2]tropical!D$1,FALSE)</f>
        <v>25</v>
      </c>
      <c r="I76" s="800">
        <f>VLOOKUP($E76,[2]tropical!$A$4:$AF$46,[2]tropical!E$1,FALSE)</f>
        <v>28</v>
      </c>
      <c r="J76" s="800">
        <f>VLOOKUP($E76,[2]tropical!$A$4:$AF$46,[2]tropical!F$1,FALSE)</f>
        <v>10</v>
      </c>
      <c r="K76" s="800">
        <f>VLOOKUP($E76,[2]tropical!$A$4:$AF$46,[2]tropical!G$1,FALSE)</f>
        <v>21</v>
      </c>
      <c r="L76" s="800">
        <f>VLOOKUP($E76,[2]tropical!$A$4:$AF$46,[2]tropical!H$1,FALSE)</f>
        <v>36</v>
      </c>
      <c r="M76" s="800">
        <f>VLOOKUP($E76,[2]tropical!$A$4:$AF$46,[2]tropical!I$1,FALSE)</f>
        <v>23</v>
      </c>
      <c r="N76" s="800">
        <f>VLOOKUP($E76,[2]tropical!$A$4:$AF$46,[2]tropical!J$1,FALSE)</f>
        <v>16</v>
      </c>
      <c r="O76" s="800">
        <f>VLOOKUP($E76,[2]tropical!$A$4:$AF$46,[2]tropical!K$1,FALSE)</f>
        <v>22</v>
      </c>
      <c r="P76" s="800">
        <f>VLOOKUP($E76,[2]tropical!$A$4:$AF$46,[2]tropical!L$1,FALSE)</f>
        <v>19</v>
      </c>
      <c r="Q76" s="800">
        <f>VLOOKUP($E76,[2]tropical!$A$4:$AF$46,[2]tropical!M$1,FALSE)</f>
        <v>13</v>
      </c>
      <c r="R76" s="805">
        <f>VLOOKUP($E76,[2]tropical!$A$4:$AF$46,[2]tropical!N$1,FALSE)</f>
        <v>0</v>
      </c>
      <c r="S76" s="805">
        <f>VLOOKUP($E76,[2]tropical!$A$4:$AF$46,[2]tropical!O$1,FALSE)</f>
        <v>0</v>
      </c>
      <c r="T76" s="805">
        <f>VLOOKUP($E76,[2]tropical!$A$4:$AF$46,[2]tropical!P$1,FALSE)</f>
        <v>0</v>
      </c>
      <c r="U76" s="800">
        <f t="shared" si="1"/>
        <v>246</v>
      </c>
    </row>
    <row r="77" spans="1:21">
      <c r="A77" s="788">
        <v>8074</v>
      </c>
      <c r="B77" s="788" t="s">
        <v>341</v>
      </c>
      <c r="C77" s="788">
        <v>12</v>
      </c>
      <c r="D77" s="788" t="s">
        <v>85</v>
      </c>
      <c r="E77" s="790" t="s">
        <v>2609</v>
      </c>
      <c r="F77" s="790" t="s">
        <v>2615</v>
      </c>
      <c r="G77" s="800">
        <f>VLOOKUP($E77,[2]tropical!$A$4:$AF$46,[2]tropical!C$1,FALSE)</f>
        <v>10</v>
      </c>
      <c r="H77" s="800">
        <f>VLOOKUP($E77,[2]tropical!$A$4:$AF$46,[2]tropical!D$1,FALSE)</f>
        <v>13</v>
      </c>
      <c r="I77" s="800">
        <f>VLOOKUP($E77,[2]tropical!$A$4:$AF$46,[2]tropical!E$1,FALSE)</f>
        <v>16</v>
      </c>
      <c r="J77" s="800">
        <f>VLOOKUP($E77,[2]tropical!$A$4:$AF$46,[2]tropical!F$1,FALSE)</f>
        <v>9</v>
      </c>
      <c r="K77" s="800">
        <f>VLOOKUP($E77,[2]tropical!$A$4:$AF$46,[2]tropical!G$1,FALSE)</f>
        <v>9</v>
      </c>
      <c r="L77" s="800">
        <f>VLOOKUP($E77,[2]tropical!$A$4:$AF$46,[2]tropical!H$1,FALSE)</f>
        <v>25</v>
      </c>
      <c r="M77" s="800">
        <f>VLOOKUP($E77,[2]tropical!$A$4:$AF$46,[2]tropical!I$1,FALSE)</f>
        <v>14</v>
      </c>
      <c r="N77" s="800">
        <f>VLOOKUP($E77,[2]tropical!$A$4:$AF$46,[2]tropical!J$1,FALSE)</f>
        <v>10</v>
      </c>
      <c r="O77" s="800">
        <f>VLOOKUP($E77,[2]tropical!$A$4:$AF$46,[2]tropical!K$1,FALSE)</f>
        <v>18</v>
      </c>
      <c r="P77" s="800">
        <f>VLOOKUP($E77,[2]tropical!$A$4:$AF$46,[2]tropical!L$1,FALSE)</f>
        <v>5</v>
      </c>
      <c r="Q77" s="800">
        <f>VLOOKUP($E77,[2]tropical!$A$4:$AF$46,[2]tropical!M$1,FALSE)</f>
        <v>8</v>
      </c>
      <c r="R77" s="805">
        <f>VLOOKUP($E77,[2]tropical!$A$4:$AF$46,[2]tropical!N$1,FALSE)</f>
        <v>0</v>
      </c>
      <c r="S77" s="805">
        <f>VLOOKUP($E77,[2]tropical!$A$4:$AF$46,[2]tropical!O$1,FALSE)</f>
        <v>0</v>
      </c>
      <c r="T77" s="805">
        <f>VLOOKUP($E77,[2]tropical!$A$4:$AF$46,[2]tropical!P$1,FALSE)</f>
        <v>0</v>
      </c>
      <c r="U77" s="800">
        <f t="shared" si="1"/>
        <v>137</v>
      </c>
    </row>
    <row r="78" spans="1:21">
      <c r="A78" s="788">
        <v>8075</v>
      </c>
      <c r="B78" s="788" t="s">
        <v>1050</v>
      </c>
      <c r="C78" s="788">
        <v>147</v>
      </c>
      <c r="D78" s="788" t="s">
        <v>86</v>
      </c>
      <c r="E78" s="790" t="s">
        <v>2611</v>
      </c>
      <c r="F78" s="790" t="s">
        <v>2616</v>
      </c>
      <c r="G78" s="800">
        <f>VLOOKUP($E78,[2]tropical!$A$4:$AF$46,[2]tropical!C$1,FALSE)</f>
        <v>6</v>
      </c>
      <c r="H78" s="800">
        <f>VLOOKUP($E78,[2]tropical!$A$4:$AF$46,[2]tropical!D$1,FALSE)</f>
        <v>3</v>
      </c>
      <c r="I78" s="800">
        <f>VLOOKUP($E78,[2]tropical!$A$4:$AF$46,[2]tropical!E$1,FALSE)</f>
        <v>0</v>
      </c>
      <c r="J78" s="800">
        <f>VLOOKUP($E78,[2]tropical!$A$4:$AF$46,[2]tropical!F$1,FALSE)</f>
        <v>2</v>
      </c>
      <c r="K78" s="800">
        <f>VLOOKUP($E78,[2]tropical!$A$4:$AF$46,[2]tropical!G$1,FALSE)</f>
        <v>3</v>
      </c>
      <c r="L78" s="800">
        <f>VLOOKUP($E78,[2]tropical!$A$4:$AF$46,[2]tropical!H$1,FALSE)</f>
        <v>5</v>
      </c>
      <c r="M78" s="800">
        <f>VLOOKUP($E78,[2]tropical!$A$4:$AF$46,[2]tropical!I$1,FALSE)</f>
        <v>3</v>
      </c>
      <c r="N78" s="800">
        <f>VLOOKUP($E78,[2]tropical!$A$4:$AF$46,[2]tropical!J$1,FALSE)</f>
        <v>4</v>
      </c>
      <c r="O78" s="800">
        <f>VLOOKUP($E78,[2]tropical!$A$4:$AF$46,[2]tropical!K$1,FALSE)</f>
        <v>11</v>
      </c>
      <c r="P78" s="800">
        <f>VLOOKUP($E78,[2]tropical!$A$4:$AF$46,[2]tropical!L$1,FALSE)</f>
        <v>1</v>
      </c>
      <c r="Q78" s="800">
        <f>VLOOKUP($E78,[2]tropical!$A$4:$AF$46,[2]tropical!M$1,FALSE)</f>
        <v>0</v>
      </c>
      <c r="R78" s="805">
        <f>VLOOKUP($E78,[2]tropical!$A$4:$AF$46,[2]tropical!N$1,FALSE)</f>
        <v>0</v>
      </c>
      <c r="S78" s="805">
        <f>VLOOKUP($E78,[2]tropical!$A$4:$AF$46,[2]tropical!O$1,FALSE)</f>
        <v>0</v>
      </c>
      <c r="T78" s="805">
        <f>VLOOKUP($E78,[2]tropical!$A$4:$AF$46,[2]tropical!P$1,FALSE)</f>
        <v>0</v>
      </c>
      <c r="U78" s="800">
        <f t="shared" si="1"/>
        <v>38</v>
      </c>
    </row>
    <row r="79" spans="1:21">
      <c r="A79" s="788">
        <v>8076</v>
      </c>
      <c r="B79" s="788" t="s">
        <v>1053</v>
      </c>
      <c r="C79" s="788">
        <v>187</v>
      </c>
      <c r="D79" s="788" t="s">
        <v>90</v>
      </c>
      <c r="E79" s="790" t="s">
        <v>1697</v>
      </c>
      <c r="F79" s="790" t="s">
        <v>2615</v>
      </c>
      <c r="G79" s="800">
        <f>VLOOKUP($E79,[2]tropical!$A$4:$AF$46,[2]tropical!C$1,FALSE)</f>
        <v>8</v>
      </c>
      <c r="H79" s="800">
        <f>VLOOKUP($E79,[2]tropical!$A$4:$AF$46,[2]tropical!D$1,FALSE)</f>
        <v>14</v>
      </c>
      <c r="I79" s="800">
        <f>VLOOKUP($E79,[2]tropical!$A$4:$AF$46,[2]tropical!E$1,FALSE)</f>
        <v>22</v>
      </c>
      <c r="J79" s="800">
        <f>VLOOKUP($E79,[2]tropical!$A$4:$AF$46,[2]tropical!F$1,FALSE)</f>
        <v>5</v>
      </c>
      <c r="K79" s="800">
        <f>VLOOKUP($E79,[2]tropical!$A$4:$AF$46,[2]tropical!G$1,FALSE)</f>
        <v>5</v>
      </c>
      <c r="L79" s="800">
        <f>VLOOKUP($E79,[2]tropical!$A$4:$AF$46,[2]tropical!H$1,FALSE)</f>
        <v>17</v>
      </c>
      <c r="M79" s="800">
        <f>VLOOKUP($E79,[2]tropical!$A$4:$AF$46,[2]tropical!I$1,FALSE)</f>
        <v>24</v>
      </c>
      <c r="N79" s="800">
        <f>VLOOKUP($E79,[2]tropical!$A$4:$AF$46,[2]tropical!J$1,FALSE)</f>
        <v>3</v>
      </c>
      <c r="O79" s="800">
        <f>VLOOKUP($E79,[2]tropical!$A$4:$AF$46,[2]tropical!K$1,FALSE)</f>
        <v>17</v>
      </c>
      <c r="P79" s="800">
        <f>VLOOKUP($E79,[2]tropical!$A$4:$AF$46,[2]tropical!L$1,FALSE)</f>
        <v>7</v>
      </c>
      <c r="Q79" s="800">
        <f>VLOOKUP($E79,[2]tropical!$A$4:$AF$46,[2]tropical!M$1,FALSE)</f>
        <v>3</v>
      </c>
      <c r="R79" s="805">
        <f>VLOOKUP($E79,[2]tropical!$A$4:$AF$46,[2]tropical!N$1,FALSE)</f>
        <v>0</v>
      </c>
      <c r="S79" s="805">
        <f>VLOOKUP($E79,[2]tropical!$A$4:$AF$46,[2]tropical!O$1,FALSE)</f>
        <v>0</v>
      </c>
      <c r="T79" s="805">
        <f>VLOOKUP($E79,[2]tropical!$A$4:$AF$46,[2]tropical!P$1,FALSE)</f>
        <v>0</v>
      </c>
      <c r="U79" s="800">
        <f t="shared" si="1"/>
        <v>125</v>
      </c>
    </row>
    <row r="80" spans="1:21">
      <c r="A80" s="788">
        <v>8077</v>
      </c>
      <c r="B80" s="788" t="s">
        <v>1061</v>
      </c>
      <c r="C80" s="788">
        <v>110</v>
      </c>
      <c r="D80" s="788" t="s">
        <v>90</v>
      </c>
      <c r="E80" s="790" t="s">
        <v>357</v>
      </c>
      <c r="F80" s="790" t="s">
        <v>2615</v>
      </c>
      <c r="G80" s="800">
        <f>VLOOKUP($E80,[2]tropical!$A$4:$AF$46,[2]tropical!C$1,FALSE)</f>
        <v>33</v>
      </c>
      <c r="H80" s="800">
        <f>VLOOKUP($E80,[2]tropical!$A$4:$AF$46,[2]tropical!D$1,FALSE)</f>
        <v>25</v>
      </c>
      <c r="I80" s="800">
        <f>VLOOKUP($E80,[2]tropical!$A$4:$AF$46,[2]tropical!E$1,FALSE)</f>
        <v>28</v>
      </c>
      <c r="J80" s="800">
        <f>VLOOKUP($E80,[2]tropical!$A$4:$AF$46,[2]tropical!F$1,FALSE)</f>
        <v>10</v>
      </c>
      <c r="K80" s="800">
        <f>VLOOKUP($E80,[2]tropical!$A$4:$AF$46,[2]tropical!G$1,FALSE)</f>
        <v>21</v>
      </c>
      <c r="L80" s="800">
        <f>VLOOKUP($E80,[2]tropical!$A$4:$AF$46,[2]tropical!H$1,FALSE)</f>
        <v>36</v>
      </c>
      <c r="M80" s="800">
        <f>VLOOKUP($E80,[2]tropical!$A$4:$AF$46,[2]tropical!I$1,FALSE)</f>
        <v>23</v>
      </c>
      <c r="N80" s="800">
        <f>VLOOKUP($E80,[2]tropical!$A$4:$AF$46,[2]tropical!J$1,FALSE)</f>
        <v>16</v>
      </c>
      <c r="O80" s="800">
        <f>VLOOKUP($E80,[2]tropical!$A$4:$AF$46,[2]tropical!K$1,FALSE)</f>
        <v>22</v>
      </c>
      <c r="P80" s="800">
        <f>VLOOKUP($E80,[2]tropical!$A$4:$AF$46,[2]tropical!L$1,FALSE)</f>
        <v>19</v>
      </c>
      <c r="Q80" s="800">
        <f>VLOOKUP($E80,[2]tropical!$A$4:$AF$46,[2]tropical!M$1,FALSE)</f>
        <v>13</v>
      </c>
      <c r="R80" s="805">
        <f>VLOOKUP($E80,[2]tropical!$A$4:$AF$46,[2]tropical!N$1,FALSE)</f>
        <v>0</v>
      </c>
      <c r="S80" s="805">
        <f>VLOOKUP($E80,[2]tropical!$A$4:$AF$46,[2]tropical!O$1,FALSE)</f>
        <v>0</v>
      </c>
      <c r="T80" s="805">
        <f>VLOOKUP($E80,[2]tropical!$A$4:$AF$46,[2]tropical!P$1,FALSE)</f>
        <v>0</v>
      </c>
      <c r="U80" s="800">
        <f t="shared" si="1"/>
        <v>246</v>
      </c>
    </row>
    <row r="81" spans="1:21">
      <c r="A81" s="788">
        <v>8078</v>
      </c>
      <c r="B81" s="788" t="s">
        <v>1062</v>
      </c>
      <c r="C81" s="788">
        <v>803</v>
      </c>
      <c r="D81" s="788" t="s">
        <v>84</v>
      </c>
      <c r="E81" s="790" t="s">
        <v>2603</v>
      </c>
      <c r="F81" s="790" t="s">
        <v>2617</v>
      </c>
      <c r="G81" s="800">
        <f>VLOOKUP($E81,[2]tropical!$A$4:$AF$46,[2]tropical!C$1,FALSE)</f>
        <v>0</v>
      </c>
      <c r="H81" s="800">
        <f>VLOOKUP($E81,[2]tropical!$A$4:$AF$46,[2]tropical!D$1,FALSE)</f>
        <v>1</v>
      </c>
      <c r="I81" s="800">
        <f>VLOOKUP($E81,[2]tropical!$A$4:$AF$46,[2]tropical!E$1,FALSE)</f>
        <v>0</v>
      </c>
      <c r="J81" s="800">
        <f>VLOOKUP($E81,[2]tropical!$A$4:$AF$46,[2]tropical!F$1,FALSE)</f>
        <v>0</v>
      </c>
      <c r="K81" s="800">
        <f>VLOOKUP($E81,[2]tropical!$A$4:$AF$46,[2]tropical!G$1,FALSE)</f>
        <v>0</v>
      </c>
      <c r="L81" s="800">
        <f>VLOOKUP($E81,[2]tropical!$A$4:$AF$46,[2]tropical!H$1,FALSE)</f>
        <v>0</v>
      </c>
      <c r="M81" s="800">
        <f>VLOOKUP($E81,[2]tropical!$A$4:$AF$46,[2]tropical!I$1,FALSE)</f>
        <v>0</v>
      </c>
      <c r="N81" s="800">
        <f>VLOOKUP($E81,[2]tropical!$A$4:$AF$46,[2]tropical!J$1,FALSE)</f>
        <v>0</v>
      </c>
      <c r="O81" s="800">
        <f>VLOOKUP($E81,[2]tropical!$A$4:$AF$46,[2]tropical!K$1,FALSE)</f>
        <v>2</v>
      </c>
      <c r="P81" s="800">
        <f>VLOOKUP($E81,[2]tropical!$A$4:$AF$46,[2]tropical!L$1,FALSE)</f>
        <v>0</v>
      </c>
      <c r="Q81" s="800">
        <f>VLOOKUP($E81,[2]tropical!$A$4:$AF$46,[2]tropical!M$1,FALSE)</f>
        <v>0</v>
      </c>
      <c r="R81" s="805">
        <f>VLOOKUP($E81,[2]tropical!$A$4:$AF$46,[2]tropical!N$1,FALSE)</f>
        <v>0</v>
      </c>
      <c r="S81" s="805">
        <f>VLOOKUP($E81,[2]tropical!$A$4:$AF$46,[2]tropical!O$1,FALSE)</f>
        <v>0</v>
      </c>
      <c r="T81" s="805">
        <f>VLOOKUP($E81,[2]tropical!$A$4:$AF$46,[2]tropical!P$1,FALSE)</f>
        <v>0</v>
      </c>
      <c r="U81" s="800">
        <f t="shared" si="1"/>
        <v>3</v>
      </c>
    </row>
    <row r="82" spans="1:21">
      <c r="A82" s="788">
        <v>8079</v>
      </c>
      <c r="B82" s="788" t="s">
        <v>1063</v>
      </c>
      <c r="C82" s="788">
        <v>870</v>
      </c>
      <c r="D82" s="788" t="s">
        <v>82</v>
      </c>
      <c r="E82" s="790" t="s">
        <v>1233</v>
      </c>
      <c r="F82" s="790" t="s">
        <v>2616</v>
      </c>
      <c r="G82" s="800">
        <f>VLOOKUP($E82,[2]tropical!$A$4:$AF$46,[2]tropical!C$1,FALSE)</f>
        <v>0</v>
      </c>
      <c r="H82" s="800">
        <f>VLOOKUP($E82,[2]tropical!$A$4:$AF$46,[2]tropical!D$1,FALSE)</f>
        <v>1</v>
      </c>
      <c r="I82" s="800">
        <f>VLOOKUP($E82,[2]tropical!$A$4:$AF$46,[2]tropical!E$1,FALSE)</f>
        <v>1</v>
      </c>
      <c r="J82" s="800">
        <f>VLOOKUP($E82,[2]tropical!$A$4:$AF$46,[2]tropical!F$1,FALSE)</f>
        <v>2</v>
      </c>
      <c r="K82" s="800">
        <f>VLOOKUP($E82,[2]tropical!$A$4:$AF$46,[2]tropical!G$1,FALSE)</f>
        <v>1</v>
      </c>
      <c r="L82" s="800">
        <f>VLOOKUP($E82,[2]tropical!$A$4:$AF$46,[2]tropical!H$1,FALSE)</f>
        <v>2</v>
      </c>
      <c r="M82" s="800">
        <f>VLOOKUP($E82,[2]tropical!$A$4:$AF$46,[2]tropical!I$1,FALSE)</f>
        <v>0</v>
      </c>
      <c r="N82" s="800">
        <f>VLOOKUP($E82,[2]tropical!$A$4:$AF$46,[2]tropical!J$1,FALSE)</f>
        <v>0</v>
      </c>
      <c r="O82" s="800">
        <f>VLOOKUP($E82,[2]tropical!$A$4:$AF$46,[2]tropical!K$1,FALSE)</f>
        <v>2</v>
      </c>
      <c r="P82" s="800">
        <f>VLOOKUP($E82,[2]tropical!$A$4:$AF$46,[2]tropical!L$1,FALSE)</f>
        <v>0</v>
      </c>
      <c r="Q82" s="800">
        <f>VLOOKUP($E82,[2]tropical!$A$4:$AF$46,[2]tropical!M$1,FALSE)</f>
        <v>0</v>
      </c>
      <c r="R82" s="805">
        <f>VLOOKUP($E82,[2]tropical!$A$4:$AF$46,[2]tropical!N$1,FALSE)</f>
        <v>0</v>
      </c>
      <c r="S82" s="805">
        <f>VLOOKUP($E82,[2]tropical!$A$4:$AF$46,[2]tropical!O$1,FALSE)</f>
        <v>0</v>
      </c>
      <c r="T82" s="805">
        <f>VLOOKUP($E82,[2]tropical!$A$4:$AF$46,[2]tropical!P$1,FALSE)</f>
        <v>0</v>
      </c>
      <c r="U82" s="800">
        <f t="shared" si="1"/>
        <v>9</v>
      </c>
    </row>
    <row r="83" spans="1:21">
      <c r="A83" s="788">
        <v>8080</v>
      </c>
      <c r="B83" s="788" t="s">
        <v>1067</v>
      </c>
      <c r="C83" s="788">
        <v>1154</v>
      </c>
      <c r="D83" s="788" t="s">
        <v>84</v>
      </c>
      <c r="E83" s="790" t="s">
        <v>2603</v>
      </c>
      <c r="F83" s="790" t="s">
        <v>2617</v>
      </c>
      <c r="G83" s="800">
        <f>VLOOKUP($E83,[2]tropical!$A$4:$AF$46,[2]tropical!C$1,FALSE)</f>
        <v>0</v>
      </c>
      <c r="H83" s="800">
        <f>VLOOKUP($E83,[2]tropical!$A$4:$AF$46,[2]tropical!D$1,FALSE)</f>
        <v>1</v>
      </c>
      <c r="I83" s="800">
        <f>VLOOKUP($E83,[2]tropical!$A$4:$AF$46,[2]tropical!E$1,FALSE)</f>
        <v>0</v>
      </c>
      <c r="J83" s="800">
        <f>VLOOKUP($E83,[2]tropical!$A$4:$AF$46,[2]tropical!F$1,FALSE)</f>
        <v>0</v>
      </c>
      <c r="K83" s="800">
        <f>VLOOKUP($E83,[2]tropical!$A$4:$AF$46,[2]tropical!G$1,FALSE)</f>
        <v>0</v>
      </c>
      <c r="L83" s="800">
        <f>VLOOKUP($E83,[2]tropical!$A$4:$AF$46,[2]tropical!H$1,FALSE)</f>
        <v>0</v>
      </c>
      <c r="M83" s="800">
        <f>VLOOKUP($E83,[2]tropical!$A$4:$AF$46,[2]tropical!I$1,FALSE)</f>
        <v>0</v>
      </c>
      <c r="N83" s="800">
        <f>VLOOKUP($E83,[2]tropical!$A$4:$AF$46,[2]tropical!J$1,FALSE)</f>
        <v>0</v>
      </c>
      <c r="O83" s="800">
        <f>VLOOKUP($E83,[2]tropical!$A$4:$AF$46,[2]tropical!K$1,FALSE)</f>
        <v>2</v>
      </c>
      <c r="P83" s="800">
        <f>VLOOKUP($E83,[2]tropical!$A$4:$AF$46,[2]tropical!L$1,FALSE)</f>
        <v>0</v>
      </c>
      <c r="Q83" s="800">
        <f>VLOOKUP($E83,[2]tropical!$A$4:$AF$46,[2]tropical!M$1,FALSE)</f>
        <v>0</v>
      </c>
      <c r="R83" s="805">
        <f>VLOOKUP($E83,[2]tropical!$A$4:$AF$46,[2]tropical!N$1,FALSE)</f>
        <v>0</v>
      </c>
      <c r="S83" s="805">
        <f>VLOOKUP($E83,[2]tropical!$A$4:$AF$46,[2]tropical!O$1,FALSE)</f>
        <v>0</v>
      </c>
      <c r="T83" s="805">
        <f>VLOOKUP($E83,[2]tropical!$A$4:$AF$46,[2]tropical!P$1,FALSE)</f>
        <v>0</v>
      </c>
      <c r="U83" s="800">
        <f t="shared" si="1"/>
        <v>3</v>
      </c>
    </row>
    <row r="84" spans="1:21">
      <c r="A84" s="788">
        <v>8081</v>
      </c>
      <c r="B84" s="788" t="s">
        <v>1068</v>
      </c>
      <c r="C84" s="788">
        <v>386</v>
      </c>
      <c r="D84" s="788" t="s">
        <v>24</v>
      </c>
      <c r="E84" s="790" t="s">
        <v>1743</v>
      </c>
      <c r="F84" s="790" t="s">
        <v>2616</v>
      </c>
      <c r="G84" s="800">
        <f>VLOOKUP($E84,[2]tropical!$A$4:$AF$46,[2]tropical!C$1,FALSE)</f>
        <v>0</v>
      </c>
      <c r="H84" s="800">
        <f>VLOOKUP($E84,[2]tropical!$A$4:$AF$46,[2]tropical!D$1,FALSE)</f>
        <v>0</v>
      </c>
      <c r="I84" s="800">
        <f>VLOOKUP($E84,[2]tropical!$A$4:$AF$46,[2]tropical!E$1,FALSE)</f>
        <v>2</v>
      </c>
      <c r="J84" s="800">
        <f>VLOOKUP($E84,[2]tropical!$A$4:$AF$46,[2]tropical!F$1,FALSE)</f>
        <v>0</v>
      </c>
      <c r="K84" s="800">
        <f>VLOOKUP($E84,[2]tropical!$A$4:$AF$46,[2]tropical!G$1,FALSE)</f>
        <v>0</v>
      </c>
      <c r="L84" s="800">
        <f>VLOOKUP($E84,[2]tropical!$A$4:$AF$46,[2]tropical!H$1,FALSE)</f>
        <v>0</v>
      </c>
      <c r="M84" s="800">
        <f>VLOOKUP($E84,[2]tropical!$A$4:$AF$46,[2]tropical!I$1,FALSE)</f>
        <v>0</v>
      </c>
      <c r="N84" s="800">
        <f>VLOOKUP($E84,[2]tropical!$A$4:$AF$46,[2]tropical!J$1,FALSE)</f>
        <v>0</v>
      </c>
      <c r="O84" s="800">
        <f>VLOOKUP($E84,[2]tropical!$A$4:$AF$46,[2]tropical!K$1,FALSE)</f>
        <v>0</v>
      </c>
      <c r="P84" s="800">
        <f>VLOOKUP($E84,[2]tropical!$A$4:$AF$46,[2]tropical!L$1,FALSE)</f>
        <v>0</v>
      </c>
      <c r="Q84" s="800">
        <f>VLOOKUP($E84,[2]tropical!$A$4:$AF$46,[2]tropical!M$1,FALSE)</f>
        <v>0</v>
      </c>
      <c r="R84" s="805">
        <f>VLOOKUP($E84,[2]tropical!$A$4:$AF$46,[2]tropical!N$1,FALSE)</f>
        <v>0</v>
      </c>
      <c r="S84" s="805">
        <f>VLOOKUP($E84,[2]tropical!$A$4:$AF$46,[2]tropical!O$1,FALSE)</f>
        <v>0</v>
      </c>
      <c r="T84" s="805">
        <f>VLOOKUP($E84,[2]tropical!$A$4:$AF$46,[2]tropical!P$1,FALSE)</f>
        <v>0</v>
      </c>
      <c r="U84" s="800">
        <f t="shared" si="1"/>
        <v>2</v>
      </c>
    </row>
    <row r="85" spans="1:21">
      <c r="A85" s="788">
        <v>8082</v>
      </c>
      <c r="B85" s="788" t="s">
        <v>1071</v>
      </c>
      <c r="C85" s="788">
        <v>45</v>
      </c>
      <c r="D85" s="788" t="s">
        <v>1075</v>
      </c>
      <c r="E85" s="790" t="s">
        <v>343</v>
      </c>
      <c r="F85" s="790" t="s">
        <v>2615</v>
      </c>
      <c r="G85" s="800">
        <f>VLOOKUP($E85,[2]tropical!$A$4:$AF$46,[2]tropical!C$1,FALSE)</f>
        <v>14</v>
      </c>
      <c r="H85" s="800">
        <f>VLOOKUP($E85,[2]tropical!$A$4:$AF$46,[2]tropical!D$1,FALSE)</f>
        <v>8</v>
      </c>
      <c r="I85" s="800">
        <f>VLOOKUP($E85,[2]tropical!$A$4:$AF$46,[2]tropical!E$1,FALSE)</f>
        <v>3</v>
      </c>
      <c r="J85" s="800">
        <f>VLOOKUP($E85,[2]tropical!$A$4:$AF$46,[2]tropical!F$1,FALSE)</f>
        <v>4</v>
      </c>
      <c r="K85" s="800">
        <f>VLOOKUP($E85,[2]tropical!$A$4:$AF$46,[2]tropical!G$1,FALSE)</f>
        <v>2</v>
      </c>
      <c r="L85" s="800">
        <f>VLOOKUP($E85,[2]tropical!$A$4:$AF$46,[2]tropical!H$1,FALSE)</f>
        <v>9</v>
      </c>
      <c r="M85" s="800">
        <f>VLOOKUP($E85,[2]tropical!$A$4:$AF$46,[2]tropical!I$1,FALSE)</f>
        <v>4</v>
      </c>
      <c r="N85" s="800">
        <f>VLOOKUP($E85,[2]tropical!$A$4:$AF$46,[2]tropical!J$1,FALSE)</f>
        <v>3</v>
      </c>
      <c r="O85" s="800">
        <f>VLOOKUP($E85,[2]tropical!$A$4:$AF$46,[2]tropical!K$1,FALSE)</f>
        <v>7</v>
      </c>
      <c r="P85" s="800">
        <f>VLOOKUP($E85,[2]tropical!$A$4:$AF$46,[2]tropical!L$1,FALSE)</f>
        <v>5</v>
      </c>
      <c r="Q85" s="800">
        <f>VLOOKUP($E85,[2]tropical!$A$4:$AF$46,[2]tropical!M$1,FALSE)</f>
        <v>3</v>
      </c>
      <c r="R85" s="805">
        <f>VLOOKUP($E85,[2]tropical!$A$4:$AF$46,[2]tropical!N$1,FALSE)</f>
        <v>0</v>
      </c>
      <c r="S85" s="805">
        <f>VLOOKUP($E85,[2]tropical!$A$4:$AF$46,[2]tropical!O$1,FALSE)</f>
        <v>0</v>
      </c>
      <c r="T85" s="805">
        <f>VLOOKUP($E85,[2]tropical!$A$4:$AF$46,[2]tropical!P$1,FALSE)</f>
        <v>0</v>
      </c>
      <c r="U85" s="800">
        <f t="shared" si="1"/>
        <v>62</v>
      </c>
    </row>
    <row r="86" spans="1:21">
      <c r="A86" s="788">
        <v>8083</v>
      </c>
      <c r="B86" s="788" t="s">
        <v>1077</v>
      </c>
      <c r="C86" s="788">
        <v>552</v>
      </c>
      <c r="D86" s="788" t="s">
        <v>88</v>
      </c>
      <c r="E86" s="790" t="s">
        <v>1127</v>
      </c>
      <c r="F86" s="790" t="s">
        <v>2617</v>
      </c>
      <c r="G86" s="800">
        <f>VLOOKUP($E86,[2]tropical!$A$4:$AF$46,[2]tropical!C$1,FALSE)</f>
        <v>0</v>
      </c>
      <c r="H86" s="800">
        <f>VLOOKUP($E86,[2]tropical!$A$4:$AF$46,[2]tropical!D$1,FALSE)</f>
        <v>0</v>
      </c>
      <c r="I86" s="800">
        <f>VLOOKUP($E86,[2]tropical!$A$4:$AF$46,[2]tropical!E$1,FALSE)</f>
        <v>0</v>
      </c>
      <c r="J86" s="800">
        <f>VLOOKUP($E86,[2]tropical!$A$4:$AF$46,[2]tropical!F$1,FALSE)</f>
        <v>0</v>
      </c>
      <c r="K86" s="800">
        <f>VLOOKUP($E86,[2]tropical!$A$4:$AF$46,[2]tropical!G$1,FALSE)</f>
        <v>0</v>
      </c>
      <c r="L86" s="800">
        <f>VLOOKUP($E86,[2]tropical!$A$4:$AF$46,[2]tropical!H$1,FALSE)</f>
        <v>0</v>
      </c>
      <c r="M86" s="800">
        <f>VLOOKUP($E86,[2]tropical!$A$4:$AF$46,[2]tropical!I$1,FALSE)</f>
        <v>0</v>
      </c>
      <c r="N86" s="800">
        <f>VLOOKUP($E86,[2]tropical!$A$4:$AF$46,[2]tropical!J$1,FALSE)</f>
        <v>0</v>
      </c>
      <c r="O86" s="800">
        <f>VLOOKUP($E86,[2]tropical!$A$4:$AF$46,[2]tropical!K$1,FALSE)</f>
        <v>0</v>
      </c>
      <c r="P86" s="800">
        <f>VLOOKUP($E86,[2]tropical!$A$4:$AF$46,[2]tropical!L$1,FALSE)</f>
        <v>0</v>
      </c>
      <c r="Q86" s="800">
        <f>VLOOKUP($E86,[2]tropical!$A$4:$AF$46,[2]tropical!M$1,FALSE)</f>
        <v>0</v>
      </c>
      <c r="R86" s="805">
        <f>VLOOKUP($E86,[2]tropical!$A$4:$AF$46,[2]tropical!N$1,FALSE)</f>
        <v>0</v>
      </c>
      <c r="S86" s="805">
        <f>VLOOKUP($E86,[2]tropical!$A$4:$AF$46,[2]tropical!O$1,FALSE)</f>
        <v>0</v>
      </c>
      <c r="T86" s="805">
        <f>VLOOKUP($E86,[2]tropical!$A$4:$AF$46,[2]tropical!P$1,FALSE)</f>
        <v>0</v>
      </c>
      <c r="U86" s="800">
        <f t="shared" si="1"/>
        <v>0</v>
      </c>
    </row>
    <row r="87" spans="1:21">
      <c r="A87" s="788">
        <v>8084</v>
      </c>
      <c r="B87" s="788" t="s">
        <v>1078</v>
      </c>
      <c r="C87" s="788">
        <v>525</v>
      </c>
      <c r="D87" s="788" t="s">
        <v>82</v>
      </c>
      <c r="E87" s="790" t="s">
        <v>1121</v>
      </c>
      <c r="F87" s="790" t="s">
        <v>2616</v>
      </c>
      <c r="G87" s="800">
        <f>VLOOKUP($E87,[2]tropical!$A$4:$AF$46,[2]tropical!C$1,FALSE)</f>
        <v>0</v>
      </c>
      <c r="H87" s="800">
        <f>VLOOKUP($E87,[2]tropical!$A$4:$AF$46,[2]tropical!D$1,FALSE)</f>
        <v>0</v>
      </c>
      <c r="I87" s="800">
        <f>VLOOKUP($E87,[2]tropical!$A$4:$AF$46,[2]tropical!E$1,FALSE)</f>
        <v>1</v>
      </c>
      <c r="J87" s="800">
        <f>VLOOKUP($E87,[2]tropical!$A$4:$AF$46,[2]tropical!F$1,FALSE)</f>
        <v>0</v>
      </c>
      <c r="K87" s="800">
        <f>VLOOKUP($E87,[2]tropical!$A$4:$AF$46,[2]tropical!G$1,FALSE)</f>
        <v>0</v>
      </c>
      <c r="L87" s="800">
        <f>VLOOKUP($E87,[2]tropical!$A$4:$AF$46,[2]tropical!H$1,FALSE)</f>
        <v>0</v>
      </c>
      <c r="M87" s="800">
        <f>VLOOKUP($E87,[2]tropical!$A$4:$AF$46,[2]tropical!I$1,FALSE)</f>
        <v>0</v>
      </c>
      <c r="N87" s="800">
        <f>VLOOKUP($E87,[2]tropical!$A$4:$AF$46,[2]tropical!J$1,FALSE)</f>
        <v>0</v>
      </c>
      <c r="O87" s="800">
        <f>VLOOKUP($E87,[2]tropical!$A$4:$AF$46,[2]tropical!K$1,FALSE)</f>
        <v>0</v>
      </c>
      <c r="P87" s="800">
        <f>VLOOKUP($E87,[2]tropical!$A$4:$AF$46,[2]tropical!L$1,FALSE)</f>
        <v>0</v>
      </c>
      <c r="Q87" s="800">
        <f>VLOOKUP($E87,[2]tropical!$A$4:$AF$46,[2]tropical!M$1,FALSE)</f>
        <v>0</v>
      </c>
      <c r="R87" s="805">
        <f>VLOOKUP($E87,[2]tropical!$A$4:$AF$46,[2]tropical!N$1,FALSE)</f>
        <v>0</v>
      </c>
      <c r="S87" s="805">
        <f>VLOOKUP($E87,[2]tropical!$A$4:$AF$46,[2]tropical!O$1,FALSE)</f>
        <v>0</v>
      </c>
      <c r="T87" s="805">
        <f>VLOOKUP($E87,[2]tropical!$A$4:$AF$46,[2]tropical!P$1,FALSE)</f>
        <v>0</v>
      </c>
      <c r="U87" s="800">
        <f t="shared" si="1"/>
        <v>1</v>
      </c>
    </row>
    <row r="88" spans="1:21">
      <c r="A88" s="788">
        <v>8085</v>
      </c>
      <c r="B88" s="788" t="s">
        <v>1080</v>
      </c>
      <c r="C88" s="788">
        <v>319</v>
      </c>
      <c r="D88" s="788" t="s">
        <v>791</v>
      </c>
      <c r="E88" s="790" t="s">
        <v>2612</v>
      </c>
      <c r="F88" s="790" t="s">
        <v>2615</v>
      </c>
      <c r="G88" s="800">
        <f>VLOOKUP($E88,[2]tropical!$A$4:$AF$46,[2]tropical!C$1,FALSE)</f>
        <v>2</v>
      </c>
      <c r="H88" s="800">
        <f>VLOOKUP($E88,[2]tropical!$A$4:$AF$46,[2]tropical!D$1,FALSE)</f>
        <v>8</v>
      </c>
      <c r="I88" s="800">
        <f>VLOOKUP($E88,[2]tropical!$A$4:$AF$46,[2]tropical!E$1,FALSE)</f>
        <v>16</v>
      </c>
      <c r="J88" s="800">
        <f>VLOOKUP($E88,[2]tropical!$A$4:$AF$46,[2]tropical!F$1,FALSE)</f>
        <v>3</v>
      </c>
      <c r="K88" s="800">
        <f>VLOOKUP($E88,[2]tropical!$A$4:$AF$46,[2]tropical!G$1,FALSE)</f>
        <v>1</v>
      </c>
      <c r="L88" s="800">
        <f>VLOOKUP($E88,[2]tropical!$A$4:$AF$46,[2]tropical!H$1,FALSE)</f>
        <v>8</v>
      </c>
      <c r="M88" s="800">
        <f>VLOOKUP($E88,[2]tropical!$A$4:$AF$46,[2]tropical!I$1,FALSE)</f>
        <v>0</v>
      </c>
      <c r="N88" s="800">
        <f>VLOOKUP($E88,[2]tropical!$A$4:$AF$46,[2]tropical!J$1,FALSE)</f>
        <v>4</v>
      </c>
      <c r="O88" s="800">
        <f>VLOOKUP($E88,[2]tropical!$A$4:$AF$46,[2]tropical!K$1,FALSE)</f>
        <v>7</v>
      </c>
      <c r="P88" s="800">
        <f>VLOOKUP($E88,[2]tropical!$A$4:$AF$46,[2]tropical!L$1,FALSE)</f>
        <v>0</v>
      </c>
      <c r="Q88" s="800">
        <f>VLOOKUP($E88,[2]tropical!$A$4:$AF$46,[2]tropical!M$1,FALSE)</f>
        <v>0</v>
      </c>
      <c r="R88" s="805">
        <f>VLOOKUP($E88,[2]tropical!$A$4:$AF$46,[2]tropical!N$1,FALSE)</f>
        <v>0</v>
      </c>
      <c r="S88" s="805">
        <f>VLOOKUP($E88,[2]tropical!$A$4:$AF$46,[2]tropical!O$1,FALSE)</f>
        <v>0</v>
      </c>
      <c r="T88" s="805">
        <f>VLOOKUP($E88,[2]tropical!$A$4:$AF$46,[2]tropical!P$1,FALSE)</f>
        <v>0</v>
      </c>
      <c r="U88" s="800">
        <f t="shared" si="1"/>
        <v>49</v>
      </c>
    </row>
    <row r="89" spans="1:21">
      <c r="A89" s="788">
        <v>8086</v>
      </c>
      <c r="B89" s="788" t="s">
        <v>1084</v>
      </c>
      <c r="C89" s="788">
        <v>181</v>
      </c>
      <c r="D89" s="788" t="s">
        <v>24</v>
      </c>
      <c r="E89" s="790" t="s">
        <v>1743</v>
      </c>
      <c r="F89" s="790" t="s">
        <v>2616</v>
      </c>
      <c r="G89" s="800">
        <f>VLOOKUP($E89,[2]tropical!$A$4:$AF$46,[2]tropical!C$1,FALSE)</f>
        <v>0</v>
      </c>
      <c r="H89" s="800">
        <f>VLOOKUP($E89,[2]tropical!$A$4:$AF$46,[2]tropical!D$1,FALSE)</f>
        <v>0</v>
      </c>
      <c r="I89" s="800">
        <f>VLOOKUP($E89,[2]tropical!$A$4:$AF$46,[2]tropical!E$1,FALSE)</f>
        <v>2</v>
      </c>
      <c r="J89" s="800">
        <f>VLOOKUP($E89,[2]tropical!$A$4:$AF$46,[2]tropical!F$1,FALSE)</f>
        <v>0</v>
      </c>
      <c r="K89" s="800">
        <f>VLOOKUP($E89,[2]tropical!$A$4:$AF$46,[2]tropical!G$1,FALSE)</f>
        <v>0</v>
      </c>
      <c r="L89" s="800">
        <f>VLOOKUP($E89,[2]tropical!$A$4:$AF$46,[2]tropical!H$1,FALSE)</f>
        <v>0</v>
      </c>
      <c r="M89" s="800">
        <f>VLOOKUP($E89,[2]tropical!$A$4:$AF$46,[2]tropical!I$1,FALSE)</f>
        <v>0</v>
      </c>
      <c r="N89" s="800">
        <f>VLOOKUP($E89,[2]tropical!$A$4:$AF$46,[2]tropical!J$1,FALSE)</f>
        <v>0</v>
      </c>
      <c r="O89" s="800">
        <f>VLOOKUP($E89,[2]tropical!$A$4:$AF$46,[2]tropical!K$1,FALSE)</f>
        <v>0</v>
      </c>
      <c r="P89" s="800">
        <f>VLOOKUP($E89,[2]tropical!$A$4:$AF$46,[2]tropical!L$1,FALSE)</f>
        <v>0</v>
      </c>
      <c r="Q89" s="800">
        <f>VLOOKUP($E89,[2]tropical!$A$4:$AF$46,[2]tropical!M$1,FALSE)</f>
        <v>0</v>
      </c>
      <c r="R89" s="805">
        <f>VLOOKUP($E89,[2]tropical!$A$4:$AF$46,[2]tropical!N$1,FALSE)</f>
        <v>0</v>
      </c>
      <c r="S89" s="805">
        <f>VLOOKUP($E89,[2]tropical!$A$4:$AF$46,[2]tropical!O$1,FALSE)</f>
        <v>0</v>
      </c>
      <c r="T89" s="805">
        <f>VLOOKUP($E89,[2]tropical!$A$4:$AF$46,[2]tropical!P$1,FALSE)</f>
        <v>0</v>
      </c>
      <c r="U89" s="800">
        <f t="shared" si="1"/>
        <v>2</v>
      </c>
    </row>
    <row r="90" spans="1:21">
      <c r="A90" s="788">
        <v>8087</v>
      </c>
      <c r="B90" s="788" t="s">
        <v>1087</v>
      </c>
      <c r="C90" s="788">
        <v>502</v>
      </c>
      <c r="D90" s="788" t="s">
        <v>89</v>
      </c>
      <c r="E90" s="790" t="s">
        <v>1494</v>
      </c>
      <c r="F90" s="790" t="s">
        <v>2616</v>
      </c>
      <c r="G90" s="800">
        <f>VLOOKUP($E90,[2]tropical!$A$4:$AF$46,[2]tropical!C$1,FALSE)</f>
        <v>0</v>
      </c>
      <c r="H90" s="800">
        <f>VLOOKUP($E90,[2]tropical!$A$4:$AF$46,[2]tropical!D$1,FALSE)</f>
        <v>0</v>
      </c>
      <c r="I90" s="800">
        <f>VLOOKUP($E90,[2]tropical!$A$4:$AF$46,[2]tropical!E$1,FALSE)</f>
        <v>0</v>
      </c>
      <c r="J90" s="800">
        <f>VLOOKUP($E90,[2]tropical!$A$4:$AF$46,[2]tropical!F$1,FALSE)</f>
        <v>0</v>
      </c>
      <c r="K90" s="800">
        <f>VLOOKUP($E90,[2]tropical!$A$4:$AF$46,[2]tropical!G$1,FALSE)</f>
        <v>0</v>
      </c>
      <c r="L90" s="800">
        <f>VLOOKUP($E90,[2]tropical!$A$4:$AF$46,[2]tropical!H$1,FALSE)</f>
        <v>0</v>
      </c>
      <c r="M90" s="800">
        <f>VLOOKUP($E90,[2]tropical!$A$4:$AF$46,[2]tropical!I$1,FALSE)</f>
        <v>0</v>
      </c>
      <c r="N90" s="800">
        <f>VLOOKUP($E90,[2]tropical!$A$4:$AF$46,[2]tropical!J$1,FALSE)</f>
        <v>0</v>
      </c>
      <c r="O90" s="800">
        <f>VLOOKUP($E90,[2]tropical!$A$4:$AF$46,[2]tropical!K$1,FALSE)</f>
        <v>0</v>
      </c>
      <c r="P90" s="800">
        <f>VLOOKUP($E90,[2]tropical!$A$4:$AF$46,[2]tropical!L$1,FALSE)</f>
        <v>0</v>
      </c>
      <c r="Q90" s="800">
        <f>VLOOKUP($E90,[2]tropical!$A$4:$AF$46,[2]tropical!M$1,FALSE)</f>
        <v>0</v>
      </c>
      <c r="R90" s="805">
        <f>VLOOKUP($E90,[2]tropical!$A$4:$AF$46,[2]tropical!N$1,FALSE)</f>
        <v>0</v>
      </c>
      <c r="S90" s="805">
        <f>VLOOKUP($E90,[2]tropical!$A$4:$AF$46,[2]tropical!O$1,FALSE)</f>
        <v>0</v>
      </c>
      <c r="T90" s="805">
        <f>VLOOKUP($E90,[2]tropical!$A$4:$AF$46,[2]tropical!P$1,FALSE)</f>
        <v>0</v>
      </c>
      <c r="U90" s="800">
        <f t="shared" si="1"/>
        <v>0</v>
      </c>
    </row>
    <row r="91" spans="1:21">
      <c r="A91" s="788">
        <v>8088</v>
      </c>
      <c r="B91" s="788" t="s">
        <v>1091</v>
      </c>
      <c r="C91" s="788">
        <v>252</v>
      </c>
      <c r="D91" s="788" t="s">
        <v>24</v>
      </c>
      <c r="E91" s="790" t="s">
        <v>867</v>
      </c>
      <c r="F91" s="790" t="s">
        <v>2616</v>
      </c>
      <c r="G91" s="800">
        <f>VLOOKUP($E91,[2]tropical!$A$4:$AF$46,[2]tropical!C$1,FALSE)</f>
        <v>0</v>
      </c>
      <c r="H91" s="800">
        <f>VLOOKUP($E91,[2]tropical!$A$4:$AF$46,[2]tropical!D$1,FALSE)</f>
        <v>1</v>
      </c>
      <c r="I91" s="800">
        <f>VLOOKUP($E91,[2]tropical!$A$4:$AF$46,[2]tropical!E$1,FALSE)</f>
        <v>2</v>
      </c>
      <c r="J91" s="800">
        <f>VLOOKUP($E91,[2]tropical!$A$4:$AF$46,[2]tropical!F$1,FALSE)</f>
        <v>1</v>
      </c>
      <c r="K91" s="800">
        <f>VLOOKUP($E91,[2]tropical!$A$4:$AF$46,[2]tropical!G$1,FALSE)</f>
        <v>0</v>
      </c>
      <c r="L91" s="800">
        <f>VLOOKUP($E91,[2]tropical!$A$4:$AF$46,[2]tropical!H$1,FALSE)</f>
        <v>2</v>
      </c>
      <c r="M91" s="800">
        <f>VLOOKUP($E91,[2]tropical!$A$4:$AF$46,[2]tropical!I$1,FALSE)</f>
        <v>0</v>
      </c>
      <c r="N91" s="800">
        <f>VLOOKUP($E91,[2]tropical!$A$4:$AF$46,[2]tropical!J$1,FALSE)</f>
        <v>0</v>
      </c>
      <c r="O91" s="800">
        <f>VLOOKUP($E91,[2]tropical!$A$4:$AF$46,[2]tropical!K$1,FALSE)</f>
        <v>2</v>
      </c>
      <c r="P91" s="800">
        <f>VLOOKUP($E91,[2]tropical!$A$4:$AF$46,[2]tropical!L$1,FALSE)</f>
        <v>0</v>
      </c>
      <c r="Q91" s="800">
        <f>VLOOKUP($E91,[2]tropical!$A$4:$AF$46,[2]tropical!M$1,FALSE)</f>
        <v>0</v>
      </c>
      <c r="R91" s="805">
        <f>VLOOKUP($E91,[2]tropical!$A$4:$AF$46,[2]tropical!N$1,FALSE)</f>
        <v>0</v>
      </c>
      <c r="S91" s="805">
        <f>VLOOKUP($E91,[2]tropical!$A$4:$AF$46,[2]tropical!O$1,FALSE)</f>
        <v>0</v>
      </c>
      <c r="T91" s="805">
        <f>VLOOKUP($E91,[2]tropical!$A$4:$AF$46,[2]tropical!P$1,FALSE)</f>
        <v>0</v>
      </c>
      <c r="U91" s="800">
        <f t="shared" si="1"/>
        <v>8</v>
      </c>
    </row>
    <row r="92" spans="1:21">
      <c r="A92" s="788">
        <v>8089</v>
      </c>
      <c r="B92" s="788" t="s">
        <v>342</v>
      </c>
      <c r="C92" s="788">
        <v>9</v>
      </c>
      <c r="D92" s="788" t="s">
        <v>90</v>
      </c>
      <c r="E92" s="790" t="s">
        <v>357</v>
      </c>
      <c r="F92" s="790" t="s">
        <v>2615</v>
      </c>
      <c r="G92" s="800">
        <f>VLOOKUP($E92,[2]tropical!$A$4:$AF$46,[2]tropical!C$1,FALSE)</f>
        <v>33</v>
      </c>
      <c r="H92" s="800">
        <f>VLOOKUP($E92,[2]tropical!$A$4:$AF$46,[2]tropical!D$1,FALSE)</f>
        <v>25</v>
      </c>
      <c r="I92" s="800">
        <f>VLOOKUP($E92,[2]tropical!$A$4:$AF$46,[2]tropical!E$1,FALSE)</f>
        <v>28</v>
      </c>
      <c r="J92" s="800">
        <f>VLOOKUP($E92,[2]tropical!$A$4:$AF$46,[2]tropical!F$1,FALSE)</f>
        <v>10</v>
      </c>
      <c r="K92" s="800">
        <f>VLOOKUP($E92,[2]tropical!$A$4:$AF$46,[2]tropical!G$1,FALSE)</f>
        <v>21</v>
      </c>
      <c r="L92" s="800">
        <f>VLOOKUP($E92,[2]tropical!$A$4:$AF$46,[2]tropical!H$1,FALSE)</f>
        <v>36</v>
      </c>
      <c r="M92" s="800">
        <f>VLOOKUP($E92,[2]tropical!$A$4:$AF$46,[2]tropical!I$1,FALSE)</f>
        <v>23</v>
      </c>
      <c r="N92" s="800">
        <f>VLOOKUP($E92,[2]tropical!$A$4:$AF$46,[2]tropical!J$1,FALSE)</f>
        <v>16</v>
      </c>
      <c r="O92" s="800">
        <f>VLOOKUP($E92,[2]tropical!$A$4:$AF$46,[2]tropical!K$1,FALSE)</f>
        <v>22</v>
      </c>
      <c r="P92" s="800">
        <f>VLOOKUP($E92,[2]tropical!$A$4:$AF$46,[2]tropical!L$1,FALSE)</f>
        <v>19</v>
      </c>
      <c r="Q92" s="800">
        <f>VLOOKUP($E92,[2]tropical!$A$4:$AF$46,[2]tropical!M$1,FALSE)</f>
        <v>13</v>
      </c>
      <c r="R92" s="805">
        <f>VLOOKUP($E92,[2]tropical!$A$4:$AF$46,[2]tropical!N$1,FALSE)</f>
        <v>0</v>
      </c>
      <c r="S92" s="805">
        <f>VLOOKUP($E92,[2]tropical!$A$4:$AF$46,[2]tropical!O$1,FALSE)</f>
        <v>0</v>
      </c>
      <c r="T92" s="805">
        <f>VLOOKUP($E92,[2]tropical!$A$4:$AF$46,[2]tropical!P$1,FALSE)</f>
        <v>0</v>
      </c>
      <c r="U92" s="800">
        <f t="shared" si="1"/>
        <v>246</v>
      </c>
    </row>
    <row r="93" spans="1:21">
      <c r="A93" s="788">
        <v>8090</v>
      </c>
      <c r="B93" s="788" t="s">
        <v>1100</v>
      </c>
      <c r="C93" s="788">
        <v>481</v>
      </c>
      <c r="D93" s="788" t="s">
        <v>82</v>
      </c>
      <c r="E93" s="790" t="s">
        <v>1004</v>
      </c>
      <c r="F93" s="790" t="s">
        <v>2616</v>
      </c>
      <c r="G93" s="800">
        <f>VLOOKUP($E93,[2]tropical!$A$4:$AF$46,[2]tropical!C$1,FALSE)</f>
        <v>0</v>
      </c>
      <c r="H93" s="800">
        <f>VLOOKUP($E93,[2]tropical!$A$4:$AF$46,[2]tropical!D$1,FALSE)</f>
        <v>0</v>
      </c>
      <c r="I93" s="800">
        <f>VLOOKUP($E93,[2]tropical!$A$4:$AF$46,[2]tropical!E$1,FALSE)</f>
        <v>0</v>
      </c>
      <c r="J93" s="800">
        <f>VLOOKUP($E93,[2]tropical!$A$4:$AF$46,[2]tropical!F$1,FALSE)</f>
        <v>0</v>
      </c>
      <c r="K93" s="800">
        <f>VLOOKUP($E93,[2]tropical!$A$4:$AF$46,[2]tropical!G$1,FALSE)</f>
        <v>0</v>
      </c>
      <c r="L93" s="800">
        <f>VLOOKUP($E93,[2]tropical!$A$4:$AF$46,[2]tropical!H$1,FALSE)</f>
        <v>0</v>
      </c>
      <c r="M93" s="800">
        <f>VLOOKUP($E93,[2]tropical!$A$4:$AF$46,[2]tropical!I$1,FALSE)</f>
        <v>0</v>
      </c>
      <c r="N93" s="800">
        <f>VLOOKUP($E93,[2]tropical!$A$4:$AF$46,[2]tropical!J$1,FALSE)</f>
        <v>0</v>
      </c>
      <c r="O93" s="800">
        <f>VLOOKUP($E93,[2]tropical!$A$4:$AF$46,[2]tropical!K$1,FALSE)</f>
        <v>3</v>
      </c>
      <c r="P93" s="800">
        <f>VLOOKUP($E93,[2]tropical!$A$4:$AF$46,[2]tropical!L$1,FALSE)</f>
        <v>0</v>
      </c>
      <c r="Q93" s="800">
        <f>VLOOKUP($E93,[2]tropical!$A$4:$AF$46,[2]tropical!M$1,FALSE)</f>
        <v>0</v>
      </c>
      <c r="R93" s="805">
        <f>VLOOKUP($E93,[2]tropical!$A$4:$AF$46,[2]tropical!N$1,FALSE)</f>
        <v>0</v>
      </c>
      <c r="S93" s="805">
        <f>VLOOKUP($E93,[2]tropical!$A$4:$AF$46,[2]tropical!O$1,FALSE)</f>
        <v>0</v>
      </c>
      <c r="T93" s="805">
        <f>VLOOKUP($E93,[2]tropical!$A$4:$AF$46,[2]tropical!P$1,FALSE)</f>
        <v>0</v>
      </c>
      <c r="U93" s="800">
        <f t="shared" si="1"/>
        <v>3</v>
      </c>
    </row>
    <row r="94" spans="1:21">
      <c r="A94" s="788">
        <v>8091</v>
      </c>
      <c r="B94" s="788" t="s">
        <v>1102</v>
      </c>
      <c r="C94" s="788">
        <v>196</v>
      </c>
      <c r="D94" s="788" t="s">
        <v>791</v>
      </c>
      <c r="E94" s="790" t="s">
        <v>1544</v>
      </c>
      <c r="F94" s="790" t="s">
        <v>2616</v>
      </c>
      <c r="G94" s="800">
        <f>VLOOKUP($E94,[2]tropical!$A$4:$AF$46,[2]tropical!C$1,FALSE)</f>
        <v>0</v>
      </c>
      <c r="H94" s="800">
        <f>VLOOKUP($E94,[2]tropical!$A$4:$AF$46,[2]tropical!D$1,FALSE)</f>
        <v>0</v>
      </c>
      <c r="I94" s="800">
        <f>VLOOKUP($E94,[2]tropical!$A$4:$AF$46,[2]tropical!E$1,FALSE)</f>
        <v>3</v>
      </c>
      <c r="J94" s="800">
        <f>VLOOKUP($E94,[2]tropical!$A$4:$AF$46,[2]tropical!F$1,FALSE)</f>
        <v>0</v>
      </c>
      <c r="K94" s="800">
        <f>VLOOKUP($E94,[2]tropical!$A$4:$AF$46,[2]tropical!G$1,FALSE)</f>
        <v>0</v>
      </c>
      <c r="L94" s="800">
        <f>VLOOKUP($E94,[2]tropical!$A$4:$AF$46,[2]tropical!H$1,FALSE)</f>
        <v>0</v>
      </c>
      <c r="M94" s="800">
        <f>VLOOKUP($E94,[2]tropical!$A$4:$AF$46,[2]tropical!I$1,FALSE)</f>
        <v>0</v>
      </c>
      <c r="N94" s="800">
        <f>VLOOKUP($E94,[2]tropical!$A$4:$AF$46,[2]tropical!J$1,FALSE)</f>
        <v>2</v>
      </c>
      <c r="O94" s="800">
        <f>VLOOKUP($E94,[2]tropical!$A$4:$AF$46,[2]tropical!K$1,FALSE)</f>
        <v>2</v>
      </c>
      <c r="P94" s="800">
        <f>VLOOKUP($E94,[2]tropical!$A$4:$AF$46,[2]tropical!L$1,FALSE)</f>
        <v>0</v>
      </c>
      <c r="Q94" s="800">
        <f>VLOOKUP($E94,[2]tropical!$A$4:$AF$46,[2]tropical!M$1,FALSE)</f>
        <v>0</v>
      </c>
      <c r="R94" s="805">
        <f>VLOOKUP($E94,[2]tropical!$A$4:$AF$46,[2]tropical!N$1,FALSE)</f>
        <v>0</v>
      </c>
      <c r="S94" s="805">
        <f>VLOOKUP($E94,[2]tropical!$A$4:$AF$46,[2]tropical!O$1,FALSE)</f>
        <v>0</v>
      </c>
      <c r="T94" s="805">
        <f>VLOOKUP($E94,[2]tropical!$A$4:$AF$46,[2]tropical!P$1,FALSE)</f>
        <v>0</v>
      </c>
      <c r="U94" s="800">
        <f t="shared" si="1"/>
        <v>7</v>
      </c>
    </row>
    <row r="95" spans="1:21">
      <c r="A95" s="788">
        <v>8092</v>
      </c>
      <c r="B95" s="788" t="s">
        <v>1104</v>
      </c>
      <c r="C95" s="788">
        <v>469</v>
      </c>
      <c r="D95" s="788" t="s">
        <v>84</v>
      </c>
      <c r="E95" s="790" t="s">
        <v>1125</v>
      </c>
      <c r="F95" s="790" t="s">
        <v>2617</v>
      </c>
      <c r="G95" s="800">
        <f>VLOOKUP($E95,[2]tropical!$A$4:$AF$46,[2]tropical!C$1,FALSE)</f>
        <v>0</v>
      </c>
      <c r="H95" s="800">
        <f>VLOOKUP($E95,[2]tropical!$A$4:$AF$46,[2]tropical!D$1,FALSE)</f>
        <v>0</v>
      </c>
      <c r="I95" s="800">
        <f>VLOOKUP($E95,[2]tropical!$A$4:$AF$46,[2]tropical!E$1,FALSE)</f>
        <v>0</v>
      </c>
      <c r="J95" s="800">
        <f>VLOOKUP($E95,[2]tropical!$A$4:$AF$46,[2]tropical!F$1,FALSE)</f>
        <v>0</v>
      </c>
      <c r="K95" s="800">
        <f>VLOOKUP($E95,[2]tropical!$A$4:$AF$46,[2]tropical!G$1,FALSE)</f>
        <v>0</v>
      </c>
      <c r="L95" s="800">
        <f>VLOOKUP($E95,[2]tropical!$A$4:$AF$46,[2]tropical!H$1,FALSE)</f>
        <v>0</v>
      </c>
      <c r="M95" s="800">
        <f>VLOOKUP($E95,[2]tropical!$A$4:$AF$46,[2]tropical!I$1,FALSE)</f>
        <v>0</v>
      </c>
      <c r="N95" s="800">
        <f>VLOOKUP($E95,[2]tropical!$A$4:$AF$46,[2]tropical!J$1,FALSE)</f>
        <v>0</v>
      </c>
      <c r="O95" s="800">
        <f>VLOOKUP($E95,[2]tropical!$A$4:$AF$46,[2]tropical!K$1,FALSE)</f>
        <v>0</v>
      </c>
      <c r="P95" s="800">
        <f>VLOOKUP($E95,[2]tropical!$A$4:$AF$46,[2]tropical!L$1,FALSE)</f>
        <v>0</v>
      </c>
      <c r="Q95" s="800">
        <f>VLOOKUP($E95,[2]tropical!$A$4:$AF$46,[2]tropical!M$1,FALSE)</f>
        <v>0</v>
      </c>
      <c r="R95" s="805">
        <f>VLOOKUP($E95,[2]tropical!$A$4:$AF$46,[2]tropical!N$1,FALSE)</f>
        <v>0</v>
      </c>
      <c r="S95" s="805">
        <f>VLOOKUP($E95,[2]tropical!$A$4:$AF$46,[2]tropical!O$1,FALSE)</f>
        <v>0</v>
      </c>
      <c r="T95" s="805">
        <f>VLOOKUP($E95,[2]tropical!$A$4:$AF$46,[2]tropical!P$1,FALSE)</f>
        <v>0</v>
      </c>
      <c r="U95" s="800">
        <f t="shared" si="1"/>
        <v>0</v>
      </c>
    </row>
    <row r="96" spans="1:21">
      <c r="A96" s="788">
        <v>8093</v>
      </c>
      <c r="B96" s="788" t="s">
        <v>1105</v>
      </c>
      <c r="C96" s="788">
        <v>1340</v>
      </c>
      <c r="D96" s="788" t="s">
        <v>84</v>
      </c>
      <c r="E96" s="790" t="s">
        <v>1105</v>
      </c>
      <c r="F96" s="790" t="s">
        <v>2617</v>
      </c>
      <c r="G96" s="800">
        <f>VLOOKUP($E96,[2]tropical!$A$4:$AF$46,[2]tropical!C$1,FALSE)</f>
        <v>0</v>
      </c>
      <c r="H96" s="800">
        <f>VLOOKUP($E96,[2]tropical!$A$4:$AF$46,[2]tropical!D$1,FALSE)</f>
        <v>0</v>
      </c>
      <c r="I96" s="800">
        <f>VLOOKUP($E96,[2]tropical!$A$4:$AF$46,[2]tropical!E$1,FALSE)</f>
        <v>0</v>
      </c>
      <c r="J96" s="800">
        <f>VLOOKUP($E96,[2]tropical!$A$4:$AF$46,[2]tropical!F$1,FALSE)</f>
        <v>0</v>
      </c>
      <c r="K96" s="800">
        <f>VLOOKUP($E96,[2]tropical!$A$4:$AF$46,[2]tropical!G$1,FALSE)</f>
        <v>0</v>
      </c>
      <c r="L96" s="800">
        <f>VLOOKUP($E96,[2]tropical!$A$4:$AF$46,[2]tropical!H$1,FALSE)</f>
        <v>0</v>
      </c>
      <c r="M96" s="800">
        <f>VLOOKUP($E96,[2]tropical!$A$4:$AF$46,[2]tropical!I$1,FALSE)</f>
        <v>0</v>
      </c>
      <c r="N96" s="800">
        <f>VLOOKUP($E96,[2]tropical!$A$4:$AF$46,[2]tropical!J$1,FALSE)</f>
        <v>0</v>
      </c>
      <c r="O96" s="800">
        <f>VLOOKUP($E96,[2]tropical!$A$4:$AF$46,[2]tropical!K$1,FALSE)</f>
        <v>0</v>
      </c>
      <c r="P96" s="800">
        <f>VLOOKUP($E96,[2]tropical!$A$4:$AF$46,[2]tropical!L$1,FALSE)</f>
        <v>0</v>
      </c>
      <c r="Q96" s="800">
        <f>VLOOKUP($E96,[2]tropical!$A$4:$AF$46,[2]tropical!M$1,FALSE)</f>
        <v>0</v>
      </c>
      <c r="R96" s="805">
        <f>VLOOKUP($E96,[2]tropical!$A$4:$AF$46,[2]tropical!N$1,FALSE)</f>
        <v>0</v>
      </c>
      <c r="S96" s="805">
        <f>VLOOKUP($E96,[2]tropical!$A$4:$AF$46,[2]tropical!O$1,FALSE)</f>
        <v>0</v>
      </c>
      <c r="T96" s="805">
        <f>VLOOKUP($E96,[2]tropical!$A$4:$AF$46,[2]tropical!P$1,FALSE)</f>
        <v>0</v>
      </c>
      <c r="U96" s="800">
        <f t="shared" si="1"/>
        <v>0</v>
      </c>
    </row>
    <row r="97" spans="1:21">
      <c r="A97" s="788">
        <v>8094</v>
      </c>
      <c r="B97" s="788" t="s">
        <v>1108</v>
      </c>
      <c r="C97" s="788">
        <v>272</v>
      </c>
      <c r="D97" s="788" t="s">
        <v>791</v>
      </c>
      <c r="E97" s="790" t="s">
        <v>2607</v>
      </c>
      <c r="F97" s="790" t="s">
        <v>2615</v>
      </c>
      <c r="G97" s="800">
        <f>VLOOKUP($E97,[2]tropical!$A$4:$AF$46,[2]tropical!C$1,FALSE)</f>
        <v>0</v>
      </c>
      <c r="H97" s="800">
        <f>VLOOKUP($E97,[2]tropical!$A$4:$AF$46,[2]tropical!D$1,FALSE)</f>
        <v>3</v>
      </c>
      <c r="I97" s="800">
        <f>VLOOKUP($E97,[2]tropical!$A$4:$AF$46,[2]tropical!E$1,FALSE)</f>
        <v>2</v>
      </c>
      <c r="J97" s="800">
        <f>VLOOKUP($E97,[2]tropical!$A$4:$AF$46,[2]tropical!F$1,FALSE)</f>
        <v>0</v>
      </c>
      <c r="K97" s="800">
        <f>VLOOKUP($E97,[2]tropical!$A$4:$AF$46,[2]tropical!G$1,FALSE)</f>
        <v>1</v>
      </c>
      <c r="L97" s="800">
        <f>VLOOKUP($E97,[2]tropical!$A$4:$AF$46,[2]tropical!H$1,FALSE)</f>
        <v>1</v>
      </c>
      <c r="M97" s="800">
        <f>VLOOKUP($E97,[2]tropical!$A$4:$AF$46,[2]tropical!I$1,FALSE)</f>
        <v>1</v>
      </c>
      <c r="N97" s="800">
        <f>VLOOKUP($E97,[2]tropical!$A$4:$AF$46,[2]tropical!J$1,FALSE)</f>
        <v>1</v>
      </c>
      <c r="O97" s="800">
        <f>VLOOKUP($E97,[2]tropical!$A$4:$AF$46,[2]tropical!K$1,FALSE)</f>
        <v>1</v>
      </c>
      <c r="P97" s="800">
        <f>VLOOKUP($E97,[2]tropical!$A$4:$AF$46,[2]tropical!L$1,FALSE)</f>
        <v>0</v>
      </c>
      <c r="Q97" s="800">
        <f>VLOOKUP($E97,[2]tropical!$A$4:$AF$46,[2]tropical!M$1,FALSE)</f>
        <v>0</v>
      </c>
      <c r="R97" s="805">
        <f>VLOOKUP($E97,[2]tropical!$A$4:$AF$46,[2]tropical!N$1,FALSE)</f>
        <v>0</v>
      </c>
      <c r="S97" s="805">
        <f>VLOOKUP($E97,[2]tropical!$A$4:$AF$46,[2]tropical!O$1,FALSE)</f>
        <v>0</v>
      </c>
      <c r="T97" s="805">
        <f>VLOOKUP($E97,[2]tropical!$A$4:$AF$46,[2]tropical!P$1,FALSE)</f>
        <v>0</v>
      </c>
      <c r="U97" s="800">
        <f t="shared" si="1"/>
        <v>10</v>
      </c>
    </row>
    <row r="98" spans="1:21">
      <c r="A98" s="788">
        <v>8095</v>
      </c>
      <c r="B98" s="788" t="s">
        <v>1110</v>
      </c>
      <c r="C98" s="788">
        <v>782</v>
      </c>
      <c r="D98" s="788" t="s">
        <v>24</v>
      </c>
      <c r="E98" s="790" t="s">
        <v>1494</v>
      </c>
      <c r="F98" s="790" t="s">
        <v>2616</v>
      </c>
      <c r="G98" s="800">
        <f>VLOOKUP($E98,[2]tropical!$A$4:$AF$46,[2]tropical!C$1,FALSE)</f>
        <v>0</v>
      </c>
      <c r="H98" s="800">
        <f>VLOOKUP($E98,[2]tropical!$A$4:$AF$46,[2]tropical!D$1,FALSE)</f>
        <v>0</v>
      </c>
      <c r="I98" s="800">
        <f>VLOOKUP($E98,[2]tropical!$A$4:$AF$46,[2]tropical!E$1,FALSE)</f>
        <v>0</v>
      </c>
      <c r="J98" s="800">
        <f>VLOOKUP($E98,[2]tropical!$A$4:$AF$46,[2]tropical!F$1,FALSE)</f>
        <v>0</v>
      </c>
      <c r="K98" s="800">
        <f>VLOOKUP($E98,[2]tropical!$A$4:$AF$46,[2]tropical!G$1,FALSE)</f>
        <v>0</v>
      </c>
      <c r="L98" s="800">
        <f>VLOOKUP($E98,[2]tropical!$A$4:$AF$46,[2]tropical!H$1,FALSE)</f>
        <v>0</v>
      </c>
      <c r="M98" s="800">
        <f>VLOOKUP($E98,[2]tropical!$A$4:$AF$46,[2]tropical!I$1,FALSE)</f>
        <v>0</v>
      </c>
      <c r="N98" s="800">
        <f>VLOOKUP($E98,[2]tropical!$A$4:$AF$46,[2]tropical!J$1,FALSE)</f>
        <v>0</v>
      </c>
      <c r="O98" s="800">
        <f>VLOOKUP($E98,[2]tropical!$A$4:$AF$46,[2]tropical!K$1,FALSE)</f>
        <v>0</v>
      </c>
      <c r="P98" s="800">
        <f>VLOOKUP($E98,[2]tropical!$A$4:$AF$46,[2]tropical!L$1,FALSE)</f>
        <v>0</v>
      </c>
      <c r="Q98" s="800">
        <f>VLOOKUP($E98,[2]tropical!$A$4:$AF$46,[2]tropical!M$1,FALSE)</f>
        <v>0</v>
      </c>
      <c r="R98" s="805">
        <f>VLOOKUP($E98,[2]tropical!$A$4:$AF$46,[2]tropical!N$1,FALSE)</f>
        <v>0</v>
      </c>
      <c r="S98" s="805">
        <f>VLOOKUP($E98,[2]tropical!$A$4:$AF$46,[2]tropical!O$1,FALSE)</f>
        <v>0</v>
      </c>
      <c r="T98" s="805">
        <f>VLOOKUP($E98,[2]tropical!$A$4:$AF$46,[2]tropical!P$1,FALSE)</f>
        <v>0</v>
      </c>
      <c r="U98" s="800">
        <f t="shared" si="1"/>
        <v>0</v>
      </c>
    </row>
    <row r="99" spans="1:21">
      <c r="A99" s="788">
        <v>8096</v>
      </c>
      <c r="B99" s="788" t="s">
        <v>1113</v>
      </c>
      <c r="C99" s="788">
        <v>145</v>
      </c>
      <c r="D99" s="788" t="s">
        <v>24</v>
      </c>
      <c r="E99" s="790" t="s">
        <v>1743</v>
      </c>
      <c r="F99" s="790" t="s">
        <v>2616</v>
      </c>
      <c r="G99" s="800">
        <f>VLOOKUP($E99,[2]tropical!$A$4:$AF$46,[2]tropical!C$1,FALSE)</f>
        <v>0</v>
      </c>
      <c r="H99" s="800">
        <f>VLOOKUP($E99,[2]tropical!$A$4:$AF$46,[2]tropical!D$1,FALSE)</f>
        <v>0</v>
      </c>
      <c r="I99" s="800">
        <f>VLOOKUP($E99,[2]tropical!$A$4:$AF$46,[2]tropical!E$1,FALSE)</f>
        <v>2</v>
      </c>
      <c r="J99" s="800">
        <f>VLOOKUP($E99,[2]tropical!$A$4:$AF$46,[2]tropical!F$1,FALSE)</f>
        <v>0</v>
      </c>
      <c r="K99" s="800">
        <f>VLOOKUP($E99,[2]tropical!$A$4:$AF$46,[2]tropical!G$1,FALSE)</f>
        <v>0</v>
      </c>
      <c r="L99" s="800">
        <f>VLOOKUP($E99,[2]tropical!$A$4:$AF$46,[2]tropical!H$1,FALSE)</f>
        <v>0</v>
      </c>
      <c r="M99" s="800">
        <f>VLOOKUP($E99,[2]tropical!$A$4:$AF$46,[2]tropical!I$1,FALSE)</f>
        <v>0</v>
      </c>
      <c r="N99" s="800">
        <f>VLOOKUP($E99,[2]tropical!$A$4:$AF$46,[2]tropical!J$1,FALSE)</f>
        <v>0</v>
      </c>
      <c r="O99" s="800">
        <f>VLOOKUP($E99,[2]tropical!$A$4:$AF$46,[2]tropical!K$1,FALSE)</f>
        <v>0</v>
      </c>
      <c r="P99" s="800">
        <f>VLOOKUP($E99,[2]tropical!$A$4:$AF$46,[2]tropical!L$1,FALSE)</f>
        <v>0</v>
      </c>
      <c r="Q99" s="800">
        <f>VLOOKUP($E99,[2]tropical!$A$4:$AF$46,[2]tropical!M$1,FALSE)</f>
        <v>0</v>
      </c>
      <c r="R99" s="805">
        <f>VLOOKUP($E99,[2]tropical!$A$4:$AF$46,[2]tropical!N$1,FALSE)</f>
        <v>0</v>
      </c>
      <c r="S99" s="805">
        <f>VLOOKUP($E99,[2]tropical!$A$4:$AF$46,[2]tropical!O$1,FALSE)</f>
        <v>0</v>
      </c>
      <c r="T99" s="805">
        <f>VLOOKUP($E99,[2]tropical!$A$4:$AF$46,[2]tropical!P$1,FALSE)</f>
        <v>0</v>
      </c>
      <c r="U99" s="800">
        <f t="shared" si="1"/>
        <v>2</v>
      </c>
    </row>
    <row r="100" spans="1:21">
      <c r="A100" s="788">
        <v>8097</v>
      </c>
      <c r="B100" s="788" t="s">
        <v>1116</v>
      </c>
      <c r="C100" s="788">
        <v>177</v>
      </c>
      <c r="D100" s="788" t="s">
        <v>24</v>
      </c>
      <c r="E100" s="790" t="s">
        <v>1743</v>
      </c>
      <c r="F100" s="790" t="s">
        <v>2616</v>
      </c>
      <c r="G100" s="800">
        <f>VLOOKUP($E100,[2]tropical!$A$4:$AF$46,[2]tropical!C$1,FALSE)</f>
        <v>0</v>
      </c>
      <c r="H100" s="800">
        <f>VLOOKUP($E100,[2]tropical!$A$4:$AF$46,[2]tropical!D$1,FALSE)</f>
        <v>0</v>
      </c>
      <c r="I100" s="800">
        <f>VLOOKUP($E100,[2]tropical!$A$4:$AF$46,[2]tropical!E$1,FALSE)</f>
        <v>2</v>
      </c>
      <c r="J100" s="800">
        <f>VLOOKUP($E100,[2]tropical!$A$4:$AF$46,[2]tropical!F$1,FALSE)</f>
        <v>0</v>
      </c>
      <c r="K100" s="800">
        <f>VLOOKUP($E100,[2]tropical!$A$4:$AF$46,[2]tropical!G$1,FALSE)</f>
        <v>0</v>
      </c>
      <c r="L100" s="800">
        <f>VLOOKUP($E100,[2]tropical!$A$4:$AF$46,[2]tropical!H$1,FALSE)</f>
        <v>0</v>
      </c>
      <c r="M100" s="800">
        <f>VLOOKUP($E100,[2]tropical!$A$4:$AF$46,[2]tropical!I$1,FALSE)</f>
        <v>0</v>
      </c>
      <c r="N100" s="800">
        <f>VLOOKUP($E100,[2]tropical!$A$4:$AF$46,[2]tropical!J$1,FALSE)</f>
        <v>0</v>
      </c>
      <c r="O100" s="800">
        <f>VLOOKUP($E100,[2]tropical!$A$4:$AF$46,[2]tropical!K$1,FALSE)</f>
        <v>0</v>
      </c>
      <c r="P100" s="800">
        <f>VLOOKUP($E100,[2]tropical!$A$4:$AF$46,[2]tropical!L$1,FALSE)</f>
        <v>0</v>
      </c>
      <c r="Q100" s="800">
        <f>VLOOKUP($E100,[2]tropical!$A$4:$AF$46,[2]tropical!M$1,FALSE)</f>
        <v>0</v>
      </c>
      <c r="R100" s="805">
        <f>VLOOKUP($E100,[2]tropical!$A$4:$AF$46,[2]tropical!N$1,FALSE)</f>
        <v>0</v>
      </c>
      <c r="S100" s="805">
        <f>VLOOKUP($E100,[2]tropical!$A$4:$AF$46,[2]tropical!O$1,FALSE)</f>
        <v>0</v>
      </c>
      <c r="T100" s="805">
        <f>VLOOKUP($E100,[2]tropical!$A$4:$AF$46,[2]tropical!P$1,FALSE)</f>
        <v>0</v>
      </c>
      <c r="U100" s="800">
        <f t="shared" si="1"/>
        <v>2</v>
      </c>
    </row>
    <row r="101" spans="1:21">
      <c r="A101" s="788">
        <v>8098</v>
      </c>
      <c r="B101" s="788" t="s">
        <v>1121</v>
      </c>
      <c r="C101" s="788">
        <v>334</v>
      </c>
      <c r="D101" s="788" t="s">
        <v>82</v>
      </c>
      <c r="E101" s="790" t="s">
        <v>1121</v>
      </c>
      <c r="F101" s="790" t="s">
        <v>2616</v>
      </c>
      <c r="G101" s="800">
        <f>VLOOKUP($E101,[2]tropical!$A$4:$AF$46,[2]tropical!C$1,FALSE)</f>
        <v>0</v>
      </c>
      <c r="H101" s="800">
        <f>VLOOKUP($E101,[2]tropical!$A$4:$AF$46,[2]tropical!D$1,FALSE)</f>
        <v>0</v>
      </c>
      <c r="I101" s="800">
        <f>VLOOKUP($E101,[2]tropical!$A$4:$AF$46,[2]tropical!E$1,FALSE)</f>
        <v>1</v>
      </c>
      <c r="J101" s="800">
        <f>VLOOKUP($E101,[2]tropical!$A$4:$AF$46,[2]tropical!F$1,FALSE)</f>
        <v>0</v>
      </c>
      <c r="K101" s="800">
        <f>VLOOKUP($E101,[2]tropical!$A$4:$AF$46,[2]tropical!G$1,FALSE)</f>
        <v>0</v>
      </c>
      <c r="L101" s="800">
        <f>VLOOKUP($E101,[2]tropical!$A$4:$AF$46,[2]tropical!H$1,FALSE)</f>
        <v>0</v>
      </c>
      <c r="M101" s="800">
        <f>VLOOKUP($E101,[2]tropical!$A$4:$AF$46,[2]tropical!I$1,FALSE)</f>
        <v>0</v>
      </c>
      <c r="N101" s="800">
        <f>VLOOKUP($E101,[2]tropical!$A$4:$AF$46,[2]tropical!J$1,FALSE)</f>
        <v>0</v>
      </c>
      <c r="O101" s="800">
        <f>VLOOKUP($E101,[2]tropical!$A$4:$AF$46,[2]tropical!K$1,FALSE)</f>
        <v>0</v>
      </c>
      <c r="P101" s="800">
        <f>VLOOKUP($E101,[2]tropical!$A$4:$AF$46,[2]tropical!L$1,FALSE)</f>
        <v>0</v>
      </c>
      <c r="Q101" s="800">
        <f>VLOOKUP($E101,[2]tropical!$A$4:$AF$46,[2]tropical!M$1,FALSE)</f>
        <v>0</v>
      </c>
      <c r="R101" s="805">
        <f>VLOOKUP($E101,[2]tropical!$A$4:$AF$46,[2]tropical!N$1,FALSE)</f>
        <v>0</v>
      </c>
      <c r="S101" s="805">
        <f>VLOOKUP($E101,[2]tropical!$A$4:$AF$46,[2]tropical!O$1,FALSE)</f>
        <v>0</v>
      </c>
      <c r="T101" s="805">
        <f>VLOOKUP($E101,[2]tropical!$A$4:$AF$46,[2]tropical!P$1,FALSE)</f>
        <v>0</v>
      </c>
      <c r="U101" s="800">
        <f t="shared" si="1"/>
        <v>1</v>
      </c>
    </row>
    <row r="102" spans="1:21">
      <c r="A102" s="788">
        <v>8099</v>
      </c>
      <c r="B102" s="788" t="s">
        <v>1125</v>
      </c>
      <c r="C102" s="788">
        <v>720</v>
      </c>
      <c r="D102" s="788" t="s">
        <v>84</v>
      </c>
      <c r="E102" s="790" t="s">
        <v>1125</v>
      </c>
      <c r="F102" s="790" t="s">
        <v>2617</v>
      </c>
      <c r="G102" s="800">
        <f>VLOOKUP($E102,[2]tropical!$A$4:$AF$46,[2]tropical!C$1,FALSE)</f>
        <v>0</v>
      </c>
      <c r="H102" s="800">
        <f>VLOOKUP($E102,[2]tropical!$A$4:$AF$46,[2]tropical!D$1,FALSE)</f>
        <v>0</v>
      </c>
      <c r="I102" s="800">
        <f>VLOOKUP($E102,[2]tropical!$A$4:$AF$46,[2]tropical!E$1,FALSE)</f>
        <v>0</v>
      </c>
      <c r="J102" s="800">
        <f>VLOOKUP($E102,[2]tropical!$A$4:$AF$46,[2]tropical!F$1,FALSE)</f>
        <v>0</v>
      </c>
      <c r="K102" s="800">
        <f>VLOOKUP($E102,[2]tropical!$A$4:$AF$46,[2]tropical!G$1,FALSE)</f>
        <v>0</v>
      </c>
      <c r="L102" s="800">
        <f>VLOOKUP($E102,[2]tropical!$A$4:$AF$46,[2]tropical!H$1,FALSE)</f>
        <v>0</v>
      </c>
      <c r="M102" s="800">
        <f>VLOOKUP($E102,[2]tropical!$A$4:$AF$46,[2]tropical!I$1,FALSE)</f>
        <v>0</v>
      </c>
      <c r="N102" s="800">
        <f>VLOOKUP($E102,[2]tropical!$A$4:$AF$46,[2]tropical!J$1,FALSE)</f>
        <v>0</v>
      </c>
      <c r="O102" s="800">
        <f>VLOOKUP($E102,[2]tropical!$A$4:$AF$46,[2]tropical!K$1,FALSE)</f>
        <v>0</v>
      </c>
      <c r="P102" s="800">
        <f>VLOOKUP($E102,[2]tropical!$A$4:$AF$46,[2]tropical!L$1,FALSE)</f>
        <v>0</v>
      </c>
      <c r="Q102" s="800">
        <f>VLOOKUP($E102,[2]tropical!$A$4:$AF$46,[2]tropical!M$1,FALSE)</f>
        <v>0</v>
      </c>
      <c r="R102" s="805">
        <f>VLOOKUP($E102,[2]tropical!$A$4:$AF$46,[2]tropical!N$1,FALSE)</f>
        <v>0</v>
      </c>
      <c r="S102" s="805">
        <f>VLOOKUP($E102,[2]tropical!$A$4:$AF$46,[2]tropical!O$1,FALSE)</f>
        <v>0</v>
      </c>
      <c r="T102" s="805">
        <f>VLOOKUP($E102,[2]tropical!$A$4:$AF$46,[2]tropical!P$1,FALSE)</f>
        <v>0</v>
      </c>
      <c r="U102" s="800">
        <f t="shared" si="1"/>
        <v>0</v>
      </c>
    </row>
    <row r="103" spans="1:21">
      <c r="A103" s="788">
        <v>8100</v>
      </c>
      <c r="B103" s="788" t="s">
        <v>1127</v>
      </c>
      <c r="C103" s="788">
        <v>516</v>
      </c>
      <c r="D103" s="788" t="s">
        <v>88</v>
      </c>
      <c r="E103" s="790" t="s">
        <v>1127</v>
      </c>
      <c r="F103" s="790" t="s">
        <v>2617</v>
      </c>
      <c r="G103" s="800">
        <f>VLOOKUP($E103,[2]tropical!$A$4:$AF$46,[2]tropical!C$1,FALSE)</f>
        <v>0</v>
      </c>
      <c r="H103" s="800">
        <f>VLOOKUP($E103,[2]tropical!$A$4:$AF$46,[2]tropical!D$1,FALSE)</f>
        <v>0</v>
      </c>
      <c r="I103" s="800">
        <f>VLOOKUP($E103,[2]tropical!$A$4:$AF$46,[2]tropical!E$1,FALSE)</f>
        <v>0</v>
      </c>
      <c r="J103" s="800">
        <f>VLOOKUP($E103,[2]tropical!$A$4:$AF$46,[2]tropical!F$1,FALSE)</f>
        <v>0</v>
      </c>
      <c r="K103" s="800">
        <f>VLOOKUP($E103,[2]tropical!$A$4:$AF$46,[2]tropical!G$1,FALSE)</f>
        <v>0</v>
      </c>
      <c r="L103" s="800">
        <f>VLOOKUP($E103,[2]tropical!$A$4:$AF$46,[2]tropical!H$1,FALSE)</f>
        <v>0</v>
      </c>
      <c r="M103" s="800">
        <f>VLOOKUP($E103,[2]tropical!$A$4:$AF$46,[2]tropical!I$1,FALSE)</f>
        <v>0</v>
      </c>
      <c r="N103" s="800">
        <f>VLOOKUP($E103,[2]tropical!$A$4:$AF$46,[2]tropical!J$1,FALSE)</f>
        <v>0</v>
      </c>
      <c r="O103" s="800">
        <f>VLOOKUP($E103,[2]tropical!$A$4:$AF$46,[2]tropical!K$1,FALSE)</f>
        <v>0</v>
      </c>
      <c r="P103" s="800">
        <f>VLOOKUP($E103,[2]tropical!$A$4:$AF$46,[2]tropical!L$1,FALSE)</f>
        <v>0</v>
      </c>
      <c r="Q103" s="800">
        <f>VLOOKUP($E103,[2]tropical!$A$4:$AF$46,[2]tropical!M$1,FALSE)</f>
        <v>0</v>
      </c>
      <c r="R103" s="805">
        <f>VLOOKUP($E103,[2]tropical!$A$4:$AF$46,[2]tropical!N$1,FALSE)</f>
        <v>0</v>
      </c>
      <c r="S103" s="805">
        <f>VLOOKUP($E103,[2]tropical!$A$4:$AF$46,[2]tropical!O$1,FALSE)</f>
        <v>0</v>
      </c>
      <c r="T103" s="805">
        <f>VLOOKUP($E103,[2]tropical!$A$4:$AF$46,[2]tropical!P$1,FALSE)</f>
        <v>0</v>
      </c>
      <c r="U103" s="800">
        <f t="shared" si="1"/>
        <v>0</v>
      </c>
    </row>
    <row r="104" spans="1:21" ht="24">
      <c r="A104" s="788">
        <v>8101</v>
      </c>
      <c r="B104" s="791" t="s">
        <v>2613</v>
      </c>
      <c r="C104" s="788">
        <v>8</v>
      </c>
      <c r="D104" s="788" t="s">
        <v>83</v>
      </c>
      <c r="E104" s="790" t="s">
        <v>2605</v>
      </c>
      <c r="F104" s="790" t="s">
        <v>2615</v>
      </c>
      <c r="G104" s="800">
        <f>VLOOKUP($E104,[2]tropical!$A$4:$AF$46,[2]tropical!C$1,FALSE)</f>
        <v>12</v>
      </c>
      <c r="H104" s="800">
        <f>VLOOKUP($E104,[2]tropical!$A$4:$AF$46,[2]tropical!D$1,FALSE)</f>
        <v>23</v>
      </c>
      <c r="I104" s="800">
        <f>VLOOKUP($E104,[2]tropical!$A$4:$AF$46,[2]tropical!E$1,FALSE)</f>
        <v>31</v>
      </c>
      <c r="J104" s="800">
        <f>VLOOKUP($E104,[2]tropical!$A$4:$AF$46,[2]tropical!F$1,FALSE)</f>
        <v>7</v>
      </c>
      <c r="K104" s="800">
        <f>VLOOKUP($E104,[2]tropical!$A$4:$AF$46,[2]tropical!G$1,FALSE)</f>
        <v>12</v>
      </c>
      <c r="L104" s="800">
        <f>VLOOKUP($E104,[2]tropical!$A$4:$AF$46,[2]tropical!H$1,FALSE)</f>
        <v>30</v>
      </c>
      <c r="M104" s="800">
        <f>VLOOKUP($E104,[2]tropical!$A$4:$AF$46,[2]tropical!I$1,FALSE)</f>
        <v>27</v>
      </c>
      <c r="N104" s="800">
        <f>VLOOKUP($E104,[2]tropical!$A$4:$AF$46,[2]tropical!J$1,FALSE)</f>
        <v>9</v>
      </c>
      <c r="O104" s="800">
        <f>VLOOKUP($E104,[2]tropical!$A$4:$AF$46,[2]tropical!K$1,FALSE)</f>
        <v>20</v>
      </c>
      <c r="P104" s="800">
        <f>VLOOKUP($E104,[2]tropical!$A$4:$AF$46,[2]tropical!L$1,FALSE)</f>
        <v>24</v>
      </c>
      <c r="Q104" s="800">
        <f>VLOOKUP($E104,[2]tropical!$A$4:$AF$46,[2]tropical!M$1,FALSE)</f>
        <v>4</v>
      </c>
      <c r="R104" s="805">
        <f>VLOOKUP($E104,[2]tropical!$A$4:$AF$46,[2]tropical!N$1,FALSE)</f>
        <v>0</v>
      </c>
      <c r="S104" s="805">
        <f>VLOOKUP($E104,[2]tropical!$A$4:$AF$46,[2]tropical!O$1,FALSE)</f>
        <v>0</v>
      </c>
      <c r="T104" s="805">
        <f>VLOOKUP($E104,[2]tropical!$A$4:$AF$46,[2]tropical!P$1,FALSE)</f>
        <v>0</v>
      </c>
      <c r="U104" s="800">
        <f t="shared" si="1"/>
        <v>199</v>
      </c>
    </row>
    <row r="105" spans="1:21">
      <c r="A105" s="788">
        <v>8102</v>
      </c>
      <c r="B105" s="788" t="s">
        <v>1136</v>
      </c>
      <c r="C105" s="788">
        <v>313</v>
      </c>
      <c r="D105" s="788" t="s">
        <v>81</v>
      </c>
      <c r="E105" s="790" t="s">
        <v>1274</v>
      </c>
      <c r="F105" s="790" t="s">
        <v>2616</v>
      </c>
      <c r="G105" s="800">
        <f>VLOOKUP($E105,[2]tropical!$A$4:$AF$46,[2]tropical!C$1,FALSE)</f>
        <v>0</v>
      </c>
      <c r="H105" s="800">
        <f>VLOOKUP($E105,[2]tropical!$A$4:$AF$46,[2]tropical!D$1,FALSE)</f>
        <v>0</v>
      </c>
      <c r="I105" s="800">
        <f>VLOOKUP($E105,[2]tropical!$A$4:$AF$46,[2]tropical!E$1,FALSE)</f>
        <v>0</v>
      </c>
      <c r="J105" s="800">
        <f>VLOOKUP($E105,[2]tropical!$A$4:$AF$46,[2]tropical!F$1,FALSE)</f>
        <v>0</v>
      </c>
      <c r="K105" s="800">
        <f>VLOOKUP($E105,[2]tropical!$A$4:$AF$46,[2]tropical!G$1,FALSE)</f>
        <v>1</v>
      </c>
      <c r="L105" s="800">
        <f>VLOOKUP($E105,[2]tropical!$A$4:$AF$46,[2]tropical!H$1,FALSE)</f>
        <v>0</v>
      </c>
      <c r="M105" s="800">
        <f>VLOOKUP($E105,[2]tropical!$A$4:$AF$46,[2]tropical!I$1,FALSE)</f>
        <v>0</v>
      </c>
      <c r="N105" s="800">
        <f>VLOOKUP($E105,[2]tropical!$A$4:$AF$46,[2]tropical!J$1,FALSE)</f>
        <v>0</v>
      </c>
      <c r="O105" s="800">
        <f>VLOOKUP($E105,[2]tropical!$A$4:$AF$46,[2]tropical!K$1,FALSE)</f>
        <v>1</v>
      </c>
      <c r="P105" s="800">
        <f>VLOOKUP($E105,[2]tropical!$A$4:$AF$46,[2]tropical!L$1,FALSE)</f>
        <v>0</v>
      </c>
      <c r="Q105" s="800">
        <f>VLOOKUP($E105,[2]tropical!$A$4:$AF$46,[2]tropical!M$1,FALSE)</f>
        <v>0</v>
      </c>
      <c r="R105" s="805">
        <f>VLOOKUP($E105,[2]tropical!$A$4:$AF$46,[2]tropical!N$1,FALSE)</f>
        <v>0</v>
      </c>
      <c r="S105" s="805">
        <f>VLOOKUP($E105,[2]tropical!$A$4:$AF$46,[2]tropical!O$1,FALSE)</f>
        <v>0</v>
      </c>
      <c r="T105" s="805">
        <f>VLOOKUP($E105,[2]tropical!$A$4:$AF$46,[2]tropical!P$1,FALSE)</f>
        <v>0</v>
      </c>
      <c r="U105" s="800">
        <f t="shared" si="1"/>
        <v>2</v>
      </c>
    </row>
    <row r="106" spans="1:21">
      <c r="A106" s="788">
        <v>8103</v>
      </c>
      <c r="B106" s="788" t="s">
        <v>1137</v>
      </c>
      <c r="C106" s="788">
        <v>380</v>
      </c>
      <c r="D106" s="788" t="s">
        <v>81</v>
      </c>
      <c r="E106" s="790" t="s">
        <v>1274</v>
      </c>
      <c r="F106" s="790" t="s">
        <v>2616</v>
      </c>
      <c r="G106" s="800">
        <f>VLOOKUP($E106,[2]tropical!$A$4:$AF$46,[2]tropical!C$1,FALSE)</f>
        <v>0</v>
      </c>
      <c r="H106" s="800">
        <f>VLOOKUP($E106,[2]tropical!$A$4:$AF$46,[2]tropical!D$1,FALSE)</f>
        <v>0</v>
      </c>
      <c r="I106" s="800">
        <f>VLOOKUP($E106,[2]tropical!$A$4:$AF$46,[2]tropical!E$1,FALSE)</f>
        <v>0</v>
      </c>
      <c r="J106" s="800">
        <f>VLOOKUP($E106,[2]tropical!$A$4:$AF$46,[2]tropical!F$1,FALSE)</f>
        <v>0</v>
      </c>
      <c r="K106" s="800">
        <f>VLOOKUP($E106,[2]tropical!$A$4:$AF$46,[2]tropical!G$1,FALSE)</f>
        <v>1</v>
      </c>
      <c r="L106" s="800">
        <f>VLOOKUP($E106,[2]tropical!$A$4:$AF$46,[2]tropical!H$1,FALSE)</f>
        <v>0</v>
      </c>
      <c r="M106" s="800">
        <f>VLOOKUP($E106,[2]tropical!$A$4:$AF$46,[2]tropical!I$1,FALSE)</f>
        <v>0</v>
      </c>
      <c r="N106" s="800">
        <f>VLOOKUP($E106,[2]tropical!$A$4:$AF$46,[2]tropical!J$1,FALSE)</f>
        <v>0</v>
      </c>
      <c r="O106" s="800">
        <f>VLOOKUP($E106,[2]tropical!$A$4:$AF$46,[2]tropical!K$1,FALSE)</f>
        <v>1</v>
      </c>
      <c r="P106" s="800">
        <f>VLOOKUP($E106,[2]tropical!$A$4:$AF$46,[2]tropical!L$1,FALSE)</f>
        <v>0</v>
      </c>
      <c r="Q106" s="800">
        <f>VLOOKUP($E106,[2]tropical!$A$4:$AF$46,[2]tropical!M$1,FALSE)</f>
        <v>0</v>
      </c>
      <c r="R106" s="805">
        <f>VLOOKUP($E106,[2]tropical!$A$4:$AF$46,[2]tropical!N$1,FALSE)</f>
        <v>0</v>
      </c>
      <c r="S106" s="805">
        <f>VLOOKUP($E106,[2]tropical!$A$4:$AF$46,[2]tropical!O$1,FALSE)</f>
        <v>0</v>
      </c>
      <c r="T106" s="805">
        <f>VLOOKUP($E106,[2]tropical!$A$4:$AF$46,[2]tropical!P$1,FALSE)</f>
        <v>0</v>
      </c>
      <c r="U106" s="800">
        <f t="shared" si="1"/>
        <v>2</v>
      </c>
    </row>
    <row r="107" spans="1:21">
      <c r="A107" s="788">
        <v>8104</v>
      </c>
      <c r="B107" s="788" t="s">
        <v>1142</v>
      </c>
      <c r="C107" s="788">
        <v>615</v>
      </c>
      <c r="D107" s="788" t="s">
        <v>81</v>
      </c>
      <c r="E107" s="790" t="s">
        <v>1274</v>
      </c>
      <c r="F107" s="790" t="s">
        <v>2616</v>
      </c>
      <c r="G107" s="800">
        <f>VLOOKUP($E107,[2]tropical!$A$4:$AF$46,[2]tropical!C$1,FALSE)</f>
        <v>0</v>
      </c>
      <c r="H107" s="800">
        <f>VLOOKUP($E107,[2]tropical!$A$4:$AF$46,[2]tropical!D$1,FALSE)</f>
        <v>0</v>
      </c>
      <c r="I107" s="800">
        <f>VLOOKUP($E107,[2]tropical!$A$4:$AF$46,[2]tropical!E$1,FALSE)</f>
        <v>0</v>
      </c>
      <c r="J107" s="800">
        <f>VLOOKUP($E107,[2]tropical!$A$4:$AF$46,[2]tropical!F$1,FALSE)</f>
        <v>0</v>
      </c>
      <c r="K107" s="800">
        <f>VLOOKUP($E107,[2]tropical!$A$4:$AF$46,[2]tropical!G$1,FALSE)</f>
        <v>1</v>
      </c>
      <c r="L107" s="800">
        <f>VLOOKUP($E107,[2]tropical!$A$4:$AF$46,[2]tropical!H$1,FALSE)</f>
        <v>0</v>
      </c>
      <c r="M107" s="800">
        <f>VLOOKUP($E107,[2]tropical!$A$4:$AF$46,[2]tropical!I$1,FALSE)</f>
        <v>0</v>
      </c>
      <c r="N107" s="800">
        <f>VLOOKUP($E107,[2]tropical!$A$4:$AF$46,[2]tropical!J$1,FALSE)</f>
        <v>0</v>
      </c>
      <c r="O107" s="800">
        <f>VLOOKUP($E107,[2]tropical!$A$4:$AF$46,[2]tropical!K$1,FALSE)</f>
        <v>1</v>
      </c>
      <c r="P107" s="800">
        <f>VLOOKUP($E107,[2]tropical!$A$4:$AF$46,[2]tropical!L$1,FALSE)</f>
        <v>0</v>
      </c>
      <c r="Q107" s="800">
        <f>VLOOKUP($E107,[2]tropical!$A$4:$AF$46,[2]tropical!M$1,FALSE)</f>
        <v>0</v>
      </c>
      <c r="R107" s="805">
        <f>VLOOKUP($E107,[2]tropical!$A$4:$AF$46,[2]tropical!N$1,FALSE)</f>
        <v>0</v>
      </c>
      <c r="S107" s="805">
        <f>VLOOKUP($E107,[2]tropical!$A$4:$AF$46,[2]tropical!O$1,FALSE)</f>
        <v>0</v>
      </c>
      <c r="T107" s="805">
        <f>VLOOKUP($E107,[2]tropical!$A$4:$AF$46,[2]tropical!P$1,FALSE)</f>
        <v>0</v>
      </c>
      <c r="U107" s="800">
        <f t="shared" si="1"/>
        <v>2</v>
      </c>
    </row>
    <row r="108" spans="1:21">
      <c r="A108" s="788">
        <v>8105</v>
      </c>
      <c r="B108" s="788" t="s">
        <v>1147</v>
      </c>
      <c r="C108" s="788">
        <v>45</v>
      </c>
      <c r="D108" s="788" t="s">
        <v>24</v>
      </c>
      <c r="E108" s="790" t="s">
        <v>1743</v>
      </c>
      <c r="F108" s="790" t="s">
        <v>2616</v>
      </c>
      <c r="G108" s="800">
        <f>VLOOKUP($E108,[2]tropical!$A$4:$AF$46,[2]tropical!C$1,FALSE)</f>
        <v>0</v>
      </c>
      <c r="H108" s="800">
        <f>VLOOKUP($E108,[2]tropical!$A$4:$AF$46,[2]tropical!D$1,FALSE)</f>
        <v>0</v>
      </c>
      <c r="I108" s="800">
        <f>VLOOKUP($E108,[2]tropical!$A$4:$AF$46,[2]tropical!E$1,FALSE)</f>
        <v>2</v>
      </c>
      <c r="J108" s="800">
        <f>VLOOKUP($E108,[2]tropical!$A$4:$AF$46,[2]tropical!F$1,FALSE)</f>
        <v>0</v>
      </c>
      <c r="K108" s="800">
        <f>VLOOKUP($E108,[2]tropical!$A$4:$AF$46,[2]tropical!G$1,FALSE)</f>
        <v>0</v>
      </c>
      <c r="L108" s="800">
        <f>VLOOKUP($E108,[2]tropical!$A$4:$AF$46,[2]tropical!H$1,FALSE)</f>
        <v>0</v>
      </c>
      <c r="M108" s="800">
        <f>VLOOKUP($E108,[2]tropical!$A$4:$AF$46,[2]tropical!I$1,FALSE)</f>
        <v>0</v>
      </c>
      <c r="N108" s="800">
        <f>VLOOKUP($E108,[2]tropical!$A$4:$AF$46,[2]tropical!J$1,FALSE)</f>
        <v>0</v>
      </c>
      <c r="O108" s="800">
        <f>VLOOKUP($E108,[2]tropical!$A$4:$AF$46,[2]tropical!K$1,FALSE)</f>
        <v>0</v>
      </c>
      <c r="P108" s="800">
        <f>VLOOKUP($E108,[2]tropical!$A$4:$AF$46,[2]tropical!L$1,FALSE)</f>
        <v>0</v>
      </c>
      <c r="Q108" s="800">
        <f>VLOOKUP($E108,[2]tropical!$A$4:$AF$46,[2]tropical!M$1,FALSE)</f>
        <v>0</v>
      </c>
      <c r="R108" s="805">
        <f>VLOOKUP($E108,[2]tropical!$A$4:$AF$46,[2]tropical!N$1,FALSE)</f>
        <v>0</v>
      </c>
      <c r="S108" s="805">
        <f>VLOOKUP($E108,[2]tropical!$A$4:$AF$46,[2]tropical!O$1,FALSE)</f>
        <v>0</v>
      </c>
      <c r="T108" s="805">
        <f>VLOOKUP($E108,[2]tropical!$A$4:$AF$46,[2]tropical!P$1,FALSE)</f>
        <v>0</v>
      </c>
      <c r="U108" s="800">
        <f t="shared" si="1"/>
        <v>2</v>
      </c>
    </row>
    <row r="109" spans="1:21">
      <c r="A109" s="788">
        <v>8106</v>
      </c>
      <c r="B109" s="788" t="s">
        <v>1149</v>
      </c>
      <c r="C109" s="788">
        <v>198</v>
      </c>
      <c r="D109" s="788" t="s">
        <v>24</v>
      </c>
      <c r="E109" s="790" t="s">
        <v>1743</v>
      </c>
      <c r="F109" s="790" t="s">
        <v>2616</v>
      </c>
      <c r="G109" s="800">
        <f>VLOOKUP($E109,[2]tropical!$A$4:$AF$46,[2]tropical!C$1,FALSE)</f>
        <v>0</v>
      </c>
      <c r="H109" s="800">
        <f>VLOOKUP($E109,[2]tropical!$A$4:$AF$46,[2]tropical!D$1,FALSE)</f>
        <v>0</v>
      </c>
      <c r="I109" s="800">
        <f>VLOOKUP($E109,[2]tropical!$A$4:$AF$46,[2]tropical!E$1,FALSE)</f>
        <v>2</v>
      </c>
      <c r="J109" s="800">
        <f>VLOOKUP($E109,[2]tropical!$A$4:$AF$46,[2]tropical!F$1,FALSE)</f>
        <v>0</v>
      </c>
      <c r="K109" s="800">
        <f>VLOOKUP($E109,[2]tropical!$A$4:$AF$46,[2]tropical!G$1,FALSE)</f>
        <v>0</v>
      </c>
      <c r="L109" s="800">
        <f>VLOOKUP($E109,[2]tropical!$A$4:$AF$46,[2]tropical!H$1,FALSE)</f>
        <v>0</v>
      </c>
      <c r="M109" s="800">
        <f>VLOOKUP($E109,[2]tropical!$A$4:$AF$46,[2]tropical!I$1,FALSE)</f>
        <v>0</v>
      </c>
      <c r="N109" s="800">
        <f>VLOOKUP($E109,[2]tropical!$A$4:$AF$46,[2]tropical!J$1,FALSE)</f>
        <v>0</v>
      </c>
      <c r="O109" s="800">
        <f>VLOOKUP($E109,[2]tropical!$A$4:$AF$46,[2]tropical!K$1,FALSE)</f>
        <v>0</v>
      </c>
      <c r="P109" s="800">
        <f>VLOOKUP($E109,[2]tropical!$A$4:$AF$46,[2]tropical!L$1,FALSE)</f>
        <v>0</v>
      </c>
      <c r="Q109" s="800">
        <f>VLOOKUP($E109,[2]tropical!$A$4:$AF$46,[2]tropical!M$1,FALSE)</f>
        <v>0</v>
      </c>
      <c r="R109" s="805">
        <f>VLOOKUP($E109,[2]tropical!$A$4:$AF$46,[2]tropical!N$1,FALSE)</f>
        <v>0</v>
      </c>
      <c r="S109" s="805">
        <f>VLOOKUP($E109,[2]tropical!$A$4:$AF$46,[2]tropical!O$1,FALSE)</f>
        <v>0</v>
      </c>
      <c r="T109" s="805">
        <f>VLOOKUP($E109,[2]tropical!$A$4:$AF$46,[2]tropical!P$1,FALSE)</f>
        <v>0</v>
      </c>
      <c r="U109" s="800">
        <f t="shared" si="1"/>
        <v>2</v>
      </c>
    </row>
    <row r="110" spans="1:21">
      <c r="A110" s="788">
        <v>8107</v>
      </c>
      <c r="B110" s="788" t="s">
        <v>1155</v>
      </c>
      <c r="C110" s="788">
        <v>145</v>
      </c>
      <c r="D110" s="788" t="s">
        <v>24</v>
      </c>
      <c r="E110" s="790" t="s">
        <v>867</v>
      </c>
      <c r="F110" s="790" t="s">
        <v>2616</v>
      </c>
      <c r="G110" s="800">
        <f>VLOOKUP($E110,[2]tropical!$A$4:$AF$46,[2]tropical!C$1,FALSE)</f>
        <v>0</v>
      </c>
      <c r="H110" s="800">
        <f>VLOOKUP($E110,[2]tropical!$A$4:$AF$46,[2]tropical!D$1,FALSE)</f>
        <v>1</v>
      </c>
      <c r="I110" s="800">
        <f>VLOOKUP($E110,[2]tropical!$A$4:$AF$46,[2]tropical!E$1,FALSE)</f>
        <v>2</v>
      </c>
      <c r="J110" s="800">
        <f>VLOOKUP($E110,[2]tropical!$A$4:$AF$46,[2]tropical!F$1,FALSE)</f>
        <v>1</v>
      </c>
      <c r="K110" s="800">
        <f>VLOOKUP($E110,[2]tropical!$A$4:$AF$46,[2]tropical!G$1,FALSE)</f>
        <v>0</v>
      </c>
      <c r="L110" s="800">
        <f>VLOOKUP($E110,[2]tropical!$A$4:$AF$46,[2]tropical!H$1,FALSE)</f>
        <v>2</v>
      </c>
      <c r="M110" s="800">
        <f>VLOOKUP($E110,[2]tropical!$A$4:$AF$46,[2]tropical!I$1,FALSE)</f>
        <v>0</v>
      </c>
      <c r="N110" s="800">
        <f>VLOOKUP($E110,[2]tropical!$A$4:$AF$46,[2]tropical!J$1,FALSE)</f>
        <v>0</v>
      </c>
      <c r="O110" s="800">
        <f>VLOOKUP($E110,[2]tropical!$A$4:$AF$46,[2]tropical!K$1,FALSE)</f>
        <v>2</v>
      </c>
      <c r="P110" s="800">
        <f>VLOOKUP($E110,[2]tropical!$A$4:$AF$46,[2]tropical!L$1,FALSE)</f>
        <v>0</v>
      </c>
      <c r="Q110" s="800">
        <f>VLOOKUP($E110,[2]tropical!$A$4:$AF$46,[2]tropical!M$1,FALSE)</f>
        <v>0</v>
      </c>
      <c r="R110" s="805">
        <f>VLOOKUP($E110,[2]tropical!$A$4:$AF$46,[2]tropical!N$1,FALSE)</f>
        <v>0</v>
      </c>
      <c r="S110" s="805">
        <f>VLOOKUP($E110,[2]tropical!$A$4:$AF$46,[2]tropical!O$1,FALSE)</f>
        <v>0</v>
      </c>
      <c r="T110" s="805">
        <f>VLOOKUP($E110,[2]tropical!$A$4:$AF$46,[2]tropical!P$1,FALSE)</f>
        <v>0</v>
      </c>
      <c r="U110" s="800">
        <f t="shared" si="1"/>
        <v>8</v>
      </c>
    </row>
    <row r="111" spans="1:21">
      <c r="A111" s="788">
        <v>8108</v>
      </c>
      <c r="B111" s="788" t="s">
        <v>1158</v>
      </c>
      <c r="C111" s="788">
        <v>125</v>
      </c>
      <c r="D111" s="788" t="s">
        <v>24</v>
      </c>
      <c r="E111" s="790" t="s">
        <v>867</v>
      </c>
      <c r="F111" s="790" t="s">
        <v>2616</v>
      </c>
      <c r="G111" s="800">
        <f>VLOOKUP($E111,[2]tropical!$A$4:$AF$46,[2]tropical!C$1,FALSE)</f>
        <v>0</v>
      </c>
      <c r="H111" s="800">
        <f>VLOOKUP($E111,[2]tropical!$A$4:$AF$46,[2]tropical!D$1,FALSE)</f>
        <v>1</v>
      </c>
      <c r="I111" s="800">
        <f>VLOOKUP($E111,[2]tropical!$A$4:$AF$46,[2]tropical!E$1,FALSE)</f>
        <v>2</v>
      </c>
      <c r="J111" s="800">
        <f>VLOOKUP($E111,[2]tropical!$A$4:$AF$46,[2]tropical!F$1,FALSE)</f>
        <v>1</v>
      </c>
      <c r="K111" s="800">
        <f>VLOOKUP($E111,[2]tropical!$A$4:$AF$46,[2]tropical!G$1,FALSE)</f>
        <v>0</v>
      </c>
      <c r="L111" s="800">
        <f>VLOOKUP($E111,[2]tropical!$A$4:$AF$46,[2]tropical!H$1,FALSE)</f>
        <v>2</v>
      </c>
      <c r="M111" s="800">
        <f>VLOOKUP($E111,[2]tropical!$A$4:$AF$46,[2]tropical!I$1,FALSE)</f>
        <v>0</v>
      </c>
      <c r="N111" s="800">
        <f>VLOOKUP($E111,[2]tropical!$A$4:$AF$46,[2]tropical!J$1,FALSE)</f>
        <v>0</v>
      </c>
      <c r="O111" s="800">
        <f>VLOOKUP($E111,[2]tropical!$A$4:$AF$46,[2]tropical!K$1,FALSE)</f>
        <v>2</v>
      </c>
      <c r="P111" s="800">
        <f>VLOOKUP($E111,[2]tropical!$A$4:$AF$46,[2]tropical!L$1,FALSE)</f>
        <v>0</v>
      </c>
      <c r="Q111" s="800">
        <f>VLOOKUP($E111,[2]tropical!$A$4:$AF$46,[2]tropical!M$1,FALSE)</f>
        <v>0</v>
      </c>
      <c r="R111" s="805">
        <f>VLOOKUP($E111,[2]tropical!$A$4:$AF$46,[2]tropical!N$1,FALSE)</f>
        <v>0</v>
      </c>
      <c r="S111" s="805">
        <f>VLOOKUP($E111,[2]tropical!$A$4:$AF$46,[2]tropical!O$1,FALSE)</f>
        <v>0</v>
      </c>
      <c r="T111" s="805">
        <f>VLOOKUP($E111,[2]tropical!$A$4:$AF$46,[2]tropical!P$1,FALSE)</f>
        <v>0</v>
      </c>
      <c r="U111" s="800">
        <f t="shared" si="1"/>
        <v>8</v>
      </c>
    </row>
    <row r="112" spans="1:21">
      <c r="A112" s="788">
        <v>8109</v>
      </c>
      <c r="B112" s="788" t="s">
        <v>1160</v>
      </c>
      <c r="C112" s="788">
        <v>745</v>
      </c>
      <c r="D112" s="788" t="s">
        <v>88</v>
      </c>
      <c r="E112" s="790" t="s">
        <v>1326</v>
      </c>
      <c r="F112" s="790" t="s">
        <v>2617</v>
      </c>
      <c r="G112" s="800">
        <f>VLOOKUP($E112,[2]tropical!$A$4:$AF$46,[2]tropical!C$1,FALSE)</f>
        <v>0</v>
      </c>
      <c r="H112" s="800">
        <f>VLOOKUP($E112,[2]tropical!$A$4:$AF$46,[2]tropical!D$1,FALSE)</f>
        <v>0</v>
      </c>
      <c r="I112" s="800">
        <f>VLOOKUP($E112,[2]tropical!$A$4:$AF$46,[2]tropical!E$1,FALSE)</f>
        <v>0</v>
      </c>
      <c r="J112" s="800">
        <f>VLOOKUP($E112,[2]tropical!$A$4:$AF$46,[2]tropical!F$1,FALSE)</f>
        <v>0</v>
      </c>
      <c r="K112" s="800">
        <f>VLOOKUP($E112,[2]tropical!$A$4:$AF$46,[2]tropical!G$1,FALSE)</f>
        <v>0</v>
      </c>
      <c r="L112" s="800">
        <f>VLOOKUP($E112,[2]tropical!$A$4:$AF$46,[2]tropical!H$1,FALSE)</f>
        <v>0</v>
      </c>
      <c r="M112" s="800">
        <f>VLOOKUP($E112,[2]tropical!$A$4:$AF$46,[2]tropical!I$1,FALSE)</f>
        <v>0</v>
      </c>
      <c r="N112" s="800">
        <f>VLOOKUP($E112,[2]tropical!$A$4:$AF$46,[2]tropical!J$1,FALSE)</f>
        <v>0</v>
      </c>
      <c r="O112" s="800">
        <f>VLOOKUP($E112,[2]tropical!$A$4:$AF$46,[2]tropical!K$1,FALSE)</f>
        <v>0</v>
      </c>
      <c r="P112" s="800">
        <f>VLOOKUP($E112,[2]tropical!$A$4:$AF$46,[2]tropical!L$1,FALSE)</f>
        <v>0</v>
      </c>
      <c r="Q112" s="800">
        <f>VLOOKUP($E112,[2]tropical!$A$4:$AF$46,[2]tropical!M$1,FALSE)</f>
        <v>0</v>
      </c>
      <c r="R112" s="805">
        <f>VLOOKUP($E112,[2]tropical!$A$4:$AF$46,[2]tropical!N$1,FALSE)</f>
        <v>0</v>
      </c>
      <c r="S112" s="805">
        <f>VLOOKUP($E112,[2]tropical!$A$4:$AF$46,[2]tropical!O$1,FALSE)</f>
        <v>0</v>
      </c>
      <c r="T112" s="805">
        <f>VLOOKUP($E112,[2]tropical!$A$4:$AF$46,[2]tropical!P$1,FALSE)</f>
        <v>0</v>
      </c>
      <c r="U112" s="800">
        <f t="shared" si="1"/>
        <v>0</v>
      </c>
    </row>
    <row r="113" spans="1:21">
      <c r="A113" s="788">
        <v>8110</v>
      </c>
      <c r="B113" s="788" t="s">
        <v>343</v>
      </c>
      <c r="C113" s="788">
        <v>4</v>
      </c>
      <c r="D113" s="788" t="s">
        <v>86</v>
      </c>
      <c r="E113" s="790" t="s">
        <v>343</v>
      </c>
      <c r="F113" s="790" t="s">
        <v>2615</v>
      </c>
      <c r="G113" s="800">
        <f>VLOOKUP($E113,[2]tropical!$A$4:$AF$46,[2]tropical!C$1,FALSE)</f>
        <v>14</v>
      </c>
      <c r="H113" s="800">
        <f>VLOOKUP($E113,[2]tropical!$A$4:$AF$46,[2]tropical!D$1,FALSE)</f>
        <v>8</v>
      </c>
      <c r="I113" s="800">
        <f>VLOOKUP($E113,[2]tropical!$A$4:$AF$46,[2]tropical!E$1,FALSE)</f>
        <v>3</v>
      </c>
      <c r="J113" s="800">
        <f>VLOOKUP($E113,[2]tropical!$A$4:$AF$46,[2]tropical!F$1,FALSE)</f>
        <v>4</v>
      </c>
      <c r="K113" s="800">
        <f>VLOOKUP($E113,[2]tropical!$A$4:$AF$46,[2]tropical!G$1,FALSE)</f>
        <v>2</v>
      </c>
      <c r="L113" s="800">
        <f>VLOOKUP($E113,[2]tropical!$A$4:$AF$46,[2]tropical!H$1,FALSE)</f>
        <v>9</v>
      </c>
      <c r="M113" s="800">
        <f>VLOOKUP($E113,[2]tropical!$A$4:$AF$46,[2]tropical!I$1,FALSE)</f>
        <v>4</v>
      </c>
      <c r="N113" s="800">
        <f>VLOOKUP($E113,[2]tropical!$A$4:$AF$46,[2]tropical!J$1,FALSE)</f>
        <v>3</v>
      </c>
      <c r="O113" s="800">
        <f>VLOOKUP($E113,[2]tropical!$A$4:$AF$46,[2]tropical!K$1,FALSE)</f>
        <v>7</v>
      </c>
      <c r="P113" s="800">
        <f>VLOOKUP($E113,[2]tropical!$A$4:$AF$46,[2]tropical!L$1,FALSE)</f>
        <v>5</v>
      </c>
      <c r="Q113" s="800">
        <f>VLOOKUP($E113,[2]tropical!$A$4:$AF$46,[2]tropical!M$1,FALSE)</f>
        <v>3</v>
      </c>
      <c r="R113" s="805">
        <f>VLOOKUP($E113,[2]tropical!$A$4:$AF$46,[2]tropical!N$1,FALSE)</f>
        <v>0</v>
      </c>
      <c r="S113" s="805">
        <f>VLOOKUP($E113,[2]tropical!$A$4:$AF$46,[2]tropical!O$1,FALSE)</f>
        <v>0</v>
      </c>
      <c r="T113" s="805">
        <f>VLOOKUP($E113,[2]tropical!$A$4:$AF$46,[2]tropical!P$1,FALSE)</f>
        <v>0</v>
      </c>
      <c r="U113" s="800">
        <f t="shared" si="1"/>
        <v>62</v>
      </c>
    </row>
    <row r="114" spans="1:21">
      <c r="A114" s="788">
        <v>8111</v>
      </c>
      <c r="B114" s="788" t="s">
        <v>1171</v>
      </c>
      <c r="C114" s="788">
        <v>580</v>
      </c>
      <c r="D114" s="788" t="s">
        <v>88</v>
      </c>
      <c r="E114" s="790" t="s">
        <v>1127</v>
      </c>
      <c r="F114" s="790" t="s">
        <v>2617</v>
      </c>
      <c r="G114" s="800">
        <f>VLOOKUP($E114,[2]tropical!$A$4:$AF$46,[2]tropical!C$1,FALSE)</f>
        <v>0</v>
      </c>
      <c r="H114" s="800">
        <f>VLOOKUP($E114,[2]tropical!$A$4:$AF$46,[2]tropical!D$1,FALSE)</f>
        <v>0</v>
      </c>
      <c r="I114" s="800">
        <f>VLOOKUP($E114,[2]tropical!$A$4:$AF$46,[2]tropical!E$1,FALSE)</f>
        <v>0</v>
      </c>
      <c r="J114" s="800">
        <f>VLOOKUP($E114,[2]tropical!$A$4:$AF$46,[2]tropical!F$1,FALSE)</f>
        <v>0</v>
      </c>
      <c r="K114" s="800">
        <f>VLOOKUP($E114,[2]tropical!$A$4:$AF$46,[2]tropical!G$1,FALSE)</f>
        <v>0</v>
      </c>
      <c r="L114" s="800">
        <f>VLOOKUP($E114,[2]tropical!$A$4:$AF$46,[2]tropical!H$1,FALSE)</f>
        <v>0</v>
      </c>
      <c r="M114" s="800">
        <f>VLOOKUP($E114,[2]tropical!$A$4:$AF$46,[2]tropical!I$1,FALSE)</f>
        <v>0</v>
      </c>
      <c r="N114" s="800">
        <f>VLOOKUP($E114,[2]tropical!$A$4:$AF$46,[2]tropical!J$1,FALSE)</f>
        <v>0</v>
      </c>
      <c r="O114" s="800">
        <f>VLOOKUP($E114,[2]tropical!$A$4:$AF$46,[2]tropical!K$1,FALSE)</f>
        <v>0</v>
      </c>
      <c r="P114" s="800">
        <f>VLOOKUP($E114,[2]tropical!$A$4:$AF$46,[2]tropical!L$1,FALSE)</f>
        <v>0</v>
      </c>
      <c r="Q114" s="800">
        <f>VLOOKUP($E114,[2]tropical!$A$4:$AF$46,[2]tropical!M$1,FALSE)</f>
        <v>0</v>
      </c>
      <c r="R114" s="805">
        <f>VLOOKUP($E114,[2]tropical!$A$4:$AF$46,[2]tropical!N$1,FALSE)</f>
        <v>0</v>
      </c>
      <c r="S114" s="805">
        <f>VLOOKUP($E114,[2]tropical!$A$4:$AF$46,[2]tropical!O$1,FALSE)</f>
        <v>0</v>
      </c>
      <c r="T114" s="805">
        <f>VLOOKUP($E114,[2]tropical!$A$4:$AF$46,[2]tropical!P$1,FALSE)</f>
        <v>0</v>
      </c>
      <c r="U114" s="800">
        <f t="shared" si="1"/>
        <v>0</v>
      </c>
    </row>
    <row r="115" spans="1:21">
      <c r="A115" s="788">
        <v>8112</v>
      </c>
      <c r="B115" s="788" t="s">
        <v>721</v>
      </c>
      <c r="C115" s="788">
        <v>461</v>
      </c>
      <c r="D115" s="788" t="s">
        <v>88</v>
      </c>
      <c r="E115" s="790" t="s">
        <v>1127</v>
      </c>
      <c r="F115" s="790" t="s">
        <v>2617</v>
      </c>
      <c r="G115" s="800">
        <f>VLOOKUP($E115,[2]tropical!$A$4:$AF$46,[2]tropical!C$1,FALSE)</f>
        <v>0</v>
      </c>
      <c r="H115" s="800">
        <f>VLOOKUP($E115,[2]tropical!$A$4:$AF$46,[2]tropical!D$1,FALSE)</f>
        <v>0</v>
      </c>
      <c r="I115" s="800">
        <f>VLOOKUP($E115,[2]tropical!$A$4:$AF$46,[2]tropical!E$1,FALSE)</f>
        <v>0</v>
      </c>
      <c r="J115" s="800">
        <f>VLOOKUP($E115,[2]tropical!$A$4:$AF$46,[2]tropical!F$1,FALSE)</f>
        <v>0</v>
      </c>
      <c r="K115" s="800">
        <f>VLOOKUP($E115,[2]tropical!$A$4:$AF$46,[2]tropical!G$1,FALSE)</f>
        <v>0</v>
      </c>
      <c r="L115" s="800">
        <f>VLOOKUP($E115,[2]tropical!$A$4:$AF$46,[2]tropical!H$1,FALSE)</f>
        <v>0</v>
      </c>
      <c r="M115" s="800">
        <f>VLOOKUP($E115,[2]tropical!$A$4:$AF$46,[2]tropical!I$1,FALSE)</f>
        <v>0</v>
      </c>
      <c r="N115" s="800">
        <f>VLOOKUP($E115,[2]tropical!$A$4:$AF$46,[2]tropical!J$1,FALSE)</f>
        <v>0</v>
      </c>
      <c r="O115" s="800">
        <f>VLOOKUP($E115,[2]tropical!$A$4:$AF$46,[2]tropical!K$1,FALSE)</f>
        <v>0</v>
      </c>
      <c r="P115" s="800">
        <f>VLOOKUP($E115,[2]tropical!$A$4:$AF$46,[2]tropical!L$1,FALSE)</f>
        <v>0</v>
      </c>
      <c r="Q115" s="800">
        <f>VLOOKUP($E115,[2]tropical!$A$4:$AF$46,[2]tropical!M$1,FALSE)</f>
        <v>0</v>
      </c>
      <c r="R115" s="805">
        <f>VLOOKUP($E115,[2]tropical!$A$4:$AF$46,[2]tropical!N$1,FALSE)</f>
        <v>0</v>
      </c>
      <c r="S115" s="805">
        <f>VLOOKUP($E115,[2]tropical!$A$4:$AF$46,[2]tropical!O$1,FALSE)</f>
        <v>0</v>
      </c>
      <c r="T115" s="805">
        <f>VLOOKUP($E115,[2]tropical!$A$4:$AF$46,[2]tropical!P$1,FALSE)</f>
        <v>0</v>
      </c>
      <c r="U115" s="800">
        <f t="shared" si="1"/>
        <v>0</v>
      </c>
    </row>
    <row r="116" spans="1:21">
      <c r="A116" s="788">
        <v>8113</v>
      </c>
      <c r="B116" s="788" t="s">
        <v>699</v>
      </c>
      <c r="C116" s="788">
        <v>238</v>
      </c>
      <c r="D116" s="788" t="s">
        <v>82</v>
      </c>
      <c r="E116" s="790" t="s">
        <v>2610</v>
      </c>
      <c r="F116" s="790" t="s">
        <v>2616</v>
      </c>
      <c r="G116" s="800">
        <f>VLOOKUP($E116,[2]tropical!$A$4:$AF$46,[2]tropical!C$1,FALSE)</f>
        <v>0</v>
      </c>
      <c r="H116" s="800">
        <f>VLOOKUP($E116,[2]tropical!$A$4:$AF$46,[2]tropical!D$1,FALSE)</f>
        <v>2</v>
      </c>
      <c r="I116" s="800">
        <f>VLOOKUP($E116,[2]tropical!$A$4:$AF$46,[2]tropical!E$1,FALSE)</f>
        <v>2</v>
      </c>
      <c r="J116" s="800">
        <f>VLOOKUP($E116,[2]tropical!$A$4:$AF$46,[2]tropical!F$1,FALSE)</f>
        <v>0</v>
      </c>
      <c r="K116" s="800">
        <f>VLOOKUP($E116,[2]tropical!$A$4:$AF$46,[2]tropical!G$1,FALSE)</f>
        <v>0</v>
      </c>
      <c r="L116" s="800">
        <f>VLOOKUP($E116,[2]tropical!$A$4:$AF$46,[2]tropical!H$1,FALSE)</f>
        <v>0</v>
      </c>
      <c r="M116" s="800">
        <f>VLOOKUP($E116,[2]tropical!$A$4:$AF$46,[2]tropical!I$1,FALSE)</f>
        <v>0</v>
      </c>
      <c r="N116" s="800">
        <f>VLOOKUP($E116,[2]tropical!$A$4:$AF$46,[2]tropical!J$1,FALSE)</f>
        <v>0</v>
      </c>
      <c r="O116" s="800">
        <f>VLOOKUP($E116,[2]tropical!$A$4:$AF$46,[2]tropical!K$1,FALSE)</f>
        <v>1</v>
      </c>
      <c r="P116" s="800">
        <f>VLOOKUP($E116,[2]tropical!$A$4:$AF$46,[2]tropical!L$1,FALSE)</f>
        <v>0</v>
      </c>
      <c r="Q116" s="800">
        <f>VLOOKUP($E116,[2]tropical!$A$4:$AF$46,[2]tropical!M$1,FALSE)</f>
        <v>0</v>
      </c>
      <c r="R116" s="805">
        <f>VLOOKUP($E116,[2]tropical!$A$4:$AF$46,[2]tropical!N$1,FALSE)</f>
        <v>0</v>
      </c>
      <c r="S116" s="805">
        <f>VLOOKUP($E116,[2]tropical!$A$4:$AF$46,[2]tropical!O$1,FALSE)</f>
        <v>0</v>
      </c>
      <c r="T116" s="805">
        <f>VLOOKUP($E116,[2]tropical!$A$4:$AF$46,[2]tropical!P$1,FALSE)</f>
        <v>0</v>
      </c>
      <c r="U116" s="800">
        <f t="shared" si="1"/>
        <v>5</v>
      </c>
    </row>
    <row r="117" spans="1:21">
      <c r="A117" s="788">
        <v>8114</v>
      </c>
      <c r="B117" s="788" t="s">
        <v>677</v>
      </c>
      <c r="C117" s="788">
        <v>56</v>
      </c>
      <c r="D117" s="788" t="s">
        <v>90</v>
      </c>
      <c r="E117" s="790" t="s">
        <v>1697</v>
      </c>
      <c r="F117" s="790" t="s">
        <v>2615</v>
      </c>
      <c r="G117" s="800">
        <f>VLOOKUP($E117,[2]tropical!$A$4:$AF$46,[2]tropical!C$1,FALSE)</f>
        <v>8</v>
      </c>
      <c r="H117" s="800">
        <f>VLOOKUP($E117,[2]tropical!$A$4:$AF$46,[2]tropical!D$1,FALSE)</f>
        <v>14</v>
      </c>
      <c r="I117" s="800">
        <f>VLOOKUP($E117,[2]tropical!$A$4:$AF$46,[2]tropical!E$1,FALSE)</f>
        <v>22</v>
      </c>
      <c r="J117" s="800">
        <f>VLOOKUP($E117,[2]tropical!$A$4:$AF$46,[2]tropical!F$1,FALSE)</f>
        <v>5</v>
      </c>
      <c r="K117" s="800">
        <f>VLOOKUP($E117,[2]tropical!$A$4:$AF$46,[2]tropical!G$1,FALSE)</f>
        <v>5</v>
      </c>
      <c r="L117" s="800">
        <f>VLOOKUP($E117,[2]tropical!$A$4:$AF$46,[2]tropical!H$1,FALSE)</f>
        <v>17</v>
      </c>
      <c r="M117" s="800">
        <f>VLOOKUP($E117,[2]tropical!$A$4:$AF$46,[2]tropical!I$1,FALSE)</f>
        <v>24</v>
      </c>
      <c r="N117" s="800">
        <f>VLOOKUP($E117,[2]tropical!$A$4:$AF$46,[2]tropical!J$1,FALSE)</f>
        <v>3</v>
      </c>
      <c r="O117" s="800">
        <f>VLOOKUP($E117,[2]tropical!$A$4:$AF$46,[2]tropical!K$1,FALSE)</f>
        <v>17</v>
      </c>
      <c r="P117" s="800">
        <f>VLOOKUP($E117,[2]tropical!$A$4:$AF$46,[2]tropical!L$1,FALSE)</f>
        <v>7</v>
      </c>
      <c r="Q117" s="800">
        <f>VLOOKUP($E117,[2]tropical!$A$4:$AF$46,[2]tropical!M$1,FALSE)</f>
        <v>3</v>
      </c>
      <c r="R117" s="805">
        <f>VLOOKUP($E117,[2]tropical!$A$4:$AF$46,[2]tropical!N$1,FALSE)</f>
        <v>0</v>
      </c>
      <c r="S117" s="805">
        <f>VLOOKUP($E117,[2]tropical!$A$4:$AF$46,[2]tropical!O$1,FALSE)</f>
        <v>0</v>
      </c>
      <c r="T117" s="805">
        <f>VLOOKUP($E117,[2]tropical!$A$4:$AF$46,[2]tropical!P$1,FALSE)</f>
        <v>0</v>
      </c>
      <c r="U117" s="800">
        <f t="shared" si="1"/>
        <v>125</v>
      </c>
    </row>
    <row r="118" spans="1:21">
      <c r="A118" s="788">
        <v>8115</v>
      </c>
      <c r="B118" s="788" t="s">
        <v>1183</v>
      </c>
      <c r="C118" s="788">
        <v>96</v>
      </c>
      <c r="D118" s="788" t="s">
        <v>24</v>
      </c>
      <c r="E118" s="790" t="s">
        <v>1743</v>
      </c>
      <c r="F118" s="790" t="s">
        <v>2616</v>
      </c>
      <c r="G118" s="800">
        <f>VLOOKUP($E118,[2]tropical!$A$4:$AF$46,[2]tropical!C$1,FALSE)</f>
        <v>0</v>
      </c>
      <c r="H118" s="800">
        <f>VLOOKUP($E118,[2]tropical!$A$4:$AF$46,[2]tropical!D$1,FALSE)</f>
        <v>0</v>
      </c>
      <c r="I118" s="800">
        <f>VLOOKUP($E118,[2]tropical!$A$4:$AF$46,[2]tropical!E$1,FALSE)</f>
        <v>2</v>
      </c>
      <c r="J118" s="800">
        <f>VLOOKUP($E118,[2]tropical!$A$4:$AF$46,[2]tropical!F$1,FALSE)</f>
        <v>0</v>
      </c>
      <c r="K118" s="800">
        <f>VLOOKUP($E118,[2]tropical!$A$4:$AF$46,[2]tropical!G$1,FALSE)</f>
        <v>0</v>
      </c>
      <c r="L118" s="800">
        <f>VLOOKUP($E118,[2]tropical!$A$4:$AF$46,[2]tropical!H$1,FALSE)</f>
        <v>0</v>
      </c>
      <c r="M118" s="800">
        <f>VLOOKUP($E118,[2]tropical!$A$4:$AF$46,[2]tropical!I$1,FALSE)</f>
        <v>0</v>
      </c>
      <c r="N118" s="800">
        <f>VLOOKUP($E118,[2]tropical!$A$4:$AF$46,[2]tropical!J$1,FALSE)</f>
        <v>0</v>
      </c>
      <c r="O118" s="800">
        <f>VLOOKUP($E118,[2]tropical!$A$4:$AF$46,[2]tropical!K$1,FALSE)</f>
        <v>0</v>
      </c>
      <c r="P118" s="800">
        <f>VLOOKUP($E118,[2]tropical!$A$4:$AF$46,[2]tropical!L$1,FALSE)</f>
        <v>0</v>
      </c>
      <c r="Q118" s="800">
        <f>VLOOKUP($E118,[2]tropical!$A$4:$AF$46,[2]tropical!M$1,FALSE)</f>
        <v>0</v>
      </c>
      <c r="R118" s="805">
        <f>VLOOKUP($E118,[2]tropical!$A$4:$AF$46,[2]tropical!N$1,FALSE)</f>
        <v>0</v>
      </c>
      <c r="S118" s="805">
        <f>VLOOKUP($E118,[2]tropical!$A$4:$AF$46,[2]tropical!O$1,FALSE)</f>
        <v>0</v>
      </c>
      <c r="T118" s="805">
        <f>VLOOKUP($E118,[2]tropical!$A$4:$AF$46,[2]tropical!P$1,FALSE)</f>
        <v>0</v>
      </c>
      <c r="U118" s="800">
        <f t="shared" si="1"/>
        <v>2</v>
      </c>
    </row>
    <row r="119" spans="1:21">
      <c r="A119" s="788">
        <v>8116</v>
      </c>
      <c r="B119" s="788" t="s">
        <v>1184</v>
      </c>
      <c r="C119" s="788">
        <v>468</v>
      </c>
      <c r="D119" s="788" t="s">
        <v>88</v>
      </c>
      <c r="E119" s="790" t="s">
        <v>1127</v>
      </c>
      <c r="F119" s="790" t="s">
        <v>2617</v>
      </c>
      <c r="G119" s="800">
        <f>VLOOKUP($E119,[2]tropical!$A$4:$AF$46,[2]tropical!C$1,FALSE)</f>
        <v>0</v>
      </c>
      <c r="H119" s="800">
        <f>VLOOKUP($E119,[2]tropical!$A$4:$AF$46,[2]tropical!D$1,FALSE)</f>
        <v>0</v>
      </c>
      <c r="I119" s="800">
        <f>VLOOKUP($E119,[2]tropical!$A$4:$AF$46,[2]tropical!E$1,FALSE)</f>
        <v>0</v>
      </c>
      <c r="J119" s="800">
        <f>VLOOKUP($E119,[2]tropical!$A$4:$AF$46,[2]tropical!F$1,FALSE)</f>
        <v>0</v>
      </c>
      <c r="K119" s="800">
        <f>VLOOKUP($E119,[2]tropical!$A$4:$AF$46,[2]tropical!G$1,FALSE)</f>
        <v>0</v>
      </c>
      <c r="L119" s="800">
        <f>VLOOKUP($E119,[2]tropical!$A$4:$AF$46,[2]tropical!H$1,FALSE)</f>
        <v>0</v>
      </c>
      <c r="M119" s="800">
        <f>VLOOKUP($E119,[2]tropical!$A$4:$AF$46,[2]tropical!I$1,FALSE)</f>
        <v>0</v>
      </c>
      <c r="N119" s="800">
        <f>VLOOKUP($E119,[2]tropical!$A$4:$AF$46,[2]tropical!J$1,FALSE)</f>
        <v>0</v>
      </c>
      <c r="O119" s="800">
        <f>VLOOKUP($E119,[2]tropical!$A$4:$AF$46,[2]tropical!K$1,FALSE)</f>
        <v>0</v>
      </c>
      <c r="P119" s="800">
        <f>VLOOKUP($E119,[2]tropical!$A$4:$AF$46,[2]tropical!L$1,FALSE)</f>
        <v>0</v>
      </c>
      <c r="Q119" s="800">
        <f>VLOOKUP($E119,[2]tropical!$A$4:$AF$46,[2]tropical!M$1,FALSE)</f>
        <v>0</v>
      </c>
      <c r="R119" s="805">
        <f>VLOOKUP($E119,[2]tropical!$A$4:$AF$46,[2]tropical!N$1,FALSE)</f>
        <v>0</v>
      </c>
      <c r="S119" s="805">
        <f>VLOOKUP($E119,[2]tropical!$A$4:$AF$46,[2]tropical!O$1,FALSE)</f>
        <v>0</v>
      </c>
      <c r="T119" s="805">
        <f>VLOOKUP($E119,[2]tropical!$A$4:$AF$46,[2]tropical!P$1,FALSE)</f>
        <v>0</v>
      </c>
      <c r="U119" s="800">
        <f t="shared" si="1"/>
        <v>0</v>
      </c>
    </row>
    <row r="120" spans="1:21">
      <c r="A120" s="788">
        <v>8117</v>
      </c>
      <c r="B120" s="788" t="s">
        <v>1187</v>
      </c>
      <c r="C120" s="788">
        <v>533</v>
      </c>
      <c r="D120" s="788" t="s">
        <v>88</v>
      </c>
      <c r="E120" s="790" t="s">
        <v>1127</v>
      </c>
      <c r="F120" s="790" t="s">
        <v>2617</v>
      </c>
      <c r="G120" s="800">
        <f>VLOOKUP($E120,[2]tropical!$A$4:$AF$46,[2]tropical!C$1,FALSE)</f>
        <v>0</v>
      </c>
      <c r="H120" s="800">
        <f>VLOOKUP($E120,[2]tropical!$A$4:$AF$46,[2]tropical!D$1,FALSE)</f>
        <v>0</v>
      </c>
      <c r="I120" s="800">
        <f>VLOOKUP($E120,[2]tropical!$A$4:$AF$46,[2]tropical!E$1,FALSE)</f>
        <v>0</v>
      </c>
      <c r="J120" s="800">
        <f>VLOOKUP($E120,[2]tropical!$A$4:$AF$46,[2]tropical!F$1,FALSE)</f>
        <v>0</v>
      </c>
      <c r="K120" s="800">
        <f>VLOOKUP($E120,[2]tropical!$A$4:$AF$46,[2]tropical!G$1,FALSE)</f>
        <v>0</v>
      </c>
      <c r="L120" s="800">
        <f>VLOOKUP($E120,[2]tropical!$A$4:$AF$46,[2]tropical!H$1,FALSE)</f>
        <v>0</v>
      </c>
      <c r="M120" s="800">
        <f>VLOOKUP($E120,[2]tropical!$A$4:$AF$46,[2]tropical!I$1,FALSE)</f>
        <v>0</v>
      </c>
      <c r="N120" s="800">
        <f>VLOOKUP($E120,[2]tropical!$A$4:$AF$46,[2]tropical!J$1,FALSE)</f>
        <v>0</v>
      </c>
      <c r="O120" s="800">
        <f>VLOOKUP($E120,[2]tropical!$A$4:$AF$46,[2]tropical!K$1,FALSE)</f>
        <v>0</v>
      </c>
      <c r="P120" s="800">
        <f>VLOOKUP($E120,[2]tropical!$A$4:$AF$46,[2]tropical!L$1,FALSE)</f>
        <v>0</v>
      </c>
      <c r="Q120" s="800">
        <f>VLOOKUP($E120,[2]tropical!$A$4:$AF$46,[2]tropical!M$1,FALSE)</f>
        <v>0</v>
      </c>
      <c r="R120" s="805">
        <f>VLOOKUP($E120,[2]tropical!$A$4:$AF$46,[2]tropical!N$1,FALSE)</f>
        <v>0</v>
      </c>
      <c r="S120" s="805">
        <f>VLOOKUP($E120,[2]tropical!$A$4:$AF$46,[2]tropical!O$1,FALSE)</f>
        <v>0</v>
      </c>
      <c r="T120" s="805">
        <f>VLOOKUP($E120,[2]tropical!$A$4:$AF$46,[2]tropical!P$1,FALSE)</f>
        <v>0</v>
      </c>
      <c r="U120" s="800">
        <f t="shared" si="1"/>
        <v>0</v>
      </c>
    </row>
    <row r="121" spans="1:21">
      <c r="A121" s="788">
        <v>8118</v>
      </c>
      <c r="B121" s="788" t="s">
        <v>344</v>
      </c>
      <c r="C121" s="788">
        <v>27</v>
      </c>
      <c r="D121" s="788" t="s">
        <v>86</v>
      </c>
      <c r="E121" s="790" t="s">
        <v>352</v>
      </c>
      <c r="F121" s="790" t="s">
        <v>2615</v>
      </c>
      <c r="G121" s="800">
        <f>VLOOKUP($E121,[2]tropical!$A$4:$AF$46,[2]tropical!C$1,FALSE)</f>
        <v>41</v>
      </c>
      <c r="H121" s="800">
        <f>VLOOKUP($E121,[2]tropical!$A$4:$AF$46,[2]tropical!D$1,FALSE)</f>
        <v>57</v>
      </c>
      <c r="I121" s="800">
        <f>VLOOKUP($E121,[2]tropical!$A$4:$AF$46,[2]tropical!E$1,FALSE)</f>
        <v>52</v>
      </c>
      <c r="J121" s="800">
        <f>VLOOKUP($E121,[2]tropical!$A$4:$AF$46,[2]tropical!F$1,FALSE)</f>
        <v>9</v>
      </c>
      <c r="K121" s="800">
        <f>VLOOKUP($E121,[2]tropical!$A$4:$AF$46,[2]tropical!G$1,FALSE)</f>
        <v>37</v>
      </c>
      <c r="L121" s="800">
        <f>VLOOKUP($E121,[2]tropical!$A$4:$AF$46,[2]tropical!H$1,FALSE)</f>
        <v>47</v>
      </c>
      <c r="M121" s="800">
        <f>VLOOKUP($E121,[2]tropical!$A$4:$AF$46,[2]tropical!I$1,FALSE)</f>
        <v>42</v>
      </c>
      <c r="N121" s="800">
        <f>VLOOKUP($E121,[2]tropical!$A$4:$AF$46,[2]tropical!J$1,FALSE)</f>
        <v>27</v>
      </c>
      <c r="O121" s="800">
        <f>VLOOKUP($E121,[2]tropical!$A$4:$AF$46,[2]tropical!K$1,FALSE)</f>
        <v>39</v>
      </c>
      <c r="P121" s="800">
        <f>VLOOKUP($E121,[2]tropical!$A$4:$AF$46,[2]tropical!L$1,FALSE)</f>
        <v>32</v>
      </c>
      <c r="Q121" s="800">
        <f>VLOOKUP($E121,[2]tropical!$A$4:$AF$46,[2]tropical!M$1,FALSE)</f>
        <v>20</v>
      </c>
      <c r="R121" s="805">
        <f>VLOOKUP($E121,[2]tropical!$A$4:$AF$46,[2]tropical!N$1,FALSE)</f>
        <v>0</v>
      </c>
      <c r="S121" s="805">
        <f>VLOOKUP($E121,[2]tropical!$A$4:$AF$46,[2]tropical!O$1,FALSE)</f>
        <v>0</v>
      </c>
      <c r="T121" s="805">
        <f>VLOOKUP($E121,[2]tropical!$A$4:$AF$46,[2]tropical!P$1,FALSE)</f>
        <v>0</v>
      </c>
      <c r="U121" s="800">
        <f t="shared" si="1"/>
        <v>403</v>
      </c>
    </row>
    <row r="122" spans="1:21">
      <c r="A122" s="788">
        <v>8119</v>
      </c>
      <c r="B122" s="788" t="s">
        <v>1194</v>
      </c>
      <c r="C122" s="788">
        <v>257</v>
      </c>
      <c r="D122" s="788" t="s">
        <v>81</v>
      </c>
      <c r="E122" s="790" t="s">
        <v>1274</v>
      </c>
      <c r="F122" s="790" t="s">
        <v>2616</v>
      </c>
      <c r="G122" s="800">
        <f>VLOOKUP($E122,[2]tropical!$A$4:$AF$46,[2]tropical!C$1,FALSE)</f>
        <v>0</v>
      </c>
      <c r="H122" s="800">
        <f>VLOOKUP($E122,[2]tropical!$A$4:$AF$46,[2]tropical!D$1,FALSE)</f>
        <v>0</v>
      </c>
      <c r="I122" s="800">
        <f>VLOOKUP($E122,[2]tropical!$A$4:$AF$46,[2]tropical!E$1,FALSE)</f>
        <v>0</v>
      </c>
      <c r="J122" s="800">
        <f>VLOOKUP($E122,[2]tropical!$A$4:$AF$46,[2]tropical!F$1,FALSE)</f>
        <v>0</v>
      </c>
      <c r="K122" s="800">
        <f>VLOOKUP($E122,[2]tropical!$A$4:$AF$46,[2]tropical!G$1,FALSE)</f>
        <v>1</v>
      </c>
      <c r="L122" s="800">
        <f>VLOOKUP($E122,[2]tropical!$A$4:$AF$46,[2]tropical!H$1,FALSE)</f>
        <v>0</v>
      </c>
      <c r="M122" s="800">
        <f>VLOOKUP($E122,[2]tropical!$A$4:$AF$46,[2]tropical!I$1,FALSE)</f>
        <v>0</v>
      </c>
      <c r="N122" s="800">
        <f>VLOOKUP($E122,[2]tropical!$A$4:$AF$46,[2]tropical!J$1,FALSE)</f>
        <v>0</v>
      </c>
      <c r="O122" s="800">
        <f>VLOOKUP($E122,[2]tropical!$A$4:$AF$46,[2]tropical!K$1,FALSE)</f>
        <v>1</v>
      </c>
      <c r="P122" s="800">
        <f>VLOOKUP($E122,[2]tropical!$A$4:$AF$46,[2]tropical!L$1,FALSE)</f>
        <v>0</v>
      </c>
      <c r="Q122" s="800">
        <f>VLOOKUP($E122,[2]tropical!$A$4:$AF$46,[2]tropical!M$1,FALSE)</f>
        <v>0</v>
      </c>
      <c r="R122" s="805">
        <f>VLOOKUP($E122,[2]tropical!$A$4:$AF$46,[2]tropical!N$1,FALSE)</f>
        <v>0</v>
      </c>
      <c r="S122" s="805">
        <f>VLOOKUP($E122,[2]tropical!$A$4:$AF$46,[2]tropical!O$1,FALSE)</f>
        <v>0</v>
      </c>
      <c r="T122" s="805">
        <f>VLOOKUP($E122,[2]tropical!$A$4:$AF$46,[2]tropical!P$1,FALSE)</f>
        <v>0</v>
      </c>
      <c r="U122" s="800">
        <f t="shared" si="1"/>
        <v>2</v>
      </c>
    </row>
    <row r="123" spans="1:21">
      <c r="A123" s="788">
        <v>8120</v>
      </c>
      <c r="B123" s="788" t="s">
        <v>1197</v>
      </c>
      <c r="C123" s="788">
        <v>423</v>
      </c>
      <c r="D123" s="788" t="s">
        <v>89</v>
      </c>
      <c r="E123" s="790" t="s">
        <v>1605</v>
      </c>
      <c r="F123" s="790" t="s">
        <v>2615</v>
      </c>
      <c r="G123" s="800">
        <f>VLOOKUP($E123,[2]tropical!$A$4:$AF$46,[2]tropical!C$1,FALSE)</f>
        <v>4</v>
      </c>
      <c r="H123" s="800">
        <f>VLOOKUP($E123,[2]tropical!$A$4:$AF$46,[2]tropical!D$1,FALSE)</f>
        <v>8</v>
      </c>
      <c r="I123" s="800">
        <f>VLOOKUP($E123,[2]tropical!$A$4:$AF$46,[2]tropical!E$1,FALSE)</f>
        <v>9</v>
      </c>
      <c r="J123" s="800">
        <f>VLOOKUP($E123,[2]tropical!$A$4:$AF$46,[2]tropical!F$1,FALSE)</f>
        <v>0</v>
      </c>
      <c r="K123" s="800">
        <f>VLOOKUP($E123,[2]tropical!$A$4:$AF$46,[2]tropical!G$1,FALSE)</f>
        <v>1</v>
      </c>
      <c r="L123" s="800">
        <f>VLOOKUP($E123,[2]tropical!$A$4:$AF$46,[2]tropical!H$1,FALSE)</f>
        <v>4</v>
      </c>
      <c r="M123" s="800">
        <f>VLOOKUP($E123,[2]tropical!$A$4:$AF$46,[2]tropical!I$1,FALSE)</f>
        <v>5</v>
      </c>
      <c r="N123" s="800">
        <f>VLOOKUP($E123,[2]tropical!$A$4:$AF$46,[2]tropical!J$1,FALSE)</f>
        <v>1</v>
      </c>
      <c r="O123" s="800">
        <f>VLOOKUP($E123,[2]tropical!$A$4:$AF$46,[2]tropical!K$1,FALSE)</f>
        <v>4</v>
      </c>
      <c r="P123" s="800">
        <f>VLOOKUP($E123,[2]tropical!$A$4:$AF$46,[2]tropical!L$1,FALSE)</f>
        <v>3</v>
      </c>
      <c r="Q123" s="800">
        <f>VLOOKUP($E123,[2]tropical!$A$4:$AF$46,[2]tropical!M$1,FALSE)</f>
        <v>0</v>
      </c>
      <c r="R123" s="805">
        <f>VLOOKUP($E123,[2]tropical!$A$4:$AF$46,[2]tropical!N$1,FALSE)</f>
        <v>0</v>
      </c>
      <c r="S123" s="805">
        <f>VLOOKUP($E123,[2]tropical!$A$4:$AF$46,[2]tropical!O$1,FALSE)</f>
        <v>0</v>
      </c>
      <c r="T123" s="805">
        <f>VLOOKUP($E123,[2]tropical!$A$4:$AF$46,[2]tropical!P$1,FALSE)</f>
        <v>0</v>
      </c>
      <c r="U123" s="800">
        <f t="shared" si="1"/>
        <v>39</v>
      </c>
    </row>
    <row r="124" spans="1:21">
      <c r="A124" s="788">
        <v>8121</v>
      </c>
      <c r="B124" s="788" t="s">
        <v>345</v>
      </c>
      <c r="C124" s="788">
        <v>28</v>
      </c>
      <c r="D124" s="788" t="s">
        <v>86</v>
      </c>
      <c r="E124" s="790" t="s">
        <v>352</v>
      </c>
      <c r="F124" s="790" t="s">
        <v>2615</v>
      </c>
      <c r="G124" s="800">
        <f>VLOOKUP($E124,[2]tropical!$A$4:$AF$46,[2]tropical!C$1,FALSE)</f>
        <v>41</v>
      </c>
      <c r="H124" s="800">
        <f>VLOOKUP($E124,[2]tropical!$A$4:$AF$46,[2]tropical!D$1,FALSE)</f>
        <v>57</v>
      </c>
      <c r="I124" s="800">
        <f>VLOOKUP($E124,[2]tropical!$A$4:$AF$46,[2]tropical!E$1,FALSE)</f>
        <v>52</v>
      </c>
      <c r="J124" s="800">
        <f>VLOOKUP($E124,[2]tropical!$A$4:$AF$46,[2]tropical!F$1,FALSE)</f>
        <v>9</v>
      </c>
      <c r="K124" s="800">
        <f>VLOOKUP($E124,[2]tropical!$A$4:$AF$46,[2]tropical!G$1,FALSE)</f>
        <v>37</v>
      </c>
      <c r="L124" s="800">
        <f>VLOOKUP($E124,[2]tropical!$A$4:$AF$46,[2]tropical!H$1,FALSE)</f>
        <v>47</v>
      </c>
      <c r="M124" s="800">
        <f>VLOOKUP($E124,[2]tropical!$A$4:$AF$46,[2]tropical!I$1,FALSE)</f>
        <v>42</v>
      </c>
      <c r="N124" s="800">
        <f>VLOOKUP($E124,[2]tropical!$A$4:$AF$46,[2]tropical!J$1,FALSE)</f>
        <v>27</v>
      </c>
      <c r="O124" s="800">
        <f>VLOOKUP($E124,[2]tropical!$A$4:$AF$46,[2]tropical!K$1,FALSE)</f>
        <v>39</v>
      </c>
      <c r="P124" s="800">
        <f>VLOOKUP($E124,[2]tropical!$A$4:$AF$46,[2]tropical!L$1,FALSE)</f>
        <v>32</v>
      </c>
      <c r="Q124" s="800">
        <f>VLOOKUP($E124,[2]tropical!$A$4:$AF$46,[2]tropical!M$1,FALSE)</f>
        <v>20</v>
      </c>
      <c r="R124" s="805">
        <f>VLOOKUP($E124,[2]tropical!$A$4:$AF$46,[2]tropical!N$1,FALSE)</f>
        <v>0</v>
      </c>
      <c r="S124" s="805">
        <f>VLOOKUP($E124,[2]tropical!$A$4:$AF$46,[2]tropical!O$1,FALSE)</f>
        <v>0</v>
      </c>
      <c r="T124" s="805">
        <f>VLOOKUP($E124,[2]tropical!$A$4:$AF$46,[2]tropical!P$1,FALSE)</f>
        <v>0</v>
      </c>
      <c r="U124" s="800">
        <f t="shared" si="1"/>
        <v>403</v>
      </c>
    </row>
    <row r="125" spans="1:21">
      <c r="A125" s="788">
        <v>8122</v>
      </c>
      <c r="B125" s="788" t="s">
        <v>1204</v>
      </c>
      <c r="C125" s="788">
        <v>430</v>
      </c>
      <c r="D125" s="788" t="s">
        <v>791</v>
      </c>
      <c r="E125" s="790" t="s">
        <v>2608</v>
      </c>
      <c r="F125" s="790" t="s">
        <v>2616</v>
      </c>
      <c r="G125" s="800">
        <f>VLOOKUP($E125,[2]tropical!$A$4:$AF$46,[2]tropical!C$1,FALSE)</f>
        <v>0</v>
      </c>
      <c r="H125" s="800">
        <f>VLOOKUP($E125,[2]tropical!$A$4:$AF$46,[2]tropical!D$1,FALSE)</f>
        <v>2</v>
      </c>
      <c r="I125" s="800">
        <f>VLOOKUP($E125,[2]tropical!$A$4:$AF$46,[2]tropical!E$1,FALSE)</f>
        <v>2</v>
      </c>
      <c r="J125" s="800">
        <f>VLOOKUP($E125,[2]tropical!$A$4:$AF$46,[2]tropical!F$1,FALSE)</f>
        <v>1</v>
      </c>
      <c r="K125" s="800">
        <f>VLOOKUP($E125,[2]tropical!$A$4:$AF$46,[2]tropical!G$1,FALSE)</f>
        <v>1</v>
      </c>
      <c r="L125" s="800">
        <f>VLOOKUP($E125,[2]tropical!$A$4:$AF$46,[2]tropical!H$1,FALSE)</f>
        <v>1</v>
      </c>
      <c r="M125" s="800">
        <f>VLOOKUP($E125,[2]tropical!$A$4:$AF$46,[2]tropical!I$1,FALSE)</f>
        <v>0</v>
      </c>
      <c r="N125" s="800">
        <f>VLOOKUP($E125,[2]tropical!$A$4:$AF$46,[2]tropical!J$1,FALSE)</f>
        <v>0</v>
      </c>
      <c r="O125" s="800">
        <f>VLOOKUP($E125,[2]tropical!$A$4:$AF$46,[2]tropical!K$1,FALSE)</f>
        <v>1</v>
      </c>
      <c r="P125" s="800">
        <f>VLOOKUP($E125,[2]tropical!$A$4:$AF$46,[2]tropical!L$1,FALSE)</f>
        <v>0</v>
      </c>
      <c r="Q125" s="800">
        <f>VLOOKUP($E125,[2]tropical!$A$4:$AF$46,[2]tropical!M$1,FALSE)</f>
        <v>0</v>
      </c>
      <c r="R125" s="805">
        <f>VLOOKUP($E125,[2]tropical!$A$4:$AF$46,[2]tropical!N$1,FALSE)</f>
        <v>0</v>
      </c>
      <c r="S125" s="805">
        <f>VLOOKUP($E125,[2]tropical!$A$4:$AF$46,[2]tropical!O$1,FALSE)</f>
        <v>0</v>
      </c>
      <c r="T125" s="805">
        <f>VLOOKUP($E125,[2]tropical!$A$4:$AF$46,[2]tropical!P$1,FALSE)</f>
        <v>0</v>
      </c>
      <c r="U125" s="800">
        <f t="shared" si="1"/>
        <v>8</v>
      </c>
    </row>
    <row r="126" spans="1:21">
      <c r="A126" s="788">
        <v>8123</v>
      </c>
      <c r="B126" s="788" t="s">
        <v>1208</v>
      </c>
      <c r="C126" s="788">
        <v>37</v>
      </c>
      <c r="D126" s="788" t="s">
        <v>90</v>
      </c>
      <c r="E126" s="790" t="s">
        <v>357</v>
      </c>
      <c r="F126" s="790" t="s">
        <v>2615</v>
      </c>
      <c r="G126" s="800">
        <f>VLOOKUP($E126,[2]tropical!$A$4:$AF$46,[2]tropical!C$1,FALSE)</f>
        <v>33</v>
      </c>
      <c r="H126" s="800">
        <f>VLOOKUP($E126,[2]tropical!$A$4:$AF$46,[2]tropical!D$1,FALSE)</f>
        <v>25</v>
      </c>
      <c r="I126" s="800">
        <f>VLOOKUP($E126,[2]tropical!$A$4:$AF$46,[2]tropical!E$1,FALSE)</f>
        <v>28</v>
      </c>
      <c r="J126" s="800">
        <f>VLOOKUP($E126,[2]tropical!$A$4:$AF$46,[2]tropical!F$1,FALSE)</f>
        <v>10</v>
      </c>
      <c r="K126" s="800">
        <f>VLOOKUP($E126,[2]tropical!$A$4:$AF$46,[2]tropical!G$1,FALSE)</f>
        <v>21</v>
      </c>
      <c r="L126" s="800">
        <f>VLOOKUP($E126,[2]tropical!$A$4:$AF$46,[2]tropical!H$1,FALSE)</f>
        <v>36</v>
      </c>
      <c r="M126" s="800">
        <f>VLOOKUP($E126,[2]tropical!$A$4:$AF$46,[2]tropical!I$1,FALSE)</f>
        <v>23</v>
      </c>
      <c r="N126" s="800">
        <f>VLOOKUP($E126,[2]tropical!$A$4:$AF$46,[2]tropical!J$1,FALSE)</f>
        <v>16</v>
      </c>
      <c r="O126" s="800">
        <f>VLOOKUP($E126,[2]tropical!$A$4:$AF$46,[2]tropical!K$1,FALSE)</f>
        <v>22</v>
      </c>
      <c r="P126" s="800">
        <f>VLOOKUP($E126,[2]tropical!$A$4:$AF$46,[2]tropical!L$1,FALSE)</f>
        <v>19</v>
      </c>
      <c r="Q126" s="800">
        <f>VLOOKUP($E126,[2]tropical!$A$4:$AF$46,[2]tropical!M$1,FALSE)</f>
        <v>13</v>
      </c>
      <c r="R126" s="805">
        <f>VLOOKUP($E126,[2]tropical!$A$4:$AF$46,[2]tropical!N$1,FALSE)</f>
        <v>0</v>
      </c>
      <c r="S126" s="805">
        <f>VLOOKUP($E126,[2]tropical!$A$4:$AF$46,[2]tropical!O$1,FALSE)</f>
        <v>0</v>
      </c>
      <c r="T126" s="805">
        <f>VLOOKUP($E126,[2]tropical!$A$4:$AF$46,[2]tropical!P$1,FALSE)</f>
        <v>0</v>
      </c>
      <c r="U126" s="800">
        <f t="shared" si="1"/>
        <v>246</v>
      </c>
    </row>
    <row r="127" spans="1:21">
      <c r="A127" s="788">
        <v>8124</v>
      </c>
      <c r="B127" s="788" t="s">
        <v>1214</v>
      </c>
      <c r="C127" s="788">
        <v>65</v>
      </c>
      <c r="D127" s="788" t="s">
        <v>24</v>
      </c>
      <c r="E127" s="790" t="s">
        <v>1743</v>
      </c>
      <c r="F127" s="790" t="s">
        <v>2616</v>
      </c>
      <c r="G127" s="800">
        <f>VLOOKUP($E127,[2]tropical!$A$4:$AF$46,[2]tropical!C$1,FALSE)</f>
        <v>0</v>
      </c>
      <c r="H127" s="800">
        <f>VLOOKUP($E127,[2]tropical!$A$4:$AF$46,[2]tropical!D$1,FALSE)</f>
        <v>0</v>
      </c>
      <c r="I127" s="800">
        <f>VLOOKUP($E127,[2]tropical!$A$4:$AF$46,[2]tropical!E$1,FALSE)</f>
        <v>2</v>
      </c>
      <c r="J127" s="800">
        <f>VLOOKUP($E127,[2]tropical!$A$4:$AF$46,[2]tropical!F$1,FALSE)</f>
        <v>0</v>
      </c>
      <c r="K127" s="800">
        <f>VLOOKUP($E127,[2]tropical!$A$4:$AF$46,[2]tropical!G$1,FALSE)</f>
        <v>0</v>
      </c>
      <c r="L127" s="800">
        <f>VLOOKUP($E127,[2]tropical!$A$4:$AF$46,[2]tropical!H$1,FALSE)</f>
        <v>0</v>
      </c>
      <c r="M127" s="800">
        <f>VLOOKUP($E127,[2]tropical!$A$4:$AF$46,[2]tropical!I$1,FALSE)</f>
        <v>0</v>
      </c>
      <c r="N127" s="800">
        <f>VLOOKUP($E127,[2]tropical!$A$4:$AF$46,[2]tropical!J$1,FALSE)</f>
        <v>0</v>
      </c>
      <c r="O127" s="800">
        <f>VLOOKUP($E127,[2]tropical!$A$4:$AF$46,[2]tropical!K$1,FALSE)</f>
        <v>0</v>
      </c>
      <c r="P127" s="800">
        <f>VLOOKUP($E127,[2]tropical!$A$4:$AF$46,[2]tropical!L$1,FALSE)</f>
        <v>0</v>
      </c>
      <c r="Q127" s="800">
        <f>VLOOKUP($E127,[2]tropical!$A$4:$AF$46,[2]tropical!M$1,FALSE)</f>
        <v>0</v>
      </c>
      <c r="R127" s="805">
        <f>VLOOKUP($E127,[2]tropical!$A$4:$AF$46,[2]tropical!N$1,FALSE)</f>
        <v>0</v>
      </c>
      <c r="S127" s="805">
        <f>VLOOKUP($E127,[2]tropical!$A$4:$AF$46,[2]tropical!O$1,FALSE)</f>
        <v>0</v>
      </c>
      <c r="T127" s="805">
        <f>VLOOKUP($E127,[2]tropical!$A$4:$AF$46,[2]tropical!P$1,FALSE)</f>
        <v>0</v>
      </c>
      <c r="U127" s="800">
        <f t="shared" si="1"/>
        <v>2</v>
      </c>
    </row>
    <row r="128" spans="1:21">
      <c r="A128" s="788">
        <v>8125</v>
      </c>
      <c r="B128" s="788" t="s">
        <v>1220</v>
      </c>
      <c r="C128" s="788">
        <v>36</v>
      </c>
      <c r="D128" s="788" t="s">
        <v>89</v>
      </c>
      <c r="E128" s="790" t="s">
        <v>1605</v>
      </c>
      <c r="F128" s="790" t="s">
        <v>2615</v>
      </c>
      <c r="G128" s="800">
        <f>VLOOKUP($E128,[2]tropical!$A$4:$AF$46,[2]tropical!C$1,FALSE)</f>
        <v>4</v>
      </c>
      <c r="H128" s="800">
        <f>VLOOKUP($E128,[2]tropical!$A$4:$AF$46,[2]tropical!D$1,FALSE)</f>
        <v>8</v>
      </c>
      <c r="I128" s="800">
        <f>VLOOKUP($E128,[2]tropical!$A$4:$AF$46,[2]tropical!E$1,FALSE)</f>
        <v>9</v>
      </c>
      <c r="J128" s="800">
        <f>VLOOKUP($E128,[2]tropical!$A$4:$AF$46,[2]tropical!F$1,FALSE)</f>
        <v>0</v>
      </c>
      <c r="K128" s="800">
        <f>VLOOKUP($E128,[2]tropical!$A$4:$AF$46,[2]tropical!G$1,FALSE)</f>
        <v>1</v>
      </c>
      <c r="L128" s="800">
        <f>VLOOKUP($E128,[2]tropical!$A$4:$AF$46,[2]tropical!H$1,FALSE)</f>
        <v>4</v>
      </c>
      <c r="M128" s="800">
        <f>VLOOKUP($E128,[2]tropical!$A$4:$AF$46,[2]tropical!I$1,FALSE)</f>
        <v>5</v>
      </c>
      <c r="N128" s="800">
        <f>VLOOKUP($E128,[2]tropical!$A$4:$AF$46,[2]tropical!J$1,FALSE)</f>
        <v>1</v>
      </c>
      <c r="O128" s="800">
        <f>VLOOKUP($E128,[2]tropical!$A$4:$AF$46,[2]tropical!K$1,FALSE)</f>
        <v>4</v>
      </c>
      <c r="P128" s="800">
        <f>VLOOKUP($E128,[2]tropical!$A$4:$AF$46,[2]tropical!L$1,FALSE)</f>
        <v>3</v>
      </c>
      <c r="Q128" s="800">
        <f>VLOOKUP($E128,[2]tropical!$A$4:$AF$46,[2]tropical!M$1,FALSE)</f>
        <v>0</v>
      </c>
      <c r="R128" s="805">
        <f>VLOOKUP($E128,[2]tropical!$A$4:$AF$46,[2]tropical!N$1,FALSE)</f>
        <v>0</v>
      </c>
      <c r="S128" s="805">
        <f>VLOOKUP($E128,[2]tropical!$A$4:$AF$46,[2]tropical!O$1,FALSE)</f>
        <v>0</v>
      </c>
      <c r="T128" s="805">
        <f>VLOOKUP($E128,[2]tropical!$A$4:$AF$46,[2]tropical!P$1,FALSE)</f>
        <v>0</v>
      </c>
      <c r="U128" s="800">
        <f t="shared" si="1"/>
        <v>39</v>
      </c>
    </row>
    <row r="129" spans="1:21">
      <c r="A129" s="788">
        <v>8126</v>
      </c>
      <c r="B129" s="788" t="s">
        <v>346</v>
      </c>
      <c r="C129" s="788">
        <v>20</v>
      </c>
      <c r="D129" s="788" t="s">
        <v>86</v>
      </c>
      <c r="E129" s="790" t="s">
        <v>352</v>
      </c>
      <c r="F129" s="790" t="s">
        <v>2615</v>
      </c>
      <c r="G129" s="800">
        <f>VLOOKUP($E129,[2]tropical!$A$4:$AF$46,[2]tropical!C$1,FALSE)</f>
        <v>41</v>
      </c>
      <c r="H129" s="800">
        <f>VLOOKUP($E129,[2]tropical!$A$4:$AF$46,[2]tropical!D$1,FALSE)</f>
        <v>57</v>
      </c>
      <c r="I129" s="800">
        <f>VLOOKUP($E129,[2]tropical!$A$4:$AF$46,[2]tropical!E$1,FALSE)</f>
        <v>52</v>
      </c>
      <c r="J129" s="800">
        <f>VLOOKUP($E129,[2]tropical!$A$4:$AF$46,[2]tropical!F$1,FALSE)</f>
        <v>9</v>
      </c>
      <c r="K129" s="800">
        <f>VLOOKUP($E129,[2]tropical!$A$4:$AF$46,[2]tropical!G$1,FALSE)</f>
        <v>37</v>
      </c>
      <c r="L129" s="800">
        <f>VLOOKUP($E129,[2]tropical!$A$4:$AF$46,[2]tropical!H$1,FALSE)</f>
        <v>47</v>
      </c>
      <c r="M129" s="800">
        <f>VLOOKUP($E129,[2]tropical!$A$4:$AF$46,[2]tropical!I$1,FALSE)</f>
        <v>42</v>
      </c>
      <c r="N129" s="800">
        <f>VLOOKUP($E129,[2]tropical!$A$4:$AF$46,[2]tropical!J$1,FALSE)</f>
        <v>27</v>
      </c>
      <c r="O129" s="800">
        <f>VLOOKUP($E129,[2]tropical!$A$4:$AF$46,[2]tropical!K$1,FALSE)</f>
        <v>39</v>
      </c>
      <c r="P129" s="800">
        <f>VLOOKUP($E129,[2]tropical!$A$4:$AF$46,[2]tropical!L$1,FALSE)</f>
        <v>32</v>
      </c>
      <c r="Q129" s="800">
        <f>VLOOKUP($E129,[2]tropical!$A$4:$AF$46,[2]tropical!M$1,FALSE)</f>
        <v>20</v>
      </c>
      <c r="R129" s="805">
        <f>VLOOKUP($E129,[2]tropical!$A$4:$AF$46,[2]tropical!N$1,FALSE)</f>
        <v>0</v>
      </c>
      <c r="S129" s="805">
        <f>VLOOKUP($E129,[2]tropical!$A$4:$AF$46,[2]tropical!O$1,FALSE)</f>
        <v>0</v>
      </c>
      <c r="T129" s="805">
        <f>VLOOKUP($E129,[2]tropical!$A$4:$AF$46,[2]tropical!P$1,FALSE)</f>
        <v>0</v>
      </c>
      <c r="U129" s="800">
        <f t="shared" si="1"/>
        <v>403</v>
      </c>
    </row>
    <row r="130" spans="1:21">
      <c r="A130" s="788">
        <v>8127</v>
      </c>
      <c r="B130" s="788" t="s">
        <v>1227</v>
      </c>
      <c r="C130" s="788">
        <v>161</v>
      </c>
      <c r="D130" s="788" t="s">
        <v>82</v>
      </c>
      <c r="E130" s="790" t="s">
        <v>2610</v>
      </c>
      <c r="F130" s="790" t="s">
        <v>2616</v>
      </c>
      <c r="G130" s="800">
        <f>VLOOKUP($E130,[2]tropical!$A$4:$AF$46,[2]tropical!C$1,FALSE)</f>
        <v>0</v>
      </c>
      <c r="H130" s="800">
        <f>VLOOKUP($E130,[2]tropical!$A$4:$AF$46,[2]tropical!D$1,FALSE)</f>
        <v>2</v>
      </c>
      <c r="I130" s="800">
        <f>VLOOKUP($E130,[2]tropical!$A$4:$AF$46,[2]tropical!E$1,FALSE)</f>
        <v>2</v>
      </c>
      <c r="J130" s="800">
        <f>VLOOKUP($E130,[2]tropical!$A$4:$AF$46,[2]tropical!F$1,FALSE)</f>
        <v>0</v>
      </c>
      <c r="K130" s="800">
        <f>VLOOKUP($E130,[2]tropical!$A$4:$AF$46,[2]tropical!G$1,FALSE)</f>
        <v>0</v>
      </c>
      <c r="L130" s="800">
        <f>VLOOKUP($E130,[2]tropical!$A$4:$AF$46,[2]tropical!H$1,FALSE)</f>
        <v>0</v>
      </c>
      <c r="M130" s="800">
        <f>VLOOKUP($E130,[2]tropical!$A$4:$AF$46,[2]tropical!I$1,FALSE)</f>
        <v>0</v>
      </c>
      <c r="N130" s="800">
        <f>VLOOKUP($E130,[2]tropical!$A$4:$AF$46,[2]tropical!J$1,FALSE)</f>
        <v>0</v>
      </c>
      <c r="O130" s="800">
        <f>VLOOKUP($E130,[2]tropical!$A$4:$AF$46,[2]tropical!K$1,FALSE)</f>
        <v>1</v>
      </c>
      <c r="P130" s="800">
        <f>VLOOKUP($E130,[2]tropical!$A$4:$AF$46,[2]tropical!L$1,FALSE)</f>
        <v>0</v>
      </c>
      <c r="Q130" s="800">
        <f>VLOOKUP($E130,[2]tropical!$A$4:$AF$46,[2]tropical!M$1,FALSE)</f>
        <v>0</v>
      </c>
      <c r="R130" s="805">
        <f>VLOOKUP($E130,[2]tropical!$A$4:$AF$46,[2]tropical!N$1,FALSE)</f>
        <v>0</v>
      </c>
      <c r="S130" s="805">
        <f>VLOOKUP($E130,[2]tropical!$A$4:$AF$46,[2]tropical!O$1,FALSE)</f>
        <v>0</v>
      </c>
      <c r="T130" s="805">
        <f>VLOOKUP($E130,[2]tropical!$A$4:$AF$46,[2]tropical!P$1,FALSE)</f>
        <v>0</v>
      </c>
      <c r="U130" s="800">
        <f t="shared" si="1"/>
        <v>5</v>
      </c>
    </row>
    <row r="131" spans="1:21">
      <c r="A131" s="788">
        <v>8128</v>
      </c>
      <c r="B131" s="788" t="s">
        <v>1230</v>
      </c>
      <c r="C131" s="788">
        <v>447</v>
      </c>
      <c r="D131" s="788" t="s">
        <v>82</v>
      </c>
      <c r="E131" s="790" t="s">
        <v>767</v>
      </c>
      <c r="F131" s="790" t="s">
        <v>2616</v>
      </c>
      <c r="G131" s="800">
        <f>VLOOKUP($E131,[2]tropical!$A$4:$AF$46,[2]tropical!C$1,FALSE)</f>
        <v>0</v>
      </c>
      <c r="H131" s="800">
        <f>VLOOKUP($E131,[2]tropical!$A$4:$AF$46,[2]tropical!D$1,FALSE)</f>
        <v>0</v>
      </c>
      <c r="I131" s="800">
        <f>VLOOKUP($E131,[2]tropical!$A$4:$AF$46,[2]tropical!E$1,FALSE)</f>
        <v>2</v>
      </c>
      <c r="J131" s="800">
        <f>VLOOKUP($E131,[2]tropical!$A$4:$AF$46,[2]tropical!F$1,FALSE)</f>
        <v>0</v>
      </c>
      <c r="K131" s="800">
        <f>VLOOKUP($E131,[2]tropical!$A$4:$AF$46,[2]tropical!G$1,FALSE)</f>
        <v>0</v>
      </c>
      <c r="L131" s="800">
        <f>VLOOKUP($E131,[2]tropical!$A$4:$AF$46,[2]tropical!H$1,FALSE)</f>
        <v>0</v>
      </c>
      <c r="M131" s="800">
        <f>VLOOKUP($E131,[2]tropical!$A$4:$AF$46,[2]tropical!I$1,FALSE)</f>
        <v>0</v>
      </c>
      <c r="N131" s="800">
        <f>VLOOKUP($E131,[2]tropical!$A$4:$AF$46,[2]tropical!J$1,FALSE)</f>
        <v>0</v>
      </c>
      <c r="O131" s="800">
        <f>VLOOKUP($E131,[2]tropical!$A$4:$AF$46,[2]tropical!K$1,FALSE)</f>
        <v>0</v>
      </c>
      <c r="P131" s="800">
        <f>VLOOKUP($E131,[2]tropical!$A$4:$AF$46,[2]tropical!L$1,FALSE)</f>
        <v>0</v>
      </c>
      <c r="Q131" s="800">
        <f>VLOOKUP($E131,[2]tropical!$A$4:$AF$46,[2]tropical!M$1,FALSE)</f>
        <v>0</v>
      </c>
      <c r="R131" s="805">
        <f>VLOOKUP($E131,[2]tropical!$A$4:$AF$46,[2]tropical!N$1,FALSE)</f>
        <v>0</v>
      </c>
      <c r="S131" s="805">
        <f>VLOOKUP($E131,[2]tropical!$A$4:$AF$46,[2]tropical!O$1,FALSE)</f>
        <v>0</v>
      </c>
      <c r="T131" s="805">
        <f>VLOOKUP($E131,[2]tropical!$A$4:$AF$46,[2]tropical!P$1,FALSE)</f>
        <v>0</v>
      </c>
      <c r="U131" s="800">
        <f t="shared" si="1"/>
        <v>2</v>
      </c>
    </row>
    <row r="132" spans="1:21">
      <c r="A132" s="788">
        <v>8129</v>
      </c>
      <c r="B132" s="788" t="s">
        <v>1233</v>
      </c>
      <c r="C132" s="788">
        <v>807</v>
      </c>
      <c r="D132" s="788" t="s">
        <v>88</v>
      </c>
      <c r="E132" s="790" t="s">
        <v>1233</v>
      </c>
      <c r="F132" s="790" t="s">
        <v>2616</v>
      </c>
      <c r="G132" s="800">
        <f>VLOOKUP($E132,[2]tropical!$A$4:$AF$46,[2]tropical!C$1,FALSE)</f>
        <v>0</v>
      </c>
      <c r="H132" s="800">
        <f>VLOOKUP($E132,[2]tropical!$A$4:$AF$46,[2]tropical!D$1,FALSE)</f>
        <v>1</v>
      </c>
      <c r="I132" s="800">
        <f>VLOOKUP($E132,[2]tropical!$A$4:$AF$46,[2]tropical!E$1,FALSE)</f>
        <v>1</v>
      </c>
      <c r="J132" s="800">
        <f>VLOOKUP($E132,[2]tropical!$A$4:$AF$46,[2]tropical!F$1,FALSE)</f>
        <v>2</v>
      </c>
      <c r="K132" s="800">
        <f>VLOOKUP($E132,[2]tropical!$A$4:$AF$46,[2]tropical!G$1,FALSE)</f>
        <v>1</v>
      </c>
      <c r="L132" s="800">
        <f>VLOOKUP($E132,[2]tropical!$A$4:$AF$46,[2]tropical!H$1,FALSE)</f>
        <v>2</v>
      </c>
      <c r="M132" s="800">
        <f>VLOOKUP($E132,[2]tropical!$A$4:$AF$46,[2]tropical!I$1,FALSE)</f>
        <v>0</v>
      </c>
      <c r="N132" s="800">
        <f>VLOOKUP($E132,[2]tropical!$A$4:$AF$46,[2]tropical!J$1,FALSE)</f>
        <v>0</v>
      </c>
      <c r="O132" s="800">
        <f>VLOOKUP($E132,[2]tropical!$A$4:$AF$46,[2]tropical!K$1,FALSE)</f>
        <v>2</v>
      </c>
      <c r="P132" s="800">
        <f>VLOOKUP($E132,[2]tropical!$A$4:$AF$46,[2]tropical!L$1,FALSE)</f>
        <v>0</v>
      </c>
      <c r="Q132" s="800">
        <f>VLOOKUP($E132,[2]tropical!$A$4:$AF$46,[2]tropical!M$1,FALSE)</f>
        <v>0</v>
      </c>
      <c r="R132" s="805">
        <f>VLOOKUP($E132,[2]tropical!$A$4:$AF$46,[2]tropical!N$1,FALSE)</f>
        <v>0</v>
      </c>
      <c r="S132" s="805">
        <f>VLOOKUP($E132,[2]tropical!$A$4:$AF$46,[2]tropical!O$1,FALSE)</f>
        <v>0</v>
      </c>
      <c r="T132" s="805">
        <f>VLOOKUP($E132,[2]tropical!$A$4:$AF$46,[2]tropical!P$1,FALSE)</f>
        <v>0</v>
      </c>
      <c r="U132" s="800">
        <f t="shared" si="1"/>
        <v>9</v>
      </c>
    </row>
    <row r="133" spans="1:21">
      <c r="A133" s="788">
        <v>8130</v>
      </c>
      <c r="B133" s="788" t="s">
        <v>1237</v>
      </c>
      <c r="C133" s="788">
        <v>728</v>
      </c>
      <c r="D133" s="788" t="s">
        <v>84</v>
      </c>
      <c r="E133" s="790" t="s">
        <v>1125</v>
      </c>
      <c r="F133" s="790" t="s">
        <v>2617</v>
      </c>
      <c r="G133" s="800">
        <f>VLOOKUP($E133,[2]tropical!$A$4:$AF$46,[2]tropical!C$1,FALSE)</f>
        <v>0</v>
      </c>
      <c r="H133" s="800">
        <f>VLOOKUP($E133,[2]tropical!$A$4:$AF$46,[2]tropical!D$1,FALSE)</f>
        <v>0</v>
      </c>
      <c r="I133" s="800">
        <f>VLOOKUP($E133,[2]tropical!$A$4:$AF$46,[2]tropical!E$1,FALSE)</f>
        <v>0</v>
      </c>
      <c r="J133" s="800">
        <f>VLOOKUP($E133,[2]tropical!$A$4:$AF$46,[2]tropical!F$1,FALSE)</f>
        <v>0</v>
      </c>
      <c r="K133" s="800">
        <f>VLOOKUP($E133,[2]tropical!$A$4:$AF$46,[2]tropical!G$1,FALSE)</f>
        <v>0</v>
      </c>
      <c r="L133" s="800">
        <f>VLOOKUP($E133,[2]tropical!$A$4:$AF$46,[2]tropical!H$1,FALSE)</f>
        <v>0</v>
      </c>
      <c r="M133" s="800">
        <f>VLOOKUP($E133,[2]tropical!$A$4:$AF$46,[2]tropical!I$1,FALSE)</f>
        <v>0</v>
      </c>
      <c r="N133" s="800">
        <f>VLOOKUP($E133,[2]tropical!$A$4:$AF$46,[2]tropical!J$1,FALSE)</f>
        <v>0</v>
      </c>
      <c r="O133" s="800">
        <f>VLOOKUP($E133,[2]tropical!$A$4:$AF$46,[2]tropical!K$1,FALSE)</f>
        <v>0</v>
      </c>
      <c r="P133" s="800">
        <f>VLOOKUP($E133,[2]tropical!$A$4:$AF$46,[2]tropical!L$1,FALSE)</f>
        <v>0</v>
      </c>
      <c r="Q133" s="800">
        <f>VLOOKUP($E133,[2]tropical!$A$4:$AF$46,[2]tropical!M$1,FALSE)</f>
        <v>0</v>
      </c>
      <c r="R133" s="805">
        <f>VLOOKUP($E133,[2]tropical!$A$4:$AF$46,[2]tropical!N$1,FALSE)</f>
        <v>0</v>
      </c>
      <c r="S133" s="805">
        <f>VLOOKUP($E133,[2]tropical!$A$4:$AF$46,[2]tropical!O$1,FALSE)</f>
        <v>0</v>
      </c>
      <c r="T133" s="805">
        <f>VLOOKUP($E133,[2]tropical!$A$4:$AF$46,[2]tropical!P$1,FALSE)</f>
        <v>0</v>
      </c>
      <c r="U133" s="800">
        <f t="shared" ref="U133:U196" si="2">SUM(G133:T133)</f>
        <v>0</v>
      </c>
    </row>
    <row r="134" spans="1:21">
      <c r="A134" s="788">
        <v>8131</v>
      </c>
      <c r="B134" s="788" t="s">
        <v>1240</v>
      </c>
      <c r="C134" s="788">
        <v>577</v>
      </c>
      <c r="D134" s="788" t="s">
        <v>88</v>
      </c>
      <c r="E134" s="790" t="s">
        <v>1240</v>
      </c>
      <c r="F134" s="790" t="s">
        <v>2617</v>
      </c>
      <c r="G134" s="800">
        <f>VLOOKUP($E134,[2]tropical!$A$4:$AF$46,[2]tropical!C$1,FALSE)</f>
        <v>0</v>
      </c>
      <c r="H134" s="800">
        <f>VLOOKUP($E134,[2]tropical!$A$4:$AF$46,[2]tropical!D$1,FALSE)</f>
        <v>0</v>
      </c>
      <c r="I134" s="800">
        <f>VLOOKUP($E134,[2]tropical!$A$4:$AF$46,[2]tropical!E$1,FALSE)</f>
        <v>0</v>
      </c>
      <c r="J134" s="800">
        <f>VLOOKUP($E134,[2]tropical!$A$4:$AF$46,[2]tropical!F$1,FALSE)</f>
        <v>0</v>
      </c>
      <c r="K134" s="800">
        <f>VLOOKUP($E134,[2]tropical!$A$4:$AF$46,[2]tropical!G$1,FALSE)</f>
        <v>0</v>
      </c>
      <c r="L134" s="800">
        <f>VLOOKUP($E134,[2]tropical!$A$4:$AF$46,[2]tropical!H$1,FALSE)</f>
        <v>0</v>
      </c>
      <c r="M134" s="800">
        <f>VLOOKUP($E134,[2]tropical!$A$4:$AF$46,[2]tropical!I$1,FALSE)</f>
        <v>0</v>
      </c>
      <c r="N134" s="800">
        <f>VLOOKUP($E134,[2]tropical!$A$4:$AF$46,[2]tropical!J$1,FALSE)</f>
        <v>0</v>
      </c>
      <c r="O134" s="800">
        <f>VLOOKUP($E134,[2]tropical!$A$4:$AF$46,[2]tropical!K$1,FALSE)</f>
        <v>0</v>
      </c>
      <c r="P134" s="800">
        <f>VLOOKUP($E134,[2]tropical!$A$4:$AF$46,[2]tropical!L$1,FALSE)</f>
        <v>0</v>
      </c>
      <c r="Q134" s="800">
        <f>VLOOKUP($E134,[2]tropical!$A$4:$AF$46,[2]tropical!M$1,FALSE)</f>
        <v>0</v>
      </c>
      <c r="R134" s="805">
        <f>VLOOKUP($E134,[2]tropical!$A$4:$AF$46,[2]tropical!N$1,FALSE)</f>
        <v>0</v>
      </c>
      <c r="S134" s="805">
        <f>VLOOKUP($E134,[2]tropical!$A$4:$AF$46,[2]tropical!O$1,FALSE)</f>
        <v>0</v>
      </c>
      <c r="T134" s="805">
        <f>VLOOKUP($E134,[2]tropical!$A$4:$AF$46,[2]tropical!P$1,FALSE)</f>
        <v>0</v>
      </c>
      <c r="U134" s="800">
        <f t="shared" si="2"/>
        <v>0</v>
      </c>
    </row>
    <row r="135" spans="1:21">
      <c r="A135" s="788">
        <v>8132</v>
      </c>
      <c r="B135" s="788" t="s">
        <v>1245</v>
      </c>
      <c r="C135" s="788">
        <v>756</v>
      </c>
      <c r="D135" s="788" t="s">
        <v>84</v>
      </c>
      <c r="E135" s="790" t="s">
        <v>1125</v>
      </c>
      <c r="F135" s="790" t="s">
        <v>2617</v>
      </c>
      <c r="G135" s="800">
        <f>VLOOKUP($E135,[2]tropical!$A$4:$AF$46,[2]tropical!C$1,FALSE)</f>
        <v>0</v>
      </c>
      <c r="H135" s="800">
        <f>VLOOKUP($E135,[2]tropical!$A$4:$AF$46,[2]tropical!D$1,FALSE)</f>
        <v>0</v>
      </c>
      <c r="I135" s="800">
        <f>VLOOKUP($E135,[2]tropical!$A$4:$AF$46,[2]tropical!E$1,FALSE)</f>
        <v>0</v>
      </c>
      <c r="J135" s="800">
        <f>VLOOKUP($E135,[2]tropical!$A$4:$AF$46,[2]tropical!F$1,FALSE)</f>
        <v>0</v>
      </c>
      <c r="K135" s="800">
        <f>VLOOKUP($E135,[2]tropical!$A$4:$AF$46,[2]tropical!G$1,FALSE)</f>
        <v>0</v>
      </c>
      <c r="L135" s="800">
        <f>VLOOKUP($E135,[2]tropical!$A$4:$AF$46,[2]tropical!H$1,FALSE)</f>
        <v>0</v>
      </c>
      <c r="M135" s="800">
        <f>VLOOKUP($E135,[2]tropical!$A$4:$AF$46,[2]tropical!I$1,FALSE)</f>
        <v>0</v>
      </c>
      <c r="N135" s="800">
        <f>VLOOKUP($E135,[2]tropical!$A$4:$AF$46,[2]tropical!J$1,FALSE)</f>
        <v>0</v>
      </c>
      <c r="O135" s="800">
        <f>VLOOKUP($E135,[2]tropical!$A$4:$AF$46,[2]tropical!K$1,FALSE)</f>
        <v>0</v>
      </c>
      <c r="P135" s="800">
        <f>VLOOKUP($E135,[2]tropical!$A$4:$AF$46,[2]tropical!L$1,FALSE)</f>
        <v>0</v>
      </c>
      <c r="Q135" s="800">
        <f>VLOOKUP($E135,[2]tropical!$A$4:$AF$46,[2]tropical!M$1,FALSE)</f>
        <v>0</v>
      </c>
      <c r="R135" s="805">
        <f>VLOOKUP($E135,[2]tropical!$A$4:$AF$46,[2]tropical!N$1,FALSE)</f>
        <v>0</v>
      </c>
      <c r="S135" s="805">
        <f>VLOOKUP($E135,[2]tropical!$A$4:$AF$46,[2]tropical!O$1,FALSE)</f>
        <v>0</v>
      </c>
      <c r="T135" s="805">
        <f>VLOOKUP($E135,[2]tropical!$A$4:$AF$46,[2]tropical!P$1,FALSE)</f>
        <v>0</v>
      </c>
      <c r="U135" s="800">
        <f t="shared" si="2"/>
        <v>0</v>
      </c>
    </row>
    <row r="136" spans="1:21">
      <c r="A136" s="788">
        <v>8133</v>
      </c>
      <c r="B136" s="788" t="s">
        <v>1249</v>
      </c>
      <c r="C136" s="788">
        <v>709</v>
      </c>
      <c r="D136" s="788" t="s">
        <v>81</v>
      </c>
      <c r="E136" s="790" t="s">
        <v>1274</v>
      </c>
      <c r="F136" s="790" t="s">
        <v>2616</v>
      </c>
      <c r="G136" s="800">
        <f>VLOOKUP($E136,[2]tropical!$A$4:$AF$46,[2]tropical!C$1,FALSE)</f>
        <v>0</v>
      </c>
      <c r="H136" s="800">
        <f>VLOOKUP($E136,[2]tropical!$A$4:$AF$46,[2]tropical!D$1,FALSE)</f>
        <v>0</v>
      </c>
      <c r="I136" s="800">
        <f>VLOOKUP($E136,[2]tropical!$A$4:$AF$46,[2]tropical!E$1,FALSE)</f>
        <v>0</v>
      </c>
      <c r="J136" s="800">
        <f>VLOOKUP($E136,[2]tropical!$A$4:$AF$46,[2]tropical!F$1,FALSE)</f>
        <v>0</v>
      </c>
      <c r="K136" s="800">
        <f>VLOOKUP($E136,[2]tropical!$A$4:$AF$46,[2]tropical!G$1,FALSE)</f>
        <v>1</v>
      </c>
      <c r="L136" s="800">
        <f>VLOOKUP($E136,[2]tropical!$A$4:$AF$46,[2]tropical!H$1,FALSE)</f>
        <v>0</v>
      </c>
      <c r="M136" s="800">
        <f>VLOOKUP($E136,[2]tropical!$A$4:$AF$46,[2]tropical!I$1,FALSE)</f>
        <v>0</v>
      </c>
      <c r="N136" s="800">
        <f>VLOOKUP($E136,[2]tropical!$A$4:$AF$46,[2]tropical!J$1,FALSE)</f>
        <v>0</v>
      </c>
      <c r="O136" s="800">
        <f>VLOOKUP($E136,[2]tropical!$A$4:$AF$46,[2]tropical!K$1,FALSE)</f>
        <v>1</v>
      </c>
      <c r="P136" s="800">
        <f>VLOOKUP($E136,[2]tropical!$A$4:$AF$46,[2]tropical!L$1,FALSE)</f>
        <v>0</v>
      </c>
      <c r="Q136" s="800">
        <f>VLOOKUP($E136,[2]tropical!$A$4:$AF$46,[2]tropical!M$1,FALSE)</f>
        <v>0</v>
      </c>
      <c r="R136" s="805">
        <f>VLOOKUP($E136,[2]tropical!$A$4:$AF$46,[2]tropical!N$1,FALSE)</f>
        <v>0</v>
      </c>
      <c r="S136" s="805">
        <f>VLOOKUP($E136,[2]tropical!$A$4:$AF$46,[2]tropical!O$1,FALSE)</f>
        <v>0</v>
      </c>
      <c r="T136" s="805">
        <f>VLOOKUP($E136,[2]tropical!$A$4:$AF$46,[2]tropical!P$1,FALSE)</f>
        <v>0</v>
      </c>
      <c r="U136" s="800">
        <f t="shared" si="2"/>
        <v>2</v>
      </c>
    </row>
    <row r="137" spans="1:21">
      <c r="A137" s="788">
        <v>8134</v>
      </c>
      <c r="B137" s="788" t="s">
        <v>1253</v>
      </c>
      <c r="C137" s="788">
        <v>330</v>
      </c>
      <c r="D137" s="788" t="s">
        <v>24</v>
      </c>
      <c r="E137" s="790" t="s">
        <v>867</v>
      </c>
      <c r="F137" s="790" t="s">
        <v>2616</v>
      </c>
      <c r="G137" s="800">
        <f>VLOOKUP($E137,[2]tropical!$A$4:$AF$46,[2]tropical!C$1,FALSE)</f>
        <v>0</v>
      </c>
      <c r="H137" s="800">
        <f>VLOOKUP($E137,[2]tropical!$A$4:$AF$46,[2]tropical!D$1,FALSE)</f>
        <v>1</v>
      </c>
      <c r="I137" s="800">
        <f>VLOOKUP($E137,[2]tropical!$A$4:$AF$46,[2]tropical!E$1,FALSE)</f>
        <v>2</v>
      </c>
      <c r="J137" s="800">
        <f>VLOOKUP($E137,[2]tropical!$A$4:$AF$46,[2]tropical!F$1,FALSE)</f>
        <v>1</v>
      </c>
      <c r="K137" s="800">
        <f>VLOOKUP($E137,[2]tropical!$A$4:$AF$46,[2]tropical!G$1,FALSE)</f>
        <v>0</v>
      </c>
      <c r="L137" s="800">
        <f>VLOOKUP($E137,[2]tropical!$A$4:$AF$46,[2]tropical!H$1,FALSE)</f>
        <v>2</v>
      </c>
      <c r="M137" s="800">
        <f>VLOOKUP($E137,[2]tropical!$A$4:$AF$46,[2]tropical!I$1,FALSE)</f>
        <v>0</v>
      </c>
      <c r="N137" s="800">
        <f>VLOOKUP($E137,[2]tropical!$A$4:$AF$46,[2]tropical!J$1,FALSE)</f>
        <v>0</v>
      </c>
      <c r="O137" s="800">
        <f>VLOOKUP($E137,[2]tropical!$A$4:$AF$46,[2]tropical!K$1,FALSE)</f>
        <v>2</v>
      </c>
      <c r="P137" s="800">
        <f>VLOOKUP($E137,[2]tropical!$A$4:$AF$46,[2]tropical!L$1,FALSE)</f>
        <v>0</v>
      </c>
      <c r="Q137" s="800">
        <f>VLOOKUP($E137,[2]tropical!$A$4:$AF$46,[2]tropical!M$1,FALSE)</f>
        <v>0</v>
      </c>
      <c r="R137" s="805">
        <f>VLOOKUP($E137,[2]tropical!$A$4:$AF$46,[2]tropical!N$1,FALSE)</f>
        <v>0</v>
      </c>
      <c r="S137" s="805">
        <f>VLOOKUP($E137,[2]tropical!$A$4:$AF$46,[2]tropical!O$1,FALSE)</f>
        <v>0</v>
      </c>
      <c r="T137" s="805">
        <f>VLOOKUP($E137,[2]tropical!$A$4:$AF$46,[2]tropical!P$1,FALSE)</f>
        <v>0</v>
      </c>
      <c r="U137" s="800">
        <f t="shared" si="2"/>
        <v>8</v>
      </c>
    </row>
    <row r="138" spans="1:21">
      <c r="A138" s="788">
        <v>8135</v>
      </c>
      <c r="B138" s="788" t="s">
        <v>1255</v>
      </c>
      <c r="C138" s="788">
        <v>72</v>
      </c>
      <c r="D138" s="788" t="s">
        <v>24</v>
      </c>
      <c r="E138" s="790" t="s">
        <v>1743</v>
      </c>
      <c r="F138" s="790" t="s">
        <v>2616</v>
      </c>
      <c r="G138" s="800">
        <f>VLOOKUP($E138,[2]tropical!$A$4:$AF$46,[2]tropical!C$1,FALSE)</f>
        <v>0</v>
      </c>
      <c r="H138" s="800">
        <f>VLOOKUP($E138,[2]tropical!$A$4:$AF$46,[2]tropical!D$1,FALSE)</f>
        <v>0</v>
      </c>
      <c r="I138" s="800">
        <f>VLOOKUP($E138,[2]tropical!$A$4:$AF$46,[2]tropical!E$1,FALSE)</f>
        <v>2</v>
      </c>
      <c r="J138" s="800">
        <f>VLOOKUP($E138,[2]tropical!$A$4:$AF$46,[2]tropical!F$1,FALSE)</f>
        <v>0</v>
      </c>
      <c r="K138" s="800">
        <f>VLOOKUP($E138,[2]tropical!$A$4:$AF$46,[2]tropical!G$1,FALSE)</f>
        <v>0</v>
      </c>
      <c r="L138" s="800">
        <f>VLOOKUP($E138,[2]tropical!$A$4:$AF$46,[2]tropical!H$1,FALSE)</f>
        <v>0</v>
      </c>
      <c r="M138" s="800">
        <f>VLOOKUP($E138,[2]tropical!$A$4:$AF$46,[2]tropical!I$1,FALSE)</f>
        <v>0</v>
      </c>
      <c r="N138" s="800">
        <f>VLOOKUP($E138,[2]tropical!$A$4:$AF$46,[2]tropical!J$1,FALSE)</f>
        <v>0</v>
      </c>
      <c r="O138" s="800">
        <f>VLOOKUP($E138,[2]tropical!$A$4:$AF$46,[2]tropical!K$1,FALSE)</f>
        <v>0</v>
      </c>
      <c r="P138" s="800">
        <f>VLOOKUP($E138,[2]tropical!$A$4:$AF$46,[2]tropical!L$1,FALSE)</f>
        <v>0</v>
      </c>
      <c r="Q138" s="800">
        <f>VLOOKUP($E138,[2]tropical!$A$4:$AF$46,[2]tropical!M$1,FALSE)</f>
        <v>0</v>
      </c>
      <c r="R138" s="805">
        <f>VLOOKUP($E138,[2]tropical!$A$4:$AF$46,[2]tropical!N$1,FALSE)</f>
        <v>0</v>
      </c>
      <c r="S138" s="805">
        <f>VLOOKUP($E138,[2]tropical!$A$4:$AF$46,[2]tropical!O$1,FALSE)</f>
        <v>0</v>
      </c>
      <c r="T138" s="805">
        <f>VLOOKUP($E138,[2]tropical!$A$4:$AF$46,[2]tropical!P$1,FALSE)</f>
        <v>0</v>
      </c>
      <c r="U138" s="800">
        <f t="shared" si="2"/>
        <v>2</v>
      </c>
    </row>
    <row r="139" spans="1:21">
      <c r="A139" s="788">
        <v>8136</v>
      </c>
      <c r="B139" s="788" t="s">
        <v>1256</v>
      </c>
      <c r="C139" s="788">
        <v>116</v>
      </c>
      <c r="D139" s="788" t="s">
        <v>24</v>
      </c>
      <c r="E139" s="790" t="s">
        <v>1743</v>
      </c>
      <c r="F139" s="790" t="s">
        <v>2616</v>
      </c>
      <c r="G139" s="800">
        <f>VLOOKUP($E139,[2]tropical!$A$4:$AF$46,[2]tropical!C$1,FALSE)</f>
        <v>0</v>
      </c>
      <c r="H139" s="800">
        <f>VLOOKUP($E139,[2]tropical!$A$4:$AF$46,[2]tropical!D$1,FALSE)</f>
        <v>0</v>
      </c>
      <c r="I139" s="800">
        <f>VLOOKUP($E139,[2]tropical!$A$4:$AF$46,[2]tropical!E$1,FALSE)</f>
        <v>2</v>
      </c>
      <c r="J139" s="800">
        <f>VLOOKUP($E139,[2]tropical!$A$4:$AF$46,[2]tropical!F$1,FALSE)</f>
        <v>0</v>
      </c>
      <c r="K139" s="800">
        <f>VLOOKUP($E139,[2]tropical!$A$4:$AF$46,[2]tropical!G$1,FALSE)</f>
        <v>0</v>
      </c>
      <c r="L139" s="800">
        <f>VLOOKUP($E139,[2]tropical!$A$4:$AF$46,[2]tropical!H$1,FALSE)</f>
        <v>0</v>
      </c>
      <c r="M139" s="800">
        <f>VLOOKUP($E139,[2]tropical!$A$4:$AF$46,[2]tropical!I$1,FALSE)</f>
        <v>0</v>
      </c>
      <c r="N139" s="800">
        <f>VLOOKUP($E139,[2]tropical!$A$4:$AF$46,[2]tropical!J$1,FALSE)</f>
        <v>0</v>
      </c>
      <c r="O139" s="800">
        <f>VLOOKUP($E139,[2]tropical!$A$4:$AF$46,[2]tropical!K$1,FALSE)</f>
        <v>0</v>
      </c>
      <c r="P139" s="800">
        <f>VLOOKUP($E139,[2]tropical!$A$4:$AF$46,[2]tropical!L$1,FALSE)</f>
        <v>0</v>
      </c>
      <c r="Q139" s="800">
        <f>VLOOKUP($E139,[2]tropical!$A$4:$AF$46,[2]tropical!M$1,FALSE)</f>
        <v>0</v>
      </c>
      <c r="R139" s="805">
        <f>VLOOKUP($E139,[2]tropical!$A$4:$AF$46,[2]tropical!N$1,FALSE)</f>
        <v>0</v>
      </c>
      <c r="S139" s="805">
        <f>VLOOKUP($E139,[2]tropical!$A$4:$AF$46,[2]tropical!O$1,FALSE)</f>
        <v>0</v>
      </c>
      <c r="T139" s="805">
        <f>VLOOKUP($E139,[2]tropical!$A$4:$AF$46,[2]tropical!P$1,FALSE)</f>
        <v>0</v>
      </c>
      <c r="U139" s="800">
        <f t="shared" si="2"/>
        <v>2</v>
      </c>
    </row>
    <row r="140" spans="1:21">
      <c r="A140" s="788">
        <v>8137</v>
      </c>
      <c r="B140" s="788" t="s">
        <v>1258</v>
      </c>
      <c r="C140" s="788">
        <v>528</v>
      </c>
      <c r="D140" s="788" t="s">
        <v>24</v>
      </c>
      <c r="E140" s="790" t="s">
        <v>867</v>
      </c>
      <c r="F140" s="790" t="s">
        <v>2616</v>
      </c>
      <c r="G140" s="800">
        <f>VLOOKUP($E140,[2]tropical!$A$4:$AF$46,[2]tropical!C$1,FALSE)</f>
        <v>0</v>
      </c>
      <c r="H140" s="800">
        <f>VLOOKUP($E140,[2]tropical!$A$4:$AF$46,[2]tropical!D$1,FALSE)</f>
        <v>1</v>
      </c>
      <c r="I140" s="800">
        <f>VLOOKUP($E140,[2]tropical!$A$4:$AF$46,[2]tropical!E$1,FALSE)</f>
        <v>2</v>
      </c>
      <c r="J140" s="800">
        <f>VLOOKUP($E140,[2]tropical!$A$4:$AF$46,[2]tropical!F$1,FALSE)</f>
        <v>1</v>
      </c>
      <c r="K140" s="800">
        <f>VLOOKUP($E140,[2]tropical!$A$4:$AF$46,[2]tropical!G$1,FALSE)</f>
        <v>0</v>
      </c>
      <c r="L140" s="800">
        <f>VLOOKUP($E140,[2]tropical!$A$4:$AF$46,[2]tropical!H$1,FALSE)</f>
        <v>2</v>
      </c>
      <c r="M140" s="800">
        <f>VLOOKUP($E140,[2]tropical!$A$4:$AF$46,[2]tropical!I$1,FALSE)</f>
        <v>0</v>
      </c>
      <c r="N140" s="800">
        <f>VLOOKUP($E140,[2]tropical!$A$4:$AF$46,[2]tropical!J$1,FALSE)</f>
        <v>0</v>
      </c>
      <c r="O140" s="800">
        <f>VLOOKUP($E140,[2]tropical!$A$4:$AF$46,[2]tropical!K$1,FALSE)</f>
        <v>2</v>
      </c>
      <c r="P140" s="800">
        <f>VLOOKUP($E140,[2]tropical!$A$4:$AF$46,[2]tropical!L$1,FALSE)</f>
        <v>0</v>
      </c>
      <c r="Q140" s="800">
        <f>VLOOKUP($E140,[2]tropical!$A$4:$AF$46,[2]tropical!M$1,FALSE)</f>
        <v>0</v>
      </c>
      <c r="R140" s="805">
        <f>VLOOKUP($E140,[2]tropical!$A$4:$AF$46,[2]tropical!N$1,FALSE)</f>
        <v>0</v>
      </c>
      <c r="S140" s="805">
        <f>VLOOKUP($E140,[2]tropical!$A$4:$AF$46,[2]tropical!O$1,FALSE)</f>
        <v>0</v>
      </c>
      <c r="T140" s="805">
        <f>VLOOKUP($E140,[2]tropical!$A$4:$AF$46,[2]tropical!P$1,FALSE)</f>
        <v>0</v>
      </c>
      <c r="U140" s="800">
        <f t="shared" si="2"/>
        <v>8</v>
      </c>
    </row>
    <row r="141" spans="1:21">
      <c r="A141" s="788">
        <v>8138</v>
      </c>
      <c r="B141" s="788" t="s">
        <v>1260</v>
      </c>
      <c r="C141" s="788">
        <v>717</v>
      </c>
      <c r="D141" s="788" t="s">
        <v>82</v>
      </c>
      <c r="E141" s="790" t="s">
        <v>1233</v>
      </c>
      <c r="F141" s="790" t="s">
        <v>2616</v>
      </c>
      <c r="G141" s="800">
        <f>VLOOKUP($E141,[2]tropical!$A$4:$AF$46,[2]tropical!C$1,FALSE)</f>
        <v>0</v>
      </c>
      <c r="H141" s="800">
        <f>VLOOKUP($E141,[2]tropical!$A$4:$AF$46,[2]tropical!D$1,FALSE)</f>
        <v>1</v>
      </c>
      <c r="I141" s="800">
        <f>VLOOKUP($E141,[2]tropical!$A$4:$AF$46,[2]tropical!E$1,FALSE)</f>
        <v>1</v>
      </c>
      <c r="J141" s="800">
        <f>VLOOKUP($E141,[2]tropical!$A$4:$AF$46,[2]tropical!F$1,FALSE)</f>
        <v>2</v>
      </c>
      <c r="K141" s="800">
        <f>VLOOKUP($E141,[2]tropical!$A$4:$AF$46,[2]tropical!G$1,FALSE)</f>
        <v>1</v>
      </c>
      <c r="L141" s="800">
        <f>VLOOKUP($E141,[2]tropical!$A$4:$AF$46,[2]tropical!H$1,FALSE)</f>
        <v>2</v>
      </c>
      <c r="M141" s="800">
        <f>VLOOKUP($E141,[2]tropical!$A$4:$AF$46,[2]tropical!I$1,FALSE)</f>
        <v>0</v>
      </c>
      <c r="N141" s="800">
        <f>VLOOKUP($E141,[2]tropical!$A$4:$AF$46,[2]tropical!J$1,FALSE)</f>
        <v>0</v>
      </c>
      <c r="O141" s="800">
        <f>VLOOKUP($E141,[2]tropical!$A$4:$AF$46,[2]tropical!K$1,FALSE)</f>
        <v>2</v>
      </c>
      <c r="P141" s="800">
        <f>VLOOKUP($E141,[2]tropical!$A$4:$AF$46,[2]tropical!L$1,FALSE)</f>
        <v>0</v>
      </c>
      <c r="Q141" s="800">
        <f>VLOOKUP($E141,[2]tropical!$A$4:$AF$46,[2]tropical!M$1,FALSE)</f>
        <v>0</v>
      </c>
      <c r="R141" s="805">
        <f>VLOOKUP($E141,[2]tropical!$A$4:$AF$46,[2]tropical!N$1,FALSE)</f>
        <v>0</v>
      </c>
      <c r="S141" s="805">
        <f>VLOOKUP($E141,[2]tropical!$A$4:$AF$46,[2]tropical!O$1,FALSE)</f>
        <v>0</v>
      </c>
      <c r="T141" s="805">
        <f>VLOOKUP($E141,[2]tropical!$A$4:$AF$46,[2]tropical!P$1,FALSE)</f>
        <v>0</v>
      </c>
      <c r="U141" s="800">
        <f t="shared" si="2"/>
        <v>9</v>
      </c>
    </row>
    <row r="142" spans="1:21">
      <c r="A142" s="788">
        <v>8139</v>
      </c>
      <c r="B142" s="788" t="s">
        <v>1263</v>
      </c>
      <c r="C142" s="788">
        <v>454</v>
      </c>
      <c r="D142" s="788" t="s">
        <v>82</v>
      </c>
      <c r="E142" s="790" t="s">
        <v>1494</v>
      </c>
      <c r="F142" s="790" t="s">
        <v>2616</v>
      </c>
      <c r="G142" s="800">
        <f>VLOOKUP($E142,[2]tropical!$A$4:$AF$46,[2]tropical!C$1,FALSE)</f>
        <v>0</v>
      </c>
      <c r="H142" s="800">
        <f>VLOOKUP($E142,[2]tropical!$A$4:$AF$46,[2]tropical!D$1,FALSE)</f>
        <v>0</v>
      </c>
      <c r="I142" s="800">
        <f>VLOOKUP($E142,[2]tropical!$A$4:$AF$46,[2]tropical!E$1,FALSE)</f>
        <v>0</v>
      </c>
      <c r="J142" s="800">
        <f>VLOOKUP($E142,[2]tropical!$A$4:$AF$46,[2]tropical!F$1,FALSE)</f>
        <v>0</v>
      </c>
      <c r="K142" s="800">
        <f>VLOOKUP($E142,[2]tropical!$A$4:$AF$46,[2]tropical!G$1,FALSE)</f>
        <v>0</v>
      </c>
      <c r="L142" s="800">
        <f>VLOOKUP($E142,[2]tropical!$A$4:$AF$46,[2]tropical!H$1,FALSE)</f>
        <v>0</v>
      </c>
      <c r="M142" s="800">
        <f>VLOOKUP($E142,[2]tropical!$A$4:$AF$46,[2]tropical!I$1,FALSE)</f>
        <v>0</v>
      </c>
      <c r="N142" s="800">
        <f>VLOOKUP($E142,[2]tropical!$A$4:$AF$46,[2]tropical!J$1,FALSE)</f>
        <v>0</v>
      </c>
      <c r="O142" s="800">
        <f>VLOOKUP($E142,[2]tropical!$A$4:$AF$46,[2]tropical!K$1,FALSE)</f>
        <v>0</v>
      </c>
      <c r="P142" s="800">
        <f>VLOOKUP($E142,[2]tropical!$A$4:$AF$46,[2]tropical!L$1,FALSE)</f>
        <v>0</v>
      </c>
      <c r="Q142" s="800">
        <f>VLOOKUP($E142,[2]tropical!$A$4:$AF$46,[2]tropical!M$1,FALSE)</f>
        <v>0</v>
      </c>
      <c r="R142" s="805">
        <f>VLOOKUP($E142,[2]tropical!$A$4:$AF$46,[2]tropical!N$1,FALSE)</f>
        <v>0</v>
      </c>
      <c r="S142" s="805">
        <f>VLOOKUP($E142,[2]tropical!$A$4:$AF$46,[2]tropical!O$1,FALSE)</f>
        <v>0</v>
      </c>
      <c r="T142" s="805">
        <f>VLOOKUP($E142,[2]tropical!$A$4:$AF$46,[2]tropical!P$1,FALSE)</f>
        <v>0</v>
      </c>
      <c r="U142" s="800">
        <f t="shared" si="2"/>
        <v>0</v>
      </c>
    </row>
    <row r="143" spans="1:21">
      <c r="A143" s="788">
        <v>8140</v>
      </c>
      <c r="B143" s="788" t="s">
        <v>1268</v>
      </c>
      <c r="C143" s="788">
        <v>269</v>
      </c>
      <c r="D143" s="788" t="s">
        <v>82</v>
      </c>
      <c r="E143" s="790" t="s">
        <v>767</v>
      </c>
      <c r="F143" s="790" t="s">
        <v>2616</v>
      </c>
      <c r="G143" s="800">
        <f>VLOOKUP($E143,[2]tropical!$A$4:$AF$46,[2]tropical!C$1,FALSE)</f>
        <v>0</v>
      </c>
      <c r="H143" s="800">
        <f>VLOOKUP($E143,[2]tropical!$A$4:$AF$46,[2]tropical!D$1,FALSE)</f>
        <v>0</v>
      </c>
      <c r="I143" s="800">
        <f>VLOOKUP($E143,[2]tropical!$A$4:$AF$46,[2]tropical!E$1,FALSE)</f>
        <v>2</v>
      </c>
      <c r="J143" s="800">
        <f>VLOOKUP($E143,[2]tropical!$A$4:$AF$46,[2]tropical!F$1,FALSE)</f>
        <v>0</v>
      </c>
      <c r="K143" s="800">
        <f>VLOOKUP($E143,[2]tropical!$A$4:$AF$46,[2]tropical!G$1,FALSE)</f>
        <v>0</v>
      </c>
      <c r="L143" s="800">
        <f>VLOOKUP($E143,[2]tropical!$A$4:$AF$46,[2]tropical!H$1,FALSE)</f>
        <v>0</v>
      </c>
      <c r="M143" s="800">
        <f>VLOOKUP($E143,[2]tropical!$A$4:$AF$46,[2]tropical!I$1,FALSE)</f>
        <v>0</v>
      </c>
      <c r="N143" s="800">
        <f>VLOOKUP($E143,[2]tropical!$A$4:$AF$46,[2]tropical!J$1,FALSE)</f>
        <v>0</v>
      </c>
      <c r="O143" s="800">
        <f>VLOOKUP($E143,[2]tropical!$A$4:$AF$46,[2]tropical!K$1,FALSE)</f>
        <v>0</v>
      </c>
      <c r="P143" s="800">
        <f>VLOOKUP($E143,[2]tropical!$A$4:$AF$46,[2]tropical!L$1,FALSE)</f>
        <v>0</v>
      </c>
      <c r="Q143" s="800">
        <f>VLOOKUP($E143,[2]tropical!$A$4:$AF$46,[2]tropical!M$1,FALSE)</f>
        <v>0</v>
      </c>
      <c r="R143" s="805">
        <f>VLOOKUP($E143,[2]tropical!$A$4:$AF$46,[2]tropical!N$1,FALSE)</f>
        <v>0</v>
      </c>
      <c r="S143" s="805">
        <f>VLOOKUP($E143,[2]tropical!$A$4:$AF$46,[2]tropical!O$1,FALSE)</f>
        <v>0</v>
      </c>
      <c r="T143" s="805">
        <f>VLOOKUP($E143,[2]tropical!$A$4:$AF$46,[2]tropical!P$1,FALSE)</f>
        <v>0</v>
      </c>
      <c r="U143" s="800">
        <f t="shared" si="2"/>
        <v>2</v>
      </c>
    </row>
    <row r="144" spans="1:21">
      <c r="A144" s="788">
        <v>8141</v>
      </c>
      <c r="B144" s="788" t="s">
        <v>1269</v>
      </c>
      <c r="C144" s="788">
        <v>370</v>
      </c>
      <c r="D144" s="788" t="s">
        <v>82</v>
      </c>
      <c r="E144" s="790" t="s">
        <v>767</v>
      </c>
      <c r="F144" s="790" t="s">
        <v>2616</v>
      </c>
      <c r="G144" s="800">
        <f>VLOOKUP($E144,[2]tropical!$A$4:$AF$46,[2]tropical!C$1,FALSE)</f>
        <v>0</v>
      </c>
      <c r="H144" s="800">
        <f>VLOOKUP($E144,[2]tropical!$A$4:$AF$46,[2]tropical!D$1,FALSE)</f>
        <v>0</v>
      </c>
      <c r="I144" s="800">
        <f>VLOOKUP($E144,[2]tropical!$A$4:$AF$46,[2]tropical!E$1,FALSE)</f>
        <v>2</v>
      </c>
      <c r="J144" s="800">
        <f>VLOOKUP($E144,[2]tropical!$A$4:$AF$46,[2]tropical!F$1,FALSE)</f>
        <v>0</v>
      </c>
      <c r="K144" s="800">
        <f>VLOOKUP($E144,[2]tropical!$A$4:$AF$46,[2]tropical!G$1,FALSE)</f>
        <v>0</v>
      </c>
      <c r="L144" s="800">
        <f>VLOOKUP($E144,[2]tropical!$A$4:$AF$46,[2]tropical!H$1,FALSE)</f>
        <v>0</v>
      </c>
      <c r="M144" s="800">
        <f>VLOOKUP($E144,[2]tropical!$A$4:$AF$46,[2]tropical!I$1,FALSE)</f>
        <v>0</v>
      </c>
      <c r="N144" s="800">
        <f>VLOOKUP($E144,[2]tropical!$A$4:$AF$46,[2]tropical!J$1,FALSE)</f>
        <v>0</v>
      </c>
      <c r="O144" s="800">
        <f>VLOOKUP($E144,[2]tropical!$A$4:$AF$46,[2]tropical!K$1,FALSE)</f>
        <v>0</v>
      </c>
      <c r="P144" s="800">
        <f>VLOOKUP($E144,[2]tropical!$A$4:$AF$46,[2]tropical!L$1,FALSE)</f>
        <v>0</v>
      </c>
      <c r="Q144" s="800">
        <f>VLOOKUP($E144,[2]tropical!$A$4:$AF$46,[2]tropical!M$1,FALSE)</f>
        <v>0</v>
      </c>
      <c r="R144" s="805">
        <f>VLOOKUP($E144,[2]tropical!$A$4:$AF$46,[2]tropical!N$1,FALSE)</f>
        <v>0</v>
      </c>
      <c r="S144" s="805">
        <f>VLOOKUP($E144,[2]tropical!$A$4:$AF$46,[2]tropical!O$1,FALSE)</f>
        <v>0</v>
      </c>
      <c r="T144" s="805">
        <f>VLOOKUP($E144,[2]tropical!$A$4:$AF$46,[2]tropical!P$1,FALSE)</f>
        <v>0</v>
      </c>
      <c r="U144" s="800">
        <f t="shared" si="2"/>
        <v>2</v>
      </c>
    </row>
    <row r="145" spans="1:21">
      <c r="A145" s="788">
        <v>8142</v>
      </c>
      <c r="B145" s="788" t="s">
        <v>1272</v>
      </c>
      <c r="C145" s="788">
        <v>876</v>
      </c>
      <c r="D145" s="788" t="s">
        <v>84</v>
      </c>
      <c r="E145" s="790" t="s">
        <v>2603</v>
      </c>
      <c r="F145" s="790" t="s">
        <v>2617</v>
      </c>
      <c r="G145" s="800">
        <f>VLOOKUP($E145,[2]tropical!$A$4:$AF$46,[2]tropical!C$1,FALSE)</f>
        <v>0</v>
      </c>
      <c r="H145" s="800">
        <f>VLOOKUP($E145,[2]tropical!$A$4:$AF$46,[2]tropical!D$1,FALSE)</f>
        <v>1</v>
      </c>
      <c r="I145" s="800">
        <f>VLOOKUP($E145,[2]tropical!$A$4:$AF$46,[2]tropical!E$1,FALSE)</f>
        <v>0</v>
      </c>
      <c r="J145" s="800">
        <f>VLOOKUP($E145,[2]tropical!$A$4:$AF$46,[2]tropical!F$1,FALSE)</f>
        <v>0</v>
      </c>
      <c r="K145" s="800">
        <f>VLOOKUP($E145,[2]tropical!$A$4:$AF$46,[2]tropical!G$1,FALSE)</f>
        <v>0</v>
      </c>
      <c r="L145" s="800">
        <f>VLOOKUP($E145,[2]tropical!$A$4:$AF$46,[2]tropical!H$1,FALSE)</f>
        <v>0</v>
      </c>
      <c r="M145" s="800">
        <f>VLOOKUP($E145,[2]tropical!$A$4:$AF$46,[2]tropical!I$1,FALSE)</f>
        <v>0</v>
      </c>
      <c r="N145" s="800">
        <f>VLOOKUP($E145,[2]tropical!$A$4:$AF$46,[2]tropical!J$1,FALSE)</f>
        <v>0</v>
      </c>
      <c r="O145" s="800">
        <f>VLOOKUP($E145,[2]tropical!$A$4:$AF$46,[2]tropical!K$1,FALSE)</f>
        <v>2</v>
      </c>
      <c r="P145" s="800">
        <f>VLOOKUP($E145,[2]tropical!$A$4:$AF$46,[2]tropical!L$1,FALSE)</f>
        <v>0</v>
      </c>
      <c r="Q145" s="800">
        <f>VLOOKUP($E145,[2]tropical!$A$4:$AF$46,[2]tropical!M$1,FALSE)</f>
        <v>0</v>
      </c>
      <c r="R145" s="805">
        <f>VLOOKUP($E145,[2]tropical!$A$4:$AF$46,[2]tropical!N$1,FALSE)</f>
        <v>0</v>
      </c>
      <c r="S145" s="805">
        <f>VLOOKUP($E145,[2]tropical!$A$4:$AF$46,[2]tropical!O$1,FALSE)</f>
        <v>0</v>
      </c>
      <c r="T145" s="805">
        <f>VLOOKUP($E145,[2]tropical!$A$4:$AF$46,[2]tropical!P$1,FALSE)</f>
        <v>0</v>
      </c>
      <c r="U145" s="800">
        <f t="shared" si="2"/>
        <v>3</v>
      </c>
    </row>
    <row r="146" spans="1:21">
      <c r="A146" s="788">
        <v>8143</v>
      </c>
      <c r="B146" s="788" t="s">
        <v>1274</v>
      </c>
      <c r="C146" s="788">
        <v>421</v>
      </c>
      <c r="D146" s="788" t="s">
        <v>81</v>
      </c>
      <c r="E146" s="790" t="s">
        <v>1274</v>
      </c>
      <c r="F146" s="790" t="s">
        <v>2616</v>
      </c>
      <c r="G146" s="800">
        <f>VLOOKUP($E146,[2]tropical!$A$4:$AF$46,[2]tropical!C$1,FALSE)</f>
        <v>0</v>
      </c>
      <c r="H146" s="800">
        <f>VLOOKUP($E146,[2]tropical!$A$4:$AF$46,[2]tropical!D$1,FALSE)</f>
        <v>0</v>
      </c>
      <c r="I146" s="800">
        <f>VLOOKUP($E146,[2]tropical!$A$4:$AF$46,[2]tropical!E$1,FALSE)</f>
        <v>0</v>
      </c>
      <c r="J146" s="800">
        <f>VLOOKUP($E146,[2]tropical!$A$4:$AF$46,[2]tropical!F$1,FALSE)</f>
        <v>0</v>
      </c>
      <c r="K146" s="800">
        <f>VLOOKUP($E146,[2]tropical!$A$4:$AF$46,[2]tropical!G$1,FALSE)</f>
        <v>1</v>
      </c>
      <c r="L146" s="800">
        <f>VLOOKUP($E146,[2]tropical!$A$4:$AF$46,[2]tropical!H$1,FALSE)</f>
        <v>0</v>
      </c>
      <c r="M146" s="800">
        <f>VLOOKUP($E146,[2]tropical!$A$4:$AF$46,[2]tropical!I$1,FALSE)</f>
        <v>0</v>
      </c>
      <c r="N146" s="800">
        <f>VLOOKUP($E146,[2]tropical!$A$4:$AF$46,[2]tropical!J$1,FALSE)</f>
        <v>0</v>
      </c>
      <c r="O146" s="800">
        <f>VLOOKUP($E146,[2]tropical!$A$4:$AF$46,[2]tropical!K$1,FALSE)</f>
        <v>1</v>
      </c>
      <c r="P146" s="800">
        <f>VLOOKUP($E146,[2]tropical!$A$4:$AF$46,[2]tropical!L$1,FALSE)</f>
        <v>0</v>
      </c>
      <c r="Q146" s="800">
        <f>VLOOKUP($E146,[2]tropical!$A$4:$AF$46,[2]tropical!M$1,FALSE)</f>
        <v>0</v>
      </c>
      <c r="R146" s="805">
        <f>VLOOKUP($E146,[2]tropical!$A$4:$AF$46,[2]tropical!N$1,FALSE)</f>
        <v>0</v>
      </c>
      <c r="S146" s="805">
        <f>VLOOKUP($E146,[2]tropical!$A$4:$AF$46,[2]tropical!O$1,FALSE)</f>
        <v>0</v>
      </c>
      <c r="T146" s="805">
        <f>VLOOKUP($E146,[2]tropical!$A$4:$AF$46,[2]tropical!P$1,FALSE)</f>
        <v>0</v>
      </c>
      <c r="U146" s="800">
        <f t="shared" si="2"/>
        <v>2</v>
      </c>
    </row>
    <row r="147" spans="1:21">
      <c r="A147" s="788">
        <v>8144</v>
      </c>
      <c r="B147" s="788" t="s">
        <v>1278</v>
      </c>
      <c r="C147" s="788">
        <v>553</v>
      </c>
      <c r="D147" s="788" t="s">
        <v>84</v>
      </c>
      <c r="E147" s="790" t="s">
        <v>2603</v>
      </c>
      <c r="F147" s="790" t="s">
        <v>2617</v>
      </c>
      <c r="G147" s="800">
        <f>VLOOKUP($E147,[2]tropical!$A$4:$AF$46,[2]tropical!C$1,FALSE)</f>
        <v>0</v>
      </c>
      <c r="H147" s="800">
        <f>VLOOKUP($E147,[2]tropical!$A$4:$AF$46,[2]tropical!D$1,FALSE)</f>
        <v>1</v>
      </c>
      <c r="I147" s="800">
        <f>VLOOKUP($E147,[2]tropical!$A$4:$AF$46,[2]tropical!E$1,FALSE)</f>
        <v>0</v>
      </c>
      <c r="J147" s="800">
        <f>VLOOKUP($E147,[2]tropical!$A$4:$AF$46,[2]tropical!F$1,FALSE)</f>
        <v>0</v>
      </c>
      <c r="K147" s="800">
        <f>VLOOKUP($E147,[2]tropical!$A$4:$AF$46,[2]tropical!G$1,FALSE)</f>
        <v>0</v>
      </c>
      <c r="L147" s="800">
        <f>VLOOKUP($E147,[2]tropical!$A$4:$AF$46,[2]tropical!H$1,FALSE)</f>
        <v>0</v>
      </c>
      <c r="M147" s="800">
        <f>VLOOKUP($E147,[2]tropical!$A$4:$AF$46,[2]tropical!I$1,FALSE)</f>
        <v>0</v>
      </c>
      <c r="N147" s="800">
        <f>VLOOKUP($E147,[2]tropical!$A$4:$AF$46,[2]tropical!J$1,FALSE)</f>
        <v>0</v>
      </c>
      <c r="O147" s="800">
        <f>VLOOKUP($E147,[2]tropical!$A$4:$AF$46,[2]tropical!K$1,FALSE)</f>
        <v>2</v>
      </c>
      <c r="P147" s="800">
        <f>VLOOKUP($E147,[2]tropical!$A$4:$AF$46,[2]tropical!L$1,FALSE)</f>
        <v>0</v>
      </c>
      <c r="Q147" s="800">
        <f>VLOOKUP($E147,[2]tropical!$A$4:$AF$46,[2]tropical!M$1,FALSE)</f>
        <v>0</v>
      </c>
      <c r="R147" s="805">
        <f>VLOOKUP($E147,[2]tropical!$A$4:$AF$46,[2]tropical!N$1,FALSE)</f>
        <v>0</v>
      </c>
      <c r="S147" s="805">
        <f>VLOOKUP($E147,[2]tropical!$A$4:$AF$46,[2]tropical!O$1,FALSE)</f>
        <v>0</v>
      </c>
      <c r="T147" s="805">
        <f>VLOOKUP($E147,[2]tropical!$A$4:$AF$46,[2]tropical!P$1,FALSE)</f>
        <v>0</v>
      </c>
      <c r="U147" s="800">
        <f t="shared" si="2"/>
        <v>3</v>
      </c>
    </row>
    <row r="148" spans="1:21">
      <c r="A148" s="788">
        <v>8145</v>
      </c>
      <c r="B148" s="788" t="s">
        <v>1281</v>
      </c>
      <c r="C148" s="788">
        <v>189</v>
      </c>
      <c r="D148" s="788" t="s">
        <v>791</v>
      </c>
      <c r="E148" s="790" t="s">
        <v>2607</v>
      </c>
      <c r="F148" s="790" t="s">
        <v>2615</v>
      </c>
      <c r="G148" s="800">
        <f>VLOOKUP($E148,[2]tropical!$A$4:$AF$46,[2]tropical!C$1,FALSE)</f>
        <v>0</v>
      </c>
      <c r="H148" s="800">
        <f>VLOOKUP($E148,[2]tropical!$A$4:$AF$46,[2]tropical!D$1,FALSE)</f>
        <v>3</v>
      </c>
      <c r="I148" s="800">
        <f>VLOOKUP($E148,[2]tropical!$A$4:$AF$46,[2]tropical!E$1,FALSE)</f>
        <v>2</v>
      </c>
      <c r="J148" s="800">
        <f>VLOOKUP($E148,[2]tropical!$A$4:$AF$46,[2]tropical!F$1,FALSE)</f>
        <v>0</v>
      </c>
      <c r="K148" s="800">
        <f>VLOOKUP($E148,[2]tropical!$A$4:$AF$46,[2]tropical!G$1,FALSE)</f>
        <v>1</v>
      </c>
      <c r="L148" s="800">
        <f>VLOOKUP($E148,[2]tropical!$A$4:$AF$46,[2]tropical!H$1,FALSE)</f>
        <v>1</v>
      </c>
      <c r="M148" s="800">
        <f>VLOOKUP($E148,[2]tropical!$A$4:$AF$46,[2]tropical!I$1,FALSE)</f>
        <v>1</v>
      </c>
      <c r="N148" s="800">
        <f>VLOOKUP($E148,[2]tropical!$A$4:$AF$46,[2]tropical!J$1,FALSE)</f>
        <v>1</v>
      </c>
      <c r="O148" s="800">
        <f>VLOOKUP($E148,[2]tropical!$A$4:$AF$46,[2]tropical!K$1,FALSE)</f>
        <v>1</v>
      </c>
      <c r="P148" s="800">
        <f>VLOOKUP($E148,[2]tropical!$A$4:$AF$46,[2]tropical!L$1,FALSE)</f>
        <v>0</v>
      </c>
      <c r="Q148" s="800">
        <f>VLOOKUP($E148,[2]tropical!$A$4:$AF$46,[2]tropical!M$1,FALSE)</f>
        <v>0</v>
      </c>
      <c r="R148" s="805">
        <f>VLOOKUP($E148,[2]tropical!$A$4:$AF$46,[2]tropical!N$1,FALSE)</f>
        <v>0</v>
      </c>
      <c r="S148" s="805">
        <f>VLOOKUP($E148,[2]tropical!$A$4:$AF$46,[2]tropical!O$1,FALSE)</f>
        <v>0</v>
      </c>
      <c r="T148" s="805">
        <f>VLOOKUP($E148,[2]tropical!$A$4:$AF$46,[2]tropical!P$1,FALSE)</f>
        <v>0</v>
      </c>
      <c r="U148" s="800">
        <f t="shared" si="2"/>
        <v>10</v>
      </c>
    </row>
    <row r="149" spans="1:21">
      <c r="A149" s="788">
        <v>8146</v>
      </c>
      <c r="B149" s="788" t="s">
        <v>1286</v>
      </c>
      <c r="C149" s="788">
        <v>265</v>
      </c>
      <c r="D149" s="788" t="s">
        <v>791</v>
      </c>
      <c r="E149" s="790" t="s">
        <v>2607</v>
      </c>
      <c r="F149" s="790" t="s">
        <v>2615</v>
      </c>
      <c r="G149" s="800">
        <f>VLOOKUP($E149,[2]tropical!$A$4:$AF$46,[2]tropical!C$1,FALSE)</f>
        <v>0</v>
      </c>
      <c r="H149" s="800">
        <f>VLOOKUP($E149,[2]tropical!$A$4:$AF$46,[2]tropical!D$1,FALSE)</f>
        <v>3</v>
      </c>
      <c r="I149" s="800">
        <f>VLOOKUP($E149,[2]tropical!$A$4:$AF$46,[2]tropical!E$1,FALSE)</f>
        <v>2</v>
      </c>
      <c r="J149" s="800">
        <f>VLOOKUP($E149,[2]tropical!$A$4:$AF$46,[2]tropical!F$1,FALSE)</f>
        <v>0</v>
      </c>
      <c r="K149" s="800">
        <f>VLOOKUP($E149,[2]tropical!$A$4:$AF$46,[2]tropical!G$1,FALSE)</f>
        <v>1</v>
      </c>
      <c r="L149" s="800">
        <f>VLOOKUP($E149,[2]tropical!$A$4:$AF$46,[2]tropical!H$1,FALSE)</f>
        <v>1</v>
      </c>
      <c r="M149" s="800">
        <f>VLOOKUP($E149,[2]tropical!$A$4:$AF$46,[2]tropical!I$1,FALSE)</f>
        <v>1</v>
      </c>
      <c r="N149" s="800">
        <f>VLOOKUP($E149,[2]tropical!$A$4:$AF$46,[2]tropical!J$1,FALSE)</f>
        <v>1</v>
      </c>
      <c r="O149" s="800">
        <f>VLOOKUP($E149,[2]tropical!$A$4:$AF$46,[2]tropical!K$1,FALSE)</f>
        <v>1</v>
      </c>
      <c r="P149" s="800">
        <f>VLOOKUP($E149,[2]tropical!$A$4:$AF$46,[2]tropical!L$1,FALSE)</f>
        <v>0</v>
      </c>
      <c r="Q149" s="800">
        <f>VLOOKUP($E149,[2]tropical!$A$4:$AF$46,[2]tropical!M$1,FALSE)</f>
        <v>0</v>
      </c>
      <c r="R149" s="805">
        <f>VLOOKUP($E149,[2]tropical!$A$4:$AF$46,[2]tropical!N$1,FALSE)</f>
        <v>0</v>
      </c>
      <c r="S149" s="805">
        <f>VLOOKUP($E149,[2]tropical!$A$4:$AF$46,[2]tropical!O$1,FALSE)</f>
        <v>0</v>
      </c>
      <c r="T149" s="805">
        <f>VLOOKUP($E149,[2]tropical!$A$4:$AF$46,[2]tropical!P$1,FALSE)</f>
        <v>0</v>
      </c>
      <c r="U149" s="800">
        <f t="shared" si="2"/>
        <v>10</v>
      </c>
    </row>
    <row r="150" spans="1:21">
      <c r="A150" s="788">
        <v>8147</v>
      </c>
      <c r="B150" s="788" t="s">
        <v>1291</v>
      </c>
      <c r="C150" s="788">
        <v>124</v>
      </c>
      <c r="D150" s="788" t="s">
        <v>90</v>
      </c>
      <c r="E150" s="790" t="s">
        <v>1684</v>
      </c>
      <c r="F150" s="790" t="s">
        <v>2616</v>
      </c>
      <c r="G150" s="800">
        <f>VLOOKUP($E150,[2]tropical!$A$4:$AF$46,[2]tropical!C$1,FALSE)</f>
        <v>0</v>
      </c>
      <c r="H150" s="800">
        <f>VLOOKUP($E150,[2]tropical!$A$4:$AF$46,[2]tropical!D$1,FALSE)</f>
        <v>2</v>
      </c>
      <c r="I150" s="800">
        <f>VLOOKUP($E150,[2]tropical!$A$4:$AF$46,[2]tropical!E$1,FALSE)</f>
        <v>1</v>
      </c>
      <c r="J150" s="800">
        <f>VLOOKUP($E150,[2]tropical!$A$4:$AF$46,[2]tropical!F$1,FALSE)</f>
        <v>0</v>
      </c>
      <c r="K150" s="800">
        <f>VLOOKUP($E150,[2]tropical!$A$4:$AF$46,[2]tropical!G$1,FALSE)</f>
        <v>0</v>
      </c>
      <c r="L150" s="800">
        <f>VLOOKUP($E150,[2]tropical!$A$4:$AF$46,[2]tropical!H$1,FALSE)</f>
        <v>0</v>
      </c>
      <c r="M150" s="800">
        <f>VLOOKUP($E150,[2]tropical!$A$4:$AF$46,[2]tropical!I$1,FALSE)</f>
        <v>0</v>
      </c>
      <c r="N150" s="800">
        <f>VLOOKUP($E150,[2]tropical!$A$4:$AF$46,[2]tropical!J$1,FALSE)</f>
        <v>0</v>
      </c>
      <c r="O150" s="800">
        <f>VLOOKUP($E150,[2]tropical!$A$4:$AF$46,[2]tropical!K$1,FALSE)</f>
        <v>0</v>
      </c>
      <c r="P150" s="800">
        <f>VLOOKUP($E150,[2]tropical!$A$4:$AF$46,[2]tropical!L$1,FALSE)</f>
        <v>0</v>
      </c>
      <c r="Q150" s="800">
        <f>VLOOKUP($E150,[2]tropical!$A$4:$AF$46,[2]tropical!M$1,FALSE)</f>
        <v>0</v>
      </c>
      <c r="R150" s="805">
        <f>VLOOKUP($E150,[2]tropical!$A$4:$AF$46,[2]tropical!N$1,FALSE)</f>
        <v>0</v>
      </c>
      <c r="S150" s="805">
        <f>VLOOKUP($E150,[2]tropical!$A$4:$AF$46,[2]tropical!O$1,FALSE)</f>
        <v>0</v>
      </c>
      <c r="T150" s="805">
        <f>VLOOKUP($E150,[2]tropical!$A$4:$AF$46,[2]tropical!P$1,FALSE)</f>
        <v>0</v>
      </c>
      <c r="U150" s="800">
        <f t="shared" si="2"/>
        <v>3</v>
      </c>
    </row>
    <row r="151" spans="1:21">
      <c r="A151" s="788">
        <v>8148</v>
      </c>
      <c r="B151" s="788" t="s">
        <v>1294</v>
      </c>
      <c r="C151" s="788">
        <v>211</v>
      </c>
      <c r="D151" s="788" t="s">
        <v>85</v>
      </c>
      <c r="E151" s="790" t="s">
        <v>2609</v>
      </c>
      <c r="F151" s="790" t="s">
        <v>2615</v>
      </c>
      <c r="G151" s="800">
        <f>VLOOKUP($E151,[2]tropical!$A$4:$AF$46,[2]tropical!C$1,FALSE)</f>
        <v>10</v>
      </c>
      <c r="H151" s="800">
        <f>VLOOKUP($E151,[2]tropical!$A$4:$AF$46,[2]tropical!D$1,FALSE)</f>
        <v>13</v>
      </c>
      <c r="I151" s="800">
        <f>VLOOKUP($E151,[2]tropical!$A$4:$AF$46,[2]tropical!E$1,FALSE)</f>
        <v>16</v>
      </c>
      <c r="J151" s="800">
        <f>VLOOKUP($E151,[2]tropical!$A$4:$AF$46,[2]tropical!F$1,FALSE)</f>
        <v>9</v>
      </c>
      <c r="K151" s="800">
        <f>VLOOKUP($E151,[2]tropical!$A$4:$AF$46,[2]tropical!G$1,FALSE)</f>
        <v>9</v>
      </c>
      <c r="L151" s="800">
        <f>VLOOKUP($E151,[2]tropical!$A$4:$AF$46,[2]tropical!H$1,FALSE)</f>
        <v>25</v>
      </c>
      <c r="M151" s="800">
        <f>VLOOKUP($E151,[2]tropical!$A$4:$AF$46,[2]tropical!I$1,FALSE)</f>
        <v>14</v>
      </c>
      <c r="N151" s="800">
        <f>VLOOKUP($E151,[2]tropical!$A$4:$AF$46,[2]tropical!J$1,FALSE)</f>
        <v>10</v>
      </c>
      <c r="O151" s="800">
        <f>VLOOKUP($E151,[2]tropical!$A$4:$AF$46,[2]tropical!K$1,FALSE)</f>
        <v>18</v>
      </c>
      <c r="P151" s="800">
        <f>VLOOKUP($E151,[2]tropical!$A$4:$AF$46,[2]tropical!L$1,FALSE)</f>
        <v>5</v>
      </c>
      <c r="Q151" s="800">
        <f>VLOOKUP($E151,[2]tropical!$A$4:$AF$46,[2]tropical!M$1,FALSE)</f>
        <v>8</v>
      </c>
      <c r="R151" s="805">
        <f>VLOOKUP($E151,[2]tropical!$A$4:$AF$46,[2]tropical!N$1,FALSE)</f>
        <v>0</v>
      </c>
      <c r="S151" s="805">
        <f>VLOOKUP($E151,[2]tropical!$A$4:$AF$46,[2]tropical!O$1,FALSE)</f>
        <v>0</v>
      </c>
      <c r="T151" s="805">
        <f>VLOOKUP($E151,[2]tropical!$A$4:$AF$46,[2]tropical!P$1,FALSE)</f>
        <v>0</v>
      </c>
      <c r="U151" s="800">
        <f t="shared" si="2"/>
        <v>137</v>
      </c>
    </row>
    <row r="152" spans="1:21">
      <c r="A152" s="788">
        <v>8149</v>
      </c>
      <c r="B152" s="788" t="s">
        <v>1298</v>
      </c>
      <c r="C152" s="788">
        <v>572</v>
      </c>
      <c r="D152" s="788" t="s">
        <v>88</v>
      </c>
      <c r="E152" s="790" t="s">
        <v>1127</v>
      </c>
      <c r="F152" s="790" t="s">
        <v>2617</v>
      </c>
      <c r="G152" s="800">
        <f>VLOOKUP($E152,[2]tropical!$A$4:$AF$46,[2]tropical!C$1,FALSE)</f>
        <v>0</v>
      </c>
      <c r="H152" s="800">
        <f>VLOOKUP($E152,[2]tropical!$A$4:$AF$46,[2]tropical!D$1,FALSE)</f>
        <v>0</v>
      </c>
      <c r="I152" s="800">
        <f>VLOOKUP($E152,[2]tropical!$A$4:$AF$46,[2]tropical!E$1,FALSE)</f>
        <v>0</v>
      </c>
      <c r="J152" s="800">
        <f>VLOOKUP($E152,[2]tropical!$A$4:$AF$46,[2]tropical!F$1,FALSE)</f>
        <v>0</v>
      </c>
      <c r="K152" s="800">
        <f>VLOOKUP($E152,[2]tropical!$A$4:$AF$46,[2]tropical!G$1,FALSE)</f>
        <v>0</v>
      </c>
      <c r="L152" s="800">
        <f>VLOOKUP($E152,[2]tropical!$A$4:$AF$46,[2]tropical!H$1,FALSE)</f>
        <v>0</v>
      </c>
      <c r="M152" s="800">
        <f>VLOOKUP($E152,[2]tropical!$A$4:$AF$46,[2]tropical!I$1,FALSE)</f>
        <v>0</v>
      </c>
      <c r="N152" s="800">
        <f>VLOOKUP($E152,[2]tropical!$A$4:$AF$46,[2]tropical!J$1,FALSE)</f>
        <v>0</v>
      </c>
      <c r="O152" s="800">
        <f>VLOOKUP($E152,[2]tropical!$A$4:$AF$46,[2]tropical!K$1,FALSE)</f>
        <v>0</v>
      </c>
      <c r="P152" s="800">
        <f>VLOOKUP($E152,[2]tropical!$A$4:$AF$46,[2]tropical!L$1,FALSE)</f>
        <v>0</v>
      </c>
      <c r="Q152" s="800">
        <f>VLOOKUP($E152,[2]tropical!$A$4:$AF$46,[2]tropical!M$1,FALSE)</f>
        <v>0</v>
      </c>
      <c r="R152" s="805">
        <f>VLOOKUP($E152,[2]tropical!$A$4:$AF$46,[2]tropical!N$1,FALSE)</f>
        <v>0</v>
      </c>
      <c r="S152" s="805">
        <f>VLOOKUP($E152,[2]tropical!$A$4:$AF$46,[2]tropical!O$1,FALSE)</f>
        <v>0</v>
      </c>
      <c r="T152" s="805">
        <f>VLOOKUP($E152,[2]tropical!$A$4:$AF$46,[2]tropical!P$1,FALSE)</f>
        <v>0</v>
      </c>
      <c r="U152" s="800">
        <f t="shared" si="2"/>
        <v>0</v>
      </c>
    </row>
    <row r="153" spans="1:21">
      <c r="A153" s="788">
        <v>8150</v>
      </c>
      <c r="B153" s="788" t="s">
        <v>1301</v>
      </c>
      <c r="C153" s="788">
        <v>576</v>
      </c>
      <c r="D153" s="788" t="s">
        <v>88</v>
      </c>
      <c r="E153" s="790" t="s">
        <v>1301</v>
      </c>
      <c r="F153" s="790" t="s">
        <v>2617</v>
      </c>
      <c r="G153" s="800">
        <f>VLOOKUP($E153,[2]tropical!$A$4:$AF$46,[2]tropical!C$1,FALSE)</f>
        <v>0</v>
      </c>
      <c r="H153" s="800">
        <f>VLOOKUP($E153,[2]tropical!$A$4:$AF$46,[2]tropical!D$1,FALSE)</f>
        <v>0</v>
      </c>
      <c r="I153" s="800">
        <f>VLOOKUP($E153,[2]tropical!$A$4:$AF$46,[2]tropical!E$1,FALSE)</f>
        <v>0</v>
      </c>
      <c r="J153" s="800">
        <f>VLOOKUP($E153,[2]tropical!$A$4:$AF$46,[2]tropical!F$1,FALSE)</f>
        <v>0</v>
      </c>
      <c r="K153" s="800">
        <f>VLOOKUP($E153,[2]tropical!$A$4:$AF$46,[2]tropical!G$1,FALSE)</f>
        <v>0</v>
      </c>
      <c r="L153" s="800">
        <f>VLOOKUP($E153,[2]tropical!$A$4:$AF$46,[2]tropical!H$1,FALSE)</f>
        <v>0</v>
      </c>
      <c r="M153" s="800">
        <f>VLOOKUP($E153,[2]tropical!$A$4:$AF$46,[2]tropical!I$1,FALSE)</f>
        <v>0</v>
      </c>
      <c r="N153" s="800">
        <f>VLOOKUP($E153,[2]tropical!$A$4:$AF$46,[2]tropical!J$1,FALSE)</f>
        <v>0</v>
      </c>
      <c r="O153" s="800">
        <f>VLOOKUP($E153,[2]tropical!$A$4:$AF$46,[2]tropical!K$1,FALSE)</f>
        <v>0</v>
      </c>
      <c r="P153" s="800">
        <f>VLOOKUP($E153,[2]tropical!$A$4:$AF$46,[2]tropical!L$1,FALSE)</f>
        <v>0</v>
      </c>
      <c r="Q153" s="800">
        <f>VLOOKUP($E153,[2]tropical!$A$4:$AF$46,[2]tropical!M$1,FALSE)</f>
        <v>0</v>
      </c>
      <c r="R153" s="805">
        <f>VLOOKUP($E153,[2]tropical!$A$4:$AF$46,[2]tropical!N$1,FALSE)</f>
        <v>0</v>
      </c>
      <c r="S153" s="805">
        <f>VLOOKUP($E153,[2]tropical!$A$4:$AF$46,[2]tropical!O$1,FALSE)</f>
        <v>0</v>
      </c>
      <c r="T153" s="805">
        <f>VLOOKUP($E153,[2]tropical!$A$4:$AF$46,[2]tropical!P$1,FALSE)</f>
        <v>0</v>
      </c>
      <c r="U153" s="800">
        <f t="shared" si="2"/>
        <v>0</v>
      </c>
    </row>
    <row r="154" spans="1:21">
      <c r="A154" s="788">
        <v>8151</v>
      </c>
      <c r="B154" s="788" t="s">
        <v>1304</v>
      </c>
      <c r="C154" s="788">
        <v>468</v>
      </c>
      <c r="D154" s="788" t="s">
        <v>88</v>
      </c>
      <c r="E154" s="790" t="s">
        <v>1127</v>
      </c>
      <c r="F154" s="790" t="s">
        <v>2617</v>
      </c>
      <c r="G154" s="800">
        <f>VLOOKUP($E154,[2]tropical!$A$4:$AF$46,[2]tropical!C$1,FALSE)</f>
        <v>0</v>
      </c>
      <c r="H154" s="800">
        <f>VLOOKUP($E154,[2]tropical!$A$4:$AF$46,[2]tropical!D$1,FALSE)</f>
        <v>0</v>
      </c>
      <c r="I154" s="800">
        <f>VLOOKUP($E154,[2]tropical!$A$4:$AF$46,[2]tropical!E$1,FALSE)</f>
        <v>0</v>
      </c>
      <c r="J154" s="800">
        <f>VLOOKUP($E154,[2]tropical!$A$4:$AF$46,[2]tropical!F$1,FALSE)</f>
        <v>0</v>
      </c>
      <c r="K154" s="800">
        <f>VLOOKUP($E154,[2]tropical!$A$4:$AF$46,[2]tropical!G$1,FALSE)</f>
        <v>0</v>
      </c>
      <c r="L154" s="800">
        <f>VLOOKUP($E154,[2]tropical!$A$4:$AF$46,[2]tropical!H$1,FALSE)</f>
        <v>0</v>
      </c>
      <c r="M154" s="800">
        <f>VLOOKUP($E154,[2]tropical!$A$4:$AF$46,[2]tropical!I$1,FALSE)</f>
        <v>0</v>
      </c>
      <c r="N154" s="800">
        <f>VLOOKUP($E154,[2]tropical!$A$4:$AF$46,[2]tropical!J$1,FALSE)</f>
        <v>0</v>
      </c>
      <c r="O154" s="800">
        <f>VLOOKUP($E154,[2]tropical!$A$4:$AF$46,[2]tropical!K$1,FALSE)</f>
        <v>0</v>
      </c>
      <c r="P154" s="800">
        <f>VLOOKUP($E154,[2]tropical!$A$4:$AF$46,[2]tropical!L$1,FALSE)</f>
        <v>0</v>
      </c>
      <c r="Q154" s="800">
        <f>VLOOKUP($E154,[2]tropical!$A$4:$AF$46,[2]tropical!M$1,FALSE)</f>
        <v>0</v>
      </c>
      <c r="R154" s="805">
        <f>VLOOKUP($E154,[2]tropical!$A$4:$AF$46,[2]tropical!N$1,FALSE)</f>
        <v>0</v>
      </c>
      <c r="S154" s="805">
        <f>VLOOKUP($E154,[2]tropical!$A$4:$AF$46,[2]tropical!O$1,FALSE)</f>
        <v>0</v>
      </c>
      <c r="T154" s="805">
        <f>VLOOKUP($E154,[2]tropical!$A$4:$AF$46,[2]tropical!P$1,FALSE)</f>
        <v>0</v>
      </c>
      <c r="U154" s="800">
        <f t="shared" si="2"/>
        <v>0</v>
      </c>
    </row>
    <row r="155" spans="1:21">
      <c r="A155" s="788">
        <v>8152</v>
      </c>
      <c r="B155" s="788" t="s">
        <v>1306</v>
      </c>
      <c r="C155" s="788">
        <v>375</v>
      </c>
      <c r="D155" s="788" t="s">
        <v>81</v>
      </c>
      <c r="E155" s="790" t="s">
        <v>1274</v>
      </c>
      <c r="F155" s="790" t="s">
        <v>2616</v>
      </c>
      <c r="G155" s="800">
        <f>VLOOKUP($E155,[2]tropical!$A$4:$AF$46,[2]tropical!C$1,FALSE)</f>
        <v>0</v>
      </c>
      <c r="H155" s="800">
        <f>VLOOKUP($E155,[2]tropical!$A$4:$AF$46,[2]tropical!D$1,FALSE)</f>
        <v>0</v>
      </c>
      <c r="I155" s="800">
        <f>VLOOKUP($E155,[2]tropical!$A$4:$AF$46,[2]tropical!E$1,FALSE)</f>
        <v>0</v>
      </c>
      <c r="J155" s="800">
        <f>VLOOKUP($E155,[2]tropical!$A$4:$AF$46,[2]tropical!F$1,FALSE)</f>
        <v>0</v>
      </c>
      <c r="K155" s="800">
        <f>VLOOKUP($E155,[2]tropical!$A$4:$AF$46,[2]tropical!G$1,FALSE)</f>
        <v>1</v>
      </c>
      <c r="L155" s="800">
        <f>VLOOKUP($E155,[2]tropical!$A$4:$AF$46,[2]tropical!H$1,FALSE)</f>
        <v>0</v>
      </c>
      <c r="M155" s="800">
        <f>VLOOKUP($E155,[2]tropical!$A$4:$AF$46,[2]tropical!I$1,FALSE)</f>
        <v>0</v>
      </c>
      <c r="N155" s="800">
        <f>VLOOKUP($E155,[2]tropical!$A$4:$AF$46,[2]tropical!J$1,FALSE)</f>
        <v>0</v>
      </c>
      <c r="O155" s="800">
        <f>VLOOKUP($E155,[2]tropical!$A$4:$AF$46,[2]tropical!K$1,FALSE)</f>
        <v>1</v>
      </c>
      <c r="P155" s="800">
        <f>VLOOKUP($E155,[2]tropical!$A$4:$AF$46,[2]tropical!L$1,FALSE)</f>
        <v>0</v>
      </c>
      <c r="Q155" s="800">
        <f>VLOOKUP($E155,[2]tropical!$A$4:$AF$46,[2]tropical!M$1,FALSE)</f>
        <v>0</v>
      </c>
      <c r="R155" s="805">
        <f>VLOOKUP($E155,[2]tropical!$A$4:$AF$46,[2]tropical!N$1,FALSE)</f>
        <v>0</v>
      </c>
      <c r="S155" s="805">
        <f>VLOOKUP($E155,[2]tropical!$A$4:$AF$46,[2]tropical!O$1,FALSE)</f>
        <v>0</v>
      </c>
      <c r="T155" s="805">
        <f>VLOOKUP($E155,[2]tropical!$A$4:$AF$46,[2]tropical!P$1,FALSE)</f>
        <v>0</v>
      </c>
      <c r="U155" s="800">
        <f t="shared" si="2"/>
        <v>2</v>
      </c>
    </row>
    <row r="156" spans="1:21">
      <c r="A156" s="788">
        <v>8153</v>
      </c>
      <c r="B156" s="788" t="s">
        <v>1309</v>
      </c>
      <c r="C156" s="788">
        <v>259</v>
      </c>
      <c r="D156" s="788" t="s">
        <v>86</v>
      </c>
      <c r="E156" s="790" t="s">
        <v>864</v>
      </c>
      <c r="F156" s="790" t="s">
        <v>2615</v>
      </c>
      <c r="G156" s="800">
        <f>VLOOKUP($E156,[2]tropical!$A$4:$AF$46,[2]tropical!C$1,FALSE)</f>
        <v>23</v>
      </c>
      <c r="H156" s="800">
        <f>VLOOKUP($E156,[2]tropical!$A$4:$AF$46,[2]tropical!D$1,FALSE)</f>
        <v>30</v>
      </c>
      <c r="I156" s="800">
        <f>VLOOKUP($E156,[2]tropical!$A$4:$AF$46,[2]tropical!E$1,FALSE)</f>
        <v>35</v>
      </c>
      <c r="J156" s="800">
        <f>VLOOKUP($E156,[2]tropical!$A$4:$AF$46,[2]tropical!F$1,FALSE)</f>
        <v>18</v>
      </c>
      <c r="K156" s="800">
        <f>VLOOKUP($E156,[2]tropical!$A$4:$AF$46,[2]tropical!G$1,FALSE)</f>
        <v>24</v>
      </c>
      <c r="L156" s="800">
        <f>VLOOKUP($E156,[2]tropical!$A$4:$AF$46,[2]tropical!H$1,FALSE)</f>
        <v>26</v>
      </c>
      <c r="M156" s="800">
        <f>VLOOKUP($E156,[2]tropical!$A$4:$AF$46,[2]tropical!I$1,FALSE)</f>
        <v>38</v>
      </c>
      <c r="N156" s="800">
        <f>VLOOKUP($E156,[2]tropical!$A$4:$AF$46,[2]tropical!J$1,FALSE)</f>
        <v>14</v>
      </c>
      <c r="O156" s="800">
        <f>VLOOKUP($E156,[2]tropical!$A$4:$AF$46,[2]tropical!K$1,FALSE)</f>
        <v>28</v>
      </c>
      <c r="P156" s="800">
        <f>VLOOKUP($E156,[2]tropical!$A$4:$AF$46,[2]tropical!L$1,FALSE)</f>
        <v>18</v>
      </c>
      <c r="Q156" s="800">
        <f>VLOOKUP($E156,[2]tropical!$A$4:$AF$46,[2]tropical!M$1,FALSE)</f>
        <v>10</v>
      </c>
      <c r="R156" s="805">
        <f>VLOOKUP($E156,[2]tropical!$A$4:$AF$46,[2]tropical!N$1,FALSE)</f>
        <v>0</v>
      </c>
      <c r="S156" s="805">
        <f>VLOOKUP($E156,[2]tropical!$A$4:$AF$46,[2]tropical!O$1,FALSE)</f>
        <v>0</v>
      </c>
      <c r="T156" s="805">
        <f>VLOOKUP($E156,[2]tropical!$A$4:$AF$46,[2]tropical!P$1,FALSE)</f>
        <v>0</v>
      </c>
      <c r="U156" s="800">
        <f t="shared" si="2"/>
        <v>264</v>
      </c>
    </row>
    <row r="157" spans="1:21">
      <c r="A157" s="788">
        <v>8154</v>
      </c>
      <c r="B157" s="788" t="s">
        <v>1310</v>
      </c>
      <c r="C157" s="788">
        <v>201</v>
      </c>
      <c r="D157" s="788" t="s">
        <v>791</v>
      </c>
      <c r="E157" s="790" t="s">
        <v>2607</v>
      </c>
      <c r="F157" s="790" t="s">
        <v>2615</v>
      </c>
      <c r="G157" s="800">
        <f>VLOOKUP($E157,[2]tropical!$A$4:$AF$46,[2]tropical!C$1,FALSE)</f>
        <v>0</v>
      </c>
      <c r="H157" s="800">
        <f>VLOOKUP($E157,[2]tropical!$A$4:$AF$46,[2]tropical!D$1,FALSE)</f>
        <v>3</v>
      </c>
      <c r="I157" s="800">
        <f>VLOOKUP($E157,[2]tropical!$A$4:$AF$46,[2]tropical!E$1,FALSE)</f>
        <v>2</v>
      </c>
      <c r="J157" s="800">
        <f>VLOOKUP($E157,[2]tropical!$A$4:$AF$46,[2]tropical!F$1,FALSE)</f>
        <v>0</v>
      </c>
      <c r="K157" s="800">
        <f>VLOOKUP($E157,[2]tropical!$A$4:$AF$46,[2]tropical!G$1,FALSE)</f>
        <v>1</v>
      </c>
      <c r="L157" s="800">
        <f>VLOOKUP($E157,[2]tropical!$A$4:$AF$46,[2]tropical!H$1,FALSE)</f>
        <v>1</v>
      </c>
      <c r="M157" s="800">
        <f>VLOOKUP($E157,[2]tropical!$A$4:$AF$46,[2]tropical!I$1,FALSE)</f>
        <v>1</v>
      </c>
      <c r="N157" s="800">
        <f>VLOOKUP($E157,[2]tropical!$A$4:$AF$46,[2]tropical!J$1,FALSE)</f>
        <v>1</v>
      </c>
      <c r="O157" s="800">
        <f>VLOOKUP($E157,[2]tropical!$A$4:$AF$46,[2]tropical!K$1,FALSE)</f>
        <v>1</v>
      </c>
      <c r="P157" s="800">
        <f>VLOOKUP($E157,[2]tropical!$A$4:$AF$46,[2]tropical!L$1,FALSE)</f>
        <v>0</v>
      </c>
      <c r="Q157" s="800">
        <f>VLOOKUP($E157,[2]tropical!$A$4:$AF$46,[2]tropical!M$1,FALSE)</f>
        <v>0</v>
      </c>
      <c r="R157" s="805">
        <f>VLOOKUP($E157,[2]tropical!$A$4:$AF$46,[2]tropical!N$1,FALSE)</f>
        <v>0</v>
      </c>
      <c r="S157" s="805">
        <f>VLOOKUP($E157,[2]tropical!$A$4:$AF$46,[2]tropical!O$1,FALSE)</f>
        <v>0</v>
      </c>
      <c r="T157" s="805">
        <f>VLOOKUP($E157,[2]tropical!$A$4:$AF$46,[2]tropical!P$1,FALSE)</f>
        <v>0</v>
      </c>
      <c r="U157" s="800">
        <f t="shared" si="2"/>
        <v>10</v>
      </c>
    </row>
    <row r="158" spans="1:21">
      <c r="A158" s="788">
        <v>8155</v>
      </c>
      <c r="B158" s="788" t="s">
        <v>1311</v>
      </c>
      <c r="C158" s="788">
        <v>16</v>
      </c>
      <c r="D158" s="788" t="s">
        <v>86</v>
      </c>
      <c r="E158" s="790" t="s">
        <v>343</v>
      </c>
      <c r="F158" s="790" t="s">
        <v>2615</v>
      </c>
      <c r="G158" s="800">
        <f>VLOOKUP($E158,[2]tropical!$A$4:$AF$46,[2]tropical!C$1,FALSE)</f>
        <v>14</v>
      </c>
      <c r="H158" s="800">
        <f>VLOOKUP($E158,[2]tropical!$A$4:$AF$46,[2]tropical!D$1,FALSE)</f>
        <v>8</v>
      </c>
      <c r="I158" s="800">
        <f>VLOOKUP($E158,[2]tropical!$A$4:$AF$46,[2]tropical!E$1,FALSE)</f>
        <v>3</v>
      </c>
      <c r="J158" s="800">
        <f>VLOOKUP($E158,[2]tropical!$A$4:$AF$46,[2]tropical!F$1,FALSE)</f>
        <v>4</v>
      </c>
      <c r="K158" s="800">
        <f>VLOOKUP($E158,[2]tropical!$A$4:$AF$46,[2]tropical!G$1,FALSE)</f>
        <v>2</v>
      </c>
      <c r="L158" s="800">
        <f>VLOOKUP($E158,[2]tropical!$A$4:$AF$46,[2]tropical!H$1,FALSE)</f>
        <v>9</v>
      </c>
      <c r="M158" s="800">
        <f>VLOOKUP($E158,[2]tropical!$A$4:$AF$46,[2]tropical!I$1,FALSE)</f>
        <v>4</v>
      </c>
      <c r="N158" s="800">
        <f>VLOOKUP($E158,[2]tropical!$A$4:$AF$46,[2]tropical!J$1,FALSE)</f>
        <v>3</v>
      </c>
      <c r="O158" s="800">
        <f>VLOOKUP($E158,[2]tropical!$A$4:$AF$46,[2]tropical!K$1,FALSE)</f>
        <v>7</v>
      </c>
      <c r="P158" s="800">
        <f>VLOOKUP($E158,[2]tropical!$A$4:$AF$46,[2]tropical!L$1,FALSE)</f>
        <v>5</v>
      </c>
      <c r="Q158" s="800">
        <f>VLOOKUP($E158,[2]tropical!$A$4:$AF$46,[2]tropical!M$1,FALSE)</f>
        <v>3</v>
      </c>
      <c r="R158" s="805">
        <f>VLOOKUP($E158,[2]tropical!$A$4:$AF$46,[2]tropical!N$1,FALSE)</f>
        <v>0</v>
      </c>
      <c r="S158" s="805">
        <f>VLOOKUP($E158,[2]tropical!$A$4:$AF$46,[2]tropical!O$1,FALSE)</f>
        <v>0</v>
      </c>
      <c r="T158" s="805">
        <f>VLOOKUP($E158,[2]tropical!$A$4:$AF$46,[2]tropical!P$1,FALSE)</f>
        <v>0</v>
      </c>
      <c r="U158" s="800">
        <f t="shared" si="2"/>
        <v>62</v>
      </c>
    </row>
    <row r="159" spans="1:21">
      <c r="A159" s="788">
        <v>8156</v>
      </c>
      <c r="B159" s="788" t="s">
        <v>1316</v>
      </c>
      <c r="C159" s="788">
        <v>130</v>
      </c>
      <c r="D159" s="788" t="s">
        <v>89</v>
      </c>
      <c r="E159" s="790" t="s">
        <v>867</v>
      </c>
      <c r="F159" s="790" t="s">
        <v>2616</v>
      </c>
      <c r="G159" s="800">
        <f>VLOOKUP($E159,[2]tropical!$A$4:$AF$46,[2]tropical!C$1,FALSE)</f>
        <v>0</v>
      </c>
      <c r="H159" s="800">
        <f>VLOOKUP($E159,[2]tropical!$A$4:$AF$46,[2]tropical!D$1,FALSE)</f>
        <v>1</v>
      </c>
      <c r="I159" s="800">
        <f>VLOOKUP($E159,[2]tropical!$A$4:$AF$46,[2]tropical!E$1,FALSE)</f>
        <v>2</v>
      </c>
      <c r="J159" s="800">
        <f>VLOOKUP($E159,[2]tropical!$A$4:$AF$46,[2]tropical!F$1,FALSE)</f>
        <v>1</v>
      </c>
      <c r="K159" s="800">
        <f>VLOOKUP($E159,[2]tropical!$A$4:$AF$46,[2]tropical!G$1,FALSE)</f>
        <v>0</v>
      </c>
      <c r="L159" s="800">
        <f>VLOOKUP($E159,[2]tropical!$A$4:$AF$46,[2]tropical!H$1,FALSE)</f>
        <v>2</v>
      </c>
      <c r="M159" s="800">
        <f>VLOOKUP($E159,[2]tropical!$A$4:$AF$46,[2]tropical!I$1,FALSE)</f>
        <v>0</v>
      </c>
      <c r="N159" s="800">
        <f>VLOOKUP($E159,[2]tropical!$A$4:$AF$46,[2]tropical!J$1,FALSE)</f>
        <v>0</v>
      </c>
      <c r="O159" s="800">
        <f>VLOOKUP($E159,[2]tropical!$A$4:$AF$46,[2]tropical!K$1,FALSE)</f>
        <v>2</v>
      </c>
      <c r="P159" s="800">
        <f>VLOOKUP($E159,[2]tropical!$A$4:$AF$46,[2]tropical!L$1,FALSE)</f>
        <v>0</v>
      </c>
      <c r="Q159" s="800">
        <f>VLOOKUP($E159,[2]tropical!$A$4:$AF$46,[2]tropical!M$1,FALSE)</f>
        <v>0</v>
      </c>
      <c r="R159" s="805">
        <f>VLOOKUP($E159,[2]tropical!$A$4:$AF$46,[2]tropical!N$1,FALSE)</f>
        <v>0</v>
      </c>
      <c r="S159" s="805">
        <f>VLOOKUP($E159,[2]tropical!$A$4:$AF$46,[2]tropical!O$1,FALSE)</f>
        <v>0</v>
      </c>
      <c r="T159" s="805">
        <f>VLOOKUP($E159,[2]tropical!$A$4:$AF$46,[2]tropical!P$1,FALSE)</f>
        <v>0</v>
      </c>
      <c r="U159" s="800">
        <f t="shared" si="2"/>
        <v>8</v>
      </c>
    </row>
    <row r="160" spans="1:21">
      <c r="A160" s="788">
        <v>8157</v>
      </c>
      <c r="B160" s="788" t="s">
        <v>1320</v>
      </c>
      <c r="C160" s="788">
        <v>41</v>
      </c>
      <c r="D160" s="788" t="s">
        <v>90</v>
      </c>
      <c r="E160" s="790" t="s">
        <v>357</v>
      </c>
      <c r="F160" s="790" t="s">
        <v>2615</v>
      </c>
      <c r="G160" s="800">
        <f>VLOOKUP($E160,[2]tropical!$A$4:$AF$46,[2]tropical!C$1,FALSE)</f>
        <v>33</v>
      </c>
      <c r="H160" s="800">
        <f>VLOOKUP($E160,[2]tropical!$A$4:$AF$46,[2]tropical!D$1,FALSE)</f>
        <v>25</v>
      </c>
      <c r="I160" s="800">
        <f>VLOOKUP($E160,[2]tropical!$A$4:$AF$46,[2]tropical!E$1,FALSE)</f>
        <v>28</v>
      </c>
      <c r="J160" s="800">
        <f>VLOOKUP($E160,[2]tropical!$A$4:$AF$46,[2]tropical!F$1,FALSE)</f>
        <v>10</v>
      </c>
      <c r="K160" s="800">
        <f>VLOOKUP($E160,[2]tropical!$A$4:$AF$46,[2]tropical!G$1,FALSE)</f>
        <v>21</v>
      </c>
      <c r="L160" s="800">
        <f>VLOOKUP($E160,[2]tropical!$A$4:$AF$46,[2]tropical!H$1,FALSE)</f>
        <v>36</v>
      </c>
      <c r="M160" s="800">
        <f>VLOOKUP($E160,[2]tropical!$A$4:$AF$46,[2]tropical!I$1,FALSE)</f>
        <v>23</v>
      </c>
      <c r="N160" s="800">
        <f>VLOOKUP($E160,[2]tropical!$A$4:$AF$46,[2]tropical!J$1,FALSE)</f>
        <v>16</v>
      </c>
      <c r="O160" s="800">
        <f>VLOOKUP($E160,[2]tropical!$A$4:$AF$46,[2]tropical!K$1,FALSE)</f>
        <v>22</v>
      </c>
      <c r="P160" s="800">
        <f>VLOOKUP($E160,[2]tropical!$A$4:$AF$46,[2]tropical!L$1,FALSE)</f>
        <v>19</v>
      </c>
      <c r="Q160" s="800">
        <f>VLOOKUP($E160,[2]tropical!$A$4:$AF$46,[2]tropical!M$1,FALSE)</f>
        <v>13</v>
      </c>
      <c r="R160" s="805">
        <f>VLOOKUP($E160,[2]tropical!$A$4:$AF$46,[2]tropical!N$1,FALSE)</f>
        <v>0</v>
      </c>
      <c r="S160" s="805">
        <f>VLOOKUP($E160,[2]tropical!$A$4:$AF$46,[2]tropical!O$1,FALSE)</f>
        <v>0</v>
      </c>
      <c r="T160" s="805">
        <f>VLOOKUP($E160,[2]tropical!$A$4:$AF$46,[2]tropical!P$1,FALSE)</f>
        <v>0</v>
      </c>
      <c r="U160" s="800">
        <f t="shared" si="2"/>
        <v>246</v>
      </c>
    </row>
    <row r="161" spans="1:21">
      <c r="A161" s="788">
        <v>8158</v>
      </c>
      <c r="B161" s="788" t="s">
        <v>1324</v>
      </c>
      <c r="C161" s="788">
        <v>135</v>
      </c>
      <c r="D161" s="788" t="s">
        <v>90</v>
      </c>
      <c r="E161" s="790" t="s">
        <v>357</v>
      </c>
      <c r="F161" s="790" t="s">
        <v>2615</v>
      </c>
      <c r="G161" s="800">
        <f>VLOOKUP($E161,[2]tropical!$A$4:$AF$46,[2]tropical!C$1,FALSE)</f>
        <v>33</v>
      </c>
      <c r="H161" s="800">
        <f>VLOOKUP($E161,[2]tropical!$A$4:$AF$46,[2]tropical!D$1,FALSE)</f>
        <v>25</v>
      </c>
      <c r="I161" s="800">
        <f>VLOOKUP($E161,[2]tropical!$A$4:$AF$46,[2]tropical!E$1,FALSE)</f>
        <v>28</v>
      </c>
      <c r="J161" s="800">
        <f>VLOOKUP($E161,[2]tropical!$A$4:$AF$46,[2]tropical!F$1,FALSE)</f>
        <v>10</v>
      </c>
      <c r="K161" s="800">
        <f>VLOOKUP($E161,[2]tropical!$A$4:$AF$46,[2]tropical!G$1,FALSE)</f>
        <v>21</v>
      </c>
      <c r="L161" s="800">
        <f>VLOOKUP($E161,[2]tropical!$A$4:$AF$46,[2]tropical!H$1,FALSE)</f>
        <v>36</v>
      </c>
      <c r="M161" s="800">
        <f>VLOOKUP($E161,[2]tropical!$A$4:$AF$46,[2]tropical!I$1,FALSE)</f>
        <v>23</v>
      </c>
      <c r="N161" s="800">
        <f>VLOOKUP($E161,[2]tropical!$A$4:$AF$46,[2]tropical!J$1,FALSE)</f>
        <v>16</v>
      </c>
      <c r="O161" s="800">
        <f>VLOOKUP($E161,[2]tropical!$A$4:$AF$46,[2]tropical!K$1,FALSE)</f>
        <v>22</v>
      </c>
      <c r="P161" s="800">
        <f>VLOOKUP($E161,[2]tropical!$A$4:$AF$46,[2]tropical!L$1,FALSE)</f>
        <v>19</v>
      </c>
      <c r="Q161" s="800">
        <f>VLOOKUP($E161,[2]tropical!$A$4:$AF$46,[2]tropical!M$1,FALSE)</f>
        <v>13</v>
      </c>
      <c r="R161" s="805">
        <f>VLOOKUP($E161,[2]tropical!$A$4:$AF$46,[2]tropical!N$1,FALSE)</f>
        <v>0</v>
      </c>
      <c r="S161" s="805">
        <f>VLOOKUP($E161,[2]tropical!$A$4:$AF$46,[2]tropical!O$1,FALSE)</f>
        <v>0</v>
      </c>
      <c r="T161" s="805">
        <f>VLOOKUP($E161,[2]tropical!$A$4:$AF$46,[2]tropical!P$1,FALSE)</f>
        <v>0</v>
      </c>
      <c r="U161" s="800">
        <f t="shared" si="2"/>
        <v>246</v>
      </c>
    </row>
    <row r="162" spans="1:21">
      <c r="A162" s="788">
        <v>8159</v>
      </c>
      <c r="B162" s="788" t="s">
        <v>1325</v>
      </c>
      <c r="C162" s="788">
        <v>98</v>
      </c>
      <c r="D162" s="788" t="s">
        <v>24</v>
      </c>
      <c r="E162" s="790" t="s">
        <v>1743</v>
      </c>
      <c r="F162" s="790" t="s">
        <v>2616</v>
      </c>
      <c r="G162" s="800">
        <f>VLOOKUP($E162,[2]tropical!$A$4:$AF$46,[2]tropical!C$1,FALSE)</f>
        <v>0</v>
      </c>
      <c r="H162" s="800">
        <f>VLOOKUP($E162,[2]tropical!$A$4:$AF$46,[2]tropical!D$1,FALSE)</f>
        <v>0</v>
      </c>
      <c r="I162" s="800">
        <f>VLOOKUP($E162,[2]tropical!$A$4:$AF$46,[2]tropical!E$1,FALSE)</f>
        <v>2</v>
      </c>
      <c r="J162" s="800">
        <f>VLOOKUP($E162,[2]tropical!$A$4:$AF$46,[2]tropical!F$1,FALSE)</f>
        <v>0</v>
      </c>
      <c r="K162" s="800">
        <f>VLOOKUP($E162,[2]tropical!$A$4:$AF$46,[2]tropical!G$1,FALSE)</f>
        <v>0</v>
      </c>
      <c r="L162" s="800">
        <f>VLOOKUP($E162,[2]tropical!$A$4:$AF$46,[2]tropical!H$1,FALSE)</f>
        <v>0</v>
      </c>
      <c r="M162" s="800">
        <f>VLOOKUP($E162,[2]tropical!$A$4:$AF$46,[2]tropical!I$1,FALSE)</f>
        <v>0</v>
      </c>
      <c r="N162" s="800">
        <f>VLOOKUP($E162,[2]tropical!$A$4:$AF$46,[2]tropical!J$1,FALSE)</f>
        <v>0</v>
      </c>
      <c r="O162" s="800">
        <f>VLOOKUP($E162,[2]tropical!$A$4:$AF$46,[2]tropical!K$1,FALSE)</f>
        <v>0</v>
      </c>
      <c r="P162" s="800">
        <f>VLOOKUP($E162,[2]tropical!$A$4:$AF$46,[2]tropical!L$1,FALSE)</f>
        <v>0</v>
      </c>
      <c r="Q162" s="800">
        <f>VLOOKUP($E162,[2]tropical!$A$4:$AF$46,[2]tropical!M$1,FALSE)</f>
        <v>0</v>
      </c>
      <c r="R162" s="805">
        <f>VLOOKUP($E162,[2]tropical!$A$4:$AF$46,[2]tropical!N$1,FALSE)</f>
        <v>0</v>
      </c>
      <c r="S162" s="805">
        <f>VLOOKUP($E162,[2]tropical!$A$4:$AF$46,[2]tropical!O$1,FALSE)</f>
        <v>0</v>
      </c>
      <c r="T162" s="805">
        <f>VLOOKUP($E162,[2]tropical!$A$4:$AF$46,[2]tropical!P$1,FALSE)</f>
        <v>0</v>
      </c>
      <c r="U162" s="800">
        <f t="shared" si="2"/>
        <v>2</v>
      </c>
    </row>
    <row r="163" spans="1:21">
      <c r="A163" s="788">
        <v>8160</v>
      </c>
      <c r="B163" s="788" t="s">
        <v>1326</v>
      </c>
      <c r="C163" s="788">
        <v>754</v>
      </c>
      <c r="D163" s="788" t="s">
        <v>88</v>
      </c>
      <c r="E163" s="790" t="s">
        <v>1326</v>
      </c>
      <c r="F163" s="790" t="s">
        <v>2617</v>
      </c>
      <c r="G163" s="800">
        <f>VLOOKUP($E163,[2]tropical!$A$4:$AF$46,[2]tropical!C$1,FALSE)</f>
        <v>0</v>
      </c>
      <c r="H163" s="800">
        <f>VLOOKUP($E163,[2]tropical!$A$4:$AF$46,[2]tropical!D$1,FALSE)</f>
        <v>0</v>
      </c>
      <c r="I163" s="800">
        <f>VLOOKUP($E163,[2]tropical!$A$4:$AF$46,[2]tropical!E$1,FALSE)</f>
        <v>0</v>
      </c>
      <c r="J163" s="800">
        <f>VLOOKUP($E163,[2]tropical!$A$4:$AF$46,[2]tropical!F$1,FALSE)</f>
        <v>0</v>
      </c>
      <c r="K163" s="800">
        <f>VLOOKUP($E163,[2]tropical!$A$4:$AF$46,[2]tropical!G$1,FALSE)</f>
        <v>0</v>
      </c>
      <c r="L163" s="800">
        <f>VLOOKUP($E163,[2]tropical!$A$4:$AF$46,[2]tropical!H$1,FALSE)</f>
        <v>0</v>
      </c>
      <c r="M163" s="800">
        <f>VLOOKUP($E163,[2]tropical!$A$4:$AF$46,[2]tropical!I$1,FALSE)</f>
        <v>0</v>
      </c>
      <c r="N163" s="800">
        <f>VLOOKUP($E163,[2]tropical!$A$4:$AF$46,[2]tropical!J$1,FALSE)</f>
        <v>0</v>
      </c>
      <c r="O163" s="800">
        <f>VLOOKUP($E163,[2]tropical!$A$4:$AF$46,[2]tropical!K$1,FALSE)</f>
        <v>0</v>
      </c>
      <c r="P163" s="800">
        <f>VLOOKUP($E163,[2]tropical!$A$4:$AF$46,[2]tropical!L$1,FALSE)</f>
        <v>0</v>
      </c>
      <c r="Q163" s="800">
        <f>VLOOKUP($E163,[2]tropical!$A$4:$AF$46,[2]tropical!M$1,FALSE)</f>
        <v>0</v>
      </c>
      <c r="R163" s="805">
        <f>VLOOKUP($E163,[2]tropical!$A$4:$AF$46,[2]tropical!N$1,FALSE)</f>
        <v>0</v>
      </c>
      <c r="S163" s="805">
        <f>VLOOKUP($E163,[2]tropical!$A$4:$AF$46,[2]tropical!O$1,FALSE)</f>
        <v>0</v>
      </c>
      <c r="T163" s="805">
        <f>VLOOKUP($E163,[2]tropical!$A$4:$AF$46,[2]tropical!P$1,FALSE)</f>
        <v>0</v>
      </c>
      <c r="U163" s="800">
        <f t="shared" si="2"/>
        <v>0</v>
      </c>
    </row>
    <row r="164" spans="1:21">
      <c r="A164" s="788">
        <v>8161</v>
      </c>
      <c r="B164" s="788" t="s">
        <v>1330</v>
      </c>
      <c r="C164" s="788">
        <v>324</v>
      </c>
      <c r="D164" s="788" t="s">
        <v>81</v>
      </c>
      <c r="E164" s="790" t="s">
        <v>1274</v>
      </c>
      <c r="F164" s="790" t="s">
        <v>2616</v>
      </c>
      <c r="G164" s="800">
        <f>VLOOKUP($E164,[2]tropical!$A$4:$AF$46,[2]tropical!C$1,FALSE)</f>
        <v>0</v>
      </c>
      <c r="H164" s="800">
        <f>VLOOKUP($E164,[2]tropical!$A$4:$AF$46,[2]tropical!D$1,FALSE)</f>
        <v>0</v>
      </c>
      <c r="I164" s="800">
        <f>VLOOKUP($E164,[2]tropical!$A$4:$AF$46,[2]tropical!E$1,FALSE)</f>
        <v>0</v>
      </c>
      <c r="J164" s="800">
        <f>VLOOKUP($E164,[2]tropical!$A$4:$AF$46,[2]tropical!F$1,FALSE)</f>
        <v>0</v>
      </c>
      <c r="K164" s="800">
        <f>VLOOKUP($E164,[2]tropical!$A$4:$AF$46,[2]tropical!G$1,FALSE)</f>
        <v>1</v>
      </c>
      <c r="L164" s="800">
        <f>VLOOKUP($E164,[2]tropical!$A$4:$AF$46,[2]tropical!H$1,FALSE)</f>
        <v>0</v>
      </c>
      <c r="M164" s="800">
        <f>VLOOKUP($E164,[2]tropical!$A$4:$AF$46,[2]tropical!I$1,FALSE)</f>
        <v>0</v>
      </c>
      <c r="N164" s="800">
        <f>VLOOKUP($E164,[2]tropical!$A$4:$AF$46,[2]tropical!J$1,FALSE)</f>
        <v>0</v>
      </c>
      <c r="O164" s="800">
        <f>VLOOKUP($E164,[2]tropical!$A$4:$AF$46,[2]tropical!K$1,FALSE)</f>
        <v>1</v>
      </c>
      <c r="P164" s="800">
        <f>VLOOKUP($E164,[2]tropical!$A$4:$AF$46,[2]tropical!L$1,FALSE)</f>
        <v>0</v>
      </c>
      <c r="Q164" s="800">
        <f>VLOOKUP($E164,[2]tropical!$A$4:$AF$46,[2]tropical!M$1,FALSE)</f>
        <v>0</v>
      </c>
      <c r="R164" s="805">
        <f>VLOOKUP($E164,[2]tropical!$A$4:$AF$46,[2]tropical!N$1,FALSE)</f>
        <v>0</v>
      </c>
      <c r="S164" s="805">
        <f>VLOOKUP($E164,[2]tropical!$A$4:$AF$46,[2]tropical!O$1,FALSE)</f>
        <v>0</v>
      </c>
      <c r="T164" s="805">
        <f>VLOOKUP($E164,[2]tropical!$A$4:$AF$46,[2]tropical!P$1,FALSE)</f>
        <v>0</v>
      </c>
      <c r="U164" s="800">
        <f t="shared" si="2"/>
        <v>2</v>
      </c>
    </row>
    <row r="165" spans="1:21">
      <c r="A165" s="788">
        <v>8162</v>
      </c>
      <c r="B165" s="788" t="s">
        <v>1334</v>
      </c>
      <c r="C165" s="788">
        <v>361</v>
      </c>
      <c r="D165" s="788" t="s">
        <v>81</v>
      </c>
      <c r="E165" s="790" t="s">
        <v>1334</v>
      </c>
      <c r="F165" s="790" t="s">
        <v>2615</v>
      </c>
      <c r="G165" s="800">
        <f>VLOOKUP($E165,[2]tropical!$A$4:$AF$46,[2]tropical!C$1,FALSE)</f>
        <v>3</v>
      </c>
      <c r="H165" s="800">
        <f>VLOOKUP($E165,[2]tropical!$A$4:$AF$46,[2]tropical!D$1,FALSE)</f>
        <v>3</v>
      </c>
      <c r="I165" s="800">
        <f>VLOOKUP($E165,[2]tropical!$A$4:$AF$46,[2]tropical!E$1,FALSE)</f>
        <v>13</v>
      </c>
      <c r="J165" s="800">
        <f>VLOOKUP($E165,[2]tropical!$A$4:$AF$46,[2]tropical!F$1,FALSE)</f>
        <v>2</v>
      </c>
      <c r="K165" s="800">
        <f>VLOOKUP($E165,[2]tropical!$A$4:$AF$46,[2]tropical!G$1,FALSE)</f>
        <v>3</v>
      </c>
      <c r="L165" s="800">
        <f>VLOOKUP($E165,[2]tropical!$A$4:$AF$46,[2]tropical!H$1,FALSE)</f>
        <v>6</v>
      </c>
      <c r="M165" s="800">
        <f>VLOOKUP($E165,[2]tropical!$A$4:$AF$46,[2]tropical!I$1,FALSE)</f>
        <v>2</v>
      </c>
      <c r="N165" s="800">
        <f>VLOOKUP($E165,[2]tropical!$A$4:$AF$46,[2]tropical!J$1,FALSE)</f>
        <v>2</v>
      </c>
      <c r="O165" s="800">
        <f>VLOOKUP($E165,[2]tropical!$A$4:$AF$46,[2]tropical!K$1,FALSE)</f>
        <v>10</v>
      </c>
      <c r="P165" s="800">
        <f>VLOOKUP($E165,[2]tropical!$A$4:$AF$46,[2]tropical!L$1,FALSE)</f>
        <v>0</v>
      </c>
      <c r="Q165" s="800">
        <f>VLOOKUP($E165,[2]tropical!$A$4:$AF$46,[2]tropical!M$1,FALSE)</f>
        <v>1</v>
      </c>
      <c r="R165" s="805">
        <f>VLOOKUP($E165,[2]tropical!$A$4:$AF$46,[2]tropical!N$1,FALSE)</f>
        <v>0</v>
      </c>
      <c r="S165" s="805">
        <f>VLOOKUP($E165,[2]tropical!$A$4:$AF$46,[2]tropical!O$1,FALSE)</f>
        <v>0</v>
      </c>
      <c r="T165" s="805">
        <f>VLOOKUP($E165,[2]tropical!$A$4:$AF$46,[2]tropical!P$1,FALSE)</f>
        <v>0</v>
      </c>
      <c r="U165" s="800">
        <f t="shared" si="2"/>
        <v>45</v>
      </c>
    </row>
    <row r="166" spans="1:21">
      <c r="A166" s="788">
        <v>8163</v>
      </c>
      <c r="B166" s="788" t="s">
        <v>347</v>
      </c>
      <c r="C166" s="788">
        <v>10</v>
      </c>
      <c r="D166" s="788" t="s">
        <v>86</v>
      </c>
      <c r="E166" s="790" t="s">
        <v>343</v>
      </c>
      <c r="F166" s="790" t="s">
        <v>2615</v>
      </c>
      <c r="G166" s="800">
        <f>VLOOKUP($E166,[2]tropical!$A$4:$AF$46,[2]tropical!C$1,FALSE)</f>
        <v>14</v>
      </c>
      <c r="H166" s="800">
        <f>VLOOKUP($E166,[2]tropical!$A$4:$AF$46,[2]tropical!D$1,FALSE)</f>
        <v>8</v>
      </c>
      <c r="I166" s="800">
        <f>VLOOKUP($E166,[2]tropical!$A$4:$AF$46,[2]tropical!E$1,FALSE)</f>
        <v>3</v>
      </c>
      <c r="J166" s="800">
        <f>VLOOKUP($E166,[2]tropical!$A$4:$AF$46,[2]tropical!F$1,FALSE)</f>
        <v>4</v>
      </c>
      <c r="K166" s="800">
        <f>VLOOKUP($E166,[2]tropical!$A$4:$AF$46,[2]tropical!G$1,FALSE)</f>
        <v>2</v>
      </c>
      <c r="L166" s="800">
        <f>VLOOKUP($E166,[2]tropical!$A$4:$AF$46,[2]tropical!H$1,FALSE)</f>
        <v>9</v>
      </c>
      <c r="M166" s="800">
        <f>VLOOKUP($E166,[2]tropical!$A$4:$AF$46,[2]tropical!I$1,FALSE)</f>
        <v>4</v>
      </c>
      <c r="N166" s="800">
        <f>VLOOKUP($E166,[2]tropical!$A$4:$AF$46,[2]tropical!J$1,FALSE)</f>
        <v>3</v>
      </c>
      <c r="O166" s="800">
        <f>VLOOKUP($E166,[2]tropical!$A$4:$AF$46,[2]tropical!K$1,FALSE)</f>
        <v>7</v>
      </c>
      <c r="P166" s="800">
        <f>VLOOKUP($E166,[2]tropical!$A$4:$AF$46,[2]tropical!L$1,FALSE)</f>
        <v>5</v>
      </c>
      <c r="Q166" s="800">
        <f>VLOOKUP($E166,[2]tropical!$A$4:$AF$46,[2]tropical!M$1,FALSE)</f>
        <v>3</v>
      </c>
      <c r="R166" s="805">
        <f>VLOOKUP($E166,[2]tropical!$A$4:$AF$46,[2]tropical!N$1,FALSE)</f>
        <v>0</v>
      </c>
      <c r="S166" s="805">
        <f>VLOOKUP($E166,[2]tropical!$A$4:$AF$46,[2]tropical!O$1,FALSE)</f>
        <v>0</v>
      </c>
      <c r="T166" s="805">
        <f>VLOOKUP($E166,[2]tropical!$A$4:$AF$46,[2]tropical!P$1,FALSE)</f>
        <v>0</v>
      </c>
      <c r="U166" s="800">
        <f t="shared" si="2"/>
        <v>62</v>
      </c>
    </row>
    <row r="167" spans="1:21">
      <c r="A167" s="788">
        <v>8164</v>
      </c>
      <c r="B167" s="788" t="s">
        <v>1339</v>
      </c>
      <c r="C167" s="788">
        <v>216</v>
      </c>
      <c r="D167" s="788" t="s">
        <v>791</v>
      </c>
      <c r="E167" s="790" t="s">
        <v>2607</v>
      </c>
      <c r="F167" s="790" t="s">
        <v>2615</v>
      </c>
      <c r="G167" s="800">
        <f>VLOOKUP($E167,[2]tropical!$A$4:$AF$46,[2]tropical!C$1,FALSE)</f>
        <v>0</v>
      </c>
      <c r="H167" s="800">
        <f>VLOOKUP($E167,[2]tropical!$A$4:$AF$46,[2]tropical!D$1,FALSE)</f>
        <v>3</v>
      </c>
      <c r="I167" s="800">
        <f>VLOOKUP($E167,[2]tropical!$A$4:$AF$46,[2]tropical!E$1,FALSE)</f>
        <v>2</v>
      </c>
      <c r="J167" s="800">
        <f>VLOOKUP($E167,[2]tropical!$A$4:$AF$46,[2]tropical!F$1,FALSE)</f>
        <v>0</v>
      </c>
      <c r="K167" s="800">
        <f>VLOOKUP($E167,[2]tropical!$A$4:$AF$46,[2]tropical!G$1,FALSE)</f>
        <v>1</v>
      </c>
      <c r="L167" s="800">
        <f>VLOOKUP($E167,[2]tropical!$A$4:$AF$46,[2]tropical!H$1,FALSE)</f>
        <v>1</v>
      </c>
      <c r="M167" s="800">
        <f>VLOOKUP($E167,[2]tropical!$A$4:$AF$46,[2]tropical!I$1,FALSE)</f>
        <v>1</v>
      </c>
      <c r="N167" s="800">
        <f>VLOOKUP($E167,[2]tropical!$A$4:$AF$46,[2]tropical!J$1,FALSE)</f>
        <v>1</v>
      </c>
      <c r="O167" s="800">
        <f>VLOOKUP($E167,[2]tropical!$A$4:$AF$46,[2]tropical!K$1,FALSE)</f>
        <v>1</v>
      </c>
      <c r="P167" s="800">
        <f>VLOOKUP($E167,[2]tropical!$A$4:$AF$46,[2]tropical!L$1,FALSE)</f>
        <v>0</v>
      </c>
      <c r="Q167" s="800">
        <f>VLOOKUP($E167,[2]tropical!$A$4:$AF$46,[2]tropical!M$1,FALSE)</f>
        <v>0</v>
      </c>
      <c r="R167" s="805">
        <f>VLOOKUP($E167,[2]tropical!$A$4:$AF$46,[2]tropical!N$1,FALSE)</f>
        <v>0</v>
      </c>
      <c r="S167" s="805">
        <f>VLOOKUP($E167,[2]tropical!$A$4:$AF$46,[2]tropical!O$1,FALSE)</f>
        <v>0</v>
      </c>
      <c r="T167" s="805">
        <f>VLOOKUP($E167,[2]tropical!$A$4:$AF$46,[2]tropical!P$1,FALSE)</f>
        <v>0</v>
      </c>
      <c r="U167" s="800">
        <f t="shared" si="2"/>
        <v>10</v>
      </c>
    </row>
    <row r="168" spans="1:21">
      <c r="A168" s="788">
        <v>8165</v>
      </c>
      <c r="B168" s="788" t="s">
        <v>1340</v>
      </c>
      <c r="C168" s="788">
        <v>265</v>
      </c>
      <c r="D168" s="788" t="s">
        <v>81</v>
      </c>
      <c r="E168" s="790" t="s">
        <v>1274</v>
      </c>
      <c r="F168" s="790" t="s">
        <v>2616</v>
      </c>
      <c r="G168" s="800">
        <f>VLOOKUP($E168,[2]tropical!$A$4:$AF$46,[2]tropical!C$1,FALSE)</f>
        <v>0</v>
      </c>
      <c r="H168" s="800">
        <f>VLOOKUP($E168,[2]tropical!$A$4:$AF$46,[2]tropical!D$1,FALSE)</f>
        <v>0</v>
      </c>
      <c r="I168" s="800">
        <f>VLOOKUP($E168,[2]tropical!$A$4:$AF$46,[2]tropical!E$1,FALSE)</f>
        <v>0</v>
      </c>
      <c r="J168" s="800">
        <f>VLOOKUP($E168,[2]tropical!$A$4:$AF$46,[2]tropical!F$1,FALSE)</f>
        <v>0</v>
      </c>
      <c r="K168" s="800">
        <f>VLOOKUP($E168,[2]tropical!$A$4:$AF$46,[2]tropical!G$1,FALSE)</f>
        <v>1</v>
      </c>
      <c r="L168" s="800">
        <f>VLOOKUP($E168,[2]tropical!$A$4:$AF$46,[2]tropical!H$1,FALSE)</f>
        <v>0</v>
      </c>
      <c r="M168" s="800">
        <f>VLOOKUP($E168,[2]tropical!$A$4:$AF$46,[2]tropical!I$1,FALSE)</f>
        <v>0</v>
      </c>
      <c r="N168" s="800">
        <f>VLOOKUP($E168,[2]tropical!$A$4:$AF$46,[2]tropical!J$1,FALSE)</f>
        <v>0</v>
      </c>
      <c r="O168" s="800">
        <f>VLOOKUP($E168,[2]tropical!$A$4:$AF$46,[2]tropical!K$1,FALSE)</f>
        <v>1</v>
      </c>
      <c r="P168" s="800">
        <f>VLOOKUP($E168,[2]tropical!$A$4:$AF$46,[2]tropical!L$1,FALSE)</f>
        <v>0</v>
      </c>
      <c r="Q168" s="800">
        <f>VLOOKUP($E168,[2]tropical!$A$4:$AF$46,[2]tropical!M$1,FALSE)</f>
        <v>0</v>
      </c>
      <c r="R168" s="805">
        <f>VLOOKUP($E168,[2]tropical!$A$4:$AF$46,[2]tropical!N$1,FALSE)</f>
        <v>0</v>
      </c>
      <c r="S168" s="805">
        <f>VLOOKUP($E168,[2]tropical!$A$4:$AF$46,[2]tropical!O$1,FALSE)</f>
        <v>0</v>
      </c>
      <c r="T168" s="805">
        <f>VLOOKUP($E168,[2]tropical!$A$4:$AF$46,[2]tropical!P$1,FALSE)</f>
        <v>0</v>
      </c>
      <c r="U168" s="800">
        <f t="shared" si="2"/>
        <v>2</v>
      </c>
    </row>
    <row r="169" spans="1:21">
      <c r="A169" s="788">
        <v>8166</v>
      </c>
      <c r="B169" s="788" t="s">
        <v>1343</v>
      </c>
      <c r="C169" s="788">
        <v>843</v>
      </c>
      <c r="D169" s="788" t="s">
        <v>84</v>
      </c>
      <c r="E169" s="790" t="s">
        <v>2603</v>
      </c>
      <c r="F169" s="790" t="s">
        <v>2617</v>
      </c>
      <c r="G169" s="800">
        <f>VLOOKUP($E169,[2]tropical!$A$4:$AF$46,[2]tropical!C$1,FALSE)</f>
        <v>0</v>
      </c>
      <c r="H169" s="800">
        <f>VLOOKUP($E169,[2]tropical!$A$4:$AF$46,[2]tropical!D$1,FALSE)</f>
        <v>1</v>
      </c>
      <c r="I169" s="800">
        <f>VLOOKUP($E169,[2]tropical!$A$4:$AF$46,[2]tropical!E$1,FALSE)</f>
        <v>0</v>
      </c>
      <c r="J169" s="800">
        <f>VLOOKUP($E169,[2]tropical!$A$4:$AF$46,[2]tropical!F$1,FALSE)</f>
        <v>0</v>
      </c>
      <c r="K169" s="800">
        <f>VLOOKUP($E169,[2]tropical!$A$4:$AF$46,[2]tropical!G$1,FALSE)</f>
        <v>0</v>
      </c>
      <c r="L169" s="800">
        <f>VLOOKUP($E169,[2]tropical!$A$4:$AF$46,[2]tropical!H$1,FALSE)</f>
        <v>0</v>
      </c>
      <c r="M169" s="800">
        <f>VLOOKUP($E169,[2]tropical!$A$4:$AF$46,[2]tropical!I$1,FALSE)</f>
        <v>0</v>
      </c>
      <c r="N169" s="800">
        <f>VLOOKUP($E169,[2]tropical!$A$4:$AF$46,[2]tropical!J$1,FALSE)</f>
        <v>0</v>
      </c>
      <c r="O169" s="800">
        <f>VLOOKUP($E169,[2]tropical!$A$4:$AF$46,[2]tropical!K$1,FALSE)</f>
        <v>2</v>
      </c>
      <c r="P169" s="800">
        <f>VLOOKUP($E169,[2]tropical!$A$4:$AF$46,[2]tropical!L$1,FALSE)</f>
        <v>0</v>
      </c>
      <c r="Q169" s="800">
        <f>VLOOKUP($E169,[2]tropical!$A$4:$AF$46,[2]tropical!M$1,FALSE)</f>
        <v>0</v>
      </c>
      <c r="R169" s="805">
        <f>VLOOKUP($E169,[2]tropical!$A$4:$AF$46,[2]tropical!N$1,FALSE)</f>
        <v>0</v>
      </c>
      <c r="S169" s="805">
        <f>VLOOKUP($E169,[2]tropical!$A$4:$AF$46,[2]tropical!O$1,FALSE)</f>
        <v>0</v>
      </c>
      <c r="T169" s="805">
        <f>VLOOKUP($E169,[2]tropical!$A$4:$AF$46,[2]tropical!P$1,FALSE)</f>
        <v>0</v>
      </c>
      <c r="U169" s="800">
        <f t="shared" si="2"/>
        <v>3</v>
      </c>
    </row>
    <row r="170" spans="1:21">
      <c r="A170" s="788">
        <v>8167</v>
      </c>
      <c r="B170" s="788" t="s">
        <v>1349</v>
      </c>
      <c r="C170" s="788">
        <v>123</v>
      </c>
      <c r="D170" s="788" t="s">
        <v>89</v>
      </c>
      <c r="E170" s="790" t="s">
        <v>867</v>
      </c>
      <c r="F170" s="790" t="s">
        <v>2616</v>
      </c>
      <c r="G170" s="800">
        <f>VLOOKUP($E170,[2]tropical!$A$4:$AF$46,[2]tropical!C$1,FALSE)</f>
        <v>0</v>
      </c>
      <c r="H170" s="800">
        <f>VLOOKUP($E170,[2]tropical!$A$4:$AF$46,[2]tropical!D$1,FALSE)</f>
        <v>1</v>
      </c>
      <c r="I170" s="800">
        <f>VLOOKUP($E170,[2]tropical!$A$4:$AF$46,[2]tropical!E$1,FALSE)</f>
        <v>2</v>
      </c>
      <c r="J170" s="800">
        <f>VLOOKUP($E170,[2]tropical!$A$4:$AF$46,[2]tropical!F$1,FALSE)</f>
        <v>1</v>
      </c>
      <c r="K170" s="800">
        <f>VLOOKUP($E170,[2]tropical!$A$4:$AF$46,[2]tropical!G$1,FALSE)</f>
        <v>0</v>
      </c>
      <c r="L170" s="800">
        <f>VLOOKUP($E170,[2]tropical!$A$4:$AF$46,[2]tropical!H$1,FALSE)</f>
        <v>2</v>
      </c>
      <c r="M170" s="800">
        <f>VLOOKUP($E170,[2]tropical!$A$4:$AF$46,[2]tropical!I$1,FALSE)</f>
        <v>0</v>
      </c>
      <c r="N170" s="800">
        <f>VLOOKUP($E170,[2]tropical!$A$4:$AF$46,[2]tropical!J$1,FALSE)</f>
        <v>0</v>
      </c>
      <c r="O170" s="800">
        <f>VLOOKUP($E170,[2]tropical!$A$4:$AF$46,[2]tropical!K$1,FALSE)</f>
        <v>2</v>
      </c>
      <c r="P170" s="800">
        <f>VLOOKUP($E170,[2]tropical!$A$4:$AF$46,[2]tropical!L$1,FALSE)</f>
        <v>0</v>
      </c>
      <c r="Q170" s="800">
        <f>VLOOKUP($E170,[2]tropical!$A$4:$AF$46,[2]tropical!M$1,FALSE)</f>
        <v>0</v>
      </c>
      <c r="R170" s="805">
        <f>VLOOKUP($E170,[2]tropical!$A$4:$AF$46,[2]tropical!N$1,FALSE)</f>
        <v>0</v>
      </c>
      <c r="S170" s="805">
        <f>VLOOKUP($E170,[2]tropical!$A$4:$AF$46,[2]tropical!O$1,FALSE)</f>
        <v>0</v>
      </c>
      <c r="T170" s="805">
        <f>VLOOKUP($E170,[2]tropical!$A$4:$AF$46,[2]tropical!P$1,FALSE)</f>
        <v>0</v>
      </c>
      <c r="U170" s="800">
        <f t="shared" si="2"/>
        <v>8</v>
      </c>
    </row>
    <row r="171" spans="1:21">
      <c r="A171" s="788">
        <v>8168</v>
      </c>
      <c r="B171" s="788" t="s">
        <v>1352</v>
      </c>
      <c r="C171" s="788">
        <v>584</v>
      </c>
      <c r="D171" s="788" t="s">
        <v>791</v>
      </c>
      <c r="E171" s="790" t="s">
        <v>2612</v>
      </c>
      <c r="F171" s="790" t="s">
        <v>2615</v>
      </c>
      <c r="G171" s="800">
        <f>VLOOKUP($E171,[2]tropical!$A$4:$AF$46,[2]tropical!C$1,FALSE)</f>
        <v>2</v>
      </c>
      <c r="H171" s="800">
        <f>VLOOKUP($E171,[2]tropical!$A$4:$AF$46,[2]tropical!D$1,FALSE)</f>
        <v>8</v>
      </c>
      <c r="I171" s="800">
        <f>VLOOKUP($E171,[2]tropical!$A$4:$AF$46,[2]tropical!E$1,FALSE)</f>
        <v>16</v>
      </c>
      <c r="J171" s="800">
        <f>VLOOKUP($E171,[2]tropical!$A$4:$AF$46,[2]tropical!F$1,FALSE)</f>
        <v>3</v>
      </c>
      <c r="K171" s="800">
        <f>VLOOKUP($E171,[2]tropical!$A$4:$AF$46,[2]tropical!G$1,FALSE)</f>
        <v>1</v>
      </c>
      <c r="L171" s="800">
        <f>VLOOKUP($E171,[2]tropical!$A$4:$AF$46,[2]tropical!H$1,FALSE)</f>
        <v>8</v>
      </c>
      <c r="M171" s="800">
        <f>VLOOKUP($E171,[2]tropical!$A$4:$AF$46,[2]tropical!I$1,FALSE)</f>
        <v>0</v>
      </c>
      <c r="N171" s="800">
        <f>VLOOKUP($E171,[2]tropical!$A$4:$AF$46,[2]tropical!J$1,FALSE)</f>
        <v>4</v>
      </c>
      <c r="O171" s="800">
        <f>VLOOKUP($E171,[2]tropical!$A$4:$AF$46,[2]tropical!K$1,FALSE)</f>
        <v>7</v>
      </c>
      <c r="P171" s="800">
        <f>VLOOKUP($E171,[2]tropical!$A$4:$AF$46,[2]tropical!L$1,FALSE)</f>
        <v>0</v>
      </c>
      <c r="Q171" s="800">
        <f>VLOOKUP($E171,[2]tropical!$A$4:$AF$46,[2]tropical!M$1,FALSE)</f>
        <v>0</v>
      </c>
      <c r="R171" s="805">
        <f>VLOOKUP($E171,[2]tropical!$A$4:$AF$46,[2]tropical!N$1,FALSE)</f>
        <v>0</v>
      </c>
      <c r="S171" s="805">
        <f>VLOOKUP($E171,[2]tropical!$A$4:$AF$46,[2]tropical!O$1,FALSE)</f>
        <v>0</v>
      </c>
      <c r="T171" s="805">
        <f>VLOOKUP($E171,[2]tropical!$A$4:$AF$46,[2]tropical!P$1,FALSE)</f>
        <v>0</v>
      </c>
      <c r="U171" s="800">
        <f t="shared" si="2"/>
        <v>49</v>
      </c>
    </row>
    <row r="172" spans="1:21">
      <c r="A172" s="788">
        <v>8169</v>
      </c>
      <c r="B172" s="791" t="s">
        <v>2614</v>
      </c>
      <c r="C172" s="788">
        <v>8</v>
      </c>
      <c r="D172" s="788" t="s">
        <v>90</v>
      </c>
      <c r="E172" s="790" t="s">
        <v>357</v>
      </c>
      <c r="F172" s="790" t="s">
        <v>2615</v>
      </c>
      <c r="G172" s="800">
        <f>VLOOKUP($E172,[2]tropical!$A$4:$AF$46,[2]tropical!C$1,FALSE)</f>
        <v>33</v>
      </c>
      <c r="H172" s="800">
        <f>VLOOKUP($E172,[2]tropical!$A$4:$AF$46,[2]tropical!D$1,FALSE)</f>
        <v>25</v>
      </c>
      <c r="I172" s="800">
        <f>VLOOKUP($E172,[2]tropical!$A$4:$AF$46,[2]tropical!E$1,FALSE)</f>
        <v>28</v>
      </c>
      <c r="J172" s="800">
        <f>VLOOKUP($E172,[2]tropical!$A$4:$AF$46,[2]tropical!F$1,FALSE)</f>
        <v>10</v>
      </c>
      <c r="K172" s="800">
        <f>VLOOKUP($E172,[2]tropical!$A$4:$AF$46,[2]tropical!G$1,FALSE)</f>
        <v>21</v>
      </c>
      <c r="L172" s="800">
        <f>VLOOKUP($E172,[2]tropical!$A$4:$AF$46,[2]tropical!H$1,FALSE)</f>
        <v>36</v>
      </c>
      <c r="M172" s="800">
        <f>VLOOKUP($E172,[2]tropical!$A$4:$AF$46,[2]tropical!I$1,FALSE)</f>
        <v>23</v>
      </c>
      <c r="N172" s="800">
        <f>VLOOKUP($E172,[2]tropical!$A$4:$AF$46,[2]tropical!J$1,FALSE)</f>
        <v>16</v>
      </c>
      <c r="O172" s="800">
        <f>VLOOKUP($E172,[2]tropical!$A$4:$AF$46,[2]tropical!K$1,FALSE)</f>
        <v>22</v>
      </c>
      <c r="P172" s="800">
        <f>VLOOKUP($E172,[2]tropical!$A$4:$AF$46,[2]tropical!L$1,FALSE)</f>
        <v>19</v>
      </c>
      <c r="Q172" s="800">
        <f>VLOOKUP($E172,[2]tropical!$A$4:$AF$46,[2]tropical!M$1,FALSE)</f>
        <v>13</v>
      </c>
      <c r="R172" s="805">
        <f>VLOOKUP($E172,[2]tropical!$A$4:$AF$46,[2]tropical!N$1,FALSE)</f>
        <v>0</v>
      </c>
      <c r="S172" s="805">
        <f>VLOOKUP($E172,[2]tropical!$A$4:$AF$46,[2]tropical!O$1,FALSE)</f>
        <v>0</v>
      </c>
      <c r="T172" s="805">
        <f>VLOOKUP($E172,[2]tropical!$A$4:$AF$46,[2]tropical!P$1,FALSE)</f>
        <v>0</v>
      </c>
      <c r="U172" s="800">
        <f t="shared" si="2"/>
        <v>246</v>
      </c>
    </row>
    <row r="173" spans="1:21">
      <c r="A173" s="788">
        <v>8170</v>
      </c>
      <c r="B173" s="788" t="s">
        <v>1359</v>
      </c>
      <c r="C173" s="788">
        <v>608</v>
      </c>
      <c r="D173" s="788" t="s">
        <v>81</v>
      </c>
      <c r="E173" s="790" t="s">
        <v>1274</v>
      </c>
      <c r="F173" s="790" t="s">
        <v>2616</v>
      </c>
      <c r="G173" s="800">
        <f>VLOOKUP($E173,[2]tropical!$A$4:$AF$46,[2]tropical!C$1,FALSE)</f>
        <v>0</v>
      </c>
      <c r="H173" s="800">
        <f>VLOOKUP($E173,[2]tropical!$A$4:$AF$46,[2]tropical!D$1,FALSE)</f>
        <v>0</v>
      </c>
      <c r="I173" s="800">
        <f>VLOOKUP($E173,[2]tropical!$A$4:$AF$46,[2]tropical!E$1,FALSE)</f>
        <v>0</v>
      </c>
      <c r="J173" s="800">
        <f>VLOOKUP($E173,[2]tropical!$A$4:$AF$46,[2]tropical!F$1,FALSE)</f>
        <v>0</v>
      </c>
      <c r="K173" s="800">
        <f>VLOOKUP($E173,[2]tropical!$A$4:$AF$46,[2]tropical!G$1,FALSE)</f>
        <v>1</v>
      </c>
      <c r="L173" s="800">
        <f>VLOOKUP($E173,[2]tropical!$A$4:$AF$46,[2]tropical!H$1,FALSE)</f>
        <v>0</v>
      </c>
      <c r="M173" s="800">
        <f>VLOOKUP($E173,[2]tropical!$A$4:$AF$46,[2]tropical!I$1,FALSE)</f>
        <v>0</v>
      </c>
      <c r="N173" s="800">
        <f>VLOOKUP($E173,[2]tropical!$A$4:$AF$46,[2]tropical!J$1,FALSE)</f>
        <v>0</v>
      </c>
      <c r="O173" s="800">
        <f>VLOOKUP($E173,[2]tropical!$A$4:$AF$46,[2]tropical!K$1,FALSE)</f>
        <v>1</v>
      </c>
      <c r="P173" s="800">
        <f>VLOOKUP($E173,[2]tropical!$A$4:$AF$46,[2]tropical!L$1,FALSE)</f>
        <v>0</v>
      </c>
      <c r="Q173" s="800">
        <f>VLOOKUP($E173,[2]tropical!$A$4:$AF$46,[2]tropical!M$1,FALSE)</f>
        <v>0</v>
      </c>
      <c r="R173" s="805">
        <f>VLOOKUP($E173,[2]tropical!$A$4:$AF$46,[2]tropical!N$1,FALSE)</f>
        <v>0</v>
      </c>
      <c r="S173" s="805">
        <f>VLOOKUP($E173,[2]tropical!$A$4:$AF$46,[2]tropical!O$1,FALSE)</f>
        <v>0</v>
      </c>
      <c r="T173" s="805">
        <f>VLOOKUP($E173,[2]tropical!$A$4:$AF$46,[2]tropical!P$1,FALSE)</f>
        <v>0</v>
      </c>
      <c r="U173" s="800">
        <f t="shared" si="2"/>
        <v>2</v>
      </c>
    </row>
    <row r="174" spans="1:21">
      <c r="A174" s="788">
        <v>8171</v>
      </c>
      <c r="B174" s="788" t="s">
        <v>1363</v>
      </c>
      <c r="C174" s="788">
        <v>707</v>
      </c>
      <c r="D174" s="788" t="s">
        <v>88</v>
      </c>
      <c r="E174" s="790" t="s">
        <v>1326</v>
      </c>
      <c r="F174" s="790" t="s">
        <v>2617</v>
      </c>
      <c r="G174" s="800">
        <f>VLOOKUP($E174,[2]tropical!$A$4:$AF$46,[2]tropical!C$1,FALSE)</f>
        <v>0</v>
      </c>
      <c r="H174" s="800">
        <f>VLOOKUP($E174,[2]tropical!$A$4:$AF$46,[2]tropical!D$1,FALSE)</f>
        <v>0</v>
      </c>
      <c r="I174" s="800">
        <f>VLOOKUP($E174,[2]tropical!$A$4:$AF$46,[2]tropical!E$1,FALSE)</f>
        <v>0</v>
      </c>
      <c r="J174" s="800">
        <f>VLOOKUP($E174,[2]tropical!$A$4:$AF$46,[2]tropical!F$1,FALSE)</f>
        <v>0</v>
      </c>
      <c r="K174" s="800">
        <f>VLOOKUP($E174,[2]tropical!$A$4:$AF$46,[2]tropical!G$1,FALSE)</f>
        <v>0</v>
      </c>
      <c r="L174" s="800">
        <f>VLOOKUP($E174,[2]tropical!$A$4:$AF$46,[2]tropical!H$1,FALSE)</f>
        <v>0</v>
      </c>
      <c r="M174" s="800">
        <f>VLOOKUP($E174,[2]tropical!$A$4:$AF$46,[2]tropical!I$1,FALSE)</f>
        <v>0</v>
      </c>
      <c r="N174" s="800">
        <f>VLOOKUP($E174,[2]tropical!$A$4:$AF$46,[2]tropical!J$1,FALSE)</f>
        <v>0</v>
      </c>
      <c r="O174" s="800">
        <f>VLOOKUP($E174,[2]tropical!$A$4:$AF$46,[2]tropical!K$1,FALSE)</f>
        <v>0</v>
      </c>
      <c r="P174" s="800">
        <f>VLOOKUP($E174,[2]tropical!$A$4:$AF$46,[2]tropical!L$1,FALSE)</f>
        <v>0</v>
      </c>
      <c r="Q174" s="800">
        <f>VLOOKUP($E174,[2]tropical!$A$4:$AF$46,[2]tropical!M$1,FALSE)</f>
        <v>0</v>
      </c>
      <c r="R174" s="805">
        <f>VLOOKUP($E174,[2]tropical!$A$4:$AF$46,[2]tropical!N$1,FALSE)</f>
        <v>0</v>
      </c>
      <c r="S174" s="805">
        <f>VLOOKUP($E174,[2]tropical!$A$4:$AF$46,[2]tropical!O$1,FALSE)</f>
        <v>0</v>
      </c>
      <c r="T174" s="805">
        <f>VLOOKUP($E174,[2]tropical!$A$4:$AF$46,[2]tropical!P$1,FALSE)</f>
        <v>0</v>
      </c>
      <c r="U174" s="800">
        <f t="shared" si="2"/>
        <v>0</v>
      </c>
    </row>
    <row r="175" spans="1:21">
      <c r="A175" s="788">
        <v>8172</v>
      </c>
      <c r="B175" s="788" t="s">
        <v>349</v>
      </c>
      <c r="C175" s="788">
        <v>8</v>
      </c>
      <c r="D175" s="788" t="s">
        <v>86</v>
      </c>
      <c r="E175" s="790" t="s">
        <v>352</v>
      </c>
      <c r="F175" s="790" t="s">
        <v>2615</v>
      </c>
      <c r="G175" s="800">
        <f>VLOOKUP($E175,[2]tropical!$A$4:$AF$46,[2]tropical!C$1,FALSE)</f>
        <v>41</v>
      </c>
      <c r="H175" s="800">
        <f>VLOOKUP($E175,[2]tropical!$A$4:$AF$46,[2]tropical!D$1,FALSE)</f>
        <v>57</v>
      </c>
      <c r="I175" s="800">
        <f>VLOOKUP($E175,[2]tropical!$A$4:$AF$46,[2]tropical!E$1,FALSE)</f>
        <v>52</v>
      </c>
      <c r="J175" s="800">
        <f>VLOOKUP($E175,[2]tropical!$A$4:$AF$46,[2]tropical!F$1,FALSE)</f>
        <v>9</v>
      </c>
      <c r="K175" s="800">
        <f>VLOOKUP($E175,[2]tropical!$A$4:$AF$46,[2]tropical!G$1,FALSE)</f>
        <v>37</v>
      </c>
      <c r="L175" s="800">
        <f>VLOOKUP($E175,[2]tropical!$A$4:$AF$46,[2]tropical!H$1,FALSE)</f>
        <v>47</v>
      </c>
      <c r="M175" s="800">
        <f>VLOOKUP($E175,[2]tropical!$A$4:$AF$46,[2]tropical!I$1,FALSE)</f>
        <v>42</v>
      </c>
      <c r="N175" s="800">
        <f>VLOOKUP($E175,[2]tropical!$A$4:$AF$46,[2]tropical!J$1,FALSE)</f>
        <v>27</v>
      </c>
      <c r="O175" s="800">
        <f>VLOOKUP($E175,[2]tropical!$A$4:$AF$46,[2]tropical!K$1,FALSE)</f>
        <v>39</v>
      </c>
      <c r="P175" s="800">
        <f>VLOOKUP($E175,[2]tropical!$A$4:$AF$46,[2]tropical!L$1,FALSE)</f>
        <v>32</v>
      </c>
      <c r="Q175" s="800">
        <f>VLOOKUP($E175,[2]tropical!$A$4:$AF$46,[2]tropical!M$1,FALSE)</f>
        <v>20</v>
      </c>
      <c r="R175" s="805">
        <f>VLOOKUP($E175,[2]tropical!$A$4:$AF$46,[2]tropical!N$1,FALSE)</f>
        <v>0</v>
      </c>
      <c r="S175" s="805">
        <f>VLOOKUP($E175,[2]tropical!$A$4:$AF$46,[2]tropical!O$1,FALSE)</f>
        <v>0</v>
      </c>
      <c r="T175" s="805">
        <f>VLOOKUP($E175,[2]tropical!$A$4:$AF$46,[2]tropical!P$1,FALSE)</f>
        <v>0</v>
      </c>
      <c r="U175" s="800">
        <f t="shared" si="2"/>
        <v>403</v>
      </c>
    </row>
    <row r="176" spans="1:21">
      <c r="A176" s="788">
        <v>8174</v>
      </c>
      <c r="B176" s="788" t="s">
        <v>1365</v>
      </c>
      <c r="C176" s="788">
        <v>239</v>
      </c>
      <c r="D176" s="788" t="s">
        <v>791</v>
      </c>
      <c r="E176" s="790" t="s">
        <v>2607</v>
      </c>
      <c r="F176" s="790" t="s">
        <v>2615</v>
      </c>
      <c r="G176" s="800">
        <f>VLOOKUP($E176,[2]tropical!$A$4:$AF$46,[2]tropical!C$1,FALSE)</f>
        <v>0</v>
      </c>
      <c r="H176" s="800">
        <f>VLOOKUP($E176,[2]tropical!$A$4:$AF$46,[2]tropical!D$1,FALSE)</f>
        <v>3</v>
      </c>
      <c r="I176" s="800">
        <f>VLOOKUP($E176,[2]tropical!$A$4:$AF$46,[2]tropical!E$1,FALSE)</f>
        <v>2</v>
      </c>
      <c r="J176" s="800">
        <f>VLOOKUP($E176,[2]tropical!$A$4:$AF$46,[2]tropical!F$1,FALSE)</f>
        <v>0</v>
      </c>
      <c r="K176" s="800">
        <f>VLOOKUP($E176,[2]tropical!$A$4:$AF$46,[2]tropical!G$1,FALSE)</f>
        <v>1</v>
      </c>
      <c r="L176" s="800">
        <f>VLOOKUP($E176,[2]tropical!$A$4:$AF$46,[2]tropical!H$1,FALSE)</f>
        <v>1</v>
      </c>
      <c r="M176" s="800">
        <f>VLOOKUP($E176,[2]tropical!$A$4:$AF$46,[2]tropical!I$1,FALSE)</f>
        <v>1</v>
      </c>
      <c r="N176" s="800">
        <f>VLOOKUP($E176,[2]tropical!$A$4:$AF$46,[2]tropical!J$1,FALSE)</f>
        <v>1</v>
      </c>
      <c r="O176" s="800">
        <f>VLOOKUP($E176,[2]tropical!$A$4:$AF$46,[2]tropical!K$1,FALSE)</f>
        <v>1</v>
      </c>
      <c r="P176" s="800">
        <f>VLOOKUP($E176,[2]tropical!$A$4:$AF$46,[2]tropical!L$1,FALSE)</f>
        <v>0</v>
      </c>
      <c r="Q176" s="800">
        <f>VLOOKUP($E176,[2]tropical!$A$4:$AF$46,[2]tropical!M$1,FALSE)</f>
        <v>0</v>
      </c>
      <c r="R176" s="805">
        <f>VLOOKUP($E176,[2]tropical!$A$4:$AF$46,[2]tropical!N$1,FALSE)</f>
        <v>0</v>
      </c>
      <c r="S176" s="805">
        <f>VLOOKUP($E176,[2]tropical!$A$4:$AF$46,[2]tropical!O$1,FALSE)</f>
        <v>0</v>
      </c>
      <c r="T176" s="805">
        <f>VLOOKUP($E176,[2]tropical!$A$4:$AF$46,[2]tropical!P$1,FALSE)</f>
        <v>0</v>
      </c>
      <c r="U176" s="800">
        <f t="shared" si="2"/>
        <v>10</v>
      </c>
    </row>
    <row r="177" spans="1:21">
      <c r="A177" s="788">
        <v>8175</v>
      </c>
      <c r="B177" s="788" t="s">
        <v>1366</v>
      </c>
      <c r="C177" s="788">
        <v>455</v>
      </c>
      <c r="D177" s="788" t="s">
        <v>84</v>
      </c>
      <c r="E177" s="790" t="s">
        <v>1125</v>
      </c>
      <c r="F177" s="790" t="s">
        <v>2617</v>
      </c>
      <c r="G177" s="800">
        <f>VLOOKUP($E177,[2]tropical!$A$4:$AF$46,[2]tropical!C$1,FALSE)</f>
        <v>0</v>
      </c>
      <c r="H177" s="800">
        <f>VLOOKUP($E177,[2]tropical!$A$4:$AF$46,[2]tropical!D$1,FALSE)</f>
        <v>0</v>
      </c>
      <c r="I177" s="800">
        <f>VLOOKUP($E177,[2]tropical!$A$4:$AF$46,[2]tropical!E$1,FALSE)</f>
        <v>0</v>
      </c>
      <c r="J177" s="800">
        <f>VLOOKUP($E177,[2]tropical!$A$4:$AF$46,[2]tropical!F$1,FALSE)</f>
        <v>0</v>
      </c>
      <c r="K177" s="800">
        <f>VLOOKUP($E177,[2]tropical!$A$4:$AF$46,[2]tropical!G$1,FALSE)</f>
        <v>0</v>
      </c>
      <c r="L177" s="800">
        <f>VLOOKUP($E177,[2]tropical!$A$4:$AF$46,[2]tropical!H$1,FALSE)</f>
        <v>0</v>
      </c>
      <c r="M177" s="800">
        <f>VLOOKUP($E177,[2]tropical!$A$4:$AF$46,[2]tropical!I$1,FALSE)</f>
        <v>0</v>
      </c>
      <c r="N177" s="800">
        <f>VLOOKUP($E177,[2]tropical!$A$4:$AF$46,[2]tropical!J$1,FALSE)</f>
        <v>0</v>
      </c>
      <c r="O177" s="800">
        <f>VLOOKUP($E177,[2]tropical!$A$4:$AF$46,[2]tropical!K$1,FALSE)</f>
        <v>0</v>
      </c>
      <c r="P177" s="800">
        <f>VLOOKUP($E177,[2]tropical!$A$4:$AF$46,[2]tropical!L$1,FALSE)</f>
        <v>0</v>
      </c>
      <c r="Q177" s="800">
        <f>VLOOKUP($E177,[2]tropical!$A$4:$AF$46,[2]tropical!M$1,FALSE)</f>
        <v>0</v>
      </c>
      <c r="R177" s="805">
        <f>VLOOKUP($E177,[2]tropical!$A$4:$AF$46,[2]tropical!N$1,FALSE)</f>
        <v>0</v>
      </c>
      <c r="S177" s="805">
        <f>VLOOKUP($E177,[2]tropical!$A$4:$AF$46,[2]tropical!O$1,FALSE)</f>
        <v>0</v>
      </c>
      <c r="T177" s="805">
        <f>VLOOKUP($E177,[2]tropical!$A$4:$AF$46,[2]tropical!P$1,FALSE)</f>
        <v>0</v>
      </c>
      <c r="U177" s="800">
        <f t="shared" si="2"/>
        <v>0</v>
      </c>
    </row>
    <row r="178" spans="1:21">
      <c r="A178" s="788">
        <v>8176</v>
      </c>
      <c r="B178" s="788" t="s">
        <v>1368</v>
      </c>
      <c r="C178" s="788">
        <v>770</v>
      </c>
      <c r="D178" s="788" t="s">
        <v>81</v>
      </c>
      <c r="E178" s="790" t="s">
        <v>1274</v>
      </c>
      <c r="F178" s="790" t="s">
        <v>2616</v>
      </c>
      <c r="G178" s="800">
        <f>VLOOKUP($E178,[2]tropical!$A$4:$AF$46,[2]tropical!C$1,FALSE)</f>
        <v>0</v>
      </c>
      <c r="H178" s="800">
        <f>VLOOKUP($E178,[2]tropical!$A$4:$AF$46,[2]tropical!D$1,FALSE)</f>
        <v>0</v>
      </c>
      <c r="I178" s="800">
        <f>VLOOKUP($E178,[2]tropical!$A$4:$AF$46,[2]tropical!E$1,FALSE)</f>
        <v>0</v>
      </c>
      <c r="J178" s="800">
        <f>VLOOKUP($E178,[2]tropical!$A$4:$AF$46,[2]tropical!F$1,FALSE)</f>
        <v>0</v>
      </c>
      <c r="K178" s="800">
        <f>VLOOKUP($E178,[2]tropical!$A$4:$AF$46,[2]tropical!G$1,FALSE)</f>
        <v>1</v>
      </c>
      <c r="L178" s="800">
        <f>VLOOKUP($E178,[2]tropical!$A$4:$AF$46,[2]tropical!H$1,FALSE)</f>
        <v>0</v>
      </c>
      <c r="M178" s="800">
        <f>VLOOKUP($E178,[2]tropical!$A$4:$AF$46,[2]tropical!I$1,FALSE)</f>
        <v>0</v>
      </c>
      <c r="N178" s="800">
        <f>VLOOKUP($E178,[2]tropical!$A$4:$AF$46,[2]tropical!J$1,FALSE)</f>
        <v>0</v>
      </c>
      <c r="O178" s="800">
        <f>VLOOKUP($E178,[2]tropical!$A$4:$AF$46,[2]tropical!K$1,FALSE)</f>
        <v>1</v>
      </c>
      <c r="P178" s="800">
        <f>VLOOKUP($E178,[2]tropical!$A$4:$AF$46,[2]tropical!L$1,FALSE)</f>
        <v>0</v>
      </c>
      <c r="Q178" s="800">
        <f>VLOOKUP($E178,[2]tropical!$A$4:$AF$46,[2]tropical!M$1,FALSE)</f>
        <v>0</v>
      </c>
      <c r="R178" s="805">
        <f>VLOOKUP($E178,[2]tropical!$A$4:$AF$46,[2]tropical!N$1,FALSE)</f>
        <v>0</v>
      </c>
      <c r="S178" s="805">
        <f>VLOOKUP($E178,[2]tropical!$A$4:$AF$46,[2]tropical!O$1,FALSE)</f>
        <v>0</v>
      </c>
      <c r="T178" s="805">
        <f>VLOOKUP($E178,[2]tropical!$A$4:$AF$46,[2]tropical!P$1,FALSE)</f>
        <v>0</v>
      </c>
      <c r="U178" s="800">
        <f t="shared" si="2"/>
        <v>2</v>
      </c>
    </row>
    <row r="179" spans="1:21">
      <c r="A179" s="788">
        <v>8177</v>
      </c>
      <c r="B179" s="788" t="s">
        <v>1372</v>
      </c>
      <c r="C179" s="788">
        <v>885</v>
      </c>
      <c r="D179" s="788" t="s">
        <v>84</v>
      </c>
      <c r="E179" s="790" t="s">
        <v>2603</v>
      </c>
      <c r="F179" s="790" t="s">
        <v>2617</v>
      </c>
      <c r="G179" s="800">
        <f>VLOOKUP($E179,[2]tropical!$A$4:$AF$46,[2]tropical!C$1,FALSE)</f>
        <v>0</v>
      </c>
      <c r="H179" s="800">
        <f>VLOOKUP($E179,[2]tropical!$A$4:$AF$46,[2]tropical!D$1,FALSE)</f>
        <v>1</v>
      </c>
      <c r="I179" s="800">
        <f>VLOOKUP($E179,[2]tropical!$A$4:$AF$46,[2]tropical!E$1,FALSE)</f>
        <v>0</v>
      </c>
      <c r="J179" s="800">
        <f>VLOOKUP($E179,[2]tropical!$A$4:$AF$46,[2]tropical!F$1,FALSE)</f>
        <v>0</v>
      </c>
      <c r="K179" s="800">
        <f>VLOOKUP($E179,[2]tropical!$A$4:$AF$46,[2]tropical!G$1,FALSE)</f>
        <v>0</v>
      </c>
      <c r="L179" s="800">
        <f>VLOOKUP($E179,[2]tropical!$A$4:$AF$46,[2]tropical!H$1,FALSE)</f>
        <v>0</v>
      </c>
      <c r="M179" s="800">
        <f>VLOOKUP($E179,[2]tropical!$A$4:$AF$46,[2]tropical!I$1,FALSE)</f>
        <v>0</v>
      </c>
      <c r="N179" s="800">
        <f>VLOOKUP($E179,[2]tropical!$A$4:$AF$46,[2]tropical!J$1,FALSE)</f>
        <v>0</v>
      </c>
      <c r="O179" s="800">
        <f>VLOOKUP($E179,[2]tropical!$A$4:$AF$46,[2]tropical!K$1,FALSE)</f>
        <v>2</v>
      </c>
      <c r="P179" s="800">
        <f>VLOOKUP($E179,[2]tropical!$A$4:$AF$46,[2]tropical!L$1,FALSE)</f>
        <v>0</v>
      </c>
      <c r="Q179" s="800">
        <f>VLOOKUP($E179,[2]tropical!$A$4:$AF$46,[2]tropical!M$1,FALSE)</f>
        <v>0</v>
      </c>
      <c r="R179" s="805">
        <f>VLOOKUP($E179,[2]tropical!$A$4:$AF$46,[2]tropical!N$1,FALSE)</f>
        <v>0</v>
      </c>
      <c r="S179" s="805">
        <f>VLOOKUP($E179,[2]tropical!$A$4:$AF$46,[2]tropical!O$1,FALSE)</f>
        <v>0</v>
      </c>
      <c r="T179" s="805">
        <f>VLOOKUP($E179,[2]tropical!$A$4:$AF$46,[2]tropical!P$1,FALSE)</f>
        <v>0</v>
      </c>
      <c r="U179" s="800">
        <f t="shared" si="2"/>
        <v>3</v>
      </c>
    </row>
    <row r="180" spans="1:21">
      <c r="A180" s="788">
        <v>8178</v>
      </c>
      <c r="B180" s="788" t="s">
        <v>1375</v>
      </c>
      <c r="C180" s="788">
        <v>361</v>
      </c>
      <c r="D180" s="788" t="s">
        <v>82</v>
      </c>
      <c r="E180" s="790" t="s">
        <v>1121</v>
      </c>
      <c r="F180" s="790" t="s">
        <v>2616</v>
      </c>
      <c r="G180" s="800">
        <f>VLOOKUP($E180,[2]tropical!$A$4:$AF$46,[2]tropical!C$1,FALSE)</f>
        <v>0</v>
      </c>
      <c r="H180" s="800">
        <f>VLOOKUP($E180,[2]tropical!$A$4:$AF$46,[2]tropical!D$1,FALSE)</f>
        <v>0</v>
      </c>
      <c r="I180" s="800">
        <f>VLOOKUP($E180,[2]tropical!$A$4:$AF$46,[2]tropical!E$1,FALSE)</f>
        <v>1</v>
      </c>
      <c r="J180" s="800">
        <f>VLOOKUP($E180,[2]tropical!$A$4:$AF$46,[2]tropical!F$1,FALSE)</f>
        <v>0</v>
      </c>
      <c r="K180" s="800">
        <f>VLOOKUP($E180,[2]tropical!$A$4:$AF$46,[2]tropical!G$1,FALSE)</f>
        <v>0</v>
      </c>
      <c r="L180" s="800">
        <f>VLOOKUP($E180,[2]tropical!$A$4:$AF$46,[2]tropical!H$1,FALSE)</f>
        <v>0</v>
      </c>
      <c r="M180" s="800">
        <f>VLOOKUP($E180,[2]tropical!$A$4:$AF$46,[2]tropical!I$1,FALSE)</f>
        <v>0</v>
      </c>
      <c r="N180" s="800">
        <f>VLOOKUP($E180,[2]tropical!$A$4:$AF$46,[2]tropical!J$1,FALSE)</f>
        <v>0</v>
      </c>
      <c r="O180" s="800">
        <f>VLOOKUP($E180,[2]tropical!$A$4:$AF$46,[2]tropical!K$1,FALSE)</f>
        <v>0</v>
      </c>
      <c r="P180" s="800">
        <f>VLOOKUP($E180,[2]tropical!$A$4:$AF$46,[2]tropical!L$1,FALSE)</f>
        <v>0</v>
      </c>
      <c r="Q180" s="800">
        <f>VLOOKUP($E180,[2]tropical!$A$4:$AF$46,[2]tropical!M$1,FALSE)</f>
        <v>0</v>
      </c>
      <c r="R180" s="805">
        <f>VLOOKUP($E180,[2]tropical!$A$4:$AF$46,[2]tropical!N$1,FALSE)</f>
        <v>0</v>
      </c>
      <c r="S180" s="805">
        <f>VLOOKUP($E180,[2]tropical!$A$4:$AF$46,[2]tropical!O$1,FALSE)</f>
        <v>0</v>
      </c>
      <c r="T180" s="805">
        <f>VLOOKUP($E180,[2]tropical!$A$4:$AF$46,[2]tropical!P$1,FALSE)</f>
        <v>0</v>
      </c>
      <c r="U180" s="800">
        <f t="shared" si="2"/>
        <v>1</v>
      </c>
    </row>
    <row r="181" spans="1:21">
      <c r="A181" s="788">
        <v>8179</v>
      </c>
      <c r="B181" s="788" t="s">
        <v>1377</v>
      </c>
      <c r="C181" s="788">
        <v>322</v>
      </c>
      <c r="D181" s="788" t="s">
        <v>89</v>
      </c>
      <c r="E181" s="790" t="s">
        <v>1377</v>
      </c>
      <c r="F181" s="790" t="s">
        <v>2616</v>
      </c>
      <c r="G181" s="800">
        <f>VLOOKUP($E181,[2]tropical!$A$4:$AF$46,[2]tropical!C$1,FALSE)</f>
        <v>1</v>
      </c>
      <c r="H181" s="800">
        <f>VLOOKUP($E181,[2]tropical!$A$4:$AF$46,[2]tropical!D$1,FALSE)</f>
        <v>0</v>
      </c>
      <c r="I181" s="800">
        <f>VLOOKUP($E181,[2]tropical!$A$4:$AF$46,[2]tropical!E$1,FALSE)</f>
        <v>1</v>
      </c>
      <c r="J181" s="800">
        <f>VLOOKUP($E181,[2]tropical!$A$4:$AF$46,[2]tropical!F$1,FALSE)</f>
        <v>0</v>
      </c>
      <c r="K181" s="800">
        <f>VLOOKUP($E181,[2]tropical!$A$4:$AF$46,[2]tropical!G$1,FALSE)</f>
        <v>0</v>
      </c>
      <c r="L181" s="800">
        <f>VLOOKUP($E181,[2]tropical!$A$4:$AF$46,[2]tropical!H$1,FALSE)</f>
        <v>0</v>
      </c>
      <c r="M181" s="800">
        <f>VLOOKUP($E181,[2]tropical!$A$4:$AF$46,[2]tropical!I$1,FALSE)</f>
        <v>0</v>
      </c>
      <c r="N181" s="800">
        <f>VLOOKUP($E181,[2]tropical!$A$4:$AF$46,[2]tropical!J$1,FALSE)</f>
        <v>0</v>
      </c>
      <c r="O181" s="800">
        <f>VLOOKUP($E181,[2]tropical!$A$4:$AF$46,[2]tropical!K$1,FALSE)</f>
        <v>2</v>
      </c>
      <c r="P181" s="800">
        <f>VLOOKUP($E181,[2]tropical!$A$4:$AF$46,[2]tropical!L$1,FALSE)</f>
        <v>0</v>
      </c>
      <c r="Q181" s="800">
        <f>VLOOKUP($E181,[2]tropical!$A$4:$AF$46,[2]tropical!M$1,FALSE)</f>
        <v>0</v>
      </c>
      <c r="R181" s="805">
        <f>VLOOKUP($E181,[2]tropical!$A$4:$AF$46,[2]tropical!N$1,FALSE)</f>
        <v>0</v>
      </c>
      <c r="S181" s="805">
        <f>VLOOKUP($E181,[2]tropical!$A$4:$AF$46,[2]tropical!O$1,FALSE)</f>
        <v>0</v>
      </c>
      <c r="T181" s="805">
        <f>VLOOKUP($E181,[2]tropical!$A$4:$AF$46,[2]tropical!P$1,FALSE)</f>
        <v>0</v>
      </c>
      <c r="U181" s="800">
        <f t="shared" si="2"/>
        <v>4</v>
      </c>
    </row>
    <row r="182" spans="1:21">
      <c r="A182" s="788">
        <v>8180</v>
      </c>
      <c r="B182" s="788" t="s">
        <v>1383</v>
      </c>
      <c r="C182" s="788">
        <v>79</v>
      </c>
      <c r="D182" s="788" t="s">
        <v>89</v>
      </c>
      <c r="E182" s="790" t="s">
        <v>1605</v>
      </c>
      <c r="F182" s="790" t="s">
        <v>2615</v>
      </c>
      <c r="G182" s="800">
        <f>VLOOKUP($E182,[2]tropical!$A$4:$AF$46,[2]tropical!C$1,FALSE)</f>
        <v>4</v>
      </c>
      <c r="H182" s="800">
        <f>VLOOKUP($E182,[2]tropical!$A$4:$AF$46,[2]tropical!D$1,FALSE)</f>
        <v>8</v>
      </c>
      <c r="I182" s="800">
        <f>VLOOKUP($E182,[2]tropical!$A$4:$AF$46,[2]tropical!E$1,FALSE)</f>
        <v>9</v>
      </c>
      <c r="J182" s="800">
        <f>VLOOKUP($E182,[2]tropical!$A$4:$AF$46,[2]tropical!F$1,FALSE)</f>
        <v>0</v>
      </c>
      <c r="K182" s="800">
        <f>VLOOKUP($E182,[2]tropical!$A$4:$AF$46,[2]tropical!G$1,FALSE)</f>
        <v>1</v>
      </c>
      <c r="L182" s="800">
        <f>VLOOKUP($E182,[2]tropical!$A$4:$AF$46,[2]tropical!H$1,FALSE)</f>
        <v>4</v>
      </c>
      <c r="M182" s="800">
        <f>VLOOKUP($E182,[2]tropical!$A$4:$AF$46,[2]tropical!I$1,FALSE)</f>
        <v>5</v>
      </c>
      <c r="N182" s="800">
        <f>VLOOKUP($E182,[2]tropical!$A$4:$AF$46,[2]tropical!J$1,FALSE)</f>
        <v>1</v>
      </c>
      <c r="O182" s="800">
        <f>VLOOKUP($E182,[2]tropical!$A$4:$AF$46,[2]tropical!K$1,FALSE)</f>
        <v>4</v>
      </c>
      <c r="P182" s="800">
        <f>VLOOKUP($E182,[2]tropical!$A$4:$AF$46,[2]tropical!L$1,FALSE)</f>
        <v>3</v>
      </c>
      <c r="Q182" s="800">
        <f>VLOOKUP($E182,[2]tropical!$A$4:$AF$46,[2]tropical!M$1,FALSE)</f>
        <v>0</v>
      </c>
      <c r="R182" s="805">
        <f>VLOOKUP($E182,[2]tropical!$A$4:$AF$46,[2]tropical!N$1,FALSE)</f>
        <v>0</v>
      </c>
      <c r="S182" s="805">
        <f>VLOOKUP($E182,[2]tropical!$A$4:$AF$46,[2]tropical!O$1,FALSE)</f>
        <v>0</v>
      </c>
      <c r="T182" s="805">
        <f>VLOOKUP($E182,[2]tropical!$A$4:$AF$46,[2]tropical!P$1,FALSE)</f>
        <v>0</v>
      </c>
      <c r="U182" s="800">
        <f t="shared" si="2"/>
        <v>39</v>
      </c>
    </row>
    <row r="183" spans="1:21">
      <c r="A183" s="788">
        <v>8181</v>
      </c>
      <c r="B183" s="788" t="s">
        <v>1384</v>
      </c>
      <c r="C183" s="788">
        <v>123</v>
      </c>
      <c r="D183" s="788" t="s">
        <v>24</v>
      </c>
      <c r="E183" s="790" t="s">
        <v>1743</v>
      </c>
      <c r="F183" s="790" t="s">
        <v>2616</v>
      </c>
      <c r="G183" s="800">
        <f>VLOOKUP($E183,[2]tropical!$A$4:$AF$46,[2]tropical!C$1,FALSE)</f>
        <v>0</v>
      </c>
      <c r="H183" s="800">
        <f>VLOOKUP($E183,[2]tropical!$A$4:$AF$46,[2]tropical!D$1,FALSE)</f>
        <v>0</v>
      </c>
      <c r="I183" s="800">
        <f>VLOOKUP($E183,[2]tropical!$A$4:$AF$46,[2]tropical!E$1,FALSE)</f>
        <v>2</v>
      </c>
      <c r="J183" s="800">
        <f>VLOOKUP($E183,[2]tropical!$A$4:$AF$46,[2]tropical!F$1,FALSE)</f>
        <v>0</v>
      </c>
      <c r="K183" s="800">
        <f>VLOOKUP($E183,[2]tropical!$A$4:$AF$46,[2]tropical!G$1,FALSE)</f>
        <v>0</v>
      </c>
      <c r="L183" s="800">
        <f>VLOOKUP($E183,[2]tropical!$A$4:$AF$46,[2]tropical!H$1,FALSE)</f>
        <v>0</v>
      </c>
      <c r="M183" s="800">
        <f>VLOOKUP($E183,[2]tropical!$A$4:$AF$46,[2]tropical!I$1,FALSE)</f>
        <v>0</v>
      </c>
      <c r="N183" s="800">
        <f>VLOOKUP($E183,[2]tropical!$A$4:$AF$46,[2]tropical!J$1,FALSE)</f>
        <v>0</v>
      </c>
      <c r="O183" s="800">
        <f>VLOOKUP($E183,[2]tropical!$A$4:$AF$46,[2]tropical!K$1,FALSE)</f>
        <v>0</v>
      </c>
      <c r="P183" s="800">
        <f>VLOOKUP($E183,[2]tropical!$A$4:$AF$46,[2]tropical!L$1,FALSE)</f>
        <v>0</v>
      </c>
      <c r="Q183" s="800">
        <f>VLOOKUP($E183,[2]tropical!$A$4:$AF$46,[2]tropical!M$1,FALSE)</f>
        <v>0</v>
      </c>
      <c r="R183" s="805">
        <f>VLOOKUP($E183,[2]tropical!$A$4:$AF$46,[2]tropical!N$1,FALSE)</f>
        <v>0</v>
      </c>
      <c r="S183" s="805">
        <f>VLOOKUP($E183,[2]tropical!$A$4:$AF$46,[2]tropical!O$1,FALSE)</f>
        <v>0</v>
      </c>
      <c r="T183" s="805">
        <f>VLOOKUP($E183,[2]tropical!$A$4:$AF$46,[2]tropical!P$1,FALSE)</f>
        <v>0</v>
      </c>
      <c r="U183" s="800">
        <f t="shared" si="2"/>
        <v>2</v>
      </c>
    </row>
    <row r="184" spans="1:21">
      <c r="A184" s="788">
        <v>8182</v>
      </c>
      <c r="B184" s="788" t="s">
        <v>1387</v>
      </c>
      <c r="C184" s="788">
        <v>202</v>
      </c>
      <c r="D184" s="788" t="s">
        <v>82</v>
      </c>
      <c r="E184" s="790" t="s">
        <v>2610</v>
      </c>
      <c r="F184" s="790" t="s">
        <v>2616</v>
      </c>
      <c r="G184" s="800">
        <f>VLOOKUP($E184,[2]tropical!$A$4:$AF$46,[2]tropical!C$1,FALSE)</f>
        <v>0</v>
      </c>
      <c r="H184" s="800">
        <f>VLOOKUP($E184,[2]tropical!$A$4:$AF$46,[2]tropical!D$1,FALSE)</f>
        <v>2</v>
      </c>
      <c r="I184" s="800">
        <f>VLOOKUP($E184,[2]tropical!$A$4:$AF$46,[2]tropical!E$1,FALSE)</f>
        <v>2</v>
      </c>
      <c r="J184" s="800">
        <f>VLOOKUP($E184,[2]tropical!$A$4:$AF$46,[2]tropical!F$1,FALSE)</f>
        <v>0</v>
      </c>
      <c r="K184" s="800">
        <f>VLOOKUP($E184,[2]tropical!$A$4:$AF$46,[2]tropical!G$1,FALSE)</f>
        <v>0</v>
      </c>
      <c r="L184" s="800">
        <f>VLOOKUP($E184,[2]tropical!$A$4:$AF$46,[2]tropical!H$1,FALSE)</f>
        <v>0</v>
      </c>
      <c r="M184" s="800">
        <f>VLOOKUP($E184,[2]tropical!$A$4:$AF$46,[2]tropical!I$1,FALSE)</f>
        <v>0</v>
      </c>
      <c r="N184" s="800">
        <f>VLOOKUP($E184,[2]tropical!$A$4:$AF$46,[2]tropical!J$1,FALSE)</f>
        <v>0</v>
      </c>
      <c r="O184" s="800">
        <f>VLOOKUP($E184,[2]tropical!$A$4:$AF$46,[2]tropical!K$1,FALSE)</f>
        <v>1</v>
      </c>
      <c r="P184" s="800">
        <f>VLOOKUP($E184,[2]tropical!$A$4:$AF$46,[2]tropical!L$1,FALSE)</f>
        <v>0</v>
      </c>
      <c r="Q184" s="800">
        <f>VLOOKUP($E184,[2]tropical!$A$4:$AF$46,[2]tropical!M$1,FALSE)</f>
        <v>0</v>
      </c>
      <c r="R184" s="805">
        <f>VLOOKUP($E184,[2]tropical!$A$4:$AF$46,[2]tropical!N$1,FALSE)</f>
        <v>0</v>
      </c>
      <c r="S184" s="805">
        <f>VLOOKUP($E184,[2]tropical!$A$4:$AF$46,[2]tropical!O$1,FALSE)</f>
        <v>0</v>
      </c>
      <c r="T184" s="805">
        <f>VLOOKUP($E184,[2]tropical!$A$4:$AF$46,[2]tropical!P$1,FALSE)</f>
        <v>0</v>
      </c>
      <c r="U184" s="800">
        <f t="shared" si="2"/>
        <v>5</v>
      </c>
    </row>
    <row r="185" spans="1:21">
      <c r="A185" s="788">
        <v>8183</v>
      </c>
      <c r="B185" s="788" t="s">
        <v>1390</v>
      </c>
      <c r="C185" s="788">
        <v>443</v>
      </c>
      <c r="D185" s="788" t="s">
        <v>88</v>
      </c>
      <c r="E185" s="790" t="s">
        <v>1127</v>
      </c>
      <c r="F185" s="790" t="s">
        <v>2617</v>
      </c>
      <c r="G185" s="800">
        <f>VLOOKUP($E185,[2]tropical!$A$4:$AF$46,[2]tropical!C$1,FALSE)</f>
        <v>0</v>
      </c>
      <c r="H185" s="800">
        <f>VLOOKUP($E185,[2]tropical!$A$4:$AF$46,[2]tropical!D$1,FALSE)</f>
        <v>0</v>
      </c>
      <c r="I185" s="800">
        <f>VLOOKUP($E185,[2]tropical!$A$4:$AF$46,[2]tropical!E$1,FALSE)</f>
        <v>0</v>
      </c>
      <c r="J185" s="800">
        <f>VLOOKUP($E185,[2]tropical!$A$4:$AF$46,[2]tropical!F$1,FALSE)</f>
        <v>0</v>
      </c>
      <c r="K185" s="800">
        <f>VLOOKUP($E185,[2]tropical!$A$4:$AF$46,[2]tropical!G$1,FALSE)</f>
        <v>0</v>
      </c>
      <c r="L185" s="800">
        <f>VLOOKUP($E185,[2]tropical!$A$4:$AF$46,[2]tropical!H$1,FALSE)</f>
        <v>0</v>
      </c>
      <c r="M185" s="800">
        <f>VLOOKUP($E185,[2]tropical!$A$4:$AF$46,[2]tropical!I$1,FALSE)</f>
        <v>0</v>
      </c>
      <c r="N185" s="800">
        <f>VLOOKUP($E185,[2]tropical!$A$4:$AF$46,[2]tropical!J$1,FALSE)</f>
        <v>0</v>
      </c>
      <c r="O185" s="800">
        <f>VLOOKUP($E185,[2]tropical!$A$4:$AF$46,[2]tropical!K$1,FALSE)</f>
        <v>0</v>
      </c>
      <c r="P185" s="800">
        <f>VLOOKUP($E185,[2]tropical!$A$4:$AF$46,[2]tropical!L$1,FALSE)</f>
        <v>0</v>
      </c>
      <c r="Q185" s="800">
        <f>VLOOKUP($E185,[2]tropical!$A$4:$AF$46,[2]tropical!M$1,FALSE)</f>
        <v>0</v>
      </c>
      <c r="R185" s="805">
        <f>VLOOKUP($E185,[2]tropical!$A$4:$AF$46,[2]tropical!N$1,FALSE)</f>
        <v>0</v>
      </c>
      <c r="S185" s="805">
        <f>VLOOKUP($E185,[2]tropical!$A$4:$AF$46,[2]tropical!O$1,FALSE)</f>
        <v>0</v>
      </c>
      <c r="T185" s="805">
        <f>VLOOKUP($E185,[2]tropical!$A$4:$AF$46,[2]tropical!P$1,FALSE)</f>
        <v>0</v>
      </c>
      <c r="U185" s="800">
        <f t="shared" si="2"/>
        <v>0</v>
      </c>
    </row>
    <row r="186" spans="1:21">
      <c r="A186" s="788">
        <v>8184</v>
      </c>
      <c r="B186" s="788" t="s">
        <v>1394</v>
      </c>
      <c r="C186" s="788">
        <v>123</v>
      </c>
      <c r="D186" s="788" t="s">
        <v>89</v>
      </c>
      <c r="E186" s="790" t="s">
        <v>1605</v>
      </c>
      <c r="F186" s="790" t="s">
        <v>2615</v>
      </c>
      <c r="G186" s="800">
        <f>VLOOKUP($E186,[2]tropical!$A$4:$AF$46,[2]tropical!C$1,FALSE)</f>
        <v>4</v>
      </c>
      <c r="H186" s="800">
        <f>VLOOKUP($E186,[2]tropical!$A$4:$AF$46,[2]tropical!D$1,FALSE)</f>
        <v>8</v>
      </c>
      <c r="I186" s="800">
        <f>VLOOKUP($E186,[2]tropical!$A$4:$AF$46,[2]tropical!E$1,FALSE)</f>
        <v>9</v>
      </c>
      <c r="J186" s="800">
        <f>VLOOKUP($E186,[2]tropical!$A$4:$AF$46,[2]tropical!F$1,FALSE)</f>
        <v>0</v>
      </c>
      <c r="K186" s="800">
        <f>VLOOKUP($E186,[2]tropical!$A$4:$AF$46,[2]tropical!G$1,FALSE)</f>
        <v>1</v>
      </c>
      <c r="L186" s="800">
        <f>VLOOKUP($E186,[2]tropical!$A$4:$AF$46,[2]tropical!H$1,FALSE)</f>
        <v>4</v>
      </c>
      <c r="M186" s="800">
        <f>VLOOKUP($E186,[2]tropical!$A$4:$AF$46,[2]tropical!I$1,FALSE)</f>
        <v>5</v>
      </c>
      <c r="N186" s="800">
        <f>VLOOKUP($E186,[2]tropical!$A$4:$AF$46,[2]tropical!J$1,FALSE)</f>
        <v>1</v>
      </c>
      <c r="O186" s="800">
        <f>VLOOKUP($E186,[2]tropical!$A$4:$AF$46,[2]tropical!K$1,FALSE)</f>
        <v>4</v>
      </c>
      <c r="P186" s="800">
        <f>VLOOKUP($E186,[2]tropical!$A$4:$AF$46,[2]tropical!L$1,FALSE)</f>
        <v>3</v>
      </c>
      <c r="Q186" s="800">
        <f>VLOOKUP($E186,[2]tropical!$A$4:$AF$46,[2]tropical!M$1,FALSE)</f>
        <v>0</v>
      </c>
      <c r="R186" s="805">
        <f>VLOOKUP($E186,[2]tropical!$A$4:$AF$46,[2]tropical!N$1,FALSE)</f>
        <v>0</v>
      </c>
      <c r="S186" s="805">
        <f>VLOOKUP($E186,[2]tropical!$A$4:$AF$46,[2]tropical!O$1,FALSE)</f>
        <v>0</v>
      </c>
      <c r="T186" s="805">
        <f>VLOOKUP($E186,[2]tropical!$A$4:$AF$46,[2]tropical!P$1,FALSE)</f>
        <v>0</v>
      </c>
      <c r="U186" s="800">
        <f t="shared" si="2"/>
        <v>39</v>
      </c>
    </row>
    <row r="187" spans="1:21">
      <c r="A187" s="788">
        <v>8185</v>
      </c>
      <c r="B187" s="788" t="s">
        <v>1399</v>
      </c>
      <c r="C187" s="788">
        <v>629</v>
      </c>
      <c r="D187" s="788" t="s">
        <v>81</v>
      </c>
      <c r="E187" s="790" t="s">
        <v>1274</v>
      </c>
      <c r="F187" s="790" t="s">
        <v>2616</v>
      </c>
      <c r="G187" s="800">
        <f>VLOOKUP($E187,[2]tropical!$A$4:$AF$46,[2]tropical!C$1,FALSE)</f>
        <v>0</v>
      </c>
      <c r="H187" s="800">
        <f>VLOOKUP($E187,[2]tropical!$A$4:$AF$46,[2]tropical!D$1,FALSE)</f>
        <v>0</v>
      </c>
      <c r="I187" s="800">
        <f>VLOOKUP($E187,[2]tropical!$A$4:$AF$46,[2]tropical!E$1,FALSE)</f>
        <v>0</v>
      </c>
      <c r="J187" s="800">
        <f>VLOOKUP($E187,[2]tropical!$A$4:$AF$46,[2]tropical!F$1,FALSE)</f>
        <v>0</v>
      </c>
      <c r="K187" s="800">
        <f>VLOOKUP($E187,[2]tropical!$A$4:$AF$46,[2]tropical!G$1,FALSE)</f>
        <v>1</v>
      </c>
      <c r="L187" s="800">
        <f>VLOOKUP($E187,[2]tropical!$A$4:$AF$46,[2]tropical!H$1,FALSE)</f>
        <v>0</v>
      </c>
      <c r="M187" s="800">
        <f>VLOOKUP($E187,[2]tropical!$A$4:$AF$46,[2]tropical!I$1,FALSE)</f>
        <v>0</v>
      </c>
      <c r="N187" s="800">
        <f>VLOOKUP($E187,[2]tropical!$A$4:$AF$46,[2]tropical!J$1,FALSE)</f>
        <v>0</v>
      </c>
      <c r="O187" s="800">
        <f>VLOOKUP($E187,[2]tropical!$A$4:$AF$46,[2]tropical!K$1,FALSE)</f>
        <v>1</v>
      </c>
      <c r="P187" s="800">
        <f>VLOOKUP($E187,[2]tropical!$A$4:$AF$46,[2]tropical!L$1,FALSE)</f>
        <v>0</v>
      </c>
      <c r="Q187" s="800">
        <f>VLOOKUP($E187,[2]tropical!$A$4:$AF$46,[2]tropical!M$1,FALSE)</f>
        <v>0</v>
      </c>
      <c r="R187" s="805">
        <f>VLOOKUP($E187,[2]tropical!$A$4:$AF$46,[2]tropical!N$1,FALSE)</f>
        <v>0</v>
      </c>
      <c r="S187" s="805">
        <f>VLOOKUP($E187,[2]tropical!$A$4:$AF$46,[2]tropical!O$1,FALSE)</f>
        <v>0</v>
      </c>
      <c r="T187" s="805">
        <f>VLOOKUP($E187,[2]tropical!$A$4:$AF$46,[2]tropical!P$1,FALSE)</f>
        <v>0</v>
      </c>
      <c r="U187" s="800">
        <f t="shared" si="2"/>
        <v>2</v>
      </c>
    </row>
    <row r="188" spans="1:21">
      <c r="A188" s="788">
        <v>8187</v>
      </c>
      <c r="B188" s="788" t="s">
        <v>947</v>
      </c>
      <c r="C188" s="788">
        <v>190</v>
      </c>
      <c r="D188" s="788" t="s">
        <v>89</v>
      </c>
      <c r="E188" s="790" t="s">
        <v>1605</v>
      </c>
      <c r="F188" s="790" t="s">
        <v>2615</v>
      </c>
      <c r="G188" s="800">
        <f>VLOOKUP($E188,[2]tropical!$A$4:$AF$46,[2]tropical!C$1,FALSE)</f>
        <v>4</v>
      </c>
      <c r="H188" s="800">
        <f>VLOOKUP($E188,[2]tropical!$A$4:$AF$46,[2]tropical!D$1,FALSE)</f>
        <v>8</v>
      </c>
      <c r="I188" s="800">
        <f>VLOOKUP($E188,[2]tropical!$A$4:$AF$46,[2]tropical!E$1,FALSE)</f>
        <v>9</v>
      </c>
      <c r="J188" s="800">
        <f>VLOOKUP($E188,[2]tropical!$A$4:$AF$46,[2]tropical!F$1,FALSE)</f>
        <v>0</v>
      </c>
      <c r="K188" s="800">
        <f>VLOOKUP($E188,[2]tropical!$A$4:$AF$46,[2]tropical!G$1,FALSE)</f>
        <v>1</v>
      </c>
      <c r="L188" s="800">
        <f>VLOOKUP($E188,[2]tropical!$A$4:$AF$46,[2]tropical!H$1,FALSE)</f>
        <v>4</v>
      </c>
      <c r="M188" s="800">
        <f>VLOOKUP($E188,[2]tropical!$A$4:$AF$46,[2]tropical!I$1,FALSE)</f>
        <v>5</v>
      </c>
      <c r="N188" s="800">
        <f>VLOOKUP($E188,[2]tropical!$A$4:$AF$46,[2]tropical!J$1,FALSE)</f>
        <v>1</v>
      </c>
      <c r="O188" s="800">
        <f>VLOOKUP($E188,[2]tropical!$A$4:$AF$46,[2]tropical!K$1,FALSE)</f>
        <v>4</v>
      </c>
      <c r="P188" s="800">
        <f>VLOOKUP($E188,[2]tropical!$A$4:$AF$46,[2]tropical!L$1,FALSE)</f>
        <v>3</v>
      </c>
      <c r="Q188" s="800">
        <f>VLOOKUP($E188,[2]tropical!$A$4:$AF$46,[2]tropical!M$1,FALSE)</f>
        <v>0</v>
      </c>
      <c r="R188" s="805">
        <f>VLOOKUP($E188,[2]tropical!$A$4:$AF$46,[2]tropical!N$1,FALSE)</f>
        <v>0</v>
      </c>
      <c r="S188" s="805">
        <f>VLOOKUP($E188,[2]tropical!$A$4:$AF$46,[2]tropical!O$1,FALSE)</f>
        <v>0</v>
      </c>
      <c r="T188" s="805">
        <f>VLOOKUP($E188,[2]tropical!$A$4:$AF$46,[2]tropical!P$1,FALSE)</f>
        <v>0</v>
      </c>
      <c r="U188" s="800">
        <f t="shared" si="2"/>
        <v>39</v>
      </c>
    </row>
    <row r="189" spans="1:21">
      <c r="A189" s="788">
        <v>8188</v>
      </c>
      <c r="B189" s="788" t="s">
        <v>1409</v>
      </c>
      <c r="C189" s="788">
        <v>738</v>
      </c>
      <c r="D189" s="788" t="s">
        <v>84</v>
      </c>
      <c r="E189" s="790" t="s">
        <v>1125</v>
      </c>
      <c r="F189" s="790" t="s">
        <v>2617</v>
      </c>
      <c r="G189" s="800">
        <f>VLOOKUP($E189,[2]tropical!$A$4:$AF$46,[2]tropical!C$1,FALSE)</f>
        <v>0</v>
      </c>
      <c r="H189" s="800">
        <f>VLOOKUP($E189,[2]tropical!$A$4:$AF$46,[2]tropical!D$1,FALSE)</f>
        <v>0</v>
      </c>
      <c r="I189" s="800">
        <f>VLOOKUP($E189,[2]tropical!$A$4:$AF$46,[2]tropical!E$1,FALSE)</f>
        <v>0</v>
      </c>
      <c r="J189" s="800">
        <f>VLOOKUP($E189,[2]tropical!$A$4:$AF$46,[2]tropical!F$1,FALSE)</f>
        <v>0</v>
      </c>
      <c r="K189" s="800">
        <f>VLOOKUP($E189,[2]tropical!$A$4:$AF$46,[2]tropical!G$1,FALSE)</f>
        <v>0</v>
      </c>
      <c r="L189" s="800">
        <f>VLOOKUP($E189,[2]tropical!$A$4:$AF$46,[2]tropical!H$1,FALSE)</f>
        <v>0</v>
      </c>
      <c r="M189" s="800">
        <f>VLOOKUP($E189,[2]tropical!$A$4:$AF$46,[2]tropical!I$1,FALSE)</f>
        <v>0</v>
      </c>
      <c r="N189" s="800">
        <f>VLOOKUP($E189,[2]tropical!$A$4:$AF$46,[2]tropical!J$1,FALSE)</f>
        <v>0</v>
      </c>
      <c r="O189" s="800">
        <f>VLOOKUP($E189,[2]tropical!$A$4:$AF$46,[2]tropical!K$1,FALSE)</f>
        <v>0</v>
      </c>
      <c r="P189" s="800">
        <f>VLOOKUP($E189,[2]tropical!$A$4:$AF$46,[2]tropical!L$1,FALSE)</f>
        <v>0</v>
      </c>
      <c r="Q189" s="800">
        <f>VLOOKUP($E189,[2]tropical!$A$4:$AF$46,[2]tropical!M$1,FALSE)</f>
        <v>0</v>
      </c>
      <c r="R189" s="805">
        <f>VLOOKUP($E189,[2]tropical!$A$4:$AF$46,[2]tropical!N$1,FALSE)</f>
        <v>0</v>
      </c>
      <c r="S189" s="805">
        <f>VLOOKUP($E189,[2]tropical!$A$4:$AF$46,[2]tropical!O$1,FALSE)</f>
        <v>0</v>
      </c>
      <c r="T189" s="805">
        <f>VLOOKUP($E189,[2]tropical!$A$4:$AF$46,[2]tropical!P$1,FALSE)</f>
        <v>0</v>
      </c>
      <c r="U189" s="800">
        <f t="shared" si="2"/>
        <v>0</v>
      </c>
    </row>
    <row r="190" spans="1:21">
      <c r="A190" s="788">
        <v>8189</v>
      </c>
      <c r="B190" s="788" t="s">
        <v>1411</v>
      </c>
      <c r="C190" s="788">
        <v>588</v>
      </c>
      <c r="D190" s="788" t="s">
        <v>81</v>
      </c>
      <c r="E190" s="790" t="s">
        <v>1274</v>
      </c>
      <c r="F190" s="790" t="s">
        <v>2616</v>
      </c>
      <c r="G190" s="800">
        <f>VLOOKUP($E190,[2]tropical!$A$4:$AF$46,[2]tropical!C$1,FALSE)</f>
        <v>0</v>
      </c>
      <c r="H190" s="800">
        <f>VLOOKUP($E190,[2]tropical!$A$4:$AF$46,[2]tropical!D$1,FALSE)</f>
        <v>0</v>
      </c>
      <c r="I190" s="800">
        <f>VLOOKUP($E190,[2]tropical!$A$4:$AF$46,[2]tropical!E$1,FALSE)</f>
        <v>0</v>
      </c>
      <c r="J190" s="800">
        <f>VLOOKUP($E190,[2]tropical!$A$4:$AF$46,[2]tropical!F$1,FALSE)</f>
        <v>0</v>
      </c>
      <c r="K190" s="800">
        <f>VLOOKUP($E190,[2]tropical!$A$4:$AF$46,[2]tropical!G$1,FALSE)</f>
        <v>1</v>
      </c>
      <c r="L190" s="800">
        <f>VLOOKUP($E190,[2]tropical!$A$4:$AF$46,[2]tropical!H$1,FALSE)</f>
        <v>0</v>
      </c>
      <c r="M190" s="800">
        <f>VLOOKUP($E190,[2]tropical!$A$4:$AF$46,[2]tropical!I$1,FALSE)</f>
        <v>0</v>
      </c>
      <c r="N190" s="800">
        <f>VLOOKUP($E190,[2]tropical!$A$4:$AF$46,[2]tropical!J$1,FALSE)</f>
        <v>0</v>
      </c>
      <c r="O190" s="800">
        <f>VLOOKUP($E190,[2]tropical!$A$4:$AF$46,[2]tropical!K$1,FALSE)</f>
        <v>1</v>
      </c>
      <c r="P190" s="800">
        <f>VLOOKUP($E190,[2]tropical!$A$4:$AF$46,[2]tropical!L$1,FALSE)</f>
        <v>0</v>
      </c>
      <c r="Q190" s="800">
        <f>VLOOKUP($E190,[2]tropical!$A$4:$AF$46,[2]tropical!M$1,FALSE)</f>
        <v>0</v>
      </c>
      <c r="R190" s="805">
        <f>VLOOKUP($E190,[2]tropical!$A$4:$AF$46,[2]tropical!N$1,FALSE)</f>
        <v>0</v>
      </c>
      <c r="S190" s="805">
        <f>VLOOKUP($E190,[2]tropical!$A$4:$AF$46,[2]tropical!O$1,FALSE)</f>
        <v>0</v>
      </c>
      <c r="T190" s="805">
        <f>VLOOKUP($E190,[2]tropical!$A$4:$AF$46,[2]tropical!P$1,FALSE)</f>
        <v>0</v>
      </c>
      <c r="U190" s="800">
        <f t="shared" si="2"/>
        <v>2</v>
      </c>
    </row>
    <row r="191" spans="1:21">
      <c r="A191" s="788">
        <v>8190</v>
      </c>
      <c r="B191" s="788" t="s">
        <v>1413</v>
      </c>
      <c r="C191" s="788">
        <v>1215</v>
      </c>
      <c r="D191" s="788" t="s">
        <v>84</v>
      </c>
      <c r="E191" s="790" t="s">
        <v>1105</v>
      </c>
      <c r="F191" s="790" t="s">
        <v>2617</v>
      </c>
      <c r="G191" s="800">
        <f>VLOOKUP($E191,[2]tropical!$A$4:$AF$46,[2]tropical!C$1,FALSE)</f>
        <v>0</v>
      </c>
      <c r="H191" s="800">
        <f>VLOOKUP($E191,[2]tropical!$A$4:$AF$46,[2]tropical!D$1,FALSE)</f>
        <v>0</v>
      </c>
      <c r="I191" s="800">
        <f>VLOOKUP($E191,[2]tropical!$A$4:$AF$46,[2]tropical!E$1,FALSE)</f>
        <v>0</v>
      </c>
      <c r="J191" s="800">
        <f>VLOOKUP($E191,[2]tropical!$A$4:$AF$46,[2]tropical!F$1,FALSE)</f>
        <v>0</v>
      </c>
      <c r="K191" s="800">
        <f>VLOOKUP($E191,[2]tropical!$A$4:$AF$46,[2]tropical!G$1,FALSE)</f>
        <v>0</v>
      </c>
      <c r="L191" s="800">
        <f>VLOOKUP($E191,[2]tropical!$A$4:$AF$46,[2]tropical!H$1,FALSE)</f>
        <v>0</v>
      </c>
      <c r="M191" s="800">
        <f>VLOOKUP($E191,[2]tropical!$A$4:$AF$46,[2]tropical!I$1,FALSE)</f>
        <v>0</v>
      </c>
      <c r="N191" s="800">
        <f>VLOOKUP($E191,[2]tropical!$A$4:$AF$46,[2]tropical!J$1,FALSE)</f>
        <v>0</v>
      </c>
      <c r="O191" s="800">
        <f>VLOOKUP($E191,[2]tropical!$A$4:$AF$46,[2]tropical!K$1,FALSE)</f>
        <v>0</v>
      </c>
      <c r="P191" s="800">
        <f>VLOOKUP($E191,[2]tropical!$A$4:$AF$46,[2]tropical!L$1,FALSE)</f>
        <v>0</v>
      </c>
      <c r="Q191" s="800">
        <f>VLOOKUP($E191,[2]tropical!$A$4:$AF$46,[2]tropical!M$1,FALSE)</f>
        <v>0</v>
      </c>
      <c r="R191" s="805">
        <f>VLOOKUP($E191,[2]tropical!$A$4:$AF$46,[2]tropical!N$1,FALSE)</f>
        <v>0</v>
      </c>
      <c r="S191" s="805">
        <f>VLOOKUP($E191,[2]tropical!$A$4:$AF$46,[2]tropical!O$1,FALSE)</f>
        <v>0</v>
      </c>
      <c r="T191" s="805">
        <f>VLOOKUP($E191,[2]tropical!$A$4:$AF$46,[2]tropical!P$1,FALSE)</f>
        <v>0</v>
      </c>
      <c r="U191" s="800">
        <f t="shared" si="2"/>
        <v>0</v>
      </c>
    </row>
    <row r="192" spans="1:21">
      <c r="A192" s="788">
        <v>8191</v>
      </c>
      <c r="B192" s="788" t="s">
        <v>1416</v>
      </c>
      <c r="C192" s="788">
        <v>278</v>
      </c>
      <c r="D192" s="788" t="s">
        <v>82</v>
      </c>
      <c r="E192" s="790" t="s">
        <v>767</v>
      </c>
      <c r="F192" s="790" t="s">
        <v>2616</v>
      </c>
      <c r="G192" s="800">
        <f>VLOOKUP($E192,[2]tropical!$A$4:$AF$46,[2]tropical!C$1,FALSE)</f>
        <v>0</v>
      </c>
      <c r="H192" s="800">
        <f>VLOOKUP($E192,[2]tropical!$A$4:$AF$46,[2]tropical!D$1,FALSE)</f>
        <v>0</v>
      </c>
      <c r="I192" s="800">
        <f>VLOOKUP($E192,[2]tropical!$A$4:$AF$46,[2]tropical!E$1,FALSE)</f>
        <v>2</v>
      </c>
      <c r="J192" s="800">
        <f>VLOOKUP($E192,[2]tropical!$A$4:$AF$46,[2]tropical!F$1,FALSE)</f>
        <v>0</v>
      </c>
      <c r="K192" s="800">
        <f>VLOOKUP($E192,[2]tropical!$A$4:$AF$46,[2]tropical!G$1,FALSE)</f>
        <v>0</v>
      </c>
      <c r="L192" s="800">
        <f>VLOOKUP($E192,[2]tropical!$A$4:$AF$46,[2]tropical!H$1,FALSE)</f>
        <v>0</v>
      </c>
      <c r="M192" s="800">
        <f>VLOOKUP($E192,[2]tropical!$A$4:$AF$46,[2]tropical!I$1,FALSE)</f>
        <v>0</v>
      </c>
      <c r="N192" s="800">
        <f>VLOOKUP($E192,[2]tropical!$A$4:$AF$46,[2]tropical!J$1,FALSE)</f>
        <v>0</v>
      </c>
      <c r="O192" s="800">
        <f>VLOOKUP($E192,[2]tropical!$A$4:$AF$46,[2]tropical!K$1,FALSE)</f>
        <v>0</v>
      </c>
      <c r="P192" s="800">
        <f>VLOOKUP($E192,[2]tropical!$A$4:$AF$46,[2]tropical!L$1,FALSE)</f>
        <v>0</v>
      </c>
      <c r="Q192" s="800">
        <f>VLOOKUP($E192,[2]tropical!$A$4:$AF$46,[2]tropical!M$1,FALSE)</f>
        <v>0</v>
      </c>
      <c r="R192" s="805">
        <f>VLOOKUP($E192,[2]tropical!$A$4:$AF$46,[2]tropical!N$1,FALSE)</f>
        <v>0</v>
      </c>
      <c r="S192" s="805">
        <f>VLOOKUP($E192,[2]tropical!$A$4:$AF$46,[2]tropical!O$1,FALSE)</f>
        <v>0</v>
      </c>
      <c r="T192" s="805">
        <f>VLOOKUP($E192,[2]tropical!$A$4:$AF$46,[2]tropical!P$1,FALSE)</f>
        <v>0</v>
      </c>
      <c r="U192" s="800">
        <f t="shared" si="2"/>
        <v>2</v>
      </c>
    </row>
    <row r="193" spans="1:21">
      <c r="A193" s="788">
        <v>8192</v>
      </c>
      <c r="B193" s="788" t="s">
        <v>1418</v>
      </c>
      <c r="C193" s="788">
        <v>336</v>
      </c>
      <c r="D193" s="788" t="s">
        <v>82</v>
      </c>
      <c r="E193" s="790" t="s">
        <v>767</v>
      </c>
      <c r="F193" s="790" t="s">
        <v>2616</v>
      </c>
      <c r="G193" s="800">
        <f>VLOOKUP($E193,[2]tropical!$A$4:$AF$46,[2]tropical!C$1,FALSE)</f>
        <v>0</v>
      </c>
      <c r="H193" s="800">
        <f>VLOOKUP($E193,[2]tropical!$A$4:$AF$46,[2]tropical!D$1,FALSE)</f>
        <v>0</v>
      </c>
      <c r="I193" s="800">
        <f>VLOOKUP($E193,[2]tropical!$A$4:$AF$46,[2]tropical!E$1,FALSE)</f>
        <v>2</v>
      </c>
      <c r="J193" s="800">
        <f>VLOOKUP($E193,[2]tropical!$A$4:$AF$46,[2]tropical!F$1,FALSE)</f>
        <v>0</v>
      </c>
      <c r="K193" s="800">
        <f>VLOOKUP($E193,[2]tropical!$A$4:$AF$46,[2]tropical!G$1,FALSE)</f>
        <v>0</v>
      </c>
      <c r="L193" s="800">
        <f>VLOOKUP($E193,[2]tropical!$A$4:$AF$46,[2]tropical!H$1,FALSE)</f>
        <v>0</v>
      </c>
      <c r="M193" s="800">
        <f>VLOOKUP($E193,[2]tropical!$A$4:$AF$46,[2]tropical!I$1,FALSE)</f>
        <v>0</v>
      </c>
      <c r="N193" s="800">
        <f>VLOOKUP($E193,[2]tropical!$A$4:$AF$46,[2]tropical!J$1,FALSE)</f>
        <v>0</v>
      </c>
      <c r="O193" s="800">
        <f>VLOOKUP($E193,[2]tropical!$A$4:$AF$46,[2]tropical!K$1,FALSE)</f>
        <v>0</v>
      </c>
      <c r="P193" s="800">
        <f>VLOOKUP($E193,[2]tropical!$A$4:$AF$46,[2]tropical!L$1,FALSE)</f>
        <v>0</v>
      </c>
      <c r="Q193" s="800">
        <f>VLOOKUP($E193,[2]tropical!$A$4:$AF$46,[2]tropical!M$1,FALSE)</f>
        <v>0</v>
      </c>
      <c r="R193" s="805">
        <f>VLOOKUP($E193,[2]tropical!$A$4:$AF$46,[2]tropical!N$1,FALSE)</f>
        <v>0</v>
      </c>
      <c r="S193" s="805">
        <f>VLOOKUP($E193,[2]tropical!$A$4:$AF$46,[2]tropical!O$1,FALSE)</f>
        <v>0</v>
      </c>
      <c r="T193" s="805">
        <f>VLOOKUP($E193,[2]tropical!$A$4:$AF$46,[2]tropical!P$1,FALSE)</f>
        <v>0</v>
      </c>
      <c r="U193" s="800">
        <f t="shared" si="2"/>
        <v>2</v>
      </c>
    </row>
    <row r="194" spans="1:21">
      <c r="A194" s="788">
        <v>8193</v>
      </c>
      <c r="B194" s="788" t="s">
        <v>1421</v>
      </c>
      <c r="C194" s="788">
        <v>129</v>
      </c>
      <c r="D194" s="788" t="s">
        <v>86</v>
      </c>
      <c r="E194" s="790" t="s">
        <v>864</v>
      </c>
      <c r="F194" s="790" t="s">
        <v>2615</v>
      </c>
      <c r="G194" s="800">
        <f>VLOOKUP($E194,[2]tropical!$A$4:$AF$46,[2]tropical!C$1,FALSE)</f>
        <v>23</v>
      </c>
      <c r="H194" s="800">
        <f>VLOOKUP($E194,[2]tropical!$A$4:$AF$46,[2]tropical!D$1,FALSE)</f>
        <v>30</v>
      </c>
      <c r="I194" s="800">
        <f>VLOOKUP($E194,[2]tropical!$A$4:$AF$46,[2]tropical!E$1,FALSE)</f>
        <v>35</v>
      </c>
      <c r="J194" s="800">
        <f>VLOOKUP($E194,[2]tropical!$A$4:$AF$46,[2]tropical!F$1,FALSE)</f>
        <v>18</v>
      </c>
      <c r="K194" s="800">
        <f>VLOOKUP($E194,[2]tropical!$A$4:$AF$46,[2]tropical!G$1,FALSE)</f>
        <v>24</v>
      </c>
      <c r="L194" s="800">
        <f>VLOOKUP($E194,[2]tropical!$A$4:$AF$46,[2]tropical!H$1,FALSE)</f>
        <v>26</v>
      </c>
      <c r="M194" s="800">
        <f>VLOOKUP($E194,[2]tropical!$A$4:$AF$46,[2]tropical!I$1,FALSE)</f>
        <v>38</v>
      </c>
      <c r="N194" s="800">
        <f>VLOOKUP($E194,[2]tropical!$A$4:$AF$46,[2]tropical!J$1,FALSE)</f>
        <v>14</v>
      </c>
      <c r="O194" s="800">
        <f>VLOOKUP($E194,[2]tropical!$A$4:$AF$46,[2]tropical!K$1,FALSE)</f>
        <v>28</v>
      </c>
      <c r="P194" s="800">
        <f>VLOOKUP($E194,[2]tropical!$A$4:$AF$46,[2]tropical!L$1,FALSE)</f>
        <v>18</v>
      </c>
      <c r="Q194" s="800">
        <f>VLOOKUP($E194,[2]tropical!$A$4:$AF$46,[2]tropical!M$1,FALSE)</f>
        <v>10</v>
      </c>
      <c r="R194" s="805">
        <f>VLOOKUP($E194,[2]tropical!$A$4:$AF$46,[2]tropical!N$1,FALSE)</f>
        <v>0</v>
      </c>
      <c r="S194" s="805">
        <f>VLOOKUP($E194,[2]tropical!$A$4:$AF$46,[2]tropical!O$1,FALSE)</f>
        <v>0</v>
      </c>
      <c r="T194" s="805">
        <f>VLOOKUP($E194,[2]tropical!$A$4:$AF$46,[2]tropical!P$1,FALSE)</f>
        <v>0</v>
      </c>
      <c r="U194" s="800">
        <f t="shared" si="2"/>
        <v>264</v>
      </c>
    </row>
    <row r="195" spans="1:21">
      <c r="A195" s="788">
        <v>8194</v>
      </c>
      <c r="B195" s="788" t="s">
        <v>350</v>
      </c>
      <c r="C195" s="788">
        <v>14</v>
      </c>
      <c r="D195" s="788" t="s">
        <v>83</v>
      </c>
      <c r="E195" s="790" t="s">
        <v>2605</v>
      </c>
      <c r="F195" s="790" t="s">
        <v>2615</v>
      </c>
      <c r="G195" s="800">
        <f>VLOOKUP($E195,[2]tropical!$A$4:$AF$46,[2]tropical!C$1,FALSE)</f>
        <v>12</v>
      </c>
      <c r="H195" s="800">
        <f>VLOOKUP($E195,[2]tropical!$A$4:$AF$46,[2]tropical!D$1,FALSE)</f>
        <v>23</v>
      </c>
      <c r="I195" s="800">
        <f>VLOOKUP($E195,[2]tropical!$A$4:$AF$46,[2]tropical!E$1,FALSE)</f>
        <v>31</v>
      </c>
      <c r="J195" s="800">
        <f>VLOOKUP($E195,[2]tropical!$A$4:$AF$46,[2]tropical!F$1,FALSE)</f>
        <v>7</v>
      </c>
      <c r="K195" s="800">
        <f>VLOOKUP($E195,[2]tropical!$A$4:$AF$46,[2]tropical!G$1,FALSE)</f>
        <v>12</v>
      </c>
      <c r="L195" s="800">
        <f>VLOOKUP($E195,[2]tropical!$A$4:$AF$46,[2]tropical!H$1,FALSE)</f>
        <v>30</v>
      </c>
      <c r="M195" s="800">
        <f>VLOOKUP($E195,[2]tropical!$A$4:$AF$46,[2]tropical!I$1,FALSE)</f>
        <v>27</v>
      </c>
      <c r="N195" s="800">
        <f>VLOOKUP($E195,[2]tropical!$A$4:$AF$46,[2]tropical!J$1,FALSE)</f>
        <v>9</v>
      </c>
      <c r="O195" s="800">
        <f>VLOOKUP($E195,[2]tropical!$A$4:$AF$46,[2]tropical!K$1,FALSE)</f>
        <v>20</v>
      </c>
      <c r="P195" s="800">
        <f>VLOOKUP($E195,[2]tropical!$A$4:$AF$46,[2]tropical!L$1,FALSE)</f>
        <v>24</v>
      </c>
      <c r="Q195" s="800">
        <f>VLOOKUP($E195,[2]tropical!$A$4:$AF$46,[2]tropical!M$1,FALSE)</f>
        <v>4</v>
      </c>
      <c r="R195" s="805">
        <f>VLOOKUP($E195,[2]tropical!$A$4:$AF$46,[2]tropical!N$1,FALSE)</f>
        <v>0</v>
      </c>
      <c r="S195" s="805">
        <f>VLOOKUP($E195,[2]tropical!$A$4:$AF$46,[2]tropical!O$1,FALSE)</f>
        <v>0</v>
      </c>
      <c r="T195" s="805">
        <f>VLOOKUP($E195,[2]tropical!$A$4:$AF$46,[2]tropical!P$1,FALSE)</f>
        <v>0</v>
      </c>
      <c r="U195" s="800">
        <f t="shared" si="2"/>
        <v>199</v>
      </c>
    </row>
    <row r="196" spans="1:21">
      <c r="A196" s="788">
        <v>8195</v>
      </c>
      <c r="B196" s="788" t="s">
        <v>1424</v>
      </c>
      <c r="C196" s="788">
        <v>816</v>
      </c>
      <c r="D196" s="788" t="s">
        <v>88</v>
      </c>
      <c r="E196" s="790" t="s">
        <v>1326</v>
      </c>
      <c r="F196" s="790" t="s">
        <v>2617</v>
      </c>
      <c r="G196" s="800">
        <f>VLOOKUP($E196,[2]tropical!$A$4:$AF$46,[2]tropical!C$1,FALSE)</f>
        <v>0</v>
      </c>
      <c r="H196" s="800">
        <f>VLOOKUP($E196,[2]tropical!$A$4:$AF$46,[2]tropical!D$1,FALSE)</f>
        <v>0</v>
      </c>
      <c r="I196" s="800">
        <f>VLOOKUP($E196,[2]tropical!$A$4:$AF$46,[2]tropical!E$1,FALSE)</f>
        <v>0</v>
      </c>
      <c r="J196" s="800">
        <f>VLOOKUP($E196,[2]tropical!$A$4:$AF$46,[2]tropical!F$1,FALSE)</f>
        <v>0</v>
      </c>
      <c r="K196" s="800">
        <f>VLOOKUP($E196,[2]tropical!$A$4:$AF$46,[2]tropical!G$1,FALSE)</f>
        <v>0</v>
      </c>
      <c r="L196" s="800">
        <f>VLOOKUP($E196,[2]tropical!$A$4:$AF$46,[2]tropical!H$1,FALSE)</f>
        <v>0</v>
      </c>
      <c r="M196" s="800">
        <f>VLOOKUP($E196,[2]tropical!$A$4:$AF$46,[2]tropical!I$1,FALSE)</f>
        <v>0</v>
      </c>
      <c r="N196" s="800">
        <f>VLOOKUP($E196,[2]tropical!$A$4:$AF$46,[2]tropical!J$1,FALSE)</f>
        <v>0</v>
      </c>
      <c r="O196" s="800">
        <f>VLOOKUP($E196,[2]tropical!$A$4:$AF$46,[2]tropical!K$1,FALSE)</f>
        <v>0</v>
      </c>
      <c r="P196" s="800">
        <f>VLOOKUP($E196,[2]tropical!$A$4:$AF$46,[2]tropical!L$1,FALSE)</f>
        <v>0</v>
      </c>
      <c r="Q196" s="800">
        <f>VLOOKUP($E196,[2]tropical!$A$4:$AF$46,[2]tropical!M$1,FALSE)</f>
        <v>0</v>
      </c>
      <c r="R196" s="805">
        <f>VLOOKUP($E196,[2]tropical!$A$4:$AF$46,[2]tropical!N$1,FALSE)</f>
        <v>0</v>
      </c>
      <c r="S196" s="805">
        <f>VLOOKUP($E196,[2]tropical!$A$4:$AF$46,[2]tropical!O$1,FALSE)</f>
        <v>0</v>
      </c>
      <c r="T196" s="805">
        <f>VLOOKUP($E196,[2]tropical!$A$4:$AF$46,[2]tropical!P$1,FALSE)</f>
        <v>0</v>
      </c>
      <c r="U196" s="800">
        <f t="shared" si="2"/>
        <v>0</v>
      </c>
    </row>
    <row r="197" spans="1:21">
      <c r="A197" s="788">
        <v>8196</v>
      </c>
      <c r="B197" s="788" t="s">
        <v>1426</v>
      </c>
      <c r="C197" s="788">
        <v>42</v>
      </c>
      <c r="D197" s="788" t="s">
        <v>90</v>
      </c>
      <c r="E197" s="790" t="s">
        <v>1697</v>
      </c>
      <c r="F197" s="790" t="s">
        <v>2615</v>
      </c>
      <c r="G197" s="800">
        <f>VLOOKUP($E197,[2]tropical!$A$4:$AF$46,[2]tropical!C$1,FALSE)</f>
        <v>8</v>
      </c>
      <c r="H197" s="800">
        <f>VLOOKUP($E197,[2]tropical!$A$4:$AF$46,[2]tropical!D$1,FALSE)</f>
        <v>14</v>
      </c>
      <c r="I197" s="800">
        <f>VLOOKUP($E197,[2]tropical!$A$4:$AF$46,[2]tropical!E$1,FALSE)</f>
        <v>22</v>
      </c>
      <c r="J197" s="800">
        <f>VLOOKUP($E197,[2]tropical!$A$4:$AF$46,[2]tropical!F$1,FALSE)</f>
        <v>5</v>
      </c>
      <c r="K197" s="800">
        <f>VLOOKUP($E197,[2]tropical!$A$4:$AF$46,[2]tropical!G$1,FALSE)</f>
        <v>5</v>
      </c>
      <c r="L197" s="800">
        <f>VLOOKUP($E197,[2]tropical!$A$4:$AF$46,[2]tropical!H$1,FALSE)</f>
        <v>17</v>
      </c>
      <c r="M197" s="800">
        <f>VLOOKUP($E197,[2]tropical!$A$4:$AF$46,[2]tropical!I$1,FALSE)</f>
        <v>24</v>
      </c>
      <c r="N197" s="800">
        <f>VLOOKUP($E197,[2]tropical!$A$4:$AF$46,[2]tropical!J$1,FALSE)</f>
        <v>3</v>
      </c>
      <c r="O197" s="800">
        <f>VLOOKUP($E197,[2]tropical!$A$4:$AF$46,[2]tropical!K$1,FALSE)</f>
        <v>17</v>
      </c>
      <c r="P197" s="800">
        <f>VLOOKUP($E197,[2]tropical!$A$4:$AF$46,[2]tropical!L$1,FALSE)</f>
        <v>7</v>
      </c>
      <c r="Q197" s="800">
        <f>VLOOKUP($E197,[2]tropical!$A$4:$AF$46,[2]tropical!M$1,FALSE)</f>
        <v>3</v>
      </c>
      <c r="R197" s="805">
        <f>VLOOKUP($E197,[2]tropical!$A$4:$AF$46,[2]tropical!N$1,FALSE)</f>
        <v>0</v>
      </c>
      <c r="S197" s="805">
        <f>VLOOKUP($E197,[2]tropical!$A$4:$AF$46,[2]tropical!O$1,FALSE)</f>
        <v>0</v>
      </c>
      <c r="T197" s="805">
        <f>VLOOKUP($E197,[2]tropical!$A$4:$AF$46,[2]tropical!P$1,FALSE)</f>
        <v>0</v>
      </c>
      <c r="U197" s="800">
        <f t="shared" ref="U197:U260" si="3">SUM(G197:T197)</f>
        <v>125</v>
      </c>
    </row>
    <row r="198" spans="1:21">
      <c r="A198" s="788">
        <v>8197</v>
      </c>
      <c r="B198" s="788" t="s">
        <v>351</v>
      </c>
      <c r="C198" s="788">
        <v>114</v>
      </c>
      <c r="D198" s="788" t="s">
        <v>86</v>
      </c>
      <c r="E198" s="790" t="s">
        <v>352</v>
      </c>
      <c r="F198" s="790" t="s">
        <v>2615</v>
      </c>
      <c r="G198" s="800">
        <f>VLOOKUP($E198,[2]tropical!$A$4:$AF$46,[2]tropical!C$1,FALSE)</f>
        <v>41</v>
      </c>
      <c r="H198" s="800">
        <f>VLOOKUP($E198,[2]tropical!$A$4:$AF$46,[2]tropical!D$1,FALSE)</f>
        <v>57</v>
      </c>
      <c r="I198" s="800">
        <f>VLOOKUP($E198,[2]tropical!$A$4:$AF$46,[2]tropical!E$1,FALSE)</f>
        <v>52</v>
      </c>
      <c r="J198" s="800">
        <f>VLOOKUP($E198,[2]tropical!$A$4:$AF$46,[2]tropical!F$1,FALSE)</f>
        <v>9</v>
      </c>
      <c r="K198" s="800">
        <f>VLOOKUP($E198,[2]tropical!$A$4:$AF$46,[2]tropical!G$1,FALSE)</f>
        <v>37</v>
      </c>
      <c r="L198" s="800">
        <f>VLOOKUP($E198,[2]tropical!$A$4:$AF$46,[2]tropical!H$1,FALSE)</f>
        <v>47</v>
      </c>
      <c r="M198" s="800">
        <f>VLOOKUP($E198,[2]tropical!$A$4:$AF$46,[2]tropical!I$1,FALSE)</f>
        <v>42</v>
      </c>
      <c r="N198" s="800">
        <f>VLOOKUP($E198,[2]tropical!$A$4:$AF$46,[2]tropical!J$1,FALSE)</f>
        <v>27</v>
      </c>
      <c r="O198" s="800">
        <f>VLOOKUP($E198,[2]tropical!$A$4:$AF$46,[2]tropical!K$1,FALSE)</f>
        <v>39</v>
      </c>
      <c r="P198" s="800">
        <f>VLOOKUP($E198,[2]tropical!$A$4:$AF$46,[2]tropical!L$1,FALSE)</f>
        <v>32</v>
      </c>
      <c r="Q198" s="800">
        <f>VLOOKUP($E198,[2]tropical!$A$4:$AF$46,[2]tropical!M$1,FALSE)</f>
        <v>20</v>
      </c>
      <c r="R198" s="805">
        <f>VLOOKUP($E198,[2]tropical!$A$4:$AF$46,[2]tropical!N$1,FALSE)</f>
        <v>0</v>
      </c>
      <c r="S198" s="805">
        <f>VLOOKUP($E198,[2]tropical!$A$4:$AF$46,[2]tropical!O$1,FALSE)</f>
        <v>0</v>
      </c>
      <c r="T198" s="805">
        <f>VLOOKUP($E198,[2]tropical!$A$4:$AF$46,[2]tropical!P$1,FALSE)</f>
        <v>0</v>
      </c>
      <c r="U198" s="800">
        <f t="shared" si="3"/>
        <v>403</v>
      </c>
    </row>
    <row r="199" spans="1:21">
      <c r="A199" s="788">
        <v>8198</v>
      </c>
      <c r="B199" s="788" t="s">
        <v>1429</v>
      </c>
      <c r="C199" s="788">
        <v>258</v>
      </c>
      <c r="D199" s="788" t="s">
        <v>24</v>
      </c>
      <c r="E199" s="790" t="s">
        <v>1743</v>
      </c>
      <c r="F199" s="790" t="s">
        <v>2616</v>
      </c>
      <c r="G199" s="800">
        <f>VLOOKUP($E199,[2]tropical!$A$4:$AF$46,[2]tropical!C$1,FALSE)</f>
        <v>0</v>
      </c>
      <c r="H199" s="800">
        <f>VLOOKUP($E199,[2]tropical!$A$4:$AF$46,[2]tropical!D$1,FALSE)</f>
        <v>0</v>
      </c>
      <c r="I199" s="800">
        <f>VLOOKUP($E199,[2]tropical!$A$4:$AF$46,[2]tropical!E$1,FALSE)</f>
        <v>2</v>
      </c>
      <c r="J199" s="800">
        <f>VLOOKUP($E199,[2]tropical!$A$4:$AF$46,[2]tropical!F$1,FALSE)</f>
        <v>0</v>
      </c>
      <c r="K199" s="800">
        <f>VLOOKUP($E199,[2]tropical!$A$4:$AF$46,[2]tropical!G$1,FALSE)</f>
        <v>0</v>
      </c>
      <c r="L199" s="800">
        <f>VLOOKUP($E199,[2]tropical!$A$4:$AF$46,[2]tropical!H$1,FALSE)</f>
        <v>0</v>
      </c>
      <c r="M199" s="800">
        <f>VLOOKUP($E199,[2]tropical!$A$4:$AF$46,[2]tropical!I$1,FALSE)</f>
        <v>0</v>
      </c>
      <c r="N199" s="800">
        <f>VLOOKUP($E199,[2]tropical!$A$4:$AF$46,[2]tropical!J$1,FALSE)</f>
        <v>0</v>
      </c>
      <c r="O199" s="800">
        <f>VLOOKUP($E199,[2]tropical!$A$4:$AF$46,[2]tropical!K$1,FALSE)</f>
        <v>0</v>
      </c>
      <c r="P199" s="800">
        <f>VLOOKUP($E199,[2]tropical!$A$4:$AF$46,[2]tropical!L$1,FALSE)</f>
        <v>0</v>
      </c>
      <c r="Q199" s="800">
        <f>VLOOKUP($E199,[2]tropical!$A$4:$AF$46,[2]tropical!M$1,FALSE)</f>
        <v>0</v>
      </c>
      <c r="R199" s="805">
        <f>VLOOKUP($E199,[2]tropical!$A$4:$AF$46,[2]tropical!N$1,FALSE)</f>
        <v>0</v>
      </c>
      <c r="S199" s="805">
        <f>VLOOKUP($E199,[2]tropical!$A$4:$AF$46,[2]tropical!O$1,FALSE)</f>
        <v>0</v>
      </c>
      <c r="T199" s="805">
        <f>VLOOKUP($E199,[2]tropical!$A$4:$AF$46,[2]tropical!P$1,FALSE)</f>
        <v>0</v>
      </c>
      <c r="U199" s="800">
        <f t="shared" si="3"/>
        <v>2</v>
      </c>
    </row>
    <row r="200" spans="1:21">
      <c r="A200" s="788">
        <v>8199</v>
      </c>
      <c r="B200" s="788" t="s">
        <v>1431</v>
      </c>
      <c r="C200" s="788">
        <v>868</v>
      </c>
      <c r="D200" s="788" t="s">
        <v>88</v>
      </c>
      <c r="E200" s="790" t="s">
        <v>1127</v>
      </c>
      <c r="F200" s="790" t="s">
        <v>2617</v>
      </c>
      <c r="G200" s="800">
        <f>VLOOKUP($E200,[2]tropical!$A$4:$AF$46,[2]tropical!C$1,FALSE)</f>
        <v>0</v>
      </c>
      <c r="H200" s="800">
        <f>VLOOKUP($E200,[2]tropical!$A$4:$AF$46,[2]tropical!D$1,FALSE)</f>
        <v>0</v>
      </c>
      <c r="I200" s="800">
        <f>VLOOKUP($E200,[2]tropical!$A$4:$AF$46,[2]tropical!E$1,FALSE)</f>
        <v>0</v>
      </c>
      <c r="J200" s="800">
        <f>VLOOKUP($E200,[2]tropical!$A$4:$AF$46,[2]tropical!F$1,FALSE)</f>
        <v>0</v>
      </c>
      <c r="K200" s="800">
        <f>VLOOKUP($E200,[2]tropical!$A$4:$AF$46,[2]tropical!G$1,FALSE)</f>
        <v>0</v>
      </c>
      <c r="L200" s="800">
        <f>VLOOKUP($E200,[2]tropical!$A$4:$AF$46,[2]tropical!H$1,FALSE)</f>
        <v>0</v>
      </c>
      <c r="M200" s="800">
        <f>VLOOKUP($E200,[2]tropical!$A$4:$AF$46,[2]tropical!I$1,FALSE)</f>
        <v>0</v>
      </c>
      <c r="N200" s="800">
        <f>VLOOKUP($E200,[2]tropical!$A$4:$AF$46,[2]tropical!J$1,FALSE)</f>
        <v>0</v>
      </c>
      <c r="O200" s="800">
        <f>VLOOKUP($E200,[2]tropical!$A$4:$AF$46,[2]tropical!K$1,FALSE)</f>
        <v>0</v>
      </c>
      <c r="P200" s="800">
        <f>VLOOKUP($E200,[2]tropical!$A$4:$AF$46,[2]tropical!L$1,FALSE)</f>
        <v>0</v>
      </c>
      <c r="Q200" s="800">
        <f>VLOOKUP($E200,[2]tropical!$A$4:$AF$46,[2]tropical!M$1,FALSE)</f>
        <v>0</v>
      </c>
      <c r="R200" s="805">
        <f>VLOOKUP($E200,[2]tropical!$A$4:$AF$46,[2]tropical!N$1,FALSE)</f>
        <v>0</v>
      </c>
      <c r="S200" s="805">
        <f>VLOOKUP($E200,[2]tropical!$A$4:$AF$46,[2]tropical!O$1,FALSE)</f>
        <v>0</v>
      </c>
      <c r="T200" s="805">
        <f>VLOOKUP($E200,[2]tropical!$A$4:$AF$46,[2]tropical!P$1,FALSE)</f>
        <v>0</v>
      </c>
      <c r="U200" s="800">
        <f t="shared" si="3"/>
        <v>0</v>
      </c>
    </row>
    <row r="201" spans="1:21">
      <c r="A201" s="788">
        <v>8200</v>
      </c>
      <c r="B201" s="788" t="s">
        <v>1094</v>
      </c>
      <c r="C201" s="788">
        <v>30</v>
      </c>
      <c r="D201" s="788" t="s">
        <v>90</v>
      </c>
      <c r="E201" s="790" t="s">
        <v>357</v>
      </c>
      <c r="F201" s="790" t="s">
        <v>2615</v>
      </c>
      <c r="G201" s="800">
        <f>VLOOKUP($E201,[2]tropical!$A$4:$AF$46,[2]tropical!C$1,FALSE)</f>
        <v>33</v>
      </c>
      <c r="H201" s="800">
        <f>VLOOKUP($E201,[2]tropical!$A$4:$AF$46,[2]tropical!D$1,FALSE)</f>
        <v>25</v>
      </c>
      <c r="I201" s="800">
        <f>VLOOKUP($E201,[2]tropical!$A$4:$AF$46,[2]tropical!E$1,FALSE)</f>
        <v>28</v>
      </c>
      <c r="J201" s="800">
        <f>VLOOKUP($E201,[2]tropical!$A$4:$AF$46,[2]tropical!F$1,FALSE)</f>
        <v>10</v>
      </c>
      <c r="K201" s="800">
        <f>VLOOKUP($E201,[2]tropical!$A$4:$AF$46,[2]tropical!G$1,FALSE)</f>
        <v>21</v>
      </c>
      <c r="L201" s="800">
        <f>VLOOKUP($E201,[2]tropical!$A$4:$AF$46,[2]tropical!H$1,FALSE)</f>
        <v>36</v>
      </c>
      <c r="M201" s="800">
        <f>VLOOKUP($E201,[2]tropical!$A$4:$AF$46,[2]tropical!I$1,FALSE)</f>
        <v>23</v>
      </c>
      <c r="N201" s="800">
        <f>VLOOKUP($E201,[2]tropical!$A$4:$AF$46,[2]tropical!J$1,FALSE)</f>
        <v>16</v>
      </c>
      <c r="O201" s="800">
        <f>VLOOKUP($E201,[2]tropical!$A$4:$AF$46,[2]tropical!K$1,FALSE)</f>
        <v>22</v>
      </c>
      <c r="P201" s="800">
        <f>VLOOKUP($E201,[2]tropical!$A$4:$AF$46,[2]tropical!L$1,FALSE)</f>
        <v>19</v>
      </c>
      <c r="Q201" s="800">
        <f>VLOOKUP($E201,[2]tropical!$A$4:$AF$46,[2]tropical!M$1,FALSE)</f>
        <v>13</v>
      </c>
      <c r="R201" s="805">
        <f>VLOOKUP($E201,[2]tropical!$A$4:$AF$46,[2]tropical!N$1,FALSE)</f>
        <v>0</v>
      </c>
      <c r="S201" s="805">
        <f>VLOOKUP($E201,[2]tropical!$A$4:$AF$46,[2]tropical!O$1,FALSE)</f>
        <v>0</v>
      </c>
      <c r="T201" s="805">
        <f>VLOOKUP($E201,[2]tropical!$A$4:$AF$46,[2]tropical!P$1,FALSE)</f>
        <v>0</v>
      </c>
      <c r="U201" s="800">
        <f t="shared" si="3"/>
        <v>246</v>
      </c>
    </row>
    <row r="202" spans="1:21">
      <c r="A202" s="788">
        <v>8201</v>
      </c>
      <c r="B202" s="788" t="s">
        <v>1435</v>
      </c>
      <c r="C202" s="788">
        <v>813</v>
      </c>
      <c r="D202" s="788" t="s">
        <v>88</v>
      </c>
      <c r="E202" s="790" t="s">
        <v>1326</v>
      </c>
      <c r="F202" s="790" t="s">
        <v>2617</v>
      </c>
      <c r="G202" s="800">
        <f>VLOOKUP($E202,[2]tropical!$A$4:$AF$46,[2]tropical!C$1,FALSE)</f>
        <v>0</v>
      </c>
      <c r="H202" s="800">
        <f>VLOOKUP($E202,[2]tropical!$A$4:$AF$46,[2]tropical!D$1,FALSE)</f>
        <v>0</v>
      </c>
      <c r="I202" s="800">
        <f>VLOOKUP($E202,[2]tropical!$A$4:$AF$46,[2]tropical!E$1,FALSE)</f>
        <v>0</v>
      </c>
      <c r="J202" s="800">
        <f>VLOOKUP($E202,[2]tropical!$A$4:$AF$46,[2]tropical!F$1,FALSE)</f>
        <v>0</v>
      </c>
      <c r="K202" s="800">
        <f>VLOOKUP($E202,[2]tropical!$A$4:$AF$46,[2]tropical!G$1,FALSE)</f>
        <v>0</v>
      </c>
      <c r="L202" s="800">
        <f>VLOOKUP($E202,[2]tropical!$A$4:$AF$46,[2]tropical!H$1,FALSE)</f>
        <v>0</v>
      </c>
      <c r="M202" s="800">
        <f>VLOOKUP($E202,[2]tropical!$A$4:$AF$46,[2]tropical!I$1,FALSE)</f>
        <v>0</v>
      </c>
      <c r="N202" s="800">
        <f>VLOOKUP($E202,[2]tropical!$A$4:$AF$46,[2]tropical!J$1,FALSE)</f>
        <v>0</v>
      </c>
      <c r="O202" s="800">
        <f>VLOOKUP($E202,[2]tropical!$A$4:$AF$46,[2]tropical!K$1,FALSE)</f>
        <v>0</v>
      </c>
      <c r="P202" s="800">
        <f>VLOOKUP($E202,[2]tropical!$A$4:$AF$46,[2]tropical!L$1,FALSE)</f>
        <v>0</v>
      </c>
      <c r="Q202" s="800">
        <f>VLOOKUP($E202,[2]tropical!$A$4:$AF$46,[2]tropical!M$1,FALSE)</f>
        <v>0</v>
      </c>
      <c r="R202" s="805">
        <f>VLOOKUP($E202,[2]tropical!$A$4:$AF$46,[2]tropical!N$1,FALSE)</f>
        <v>0</v>
      </c>
      <c r="S202" s="805">
        <f>VLOOKUP($E202,[2]tropical!$A$4:$AF$46,[2]tropical!O$1,FALSE)</f>
        <v>0</v>
      </c>
      <c r="T202" s="805">
        <f>VLOOKUP($E202,[2]tropical!$A$4:$AF$46,[2]tropical!P$1,FALSE)</f>
        <v>0</v>
      </c>
      <c r="U202" s="800">
        <f t="shared" si="3"/>
        <v>0</v>
      </c>
    </row>
    <row r="203" spans="1:21">
      <c r="A203" s="788">
        <v>8202</v>
      </c>
      <c r="B203" s="788" t="s">
        <v>1437</v>
      </c>
      <c r="C203" s="788">
        <v>152</v>
      </c>
      <c r="D203" s="788" t="s">
        <v>24</v>
      </c>
      <c r="E203" s="790" t="s">
        <v>1743</v>
      </c>
      <c r="F203" s="790" t="s">
        <v>2616</v>
      </c>
      <c r="G203" s="800">
        <f>VLOOKUP($E203,[2]tropical!$A$4:$AF$46,[2]tropical!C$1,FALSE)</f>
        <v>0</v>
      </c>
      <c r="H203" s="800">
        <f>VLOOKUP($E203,[2]tropical!$A$4:$AF$46,[2]tropical!D$1,FALSE)</f>
        <v>0</v>
      </c>
      <c r="I203" s="800">
        <f>VLOOKUP($E203,[2]tropical!$A$4:$AF$46,[2]tropical!E$1,FALSE)</f>
        <v>2</v>
      </c>
      <c r="J203" s="800">
        <f>VLOOKUP($E203,[2]tropical!$A$4:$AF$46,[2]tropical!F$1,FALSE)</f>
        <v>0</v>
      </c>
      <c r="K203" s="800">
        <f>VLOOKUP($E203,[2]tropical!$A$4:$AF$46,[2]tropical!G$1,FALSE)</f>
        <v>0</v>
      </c>
      <c r="L203" s="800">
        <f>VLOOKUP($E203,[2]tropical!$A$4:$AF$46,[2]tropical!H$1,FALSE)</f>
        <v>0</v>
      </c>
      <c r="M203" s="800">
        <f>VLOOKUP($E203,[2]tropical!$A$4:$AF$46,[2]tropical!I$1,FALSE)</f>
        <v>0</v>
      </c>
      <c r="N203" s="800">
        <f>VLOOKUP($E203,[2]tropical!$A$4:$AF$46,[2]tropical!J$1,FALSE)</f>
        <v>0</v>
      </c>
      <c r="O203" s="800">
        <f>VLOOKUP($E203,[2]tropical!$A$4:$AF$46,[2]tropical!K$1,FALSE)</f>
        <v>0</v>
      </c>
      <c r="P203" s="800">
        <f>VLOOKUP($E203,[2]tropical!$A$4:$AF$46,[2]tropical!L$1,FALSE)</f>
        <v>0</v>
      </c>
      <c r="Q203" s="800">
        <f>VLOOKUP($E203,[2]tropical!$A$4:$AF$46,[2]tropical!M$1,FALSE)</f>
        <v>0</v>
      </c>
      <c r="R203" s="805">
        <f>VLOOKUP($E203,[2]tropical!$A$4:$AF$46,[2]tropical!N$1,FALSE)</f>
        <v>0</v>
      </c>
      <c r="S203" s="805">
        <f>VLOOKUP($E203,[2]tropical!$A$4:$AF$46,[2]tropical!O$1,FALSE)</f>
        <v>0</v>
      </c>
      <c r="T203" s="805">
        <f>VLOOKUP($E203,[2]tropical!$A$4:$AF$46,[2]tropical!P$1,FALSE)</f>
        <v>0</v>
      </c>
      <c r="U203" s="800">
        <f t="shared" si="3"/>
        <v>2</v>
      </c>
    </row>
    <row r="204" spans="1:21">
      <c r="A204" s="788">
        <v>8203</v>
      </c>
      <c r="B204" s="788" t="s">
        <v>1443</v>
      </c>
      <c r="C204" s="788">
        <v>71</v>
      </c>
      <c r="D204" s="788" t="s">
        <v>86</v>
      </c>
      <c r="E204" s="790" t="s">
        <v>864</v>
      </c>
      <c r="F204" s="790" t="s">
        <v>2615</v>
      </c>
      <c r="G204" s="800">
        <f>VLOOKUP($E204,[2]tropical!$A$4:$AF$46,[2]tropical!C$1,FALSE)</f>
        <v>23</v>
      </c>
      <c r="H204" s="800">
        <f>VLOOKUP($E204,[2]tropical!$A$4:$AF$46,[2]tropical!D$1,FALSE)</f>
        <v>30</v>
      </c>
      <c r="I204" s="800">
        <f>VLOOKUP($E204,[2]tropical!$A$4:$AF$46,[2]tropical!E$1,FALSE)</f>
        <v>35</v>
      </c>
      <c r="J204" s="800">
        <f>VLOOKUP($E204,[2]tropical!$A$4:$AF$46,[2]tropical!F$1,FALSE)</f>
        <v>18</v>
      </c>
      <c r="K204" s="800">
        <f>VLOOKUP($E204,[2]tropical!$A$4:$AF$46,[2]tropical!G$1,FALSE)</f>
        <v>24</v>
      </c>
      <c r="L204" s="800">
        <f>VLOOKUP($E204,[2]tropical!$A$4:$AF$46,[2]tropical!H$1,FALSE)</f>
        <v>26</v>
      </c>
      <c r="M204" s="800">
        <f>VLOOKUP($E204,[2]tropical!$A$4:$AF$46,[2]tropical!I$1,FALSE)</f>
        <v>38</v>
      </c>
      <c r="N204" s="800">
        <f>VLOOKUP($E204,[2]tropical!$A$4:$AF$46,[2]tropical!J$1,FALSE)</f>
        <v>14</v>
      </c>
      <c r="O204" s="800">
        <f>VLOOKUP($E204,[2]tropical!$A$4:$AF$46,[2]tropical!K$1,FALSE)</f>
        <v>28</v>
      </c>
      <c r="P204" s="800">
        <f>VLOOKUP($E204,[2]tropical!$A$4:$AF$46,[2]tropical!L$1,FALSE)</f>
        <v>18</v>
      </c>
      <c r="Q204" s="800">
        <f>VLOOKUP($E204,[2]tropical!$A$4:$AF$46,[2]tropical!M$1,FALSE)</f>
        <v>10</v>
      </c>
      <c r="R204" s="805">
        <f>VLOOKUP($E204,[2]tropical!$A$4:$AF$46,[2]tropical!N$1,FALSE)</f>
        <v>0</v>
      </c>
      <c r="S204" s="805">
        <f>VLOOKUP($E204,[2]tropical!$A$4:$AF$46,[2]tropical!O$1,FALSE)</f>
        <v>0</v>
      </c>
      <c r="T204" s="805">
        <f>VLOOKUP($E204,[2]tropical!$A$4:$AF$46,[2]tropical!P$1,FALSE)</f>
        <v>0</v>
      </c>
      <c r="U204" s="800">
        <f t="shared" si="3"/>
        <v>264</v>
      </c>
    </row>
    <row r="205" spans="1:21">
      <c r="A205" s="788">
        <v>8204</v>
      </c>
      <c r="B205" s="788" t="s">
        <v>1446</v>
      </c>
      <c r="C205" s="788">
        <v>87</v>
      </c>
      <c r="D205" s="788" t="s">
        <v>90</v>
      </c>
      <c r="E205" s="790" t="s">
        <v>357</v>
      </c>
      <c r="F205" s="790" t="s">
        <v>2615</v>
      </c>
      <c r="G205" s="800">
        <f>VLOOKUP($E205,[2]tropical!$A$4:$AF$46,[2]tropical!C$1,FALSE)</f>
        <v>33</v>
      </c>
      <c r="H205" s="800">
        <f>VLOOKUP($E205,[2]tropical!$A$4:$AF$46,[2]tropical!D$1,FALSE)</f>
        <v>25</v>
      </c>
      <c r="I205" s="800">
        <f>VLOOKUP($E205,[2]tropical!$A$4:$AF$46,[2]tropical!E$1,FALSE)</f>
        <v>28</v>
      </c>
      <c r="J205" s="800">
        <f>VLOOKUP($E205,[2]tropical!$A$4:$AF$46,[2]tropical!F$1,FALSE)</f>
        <v>10</v>
      </c>
      <c r="K205" s="800">
        <f>VLOOKUP($E205,[2]tropical!$A$4:$AF$46,[2]tropical!G$1,FALSE)</f>
        <v>21</v>
      </c>
      <c r="L205" s="800">
        <f>VLOOKUP($E205,[2]tropical!$A$4:$AF$46,[2]tropical!H$1,FALSE)</f>
        <v>36</v>
      </c>
      <c r="M205" s="800">
        <f>VLOOKUP($E205,[2]tropical!$A$4:$AF$46,[2]tropical!I$1,FALSE)</f>
        <v>23</v>
      </c>
      <c r="N205" s="800">
        <f>VLOOKUP($E205,[2]tropical!$A$4:$AF$46,[2]tropical!J$1,FALSE)</f>
        <v>16</v>
      </c>
      <c r="O205" s="800">
        <f>VLOOKUP($E205,[2]tropical!$A$4:$AF$46,[2]tropical!K$1,FALSE)</f>
        <v>22</v>
      </c>
      <c r="P205" s="800">
        <f>VLOOKUP($E205,[2]tropical!$A$4:$AF$46,[2]tropical!L$1,FALSE)</f>
        <v>19</v>
      </c>
      <c r="Q205" s="800">
        <f>VLOOKUP($E205,[2]tropical!$A$4:$AF$46,[2]tropical!M$1,FALSE)</f>
        <v>13</v>
      </c>
      <c r="R205" s="805">
        <f>VLOOKUP($E205,[2]tropical!$A$4:$AF$46,[2]tropical!N$1,FALSE)</f>
        <v>0</v>
      </c>
      <c r="S205" s="805">
        <f>VLOOKUP($E205,[2]tropical!$A$4:$AF$46,[2]tropical!O$1,FALSE)</f>
        <v>0</v>
      </c>
      <c r="T205" s="805">
        <f>VLOOKUP($E205,[2]tropical!$A$4:$AF$46,[2]tropical!P$1,FALSE)</f>
        <v>0</v>
      </c>
      <c r="U205" s="800">
        <f t="shared" si="3"/>
        <v>246</v>
      </c>
    </row>
    <row r="206" spans="1:21">
      <c r="A206" s="788">
        <v>8205</v>
      </c>
      <c r="B206" s="788" t="s">
        <v>1450</v>
      </c>
      <c r="C206" s="788">
        <v>124</v>
      </c>
      <c r="D206" s="788" t="s">
        <v>89</v>
      </c>
      <c r="E206" s="790" t="s">
        <v>1605</v>
      </c>
      <c r="F206" s="790" t="s">
        <v>2615</v>
      </c>
      <c r="G206" s="800">
        <f>VLOOKUP($E206,[2]tropical!$A$4:$AF$46,[2]tropical!C$1,FALSE)</f>
        <v>4</v>
      </c>
      <c r="H206" s="800">
        <f>VLOOKUP($E206,[2]tropical!$A$4:$AF$46,[2]tropical!D$1,FALSE)</f>
        <v>8</v>
      </c>
      <c r="I206" s="800">
        <f>VLOOKUP($E206,[2]tropical!$A$4:$AF$46,[2]tropical!E$1,FALSE)</f>
        <v>9</v>
      </c>
      <c r="J206" s="800">
        <f>VLOOKUP($E206,[2]tropical!$A$4:$AF$46,[2]tropical!F$1,FALSE)</f>
        <v>0</v>
      </c>
      <c r="K206" s="800">
        <f>VLOOKUP($E206,[2]tropical!$A$4:$AF$46,[2]tropical!G$1,FALSE)</f>
        <v>1</v>
      </c>
      <c r="L206" s="800">
        <f>VLOOKUP($E206,[2]tropical!$A$4:$AF$46,[2]tropical!H$1,FALSE)</f>
        <v>4</v>
      </c>
      <c r="M206" s="800">
        <f>VLOOKUP($E206,[2]tropical!$A$4:$AF$46,[2]tropical!I$1,FALSE)</f>
        <v>5</v>
      </c>
      <c r="N206" s="800">
        <f>VLOOKUP($E206,[2]tropical!$A$4:$AF$46,[2]tropical!J$1,FALSE)</f>
        <v>1</v>
      </c>
      <c r="O206" s="800">
        <f>VLOOKUP($E206,[2]tropical!$A$4:$AF$46,[2]tropical!K$1,FALSE)</f>
        <v>4</v>
      </c>
      <c r="P206" s="800">
        <f>VLOOKUP($E206,[2]tropical!$A$4:$AF$46,[2]tropical!L$1,FALSE)</f>
        <v>3</v>
      </c>
      <c r="Q206" s="800">
        <f>VLOOKUP($E206,[2]tropical!$A$4:$AF$46,[2]tropical!M$1,FALSE)</f>
        <v>0</v>
      </c>
      <c r="R206" s="805">
        <f>VLOOKUP($E206,[2]tropical!$A$4:$AF$46,[2]tropical!N$1,FALSE)</f>
        <v>0</v>
      </c>
      <c r="S206" s="805">
        <f>VLOOKUP($E206,[2]tropical!$A$4:$AF$46,[2]tropical!O$1,FALSE)</f>
        <v>0</v>
      </c>
      <c r="T206" s="805">
        <f>VLOOKUP($E206,[2]tropical!$A$4:$AF$46,[2]tropical!P$1,FALSE)</f>
        <v>0</v>
      </c>
      <c r="U206" s="800">
        <f t="shared" si="3"/>
        <v>39</v>
      </c>
    </row>
    <row r="207" spans="1:21">
      <c r="A207" s="788">
        <v>8206</v>
      </c>
      <c r="B207" s="788" t="s">
        <v>1457</v>
      </c>
      <c r="C207" s="788">
        <v>266</v>
      </c>
      <c r="D207" s="788" t="s">
        <v>791</v>
      </c>
      <c r="E207" s="790" t="s">
        <v>2607</v>
      </c>
      <c r="F207" s="790" t="s">
        <v>2615</v>
      </c>
      <c r="G207" s="800">
        <f>VLOOKUP($E207,[2]tropical!$A$4:$AF$46,[2]tropical!C$1,FALSE)</f>
        <v>0</v>
      </c>
      <c r="H207" s="800">
        <f>VLOOKUP($E207,[2]tropical!$A$4:$AF$46,[2]tropical!D$1,FALSE)</f>
        <v>3</v>
      </c>
      <c r="I207" s="800">
        <f>VLOOKUP($E207,[2]tropical!$A$4:$AF$46,[2]tropical!E$1,FALSE)</f>
        <v>2</v>
      </c>
      <c r="J207" s="800">
        <f>VLOOKUP($E207,[2]tropical!$A$4:$AF$46,[2]tropical!F$1,FALSE)</f>
        <v>0</v>
      </c>
      <c r="K207" s="800">
        <f>VLOOKUP($E207,[2]tropical!$A$4:$AF$46,[2]tropical!G$1,FALSE)</f>
        <v>1</v>
      </c>
      <c r="L207" s="800">
        <f>VLOOKUP($E207,[2]tropical!$A$4:$AF$46,[2]tropical!H$1,FALSE)</f>
        <v>1</v>
      </c>
      <c r="M207" s="800">
        <f>VLOOKUP($E207,[2]tropical!$A$4:$AF$46,[2]tropical!I$1,FALSE)</f>
        <v>1</v>
      </c>
      <c r="N207" s="800">
        <f>VLOOKUP($E207,[2]tropical!$A$4:$AF$46,[2]tropical!J$1,FALSE)</f>
        <v>1</v>
      </c>
      <c r="O207" s="800">
        <f>VLOOKUP($E207,[2]tropical!$A$4:$AF$46,[2]tropical!K$1,FALSE)</f>
        <v>1</v>
      </c>
      <c r="P207" s="800">
        <f>VLOOKUP($E207,[2]tropical!$A$4:$AF$46,[2]tropical!L$1,FALSE)</f>
        <v>0</v>
      </c>
      <c r="Q207" s="800">
        <f>VLOOKUP($E207,[2]tropical!$A$4:$AF$46,[2]tropical!M$1,FALSE)</f>
        <v>0</v>
      </c>
      <c r="R207" s="805">
        <f>VLOOKUP($E207,[2]tropical!$A$4:$AF$46,[2]tropical!N$1,FALSE)</f>
        <v>0</v>
      </c>
      <c r="S207" s="805">
        <f>VLOOKUP($E207,[2]tropical!$A$4:$AF$46,[2]tropical!O$1,FALSE)</f>
        <v>0</v>
      </c>
      <c r="T207" s="805">
        <f>VLOOKUP($E207,[2]tropical!$A$4:$AF$46,[2]tropical!P$1,FALSE)</f>
        <v>0</v>
      </c>
      <c r="U207" s="800">
        <f t="shared" si="3"/>
        <v>10</v>
      </c>
    </row>
    <row r="208" spans="1:21">
      <c r="A208" s="788">
        <v>8207</v>
      </c>
      <c r="B208" s="788" t="s">
        <v>1458</v>
      </c>
      <c r="C208" s="788">
        <v>231</v>
      </c>
      <c r="D208" s="788" t="s">
        <v>24</v>
      </c>
      <c r="E208" s="790" t="s">
        <v>1743</v>
      </c>
      <c r="F208" s="790" t="s">
        <v>2616</v>
      </c>
      <c r="G208" s="800">
        <f>VLOOKUP($E208,[2]tropical!$A$4:$AF$46,[2]tropical!C$1,FALSE)</f>
        <v>0</v>
      </c>
      <c r="H208" s="800">
        <f>VLOOKUP($E208,[2]tropical!$A$4:$AF$46,[2]tropical!D$1,FALSE)</f>
        <v>0</v>
      </c>
      <c r="I208" s="800">
        <f>VLOOKUP($E208,[2]tropical!$A$4:$AF$46,[2]tropical!E$1,FALSE)</f>
        <v>2</v>
      </c>
      <c r="J208" s="800">
        <f>VLOOKUP($E208,[2]tropical!$A$4:$AF$46,[2]tropical!F$1,FALSE)</f>
        <v>0</v>
      </c>
      <c r="K208" s="800">
        <f>VLOOKUP($E208,[2]tropical!$A$4:$AF$46,[2]tropical!G$1,FALSE)</f>
        <v>0</v>
      </c>
      <c r="L208" s="800">
        <f>VLOOKUP($E208,[2]tropical!$A$4:$AF$46,[2]tropical!H$1,FALSE)</f>
        <v>0</v>
      </c>
      <c r="M208" s="800">
        <f>VLOOKUP($E208,[2]tropical!$A$4:$AF$46,[2]tropical!I$1,FALSE)</f>
        <v>0</v>
      </c>
      <c r="N208" s="800">
        <f>VLOOKUP($E208,[2]tropical!$A$4:$AF$46,[2]tropical!J$1,FALSE)</f>
        <v>0</v>
      </c>
      <c r="O208" s="800">
        <f>VLOOKUP($E208,[2]tropical!$A$4:$AF$46,[2]tropical!K$1,FALSE)</f>
        <v>0</v>
      </c>
      <c r="P208" s="800">
        <f>VLOOKUP($E208,[2]tropical!$A$4:$AF$46,[2]tropical!L$1,FALSE)</f>
        <v>0</v>
      </c>
      <c r="Q208" s="800">
        <f>VLOOKUP($E208,[2]tropical!$A$4:$AF$46,[2]tropical!M$1,FALSE)</f>
        <v>0</v>
      </c>
      <c r="R208" s="805">
        <f>VLOOKUP($E208,[2]tropical!$A$4:$AF$46,[2]tropical!N$1,FALSE)</f>
        <v>0</v>
      </c>
      <c r="S208" s="805">
        <f>VLOOKUP($E208,[2]tropical!$A$4:$AF$46,[2]tropical!O$1,FALSE)</f>
        <v>0</v>
      </c>
      <c r="T208" s="805">
        <f>VLOOKUP($E208,[2]tropical!$A$4:$AF$46,[2]tropical!P$1,FALSE)</f>
        <v>0</v>
      </c>
      <c r="U208" s="800">
        <f t="shared" si="3"/>
        <v>2</v>
      </c>
    </row>
    <row r="209" spans="1:21">
      <c r="A209" s="788">
        <v>8208</v>
      </c>
      <c r="B209" s="788" t="s">
        <v>1463</v>
      </c>
      <c r="C209" s="788">
        <v>183</v>
      </c>
      <c r="D209" s="788" t="s">
        <v>90</v>
      </c>
      <c r="E209" s="790" t="s">
        <v>1697</v>
      </c>
      <c r="F209" s="790" t="s">
        <v>2615</v>
      </c>
      <c r="G209" s="800">
        <f>VLOOKUP($E209,[2]tropical!$A$4:$AF$46,[2]tropical!C$1,FALSE)</f>
        <v>8</v>
      </c>
      <c r="H209" s="800">
        <f>VLOOKUP($E209,[2]tropical!$A$4:$AF$46,[2]tropical!D$1,FALSE)</f>
        <v>14</v>
      </c>
      <c r="I209" s="800">
        <f>VLOOKUP($E209,[2]tropical!$A$4:$AF$46,[2]tropical!E$1,FALSE)</f>
        <v>22</v>
      </c>
      <c r="J209" s="800">
        <f>VLOOKUP($E209,[2]tropical!$A$4:$AF$46,[2]tropical!F$1,FALSE)</f>
        <v>5</v>
      </c>
      <c r="K209" s="800">
        <f>VLOOKUP($E209,[2]tropical!$A$4:$AF$46,[2]tropical!G$1,FALSE)</f>
        <v>5</v>
      </c>
      <c r="L209" s="800">
        <f>VLOOKUP($E209,[2]tropical!$A$4:$AF$46,[2]tropical!H$1,FALSE)</f>
        <v>17</v>
      </c>
      <c r="M209" s="800">
        <f>VLOOKUP($E209,[2]tropical!$A$4:$AF$46,[2]tropical!I$1,FALSE)</f>
        <v>24</v>
      </c>
      <c r="N209" s="800">
        <f>VLOOKUP($E209,[2]tropical!$A$4:$AF$46,[2]tropical!J$1,FALSE)</f>
        <v>3</v>
      </c>
      <c r="O209" s="800">
        <f>VLOOKUP($E209,[2]tropical!$A$4:$AF$46,[2]tropical!K$1,FALSE)</f>
        <v>17</v>
      </c>
      <c r="P209" s="800">
        <f>VLOOKUP($E209,[2]tropical!$A$4:$AF$46,[2]tropical!L$1,FALSE)</f>
        <v>7</v>
      </c>
      <c r="Q209" s="800">
        <f>VLOOKUP($E209,[2]tropical!$A$4:$AF$46,[2]tropical!M$1,FALSE)</f>
        <v>3</v>
      </c>
      <c r="R209" s="805">
        <f>VLOOKUP($E209,[2]tropical!$A$4:$AF$46,[2]tropical!N$1,FALSE)</f>
        <v>0</v>
      </c>
      <c r="S209" s="805">
        <f>VLOOKUP($E209,[2]tropical!$A$4:$AF$46,[2]tropical!O$1,FALSE)</f>
        <v>0</v>
      </c>
      <c r="T209" s="805">
        <f>VLOOKUP($E209,[2]tropical!$A$4:$AF$46,[2]tropical!P$1,FALSE)</f>
        <v>0</v>
      </c>
      <c r="U209" s="800">
        <f t="shared" si="3"/>
        <v>125</v>
      </c>
    </row>
    <row r="210" spans="1:21">
      <c r="A210" s="788">
        <v>8209</v>
      </c>
      <c r="B210" s="788" t="s">
        <v>1464</v>
      </c>
      <c r="C210" s="788">
        <v>112</v>
      </c>
      <c r="D210" s="788" t="s">
        <v>24</v>
      </c>
      <c r="E210" s="790" t="s">
        <v>1743</v>
      </c>
      <c r="F210" s="790" t="s">
        <v>2616</v>
      </c>
      <c r="G210" s="800">
        <f>VLOOKUP($E210,[2]tropical!$A$4:$AF$46,[2]tropical!C$1,FALSE)</f>
        <v>0</v>
      </c>
      <c r="H210" s="800">
        <f>VLOOKUP($E210,[2]tropical!$A$4:$AF$46,[2]tropical!D$1,FALSE)</f>
        <v>0</v>
      </c>
      <c r="I210" s="800">
        <f>VLOOKUP($E210,[2]tropical!$A$4:$AF$46,[2]tropical!E$1,FALSE)</f>
        <v>2</v>
      </c>
      <c r="J210" s="800">
        <f>VLOOKUP($E210,[2]tropical!$A$4:$AF$46,[2]tropical!F$1,FALSE)</f>
        <v>0</v>
      </c>
      <c r="K210" s="800">
        <f>VLOOKUP($E210,[2]tropical!$A$4:$AF$46,[2]tropical!G$1,FALSE)</f>
        <v>0</v>
      </c>
      <c r="L210" s="800">
        <f>VLOOKUP($E210,[2]tropical!$A$4:$AF$46,[2]tropical!H$1,FALSE)</f>
        <v>0</v>
      </c>
      <c r="M210" s="800">
        <f>VLOOKUP($E210,[2]tropical!$A$4:$AF$46,[2]tropical!I$1,FALSE)</f>
        <v>0</v>
      </c>
      <c r="N210" s="800">
        <f>VLOOKUP($E210,[2]tropical!$A$4:$AF$46,[2]tropical!J$1,FALSE)</f>
        <v>0</v>
      </c>
      <c r="O210" s="800">
        <f>VLOOKUP($E210,[2]tropical!$A$4:$AF$46,[2]tropical!K$1,FALSE)</f>
        <v>0</v>
      </c>
      <c r="P210" s="800">
        <f>VLOOKUP($E210,[2]tropical!$A$4:$AF$46,[2]tropical!L$1,FALSE)</f>
        <v>0</v>
      </c>
      <c r="Q210" s="800">
        <f>VLOOKUP($E210,[2]tropical!$A$4:$AF$46,[2]tropical!M$1,FALSE)</f>
        <v>0</v>
      </c>
      <c r="R210" s="805">
        <f>VLOOKUP($E210,[2]tropical!$A$4:$AF$46,[2]tropical!N$1,FALSE)</f>
        <v>0</v>
      </c>
      <c r="S210" s="805">
        <f>VLOOKUP($E210,[2]tropical!$A$4:$AF$46,[2]tropical!O$1,FALSE)</f>
        <v>0</v>
      </c>
      <c r="T210" s="805">
        <f>VLOOKUP($E210,[2]tropical!$A$4:$AF$46,[2]tropical!P$1,FALSE)</f>
        <v>0</v>
      </c>
      <c r="U210" s="800">
        <f t="shared" si="3"/>
        <v>2</v>
      </c>
    </row>
    <row r="211" spans="1:21">
      <c r="A211" s="788">
        <v>8210</v>
      </c>
      <c r="B211" s="788" t="s">
        <v>1466</v>
      </c>
      <c r="C211" s="788">
        <v>480</v>
      </c>
      <c r="D211" s="788" t="s">
        <v>24</v>
      </c>
      <c r="E211" s="790" t="s">
        <v>867</v>
      </c>
      <c r="F211" s="790" t="s">
        <v>2616</v>
      </c>
      <c r="G211" s="800">
        <f>VLOOKUP($E211,[2]tropical!$A$4:$AF$46,[2]tropical!C$1,FALSE)</f>
        <v>0</v>
      </c>
      <c r="H211" s="800">
        <f>VLOOKUP($E211,[2]tropical!$A$4:$AF$46,[2]tropical!D$1,FALSE)</f>
        <v>1</v>
      </c>
      <c r="I211" s="800">
        <f>VLOOKUP($E211,[2]tropical!$A$4:$AF$46,[2]tropical!E$1,FALSE)</f>
        <v>2</v>
      </c>
      <c r="J211" s="800">
        <f>VLOOKUP($E211,[2]tropical!$A$4:$AF$46,[2]tropical!F$1,FALSE)</f>
        <v>1</v>
      </c>
      <c r="K211" s="800">
        <f>VLOOKUP($E211,[2]tropical!$A$4:$AF$46,[2]tropical!G$1,FALSE)</f>
        <v>0</v>
      </c>
      <c r="L211" s="800">
        <f>VLOOKUP($E211,[2]tropical!$A$4:$AF$46,[2]tropical!H$1,FALSE)</f>
        <v>2</v>
      </c>
      <c r="M211" s="800">
        <f>VLOOKUP($E211,[2]tropical!$A$4:$AF$46,[2]tropical!I$1,FALSE)</f>
        <v>0</v>
      </c>
      <c r="N211" s="800">
        <f>VLOOKUP($E211,[2]tropical!$A$4:$AF$46,[2]tropical!J$1,FALSE)</f>
        <v>0</v>
      </c>
      <c r="O211" s="800">
        <f>VLOOKUP($E211,[2]tropical!$A$4:$AF$46,[2]tropical!K$1,FALSE)</f>
        <v>2</v>
      </c>
      <c r="P211" s="800">
        <f>VLOOKUP($E211,[2]tropical!$A$4:$AF$46,[2]tropical!L$1,FALSE)</f>
        <v>0</v>
      </c>
      <c r="Q211" s="800">
        <f>VLOOKUP($E211,[2]tropical!$A$4:$AF$46,[2]tropical!M$1,FALSE)</f>
        <v>0</v>
      </c>
      <c r="R211" s="805">
        <f>VLOOKUP($E211,[2]tropical!$A$4:$AF$46,[2]tropical!N$1,FALSE)</f>
        <v>0</v>
      </c>
      <c r="S211" s="805">
        <f>VLOOKUP($E211,[2]tropical!$A$4:$AF$46,[2]tropical!O$1,FALSE)</f>
        <v>0</v>
      </c>
      <c r="T211" s="805">
        <f>VLOOKUP($E211,[2]tropical!$A$4:$AF$46,[2]tropical!P$1,FALSE)</f>
        <v>0</v>
      </c>
      <c r="U211" s="800">
        <f t="shared" si="3"/>
        <v>8</v>
      </c>
    </row>
    <row r="212" spans="1:21">
      <c r="A212" s="788">
        <v>8211</v>
      </c>
      <c r="B212" s="792" t="s">
        <v>1028</v>
      </c>
      <c r="C212" s="788">
        <v>25</v>
      </c>
      <c r="D212" s="788" t="s">
        <v>90</v>
      </c>
      <c r="E212" s="790" t="s">
        <v>357</v>
      </c>
      <c r="F212" s="790" t="s">
        <v>2615</v>
      </c>
      <c r="G212" s="800">
        <f>VLOOKUP($E212,[2]tropical!$A$4:$AF$46,[2]tropical!C$1,FALSE)</f>
        <v>33</v>
      </c>
      <c r="H212" s="800">
        <f>VLOOKUP($E212,[2]tropical!$A$4:$AF$46,[2]tropical!D$1,FALSE)</f>
        <v>25</v>
      </c>
      <c r="I212" s="800">
        <f>VLOOKUP($E212,[2]tropical!$A$4:$AF$46,[2]tropical!E$1,FALSE)</f>
        <v>28</v>
      </c>
      <c r="J212" s="800">
        <f>VLOOKUP($E212,[2]tropical!$A$4:$AF$46,[2]tropical!F$1,FALSE)</f>
        <v>10</v>
      </c>
      <c r="K212" s="800">
        <f>VLOOKUP($E212,[2]tropical!$A$4:$AF$46,[2]tropical!G$1,FALSE)</f>
        <v>21</v>
      </c>
      <c r="L212" s="800">
        <f>VLOOKUP($E212,[2]tropical!$A$4:$AF$46,[2]tropical!H$1,FALSE)</f>
        <v>36</v>
      </c>
      <c r="M212" s="800">
        <f>VLOOKUP($E212,[2]tropical!$A$4:$AF$46,[2]tropical!I$1,FALSE)</f>
        <v>23</v>
      </c>
      <c r="N212" s="800">
        <f>VLOOKUP($E212,[2]tropical!$A$4:$AF$46,[2]tropical!J$1,FALSE)</f>
        <v>16</v>
      </c>
      <c r="O212" s="800">
        <f>VLOOKUP($E212,[2]tropical!$A$4:$AF$46,[2]tropical!K$1,FALSE)</f>
        <v>22</v>
      </c>
      <c r="P212" s="800">
        <f>VLOOKUP($E212,[2]tropical!$A$4:$AF$46,[2]tropical!L$1,FALSE)</f>
        <v>19</v>
      </c>
      <c r="Q212" s="800">
        <f>VLOOKUP($E212,[2]tropical!$A$4:$AF$46,[2]tropical!M$1,FALSE)</f>
        <v>13</v>
      </c>
      <c r="R212" s="805">
        <f>VLOOKUP($E212,[2]tropical!$A$4:$AF$46,[2]tropical!N$1,FALSE)</f>
        <v>0</v>
      </c>
      <c r="S212" s="805">
        <f>VLOOKUP($E212,[2]tropical!$A$4:$AF$46,[2]tropical!O$1,FALSE)</f>
        <v>0</v>
      </c>
      <c r="T212" s="805">
        <f>VLOOKUP($E212,[2]tropical!$A$4:$AF$46,[2]tropical!P$1,FALSE)</f>
        <v>0</v>
      </c>
      <c r="U212" s="800">
        <f t="shared" si="3"/>
        <v>246</v>
      </c>
    </row>
    <row r="213" spans="1:21">
      <c r="A213" s="788">
        <v>8212</v>
      </c>
      <c r="B213" s="788" t="s">
        <v>1470</v>
      </c>
      <c r="C213" s="788">
        <v>617</v>
      </c>
      <c r="D213" s="788" t="s">
        <v>82</v>
      </c>
      <c r="E213" s="790" t="s">
        <v>1004</v>
      </c>
      <c r="F213" s="790" t="s">
        <v>2616</v>
      </c>
      <c r="G213" s="800">
        <f>VLOOKUP($E213,[2]tropical!$A$4:$AF$46,[2]tropical!C$1,FALSE)</f>
        <v>0</v>
      </c>
      <c r="H213" s="800">
        <f>VLOOKUP($E213,[2]tropical!$A$4:$AF$46,[2]tropical!D$1,FALSE)</f>
        <v>0</v>
      </c>
      <c r="I213" s="800">
        <f>VLOOKUP($E213,[2]tropical!$A$4:$AF$46,[2]tropical!E$1,FALSE)</f>
        <v>0</v>
      </c>
      <c r="J213" s="800">
        <f>VLOOKUP($E213,[2]tropical!$A$4:$AF$46,[2]tropical!F$1,FALSE)</f>
        <v>0</v>
      </c>
      <c r="K213" s="800">
        <f>VLOOKUP($E213,[2]tropical!$A$4:$AF$46,[2]tropical!G$1,FALSE)</f>
        <v>0</v>
      </c>
      <c r="L213" s="800">
        <f>VLOOKUP($E213,[2]tropical!$A$4:$AF$46,[2]tropical!H$1,FALSE)</f>
        <v>0</v>
      </c>
      <c r="M213" s="800">
        <f>VLOOKUP($E213,[2]tropical!$A$4:$AF$46,[2]tropical!I$1,FALSE)</f>
        <v>0</v>
      </c>
      <c r="N213" s="800">
        <f>VLOOKUP($E213,[2]tropical!$A$4:$AF$46,[2]tropical!J$1,FALSE)</f>
        <v>0</v>
      </c>
      <c r="O213" s="800">
        <f>VLOOKUP($E213,[2]tropical!$A$4:$AF$46,[2]tropical!K$1,FALSE)</f>
        <v>3</v>
      </c>
      <c r="P213" s="800">
        <f>VLOOKUP($E213,[2]tropical!$A$4:$AF$46,[2]tropical!L$1,FALSE)</f>
        <v>0</v>
      </c>
      <c r="Q213" s="800">
        <f>VLOOKUP($E213,[2]tropical!$A$4:$AF$46,[2]tropical!M$1,FALSE)</f>
        <v>0</v>
      </c>
      <c r="R213" s="805">
        <f>VLOOKUP($E213,[2]tropical!$A$4:$AF$46,[2]tropical!N$1,FALSE)</f>
        <v>0</v>
      </c>
      <c r="S213" s="805">
        <f>VLOOKUP($E213,[2]tropical!$A$4:$AF$46,[2]tropical!O$1,FALSE)</f>
        <v>0</v>
      </c>
      <c r="T213" s="805">
        <f>VLOOKUP($E213,[2]tropical!$A$4:$AF$46,[2]tropical!P$1,FALSE)</f>
        <v>0</v>
      </c>
      <c r="U213" s="800">
        <f t="shared" si="3"/>
        <v>3</v>
      </c>
    </row>
    <row r="214" spans="1:21">
      <c r="A214" s="788">
        <v>8213</v>
      </c>
      <c r="B214" s="792" t="s">
        <v>1473</v>
      </c>
      <c r="C214" s="788">
        <v>247</v>
      </c>
      <c r="D214" s="788" t="s">
        <v>82</v>
      </c>
      <c r="E214" s="790" t="s">
        <v>767</v>
      </c>
      <c r="F214" s="790" t="s">
        <v>2616</v>
      </c>
      <c r="G214" s="800">
        <f>VLOOKUP($E214,[2]tropical!$A$4:$AF$46,[2]tropical!C$1,FALSE)</f>
        <v>0</v>
      </c>
      <c r="H214" s="800">
        <f>VLOOKUP($E214,[2]tropical!$A$4:$AF$46,[2]tropical!D$1,FALSE)</f>
        <v>0</v>
      </c>
      <c r="I214" s="800">
        <f>VLOOKUP($E214,[2]tropical!$A$4:$AF$46,[2]tropical!E$1,FALSE)</f>
        <v>2</v>
      </c>
      <c r="J214" s="800">
        <f>VLOOKUP($E214,[2]tropical!$A$4:$AF$46,[2]tropical!F$1,FALSE)</f>
        <v>0</v>
      </c>
      <c r="K214" s="800">
        <f>VLOOKUP($E214,[2]tropical!$A$4:$AF$46,[2]tropical!G$1,FALSE)</f>
        <v>0</v>
      </c>
      <c r="L214" s="800">
        <f>VLOOKUP($E214,[2]tropical!$A$4:$AF$46,[2]tropical!H$1,FALSE)</f>
        <v>0</v>
      </c>
      <c r="M214" s="800">
        <f>VLOOKUP($E214,[2]tropical!$A$4:$AF$46,[2]tropical!I$1,FALSE)</f>
        <v>0</v>
      </c>
      <c r="N214" s="800">
        <f>VLOOKUP($E214,[2]tropical!$A$4:$AF$46,[2]tropical!J$1,FALSE)</f>
        <v>0</v>
      </c>
      <c r="O214" s="800">
        <f>VLOOKUP($E214,[2]tropical!$A$4:$AF$46,[2]tropical!K$1,FALSE)</f>
        <v>0</v>
      </c>
      <c r="P214" s="800">
        <f>VLOOKUP($E214,[2]tropical!$A$4:$AF$46,[2]tropical!L$1,FALSE)</f>
        <v>0</v>
      </c>
      <c r="Q214" s="800">
        <f>VLOOKUP($E214,[2]tropical!$A$4:$AF$46,[2]tropical!M$1,FALSE)</f>
        <v>0</v>
      </c>
      <c r="R214" s="805">
        <f>VLOOKUP($E214,[2]tropical!$A$4:$AF$46,[2]tropical!N$1,FALSE)</f>
        <v>0</v>
      </c>
      <c r="S214" s="805">
        <f>VLOOKUP($E214,[2]tropical!$A$4:$AF$46,[2]tropical!O$1,FALSE)</f>
        <v>0</v>
      </c>
      <c r="T214" s="805">
        <f>VLOOKUP($E214,[2]tropical!$A$4:$AF$46,[2]tropical!P$1,FALSE)</f>
        <v>0</v>
      </c>
      <c r="U214" s="800">
        <f t="shared" si="3"/>
        <v>2</v>
      </c>
    </row>
    <row r="215" spans="1:21">
      <c r="A215" s="788">
        <v>8214</v>
      </c>
      <c r="B215" s="788" t="s">
        <v>1474</v>
      </c>
      <c r="C215" s="788">
        <v>142</v>
      </c>
      <c r="D215" s="788" t="s">
        <v>86</v>
      </c>
      <c r="E215" s="790" t="s">
        <v>352</v>
      </c>
      <c r="F215" s="790" t="s">
        <v>2615</v>
      </c>
      <c r="G215" s="800">
        <f>VLOOKUP($E215,[2]tropical!$A$4:$AF$46,[2]tropical!C$1,FALSE)</f>
        <v>41</v>
      </c>
      <c r="H215" s="800">
        <f>VLOOKUP($E215,[2]tropical!$A$4:$AF$46,[2]tropical!D$1,FALSE)</f>
        <v>57</v>
      </c>
      <c r="I215" s="800">
        <f>VLOOKUP($E215,[2]tropical!$A$4:$AF$46,[2]tropical!E$1,FALSE)</f>
        <v>52</v>
      </c>
      <c r="J215" s="800">
        <f>VLOOKUP($E215,[2]tropical!$A$4:$AF$46,[2]tropical!F$1,FALSE)</f>
        <v>9</v>
      </c>
      <c r="K215" s="800">
        <f>VLOOKUP($E215,[2]tropical!$A$4:$AF$46,[2]tropical!G$1,FALSE)</f>
        <v>37</v>
      </c>
      <c r="L215" s="800">
        <f>VLOOKUP($E215,[2]tropical!$A$4:$AF$46,[2]tropical!H$1,FALSE)</f>
        <v>47</v>
      </c>
      <c r="M215" s="800">
        <f>VLOOKUP($E215,[2]tropical!$A$4:$AF$46,[2]tropical!I$1,FALSE)</f>
        <v>42</v>
      </c>
      <c r="N215" s="800">
        <f>VLOOKUP($E215,[2]tropical!$A$4:$AF$46,[2]tropical!J$1,FALSE)</f>
        <v>27</v>
      </c>
      <c r="O215" s="800">
        <f>VLOOKUP($E215,[2]tropical!$A$4:$AF$46,[2]tropical!K$1,FALSE)</f>
        <v>39</v>
      </c>
      <c r="P215" s="800">
        <f>VLOOKUP($E215,[2]tropical!$A$4:$AF$46,[2]tropical!L$1,FALSE)</f>
        <v>32</v>
      </c>
      <c r="Q215" s="800">
        <f>VLOOKUP($E215,[2]tropical!$A$4:$AF$46,[2]tropical!M$1,FALSE)</f>
        <v>20</v>
      </c>
      <c r="R215" s="805">
        <f>VLOOKUP($E215,[2]tropical!$A$4:$AF$46,[2]tropical!N$1,FALSE)</f>
        <v>0</v>
      </c>
      <c r="S215" s="805">
        <f>VLOOKUP($E215,[2]tropical!$A$4:$AF$46,[2]tropical!O$1,FALSE)</f>
        <v>0</v>
      </c>
      <c r="T215" s="805">
        <f>VLOOKUP($E215,[2]tropical!$A$4:$AF$46,[2]tropical!P$1,FALSE)</f>
        <v>0</v>
      </c>
      <c r="U215" s="800">
        <f t="shared" si="3"/>
        <v>403</v>
      </c>
    </row>
    <row r="216" spans="1:21">
      <c r="A216" s="788">
        <v>8215</v>
      </c>
      <c r="B216" s="788" t="s">
        <v>1477</v>
      </c>
      <c r="C216" s="788">
        <v>536</v>
      </c>
      <c r="D216" s="788" t="s">
        <v>88</v>
      </c>
      <c r="E216" s="790" t="s">
        <v>1127</v>
      </c>
      <c r="F216" s="790" t="s">
        <v>2617</v>
      </c>
      <c r="G216" s="800">
        <f>VLOOKUP($E216,[2]tropical!$A$4:$AF$46,[2]tropical!C$1,FALSE)</f>
        <v>0</v>
      </c>
      <c r="H216" s="800">
        <f>VLOOKUP($E216,[2]tropical!$A$4:$AF$46,[2]tropical!D$1,FALSE)</f>
        <v>0</v>
      </c>
      <c r="I216" s="800">
        <f>VLOOKUP($E216,[2]tropical!$A$4:$AF$46,[2]tropical!E$1,FALSE)</f>
        <v>0</v>
      </c>
      <c r="J216" s="800">
        <f>VLOOKUP($E216,[2]tropical!$A$4:$AF$46,[2]tropical!F$1,FALSE)</f>
        <v>0</v>
      </c>
      <c r="K216" s="800">
        <f>VLOOKUP($E216,[2]tropical!$A$4:$AF$46,[2]tropical!G$1,FALSE)</f>
        <v>0</v>
      </c>
      <c r="L216" s="800">
        <f>VLOOKUP($E216,[2]tropical!$A$4:$AF$46,[2]tropical!H$1,FALSE)</f>
        <v>0</v>
      </c>
      <c r="M216" s="800">
        <f>VLOOKUP($E216,[2]tropical!$A$4:$AF$46,[2]tropical!I$1,FALSE)</f>
        <v>0</v>
      </c>
      <c r="N216" s="800">
        <f>VLOOKUP($E216,[2]tropical!$A$4:$AF$46,[2]tropical!J$1,FALSE)</f>
        <v>0</v>
      </c>
      <c r="O216" s="800">
        <f>VLOOKUP($E216,[2]tropical!$A$4:$AF$46,[2]tropical!K$1,FALSE)</f>
        <v>0</v>
      </c>
      <c r="P216" s="800">
        <f>VLOOKUP($E216,[2]tropical!$A$4:$AF$46,[2]tropical!L$1,FALSE)</f>
        <v>0</v>
      </c>
      <c r="Q216" s="800">
        <f>VLOOKUP($E216,[2]tropical!$A$4:$AF$46,[2]tropical!M$1,FALSE)</f>
        <v>0</v>
      </c>
      <c r="R216" s="805">
        <f>VLOOKUP($E216,[2]tropical!$A$4:$AF$46,[2]tropical!N$1,FALSE)</f>
        <v>0</v>
      </c>
      <c r="S216" s="805">
        <f>VLOOKUP($E216,[2]tropical!$A$4:$AF$46,[2]tropical!O$1,FALSE)</f>
        <v>0</v>
      </c>
      <c r="T216" s="805">
        <f>VLOOKUP($E216,[2]tropical!$A$4:$AF$46,[2]tropical!P$1,FALSE)</f>
        <v>0</v>
      </c>
      <c r="U216" s="800">
        <f t="shared" si="3"/>
        <v>0</v>
      </c>
    </row>
    <row r="217" spans="1:21">
      <c r="A217" s="788">
        <v>8216</v>
      </c>
      <c r="B217" s="788" t="s">
        <v>1479</v>
      </c>
      <c r="C217" s="788">
        <v>1072</v>
      </c>
      <c r="D217" s="788" t="s">
        <v>84</v>
      </c>
      <c r="E217" s="790" t="s">
        <v>1105</v>
      </c>
      <c r="F217" s="790" t="s">
        <v>2617</v>
      </c>
      <c r="G217" s="800">
        <f>VLOOKUP($E217,[2]tropical!$A$4:$AF$46,[2]tropical!C$1,FALSE)</f>
        <v>0</v>
      </c>
      <c r="H217" s="800">
        <f>VLOOKUP($E217,[2]tropical!$A$4:$AF$46,[2]tropical!D$1,FALSE)</f>
        <v>0</v>
      </c>
      <c r="I217" s="800">
        <f>VLOOKUP($E217,[2]tropical!$A$4:$AF$46,[2]tropical!E$1,FALSE)</f>
        <v>0</v>
      </c>
      <c r="J217" s="800">
        <f>VLOOKUP($E217,[2]tropical!$A$4:$AF$46,[2]tropical!F$1,FALSE)</f>
        <v>0</v>
      </c>
      <c r="K217" s="800">
        <f>VLOOKUP($E217,[2]tropical!$A$4:$AF$46,[2]tropical!G$1,FALSE)</f>
        <v>0</v>
      </c>
      <c r="L217" s="800">
        <f>VLOOKUP($E217,[2]tropical!$A$4:$AF$46,[2]tropical!H$1,FALSE)</f>
        <v>0</v>
      </c>
      <c r="M217" s="800">
        <f>VLOOKUP($E217,[2]tropical!$A$4:$AF$46,[2]tropical!I$1,FALSE)</f>
        <v>0</v>
      </c>
      <c r="N217" s="800">
        <f>VLOOKUP($E217,[2]tropical!$A$4:$AF$46,[2]tropical!J$1,FALSE)</f>
        <v>0</v>
      </c>
      <c r="O217" s="800">
        <f>VLOOKUP($E217,[2]tropical!$A$4:$AF$46,[2]tropical!K$1,FALSE)</f>
        <v>0</v>
      </c>
      <c r="P217" s="800">
        <f>VLOOKUP($E217,[2]tropical!$A$4:$AF$46,[2]tropical!L$1,FALSE)</f>
        <v>0</v>
      </c>
      <c r="Q217" s="800">
        <f>VLOOKUP($E217,[2]tropical!$A$4:$AF$46,[2]tropical!M$1,FALSE)</f>
        <v>0</v>
      </c>
      <c r="R217" s="805">
        <f>VLOOKUP($E217,[2]tropical!$A$4:$AF$46,[2]tropical!N$1,FALSE)</f>
        <v>0</v>
      </c>
      <c r="S217" s="805">
        <f>VLOOKUP($E217,[2]tropical!$A$4:$AF$46,[2]tropical!O$1,FALSE)</f>
        <v>0</v>
      </c>
      <c r="T217" s="805">
        <f>VLOOKUP($E217,[2]tropical!$A$4:$AF$46,[2]tropical!P$1,FALSE)</f>
        <v>0</v>
      </c>
      <c r="U217" s="800">
        <f t="shared" si="3"/>
        <v>0</v>
      </c>
    </row>
    <row r="218" spans="1:21">
      <c r="A218" s="788">
        <v>8217</v>
      </c>
      <c r="B218" s="793" t="s">
        <v>1481</v>
      </c>
      <c r="C218" s="788">
        <v>10</v>
      </c>
      <c r="D218" s="788" t="s">
        <v>90</v>
      </c>
      <c r="E218" s="790" t="s">
        <v>357</v>
      </c>
      <c r="F218" s="790" t="s">
        <v>2615</v>
      </c>
      <c r="G218" s="800">
        <f>VLOOKUP($E218,[2]tropical!$A$4:$AF$46,[2]tropical!C$1,FALSE)</f>
        <v>33</v>
      </c>
      <c r="H218" s="800">
        <f>VLOOKUP($E218,[2]tropical!$A$4:$AF$46,[2]tropical!D$1,FALSE)</f>
        <v>25</v>
      </c>
      <c r="I218" s="800">
        <f>VLOOKUP($E218,[2]tropical!$A$4:$AF$46,[2]tropical!E$1,FALSE)</f>
        <v>28</v>
      </c>
      <c r="J218" s="800">
        <f>VLOOKUP($E218,[2]tropical!$A$4:$AF$46,[2]tropical!F$1,FALSE)</f>
        <v>10</v>
      </c>
      <c r="K218" s="800">
        <f>VLOOKUP($E218,[2]tropical!$A$4:$AF$46,[2]tropical!G$1,FALSE)</f>
        <v>21</v>
      </c>
      <c r="L218" s="800">
        <f>VLOOKUP($E218,[2]tropical!$A$4:$AF$46,[2]tropical!H$1,FALSE)</f>
        <v>36</v>
      </c>
      <c r="M218" s="800">
        <f>VLOOKUP($E218,[2]tropical!$A$4:$AF$46,[2]tropical!I$1,FALSE)</f>
        <v>23</v>
      </c>
      <c r="N218" s="800">
        <f>VLOOKUP($E218,[2]tropical!$A$4:$AF$46,[2]tropical!J$1,FALSE)</f>
        <v>16</v>
      </c>
      <c r="O218" s="800">
        <f>VLOOKUP($E218,[2]tropical!$A$4:$AF$46,[2]tropical!K$1,FALSE)</f>
        <v>22</v>
      </c>
      <c r="P218" s="800">
        <f>VLOOKUP($E218,[2]tropical!$A$4:$AF$46,[2]tropical!L$1,FALSE)</f>
        <v>19</v>
      </c>
      <c r="Q218" s="800">
        <f>VLOOKUP($E218,[2]tropical!$A$4:$AF$46,[2]tropical!M$1,FALSE)</f>
        <v>13</v>
      </c>
      <c r="R218" s="805">
        <f>VLOOKUP($E218,[2]tropical!$A$4:$AF$46,[2]tropical!N$1,FALSE)</f>
        <v>0</v>
      </c>
      <c r="S218" s="805">
        <f>VLOOKUP($E218,[2]tropical!$A$4:$AF$46,[2]tropical!O$1,FALSE)</f>
        <v>0</v>
      </c>
      <c r="T218" s="805">
        <f>VLOOKUP($E218,[2]tropical!$A$4:$AF$46,[2]tropical!P$1,FALSE)</f>
        <v>0</v>
      </c>
      <c r="U218" s="800">
        <f t="shared" si="3"/>
        <v>246</v>
      </c>
    </row>
    <row r="219" spans="1:21">
      <c r="A219" s="788">
        <v>8218</v>
      </c>
      <c r="B219" s="788" t="s">
        <v>1482</v>
      </c>
      <c r="C219" s="788">
        <v>277</v>
      </c>
      <c r="D219" s="788" t="s">
        <v>82</v>
      </c>
      <c r="E219" s="790" t="s">
        <v>2610</v>
      </c>
      <c r="F219" s="790" t="s">
        <v>2616</v>
      </c>
      <c r="G219" s="800">
        <f>VLOOKUP($E219,[2]tropical!$A$4:$AF$46,[2]tropical!C$1,FALSE)</f>
        <v>0</v>
      </c>
      <c r="H219" s="800">
        <f>VLOOKUP($E219,[2]tropical!$A$4:$AF$46,[2]tropical!D$1,FALSE)</f>
        <v>2</v>
      </c>
      <c r="I219" s="800">
        <f>VLOOKUP($E219,[2]tropical!$A$4:$AF$46,[2]tropical!E$1,FALSE)</f>
        <v>2</v>
      </c>
      <c r="J219" s="800">
        <f>VLOOKUP($E219,[2]tropical!$A$4:$AF$46,[2]tropical!F$1,FALSE)</f>
        <v>0</v>
      </c>
      <c r="K219" s="800">
        <f>VLOOKUP($E219,[2]tropical!$A$4:$AF$46,[2]tropical!G$1,FALSE)</f>
        <v>0</v>
      </c>
      <c r="L219" s="800">
        <f>VLOOKUP($E219,[2]tropical!$A$4:$AF$46,[2]tropical!H$1,FALSE)</f>
        <v>0</v>
      </c>
      <c r="M219" s="800">
        <f>VLOOKUP($E219,[2]tropical!$A$4:$AF$46,[2]tropical!I$1,FALSE)</f>
        <v>0</v>
      </c>
      <c r="N219" s="800">
        <f>VLOOKUP($E219,[2]tropical!$A$4:$AF$46,[2]tropical!J$1,FALSE)</f>
        <v>0</v>
      </c>
      <c r="O219" s="800">
        <f>VLOOKUP($E219,[2]tropical!$A$4:$AF$46,[2]tropical!K$1,FALSE)</f>
        <v>1</v>
      </c>
      <c r="P219" s="800">
        <f>VLOOKUP($E219,[2]tropical!$A$4:$AF$46,[2]tropical!L$1,FALSE)</f>
        <v>0</v>
      </c>
      <c r="Q219" s="800">
        <f>VLOOKUP($E219,[2]tropical!$A$4:$AF$46,[2]tropical!M$1,FALSE)</f>
        <v>0</v>
      </c>
      <c r="R219" s="805">
        <f>VLOOKUP($E219,[2]tropical!$A$4:$AF$46,[2]tropical!N$1,FALSE)</f>
        <v>0</v>
      </c>
      <c r="S219" s="805">
        <f>VLOOKUP($E219,[2]tropical!$A$4:$AF$46,[2]tropical!O$1,FALSE)</f>
        <v>0</v>
      </c>
      <c r="T219" s="805">
        <f>VLOOKUP($E219,[2]tropical!$A$4:$AF$46,[2]tropical!P$1,FALSE)</f>
        <v>0</v>
      </c>
      <c r="U219" s="800">
        <f t="shared" si="3"/>
        <v>5</v>
      </c>
    </row>
    <row r="220" spans="1:21">
      <c r="A220" s="788">
        <v>8219</v>
      </c>
      <c r="B220" s="788" t="s">
        <v>352</v>
      </c>
      <c r="C220" s="788">
        <v>10</v>
      </c>
      <c r="D220" s="788" t="s">
        <v>86</v>
      </c>
      <c r="E220" s="790" t="s">
        <v>352</v>
      </c>
      <c r="F220" s="790" t="s">
        <v>2615</v>
      </c>
      <c r="G220" s="800">
        <f>VLOOKUP($E220,[2]tropical!$A$4:$AF$46,[2]tropical!C$1,FALSE)</f>
        <v>41</v>
      </c>
      <c r="H220" s="800">
        <f>VLOOKUP($E220,[2]tropical!$A$4:$AF$46,[2]tropical!D$1,FALSE)</f>
        <v>57</v>
      </c>
      <c r="I220" s="800">
        <f>VLOOKUP($E220,[2]tropical!$A$4:$AF$46,[2]tropical!E$1,FALSE)</f>
        <v>52</v>
      </c>
      <c r="J220" s="800">
        <f>VLOOKUP($E220,[2]tropical!$A$4:$AF$46,[2]tropical!F$1,FALSE)</f>
        <v>9</v>
      </c>
      <c r="K220" s="800">
        <f>VLOOKUP($E220,[2]tropical!$A$4:$AF$46,[2]tropical!G$1,FALSE)</f>
        <v>37</v>
      </c>
      <c r="L220" s="800">
        <f>VLOOKUP($E220,[2]tropical!$A$4:$AF$46,[2]tropical!H$1,FALSE)</f>
        <v>47</v>
      </c>
      <c r="M220" s="800">
        <f>VLOOKUP($E220,[2]tropical!$A$4:$AF$46,[2]tropical!I$1,FALSE)</f>
        <v>42</v>
      </c>
      <c r="N220" s="800">
        <f>VLOOKUP($E220,[2]tropical!$A$4:$AF$46,[2]tropical!J$1,FALSE)</f>
        <v>27</v>
      </c>
      <c r="O220" s="800">
        <f>VLOOKUP($E220,[2]tropical!$A$4:$AF$46,[2]tropical!K$1,FALSE)</f>
        <v>39</v>
      </c>
      <c r="P220" s="800">
        <f>VLOOKUP($E220,[2]tropical!$A$4:$AF$46,[2]tropical!L$1,FALSE)</f>
        <v>32</v>
      </c>
      <c r="Q220" s="800">
        <f>VLOOKUP($E220,[2]tropical!$A$4:$AF$46,[2]tropical!M$1,FALSE)</f>
        <v>20</v>
      </c>
      <c r="R220" s="805">
        <f>VLOOKUP($E220,[2]tropical!$A$4:$AF$46,[2]tropical!N$1,FALSE)</f>
        <v>0</v>
      </c>
      <c r="S220" s="805">
        <f>VLOOKUP($E220,[2]tropical!$A$4:$AF$46,[2]tropical!O$1,FALSE)</f>
        <v>0</v>
      </c>
      <c r="T220" s="805">
        <f>VLOOKUP($E220,[2]tropical!$A$4:$AF$46,[2]tropical!P$1,FALSE)</f>
        <v>0</v>
      </c>
      <c r="U220" s="800">
        <f t="shared" si="3"/>
        <v>403</v>
      </c>
    </row>
    <row r="221" spans="1:21">
      <c r="A221" s="788">
        <v>8220</v>
      </c>
      <c r="B221" s="788" t="s">
        <v>1485</v>
      </c>
      <c r="C221" s="788">
        <v>600</v>
      </c>
      <c r="D221" s="788" t="s">
        <v>88</v>
      </c>
      <c r="E221" s="790" t="s">
        <v>1127</v>
      </c>
      <c r="F221" s="790" t="s">
        <v>2617</v>
      </c>
      <c r="G221" s="800">
        <f>VLOOKUP($E221,[2]tropical!$A$4:$AF$46,[2]tropical!C$1,FALSE)</f>
        <v>0</v>
      </c>
      <c r="H221" s="800">
        <f>VLOOKUP($E221,[2]tropical!$A$4:$AF$46,[2]tropical!D$1,FALSE)</f>
        <v>0</v>
      </c>
      <c r="I221" s="800">
        <f>VLOOKUP($E221,[2]tropical!$A$4:$AF$46,[2]tropical!E$1,FALSE)</f>
        <v>0</v>
      </c>
      <c r="J221" s="800">
        <f>VLOOKUP($E221,[2]tropical!$A$4:$AF$46,[2]tropical!F$1,FALSE)</f>
        <v>0</v>
      </c>
      <c r="K221" s="800">
        <f>VLOOKUP($E221,[2]tropical!$A$4:$AF$46,[2]tropical!G$1,FALSE)</f>
        <v>0</v>
      </c>
      <c r="L221" s="800">
        <f>VLOOKUP($E221,[2]tropical!$A$4:$AF$46,[2]tropical!H$1,FALSE)</f>
        <v>0</v>
      </c>
      <c r="M221" s="800">
        <f>VLOOKUP($E221,[2]tropical!$A$4:$AF$46,[2]tropical!I$1,FALSE)</f>
        <v>0</v>
      </c>
      <c r="N221" s="800">
        <f>VLOOKUP($E221,[2]tropical!$A$4:$AF$46,[2]tropical!J$1,FALSE)</f>
        <v>0</v>
      </c>
      <c r="O221" s="800">
        <f>VLOOKUP($E221,[2]tropical!$A$4:$AF$46,[2]tropical!K$1,FALSE)</f>
        <v>0</v>
      </c>
      <c r="P221" s="800">
        <f>VLOOKUP($E221,[2]tropical!$A$4:$AF$46,[2]tropical!L$1,FALSE)</f>
        <v>0</v>
      </c>
      <c r="Q221" s="800">
        <f>VLOOKUP($E221,[2]tropical!$A$4:$AF$46,[2]tropical!M$1,FALSE)</f>
        <v>0</v>
      </c>
      <c r="R221" s="805">
        <f>VLOOKUP($E221,[2]tropical!$A$4:$AF$46,[2]tropical!N$1,FALSE)</f>
        <v>0</v>
      </c>
      <c r="S221" s="805">
        <f>VLOOKUP($E221,[2]tropical!$A$4:$AF$46,[2]tropical!O$1,FALSE)</f>
        <v>0</v>
      </c>
      <c r="T221" s="805">
        <f>VLOOKUP($E221,[2]tropical!$A$4:$AF$46,[2]tropical!P$1,FALSE)</f>
        <v>0</v>
      </c>
      <c r="U221" s="800">
        <f t="shared" si="3"/>
        <v>0</v>
      </c>
    </row>
    <row r="222" spans="1:21">
      <c r="A222" s="788">
        <v>8221</v>
      </c>
      <c r="B222" s="788" t="s">
        <v>1489</v>
      </c>
      <c r="C222" s="788">
        <v>122</v>
      </c>
      <c r="D222" s="788" t="s">
        <v>90</v>
      </c>
      <c r="E222" s="790" t="s">
        <v>357</v>
      </c>
      <c r="F222" s="790" t="s">
        <v>2615</v>
      </c>
      <c r="G222" s="800">
        <f>VLOOKUP($E222,[2]tropical!$A$4:$AF$46,[2]tropical!C$1,FALSE)</f>
        <v>33</v>
      </c>
      <c r="H222" s="800">
        <f>VLOOKUP($E222,[2]tropical!$A$4:$AF$46,[2]tropical!D$1,FALSE)</f>
        <v>25</v>
      </c>
      <c r="I222" s="800">
        <f>VLOOKUP($E222,[2]tropical!$A$4:$AF$46,[2]tropical!E$1,FALSE)</f>
        <v>28</v>
      </c>
      <c r="J222" s="800">
        <f>VLOOKUP($E222,[2]tropical!$A$4:$AF$46,[2]tropical!F$1,FALSE)</f>
        <v>10</v>
      </c>
      <c r="K222" s="800">
        <f>VLOOKUP($E222,[2]tropical!$A$4:$AF$46,[2]tropical!G$1,FALSE)</f>
        <v>21</v>
      </c>
      <c r="L222" s="800">
        <f>VLOOKUP($E222,[2]tropical!$A$4:$AF$46,[2]tropical!H$1,FALSE)</f>
        <v>36</v>
      </c>
      <c r="M222" s="800">
        <f>VLOOKUP($E222,[2]tropical!$A$4:$AF$46,[2]tropical!I$1,FALSE)</f>
        <v>23</v>
      </c>
      <c r="N222" s="800">
        <f>VLOOKUP($E222,[2]tropical!$A$4:$AF$46,[2]tropical!J$1,FALSE)</f>
        <v>16</v>
      </c>
      <c r="O222" s="800">
        <f>VLOOKUP($E222,[2]tropical!$A$4:$AF$46,[2]tropical!K$1,FALSE)</f>
        <v>22</v>
      </c>
      <c r="P222" s="800">
        <f>VLOOKUP($E222,[2]tropical!$A$4:$AF$46,[2]tropical!L$1,FALSE)</f>
        <v>19</v>
      </c>
      <c r="Q222" s="800">
        <f>VLOOKUP($E222,[2]tropical!$A$4:$AF$46,[2]tropical!M$1,FALSE)</f>
        <v>13</v>
      </c>
      <c r="R222" s="805">
        <f>VLOOKUP($E222,[2]tropical!$A$4:$AF$46,[2]tropical!N$1,FALSE)</f>
        <v>0</v>
      </c>
      <c r="S222" s="805">
        <f>VLOOKUP($E222,[2]tropical!$A$4:$AF$46,[2]tropical!O$1,FALSE)</f>
        <v>0</v>
      </c>
      <c r="T222" s="805">
        <f>VLOOKUP($E222,[2]tropical!$A$4:$AF$46,[2]tropical!P$1,FALSE)</f>
        <v>0</v>
      </c>
      <c r="U222" s="800">
        <f t="shared" si="3"/>
        <v>246</v>
      </c>
    </row>
    <row r="223" spans="1:21">
      <c r="A223" s="788">
        <v>8222</v>
      </c>
      <c r="B223" s="788" t="s">
        <v>1490</v>
      </c>
      <c r="C223" s="788">
        <v>196</v>
      </c>
      <c r="D223" s="788" t="s">
        <v>791</v>
      </c>
      <c r="E223" s="790" t="s">
        <v>1544</v>
      </c>
      <c r="F223" s="790" t="s">
        <v>2616</v>
      </c>
      <c r="G223" s="800">
        <f>VLOOKUP($E223,[2]tropical!$A$4:$AF$46,[2]tropical!C$1,FALSE)</f>
        <v>0</v>
      </c>
      <c r="H223" s="800">
        <f>VLOOKUP($E223,[2]tropical!$A$4:$AF$46,[2]tropical!D$1,FALSE)</f>
        <v>0</v>
      </c>
      <c r="I223" s="800">
        <f>VLOOKUP($E223,[2]tropical!$A$4:$AF$46,[2]tropical!E$1,FALSE)</f>
        <v>3</v>
      </c>
      <c r="J223" s="800">
        <f>VLOOKUP($E223,[2]tropical!$A$4:$AF$46,[2]tropical!F$1,FALSE)</f>
        <v>0</v>
      </c>
      <c r="K223" s="800">
        <f>VLOOKUP($E223,[2]tropical!$A$4:$AF$46,[2]tropical!G$1,FALSE)</f>
        <v>0</v>
      </c>
      <c r="L223" s="800">
        <f>VLOOKUP($E223,[2]tropical!$A$4:$AF$46,[2]tropical!H$1,FALSE)</f>
        <v>0</v>
      </c>
      <c r="M223" s="800">
        <f>VLOOKUP($E223,[2]tropical!$A$4:$AF$46,[2]tropical!I$1,FALSE)</f>
        <v>0</v>
      </c>
      <c r="N223" s="800">
        <f>VLOOKUP($E223,[2]tropical!$A$4:$AF$46,[2]tropical!J$1,FALSE)</f>
        <v>2</v>
      </c>
      <c r="O223" s="800">
        <f>VLOOKUP($E223,[2]tropical!$A$4:$AF$46,[2]tropical!K$1,FALSE)</f>
        <v>2</v>
      </c>
      <c r="P223" s="800">
        <f>VLOOKUP($E223,[2]tropical!$A$4:$AF$46,[2]tropical!L$1,FALSE)</f>
        <v>0</v>
      </c>
      <c r="Q223" s="800">
        <f>VLOOKUP($E223,[2]tropical!$A$4:$AF$46,[2]tropical!M$1,FALSE)</f>
        <v>0</v>
      </c>
      <c r="R223" s="805">
        <f>VLOOKUP($E223,[2]tropical!$A$4:$AF$46,[2]tropical!N$1,FALSE)</f>
        <v>0</v>
      </c>
      <c r="S223" s="805">
        <f>VLOOKUP($E223,[2]tropical!$A$4:$AF$46,[2]tropical!O$1,FALSE)</f>
        <v>0</v>
      </c>
      <c r="T223" s="805">
        <f>VLOOKUP($E223,[2]tropical!$A$4:$AF$46,[2]tropical!P$1,FALSE)</f>
        <v>0</v>
      </c>
      <c r="U223" s="800">
        <f t="shared" si="3"/>
        <v>7</v>
      </c>
    </row>
    <row r="224" spans="1:21">
      <c r="A224" s="788">
        <v>8223</v>
      </c>
      <c r="B224" s="788" t="s">
        <v>1494</v>
      </c>
      <c r="C224" s="788">
        <v>466</v>
      </c>
      <c r="D224" s="788" t="s">
        <v>89</v>
      </c>
      <c r="E224" s="790" t="s">
        <v>1494</v>
      </c>
      <c r="F224" s="790" t="s">
        <v>2616</v>
      </c>
      <c r="G224" s="800">
        <f>VLOOKUP($E224,[2]tropical!$A$4:$AF$46,[2]tropical!C$1,FALSE)</f>
        <v>0</v>
      </c>
      <c r="H224" s="800">
        <f>VLOOKUP($E224,[2]tropical!$A$4:$AF$46,[2]tropical!D$1,FALSE)</f>
        <v>0</v>
      </c>
      <c r="I224" s="800">
        <f>VLOOKUP($E224,[2]tropical!$A$4:$AF$46,[2]tropical!E$1,FALSE)</f>
        <v>0</v>
      </c>
      <c r="J224" s="800">
        <f>VLOOKUP($E224,[2]tropical!$A$4:$AF$46,[2]tropical!F$1,FALSE)</f>
        <v>0</v>
      </c>
      <c r="K224" s="800">
        <f>VLOOKUP($E224,[2]tropical!$A$4:$AF$46,[2]tropical!G$1,FALSE)</f>
        <v>0</v>
      </c>
      <c r="L224" s="800">
        <f>VLOOKUP($E224,[2]tropical!$A$4:$AF$46,[2]tropical!H$1,FALSE)</f>
        <v>0</v>
      </c>
      <c r="M224" s="800">
        <f>VLOOKUP($E224,[2]tropical!$A$4:$AF$46,[2]tropical!I$1,FALSE)</f>
        <v>0</v>
      </c>
      <c r="N224" s="800">
        <f>VLOOKUP($E224,[2]tropical!$A$4:$AF$46,[2]tropical!J$1,FALSE)</f>
        <v>0</v>
      </c>
      <c r="O224" s="800">
        <f>VLOOKUP($E224,[2]tropical!$A$4:$AF$46,[2]tropical!K$1,FALSE)</f>
        <v>0</v>
      </c>
      <c r="P224" s="800">
        <f>VLOOKUP($E224,[2]tropical!$A$4:$AF$46,[2]tropical!L$1,FALSE)</f>
        <v>0</v>
      </c>
      <c r="Q224" s="800">
        <f>VLOOKUP($E224,[2]tropical!$A$4:$AF$46,[2]tropical!M$1,FALSE)</f>
        <v>0</v>
      </c>
      <c r="R224" s="805">
        <f>VLOOKUP($E224,[2]tropical!$A$4:$AF$46,[2]tropical!N$1,FALSE)</f>
        <v>0</v>
      </c>
      <c r="S224" s="805">
        <f>VLOOKUP($E224,[2]tropical!$A$4:$AF$46,[2]tropical!O$1,FALSE)</f>
        <v>0</v>
      </c>
      <c r="T224" s="805">
        <f>VLOOKUP($E224,[2]tropical!$A$4:$AF$46,[2]tropical!P$1,FALSE)</f>
        <v>0</v>
      </c>
      <c r="U224" s="800">
        <f t="shared" si="3"/>
        <v>0</v>
      </c>
    </row>
    <row r="225" spans="1:21">
      <c r="A225" s="788">
        <v>8224</v>
      </c>
      <c r="B225" s="788" t="s">
        <v>1496</v>
      </c>
      <c r="C225" s="788">
        <v>404</v>
      </c>
      <c r="D225" s="788" t="s">
        <v>88</v>
      </c>
      <c r="E225" s="790" t="s">
        <v>1127</v>
      </c>
      <c r="F225" s="790" t="s">
        <v>2617</v>
      </c>
      <c r="G225" s="800">
        <f>VLOOKUP($E225,[2]tropical!$A$4:$AF$46,[2]tropical!C$1,FALSE)</f>
        <v>0</v>
      </c>
      <c r="H225" s="800">
        <f>VLOOKUP($E225,[2]tropical!$A$4:$AF$46,[2]tropical!D$1,FALSE)</f>
        <v>0</v>
      </c>
      <c r="I225" s="800">
        <f>VLOOKUP($E225,[2]tropical!$A$4:$AF$46,[2]tropical!E$1,FALSE)</f>
        <v>0</v>
      </c>
      <c r="J225" s="800">
        <f>VLOOKUP($E225,[2]tropical!$A$4:$AF$46,[2]tropical!F$1,FALSE)</f>
        <v>0</v>
      </c>
      <c r="K225" s="800">
        <f>VLOOKUP($E225,[2]tropical!$A$4:$AF$46,[2]tropical!G$1,FALSE)</f>
        <v>0</v>
      </c>
      <c r="L225" s="800">
        <f>VLOOKUP($E225,[2]tropical!$A$4:$AF$46,[2]tropical!H$1,FALSE)</f>
        <v>0</v>
      </c>
      <c r="M225" s="800">
        <f>VLOOKUP($E225,[2]tropical!$A$4:$AF$46,[2]tropical!I$1,FALSE)</f>
        <v>0</v>
      </c>
      <c r="N225" s="800">
        <f>VLOOKUP($E225,[2]tropical!$A$4:$AF$46,[2]tropical!J$1,FALSE)</f>
        <v>0</v>
      </c>
      <c r="O225" s="800">
        <f>VLOOKUP($E225,[2]tropical!$A$4:$AF$46,[2]tropical!K$1,FALSE)</f>
        <v>0</v>
      </c>
      <c r="P225" s="800">
        <f>VLOOKUP($E225,[2]tropical!$A$4:$AF$46,[2]tropical!L$1,FALSE)</f>
        <v>0</v>
      </c>
      <c r="Q225" s="800">
        <f>VLOOKUP($E225,[2]tropical!$A$4:$AF$46,[2]tropical!M$1,FALSE)</f>
        <v>0</v>
      </c>
      <c r="R225" s="805">
        <f>VLOOKUP($E225,[2]tropical!$A$4:$AF$46,[2]tropical!N$1,FALSE)</f>
        <v>0</v>
      </c>
      <c r="S225" s="805">
        <f>VLOOKUP($E225,[2]tropical!$A$4:$AF$46,[2]tropical!O$1,FALSE)</f>
        <v>0</v>
      </c>
      <c r="T225" s="805">
        <f>VLOOKUP($E225,[2]tropical!$A$4:$AF$46,[2]tropical!P$1,FALSE)</f>
        <v>0</v>
      </c>
      <c r="U225" s="800">
        <f t="shared" si="3"/>
        <v>0</v>
      </c>
    </row>
    <row r="226" spans="1:21">
      <c r="A226" s="788">
        <v>8225</v>
      </c>
      <c r="B226" s="788" t="s">
        <v>1499</v>
      </c>
      <c r="C226" s="788">
        <v>629</v>
      </c>
      <c r="D226" s="788" t="s">
        <v>88</v>
      </c>
      <c r="E226" s="790" t="s">
        <v>1326</v>
      </c>
      <c r="F226" s="790" t="s">
        <v>2617</v>
      </c>
      <c r="G226" s="800">
        <f>VLOOKUP($E226,[2]tropical!$A$4:$AF$46,[2]tropical!C$1,FALSE)</f>
        <v>0</v>
      </c>
      <c r="H226" s="800">
        <f>VLOOKUP($E226,[2]tropical!$A$4:$AF$46,[2]tropical!D$1,FALSE)</f>
        <v>0</v>
      </c>
      <c r="I226" s="800">
        <f>VLOOKUP($E226,[2]tropical!$A$4:$AF$46,[2]tropical!E$1,FALSE)</f>
        <v>0</v>
      </c>
      <c r="J226" s="800">
        <f>VLOOKUP($E226,[2]tropical!$A$4:$AF$46,[2]tropical!F$1,FALSE)</f>
        <v>0</v>
      </c>
      <c r="K226" s="800">
        <f>VLOOKUP($E226,[2]tropical!$A$4:$AF$46,[2]tropical!G$1,FALSE)</f>
        <v>0</v>
      </c>
      <c r="L226" s="800">
        <f>VLOOKUP($E226,[2]tropical!$A$4:$AF$46,[2]tropical!H$1,FALSE)</f>
        <v>0</v>
      </c>
      <c r="M226" s="800">
        <f>VLOOKUP($E226,[2]tropical!$A$4:$AF$46,[2]tropical!I$1,FALSE)</f>
        <v>0</v>
      </c>
      <c r="N226" s="800">
        <f>VLOOKUP($E226,[2]tropical!$A$4:$AF$46,[2]tropical!J$1,FALSE)</f>
        <v>0</v>
      </c>
      <c r="O226" s="800">
        <f>VLOOKUP($E226,[2]tropical!$A$4:$AF$46,[2]tropical!K$1,FALSE)</f>
        <v>0</v>
      </c>
      <c r="P226" s="800">
        <f>VLOOKUP($E226,[2]tropical!$A$4:$AF$46,[2]tropical!L$1,FALSE)</f>
        <v>0</v>
      </c>
      <c r="Q226" s="800">
        <f>VLOOKUP($E226,[2]tropical!$A$4:$AF$46,[2]tropical!M$1,FALSE)</f>
        <v>0</v>
      </c>
      <c r="R226" s="805">
        <f>VLOOKUP($E226,[2]tropical!$A$4:$AF$46,[2]tropical!N$1,FALSE)</f>
        <v>0</v>
      </c>
      <c r="S226" s="805">
        <f>VLOOKUP($E226,[2]tropical!$A$4:$AF$46,[2]tropical!O$1,FALSE)</f>
        <v>0</v>
      </c>
      <c r="T226" s="805">
        <f>VLOOKUP($E226,[2]tropical!$A$4:$AF$46,[2]tropical!P$1,FALSE)</f>
        <v>0</v>
      </c>
      <c r="U226" s="800">
        <f t="shared" si="3"/>
        <v>0</v>
      </c>
    </row>
    <row r="227" spans="1:21">
      <c r="A227" s="788">
        <v>8226</v>
      </c>
      <c r="B227" s="788" t="s">
        <v>1501</v>
      </c>
      <c r="C227" s="788">
        <v>465</v>
      </c>
      <c r="D227" s="788" t="s">
        <v>81</v>
      </c>
      <c r="E227" s="790" t="s">
        <v>1274</v>
      </c>
      <c r="F227" s="790" t="s">
        <v>2616</v>
      </c>
      <c r="G227" s="800">
        <f>VLOOKUP($E227,[2]tropical!$A$4:$AF$46,[2]tropical!C$1,FALSE)</f>
        <v>0</v>
      </c>
      <c r="H227" s="800">
        <f>VLOOKUP($E227,[2]tropical!$A$4:$AF$46,[2]tropical!D$1,FALSE)</f>
        <v>0</v>
      </c>
      <c r="I227" s="800">
        <f>VLOOKUP($E227,[2]tropical!$A$4:$AF$46,[2]tropical!E$1,FALSE)</f>
        <v>0</v>
      </c>
      <c r="J227" s="800">
        <f>VLOOKUP($E227,[2]tropical!$A$4:$AF$46,[2]tropical!F$1,FALSE)</f>
        <v>0</v>
      </c>
      <c r="K227" s="800">
        <f>VLOOKUP($E227,[2]tropical!$A$4:$AF$46,[2]tropical!G$1,FALSE)</f>
        <v>1</v>
      </c>
      <c r="L227" s="800">
        <f>VLOOKUP($E227,[2]tropical!$A$4:$AF$46,[2]tropical!H$1,FALSE)</f>
        <v>0</v>
      </c>
      <c r="M227" s="800">
        <f>VLOOKUP($E227,[2]tropical!$A$4:$AF$46,[2]tropical!I$1,FALSE)</f>
        <v>0</v>
      </c>
      <c r="N227" s="800">
        <f>VLOOKUP($E227,[2]tropical!$A$4:$AF$46,[2]tropical!J$1,FALSE)</f>
        <v>0</v>
      </c>
      <c r="O227" s="800">
        <f>VLOOKUP($E227,[2]tropical!$A$4:$AF$46,[2]tropical!K$1,FALSE)</f>
        <v>1</v>
      </c>
      <c r="P227" s="800">
        <f>VLOOKUP($E227,[2]tropical!$A$4:$AF$46,[2]tropical!L$1,FALSE)</f>
        <v>0</v>
      </c>
      <c r="Q227" s="800">
        <f>VLOOKUP($E227,[2]tropical!$A$4:$AF$46,[2]tropical!M$1,FALSE)</f>
        <v>0</v>
      </c>
      <c r="R227" s="805">
        <f>VLOOKUP($E227,[2]tropical!$A$4:$AF$46,[2]tropical!N$1,FALSE)</f>
        <v>0</v>
      </c>
      <c r="S227" s="805">
        <f>VLOOKUP($E227,[2]tropical!$A$4:$AF$46,[2]tropical!O$1,FALSE)</f>
        <v>0</v>
      </c>
      <c r="T227" s="805">
        <f>VLOOKUP($E227,[2]tropical!$A$4:$AF$46,[2]tropical!P$1,FALSE)</f>
        <v>0</v>
      </c>
      <c r="U227" s="800">
        <f t="shared" si="3"/>
        <v>2</v>
      </c>
    </row>
    <row r="228" spans="1:21">
      <c r="A228" s="788">
        <v>8227</v>
      </c>
      <c r="B228" s="788" t="s">
        <v>1506</v>
      </c>
      <c r="C228" s="788">
        <v>291</v>
      </c>
      <c r="D228" s="788" t="s">
        <v>791</v>
      </c>
      <c r="E228" s="790" t="s">
        <v>1506</v>
      </c>
      <c r="F228" s="790" t="s">
        <v>2616</v>
      </c>
      <c r="G228" s="800">
        <f>VLOOKUP($E228,[2]tropical!$A$4:$AF$46,[2]tropical!C$1,FALSE)</f>
        <v>1</v>
      </c>
      <c r="H228" s="800">
        <f>VLOOKUP($E228,[2]tropical!$A$4:$AF$46,[2]tropical!D$1,FALSE)</f>
        <v>1</v>
      </c>
      <c r="I228" s="800">
        <f>VLOOKUP($E228,[2]tropical!$A$4:$AF$46,[2]tropical!E$1,FALSE)</f>
        <v>3</v>
      </c>
      <c r="J228" s="800">
        <f>VLOOKUP($E228,[2]tropical!$A$4:$AF$46,[2]tropical!F$1,FALSE)</f>
        <v>2</v>
      </c>
      <c r="K228" s="800">
        <f>VLOOKUP($E228,[2]tropical!$A$4:$AF$46,[2]tropical!G$1,FALSE)</f>
        <v>1</v>
      </c>
      <c r="L228" s="800">
        <f>VLOOKUP($E228,[2]tropical!$A$4:$AF$46,[2]tropical!H$1,FALSE)</f>
        <v>1</v>
      </c>
      <c r="M228" s="800">
        <f>VLOOKUP($E228,[2]tropical!$A$4:$AF$46,[2]tropical!I$1,FALSE)</f>
        <v>0</v>
      </c>
      <c r="N228" s="800">
        <f>VLOOKUP($E228,[2]tropical!$A$4:$AF$46,[2]tropical!J$1,FALSE)</f>
        <v>0</v>
      </c>
      <c r="O228" s="800">
        <f>VLOOKUP($E228,[2]tropical!$A$4:$AF$46,[2]tropical!K$1,FALSE)</f>
        <v>1</v>
      </c>
      <c r="P228" s="800">
        <f>VLOOKUP($E228,[2]tropical!$A$4:$AF$46,[2]tropical!L$1,FALSE)</f>
        <v>0</v>
      </c>
      <c r="Q228" s="800">
        <f>VLOOKUP($E228,[2]tropical!$A$4:$AF$46,[2]tropical!M$1,FALSE)</f>
        <v>0</v>
      </c>
      <c r="R228" s="805">
        <f>VLOOKUP($E228,[2]tropical!$A$4:$AF$46,[2]tropical!N$1,FALSE)</f>
        <v>0</v>
      </c>
      <c r="S228" s="805">
        <f>VLOOKUP($E228,[2]tropical!$A$4:$AF$46,[2]tropical!O$1,FALSE)</f>
        <v>0</v>
      </c>
      <c r="T228" s="805">
        <f>VLOOKUP($E228,[2]tropical!$A$4:$AF$46,[2]tropical!P$1,FALSE)</f>
        <v>0</v>
      </c>
      <c r="U228" s="800">
        <f t="shared" si="3"/>
        <v>10</v>
      </c>
    </row>
    <row r="229" spans="1:21">
      <c r="A229" s="788">
        <v>8228</v>
      </c>
      <c r="B229" s="788" t="s">
        <v>1510</v>
      </c>
      <c r="C229" s="788">
        <v>646</v>
      </c>
      <c r="D229" s="788" t="s">
        <v>81</v>
      </c>
      <c r="E229" s="790" t="s">
        <v>1274</v>
      </c>
      <c r="F229" s="790" t="s">
        <v>2616</v>
      </c>
      <c r="G229" s="800">
        <f>VLOOKUP($E229,[2]tropical!$A$4:$AF$46,[2]tropical!C$1,FALSE)</f>
        <v>0</v>
      </c>
      <c r="H229" s="800">
        <f>VLOOKUP($E229,[2]tropical!$A$4:$AF$46,[2]tropical!D$1,FALSE)</f>
        <v>0</v>
      </c>
      <c r="I229" s="800">
        <f>VLOOKUP($E229,[2]tropical!$A$4:$AF$46,[2]tropical!E$1,FALSE)</f>
        <v>0</v>
      </c>
      <c r="J229" s="800">
        <f>VLOOKUP($E229,[2]tropical!$A$4:$AF$46,[2]tropical!F$1,FALSE)</f>
        <v>0</v>
      </c>
      <c r="K229" s="800">
        <f>VLOOKUP($E229,[2]tropical!$A$4:$AF$46,[2]tropical!G$1,FALSE)</f>
        <v>1</v>
      </c>
      <c r="L229" s="800">
        <f>VLOOKUP($E229,[2]tropical!$A$4:$AF$46,[2]tropical!H$1,FALSE)</f>
        <v>0</v>
      </c>
      <c r="M229" s="800">
        <f>VLOOKUP($E229,[2]tropical!$A$4:$AF$46,[2]tropical!I$1,FALSE)</f>
        <v>0</v>
      </c>
      <c r="N229" s="800">
        <f>VLOOKUP($E229,[2]tropical!$A$4:$AF$46,[2]tropical!J$1,FALSE)</f>
        <v>0</v>
      </c>
      <c r="O229" s="800">
        <f>VLOOKUP($E229,[2]tropical!$A$4:$AF$46,[2]tropical!K$1,FALSE)</f>
        <v>1</v>
      </c>
      <c r="P229" s="800">
        <f>VLOOKUP($E229,[2]tropical!$A$4:$AF$46,[2]tropical!L$1,FALSE)</f>
        <v>0</v>
      </c>
      <c r="Q229" s="800">
        <f>VLOOKUP($E229,[2]tropical!$A$4:$AF$46,[2]tropical!M$1,FALSE)</f>
        <v>0</v>
      </c>
      <c r="R229" s="805">
        <f>VLOOKUP($E229,[2]tropical!$A$4:$AF$46,[2]tropical!N$1,FALSE)</f>
        <v>0</v>
      </c>
      <c r="S229" s="805">
        <f>VLOOKUP($E229,[2]tropical!$A$4:$AF$46,[2]tropical!O$1,FALSE)</f>
        <v>0</v>
      </c>
      <c r="T229" s="805">
        <f>VLOOKUP($E229,[2]tropical!$A$4:$AF$46,[2]tropical!P$1,FALSE)</f>
        <v>0</v>
      </c>
      <c r="U229" s="800">
        <f t="shared" si="3"/>
        <v>2</v>
      </c>
    </row>
    <row r="230" spans="1:21">
      <c r="A230" s="788">
        <v>8229</v>
      </c>
      <c r="B230" s="788" t="s">
        <v>1511</v>
      </c>
      <c r="C230" s="788">
        <v>569</v>
      </c>
      <c r="D230" s="788" t="s">
        <v>82</v>
      </c>
      <c r="E230" s="790" t="s">
        <v>1004</v>
      </c>
      <c r="F230" s="790" t="s">
        <v>2616</v>
      </c>
      <c r="G230" s="800">
        <f>VLOOKUP($E230,[2]tropical!$A$4:$AF$46,[2]tropical!C$1,FALSE)</f>
        <v>0</v>
      </c>
      <c r="H230" s="800">
        <f>VLOOKUP($E230,[2]tropical!$A$4:$AF$46,[2]tropical!D$1,FALSE)</f>
        <v>0</v>
      </c>
      <c r="I230" s="800">
        <f>VLOOKUP($E230,[2]tropical!$A$4:$AF$46,[2]tropical!E$1,FALSE)</f>
        <v>0</v>
      </c>
      <c r="J230" s="800">
        <f>VLOOKUP($E230,[2]tropical!$A$4:$AF$46,[2]tropical!F$1,FALSE)</f>
        <v>0</v>
      </c>
      <c r="K230" s="800">
        <f>VLOOKUP($E230,[2]tropical!$A$4:$AF$46,[2]tropical!G$1,FALSE)</f>
        <v>0</v>
      </c>
      <c r="L230" s="800">
        <f>VLOOKUP($E230,[2]tropical!$A$4:$AF$46,[2]tropical!H$1,FALSE)</f>
        <v>0</v>
      </c>
      <c r="M230" s="800">
        <f>VLOOKUP($E230,[2]tropical!$A$4:$AF$46,[2]tropical!I$1,FALSE)</f>
        <v>0</v>
      </c>
      <c r="N230" s="800">
        <f>VLOOKUP($E230,[2]tropical!$A$4:$AF$46,[2]tropical!J$1,FALSE)</f>
        <v>0</v>
      </c>
      <c r="O230" s="800">
        <f>VLOOKUP($E230,[2]tropical!$A$4:$AF$46,[2]tropical!K$1,FALSE)</f>
        <v>3</v>
      </c>
      <c r="P230" s="800">
        <f>VLOOKUP($E230,[2]tropical!$A$4:$AF$46,[2]tropical!L$1,FALSE)</f>
        <v>0</v>
      </c>
      <c r="Q230" s="800">
        <f>VLOOKUP($E230,[2]tropical!$A$4:$AF$46,[2]tropical!M$1,FALSE)</f>
        <v>0</v>
      </c>
      <c r="R230" s="805">
        <f>VLOOKUP($E230,[2]tropical!$A$4:$AF$46,[2]tropical!N$1,FALSE)</f>
        <v>0</v>
      </c>
      <c r="S230" s="805">
        <f>VLOOKUP($E230,[2]tropical!$A$4:$AF$46,[2]tropical!O$1,FALSE)</f>
        <v>0</v>
      </c>
      <c r="T230" s="805">
        <f>VLOOKUP($E230,[2]tropical!$A$4:$AF$46,[2]tropical!P$1,FALSE)</f>
        <v>0</v>
      </c>
      <c r="U230" s="800">
        <f t="shared" si="3"/>
        <v>3</v>
      </c>
    </row>
    <row r="231" spans="1:21">
      <c r="A231" s="788">
        <v>8230</v>
      </c>
      <c r="B231" s="788" t="s">
        <v>1513</v>
      </c>
      <c r="C231" s="788">
        <v>142</v>
      </c>
      <c r="D231" s="788" t="s">
        <v>86</v>
      </c>
      <c r="E231" s="790" t="s">
        <v>864</v>
      </c>
      <c r="F231" s="790" t="s">
        <v>2615</v>
      </c>
      <c r="G231" s="800">
        <f>VLOOKUP($E231,[2]tropical!$A$4:$AF$46,[2]tropical!C$1,FALSE)</f>
        <v>23</v>
      </c>
      <c r="H231" s="800">
        <f>VLOOKUP($E231,[2]tropical!$A$4:$AF$46,[2]tropical!D$1,FALSE)</f>
        <v>30</v>
      </c>
      <c r="I231" s="800">
        <f>VLOOKUP($E231,[2]tropical!$A$4:$AF$46,[2]tropical!E$1,FALSE)</f>
        <v>35</v>
      </c>
      <c r="J231" s="800">
        <f>VLOOKUP($E231,[2]tropical!$A$4:$AF$46,[2]tropical!F$1,FALSE)</f>
        <v>18</v>
      </c>
      <c r="K231" s="800">
        <f>VLOOKUP($E231,[2]tropical!$A$4:$AF$46,[2]tropical!G$1,FALSE)</f>
        <v>24</v>
      </c>
      <c r="L231" s="800">
        <f>VLOOKUP($E231,[2]tropical!$A$4:$AF$46,[2]tropical!H$1,FALSE)</f>
        <v>26</v>
      </c>
      <c r="M231" s="800">
        <f>VLOOKUP($E231,[2]tropical!$A$4:$AF$46,[2]tropical!I$1,FALSE)</f>
        <v>38</v>
      </c>
      <c r="N231" s="800">
        <f>VLOOKUP($E231,[2]tropical!$A$4:$AF$46,[2]tropical!J$1,FALSE)</f>
        <v>14</v>
      </c>
      <c r="O231" s="800">
        <f>VLOOKUP($E231,[2]tropical!$A$4:$AF$46,[2]tropical!K$1,FALSE)</f>
        <v>28</v>
      </c>
      <c r="P231" s="800">
        <f>VLOOKUP($E231,[2]tropical!$A$4:$AF$46,[2]tropical!L$1,FALSE)</f>
        <v>18</v>
      </c>
      <c r="Q231" s="800">
        <f>VLOOKUP($E231,[2]tropical!$A$4:$AF$46,[2]tropical!M$1,FALSE)</f>
        <v>10</v>
      </c>
      <c r="R231" s="805">
        <f>VLOOKUP($E231,[2]tropical!$A$4:$AF$46,[2]tropical!N$1,FALSE)</f>
        <v>0</v>
      </c>
      <c r="S231" s="805">
        <f>VLOOKUP($E231,[2]tropical!$A$4:$AF$46,[2]tropical!O$1,FALSE)</f>
        <v>0</v>
      </c>
      <c r="T231" s="805">
        <f>VLOOKUP($E231,[2]tropical!$A$4:$AF$46,[2]tropical!P$1,FALSE)</f>
        <v>0</v>
      </c>
      <c r="U231" s="800">
        <f t="shared" si="3"/>
        <v>264</v>
      </c>
    </row>
    <row r="232" spans="1:21">
      <c r="A232" s="788">
        <v>8231</v>
      </c>
      <c r="B232" s="788" t="s">
        <v>1518</v>
      </c>
      <c r="C232" s="788">
        <v>44</v>
      </c>
      <c r="D232" s="788" t="s">
        <v>85</v>
      </c>
      <c r="E232" s="790" t="s">
        <v>2609</v>
      </c>
      <c r="F232" s="790" t="s">
        <v>2615</v>
      </c>
      <c r="G232" s="800">
        <f>VLOOKUP($E232,[2]tropical!$A$4:$AF$46,[2]tropical!C$1,FALSE)</f>
        <v>10</v>
      </c>
      <c r="H232" s="800">
        <f>VLOOKUP($E232,[2]tropical!$A$4:$AF$46,[2]tropical!D$1,FALSE)</f>
        <v>13</v>
      </c>
      <c r="I232" s="800">
        <f>VLOOKUP($E232,[2]tropical!$A$4:$AF$46,[2]tropical!E$1,FALSE)</f>
        <v>16</v>
      </c>
      <c r="J232" s="800">
        <f>VLOOKUP($E232,[2]tropical!$A$4:$AF$46,[2]tropical!F$1,FALSE)</f>
        <v>9</v>
      </c>
      <c r="K232" s="800">
        <f>VLOOKUP($E232,[2]tropical!$A$4:$AF$46,[2]tropical!G$1,FALSE)</f>
        <v>9</v>
      </c>
      <c r="L232" s="800">
        <f>VLOOKUP($E232,[2]tropical!$A$4:$AF$46,[2]tropical!H$1,FALSE)</f>
        <v>25</v>
      </c>
      <c r="M232" s="800">
        <f>VLOOKUP($E232,[2]tropical!$A$4:$AF$46,[2]tropical!I$1,FALSE)</f>
        <v>14</v>
      </c>
      <c r="N232" s="800">
        <f>VLOOKUP($E232,[2]tropical!$A$4:$AF$46,[2]tropical!J$1,FALSE)</f>
        <v>10</v>
      </c>
      <c r="O232" s="800">
        <f>VLOOKUP($E232,[2]tropical!$A$4:$AF$46,[2]tropical!K$1,FALSE)</f>
        <v>18</v>
      </c>
      <c r="P232" s="800">
        <f>VLOOKUP($E232,[2]tropical!$A$4:$AF$46,[2]tropical!L$1,FALSE)</f>
        <v>5</v>
      </c>
      <c r="Q232" s="800">
        <f>VLOOKUP($E232,[2]tropical!$A$4:$AF$46,[2]tropical!M$1,FALSE)</f>
        <v>8</v>
      </c>
      <c r="R232" s="805">
        <f>VLOOKUP($E232,[2]tropical!$A$4:$AF$46,[2]tropical!N$1,FALSE)</f>
        <v>0</v>
      </c>
      <c r="S232" s="805">
        <f>VLOOKUP($E232,[2]tropical!$A$4:$AF$46,[2]tropical!O$1,FALSE)</f>
        <v>0</v>
      </c>
      <c r="T232" s="805">
        <f>VLOOKUP($E232,[2]tropical!$A$4:$AF$46,[2]tropical!P$1,FALSE)</f>
        <v>0</v>
      </c>
      <c r="U232" s="800">
        <f t="shared" si="3"/>
        <v>137</v>
      </c>
    </row>
    <row r="233" spans="1:21">
      <c r="A233" s="788">
        <v>8232</v>
      </c>
      <c r="B233" s="788" t="s">
        <v>1523</v>
      </c>
      <c r="C233" s="788">
        <v>246</v>
      </c>
      <c r="D233" s="788" t="s">
        <v>791</v>
      </c>
      <c r="E233" s="790" t="s">
        <v>2608</v>
      </c>
      <c r="F233" s="790" t="s">
        <v>2616</v>
      </c>
      <c r="G233" s="800">
        <f>VLOOKUP($E233,[2]tropical!$A$4:$AF$46,[2]tropical!C$1,FALSE)</f>
        <v>0</v>
      </c>
      <c r="H233" s="800">
        <f>VLOOKUP($E233,[2]tropical!$A$4:$AF$46,[2]tropical!D$1,FALSE)</f>
        <v>2</v>
      </c>
      <c r="I233" s="800">
        <f>VLOOKUP($E233,[2]tropical!$A$4:$AF$46,[2]tropical!E$1,FALSE)</f>
        <v>2</v>
      </c>
      <c r="J233" s="800">
        <f>VLOOKUP($E233,[2]tropical!$A$4:$AF$46,[2]tropical!F$1,FALSE)</f>
        <v>1</v>
      </c>
      <c r="K233" s="800">
        <f>VLOOKUP($E233,[2]tropical!$A$4:$AF$46,[2]tropical!G$1,FALSE)</f>
        <v>1</v>
      </c>
      <c r="L233" s="800">
        <f>VLOOKUP($E233,[2]tropical!$A$4:$AF$46,[2]tropical!H$1,FALSE)</f>
        <v>1</v>
      </c>
      <c r="M233" s="800">
        <f>VLOOKUP($E233,[2]tropical!$A$4:$AF$46,[2]tropical!I$1,FALSE)</f>
        <v>0</v>
      </c>
      <c r="N233" s="800">
        <f>VLOOKUP($E233,[2]tropical!$A$4:$AF$46,[2]tropical!J$1,FALSE)</f>
        <v>0</v>
      </c>
      <c r="O233" s="800">
        <f>VLOOKUP($E233,[2]tropical!$A$4:$AF$46,[2]tropical!K$1,FALSE)</f>
        <v>1</v>
      </c>
      <c r="P233" s="800">
        <f>VLOOKUP($E233,[2]tropical!$A$4:$AF$46,[2]tropical!L$1,FALSE)</f>
        <v>0</v>
      </c>
      <c r="Q233" s="800">
        <f>VLOOKUP($E233,[2]tropical!$A$4:$AF$46,[2]tropical!M$1,FALSE)</f>
        <v>0</v>
      </c>
      <c r="R233" s="805">
        <f>VLOOKUP($E233,[2]tropical!$A$4:$AF$46,[2]tropical!N$1,FALSE)</f>
        <v>0</v>
      </c>
      <c r="S233" s="805">
        <f>VLOOKUP($E233,[2]tropical!$A$4:$AF$46,[2]tropical!O$1,FALSE)</f>
        <v>0</v>
      </c>
      <c r="T233" s="805">
        <f>VLOOKUP($E233,[2]tropical!$A$4:$AF$46,[2]tropical!P$1,FALSE)</f>
        <v>0</v>
      </c>
      <c r="U233" s="800">
        <f t="shared" si="3"/>
        <v>8</v>
      </c>
    </row>
    <row r="234" spans="1:21">
      <c r="A234" s="788">
        <v>8233</v>
      </c>
      <c r="B234" s="788" t="s">
        <v>1524</v>
      </c>
      <c r="C234" s="788">
        <v>621</v>
      </c>
      <c r="D234" s="788" t="s">
        <v>88</v>
      </c>
      <c r="E234" s="790" t="s">
        <v>1301</v>
      </c>
      <c r="F234" s="790" t="s">
        <v>2617</v>
      </c>
      <c r="G234" s="800">
        <f>VLOOKUP($E234,[2]tropical!$A$4:$AF$46,[2]tropical!C$1,FALSE)</f>
        <v>0</v>
      </c>
      <c r="H234" s="800">
        <f>VLOOKUP($E234,[2]tropical!$A$4:$AF$46,[2]tropical!D$1,FALSE)</f>
        <v>0</v>
      </c>
      <c r="I234" s="800">
        <f>VLOOKUP($E234,[2]tropical!$A$4:$AF$46,[2]tropical!E$1,FALSE)</f>
        <v>0</v>
      </c>
      <c r="J234" s="800">
        <f>VLOOKUP($E234,[2]tropical!$A$4:$AF$46,[2]tropical!F$1,FALSE)</f>
        <v>0</v>
      </c>
      <c r="K234" s="800">
        <f>VLOOKUP($E234,[2]tropical!$A$4:$AF$46,[2]tropical!G$1,FALSE)</f>
        <v>0</v>
      </c>
      <c r="L234" s="800">
        <f>VLOOKUP($E234,[2]tropical!$A$4:$AF$46,[2]tropical!H$1,FALSE)</f>
        <v>0</v>
      </c>
      <c r="M234" s="800">
        <f>VLOOKUP($E234,[2]tropical!$A$4:$AF$46,[2]tropical!I$1,FALSE)</f>
        <v>0</v>
      </c>
      <c r="N234" s="800">
        <f>VLOOKUP($E234,[2]tropical!$A$4:$AF$46,[2]tropical!J$1,FALSE)</f>
        <v>0</v>
      </c>
      <c r="O234" s="800">
        <f>VLOOKUP($E234,[2]tropical!$A$4:$AF$46,[2]tropical!K$1,FALSE)</f>
        <v>0</v>
      </c>
      <c r="P234" s="800">
        <f>VLOOKUP($E234,[2]tropical!$A$4:$AF$46,[2]tropical!L$1,FALSE)</f>
        <v>0</v>
      </c>
      <c r="Q234" s="800">
        <f>VLOOKUP($E234,[2]tropical!$A$4:$AF$46,[2]tropical!M$1,FALSE)</f>
        <v>0</v>
      </c>
      <c r="R234" s="805">
        <f>VLOOKUP($E234,[2]tropical!$A$4:$AF$46,[2]tropical!N$1,FALSE)</f>
        <v>0</v>
      </c>
      <c r="S234" s="805">
        <f>VLOOKUP($E234,[2]tropical!$A$4:$AF$46,[2]tropical!O$1,FALSE)</f>
        <v>0</v>
      </c>
      <c r="T234" s="805">
        <f>VLOOKUP($E234,[2]tropical!$A$4:$AF$46,[2]tropical!P$1,FALSE)</f>
        <v>0</v>
      </c>
      <c r="U234" s="800">
        <f t="shared" si="3"/>
        <v>0</v>
      </c>
    </row>
    <row r="235" spans="1:21">
      <c r="A235" s="788">
        <v>8234</v>
      </c>
      <c r="B235" s="788" t="s">
        <v>1530</v>
      </c>
      <c r="C235" s="788">
        <v>305</v>
      </c>
      <c r="D235" s="788" t="s">
        <v>24</v>
      </c>
      <c r="E235" s="790" t="s">
        <v>1743</v>
      </c>
      <c r="F235" s="790" t="s">
        <v>2616</v>
      </c>
      <c r="G235" s="800">
        <f>VLOOKUP($E235,[2]tropical!$A$4:$AF$46,[2]tropical!C$1,FALSE)</f>
        <v>0</v>
      </c>
      <c r="H235" s="800">
        <f>VLOOKUP($E235,[2]tropical!$A$4:$AF$46,[2]tropical!D$1,FALSE)</f>
        <v>0</v>
      </c>
      <c r="I235" s="800">
        <f>VLOOKUP($E235,[2]tropical!$A$4:$AF$46,[2]tropical!E$1,FALSE)</f>
        <v>2</v>
      </c>
      <c r="J235" s="800">
        <f>VLOOKUP($E235,[2]tropical!$A$4:$AF$46,[2]tropical!F$1,FALSE)</f>
        <v>0</v>
      </c>
      <c r="K235" s="800">
        <f>VLOOKUP($E235,[2]tropical!$A$4:$AF$46,[2]tropical!G$1,FALSE)</f>
        <v>0</v>
      </c>
      <c r="L235" s="800">
        <f>VLOOKUP($E235,[2]tropical!$A$4:$AF$46,[2]tropical!H$1,FALSE)</f>
        <v>0</v>
      </c>
      <c r="M235" s="800">
        <f>VLOOKUP($E235,[2]tropical!$A$4:$AF$46,[2]tropical!I$1,FALSE)</f>
        <v>0</v>
      </c>
      <c r="N235" s="800">
        <f>VLOOKUP($E235,[2]tropical!$A$4:$AF$46,[2]tropical!J$1,FALSE)</f>
        <v>0</v>
      </c>
      <c r="O235" s="800">
        <f>VLOOKUP($E235,[2]tropical!$A$4:$AF$46,[2]tropical!K$1,FALSE)</f>
        <v>0</v>
      </c>
      <c r="P235" s="800">
        <f>VLOOKUP($E235,[2]tropical!$A$4:$AF$46,[2]tropical!L$1,FALSE)</f>
        <v>0</v>
      </c>
      <c r="Q235" s="800">
        <f>VLOOKUP($E235,[2]tropical!$A$4:$AF$46,[2]tropical!M$1,FALSE)</f>
        <v>0</v>
      </c>
      <c r="R235" s="805">
        <f>VLOOKUP($E235,[2]tropical!$A$4:$AF$46,[2]tropical!N$1,FALSE)</f>
        <v>0</v>
      </c>
      <c r="S235" s="805">
        <f>VLOOKUP($E235,[2]tropical!$A$4:$AF$46,[2]tropical!O$1,FALSE)</f>
        <v>0</v>
      </c>
      <c r="T235" s="805">
        <f>VLOOKUP($E235,[2]tropical!$A$4:$AF$46,[2]tropical!P$1,FALSE)</f>
        <v>0</v>
      </c>
      <c r="U235" s="800">
        <f t="shared" si="3"/>
        <v>2</v>
      </c>
    </row>
    <row r="236" spans="1:21">
      <c r="A236" s="788">
        <v>8235</v>
      </c>
      <c r="B236" s="788" t="s">
        <v>353</v>
      </c>
      <c r="C236" s="788">
        <v>15</v>
      </c>
      <c r="D236" s="788" t="s">
        <v>86</v>
      </c>
      <c r="E236" s="790" t="s">
        <v>352</v>
      </c>
      <c r="F236" s="790" t="s">
        <v>2615</v>
      </c>
      <c r="G236" s="800">
        <f>VLOOKUP($E236,[2]tropical!$A$4:$AF$46,[2]tropical!C$1,FALSE)</f>
        <v>41</v>
      </c>
      <c r="H236" s="800">
        <f>VLOOKUP($E236,[2]tropical!$A$4:$AF$46,[2]tropical!D$1,FALSE)</f>
        <v>57</v>
      </c>
      <c r="I236" s="800">
        <f>VLOOKUP($E236,[2]tropical!$A$4:$AF$46,[2]tropical!E$1,FALSE)</f>
        <v>52</v>
      </c>
      <c r="J236" s="800">
        <f>VLOOKUP($E236,[2]tropical!$A$4:$AF$46,[2]tropical!F$1,FALSE)</f>
        <v>9</v>
      </c>
      <c r="K236" s="800">
        <f>VLOOKUP($E236,[2]tropical!$A$4:$AF$46,[2]tropical!G$1,FALSE)</f>
        <v>37</v>
      </c>
      <c r="L236" s="800">
        <f>VLOOKUP($E236,[2]tropical!$A$4:$AF$46,[2]tropical!H$1,FALSE)</f>
        <v>47</v>
      </c>
      <c r="M236" s="800">
        <f>VLOOKUP($E236,[2]tropical!$A$4:$AF$46,[2]tropical!I$1,FALSE)</f>
        <v>42</v>
      </c>
      <c r="N236" s="800">
        <f>VLOOKUP($E236,[2]tropical!$A$4:$AF$46,[2]tropical!J$1,FALSE)</f>
        <v>27</v>
      </c>
      <c r="O236" s="800">
        <f>VLOOKUP($E236,[2]tropical!$A$4:$AF$46,[2]tropical!K$1,FALSE)</f>
        <v>39</v>
      </c>
      <c r="P236" s="800">
        <f>VLOOKUP($E236,[2]tropical!$A$4:$AF$46,[2]tropical!L$1,FALSE)</f>
        <v>32</v>
      </c>
      <c r="Q236" s="800">
        <f>VLOOKUP($E236,[2]tropical!$A$4:$AF$46,[2]tropical!M$1,FALSE)</f>
        <v>20</v>
      </c>
      <c r="R236" s="805">
        <f>VLOOKUP($E236,[2]tropical!$A$4:$AF$46,[2]tropical!N$1,FALSE)</f>
        <v>0</v>
      </c>
      <c r="S236" s="805">
        <f>VLOOKUP($E236,[2]tropical!$A$4:$AF$46,[2]tropical!O$1,FALSE)</f>
        <v>0</v>
      </c>
      <c r="T236" s="805">
        <f>VLOOKUP($E236,[2]tropical!$A$4:$AF$46,[2]tropical!P$1,FALSE)</f>
        <v>0</v>
      </c>
      <c r="U236" s="800">
        <f t="shared" si="3"/>
        <v>403</v>
      </c>
    </row>
    <row r="237" spans="1:21">
      <c r="A237" s="788">
        <v>8236</v>
      </c>
      <c r="B237" s="788" t="s">
        <v>1532</v>
      </c>
      <c r="C237" s="788">
        <v>326</v>
      </c>
      <c r="D237" s="788" t="s">
        <v>791</v>
      </c>
      <c r="E237" s="790" t="s">
        <v>2608</v>
      </c>
      <c r="F237" s="790" t="s">
        <v>2616</v>
      </c>
      <c r="G237" s="800">
        <f>VLOOKUP($E237,[2]tropical!$A$4:$AF$46,[2]tropical!C$1,FALSE)</f>
        <v>0</v>
      </c>
      <c r="H237" s="800">
        <f>VLOOKUP($E237,[2]tropical!$A$4:$AF$46,[2]tropical!D$1,FALSE)</f>
        <v>2</v>
      </c>
      <c r="I237" s="800">
        <f>VLOOKUP($E237,[2]tropical!$A$4:$AF$46,[2]tropical!E$1,FALSE)</f>
        <v>2</v>
      </c>
      <c r="J237" s="800">
        <f>VLOOKUP($E237,[2]tropical!$A$4:$AF$46,[2]tropical!F$1,FALSE)</f>
        <v>1</v>
      </c>
      <c r="K237" s="800">
        <f>VLOOKUP($E237,[2]tropical!$A$4:$AF$46,[2]tropical!G$1,FALSE)</f>
        <v>1</v>
      </c>
      <c r="L237" s="800">
        <f>VLOOKUP($E237,[2]tropical!$A$4:$AF$46,[2]tropical!H$1,FALSE)</f>
        <v>1</v>
      </c>
      <c r="M237" s="800">
        <f>VLOOKUP($E237,[2]tropical!$A$4:$AF$46,[2]tropical!I$1,FALSE)</f>
        <v>0</v>
      </c>
      <c r="N237" s="800">
        <f>VLOOKUP($E237,[2]tropical!$A$4:$AF$46,[2]tropical!J$1,FALSE)</f>
        <v>0</v>
      </c>
      <c r="O237" s="800">
        <f>VLOOKUP($E237,[2]tropical!$A$4:$AF$46,[2]tropical!K$1,FALSE)</f>
        <v>1</v>
      </c>
      <c r="P237" s="800">
        <f>VLOOKUP($E237,[2]tropical!$A$4:$AF$46,[2]tropical!L$1,FALSE)</f>
        <v>0</v>
      </c>
      <c r="Q237" s="800">
        <f>VLOOKUP($E237,[2]tropical!$A$4:$AF$46,[2]tropical!M$1,FALSE)</f>
        <v>0</v>
      </c>
      <c r="R237" s="805">
        <f>VLOOKUP($E237,[2]tropical!$A$4:$AF$46,[2]tropical!N$1,FALSE)</f>
        <v>0</v>
      </c>
      <c r="S237" s="805">
        <f>VLOOKUP($E237,[2]tropical!$A$4:$AF$46,[2]tropical!O$1,FALSE)</f>
        <v>0</v>
      </c>
      <c r="T237" s="805">
        <f>VLOOKUP($E237,[2]tropical!$A$4:$AF$46,[2]tropical!P$1,FALSE)</f>
        <v>0</v>
      </c>
      <c r="U237" s="800">
        <f t="shared" si="3"/>
        <v>8</v>
      </c>
    </row>
    <row r="238" spans="1:21">
      <c r="A238" s="788">
        <v>8237</v>
      </c>
      <c r="B238" s="788" t="s">
        <v>1536</v>
      </c>
      <c r="C238" s="788">
        <v>587</v>
      </c>
      <c r="D238" s="788" t="s">
        <v>88</v>
      </c>
      <c r="E238" s="790" t="s">
        <v>1240</v>
      </c>
      <c r="F238" s="790" t="s">
        <v>2617</v>
      </c>
      <c r="G238" s="800">
        <f>VLOOKUP($E238,[2]tropical!$A$4:$AF$46,[2]tropical!C$1,FALSE)</f>
        <v>0</v>
      </c>
      <c r="H238" s="800">
        <f>VLOOKUP($E238,[2]tropical!$A$4:$AF$46,[2]tropical!D$1,FALSE)</f>
        <v>0</v>
      </c>
      <c r="I238" s="800">
        <f>VLOOKUP($E238,[2]tropical!$A$4:$AF$46,[2]tropical!E$1,FALSE)</f>
        <v>0</v>
      </c>
      <c r="J238" s="800">
        <f>VLOOKUP($E238,[2]tropical!$A$4:$AF$46,[2]tropical!F$1,FALSE)</f>
        <v>0</v>
      </c>
      <c r="K238" s="800">
        <f>VLOOKUP($E238,[2]tropical!$A$4:$AF$46,[2]tropical!G$1,FALSE)</f>
        <v>0</v>
      </c>
      <c r="L238" s="800">
        <f>VLOOKUP($E238,[2]tropical!$A$4:$AF$46,[2]tropical!H$1,FALSE)</f>
        <v>0</v>
      </c>
      <c r="M238" s="800">
        <f>VLOOKUP($E238,[2]tropical!$A$4:$AF$46,[2]tropical!I$1,FALSE)</f>
        <v>0</v>
      </c>
      <c r="N238" s="800">
        <f>VLOOKUP($E238,[2]tropical!$A$4:$AF$46,[2]tropical!J$1,FALSE)</f>
        <v>0</v>
      </c>
      <c r="O238" s="800">
        <f>VLOOKUP($E238,[2]tropical!$A$4:$AF$46,[2]tropical!K$1,FALSE)</f>
        <v>0</v>
      </c>
      <c r="P238" s="800">
        <f>VLOOKUP($E238,[2]tropical!$A$4:$AF$46,[2]tropical!L$1,FALSE)</f>
        <v>0</v>
      </c>
      <c r="Q238" s="800">
        <f>VLOOKUP($E238,[2]tropical!$A$4:$AF$46,[2]tropical!M$1,FALSE)</f>
        <v>0</v>
      </c>
      <c r="R238" s="805">
        <f>VLOOKUP($E238,[2]tropical!$A$4:$AF$46,[2]tropical!N$1,FALSE)</f>
        <v>0</v>
      </c>
      <c r="S238" s="805">
        <f>VLOOKUP($E238,[2]tropical!$A$4:$AF$46,[2]tropical!O$1,FALSE)</f>
        <v>0</v>
      </c>
      <c r="T238" s="805">
        <f>VLOOKUP($E238,[2]tropical!$A$4:$AF$46,[2]tropical!P$1,FALSE)</f>
        <v>0</v>
      </c>
      <c r="U238" s="800">
        <f t="shared" si="3"/>
        <v>0</v>
      </c>
    </row>
    <row r="239" spans="1:21">
      <c r="A239" s="788">
        <v>8238</v>
      </c>
      <c r="B239" s="788" t="s">
        <v>1538</v>
      </c>
      <c r="C239" s="788">
        <v>188</v>
      </c>
      <c r="D239" s="788" t="s">
        <v>89</v>
      </c>
      <c r="E239" s="790" t="s">
        <v>1605</v>
      </c>
      <c r="F239" s="790" t="s">
        <v>2615</v>
      </c>
      <c r="G239" s="800">
        <f>VLOOKUP($E239,[2]tropical!$A$4:$AF$46,[2]tropical!C$1,FALSE)</f>
        <v>4</v>
      </c>
      <c r="H239" s="800">
        <f>VLOOKUP($E239,[2]tropical!$A$4:$AF$46,[2]tropical!D$1,FALSE)</f>
        <v>8</v>
      </c>
      <c r="I239" s="800">
        <f>VLOOKUP($E239,[2]tropical!$A$4:$AF$46,[2]tropical!E$1,FALSE)</f>
        <v>9</v>
      </c>
      <c r="J239" s="800">
        <f>VLOOKUP($E239,[2]tropical!$A$4:$AF$46,[2]tropical!F$1,FALSE)</f>
        <v>0</v>
      </c>
      <c r="K239" s="800">
        <f>VLOOKUP($E239,[2]tropical!$A$4:$AF$46,[2]tropical!G$1,FALSE)</f>
        <v>1</v>
      </c>
      <c r="L239" s="800">
        <f>VLOOKUP($E239,[2]tropical!$A$4:$AF$46,[2]tropical!H$1,FALSE)</f>
        <v>4</v>
      </c>
      <c r="M239" s="800">
        <f>VLOOKUP($E239,[2]tropical!$A$4:$AF$46,[2]tropical!I$1,FALSE)</f>
        <v>5</v>
      </c>
      <c r="N239" s="800">
        <f>VLOOKUP($E239,[2]tropical!$A$4:$AF$46,[2]tropical!J$1,FALSE)</f>
        <v>1</v>
      </c>
      <c r="O239" s="800">
        <f>VLOOKUP($E239,[2]tropical!$A$4:$AF$46,[2]tropical!K$1,FALSE)</f>
        <v>4</v>
      </c>
      <c r="P239" s="800">
        <f>VLOOKUP($E239,[2]tropical!$A$4:$AF$46,[2]tropical!L$1,FALSE)</f>
        <v>3</v>
      </c>
      <c r="Q239" s="800">
        <f>VLOOKUP($E239,[2]tropical!$A$4:$AF$46,[2]tropical!M$1,FALSE)</f>
        <v>0</v>
      </c>
      <c r="R239" s="805">
        <f>VLOOKUP($E239,[2]tropical!$A$4:$AF$46,[2]tropical!N$1,FALSE)</f>
        <v>0</v>
      </c>
      <c r="S239" s="805">
        <f>VLOOKUP($E239,[2]tropical!$A$4:$AF$46,[2]tropical!O$1,FALSE)</f>
        <v>0</v>
      </c>
      <c r="T239" s="805">
        <f>VLOOKUP($E239,[2]tropical!$A$4:$AF$46,[2]tropical!P$1,FALSE)</f>
        <v>0</v>
      </c>
      <c r="U239" s="800">
        <f t="shared" si="3"/>
        <v>39</v>
      </c>
    </row>
    <row r="240" spans="1:21">
      <c r="A240" s="788">
        <v>8239</v>
      </c>
      <c r="B240" s="788" t="s">
        <v>1542</v>
      </c>
      <c r="C240" s="788">
        <v>627</v>
      </c>
      <c r="D240" s="788" t="s">
        <v>24</v>
      </c>
      <c r="E240" s="790" t="s">
        <v>1494</v>
      </c>
      <c r="F240" s="790" t="s">
        <v>2616</v>
      </c>
      <c r="G240" s="800">
        <f>VLOOKUP($E240,[2]tropical!$A$4:$AF$46,[2]tropical!C$1,FALSE)</f>
        <v>0</v>
      </c>
      <c r="H240" s="800">
        <f>VLOOKUP($E240,[2]tropical!$A$4:$AF$46,[2]tropical!D$1,FALSE)</f>
        <v>0</v>
      </c>
      <c r="I240" s="800">
        <f>VLOOKUP($E240,[2]tropical!$A$4:$AF$46,[2]tropical!E$1,FALSE)</f>
        <v>0</v>
      </c>
      <c r="J240" s="800">
        <f>VLOOKUP($E240,[2]tropical!$A$4:$AF$46,[2]tropical!F$1,FALSE)</f>
        <v>0</v>
      </c>
      <c r="K240" s="800">
        <f>VLOOKUP($E240,[2]tropical!$A$4:$AF$46,[2]tropical!G$1,FALSE)</f>
        <v>0</v>
      </c>
      <c r="L240" s="800">
        <f>VLOOKUP($E240,[2]tropical!$A$4:$AF$46,[2]tropical!H$1,FALSE)</f>
        <v>0</v>
      </c>
      <c r="M240" s="800">
        <f>VLOOKUP($E240,[2]tropical!$A$4:$AF$46,[2]tropical!I$1,FALSE)</f>
        <v>0</v>
      </c>
      <c r="N240" s="800">
        <f>VLOOKUP($E240,[2]tropical!$A$4:$AF$46,[2]tropical!J$1,FALSE)</f>
        <v>0</v>
      </c>
      <c r="O240" s="800">
        <f>VLOOKUP($E240,[2]tropical!$A$4:$AF$46,[2]tropical!K$1,FALSE)</f>
        <v>0</v>
      </c>
      <c r="P240" s="800">
        <f>VLOOKUP($E240,[2]tropical!$A$4:$AF$46,[2]tropical!L$1,FALSE)</f>
        <v>0</v>
      </c>
      <c r="Q240" s="800">
        <f>VLOOKUP($E240,[2]tropical!$A$4:$AF$46,[2]tropical!M$1,FALSE)</f>
        <v>0</v>
      </c>
      <c r="R240" s="805">
        <f>VLOOKUP($E240,[2]tropical!$A$4:$AF$46,[2]tropical!N$1,FALSE)</f>
        <v>0</v>
      </c>
      <c r="S240" s="805">
        <f>VLOOKUP($E240,[2]tropical!$A$4:$AF$46,[2]tropical!O$1,FALSE)</f>
        <v>0</v>
      </c>
      <c r="T240" s="805">
        <f>VLOOKUP($E240,[2]tropical!$A$4:$AF$46,[2]tropical!P$1,FALSE)</f>
        <v>0</v>
      </c>
      <c r="U240" s="800">
        <f t="shared" si="3"/>
        <v>0</v>
      </c>
    </row>
    <row r="241" spans="1:21">
      <c r="A241" s="788">
        <v>8240</v>
      </c>
      <c r="B241" s="788" t="s">
        <v>1544</v>
      </c>
      <c r="C241" s="788">
        <v>162</v>
      </c>
      <c r="D241" s="788" t="s">
        <v>791</v>
      </c>
      <c r="E241" s="790" t="s">
        <v>1544</v>
      </c>
      <c r="F241" s="790" t="s">
        <v>2616</v>
      </c>
      <c r="G241" s="800">
        <f>VLOOKUP($E241,[2]tropical!$A$4:$AF$46,[2]tropical!C$1,FALSE)</f>
        <v>0</v>
      </c>
      <c r="H241" s="800">
        <f>VLOOKUP($E241,[2]tropical!$A$4:$AF$46,[2]tropical!D$1,FALSE)</f>
        <v>0</v>
      </c>
      <c r="I241" s="800">
        <f>VLOOKUP($E241,[2]tropical!$A$4:$AF$46,[2]tropical!E$1,FALSE)</f>
        <v>3</v>
      </c>
      <c r="J241" s="800">
        <f>VLOOKUP($E241,[2]tropical!$A$4:$AF$46,[2]tropical!F$1,FALSE)</f>
        <v>0</v>
      </c>
      <c r="K241" s="800">
        <f>VLOOKUP($E241,[2]tropical!$A$4:$AF$46,[2]tropical!G$1,FALSE)</f>
        <v>0</v>
      </c>
      <c r="L241" s="800">
        <f>VLOOKUP($E241,[2]tropical!$A$4:$AF$46,[2]tropical!H$1,FALSE)</f>
        <v>0</v>
      </c>
      <c r="M241" s="800">
        <f>VLOOKUP($E241,[2]tropical!$A$4:$AF$46,[2]tropical!I$1,FALSE)</f>
        <v>0</v>
      </c>
      <c r="N241" s="800">
        <f>VLOOKUP($E241,[2]tropical!$A$4:$AF$46,[2]tropical!J$1,FALSE)</f>
        <v>2</v>
      </c>
      <c r="O241" s="800">
        <f>VLOOKUP($E241,[2]tropical!$A$4:$AF$46,[2]tropical!K$1,FALSE)</f>
        <v>2</v>
      </c>
      <c r="P241" s="800">
        <f>VLOOKUP($E241,[2]tropical!$A$4:$AF$46,[2]tropical!L$1,FALSE)</f>
        <v>0</v>
      </c>
      <c r="Q241" s="800">
        <f>VLOOKUP($E241,[2]tropical!$A$4:$AF$46,[2]tropical!M$1,FALSE)</f>
        <v>0</v>
      </c>
      <c r="R241" s="805">
        <f>VLOOKUP($E241,[2]tropical!$A$4:$AF$46,[2]tropical!N$1,FALSE)</f>
        <v>0</v>
      </c>
      <c r="S241" s="805">
        <f>VLOOKUP($E241,[2]tropical!$A$4:$AF$46,[2]tropical!O$1,FALSE)</f>
        <v>0</v>
      </c>
      <c r="T241" s="805">
        <f>VLOOKUP($E241,[2]tropical!$A$4:$AF$46,[2]tropical!P$1,FALSE)</f>
        <v>0</v>
      </c>
      <c r="U241" s="800">
        <f t="shared" si="3"/>
        <v>7</v>
      </c>
    </row>
    <row r="242" spans="1:21">
      <c r="A242" s="788">
        <v>8241</v>
      </c>
      <c r="B242" s="788" t="s">
        <v>1549</v>
      </c>
      <c r="C242" s="788">
        <v>531</v>
      </c>
      <c r="D242" s="788" t="s">
        <v>88</v>
      </c>
      <c r="E242" s="790" t="s">
        <v>1127</v>
      </c>
      <c r="F242" s="790" t="s">
        <v>2617</v>
      </c>
      <c r="G242" s="800">
        <f>VLOOKUP($E242,[2]tropical!$A$4:$AF$46,[2]tropical!C$1,FALSE)</f>
        <v>0</v>
      </c>
      <c r="H242" s="800">
        <f>VLOOKUP($E242,[2]tropical!$A$4:$AF$46,[2]tropical!D$1,FALSE)</f>
        <v>0</v>
      </c>
      <c r="I242" s="800">
        <f>VLOOKUP($E242,[2]tropical!$A$4:$AF$46,[2]tropical!E$1,FALSE)</f>
        <v>0</v>
      </c>
      <c r="J242" s="800">
        <f>VLOOKUP($E242,[2]tropical!$A$4:$AF$46,[2]tropical!F$1,FALSE)</f>
        <v>0</v>
      </c>
      <c r="K242" s="800">
        <f>VLOOKUP($E242,[2]tropical!$A$4:$AF$46,[2]tropical!G$1,FALSE)</f>
        <v>0</v>
      </c>
      <c r="L242" s="800">
        <f>VLOOKUP($E242,[2]tropical!$A$4:$AF$46,[2]tropical!H$1,FALSE)</f>
        <v>0</v>
      </c>
      <c r="M242" s="800">
        <f>VLOOKUP($E242,[2]tropical!$A$4:$AF$46,[2]tropical!I$1,FALSE)</f>
        <v>0</v>
      </c>
      <c r="N242" s="800">
        <f>VLOOKUP($E242,[2]tropical!$A$4:$AF$46,[2]tropical!J$1,FALSE)</f>
        <v>0</v>
      </c>
      <c r="O242" s="800">
        <f>VLOOKUP($E242,[2]tropical!$A$4:$AF$46,[2]tropical!K$1,FALSE)</f>
        <v>0</v>
      </c>
      <c r="P242" s="800">
        <f>VLOOKUP($E242,[2]tropical!$A$4:$AF$46,[2]tropical!L$1,FALSE)</f>
        <v>0</v>
      </c>
      <c r="Q242" s="800">
        <f>VLOOKUP($E242,[2]tropical!$A$4:$AF$46,[2]tropical!M$1,FALSE)</f>
        <v>0</v>
      </c>
      <c r="R242" s="805">
        <f>VLOOKUP($E242,[2]tropical!$A$4:$AF$46,[2]tropical!N$1,FALSE)</f>
        <v>0</v>
      </c>
      <c r="S242" s="805">
        <f>VLOOKUP($E242,[2]tropical!$A$4:$AF$46,[2]tropical!O$1,FALSE)</f>
        <v>0</v>
      </c>
      <c r="T242" s="805">
        <f>VLOOKUP($E242,[2]tropical!$A$4:$AF$46,[2]tropical!P$1,FALSE)</f>
        <v>0</v>
      </c>
      <c r="U242" s="800">
        <f t="shared" si="3"/>
        <v>0</v>
      </c>
    </row>
    <row r="243" spans="1:21">
      <c r="A243" s="788">
        <v>8242</v>
      </c>
      <c r="B243" s="788" t="s">
        <v>1555</v>
      </c>
      <c r="C243" s="788">
        <v>291</v>
      </c>
      <c r="D243" s="788" t="s">
        <v>82</v>
      </c>
      <c r="E243" s="790" t="s">
        <v>767</v>
      </c>
      <c r="F243" s="790" t="s">
        <v>2616</v>
      </c>
      <c r="G243" s="800">
        <f>VLOOKUP($E243,[2]tropical!$A$4:$AF$46,[2]tropical!C$1,FALSE)</f>
        <v>0</v>
      </c>
      <c r="H243" s="800">
        <f>VLOOKUP($E243,[2]tropical!$A$4:$AF$46,[2]tropical!D$1,FALSE)</f>
        <v>0</v>
      </c>
      <c r="I243" s="800">
        <f>VLOOKUP($E243,[2]tropical!$A$4:$AF$46,[2]tropical!E$1,FALSE)</f>
        <v>2</v>
      </c>
      <c r="J243" s="800">
        <f>VLOOKUP($E243,[2]tropical!$A$4:$AF$46,[2]tropical!F$1,FALSE)</f>
        <v>0</v>
      </c>
      <c r="K243" s="800">
        <f>VLOOKUP($E243,[2]tropical!$A$4:$AF$46,[2]tropical!G$1,FALSE)</f>
        <v>0</v>
      </c>
      <c r="L243" s="800">
        <f>VLOOKUP($E243,[2]tropical!$A$4:$AF$46,[2]tropical!H$1,FALSE)</f>
        <v>0</v>
      </c>
      <c r="M243" s="800">
        <f>VLOOKUP($E243,[2]tropical!$A$4:$AF$46,[2]tropical!I$1,FALSE)</f>
        <v>0</v>
      </c>
      <c r="N243" s="800">
        <f>VLOOKUP($E243,[2]tropical!$A$4:$AF$46,[2]tropical!J$1,FALSE)</f>
        <v>0</v>
      </c>
      <c r="O243" s="800">
        <f>VLOOKUP($E243,[2]tropical!$A$4:$AF$46,[2]tropical!K$1,FALSE)</f>
        <v>0</v>
      </c>
      <c r="P243" s="800">
        <f>VLOOKUP($E243,[2]tropical!$A$4:$AF$46,[2]tropical!L$1,FALSE)</f>
        <v>0</v>
      </c>
      <c r="Q243" s="800">
        <f>VLOOKUP($E243,[2]tropical!$A$4:$AF$46,[2]tropical!M$1,FALSE)</f>
        <v>0</v>
      </c>
      <c r="R243" s="805">
        <f>VLOOKUP($E243,[2]tropical!$A$4:$AF$46,[2]tropical!N$1,FALSE)</f>
        <v>0</v>
      </c>
      <c r="S243" s="805">
        <f>VLOOKUP($E243,[2]tropical!$A$4:$AF$46,[2]tropical!O$1,FALSE)</f>
        <v>0</v>
      </c>
      <c r="T243" s="805">
        <f>VLOOKUP($E243,[2]tropical!$A$4:$AF$46,[2]tropical!P$1,FALSE)</f>
        <v>0</v>
      </c>
      <c r="U243" s="800">
        <f t="shared" si="3"/>
        <v>2</v>
      </c>
    </row>
    <row r="244" spans="1:21">
      <c r="A244" s="788">
        <v>8243</v>
      </c>
      <c r="B244" s="788" t="s">
        <v>1556</v>
      </c>
      <c r="C244" s="788">
        <v>519</v>
      </c>
      <c r="D244" s="788" t="s">
        <v>88</v>
      </c>
      <c r="E244" s="790" t="s">
        <v>1127</v>
      </c>
      <c r="F244" s="790" t="s">
        <v>2617</v>
      </c>
      <c r="G244" s="800">
        <f>VLOOKUP($E244,[2]tropical!$A$4:$AF$46,[2]tropical!C$1,FALSE)</f>
        <v>0</v>
      </c>
      <c r="H244" s="800">
        <f>VLOOKUP($E244,[2]tropical!$A$4:$AF$46,[2]tropical!D$1,FALSE)</f>
        <v>0</v>
      </c>
      <c r="I244" s="800">
        <f>VLOOKUP($E244,[2]tropical!$A$4:$AF$46,[2]tropical!E$1,FALSE)</f>
        <v>0</v>
      </c>
      <c r="J244" s="800">
        <f>VLOOKUP($E244,[2]tropical!$A$4:$AF$46,[2]tropical!F$1,FALSE)</f>
        <v>0</v>
      </c>
      <c r="K244" s="800">
        <f>VLOOKUP($E244,[2]tropical!$A$4:$AF$46,[2]tropical!G$1,FALSE)</f>
        <v>0</v>
      </c>
      <c r="L244" s="800">
        <f>VLOOKUP($E244,[2]tropical!$A$4:$AF$46,[2]tropical!H$1,FALSE)</f>
        <v>0</v>
      </c>
      <c r="M244" s="800">
        <f>VLOOKUP($E244,[2]tropical!$A$4:$AF$46,[2]tropical!I$1,FALSE)</f>
        <v>0</v>
      </c>
      <c r="N244" s="800">
        <f>VLOOKUP($E244,[2]tropical!$A$4:$AF$46,[2]tropical!J$1,FALSE)</f>
        <v>0</v>
      </c>
      <c r="O244" s="800">
        <f>VLOOKUP($E244,[2]tropical!$A$4:$AF$46,[2]tropical!K$1,FALSE)</f>
        <v>0</v>
      </c>
      <c r="P244" s="800">
        <f>VLOOKUP($E244,[2]tropical!$A$4:$AF$46,[2]tropical!L$1,FALSE)</f>
        <v>0</v>
      </c>
      <c r="Q244" s="800">
        <f>VLOOKUP($E244,[2]tropical!$A$4:$AF$46,[2]tropical!M$1,FALSE)</f>
        <v>0</v>
      </c>
      <c r="R244" s="805">
        <f>VLOOKUP($E244,[2]tropical!$A$4:$AF$46,[2]tropical!N$1,FALSE)</f>
        <v>0</v>
      </c>
      <c r="S244" s="805">
        <f>VLOOKUP($E244,[2]tropical!$A$4:$AF$46,[2]tropical!O$1,FALSE)</f>
        <v>0</v>
      </c>
      <c r="T244" s="805">
        <f>VLOOKUP($E244,[2]tropical!$A$4:$AF$46,[2]tropical!P$1,FALSE)</f>
        <v>0</v>
      </c>
      <c r="U244" s="800">
        <f t="shared" si="3"/>
        <v>0</v>
      </c>
    </row>
    <row r="245" spans="1:21">
      <c r="A245" s="788">
        <v>8244</v>
      </c>
      <c r="B245" s="788" t="s">
        <v>1558</v>
      </c>
      <c r="C245" s="788">
        <v>73</v>
      </c>
      <c r="D245" s="788" t="s">
        <v>90</v>
      </c>
      <c r="E245" s="790" t="s">
        <v>1697</v>
      </c>
      <c r="F245" s="790" t="s">
        <v>2615</v>
      </c>
      <c r="G245" s="800">
        <f>VLOOKUP($E245,[2]tropical!$A$4:$AF$46,[2]tropical!C$1,FALSE)</f>
        <v>8</v>
      </c>
      <c r="H245" s="800">
        <f>VLOOKUP($E245,[2]tropical!$A$4:$AF$46,[2]tropical!D$1,FALSE)</f>
        <v>14</v>
      </c>
      <c r="I245" s="800">
        <f>VLOOKUP($E245,[2]tropical!$A$4:$AF$46,[2]tropical!E$1,FALSE)</f>
        <v>22</v>
      </c>
      <c r="J245" s="800">
        <f>VLOOKUP($E245,[2]tropical!$A$4:$AF$46,[2]tropical!F$1,FALSE)</f>
        <v>5</v>
      </c>
      <c r="K245" s="800">
        <f>VLOOKUP($E245,[2]tropical!$A$4:$AF$46,[2]tropical!G$1,FALSE)</f>
        <v>5</v>
      </c>
      <c r="L245" s="800">
        <f>VLOOKUP($E245,[2]tropical!$A$4:$AF$46,[2]tropical!H$1,FALSE)</f>
        <v>17</v>
      </c>
      <c r="M245" s="800">
        <f>VLOOKUP($E245,[2]tropical!$A$4:$AF$46,[2]tropical!I$1,FALSE)</f>
        <v>24</v>
      </c>
      <c r="N245" s="800">
        <f>VLOOKUP($E245,[2]tropical!$A$4:$AF$46,[2]tropical!J$1,FALSE)</f>
        <v>3</v>
      </c>
      <c r="O245" s="800">
        <f>VLOOKUP($E245,[2]tropical!$A$4:$AF$46,[2]tropical!K$1,FALSE)</f>
        <v>17</v>
      </c>
      <c r="P245" s="800">
        <f>VLOOKUP($E245,[2]tropical!$A$4:$AF$46,[2]tropical!L$1,FALSE)</f>
        <v>7</v>
      </c>
      <c r="Q245" s="800">
        <f>VLOOKUP($E245,[2]tropical!$A$4:$AF$46,[2]tropical!M$1,FALSE)</f>
        <v>3</v>
      </c>
      <c r="R245" s="805">
        <f>VLOOKUP($E245,[2]tropical!$A$4:$AF$46,[2]tropical!N$1,FALSE)</f>
        <v>0</v>
      </c>
      <c r="S245" s="805">
        <f>VLOOKUP($E245,[2]tropical!$A$4:$AF$46,[2]tropical!O$1,FALSE)</f>
        <v>0</v>
      </c>
      <c r="T245" s="805">
        <f>VLOOKUP($E245,[2]tropical!$A$4:$AF$46,[2]tropical!P$1,FALSE)</f>
        <v>0</v>
      </c>
      <c r="U245" s="800">
        <f t="shared" si="3"/>
        <v>125</v>
      </c>
    </row>
    <row r="246" spans="1:21">
      <c r="A246" s="788">
        <v>8245</v>
      </c>
      <c r="B246" s="788" t="s">
        <v>1559</v>
      </c>
      <c r="C246" s="788">
        <v>56</v>
      </c>
      <c r="D246" s="788" t="s">
        <v>83</v>
      </c>
      <c r="E246" s="790" t="s">
        <v>2605</v>
      </c>
      <c r="F246" s="790" t="s">
        <v>2615</v>
      </c>
      <c r="G246" s="800">
        <f>VLOOKUP($E246,[2]tropical!$A$4:$AF$46,[2]tropical!C$1,FALSE)</f>
        <v>12</v>
      </c>
      <c r="H246" s="800">
        <f>VLOOKUP($E246,[2]tropical!$A$4:$AF$46,[2]tropical!D$1,FALSE)</f>
        <v>23</v>
      </c>
      <c r="I246" s="800">
        <f>VLOOKUP($E246,[2]tropical!$A$4:$AF$46,[2]tropical!E$1,FALSE)</f>
        <v>31</v>
      </c>
      <c r="J246" s="800">
        <f>VLOOKUP($E246,[2]tropical!$A$4:$AF$46,[2]tropical!F$1,FALSE)</f>
        <v>7</v>
      </c>
      <c r="K246" s="800">
        <f>VLOOKUP($E246,[2]tropical!$A$4:$AF$46,[2]tropical!G$1,FALSE)</f>
        <v>12</v>
      </c>
      <c r="L246" s="800">
        <f>VLOOKUP($E246,[2]tropical!$A$4:$AF$46,[2]tropical!H$1,FALSE)</f>
        <v>30</v>
      </c>
      <c r="M246" s="800">
        <f>VLOOKUP($E246,[2]tropical!$A$4:$AF$46,[2]tropical!I$1,FALSE)</f>
        <v>27</v>
      </c>
      <c r="N246" s="800">
        <f>VLOOKUP($E246,[2]tropical!$A$4:$AF$46,[2]tropical!J$1,FALSE)</f>
        <v>9</v>
      </c>
      <c r="O246" s="800">
        <f>VLOOKUP($E246,[2]tropical!$A$4:$AF$46,[2]tropical!K$1,FALSE)</f>
        <v>20</v>
      </c>
      <c r="P246" s="800">
        <f>VLOOKUP($E246,[2]tropical!$A$4:$AF$46,[2]tropical!L$1,FALSE)</f>
        <v>24</v>
      </c>
      <c r="Q246" s="800">
        <f>VLOOKUP($E246,[2]tropical!$A$4:$AF$46,[2]tropical!M$1,FALSE)</f>
        <v>4</v>
      </c>
      <c r="R246" s="805">
        <f>VLOOKUP($E246,[2]tropical!$A$4:$AF$46,[2]tropical!N$1,FALSE)</f>
        <v>0</v>
      </c>
      <c r="S246" s="805">
        <f>VLOOKUP($E246,[2]tropical!$A$4:$AF$46,[2]tropical!O$1,FALSE)</f>
        <v>0</v>
      </c>
      <c r="T246" s="805">
        <f>VLOOKUP($E246,[2]tropical!$A$4:$AF$46,[2]tropical!P$1,FALSE)</f>
        <v>0</v>
      </c>
      <c r="U246" s="800">
        <f t="shared" si="3"/>
        <v>199</v>
      </c>
    </row>
    <row r="247" spans="1:21">
      <c r="A247" s="788">
        <v>8246</v>
      </c>
      <c r="B247" s="788" t="s">
        <v>1561</v>
      </c>
      <c r="C247" s="788">
        <v>538</v>
      </c>
      <c r="D247" s="788" t="s">
        <v>88</v>
      </c>
      <c r="E247" s="790" t="s">
        <v>1127</v>
      </c>
      <c r="F247" s="790" t="s">
        <v>2617</v>
      </c>
      <c r="G247" s="800">
        <f>VLOOKUP($E247,[2]tropical!$A$4:$AF$46,[2]tropical!C$1,FALSE)</f>
        <v>0</v>
      </c>
      <c r="H247" s="800">
        <f>VLOOKUP($E247,[2]tropical!$A$4:$AF$46,[2]tropical!D$1,FALSE)</f>
        <v>0</v>
      </c>
      <c r="I247" s="800">
        <f>VLOOKUP($E247,[2]tropical!$A$4:$AF$46,[2]tropical!E$1,FALSE)</f>
        <v>0</v>
      </c>
      <c r="J247" s="800">
        <f>VLOOKUP($E247,[2]tropical!$A$4:$AF$46,[2]tropical!F$1,FALSE)</f>
        <v>0</v>
      </c>
      <c r="K247" s="800">
        <f>VLOOKUP($E247,[2]tropical!$A$4:$AF$46,[2]tropical!G$1,FALSE)</f>
        <v>0</v>
      </c>
      <c r="L247" s="800">
        <f>VLOOKUP($E247,[2]tropical!$A$4:$AF$46,[2]tropical!H$1,FALSE)</f>
        <v>0</v>
      </c>
      <c r="M247" s="800">
        <f>VLOOKUP($E247,[2]tropical!$A$4:$AF$46,[2]tropical!I$1,FALSE)</f>
        <v>0</v>
      </c>
      <c r="N247" s="800">
        <f>VLOOKUP($E247,[2]tropical!$A$4:$AF$46,[2]tropical!J$1,FALSE)</f>
        <v>0</v>
      </c>
      <c r="O247" s="800">
        <f>VLOOKUP($E247,[2]tropical!$A$4:$AF$46,[2]tropical!K$1,FALSE)</f>
        <v>0</v>
      </c>
      <c r="P247" s="800">
        <f>VLOOKUP($E247,[2]tropical!$A$4:$AF$46,[2]tropical!L$1,FALSE)</f>
        <v>0</v>
      </c>
      <c r="Q247" s="800">
        <f>VLOOKUP($E247,[2]tropical!$A$4:$AF$46,[2]tropical!M$1,FALSE)</f>
        <v>0</v>
      </c>
      <c r="R247" s="805">
        <f>VLOOKUP($E247,[2]tropical!$A$4:$AF$46,[2]tropical!N$1,FALSE)</f>
        <v>0</v>
      </c>
      <c r="S247" s="805">
        <f>VLOOKUP($E247,[2]tropical!$A$4:$AF$46,[2]tropical!O$1,FALSE)</f>
        <v>0</v>
      </c>
      <c r="T247" s="805">
        <f>VLOOKUP($E247,[2]tropical!$A$4:$AF$46,[2]tropical!P$1,FALSE)</f>
        <v>0</v>
      </c>
      <c r="U247" s="800">
        <f t="shared" si="3"/>
        <v>0</v>
      </c>
    </row>
    <row r="248" spans="1:21">
      <c r="A248" s="788">
        <v>8247</v>
      </c>
      <c r="B248" s="788" t="s">
        <v>1562</v>
      </c>
      <c r="C248" s="788">
        <v>568</v>
      </c>
      <c r="D248" s="788" t="s">
        <v>88</v>
      </c>
      <c r="E248" s="790" t="s">
        <v>1233</v>
      </c>
      <c r="F248" s="790" t="s">
        <v>2616</v>
      </c>
      <c r="G248" s="800">
        <f>VLOOKUP($E248,[2]tropical!$A$4:$AF$46,[2]tropical!C$1,FALSE)</f>
        <v>0</v>
      </c>
      <c r="H248" s="800">
        <f>VLOOKUP($E248,[2]tropical!$A$4:$AF$46,[2]tropical!D$1,FALSE)</f>
        <v>1</v>
      </c>
      <c r="I248" s="800">
        <f>VLOOKUP($E248,[2]tropical!$A$4:$AF$46,[2]tropical!E$1,FALSE)</f>
        <v>1</v>
      </c>
      <c r="J248" s="800">
        <f>VLOOKUP($E248,[2]tropical!$A$4:$AF$46,[2]tropical!F$1,FALSE)</f>
        <v>2</v>
      </c>
      <c r="K248" s="800">
        <f>VLOOKUP($E248,[2]tropical!$A$4:$AF$46,[2]tropical!G$1,FALSE)</f>
        <v>1</v>
      </c>
      <c r="L248" s="800">
        <f>VLOOKUP($E248,[2]tropical!$A$4:$AF$46,[2]tropical!H$1,FALSE)</f>
        <v>2</v>
      </c>
      <c r="M248" s="800">
        <f>VLOOKUP($E248,[2]tropical!$A$4:$AF$46,[2]tropical!I$1,FALSE)</f>
        <v>0</v>
      </c>
      <c r="N248" s="800">
        <f>VLOOKUP($E248,[2]tropical!$A$4:$AF$46,[2]tropical!J$1,FALSE)</f>
        <v>0</v>
      </c>
      <c r="O248" s="800">
        <f>VLOOKUP($E248,[2]tropical!$A$4:$AF$46,[2]tropical!K$1,FALSE)</f>
        <v>2</v>
      </c>
      <c r="P248" s="800">
        <f>VLOOKUP($E248,[2]tropical!$A$4:$AF$46,[2]tropical!L$1,FALSE)</f>
        <v>0</v>
      </c>
      <c r="Q248" s="800">
        <f>VLOOKUP($E248,[2]tropical!$A$4:$AF$46,[2]tropical!M$1,FALSE)</f>
        <v>0</v>
      </c>
      <c r="R248" s="805">
        <f>VLOOKUP($E248,[2]tropical!$A$4:$AF$46,[2]tropical!N$1,FALSE)</f>
        <v>0</v>
      </c>
      <c r="S248" s="805">
        <f>VLOOKUP($E248,[2]tropical!$A$4:$AF$46,[2]tropical!O$1,FALSE)</f>
        <v>0</v>
      </c>
      <c r="T248" s="805">
        <f>VLOOKUP($E248,[2]tropical!$A$4:$AF$46,[2]tropical!P$1,FALSE)</f>
        <v>0</v>
      </c>
      <c r="U248" s="800">
        <f t="shared" si="3"/>
        <v>9</v>
      </c>
    </row>
    <row r="249" spans="1:21">
      <c r="A249" s="788">
        <v>8248</v>
      </c>
      <c r="B249" s="788" t="s">
        <v>1564</v>
      </c>
      <c r="C249" s="788">
        <v>242</v>
      </c>
      <c r="D249" s="788" t="s">
        <v>24</v>
      </c>
      <c r="E249" s="790" t="s">
        <v>867</v>
      </c>
      <c r="F249" s="790" t="s">
        <v>2616</v>
      </c>
      <c r="G249" s="800">
        <f>VLOOKUP($E249,[2]tropical!$A$4:$AF$46,[2]tropical!C$1,FALSE)</f>
        <v>0</v>
      </c>
      <c r="H249" s="800">
        <f>VLOOKUP($E249,[2]tropical!$A$4:$AF$46,[2]tropical!D$1,FALSE)</f>
        <v>1</v>
      </c>
      <c r="I249" s="800">
        <f>VLOOKUP($E249,[2]tropical!$A$4:$AF$46,[2]tropical!E$1,FALSE)</f>
        <v>2</v>
      </c>
      <c r="J249" s="800">
        <f>VLOOKUP($E249,[2]tropical!$A$4:$AF$46,[2]tropical!F$1,FALSE)</f>
        <v>1</v>
      </c>
      <c r="K249" s="800">
        <f>VLOOKUP($E249,[2]tropical!$A$4:$AF$46,[2]tropical!G$1,FALSE)</f>
        <v>0</v>
      </c>
      <c r="L249" s="800">
        <f>VLOOKUP($E249,[2]tropical!$A$4:$AF$46,[2]tropical!H$1,FALSE)</f>
        <v>2</v>
      </c>
      <c r="M249" s="800">
        <f>VLOOKUP($E249,[2]tropical!$A$4:$AF$46,[2]tropical!I$1,FALSE)</f>
        <v>0</v>
      </c>
      <c r="N249" s="800">
        <f>VLOOKUP($E249,[2]tropical!$A$4:$AF$46,[2]tropical!J$1,FALSE)</f>
        <v>0</v>
      </c>
      <c r="O249" s="800">
        <f>VLOOKUP($E249,[2]tropical!$A$4:$AF$46,[2]tropical!K$1,FALSE)</f>
        <v>2</v>
      </c>
      <c r="P249" s="800">
        <f>VLOOKUP($E249,[2]tropical!$A$4:$AF$46,[2]tropical!L$1,FALSE)</f>
        <v>0</v>
      </c>
      <c r="Q249" s="800">
        <f>VLOOKUP($E249,[2]tropical!$A$4:$AF$46,[2]tropical!M$1,FALSE)</f>
        <v>0</v>
      </c>
      <c r="R249" s="805">
        <f>VLOOKUP($E249,[2]tropical!$A$4:$AF$46,[2]tropical!N$1,FALSE)</f>
        <v>0</v>
      </c>
      <c r="S249" s="805">
        <f>VLOOKUP($E249,[2]tropical!$A$4:$AF$46,[2]tropical!O$1,FALSE)</f>
        <v>0</v>
      </c>
      <c r="T249" s="805">
        <f>VLOOKUP($E249,[2]tropical!$A$4:$AF$46,[2]tropical!P$1,FALSE)</f>
        <v>0</v>
      </c>
      <c r="U249" s="800">
        <f t="shared" si="3"/>
        <v>8</v>
      </c>
    </row>
    <row r="250" spans="1:21">
      <c r="A250" s="788">
        <v>8249</v>
      </c>
      <c r="B250" s="788" t="s">
        <v>1566</v>
      </c>
      <c r="C250" s="788">
        <v>240</v>
      </c>
      <c r="D250" s="788" t="s">
        <v>791</v>
      </c>
      <c r="E250" s="790" t="s">
        <v>2607</v>
      </c>
      <c r="F250" s="790" t="s">
        <v>2615</v>
      </c>
      <c r="G250" s="800">
        <f>VLOOKUP($E250,[2]tropical!$A$4:$AF$46,[2]tropical!C$1,FALSE)</f>
        <v>0</v>
      </c>
      <c r="H250" s="800">
        <f>VLOOKUP($E250,[2]tropical!$A$4:$AF$46,[2]tropical!D$1,FALSE)</f>
        <v>3</v>
      </c>
      <c r="I250" s="800">
        <f>VLOOKUP($E250,[2]tropical!$A$4:$AF$46,[2]tropical!E$1,FALSE)</f>
        <v>2</v>
      </c>
      <c r="J250" s="800">
        <f>VLOOKUP($E250,[2]tropical!$A$4:$AF$46,[2]tropical!F$1,FALSE)</f>
        <v>0</v>
      </c>
      <c r="K250" s="800">
        <f>VLOOKUP($E250,[2]tropical!$A$4:$AF$46,[2]tropical!G$1,FALSE)</f>
        <v>1</v>
      </c>
      <c r="L250" s="800">
        <f>VLOOKUP($E250,[2]tropical!$A$4:$AF$46,[2]tropical!H$1,FALSE)</f>
        <v>1</v>
      </c>
      <c r="M250" s="800">
        <f>VLOOKUP($E250,[2]tropical!$A$4:$AF$46,[2]tropical!I$1,FALSE)</f>
        <v>1</v>
      </c>
      <c r="N250" s="800">
        <f>VLOOKUP($E250,[2]tropical!$A$4:$AF$46,[2]tropical!J$1,FALSE)</f>
        <v>1</v>
      </c>
      <c r="O250" s="800">
        <f>VLOOKUP($E250,[2]tropical!$A$4:$AF$46,[2]tropical!K$1,FALSE)</f>
        <v>1</v>
      </c>
      <c r="P250" s="800">
        <f>VLOOKUP($E250,[2]tropical!$A$4:$AF$46,[2]tropical!L$1,FALSE)</f>
        <v>0</v>
      </c>
      <c r="Q250" s="800">
        <f>VLOOKUP($E250,[2]tropical!$A$4:$AF$46,[2]tropical!M$1,FALSE)</f>
        <v>0</v>
      </c>
      <c r="R250" s="805">
        <f>VLOOKUP($E250,[2]tropical!$A$4:$AF$46,[2]tropical!N$1,FALSE)</f>
        <v>0</v>
      </c>
      <c r="S250" s="805">
        <f>VLOOKUP($E250,[2]tropical!$A$4:$AF$46,[2]tropical!O$1,FALSE)</f>
        <v>0</v>
      </c>
      <c r="T250" s="805">
        <f>VLOOKUP($E250,[2]tropical!$A$4:$AF$46,[2]tropical!P$1,FALSE)</f>
        <v>0</v>
      </c>
      <c r="U250" s="800">
        <f t="shared" si="3"/>
        <v>10</v>
      </c>
    </row>
    <row r="251" spans="1:21">
      <c r="A251" s="788">
        <v>8250</v>
      </c>
      <c r="B251" s="788" t="s">
        <v>1567</v>
      </c>
      <c r="C251" s="788">
        <v>316</v>
      </c>
      <c r="D251" s="788" t="s">
        <v>81</v>
      </c>
      <c r="E251" s="790" t="s">
        <v>1274</v>
      </c>
      <c r="F251" s="790" t="s">
        <v>2616</v>
      </c>
      <c r="G251" s="800">
        <f>VLOOKUP($E251,[2]tropical!$A$4:$AF$46,[2]tropical!C$1,FALSE)</f>
        <v>0</v>
      </c>
      <c r="H251" s="800">
        <f>VLOOKUP($E251,[2]tropical!$A$4:$AF$46,[2]tropical!D$1,FALSE)</f>
        <v>0</v>
      </c>
      <c r="I251" s="800">
        <f>VLOOKUP($E251,[2]tropical!$A$4:$AF$46,[2]tropical!E$1,FALSE)</f>
        <v>0</v>
      </c>
      <c r="J251" s="800">
        <f>VLOOKUP($E251,[2]tropical!$A$4:$AF$46,[2]tropical!F$1,FALSE)</f>
        <v>0</v>
      </c>
      <c r="K251" s="800">
        <f>VLOOKUP($E251,[2]tropical!$A$4:$AF$46,[2]tropical!G$1,FALSE)</f>
        <v>1</v>
      </c>
      <c r="L251" s="800">
        <f>VLOOKUP($E251,[2]tropical!$A$4:$AF$46,[2]tropical!H$1,FALSE)</f>
        <v>0</v>
      </c>
      <c r="M251" s="800">
        <f>VLOOKUP($E251,[2]tropical!$A$4:$AF$46,[2]tropical!I$1,FALSE)</f>
        <v>0</v>
      </c>
      <c r="N251" s="800">
        <f>VLOOKUP($E251,[2]tropical!$A$4:$AF$46,[2]tropical!J$1,FALSE)</f>
        <v>0</v>
      </c>
      <c r="O251" s="800">
        <f>VLOOKUP($E251,[2]tropical!$A$4:$AF$46,[2]tropical!K$1,FALSE)</f>
        <v>1</v>
      </c>
      <c r="P251" s="800">
        <f>VLOOKUP($E251,[2]tropical!$A$4:$AF$46,[2]tropical!L$1,FALSE)</f>
        <v>0</v>
      </c>
      <c r="Q251" s="800">
        <f>VLOOKUP($E251,[2]tropical!$A$4:$AF$46,[2]tropical!M$1,FALSE)</f>
        <v>0</v>
      </c>
      <c r="R251" s="805">
        <f>VLOOKUP($E251,[2]tropical!$A$4:$AF$46,[2]tropical!N$1,FALSE)</f>
        <v>0</v>
      </c>
      <c r="S251" s="805">
        <f>VLOOKUP($E251,[2]tropical!$A$4:$AF$46,[2]tropical!O$1,FALSE)</f>
        <v>0</v>
      </c>
      <c r="T251" s="805">
        <f>VLOOKUP($E251,[2]tropical!$A$4:$AF$46,[2]tropical!P$1,FALSE)</f>
        <v>0</v>
      </c>
      <c r="U251" s="800">
        <f t="shared" si="3"/>
        <v>2</v>
      </c>
    </row>
    <row r="252" spans="1:21">
      <c r="A252" s="788">
        <v>8251</v>
      </c>
      <c r="B252" s="788" t="s">
        <v>1571</v>
      </c>
      <c r="C252" s="788">
        <v>161</v>
      </c>
      <c r="D252" s="788" t="s">
        <v>791</v>
      </c>
      <c r="E252" s="790" t="s">
        <v>2607</v>
      </c>
      <c r="F252" s="790" t="s">
        <v>2615</v>
      </c>
      <c r="G252" s="800">
        <f>VLOOKUP($E252,[2]tropical!$A$4:$AF$46,[2]tropical!C$1,FALSE)</f>
        <v>0</v>
      </c>
      <c r="H252" s="800">
        <f>VLOOKUP($E252,[2]tropical!$A$4:$AF$46,[2]tropical!D$1,FALSE)</f>
        <v>3</v>
      </c>
      <c r="I252" s="800">
        <f>VLOOKUP($E252,[2]tropical!$A$4:$AF$46,[2]tropical!E$1,FALSE)</f>
        <v>2</v>
      </c>
      <c r="J252" s="800">
        <f>VLOOKUP($E252,[2]tropical!$A$4:$AF$46,[2]tropical!F$1,FALSE)</f>
        <v>0</v>
      </c>
      <c r="K252" s="800">
        <f>VLOOKUP($E252,[2]tropical!$A$4:$AF$46,[2]tropical!G$1,FALSE)</f>
        <v>1</v>
      </c>
      <c r="L252" s="800">
        <f>VLOOKUP($E252,[2]tropical!$A$4:$AF$46,[2]tropical!H$1,FALSE)</f>
        <v>1</v>
      </c>
      <c r="M252" s="800">
        <f>VLOOKUP($E252,[2]tropical!$A$4:$AF$46,[2]tropical!I$1,FALSE)</f>
        <v>1</v>
      </c>
      <c r="N252" s="800">
        <f>VLOOKUP($E252,[2]tropical!$A$4:$AF$46,[2]tropical!J$1,FALSE)</f>
        <v>1</v>
      </c>
      <c r="O252" s="800">
        <f>VLOOKUP($E252,[2]tropical!$A$4:$AF$46,[2]tropical!K$1,FALSE)</f>
        <v>1</v>
      </c>
      <c r="P252" s="800">
        <f>VLOOKUP($E252,[2]tropical!$A$4:$AF$46,[2]tropical!L$1,FALSE)</f>
        <v>0</v>
      </c>
      <c r="Q252" s="800">
        <f>VLOOKUP($E252,[2]tropical!$A$4:$AF$46,[2]tropical!M$1,FALSE)</f>
        <v>0</v>
      </c>
      <c r="R252" s="805">
        <f>VLOOKUP($E252,[2]tropical!$A$4:$AF$46,[2]tropical!N$1,FALSE)</f>
        <v>0</v>
      </c>
      <c r="S252" s="805">
        <f>VLOOKUP($E252,[2]tropical!$A$4:$AF$46,[2]tropical!O$1,FALSE)</f>
        <v>0</v>
      </c>
      <c r="T252" s="805">
        <f>VLOOKUP($E252,[2]tropical!$A$4:$AF$46,[2]tropical!P$1,FALSE)</f>
        <v>0</v>
      </c>
      <c r="U252" s="800">
        <f t="shared" si="3"/>
        <v>10</v>
      </c>
    </row>
    <row r="253" spans="1:21">
      <c r="A253" s="788">
        <v>8252</v>
      </c>
      <c r="B253" s="788" t="s">
        <v>1572</v>
      </c>
      <c r="C253" s="788">
        <v>146</v>
      </c>
      <c r="D253" s="788" t="s">
        <v>89</v>
      </c>
      <c r="E253" s="790" t="s">
        <v>1605</v>
      </c>
      <c r="F253" s="790" t="s">
        <v>2615</v>
      </c>
      <c r="G253" s="800">
        <f>VLOOKUP($E253,[2]tropical!$A$4:$AF$46,[2]tropical!C$1,FALSE)</f>
        <v>4</v>
      </c>
      <c r="H253" s="800">
        <f>VLOOKUP($E253,[2]tropical!$A$4:$AF$46,[2]tropical!D$1,FALSE)</f>
        <v>8</v>
      </c>
      <c r="I253" s="800">
        <f>VLOOKUP($E253,[2]tropical!$A$4:$AF$46,[2]tropical!E$1,FALSE)</f>
        <v>9</v>
      </c>
      <c r="J253" s="800">
        <f>VLOOKUP($E253,[2]tropical!$A$4:$AF$46,[2]tropical!F$1,FALSE)</f>
        <v>0</v>
      </c>
      <c r="K253" s="800">
        <f>VLOOKUP($E253,[2]tropical!$A$4:$AF$46,[2]tropical!G$1,FALSE)</f>
        <v>1</v>
      </c>
      <c r="L253" s="800">
        <f>VLOOKUP($E253,[2]tropical!$A$4:$AF$46,[2]tropical!H$1,FALSE)</f>
        <v>4</v>
      </c>
      <c r="M253" s="800">
        <f>VLOOKUP($E253,[2]tropical!$A$4:$AF$46,[2]tropical!I$1,FALSE)</f>
        <v>5</v>
      </c>
      <c r="N253" s="800">
        <f>VLOOKUP($E253,[2]tropical!$A$4:$AF$46,[2]tropical!J$1,FALSE)</f>
        <v>1</v>
      </c>
      <c r="O253" s="800">
        <f>VLOOKUP($E253,[2]tropical!$A$4:$AF$46,[2]tropical!K$1,FALSE)</f>
        <v>4</v>
      </c>
      <c r="P253" s="800">
        <f>VLOOKUP($E253,[2]tropical!$A$4:$AF$46,[2]tropical!L$1,FALSE)</f>
        <v>3</v>
      </c>
      <c r="Q253" s="800">
        <f>VLOOKUP($E253,[2]tropical!$A$4:$AF$46,[2]tropical!M$1,FALSE)</f>
        <v>0</v>
      </c>
      <c r="R253" s="805">
        <f>VLOOKUP($E253,[2]tropical!$A$4:$AF$46,[2]tropical!N$1,FALSE)</f>
        <v>0</v>
      </c>
      <c r="S253" s="805">
        <f>VLOOKUP($E253,[2]tropical!$A$4:$AF$46,[2]tropical!O$1,FALSE)</f>
        <v>0</v>
      </c>
      <c r="T253" s="805">
        <f>VLOOKUP($E253,[2]tropical!$A$4:$AF$46,[2]tropical!P$1,FALSE)</f>
        <v>0</v>
      </c>
      <c r="U253" s="800">
        <f t="shared" si="3"/>
        <v>39</v>
      </c>
    </row>
    <row r="254" spans="1:21">
      <c r="A254" s="788">
        <v>8253</v>
      </c>
      <c r="B254" s="788" t="s">
        <v>1574</v>
      </c>
      <c r="C254" s="788">
        <v>866</v>
      </c>
      <c r="D254" s="788" t="s">
        <v>88</v>
      </c>
      <c r="E254" s="790" t="s">
        <v>1240</v>
      </c>
      <c r="F254" s="790" t="s">
        <v>2617</v>
      </c>
      <c r="G254" s="800">
        <f>VLOOKUP($E254,[2]tropical!$A$4:$AF$46,[2]tropical!C$1,FALSE)</f>
        <v>0</v>
      </c>
      <c r="H254" s="800">
        <f>VLOOKUP($E254,[2]tropical!$A$4:$AF$46,[2]tropical!D$1,FALSE)</f>
        <v>0</v>
      </c>
      <c r="I254" s="800">
        <f>VLOOKUP($E254,[2]tropical!$A$4:$AF$46,[2]tropical!E$1,FALSE)</f>
        <v>0</v>
      </c>
      <c r="J254" s="800">
        <f>VLOOKUP($E254,[2]tropical!$A$4:$AF$46,[2]tropical!F$1,FALSE)</f>
        <v>0</v>
      </c>
      <c r="K254" s="800">
        <f>VLOOKUP($E254,[2]tropical!$A$4:$AF$46,[2]tropical!G$1,FALSE)</f>
        <v>0</v>
      </c>
      <c r="L254" s="800">
        <f>VLOOKUP($E254,[2]tropical!$A$4:$AF$46,[2]tropical!H$1,FALSE)</f>
        <v>0</v>
      </c>
      <c r="M254" s="800">
        <f>VLOOKUP($E254,[2]tropical!$A$4:$AF$46,[2]tropical!I$1,FALSE)</f>
        <v>0</v>
      </c>
      <c r="N254" s="800">
        <f>VLOOKUP($E254,[2]tropical!$A$4:$AF$46,[2]tropical!J$1,FALSE)</f>
        <v>0</v>
      </c>
      <c r="O254" s="800">
        <f>VLOOKUP($E254,[2]tropical!$A$4:$AF$46,[2]tropical!K$1,FALSE)</f>
        <v>0</v>
      </c>
      <c r="P254" s="800">
        <f>VLOOKUP($E254,[2]tropical!$A$4:$AF$46,[2]tropical!L$1,FALSE)</f>
        <v>0</v>
      </c>
      <c r="Q254" s="800">
        <f>VLOOKUP($E254,[2]tropical!$A$4:$AF$46,[2]tropical!M$1,FALSE)</f>
        <v>0</v>
      </c>
      <c r="R254" s="805">
        <f>VLOOKUP($E254,[2]tropical!$A$4:$AF$46,[2]tropical!N$1,FALSE)</f>
        <v>0</v>
      </c>
      <c r="S254" s="805">
        <f>VLOOKUP($E254,[2]tropical!$A$4:$AF$46,[2]tropical!O$1,FALSE)</f>
        <v>0</v>
      </c>
      <c r="T254" s="805">
        <f>VLOOKUP($E254,[2]tropical!$A$4:$AF$46,[2]tropical!P$1,FALSE)</f>
        <v>0</v>
      </c>
      <c r="U254" s="800">
        <f t="shared" si="3"/>
        <v>0</v>
      </c>
    </row>
    <row r="255" spans="1:21">
      <c r="A255" s="788">
        <v>8254</v>
      </c>
      <c r="B255" s="788" t="s">
        <v>1578</v>
      </c>
      <c r="C255" s="788">
        <v>693</v>
      </c>
      <c r="D255" s="788" t="s">
        <v>88</v>
      </c>
      <c r="E255" s="790" t="s">
        <v>1301</v>
      </c>
      <c r="F255" s="790" t="s">
        <v>2617</v>
      </c>
      <c r="G255" s="800">
        <f>VLOOKUP($E255,[2]tropical!$A$4:$AF$46,[2]tropical!C$1,FALSE)</f>
        <v>0</v>
      </c>
      <c r="H255" s="800">
        <f>VLOOKUP($E255,[2]tropical!$A$4:$AF$46,[2]tropical!D$1,FALSE)</f>
        <v>0</v>
      </c>
      <c r="I255" s="800">
        <f>VLOOKUP($E255,[2]tropical!$A$4:$AF$46,[2]tropical!E$1,FALSE)</f>
        <v>0</v>
      </c>
      <c r="J255" s="800">
        <f>VLOOKUP($E255,[2]tropical!$A$4:$AF$46,[2]tropical!F$1,FALSE)</f>
        <v>0</v>
      </c>
      <c r="K255" s="800">
        <f>VLOOKUP($E255,[2]tropical!$A$4:$AF$46,[2]tropical!G$1,FALSE)</f>
        <v>0</v>
      </c>
      <c r="L255" s="800">
        <f>VLOOKUP($E255,[2]tropical!$A$4:$AF$46,[2]tropical!H$1,FALSE)</f>
        <v>0</v>
      </c>
      <c r="M255" s="800">
        <f>VLOOKUP($E255,[2]tropical!$A$4:$AF$46,[2]tropical!I$1,FALSE)</f>
        <v>0</v>
      </c>
      <c r="N255" s="800">
        <f>VLOOKUP($E255,[2]tropical!$A$4:$AF$46,[2]tropical!J$1,FALSE)</f>
        <v>0</v>
      </c>
      <c r="O255" s="800">
        <f>VLOOKUP($E255,[2]tropical!$A$4:$AF$46,[2]tropical!K$1,FALSE)</f>
        <v>0</v>
      </c>
      <c r="P255" s="800">
        <f>VLOOKUP($E255,[2]tropical!$A$4:$AF$46,[2]tropical!L$1,FALSE)</f>
        <v>0</v>
      </c>
      <c r="Q255" s="800">
        <f>VLOOKUP($E255,[2]tropical!$A$4:$AF$46,[2]tropical!M$1,FALSE)</f>
        <v>0</v>
      </c>
      <c r="R255" s="805">
        <f>VLOOKUP($E255,[2]tropical!$A$4:$AF$46,[2]tropical!N$1,FALSE)</f>
        <v>0</v>
      </c>
      <c r="S255" s="805">
        <f>VLOOKUP($E255,[2]tropical!$A$4:$AF$46,[2]tropical!O$1,FALSE)</f>
        <v>0</v>
      </c>
      <c r="T255" s="805">
        <f>VLOOKUP($E255,[2]tropical!$A$4:$AF$46,[2]tropical!P$1,FALSE)</f>
        <v>0</v>
      </c>
      <c r="U255" s="800">
        <f t="shared" si="3"/>
        <v>0</v>
      </c>
    </row>
    <row r="256" spans="1:21">
      <c r="A256" s="788">
        <v>8255</v>
      </c>
      <c r="B256" s="788" t="s">
        <v>1580</v>
      </c>
      <c r="C256" s="788">
        <v>532</v>
      </c>
      <c r="D256" s="788" t="s">
        <v>84</v>
      </c>
      <c r="E256" s="790" t="s">
        <v>1125</v>
      </c>
      <c r="F256" s="790" t="s">
        <v>2617</v>
      </c>
      <c r="G256" s="800">
        <f>VLOOKUP($E256,[2]tropical!$A$4:$AF$46,[2]tropical!C$1,FALSE)</f>
        <v>0</v>
      </c>
      <c r="H256" s="800">
        <f>VLOOKUP($E256,[2]tropical!$A$4:$AF$46,[2]tropical!D$1,FALSE)</f>
        <v>0</v>
      </c>
      <c r="I256" s="800">
        <f>VLOOKUP($E256,[2]tropical!$A$4:$AF$46,[2]tropical!E$1,FALSE)</f>
        <v>0</v>
      </c>
      <c r="J256" s="800">
        <f>VLOOKUP($E256,[2]tropical!$A$4:$AF$46,[2]tropical!F$1,FALSE)</f>
        <v>0</v>
      </c>
      <c r="K256" s="800">
        <f>VLOOKUP($E256,[2]tropical!$A$4:$AF$46,[2]tropical!G$1,FALSE)</f>
        <v>0</v>
      </c>
      <c r="L256" s="800">
        <f>VLOOKUP($E256,[2]tropical!$A$4:$AF$46,[2]tropical!H$1,FALSE)</f>
        <v>0</v>
      </c>
      <c r="M256" s="800">
        <f>VLOOKUP($E256,[2]tropical!$A$4:$AF$46,[2]tropical!I$1,FALSE)</f>
        <v>0</v>
      </c>
      <c r="N256" s="800">
        <f>VLOOKUP($E256,[2]tropical!$A$4:$AF$46,[2]tropical!J$1,FALSE)</f>
        <v>0</v>
      </c>
      <c r="O256" s="800">
        <f>VLOOKUP($E256,[2]tropical!$A$4:$AF$46,[2]tropical!K$1,FALSE)</f>
        <v>0</v>
      </c>
      <c r="P256" s="800">
        <f>VLOOKUP($E256,[2]tropical!$A$4:$AF$46,[2]tropical!L$1,FALSE)</f>
        <v>0</v>
      </c>
      <c r="Q256" s="800">
        <f>VLOOKUP($E256,[2]tropical!$A$4:$AF$46,[2]tropical!M$1,FALSE)</f>
        <v>0</v>
      </c>
      <c r="R256" s="805">
        <f>VLOOKUP($E256,[2]tropical!$A$4:$AF$46,[2]tropical!N$1,FALSE)</f>
        <v>0</v>
      </c>
      <c r="S256" s="805">
        <f>VLOOKUP($E256,[2]tropical!$A$4:$AF$46,[2]tropical!O$1,FALSE)</f>
        <v>0</v>
      </c>
      <c r="T256" s="805">
        <f>VLOOKUP($E256,[2]tropical!$A$4:$AF$46,[2]tropical!P$1,FALSE)</f>
        <v>0</v>
      </c>
      <c r="U256" s="800">
        <f t="shared" si="3"/>
        <v>0</v>
      </c>
    </row>
    <row r="257" spans="1:21">
      <c r="A257" s="788">
        <v>8256</v>
      </c>
      <c r="B257" s="788" t="s">
        <v>1584</v>
      </c>
      <c r="C257" s="788">
        <v>181</v>
      </c>
      <c r="D257" s="788" t="s">
        <v>24</v>
      </c>
      <c r="E257" s="790" t="s">
        <v>1743</v>
      </c>
      <c r="F257" s="790" t="s">
        <v>2616</v>
      </c>
      <c r="G257" s="800">
        <f>VLOOKUP($E257,[2]tropical!$A$4:$AF$46,[2]tropical!C$1,FALSE)</f>
        <v>0</v>
      </c>
      <c r="H257" s="800">
        <f>VLOOKUP($E257,[2]tropical!$A$4:$AF$46,[2]tropical!D$1,FALSE)</f>
        <v>0</v>
      </c>
      <c r="I257" s="800">
        <f>VLOOKUP($E257,[2]tropical!$A$4:$AF$46,[2]tropical!E$1,FALSE)</f>
        <v>2</v>
      </c>
      <c r="J257" s="800">
        <f>VLOOKUP($E257,[2]tropical!$A$4:$AF$46,[2]tropical!F$1,FALSE)</f>
        <v>0</v>
      </c>
      <c r="K257" s="800">
        <f>VLOOKUP($E257,[2]tropical!$A$4:$AF$46,[2]tropical!G$1,FALSE)</f>
        <v>0</v>
      </c>
      <c r="L257" s="800">
        <f>VLOOKUP($E257,[2]tropical!$A$4:$AF$46,[2]tropical!H$1,FALSE)</f>
        <v>0</v>
      </c>
      <c r="M257" s="800">
        <f>VLOOKUP($E257,[2]tropical!$A$4:$AF$46,[2]tropical!I$1,FALSE)</f>
        <v>0</v>
      </c>
      <c r="N257" s="800">
        <f>VLOOKUP($E257,[2]tropical!$A$4:$AF$46,[2]tropical!J$1,FALSE)</f>
        <v>0</v>
      </c>
      <c r="O257" s="800">
        <f>VLOOKUP($E257,[2]tropical!$A$4:$AF$46,[2]tropical!K$1,FALSE)</f>
        <v>0</v>
      </c>
      <c r="P257" s="800">
        <f>VLOOKUP($E257,[2]tropical!$A$4:$AF$46,[2]tropical!L$1,FALSE)</f>
        <v>0</v>
      </c>
      <c r="Q257" s="800">
        <f>VLOOKUP($E257,[2]tropical!$A$4:$AF$46,[2]tropical!M$1,FALSE)</f>
        <v>0</v>
      </c>
      <c r="R257" s="805">
        <f>VLOOKUP($E257,[2]tropical!$A$4:$AF$46,[2]tropical!N$1,FALSE)</f>
        <v>0</v>
      </c>
      <c r="S257" s="805">
        <f>VLOOKUP($E257,[2]tropical!$A$4:$AF$46,[2]tropical!O$1,FALSE)</f>
        <v>0</v>
      </c>
      <c r="T257" s="805">
        <f>VLOOKUP($E257,[2]tropical!$A$4:$AF$46,[2]tropical!P$1,FALSE)</f>
        <v>0</v>
      </c>
      <c r="U257" s="800">
        <f t="shared" si="3"/>
        <v>2</v>
      </c>
    </row>
    <row r="258" spans="1:21">
      <c r="A258" s="788">
        <v>8257</v>
      </c>
      <c r="B258" s="788" t="s">
        <v>1587</v>
      </c>
      <c r="C258" s="788">
        <v>543</v>
      </c>
      <c r="D258" s="788" t="s">
        <v>81</v>
      </c>
      <c r="E258" s="790" t="s">
        <v>1274</v>
      </c>
      <c r="F258" s="790" t="s">
        <v>2616</v>
      </c>
      <c r="G258" s="800">
        <f>VLOOKUP($E258,[2]tropical!$A$4:$AF$46,[2]tropical!C$1,FALSE)</f>
        <v>0</v>
      </c>
      <c r="H258" s="800">
        <f>VLOOKUP($E258,[2]tropical!$A$4:$AF$46,[2]tropical!D$1,FALSE)</f>
        <v>0</v>
      </c>
      <c r="I258" s="800">
        <f>VLOOKUP($E258,[2]tropical!$A$4:$AF$46,[2]tropical!E$1,FALSE)</f>
        <v>0</v>
      </c>
      <c r="J258" s="800">
        <f>VLOOKUP($E258,[2]tropical!$A$4:$AF$46,[2]tropical!F$1,FALSE)</f>
        <v>0</v>
      </c>
      <c r="K258" s="800">
        <f>VLOOKUP($E258,[2]tropical!$A$4:$AF$46,[2]tropical!G$1,FALSE)</f>
        <v>1</v>
      </c>
      <c r="L258" s="800">
        <f>VLOOKUP($E258,[2]tropical!$A$4:$AF$46,[2]tropical!H$1,FALSE)</f>
        <v>0</v>
      </c>
      <c r="M258" s="800">
        <f>VLOOKUP($E258,[2]tropical!$A$4:$AF$46,[2]tropical!I$1,FALSE)</f>
        <v>0</v>
      </c>
      <c r="N258" s="800">
        <f>VLOOKUP($E258,[2]tropical!$A$4:$AF$46,[2]tropical!J$1,FALSE)</f>
        <v>0</v>
      </c>
      <c r="O258" s="800">
        <f>VLOOKUP($E258,[2]tropical!$A$4:$AF$46,[2]tropical!K$1,FALSE)</f>
        <v>1</v>
      </c>
      <c r="P258" s="800">
        <f>VLOOKUP($E258,[2]tropical!$A$4:$AF$46,[2]tropical!L$1,FALSE)</f>
        <v>0</v>
      </c>
      <c r="Q258" s="800">
        <f>VLOOKUP($E258,[2]tropical!$A$4:$AF$46,[2]tropical!M$1,FALSE)</f>
        <v>0</v>
      </c>
      <c r="R258" s="805">
        <f>VLOOKUP($E258,[2]tropical!$A$4:$AF$46,[2]tropical!N$1,FALSE)</f>
        <v>0</v>
      </c>
      <c r="S258" s="805">
        <f>VLOOKUP($E258,[2]tropical!$A$4:$AF$46,[2]tropical!O$1,FALSE)</f>
        <v>0</v>
      </c>
      <c r="T258" s="805">
        <f>VLOOKUP($E258,[2]tropical!$A$4:$AF$46,[2]tropical!P$1,FALSE)</f>
        <v>0</v>
      </c>
      <c r="U258" s="800">
        <f t="shared" si="3"/>
        <v>2</v>
      </c>
    </row>
    <row r="259" spans="1:21">
      <c r="A259" s="788">
        <v>8258</v>
      </c>
      <c r="B259" s="788" t="s">
        <v>1591</v>
      </c>
      <c r="C259" s="788">
        <v>542</v>
      </c>
      <c r="D259" s="788" t="s">
        <v>82</v>
      </c>
      <c r="E259" s="790" t="s">
        <v>1004</v>
      </c>
      <c r="F259" s="790" t="s">
        <v>2616</v>
      </c>
      <c r="G259" s="800">
        <f>VLOOKUP($E259,[2]tropical!$A$4:$AF$46,[2]tropical!C$1,FALSE)</f>
        <v>0</v>
      </c>
      <c r="H259" s="800">
        <f>VLOOKUP($E259,[2]tropical!$A$4:$AF$46,[2]tropical!D$1,FALSE)</f>
        <v>0</v>
      </c>
      <c r="I259" s="800">
        <f>VLOOKUP($E259,[2]tropical!$A$4:$AF$46,[2]tropical!E$1,FALSE)</f>
        <v>0</v>
      </c>
      <c r="J259" s="800">
        <f>VLOOKUP($E259,[2]tropical!$A$4:$AF$46,[2]tropical!F$1,FALSE)</f>
        <v>0</v>
      </c>
      <c r="K259" s="800">
        <f>VLOOKUP($E259,[2]tropical!$A$4:$AF$46,[2]tropical!G$1,FALSE)</f>
        <v>0</v>
      </c>
      <c r="L259" s="800">
        <f>VLOOKUP($E259,[2]tropical!$A$4:$AF$46,[2]tropical!H$1,FALSE)</f>
        <v>0</v>
      </c>
      <c r="M259" s="800">
        <f>VLOOKUP($E259,[2]tropical!$A$4:$AF$46,[2]tropical!I$1,FALSE)</f>
        <v>0</v>
      </c>
      <c r="N259" s="800">
        <f>VLOOKUP($E259,[2]tropical!$A$4:$AF$46,[2]tropical!J$1,FALSE)</f>
        <v>0</v>
      </c>
      <c r="O259" s="800">
        <f>VLOOKUP($E259,[2]tropical!$A$4:$AF$46,[2]tropical!K$1,FALSE)</f>
        <v>3</v>
      </c>
      <c r="P259" s="800">
        <f>VLOOKUP($E259,[2]tropical!$A$4:$AF$46,[2]tropical!L$1,FALSE)</f>
        <v>0</v>
      </c>
      <c r="Q259" s="800">
        <f>VLOOKUP($E259,[2]tropical!$A$4:$AF$46,[2]tropical!M$1,FALSE)</f>
        <v>0</v>
      </c>
      <c r="R259" s="805">
        <f>VLOOKUP($E259,[2]tropical!$A$4:$AF$46,[2]tropical!N$1,FALSE)</f>
        <v>0</v>
      </c>
      <c r="S259" s="805">
        <f>VLOOKUP($E259,[2]tropical!$A$4:$AF$46,[2]tropical!O$1,FALSE)</f>
        <v>0</v>
      </c>
      <c r="T259" s="805">
        <f>VLOOKUP($E259,[2]tropical!$A$4:$AF$46,[2]tropical!P$1,FALSE)</f>
        <v>0</v>
      </c>
      <c r="U259" s="800">
        <f t="shared" si="3"/>
        <v>3</v>
      </c>
    </row>
    <row r="260" spans="1:21">
      <c r="A260" s="788">
        <v>8259</v>
      </c>
      <c r="B260" s="788" t="s">
        <v>1594</v>
      </c>
      <c r="C260" s="788">
        <v>208</v>
      </c>
      <c r="D260" s="788" t="s">
        <v>24</v>
      </c>
      <c r="E260" s="790" t="s">
        <v>1743</v>
      </c>
      <c r="F260" s="790" t="s">
        <v>2616</v>
      </c>
      <c r="G260" s="800">
        <f>VLOOKUP($E260,[2]tropical!$A$4:$AF$46,[2]tropical!C$1,FALSE)</f>
        <v>0</v>
      </c>
      <c r="H260" s="800">
        <f>VLOOKUP($E260,[2]tropical!$A$4:$AF$46,[2]tropical!D$1,FALSE)</f>
        <v>0</v>
      </c>
      <c r="I260" s="800">
        <f>VLOOKUP($E260,[2]tropical!$A$4:$AF$46,[2]tropical!E$1,FALSE)</f>
        <v>2</v>
      </c>
      <c r="J260" s="800">
        <f>VLOOKUP($E260,[2]tropical!$A$4:$AF$46,[2]tropical!F$1,FALSE)</f>
        <v>0</v>
      </c>
      <c r="K260" s="800">
        <f>VLOOKUP($E260,[2]tropical!$A$4:$AF$46,[2]tropical!G$1,FALSE)</f>
        <v>0</v>
      </c>
      <c r="L260" s="800">
        <f>VLOOKUP($E260,[2]tropical!$A$4:$AF$46,[2]tropical!H$1,FALSE)</f>
        <v>0</v>
      </c>
      <c r="M260" s="800">
        <f>VLOOKUP($E260,[2]tropical!$A$4:$AF$46,[2]tropical!I$1,FALSE)</f>
        <v>0</v>
      </c>
      <c r="N260" s="800">
        <f>VLOOKUP($E260,[2]tropical!$A$4:$AF$46,[2]tropical!J$1,FALSE)</f>
        <v>0</v>
      </c>
      <c r="O260" s="800">
        <f>VLOOKUP($E260,[2]tropical!$A$4:$AF$46,[2]tropical!K$1,FALSE)</f>
        <v>0</v>
      </c>
      <c r="P260" s="800">
        <f>VLOOKUP($E260,[2]tropical!$A$4:$AF$46,[2]tropical!L$1,FALSE)</f>
        <v>0</v>
      </c>
      <c r="Q260" s="800">
        <f>VLOOKUP($E260,[2]tropical!$A$4:$AF$46,[2]tropical!M$1,FALSE)</f>
        <v>0</v>
      </c>
      <c r="R260" s="805">
        <f>VLOOKUP($E260,[2]tropical!$A$4:$AF$46,[2]tropical!N$1,FALSE)</f>
        <v>0</v>
      </c>
      <c r="S260" s="805">
        <f>VLOOKUP($E260,[2]tropical!$A$4:$AF$46,[2]tropical!O$1,FALSE)</f>
        <v>0</v>
      </c>
      <c r="T260" s="805">
        <f>VLOOKUP($E260,[2]tropical!$A$4:$AF$46,[2]tropical!P$1,FALSE)</f>
        <v>0</v>
      </c>
      <c r="U260" s="800">
        <f t="shared" si="3"/>
        <v>2</v>
      </c>
    </row>
    <row r="261" spans="1:21">
      <c r="A261" s="788">
        <v>8260</v>
      </c>
      <c r="B261" s="788" t="s">
        <v>1598</v>
      </c>
      <c r="C261" s="788">
        <v>74</v>
      </c>
      <c r="D261" s="788" t="s">
        <v>89</v>
      </c>
      <c r="E261" s="790" t="s">
        <v>1605</v>
      </c>
      <c r="F261" s="790" t="s">
        <v>2615</v>
      </c>
      <c r="G261" s="800">
        <f>VLOOKUP($E261,[2]tropical!$A$4:$AF$46,[2]tropical!C$1,FALSE)</f>
        <v>4</v>
      </c>
      <c r="H261" s="800">
        <f>VLOOKUP($E261,[2]tropical!$A$4:$AF$46,[2]tropical!D$1,FALSE)</f>
        <v>8</v>
      </c>
      <c r="I261" s="800">
        <f>VLOOKUP($E261,[2]tropical!$A$4:$AF$46,[2]tropical!E$1,FALSE)</f>
        <v>9</v>
      </c>
      <c r="J261" s="800">
        <f>VLOOKUP($E261,[2]tropical!$A$4:$AF$46,[2]tropical!F$1,FALSE)</f>
        <v>0</v>
      </c>
      <c r="K261" s="800">
        <f>VLOOKUP($E261,[2]tropical!$A$4:$AF$46,[2]tropical!G$1,FALSE)</f>
        <v>1</v>
      </c>
      <c r="L261" s="800">
        <f>VLOOKUP($E261,[2]tropical!$A$4:$AF$46,[2]tropical!H$1,FALSE)</f>
        <v>4</v>
      </c>
      <c r="M261" s="800">
        <f>VLOOKUP($E261,[2]tropical!$A$4:$AF$46,[2]tropical!I$1,FALSE)</f>
        <v>5</v>
      </c>
      <c r="N261" s="800">
        <f>VLOOKUP($E261,[2]tropical!$A$4:$AF$46,[2]tropical!J$1,FALSE)</f>
        <v>1</v>
      </c>
      <c r="O261" s="800">
        <f>VLOOKUP($E261,[2]tropical!$A$4:$AF$46,[2]tropical!K$1,FALSE)</f>
        <v>4</v>
      </c>
      <c r="P261" s="800">
        <f>VLOOKUP($E261,[2]tropical!$A$4:$AF$46,[2]tropical!L$1,FALSE)</f>
        <v>3</v>
      </c>
      <c r="Q261" s="800">
        <f>VLOOKUP($E261,[2]tropical!$A$4:$AF$46,[2]tropical!M$1,FALSE)</f>
        <v>0</v>
      </c>
      <c r="R261" s="805">
        <f>VLOOKUP($E261,[2]tropical!$A$4:$AF$46,[2]tropical!N$1,FALSE)</f>
        <v>0</v>
      </c>
      <c r="S261" s="805">
        <f>VLOOKUP($E261,[2]tropical!$A$4:$AF$46,[2]tropical!O$1,FALSE)</f>
        <v>0</v>
      </c>
      <c r="T261" s="805">
        <f>VLOOKUP($E261,[2]tropical!$A$4:$AF$46,[2]tropical!P$1,FALSE)</f>
        <v>0</v>
      </c>
      <c r="U261" s="800">
        <f t="shared" ref="U261:U314" si="4">SUM(G261:T261)</f>
        <v>39</v>
      </c>
    </row>
    <row r="262" spans="1:21">
      <c r="A262" s="788">
        <v>8261</v>
      </c>
      <c r="B262" s="788" t="s">
        <v>354</v>
      </c>
      <c r="C262" s="788">
        <v>10</v>
      </c>
      <c r="D262" s="788" t="s">
        <v>86</v>
      </c>
      <c r="E262" s="790" t="s">
        <v>343</v>
      </c>
      <c r="F262" s="790" t="s">
        <v>2615</v>
      </c>
      <c r="G262" s="800">
        <f>VLOOKUP($E262,[2]tropical!$A$4:$AF$46,[2]tropical!C$1,FALSE)</f>
        <v>14</v>
      </c>
      <c r="H262" s="800">
        <f>VLOOKUP($E262,[2]tropical!$A$4:$AF$46,[2]tropical!D$1,FALSE)</f>
        <v>8</v>
      </c>
      <c r="I262" s="800">
        <f>VLOOKUP($E262,[2]tropical!$A$4:$AF$46,[2]tropical!E$1,FALSE)</f>
        <v>3</v>
      </c>
      <c r="J262" s="800">
        <f>VLOOKUP($E262,[2]tropical!$A$4:$AF$46,[2]tropical!F$1,FALSE)</f>
        <v>4</v>
      </c>
      <c r="K262" s="800">
        <f>VLOOKUP($E262,[2]tropical!$A$4:$AF$46,[2]tropical!G$1,FALSE)</f>
        <v>2</v>
      </c>
      <c r="L262" s="800">
        <f>VLOOKUP($E262,[2]tropical!$A$4:$AF$46,[2]tropical!H$1,FALSE)</f>
        <v>9</v>
      </c>
      <c r="M262" s="800">
        <f>VLOOKUP($E262,[2]tropical!$A$4:$AF$46,[2]tropical!I$1,FALSE)</f>
        <v>4</v>
      </c>
      <c r="N262" s="800">
        <f>VLOOKUP($E262,[2]tropical!$A$4:$AF$46,[2]tropical!J$1,FALSE)</f>
        <v>3</v>
      </c>
      <c r="O262" s="800">
        <f>VLOOKUP($E262,[2]tropical!$A$4:$AF$46,[2]tropical!K$1,FALSE)</f>
        <v>7</v>
      </c>
      <c r="P262" s="800">
        <f>VLOOKUP($E262,[2]tropical!$A$4:$AF$46,[2]tropical!L$1,FALSE)</f>
        <v>5</v>
      </c>
      <c r="Q262" s="800">
        <f>VLOOKUP($E262,[2]tropical!$A$4:$AF$46,[2]tropical!M$1,FALSE)</f>
        <v>3</v>
      </c>
      <c r="R262" s="805">
        <f>VLOOKUP($E262,[2]tropical!$A$4:$AF$46,[2]tropical!N$1,FALSE)</f>
        <v>0</v>
      </c>
      <c r="S262" s="805">
        <f>VLOOKUP($E262,[2]tropical!$A$4:$AF$46,[2]tropical!O$1,FALSE)</f>
        <v>0</v>
      </c>
      <c r="T262" s="805">
        <f>VLOOKUP($E262,[2]tropical!$A$4:$AF$46,[2]tropical!P$1,FALSE)</f>
        <v>0</v>
      </c>
      <c r="U262" s="800">
        <f t="shared" si="4"/>
        <v>62</v>
      </c>
    </row>
    <row r="263" spans="1:21">
      <c r="A263" s="788">
        <v>8262</v>
      </c>
      <c r="B263" s="788" t="s">
        <v>1600</v>
      </c>
      <c r="C263" s="788">
        <v>176</v>
      </c>
      <c r="D263" s="788" t="s">
        <v>82</v>
      </c>
      <c r="E263" s="790" t="s">
        <v>2610</v>
      </c>
      <c r="F263" s="790" t="s">
        <v>2616</v>
      </c>
      <c r="G263" s="800">
        <f>VLOOKUP($E263,[2]tropical!$A$4:$AF$46,[2]tropical!C$1,FALSE)</f>
        <v>0</v>
      </c>
      <c r="H263" s="800">
        <f>VLOOKUP($E263,[2]tropical!$A$4:$AF$46,[2]tropical!D$1,FALSE)</f>
        <v>2</v>
      </c>
      <c r="I263" s="800">
        <f>VLOOKUP($E263,[2]tropical!$A$4:$AF$46,[2]tropical!E$1,FALSE)</f>
        <v>2</v>
      </c>
      <c r="J263" s="800">
        <f>VLOOKUP($E263,[2]tropical!$A$4:$AF$46,[2]tropical!F$1,FALSE)</f>
        <v>0</v>
      </c>
      <c r="K263" s="800">
        <f>VLOOKUP($E263,[2]tropical!$A$4:$AF$46,[2]tropical!G$1,FALSE)</f>
        <v>0</v>
      </c>
      <c r="L263" s="800">
        <f>VLOOKUP($E263,[2]tropical!$A$4:$AF$46,[2]tropical!H$1,FALSE)</f>
        <v>0</v>
      </c>
      <c r="M263" s="800">
        <f>VLOOKUP($E263,[2]tropical!$A$4:$AF$46,[2]tropical!I$1,FALSE)</f>
        <v>0</v>
      </c>
      <c r="N263" s="800">
        <f>VLOOKUP($E263,[2]tropical!$A$4:$AF$46,[2]tropical!J$1,FALSE)</f>
        <v>0</v>
      </c>
      <c r="O263" s="800">
        <f>VLOOKUP($E263,[2]tropical!$A$4:$AF$46,[2]tropical!K$1,FALSE)</f>
        <v>1</v>
      </c>
      <c r="P263" s="800">
        <f>VLOOKUP($E263,[2]tropical!$A$4:$AF$46,[2]tropical!L$1,FALSE)</f>
        <v>0</v>
      </c>
      <c r="Q263" s="800">
        <f>VLOOKUP($E263,[2]tropical!$A$4:$AF$46,[2]tropical!M$1,FALSE)</f>
        <v>0</v>
      </c>
      <c r="R263" s="805">
        <f>VLOOKUP($E263,[2]tropical!$A$4:$AF$46,[2]tropical!N$1,FALSE)</f>
        <v>0</v>
      </c>
      <c r="S263" s="805">
        <f>VLOOKUP($E263,[2]tropical!$A$4:$AF$46,[2]tropical!O$1,FALSE)</f>
        <v>0</v>
      </c>
      <c r="T263" s="805">
        <f>VLOOKUP($E263,[2]tropical!$A$4:$AF$46,[2]tropical!P$1,FALSE)</f>
        <v>0</v>
      </c>
      <c r="U263" s="800">
        <f t="shared" si="4"/>
        <v>5</v>
      </c>
    </row>
    <row r="264" spans="1:21">
      <c r="A264" s="788">
        <v>8263</v>
      </c>
      <c r="B264" s="788" t="s">
        <v>1602</v>
      </c>
      <c r="C264" s="788">
        <v>22</v>
      </c>
      <c r="D264" s="788" t="s">
        <v>90</v>
      </c>
      <c r="E264" s="790" t="s">
        <v>1697</v>
      </c>
      <c r="F264" s="790" t="s">
        <v>2615</v>
      </c>
      <c r="G264" s="800">
        <f>VLOOKUP($E264,[2]tropical!$A$4:$AF$46,[2]tropical!C$1,FALSE)</f>
        <v>8</v>
      </c>
      <c r="H264" s="800">
        <f>VLOOKUP($E264,[2]tropical!$A$4:$AF$46,[2]tropical!D$1,FALSE)</f>
        <v>14</v>
      </c>
      <c r="I264" s="800">
        <f>VLOOKUP($E264,[2]tropical!$A$4:$AF$46,[2]tropical!E$1,FALSE)</f>
        <v>22</v>
      </c>
      <c r="J264" s="800">
        <f>VLOOKUP($E264,[2]tropical!$A$4:$AF$46,[2]tropical!F$1,FALSE)</f>
        <v>5</v>
      </c>
      <c r="K264" s="800">
        <f>VLOOKUP($E264,[2]tropical!$A$4:$AF$46,[2]tropical!G$1,FALSE)</f>
        <v>5</v>
      </c>
      <c r="L264" s="800">
        <f>VLOOKUP($E264,[2]tropical!$A$4:$AF$46,[2]tropical!H$1,FALSE)</f>
        <v>17</v>
      </c>
      <c r="M264" s="800">
        <f>VLOOKUP($E264,[2]tropical!$A$4:$AF$46,[2]tropical!I$1,FALSE)</f>
        <v>24</v>
      </c>
      <c r="N264" s="800">
        <f>VLOOKUP($E264,[2]tropical!$A$4:$AF$46,[2]tropical!J$1,FALSE)</f>
        <v>3</v>
      </c>
      <c r="O264" s="800">
        <f>VLOOKUP($E264,[2]tropical!$A$4:$AF$46,[2]tropical!K$1,FALSE)</f>
        <v>17</v>
      </c>
      <c r="P264" s="800">
        <f>VLOOKUP($E264,[2]tropical!$A$4:$AF$46,[2]tropical!L$1,FALSE)</f>
        <v>7</v>
      </c>
      <c r="Q264" s="800">
        <f>VLOOKUP($E264,[2]tropical!$A$4:$AF$46,[2]tropical!M$1,FALSE)</f>
        <v>3</v>
      </c>
      <c r="R264" s="805">
        <f>VLOOKUP($E264,[2]tropical!$A$4:$AF$46,[2]tropical!N$1,FALSE)</f>
        <v>0</v>
      </c>
      <c r="S264" s="805">
        <f>VLOOKUP($E264,[2]tropical!$A$4:$AF$46,[2]tropical!O$1,FALSE)</f>
        <v>0</v>
      </c>
      <c r="T264" s="805">
        <f>VLOOKUP($E264,[2]tropical!$A$4:$AF$46,[2]tropical!P$1,FALSE)</f>
        <v>0</v>
      </c>
      <c r="U264" s="800">
        <f t="shared" si="4"/>
        <v>125</v>
      </c>
    </row>
    <row r="265" spans="1:21">
      <c r="A265" s="788">
        <v>8264</v>
      </c>
      <c r="B265" s="788" t="s">
        <v>355</v>
      </c>
      <c r="C265" s="788">
        <v>143</v>
      </c>
      <c r="D265" s="788" t="s">
        <v>86</v>
      </c>
      <c r="E265" s="790" t="s">
        <v>352</v>
      </c>
      <c r="F265" s="790" t="s">
        <v>2615</v>
      </c>
      <c r="G265" s="800">
        <f>VLOOKUP($E265,[2]tropical!$A$4:$AF$46,[2]tropical!C$1,FALSE)</f>
        <v>41</v>
      </c>
      <c r="H265" s="800">
        <f>VLOOKUP($E265,[2]tropical!$A$4:$AF$46,[2]tropical!D$1,FALSE)</f>
        <v>57</v>
      </c>
      <c r="I265" s="800">
        <f>VLOOKUP($E265,[2]tropical!$A$4:$AF$46,[2]tropical!E$1,FALSE)</f>
        <v>52</v>
      </c>
      <c r="J265" s="800">
        <f>VLOOKUP($E265,[2]tropical!$A$4:$AF$46,[2]tropical!F$1,FALSE)</f>
        <v>9</v>
      </c>
      <c r="K265" s="800">
        <f>VLOOKUP($E265,[2]tropical!$A$4:$AF$46,[2]tropical!G$1,FALSE)</f>
        <v>37</v>
      </c>
      <c r="L265" s="800">
        <f>VLOOKUP($E265,[2]tropical!$A$4:$AF$46,[2]tropical!H$1,FALSE)</f>
        <v>47</v>
      </c>
      <c r="M265" s="800">
        <f>VLOOKUP($E265,[2]tropical!$A$4:$AF$46,[2]tropical!I$1,FALSE)</f>
        <v>42</v>
      </c>
      <c r="N265" s="800">
        <f>VLOOKUP($E265,[2]tropical!$A$4:$AF$46,[2]tropical!J$1,FALSE)</f>
        <v>27</v>
      </c>
      <c r="O265" s="800">
        <f>VLOOKUP($E265,[2]tropical!$A$4:$AF$46,[2]tropical!K$1,FALSE)</f>
        <v>39</v>
      </c>
      <c r="P265" s="800">
        <f>VLOOKUP($E265,[2]tropical!$A$4:$AF$46,[2]tropical!L$1,FALSE)</f>
        <v>32</v>
      </c>
      <c r="Q265" s="800">
        <f>VLOOKUP($E265,[2]tropical!$A$4:$AF$46,[2]tropical!M$1,FALSE)</f>
        <v>20</v>
      </c>
      <c r="R265" s="805">
        <f>VLOOKUP($E265,[2]tropical!$A$4:$AF$46,[2]tropical!N$1,FALSE)</f>
        <v>0</v>
      </c>
      <c r="S265" s="805">
        <f>VLOOKUP($E265,[2]tropical!$A$4:$AF$46,[2]tropical!O$1,FALSE)</f>
        <v>0</v>
      </c>
      <c r="T265" s="805">
        <f>VLOOKUP($E265,[2]tropical!$A$4:$AF$46,[2]tropical!P$1,FALSE)</f>
        <v>0</v>
      </c>
      <c r="U265" s="800">
        <f t="shared" si="4"/>
        <v>403</v>
      </c>
    </row>
    <row r="266" spans="1:21">
      <c r="A266" s="788">
        <v>8265</v>
      </c>
      <c r="B266" s="788" t="s">
        <v>1604</v>
      </c>
      <c r="C266" s="788">
        <v>555</v>
      </c>
      <c r="D266" s="788" t="s">
        <v>88</v>
      </c>
      <c r="E266" s="790" t="s">
        <v>1127</v>
      </c>
      <c r="F266" s="790" t="s">
        <v>2617</v>
      </c>
      <c r="G266" s="800">
        <f>VLOOKUP($E266,[2]tropical!$A$4:$AF$46,[2]tropical!C$1,FALSE)</f>
        <v>0</v>
      </c>
      <c r="H266" s="800">
        <f>VLOOKUP($E266,[2]tropical!$A$4:$AF$46,[2]tropical!D$1,FALSE)</f>
        <v>0</v>
      </c>
      <c r="I266" s="800">
        <f>VLOOKUP($E266,[2]tropical!$A$4:$AF$46,[2]tropical!E$1,FALSE)</f>
        <v>0</v>
      </c>
      <c r="J266" s="800">
        <f>VLOOKUP($E266,[2]tropical!$A$4:$AF$46,[2]tropical!F$1,FALSE)</f>
        <v>0</v>
      </c>
      <c r="K266" s="800">
        <f>VLOOKUP($E266,[2]tropical!$A$4:$AF$46,[2]tropical!G$1,FALSE)</f>
        <v>0</v>
      </c>
      <c r="L266" s="800">
        <f>VLOOKUP($E266,[2]tropical!$A$4:$AF$46,[2]tropical!H$1,FALSE)</f>
        <v>0</v>
      </c>
      <c r="M266" s="800">
        <f>VLOOKUP($E266,[2]tropical!$A$4:$AF$46,[2]tropical!I$1,FALSE)</f>
        <v>0</v>
      </c>
      <c r="N266" s="800">
        <f>VLOOKUP($E266,[2]tropical!$A$4:$AF$46,[2]tropical!J$1,FALSE)</f>
        <v>0</v>
      </c>
      <c r="O266" s="800">
        <f>VLOOKUP($E266,[2]tropical!$A$4:$AF$46,[2]tropical!K$1,FALSE)</f>
        <v>0</v>
      </c>
      <c r="P266" s="800">
        <f>VLOOKUP($E266,[2]tropical!$A$4:$AF$46,[2]tropical!L$1,FALSE)</f>
        <v>0</v>
      </c>
      <c r="Q266" s="800">
        <f>VLOOKUP($E266,[2]tropical!$A$4:$AF$46,[2]tropical!M$1,FALSE)</f>
        <v>0</v>
      </c>
      <c r="R266" s="805">
        <f>VLOOKUP($E266,[2]tropical!$A$4:$AF$46,[2]tropical!N$1,FALSE)</f>
        <v>0</v>
      </c>
      <c r="S266" s="805">
        <f>VLOOKUP($E266,[2]tropical!$A$4:$AF$46,[2]tropical!O$1,FALSE)</f>
        <v>0</v>
      </c>
      <c r="T266" s="805">
        <f>VLOOKUP($E266,[2]tropical!$A$4:$AF$46,[2]tropical!P$1,FALSE)</f>
        <v>0</v>
      </c>
      <c r="U266" s="800">
        <f t="shared" si="4"/>
        <v>0</v>
      </c>
    </row>
    <row r="267" spans="1:21">
      <c r="A267" s="788">
        <v>8266</v>
      </c>
      <c r="B267" s="788" t="s">
        <v>1605</v>
      </c>
      <c r="C267" s="788">
        <v>82</v>
      </c>
      <c r="D267" s="788" t="s">
        <v>89</v>
      </c>
      <c r="E267" s="790" t="s">
        <v>1605</v>
      </c>
      <c r="F267" s="790" t="s">
        <v>2615</v>
      </c>
      <c r="G267" s="800">
        <f>VLOOKUP($E267,[2]tropical!$A$4:$AF$46,[2]tropical!C$1,FALSE)</f>
        <v>4</v>
      </c>
      <c r="H267" s="800">
        <f>VLOOKUP($E267,[2]tropical!$A$4:$AF$46,[2]tropical!D$1,FALSE)</f>
        <v>8</v>
      </c>
      <c r="I267" s="800">
        <f>VLOOKUP($E267,[2]tropical!$A$4:$AF$46,[2]tropical!E$1,FALSE)</f>
        <v>9</v>
      </c>
      <c r="J267" s="800">
        <f>VLOOKUP($E267,[2]tropical!$A$4:$AF$46,[2]tropical!F$1,FALSE)</f>
        <v>0</v>
      </c>
      <c r="K267" s="800">
        <f>VLOOKUP($E267,[2]tropical!$A$4:$AF$46,[2]tropical!G$1,FALSE)</f>
        <v>1</v>
      </c>
      <c r="L267" s="800">
        <f>VLOOKUP($E267,[2]tropical!$A$4:$AF$46,[2]tropical!H$1,FALSE)</f>
        <v>4</v>
      </c>
      <c r="M267" s="800">
        <f>VLOOKUP($E267,[2]tropical!$A$4:$AF$46,[2]tropical!I$1,FALSE)</f>
        <v>5</v>
      </c>
      <c r="N267" s="800">
        <f>VLOOKUP($E267,[2]tropical!$A$4:$AF$46,[2]tropical!J$1,FALSE)</f>
        <v>1</v>
      </c>
      <c r="O267" s="800">
        <f>VLOOKUP($E267,[2]tropical!$A$4:$AF$46,[2]tropical!K$1,FALSE)</f>
        <v>4</v>
      </c>
      <c r="P267" s="800">
        <f>VLOOKUP($E267,[2]tropical!$A$4:$AF$46,[2]tropical!L$1,FALSE)</f>
        <v>3</v>
      </c>
      <c r="Q267" s="800">
        <f>VLOOKUP($E267,[2]tropical!$A$4:$AF$46,[2]tropical!M$1,FALSE)</f>
        <v>0</v>
      </c>
      <c r="R267" s="805">
        <f>VLOOKUP($E267,[2]tropical!$A$4:$AF$46,[2]tropical!N$1,FALSE)</f>
        <v>0</v>
      </c>
      <c r="S267" s="805">
        <f>VLOOKUP($E267,[2]tropical!$A$4:$AF$46,[2]tropical!O$1,FALSE)</f>
        <v>0</v>
      </c>
      <c r="T267" s="805">
        <f>VLOOKUP($E267,[2]tropical!$A$4:$AF$46,[2]tropical!P$1,FALSE)</f>
        <v>0</v>
      </c>
      <c r="U267" s="800">
        <f t="shared" si="4"/>
        <v>39</v>
      </c>
    </row>
    <row r="268" spans="1:21">
      <c r="A268" s="788">
        <v>8267</v>
      </c>
      <c r="B268" s="788" t="s">
        <v>1608</v>
      </c>
      <c r="C268" s="788">
        <v>207</v>
      </c>
      <c r="D268" s="788" t="s">
        <v>89</v>
      </c>
      <c r="E268" s="790" t="s">
        <v>867</v>
      </c>
      <c r="F268" s="790" t="s">
        <v>2616</v>
      </c>
      <c r="G268" s="800">
        <f>VLOOKUP($E268,[2]tropical!$A$4:$AF$46,[2]tropical!C$1,FALSE)</f>
        <v>0</v>
      </c>
      <c r="H268" s="800">
        <f>VLOOKUP($E268,[2]tropical!$A$4:$AF$46,[2]tropical!D$1,FALSE)</f>
        <v>1</v>
      </c>
      <c r="I268" s="800">
        <f>VLOOKUP($E268,[2]tropical!$A$4:$AF$46,[2]tropical!E$1,FALSE)</f>
        <v>2</v>
      </c>
      <c r="J268" s="800">
        <f>VLOOKUP($E268,[2]tropical!$A$4:$AF$46,[2]tropical!F$1,FALSE)</f>
        <v>1</v>
      </c>
      <c r="K268" s="800">
        <f>VLOOKUP($E268,[2]tropical!$A$4:$AF$46,[2]tropical!G$1,FALSE)</f>
        <v>0</v>
      </c>
      <c r="L268" s="800">
        <f>VLOOKUP($E268,[2]tropical!$A$4:$AF$46,[2]tropical!H$1,FALSE)</f>
        <v>2</v>
      </c>
      <c r="M268" s="800">
        <f>VLOOKUP($E268,[2]tropical!$A$4:$AF$46,[2]tropical!I$1,FALSE)</f>
        <v>0</v>
      </c>
      <c r="N268" s="800">
        <f>VLOOKUP($E268,[2]tropical!$A$4:$AF$46,[2]tropical!J$1,FALSE)</f>
        <v>0</v>
      </c>
      <c r="O268" s="800">
        <f>VLOOKUP($E268,[2]tropical!$A$4:$AF$46,[2]tropical!K$1,FALSE)</f>
        <v>2</v>
      </c>
      <c r="P268" s="800">
        <f>VLOOKUP($E268,[2]tropical!$A$4:$AF$46,[2]tropical!L$1,FALSE)</f>
        <v>0</v>
      </c>
      <c r="Q268" s="800">
        <f>VLOOKUP($E268,[2]tropical!$A$4:$AF$46,[2]tropical!M$1,FALSE)</f>
        <v>0</v>
      </c>
      <c r="R268" s="805">
        <f>VLOOKUP($E268,[2]tropical!$A$4:$AF$46,[2]tropical!N$1,FALSE)</f>
        <v>0</v>
      </c>
      <c r="S268" s="805">
        <f>VLOOKUP($E268,[2]tropical!$A$4:$AF$46,[2]tropical!O$1,FALSE)</f>
        <v>0</v>
      </c>
      <c r="T268" s="805">
        <f>VLOOKUP($E268,[2]tropical!$A$4:$AF$46,[2]tropical!P$1,FALSE)</f>
        <v>0</v>
      </c>
      <c r="U268" s="800">
        <f t="shared" si="4"/>
        <v>8</v>
      </c>
    </row>
    <row r="269" spans="1:21">
      <c r="A269" s="788">
        <v>8268</v>
      </c>
      <c r="B269" s="788" t="s">
        <v>1610</v>
      </c>
      <c r="C269" s="788">
        <v>650</v>
      </c>
      <c r="D269" s="788" t="s">
        <v>84</v>
      </c>
      <c r="E269" s="790" t="s">
        <v>1125</v>
      </c>
      <c r="F269" s="790" t="s">
        <v>2617</v>
      </c>
      <c r="G269" s="800">
        <f>VLOOKUP($E269,[2]tropical!$A$4:$AF$46,[2]tropical!C$1,FALSE)</f>
        <v>0</v>
      </c>
      <c r="H269" s="800">
        <f>VLOOKUP($E269,[2]tropical!$A$4:$AF$46,[2]tropical!D$1,FALSE)</f>
        <v>0</v>
      </c>
      <c r="I269" s="800">
        <f>VLOOKUP($E269,[2]tropical!$A$4:$AF$46,[2]tropical!E$1,FALSE)</f>
        <v>0</v>
      </c>
      <c r="J269" s="800">
        <f>VLOOKUP($E269,[2]tropical!$A$4:$AF$46,[2]tropical!F$1,FALSE)</f>
        <v>0</v>
      </c>
      <c r="K269" s="800">
        <f>VLOOKUP($E269,[2]tropical!$A$4:$AF$46,[2]tropical!G$1,FALSE)</f>
        <v>0</v>
      </c>
      <c r="L269" s="800">
        <f>VLOOKUP($E269,[2]tropical!$A$4:$AF$46,[2]tropical!H$1,FALSE)</f>
        <v>0</v>
      </c>
      <c r="M269" s="800">
        <f>VLOOKUP($E269,[2]tropical!$A$4:$AF$46,[2]tropical!I$1,FALSE)</f>
        <v>0</v>
      </c>
      <c r="N269" s="800">
        <f>VLOOKUP($E269,[2]tropical!$A$4:$AF$46,[2]tropical!J$1,FALSE)</f>
        <v>0</v>
      </c>
      <c r="O269" s="800">
        <f>VLOOKUP($E269,[2]tropical!$A$4:$AF$46,[2]tropical!K$1,FALSE)</f>
        <v>0</v>
      </c>
      <c r="P269" s="800">
        <f>VLOOKUP($E269,[2]tropical!$A$4:$AF$46,[2]tropical!L$1,FALSE)</f>
        <v>0</v>
      </c>
      <c r="Q269" s="800">
        <f>VLOOKUP($E269,[2]tropical!$A$4:$AF$46,[2]tropical!M$1,FALSE)</f>
        <v>0</v>
      </c>
      <c r="R269" s="805">
        <f>VLOOKUP($E269,[2]tropical!$A$4:$AF$46,[2]tropical!N$1,FALSE)</f>
        <v>0</v>
      </c>
      <c r="S269" s="805">
        <f>VLOOKUP($E269,[2]tropical!$A$4:$AF$46,[2]tropical!O$1,FALSE)</f>
        <v>0</v>
      </c>
      <c r="T269" s="805">
        <f>VLOOKUP($E269,[2]tropical!$A$4:$AF$46,[2]tropical!P$1,FALSE)</f>
        <v>0</v>
      </c>
      <c r="U269" s="800">
        <f t="shared" si="4"/>
        <v>0</v>
      </c>
    </row>
    <row r="270" spans="1:21">
      <c r="A270" s="788">
        <v>8269</v>
      </c>
      <c r="B270" s="788" t="s">
        <v>1614</v>
      </c>
      <c r="C270" s="788">
        <v>663</v>
      </c>
      <c r="D270" s="788" t="s">
        <v>88</v>
      </c>
      <c r="E270" s="790" t="s">
        <v>1127</v>
      </c>
      <c r="F270" s="790" t="s">
        <v>2617</v>
      </c>
      <c r="G270" s="800">
        <f>VLOOKUP($E270,[2]tropical!$A$4:$AF$46,[2]tropical!C$1,FALSE)</f>
        <v>0</v>
      </c>
      <c r="H270" s="800">
        <f>VLOOKUP($E270,[2]tropical!$A$4:$AF$46,[2]tropical!D$1,FALSE)</f>
        <v>0</v>
      </c>
      <c r="I270" s="800">
        <f>VLOOKUP($E270,[2]tropical!$A$4:$AF$46,[2]tropical!E$1,FALSE)</f>
        <v>0</v>
      </c>
      <c r="J270" s="800">
        <f>VLOOKUP($E270,[2]tropical!$A$4:$AF$46,[2]tropical!F$1,FALSE)</f>
        <v>0</v>
      </c>
      <c r="K270" s="800">
        <f>VLOOKUP($E270,[2]tropical!$A$4:$AF$46,[2]tropical!G$1,FALSE)</f>
        <v>0</v>
      </c>
      <c r="L270" s="800">
        <f>VLOOKUP($E270,[2]tropical!$A$4:$AF$46,[2]tropical!H$1,FALSE)</f>
        <v>0</v>
      </c>
      <c r="M270" s="800">
        <f>VLOOKUP($E270,[2]tropical!$A$4:$AF$46,[2]tropical!I$1,FALSE)</f>
        <v>0</v>
      </c>
      <c r="N270" s="800">
        <f>VLOOKUP($E270,[2]tropical!$A$4:$AF$46,[2]tropical!J$1,FALSE)</f>
        <v>0</v>
      </c>
      <c r="O270" s="800">
        <f>VLOOKUP($E270,[2]tropical!$A$4:$AF$46,[2]tropical!K$1,FALSE)</f>
        <v>0</v>
      </c>
      <c r="P270" s="800">
        <f>VLOOKUP($E270,[2]tropical!$A$4:$AF$46,[2]tropical!L$1,FALSE)</f>
        <v>0</v>
      </c>
      <c r="Q270" s="800">
        <f>VLOOKUP($E270,[2]tropical!$A$4:$AF$46,[2]tropical!M$1,FALSE)</f>
        <v>0</v>
      </c>
      <c r="R270" s="805">
        <f>VLOOKUP($E270,[2]tropical!$A$4:$AF$46,[2]tropical!N$1,FALSE)</f>
        <v>0</v>
      </c>
      <c r="S270" s="805">
        <f>VLOOKUP($E270,[2]tropical!$A$4:$AF$46,[2]tropical!O$1,FALSE)</f>
        <v>0</v>
      </c>
      <c r="T270" s="805">
        <f>VLOOKUP($E270,[2]tropical!$A$4:$AF$46,[2]tropical!P$1,FALSE)</f>
        <v>0</v>
      </c>
      <c r="U270" s="800">
        <f t="shared" si="4"/>
        <v>0</v>
      </c>
    </row>
    <row r="271" spans="1:21">
      <c r="A271" s="788">
        <v>8270</v>
      </c>
      <c r="B271" s="788" t="s">
        <v>356</v>
      </c>
      <c r="C271" s="788">
        <v>10</v>
      </c>
      <c r="D271" s="788" t="s">
        <v>85</v>
      </c>
      <c r="E271" s="790" t="s">
        <v>2609</v>
      </c>
      <c r="F271" s="790" t="s">
        <v>2615</v>
      </c>
      <c r="G271" s="800">
        <f>VLOOKUP($E271,[2]tropical!$A$4:$AF$46,[2]tropical!C$1,FALSE)</f>
        <v>10</v>
      </c>
      <c r="H271" s="800">
        <f>VLOOKUP($E271,[2]tropical!$A$4:$AF$46,[2]tropical!D$1,FALSE)</f>
        <v>13</v>
      </c>
      <c r="I271" s="800">
        <f>VLOOKUP($E271,[2]tropical!$A$4:$AF$46,[2]tropical!E$1,FALSE)</f>
        <v>16</v>
      </c>
      <c r="J271" s="800">
        <f>VLOOKUP($E271,[2]tropical!$A$4:$AF$46,[2]tropical!F$1,FALSE)</f>
        <v>9</v>
      </c>
      <c r="K271" s="800">
        <f>VLOOKUP($E271,[2]tropical!$A$4:$AF$46,[2]tropical!G$1,FALSE)</f>
        <v>9</v>
      </c>
      <c r="L271" s="800">
        <f>VLOOKUP($E271,[2]tropical!$A$4:$AF$46,[2]tropical!H$1,FALSE)</f>
        <v>25</v>
      </c>
      <c r="M271" s="800">
        <f>VLOOKUP($E271,[2]tropical!$A$4:$AF$46,[2]tropical!I$1,FALSE)</f>
        <v>14</v>
      </c>
      <c r="N271" s="800">
        <f>VLOOKUP($E271,[2]tropical!$A$4:$AF$46,[2]tropical!J$1,FALSE)</f>
        <v>10</v>
      </c>
      <c r="O271" s="800">
        <f>VLOOKUP($E271,[2]tropical!$A$4:$AF$46,[2]tropical!K$1,FALSE)</f>
        <v>18</v>
      </c>
      <c r="P271" s="800">
        <f>VLOOKUP($E271,[2]tropical!$A$4:$AF$46,[2]tropical!L$1,FALSE)</f>
        <v>5</v>
      </c>
      <c r="Q271" s="800">
        <f>VLOOKUP($E271,[2]tropical!$A$4:$AF$46,[2]tropical!M$1,FALSE)</f>
        <v>8</v>
      </c>
      <c r="R271" s="805">
        <f>VLOOKUP($E271,[2]tropical!$A$4:$AF$46,[2]tropical!N$1,FALSE)</f>
        <v>0</v>
      </c>
      <c r="S271" s="805">
        <f>VLOOKUP($E271,[2]tropical!$A$4:$AF$46,[2]tropical!O$1,FALSE)</f>
        <v>0</v>
      </c>
      <c r="T271" s="805">
        <f>VLOOKUP($E271,[2]tropical!$A$4:$AF$46,[2]tropical!P$1,FALSE)</f>
        <v>0</v>
      </c>
      <c r="U271" s="800">
        <f t="shared" si="4"/>
        <v>137</v>
      </c>
    </row>
    <row r="272" spans="1:21">
      <c r="A272" s="788">
        <v>8271</v>
      </c>
      <c r="B272" s="788" t="s">
        <v>1621</v>
      </c>
      <c r="C272" s="788">
        <v>881</v>
      </c>
      <c r="D272" s="788" t="s">
        <v>88</v>
      </c>
      <c r="E272" s="790" t="s">
        <v>1326</v>
      </c>
      <c r="F272" s="790" t="s">
        <v>2617</v>
      </c>
      <c r="G272" s="800">
        <f>VLOOKUP($E272,[2]tropical!$A$4:$AF$46,[2]tropical!C$1,FALSE)</f>
        <v>0</v>
      </c>
      <c r="H272" s="800">
        <f>VLOOKUP($E272,[2]tropical!$A$4:$AF$46,[2]tropical!D$1,FALSE)</f>
        <v>0</v>
      </c>
      <c r="I272" s="800">
        <f>VLOOKUP($E272,[2]tropical!$A$4:$AF$46,[2]tropical!E$1,FALSE)</f>
        <v>0</v>
      </c>
      <c r="J272" s="800">
        <f>VLOOKUP($E272,[2]tropical!$A$4:$AF$46,[2]tropical!F$1,FALSE)</f>
        <v>0</v>
      </c>
      <c r="K272" s="800">
        <f>VLOOKUP($E272,[2]tropical!$A$4:$AF$46,[2]tropical!G$1,FALSE)</f>
        <v>0</v>
      </c>
      <c r="L272" s="800">
        <f>VLOOKUP($E272,[2]tropical!$A$4:$AF$46,[2]tropical!H$1,FALSE)</f>
        <v>0</v>
      </c>
      <c r="M272" s="800">
        <f>VLOOKUP($E272,[2]tropical!$A$4:$AF$46,[2]tropical!I$1,FALSE)</f>
        <v>0</v>
      </c>
      <c r="N272" s="800">
        <f>VLOOKUP($E272,[2]tropical!$A$4:$AF$46,[2]tropical!J$1,FALSE)</f>
        <v>0</v>
      </c>
      <c r="O272" s="800">
        <f>VLOOKUP($E272,[2]tropical!$A$4:$AF$46,[2]tropical!K$1,FALSE)</f>
        <v>0</v>
      </c>
      <c r="P272" s="800">
        <f>VLOOKUP($E272,[2]tropical!$A$4:$AF$46,[2]tropical!L$1,FALSE)</f>
        <v>0</v>
      </c>
      <c r="Q272" s="800">
        <f>VLOOKUP($E272,[2]tropical!$A$4:$AF$46,[2]tropical!M$1,FALSE)</f>
        <v>0</v>
      </c>
      <c r="R272" s="805">
        <f>VLOOKUP($E272,[2]tropical!$A$4:$AF$46,[2]tropical!N$1,FALSE)</f>
        <v>0</v>
      </c>
      <c r="S272" s="805">
        <f>VLOOKUP($E272,[2]tropical!$A$4:$AF$46,[2]tropical!O$1,FALSE)</f>
        <v>0</v>
      </c>
      <c r="T272" s="805">
        <f>VLOOKUP($E272,[2]tropical!$A$4:$AF$46,[2]tropical!P$1,FALSE)</f>
        <v>0</v>
      </c>
      <c r="U272" s="800">
        <f t="shared" si="4"/>
        <v>0</v>
      </c>
    </row>
    <row r="273" spans="1:21">
      <c r="A273" s="788">
        <v>8272</v>
      </c>
      <c r="B273" s="788" t="s">
        <v>1625</v>
      </c>
      <c r="C273" s="788">
        <v>716</v>
      </c>
      <c r="D273" s="788" t="s">
        <v>88</v>
      </c>
      <c r="E273" s="790" t="s">
        <v>1326</v>
      </c>
      <c r="F273" s="790" t="s">
        <v>2617</v>
      </c>
      <c r="G273" s="800">
        <f>VLOOKUP($E273,[2]tropical!$A$4:$AF$46,[2]tropical!C$1,FALSE)</f>
        <v>0</v>
      </c>
      <c r="H273" s="800">
        <f>VLOOKUP($E273,[2]tropical!$A$4:$AF$46,[2]tropical!D$1,FALSE)</f>
        <v>0</v>
      </c>
      <c r="I273" s="800">
        <f>VLOOKUP($E273,[2]tropical!$A$4:$AF$46,[2]tropical!E$1,FALSE)</f>
        <v>0</v>
      </c>
      <c r="J273" s="800">
        <f>VLOOKUP($E273,[2]tropical!$A$4:$AF$46,[2]tropical!F$1,FALSE)</f>
        <v>0</v>
      </c>
      <c r="K273" s="800">
        <f>VLOOKUP($E273,[2]tropical!$A$4:$AF$46,[2]tropical!G$1,FALSE)</f>
        <v>0</v>
      </c>
      <c r="L273" s="800">
        <f>VLOOKUP($E273,[2]tropical!$A$4:$AF$46,[2]tropical!H$1,FALSE)</f>
        <v>0</v>
      </c>
      <c r="M273" s="800">
        <f>VLOOKUP($E273,[2]tropical!$A$4:$AF$46,[2]tropical!I$1,FALSE)</f>
        <v>0</v>
      </c>
      <c r="N273" s="800">
        <f>VLOOKUP($E273,[2]tropical!$A$4:$AF$46,[2]tropical!J$1,FALSE)</f>
        <v>0</v>
      </c>
      <c r="O273" s="800">
        <f>VLOOKUP($E273,[2]tropical!$A$4:$AF$46,[2]tropical!K$1,FALSE)</f>
        <v>0</v>
      </c>
      <c r="P273" s="800">
        <f>VLOOKUP($E273,[2]tropical!$A$4:$AF$46,[2]tropical!L$1,FALSE)</f>
        <v>0</v>
      </c>
      <c r="Q273" s="800">
        <f>VLOOKUP($E273,[2]tropical!$A$4:$AF$46,[2]tropical!M$1,FALSE)</f>
        <v>0</v>
      </c>
      <c r="R273" s="805">
        <f>VLOOKUP($E273,[2]tropical!$A$4:$AF$46,[2]tropical!N$1,FALSE)</f>
        <v>0</v>
      </c>
      <c r="S273" s="805">
        <f>VLOOKUP($E273,[2]tropical!$A$4:$AF$46,[2]tropical!O$1,FALSE)</f>
        <v>0</v>
      </c>
      <c r="T273" s="805">
        <f>VLOOKUP($E273,[2]tropical!$A$4:$AF$46,[2]tropical!P$1,FALSE)</f>
        <v>0</v>
      </c>
      <c r="U273" s="800">
        <f t="shared" si="4"/>
        <v>0</v>
      </c>
    </row>
    <row r="274" spans="1:21">
      <c r="A274" s="788">
        <v>8273</v>
      </c>
      <c r="B274" s="788" t="s">
        <v>1627</v>
      </c>
      <c r="C274" s="788">
        <v>243</v>
      </c>
      <c r="D274" s="788" t="s">
        <v>791</v>
      </c>
      <c r="E274" s="790" t="s">
        <v>1544</v>
      </c>
      <c r="F274" s="790" t="s">
        <v>2616</v>
      </c>
      <c r="G274" s="800">
        <f>VLOOKUP($E274,[2]tropical!$A$4:$AF$46,[2]tropical!C$1,FALSE)</f>
        <v>0</v>
      </c>
      <c r="H274" s="800">
        <f>VLOOKUP($E274,[2]tropical!$A$4:$AF$46,[2]tropical!D$1,FALSE)</f>
        <v>0</v>
      </c>
      <c r="I274" s="800">
        <f>VLOOKUP($E274,[2]tropical!$A$4:$AF$46,[2]tropical!E$1,FALSE)</f>
        <v>3</v>
      </c>
      <c r="J274" s="800">
        <f>VLOOKUP($E274,[2]tropical!$A$4:$AF$46,[2]tropical!F$1,FALSE)</f>
        <v>0</v>
      </c>
      <c r="K274" s="800">
        <f>VLOOKUP($E274,[2]tropical!$A$4:$AF$46,[2]tropical!G$1,FALSE)</f>
        <v>0</v>
      </c>
      <c r="L274" s="800">
        <f>VLOOKUP($E274,[2]tropical!$A$4:$AF$46,[2]tropical!H$1,FALSE)</f>
        <v>0</v>
      </c>
      <c r="M274" s="800">
        <f>VLOOKUP($E274,[2]tropical!$A$4:$AF$46,[2]tropical!I$1,FALSE)</f>
        <v>0</v>
      </c>
      <c r="N274" s="800">
        <f>VLOOKUP($E274,[2]tropical!$A$4:$AF$46,[2]tropical!J$1,FALSE)</f>
        <v>2</v>
      </c>
      <c r="O274" s="800">
        <f>VLOOKUP($E274,[2]tropical!$A$4:$AF$46,[2]tropical!K$1,FALSE)</f>
        <v>2</v>
      </c>
      <c r="P274" s="800">
        <f>VLOOKUP($E274,[2]tropical!$A$4:$AF$46,[2]tropical!L$1,FALSE)</f>
        <v>0</v>
      </c>
      <c r="Q274" s="800">
        <f>VLOOKUP($E274,[2]tropical!$A$4:$AF$46,[2]tropical!M$1,FALSE)</f>
        <v>0</v>
      </c>
      <c r="R274" s="805">
        <f>VLOOKUP($E274,[2]tropical!$A$4:$AF$46,[2]tropical!N$1,FALSE)</f>
        <v>0</v>
      </c>
      <c r="S274" s="805">
        <f>VLOOKUP($E274,[2]tropical!$A$4:$AF$46,[2]tropical!O$1,FALSE)</f>
        <v>0</v>
      </c>
      <c r="T274" s="805">
        <f>VLOOKUP($E274,[2]tropical!$A$4:$AF$46,[2]tropical!P$1,FALSE)</f>
        <v>0</v>
      </c>
      <c r="U274" s="800">
        <f t="shared" si="4"/>
        <v>7</v>
      </c>
    </row>
    <row r="275" spans="1:21">
      <c r="A275" s="788">
        <v>8274</v>
      </c>
      <c r="B275" s="788" t="s">
        <v>1631</v>
      </c>
      <c r="C275" s="788">
        <v>326</v>
      </c>
      <c r="D275" s="788" t="s">
        <v>82</v>
      </c>
      <c r="E275" s="790" t="s">
        <v>1004</v>
      </c>
      <c r="F275" s="790" t="s">
        <v>2616</v>
      </c>
      <c r="G275" s="800">
        <f>VLOOKUP($E275,[2]tropical!$A$4:$AF$46,[2]tropical!C$1,FALSE)</f>
        <v>0</v>
      </c>
      <c r="H275" s="800">
        <f>VLOOKUP($E275,[2]tropical!$A$4:$AF$46,[2]tropical!D$1,FALSE)</f>
        <v>0</v>
      </c>
      <c r="I275" s="800">
        <f>VLOOKUP($E275,[2]tropical!$A$4:$AF$46,[2]tropical!E$1,FALSE)</f>
        <v>0</v>
      </c>
      <c r="J275" s="800">
        <f>VLOOKUP($E275,[2]tropical!$A$4:$AF$46,[2]tropical!F$1,FALSE)</f>
        <v>0</v>
      </c>
      <c r="K275" s="800">
        <f>VLOOKUP($E275,[2]tropical!$A$4:$AF$46,[2]tropical!G$1,FALSE)</f>
        <v>0</v>
      </c>
      <c r="L275" s="800">
        <f>VLOOKUP($E275,[2]tropical!$A$4:$AF$46,[2]tropical!H$1,FALSE)</f>
        <v>0</v>
      </c>
      <c r="M275" s="800">
        <f>VLOOKUP($E275,[2]tropical!$A$4:$AF$46,[2]tropical!I$1,FALSE)</f>
        <v>0</v>
      </c>
      <c r="N275" s="800">
        <f>VLOOKUP($E275,[2]tropical!$A$4:$AF$46,[2]tropical!J$1,FALSE)</f>
        <v>0</v>
      </c>
      <c r="O275" s="800">
        <f>VLOOKUP($E275,[2]tropical!$A$4:$AF$46,[2]tropical!K$1,FALSE)</f>
        <v>3</v>
      </c>
      <c r="P275" s="800">
        <f>VLOOKUP($E275,[2]tropical!$A$4:$AF$46,[2]tropical!L$1,FALSE)</f>
        <v>0</v>
      </c>
      <c r="Q275" s="800">
        <f>VLOOKUP($E275,[2]tropical!$A$4:$AF$46,[2]tropical!M$1,FALSE)</f>
        <v>0</v>
      </c>
      <c r="R275" s="805">
        <f>VLOOKUP($E275,[2]tropical!$A$4:$AF$46,[2]tropical!N$1,FALSE)</f>
        <v>0</v>
      </c>
      <c r="S275" s="805">
        <f>VLOOKUP($E275,[2]tropical!$A$4:$AF$46,[2]tropical!O$1,FALSE)</f>
        <v>0</v>
      </c>
      <c r="T275" s="805">
        <f>VLOOKUP($E275,[2]tropical!$A$4:$AF$46,[2]tropical!P$1,FALSE)</f>
        <v>0</v>
      </c>
      <c r="U275" s="800">
        <f t="shared" si="4"/>
        <v>3</v>
      </c>
    </row>
    <row r="276" spans="1:21">
      <c r="A276" s="788">
        <v>8275</v>
      </c>
      <c r="B276" s="788" t="s">
        <v>1634</v>
      </c>
      <c r="C276" s="788">
        <v>537</v>
      </c>
      <c r="D276" s="788" t="s">
        <v>88</v>
      </c>
      <c r="E276" s="790" t="s">
        <v>1127</v>
      </c>
      <c r="F276" s="790" t="s">
        <v>2617</v>
      </c>
      <c r="G276" s="800">
        <f>VLOOKUP($E276,[2]tropical!$A$4:$AF$46,[2]tropical!C$1,FALSE)</f>
        <v>0</v>
      </c>
      <c r="H276" s="800">
        <f>VLOOKUP($E276,[2]tropical!$A$4:$AF$46,[2]tropical!D$1,FALSE)</f>
        <v>0</v>
      </c>
      <c r="I276" s="800">
        <f>VLOOKUP($E276,[2]tropical!$A$4:$AF$46,[2]tropical!E$1,FALSE)</f>
        <v>0</v>
      </c>
      <c r="J276" s="800">
        <f>VLOOKUP($E276,[2]tropical!$A$4:$AF$46,[2]tropical!F$1,FALSE)</f>
        <v>0</v>
      </c>
      <c r="K276" s="800">
        <f>VLOOKUP($E276,[2]tropical!$A$4:$AF$46,[2]tropical!G$1,FALSE)</f>
        <v>0</v>
      </c>
      <c r="L276" s="800">
        <f>VLOOKUP($E276,[2]tropical!$A$4:$AF$46,[2]tropical!H$1,FALSE)</f>
        <v>0</v>
      </c>
      <c r="M276" s="800">
        <f>VLOOKUP($E276,[2]tropical!$A$4:$AF$46,[2]tropical!I$1,FALSE)</f>
        <v>0</v>
      </c>
      <c r="N276" s="800">
        <f>VLOOKUP($E276,[2]tropical!$A$4:$AF$46,[2]tropical!J$1,FALSE)</f>
        <v>0</v>
      </c>
      <c r="O276" s="800">
        <f>VLOOKUP($E276,[2]tropical!$A$4:$AF$46,[2]tropical!K$1,FALSE)</f>
        <v>0</v>
      </c>
      <c r="P276" s="800">
        <f>VLOOKUP($E276,[2]tropical!$A$4:$AF$46,[2]tropical!L$1,FALSE)</f>
        <v>0</v>
      </c>
      <c r="Q276" s="800">
        <f>VLOOKUP($E276,[2]tropical!$A$4:$AF$46,[2]tropical!M$1,FALSE)</f>
        <v>0</v>
      </c>
      <c r="R276" s="805">
        <f>VLOOKUP($E276,[2]tropical!$A$4:$AF$46,[2]tropical!N$1,FALSE)</f>
        <v>0</v>
      </c>
      <c r="S276" s="805">
        <f>VLOOKUP($E276,[2]tropical!$A$4:$AF$46,[2]tropical!O$1,FALSE)</f>
        <v>0</v>
      </c>
      <c r="T276" s="805">
        <f>VLOOKUP($E276,[2]tropical!$A$4:$AF$46,[2]tropical!P$1,FALSE)</f>
        <v>0</v>
      </c>
      <c r="U276" s="800">
        <f t="shared" si="4"/>
        <v>0</v>
      </c>
    </row>
    <row r="277" spans="1:21">
      <c r="A277" s="788">
        <v>8276</v>
      </c>
      <c r="B277" s="788" t="s">
        <v>1636</v>
      </c>
      <c r="C277" s="788">
        <v>354</v>
      </c>
      <c r="D277" s="788" t="s">
        <v>24</v>
      </c>
      <c r="E277" s="790" t="s">
        <v>1743</v>
      </c>
      <c r="F277" s="790" t="s">
        <v>2616</v>
      </c>
      <c r="G277" s="800">
        <f>VLOOKUP($E277,[2]tropical!$A$4:$AF$46,[2]tropical!C$1,FALSE)</f>
        <v>0</v>
      </c>
      <c r="H277" s="800">
        <f>VLOOKUP($E277,[2]tropical!$A$4:$AF$46,[2]tropical!D$1,FALSE)</f>
        <v>0</v>
      </c>
      <c r="I277" s="800">
        <f>VLOOKUP($E277,[2]tropical!$A$4:$AF$46,[2]tropical!E$1,FALSE)</f>
        <v>2</v>
      </c>
      <c r="J277" s="800">
        <f>VLOOKUP($E277,[2]tropical!$A$4:$AF$46,[2]tropical!F$1,FALSE)</f>
        <v>0</v>
      </c>
      <c r="K277" s="800">
        <f>VLOOKUP($E277,[2]tropical!$A$4:$AF$46,[2]tropical!G$1,FALSE)</f>
        <v>0</v>
      </c>
      <c r="L277" s="800">
        <f>VLOOKUP($E277,[2]tropical!$A$4:$AF$46,[2]tropical!H$1,FALSE)</f>
        <v>0</v>
      </c>
      <c r="M277" s="800">
        <f>VLOOKUP($E277,[2]tropical!$A$4:$AF$46,[2]tropical!I$1,FALSE)</f>
        <v>0</v>
      </c>
      <c r="N277" s="800">
        <f>VLOOKUP($E277,[2]tropical!$A$4:$AF$46,[2]tropical!J$1,FALSE)</f>
        <v>0</v>
      </c>
      <c r="O277" s="800">
        <f>VLOOKUP($E277,[2]tropical!$A$4:$AF$46,[2]tropical!K$1,FALSE)</f>
        <v>0</v>
      </c>
      <c r="P277" s="800">
        <f>VLOOKUP($E277,[2]tropical!$A$4:$AF$46,[2]tropical!L$1,FALSE)</f>
        <v>0</v>
      </c>
      <c r="Q277" s="800">
        <f>VLOOKUP($E277,[2]tropical!$A$4:$AF$46,[2]tropical!M$1,FALSE)</f>
        <v>0</v>
      </c>
      <c r="R277" s="805">
        <f>VLOOKUP($E277,[2]tropical!$A$4:$AF$46,[2]tropical!N$1,FALSE)</f>
        <v>0</v>
      </c>
      <c r="S277" s="805">
        <f>VLOOKUP($E277,[2]tropical!$A$4:$AF$46,[2]tropical!O$1,FALSE)</f>
        <v>0</v>
      </c>
      <c r="T277" s="805">
        <f>VLOOKUP($E277,[2]tropical!$A$4:$AF$46,[2]tropical!P$1,FALSE)</f>
        <v>0</v>
      </c>
      <c r="U277" s="800">
        <f t="shared" si="4"/>
        <v>2</v>
      </c>
    </row>
    <row r="278" spans="1:21">
      <c r="A278" s="788">
        <v>8277</v>
      </c>
      <c r="B278" s="788" t="s">
        <v>1639</v>
      </c>
      <c r="C278" s="788">
        <v>552</v>
      </c>
      <c r="D278" s="788" t="s">
        <v>82</v>
      </c>
      <c r="E278" s="790" t="s">
        <v>767</v>
      </c>
      <c r="F278" s="790" t="s">
        <v>2616</v>
      </c>
      <c r="G278" s="800">
        <f>VLOOKUP($E278,[2]tropical!$A$4:$AF$46,[2]tropical!C$1,FALSE)</f>
        <v>0</v>
      </c>
      <c r="H278" s="800">
        <f>VLOOKUP($E278,[2]tropical!$A$4:$AF$46,[2]tropical!D$1,FALSE)</f>
        <v>0</v>
      </c>
      <c r="I278" s="800">
        <f>VLOOKUP($E278,[2]tropical!$A$4:$AF$46,[2]tropical!E$1,FALSE)</f>
        <v>2</v>
      </c>
      <c r="J278" s="800">
        <f>VLOOKUP($E278,[2]tropical!$A$4:$AF$46,[2]tropical!F$1,FALSE)</f>
        <v>0</v>
      </c>
      <c r="K278" s="800">
        <f>VLOOKUP($E278,[2]tropical!$A$4:$AF$46,[2]tropical!G$1,FALSE)</f>
        <v>0</v>
      </c>
      <c r="L278" s="800">
        <f>VLOOKUP($E278,[2]tropical!$A$4:$AF$46,[2]tropical!H$1,FALSE)</f>
        <v>0</v>
      </c>
      <c r="M278" s="800">
        <f>VLOOKUP($E278,[2]tropical!$A$4:$AF$46,[2]tropical!I$1,FALSE)</f>
        <v>0</v>
      </c>
      <c r="N278" s="800">
        <f>VLOOKUP($E278,[2]tropical!$A$4:$AF$46,[2]tropical!J$1,FALSE)</f>
        <v>0</v>
      </c>
      <c r="O278" s="800">
        <f>VLOOKUP($E278,[2]tropical!$A$4:$AF$46,[2]tropical!K$1,FALSE)</f>
        <v>0</v>
      </c>
      <c r="P278" s="800">
        <f>VLOOKUP($E278,[2]tropical!$A$4:$AF$46,[2]tropical!L$1,FALSE)</f>
        <v>0</v>
      </c>
      <c r="Q278" s="800">
        <f>VLOOKUP($E278,[2]tropical!$A$4:$AF$46,[2]tropical!M$1,FALSE)</f>
        <v>0</v>
      </c>
      <c r="R278" s="805">
        <f>VLOOKUP($E278,[2]tropical!$A$4:$AF$46,[2]tropical!N$1,FALSE)</f>
        <v>0</v>
      </c>
      <c r="S278" s="805">
        <f>VLOOKUP($E278,[2]tropical!$A$4:$AF$46,[2]tropical!O$1,FALSE)</f>
        <v>0</v>
      </c>
      <c r="T278" s="805">
        <f>VLOOKUP($E278,[2]tropical!$A$4:$AF$46,[2]tropical!P$1,FALSE)</f>
        <v>0</v>
      </c>
      <c r="U278" s="800">
        <f t="shared" si="4"/>
        <v>2</v>
      </c>
    </row>
    <row r="279" spans="1:21">
      <c r="A279" s="788">
        <v>8278</v>
      </c>
      <c r="B279" s="788" t="s">
        <v>1641</v>
      </c>
      <c r="C279" s="788">
        <v>623</v>
      </c>
      <c r="D279" s="788" t="s">
        <v>88</v>
      </c>
      <c r="E279" s="790" t="s">
        <v>1127</v>
      </c>
      <c r="F279" s="790" t="s">
        <v>2617</v>
      </c>
      <c r="G279" s="800">
        <f>VLOOKUP($E279,[2]tropical!$A$4:$AF$46,[2]tropical!C$1,FALSE)</f>
        <v>0</v>
      </c>
      <c r="H279" s="800">
        <f>VLOOKUP($E279,[2]tropical!$A$4:$AF$46,[2]tropical!D$1,FALSE)</f>
        <v>0</v>
      </c>
      <c r="I279" s="800">
        <f>VLOOKUP($E279,[2]tropical!$A$4:$AF$46,[2]tropical!E$1,FALSE)</f>
        <v>0</v>
      </c>
      <c r="J279" s="800">
        <f>VLOOKUP($E279,[2]tropical!$A$4:$AF$46,[2]tropical!F$1,FALSE)</f>
        <v>0</v>
      </c>
      <c r="K279" s="800">
        <f>VLOOKUP($E279,[2]tropical!$A$4:$AF$46,[2]tropical!G$1,FALSE)</f>
        <v>0</v>
      </c>
      <c r="L279" s="800">
        <f>VLOOKUP($E279,[2]tropical!$A$4:$AF$46,[2]tropical!H$1,FALSE)</f>
        <v>0</v>
      </c>
      <c r="M279" s="800">
        <f>VLOOKUP($E279,[2]tropical!$A$4:$AF$46,[2]tropical!I$1,FALSE)</f>
        <v>0</v>
      </c>
      <c r="N279" s="800">
        <f>VLOOKUP($E279,[2]tropical!$A$4:$AF$46,[2]tropical!J$1,FALSE)</f>
        <v>0</v>
      </c>
      <c r="O279" s="800">
        <f>VLOOKUP($E279,[2]tropical!$A$4:$AF$46,[2]tropical!K$1,FALSE)</f>
        <v>0</v>
      </c>
      <c r="P279" s="800">
        <f>VLOOKUP($E279,[2]tropical!$A$4:$AF$46,[2]tropical!L$1,FALSE)</f>
        <v>0</v>
      </c>
      <c r="Q279" s="800">
        <f>VLOOKUP($E279,[2]tropical!$A$4:$AF$46,[2]tropical!M$1,FALSE)</f>
        <v>0</v>
      </c>
      <c r="R279" s="805">
        <f>VLOOKUP($E279,[2]tropical!$A$4:$AF$46,[2]tropical!N$1,FALSE)</f>
        <v>0</v>
      </c>
      <c r="S279" s="805">
        <f>VLOOKUP($E279,[2]tropical!$A$4:$AF$46,[2]tropical!O$1,FALSE)</f>
        <v>0</v>
      </c>
      <c r="T279" s="805">
        <f>VLOOKUP($E279,[2]tropical!$A$4:$AF$46,[2]tropical!P$1,FALSE)</f>
        <v>0</v>
      </c>
      <c r="U279" s="800">
        <f t="shared" si="4"/>
        <v>0</v>
      </c>
    </row>
    <row r="280" spans="1:21">
      <c r="A280" s="788">
        <v>8279</v>
      </c>
      <c r="B280" s="788" t="s">
        <v>967</v>
      </c>
      <c r="C280" s="788">
        <v>277</v>
      </c>
      <c r="D280" s="788" t="s">
        <v>89</v>
      </c>
      <c r="E280" s="790" t="s">
        <v>1605</v>
      </c>
      <c r="F280" s="790" t="s">
        <v>2615</v>
      </c>
      <c r="G280" s="800">
        <f>VLOOKUP($E280,[2]tropical!$A$4:$AF$46,[2]tropical!C$1,FALSE)</f>
        <v>4</v>
      </c>
      <c r="H280" s="800">
        <f>VLOOKUP($E280,[2]tropical!$A$4:$AF$46,[2]tropical!D$1,FALSE)</f>
        <v>8</v>
      </c>
      <c r="I280" s="800">
        <f>VLOOKUP($E280,[2]tropical!$A$4:$AF$46,[2]tropical!E$1,FALSE)</f>
        <v>9</v>
      </c>
      <c r="J280" s="800">
        <f>VLOOKUP($E280,[2]tropical!$A$4:$AF$46,[2]tropical!F$1,FALSE)</f>
        <v>0</v>
      </c>
      <c r="K280" s="800">
        <f>VLOOKUP($E280,[2]tropical!$A$4:$AF$46,[2]tropical!G$1,FALSE)</f>
        <v>1</v>
      </c>
      <c r="L280" s="800">
        <f>VLOOKUP($E280,[2]tropical!$A$4:$AF$46,[2]tropical!H$1,FALSE)</f>
        <v>4</v>
      </c>
      <c r="M280" s="800">
        <f>VLOOKUP($E280,[2]tropical!$A$4:$AF$46,[2]tropical!I$1,FALSE)</f>
        <v>5</v>
      </c>
      <c r="N280" s="800">
        <f>VLOOKUP($E280,[2]tropical!$A$4:$AF$46,[2]tropical!J$1,FALSE)</f>
        <v>1</v>
      </c>
      <c r="O280" s="800">
        <f>VLOOKUP($E280,[2]tropical!$A$4:$AF$46,[2]tropical!K$1,FALSE)</f>
        <v>4</v>
      </c>
      <c r="P280" s="800">
        <f>VLOOKUP($E280,[2]tropical!$A$4:$AF$46,[2]tropical!L$1,FALSE)</f>
        <v>3</v>
      </c>
      <c r="Q280" s="800">
        <f>VLOOKUP($E280,[2]tropical!$A$4:$AF$46,[2]tropical!M$1,FALSE)</f>
        <v>0</v>
      </c>
      <c r="R280" s="805">
        <f>VLOOKUP($E280,[2]tropical!$A$4:$AF$46,[2]tropical!N$1,FALSE)</f>
        <v>0</v>
      </c>
      <c r="S280" s="805">
        <f>VLOOKUP($E280,[2]tropical!$A$4:$AF$46,[2]tropical!O$1,FALSE)</f>
        <v>0</v>
      </c>
      <c r="T280" s="805">
        <f>VLOOKUP($E280,[2]tropical!$A$4:$AF$46,[2]tropical!P$1,FALSE)</f>
        <v>0</v>
      </c>
      <c r="U280" s="800">
        <f t="shared" si="4"/>
        <v>39</v>
      </c>
    </row>
    <row r="281" spans="1:21">
      <c r="A281" s="788">
        <v>8280</v>
      </c>
      <c r="B281" s="788" t="s">
        <v>1650</v>
      </c>
      <c r="C281" s="788">
        <v>869</v>
      </c>
      <c r="D281" s="788" t="s">
        <v>88</v>
      </c>
      <c r="E281" s="790" t="s">
        <v>1127</v>
      </c>
      <c r="F281" s="790" t="s">
        <v>2617</v>
      </c>
      <c r="G281" s="800">
        <f>VLOOKUP($E281,[2]tropical!$A$4:$AF$46,[2]tropical!C$1,FALSE)</f>
        <v>0</v>
      </c>
      <c r="H281" s="800">
        <f>VLOOKUP($E281,[2]tropical!$A$4:$AF$46,[2]tropical!D$1,FALSE)</f>
        <v>0</v>
      </c>
      <c r="I281" s="800">
        <f>VLOOKUP($E281,[2]tropical!$A$4:$AF$46,[2]tropical!E$1,FALSE)</f>
        <v>0</v>
      </c>
      <c r="J281" s="800">
        <f>VLOOKUP($E281,[2]tropical!$A$4:$AF$46,[2]tropical!F$1,FALSE)</f>
        <v>0</v>
      </c>
      <c r="K281" s="800">
        <f>VLOOKUP($E281,[2]tropical!$A$4:$AF$46,[2]tropical!G$1,FALSE)</f>
        <v>0</v>
      </c>
      <c r="L281" s="800">
        <f>VLOOKUP($E281,[2]tropical!$A$4:$AF$46,[2]tropical!H$1,FALSE)</f>
        <v>0</v>
      </c>
      <c r="M281" s="800">
        <f>VLOOKUP($E281,[2]tropical!$A$4:$AF$46,[2]tropical!I$1,FALSE)</f>
        <v>0</v>
      </c>
      <c r="N281" s="800">
        <f>VLOOKUP($E281,[2]tropical!$A$4:$AF$46,[2]tropical!J$1,FALSE)</f>
        <v>0</v>
      </c>
      <c r="O281" s="800">
        <f>VLOOKUP($E281,[2]tropical!$A$4:$AF$46,[2]tropical!K$1,FALSE)</f>
        <v>0</v>
      </c>
      <c r="P281" s="800">
        <f>VLOOKUP($E281,[2]tropical!$A$4:$AF$46,[2]tropical!L$1,FALSE)</f>
        <v>0</v>
      </c>
      <c r="Q281" s="800">
        <f>VLOOKUP($E281,[2]tropical!$A$4:$AF$46,[2]tropical!M$1,FALSE)</f>
        <v>0</v>
      </c>
      <c r="R281" s="805">
        <f>VLOOKUP($E281,[2]tropical!$A$4:$AF$46,[2]tropical!N$1,FALSE)</f>
        <v>0</v>
      </c>
      <c r="S281" s="805">
        <f>VLOOKUP($E281,[2]tropical!$A$4:$AF$46,[2]tropical!O$1,FALSE)</f>
        <v>0</v>
      </c>
      <c r="T281" s="805">
        <f>VLOOKUP($E281,[2]tropical!$A$4:$AF$46,[2]tropical!P$1,FALSE)</f>
        <v>0</v>
      </c>
      <c r="U281" s="800">
        <f t="shared" si="4"/>
        <v>0</v>
      </c>
    </row>
    <row r="282" spans="1:21">
      <c r="A282" s="788">
        <v>8281</v>
      </c>
      <c r="B282" s="788" t="s">
        <v>1652</v>
      </c>
      <c r="C282" s="788">
        <v>128</v>
      </c>
      <c r="D282" s="788" t="s">
        <v>86</v>
      </c>
      <c r="E282" s="790" t="s">
        <v>352</v>
      </c>
      <c r="F282" s="790" t="s">
        <v>2615</v>
      </c>
      <c r="G282" s="800">
        <f>VLOOKUP($E282,[2]tropical!$A$4:$AF$46,[2]tropical!C$1,FALSE)</f>
        <v>41</v>
      </c>
      <c r="H282" s="800">
        <f>VLOOKUP($E282,[2]tropical!$A$4:$AF$46,[2]tropical!D$1,FALSE)</f>
        <v>57</v>
      </c>
      <c r="I282" s="800">
        <f>VLOOKUP($E282,[2]tropical!$A$4:$AF$46,[2]tropical!E$1,FALSE)</f>
        <v>52</v>
      </c>
      <c r="J282" s="800">
        <f>VLOOKUP($E282,[2]tropical!$A$4:$AF$46,[2]tropical!F$1,FALSE)</f>
        <v>9</v>
      </c>
      <c r="K282" s="800">
        <f>VLOOKUP($E282,[2]tropical!$A$4:$AF$46,[2]tropical!G$1,FALSE)</f>
        <v>37</v>
      </c>
      <c r="L282" s="800">
        <f>VLOOKUP($E282,[2]tropical!$A$4:$AF$46,[2]tropical!H$1,FALSE)</f>
        <v>47</v>
      </c>
      <c r="M282" s="800">
        <f>VLOOKUP($E282,[2]tropical!$A$4:$AF$46,[2]tropical!I$1,FALSE)</f>
        <v>42</v>
      </c>
      <c r="N282" s="800">
        <f>VLOOKUP($E282,[2]tropical!$A$4:$AF$46,[2]tropical!J$1,FALSE)</f>
        <v>27</v>
      </c>
      <c r="O282" s="800">
        <f>VLOOKUP($E282,[2]tropical!$A$4:$AF$46,[2]tropical!K$1,FALSE)</f>
        <v>39</v>
      </c>
      <c r="P282" s="800">
        <f>VLOOKUP($E282,[2]tropical!$A$4:$AF$46,[2]tropical!L$1,FALSE)</f>
        <v>32</v>
      </c>
      <c r="Q282" s="800">
        <f>VLOOKUP($E282,[2]tropical!$A$4:$AF$46,[2]tropical!M$1,FALSE)</f>
        <v>20</v>
      </c>
      <c r="R282" s="805">
        <f>VLOOKUP($E282,[2]tropical!$A$4:$AF$46,[2]tropical!N$1,FALSE)</f>
        <v>0</v>
      </c>
      <c r="S282" s="805">
        <f>VLOOKUP($E282,[2]tropical!$A$4:$AF$46,[2]tropical!O$1,FALSE)</f>
        <v>0</v>
      </c>
      <c r="T282" s="805">
        <f>VLOOKUP($E282,[2]tropical!$A$4:$AF$46,[2]tropical!P$1,FALSE)</f>
        <v>0</v>
      </c>
      <c r="U282" s="800">
        <f t="shared" si="4"/>
        <v>403</v>
      </c>
    </row>
    <row r="283" spans="1:21">
      <c r="A283" s="788">
        <v>8282</v>
      </c>
      <c r="B283" s="788" t="s">
        <v>1655</v>
      </c>
      <c r="C283" s="788">
        <v>136</v>
      </c>
      <c r="D283" s="788" t="s">
        <v>86</v>
      </c>
      <c r="E283" s="790" t="s">
        <v>352</v>
      </c>
      <c r="F283" s="790" t="s">
        <v>2615</v>
      </c>
      <c r="G283" s="800">
        <f>VLOOKUP($E283,[2]tropical!$A$4:$AF$46,[2]tropical!C$1,FALSE)</f>
        <v>41</v>
      </c>
      <c r="H283" s="800">
        <f>VLOOKUP($E283,[2]tropical!$A$4:$AF$46,[2]tropical!D$1,FALSE)</f>
        <v>57</v>
      </c>
      <c r="I283" s="800">
        <f>VLOOKUP($E283,[2]tropical!$A$4:$AF$46,[2]tropical!E$1,FALSE)</f>
        <v>52</v>
      </c>
      <c r="J283" s="800">
        <f>VLOOKUP($E283,[2]tropical!$A$4:$AF$46,[2]tropical!F$1,FALSE)</f>
        <v>9</v>
      </c>
      <c r="K283" s="800">
        <f>VLOOKUP($E283,[2]tropical!$A$4:$AF$46,[2]tropical!G$1,FALSE)</f>
        <v>37</v>
      </c>
      <c r="L283" s="800">
        <f>VLOOKUP($E283,[2]tropical!$A$4:$AF$46,[2]tropical!H$1,FALSE)</f>
        <v>47</v>
      </c>
      <c r="M283" s="800">
        <f>VLOOKUP($E283,[2]tropical!$A$4:$AF$46,[2]tropical!I$1,FALSE)</f>
        <v>42</v>
      </c>
      <c r="N283" s="800">
        <f>VLOOKUP($E283,[2]tropical!$A$4:$AF$46,[2]tropical!J$1,FALSE)</f>
        <v>27</v>
      </c>
      <c r="O283" s="800">
        <f>VLOOKUP($E283,[2]tropical!$A$4:$AF$46,[2]tropical!K$1,FALSE)</f>
        <v>39</v>
      </c>
      <c r="P283" s="800">
        <f>VLOOKUP($E283,[2]tropical!$A$4:$AF$46,[2]tropical!L$1,FALSE)</f>
        <v>32</v>
      </c>
      <c r="Q283" s="800">
        <f>VLOOKUP($E283,[2]tropical!$A$4:$AF$46,[2]tropical!M$1,FALSE)</f>
        <v>20</v>
      </c>
      <c r="R283" s="805">
        <f>VLOOKUP($E283,[2]tropical!$A$4:$AF$46,[2]tropical!N$1,FALSE)</f>
        <v>0</v>
      </c>
      <c r="S283" s="805">
        <f>VLOOKUP($E283,[2]tropical!$A$4:$AF$46,[2]tropical!O$1,FALSE)</f>
        <v>0</v>
      </c>
      <c r="T283" s="805">
        <f>VLOOKUP($E283,[2]tropical!$A$4:$AF$46,[2]tropical!P$1,FALSE)</f>
        <v>0</v>
      </c>
      <c r="U283" s="800">
        <f t="shared" si="4"/>
        <v>403</v>
      </c>
    </row>
    <row r="284" spans="1:21">
      <c r="A284" s="788">
        <v>8283</v>
      </c>
      <c r="B284" s="788" t="s">
        <v>1658</v>
      </c>
      <c r="C284" s="788">
        <v>596</v>
      </c>
      <c r="D284" s="788" t="s">
        <v>88</v>
      </c>
      <c r="E284" s="790" t="s">
        <v>1127</v>
      </c>
      <c r="F284" s="790" t="s">
        <v>2617</v>
      </c>
      <c r="G284" s="800">
        <f>VLOOKUP($E284,[2]tropical!$A$4:$AF$46,[2]tropical!C$1,FALSE)</f>
        <v>0</v>
      </c>
      <c r="H284" s="800">
        <f>VLOOKUP($E284,[2]tropical!$A$4:$AF$46,[2]tropical!D$1,FALSE)</f>
        <v>0</v>
      </c>
      <c r="I284" s="800">
        <f>VLOOKUP($E284,[2]tropical!$A$4:$AF$46,[2]tropical!E$1,FALSE)</f>
        <v>0</v>
      </c>
      <c r="J284" s="800">
        <f>VLOOKUP($E284,[2]tropical!$A$4:$AF$46,[2]tropical!F$1,FALSE)</f>
        <v>0</v>
      </c>
      <c r="K284" s="800">
        <f>VLOOKUP($E284,[2]tropical!$A$4:$AF$46,[2]tropical!G$1,FALSE)</f>
        <v>0</v>
      </c>
      <c r="L284" s="800">
        <f>VLOOKUP($E284,[2]tropical!$A$4:$AF$46,[2]tropical!H$1,FALSE)</f>
        <v>0</v>
      </c>
      <c r="M284" s="800">
        <f>VLOOKUP($E284,[2]tropical!$A$4:$AF$46,[2]tropical!I$1,FALSE)</f>
        <v>0</v>
      </c>
      <c r="N284" s="800">
        <f>VLOOKUP($E284,[2]tropical!$A$4:$AF$46,[2]tropical!J$1,FALSE)</f>
        <v>0</v>
      </c>
      <c r="O284" s="800">
        <f>VLOOKUP($E284,[2]tropical!$A$4:$AF$46,[2]tropical!K$1,FALSE)</f>
        <v>0</v>
      </c>
      <c r="P284" s="800">
        <f>VLOOKUP($E284,[2]tropical!$A$4:$AF$46,[2]tropical!L$1,FALSE)</f>
        <v>0</v>
      </c>
      <c r="Q284" s="800">
        <f>VLOOKUP($E284,[2]tropical!$A$4:$AF$46,[2]tropical!M$1,FALSE)</f>
        <v>0</v>
      </c>
      <c r="R284" s="805">
        <f>VLOOKUP($E284,[2]tropical!$A$4:$AF$46,[2]tropical!N$1,FALSE)</f>
        <v>0</v>
      </c>
      <c r="S284" s="805">
        <f>VLOOKUP($E284,[2]tropical!$A$4:$AF$46,[2]tropical!O$1,FALSE)</f>
        <v>0</v>
      </c>
      <c r="T284" s="805">
        <f>VLOOKUP($E284,[2]tropical!$A$4:$AF$46,[2]tropical!P$1,FALSE)</f>
        <v>0</v>
      </c>
      <c r="U284" s="800">
        <f t="shared" si="4"/>
        <v>0</v>
      </c>
    </row>
    <row r="285" spans="1:21">
      <c r="A285" s="788">
        <v>8284</v>
      </c>
      <c r="B285" s="788" t="s">
        <v>1660</v>
      </c>
      <c r="C285" s="788">
        <v>34</v>
      </c>
      <c r="D285" s="788" t="s">
        <v>86</v>
      </c>
      <c r="E285" s="790" t="s">
        <v>343</v>
      </c>
      <c r="F285" s="790" t="s">
        <v>2615</v>
      </c>
      <c r="G285" s="800">
        <f>VLOOKUP($E285,[2]tropical!$A$4:$AF$46,[2]tropical!C$1,FALSE)</f>
        <v>14</v>
      </c>
      <c r="H285" s="800">
        <f>VLOOKUP($E285,[2]tropical!$A$4:$AF$46,[2]tropical!D$1,FALSE)</f>
        <v>8</v>
      </c>
      <c r="I285" s="800">
        <f>VLOOKUP($E285,[2]tropical!$A$4:$AF$46,[2]tropical!E$1,FALSE)</f>
        <v>3</v>
      </c>
      <c r="J285" s="800">
        <f>VLOOKUP($E285,[2]tropical!$A$4:$AF$46,[2]tropical!F$1,FALSE)</f>
        <v>4</v>
      </c>
      <c r="K285" s="800">
        <f>VLOOKUP($E285,[2]tropical!$A$4:$AF$46,[2]tropical!G$1,FALSE)</f>
        <v>2</v>
      </c>
      <c r="L285" s="800">
        <f>VLOOKUP($E285,[2]tropical!$A$4:$AF$46,[2]tropical!H$1,FALSE)</f>
        <v>9</v>
      </c>
      <c r="M285" s="800">
        <f>VLOOKUP($E285,[2]tropical!$A$4:$AF$46,[2]tropical!I$1,FALSE)</f>
        <v>4</v>
      </c>
      <c r="N285" s="800">
        <f>VLOOKUP($E285,[2]tropical!$A$4:$AF$46,[2]tropical!J$1,FALSE)</f>
        <v>3</v>
      </c>
      <c r="O285" s="800">
        <f>VLOOKUP($E285,[2]tropical!$A$4:$AF$46,[2]tropical!K$1,FALSE)</f>
        <v>7</v>
      </c>
      <c r="P285" s="800">
        <f>VLOOKUP($E285,[2]tropical!$A$4:$AF$46,[2]tropical!L$1,FALSE)</f>
        <v>5</v>
      </c>
      <c r="Q285" s="800">
        <f>VLOOKUP($E285,[2]tropical!$A$4:$AF$46,[2]tropical!M$1,FALSE)</f>
        <v>3</v>
      </c>
      <c r="R285" s="805">
        <f>VLOOKUP($E285,[2]tropical!$A$4:$AF$46,[2]tropical!N$1,FALSE)</f>
        <v>0</v>
      </c>
      <c r="S285" s="805">
        <f>VLOOKUP($E285,[2]tropical!$A$4:$AF$46,[2]tropical!O$1,FALSE)</f>
        <v>0</v>
      </c>
      <c r="T285" s="805">
        <f>VLOOKUP($E285,[2]tropical!$A$4:$AF$46,[2]tropical!P$1,FALSE)</f>
        <v>0</v>
      </c>
      <c r="U285" s="800">
        <f t="shared" si="4"/>
        <v>62</v>
      </c>
    </row>
    <row r="286" spans="1:21">
      <c r="A286" s="788">
        <v>8285</v>
      </c>
      <c r="B286" s="788" t="s">
        <v>1667</v>
      </c>
      <c r="C286" s="788">
        <v>508</v>
      </c>
      <c r="D286" s="788" t="s">
        <v>88</v>
      </c>
      <c r="E286" s="790" t="s">
        <v>1301</v>
      </c>
      <c r="F286" s="790" t="s">
        <v>2617</v>
      </c>
      <c r="G286" s="800">
        <f>VLOOKUP($E286,[2]tropical!$A$4:$AF$46,[2]tropical!C$1,FALSE)</f>
        <v>0</v>
      </c>
      <c r="H286" s="800">
        <f>VLOOKUP($E286,[2]tropical!$A$4:$AF$46,[2]tropical!D$1,FALSE)</f>
        <v>0</v>
      </c>
      <c r="I286" s="800">
        <f>VLOOKUP($E286,[2]tropical!$A$4:$AF$46,[2]tropical!E$1,FALSE)</f>
        <v>0</v>
      </c>
      <c r="J286" s="800">
        <f>VLOOKUP($E286,[2]tropical!$A$4:$AF$46,[2]tropical!F$1,FALSE)</f>
        <v>0</v>
      </c>
      <c r="K286" s="800">
        <f>VLOOKUP($E286,[2]tropical!$A$4:$AF$46,[2]tropical!G$1,FALSE)</f>
        <v>0</v>
      </c>
      <c r="L286" s="800">
        <f>VLOOKUP($E286,[2]tropical!$A$4:$AF$46,[2]tropical!H$1,FALSE)</f>
        <v>0</v>
      </c>
      <c r="M286" s="800">
        <f>VLOOKUP($E286,[2]tropical!$A$4:$AF$46,[2]tropical!I$1,FALSE)</f>
        <v>0</v>
      </c>
      <c r="N286" s="800">
        <f>VLOOKUP($E286,[2]tropical!$A$4:$AF$46,[2]tropical!J$1,FALSE)</f>
        <v>0</v>
      </c>
      <c r="O286" s="800">
        <f>VLOOKUP($E286,[2]tropical!$A$4:$AF$46,[2]tropical!K$1,FALSE)</f>
        <v>0</v>
      </c>
      <c r="P286" s="800">
        <f>VLOOKUP($E286,[2]tropical!$A$4:$AF$46,[2]tropical!L$1,FALSE)</f>
        <v>0</v>
      </c>
      <c r="Q286" s="800">
        <f>VLOOKUP($E286,[2]tropical!$A$4:$AF$46,[2]tropical!M$1,FALSE)</f>
        <v>0</v>
      </c>
      <c r="R286" s="805">
        <f>VLOOKUP($E286,[2]tropical!$A$4:$AF$46,[2]tropical!N$1,FALSE)</f>
        <v>0</v>
      </c>
      <c r="S286" s="805">
        <f>VLOOKUP($E286,[2]tropical!$A$4:$AF$46,[2]tropical!O$1,FALSE)</f>
        <v>0</v>
      </c>
      <c r="T286" s="805">
        <f>VLOOKUP($E286,[2]tropical!$A$4:$AF$46,[2]tropical!P$1,FALSE)</f>
        <v>0</v>
      </c>
      <c r="U286" s="800">
        <f t="shared" si="4"/>
        <v>0</v>
      </c>
    </row>
    <row r="287" spans="1:21">
      <c r="A287" s="788">
        <v>8286</v>
      </c>
      <c r="B287" s="788" t="s">
        <v>1670</v>
      </c>
      <c r="C287" s="788">
        <v>363</v>
      </c>
      <c r="D287" s="788" t="s">
        <v>81</v>
      </c>
      <c r="E287" s="790" t="s">
        <v>1274</v>
      </c>
      <c r="F287" s="790" t="s">
        <v>2616</v>
      </c>
      <c r="G287" s="800">
        <f>VLOOKUP($E287,[2]tropical!$A$4:$AF$46,[2]tropical!C$1,FALSE)</f>
        <v>0</v>
      </c>
      <c r="H287" s="800">
        <f>VLOOKUP($E287,[2]tropical!$A$4:$AF$46,[2]tropical!D$1,FALSE)</f>
        <v>0</v>
      </c>
      <c r="I287" s="800">
        <f>VLOOKUP($E287,[2]tropical!$A$4:$AF$46,[2]tropical!E$1,FALSE)</f>
        <v>0</v>
      </c>
      <c r="J287" s="800">
        <f>VLOOKUP($E287,[2]tropical!$A$4:$AF$46,[2]tropical!F$1,FALSE)</f>
        <v>0</v>
      </c>
      <c r="K287" s="800">
        <f>VLOOKUP($E287,[2]tropical!$A$4:$AF$46,[2]tropical!G$1,FALSE)</f>
        <v>1</v>
      </c>
      <c r="L287" s="800">
        <f>VLOOKUP($E287,[2]tropical!$A$4:$AF$46,[2]tropical!H$1,FALSE)</f>
        <v>0</v>
      </c>
      <c r="M287" s="800">
        <f>VLOOKUP($E287,[2]tropical!$A$4:$AF$46,[2]tropical!I$1,FALSE)</f>
        <v>0</v>
      </c>
      <c r="N287" s="800">
        <f>VLOOKUP($E287,[2]tropical!$A$4:$AF$46,[2]tropical!J$1,FALSE)</f>
        <v>0</v>
      </c>
      <c r="O287" s="800">
        <f>VLOOKUP($E287,[2]tropical!$A$4:$AF$46,[2]tropical!K$1,FALSE)</f>
        <v>1</v>
      </c>
      <c r="P287" s="800">
        <f>VLOOKUP($E287,[2]tropical!$A$4:$AF$46,[2]tropical!L$1,FALSE)</f>
        <v>0</v>
      </c>
      <c r="Q287" s="800">
        <f>VLOOKUP($E287,[2]tropical!$A$4:$AF$46,[2]tropical!M$1,FALSE)</f>
        <v>0</v>
      </c>
      <c r="R287" s="805">
        <f>VLOOKUP($E287,[2]tropical!$A$4:$AF$46,[2]tropical!N$1,FALSE)</f>
        <v>0</v>
      </c>
      <c r="S287" s="805">
        <f>VLOOKUP($E287,[2]tropical!$A$4:$AF$46,[2]tropical!O$1,FALSE)</f>
        <v>0</v>
      </c>
      <c r="T287" s="805">
        <f>VLOOKUP($E287,[2]tropical!$A$4:$AF$46,[2]tropical!P$1,FALSE)</f>
        <v>0</v>
      </c>
      <c r="U287" s="800">
        <f t="shared" si="4"/>
        <v>2</v>
      </c>
    </row>
    <row r="288" spans="1:21">
      <c r="A288" s="788">
        <v>8287</v>
      </c>
      <c r="B288" s="788" t="s">
        <v>1673</v>
      </c>
      <c r="C288" s="788">
        <v>202</v>
      </c>
      <c r="D288" s="788" t="s">
        <v>791</v>
      </c>
      <c r="E288" s="790" t="s">
        <v>1544</v>
      </c>
      <c r="F288" s="790" t="s">
        <v>2616</v>
      </c>
      <c r="G288" s="800">
        <f>VLOOKUP($E288,[2]tropical!$A$4:$AF$46,[2]tropical!C$1,FALSE)</f>
        <v>0</v>
      </c>
      <c r="H288" s="800">
        <f>VLOOKUP($E288,[2]tropical!$A$4:$AF$46,[2]tropical!D$1,FALSE)</f>
        <v>0</v>
      </c>
      <c r="I288" s="800">
        <f>VLOOKUP($E288,[2]tropical!$A$4:$AF$46,[2]tropical!E$1,FALSE)</f>
        <v>3</v>
      </c>
      <c r="J288" s="800">
        <f>VLOOKUP($E288,[2]tropical!$A$4:$AF$46,[2]tropical!F$1,FALSE)</f>
        <v>0</v>
      </c>
      <c r="K288" s="800">
        <f>VLOOKUP($E288,[2]tropical!$A$4:$AF$46,[2]tropical!G$1,FALSE)</f>
        <v>0</v>
      </c>
      <c r="L288" s="800">
        <f>VLOOKUP($E288,[2]tropical!$A$4:$AF$46,[2]tropical!H$1,FALSE)</f>
        <v>0</v>
      </c>
      <c r="M288" s="800">
        <f>VLOOKUP($E288,[2]tropical!$A$4:$AF$46,[2]tropical!I$1,FALSE)</f>
        <v>0</v>
      </c>
      <c r="N288" s="800">
        <f>VLOOKUP($E288,[2]tropical!$A$4:$AF$46,[2]tropical!J$1,FALSE)</f>
        <v>2</v>
      </c>
      <c r="O288" s="800">
        <f>VLOOKUP($E288,[2]tropical!$A$4:$AF$46,[2]tropical!K$1,FALSE)</f>
        <v>2</v>
      </c>
      <c r="P288" s="800">
        <f>VLOOKUP($E288,[2]tropical!$A$4:$AF$46,[2]tropical!L$1,FALSE)</f>
        <v>0</v>
      </c>
      <c r="Q288" s="800">
        <f>VLOOKUP($E288,[2]tropical!$A$4:$AF$46,[2]tropical!M$1,FALSE)</f>
        <v>0</v>
      </c>
      <c r="R288" s="805">
        <f>VLOOKUP($E288,[2]tropical!$A$4:$AF$46,[2]tropical!N$1,FALSE)</f>
        <v>0</v>
      </c>
      <c r="S288" s="805">
        <f>VLOOKUP($E288,[2]tropical!$A$4:$AF$46,[2]tropical!O$1,FALSE)</f>
        <v>0</v>
      </c>
      <c r="T288" s="805">
        <f>VLOOKUP($E288,[2]tropical!$A$4:$AF$46,[2]tropical!P$1,FALSE)</f>
        <v>0</v>
      </c>
      <c r="U288" s="800">
        <f t="shared" si="4"/>
        <v>7</v>
      </c>
    </row>
    <row r="289" spans="1:21">
      <c r="A289" s="788">
        <v>8288</v>
      </c>
      <c r="B289" s="788" t="s">
        <v>1677</v>
      </c>
      <c r="C289" s="788">
        <v>367</v>
      </c>
      <c r="D289" s="788" t="s">
        <v>791</v>
      </c>
      <c r="E289" s="790" t="s">
        <v>1506</v>
      </c>
      <c r="F289" s="790" t="s">
        <v>2616</v>
      </c>
      <c r="G289" s="800">
        <f>VLOOKUP($E289,[2]tropical!$A$4:$AF$46,[2]tropical!C$1,FALSE)</f>
        <v>1</v>
      </c>
      <c r="H289" s="800">
        <f>VLOOKUP($E289,[2]tropical!$A$4:$AF$46,[2]tropical!D$1,FALSE)</f>
        <v>1</v>
      </c>
      <c r="I289" s="800">
        <f>VLOOKUP($E289,[2]tropical!$A$4:$AF$46,[2]tropical!E$1,FALSE)</f>
        <v>3</v>
      </c>
      <c r="J289" s="800">
        <f>VLOOKUP($E289,[2]tropical!$A$4:$AF$46,[2]tropical!F$1,FALSE)</f>
        <v>2</v>
      </c>
      <c r="K289" s="800">
        <f>VLOOKUP($E289,[2]tropical!$A$4:$AF$46,[2]tropical!G$1,FALSE)</f>
        <v>1</v>
      </c>
      <c r="L289" s="800">
        <f>VLOOKUP($E289,[2]tropical!$A$4:$AF$46,[2]tropical!H$1,FALSE)</f>
        <v>1</v>
      </c>
      <c r="M289" s="800">
        <f>VLOOKUP($E289,[2]tropical!$A$4:$AF$46,[2]tropical!I$1,FALSE)</f>
        <v>0</v>
      </c>
      <c r="N289" s="800">
        <f>VLOOKUP($E289,[2]tropical!$A$4:$AF$46,[2]tropical!J$1,FALSE)</f>
        <v>0</v>
      </c>
      <c r="O289" s="800">
        <f>VLOOKUP($E289,[2]tropical!$A$4:$AF$46,[2]tropical!K$1,FALSE)</f>
        <v>1</v>
      </c>
      <c r="P289" s="800">
        <f>VLOOKUP($E289,[2]tropical!$A$4:$AF$46,[2]tropical!L$1,FALSE)</f>
        <v>0</v>
      </c>
      <c r="Q289" s="800">
        <f>VLOOKUP($E289,[2]tropical!$A$4:$AF$46,[2]tropical!M$1,FALSE)</f>
        <v>0</v>
      </c>
      <c r="R289" s="805">
        <f>VLOOKUP($E289,[2]tropical!$A$4:$AF$46,[2]tropical!N$1,FALSE)</f>
        <v>0</v>
      </c>
      <c r="S289" s="805">
        <f>VLOOKUP($E289,[2]tropical!$A$4:$AF$46,[2]tropical!O$1,FALSE)</f>
        <v>0</v>
      </c>
      <c r="T289" s="805">
        <f>VLOOKUP($E289,[2]tropical!$A$4:$AF$46,[2]tropical!P$1,FALSE)</f>
        <v>0</v>
      </c>
      <c r="U289" s="800">
        <f t="shared" si="4"/>
        <v>10</v>
      </c>
    </row>
    <row r="290" spans="1:21">
      <c r="A290" s="788">
        <v>8289</v>
      </c>
      <c r="B290" s="788" t="s">
        <v>1681</v>
      </c>
      <c r="C290" s="788">
        <v>126</v>
      </c>
      <c r="D290" s="788" t="s">
        <v>90</v>
      </c>
      <c r="E290" s="790" t="s">
        <v>1697</v>
      </c>
      <c r="F290" s="790" t="s">
        <v>2615</v>
      </c>
      <c r="G290" s="800">
        <f>VLOOKUP($E290,[2]tropical!$A$4:$AF$46,[2]tropical!C$1,FALSE)</f>
        <v>8</v>
      </c>
      <c r="H290" s="800">
        <f>VLOOKUP($E290,[2]tropical!$A$4:$AF$46,[2]tropical!D$1,FALSE)</f>
        <v>14</v>
      </c>
      <c r="I290" s="800">
        <f>VLOOKUP($E290,[2]tropical!$A$4:$AF$46,[2]tropical!E$1,FALSE)</f>
        <v>22</v>
      </c>
      <c r="J290" s="800">
        <f>VLOOKUP($E290,[2]tropical!$A$4:$AF$46,[2]tropical!F$1,FALSE)</f>
        <v>5</v>
      </c>
      <c r="K290" s="800">
        <f>VLOOKUP($E290,[2]tropical!$A$4:$AF$46,[2]tropical!G$1,FALSE)</f>
        <v>5</v>
      </c>
      <c r="L290" s="800">
        <f>VLOOKUP($E290,[2]tropical!$A$4:$AF$46,[2]tropical!H$1,FALSE)</f>
        <v>17</v>
      </c>
      <c r="M290" s="800">
        <f>VLOOKUP($E290,[2]tropical!$A$4:$AF$46,[2]tropical!I$1,FALSE)</f>
        <v>24</v>
      </c>
      <c r="N290" s="800">
        <f>VLOOKUP($E290,[2]tropical!$A$4:$AF$46,[2]tropical!J$1,FALSE)</f>
        <v>3</v>
      </c>
      <c r="O290" s="800">
        <f>VLOOKUP($E290,[2]tropical!$A$4:$AF$46,[2]tropical!K$1,FALSE)</f>
        <v>17</v>
      </c>
      <c r="P290" s="800">
        <f>VLOOKUP($E290,[2]tropical!$A$4:$AF$46,[2]tropical!L$1,FALSE)</f>
        <v>7</v>
      </c>
      <c r="Q290" s="800">
        <f>VLOOKUP($E290,[2]tropical!$A$4:$AF$46,[2]tropical!M$1,FALSE)</f>
        <v>3</v>
      </c>
      <c r="R290" s="805">
        <f>VLOOKUP($E290,[2]tropical!$A$4:$AF$46,[2]tropical!N$1,FALSE)</f>
        <v>0</v>
      </c>
      <c r="S290" s="805">
        <f>VLOOKUP($E290,[2]tropical!$A$4:$AF$46,[2]tropical!O$1,FALSE)</f>
        <v>0</v>
      </c>
      <c r="T290" s="805">
        <f>VLOOKUP($E290,[2]tropical!$A$4:$AF$46,[2]tropical!P$1,FALSE)</f>
        <v>0</v>
      </c>
      <c r="U290" s="800">
        <f t="shared" si="4"/>
        <v>125</v>
      </c>
    </row>
    <row r="291" spans="1:21">
      <c r="A291" s="788">
        <v>8290</v>
      </c>
      <c r="B291" s="788" t="s">
        <v>1682</v>
      </c>
      <c r="C291" s="788">
        <v>342</v>
      </c>
      <c r="D291" s="788" t="s">
        <v>89</v>
      </c>
      <c r="E291" s="790" t="s">
        <v>1684</v>
      </c>
      <c r="F291" s="790" t="s">
        <v>2616</v>
      </c>
      <c r="G291" s="800">
        <f>VLOOKUP($E291,[2]tropical!$A$4:$AF$46,[2]tropical!C$1,FALSE)</f>
        <v>0</v>
      </c>
      <c r="H291" s="800">
        <f>VLOOKUP($E291,[2]tropical!$A$4:$AF$46,[2]tropical!D$1,FALSE)</f>
        <v>2</v>
      </c>
      <c r="I291" s="800">
        <f>VLOOKUP($E291,[2]tropical!$A$4:$AF$46,[2]tropical!E$1,FALSE)</f>
        <v>1</v>
      </c>
      <c r="J291" s="800">
        <f>VLOOKUP($E291,[2]tropical!$A$4:$AF$46,[2]tropical!F$1,FALSE)</f>
        <v>0</v>
      </c>
      <c r="K291" s="800">
        <f>VLOOKUP($E291,[2]tropical!$A$4:$AF$46,[2]tropical!G$1,FALSE)</f>
        <v>0</v>
      </c>
      <c r="L291" s="800">
        <f>VLOOKUP($E291,[2]tropical!$A$4:$AF$46,[2]tropical!H$1,FALSE)</f>
        <v>0</v>
      </c>
      <c r="M291" s="800">
        <f>VLOOKUP($E291,[2]tropical!$A$4:$AF$46,[2]tropical!I$1,FALSE)</f>
        <v>0</v>
      </c>
      <c r="N291" s="800">
        <f>VLOOKUP($E291,[2]tropical!$A$4:$AF$46,[2]tropical!J$1,FALSE)</f>
        <v>0</v>
      </c>
      <c r="O291" s="800">
        <f>VLOOKUP($E291,[2]tropical!$A$4:$AF$46,[2]tropical!K$1,FALSE)</f>
        <v>0</v>
      </c>
      <c r="P291" s="800">
        <f>VLOOKUP($E291,[2]tropical!$A$4:$AF$46,[2]tropical!L$1,FALSE)</f>
        <v>0</v>
      </c>
      <c r="Q291" s="800">
        <f>VLOOKUP($E291,[2]tropical!$A$4:$AF$46,[2]tropical!M$1,FALSE)</f>
        <v>0</v>
      </c>
      <c r="R291" s="805">
        <f>VLOOKUP($E291,[2]tropical!$A$4:$AF$46,[2]tropical!N$1,FALSE)</f>
        <v>0</v>
      </c>
      <c r="S291" s="805">
        <f>VLOOKUP($E291,[2]tropical!$A$4:$AF$46,[2]tropical!O$1,FALSE)</f>
        <v>0</v>
      </c>
      <c r="T291" s="805">
        <f>VLOOKUP($E291,[2]tropical!$A$4:$AF$46,[2]tropical!P$1,FALSE)</f>
        <v>0</v>
      </c>
      <c r="U291" s="800">
        <f t="shared" si="4"/>
        <v>3</v>
      </c>
    </row>
    <row r="292" spans="1:21">
      <c r="A292" s="788">
        <v>8291</v>
      </c>
      <c r="B292" s="788" t="s">
        <v>1684</v>
      </c>
      <c r="C292" s="788">
        <v>382</v>
      </c>
      <c r="D292" s="788" t="s">
        <v>89</v>
      </c>
      <c r="E292" s="790" t="s">
        <v>1684</v>
      </c>
      <c r="F292" s="790" t="s">
        <v>2616</v>
      </c>
      <c r="G292" s="800">
        <f>VLOOKUP($E292,[2]tropical!$A$4:$AF$46,[2]tropical!C$1,FALSE)</f>
        <v>0</v>
      </c>
      <c r="H292" s="800">
        <f>VLOOKUP($E292,[2]tropical!$A$4:$AF$46,[2]tropical!D$1,FALSE)</f>
        <v>2</v>
      </c>
      <c r="I292" s="800">
        <f>VLOOKUP($E292,[2]tropical!$A$4:$AF$46,[2]tropical!E$1,FALSE)</f>
        <v>1</v>
      </c>
      <c r="J292" s="800">
        <f>VLOOKUP($E292,[2]tropical!$A$4:$AF$46,[2]tropical!F$1,FALSE)</f>
        <v>0</v>
      </c>
      <c r="K292" s="800">
        <f>VLOOKUP($E292,[2]tropical!$A$4:$AF$46,[2]tropical!G$1,FALSE)</f>
        <v>0</v>
      </c>
      <c r="L292" s="800">
        <f>VLOOKUP($E292,[2]tropical!$A$4:$AF$46,[2]tropical!H$1,FALSE)</f>
        <v>0</v>
      </c>
      <c r="M292" s="800">
        <f>VLOOKUP($E292,[2]tropical!$A$4:$AF$46,[2]tropical!I$1,FALSE)</f>
        <v>0</v>
      </c>
      <c r="N292" s="800">
        <f>VLOOKUP($E292,[2]tropical!$A$4:$AF$46,[2]tropical!J$1,FALSE)</f>
        <v>0</v>
      </c>
      <c r="O292" s="800">
        <f>VLOOKUP($E292,[2]tropical!$A$4:$AF$46,[2]tropical!K$1,FALSE)</f>
        <v>0</v>
      </c>
      <c r="P292" s="800">
        <f>VLOOKUP($E292,[2]tropical!$A$4:$AF$46,[2]tropical!L$1,FALSE)</f>
        <v>0</v>
      </c>
      <c r="Q292" s="800">
        <f>VLOOKUP($E292,[2]tropical!$A$4:$AF$46,[2]tropical!M$1,FALSE)</f>
        <v>0</v>
      </c>
      <c r="R292" s="805">
        <f>VLOOKUP($E292,[2]tropical!$A$4:$AF$46,[2]tropical!N$1,FALSE)</f>
        <v>0</v>
      </c>
      <c r="S292" s="805">
        <f>VLOOKUP($E292,[2]tropical!$A$4:$AF$46,[2]tropical!O$1,FALSE)</f>
        <v>0</v>
      </c>
      <c r="T292" s="805">
        <f>VLOOKUP($E292,[2]tropical!$A$4:$AF$46,[2]tropical!P$1,FALSE)</f>
        <v>0</v>
      </c>
      <c r="U292" s="800">
        <f t="shared" si="4"/>
        <v>3</v>
      </c>
    </row>
    <row r="293" spans="1:21">
      <c r="A293" s="788">
        <v>8292</v>
      </c>
      <c r="B293" s="788" t="s">
        <v>1686</v>
      </c>
      <c r="C293" s="788">
        <v>289</v>
      </c>
      <c r="D293" s="788" t="s">
        <v>81</v>
      </c>
      <c r="E293" s="790" t="s">
        <v>1274</v>
      </c>
      <c r="F293" s="790" t="s">
        <v>2616</v>
      </c>
      <c r="G293" s="800">
        <f>VLOOKUP($E293,[2]tropical!$A$4:$AF$46,[2]tropical!C$1,FALSE)</f>
        <v>0</v>
      </c>
      <c r="H293" s="800">
        <f>VLOOKUP($E293,[2]tropical!$A$4:$AF$46,[2]tropical!D$1,FALSE)</f>
        <v>0</v>
      </c>
      <c r="I293" s="800">
        <f>VLOOKUP($E293,[2]tropical!$A$4:$AF$46,[2]tropical!E$1,FALSE)</f>
        <v>0</v>
      </c>
      <c r="J293" s="800">
        <f>VLOOKUP($E293,[2]tropical!$A$4:$AF$46,[2]tropical!F$1,FALSE)</f>
        <v>0</v>
      </c>
      <c r="K293" s="800">
        <f>VLOOKUP($E293,[2]tropical!$A$4:$AF$46,[2]tropical!G$1,FALSE)</f>
        <v>1</v>
      </c>
      <c r="L293" s="800">
        <f>VLOOKUP($E293,[2]tropical!$A$4:$AF$46,[2]tropical!H$1,FALSE)</f>
        <v>0</v>
      </c>
      <c r="M293" s="800">
        <f>VLOOKUP($E293,[2]tropical!$A$4:$AF$46,[2]tropical!I$1,FALSE)</f>
        <v>0</v>
      </c>
      <c r="N293" s="800">
        <f>VLOOKUP($E293,[2]tropical!$A$4:$AF$46,[2]tropical!J$1,FALSE)</f>
        <v>0</v>
      </c>
      <c r="O293" s="800">
        <f>VLOOKUP($E293,[2]tropical!$A$4:$AF$46,[2]tropical!K$1,FALSE)</f>
        <v>1</v>
      </c>
      <c r="P293" s="800">
        <f>VLOOKUP($E293,[2]tropical!$A$4:$AF$46,[2]tropical!L$1,FALSE)</f>
        <v>0</v>
      </c>
      <c r="Q293" s="800">
        <f>VLOOKUP($E293,[2]tropical!$A$4:$AF$46,[2]tropical!M$1,FALSE)</f>
        <v>0</v>
      </c>
      <c r="R293" s="805">
        <f>VLOOKUP($E293,[2]tropical!$A$4:$AF$46,[2]tropical!N$1,FALSE)</f>
        <v>0</v>
      </c>
      <c r="S293" s="805">
        <f>VLOOKUP($E293,[2]tropical!$A$4:$AF$46,[2]tropical!O$1,FALSE)</f>
        <v>0</v>
      </c>
      <c r="T293" s="805">
        <f>VLOOKUP($E293,[2]tropical!$A$4:$AF$46,[2]tropical!P$1,FALSE)</f>
        <v>0</v>
      </c>
      <c r="U293" s="800">
        <f t="shared" si="4"/>
        <v>2</v>
      </c>
    </row>
    <row r="294" spans="1:21">
      <c r="A294" s="788">
        <v>8293</v>
      </c>
      <c r="B294" s="788" t="s">
        <v>1690</v>
      </c>
      <c r="C294" s="788">
        <v>1123</v>
      </c>
      <c r="D294" s="788" t="s">
        <v>84</v>
      </c>
      <c r="E294" s="790" t="s">
        <v>1105</v>
      </c>
      <c r="F294" s="790" t="s">
        <v>2617</v>
      </c>
      <c r="G294" s="800">
        <f>VLOOKUP($E294,[2]tropical!$A$4:$AF$46,[2]tropical!C$1,FALSE)</f>
        <v>0</v>
      </c>
      <c r="H294" s="800">
        <f>VLOOKUP($E294,[2]tropical!$A$4:$AF$46,[2]tropical!D$1,FALSE)</f>
        <v>0</v>
      </c>
      <c r="I294" s="800">
        <f>VLOOKUP($E294,[2]tropical!$A$4:$AF$46,[2]tropical!E$1,FALSE)</f>
        <v>0</v>
      </c>
      <c r="J294" s="800">
        <f>VLOOKUP($E294,[2]tropical!$A$4:$AF$46,[2]tropical!F$1,FALSE)</f>
        <v>0</v>
      </c>
      <c r="K294" s="800">
        <f>VLOOKUP($E294,[2]tropical!$A$4:$AF$46,[2]tropical!G$1,FALSE)</f>
        <v>0</v>
      </c>
      <c r="L294" s="800">
        <f>VLOOKUP($E294,[2]tropical!$A$4:$AF$46,[2]tropical!H$1,FALSE)</f>
        <v>0</v>
      </c>
      <c r="M294" s="800">
        <f>VLOOKUP($E294,[2]tropical!$A$4:$AF$46,[2]tropical!I$1,FALSE)</f>
        <v>0</v>
      </c>
      <c r="N294" s="800">
        <f>VLOOKUP($E294,[2]tropical!$A$4:$AF$46,[2]tropical!J$1,FALSE)</f>
        <v>0</v>
      </c>
      <c r="O294" s="800">
        <f>VLOOKUP($E294,[2]tropical!$A$4:$AF$46,[2]tropical!K$1,FALSE)</f>
        <v>0</v>
      </c>
      <c r="P294" s="800">
        <f>VLOOKUP($E294,[2]tropical!$A$4:$AF$46,[2]tropical!L$1,FALSE)</f>
        <v>0</v>
      </c>
      <c r="Q294" s="800">
        <f>VLOOKUP($E294,[2]tropical!$A$4:$AF$46,[2]tropical!M$1,FALSE)</f>
        <v>0</v>
      </c>
      <c r="R294" s="805">
        <f>VLOOKUP($E294,[2]tropical!$A$4:$AF$46,[2]tropical!N$1,FALSE)</f>
        <v>0</v>
      </c>
      <c r="S294" s="805">
        <f>VLOOKUP($E294,[2]tropical!$A$4:$AF$46,[2]tropical!O$1,FALSE)</f>
        <v>0</v>
      </c>
      <c r="T294" s="805">
        <f>VLOOKUP($E294,[2]tropical!$A$4:$AF$46,[2]tropical!P$1,FALSE)</f>
        <v>0</v>
      </c>
      <c r="U294" s="800">
        <f t="shared" si="4"/>
        <v>0</v>
      </c>
    </row>
    <row r="295" spans="1:21">
      <c r="A295" s="788">
        <v>8294</v>
      </c>
      <c r="B295" s="788" t="s">
        <v>1692</v>
      </c>
      <c r="C295" s="788">
        <v>222</v>
      </c>
      <c r="D295" s="788" t="s">
        <v>24</v>
      </c>
      <c r="E295" s="790" t="s">
        <v>1743</v>
      </c>
      <c r="F295" s="790" t="s">
        <v>2616</v>
      </c>
      <c r="G295" s="800">
        <f>VLOOKUP($E295,[2]tropical!$A$4:$AF$46,[2]tropical!C$1,FALSE)</f>
        <v>0</v>
      </c>
      <c r="H295" s="800">
        <f>VLOOKUP($E295,[2]tropical!$A$4:$AF$46,[2]tropical!D$1,FALSE)</f>
        <v>0</v>
      </c>
      <c r="I295" s="800">
        <f>VLOOKUP($E295,[2]tropical!$A$4:$AF$46,[2]tropical!E$1,FALSE)</f>
        <v>2</v>
      </c>
      <c r="J295" s="800">
        <f>VLOOKUP($E295,[2]tropical!$A$4:$AF$46,[2]tropical!F$1,FALSE)</f>
        <v>0</v>
      </c>
      <c r="K295" s="800">
        <f>VLOOKUP($E295,[2]tropical!$A$4:$AF$46,[2]tropical!G$1,FALSE)</f>
        <v>0</v>
      </c>
      <c r="L295" s="800">
        <f>VLOOKUP($E295,[2]tropical!$A$4:$AF$46,[2]tropical!H$1,FALSE)</f>
        <v>0</v>
      </c>
      <c r="M295" s="800">
        <f>VLOOKUP($E295,[2]tropical!$A$4:$AF$46,[2]tropical!I$1,FALSE)</f>
        <v>0</v>
      </c>
      <c r="N295" s="800">
        <f>VLOOKUP($E295,[2]tropical!$A$4:$AF$46,[2]tropical!J$1,FALSE)</f>
        <v>0</v>
      </c>
      <c r="O295" s="800">
        <f>VLOOKUP($E295,[2]tropical!$A$4:$AF$46,[2]tropical!K$1,FALSE)</f>
        <v>0</v>
      </c>
      <c r="P295" s="800">
        <f>VLOOKUP($E295,[2]tropical!$A$4:$AF$46,[2]tropical!L$1,FALSE)</f>
        <v>0</v>
      </c>
      <c r="Q295" s="800">
        <f>VLOOKUP($E295,[2]tropical!$A$4:$AF$46,[2]tropical!M$1,FALSE)</f>
        <v>0</v>
      </c>
      <c r="R295" s="805">
        <f>VLOOKUP($E295,[2]tropical!$A$4:$AF$46,[2]tropical!N$1,FALSE)</f>
        <v>0</v>
      </c>
      <c r="S295" s="805">
        <f>VLOOKUP($E295,[2]tropical!$A$4:$AF$46,[2]tropical!O$1,FALSE)</f>
        <v>0</v>
      </c>
      <c r="T295" s="805">
        <f>VLOOKUP($E295,[2]tropical!$A$4:$AF$46,[2]tropical!P$1,FALSE)</f>
        <v>0</v>
      </c>
      <c r="U295" s="800">
        <f t="shared" si="4"/>
        <v>2</v>
      </c>
    </row>
    <row r="296" spans="1:21">
      <c r="A296" s="788">
        <v>8295</v>
      </c>
      <c r="B296" s="788" t="s">
        <v>1697</v>
      </c>
      <c r="C296" s="788">
        <v>177</v>
      </c>
      <c r="D296" s="788" t="s">
        <v>90</v>
      </c>
      <c r="E296" s="790" t="s">
        <v>1697</v>
      </c>
      <c r="F296" s="790" t="s">
        <v>2615</v>
      </c>
      <c r="G296" s="800">
        <f>VLOOKUP($E296,[2]tropical!$A$4:$AF$46,[2]tropical!C$1,FALSE)</f>
        <v>8</v>
      </c>
      <c r="H296" s="800">
        <f>VLOOKUP($E296,[2]tropical!$A$4:$AF$46,[2]tropical!D$1,FALSE)</f>
        <v>14</v>
      </c>
      <c r="I296" s="800">
        <f>VLOOKUP($E296,[2]tropical!$A$4:$AF$46,[2]tropical!E$1,FALSE)</f>
        <v>22</v>
      </c>
      <c r="J296" s="800">
        <f>VLOOKUP($E296,[2]tropical!$A$4:$AF$46,[2]tropical!F$1,FALSE)</f>
        <v>5</v>
      </c>
      <c r="K296" s="800">
        <f>VLOOKUP($E296,[2]tropical!$A$4:$AF$46,[2]tropical!G$1,FALSE)</f>
        <v>5</v>
      </c>
      <c r="L296" s="800">
        <f>VLOOKUP($E296,[2]tropical!$A$4:$AF$46,[2]tropical!H$1,FALSE)</f>
        <v>17</v>
      </c>
      <c r="M296" s="800">
        <f>VLOOKUP($E296,[2]tropical!$A$4:$AF$46,[2]tropical!I$1,FALSE)</f>
        <v>24</v>
      </c>
      <c r="N296" s="800">
        <f>VLOOKUP($E296,[2]tropical!$A$4:$AF$46,[2]tropical!J$1,FALSE)</f>
        <v>3</v>
      </c>
      <c r="O296" s="800">
        <f>VLOOKUP($E296,[2]tropical!$A$4:$AF$46,[2]tropical!K$1,FALSE)</f>
        <v>17</v>
      </c>
      <c r="P296" s="800">
        <f>VLOOKUP($E296,[2]tropical!$A$4:$AF$46,[2]tropical!L$1,FALSE)</f>
        <v>7</v>
      </c>
      <c r="Q296" s="800">
        <f>VLOOKUP($E296,[2]tropical!$A$4:$AF$46,[2]tropical!M$1,FALSE)</f>
        <v>3</v>
      </c>
      <c r="R296" s="805">
        <f>VLOOKUP($E296,[2]tropical!$A$4:$AF$46,[2]tropical!N$1,FALSE)</f>
        <v>0</v>
      </c>
      <c r="S296" s="805">
        <f>VLOOKUP($E296,[2]tropical!$A$4:$AF$46,[2]tropical!O$1,FALSE)</f>
        <v>0</v>
      </c>
      <c r="T296" s="805">
        <f>VLOOKUP($E296,[2]tropical!$A$4:$AF$46,[2]tropical!P$1,FALSE)</f>
        <v>0</v>
      </c>
      <c r="U296" s="800">
        <f t="shared" si="4"/>
        <v>125</v>
      </c>
    </row>
    <row r="297" spans="1:21">
      <c r="A297" s="788">
        <v>8296</v>
      </c>
      <c r="B297" s="788" t="s">
        <v>1700</v>
      </c>
      <c r="C297" s="788">
        <v>153</v>
      </c>
      <c r="D297" s="788" t="s">
        <v>24</v>
      </c>
      <c r="E297" s="790" t="s">
        <v>1743</v>
      </c>
      <c r="F297" s="790" t="s">
        <v>2616</v>
      </c>
      <c r="G297" s="800">
        <f>VLOOKUP($E297,[2]tropical!$A$4:$AF$46,[2]tropical!C$1,FALSE)</f>
        <v>0</v>
      </c>
      <c r="H297" s="800">
        <f>VLOOKUP($E297,[2]tropical!$A$4:$AF$46,[2]tropical!D$1,FALSE)</f>
        <v>0</v>
      </c>
      <c r="I297" s="800">
        <f>VLOOKUP($E297,[2]tropical!$A$4:$AF$46,[2]tropical!E$1,FALSE)</f>
        <v>2</v>
      </c>
      <c r="J297" s="800">
        <f>VLOOKUP($E297,[2]tropical!$A$4:$AF$46,[2]tropical!F$1,FALSE)</f>
        <v>0</v>
      </c>
      <c r="K297" s="800">
        <f>VLOOKUP($E297,[2]tropical!$A$4:$AF$46,[2]tropical!G$1,FALSE)</f>
        <v>0</v>
      </c>
      <c r="L297" s="800">
        <f>VLOOKUP($E297,[2]tropical!$A$4:$AF$46,[2]tropical!H$1,FALSE)</f>
        <v>0</v>
      </c>
      <c r="M297" s="800">
        <f>VLOOKUP($E297,[2]tropical!$A$4:$AF$46,[2]tropical!I$1,FALSE)</f>
        <v>0</v>
      </c>
      <c r="N297" s="800">
        <f>VLOOKUP($E297,[2]tropical!$A$4:$AF$46,[2]tropical!J$1,FALSE)</f>
        <v>0</v>
      </c>
      <c r="O297" s="800">
        <f>VLOOKUP($E297,[2]tropical!$A$4:$AF$46,[2]tropical!K$1,FALSE)</f>
        <v>0</v>
      </c>
      <c r="P297" s="800">
        <f>VLOOKUP($E297,[2]tropical!$A$4:$AF$46,[2]tropical!L$1,FALSE)</f>
        <v>0</v>
      </c>
      <c r="Q297" s="800">
        <f>VLOOKUP($E297,[2]tropical!$A$4:$AF$46,[2]tropical!M$1,FALSE)</f>
        <v>0</v>
      </c>
      <c r="R297" s="805">
        <f>VLOOKUP($E297,[2]tropical!$A$4:$AF$46,[2]tropical!N$1,FALSE)</f>
        <v>0</v>
      </c>
      <c r="S297" s="805">
        <f>VLOOKUP($E297,[2]tropical!$A$4:$AF$46,[2]tropical!O$1,FALSE)</f>
        <v>0</v>
      </c>
      <c r="T297" s="805">
        <f>VLOOKUP($E297,[2]tropical!$A$4:$AF$46,[2]tropical!P$1,FALSE)</f>
        <v>0</v>
      </c>
      <c r="U297" s="800">
        <f t="shared" si="4"/>
        <v>2</v>
      </c>
    </row>
    <row r="298" spans="1:21">
      <c r="A298" s="788">
        <v>8297</v>
      </c>
      <c r="B298" s="788" t="s">
        <v>1702</v>
      </c>
      <c r="C298" s="788">
        <v>564</v>
      </c>
      <c r="D298" s="788" t="s">
        <v>81</v>
      </c>
      <c r="E298" s="790" t="s">
        <v>1274</v>
      </c>
      <c r="F298" s="790" t="s">
        <v>2616</v>
      </c>
      <c r="G298" s="800">
        <f>VLOOKUP($E298,[2]tropical!$A$4:$AF$46,[2]tropical!C$1,FALSE)</f>
        <v>0</v>
      </c>
      <c r="H298" s="800">
        <f>VLOOKUP($E298,[2]tropical!$A$4:$AF$46,[2]tropical!D$1,FALSE)</f>
        <v>0</v>
      </c>
      <c r="I298" s="800">
        <f>VLOOKUP($E298,[2]tropical!$A$4:$AF$46,[2]tropical!E$1,FALSE)</f>
        <v>0</v>
      </c>
      <c r="J298" s="800">
        <f>VLOOKUP($E298,[2]tropical!$A$4:$AF$46,[2]tropical!F$1,FALSE)</f>
        <v>0</v>
      </c>
      <c r="K298" s="800">
        <f>VLOOKUP($E298,[2]tropical!$A$4:$AF$46,[2]tropical!G$1,FALSE)</f>
        <v>1</v>
      </c>
      <c r="L298" s="800">
        <f>VLOOKUP($E298,[2]tropical!$A$4:$AF$46,[2]tropical!H$1,FALSE)</f>
        <v>0</v>
      </c>
      <c r="M298" s="800">
        <f>VLOOKUP($E298,[2]tropical!$A$4:$AF$46,[2]tropical!I$1,FALSE)</f>
        <v>0</v>
      </c>
      <c r="N298" s="800">
        <f>VLOOKUP($E298,[2]tropical!$A$4:$AF$46,[2]tropical!J$1,FALSE)</f>
        <v>0</v>
      </c>
      <c r="O298" s="800">
        <f>VLOOKUP($E298,[2]tropical!$A$4:$AF$46,[2]tropical!K$1,FALSE)</f>
        <v>1</v>
      </c>
      <c r="P298" s="800">
        <f>VLOOKUP($E298,[2]tropical!$A$4:$AF$46,[2]tropical!L$1,FALSE)</f>
        <v>0</v>
      </c>
      <c r="Q298" s="800">
        <f>VLOOKUP($E298,[2]tropical!$A$4:$AF$46,[2]tropical!M$1,FALSE)</f>
        <v>0</v>
      </c>
      <c r="R298" s="805">
        <f>VLOOKUP($E298,[2]tropical!$A$4:$AF$46,[2]tropical!N$1,FALSE)</f>
        <v>0</v>
      </c>
      <c r="S298" s="805">
        <f>VLOOKUP($E298,[2]tropical!$A$4:$AF$46,[2]tropical!O$1,FALSE)</f>
        <v>0</v>
      </c>
      <c r="T298" s="805">
        <f>VLOOKUP($E298,[2]tropical!$A$4:$AF$46,[2]tropical!P$1,FALSE)</f>
        <v>0</v>
      </c>
      <c r="U298" s="800">
        <f t="shared" si="4"/>
        <v>2</v>
      </c>
    </row>
    <row r="299" spans="1:21">
      <c r="A299" s="788">
        <v>8298</v>
      </c>
      <c r="B299" s="788" t="s">
        <v>815</v>
      </c>
      <c r="C299" s="788">
        <v>484</v>
      </c>
      <c r="D299" s="788" t="s">
        <v>88</v>
      </c>
      <c r="E299" s="790" t="s">
        <v>1127</v>
      </c>
      <c r="F299" s="790" t="s">
        <v>2617</v>
      </c>
      <c r="G299" s="800">
        <f>VLOOKUP($E299,[2]tropical!$A$4:$AF$46,[2]tropical!C$1,FALSE)</f>
        <v>0</v>
      </c>
      <c r="H299" s="800">
        <f>VLOOKUP($E299,[2]tropical!$A$4:$AF$46,[2]tropical!D$1,FALSE)</f>
        <v>0</v>
      </c>
      <c r="I299" s="800">
        <f>VLOOKUP($E299,[2]tropical!$A$4:$AF$46,[2]tropical!E$1,FALSE)</f>
        <v>0</v>
      </c>
      <c r="J299" s="800">
        <f>VLOOKUP($E299,[2]tropical!$A$4:$AF$46,[2]tropical!F$1,FALSE)</f>
        <v>0</v>
      </c>
      <c r="K299" s="800">
        <f>VLOOKUP($E299,[2]tropical!$A$4:$AF$46,[2]tropical!G$1,FALSE)</f>
        <v>0</v>
      </c>
      <c r="L299" s="800">
        <f>VLOOKUP($E299,[2]tropical!$A$4:$AF$46,[2]tropical!H$1,FALSE)</f>
        <v>0</v>
      </c>
      <c r="M299" s="800">
        <f>VLOOKUP($E299,[2]tropical!$A$4:$AF$46,[2]tropical!I$1,FALSE)</f>
        <v>0</v>
      </c>
      <c r="N299" s="800">
        <f>VLOOKUP($E299,[2]tropical!$A$4:$AF$46,[2]tropical!J$1,FALSE)</f>
        <v>0</v>
      </c>
      <c r="O299" s="800">
        <f>VLOOKUP($E299,[2]tropical!$A$4:$AF$46,[2]tropical!K$1,FALSE)</f>
        <v>0</v>
      </c>
      <c r="P299" s="800">
        <f>VLOOKUP($E299,[2]tropical!$A$4:$AF$46,[2]tropical!L$1,FALSE)</f>
        <v>0</v>
      </c>
      <c r="Q299" s="800">
        <f>VLOOKUP($E299,[2]tropical!$A$4:$AF$46,[2]tropical!M$1,FALSE)</f>
        <v>0</v>
      </c>
      <c r="R299" s="805">
        <f>VLOOKUP($E299,[2]tropical!$A$4:$AF$46,[2]tropical!N$1,FALSE)</f>
        <v>0</v>
      </c>
      <c r="S299" s="805">
        <f>VLOOKUP($E299,[2]tropical!$A$4:$AF$46,[2]tropical!O$1,FALSE)</f>
        <v>0</v>
      </c>
      <c r="T299" s="805">
        <f>VLOOKUP($E299,[2]tropical!$A$4:$AF$46,[2]tropical!P$1,FALSE)</f>
        <v>0</v>
      </c>
      <c r="U299" s="800">
        <f t="shared" si="4"/>
        <v>0</v>
      </c>
    </row>
    <row r="300" spans="1:21">
      <c r="A300" s="788">
        <v>8299</v>
      </c>
      <c r="B300" s="788" t="s">
        <v>1708</v>
      </c>
      <c r="C300" s="788">
        <v>757</v>
      </c>
      <c r="D300" s="788" t="s">
        <v>84</v>
      </c>
      <c r="E300" s="790" t="s">
        <v>1125</v>
      </c>
      <c r="F300" s="790" t="s">
        <v>2617</v>
      </c>
      <c r="G300" s="800">
        <f>VLOOKUP($E300,[2]tropical!$A$4:$AF$46,[2]tropical!C$1,FALSE)</f>
        <v>0</v>
      </c>
      <c r="H300" s="800">
        <f>VLOOKUP($E300,[2]tropical!$A$4:$AF$46,[2]tropical!D$1,FALSE)</f>
        <v>0</v>
      </c>
      <c r="I300" s="800">
        <f>VLOOKUP($E300,[2]tropical!$A$4:$AF$46,[2]tropical!E$1,FALSE)</f>
        <v>0</v>
      </c>
      <c r="J300" s="800">
        <f>VLOOKUP($E300,[2]tropical!$A$4:$AF$46,[2]tropical!F$1,FALSE)</f>
        <v>0</v>
      </c>
      <c r="K300" s="800">
        <f>VLOOKUP($E300,[2]tropical!$A$4:$AF$46,[2]tropical!G$1,FALSE)</f>
        <v>0</v>
      </c>
      <c r="L300" s="800">
        <f>VLOOKUP($E300,[2]tropical!$A$4:$AF$46,[2]tropical!H$1,FALSE)</f>
        <v>0</v>
      </c>
      <c r="M300" s="800">
        <f>VLOOKUP($E300,[2]tropical!$A$4:$AF$46,[2]tropical!I$1,FALSE)</f>
        <v>0</v>
      </c>
      <c r="N300" s="800">
        <f>VLOOKUP($E300,[2]tropical!$A$4:$AF$46,[2]tropical!J$1,FALSE)</f>
        <v>0</v>
      </c>
      <c r="O300" s="800">
        <f>VLOOKUP($E300,[2]tropical!$A$4:$AF$46,[2]tropical!K$1,FALSE)</f>
        <v>0</v>
      </c>
      <c r="P300" s="800">
        <f>VLOOKUP($E300,[2]tropical!$A$4:$AF$46,[2]tropical!L$1,FALSE)</f>
        <v>0</v>
      </c>
      <c r="Q300" s="800">
        <f>VLOOKUP($E300,[2]tropical!$A$4:$AF$46,[2]tropical!M$1,FALSE)</f>
        <v>0</v>
      </c>
      <c r="R300" s="805">
        <f>VLOOKUP($E300,[2]tropical!$A$4:$AF$46,[2]tropical!N$1,FALSE)</f>
        <v>0</v>
      </c>
      <c r="S300" s="805">
        <f>VLOOKUP($E300,[2]tropical!$A$4:$AF$46,[2]tropical!O$1,FALSE)</f>
        <v>0</v>
      </c>
      <c r="T300" s="805">
        <f>VLOOKUP($E300,[2]tropical!$A$4:$AF$46,[2]tropical!P$1,FALSE)</f>
        <v>0</v>
      </c>
      <c r="U300" s="800">
        <f t="shared" si="4"/>
        <v>0</v>
      </c>
    </row>
    <row r="301" spans="1:21">
      <c r="A301" s="788">
        <v>8300</v>
      </c>
      <c r="B301" s="788" t="s">
        <v>1710</v>
      </c>
      <c r="C301" s="788">
        <v>274</v>
      </c>
      <c r="D301" s="788" t="s">
        <v>89</v>
      </c>
      <c r="E301" s="790" t="s">
        <v>1684</v>
      </c>
      <c r="F301" s="790" t="s">
        <v>2616</v>
      </c>
      <c r="G301" s="800">
        <f>VLOOKUP($E301,[2]tropical!$A$4:$AF$46,[2]tropical!C$1,FALSE)</f>
        <v>0</v>
      </c>
      <c r="H301" s="800">
        <f>VLOOKUP($E301,[2]tropical!$A$4:$AF$46,[2]tropical!D$1,FALSE)</f>
        <v>2</v>
      </c>
      <c r="I301" s="800">
        <f>VLOOKUP($E301,[2]tropical!$A$4:$AF$46,[2]tropical!E$1,FALSE)</f>
        <v>1</v>
      </c>
      <c r="J301" s="800">
        <f>VLOOKUP($E301,[2]tropical!$A$4:$AF$46,[2]tropical!F$1,FALSE)</f>
        <v>0</v>
      </c>
      <c r="K301" s="800">
        <f>VLOOKUP($E301,[2]tropical!$A$4:$AF$46,[2]tropical!G$1,FALSE)</f>
        <v>0</v>
      </c>
      <c r="L301" s="800">
        <f>VLOOKUP($E301,[2]tropical!$A$4:$AF$46,[2]tropical!H$1,FALSE)</f>
        <v>0</v>
      </c>
      <c r="M301" s="800">
        <f>VLOOKUP($E301,[2]tropical!$A$4:$AF$46,[2]tropical!I$1,FALSE)</f>
        <v>0</v>
      </c>
      <c r="N301" s="800">
        <f>VLOOKUP($E301,[2]tropical!$A$4:$AF$46,[2]tropical!J$1,FALSE)</f>
        <v>0</v>
      </c>
      <c r="O301" s="800">
        <f>VLOOKUP($E301,[2]tropical!$A$4:$AF$46,[2]tropical!K$1,FALSE)</f>
        <v>0</v>
      </c>
      <c r="P301" s="800">
        <f>VLOOKUP($E301,[2]tropical!$A$4:$AF$46,[2]tropical!L$1,FALSE)</f>
        <v>0</v>
      </c>
      <c r="Q301" s="800">
        <f>VLOOKUP($E301,[2]tropical!$A$4:$AF$46,[2]tropical!M$1,FALSE)</f>
        <v>0</v>
      </c>
      <c r="R301" s="805">
        <f>VLOOKUP($E301,[2]tropical!$A$4:$AF$46,[2]tropical!N$1,FALSE)</f>
        <v>0</v>
      </c>
      <c r="S301" s="805">
        <f>VLOOKUP($E301,[2]tropical!$A$4:$AF$46,[2]tropical!O$1,FALSE)</f>
        <v>0</v>
      </c>
      <c r="T301" s="805">
        <f>VLOOKUP($E301,[2]tropical!$A$4:$AF$46,[2]tropical!P$1,FALSE)</f>
        <v>0</v>
      </c>
      <c r="U301" s="800">
        <f t="shared" si="4"/>
        <v>3</v>
      </c>
    </row>
    <row r="302" spans="1:21">
      <c r="A302" s="788">
        <v>8301</v>
      </c>
      <c r="B302" s="788" t="s">
        <v>357</v>
      </c>
      <c r="C302" s="788">
        <v>18</v>
      </c>
      <c r="D302" s="788" t="s">
        <v>90</v>
      </c>
      <c r="E302" s="790" t="s">
        <v>357</v>
      </c>
      <c r="F302" s="790" t="s">
        <v>2615</v>
      </c>
      <c r="G302" s="800">
        <f>VLOOKUP($E302,[2]tropical!$A$4:$AF$46,[2]tropical!C$1,FALSE)</f>
        <v>33</v>
      </c>
      <c r="H302" s="800">
        <f>VLOOKUP($E302,[2]tropical!$A$4:$AF$46,[2]tropical!D$1,FALSE)</f>
        <v>25</v>
      </c>
      <c r="I302" s="800">
        <f>VLOOKUP($E302,[2]tropical!$A$4:$AF$46,[2]tropical!E$1,FALSE)</f>
        <v>28</v>
      </c>
      <c r="J302" s="800">
        <f>VLOOKUP($E302,[2]tropical!$A$4:$AF$46,[2]tropical!F$1,FALSE)</f>
        <v>10</v>
      </c>
      <c r="K302" s="800">
        <f>VLOOKUP($E302,[2]tropical!$A$4:$AF$46,[2]tropical!G$1,FALSE)</f>
        <v>21</v>
      </c>
      <c r="L302" s="800">
        <f>VLOOKUP($E302,[2]tropical!$A$4:$AF$46,[2]tropical!H$1,FALSE)</f>
        <v>36</v>
      </c>
      <c r="M302" s="800">
        <f>VLOOKUP($E302,[2]tropical!$A$4:$AF$46,[2]tropical!I$1,FALSE)</f>
        <v>23</v>
      </c>
      <c r="N302" s="800">
        <f>VLOOKUP($E302,[2]tropical!$A$4:$AF$46,[2]tropical!J$1,FALSE)</f>
        <v>16</v>
      </c>
      <c r="O302" s="800">
        <f>VLOOKUP($E302,[2]tropical!$A$4:$AF$46,[2]tropical!K$1,FALSE)</f>
        <v>22</v>
      </c>
      <c r="P302" s="800">
        <f>VLOOKUP($E302,[2]tropical!$A$4:$AF$46,[2]tropical!L$1,FALSE)</f>
        <v>19</v>
      </c>
      <c r="Q302" s="800">
        <f>VLOOKUP($E302,[2]tropical!$A$4:$AF$46,[2]tropical!M$1,FALSE)</f>
        <v>13</v>
      </c>
      <c r="R302" s="805">
        <f>VLOOKUP($E302,[2]tropical!$A$4:$AF$46,[2]tropical!N$1,FALSE)</f>
        <v>0</v>
      </c>
      <c r="S302" s="805">
        <f>VLOOKUP($E302,[2]tropical!$A$4:$AF$46,[2]tropical!O$1,FALSE)</f>
        <v>0</v>
      </c>
      <c r="T302" s="805">
        <f>VLOOKUP($E302,[2]tropical!$A$4:$AF$46,[2]tropical!P$1,FALSE)</f>
        <v>0</v>
      </c>
      <c r="U302" s="800">
        <f t="shared" si="4"/>
        <v>246</v>
      </c>
    </row>
    <row r="303" spans="1:21">
      <c r="A303" s="788">
        <v>8302</v>
      </c>
      <c r="B303" s="788" t="s">
        <v>1718</v>
      </c>
      <c r="C303" s="788">
        <v>302</v>
      </c>
      <c r="D303" s="788" t="s">
        <v>81</v>
      </c>
      <c r="E303" s="790" t="s">
        <v>1274</v>
      </c>
      <c r="F303" s="790" t="s">
        <v>2616</v>
      </c>
      <c r="G303" s="800">
        <f>VLOOKUP($E303,[2]tropical!$A$4:$AF$46,[2]tropical!C$1,FALSE)</f>
        <v>0</v>
      </c>
      <c r="H303" s="800">
        <f>VLOOKUP($E303,[2]tropical!$A$4:$AF$46,[2]tropical!D$1,FALSE)</f>
        <v>0</v>
      </c>
      <c r="I303" s="800">
        <f>VLOOKUP($E303,[2]tropical!$A$4:$AF$46,[2]tropical!E$1,FALSE)</f>
        <v>0</v>
      </c>
      <c r="J303" s="800">
        <f>VLOOKUP($E303,[2]tropical!$A$4:$AF$46,[2]tropical!F$1,FALSE)</f>
        <v>0</v>
      </c>
      <c r="K303" s="800">
        <f>VLOOKUP($E303,[2]tropical!$A$4:$AF$46,[2]tropical!G$1,FALSE)</f>
        <v>1</v>
      </c>
      <c r="L303" s="800">
        <f>VLOOKUP($E303,[2]tropical!$A$4:$AF$46,[2]tropical!H$1,FALSE)</f>
        <v>0</v>
      </c>
      <c r="M303" s="800">
        <f>VLOOKUP($E303,[2]tropical!$A$4:$AF$46,[2]tropical!I$1,FALSE)</f>
        <v>0</v>
      </c>
      <c r="N303" s="800">
        <f>VLOOKUP($E303,[2]tropical!$A$4:$AF$46,[2]tropical!J$1,FALSE)</f>
        <v>0</v>
      </c>
      <c r="O303" s="800">
        <f>VLOOKUP($E303,[2]tropical!$A$4:$AF$46,[2]tropical!K$1,FALSE)</f>
        <v>1</v>
      </c>
      <c r="P303" s="800">
        <f>VLOOKUP($E303,[2]tropical!$A$4:$AF$46,[2]tropical!L$1,FALSE)</f>
        <v>0</v>
      </c>
      <c r="Q303" s="800">
        <f>VLOOKUP($E303,[2]tropical!$A$4:$AF$46,[2]tropical!M$1,FALSE)</f>
        <v>0</v>
      </c>
      <c r="R303" s="805">
        <f>VLOOKUP($E303,[2]tropical!$A$4:$AF$46,[2]tropical!N$1,FALSE)</f>
        <v>0</v>
      </c>
      <c r="S303" s="805">
        <f>VLOOKUP($E303,[2]tropical!$A$4:$AF$46,[2]tropical!O$1,FALSE)</f>
        <v>0</v>
      </c>
      <c r="T303" s="805">
        <f>VLOOKUP($E303,[2]tropical!$A$4:$AF$46,[2]tropical!P$1,FALSE)</f>
        <v>0</v>
      </c>
      <c r="U303" s="800">
        <f t="shared" si="4"/>
        <v>2</v>
      </c>
    </row>
    <row r="304" spans="1:21">
      <c r="A304" s="788">
        <v>8303</v>
      </c>
      <c r="B304" s="788" t="s">
        <v>1722</v>
      </c>
      <c r="C304" s="788">
        <v>558</v>
      </c>
      <c r="D304" s="788" t="s">
        <v>88</v>
      </c>
      <c r="E304" s="790" t="s">
        <v>1127</v>
      </c>
      <c r="F304" s="790" t="s">
        <v>2617</v>
      </c>
      <c r="G304" s="800">
        <f>VLOOKUP($E304,[2]tropical!$A$4:$AF$46,[2]tropical!C$1,FALSE)</f>
        <v>0</v>
      </c>
      <c r="H304" s="800">
        <f>VLOOKUP($E304,[2]tropical!$A$4:$AF$46,[2]tropical!D$1,FALSE)</f>
        <v>0</v>
      </c>
      <c r="I304" s="800">
        <f>VLOOKUP($E304,[2]tropical!$A$4:$AF$46,[2]tropical!E$1,FALSE)</f>
        <v>0</v>
      </c>
      <c r="J304" s="800">
        <f>VLOOKUP($E304,[2]tropical!$A$4:$AF$46,[2]tropical!F$1,FALSE)</f>
        <v>0</v>
      </c>
      <c r="K304" s="800">
        <f>VLOOKUP($E304,[2]tropical!$A$4:$AF$46,[2]tropical!G$1,FALSE)</f>
        <v>0</v>
      </c>
      <c r="L304" s="800">
        <f>VLOOKUP($E304,[2]tropical!$A$4:$AF$46,[2]tropical!H$1,FALSE)</f>
        <v>0</v>
      </c>
      <c r="M304" s="800">
        <f>VLOOKUP($E304,[2]tropical!$A$4:$AF$46,[2]tropical!I$1,FALSE)</f>
        <v>0</v>
      </c>
      <c r="N304" s="800">
        <f>VLOOKUP($E304,[2]tropical!$A$4:$AF$46,[2]tropical!J$1,FALSE)</f>
        <v>0</v>
      </c>
      <c r="O304" s="800">
        <f>VLOOKUP($E304,[2]tropical!$A$4:$AF$46,[2]tropical!K$1,FALSE)</f>
        <v>0</v>
      </c>
      <c r="P304" s="800">
        <f>VLOOKUP($E304,[2]tropical!$A$4:$AF$46,[2]tropical!L$1,FALSE)</f>
        <v>0</v>
      </c>
      <c r="Q304" s="800">
        <f>VLOOKUP($E304,[2]tropical!$A$4:$AF$46,[2]tropical!M$1,FALSE)</f>
        <v>0</v>
      </c>
      <c r="R304" s="805">
        <f>VLOOKUP($E304,[2]tropical!$A$4:$AF$46,[2]tropical!N$1,FALSE)</f>
        <v>0</v>
      </c>
      <c r="S304" s="805">
        <f>VLOOKUP($E304,[2]tropical!$A$4:$AF$46,[2]tropical!O$1,FALSE)</f>
        <v>0</v>
      </c>
      <c r="T304" s="805">
        <f>VLOOKUP($E304,[2]tropical!$A$4:$AF$46,[2]tropical!P$1,FALSE)</f>
        <v>0</v>
      </c>
      <c r="U304" s="800">
        <f t="shared" si="4"/>
        <v>0</v>
      </c>
    </row>
    <row r="305" spans="1:21">
      <c r="A305" s="788">
        <v>8304</v>
      </c>
      <c r="B305" s="788" t="s">
        <v>1728</v>
      </c>
      <c r="C305" s="788">
        <v>286</v>
      </c>
      <c r="D305" s="788" t="s">
        <v>791</v>
      </c>
      <c r="E305" s="790" t="s">
        <v>1506</v>
      </c>
      <c r="F305" s="790" t="s">
        <v>2616</v>
      </c>
      <c r="G305" s="800">
        <f>VLOOKUP($E305,[2]tropical!$A$4:$AF$46,[2]tropical!C$1,FALSE)</f>
        <v>1</v>
      </c>
      <c r="H305" s="800">
        <f>VLOOKUP($E305,[2]tropical!$A$4:$AF$46,[2]tropical!D$1,FALSE)</f>
        <v>1</v>
      </c>
      <c r="I305" s="800">
        <f>VLOOKUP($E305,[2]tropical!$A$4:$AF$46,[2]tropical!E$1,FALSE)</f>
        <v>3</v>
      </c>
      <c r="J305" s="800">
        <f>VLOOKUP($E305,[2]tropical!$A$4:$AF$46,[2]tropical!F$1,FALSE)</f>
        <v>2</v>
      </c>
      <c r="K305" s="800">
        <f>VLOOKUP($E305,[2]tropical!$A$4:$AF$46,[2]tropical!G$1,FALSE)</f>
        <v>1</v>
      </c>
      <c r="L305" s="800">
        <f>VLOOKUP($E305,[2]tropical!$A$4:$AF$46,[2]tropical!H$1,FALSE)</f>
        <v>1</v>
      </c>
      <c r="M305" s="800">
        <f>VLOOKUP($E305,[2]tropical!$A$4:$AF$46,[2]tropical!I$1,FALSE)</f>
        <v>0</v>
      </c>
      <c r="N305" s="800">
        <f>VLOOKUP($E305,[2]tropical!$A$4:$AF$46,[2]tropical!J$1,FALSE)</f>
        <v>0</v>
      </c>
      <c r="O305" s="800">
        <f>VLOOKUP($E305,[2]tropical!$A$4:$AF$46,[2]tropical!K$1,FALSE)</f>
        <v>1</v>
      </c>
      <c r="P305" s="800">
        <f>VLOOKUP($E305,[2]tropical!$A$4:$AF$46,[2]tropical!L$1,FALSE)</f>
        <v>0</v>
      </c>
      <c r="Q305" s="800">
        <f>VLOOKUP($E305,[2]tropical!$A$4:$AF$46,[2]tropical!M$1,FALSE)</f>
        <v>0</v>
      </c>
      <c r="R305" s="805">
        <f>VLOOKUP($E305,[2]tropical!$A$4:$AF$46,[2]tropical!N$1,FALSE)</f>
        <v>0</v>
      </c>
      <c r="S305" s="805">
        <f>VLOOKUP($E305,[2]tropical!$A$4:$AF$46,[2]tropical!O$1,FALSE)</f>
        <v>0</v>
      </c>
      <c r="T305" s="805">
        <f>VLOOKUP($E305,[2]tropical!$A$4:$AF$46,[2]tropical!P$1,FALSE)</f>
        <v>0</v>
      </c>
      <c r="U305" s="800">
        <f t="shared" si="4"/>
        <v>10</v>
      </c>
    </row>
    <row r="306" spans="1:21">
      <c r="A306" s="788">
        <v>8305</v>
      </c>
      <c r="B306" s="788" t="s">
        <v>1729</v>
      </c>
      <c r="C306" s="788">
        <v>223</v>
      </c>
      <c r="D306" s="788" t="s">
        <v>791</v>
      </c>
      <c r="E306" s="790" t="s">
        <v>2607</v>
      </c>
      <c r="F306" s="790" t="s">
        <v>2615</v>
      </c>
      <c r="G306" s="800">
        <f>VLOOKUP($E306,[2]tropical!$A$4:$AF$46,[2]tropical!C$1,FALSE)</f>
        <v>0</v>
      </c>
      <c r="H306" s="800">
        <f>VLOOKUP($E306,[2]tropical!$A$4:$AF$46,[2]tropical!D$1,FALSE)</f>
        <v>3</v>
      </c>
      <c r="I306" s="800">
        <f>VLOOKUP($E306,[2]tropical!$A$4:$AF$46,[2]tropical!E$1,FALSE)</f>
        <v>2</v>
      </c>
      <c r="J306" s="800">
        <f>VLOOKUP($E306,[2]tropical!$A$4:$AF$46,[2]tropical!F$1,FALSE)</f>
        <v>0</v>
      </c>
      <c r="K306" s="800">
        <f>VLOOKUP($E306,[2]tropical!$A$4:$AF$46,[2]tropical!G$1,FALSE)</f>
        <v>1</v>
      </c>
      <c r="L306" s="800">
        <f>VLOOKUP($E306,[2]tropical!$A$4:$AF$46,[2]tropical!H$1,FALSE)</f>
        <v>1</v>
      </c>
      <c r="M306" s="800">
        <f>VLOOKUP($E306,[2]tropical!$A$4:$AF$46,[2]tropical!I$1,FALSE)</f>
        <v>1</v>
      </c>
      <c r="N306" s="800">
        <f>VLOOKUP($E306,[2]tropical!$A$4:$AF$46,[2]tropical!J$1,FALSE)</f>
        <v>1</v>
      </c>
      <c r="O306" s="800">
        <f>VLOOKUP($E306,[2]tropical!$A$4:$AF$46,[2]tropical!K$1,FALSE)</f>
        <v>1</v>
      </c>
      <c r="P306" s="800">
        <f>VLOOKUP($E306,[2]tropical!$A$4:$AF$46,[2]tropical!L$1,FALSE)</f>
        <v>0</v>
      </c>
      <c r="Q306" s="800">
        <f>VLOOKUP($E306,[2]tropical!$A$4:$AF$46,[2]tropical!M$1,FALSE)</f>
        <v>0</v>
      </c>
      <c r="R306" s="805">
        <f>VLOOKUP($E306,[2]tropical!$A$4:$AF$46,[2]tropical!N$1,FALSE)</f>
        <v>0</v>
      </c>
      <c r="S306" s="805">
        <f>VLOOKUP($E306,[2]tropical!$A$4:$AF$46,[2]tropical!O$1,FALSE)</f>
        <v>0</v>
      </c>
      <c r="T306" s="805">
        <f>VLOOKUP($E306,[2]tropical!$A$4:$AF$46,[2]tropical!P$1,FALSE)</f>
        <v>0</v>
      </c>
      <c r="U306" s="800">
        <f t="shared" si="4"/>
        <v>10</v>
      </c>
    </row>
    <row r="307" spans="1:21">
      <c r="A307" s="788">
        <v>8306</v>
      </c>
      <c r="B307" s="788" t="s">
        <v>1730</v>
      </c>
      <c r="C307" s="788">
        <v>200</v>
      </c>
      <c r="D307" s="788" t="s">
        <v>24</v>
      </c>
      <c r="E307" s="790" t="s">
        <v>1743</v>
      </c>
      <c r="F307" s="790" t="s">
        <v>2616</v>
      </c>
      <c r="G307" s="800">
        <f>VLOOKUP($E307,[2]tropical!$A$4:$AF$46,[2]tropical!C$1,FALSE)</f>
        <v>0</v>
      </c>
      <c r="H307" s="800">
        <f>VLOOKUP($E307,[2]tropical!$A$4:$AF$46,[2]tropical!D$1,FALSE)</f>
        <v>0</v>
      </c>
      <c r="I307" s="800">
        <f>VLOOKUP($E307,[2]tropical!$A$4:$AF$46,[2]tropical!E$1,FALSE)</f>
        <v>2</v>
      </c>
      <c r="J307" s="800">
        <f>VLOOKUP($E307,[2]tropical!$A$4:$AF$46,[2]tropical!F$1,FALSE)</f>
        <v>0</v>
      </c>
      <c r="K307" s="800">
        <f>VLOOKUP($E307,[2]tropical!$A$4:$AF$46,[2]tropical!G$1,FALSE)</f>
        <v>0</v>
      </c>
      <c r="L307" s="800">
        <f>VLOOKUP($E307,[2]tropical!$A$4:$AF$46,[2]tropical!H$1,FALSE)</f>
        <v>0</v>
      </c>
      <c r="M307" s="800">
        <f>VLOOKUP($E307,[2]tropical!$A$4:$AF$46,[2]tropical!I$1,FALSE)</f>
        <v>0</v>
      </c>
      <c r="N307" s="800">
        <f>VLOOKUP($E307,[2]tropical!$A$4:$AF$46,[2]tropical!J$1,FALSE)</f>
        <v>0</v>
      </c>
      <c r="O307" s="800">
        <f>VLOOKUP($E307,[2]tropical!$A$4:$AF$46,[2]tropical!K$1,FALSE)</f>
        <v>0</v>
      </c>
      <c r="P307" s="800">
        <f>VLOOKUP($E307,[2]tropical!$A$4:$AF$46,[2]tropical!L$1,FALSE)</f>
        <v>0</v>
      </c>
      <c r="Q307" s="800">
        <f>VLOOKUP($E307,[2]tropical!$A$4:$AF$46,[2]tropical!M$1,FALSE)</f>
        <v>0</v>
      </c>
      <c r="R307" s="805">
        <f>VLOOKUP($E307,[2]tropical!$A$4:$AF$46,[2]tropical!N$1,FALSE)</f>
        <v>0</v>
      </c>
      <c r="S307" s="805">
        <f>VLOOKUP($E307,[2]tropical!$A$4:$AF$46,[2]tropical!O$1,FALSE)</f>
        <v>0</v>
      </c>
      <c r="T307" s="805">
        <f>VLOOKUP($E307,[2]tropical!$A$4:$AF$46,[2]tropical!P$1,FALSE)</f>
        <v>0</v>
      </c>
      <c r="U307" s="800">
        <f t="shared" si="4"/>
        <v>2</v>
      </c>
    </row>
    <row r="308" spans="1:21">
      <c r="A308" s="788">
        <v>8307</v>
      </c>
      <c r="B308" s="788" t="s">
        <v>358</v>
      </c>
      <c r="C308" s="788">
        <v>22</v>
      </c>
      <c r="D308" s="788" t="s">
        <v>85</v>
      </c>
      <c r="E308" s="790" t="s">
        <v>2609</v>
      </c>
      <c r="F308" s="790" t="s">
        <v>2615</v>
      </c>
      <c r="G308" s="800">
        <f>VLOOKUP($E308,[2]tropical!$A$4:$AF$46,[2]tropical!C$1,FALSE)</f>
        <v>10</v>
      </c>
      <c r="H308" s="800">
        <f>VLOOKUP($E308,[2]tropical!$A$4:$AF$46,[2]tropical!D$1,FALSE)</f>
        <v>13</v>
      </c>
      <c r="I308" s="800">
        <f>VLOOKUP($E308,[2]tropical!$A$4:$AF$46,[2]tropical!E$1,FALSE)</f>
        <v>16</v>
      </c>
      <c r="J308" s="800">
        <f>VLOOKUP($E308,[2]tropical!$A$4:$AF$46,[2]tropical!F$1,FALSE)</f>
        <v>9</v>
      </c>
      <c r="K308" s="800">
        <f>VLOOKUP($E308,[2]tropical!$A$4:$AF$46,[2]tropical!G$1,FALSE)</f>
        <v>9</v>
      </c>
      <c r="L308" s="800">
        <f>VLOOKUP($E308,[2]tropical!$A$4:$AF$46,[2]tropical!H$1,FALSE)</f>
        <v>25</v>
      </c>
      <c r="M308" s="800">
        <f>VLOOKUP($E308,[2]tropical!$A$4:$AF$46,[2]tropical!I$1,FALSE)</f>
        <v>14</v>
      </c>
      <c r="N308" s="800">
        <f>VLOOKUP($E308,[2]tropical!$A$4:$AF$46,[2]tropical!J$1,FALSE)</f>
        <v>10</v>
      </c>
      <c r="O308" s="800">
        <f>VLOOKUP($E308,[2]tropical!$A$4:$AF$46,[2]tropical!K$1,FALSE)</f>
        <v>18</v>
      </c>
      <c r="P308" s="800">
        <f>VLOOKUP($E308,[2]tropical!$A$4:$AF$46,[2]tropical!L$1,FALSE)</f>
        <v>5</v>
      </c>
      <c r="Q308" s="800">
        <f>VLOOKUP($E308,[2]tropical!$A$4:$AF$46,[2]tropical!M$1,FALSE)</f>
        <v>8</v>
      </c>
      <c r="R308" s="805">
        <f>VLOOKUP($E308,[2]tropical!$A$4:$AF$46,[2]tropical!N$1,FALSE)</f>
        <v>0</v>
      </c>
      <c r="S308" s="805">
        <f>VLOOKUP($E308,[2]tropical!$A$4:$AF$46,[2]tropical!O$1,FALSE)</f>
        <v>0</v>
      </c>
      <c r="T308" s="805">
        <f>VLOOKUP($E308,[2]tropical!$A$4:$AF$46,[2]tropical!P$1,FALSE)</f>
        <v>0</v>
      </c>
      <c r="U308" s="800">
        <f t="shared" si="4"/>
        <v>137</v>
      </c>
    </row>
    <row r="309" spans="1:21">
      <c r="A309" s="788">
        <v>8308</v>
      </c>
      <c r="B309" s="788" t="s">
        <v>1737</v>
      </c>
      <c r="C309" s="788">
        <v>729</v>
      </c>
      <c r="D309" s="788" t="s">
        <v>84</v>
      </c>
      <c r="E309" s="790" t="s">
        <v>1125</v>
      </c>
      <c r="F309" s="790" t="s">
        <v>2617</v>
      </c>
      <c r="G309" s="800">
        <f>VLOOKUP($E309,[2]tropical!$A$4:$AF$46,[2]tropical!C$1,FALSE)</f>
        <v>0</v>
      </c>
      <c r="H309" s="800">
        <f>VLOOKUP($E309,[2]tropical!$A$4:$AF$46,[2]tropical!D$1,FALSE)</f>
        <v>0</v>
      </c>
      <c r="I309" s="800">
        <f>VLOOKUP($E309,[2]tropical!$A$4:$AF$46,[2]tropical!E$1,FALSE)</f>
        <v>0</v>
      </c>
      <c r="J309" s="800">
        <f>VLOOKUP($E309,[2]tropical!$A$4:$AF$46,[2]tropical!F$1,FALSE)</f>
        <v>0</v>
      </c>
      <c r="K309" s="800">
        <f>VLOOKUP($E309,[2]tropical!$A$4:$AF$46,[2]tropical!G$1,FALSE)</f>
        <v>0</v>
      </c>
      <c r="L309" s="800">
        <f>VLOOKUP($E309,[2]tropical!$A$4:$AF$46,[2]tropical!H$1,FALSE)</f>
        <v>0</v>
      </c>
      <c r="M309" s="800">
        <f>VLOOKUP($E309,[2]tropical!$A$4:$AF$46,[2]tropical!I$1,FALSE)</f>
        <v>0</v>
      </c>
      <c r="N309" s="800">
        <f>VLOOKUP($E309,[2]tropical!$A$4:$AF$46,[2]tropical!J$1,FALSE)</f>
        <v>0</v>
      </c>
      <c r="O309" s="800">
        <f>VLOOKUP($E309,[2]tropical!$A$4:$AF$46,[2]tropical!K$1,FALSE)</f>
        <v>0</v>
      </c>
      <c r="P309" s="800">
        <f>VLOOKUP($E309,[2]tropical!$A$4:$AF$46,[2]tropical!L$1,FALSE)</f>
        <v>0</v>
      </c>
      <c r="Q309" s="800">
        <f>VLOOKUP($E309,[2]tropical!$A$4:$AF$46,[2]tropical!M$1,FALSE)</f>
        <v>0</v>
      </c>
      <c r="R309" s="805">
        <f>VLOOKUP($E309,[2]tropical!$A$4:$AF$46,[2]tropical!N$1,FALSE)</f>
        <v>0</v>
      </c>
      <c r="S309" s="805">
        <f>VLOOKUP($E309,[2]tropical!$A$4:$AF$46,[2]tropical!O$1,FALSE)</f>
        <v>0</v>
      </c>
      <c r="T309" s="805">
        <f>VLOOKUP($E309,[2]tropical!$A$4:$AF$46,[2]tropical!P$1,FALSE)</f>
        <v>0</v>
      </c>
      <c r="U309" s="800">
        <f t="shared" si="4"/>
        <v>0</v>
      </c>
    </row>
    <row r="310" spans="1:21">
      <c r="A310" s="788">
        <v>8901</v>
      </c>
      <c r="B310" s="788" t="s">
        <v>1742</v>
      </c>
      <c r="C310" s="788">
        <v>822</v>
      </c>
      <c r="D310" s="788" t="s">
        <v>88</v>
      </c>
      <c r="E310" s="790" t="s">
        <v>1301</v>
      </c>
      <c r="F310" s="790" t="s">
        <v>2617</v>
      </c>
      <c r="G310" s="800">
        <f>VLOOKUP($E310,[2]tropical!$A$4:$AF$46,[2]tropical!C$1,FALSE)</f>
        <v>0</v>
      </c>
      <c r="H310" s="800">
        <f>VLOOKUP($E310,[2]tropical!$A$4:$AF$46,[2]tropical!D$1,FALSE)</f>
        <v>0</v>
      </c>
      <c r="I310" s="800">
        <f>VLOOKUP($E310,[2]tropical!$A$4:$AF$46,[2]tropical!E$1,FALSE)</f>
        <v>0</v>
      </c>
      <c r="J310" s="800">
        <f>VLOOKUP($E310,[2]tropical!$A$4:$AF$46,[2]tropical!F$1,FALSE)</f>
        <v>0</v>
      </c>
      <c r="K310" s="800">
        <f>VLOOKUP($E310,[2]tropical!$A$4:$AF$46,[2]tropical!G$1,FALSE)</f>
        <v>0</v>
      </c>
      <c r="L310" s="800">
        <f>VLOOKUP($E310,[2]tropical!$A$4:$AF$46,[2]tropical!H$1,FALSE)</f>
        <v>0</v>
      </c>
      <c r="M310" s="800">
        <f>VLOOKUP($E310,[2]tropical!$A$4:$AF$46,[2]tropical!I$1,FALSE)</f>
        <v>0</v>
      </c>
      <c r="N310" s="800">
        <f>VLOOKUP($E310,[2]tropical!$A$4:$AF$46,[2]tropical!J$1,FALSE)</f>
        <v>0</v>
      </c>
      <c r="O310" s="800">
        <f>VLOOKUP($E310,[2]tropical!$A$4:$AF$46,[2]tropical!K$1,FALSE)</f>
        <v>0</v>
      </c>
      <c r="P310" s="800">
        <f>VLOOKUP($E310,[2]tropical!$A$4:$AF$46,[2]tropical!L$1,FALSE)</f>
        <v>0</v>
      </c>
      <c r="Q310" s="800">
        <f>VLOOKUP($E310,[2]tropical!$A$4:$AF$46,[2]tropical!M$1,FALSE)</f>
        <v>0</v>
      </c>
      <c r="R310" s="805">
        <f>VLOOKUP($E310,[2]tropical!$A$4:$AF$46,[2]tropical!N$1,FALSE)</f>
        <v>0</v>
      </c>
      <c r="S310" s="805">
        <f>VLOOKUP($E310,[2]tropical!$A$4:$AF$46,[2]tropical!O$1,FALSE)</f>
        <v>0</v>
      </c>
      <c r="T310" s="805">
        <f>VLOOKUP($E310,[2]tropical!$A$4:$AF$46,[2]tropical!P$1,FALSE)</f>
        <v>0</v>
      </c>
      <c r="U310" s="800">
        <f t="shared" si="4"/>
        <v>0</v>
      </c>
    </row>
    <row r="311" spans="1:21">
      <c r="A311" s="788">
        <v>8902</v>
      </c>
      <c r="B311" s="788" t="s">
        <v>1743</v>
      </c>
      <c r="C311" s="788">
        <v>91</v>
      </c>
      <c r="D311" s="788" t="s">
        <v>24</v>
      </c>
      <c r="E311" s="790" t="s">
        <v>1743</v>
      </c>
      <c r="F311" s="790" t="s">
        <v>2616</v>
      </c>
      <c r="G311" s="800">
        <f>VLOOKUP($E311,[2]tropical!$A$4:$AF$46,[2]tropical!C$1,FALSE)</f>
        <v>0</v>
      </c>
      <c r="H311" s="800">
        <f>VLOOKUP($E311,[2]tropical!$A$4:$AF$46,[2]tropical!D$1,FALSE)</f>
        <v>0</v>
      </c>
      <c r="I311" s="800">
        <f>VLOOKUP($E311,[2]tropical!$A$4:$AF$46,[2]tropical!E$1,FALSE)</f>
        <v>2</v>
      </c>
      <c r="J311" s="800">
        <f>VLOOKUP($E311,[2]tropical!$A$4:$AF$46,[2]tropical!F$1,FALSE)</f>
        <v>0</v>
      </c>
      <c r="K311" s="800">
        <f>VLOOKUP($E311,[2]tropical!$A$4:$AF$46,[2]tropical!G$1,FALSE)</f>
        <v>0</v>
      </c>
      <c r="L311" s="800">
        <f>VLOOKUP($E311,[2]tropical!$A$4:$AF$46,[2]tropical!H$1,FALSE)</f>
        <v>0</v>
      </c>
      <c r="M311" s="800">
        <f>VLOOKUP($E311,[2]tropical!$A$4:$AF$46,[2]tropical!I$1,FALSE)</f>
        <v>0</v>
      </c>
      <c r="N311" s="800">
        <f>VLOOKUP($E311,[2]tropical!$A$4:$AF$46,[2]tropical!J$1,FALSE)</f>
        <v>0</v>
      </c>
      <c r="O311" s="800">
        <f>VLOOKUP($E311,[2]tropical!$A$4:$AF$46,[2]tropical!K$1,FALSE)</f>
        <v>0</v>
      </c>
      <c r="P311" s="800">
        <f>VLOOKUP($E311,[2]tropical!$A$4:$AF$46,[2]tropical!L$1,FALSE)</f>
        <v>0</v>
      </c>
      <c r="Q311" s="800">
        <f>VLOOKUP($E311,[2]tropical!$A$4:$AF$46,[2]tropical!M$1,FALSE)</f>
        <v>0</v>
      </c>
      <c r="R311" s="805">
        <f>VLOOKUP($E311,[2]tropical!$A$4:$AF$46,[2]tropical!N$1,FALSE)</f>
        <v>0</v>
      </c>
      <c r="S311" s="805">
        <f>VLOOKUP($E311,[2]tropical!$A$4:$AF$46,[2]tropical!O$1,FALSE)</f>
        <v>0</v>
      </c>
      <c r="T311" s="805">
        <f>VLOOKUP($E311,[2]tropical!$A$4:$AF$46,[2]tropical!P$1,FALSE)</f>
        <v>0</v>
      </c>
      <c r="U311" s="800">
        <f t="shared" si="4"/>
        <v>2</v>
      </c>
    </row>
    <row r="312" spans="1:21">
      <c r="A312" s="788">
        <v>8903</v>
      </c>
      <c r="B312" s="788" t="s">
        <v>1746</v>
      </c>
      <c r="C312" s="788">
        <v>954</v>
      </c>
      <c r="D312" s="788" t="s">
        <v>84</v>
      </c>
      <c r="E312" s="790" t="s">
        <v>2603</v>
      </c>
      <c r="F312" s="790" t="s">
        <v>2617</v>
      </c>
      <c r="G312" s="800">
        <f>VLOOKUP($E312,[2]tropical!$A$4:$AF$46,[2]tropical!C$1,FALSE)</f>
        <v>0</v>
      </c>
      <c r="H312" s="800">
        <f>VLOOKUP($E312,[2]tropical!$A$4:$AF$46,[2]tropical!D$1,FALSE)</f>
        <v>1</v>
      </c>
      <c r="I312" s="800">
        <f>VLOOKUP($E312,[2]tropical!$A$4:$AF$46,[2]tropical!E$1,FALSE)</f>
        <v>0</v>
      </c>
      <c r="J312" s="800">
        <f>VLOOKUP($E312,[2]tropical!$A$4:$AF$46,[2]tropical!F$1,FALSE)</f>
        <v>0</v>
      </c>
      <c r="K312" s="800">
        <f>VLOOKUP($E312,[2]tropical!$A$4:$AF$46,[2]tropical!G$1,FALSE)</f>
        <v>0</v>
      </c>
      <c r="L312" s="800">
        <f>VLOOKUP($E312,[2]tropical!$A$4:$AF$46,[2]tropical!H$1,FALSE)</f>
        <v>0</v>
      </c>
      <c r="M312" s="800">
        <f>VLOOKUP($E312,[2]tropical!$A$4:$AF$46,[2]tropical!I$1,FALSE)</f>
        <v>0</v>
      </c>
      <c r="N312" s="800">
        <f>VLOOKUP($E312,[2]tropical!$A$4:$AF$46,[2]tropical!J$1,FALSE)</f>
        <v>0</v>
      </c>
      <c r="O312" s="800">
        <f>VLOOKUP($E312,[2]tropical!$A$4:$AF$46,[2]tropical!K$1,FALSE)</f>
        <v>2</v>
      </c>
      <c r="P312" s="800">
        <f>VLOOKUP($E312,[2]tropical!$A$4:$AF$46,[2]tropical!L$1,FALSE)</f>
        <v>0</v>
      </c>
      <c r="Q312" s="800">
        <f>VLOOKUP($E312,[2]tropical!$A$4:$AF$46,[2]tropical!M$1,FALSE)</f>
        <v>0</v>
      </c>
      <c r="R312" s="805">
        <f>VLOOKUP($E312,[2]tropical!$A$4:$AF$46,[2]tropical!N$1,FALSE)</f>
        <v>0</v>
      </c>
      <c r="S312" s="805">
        <f>VLOOKUP($E312,[2]tropical!$A$4:$AF$46,[2]tropical!O$1,FALSE)</f>
        <v>0</v>
      </c>
      <c r="T312" s="805">
        <f>VLOOKUP($E312,[2]tropical!$A$4:$AF$46,[2]tropical!P$1,FALSE)</f>
        <v>0</v>
      </c>
      <c r="U312" s="800">
        <f t="shared" si="4"/>
        <v>3</v>
      </c>
    </row>
    <row r="313" spans="1:21">
      <c r="A313" s="788">
        <v>8904</v>
      </c>
      <c r="B313" s="788" t="s">
        <v>1748</v>
      </c>
      <c r="C313" s="788">
        <v>120</v>
      </c>
      <c r="D313" s="788" t="s">
        <v>89</v>
      </c>
      <c r="E313" s="790" t="s">
        <v>1605</v>
      </c>
      <c r="F313" s="790" t="s">
        <v>2615</v>
      </c>
      <c r="G313" s="800">
        <f>VLOOKUP($E313,[2]tropical!$A$4:$AF$46,[2]tropical!C$1,FALSE)</f>
        <v>4</v>
      </c>
      <c r="H313" s="800">
        <f>VLOOKUP($E313,[2]tropical!$A$4:$AF$46,[2]tropical!D$1,FALSE)</f>
        <v>8</v>
      </c>
      <c r="I313" s="800">
        <f>VLOOKUP($E313,[2]tropical!$A$4:$AF$46,[2]tropical!E$1,FALSE)</f>
        <v>9</v>
      </c>
      <c r="J313" s="800">
        <f>VLOOKUP($E313,[2]tropical!$A$4:$AF$46,[2]tropical!F$1,FALSE)</f>
        <v>0</v>
      </c>
      <c r="K313" s="800">
        <f>VLOOKUP($E313,[2]tropical!$A$4:$AF$46,[2]tropical!G$1,FALSE)</f>
        <v>1</v>
      </c>
      <c r="L313" s="800">
        <f>VLOOKUP($E313,[2]tropical!$A$4:$AF$46,[2]tropical!H$1,FALSE)</f>
        <v>4</v>
      </c>
      <c r="M313" s="800">
        <f>VLOOKUP($E313,[2]tropical!$A$4:$AF$46,[2]tropical!I$1,FALSE)</f>
        <v>5</v>
      </c>
      <c r="N313" s="800">
        <f>VLOOKUP($E313,[2]tropical!$A$4:$AF$46,[2]tropical!J$1,FALSE)</f>
        <v>1</v>
      </c>
      <c r="O313" s="800">
        <f>VLOOKUP($E313,[2]tropical!$A$4:$AF$46,[2]tropical!K$1,FALSE)</f>
        <v>4</v>
      </c>
      <c r="P313" s="800">
        <f>VLOOKUP($E313,[2]tropical!$A$4:$AF$46,[2]tropical!L$1,FALSE)</f>
        <v>3</v>
      </c>
      <c r="Q313" s="800">
        <f>VLOOKUP($E313,[2]tropical!$A$4:$AF$46,[2]tropical!M$1,FALSE)</f>
        <v>0</v>
      </c>
      <c r="R313" s="805">
        <f>VLOOKUP($E313,[2]tropical!$A$4:$AF$46,[2]tropical!N$1,FALSE)</f>
        <v>0</v>
      </c>
      <c r="S313" s="805">
        <f>VLOOKUP($E313,[2]tropical!$A$4:$AF$46,[2]tropical!O$1,FALSE)</f>
        <v>0</v>
      </c>
      <c r="T313" s="805">
        <f>VLOOKUP($E313,[2]tropical!$A$4:$AF$46,[2]tropical!P$1,FALSE)</f>
        <v>0</v>
      </c>
      <c r="U313" s="800">
        <f t="shared" si="4"/>
        <v>39</v>
      </c>
    </row>
    <row r="314" spans="1:21">
      <c r="A314" s="788">
        <v>8905</v>
      </c>
      <c r="B314" s="788" t="s">
        <v>1749</v>
      </c>
      <c r="C314" s="788">
        <v>100</v>
      </c>
      <c r="D314" s="788" t="s">
        <v>90</v>
      </c>
      <c r="E314" s="790" t="s">
        <v>1697</v>
      </c>
      <c r="F314" s="790" t="s">
        <v>2615</v>
      </c>
      <c r="G314" s="800">
        <f>VLOOKUP($E314,[2]tropical!$A$4:$AF$46,[2]tropical!C$1,FALSE)</f>
        <v>8</v>
      </c>
      <c r="H314" s="800">
        <f>VLOOKUP($E314,[2]tropical!$A$4:$AF$46,[2]tropical!D$1,FALSE)</f>
        <v>14</v>
      </c>
      <c r="I314" s="800">
        <f>VLOOKUP($E314,[2]tropical!$A$4:$AF$46,[2]tropical!E$1,FALSE)</f>
        <v>22</v>
      </c>
      <c r="J314" s="800">
        <f>VLOOKUP($E314,[2]tropical!$A$4:$AF$46,[2]tropical!F$1,FALSE)</f>
        <v>5</v>
      </c>
      <c r="K314" s="800">
        <f>VLOOKUP($E314,[2]tropical!$A$4:$AF$46,[2]tropical!G$1,FALSE)</f>
        <v>5</v>
      </c>
      <c r="L314" s="800">
        <f>VLOOKUP($E314,[2]tropical!$A$4:$AF$46,[2]tropical!H$1,FALSE)</f>
        <v>17</v>
      </c>
      <c r="M314" s="800">
        <f>VLOOKUP($E314,[2]tropical!$A$4:$AF$46,[2]tropical!I$1,FALSE)</f>
        <v>24</v>
      </c>
      <c r="N314" s="800">
        <f>VLOOKUP($E314,[2]tropical!$A$4:$AF$46,[2]tropical!J$1,FALSE)</f>
        <v>3</v>
      </c>
      <c r="O314" s="800">
        <f>VLOOKUP($E314,[2]tropical!$A$4:$AF$46,[2]tropical!K$1,FALSE)</f>
        <v>17</v>
      </c>
      <c r="P314" s="800">
        <f>VLOOKUP($E314,[2]tropical!$A$4:$AF$46,[2]tropical!L$1,FALSE)</f>
        <v>7</v>
      </c>
      <c r="Q314" s="800">
        <f>VLOOKUP($E314,[2]tropical!$A$4:$AF$46,[2]tropical!M$1,FALSE)</f>
        <v>3</v>
      </c>
      <c r="R314" s="805">
        <f>VLOOKUP($E314,[2]tropical!$A$4:$AF$46,[2]tropical!N$1,FALSE)</f>
        <v>0</v>
      </c>
      <c r="S314" s="805">
        <f>VLOOKUP($E314,[2]tropical!$A$4:$AF$46,[2]tropical!O$1,FALSE)</f>
        <v>0</v>
      </c>
      <c r="T314" s="805">
        <f>VLOOKUP($E314,[2]tropical!$A$4:$AF$46,[2]tropical!P$1,FALSE)</f>
        <v>0</v>
      </c>
      <c r="U314" s="800">
        <f t="shared" si="4"/>
        <v>125</v>
      </c>
    </row>
  </sheetData>
  <mergeCells count="1">
    <mergeCell ref="G2:U2"/>
  </mergeCells>
  <dataValidations count="1">
    <dataValidation type="list" allowBlank="1" showInputMessage="1" showErrorMessage="1" sqref="E4:E314 E65540:E65850 E131076:E131386 E196612:E196922 E262148:E262458 E327684:E327994 E393220:E393530 E458756:E459066 E524292:E524602 E589828:E590138 E655364:E655674 E720900:E721210 E786436:E786746 E851972:E852282 E917508:E917818 E983044:E983354">
      <formula1>estacions</formula1>
    </dataValidation>
  </dataValidation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14"/>
  <sheetViews>
    <sheetView workbookViewId="0">
      <pane xSplit="2" ySplit="3" topLeftCell="O137" activePane="bottomRight" state="frozenSplit"/>
      <selection pane="topRight" activeCell="N1" sqref="N1"/>
      <selection pane="bottomLeft" activeCell="A4" sqref="A4"/>
      <selection pane="bottomRight" activeCell="B137" sqref="B137"/>
    </sheetView>
  </sheetViews>
  <sheetFormatPr defaultRowHeight="15"/>
  <cols>
    <col min="1" max="1" width="9.140625" style="822"/>
    <col min="2" max="2" width="24.28515625" style="821" customWidth="1"/>
    <col min="3" max="3" width="16.28515625" style="882" customWidth="1"/>
    <col min="4" max="4" width="15.5703125" style="874" customWidth="1"/>
    <col min="5" max="5" width="14.85546875" style="874" customWidth="1"/>
    <col min="6" max="6" width="11.42578125" style="874" customWidth="1"/>
    <col min="7" max="7" width="16.28515625" style="874" customWidth="1"/>
    <col min="8" max="8" width="14.28515625" style="874" customWidth="1"/>
    <col min="9" max="9" width="16.140625" style="874" customWidth="1"/>
    <col min="10" max="11" width="16.28515625" style="872" customWidth="1"/>
    <col min="12" max="12" width="15.85546875" style="872" customWidth="1"/>
    <col min="13" max="15" width="11.5703125" style="872" bestFit="1" customWidth="1"/>
    <col min="16" max="16" width="17.28515625" style="872" customWidth="1"/>
    <col min="17" max="23" width="16.140625" style="867" customWidth="1"/>
    <col min="24" max="24" width="16.140625" style="1066" customWidth="1"/>
    <col min="25" max="26" width="9.140625" style="821"/>
    <col min="27" max="27" width="11.5703125" style="821" bestFit="1" customWidth="1"/>
    <col min="28" max="16384" width="9.140625" style="821"/>
  </cols>
  <sheetData>
    <row r="2" spans="1:27" s="823" customFormat="1">
      <c r="A2" s="832"/>
      <c r="C2" s="1188" t="s">
        <v>2587</v>
      </c>
      <c r="D2" s="1188"/>
      <c r="E2" s="1188"/>
      <c r="F2" s="1188"/>
      <c r="G2" s="1188"/>
      <c r="H2" s="1188"/>
      <c r="I2" s="1188"/>
      <c r="J2" s="1189" t="s">
        <v>2592</v>
      </c>
      <c r="K2" s="1189"/>
      <c r="L2" s="1189"/>
      <c r="M2" s="1189"/>
      <c r="N2" s="1189"/>
      <c r="O2" s="1189"/>
      <c r="P2" s="1189"/>
      <c r="Q2" s="1190" t="s">
        <v>2494</v>
      </c>
      <c r="R2" s="1190"/>
      <c r="S2" s="1190"/>
      <c r="T2" s="1190"/>
      <c r="U2" s="1190"/>
      <c r="V2" s="1190"/>
      <c r="W2" s="1190"/>
      <c r="X2" s="1064"/>
    </row>
    <row r="3" spans="1:27" s="824" customFormat="1" ht="34.5" thickBot="1">
      <c r="A3" s="833" t="s">
        <v>2579</v>
      </c>
      <c r="B3" s="824" t="s">
        <v>66</v>
      </c>
      <c r="C3" s="875" t="s">
        <v>2469</v>
      </c>
      <c r="D3" s="873" t="s">
        <v>2470</v>
      </c>
      <c r="E3" s="875" t="s">
        <v>2731</v>
      </c>
      <c r="F3" s="873" t="s">
        <v>2585</v>
      </c>
      <c r="G3" s="873" t="s">
        <v>4541</v>
      </c>
      <c r="H3" s="873" t="s">
        <v>2472</v>
      </c>
      <c r="I3" s="873" t="s">
        <v>2473</v>
      </c>
      <c r="J3" s="868" t="s">
        <v>2469</v>
      </c>
      <c r="K3" s="868" t="s">
        <v>2470</v>
      </c>
      <c r="L3" s="868" t="s">
        <v>2731</v>
      </c>
      <c r="M3" s="868" t="s">
        <v>2585</v>
      </c>
      <c r="N3" s="868" t="s">
        <v>4541</v>
      </c>
      <c r="O3" s="868" t="s">
        <v>2472</v>
      </c>
      <c r="P3" s="868" t="s">
        <v>2473</v>
      </c>
      <c r="Q3" s="861" t="s">
        <v>2469</v>
      </c>
      <c r="R3" s="861" t="s">
        <v>2470</v>
      </c>
      <c r="S3" s="861" t="s">
        <v>2471</v>
      </c>
      <c r="T3" s="861" t="s">
        <v>2585</v>
      </c>
      <c r="U3" s="861" t="s">
        <v>2586</v>
      </c>
      <c r="V3" s="861" t="s">
        <v>2472</v>
      </c>
      <c r="W3" s="861" t="s">
        <v>2473</v>
      </c>
      <c r="X3" s="891" t="s">
        <v>257</v>
      </c>
      <c r="Y3" s="824" t="s">
        <v>4542</v>
      </c>
      <c r="Z3" s="824" t="s">
        <v>4543</v>
      </c>
      <c r="AA3" s="824" t="s">
        <v>4637</v>
      </c>
    </row>
    <row r="4" spans="1:27" s="825" customFormat="1" ht="23.25">
      <c r="A4" s="834">
        <v>8001</v>
      </c>
      <c r="B4" s="1110" t="s">
        <v>672</v>
      </c>
      <c r="C4" s="876">
        <f>VLOOKUP(A4,copcalor,'1b.Cops de calor'!P$1,FALSE)/1000000</f>
        <v>9.2628056326483801</v>
      </c>
      <c r="D4" s="877">
        <f>VLOOKUP($B4,'2b.Incendis forestals'!$B$4:$P$314,9,FALSE)/1000000</f>
        <v>1.15175597054832</v>
      </c>
      <c r="E4" s="876">
        <f>VLOOKUP($B4,'3b aigua'!$B$4:$K$314,8,FALSE)/1000000</f>
        <v>22.753559407038292</v>
      </c>
      <c r="F4" s="877">
        <f t="shared" ref="F4:F67" si="0">VLOOKUP(B4,agric,11,FALSE)</f>
        <v>2.4393949999999998</v>
      </c>
      <c r="G4" s="877">
        <f t="shared" ref="G4:G67" si="1">VLOOKUP(B4,ramad,15,FALSE)</f>
        <v>1.682226</v>
      </c>
      <c r="H4" s="877">
        <f t="shared" ref="H4:H67" si="2">IFERROR(VLOOKUP(B4,costT50,37,FALSE),0)</f>
        <v>19.440036876899999</v>
      </c>
      <c r="I4" s="876" t="str">
        <f>IF(VLOOKUP($A4,'7b erosió costa'!$A$4:$AP$401,9,FALSE)&gt;0,VLOOKUP($A4,'7b erosió costa'!$A$4:$AP$401,9,FALSE),"")</f>
        <v/>
      </c>
      <c r="J4" s="869">
        <f>VLOOKUP(A4,copcalor,'1b.Cops de calor'!Z$1,FALSE)/1000000</f>
        <v>54.34451137488319</v>
      </c>
      <c r="K4" s="869">
        <f>VLOOKUP($B4,'2b.Incendis forestals'!$B$4:$P$314,14,FALSE)/1000000</f>
        <v>3.1673289190078808</v>
      </c>
      <c r="L4" s="869">
        <f>VLOOKUP($B4,'3b aigua'!$B$4:$K$314,9,FALSE)/1000000</f>
        <v>41.801508972083937</v>
      </c>
      <c r="M4" s="917">
        <f t="shared" ref="M4:M67" si="3">VLOOKUP(B4,ramad,13,FALSE)</f>
        <v>16.555124173246554</v>
      </c>
      <c r="N4" s="917">
        <f t="shared" ref="N4:N67" si="4">VLOOKUP(B4,ramad,17,FALSE)</f>
        <v>1.9295132219999998</v>
      </c>
      <c r="O4" s="917">
        <f t="shared" ref="O4:O67" si="5">IFERROR(VLOOKUP(B4,costT100,37,FALSE),0)</f>
        <v>22.041401953950015</v>
      </c>
      <c r="P4" s="917" t="str">
        <f>IF(VLOOKUP($A4,'7b erosió costa'!$A$4:$AP$401,42,FALSE)&gt;0,VLOOKUP($A4,'7b erosió costa'!$A$4:$AP$401,42,FALSE),"")</f>
        <v/>
      </c>
      <c r="Q4" s="862">
        <f t="shared" ref="Q4:V4" si="6">J4-C4</f>
        <v>45.08170574223481</v>
      </c>
      <c r="R4" s="862">
        <f t="shared" si="6"/>
        <v>2.0155729484595608</v>
      </c>
      <c r="S4" s="862">
        <f t="shared" si="6"/>
        <v>19.047949565045645</v>
      </c>
      <c r="T4" s="862">
        <f t="shared" si="6"/>
        <v>14.115729173246555</v>
      </c>
      <c r="U4" s="862">
        <f t="shared" si="6"/>
        <v>0.24728722199999975</v>
      </c>
      <c r="V4" s="862">
        <f t="shared" si="6"/>
        <v>2.6013650770500156</v>
      </c>
      <c r="W4" s="862" t="str">
        <f>IFERROR(P4-I4,"")</f>
        <v/>
      </c>
      <c r="X4" s="1065">
        <f>SUM(Q4:W4)</f>
        <v>83.109609728036588</v>
      </c>
      <c r="Y4" s="825">
        <f>VLOOKUP(B4,'BD ASVICC'!$A$6:$Y$316,24,FALSE)</f>
        <v>12216</v>
      </c>
      <c r="Z4" s="1069" t="str">
        <f>IF(Y4&gt;1000,IF(Y4&gt;5000,IF(Y4&gt;20000,IF(Y4&gt;50000,"e &gt;50.000 hab.","d 20.000 a 50.000 hab."),"c 5.000 a 20.000 hab."),"b 1.000 a 5.000 hab."),"a &lt; 1.000 hab.")</f>
        <v>c 5.000 a 20.000 hab.</v>
      </c>
      <c r="AA4" s="825">
        <f>X4*1000000/Y4</f>
        <v>6803.3406784574809</v>
      </c>
    </row>
    <row r="5" spans="1:27" s="826" customFormat="1" ht="30">
      <c r="A5" s="835">
        <v>8002</v>
      </c>
      <c r="B5" s="826" t="s">
        <v>694</v>
      </c>
      <c r="C5" s="878">
        <f>VLOOKUP(A5,copcalor,'1b.Cops de calor'!P$1,FALSE)/1000000</f>
        <v>0.19884425241180834</v>
      </c>
      <c r="D5" s="879">
        <f>VLOOKUP($B5,'2b.Incendis forestals'!$B$4:$P$314,9,FALSE)/1000000</f>
        <v>4.6887764114199815</v>
      </c>
      <c r="E5" s="878">
        <f>VLOOKUP($B5,'3b aigua'!$B$4:$K$314,8,FALSE)/1000000</f>
        <v>0.37952098940896001</v>
      </c>
      <c r="F5" s="879">
        <f t="shared" si="0"/>
        <v>8.0194887499999989</v>
      </c>
      <c r="G5" s="879">
        <f t="shared" si="1"/>
        <v>2.0868119999999997</v>
      </c>
      <c r="H5" s="879">
        <f t="shared" si="2"/>
        <v>0</v>
      </c>
      <c r="I5" s="878" t="str">
        <f>IF(VLOOKUP($A5,'7b erosió costa'!$A$4:$AP$401,9,FALSE)&gt;0,VLOOKUP($A5,'7b erosió costa'!$A$4:$AP$401,9,FALSE),"")</f>
        <v/>
      </c>
      <c r="J5" s="870">
        <f>VLOOKUP(A5,copcalor,'1b.Cops de calor'!Z$1,FALSE)/1000000</f>
        <v>1.0771299107973273</v>
      </c>
      <c r="K5" s="870">
        <f>VLOOKUP($B5,'2b.Incendis forestals'!$B$4:$P$314,14,FALSE)/1000000</f>
        <v>12.894135131404951</v>
      </c>
      <c r="L5" s="870">
        <f>VLOOKUP($B5,'3b aigua'!$B$4:$K$314,9,FALSE)/1000000</f>
        <v>0.5489053456101376</v>
      </c>
      <c r="M5" s="918">
        <f t="shared" si="3"/>
        <v>35.300114478516711</v>
      </c>
      <c r="N5" s="918">
        <f t="shared" si="4"/>
        <v>2.3935733639999999</v>
      </c>
      <c r="O5" s="918">
        <f t="shared" si="5"/>
        <v>0</v>
      </c>
      <c r="P5" s="918" t="str">
        <f>IF(VLOOKUP($A5,'7b erosió costa'!$A$4:$AP$401,42,FALSE)&gt;0,VLOOKUP($A5,'7b erosió costa'!$A$4:$AP$401,42,FALSE),"")</f>
        <v/>
      </c>
      <c r="Q5" s="863">
        <f>J5-C5</f>
        <v>0.87828565838551897</v>
      </c>
      <c r="R5" s="864">
        <f t="shared" ref="R5:R68" si="7">K5-D5</f>
        <v>8.2053587199849698</v>
      </c>
      <c r="S5" s="863">
        <f t="shared" ref="S5:S68" si="8">L5-E5</f>
        <v>0.16938435620117759</v>
      </c>
      <c r="T5" s="864">
        <f>M5-F5</f>
        <v>27.280625728516711</v>
      </c>
      <c r="U5" s="864">
        <f t="shared" ref="U5:V68" si="9">N5-G5</f>
        <v>0.3067613640000002</v>
      </c>
      <c r="V5" s="864">
        <f t="shared" si="9"/>
        <v>0</v>
      </c>
      <c r="W5" s="864" t="str">
        <f>IFERROR(P5-I5,"")</f>
        <v/>
      </c>
      <c r="X5" s="1067">
        <f t="shared" ref="X5:X68" si="10">SUM(Q5:W5)</f>
        <v>36.840415827088378</v>
      </c>
      <c r="Y5" s="826">
        <f>VLOOKUP(B5,'BD ASVICC'!$A$6:$Y$316,24,FALSE)</f>
        <v>253</v>
      </c>
      <c r="Z5" s="826" t="str">
        <f t="shared" ref="Z5:Z68" si="11">IF(Y5&gt;1000,IF(Y5&gt;5000,IF(Y5&gt;20000,IF(Y5&gt;50000,"e &gt;50.000 hab.","d 20.000 a 50.000 hab."),"c 5.000 a 20.000 hab."),"b 1.000 a 5.000 hab."),"a &lt; 1.000 hab.")</f>
        <v>a &lt; 1.000 hab.</v>
      </c>
      <c r="AA5" s="826">
        <f t="shared" ref="AA5:AA68" si="12">X5*1000000/Y5</f>
        <v>145614.29180667343</v>
      </c>
    </row>
    <row r="6" spans="1:27" s="826" customFormat="1" ht="45">
      <c r="A6" s="835">
        <v>8003</v>
      </c>
      <c r="B6" s="826" t="s">
        <v>707</v>
      </c>
      <c r="C6" s="878">
        <f>VLOOKUP(A6,copcalor,'1b.Cops de calor'!P$1,FALSE)/1000000</f>
        <v>18.691645245332928</v>
      </c>
      <c r="D6" s="879">
        <f>VLOOKUP($B6,'2b.Incendis forestals'!$B$4:$P$314,9,FALSE)/1000000</f>
        <v>0.12390445268681297</v>
      </c>
      <c r="E6" s="878">
        <f>VLOOKUP($B6,'3b aigua'!$B$4:$K$314,8,FALSE)/1000000</f>
        <v>23.423590520720428</v>
      </c>
      <c r="F6" s="879">
        <f t="shared" si="0"/>
        <v>0.38972062500000004</v>
      </c>
      <c r="G6" s="879">
        <f t="shared" si="1"/>
        <v>1.2168E-2</v>
      </c>
      <c r="H6" s="879">
        <f t="shared" si="2"/>
        <v>0</v>
      </c>
      <c r="I6" s="878" t="str">
        <f>IF(VLOOKUP($A6,'7b erosió costa'!$A$4:$AP$401,9,FALSE)&gt;0,VLOOKUP($A6,'7b erosió costa'!$A$4:$AP$401,9,FALSE),"")</f>
        <v/>
      </c>
      <c r="J6" s="870">
        <f>VLOOKUP(A6,copcalor,'1b.Cops de calor'!Z$1,FALSE)/1000000</f>
        <v>109.88994576479493</v>
      </c>
      <c r="K6" s="870">
        <f>VLOOKUP($B6,'2b.Incendis forestals'!$B$4:$P$314,14,FALSE)/1000000</f>
        <v>0.34073724488873569</v>
      </c>
      <c r="L6" s="870">
        <f>VLOOKUP($B6,'3b aigua'!$B$4:$K$314,9,FALSE)/1000000</f>
        <v>43.032450958307663</v>
      </c>
      <c r="M6" s="918">
        <f t="shared" si="3"/>
        <v>6.1920894255235126</v>
      </c>
      <c r="N6" s="918">
        <f t="shared" si="4"/>
        <v>1.3956695999999998E-2</v>
      </c>
      <c r="O6" s="918">
        <f t="shared" si="5"/>
        <v>0</v>
      </c>
      <c r="P6" s="918" t="str">
        <f>IF(VLOOKUP($A6,'7b erosió costa'!$A$4:$AP$401,42,FALSE)&gt;0,VLOOKUP($A6,'7b erosió costa'!$A$4:$AP$401,42,FALSE),"")</f>
        <v/>
      </c>
      <c r="Q6" s="863">
        <f t="shared" ref="Q6:Q69" si="13">J6-C6</f>
        <v>91.198300519462009</v>
      </c>
      <c r="R6" s="864">
        <f t="shared" si="7"/>
        <v>0.21683279220192272</v>
      </c>
      <c r="S6" s="863">
        <f t="shared" si="8"/>
        <v>19.608860437587236</v>
      </c>
      <c r="T6" s="864">
        <f t="shared" ref="T6:T68" si="14">M6-F6</f>
        <v>5.8023688005235128</v>
      </c>
      <c r="U6" s="864">
        <f t="shared" si="9"/>
        <v>1.7886959999999976E-3</v>
      </c>
      <c r="V6" s="864">
        <f t="shared" si="9"/>
        <v>0</v>
      </c>
      <c r="W6" s="864" t="str">
        <f t="shared" ref="W6:W69" si="15">IFERROR(P6-I6,"")</f>
        <v/>
      </c>
      <c r="X6" s="1067">
        <f t="shared" si="10"/>
        <v>116.82815124577469</v>
      </c>
      <c r="Y6" s="826">
        <f>VLOOKUP(B6,'BD ASVICC'!$A$6:$Y$316,24,FALSE)</f>
        <v>9632</v>
      </c>
      <c r="Z6" s="826" t="str">
        <f t="shared" si="11"/>
        <v>c 5.000 a 20.000 hab.</v>
      </c>
      <c r="AA6" s="826">
        <f t="shared" si="12"/>
        <v>12129.168526347039</v>
      </c>
    </row>
    <row r="7" spans="1:27" s="826" customFormat="1" ht="30">
      <c r="A7" s="835">
        <v>8004</v>
      </c>
      <c r="B7" s="826" t="s">
        <v>716</v>
      </c>
      <c r="C7" s="878">
        <f>VLOOKUP(A7,copcalor,'1b.Cops de calor'!P$1,FALSE)/1000000</f>
        <v>1.8271500741289245E-2</v>
      </c>
      <c r="D7" s="879">
        <f>VLOOKUP($B7,'2b.Incendis forestals'!$B$4:$P$314,9,FALSE)/1000000</f>
        <v>0.12522764013712559</v>
      </c>
      <c r="E7" s="878">
        <f>VLOOKUP($B7,'3b aigua'!$B$4:$K$314,8,FALSE)/1000000</f>
        <v>0.68025698759274678</v>
      </c>
      <c r="F7" s="879">
        <f t="shared" si="0"/>
        <v>1.0908899999999999</v>
      </c>
      <c r="G7" s="879">
        <f t="shared" si="1"/>
        <v>1.8373679999999997</v>
      </c>
      <c r="H7" s="879">
        <f t="shared" si="2"/>
        <v>0</v>
      </c>
      <c r="I7" s="878" t="str">
        <f>IF(VLOOKUP($A7,'7b erosió costa'!$A$4:$AP$401,9,FALSE)&gt;0,VLOOKUP($A7,'7b erosió costa'!$A$4:$AP$401,9,FALSE),"")</f>
        <v/>
      </c>
      <c r="J7" s="870">
        <f>VLOOKUP(A7,copcalor,'1b.Cops de calor'!Z$1,FALSE)/1000000</f>
        <v>0.10719093139728403</v>
      </c>
      <c r="K7" s="870">
        <f>VLOOKUP($B7,'2b.Incendis forestals'!$B$4:$P$314,14,FALSE)/1000000</f>
        <v>0.34437601037709531</v>
      </c>
      <c r="L7" s="870">
        <f>VLOOKUP($B7,'3b aigua'!$B$4:$K$314,9,FALSE)/1000000</f>
        <v>0.98386309927103177</v>
      </c>
      <c r="M7" s="918">
        <f t="shared" si="3"/>
        <v>5.1184526209147263</v>
      </c>
      <c r="N7" s="918">
        <f t="shared" si="4"/>
        <v>2.1074610959999993</v>
      </c>
      <c r="O7" s="918">
        <f t="shared" si="5"/>
        <v>0</v>
      </c>
      <c r="P7" s="918" t="str">
        <f>IF(VLOOKUP($A7,'7b erosió costa'!$A$4:$AP$401,42,FALSE)&gt;0,VLOOKUP($A7,'7b erosió costa'!$A$4:$AP$401,42,FALSE),"")</f>
        <v/>
      </c>
      <c r="Q7" s="863">
        <f t="shared" si="13"/>
        <v>8.891943065599478E-2</v>
      </c>
      <c r="R7" s="864">
        <f t="shared" si="7"/>
        <v>0.21914837023996972</v>
      </c>
      <c r="S7" s="863">
        <f t="shared" si="8"/>
        <v>0.303606111678285</v>
      </c>
      <c r="T7" s="864">
        <f t="shared" si="14"/>
        <v>4.0275626209147264</v>
      </c>
      <c r="U7" s="864">
        <f t="shared" si="9"/>
        <v>0.27009309599999964</v>
      </c>
      <c r="V7" s="864">
        <f t="shared" si="9"/>
        <v>0</v>
      </c>
      <c r="W7" s="864" t="str">
        <f t="shared" si="15"/>
        <v/>
      </c>
      <c r="X7" s="1067">
        <f t="shared" si="10"/>
        <v>4.9093296294889761</v>
      </c>
      <c r="Y7" s="826">
        <f>VLOOKUP(B7,'BD ASVICC'!$A$6:$Y$316,24,FALSE)</f>
        <v>294</v>
      </c>
      <c r="Z7" s="826" t="str">
        <f t="shared" si="11"/>
        <v>a &lt; 1.000 hab.</v>
      </c>
      <c r="AA7" s="826">
        <f t="shared" si="12"/>
        <v>16698.400100302639</v>
      </c>
    </row>
    <row r="8" spans="1:27" s="826" customFormat="1" ht="45">
      <c r="A8" s="835">
        <v>8005</v>
      </c>
      <c r="B8" s="826" t="s">
        <v>725</v>
      </c>
      <c r="C8" s="878">
        <f>VLOOKUP(A8,copcalor,'1b.Cops de calor'!P$1,FALSE)/1000000</f>
        <v>1.912770227560435</v>
      </c>
      <c r="D8" s="879">
        <f>VLOOKUP($B8,'2b.Incendis forestals'!$B$4:$P$314,9,FALSE)/1000000</f>
        <v>0.18710363482691855</v>
      </c>
      <c r="E8" s="878">
        <f>VLOOKUP($B8,'3b aigua'!$B$4:$K$314,8,FALSE)/1000000</f>
        <v>23.798589138614723</v>
      </c>
      <c r="F8" s="879">
        <f t="shared" si="0"/>
        <v>2.5716706249999994</v>
      </c>
      <c r="G8" s="879">
        <f t="shared" si="1"/>
        <v>4.3470179999999994</v>
      </c>
      <c r="H8" s="879">
        <f t="shared" si="2"/>
        <v>4.818047084999999E-2</v>
      </c>
      <c r="I8" s="878" t="str">
        <f>IF(VLOOKUP($A8,'7b erosió costa'!$A$4:$AP$401,9,FALSE)&gt;0,VLOOKUP($A8,'7b erosió costa'!$A$4:$AP$401,9,FALSE),"")</f>
        <v/>
      </c>
      <c r="J8" s="870">
        <f>VLOOKUP(A8,copcalor,'1b.Cops de calor'!Z$1,FALSE)/1000000</f>
        <v>10.724371264200965</v>
      </c>
      <c r="K8" s="870">
        <f>VLOOKUP($B8,'2b.Incendis forestals'!$B$4:$P$314,14,FALSE)/1000000</f>
        <v>0.51453499577402595</v>
      </c>
      <c r="L8" s="870">
        <f>VLOOKUP($B8,'3b aigua'!$B$4:$K$314,9,FALSE)/1000000</f>
        <v>43.721376493429801</v>
      </c>
      <c r="M8" s="918">
        <f t="shared" si="3"/>
        <v>14.830545732767479</v>
      </c>
      <c r="N8" s="918">
        <f t="shared" si="4"/>
        <v>4.9860296459999986</v>
      </c>
      <c r="O8" s="918">
        <f t="shared" si="5"/>
        <v>5.5490573099999996E-2</v>
      </c>
      <c r="P8" s="918" t="str">
        <f>IF(VLOOKUP($A8,'7b erosió costa'!$A$4:$AP$401,42,FALSE)&gt;0,VLOOKUP($A8,'7b erosió costa'!$A$4:$AP$401,42,FALSE),"")</f>
        <v/>
      </c>
      <c r="Q8" s="863">
        <f t="shared" si="13"/>
        <v>8.8116010366405302</v>
      </c>
      <c r="R8" s="864">
        <f t="shared" si="7"/>
        <v>0.3274313609471074</v>
      </c>
      <c r="S8" s="863">
        <f t="shared" si="8"/>
        <v>19.922787354815078</v>
      </c>
      <c r="T8" s="864">
        <f t="shared" si="14"/>
        <v>12.25887510776748</v>
      </c>
      <c r="U8" s="864">
        <f t="shared" si="9"/>
        <v>0.63901164599999927</v>
      </c>
      <c r="V8" s="864">
        <f t="shared" si="9"/>
        <v>7.3101022500000057E-3</v>
      </c>
      <c r="W8" s="864" t="str">
        <f t="shared" si="15"/>
        <v/>
      </c>
      <c r="X8" s="1067">
        <f t="shared" si="10"/>
        <v>41.967016608420195</v>
      </c>
      <c r="Y8" s="826">
        <f>VLOOKUP(B8,'BD ASVICC'!$A$6:$Y$316,24,FALSE)</f>
        <v>8337</v>
      </c>
      <c r="Z8" s="826" t="str">
        <f t="shared" si="11"/>
        <v>c 5.000 a 20.000 hab.</v>
      </c>
      <c r="AA8" s="826">
        <f t="shared" si="12"/>
        <v>5033.8271090824273</v>
      </c>
    </row>
    <row r="9" spans="1:27" s="826" customFormat="1" ht="45">
      <c r="A9" s="835">
        <v>8006</v>
      </c>
      <c r="B9" s="826" t="s">
        <v>334</v>
      </c>
      <c r="C9" s="878">
        <f>VLOOKUP(A9,copcalor,'1b.Cops de calor'!P$1,FALSE)/1000000</f>
        <v>41.236447803110792</v>
      </c>
      <c r="D9" s="879">
        <f>VLOOKUP($B9,'2b.Incendis forestals'!$B$4:$P$314,9,FALSE)/1000000</f>
        <v>8.1798394089779097E-2</v>
      </c>
      <c r="E9" s="878">
        <f>VLOOKUP($B9,'3b aigua'!$B$4:$K$314,8,FALSE)/1000000</f>
        <v>26.935815879154241</v>
      </c>
      <c r="F9" s="879">
        <f t="shared" si="0"/>
        <v>0.50833125000000001</v>
      </c>
      <c r="G9" s="879">
        <f t="shared" si="1"/>
        <v>0.67836599999999991</v>
      </c>
      <c r="H9" s="879">
        <f t="shared" si="2"/>
        <v>0</v>
      </c>
      <c r="I9" s="878">
        <f>IF(VLOOKUP($A9,'7b erosió costa'!$A$4:$AP$401,9,FALSE)&gt;0,VLOOKUP($A9,'7b erosió costa'!$A$4:$AP$401,9,FALSE),"")</f>
        <v>47.33850000000001</v>
      </c>
      <c r="J9" s="870">
        <f>VLOOKUP(A9,copcalor,'1b.Cops de calor'!Z$1,FALSE)/1000000</f>
        <v>243.83992365297098</v>
      </c>
      <c r="K9" s="870">
        <f>VLOOKUP($B9,'2b.Incendis forestals'!$B$4:$P$314,14,FALSE)/1000000</f>
        <v>0.22494558374689252</v>
      </c>
      <c r="L9" s="870">
        <f>VLOOKUP($B9,'3b aigua'!$B$4:$K$314,9,FALSE)/1000000</f>
        <v>49.484906031650489</v>
      </c>
      <c r="M9" s="918">
        <f t="shared" si="3"/>
        <v>23.797888468074142</v>
      </c>
      <c r="N9" s="918">
        <f t="shared" si="4"/>
        <v>0.77808580199999988</v>
      </c>
      <c r="O9" s="918">
        <f t="shared" si="5"/>
        <v>0</v>
      </c>
      <c r="P9" s="918">
        <f>IF(VLOOKUP($A9,'7b erosió costa'!$A$4:$AP$401,42,FALSE)&gt;0,VLOOKUP($A9,'7b erosió costa'!$A$4:$AP$401,42,FALSE),"")</f>
        <v>54.635626244343889</v>
      </c>
      <c r="Q9" s="863">
        <f t="shared" si="13"/>
        <v>202.60347584986019</v>
      </c>
      <c r="R9" s="864">
        <f t="shared" si="7"/>
        <v>0.14314718965711343</v>
      </c>
      <c r="S9" s="863">
        <f t="shared" si="8"/>
        <v>22.549090152496248</v>
      </c>
      <c r="T9" s="864">
        <f t="shared" si="14"/>
        <v>23.28955721807414</v>
      </c>
      <c r="U9" s="864">
        <f t="shared" si="9"/>
        <v>9.9719801999999969E-2</v>
      </c>
      <c r="V9" s="864">
        <f t="shared" si="9"/>
        <v>0</v>
      </c>
      <c r="W9" s="864">
        <f t="shared" si="15"/>
        <v>7.2971262443438789</v>
      </c>
      <c r="X9" s="1067">
        <f t="shared" si="10"/>
        <v>255.98211645643156</v>
      </c>
      <c r="Y9" s="826">
        <f>VLOOKUP(B9,'BD ASVICC'!$A$6:$Y$316,24,FALSE)</f>
        <v>15253</v>
      </c>
      <c r="Z9" s="826" t="str">
        <f t="shared" si="11"/>
        <v>c 5.000 a 20.000 hab.</v>
      </c>
      <c r="AA9" s="826">
        <f t="shared" si="12"/>
        <v>16782.411096599459</v>
      </c>
    </row>
    <row r="10" spans="1:27" s="826" customFormat="1" ht="45">
      <c r="A10" s="835">
        <v>8007</v>
      </c>
      <c r="B10" s="826" t="s">
        <v>742</v>
      </c>
      <c r="C10" s="878">
        <f>VLOOKUP(A10,copcalor,'1b.Cops de calor'!P$1,FALSE)/1000000</f>
        <v>10.199389700256713</v>
      </c>
      <c r="D10" s="879">
        <f>VLOOKUP($B10,'2b.Incendis forestals'!$B$4:$P$314,9,FALSE)/1000000</f>
        <v>0.48837664143438608</v>
      </c>
      <c r="E10" s="878">
        <f>VLOOKUP($B10,'3b aigua'!$B$4:$K$314,8,FALSE)/1000000</f>
        <v>17.656913791998296</v>
      </c>
      <c r="F10" s="879">
        <f t="shared" si="0"/>
        <v>0.90870437500000001</v>
      </c>
      <c r="G10" s="879">
        <f t="shared" si="1"/>
        <v>0.11559599999999999</v>
      </c>
      <c r="H10" s="879">
        <f t="shared" si="2"/>
        <v>0</v>
      </c>
      <c r="I10" s="878" t="str">
        <f>IF(VLOOKUP($A10,'7b erosió costa'!$A$4:$AP$401,9,FALSE)&gt;0,VLOOKUP($A10,'7b erosió costa'!$A$4:$AP$401,9,FALSE),"")</f>
        <v/>
      </c>
      <c r="J10" s="870">
        <f>VLOOKUP(A10,copcalor,'1b.Cops de calor'!Z$1,FALSE)/1000000</f>
        <v>59.865217303903506</v>
      </c>
      <c r="K10" s="870">
        <f>VLOOKUP($B10,'2b.Incendis forestals'!$B$4:$P$314,14,FALSE)/1000000</f>
        <v>1.3430357639445616</v>
      </c>
      <c r="L10" s="870">
        <f>VLOOKUP($B10,'3b aigua'!$B$4:$K$314,9,FALSE)/1000000</f>
        <v>32.438249642261212</v>
      </c>
      <c r="M10" s="918">
        <f t="shared" si="3"/>
        <v>9.5947048954924323</v>
      </c>
      <c r="N10" s="918">
        <f t="shared" si="4"/>
        <v>0.13258861199999999</v>
      </c>
      <c r="O10" s="918">
        <f t="shared" si="5"/>
        <v>0</v>
      </c>
      <c r="P10" s="918" t="str">
        <f>IF(VLOOKUP($A10,'7b erosió costa'!$A$4:$AP$401,42,FALSE)&gt;0,VLOOKUP($A10,'7b erosió costa'!$A$4:$AP$401,42,FALSE),"")</f>
        <v/>
      </c>
      <c r="Q10" s="863">
        <f t="shared" si="13"/>
        <v>49.66582760364679</v>
      </c>
      <c r="R10" s="864">
        <f t="shared" si="7"/>
        <v>0.85465912251017551</v>
      </c>
      <c r="S10" s="863">
        <f t="shared" si="8"/>
        <v>14.781335850262916</v>
      </c>
      <c r="T10" s="864">
        <f t="shared" si="14"/>
        <v>8.6860005204924331</v>
      </c>
      <c r="U10" s="864">
        <f t="shared" si="9"/>
        <v>1.6992612000000004E-2</v>
      </c>
      <c r="V10" s="864">
        <f t="shared" si="9"/>
        <v>0</v>
      </c>
      <c r="W10" s="864" t="str">
        <f t="shared" si="15"/>
        <v/>
      </c>
      <c r="X10" s="1067">
        <f t="shared" si="10"/>
        <v>74.004815708912304</v>
      </c>
      <c r="Y10" s="826">
        <f>VLOOKUP(B10,'BD ASVICC'!$A$6:$Y$316,24,FALSE)</f>
        <v>8638</v>
      </c>
      <c r="Z10" s="826" t="str">
        <f t="shared" si="11"/>
        <v>c 5.000 a 20.000 hab.</v>
      </c>
      <c r="AA10" s="826">
        <f t="shared" si="12"/>
        <v>8567.3553726455539</v>
      </c>
    </row>
    <row r="11" spans="1:27" s="826" customFormat="1" ht="30">
      <c r="A11" s="835">
        <v>8008</v>
      </c>
      <c r="B11" s="826" t="s">
        <v>751</v>
      </c>
      <c r="C11" s="878">
        <f>VLOOKUP(A11,copcalor,'1b.Cops de calor'!P$1,FALSE)/1000000</f>
        <v>4.9857665112551894E-2</v>
      </c>
      <c r="D11" s="879">
        <f>VLOOKUP($B11,'2b.Incendis forestals'!$B$4:$P$314,9,FALSE)/1000000</f>
        <v>4.9172093167939694</v>
      </c>
      <c r="E11" s="878">
        <f>VLOOKUP($B11,'3b aigua'!$B$4:$K$314,8,FALSE)/1000000</f>
        <v>0.18962557278645328</v>
      </c>
      <c r="F11" s="879">
        <f t="shared" si="0"/>
        <v>10.067559999999999</v>
      </c>
      <c r="G11" s="879">
        <f t="shared" si="1"/>
        <v>1.5301260000000001</v>
      </c>
      <c r="H11" s="879">
        <f t="shared" si="2"/>
        <v>0</v>
      </c>
      <c r="I11" s="878" t="str">
        <f>IF(VLOOKUP($A11,'7b erosió costa'!$A$4:$AP$401,9,FALSE)&gt;0,VLOOKUP($A11,'7b erosió costa'!$A$4:$AP$401,9,FALSE),"")</f>
        <v/>
      </c>
      <c r="J11" s="870">
        <f>VLOOKUP(A11,copcalor,'1b.Cops de calor'!Z$1,FALSE)/1000000</f>
        <v>0.28503548356070613</v>
      </c>
      <c r="K11" s="870">
        <f>VLOOKUP($B11,'2b.Incendis forestals'!$B$4:$P$314,14,FALSE)/1000000</f>
        <v>13.522325621183418</v>
      </c>
      <c r="L11" s="870">
        <f>VLOOKUP($B11,'3b aigua'!$B$4:$K$314,9,FALSE)/1000000</f>
        <v>0.27425753376372047</v>
      </c>
      <c r="M11" s="918">
        <f t="shared" si="3"/>
        <v>44.125741897309467</v>
      </c>
      <c r="N11" s="918">
        <f t="shared" si="4"/>
        <v>1.7550545219999998</v>
      </c>
      <c r="O11" s="918">
        <f t="shared" si="5"/>
        <v>0</v>
      </c>
      <c r="P11" s="918" t="str">
        <f>IF(VLOOKUP($A11,'7b erosió costa'!$A$4:$AP$401,42,FALSE)&gt;0,VLOOKUP($A11,'7b erosió costa'!$A$4:$AP$401,42,FALSE),"")</f>
        <v/>
      </c>
      <c r="Q11" s="863">
        <f t="shared" si="13"/>
        <v>0.23517781844815422</v>
      </c>
      <c r="R11" s="864">
        <f t="shared" si="7"/>
        <v>8.6051163043894476</v>
      </c>
      <c r="S11" s="863">
        <f t="shared" si="8"/>
        <v>8.463196097726719E-2</v>
      </c>
      <c r="T11" s="864">
        <f t="shared" si="14"/>
        <v>34.058181897309467</v>
      </c>
      <c r="U11" s="864">
        <f t="shared" si="9"/>
        <v>0.22492852199999969</v>
      </c>
      <c r="V11" s="864">
        <f t="shared" si="9"/>
        <v>0</v>
      </c>
      <c r="W11" s="864" t="str">
        <f t="shared" si="15"/>
        <v/>
      </c>
      <c r="X11" s="1067">
        <f t="shared" si="10"/>
        <v>43.208036503124333</v>
      </c>
      <c r="Y11" s="826">
        <f>VLOOKUP(B11,'BD ASVICC'!$A$6:$Y$316,24,FALSE)</f>
        <v>227</v>
      </c>
      <c r="Z11" s="826" t="str">
        <f t="shared" si="11"/>
        <v>a &lt; 1.000 hab.</v>
      </c>
      <c r="AA11" s="826">
        <f t="shared" si="12"/>
        <v>190343.7731415169</v>
      </c>
    </row>
    <row r="12" spans="1:27" s="826" customFormat="1" ht="45">
      <c r="A12" s="835">
        <v>8009</v>
      </c>
      <c r="B12" s="826" t="s">
        <v>761</v>
      </c>
      <c r="C12" s="878">
        <f>VLOOKUP(A12,copcalor,'1b.Cops de calor'!P$1,FALSE)/1000000</f>
        <v>16.13152542793976</v>
      </c>
      <c r="D12" s="879">
        <f>VLOOKUP($B12,'2b.Incendis forestals'!$B$4:$P$314,9,FALSE)/1000000</f>
        <v>0.56829769533194074</v>
      </c>
      <c r="E12" s="878">
        <f>VLOOKUP($B12,'3b aigua'!$B$4:$K$314,8,FALSE)/1000000</f>
        <v>29.757437297449922</v>
      </c>
      <c r="F12" s="879">
        <f t="shared" si="0"/>
        <v>1.861111875</v>
      </c>
      <c r="G12" s="879">
        <f t="shared" si="1"/>
        <v>1.067742</v>
      </c>
      <c r="H12" s="879">
        <f t="shared" si="2"/>
        <v>0</v>
      </c>
      <c r="I12" s="878" t="str">
        <f>IF(VLOOKUP($A12,'7b erosió costa'!$A$4:$AP$401,9,FALSE)&gt;0,VLOOKUP($A12,'7b erosió costa'!$A$4:$AP$401,9,FALSE),"")</f>
        <v/>
      </c>
      <c r="J12" s="870">
        <f>VLOOKUP(A12,copcalor,'1b.Cops de calor'!Z$1,FALSE)/1000000</f>
        <v>94.932086355851027</v>
      </c>
      <c r="K12" s="870">
        <f>VLOOKUP($B12,'2b.Incendis forestals'!$B$4:$P$314,14,FALSE)/1000000</f>
        <v>1.562818662162837</v>
      </c>
      <c r="L12" s="870">
        <f>VLOOKUP($B12,'3b aigua'!$B$4:$K$314,9,FALSE)/1000000</f>
        <v>54.668623924870595</v>
      </c>
      <c r="M12" s="918">
        <f t="shared" si="3"/>
        <v>22.10276759255246</v>
      </c>
      <c r="N12" s="918">
        <f t="shared" si="4"/>
        <v>1.2247000739999998</v>
      </c>
      <c r="O12" s="918">
        <f t="shared" si="5"/>
        <v>18.49855333755</v>
      </c>
      <c r="P12" s="918" t="str">
        <f>IF(VLOOKUP($A12,'7b erosió costa'!$A$4:$AP$401,42,FALSE)&gt;0,VLOOKUP($A12,'7b erosió costa'!$A$4:$AP$401,42,FALSE),"")</f>
        <v/>
      </c>
      <c r="Q12" s="863">
        <f t="shared" si="13"/>
        <v>78.800560927911263</v>
      </c>
      <c r="R12" s="864">
        <f t="shared" si="7"/>
        <v>0.9945209668308963</v>
      </c>
      <c r="S12" s="863">
        <f t="shared" si="8"/>
        <v>24.911186627420673</v>
      </c>
      <c r="T12" s="864">
        <f t="shared" si="14"/>
        <v>20.241655717552462</v>
      </c>
      <c r="U12" s="864">
        <f t="shared" si="9"/>
        <v>0.15695807399999984</v>
      </c>
      <c r="V12" s="864">
        <f t="shared" si="9"/>
        <v>18.49855333755</v>
      </c>
      <c r="W12" s="864" t="str">
        <f t="shared" si="15"/>
        <v/>
      </c>
      <c r="X12" s="1067">
        <f t="shared" si="10"/>
        <v>143.6034356512653</v>
      </c>
      <c r="Y12" s="826">
        <f>VLOOKUP(B12,'BD ASVICC'!$A$6:$Y$316,24,FALSE)</f>
        <v>12051</v>
      </c>
      <c r="Z12" s="826" t="str">
        <f t="shared" si="11"/>
        <v>c 5.000 a 20.000 hab.</v>
      </c>
      <c r="AA12" s="826">
        <f t="shared" si="12"/>
        <v>11916.308659137439</v>
      </c>
    </row>
    <row r="13" spans="1:27" s="826" customFormat="1" ht="45">
      <c r="A13" s="835">
        <v>8010</v>
      </c>
      <c r="B13" s="826" t="s">
        <v>767</v>
      </c>
      <c r="C13" s="878">
        <f>VLOOKUP(A13,copcalor,'1b.Cops de calor'!P$1,FALSE)/1000000</f>
        <v>4.5846851300552025</v>
      </c>
      <c r="D13" s="879">
        <f>VLOOKUP($B13,'2b.Incendis forestals'!$B$4:$P$314,9,FALSE)/1000000</f>
        <v>1.1726069926411364</v>
      </c>
      <c r="E13" s="878">
        <f>VLOOKUP($B13,'3b aigua'!$B$4:$K$314,8,FALSE)/1000000</f>
        <v>9.6160150625809084</v>
      </c>
      <c r="F13" s="879">
        <f t="shared" si="0"/>
        <v>4.8017693750000001</v>
      </c>
      <c r="G13" s="879">
        <f t="shared" si="1"/>
        <v>9.9351719999999997</v>
      </c>
      <c r="H13" s="879">
        <f t="shared" si="2"/>
        <v>16.259473825499999</v>
      </c>
      <c r="I13" s="878" t="str">
        <f>IF(VLOOKUP($A13,'7b erosió costa'!$A$4:$AP$401,9,FALSE)&gt;0,VLOOKUP($A13,'7b erosió costa'!$A$4:$AP$401,9,FALSE),"")</f>
        <v/>
      </c>
      <c r="J13" s="870">
        <f>VLOOKUP(A13,copcalor,'1b.Cops de calor'!Z$1,FALSE)/1000000</f>
        <v>22.414577425370485</v>
      </c>
      <c r="K13" s="870">
        <f>VLOOKUP($B13,'2b.Incendis forestals'!$B$4:$P$314,14,FALSE)/1000000</f>
        <v>3.2246692297631259</v>
      </c>
      <c r="L13" s="870">
        <f>VLOOKUP($B13,'3b aigua'!$B$4:$K$314,9,FALSE)/1000000</f>
        <v>13.907747446427924</v>
      </c>
      <c r="M13" s="918">
        <f t="shared" si="3"/>
        <v>28.934269378362686</v>
      </c>
      <c r="N13" s="918">
        <f t="shared" si="4"/>
        <v>11.395642283999999</v>
      </c>
      <c r="O13" s="918">
        <f t="shared" si="5"/>
        <v>17.789906340000002</v>
      </c>
      <c r="P13" s="918" t="str">
        <f>IF(VLOOKUP($A13,'7b erosió costa'!$A$4:$AP$401,42,FALSE)&gt;0,VLOOKUP($A13,'7b erosió costa'!$A$4:$AP$401,42,FALSE),"")</f>
        <v/>
      </c>
      <c r="Q13" s="863">
        <f t="shared" si="13"/>
        <v>17.829892295315283</v>
      </c>
      <c r="R13" s="864">
        <f t="shared" si="7"/>
        <v>2.0520622371219894</v>
      </c>
      <c r="S13" s="863">
        <f t="shared" si="8"/>
        <v>4.2917323838470161</v>
      </c>
      <c r="T13" s="864">
        <f t="shared" si="14"/>
        <v>24.132500003362686</v>
      </c>
      <c r="U13" s="864">
        <f t="shared" si="9"/>
        <v>1.4604702839999995</v>
      </c>
      <c r="V13" s="864">
        <f t="shared" si="9"/>
        <v>1.5304325145000028</v>
      </c>
      <c r="W13" s="864" t="str">
        <f t="shared" si="15"/>
        <v/>
      </c>
      <c r="X13" s="1067">
        <f t="shared" si="10"/>
        <v>51.297089718146978</v>
      </c>
      <c r="Y13" s="826">
        <f>VLOOKUP(B13,'BD ASVICC'!$A$6:$Y$316,24,FALSE)</f>
        <v>5596</v>
      </c>
      <c r="Z13" s="826" t="str">
        <f t="shared" si="11"/>
        <v>c 5.000 a 20.000 hab.</v>
      </c>
      <c r="AA13" s="826">
        <f t="shared" si="12"/>
        <v>9166.7422655730843</v>
      </c>
    </row>
    <row r="14" spans="1:27" s="826" customFormat="1" ht="45">
      <c r="A14" s="835">
        <v>8011</v>
      </c>
      <c r="B14" s="826" t="s">
        <v>774</v>
      </c>
      <c r="C14" s="878">
        <f>VLOOKUP(A14,copcalor,'1b.Cops de calor'!P$1,FALSE)/1000000</f>
        <v>0.40704202265250022</v>
      </c>
      <c r="D14" s="879">
        <f>VLOOKUP($B14,'2b.Incendis forestals'!$B$4:$P$314,9,FALSE)/1000000</f>
        <v>1.0253901930797644</v>
      </c>
      <c r="E14" s="878">
        <f>VLOOKUP($B14,'3b aigua'!$B$4:$K$314,8,FALSE)/1000000</f>
        <v>4.6936014287407994</v>
      </c>
      <c r="F14" s="879">
        <f t="shared" si="0"/>
        <v>9.0934343749999993</v>
      </c>
      <c r="G14" s="879">
        <f t="shared" si="1"/>
        <v>16.703621999999999</v>
      </c>
      <c r="H14" s="879">
        <f t="shared" si="2"/>
        <v>0.74382700034999982</v>
      </c>
      <c r="I14" s="878" t="str">
        <f>IF(VLOOKUP($A14,'7b erosió costa'!$A$4:$AP$401,9,FALSE)&gt;0,VLOOKUP($A14,'7b erosió costa'!$A$4:$AP$401,9,FALSE),"")</f>
        <v/>
      </c>
      <c r="J14" s="870">
        <f>VLOOKUP(A14,copcalor,'1b.Cops de calor'!Z$1,FALSE)/1000000</f>
        <v>2.1588944473653884</v>
      </c>
      <c r="K14" s="870">
        <f>VLOOKUP($B14,'2b.Incendis forestals'!$B$4:$P$314,14,FALSE)/1000000</f>
        <v>2.8198230309693519</v>
      </c>
      <c r="L14" s="870">
        <f>VLOOKUP($B14,'3b aigua'!$B$4:$K$314,9,FALSE)/1000000</f>
        <v>6.7884069295124467</v>
      </c>
      <c r="M14" s="918">
        <f t="shared" si="3"/>
        <v>44.659341686304053</v>
      </c>
      <c r="N14" s="918">
        <f t="shared" si="4"/>
        <v>19.159054433999998</v>
      </c>
      <c r="O14" s="918">
        <f t="shared" si="5"/>
        <v>1.3128524731499998</v>
      </c>
      <c r="P14" s="918" t="str">
        <f>IF(VLOOKUP($A14,'7b erosió costa'!$A$4:$AP$401,42,FALSE)&gt;0,VLOOKUP($A14,'7b erosió costa'!$A$4:$AP$401,42,FALSE),"")</f>
        <v/>
      </c>
      <c r="Q14" s="863">
        <f t="shared" si="13"/>
        <v>1.7518524247128882</v>
      </c>
      <c r="R14" s="864">
        <f t="shared" si="7"/>
        <v>1.7944328378895875</v>
      </c>
      <c r="S14" s="863">
        <f t="shared" si="8"/>
        <v>2.0948055007716473</v>
      </c>
      <c r="T14" s="864">
        <f t="shared" si="14"/>
        <v>35.565907311304052</v>
      </c>
      <c r="U14" s="864">
        <f t="shared" si="9"/>
        <v>2.4554324339999987</v>
      </c>
      <c r="V14" s="864">
        <f t="shared" si="9"/>
        <v>0.56902547279999993</v>
      </c>
      <c r="W14" s="864" t="str">
        <f t="shared" si="15"/>
        <v/>
      </c>
      <c r="X14" s="1067">
        <f t="shared" si="10"/>
        <v>44.23145598147817</v>
      </c>
      <c r="Y14" s="826">
        <f>VLOOKUP(B14,'BD ASVICC'!$A$6:$Y$316,24,FALSE)</f>
        <v>2257</v>
      </c>
      <c r="Z14" s="826" t="str">
        <f t="shared" si="11"/>
        <v>b 1.000 a 5.000 hab.</v>
      </c>
      <c r="AA14" s="826">
        <f t="shared" si="12"/>
        <v>19597.455020592897</v>
      </c>
    </row>
    <row r="15" spans="1:27" s="826" customFormat="1" ht="45">
      <c r="A15" s="835">
        <v>8012</v>
      </c>
      <c r="B15" s="826" t="s">
        <v>781</v>
      </c>
      <c r="C15" s="878">
        <f>VLOOKUP(A15,copcalor,'1b.Cops de calor'!P$1,FALSE)/1000000</f>
        <v>3.1130153806615626</v>
      </c>
      <c r="D15" s="879">
        <f>VLOOKUP($B15,'2b.Incendis forestals'!$B$4:$P$314,9,FALSE)/1000000</f>
        <v>7.565792441252178</v>
      </c>
      <c r="E15" s="878">
        <f>VLOOKUP($B15,'3b aigua'!$B$4:$K$314,8,FALSE)/1000000</f>
        <v>19.533033179358721</v>
      </c>
      <c r="F15" s="879">
        <f t="shared" si="0"/>
        <v>8.7593324999999993</v>
      </c>
      <c r="G15" s="879">
        <f t="shared" si="1"/>
        <v>18.112067999999997</v>
      </c>
      <c r="H15" s="879">
        <f t="shared" si="2"/>
        <v>3.2909929445999997</v>
      </c>
      <c r="I15" s="878" t="str">
        <f>IF(VLOOKUP($A15,'7b erosió costa'!$A$4:$AP$401,9,FALSE)&gt;0,VLOOKUP($A15,'7b erosió costa'!$A$4:$AP$401,9,FALSE),"")</f>
        <v/>
      </c>
      <c r="J15" s="870">
        <f>VLOOKUP(A15,copcalor,'1b.Cops de calor'!Z$1,FALSE)/1000000</f>
        <v>16.664708477469535</v>
      </c>
      <c r="K15" s="870">
        <f>VLOOKUP($B15,'2b.Incendis forestals'!$B$4:$P$314,14,FALSE)/1000000</f>
        <v>20.805929213443491</v>
      </c>
      <c r="L15" s="870">
        <f>VLOOKUP($B15,'3b aigua'!$B$4:$K$314,9,FALSE)/1000000</f>
        <v>28.25083889254072</v>
      </c>
      <c r="M15" s="918">
        <f t="shared" si="3"/>
        <v>40.149707144787442</v>
      </c>
      <c r="N15" s="918">
        <f t="shared" si="4"/>
        <v>20.774541996</v>
      </c>
      <c r="O15" s="918">
        <f t="shared" si="5"/>
        <v>4.0018050374999996</v>
      </c>
      <c r="P15" s="918" t="str">
        <f>IF(VLOOKUP($A15,'7b erosió costa'!$A$4:$AP$401,42,FALSE)&gt;0,VLOOKUP($A15,'7b erosió costa'!$A$4:$AP$401,42,FALSE),"")</f>
        <v/>
      </c>
      <c r="Q15" s="863">
        <f t="shared" si="13"/>
        <v>13.551693096807973</v>
      </c>
      <c r="R15" s="864">
        <f t="shared" si="7"/>
        <v>13.240136772191313</v>
      </c>
      <c r="S15" s="863">
        <f t="shared" si="8"/>
        <v>8.717805713181999</v>
      </c>
      <c r="T15" s="864">
        <f t="shared" si="14"/>
        <v>31.390374644787443</v>
      </c>
      <c r="U15" s="864">
        <f t="shared" si="9"/>
        <v>2.6624739960000028</v>
      </c>
      <c r="V15" s="864">
        <f t="shared" si="9"/>
        <v>0.71081209289999991</v>
      </c>
      <c r="W15" s="864" t="str">
        <f t="shared" si="15"/>
        <v/>
      </c>
      <c r="X15" s="1067">
        <f t="shared" si="10"/>
        <v>70.273296315868734</v>
      </c>
      <c r="Y15" s="826">
        <f>VLOOKUP(B15,'BD ASVICC'!$A$6:$Y$316,24,FALSE)</f>
        <v>2212</v>
      </c>
      <c r="Z15" s="826" t="str">
        <f t="shared" si="11"/>
        <v>b 1.000 a 5.000 hab.</v>
      </c>
      <c r="AA15" s="826">
        <f t="shared" si="12"/>
        <v>31769.121300121489</v>
      </c>
    </row>
    <row r="16" spans="1:27" s="826" customFormat="1" ht="45">
      <c r="A16" s="835">
        <v>8013</v>
      </c>
      <c r="B16" s="826" t="s">
        <v>787</v>
      </c>
      <c r="C16" s="878">
        <f>VLOOKUP(A16,copcalor,'1b.Cops de calor'!P$1,FALSE)/1000000</f>
        <v>0.31272716184648752</v>
      </c>
      <c r="D16" s="879">
        <f>VLOOKUP($B16,'2b.Incendis forestals'!$B$4:$P$314,9,FALSE)/1000000</f>
        <v>1.5409891809060741</v>
      </c>
      <c r="E16" s="878">
        <f>VLOOKUP($B16,'3b aigua'!$B$4:$K$314,8,FALSE)/1000000</f>
        <v>5.0003158086617594</v>
      </c>
      <c r="F16" s="879">
        <f t="shared" si="0"/>
        <v>0.46881874999999995</v>
      </c>
      <c r="G16" s="879">
        <f t="shared" si="1"/>
        <v>0.27378000000000002</v>
      </c>
      <c r="H16" s="879">
        <f t="shared" si="2"/>
        <v>0</v>
      </c>
      <c r="I16" s="878" t="str">
        <f>IF(VLOOKUP($A16,'7b erosió costa'!$A$4:$AP$401,9,FALSE)&gt;0,VLOOKUP($A16,'7b erosió costa'!$A$4:$AP$401,9,FALSE),"")</f>
        <v/>
      </c>
      <c r="J16" s="870">
        <f>VLOOKUP(A16,copcalor,'1b.Cops de calor'!Z$1,FALSE)/1000000</f>
        <v>1.7994812825436464</v>
      </c>
      <c r="K16" s="870">
        <f>VLOOKUP($B16,'2b.Incendis forestals'!$B$4:$P$314,14,FALSE)/1000000</f>
        <v>4.237720247491704</v>
      </c>
      <c r="L16" s="870">
        <f>VLOOKUP($B16,'3b aigua'!$B$4:$K$314,9,FALSE)/1000000</f>
        <v>9.1862878418210006</v>
      </c>
      <c r="M16" s="918">
        <f t="shared" si="3"/>
        <v>3.4069686306841889</v>
      </c>
      <c r="N16" s="918">
        <f t="shared" si="4"/>
        <v>0.31402566000000004</v>
      </c>
      <c r="O16" s="918">
        <f t="shared" si="5"/>
        <v>0</v>
      </c>
      <c r="P16" s="918" t="str">
        <f>IF(VLOOKUP($A16,'7b erosió costa'!$A$4:$AP$401,42,FALSE)&gt;0,VLOOKUP($A16,'7b erosió costa'!$A$4:$AP$401,42,FALSE),"")</f>
        <v/>
      </c>
      <c r="Q16" s="863">
        <f t="shared" si="13"/>
        <v>1.4867541206971588</v>
      </c>
      <c r="R16" s="864">
        <f t="shared" si="7"/>
        <v>2.6967310665856301</v>
      </c>
      <c r="S16" s="863">
        <f t="shared" si="8"/>
        <v>4.1859720331592412</v>
      </c>
      <c r="T16" s="864">
        <f t="shared" si="14"/>
        <v>2.9381498806841888</v>
      </c>
      <c r="U16" s="864">
        <f t="shared" si="9"/>
        <v>4.0245660000000016E-2</v>
      </c>
      <c r="V16" s="864">
        <f t="shared" si="9"/>
        <v>0</v>
      </c>
      <c r="W16" s="864" t="str">
        <f t="shared" si="15"/>
        <v/>
      </c>
      <c r="X16" s="1067">
        <f t="shared" si="10"/>
        <v>11.347852761126219</v>
      </c>
      <c r="Y16" s="826">
        <f>VLOOKUP(B16,'BD ASVICC'!$A$6:$Y$316,24,FALSE)</f>
        <v>1665</v>
      </c>
      <c r="Z16" s="826" t="str">
        <f t="shared" si="11"/>
        <v>b 1.000 a 5.000 hab.</v>
      </c>
      <c r="AA16" s="826">
        <f t="shared" si="12"/>
        <v>6815.5271838595918</v>
      </c>
    </row>
    <row r="17" spans="1:27" s="826" customFormat="1" ht="45">
      <c r="A17" s="835">
        <v>8014</v>
      </c>
      <c r="B17" s="826" t="s">
        <v>797</v>
      </c>
      <c r="C17" s="878">
        <f>VLOOKUP(A17,copcalor,'1b.Cops de calor'!P$1,FALSE)/1000000</f>
        <v>0.93636836483646313</v>
      </c>
      <c r="D17" s="879">
        <f>VLOOKUP($B17,'2b.Incendis forestals'!$B$4:$P$314,9,FALSE)/1000000</f>
        <v>0.2099583133481219</v>
      </c>
      <c r="E17" s="878">
        <f>VLOOKUP($B17,'3b aigua'!$B$4:$K$314,8,FALSE)/1000000</f>
        <v>4.092122058581567</v>
      </c>
      <c r="F17" s="879">
        <f t="shared" si="0"/>
        <v>6.2408749999999992E-2</v>
      </c>
      <c r="G17" s="879">
        <f t="shared" si="1"/>
        <v>0.81153210033821199</v>
      </c>
      <c r="H17" s="879">
        <f t="shared" si="2"/>
        <v>24.626850923549995</v>
      </c>
      <c r="I17" s="878" t="str">
        <f>IF(VLOOKUP($A17,'7b erosió costa'!$A$4:$AP$401,9,FALSE)&gt;0,VLOOKUP($A17,'7b erosió costa'!$A$4:$AP$401,9,FALSE),"")</f>
        <v/>
      </c>
      <c r="J17" s="870">
        <f>VLOOKUP(A17,copcalor,'1b.Cops de calor'!Z$1,FALSE)/1000000</f>
        <v>5.3956120122686553</v>
      </c>
      <c r="K17" s="870">
        <f>VLOOKUP($B17,'2b.Incendis forestals'!$B$4:$P$314,14,FALSE)/1000000</f>
        <v>0.57738536170733534</v>
      </c>
      <c r="L17" s="870">
        <f>VLOOKUP($B17,'3b aigua'!$B$4:$K$314,9,FALSE)/1000000</f>
        <v>5.9184807573953737</v>
      </c>
      <c r="M17" s="918">
        <f t="shared" si="3"/>
        <v>0.99183809980485171</v>
      </c>
      <c r="N17" s="918">
        <f t="shared" si="4"/>
        <v>0.93082731908792904</v>
      </c>
      <c r="O17" s="918">
        <f t="shared" si="5"/>
        <v>31.474065674549998</v>
      </c>
      <c r="P17" s="918" t="str">
        <f>IF(VLOOKUP($A17,'7b erosió costa'!$A$4:$AP$401,42,FALSE)&gt;0,VLOOKUP($A17,'7b erosió costa'!$A$4:$AP$401,42,FALSE),"")</f>
        <v/>
      </c>
      <c r="Q17" s="863">
        <f t="shared" si="13"/>
        <v>4.4592436474321921</v>
      </c>
      <c r="R17" s="864">
        <f t="shared" si="7"/>
        <v>0.36742704835921347</v>
      </c>
      <c r="S17" s="863">
        <f t="shared" si="8"/>
        <v>1.8263586988138067</v>
      </c>
      <c r="T17" s="864">
        <f t="shared" si="14"/>
        <v>0.9294293498048517</v>
      </c>
      <c r="U17" s="864">
        <f t="shared" si="9"/>
        <v>0.11929521874971705</v>
      </c>
      <c r="V17" s="864">
        <f t="shared" si="9"/>
        <v>6.8472147510000028</v>
      </c>
      <c r="W17" s="864" t="str">
        <f t="shared" si="15"/>
        <v/>
      </c>
      <c r="X17" s="1067">
        <f t="shared" si="10"/>
        <v>14.548968714159784</v>
      </c>
      <c r="Y17" s="826">
        <f>VLOOKUP(B17,'BD ASVICC'!$A$6:$Y$316,24,FALSE)</f>
        <v>2467</v>
      </c>
      <c r="Z17" s="826" t="str">
        <f t="shared" si="11"/>
        <v>b 1.000 a 5.000 hab.</v>
      </c>
      <c r="AA17" s="826">
        <f t="shared" si="12"/>
        <v>5897.4336093067632</v>
      </c>
    </row>
    <row r="18" spans="1:27" s="826" customFormat="1" ht="45">
      <c r="A18" s="835">
        <v>8015</v>
      </c>
      <c r="B18" s="826" t="s">
        <v>335</v>
      </c>
      <c r="C18" s="878">
        <f>VLOOKUP(A18,copcalor,'1b.Cops de calor'!P$1,FALSE)/1000000</f>
        <v>472.98007748131079</v>
      </c>
      <c r="D18" s="879">
        <f>VLOOKUP($B18,'2b.Incendis forestals'!$B$4:$P$314,9,FALSE)/1000000</f>
        <v>1.8405800536957413</v>
      </c>
      <c r="E18" s="878">
        <f>VLOOKUP($B18,'3b aigua'!$B$4:$K$314,8,FALSE)/1000000</f>
        <v>420.49591193248386</v>
      </c>
      <c r="F18" s="879">
        <f t="shared" si="0"/>
        <v>5.7963125000000004E-2</v>
      </c>
      <c r="G18" s="879">
        <f t="shared" si="1"/>
        <v>3.042E-3</v>
      </c>
      <c r="H18" s="879">
        <f t="shared" si="2"/>
        <v>0</v>
      </c>
      <c r="I18" s="878">
        <f>IF(VLOOKUP($A18,'7b erosió costa'!$A$4:$AP$401,9,FALSE)&gt;0,VLOOKUP($A18,'7b erosió costa'!$A$4:$AP$401,9,FALSE),"")</f>
        <v>42.966678082191791</v>
      </c>
      <c r="J18" s="870">
        <f>VLOOKUP(A18,copcalor,'1b.Cops de calor'!Z$1,FALSE)/1000000</f>
        <v>2785.7650078096626</v>
      </c>
      <c r="K18" s="870">
        <f>VLOOKUP($B18,'2b.Incendis forestals'!$B$4:$P$314,14,FALSE)/1000000</f>
        <v>5.0615951476632901</v>
      </c>
      <c r="L18" s="870">
        <f>VLOOKUP($B18,'3b aigua'!$B$4:$K$314,9,FALSE)/1000000</f>
        <v>772.51050356249698</v>
      </c>
      <c r="M18" s="918">
        <f t="shared" si="3"/>
        <v>1.8441230800080941</v>
      </c>
      <c r="N18" s="918">
        <f t="shared" si="4"/>
        <v>3.4891739999999994E-3</v>
      </c>
      <c r="O18" s="918">
        <f t="shared" si="5"/>
        <v>0</v>
      </c>
      <c r="P18" s="918">
        <f>IF(VLOOKUP($A18,'7b erosió costa'!$A$4:$AP$401,42,FALSE)&gt;0,VLOOKUP($A18,'7b erosió costa'!$A$4:$AP$401,42,FALSE),"")</f>
        <v>49.58989753920536</v>
      </c>
      <c r="Q18" s="863">
        <f t="shared" si="13"/>
        <v>2312.7849303283519</v>
      </c>
      <c r="R18" s="864">
        <f t="shared" si="7"/>
        <v>3.2210150939675488</v>
      </c>
      <c r="S18" s="863">
        <f t="shared" si="8"/>
        <v>352.01459163001311</v>
      </c>
      <c r="T18" s="864">
        <f t="shared" si="14"/>
        <v>1.786159955008094</v>
      </c>
      <c r="U18" s="864">
        <f t="shared" si="9"/>
        <v>4.471739999999994E-4</v>
      </c>
      <c r="V18" s="864">
        <f t="shared" si="9"/>
        <v>0</v>
      </c>
      <c r="W18" s="864">
        <f t="shared" si="15"/>
        <v>6.623219457013569</v>
      </c>
      <c r="X18" s="1067">
        <f t="shared" si="10"/>
        <v>2676.4303636383543</v>
      </c>
      <c r="Y18" s="826">
        <f>VLOOKUP(B18,'BD ASVICC'!$A$6:$Y$316,24,FALSE)</f>
        <v>215634</v>
      </c>
      <c r="Z18" s="826" t="str">
        <f t="shared" si="11"/>
        <v>e &gt;50.000 hab.</v>
      </c>
      <c r="AA18" s="826">
        <f t="shared" si="12"/>
        <v>12411.912609506639</v>
      </c>
    </row>
    <row r="19" spans="1:27" s="826" customFormat="1" ht="45">
      <c r="A19" s="835">
        <v>8016</v>
      </c>
      <c r="B19" s="826" t="s">
        <v>807</v>
      </c>
      <c r="C19" s="878">
        <f>VLOOKUP(A19,copcalor,'1b.Cops de calor'!P$1,FALSE)/1000000</f>
        <v>0.24836789865356143</v>
      </c>
      <c r="D19" s="879">
        <f>VLOOKUP($B19,'2b.Incendis forestals'!$B$4:$P$314,9,FALSE)/1000000</f>
        <v>3.2640353889822467</v>
      </c>
      <c r="E19" s="878">
        <f>VLOOKUP($B19,'3b aigua'!$B$4:$K$314,8,FALSE)/1000000</f>
        <v>1.9609603314958932</v>
      </c>
      <c r="F19" s="879">
        <f t="shared" si="0"/>
        <v>0.83882562499999991</v>
      </c>
      <c r="G19" s="879">
        <f t="shared" si="1"/>
        <v>0.51409799999999994</v>
      </c>
      <c r="H19" s="879">
        <f t="shared" si="2"/>
        <v>3.2217106382999994</v>
      </c>
      <c r="I19" s="878" t="str">
        <f>IF(VLOOKUP($A19,'7b erosió costa'!$A$4:$AP$401,9,FALSE)&gt;0,VLOOKUP($A19,'7b erosió costa'!$A$4:$AP$401,9,FALSE),"")</f>
        <v/>
      </c>
      <c r="J19" s="870">
        <f>VLOOKUP(A19,copcalor,'1b.Cops de calor'!Z$1,FALSE)/1000000</f>
        <v>1.3409204502047778</v>
      </c>
      <c r="K19" s="870">
        <f>VLOOKUP($B19,'2b.Incendis forestals'!$B$4:$P$314,14,FALSE)/1000000</f>
        <v>8.9760973197011786</v>
      </c>
      <c r="L19" s="870">
        <f>VLOOKUP($B19,'3b aigua'!$B$4:$K$314,9,FALSE)/1000000</f>
        <v>2.8361583114646867</v>
      </c>
      <c r="M19" s="918">
        <f t="shared" si="3"/>
        <v>9.0972469868515144</v>
      </c>
      <c r="N19" s="918">
        <f t="shared" si="4"/>
        <v>0.58967040599999998</v>
      </c>
      <c r="O19" s="918">
        <f t="shared" si="5"/>
        <v>3.8987672497499997</v>
      </c>
      <c r="P19" s="918" t="str">
        <f>IF(VLOOKUP($A19,'7b erosió costa'!$A$4:$AP$401,42,FALSE)&gt;0,VLOOKUP($A19,'7b erosió costa'!$A$4:$AP$401,42,FALSE),"")</f>
        <v/>
      </c>
      <c r="Q19" s="863">
        <f t="shared" si="13"/>
        <v>1.0925525515512164</v>
      </c>
      <c r="R19" s="864">
        <f t="shared" si="7"/>
        <v>5.7120619307189315</v>
      </c>
      <c r="S19" s="863">
        <f t="shared" si="8"/>
        <v>0.87519797996879345</v>
      </c>
      <c r="T19" s="864">
        <f t="shared" si="14"/>
        <v>8.2584213618515143</v>
      </c>
      <c r="U19" s="864">
        <f t="shared" si="9"/>
        <v>7.5572406000000036E-2</v>
      </c>
      <c r="V19" s="864">
        <f t="shared" si="9"/>
        <v>0.67705661145000029</v>
      </c>
      <c r="W19" s="864" t="str">
        <f t="shared" si="15"/>
        <v/>
      </c>
      <c r="X19" s="1067">
        <f t="shared" si="10"/>
        <v>16.690862841540458</v>
      </c>
      <c r="Y19" s="826">
        <f>VLOOKUP(B19,'BD ASVICC'!$A$6:$Y$316,24,FALSE)</f>
        <v>2162</v>
      </c>
      <c r="Z19" s="826" t="str">
        <f t="shared" si="11"/>
        <v>b 1.000 a 5.000 hab.</v>
      </c>
      <c r="AA19" s="826">
        <f t="shared" si="12"/>
        <v>7720.1030719428572</v>
      </c>
    </row>
    <row r="20" spans="1:27" s="826" customFormat="1" ht="45">
      <c r="A20" s="835">
        <v>8017</v>
      </c>
      <c r="B20" s="826" t="s">
        <v>812</v>
      </c>
      <c r="C20" s="878">
        <f>VLOOKUP(A20,copcalor,'1b.Cops de calor'!P$1,FALSE)/1000000</f>
        <v>1.6755379104447492</v>
      </c>
      <c r="D20" s="879">
        <f>VLOOKUP($B20,'2b.Incendis forestals'!$B$4:$P$314,9,FALSE)/1000000</f>
        <v>9.4124589051904614E-2</v>
      </c>
      <c r="E20" s="878">
        <f>VLOOKUP($B20,'3b aigua'!$B$4:$K$314,8,FALSE)/1000000</f>
        <v>4.9035578101048536</v>
      </c>
      <c r="F20" s="879">
        <f t="shared" si="0"/>
        <v>4.1150181249999997</v>
      </c>
      <c r="G20" s="879">
        <f t="shared" si="1"/>
        <v>12.490451999999998</v>
      </c>
      <c r="H20" s="879">
        <f t="shared" si="2"/>
        <v>0</v>
      </c>
      <c r="I20" s="878" t="str">
        <f>IF(VLOOKUP($A20,'7b erosió costa'!$A$4:$AP$401,9,FALSE)&gt;0,VLOOKUP($A20,'7b erosió costa'!$A$4:$AP$401,9,FALSE),"")</f>
        <v/>
      </c>
      <c r="J20" s="870">
        <f>VLOOKUP(A20,copcalor,'1b.Cops de calor'!Z$1,FALSE)/1000000</f>
        <v>9.7982124850802048</v>
      </c>
      <c r="K20" s="870">
        <f>VLOOKUP($B20,'2b.Incendis forestals'!$B$4:$P$314,14,FALSE)/1000000</f>
        <v>0.25884261989273766</v>
      </c>
      <c r="L20" s="870">
        <f>VLOOKUP($B20,'3b aigua'!$B$4:$K$314,9,FALSE)/1000000</f>
        <v>7.0920691334268247</v>
      </c>
      <c r="M20" s="918">
        <f t="shared" si="3"/>
        <v>22.967309691351389</v>
      </c>
      <c r="N20" s="918">
        <f t="shared" si="4"/>
        <v>14.326548443999998</v>
      </c>
      <c r="O20" s="918">
        <f t="shared" si="5"/>
        <v>0</v>
      </c>
      <c r="P20" s="918" t="str">
        <f>IF(VLOOKUP($A20,'7b erosió costa'!$A$4:$AP$401,42,FALSE)&gt;0,VLOOKUP($A20,'7b erosió costa'!$A$4:$AP$401,42,FALSE),"")</f>
        <v/>
      </c>
      <c r="Q20" s="863">
        <f t="shared" si="13"/>
        <v>8.1226745746354556</v>
      </c>
      <c r="R20" s="864">
        <f t="shared" si="7"/>
        <v>0.16471803084083303</v>
      </c>
      <c r="S20" s="863">
        <f t="shared" si="8"/>
        <v>2.1885113233219711</v>
      </c>
      <c r="T20" s="864">
        <f t="shared" si="14"/>
        <v>18.85229156635139</v>
      </c>
      <c r="U20" s="864">
        <f t="shared" si="9"/>
        <v>1.8360964440000007</v>
      </c>
      <c r="V20" s="864">
        <f t="shared" si="9"/>
        <v>0</v>
      </c>
      <c r="W20" s="864" t="str">
        <f t="shared" si="15"/>
        <v/>
      </c>
      <c r="X20" s="1067">
        <f t="shared" si="10"/>
        <v>31.164291939149649</v>
      </c>
      <c r="Y20" s="826">
        <f>VLOOKUP(B20,'BD ASVICC'!$A$6:$Y$316,24,FALSE)</f>
        <v>3705</v>
      </c>
      <c r="Z20" s="826" t="str">
        <f t="shared" si="11"/>
        <v>b 1.000 a 5.000 hab.</v>
      </c>
      <c r="AA20" s="826">
        <f t="shared" si="12"/>
        <v>8411.4148283804716</v>
      </c>
    </row>
    <row r="21" spans="1:27" s="826" customFormat="1" ht="45">
      <c r="A21" s="835">
        <v>8018</v>
      </c>
      <c r="B21" s="826" t="s">
        <v>817</v>
      </c>
      <c r="C21" s="878">
        <f>VLOOKUP(A21,copcalor,'1b.Cops de calor'!P$1,FALSE)/1000000</f>
        <v>4.1916645755416972</v>
      </c>
      <c r="D21" s="879">
        <f>VLOOKUP($B21,'2b.Incendis forestals'!$B$4:$P$314,9,FALSE)/1000000</f>
        <v>4.0793510870755032</v>
      </c>
      <c r="E21" s="878">
        <f>VLOOKUP($B21,'3b aigua'!$B$4:$K$314,8,FALSE)/1000000</f>
        <v>6.4170982261956269</v>
      </c>
      <c r="F21" s="879">
        <f t="shared" si="0"/>
        <v>5.5141743749999996</v>
      </c>
      <c r="G21" s="879">
        <f t="shared" si="1"/>
        <v>13.016717999999999</v>
      </c>
      <c r="H21" s="879">
        <f t="shared" si="2"/>
        <v>28.7431269054</v>
      </c>
      <c r="I21" s="878" t="str">
        <f>IF(VLOOKUP($A21,'7b erosió costa'!$A$4:$AP$401,9,FALSE)&gt;0,VLOOKUP($A21,'7b erosió costa'!$A$4:$AP$401,9,FALSE),"")</f>
        <v/>
      </c>
      <c r="J21" s="870">
        <f>VLOOKUP(A21,copcalor,'1b.Cops de calor'!Z$1,FALSE)/1000000</f>
        <v>22.159948662855971</v>
      </c>
      <c r="K21" s="870">
        <f>VLOOKUP($B21,'2b.Incendis forestals'!$B$4:$P$314,14,FALSE)/1000000</f>
        <v>11.218215489457636</v>
      </c>
      <c r="L21" s="870">
        <f>VLOOKUP($B21,'3b aigua'!$B$4:$K$314,9,FALSE)/1000000</f>
        <v>9.2811191421840054</v>
      </c>
      <c r="M21" s="918">
        <f t="shared" si="3"/>
        <v>25.996171775406864</v>
      </c>
      <c r="N21" s="918">
        <f t="shared" si="4"/>
        <v>14.930175545999997</v>
      </c>
      <c r="O21" s="918">
        <f t="shared" si="5"/>
        <v>32.794375237800004</v>
      </c>
      <c r="P21" s="918" t="str">
        <f>IF(VLOOKUP($A21,'7b erosió costa'!$A$4:$AP$401,42,FALSE)&gt;0,VLOOKUP($A21,'7b erosió costa'!$A$4:$AP$401,42,FALSE),"")</f>
        <v/>
      </c>
      <c r="Q21" s="863">
        <f t="shared" si="13"/>
        <v>17.968284087314274</v>
      </c>
      <c r="R21" s="864">
        <f t="shared" si="7"/>
        <v>7.1388644023821328</v>
      </c>
      <c r="S21" s="863">
        <f t="shared" si="8"/>
        <v>2.8640209159883785</v>
      </c>
      <c r="T21" s="864">
        <f t="shared" si="14"/>
        <v>20.481997400406865</v>
      </c>
      <c r="U21" s="864">
        <f t="shared" si="9"/>
        <v>1.9134575459999983</v>
      </c>
      <c r="V21" s="864">
        <f t="shared" si="9"/>
        <v>4.0512483324000037</v>
      </c>
      <c r="W21" s="864" t="str">
        <f t="shared" si="15"/>
        <v/>
      </c>
      <c r="X21" s="1067">
        <f t="shared" si="10"/>
        <v>54.417872684491641</v>
      </c>
      <c r="Y21" s="826">
        <f>VLOOKUP(B21,'BD ASVICC'!$A$6:$Y$316,24,FALSE)</f>
        <v>3285</v>
      </c>
      <c r="Z21" s="826" t="str">
        <f t="shared" si="11"/>
        <v>b 1.000 a 5.000 hab.</v>
      </c>
      <c r="AA21" s="826">
        <f t="shared" si="12"/>
        <v>16565.562461032463</v>
      </c>
    </row>
    <row r="22" spans="1:27" s="826" customFormat="1" ht="45">
      <c r="A22" s="835">
        <v>8019</v>
      </c>
      <c r="B22" s="826" t="s">
        <v>331</v>
      </c>
      <c r="C22" s="878">
        <f>VLOOKUP(A22,copcalor,'1b.Cops de calor'!P$1,FALSE)/1000000</f>
        <v>2157.6794509136507</v>
      </c>
      <c r="D22" s="879">
        <f>VLOOKUP($B22,'2b.Incendis forestals'!$B$4:$P$314,9,FALSE)/1000000</f>
        <v>4.45834561679019</v>
      </c>
      <c r="E22" s="878">
        <f>VLOOKUP($B22,'3b aigua'!$B$4:$K$314,8,FALSE)/1000000</f>
        <v>4487.2156251274428</v>
      </c>
      <c r="F22" s="879">
        <f t="shared" si="0"/>
        <v>0.22027687500000001</v>
      </c>
      <c r="G22" s="879">
        <f t="shared" si="1"/>
        <v>2.1293999999999997E-2</v>
      </c>
      <c r="H22" s="879">
        <f t="shared" si="2"/>
        <v>5.1653674392000006</v>
      </c>
      <c r="I22" s="878">
        <f>IF(VLOOKUP($A22,'7b erosió costa'!$A$4:$AP$401,9,FALSE)&gt;0,VLOOKUP($A22,'7b erosió costa'!$A$4:$AP$401,9,FALSE),"")</f>
        <v>35.183076923076925</v>
      </c>
      <c r="J22" s="870">
        <f>VLOOKUP(A22,copcalor,'1b.Cops de calor'!Z$1,FALSE)/1000000</f>
        <v>12769.206532382193</v>
      </c>
      <c r="K22" s="870">
        <f>VLOOKUP($B22,'2b.Incendis forestals'!$B$4:$P$314,14,FALSE)/1000000</f>
        <v>12.260450446173023</v>
      </c>
      <c r="L22" s="870">
        <f>VLOOKUP($B22,'3b aigua'!$B$4:$K$314,9,FALSE)/1000000</f>
        <v>8243.6501849209053</v>
      </c>
      <c r="M22" s="918">
        <f t="shared" si="3"/>
        <v>26.348188537893314</v>
      </c>
      <c r="N22" s="918">
        <f t="shared" si="4"/>
        <v>2.4424217999999998E-2</v>
      </c>
      <c r="O22" s="918">
        <f t="shared" si="5"/>
        <v>61.131925794300003</v>
      </c>
      <c r="P22" s="918">
        <f>IF(VLOOKUP($A22,'7b erosió costa'!$A$4:$AP$401,42,FALSE)&gt;0,VLOOKUP($A22,'7b erosió costa'!$A$4:$AP$401,42,FALSE),"")</f>
        <v>40.606471284371743</v>
      </c>
      <c r="Q22" s="863">
        <f t="shared" si="13"/>
        <v>10611.527081468543</v>
      </c>
      <c r="R22" s="864">
        <f t="shared" si="7"/>
        <v>7.8021048293828326</v>
      </c>
      <c r="S22" s="863">
        <f t="shared" si="8"/>
        <v>3756.4345597934625</v>
      </c>
      <c r="T22" s="864">
        <f t="shared" si="14"/>
        <v>26.127911662893315</v>
      </c>
      <c r="U22" s="864">
        <f t="shared" si="9"/>
        <v>3.1302180000000006E-3</v>
      </c>
      <c r="V22" s="864">
        <f t="shared" si="9"/>
        <v>55.966558355100005</v>
      </c>
      <c r="W22" s="864">
        <f t="shared" si="15"/>
        <v>5.4233943612948181</v>
      </c>
      <c r="X22" s="1067">
        <f t="shared" si="10"/>
        <v>14463.284740688676</v>
      </c>
      <c r="Y22" s="826">
        <f>VLOOKUP(B22,'BD ASVICC'!$A$6:$Y$316,24,FALSE)</f>
        <v>1608746</v>
      </c>
      <c r="Z22" s="826" t="str">
        <f t="shared" si="11"/>
        <v>e &gt;50.000 hab.</v>
      </c>
      <c r="AA22" s="826">
        <f t="shared" si="12"/>
        <v>8990.4091389745026</v>
      </c>
    </row>
    <row r="23" spans="1:27" s="826" customFormat="1" ht="45">
      <c r="A23" s="835">
        <v>8020</v>
      </c>
      <c r="B23" s="826" t="s">
        <v>825</v>
      </c>
      <c r="C23" s="878">
        <f>VLOOKUP(A23,copcalor,'1b.Cops de calor'!P$1,FALSE)/1000000</f>
        <v>1.4228700930934697</v>
      </c>
      <c r="D23" s="879">
        <f>VLOOKUP($B23,'2b.Incendis forestals'!$B$4:$P$314,9,FALSE)/1000000</f>
        <v>5.4524750216552365</v>
      </c>
      <c r="E23" s="878">
        <f>VLOOKUP($B23,'3b aigua'!$B$4:$K$314,8,FALSE)/1000000</f>
        <v>17.6236459865552</v>
      </c>
      <c r="F23" s="879">
        <f t="shared" si="0"/>
        <v>0.59539749999999991</v>
      </c>
      <c r="G23" s="879">
        <f t="shared" si="1"/>
        <v>1.2168E-2</v>
      </c>
      <c r="H23" s="879">
        <f t="shared" si="2"/>
        <v>0</v>
      </c>
      <c r="I23" s="878" t="str">
        <f>IF(VLOOKUP($A23,'7b erosió costa'!$A$4:$AP$401,9,FALSE)&gt;0,VLOOKUP($A23,'7b erosió costa'!$A$4:$AP$401,9,FALSE),"")</f>
        <v/>
      </c>
      <c r="J23" s="870">
        <f>VLOOKUP(A23,copcalor,'1b.Cops de calor'!Z$1,FALSE)/1000000</f>
        <v>8.357613749236501</v>
      </c>
      <c r="K23" s="870">
        <f>VLOOKUP($B23,'2b.Incendis forestals'!$B$4:$P$314,14,FALSE)/1000000</f>
        <v>14.994306309551902</v>
      </c>
      <c r="L23" s="870">
        <f>VLOOKUP($B23,'3b aigua'!$B$4:$K$314,9,FALSE)/1000000</f>
        <v>32.377131975225751</v>
      </c>
      <c r="M23" s="918">
        <f t="shared" si="3"/>
        <v>3.2540093434897135</v>
      </c>
      <c r="N23" s="918">
        <f t="shared" si="4"/>
        <v>1.3956695999999998E-2</v>
      </c>
      <c r="O23" s="918">
        <f t="shared" si="5"/>
        <v>0</v>
      </c>
      <c r="P23" s="918" t="str">
        <f>IF(VLOOKUP($A23,'7b erosió costa'!$A$4:$AP$401,42,FALSE)&gt;0,VLOOKUP($A23,'7b erosió costa'!$A$4:$AP$401,42,FALSE),"")</f>
        <v/>
      </c>
      <c r="Q23" s="863">
        <f t="shared" si="13"/>
        <v>6.9347436561430316</v>
      </c>
      <c r="R23" s="864">
        <f t="shared" si="7"/>
        <v>9.5418312878966667</v>
      </c>
      <c r="S23" s="863">
        <f t="shared" si="8"/>
        <v>14.753485988670551</v>
      </c>
      <c r="T23" s="864">
        <f t="shared" si="14"/>
        <v>2.6586118434897137</v>
      </c>
      <c r="U23" s="864">
        <f t="shared" si="9"/>
        <v>1.7886959999999976E-3</v>
      </c>
      <c r="V23" s="864">
        <f t="shared" si="9"/>
        <v>0</v>
      </c>
      <c r="W23" s="864" t="str">
        <f t="shared" si="15"/>
        <v/>
      </c>
      <c r="X23" s="1067">
        <f t="shared" si="10"/>
        <v>33.890461472199959</v>
      </c>
      <c r="Y23" s="826">
        <f>VLOOKUP(B23,'BD ASVICC'!$A$6:$Y$316,24,FALSE)</f>
        <v>6736</v>
      </c>
      <c r="Z23" s="826" t="str">
        <f t="shared" si="11"/>
        <v>c 5.000 a 20.000 hab.</v>
      </c>
      <c r="AA23" s="826">
        <f t="shared" si="12"/>
        <v>5031.2442803147214</v>
      </c>
    </row>
    <row r="24" spans="1:27" s="826" customFormat="1" ht="30">
      <c r="A24" s="835">
        <v>8021</v>
      </c>
      <c r="B24" s="826" t="s">
        <v>829</v>
      </c>
      <c r="C24" s="878">
        <f>VLOOKUP(A24,copcalor,'1b.Cops de calor'!P$1,FALSE)/1000000</f>
        <v>4.7716078781680139E-2</v>
      </c>
      <c r="D24" s="879">
        <f>VLOOKUP($B24,'2b.Incendis forestals'!$B$4:$P$314,9,FALSE)/1000000</f>
        <v>3.0571351804815228</v>
      </c>
      <c r="E24" s="878">
        <f>VLOOKUP($B24,'3b aigua'!$B$4:$K$314,8,FALSE)/1000000</f>
        <v>2.571489616096E-2</v>
      </c>
      <c r="F24" s="879">
        <f t="shared" si="0"/>
        <v>6.7235899999999997</v>
      </c>
      <c r="G24" s="879">
        <f t="shared" si="1"/>
        <v>3.2610239999999995</v>
      </c>
      <c r="H24" s="879">
        <f t="shared" si="2"/>
        <v>2.9774942999999999E-3</v>
      </c>
      <c r="I24" s="878" t="str">
        <f>IF(VLOOKUP($A24,'7b erosió costa'!$A$4:$AP$401,9,FALSE)&gt;0,VLOOKUP($A24,'7b erosió costa'!$A$4:$AP$401,9,FALSE),"")</f>
        <v/>
      </c>
      <c r="J24" s="870">
        <f>VLOOKUP(A24,copcalor,'1b.Cops de calor'!Z$1,FALSE)/1000000</f>
        <v>0.28163441086807472</v>
      </c>
      <c r="K24" s="870">
        <f>VLOOKUP($B24,'2b.Incendis forestals'!$B$4:$P$314,14,FALSE)/1000000</f>
        <v>8.4071217463241865</v>
      </c>
      <c r="L24" s="870">
        <f>VLOOKUP($B24,'3b aigua'!$B$4:$K$314,9,FALSE)/1000000</f>
        <v>3.7191734735257595E-2</v>
      </c>
      <c r="M24" s="918">
        <f t="shared" si="3"/>
        <v>29.429278229436605</v>
      </c>
      <c r="N24" s="918">
        <f t="shared" si="4"/>
        <v>3.7403945279999995</v>
      </c>
      <c r="O24" s="1112">
        <f t="shared" si="5"/>
        <v>3.4734413999999996E-3</v>
      </c>
      <c r="P24" s="918" t="str">
        <f>IF(VLOOKUP($A24,'7b erosió costa'!$A$4:$AP$401,42,FALSE)&gt;0,VLOOKUP($A24,'7b erosió costa'!$A$4:$AP$401,42,FALSE),"")</f>
        <v/>
      </c>
      <c r="Q24" s="863">
        <f t="shared" si="13"/>
        <v>0.23391833208639459</v>
      </c>
      <c r="R24" s="864">
        <f t="shared" si="7"/>
        <v>5.3499865658426637</v>
      </c>
      <c r="S24" s="863">
        <f t="shared" si="8"/>
        <v>1.1476838574297595E-2</v>
      </c>
      <c r="T24" s="864">
        <f t="shared" si="14"/>
        <v>22.705688229436603</v>
      </c>
      <c r="U24" s="864">
        <f t="shared" si="9"/>
        <v>0.47937052800000002</v>
      </c>
      <c r="V24" s="864">
        <f t="shared" si="9"/>
        <v>4.9594709999999965E-4</v>
      </c>
      <c r="W24" s="864" t="str">
        <f t="shared" si="15"/>
        <v/>
      </c>
      <c r="X24" s="1067">
        <f t="shared" si="10"/>
        <v>28.780936441039959</v>
      </c>
      <c r="Y24" s="826">
        <f>VLOOKUP(B24,'BD ASVICC'!$A$6:$Y$316,24,FALSE)</f>
        <v>75</v>
      </c>
      <c r="Z24" s="826" t="str">
        <f t="shared" si="11"/>
        <v>a &lt; 1.000 hab.</v>
      </c>
      <c r="AA24" s="826">
        <f t="shared" si="12"/>
        <v>383745.81921386608</v>
      </c>
    </row>
    <row r="25" spans="1:27" s="826" customFormat="1" ht="45">
      <c r="A25" s="835">
        <v>8022</v>
      </c>
      <c r="B25" s="826" t="s">
        <v>777</v>
      </c>
      <c r="C25" s="878">
        <f>VLOOKUP(A25,copcalor,'1b.Cops de calor'!P$1,FALSE)/1000000</f>
        <v>1.4105979163257891</v>
      </c>
      <c r="D25" s="879">
        <f>VLOOKUP($B25,'2b.Incendis forestals'!$B$4:$P$314,9,FALSE)/1000000</f>
        <v>1.2734087596369636</v>
      </c>
      <c r="E25" s="878">
        <f>VLOOKUP($B25,'3b aigua'!$B$4:$K$314,8,FALSE)/1000000</f>
        <v>27.818312954981131</v>
      </c>
      <c r="F25" s="879">
        <f t="shared" si="0"/>
        <v>1.7434125</v>
      </c>
      <c r="G25" s="879">
        <f t="shared" si="1"/>
        <v>3.5043839999999999</v>
      </c>
      <c r="H25" s="879">
        <f t="shared" si="2"/>
        <v>1.3337088641999999</v>
      </c>
      <c r="I25" s="878" t="str">
        <f>IF(VLOOKUP($A25,'7b erosió costa'!$A$4:$AP$401,9,FALSE)&gt;0,VLOOKUP($A25,'7b erosió costa'!$A$4:$AP$401,9,FALSE),"")</f>
        <v/>
      </c>
      <c r="J25" s="870">
        <f>VLOOKUP(A25,copcalor,'1b.Cops de calor'!Z$1,FALSE)/1000000</f>
        <v>7.3466974506532301</v>
      </c>
      <c r="K25" s="870">
        <f>VLOOKUP($B25,'2b.Incendis forestals'!$B$4:$P$314,14,FALSE)/1000000</f>
        <v>3.50187408900165</v>
      </c>
      <c r="L25" s="870">
        <f>VLOOKUP($B25,'3b aigua'!$B$4:$K$314,9,FALSE)/1000000</f>
        <v>40.233929381942069</v>
      </c>
      <c r="M25" s="918">
        <f t="shared" si="3"/>
        <v>10.907883159030234</v>
      </c>
      <c r="N25" s="918">
        <f t="shared" si="4"/>
        <v>4.019528448</v>
      </c>
      <c r="O25" s="918">
        <f t="shared" si="5"/>
        <v>1.3730540994</v>
      </c>
      <c r="P25" s="918" t="str">
        <f>IF(VLOOKUP($A25,'7b erosió costa'!$A$4:$AP$401,42,FALSE)&gt;0,VLOOKUP($A25,'7b erosió costa'!$A$4:$AP$401,42,FALSE),"")</f>
        <v/>
      </c>
      <c r="Q25" s="863">
        <f t="shared" si="13"/>
        <v>5.9360995343274414</v>
      </c>
      <c r="R25" s="864">
        <f t="shared" si="7"/>
        <v>2.2284653293646866</v>
      </c>
      <c r="S25" s="863">
        <f t="shared" si="8"/>
        <v>12.415616426960938</v>
      </c>
      <c r="T25" s="864">
        <f t="shared" si="14"/>
        <v>9.1644706590302345</v>
      </c>
      <c r="U25" s="864">
        <f t="shared" si="9"/>
        <v>0.51514444800000003</v>
      </c>
      <c r="V25" s="864">
        <f t="shared" si="9"/>
        <v>3.9345235200000106E-2</v>
      </c>
      <c r="W25" s="864" t="str">
        <f t="shared" si="15"/>
        <v/>
      </c>
      <c r="X25" s="1067">
        <f t="shared" si="10"/>
        <v>30.299141632883302</v>
      </c>
      <c r="Y25" s="826">
        <f>VLOOKUP(B25,'BD ASVICC'!$A$6:$Y$316,24,FALSE)</f>
        <v>16175</v>
      </c>
      <c r="Z25" s="826" t="str">
        <f t="shared" si="11"/>
        <v>c 5.000 a 20.000 hab.</v>
      </c>
      <c r="AA25" s="826">
        <f t="shared" si="12"/>
        <v>1873.2081380453355</v>
      </c>
    </row>
    <row r="26" spans="1:27" s="826" customFormat="1" ht="45">
      <c r="A26" s="835">
        <v>8023</v>
      </c>
      <c r="B26" s="826" t="s">
        <v>838</v>
      </c>
      <c r="C26" s="878">
        <f>VLOOKUP(A26,copcalor,'1b.Cops de calor'!P$1,FALSE)/1000000</f>
        <v>1.8655233091881105</v>
      </c>
      <c r="D26" s="879">
        <f>VLOOKUP($B26,'2b.Incendis forestals'!$B$4:$P$314,9,FALSE)/1000000</f>
        <v>0.59787839011468102</v>
      </c>
      <c r="E26" s="878">
        <f>VLOOKUP($B26,'3b aigua'!$B$4:$K$314,8,FALSE)/1000000</f>
        <v>23.602087661921601</v>
      </c>
      <c r="F26" s="879">
        <f t="shared" si="0"/>
        <v>1.2936393750000001</v>
      </c>
      <c r="G26" s="879">
        <f t="shared" si="1"/>
        <v>12.365729999999997</v>
      </c>
      <c r="H26" s="879">
        <f t="shared" si="2"/>
        <v>14.769205012050001</v>
      </c>
      <c r="I26" s="878" t="str">
        <f>IF(VLOOKUP($A26,'7b erosió costa'!$A$4:$AP$401,9,FALSE)&gt;0,VLOOKUP($A26,'7b erosió costa'!$A$4:$AP$401,9,FALSE),"")</f>
        <v/>
      </c>
      <c r="J26" s="870">
        <f>VLOOKUP(A26,copcalor,'1b.Cops de calor'!Z$1,FALSE)/1000000</f>
        <v>10.388736634323088</v>
      </c>
      <c r="K26" s="870">
        <f>VLOOKUP($B26,'2b.Incendis forestals'!$B$4:$P$314,14,FALSE)/1000000</f>
        <v>1.6441655728153728</v>
      </c>
      <c r="L26" s="870">
        <f>VLOOKUP($B26,'3b aigua'!$B$4:$K$314,9,FALSE)/1000000</f>
        <v>43.360375469630668</v>
      </c>
      <c r="M26" s="918">
        <f t="shared" si="3"/>
        <v>13.627524806512671</v>
      </c>
      <c r="N26" s="918">
        <f t="shared" si="4"/>
        <v>14.183492309999998</v>
      </c>
      <c r="O26" s="918">
        <f t="shared" si="5"/>
        <v>17.957043150899995</v>
      </c>
      <c r="P26" s="918" t="str">
        <f>IF(VLOOKUP($A26,'7b erosió costa'!$A$4:$AP$401,42,FALSE)&gt;0,VLOOKUP($A26,'7b erosió costa'!$A$4:$AP$401,42,FALSE),"")</f>
        <v/>
      </c>
      <c r="Q26" s="863">
        <f t="shared" si="13"/>
        <v>8.5232133251349769</v>
      </c>
      <c r="R26" s="864">
        <f t="shared" si="7"/>
        <v>1.0462871827006919</v>
      </c>
      <c r="S26" s="863">
        <f t="shared" si="8"/>
        <v>19.758287807709067</v>
      </c>
      <c r="T26" s="864">
        <f t="shared" si="14"/>
        <v>12.333885431512671</v>
      </c>
      <c r="U26" s="864">
        <f t="shared" si="9"/>
        <v>1.8177623100000009</v>
      </c>
      <c r="V26" s="864">
        <f t="shared" si="9"/>
        <v>3.1878381388499939</v>
      </c>
      <c r="W26" s="864" t="str">
        <f t="shared" si="15"/>
        <v/>
      </c>
      <c r="X26" s="1067">
        <f t="shared" si="10"/>
        <v>46.667274195907396</v>
      </c>
      <c r="Y26" s="826">
        <f>VLOOKUP(B26,'BD ASVICC'!$A$6:$Y$316,24,FALSE)</f>
        <v>8915</v>
      </c>
      <c r="Z26" s="826" t="str">
        <f t="shared" si="11"/>
        <v>c 5.000 a 20.000 hab.</v>
      </c>
      <c r="AA26" s="826">
        <f t="shared" si="12"/>
        <v>5234.6914409318451</v>
      </c>
    </row>
    <row r="27" spans="1:27" s="826" customFormat="1" ht="30">
      <c r="A27" s="835">
        <v>8024</v>
      </c>
      <c r="B27" s="826" t="s">
        <v>843</v>
      </c>
      <c r="C27" s="878">
        <f>VLOOKUP(A27,copcalor,'1b.Cops de calor'!P$1,FALSE)/1000000</f>
        <v>6.1391499208235563E-2</v>
      </c>
      <c r="D27" s="879">
        <f>VLOOKUP($B27,'2b.Incendis forestals'!$B$4:$P$314,9,FALSE)/1000000</f>
        <v>3.460229180437941</v>
      </c>
      <c r="E27" s="878">
        <f>VLOOKUP($B27,'3b aigua'!$B$4:$K$314,8,FALSE)/1000000</f>
        <v>0.76481831308800008</v>
      </c>
      <c r="F27" s="879">
        <f t="shared" si="0"/>
        <v>1.2833999999999999</v>
      </c>
      <c r="G27" s="879">
        <f t="shared" si="1"/>
        <v>5.1470639999999994</v>
      </c>
      <c r="H27" s="879">
        <f t="shared" si="2"/>
        <v>0</v>
      </c>
      <c r="I27" s="878" t="str">
        <f>IF(VLOOKUP($A27,'7b erosió costa'!$A$4:$AP$401,9,FALSE)&gt;0,VLOOKUP($A27,'7b erosió costa'!$A$4:$AP$401,9,FALSE),"")</f>
        <v/>
      </c>
      <c r="J27" s="870">
        <f>VLOOKUP(A27,copcalor,'1b.Cops de calor'!Z$1,FALSE)/1000000</f>
        <v>0.30620364485860313</v>
      </c>
      <c r="K27" s="870">
        <f>VLOOKUP($B27,'2b.Incendis forestals'!$B$4:$P$314,14,FALSE)/1000000</f>
        <v>9.5156302462043403</v>
      </c>
      <c r="L27" s="870">
        <f>VLOOKUP($B27,'3b aigua'!$B$4:$K$314,9,FALSE)/1000000</f>
        <v>1.1061650664652802</v>
      </c>
      <c r="M27" s="918">
        <f t="shared" si="3"/>
        <v>6.6755190952295704</v>
      </c>
      <c r="N27" s="918">
        <f t="shared" si="4"/>
        <v>5.9036824079999999</v>
      </c>
      <c r="O27" s="918">
        <f t="shared" si="5"/>
        <v>0</v>
      </c>
      <c r="P27" s="918" t="str">
        <f>IF(VLOOKUP($A27,'7b erosió costa'!$A$4:$AP$401,42,FALSE)&gt;0,VLOOKUP($A27,'7b erosió costa'!$A$4:$AP$401,42,FALSE),"")</f>
        <v/>
      </c>
      <c r="Q27" s="863">
        <f t="shared" si="13"/>
        <v>0.24481214565036757</v>
      </c>
      <c r="R27" s="864">
        <f t="shared" si="7"/>
        <v>6.0554010657663992</v>
      </c>
      <c r="S27" s="863">
        <f t="shared" si="8"/>
        <v>0.34134675337728015</v>
      </c>
      <c r="T27" s="864">
        <f t="shared" si="14"/>
        <v>5.392119095229571</v>
      </c>
      <c r="U27" s="864">
        <f t="shared" si="9"/>
        <v>0.75661840800000046</v>
      </c>
      <c r="V27" s="864">
        <f t="shared" si="9"/>
        <v>0</v>
      </c>
      <c r="W27" s="864" t="str">
        <f t="shared" si="15"/>
        <v/>
      </c>
      <c r="X27" s="1067">
        <f t="shared" si="10"/>
        <v>12.790297468023621</v>
      </c>
      <c r="Y27" s="826">
        <f>VLOOKUP(B27,'BD ASVICC'!$A$6:$Y$316,24,FALSE)</f>
        <v>495</v>
      </c>
      <c r="Z27" s="826" t="str">
        <f t="shared" si="11"/>
        <v>a &lt; 1.000 hab.</v>
      </c>
      <c r="AA27" s="826">
        <f t="shared" si="12"/>
        <v>25838.984783886102</v>
      </c>
    </row>
    <row r="28" spans="1:27" s="826" customFormat="1" ht="45">
      <c r="A28" s="835">
        <v>8025</v>
      </c>
      <c r="B28" s="826" t="s">
        <v>846</v>
      </c>
      <c r="C28" s="878">
        <f>VLOOKUP(A28,copcalor,'1b.Cops de calor'!P$1,FALSE)/1000000</f>
        <v>0.50123520899650698</v>
      </c>
      <c r="D28" s="879">
        <f>VLOOKUP($B28,'2b.Incendis forestals'!$B$4:$P$314,9,FALSE)/1000000</f>
        <v>6.5838357429299217</v>
      </c>
      <c r="E28" s="878">
        <f>VLOOKUP($B28,'3b aigua'!$B$4:$K$314,8,FALSE)/1000000</f>
        <v>3.5600196379878395</v>
      </c>
      <c r="F28" s="879">
        <f t="shared" si="0"/>
        <v>1.1960787500000001</v>
      </c>
      <c r="G28" s="879">
        <f t="shared" si="1"/>
        <v>1.2168E-2</v>
      </c>
      <c r="H28" s="879">
        <f t="shared" si="2"/>
        <v>0</v>
      </c>
      <c r="I28" s="878" t="str">
        <f>IF(VLOOKUP($A28,'7b erosió costa'!$A$4:$AP$401,9,FALSE)&gt;0,VLOOKUP($A28,'7b erosió costa'!$A$4:$AP$401,9,FALSE),"")</f>
        <v/>
      </c>
      <c r="J28" s="870">
        <f>VLOOKUP(A28,copcalor,'1b.Cops de calor'!Z$1,FALSE)/1000000</f>
        <v>2.8806346462555612</v>
      </c>
      <c r="K28" s="870">
        <f>VLOOKUP($B28,'2b.Incendis forestals'!$B$4:$P$314,14,FALSE)/1000000</f>
        <v>18.105548293057286</v>
      </c>
      <c r="L28" s="870">
        <f>VLOOKUP($B28,'3b aigua'!$B$4:$K$314,9,FALSE)/1000000</f>
        <v>5.1488952239816692</v>
      </c>
      <c r="M28" s="918">
        <f t="shared" si="3"/>
        <v>6.3826778897414531</v>
      </c>
      <c r="N28" s="918">
        <f t="shared" si="4"/>
        <v>1.3956695999999998E-2</v>
      </c>
      <c r="O28" s="918">
        <f t="shared" si="5"/>
        <v>0</v>
      </c>
      <c r="P28" s="918" t="str">
        <f>IF(VLOOKUP($A28,'7b erosió costa'!$A$4:$AP$401,42,FALSE)&gt;0,VLOOKUP($A28,'7b erosió costa'!$A$4:$AP$401,42,FALSE),"")</f>
        <v/>
      </c>
      <c r="Q28" s="863">
        <f t="shared" si="13"/>
        <v>2.3793994372590541</v>
      </c>
      <c r="R28" s="864">
        <f t="shared" si="7"/>
        <v>11.521712550127365</v>
      </c>
      <c r="S28" s="863">
        <f t="shared" si="8"/>
        <v>1.5888755859938297</v>
      </c>
      <c r="T28" s="864">
        <f t="shared" si="14"/>
        <v>5.1865991397414533</v>
      </c>
      <c r="U28" s="864">
        <f t="shared" si="9"/>
        <v>1.7886959999999976E-3</v>
      </c>
      <c r="V28" s="864">
        <f t="shared" si="9"/>
        <v>0</v>
      </c>
      <c r="W28" s="864" t="str">
        <f t="shared" si="15"/>
        <v/>
      </c>
      <c r="X28" s="1067">
        <f t="shared" si="10"/>
        <v>20.678375409121699</v>
      </c>
      <c r="Y28" s="826">
        <f>VLOOKUP(B28,'BD ASVICC'!$A$6:$Y$316,24,FALSE)</f>
        <v>2014</v>
      </c>
      <c r="Z28" s="826" t="str">
        <f t="shared" si="11"/>
        <v>b 1.000 a 5.000 hab.</v>
      </c>
      <c r="AA28" s="826">
        <f t="shared" si="12"/>
        <v>10267.316489136892</v>
      </c>
    </row>
    <row r="29" spans="1:27" s="826" customFormat="1" ht="30">
      <c r="A29" s="835">
        <v>8026</v>
      </c>
      <c r="B29" s="826" t="s">
        <v>850</v>
      </c>
      <c r="C29" s="878">
        <f>VLOOKUP(A29,copcalor,'1b.Cops de calor'!P$1,FALSE)/1000000</f>
        <v>2.3677182749819021E-2</v>
      </c>
      <c r="D29" s="879">
        <f>VLOOKUP($B29,'2b.Incendis forestals'!$B$4:$P$314,9,FALSE)/1000000</f>
        <v>0.40026248512666363</v>
      </c>
      <c r="E29" s="878">
        <f>VLOOKUP($B29,'3b aigua'!$B$4:$K$314,8,FALSE)/1000000</f>
        <v>3.0774166827844271</v>
      </c>
      <c r="F29" s="879">
        <f t="shared" si="0"/>
        <v>2.1675199999999997</v>
      </c>
      <c r="G29" s="879">
        <f t="shared" si="1"/>
        <v>6.6498119999999998</v>
      </c>
      <c r="H29" s="879">
        <f t="shared" si="2"/>
        <v>0</v>
      </c>
      <c r="I29" s="878" t="str">
        <f>IF(VLOOKUP($A29,'7b erosió costa'!$A$4:$AP$401,9,FALSE)&gt;0,VLOOKUP($A29,'7b erosió costa'!$A$4:$AP$401,9,FALSE),"")</f>
        <v/>
      </c>
      <c r="J29" s="870">
        <f>VLOOKUP(A29,copcalor,'1b.Cops de calor'!Z$1,FALSE)/1000000</f>
        <v>0.13922779998207963</v>
      </c>
      <c r="K29" s="870">
        <f>VLOOKUP($B29,'2b.Incendis forestals'!$B$4:$P$314,14,FALSE)/1000000</f>
        <v>1.1007218340983251</v>
      </c>
      <c r="L29" s="870">
        <f>VLOOKUP($B29,'3b aigua'!$B$4:$K$314,9,FALSE)/1000000</f>
        <v>4.4509013071473325</v>
      </c>
      <c r="M29" s="918">
        <f t="shared" si="3"/>
        <v>9.7877159403043699</v>
      </c>
      <c r="N29" s="918">
        <f t="shared" si="4"/>
        <v>7.6273343640000011</v>
      </c>
      <c r="O29" s="918">
        <f t="shared" si="5"/>
        <v>0</v>
      </c>
      <c r="P29" s="918" t="str">
        <f>IF(VLOOKUP($A29,'7b erosió costa'!$A$4:$AP$401,42,FALSE)&gt;0,VLOOKUP($A29,'7b erosió costa'!$A$4:$AP$401,42,FALSE),"")</f>
        <v/>
      </c>
      <c r="Q29" s="863">
        <f t="shared" si="13"/>
        <v>0.11555061723226061</v>
      </c>
      <c r="R29" s="864">
        <f t="shared" si="7"/>
        <v>0.70045934897166151</v>
      </c>
      <c r="S29" s="863">
        <f t="shared" si="8"/>
        <v>1.3734846243629053</v>
      </c>
      <c r="T29" s="864">
        <f t="shared" si="14"/>
        <v>7.6201959403043702</v>
      </c>
      <c r="U29" s="864">
        <f t="shared" si="9"/>
        <v>0.97752236400000125</v>
      </c>
      <c r="V29" s="864">
        <f t="shared" si="9"/>
        <v>0</v>
      </c>
      <c r="W29" s="864" t="str">
        <f t="shared" si="15"/>
        <v/>
      </c>
      <c r="X29" s="1067">
        <f t="shared" si="10"/>
        <v>10.7872128948712</v>
      </c>
      <c r="Y29" s="826">
        <f>VLOOKUP(B29,'BD ASVICC'!$A$6:$Y$316,24,FALSE)</f>
        <v>263</v>
      </c>
      <c r="Z29" s="826" t="str">
        <f t="shared" si="11"/>
        <v>a &lt; 1.000 hab.</v>
      </c>
      <c r="AA29" s="826">
        <f t="shared" si="12"/>
        <v>41016.018611677566</v>
      </c>
    </row>
    <row r="30" spans="1:27" s="826" customFormat="1" ht="30">
      <c r="A30" s="835">
        <v>8027</v>
      </c>
      <c r="B30" s="826" t="s">
        <v>854</v>
      </c>
      <c r="C30" s="878">
        <f>VLOOKUP(A30,copcalor,'1b.Cops de calor'!P$1,FALSE)/1000000</f>
        <v>0.12798807875149412</v>
      </c>
      <c r="D30" s="879">
        <f>VLOOKUP($B30,'2b.Incendis forestals'!$B$4:$P$314,9,FALSE)/1000000</f>
        <v>8.7184677844756656E-3</v>
      </c>
      <c r="E30" s="878">
        <f>VLOOKUP($B30,'3b aigua'!$B$4:$K$314,8,FALSE)/1000000</f>
        <v>1.7905627219585067</v>
      </c>
      <c r="F30" s="879">
        <f t="shared" si="0"/>
        <v>4.9909999999999996E-2</v>
      </c>
      <c r="G30" s="879">
        <f t="shared" si="1"/>
        <v>0</v>
      </c>
      <c r="H30" s="879">
        <f t="shared" si="2"/>
        <v>0</v>
      </c>
      <c r="I30" s="878" t="str">
        <f>IF(VLOOKUP($A30,'7b erosió costa'!$A$4:$AP$401,9,FALSE)&gt;0,VLOOKUP($A30,'7b erosió costa'!$A$4:$AP$401,9,FALSE),"")</f>
        <v/>
      </c>
      <c r="J30" s="870">
        <f>VLOOKUP(A30,copcalor,'1b.Cops de calor'!Z$1,FALSE)/1000000</f>
        <v>0.72438526993312835</v>
      </c>
      <c r="K30" s="870">
        <f>VLOOKUP($B30,'2b.Incendis forestals'!$B$4:$P$314,14,FALSE)/1000000</f>
        <v>2.3975786407308085E-2</v>
      </c>
      <c r="L30" s="870">
        <f>VLOOKUP($B30,'3b aigua'!$B$4:$K$314,9,FALSE)/1000000</f>
        <v>3.2895171409478454</v>
      </c>
      <c r="M30" s="918">
        <f t="shared" si="3"/>
        <v>0.92845052611550349</v>
      </c>
      <c r="N30" s="918">
        <f t="shared" si="4"/>
        <v>0</v>
      </c>
      <c r="O30" s="918">
        <f t="shared" si="5"/>
        <v>0</v>
      </c>
      <c r="P30" s="918" t="str">
        <f>IF(VLOOKUP($A30,'7b erosió costa'!$A$4:$AP$401,42,FALSE)&gt;0,VLOOKUP($A30,'7b erosió costa'!$A$4:$AP$401,42,FALSE),"")</f>
        <v/>
      </c>
      <c r="Q30" s="863">
        <f t="shared" si="13"/>
        <v>0.59639719118163426</v>
      </c>
      <c r="R30" s="864">
        <f t="shared" si="7"/>
        <v>1.525731862283242E-2</v>
      </c>
      <c r="S30" s="863">
        <f t="shared" si="8"/>
        <v>1.4989544189893387</v>
      </c>
      <c r="T30" s="864">
        <f t="shared" si="14"/>
        <v>0.87854052611550348</v>
      </c>
      <c r="U30" s="864">
        <f t="shared" si="9"/>
        <v>0</v>
      </c>
      <c r="V30" s="864">
        <f t="shared" si="9"/>
        <v>0</v>
      </c>
      <c r="W30" s="864" t="str">
        <f t="shared" si="15"/>
        <v/>
      </c>
      <c r="X30" s="1067">
        <f t="shared" si="10"/>
        <v>2.9891494549093087</v>
      </c>
      <c r="Y30" s="826">
        <f>VLOOKUP(B30,'BD ASVICC'!$A$6:$Y$316,24,FALSE)</f>
        <v>943</v>
      </c>
      <c r="Z30" s="826" t="str">
        <f t="shared" si="11"/>
        <v>a &lt; 1.000 hab.</v>
      </c>
      <c r="AA30" s="826">
        <f t="shared" si="12"/>
        <v>3169.8297506991612</v>
      </c>
    </row>
    <row r="31" spans="1:27" s="826" customFormat="1" ht="45">
      <c r="A31" s="835">
        <v>8028</v>
      </c>
      <c r="B31" s="826" t="s">
        <v>856</v>
      </c>
      <c r="C31" s="878">
        <f>VLOOKUP(A31,copcalor,'1b.Cops de calor'!P$1,FALSE)/1000000</f>
        <v>3.9821496312809505E-2</v>
      </c>
      <c r="D31" s="879">
        <f>VLOOKUP($B31,'2b.Incendis forestals'!$B$4:$P$314,9,FALSE)/1000000</f>
        <v>1.8815683263320573</v>
      </c>
      <c r="E31" s="878">
        <f>VLOOKUP($B31,'3b aigua'!$B$4:$K$314,8,FALSE)/1000000</f>
        <v>3.0773227157276799</v>
      </c>
      <c r="F31" s="879">
        <f t="shared" si="0"/>
        <v>0.75578000000000001</v>
      </c>
      <c r="G31" s="879">
        <f t="shared" si="1"/>
        <v>1.521E-2</v>
      </c>
      <c r="H31" s="879">
        <f t="shared" si="2"/>
        <v>1.4240315874</v>
      </c>
      <c r="I31" s="878" t="str">
        <f>IF(VLOOKUP($A31,'7b erosió costa'!$A$4:$AP$401,9,FALSE)&gt;0,VLOOKUP($A31,'7b erosió costa'!$A$4:$AP$401,9,FALSE),"")</f>
        <v/>
      </c>
      <c r="J31" s="870">
        <f>VLOOKUP(A31,copcalor,'1b.Cops de calor'!Z$1,FALSE)/1000000</f>
        <v>0.20916417203671403</v>
      </c>
      <c r="K31" s="870">
        <f>VLOOKUP($B31,'2b.Incendis forestals'!$B$4:$P$314,14,FALSE)/1000000</f>
        <v>5.1743128974131576</v>
      </c>
      <c r="L31" s="870">
        <f>VLOOKUP($B31,'3b aigua'!$B$4:$K$314,9,FALSE)/1000000</f>
        <v>4.4507654015684608</v>
      </c>
      <c r="M31" s="918">
        <f t="shared" si="3"/>
        <v>4.0085579815280177</v>
      </c>
      <c r="N31" s="918">
        <f t="shared" si="4"/>
        <v>1.7445869999999999E-2</v>
      </c>
      <c r="O31" s="918">
        <f t="shared" si="5"/>
        <v>2.3939908043999996</v>
      </c>
      <c r="P31" s="918" t="str">
        <f>IF(VLOOKUP($A31,'7b erosió costa'!$A$4:$AP$401,42,FALSE)&gt;0,VLOOKUP($A31,'7b erosió costa'!$A$4:$AP$401,42,FALSE),"")</f>
        <v/>
      </c>
      <c r="Q31" s="863">
        <f t="shared" si="13"/>
        <v>0.16934267572390452</v>
      </c>
      <c r="R31" s="864">
        <f t="shared" si="7"/>
        <v>3.2927445710811005</v>
      </c>
      <c r="S31" s="863">
        <f t="shared" si="8"/>
        <v>1.3734426858407809</v>
      </c>
      <c r="T31" s="864">
        <f t="shared" si="14"/>
        <v>3.2527779815280176</v>
      </c>
      <c r="U31" s="864">
        <f t="shared" si="9"/>
        <v>2.2358699999999992E-3</v>
      </c>
      <c r="V31" s="864">
        <f t="shared" si="9"/>
        <v>0.96995921699999954</v>
      </c>
      <c r="W31" s="864" t="str">
        <f t="shared" si="15"/>
        <v/>
      </c>
      <c r="X31" s="1067">
        <f t="shared" si="10"/>
        <v>9.060503001173803</v>
      </c>
      <c r="Y31" s="826">
        <f>VLOOKUP(B31,'BD ASVICC'!$A$6:$Y$316,24,FALSE)</f>
        <v>1351</v>
      </c>
      <c r="Z31" s="826" t="str">
        <f t="shared" si="11"/>
        <v>b 1.000 a 5.000 hab.</v>
      </c>
      <c r="AA31" s="826">
        <f t="shared" si="12"/>
        <v>6706.5159150065165</v>
      </c>
    </row>
    <row r="32" spans="1:27" s="826" customFormat="1" ht="45">
      <c r="A32" s="835">
        <v>8029</v>
      </c>
      <c r="B32" s="826" t="s">
        <v>336</v>
      </c>
      <c r="C32" s="878">
        <f>VLOOKUP(A32,copcalor,'1b.Cops de calor'!P$1,FALSE)/1000000</f>
        <v>6.2221962587729269</v>
      </c>
      <c r="D32" s="879">
        <f>VLOOKUP($B32,'2b.Incendis forestals'!$B$4:$P$314,9,FALSE)/1000000</f>
        <v>8.7162223210420359E-2</v>
      </c>
      <c r="E32" s="878">
        <f>VLOOKUP($B32,'3b aigua'!$B$4:$K$314,8,FALSE)/1000000</f>
        <v>22.71805836349052</v>
      </c>
      <c r="F32" s="879">
        <f t="shared" si="0"/>
        <v>2.7449887500000001</v>
      </c>
      <c r="G32" s="879">
        <f t="shared" si="1"/>
        <v>0.219024</v>
      </c>
      <c r="H32" s="879">
        <f t="shared" si="2"/>
        <v>0</v>
      </c>
      <c r="I32" s="878">
        <f>IF(VLOOKUP($A32,'7b erosió costa'!$A$4:$AP$401,9,FALSE)&gt;0,VLOOKUP($A32,'7b erosió costa'!$A$4:$AP$401,9,FALSE),"")</f>
        <v>4.4550000000000001</v>
      </c>
      <c r="J32" s="870">
        <f>VLOOKUP(A32,copcalor,'1b.Cops de calor'!Z$1,FALSE)/1000000</f>
        <v>36.264921557528169</v>
      </c>
      <c r="K32" s="870">
        <f>VLOOKUP($B32,'2b.Incendis forestals'!$B$4:$P$314,14,FALSE)/1000000</f>
        <v>0.23969611382865599</v>
      </c>
      <c r="L32" s="870">
        <f>VLOOKUP($B32,'3b aigua'!$B$4:$K$314,9,FALSE)/1000000</f>
        <v>41.736288530577042</v>
      </c>
      <c r="M32" s="918">
        <f t="shared" si="3"/>
        <v>22.706535842374475</v>
      </c>
      <c r="N32" s="918">
        <f t="shared" si="4"/>
        <v>0.251220528</v>
      </c>
      <c r="O32" s="918">
        <f t="shared" si="5"/>
        <v>51.717494397599992</v>
      </c>
      <c r="P32" s="918">
        <f>IF(VLOOKUP($A32,'7b erosió costa'!$A$4:$AP$401,42,FALSE)&gt;0,VLOOKUP($A32,'7b erosió costa'!$A$4:$AP$401,42,FALSE),"")</f>
        <v>5.1417285067873291</v>
      </c>
      <c r="Q32" s="863">
        <f t="shared" si="13"/>
        <v>30.042725298755244</v>
      </c>
      <c r="R32" s="864">
        <f t="shared" si="7"/>
        <v>0.15253389061823563</v>
      </c>
      <c r="S32" s="863">
        <f t="shared" si="8"/>
        <v>19.018230167086521</v>
      </c>
      <c r="T32" s="864">
        <f t="shared" si="14"/>
        <v>19.961547092374474</v>
      </c>
      <c r="U32" s="864">
        <f t="shared" si="9"/>
        <v>3.2196528000000002E-2</v>
      </c>
      <c r="V32" s="864">
        <f t="shared" si="9"/>
        <v>51.717494397599992</v>
      </c>
      <c r="W32" s="864">
        <f t="shared" si="15"/>
        <v>0.686728506787329</v>
      </c>
      <c r="X32" s="1067">
        <f t="shared" si="10"/>
        <v>121.6114558812218</v>
      </c>
      <c r="Y32" s="826">
        <f>VLOOKUP(B32,'BD ASVICC'!$A$6:$Y$316,24,FALSE)</f>
        <v>4553</v>
      </c>
      <c r="Z32" s="826" t="str">
        <f t="shared" si="11"/>
        <v>b 1.000 a 5.000 hab.</v>
      </c>
      <c r="AA32" s="826">
        <f t="shared" si="12"/>
        <v>26710.181392756818</v>
      </c>
    </row>
    <row r="33" spans="1:27" s="826" customFormat="1" ht="45">
      <c r="A33" s="835">
        <v>8030</v>
      </c>
      <c r="B33" s="826" t="s">
        <v>864</v>
      </c>
      <c r="C33" s="878">
        <f>VLOOKUP(A33,copcalor,'1b.Cops de calor'!P$1,FALSE)/1000000</f>
        <v>6.3816538668697254</v>
      </c>
      <c r="D33" s="879">
        <f>VLOOKUP($B33,'2b.Incendis forestals'!$B$4:$P$314,9,FALSE)/1000000</f>
        <v>0.10432647639647236</v>
      </c>
      <c r="E33" s="878">
        <f>VLOOKUP($B33,'3b aigua'!$B$4:$K$314,8,FALSE)/1000000</f>
        <v>24.918826021735363</v>
      </c>
      <c r="F33" s="879">
        <f t="shared" si="0"/>
        <v>0.3531475</v>
      </c>
      <c r="G33" s="879">
        <f t="shared" si="1"/>
        <v>0</v>
      </c>
      <c r="H33" s="879">
        <f t="shared" si="2"/>
        <v>0</v>
      </c>
      <c r="I33" s="878" t="str">
        <f>IF(VLOOKUP($A33,'7b erosió costa'!$A$4:$AP$401,9,FALSE)&gt;0,VLOOKUP($A33,'7b erosió costa'!$A$4:$AP$401,9,FALSE),"")</f>
        <v/>
      </c>
      <c r="J33" s="870">
        <f>VLOOKUP(A33,copcalor,'1b.Cops de calor'!Z$1,FALSE)/1000000</f>
        <v>37.166992200861877</v>
      </c>
      <c r="K33" s="870">
        <f>VLOOKUP($B33,'2b.Incendis forestals'!$B$4:$P$314,14,FALSE)/1000000</f>
        <v>0.28689781009029902</v>
      </c>
      <c r="L33" s="870">
        <f>VLOOKUP($B33,'3b aigua'!$B$4:$K$314,9,FALSE)/1000000</f>
        <v>45.779410196330005</v>
      </c>
      <c r="M33" s="918">
        <f t="shared" si="3"/>
        <v>2.8606767691957327</v>
      </c>
      <c r="N33" s="918">
        <f t="shared" si="4"/>
        <v>0</v>
      </c>
      <c r="O33" s="918">
        <f t="shared" si="5"/>
        <v>0</v>
      </c>
      <c r="P33" s="918" t="str">
        <f>IF(VLOOKUP($A33,'7b erosió costa'!$A$4:$AP$401,42,FALSE)&gt;0,VLOOKUP($A33,'7b erosió costa'!$A$4:$AP$401,42,FALSE),"")</f>
        <v/>
      </c>
      <c r="Q33" s="863">
        <f t="shared" si="13"/>
        <v>30.785338333992151</v>
      </c>
      <c r="R33" s="864">
        <f t="shared" si="7"/>
        <v>0.18257133369382667</v>
      </c>
      <c r="S33" s="863">
        <f t="shared" si="8"/>
        <v>20.860584174594642</v>
      </c>
      <c r="T33" s="864">
        <f t="shared" si="14"/>
        <v>2.5075292691957327</v>
      </c>
      <c r="U33" s="864">
        <f t="shared" si="9"/>
        <v>0</v>
      </c>
      <c r="V33" s="864">
        <f t="shared" si="9"/>
        <v>0</v>
      </c>
      <c r="W33" s="864" t="str">
        <f t="shared" si="15"/>
        <v/>
      </c>
      <c r="X33" s="1067">
        <f t="shared" si="10"/>
        <v>54.336023111476358</v>
      </c>
      <c r="Y33" s="826">
        <f>VLOOKUP(B33,'BD ASVICC'!$A$6:$Y$316,24,FALSE)</f>
        <v>7287</v>
      </c>
      <c r="Z33" s="826" t="str">
        <f t="shared" si="11"/>
        <v>c 5.000 a 20.000 hab.</v>
      </c>
      <c r="AA33" s="826">
        <f t="shared" si="12"/>
        <v>7456.5696598705026</v>
      </c>
    </row>
    <row r="34" spans="1:27" s="826" customFormat="1" ht="45">
      <c r="A34" s="835">
        <v>8031</v>
      </c>
      <c r="B34" s="826" t="s">
        <v>865</v>
      </c>
      <c r="C34" s="878">
        <f>VLOOKUP(A34,copcalor,'1b.Cops de calor'!P$1,FALSE)/1000000</f>
        <v>1.1214076749796373</v>
      </c>
      <c r="D34" s="879">
        <f>VLOOKUP($B34,'2b.Incendis forestals'!$B$4:$P$314,9,FALSE)/1000000</f>
        <v>0.12565834165310749</v>
      </c>
      <c r="E34" s="878">
        <f>VLOOKUP($B34,'3b aigua'!$B$4:$K$314,8,FALSE)/1000000</f>
        <v>6.3864000442696529</v>
      </c>
      <c r="F34" s="879">
        <f t="shared" si="0"/>
        <v>3.8715899999999999</v>
      </c>
      <c r="G34" s="879">
        <f t="shared" si="1"/>
        <v>3.4405019999999995</v>
      </c>
      <c r="H34" s="879">
        <f t="shared" si="2"/>
        <v>0</v>
      </c>
      <c r="I34" s="878" t="str">
        <f>IF(VLOOKUP($A34,'7b erosió costa'!$A$4:$AP$401,9,FALSE)&gt;0,VLOOKUP($A34,'7b erosió costa'!$A$4:$AP$401,9,FALSE),"")</f>
        <v/>
      </c>
      <c r="J34" s="870">
        <f>VLOOKUP(A34,copcalor,'1b.Cops de calor'!Z$1,FALSE)/1000000</f>
        <v>6.5156073874971705</v>
      </c>
      <c r="K34" s="870">
        <f>VLOOKUP($B34,'2b.Incendis forestals'!$B$4:$P$314,14,FALSE)/1000000</f>
        <v>0.34556043954604559</v>
      </c>
      <c r="L34" s="870">
        <f>VLOOKUP($B34,'3b aigua'!$B$4:$K$314,9,FALSE)/1000000</f>
        <v>9.2367200269047132</v>
      </c>
      <c r="M34" s="918">
        <f t="shared" si="3"/>
        <v>18.709984026828309</v>
      </c>
      <c r="N34" s="918">
        <f t="shared" si="4"/>
        <v>3.9462557939999998</v>
      </c>
      <c r="O34" s="918">
        <f t="shared" si="5"/>
        <v>0</v>
      </c>
      <c r="P34" s="918" t="str">
        <f>IF(VLOOKUP($A34,'7b erosió costa'!$A$4:$AP$401,42,FALSE)&gt;0,VLOOKUP($A34,'7b erosió costa'!$A$4:$AP$401,42,FALSE),"")</f>
        <v/>
      </c>
      <c r="Q34" s="863">
        <f t="shared" si="13"/>
        <v>5.3941997125175334</v>
      </c>
      <c r="R34" s="864">
        <f t="shared" si="7"/>
        <v>0.2199020978929381</v>
      </c>
      <c r="S34" s="863">
        <f t="shared" si="8"/>
        <v>2.8503199826350603</v>
      </c>
      <c r="T34" s="864">
        <f t="shared" si="14"/>
        <v>14.838394026828309</v>
      </c>
      <c r="U34" s="864">
        <f t="shared" si="9"/>
        <v>0.50575379400000031</v>
      </c>
      <c r="V34" s="864">
        <f t="shared" si="9"/>
        <v>0</v>
      </c>
      <c r="W34" s="864" t="str">
        <f t="shared" si="15"/>
        <v/>
      </c>
      <c r="X34" s="1067">
        <f t="shared" si="10"/>
        <v>23.808569613873843</v>
      </c>
      <c r="Y34" s="826">
        <f>VLOOKUP(B34,'BD ASVICC'!$A$6:$Y$316,24,FALSE)</f>
        <v>3424</v>
      </c>
      <c r="Z34" s="826" t="str">
        <f t="shared" si="11"/>
        <v>b 1.000 a 5.000 hab.</v>
      </c>
      <c r="AA34" s="826">
        <f t="shared" si="12"/>
        <v>6953.43738722951</v>
      </c>
    </row>
    <row r="35" spans="1:27" s="826" customFormat="1" ht="45">
      <c r="A35" s="835">
        <v>8032</v>
      </c>
      <c r="B35" s="826" t="s">
        <v>337</v>
      </c>
      <c r="C35" s="878">
        <f>VLOOKUP(A35,copcalor,'1b.Cops de calor'!P$1,FALSE)/1000000</f>
        <v>9.4760114330970584</v>
      </c>
      <c r="D35" s="879">
        <f>VLOOKUP($B35,'2b.Incendis forestals'!$B$4:$P$314,9,FALSE)/1000000</f>
        <v>7.7775522249298153E-3</v>
      </c>
      <c r="E35" s="878">
        <f>VLOOKUP($B35,'3b aigua'!$B$4:$K$314,8,FALSE)/1000000</f>
        <v>10.976840298196908</v>
      </c>
      <c r="F35" s="879">
        <f t="shared" si="0"/>
        <v>0</v>
      </c>
      <c r="G35" s="879">
        <f t="shared" si="1"/>
        <v>0</v>
      </c>
      <c r="H35" s="879">
        <f t="shared" si="2"/>
        <v>0</v>
      </c>
      <c r="I35" s="878">
        <f>IF(VLOOKUP($A35,'7b erosió costa'!$A$4:$AP$401,9,FALSE)&gt;0,VLOOKUP($A35,'7b erosió costa'!$A$4:$AP$401,9,FALSE),"")</f>
        <v>14.118499999999999</v>
      </c>
      <c r="J35" s="870">
        <f>VLOOKUP(A35,copcalor,'1b.Cops de calor'!Z$1,FALSE)/1000000</f>
        <v>56.207090763644381</v>
      </c>
      <c r="K35" s="870">
        <f>VLOOKUP($B35,'2b.Incendis forestals'!$B$4:$P$314,14,FALSE)/1000000</f>
        <v>2.1388268618556996E-2</v>
      </c>
      <c r="L35" s="870">
        <f>VLOOKUP($B35,'3b aigua'!$B$4:$K$314,9,FALSE)/1000000</f>
        <v>20.166009194512057</v>
      </c>
      <c r="M35" s="918">
        <f t="shared" si="3"/>
        <v>1.4089016883516616</v>
      </c>
      <c r="N35" s="918">
        <f t="shared" si="4"/>
        <v>0</v>
      </c>
      <c r="O35" s="918">
        <f t="shared" si="5"/>
        <v>0</v>
      </c>
      <c r="P35" s="918">
        <f>IF(VLOOKUP($A35,'7b erosió costa'!$A$4:$AP$401,42,FALSE)&gt;0,VLOOKUP($A35,'7b erosió costa'!$A$4:$AP$401,42,FALSE),"")</f>
        <v>16.294835897435899</v>
      </c>
      <c r="Q35" s="863">
        <f t="shared" si="13"/>
        <v>46.731079330547324</v>
      </c>
      <c r="R35" s="864">
        <f t="shared" si="7"/>
        <v>1.3610716393627181E-2</v>
      </c>
      <c r="S35" s="863">
        <f t="shared" si="8"/>
        <v>9.1891688963151488</v>
      </c>
      <c r="T35" s="864">
        <f t="shared" si="14"/>
        <v>1.4089016883516616</v>
      </c>
      <c r="U35" s="864">
        <f t="shared" si="9"/>
        <v>0</v>
      </c>
      <c r="V35" s="864">
        <f t="shared" si="9"/>
        <v>0</v>
      </c>
      <c r="W35" s="864">
        <f t="shared" si="15"/>
        <v>2.1763358974358997</v>
      </c>
      <c r="X35" s="1067">
        <f t="shared" si="10"/>
        <v>59.519096529043658</v>
      </c>
      <c r="Y35" s="826">
        <f>VLOOKUP(B35,'BD ASVICC'!$A$6:$Y$316,24,FALSE)</f>
        <v>2766</v>
      </c>
      <c r="Z35" s="826" t="str">
        <f t="shared" si="11"/>
        <v>b 1.000 a 5.000 hab.</v>
      </c>
      <c r="AA35" s="826">
        <f t="shared" si="12"/>
        <v>21518.111543399733</v>
      </c>
    </row>
    <row r="36" spans="1:27" s="826" customFormat="1" ht="45">
      <c r="A36" s="835">
        <v>8033</v>
      </c>
      <c r="B36" s="826" t="s">
        <v>867</v>
      </c>
      <c r="C36" s="878">
        <f>VLOOKUP(A36,copcalor,'1b.Cops de calor'!P$1,FALSE)/1000000</f>
        <v>4.6323489357326579</v>
      </c>
      <c r="D36" s="879">
        <f>VLOOKUP($B36,'2b.Incendis forestals'!$B$4:$P$314,9,FALSE)/1000000</f>
        <v>0.74018685504004089</v>
      </c>
      <c r="E36" s="878">
        <f>VLOOKUP($B36,'3b aigua'!$B$4:$K$314,8,FALSE)/1000000</f>
        <v>31.131686179272215</v>
      </c>
      <c r="F36" s="879">
        <f t="shared" si="0"/>
        <v>3.5533512499999995</v>
      </c>
      <c r="G36" s="879">
        <f t="shared" si="1"/>
        <v>32.470307999999996</v>
      </c>
      <c r="H36" s="879">
        <f t="shared" si="2"/>
        <v>0.89524097339999986</v>
      </c>
      <c r="I36" s="878" t="str">
        <f>IF(VLOOKUP($A36,'7b erosió costa'!$A$4:$AP$401,9,FALSE)&gt;0,VLOOKUP($A36,'7b erosió costa'!$A$4:$AP$401,9,FALSE),"")</f>
        <v/>
      </c>
      <c r="J36" s="870">
        <f>VLOOKUP(A36,copcalor,'1b.Cops de calor'!Z$1,FALSE)/1000000</f>
        <v>26.247816778171032</v>
      </c>
      <c r="K36" s="870">
        <f>VLOOKUP($B36,'2b.Incendis forestals'!$B$4:$P$314,14,FALSE)/1000000</f>
        <v>2.0355138513601125</v>
      </c>
      <c r="L36" s="870">
        <f>VLOOKUP($B36,'3b aigua'!$B$4:$K$314,9,FALSE)/1000000</f>
        <v>57.193313620039852</v>
      </c>
      <c r="M36" s="918">
        <f t="shared" si="3"/>
        <v>26.581145577055654</v>
      </c>
      <c r="N36" s="918">
        <f t="shared" si="4"/>
        <v>37.243443276000001</v>
      </c>
      <c r="O36" s="918">
        <f t="shared" si="5"/>
        <v>1.6990265922000003</v>
      </c>
      <c r="P36" s="918" t="str">
        <f>IF(VLOOKUP($A36,'7b erosió costa'!$A$4:$AP$401,42,FALSE)&gt;0,VLOOKUP($A36,'7b erosió costa'!$A$4:$AP$401,42,FALSE),"")</f>
        <v/>
      </c>
      <c r="Q36" s="863">
        <f t="shared" si="13"/>
        <v>21.615467842438374</v>
      </c>
      <c r="R36" s="864">
        <f t="shared" si="7"/>
        <v>1.2953269963200715</v>
      </c>
      <c r="S36" s="863">
        <f t="shared" si="8"/>
        <v>26.061627440767637</v>
      </c>
      <c r="T36" s="864">
        <f t="shared" si="14"/>
        <v>23.027794327055656</v>
      </c>
      <c r="U36" s="864">
        <f t="shared" si="9"/>
        <v>4.773135276000005</v>
      </c>
      <c r="V36" s="864">
        <f t="shared" si="9"/>
        <v>0.80378561880000043</v>
      </c>
      <c r="W36" s="864" t="str">
        <f t="shared" si="15"/>
        <v/>
      </c>
      <c r="X36" s="1067">
        <f t="shared" si="10"/>
        <v>77.577137501381756</v>
      </c>
      <c r="Y36" s="826">
        <f>VLOOKUP(B36,'BD ASVICC'!$A$6:$Y$316,24,FALSE)</f>
        <v>17137</v>
      </c>
      <c r="Z36" s="826" t="str">
        <f t="shared" si="11"/>
        <v>c 5.000 a 20.000 hab.</v>
      </c>
      <c r="AA36" s="826">
        <f t="shared" si="12"/>
        <v>4526.87970481308</v>
      </c>
    </row>
    <row r="37" spans="1:27" s="826" customFormat="1" ht="30">
      <c r="A37" s="835">
        <v>8034</v>
      </c>
      <c r="B37" s="826" t="s">
        <v>875</v>
      </c>
      <c r="C37" s="878">
        <f>VLOOKUP(A37,copcalor,'1b.Cops de calor'!P$1,FALSE)/1000000</f>
        <v>1.0537944386959626</v>
      </c>
      <c r="D37" s="879">
        <f>VLOOKUP($B37,'2b.Incendis forestals'!$B$4:$P$314,9,FALSE)/1000000</f>
        <v>3.957135710377695</v>
      </c>
      <c r="E37" s="878">
        <f>VLOOKUP($B37,'3b aigua'!$B$4:$K$314,8,FALSE)/1000000</f>
        <v>3.6020366598054405</v>
      </c>
      <c r="F37" s="879">
        <f t="shared" si="0"/>
        <v>4.1247474999999989</v>
      </c>
      <c r="G37" s="879">
        <f t="shared" si="1"/>
        <v>6.7136939999999994</v>
      </c>
      <c r="H37" s="879">
        <f t="shared" si="2"/>
        <v>0</v>
      </c>
      <c r="I37" s="878" t="str">
        <f>IF(VLOOKUP($A37,'7b erosió costa'!$A$4:$AP$401,9,FALSE)&gt;0,VLOOKUP($A37,'7b erosió costa'!$A$4:$AP$401,9,FALSE),"")</f>
        <v/>
      </c>
      <c r="J37" s="870">
        <f>VLOOKUP(A37,copcalor,'1b.Cops de calor'!Z$1,FALSE)/1000000</f>
        <v>5.4553368095743515</v>
      </c>
      <c r="K37" s="870">
        <f>VLOOKUP($B37,'2b.Incendis forestals'!$B$4:$P$314,14,FALSE)/1000000</f>
        <v>10.88212320353866</v>
      </c>
      <c r="L37" s="870">
        <f>VLOOKUP($B37,'3b aigua'!$B$4:$K$314,9,FALSE)/1000000</f>
        <v>5.2096649008267271</v>
      </c>
      <c r="M37" s="918">
        <f t="shared" si="3"/>
        <v>19.376576415366948</v>
      </c>
      <c r="N37" s="918">
        <f t="shared" si="4"/>
        <v>7.7006070179999995</v>
      </c>
      <c r="O37" s="918">
        <f t="shared" si="5"/>
        <v>0</v>
      </c>
      <c r="P37" s="918" t="str">
        <f>IF(VLOOKUP($A37,'7b erosió costa'!$A$4:$AP$401,42,FALSE)&gt;0,VLOOKUP($A37,'7b erosió costa'!$A$4:$AP$401,42,FALSE),"")</f>
        <v/>
      </c>
      <c r="Q37" s="863">
        <f t="shared" si="13"/>
        <v>4.4015423708783885</v>
      </c>
      <c r="R37" s="864">
        <f t="shared" si="7"/>
        <v>6.9249874931609643</v>
      </c>
      <c r="S37" s="863">
        <f t="shared" si="8"/>
        <v>1.6076282410212865</v>
      </c>
      <c r="T37" s="864">
        <f t="shared" si="14"/>
        <v>15.25182891536695</v>
      </c>
      <c r="U37" s="864">
        <f t="shared" si="9"/>
        <v>0.98691301800000009</v>
      </c>
      <c r="V37" s="864">
        <f t="shared" si="9"/>
        <v>0</v>
      </c>
      <c r="W37" s="864" t="str">
        <f t="shared" si="15"/>
        <v/>
      </c>
      <c r="X37" s="1067">
        <f t="shared" si="10"/>
        <v>29.172900038427588</v>
      </c>
      <c r="Y37" s="826">
        <f>VLOOKUP(B37,'BD ASVICC'!$A$6:$Y$316,24,FALSE)</f>
        <v>953</v>
      </c>
      <c r="Z37" s="826" t="str">
        <f t="shared" si="11"/>
        <v>a &lt; 1.000 hab.</v>
      </c>
      <c r="AA37" s="826">
        <f t="shared" si="12"/>
        <v>30611.647469493797</v>
      </c>
    </row>
    <row r="38" spans="1:27" s="826" customFormat="1" ht="45">
      <c r="A38" s="835">
        <v>8035</v>
      </c>
      <c r="B38" s="826" t="s">
        <v>338</v>
      </c>
      <c r="C38" s="878">
        <f>VLOOKUP(A38,copcalor,'1b.Cops de calor'!P$1,FALSE)/1000000</f>
        <v>7.5827210255471282</v>
      </c>
      <c r="D38" s="879">
        <f>VLOOKUP($B38,'2b.Incendis forestals'!$B$4:$P$314,9,FALSE)/1000000</f>
        <v>0.11451775172569076</v>
      </c>
      <c r="E38" s="878">
        <f>VLOOKUP($B38,'3b aigua'!$B$4:$K$314,8,FALSE)/1000000</f>
        <v>52.95789681288354</v>
      </c>
      <c r="F38" s="879">
        <f t="shared" si="0"/>
        <v>0.81333</v>
      </c>
      <c r="G38" s="879">
        <f t="shared" si="1"/>
        <v>2.4336E-2</v>
      </c>
      <c r="H38" s="879">
        <f t="shared" si="2"/>
        <v>0</v>
      </c>
      <c r="I38" s="878">
        <f>IF(VLOOKUP($A38,'7b erosió costa'!$A$4:$AP$401,9,FALSE)&gt;0,VLOOKUP($A38,'7b erosió costa'!$A$4:$AP$401,9,FALSE),"")</f>
        <v>8.7130807860262021</v>
      </c>
      <c r="J38" s="870">
        <f>VLOOKUP(A38,copcalor,'1b.Cops de calor'!Z$1,FALSE)/1000000</f>
        <v>44.838412801418748</v>
      </c>
      <c r="K38" s="870">
        <f>VLOOKUP($B38,'2b.Incendis forestals'!$B$4:$P$314,14,FALSE)/1000000</f>
        <v>0.31492381724564966</v>
      </c>
      <c r="L38" s="870">
        <f>VLOOKUP($B38,'3b aigua'!$B$4:$K$314,9,FALSE)/1000000</f>
        <v>97.291151646440113</v>
      </c>
      <c r="M38" s="918">
        <f t="shared" si="3"/>
        <v>7.7240576489186346</v>
      </c>
      <c r="N38" s="918">
        <f t="shared" si="4"/>
        <v>2.7913391999999995E-2</v>
      </c>
      <c r="O38" s="918">
        <f t="shared" si="5"/>
        <v>0</v>
      </c>
      <c r="P38" s="918">
        <f>IF(VLOOKUP($A38,'7b erosió costa'!$A$4:$AP$401,42,FALSE)&gt;0,VLOOKUP($A38,'7b erosió costa'!$A$4:$AP$401,42,FALSE),"")</f>
        <v>10.056183133434761</v>
      </c>
      <c r="Q38" s="863">
        <f t="shared" si="13"/>
        <v>37.255691775871618</v>
      </c>
      <c r="R38" s="864">
        <f t="shared" si="7"/>
        <v>0.2004060655199589</v>
      </c>
      <c r="S38" s="863">
        <f t="shared" si="8"/>
        <v>44.333254833556573</v>
      </c>
      <c r="T38" s="864">
        <f t="shared" si="14"/>
        <v>6.9107276489186349</v>
      </c>
      <c r="U38" s="864">
        <f t="shared" si="9"/>
        <v>3.5773919999999952E-3</v>
      </c>
      <c r="V38" s="864">
        <f t="shared" si="9"/>
        <v>0</v>
      </c>
      <c r="W38" s="864">
        <f t="shared" si="15"/>
        <v>1.3431023474085588</v>
      </c>
      <c r="X38" s="1067">
        <f t="shared" si="10"/>
        <v>90.046760063275343</v>
      </c>
      <c r="Y38" s="826">
        <f>VLOOKUP(B38,'BD ASVICC'!$A$6:$Y$316,24,FALSE)</f>
        <v>18317</v>
      </c>
      <c r="Z38" s="826" t="str">
        <f t="shared" si="11"/>
        <v>c 5.000 a 20.000 hab.</v>
      </c>
      <c r="AA38" s="826">
        <f t="shared" si="12"/>
        <v>4916.0211859625124</v>
      </c>
    </row>
    <row r="39" spans="1:27" s="826" customFormat="1" ht="30">
      <c r="A39" s="835">
        <v>8036</v>
      </c>
      <c r="B39" s="826" t="s">
        <v>881</v>
      </c>
      <c r="C39" s="878">
        <f>VLOOKUP(A39,copcalor,'1b.Cops de calor'!P$1,FALSE)/1000000</f>
        <v>0.1893285722973454</v>
      </c>
      <c r="D39" s="879">
        <f>VLOOKUP($B39,'2b.Incendis forestals'!$B$4:$P$314,9,FALSE)/1000000</f>
        <v>2.4470308637710403</v>
      </c>
      <c r="E39" s="878">
        <f>VLOOKUP($B39,'3b aigua'!$B$4:$K$314,8,FALSE)/1000000</f>
        <v>0.24335606825578668</v>
      </c>
      <c r="F39" s="879">
        <f t="shared" si="0"/>
        <v>12.014049999999999</v>
      </c>
      <c r="G39" s="879">
        <f t="shared" si="1"/>
        <v>12.742938000000001</v>
      </c>
      <c r="H39" s="879">
        <f t="shared" si="2"/>
        <v>0</v>
      </c>
      <c r="I39" s="878" t="str">
        <f>IF(VLOOKUP($A39,'7b erosió costa'!$A$4:$AP$401,9,FALSE)&gt;0,VLOOKUP($A39,'7b erosió costa'!$A$4:$AP$401,9,FALSE),"")</f>
        <v/>
      </c>
      <c r="J39" s="870">
        <f>VLOOKUP(A39,copcalor,'1b.Cops de calor'!Z$1,FALSE)/1000000</f>
        <v>1.1240987163440304</v>
      </c>
      <c r="K39" s="870">
        <f>VLOOKUP($B39,'2b.Incendis forestals'!$B$4:$P$314,14,FALSE)/1000000</f>
        <v>6.7293348753703617</v>
      </c>
      <c r="L39" s="870">
        <f>VLOOKUP($B39,'3b aigua'!$B$4:$K$314,9,FALSE)/1000000</f>
        <v>0.35196853528521393</v>
      </c>
      <c r="M39" s="918">
        <f t="shared" si="3"/>
        <v>52.615452799001062</v>
      </c>
      <c r="N39" s="918">
        <f t="shared" si="4"/>
        <v>14.616149885999999</v>
      </c>
      <c r="O39" s="918">
        <f t="shared" si="5"/>
        <v>0</v>
      </c>
      <c r="P39" s="918" t="str">
        <f>IF(VLOOKUP($A39,'7b erosió costa'!$A$4:$AP$401,42,FALSE)&gt;0,VLOOKUP($A39,'7b erosió costa'!$A$4:$AP$401,42,FALSE),"")</f>
        <v/>
      </c>
      <c r="Q39" s="863">
        <f t="shared" si="13"/>
        <v>0.9347701440466849</v>
      </c>
      <c r="R39" s="864">
        <f t="shared" si="7"/>
        <v>4.2823040115993214</v>
      </c>
      <c r="S39" s="863">
        <f t="shared" si="8"/>
        <v>0.10861246702942726</v>
      </c>
      <c r="T39" s="864">
        <f t="shared" si="14"/>
        <v>40.601402799001065</v>
      </c>
      <c r="U39" s="864">
        <f t="shared" si="9"/>
        <v>1.8732118859999982</v>
      </c>
      <c r="V39" s="864">
        <f t="shared" si="9"/>
        <v>0</v>
      </c>
      <c r="W39" s="864" t="str">
        <f t="shared" si="15"/>
        <v/>
      </c>
      <c r="X39" s="1067">
        <f t="shared" si="10"/>
        <v>47.800301307676499</v>
      </c>
      <c r="Y39" s="826">
        <f>VLOOKUP(B39,'BD ASVICC'!$A$6:$Y$316,24,FALSE)</f>
        <v>191</v>
      </c>
      <c r="Z39" s="826" t="str">
        <f t="shared" si="11"/>
        <v>a &lt; 1.000 hab.</v>
      </c>
      <c r="AA39" s="826">
        <f t="shared" si="12"/>
        <v>250263.35763181414</v>
      </c>
    </row>
    <row r="40" spans="1:27" s="826" customFormat="1" ht="45">
      <c r="A40" s="835">
        <v>8037</v>
      </c>
      <c r="B40" s="826" t="s">
        <v>886</v>
      </c>
      <c r="C40" s="878">
        <f>VLOOKUP(A40,copcalor,'1b.Cops de calor'!P$1,FALSE)/1000000</f>
        <v>0.67501694550078384</v>
      </c>
      <c r="D40" s="879">
        <f>VLOOKUP($B40,'2b.Incendis forestals'!$B$4:$P$314,9,FALSE)/1000000</f>
        <v>8.8533029306246923E-3</v>
      </c>
      <c r="E40" s="878">
        <f>VLOOKUP($B40,'3b aigua'!$B$4:$K$314,8,FALSE)/1000000</f>
        <v>4.4638954650329605</v>
      </c>
      <c r="F40" s="879">
        <f t="shared" si="0"/>
        <v>2.6107581250000003</v>
      </c>
      <c r="G40" s="879">
        <f t="shared" si="1"/>
        <v>18.446687999999998</v>
      </c>
      <c r="H40" s="879">
        <f t="shared" si="2"/>
        <v>0</v>
      </c>
      <c r="I40" s="878" t="str">
        <f>IF(VLOOKUP($A40,'7b erosió costa'!$A$4:$AP$401,9,FALSE)&gt;0,VLOOKUP($A40,'7b erosió costa'!$A$4:$AP$401,9,FALSE),"")</f>
        <v/>
      </c>
      <c r="J40" s="870">
        <f>VLOOKUP(A40,copcalor,'1b.Cops de calor'!Z$1,FALSE)/1000000</f>
        <v>3.8836708455260287</v>
      </c>
      <c r="K40" s="870">
        <f>VLOOKUP($B40,'2b.Incendis forestals'!$B$4:$P$314,14,FALSE)/1000000</f>
        <v>2.4346583059217899E-2</v>
      </c>
      <c r="L40" s="870">
        <f>VLOOKUP($B40,'3b aigua'!$B$4:$K$314,9,FALSE)/1000000</f>
        <v>6.4561806892875788</v>
      </c>
      <c r="M40" s="918">
        <f t="shared" si="3"/>
        <v>15.688435605869737</v>
      </c>
      <c r="N40" s="918">
        <f t="shared" si="4"/>
        <v>21.158351136</v>
      </c>
      <c r="O40" s="918">
        <f t="shared" si="5"/>
        <v>0</v>
      </c>
      <c r="P40" s="918" t="str">
        <f>IF(VLOOKUP($A40,'7b erosió costa'!$A$4:$AP$401,42,FALSE)&gt;0,VLOOKUP($A40,'7b erosió costa'!$A$4:$AP$401,42,FALSE),"")</f>
        <v/>
      </c>
      <c r="Q40" s="863">
        <f t="shared" si="13"/>
        <v>3.208653900025245</v>
      </c>
      <c r="R40" s="864">
        <f t="shared" si="7"/>
        <v>1.5493280128593207E-2</v>
      </c>
      <c r="S40" s="863">
        <f t="shared" si="8"/>
        <v>1.9922852242546183</v>
      </c>
      <c r="T40" s="864">
        <f t="shared" si="14"/>
        <v>13.077677480869736</v>
      </c>
      <c r="U40" s="864">
        <f t="shared" si="9"/>
        <v>2.7116631360000021</v>
      </c>
      <c r="V40" s="864">
        <f t="shared" si="9"/>
        <v>0</v>
      </c>
      <c r="W40" s="864" t="str">
        <f t="shared" si="15"/>
        <v/>
      </c>
      <c r="X40" s="1067">
        <f t="shared" si="10"/>
        <v>21.005773021278195</v>
      </c>
      <c r="Y40" s="826">
        <f>VLOOKUP(B40,'BD ASVICC'!$A$6:$Y$316,24,FALSE)</f>
        <v>2418</v>
      </c>
      <c r="Z40" s="826" t="str">
        <f t="shared" si="11"/>
        <v>b 1.000 a 5.000 hab.</v>
      </c>
      <c r="AA40" s="826">
        <f t="shared" si="12"/>
        <v>8687.2510427122397</v>
      </c>
    </row>
    <row r="41" spans="1:27" s="826" customFormat="1" ht="45">
      <c r="A41" s="835">
        <v>8038</v>
      </c>
      <c r="B41" s="826" t="s">
        <v>890</v>
      </c>
      <c r="C41" s="878">
        <f>VLOOKUP(A41,copcalor,'1b.Cops de calor'!P$1,FALSE)/1000000</f>
        <v>2.481426945590341</v>
      </c>
      <c r="D41" s="879">
        <f>VLOOKUP($B41,'2b.Incendis forestals'!$B$4:$P$314,9,FALSE)/1000000</f>
        <v>1.1907741432313514</v>
      </c>
      <c r="E41" s="878">
        <f>VLOOKUP($B41,'3b aigua'!$B$4:$K$314,8,FALSE)/1000000</f>
        <v>3.0661664756086395</v>
      </c>
      <c r="F41" s="879">
        <f t="shared" si="0"/>
        <v>2.1746500000000002</v>
      </c>
      <c r="G41" s="879">
        <f t="shared" si="1"/>
        <v>2.5218179999999997</v>
      </c>
      <c r="H41" s="879">
        <f t="shared" si="2"/>
        <v>11.8198300476</v>
      </c>
      <c r="I41" s="878" t="str">
        <f>IF(VLOOKUP($A41,'7b erosió costa'!$A$4:$AP$401,9,FALSE)&gt;0,VLOOKUP($A41,'7b erosió costa'!$A$4:$AP$401,9,FALSE),"")</f>
        <v/>
      </c>
      <c r="J41" s="870">
        <f>VLOOKUP(A41,copcalor,'1b.Cops de calor'!Z$1,FALSE)/1000000</f>
        <v>13.016260367045584</v>
      </c>
      <c r="K41" s="870">
        <f>VLOOKUP($B41,'2b.Incendis forestals'!$B$4:$P$314,14,FALSE)/1000000</f>
        <v>3.2746288938862165</v>
      </c>
      <c r="L41" s="870">
        <f>VLOOKUP($B41,'3b aigua'!$B$4:$K$314,9,FALSE)/1000000</f>
        <v>4.4346300098269182</v>
      </c>
      <c r="M41" s="918">
        <f t="shared" si="3"/>
        <v>10.658523352633875</v>
      </c>
      <c r="N41" s="918">
        <f t="shared" si="4"/>
        <v>2.8925252459999995</v>
      </c>
      <c r="O41" s="918">
        <f t="shared" si="5"/>
        <v>14.493231575999987</v>
      </c>
      <c r="P41" s="918" t="str">
        <f>IF(VLOOKUP($A41,'7b erosió costa'!$A$4:$AP$401,42,FALSE)&gt;0,VLOOKUP($A41,'7b erosió costa'!$A$4:$AP$401,42,FALSE),"")</f>
        <v/>
      </c>
      <c r="Q41" s="863">
        <f t="shared" si="13"/>
        <v>10.534833421455243</v>
      </c>
      <c r="R41" s="864">
        <f t="shared" si="7"/>
        <v>2.083854750654865</v>
      </c>
      <c r="S41" s="863">
        <f t="shared" si="8"/>
        <v>1.3684635342182787</v>
      </c>
      <c r="T41" s="864">
        <f t="shared" si="14"/>
        <v>8.483873352633875</v>
      </c>
      <c r="U41" s="864">
        <f t="shared" si="9"/>
        <v>0.37070724599999982</v>
      </c>
      <c r="V41" s="864">
        <f t="shared" si="9"/>
        <v>2.673401528399987</v>
      </c>
      <c r="W41" s="864" t="str">
        <f t="shared" si="15"/>
        <v/>
      </c>
      <c r="X41" s="1067">
        <f t="shared" si="10"/>
        <v>25.515133833362249</v>
      </c>
      <c r="Y41" s="826">
        <f>VLOOKUP(B41,'BD ASVICC'!$A$6:$Y$316,24,FALSE)</f>
        <v>2057</v>
      </c>
      <c r="Z41" s="826" t="str">
        <f t="shared" si="11"/>
        <v>b 1.000 a 5.000 hab.</v>
      </c>
      <c r="AA41" s="826">
        <f t="shared" si="12"/>
        <v>12404.051450346256</v>
      </c>
    </row>
    <row r="42" spans="1:27" s="826" customFormat="1" ht="30">
      <c r="A42" s="835">
        <v>8039</v>
      </c>
      <c r="B42" s="826" t="s">
        <v>894</v>
      </c>
      <c r="C42" s="878">
        <f>VLOOKUP(A42,copcalor,'1b.Cops de calor'!P$1,FALSE)/1000000</f>
        <v>0.10474091723063353</v>
      </c>
      <c r="D42" s="879">
        <f>VLOOKUP($B42,'2b.Incendis forestals'!$B$4:$P$314,9,FALSE)/1000000</f>
        <v>0.18771309292081731</v>
      </c>
      <c r="E42" s="878">
        <f>VLOOKUP($B42,'3b aigua'!$B$4:$K$314,8,FALSE)/1000000</f>
        <v>1.0794063587434664</v>
      </c>
      <c r="F42" s="879">
        <f t="shared" si="0"/>
        <v>0.35834625000000003</v>
      </c>
      <c r="G42" s="879">
        <f t="shared" si="1"/>
        <v>1.8251999999999997E-2</v>
      </c>
      <c r="H42" s="879">
        <f t="shared" si="2"/>
        <v>0</v>
      </c>
      <c r="I42" s="878" t="str">
        <f>IF(VLOOKUP($A42,'7b erosió costa'!$A$4:$AP$401,9,FALSE)&gt;0,VLOOKUP($A42,'7b erosió costa'!$A$4:$AP$401,9,FALSE),"")</f>
        <v/>
      </c>
      <c r="J42" s="870">
        <f>VLOOKUP(A42,copcalor,'1b.Cops de calor'!Z$1,FALSE)/1000000</f>
        <v>0.59367074160046174</v>
      </c>
      <c r="K42" s="870">
        <f>VLOOKUP($B42,'2b.Incendis forestals'!$B$4:$P$314,14,FALSE)/1000000</f>
        <v>0.51621100553224752</v>
      </c>
      <c r="L42" s="870">
        <f>VLOOKUP($B42,'3b aigua'!$B$4:$K$314,9,FALSE)/1000000</f>
        <v>1.5611571874392745</v>
      </c>
      <c r="M42" s="918">
        <f t="shared" si="3"/>
        <v>1.9943452579830649</v>
      </c>
      <c r="N42" s="918">
        <f t="shared" si="4"/>
        <v>2.0935044E-2</v>
      </c>
      <c r="O42" s="918">
        <f t="shared" si="5"/>
        <v>0</v>
      </c>
      <c r="P42" s="918" t="str">
        <f>IF(VLOOKUP($A42,'7b erosió costa'!$A$4:$AP$401,42,FALSE)&gt;0,VLOOKUP($A42,'7b erosió costa'!$A$4:$AP$401,42,FALSE),"")</f>
        <v/>
      </c>
      <c r="Q42" s="863">
        <f t="shared" si="13"/>
        <v>0.48892982436982824</v>
      </c>
      <c r="R42" s="864">
        <f t="shared" si="7"/>
        <v>0.32849791261143024</v>
      </c>
      <c r="S42" s="863">
        <f t="shared" si="8"/>
        <v>0.4817508286958081</v>
      </c>
      <c r="T42" s="864">
        <f t="shared" si="14"/>
        <v>1.6359990079830649</v>
      </c>
      <c r="U42" s="864">
        <f t="shared" si="9"/>
        <v>2.6830440000000025E-3</v>
      </c>
      <c r="V42" s="864">
        <f t="shared" si="9"/>
        <v>0</v>
      </c>
      <c r="W42" s="864" t="str">
        <f t="shared" si="15"/>
        <v/>
      </c>
      <c r="X42" s="1067">
        <f t="shared" si="10"/>
        <v>2.9378606176601312</v>
      </c>
      <c r="Y42" s="826">
        <f>VLOOKUP(B42,'BD ASVICC'!$A$6:$Y$316,24,FALSE)</f>
        <v>470</v>
      </c>
      <c r="Z42" s="826" t="str">
        <f t="shared" si="11"/>
        <v>a &lt; 1.000 hab.</v>
      </c>
      <c r="AA42" s="826">
        <f t="shared" si="12"/>
        <v>6250.767271617301</v>
      </c>
    </row>
    <row r="43" spans="1:27" s="826" customFormat="1" ht="45">
      <c r="A43" s="835">
        <v>8040</v>
      </c>
      <c r="B43" s="826" t="s">
        <v>339</v>
      </c>
      <c r="C43" s="878">
        <f>VLOOKUP(A43,copcalor,'1b.Cops de calor'!P$1,FALSE)/1000000</f>
        <v>38.792887347833833</v>
      </c>
      <c r="D43" s="879">
        <f>VLOOKUP($B43,'2b.Incendis forestals'!$B$4:$P$314,9,FALSE)/1000000</f>
        <v>0.12980466471951832</v>
      </c>
      <c r="E43" s="878">
        <f>VLOOKUP($B43,'3b aigua'!$B$4:$K$314,8,FALSE)/1000000</f>
        <v>33.450938925495464</v>
      </c>
      <c r="F43" s="879">
        <f t="shared" si="0"/>
        <v>0.62694187500000009</v>
      </c>
      <c r="G43" s="879">
        <f t="shared" si="1"/>
        <v>0</v>
      </c>
      <c r="H43" s="879">
        <f t="shared" si="2"/>
        <v>0</v>
      </c>
      <c r="I43" s="878">
        <f>IF(VLOOKUP($A43,'7b erosió costa'!$A$4:$AP$401,9,FALSE)&gt;0,VLOOKUP($A43,'7b erosió costa'!$A$4:$AP$401,9,FALSE),"")</f>
        <v>8.3391288209606973</v>
      </c>
      <c r="J43" s="870">
        <f>VLOOKUP(A43,copcalor,'1b.Cops de calor'!Z$1,FALSE)/1000000</f>
        <v>229.40591432769213</v>
      </c>
      <c r="K43" s="870">
        <f>VLOOKUP($B43,'2b.Incendis forestals'!$B$4:$P$314,14,FALSE)/1000000</f>
        <v>0.35696282797867529</v>
      </c>
      <c r="L43" s="870">
        <f>VLOOKUP($B43,'3b aigua'!$B$4:$K$314,9,FALSE)/1000000</f>
        <v>61.45410916176035</v>
      </c>
      <c r="M43" s="918">
        <f t="shared" si="3"/>
        <v>9.0399935106247806</v>
      </c>
      <c r="N43" s="918">
        <f t="shared" si="4"/>
        <v>0</v>
      </c>
      <c r="O43" s="918">
        <f t="shared" si="5"/>
        <v>0</v>
      </c>
      <c r="P43" s="918">
        <f>IF(VLOOKUP($A43,'7b erosió costa'!$A$4:$AP$401,42,FALSE)&gt;0,VLOOKUP($A43,'7b erosió costa'!$A$4:$AP$401,42,FALSE),"")</f>
        <v>9.624587290798079</v>
      </c>
      <c r="Q43" s="863">
        <f t="shared" si="13"/>
        <v>190.61302697985829</v>
      </c>
      <c r="R43" s="864">
        <f t="shared" si="7"/>
        <v>0.22715816325915697</v>
      </c>
      <c r="S43" s="863">
        <f t="shared" si="8"/>
        <v>28.003170236264886</v>
      </c>
      <c r="T43" s="864">
        <f t="shared" si="14"/>
        <v>8.4130516356247806</v>
      </c>
      <c r="U43" s="864">
        <f t="shared" si="9"/>
        <v>0</v>
      </c>
      <c r="V43" s="864">
        <f t="shared" si="9"/>
        <v>0</v>
      </c>
      <c r="W43" s="864">
        <f t="shared" si="15"/>
        <v>1.2854584698373817</v>
      </c>
      <c r="X43" s="1067">
        <f t="shared" si="10"/>
        <v>228.54186548484449</v>
      </c>
      <c r="Y43" s="826">
        <f>VLOOKUP(B43,'BD ASVICC'!$A$6:$Y$316,24,FALSE)</f>
        <v>14284</v>
      </c>
      <c r="Z43" s="826" t="str">
        <f t="shared" si="11"/>
        <v>c 5.000 a 20.000 hab.</v>
      </c>
      <c r="AA43" s="826">
        <f t="shared" si="12"/>
        <v>15999.850566007037</v>
      </c>
    </row>
    <row r="44" spans="1:27" s="826" customFormat="1" ht="45">
      <c r="A44" s="835">
        <v>8041</v>
      </c>
      <c r="B44" s="826" t="s">
        <v>900</v>
      </c>
      <c r="C44" s="878">
        <f>VLOOKUP(A44,copcalor,'1b.Cops de calor'!P$1,FALSE)/1000000</f>
        <v>2.7613547694778862</v>
      </c>
      <c r="D44" s="879">
        <f>VLOOKUP($B44,'2b.Incendis forestals'!$B$4:$P$314,9,FALSE)/1000000</f>
        <v>3.0472904694937874E-3</v>
      </c>
      <c r="E44" s="878">
        <f>VLOOKUP($B44,'3b aigua'!$B$4:$K$314,8,FALSE)/1000000</f>
        <v>27.443308918256001</v>
      </c>
      <c r="F44" s="879">
        <f t="shared" si="0"/>
        <v>1.3994962500000001</v>
      </c>
      <c r="G44" s="879">
        <f t="shared" si="1"/>
        <v>0.40762799999999993</v>
      </c>
      <c r="H44" s="879">
        <f t="shared" si="2"/>
        <v>22.828770349499997</v>
      </c>
      <c r="I44" s="878" t="str">
        <f>IF(VLOOKUP($A44,'7b erosió costa'!$A$4:$AP$401,9,FALSE)&gt;0,VLOOKUP($A44,'7b erosió costa'!$A$4:$AP$401,9,FALSE),"")</f>
        <v/>
      </c>
      <c r="J44" s="870">
        <f>VLOOKUP(A44,copcalor,'1b.Cops de calor'!Z$1,FALSE)/1000000</f>
        <v>15.388968236992683</v>
      </c>
      <c r="K44" s="870">
        <f>VLOOKUP($B44,'2b.Incendis forestals'!$B$4:$P$314,14,FALSE)/1000000</f>
        <v>8.3800487911079163E-3</v>
      </c>
      <c r="L44" s="870">
        <f>VLOOKUP($B44,'3b aigua'!$B$4:$K$314,9,FALSE)/1000000</f>
        <v>50.417242570641399</v>
      </c>
      <c r="M44" s="918">
        <f t="shared" si="3"/>
        <v>7.9576391911214266</v>
      </c>
      <c r="N44" s="918">
        <f t="shared" si="4"/>
        <v>0.46754931599999994</v>
      </c>
      <c r="O44" s="918">
        <f t="shared" si="5"/>
        <v>45.541229012399995</v>
      </c>
      <c r="P44" s="918" t="str">
        <f>IF(VLOOKUP($A44,'7b erosió costa'!$A$4:$AP$401,42,FALSE)&gt;0,VLOOKUP($A44,'7b erosió costa'!$A$4:$AP$401,42,FALSE),"")</f>
        <v/>
      </c>
      <c r="Q44" s="863">
        <f t="shared" si="13"/>
        <v>12.627613467514797</v>
      </c>
      <c r="R44" s="864">
        <f t="shared" si="7"/>
        <v>5.3327583216141294E-3</v>
      </c>
      <c r="S44" s="863">
        <f t="shared" si="8"/>
        <v>22.973933652385398</v>
      </c>
      <c r="T44" s="864">
        <f t="shared" si="14"/>
        <v>6.5581429411214263</v>
      </c>
      <c r="U44" s="864">
        <f t="shared" si="9"/>
        <v>5.9921316000000002E-2</v>
      </c>
      <c r="V44" s="864">
        <f t="shared" si="9"/>
        <v>22.712458662899998</v>
      </c>
      <c r="W44" s="864" t="str">
        <f t="shared" si="15"/>
        <v/>
      </c>
      <c r="X44" s="1067">
        <f t="shared" si="10"/>
        <v>64.937402798243227</v>
      </c>
      <c r="Y44" s="826">
        <f>VLOOKUP(B44,'BD ASVICC'!$A$6:$Y$316,24,FALSE)</f>
        <v>15937</v>
      </c>
      <c r="Z44" s="826" t="str">
        <f t="shared" si="11"/>
        <v>c 5.000 a 20.000 hab.</v>
      </c>
      <c r="AA44" s="826">
        <f t="shared" si="12"/>
        <v>4074.6315365654277</v>
      </c>
    </row>
    <row r="45" spans="1:27" s="826" customFormat="1" ht="45">
      <c r="A45" s="835">
        <v>8042</v>
      </c>
      <c r="B45" s="826" t="s">
        <v>901</v>
      </c>
      <c r="C45" s="878">
        <f>VLOOKUP(A45,copcalor,'1b.Cops de calor'!P$1,FALSE)/1000000</f>
        <v>0.38717767064597897</v>
      </c>
      <c r="D45" s="879">
        <f>VLOOKUP($B45,'2b.Incendis forestals'!$B$4:$P$314,9,FALSE)/1000000</f>
        <v>0.67375592280507646</v>
      </c>
      <c r="E45" s="878">
        <f>VLOOKUP($B45,'3b aigua'!$B$4:$K$314,8,FALSE)/1000000</f>
        <v>7.7858251103188261</v>
      </c>
      <c r="F45" s="879">
        <f t="shared" si="0"/>
        <v>2.386630625</v>
      </c>
      <c r="G45" s="879">
        <f t="shared" si="1"/>
        <v>1.752192</v>
      </c>
      <c r="H45" s="879">
        <f t="shared" si="2"/>
        <v>2.2600303526999999</v>
      </c>
      <c r="I45" s="878" t="str">
        <f>IF(VLOOKUP($A45,'7b erosió costa'!$A$4:$AP$401,9,FALSE)&gt;0,VLOOKUP($A45,'7b erosió costa'!$A$4:$AP$401,9,FALSE),"")</f>
        <v/>
      </c>
      <c r="J45" s="870">
        <f>VLOOKUP(A45,copcalor,'1b.Cops de calor'!Z$1,FALSE)/1000000</f>
        <v>2.1104960438683555</v>
      </c>
      <c r="K45" s="870">
        <f>VLOOKUP($B45,'2b.Incendis forestals'!$B$4:$P$314,14,FALSE)/1000000</f>
        <v>1.8528287877139602</v>
      </c>
      <c r="L45" s="870">
        <f>VLOOKUP($B45,'3b aigua'!$B$4:$K$314,9,FALSE)/1000000</f>
        <v>14.303662665780349</v>
      </c>
      <c r="M45" s="918">
        <f t="shared" si="3"/>
        <v>14.825647111839295</v>
      </c>
      <c r="N45" s="918">
        <f t="shared" si="4"/>
        <v>2.009764224</v>
      </c>
      <c r="O45" s="918">
        <f t="shared" si="5"/>
        <v>2.4420553862999999</v>
      </c>
      <c r="P45" s="918" t="str">
        <f>IF(VLOOKUP($A45,'7b erosió costa'!$A$4:$AP$401,42,FALSE)&gt;0,VLOOKUP($A45,'7b erosió costa'!$A$4:$AP$401,42,FALSE),"")</f>
        <v/>
      </c>
      <c r="Q45" s="863">
        <f t="shared" si="13"/>
        <v>1.7233183732223765</v>
      </c>
      <c r="R45" s="864">
        <f t="shared" si="7"/>
        <v>1.1790728649088837</v>
      </c>
      <c r="S45" s="863">
        <f t="shared" si="8"/>
        <v>6.5178375554615231</v>
      </c>
      <c r="T45" s="864">
        <f t="shared" si="14"/>
        <v>12.439016486839295</v>
      </c>
      <c r="U45" s="864">
        <f t="shared" si="9"/>
        <v>0.25757222400000002</v>
      </c>
      <c r="V45" s="864">
        <f t="shared" si="9"/>
        <v>0.1820250336</v>
      </c>
      <c r="W45" s="864" t="str">
        <f t="shared" si="15"/>
        <v/>
      </c>
      <c r="X45" s="1067">
        <f t="shared" si="10"/>
        <v>22.298842538032076</v>
      </c>
      <c r="Y45" s="826">
        <f>VLOOKUP(B45,'BD ASVICC'!$A$6:$Y$316,24,FALSE)</f>
        <v>2873</v>
      </c>
      <c r="Z45" s="826" t="str">
        <f t="shared" si="11"/>
        <v>b 1.000 a 5.000 hab.</v>
      </c>
      <c r="AA45" s="826">
        <f t="shared" si="12"/>
        <v>7761.5184608534901</v>
      </c>
    </row>
    <row r="46" spans="1:27" s="826" customFormat="1" ht="45">
      <c r="A46" s="835">
        <v>8043</v>
      </c>
      <c r="B46" s="826" t="s">
        <v>906</v>
      </c>
      <c r="C46" s="878">
        <f>VLOOKUP(A46,copcalor,'1b.Cops de calor'!P$1,FALSE)/1000000</f>
        <v>2.3503921286869431</v>
      </c>
      <c r="D46" s="879">
        <f>VLOOKUP($B46,'2b.Incendis forestals'!$B$4:$P$314,9,FALSE)/1000000</f>
        <v>1.8553810444790055</v>
      </c>
      <c r="E46" s="878">
        <f>VLOOKUP($B46,'3b aigua'!$B$4:$K$314,8,FALSE)/1000000</f>
        <v>13.206640535860053</v>
      </c>
      <c r="F46" s="879">
        <f t="shared" si="0"/>
        <v>0.10695</v>
      </c>
      <c r="G46" s="879">
        <f t="shared" si="1"/>
        <v>1.2168E-2</v>
      </c>
      <c r="H46" s="879">
        <f t="shared" si="2"/>
        <v>0</v>
      </c>
      <c r="I46" s="878" t="str">
        <f>IF(VLOOKUP($A46,'7b erosió costa'!$A$4:$AP$401,9,FALSE)&gt;0,VLOOKUP($A46,'7b erosió costa'!$A$4:$AP$401,9,FALSE),"")</f>
        <v/>
      </c>
      <c r="J46" s="870">
        <f>VLOOKUP(A46,copcalor,'1b.Cops de calor'!Z$1,FALSE)/1000000</f>
        <v>12.674717942080758</v>
      </c>
      <c r="K46" s="870">
        <f>VLOOKUP($B46,'2b.Incendis forestals'!$B$4:$P$314,14,FALSE)/1000000</f>
        <v>5.1022978723172647</v>
      </c>
      <c r="L46" s="870">
        <f>VLOOKUP($B46,'3b aigua'!$B$4:$K$314,9,FALSE)/1000000</f>
        <v>24.26246781767582</v>
      </c>
      <c r="M46" s="918">
        <f t="shared" si="3"/>
        <v>1.5760024106736019</v>
      </c>
      <c r="N46" s="918">
        <f t="shared" si="4"/>
        <v>1.3956695999999998E-2</v>
      </c>
      <c r="O46" s="918">
        <f t="shared" si="5"/>
        <v>0</v>
      </c>
      <c r="P46" s="918" t="str">
        <f>IF(VLOOKUP($A46,'7b erosió costa'!$A$4:$AP$401,42,FALSE)&gt;0,VLOOKUP($A46,'7b erosió costa'!$A$4:$AP$401,42,FALSE),"")</f>
        <v/>
      </c>
      <c r="Q46" s="863">
        <f t="shared" si="13"/>
        <v>10.324325813393814</v>
      </c>
      <c r="R46" s="864">
        <f t="shared" si="7"/>
        <v>3.246916827838259</v>
      </c>
      <c r="S46" s="863">
        <f t="shared" si="8"/>
        <v>11.055827281815766</v>
      </c>
      <c r="T46" s="864">
        <f t="shared" si="14"/>
        <v>1.4690524106736018</v>
      </c>
      <c r="U46" s="864">
        <f t="shared" si="9"/>
        <v>1.7886959999999976E-3</v>
      </c>
      <c r="V46" s="864">
        <f t="shared" si="9"/>
        <v>0</v>
      </c>
      <c r="W46" s="864" t="str">
        <f t="shared" si="15"/>
        <v/>
      </c>
      <c r="X46" s="1067">
        <f t="shared" si="10"/>
        <v>26.097911029721441</v>
      </c>
      <c r="Y46" s="826">
        <f>VLOOKUP(B46,'BD ASVICC'!$A$6:$Y$316,24,FALSE)</f>
        <v>4407</v>
      </c>
      <c r="Z46" s="826" t="str">
        <f t="shared" si="11"/>
        <v>b 1.000 a 5.000 hab.</v>
      </c>
      <c r="AA46" s="826">
        <f t="shared" si="12"/>
        <v>5921.9221760202954</v>
      </c>
    </row>
    <row r="47" spans="1:27" s="826" customFormat="1" ht="45">
      <c r="A47" s="835">
        <v>8044</v>
      </c>
      <c r="B47" s="826" t="s">
        <v>912</v>
      </c>
      <c r="C47" s="878">
        <f>VLOOKUP(A47,copcalor,'1b.Cops de calor'!P$1,FALSE)/1000000</f>
        <v>0.93566459935385249</v>
      </c>
      <c r="D47" s="879">
        <f>VLOOKUP($B47,'2b.Incendis forestals'!$B$4:$P$314,9,FALSE)/1000000</f>
        <v>0.25297008253849274</v>
      </c>
      <c r="E47" s="878">
        <f>VLOOKUP($B47,'3b aigua'!$B$4:$K$314,8,FALSE)/1000000</f>
        <v>20.362366872596475</v>
      </c>
      <c r="F47" s="879">
        <f t="shared" si="0"/>
        <v>9.3613124999999991E-2</v>
      </c>
      <c r="G47" s="879">
        <f t="shared" si="1"/>
        <v>5.8419878753151497</v>
      </c>
      <c r="H47" s="879">
        <f t="shared" si="2"/>
        <v>2.2080936948000001</v>
      </c>
      <c r="I47" s="878" t="str">
        <f>IF(VLOOKUP($A47,'7b erosió costa'!$A$4:$AP$401,9,FALSE)&gt;0,VLOOKUP($A47,'7b erosió costa'!$A$4:$AP$401,9,FALSE),"")</f>
        <v/>
      </c>
      <c r="J47" s="870">
        <f>VLOOKUP(A47,copcalor,'1b.Cops de calor'!Z$1,FALSE)/1000000</f>
        <v>5.498827980929609</v>
      </c>
      <c r="K47" s="870">
        <f>VLOOKUP($B47,'2b.Incendis forestals'!$B$4:$P$314,14,FALSE)/1000000</f>
        <v>0.69566772698085499</v>
      </c>
      <c r="L47" s="870">
        <f>VLOOKUP($B47,'3b aigua'!$B$4:$K$314,9,FALSE)/1000000</f>
        <v>29.450313256848585</v>
      </c>
      <c r="M47" s="918">
        <f t="shared" si="3"/>
        <v>4.995174698718472</v>
      </c>
      <c r="N47" s="918">
        <f t="shared" si="4"/>
        <v>6.700760092986477</v>
      </c>
      <c r="O47" s="918">
        <f t="shared" si="5"/>
        <v>3.0460783857000004</v>
      </c>
      <c r="P47" s="918" t="str">
        <f>IF(VLOOKUP($A47,'7b erosió costa'!$A$4:$AP$401,42,FALSE)&gt;0,VLOOKUP($A47,'7b erosió costa'!$A$4:$AP$401,42,FALSE),"")</f>
        <v/>
      </c>
      <c r="Q47" s="863">
        <f t="shared" si="13"/>
        <v>4.5631633815757562</v>
      </c>
      <c r="R47" s="864">
        <f t="shared" si="7"/>
        <v>0.44269764444236226</v>
      </c>
      <c r="S47" s="863">
        <f t="shared" si="8"/>
        <v>9.0879463842521098</v>
      </c>
      <c r="T47" s="864">
        <f t="shared" si="14"/>
        <v>4.9015615737184719</v>
      </c>
      <c r="U47" s="864">
        <f t="shared" si="9"/>
        <v>0.85877221767132728</v>
      </c>
      <c r="V47" s="864">
        <f t="shared" si="9"/>
        <v>0.83798469090000038</v>
      </c>
      <c r="W47" s="864" t="str">
        <f t="shared" si="15"/>
        <v/>
      </c>
      <c r="X47" s="1067">
        <f t="shared" si="10"/>
        <v>20.692125892560028</v>
      </c>
      <c r="Y47" s="826">
        <f>VLOOKUP(B47,'BD ASVICC'!$A$6:$Y$316,24,FALSE)</f>
        <v>5227</v>
      </c>
      <c r="Z47" s="826" t="str">
        <f t="shared" si="11"/>
        <v>c 5.000 a 20.000 hab.</v>
      </c>
      <c r="AA47" s="826">
        <f t="shared" si="12"/>
        <v>3958.7001898909562</v>
      </c>
    </row>
    <row r="48" spans="1:27" s="826" customFormat="1" ht="30">
      <c r="A48" s="835">
        <v>8045</v>
      </c>
      <c r="B48" s="826" t="s">
        <v>916</v>
      </c>
      <c r="C48" s="878">
        <f>VLOOKUP(A48,copcalor,'1b.Cops de calor'!P$1,FALSE)/1000000</f>
        <v>0</v>
      </c>
      <c r="D48" s="879">
        <f>VLOOKUP($B48,'2b.Incendis forestals'!$B$4:$P$314,9,FALSE)/1000000</f>
        <v>2.578282561299841</v>
      </c>
      <c r="E48" s="878">
        <f>VLOOKUP($B48,'3b aigua'!$B$4:$K$314,8,FALSE)/1000000</f>
        <v>0.11307814051925333</v>
      </c>
      <c r="F48" s="879">
        <f t="shared" si="0"/>
        <v>1.1693199999999999</v>
      </c>
      <c r="G48" s="879">
        <f t="shared" si="1"/>
        <v>6.5342159999999989</v>
      </c>
      <c r="H48" s="879">
        <f t="shared" si="2"/>
        <v>0</v>
      </c>
      <c r="I48" s="878" t="str">
        <f>IF(VLOOKUP($A48,'7b erosió costa'!$A$4:$AP$401,9,FALSE)&gt;0,VLOOKUP($A48,'7b erosió costa'!$A$4:$AP$401,9,FALSE),"")</f>
        <v/>
      </c>
      <c r="J48" s="870">
        <f>VLOOKUP(A48,copcalor,'1b.Cops de calor'!Z$1,FALSE)/1000000</f>
        <v>0</v>
      </c>
      <c r="K48" s="870">
        <f>VLOOKUP($B48,'2b.Incendis forestals'!$B$4:$P$314,14,FALSE)/1000000</f>
        <v>7.0902770435745621</v>
      </c>
      <c r="L48" s="870">
        <f>VLOOKUP($B48,'3b aigua'!$B$4:$K$314,9,FALSE)/1000000</f>
        <v>0.16354614773568857</v>
      </c>
      <c r="M48" s="918">
        <f t="shared" si="3"/>
        <v>5.3115189800205851</v>
      </c>
      <c r="N48" s="918">
        <f t="shared" si="4"/>
        <v>7.4947457519999983</v>
      </c>
      <c r="O48" s="918">
        <f t="shared" si="5"/>
        <v>0</v>
      </c>
      <c r="P48" s="918" t="str">
        <f>IF(VLOOKUP($A48,'7b erosió costa'!$A$4:$AP$401,42,FALSE)&gt;0,VLOOKUP($A48,'7b erosió costa'!$A$4:$AP$401,42,FALSE),"")</f>
        <v/>
      </c>
      <c r="Q48" s="863">
        <f t="shared" si="13"/>
        <v>0</v>
      </c>
      <c r="R48" s="864">
        <f t="shared" si="7"/>
        <v>4.5119944822747211</v>
      </c>
      <c r="S48" s="863">
        <f t="shared" si="8"/>
        <v>5.046800721643524E-2</v>
      </c>
      <c r="T48" s="864">
        <f t="shared" si="14"/>
        <v>4.1421989800205852</v>
      </c>
      <c r="U48" s="864">
        <f t="shared" si="9"/>
        <v>0.96052975199999935</v>
      </c>
      <c r="V48" s="864">
        <f t="shared" si="9"/>
        <v>0</v>
      </c>
      <c r="W48" s="864" t="str">
        <f t="shared" si="15"/>
        <v/>
      </c>
      <c r="X48" s="1067">
        <f t="shared" si="10"/>
        <v>9.6651912215117406</v>
      </c>
      <c r="Y48" s="826">
        <f>VLOOKUP(B48,'BD ASVICC'!$A$6:$Y$316,24,FALSE)</f>
        <v>93</v>
      </c>
      <c r="Z48" s="826" t="str">
        <f t="shared" si="11"/>
        <v>a &lt; 1.000 hab.</v>
      </c>
      <c r="AA48" s="826">
        <f t="shared" si="12"/>
        <v>103926.78732808323</v>
      </c>
    </row>
    <row r="49" spans="1:27" s="826" customFormat="1" ht="45">
      <c r="A49" s="835">
        <v>8046</v>
      </c>
      <c r="B49" s="826" t="s">
        <v>920</v>
      </c>
      <c r="C49" s="878">
        <f>VLOOKUP(A49,copcalor,'1b.Cops de calor'!P$1,FALSE)/1000000</f>
        <v>2.9196626065400917</v>
      </c>
      <c r="D49" s="879">
        <f>VLOOKUP($B49,'2b.Incendis forestals'!$B$4:$P$314,9,FALSE)/1000000</f>
        <v>8.5019404098876664E-2</v>
      </c>
      <c r="E49" s="878">
        <f>VLOOKUP($B49,'3b aigua'!$B$4:$K$314,8,FALSE)/1000000</f>
        <v>29.094353891538873</v>
      </c>
      <c r="F49" s="879">
        <f t="shared" si="0"/>
        <v>5.4060818749999999</v>
      </c>
      <c r="G49" s="879">
        <f t="shared" si="1"/>
        <v>2.1263579999999997</v>
      </c>
      <c r="H49" s="879">
        <f t="shared" si="2"/>
        <v>58.211028132449989</v>
      </c>
      <c r="I49" s="878" t="str">
        <f>IF(VLOOKUP($A49,'7b erosió costa'!$A$4:$AP$401,9,FALSE)&gt;0,VLOOKUP($A49,'7b erosió costa'!$A$4:$AP$401,9,FALSE),"")</f>
        <v/>
      </c>
      <c r="J49" s="870">
        <f>VLOOKUP(A49,copcalor,'1b.Cops de calor'!Z$1,FALSE)/1000000</f>
        <v>16.174486012725925</v>
      </c>
      <c r="K49" s="870">
        <f>VLOOKUP($B49,'2b.Incendis forestals'!$B$4:$P$314,14,FALSE)/1000000</f>
        <v>0.23380336127191084</v>
      </c>
      <c r="L49" s="870">
        <f>VLOOKUP($B49,'3b aigua'!$B$4:$K$314,9,FALSE)/1000000</f>
        <v>53.450445861140636</v>
      </c>
      <c r="M49" s="918">
        <f t="shared" si="3"/>
        <v>56.348068937620269</v>
      </c>
      <c r="N49" s="918">
        <f t="shared" si="4"/>
        <v>2.4389326259999993</v>
      </c>
      <c r="O49" s="918">
        <f t="shared" si="5"/>
        <v>70.929536819100008</v>
      </c>
      <c r="P49" s="918" t="str">
        <f>IF(VLOOKUP($A49,'7b erosió costa'!$A$4:$AP$401,42,FALSE)&gt;0,VLOOKUP($A49,'7b erosió costa'!$A$4:$AP$401,42,FALSE),"")</f>
        <v/>
      </c>
      <c r="Q49" s="863">
        <f t="shared" si="13"/>
        <v>13.254823406185833</v>
      </c>
      <c r="R49" s="864">
        <f t="shared" si="7"/>
        <v>0.14878395717303416</v>
      </c>
      <c r="S49" s="863">
        <f t="shared" si="8"/>
        <v>24.356091969601763</v>
      </c>
      <c r="T49" s="864">
        <f t="shared" si="14"/>
        <v>50.941987062620271</v>
      </c>
      <c r="U49" s="864">
        <f t="shared" si="9"/>
        <v>0.31257462599999952</v>
      </c>
      <c r="V49" s="864">
        <f t="shared" si="9"/>
        <v>12.718508686650019</v>
      </c>
      <c r="W49" s="864" t="str">
        <f t="shared" si="15"/>
        <v/>
      </c>
      <c r="X49" s="1067">
        <f t="shared" si="10"/>
        <v>101.73276970823093</v>
      </c>
      <c r="Y49" s="826">
        <f>VLOOKUP(B49,'BD ASVICC'!$A$6:$Y$316,24,FALSE)</f>
        <v>18158</v>
      </c>
      <c r="Z49" s="826" t="str">
        <f t="shared" si="11"/>
        <v>c 5.000 a 20.000 hab.</v>
      </c>
      <c r="AA49" s="826">
        <f t="shared" si="12"/>
        <v>5602.6417947037626</v>
      </c>
    </row>
    <row r="50" spans="1:27" s="826" customFormat="1" ht="45">
      <c r="A50" s="835">
        <v>8047</v>
      </c>
      <c r="B50" s="826" t="s">
        <v>924</v>
      </c>
      <c r="C50" s="878">
        <f>VLOOKUP(A50,copcalor,'1b.Cops de calor'!P$1,FALSE)/1000000</f>
        <v>3.5591258483849204</v>
      </c>
      <c r="D50" s="879">
        <f>VLOOKUP($B50,'2b.Incendis forestals'!$B$4:$P$314,9,FALSE)/1000000</f>
        <v>7.0339903967022543</v>
      </c>
      <c r="E50" s="878">
        <f>VLOOKUP($B50,'3b aigua'!$B$4:$K$314,8,FALSE)/1000000</f>
        <v>28.398093841994662</v>
      </c>
      <c r="F50" s="879">
        <f t="shared" si="0"/>
        <v>12.601236249999999</v>
      </c>
      <c r="G50" s="879">
        <f t="shared" si="1"/>
        <v>32.756256</v>
      </c>
      <c r="H50" s="879">
        <f t="shared" si="2"/>
        <v>4.5427337998499997</v>
      </c>
      <c r="I50" s="878" t="str">
        <f>IF(VLOOKUP($A50,'7b erosió costa'!$A$4:$AP$401,9,FALSE)&gt;0,VLOOKUP($A50,'7b erosió costa'!$A$4:$AP$401,9,FALSE),"")</f>
        <v/>
      </c>
      <c r="J50" s="870">
        <f>VLOOKUP(A50,copcalor,'1b.Cops de calor'!Z$1,FALSE)/1000000</f>
        <v>19.166642412281576</v>
      </c>
      <c r="K50" s="870">
        <f>VLOOKUP($B50,'2b.Incendis forestals'!$B$4:$P$314,14,FALSE)/1000000</f>
        <v>19.3434735909312</v>
      </c>
      <c r="L50" s="870">
        <f>VLOOKUP($B50,'3b aigua'!$B$4:$K$314,9,FALSE)/1000000</f>
        <v>41.072472801266343</v>
      </c>
      <c r="M50" s="918">
        <f t="shared" si="3"/>
        <v>71.813576954454135</v>
      </c>
      <c r="N50" s="918">
        <f t="shared" si="4"/>
        <v>37.571425632</v>
      </c>
      <c r="O50" s="918">
        <f t="shared" si="5"/>
        <v>5.9036440700999977</v>
      </c>
      <c r="P50" s="918" t="str">
        <f>IF(VLOOKUP($A50,'7b erosió costa'!$A$4:$AP$401,42,FALSE)&gt;0,VLOOKUP($A50,'7b erosió costa'!$A$4:$AP$401,42,FALSE),"")</f>
        <v/>
      </c>
      <c r="Q50" s="863">
        <f t="shared" si="13"/>
        <v>15.607516563896656</v>
      </c>
      <c r="R50" s="864">
        <f t="shared" si="7"/>
        <v>12.309483194228946</v>
      </c>
      <c r="S50" s="863">
        <f t="shared" si="8"/>
        <v>12.674378959271682</v>
      </c>
      <c r="T50" s="864">
        <f t="shared" si="14"/>
        <v>59.212340704454135</v>
      </c>
      <c r="U50" s="864">
        <f t="shared" si="9"/>
        <v>4.8151696319999999</v>
      </c>
      <c r="V50" s="864">
        <f t="shared" si="9"/>
        <v>1.360910270249998</v>
      </c>
      <c r="W50" s="864" t="str">
        <f t="shared" si="15"/>
        <v/>
      </c>
      <c r="X50" s="1067">
        <f t="shared" si="10"/>
        <v>105.97979932410141</v>
      </c>
      <c r="Y50" s="826">
        <f>VLOOKUP(B50,'BD ASVICC'!$A$6:$Y$316,24,FALSE)</f>
        <v>4775</v>
      </c>
      <c r="Z50" s="826" t="str">
        <f t="shared" si="11"/>
        <v>b 1.000 a 5.000 hab.</v>
      </c>
      <c r="AA50" s="826">
        <f t="shared" si="12"/>
        <v>22194.722371539559</v>
      </c>
    </row>
    <row r="51" spans="1:27" s="826" customFormat="1" ht="30">
      <c r="A51" s="835">
        <v>8048</v>
      </c>
      <c r="B51" s="826" t="s">
        <v>929</v>
      </c>
      <c r="C51" s="878">
        <f>VLOOKUP(A51,copcalor,'1b.Cops de calor'!P$1,FALSE)/1000000</f>
        <v>0.10317502115724075</v>
      </c>
      <c r="D51" s="879">
        <f>VLOOKUP($B51,'2b.Incendis forestals'!$B$4:$P$314,9,FALSE)/1000000</f>
        <v>1.1788736526140215</v>
      </c>
      <c r="E51" s="878">
        <f>VLOOKUP($B51,'3b aigua'!$B$4:$K$314,8,FALSE)/1000000</f>
        <v>0.69731381176522667</v>
      </c>
      <c r="F51" s="879">
        <f t="shared" si="0"/>
        <v>1.4616499999999999</v>
      </c>
      <c r="G51" s="879">
        <f t="shared" si="1"/>
        <v>0.24944399999999997</v>
      </c>
      <c r="H51" s="879">
        <f t="shared" si="2"/>
        <v>1.7025912212999996</v>
      </c>
      <c r="I51" s="878" t="str">
        <f>IF(VLOOKUP($A51,'7b erosió costa'!$A$4:$AP$401,9,FALSE)&gt;0,VLOOKUP($A51,'7b erosió costa'!$A$4:$AP$401,9,FALSE),"")</f>
        <v/>
      </c>
      <c r="J51" s="870">
        <f>VLOOKUP(A51,copcalor,'1b.Cops de calor'!Z$1,FALSE)/1000000</f>
        <v>0.60162306445672886</v>
      </c>
      <c r="K51" s="870">
        <f>VLOOKUP($B51,'2b.Incendis forestals'!$B$4:$P$314,14,FALSE)/1000000</f>
        <v>3.2419025446885588</v>
      </c>
      <c r="L51" s="870">
        <f>VLOOKUP($B51,'3b aigua'!$B$4:$K$314,9,FALSE)/1000000</f>
        <v>1.0085325700741803</v>
      </c>
      <c r="M51" s="918">
        <f t="shared" si="3"/>
        <v>6.801871990380886</v>
      </c>
      <c r="N51" s="918">
        <f t="shared" si="4"/>
        <v>0.286112268</v>
      </c>
      <c r="O51" s="918">
        <f t="shared" si="5"/>
        <v>2.3960874703500004</v>
      </c>
      <c r="P51" s="918" t="str">
        <f>IF(VLOOKUP($A51,'7b erosió costa'!$A$4:$AP$401,42,FALSE)&gt;0,VLOOKUP($A51,'7b erosió costa'!$A$4:$AP$401,42,FALSE),"")</f>
        <v/>
      </c>
      <c r="Q51" s="863">
        <f t="shared" si="13"/>
        <v>0.49844804329948811</v>
      </c>
      <c r="R51" s="864">
        <f t="shared" si="7"/>
        <v>2.063028892074537</v>
      </c>
      <c r="S51" s="863">
        <f t="shared" si="8"/>
        <v>0.31121875830895362</v>
      </c>
      <c r="T51" s="864">
        <f t="shared" si="14"/>
        <v>5.3402219903808863</v>
      </c>
      <c r="U51" s="864">
        <f t="shared" si="9"/>
        <v>3.6668268000000032E-2</v>
      </c>
      <c r="V51" s="864">
        <f t="shared" si="9"/>
        <v>0.69349624905000073</v>
      </c>
      <c r="W51" s="864" t="str">
        <f t="shared" si="15"/>
        <v/>
      </c>
      <c r="X51" s="1067">
        <f t="shared" si="10"/>
        <v>8.9430822011138638</v>
      </c>
      <c r="Y51" s="826">
        <f>VLOOKUP(B51,'BD ASVICC'!$A$6:$Y$316,24,FALSE)</f>
        <v>791</v>
      </c>
      <c r="Z51" s="826" t="str">
        <f t="shared" si="11"/>
        <v>a &lt; 1.000 hab.</v>
      </c>
      <c r="AA51" s="826">
        <f t="shared" si="12"/>
        <v>11306.045766262785</v>
      </c>
    </row>
    <row r="52" spans="1:27" s="826" customFormat="1" ht="45">
      <c r="A52" s="835">
        <v>8049</v>
      </c>
      <c r="B52" s="826" t="s">
        <v>934</v>
      </c>
      <c r="C52" s="878">
        <f>VLOOKUP(A52,copcalor,'1b.Cops de calor'!P$1,FALSE)/1000000</f>
        <v>0.16694037310020438</v>
      </c>
      <c r="D52" s="879">
        <f>VLOOKUP($B52,'2b.Incendis forestals'!$B$4:$P$314,9,FALSE)/1000000</f>
        <v>1.6093443553842151</v>
      </c>
      <c r="E52" s="878">
        <f>VLOOKUP($B52,'3b aigua'!$B$4:$K$314,8,FALSE)/1000000</f>
        <v>2.9687402707423995</v>
      </c>
      <c r="F52" s="879">
        <f t="shared" si="0"/>
        <v>6.0105900000000005</v>
      </c>
      <c r="G52" s="879">
        <f t="shared" si="1"/>
        <v>3.3522839999999996</v>
      </c>
      <c r="H52" s="879">
        <f t="shared" si="2"/>
        <v>1.9862177828999998</v>
      </c>
      <c r="I52" s="878" t="str">
        <f>IF(VLOOKUP($A52,'7b erosió costa'!$A$4:$AP$401,9,FALSE)&gt;0,VLOOKUP($A52,'7b erosió costa'!$A$4:$AP$401,9,FALSE),"")</f>
        <v/>
      </c>
      <c r="J52" s="870">
        <f>VLOOKUP(A52,copcalor,'1b.Cops de calor'!Z$1,FALSE)/1000000</f>
        <v>0.89613324371549508</v>
      </c>
      <c r="K52" s="870">
        <f>VLOOKUP($B52,'2b.Incendis forestals'!$B$4:$P$314,14,FALSE)/1000000</f>
        <v>4.4256969773065915</v>
      </c>
      <c r="L52" s="870">
        <f>VLOOKUP($B52,'3b aigua'!$B$4:$K$314,9,FALSE)/1000000</f>
        <v>4.2937214273085438</v>
      </c>
      <c r="M52" s="918">
        <f t="shared" si="3"/>
        <v>29.562611373027515</v>
      </c>
      <c r="N52" s="918">
        <f t="shared" si="4"/>
        <v>3.8450697479999998</v>
      </c>
      <c r="O52" s="918">
        <f t="shared" si="5"/>
        <v>2.0347949964000001</v>
      </c>
      <c r="P52" s="918" t="str">
        <f>IF(VLOOKUP($A52,'7b erosió costa'!$A$4:$AP$401,42,FALSE)&gt;0,VLOOKUP($A52,'7b erosió costa'!$A$4:$AP$401,42,FALSE),"")</f>
        <v/>
      </c>
      <c r="Q52" s="863">
        <f t="shared" si="13"/>
        <v>0.7291928706152907</v>
      </c>
      <c r="R52" s="864">
        <f t="shared" si="7"/>
        <v>2.8163526219223765</v>
      </c>
      <c r="S52" s="863">
        <f t="shared" si="8"/>
        <v>1.3249811565661442</v>
      </c>
      <c r="T52" s="864">
        <f t="shared" si="14"/>
        <v>23.552021373027515</v>
      </c>
      <c r="U52" s="864">
        <f t="shared" si="9"/>
        <v>0.49278574800000019</v>
      </c>
      <c r="V52" s="864">
        <f t="shared" si="9"/>
        <v>4.8577213500000216E-2</v>
      </c>
      <c r="W52" s="864" t="str">
        <f t="shared" si="15"/>
        <v/>
      </c>
      <c r="X52" s="1067">
        <f t="shared" si="10"/>
        <v>28.963910983631326</v>
      </c>
      <c r="Y52" s="826">
        <f>VLOOKUP(B52,'BD ASVICC'!$A$6:$Y$316,24,FALSE)</f>
        <v>1528</v>
      </c>
      <c r="Z52" s="826" t="str">
        <f t="shared" si="11"/>
        <v>b 1.000 a 5.000 hab.</v>
      </c>
      <c r="AA52" s="826">
        <f t="shared" si="12"/>
        <v>18955.439125413173</v>
      </c>
    </row>
    <row r="53" spans="1:27" s="826" customFormat="1" ht="30">
      <c r="A53" s="835">
        <v>8050</v>
      </c>
      <c r="B53" s="826" t="s">
        <v>942</v>
      </c>
      <c r="C53" s="878">
        <f>VLOOKUP(A53,copcalor,'1b.Cops de calor'!P$1,FALSE)/1000000</f>
        <v>1.6840588607372642E-2</v>
      </c>
      <c r="D53" s="879">
        <f>VLOOKUP($B53,'2b.Incendis forestals'!$B$4:$P$314,9,FALSE)/1000000</f>
        <v>2.6967391901032789</v>
      </c>
      <c r="E53" s="878">
        <f>VLOOKUP($B53,'3b aigua'!$B$4:$K$314,8,FALSE)/1000000</f>
        <v>0.16552306629066665</v>
      </c>
      <c r="F53" s="879">
        <f t="shared" si="0"/>
        <v>2.8519999999999997E-2</v>
      </c>
      <c r="G53" s="879">
        <f t="shared" si="1"/>
        <v>0.54451799999999995</v>
      </c>
      <c r="H53" s="879">
        <f t="shared" si="2"/>
        <v>0</v>
      </c>
      <c r="I53" s="878" t="str">
        <f>IF(VLOOKUP($A53,'7b erosió costa'!$A$4:$AP$401,9,FALSE)&gt;0,VLOOKUP($A53,'7b erosió costa'!$A$4:$AP$401,9,FALSE),"")</f>
        <v/>
      </c>
      <c r="J53" s="870">
        <f>VLOOKUP(A53,copcalor,'1b.Cops de calor'!Z$1,FALSE)/1000000</f>
        <v>7.894740706083668E-2</v>
      </c>
      <c r="K53" s="870">
        <f>VLOOKUP($B53,'2b.Incendis forestals'!$B$4:$P$314,14,FALSE)/1000000</f>
        <v>7.4160327727840167</v>
      </c>
      <c r="L53" s="870">
        <f>VLOOKUP($B53,'3b aigua'!$B$4:$K$314,9,FALSE)/1000000</f>
        <v>0.23939781578410665</v>
      </c>
      <c r="M53" s="918">
        <f t="shared" si="3"/>
        <v>0.50351918613702029</v>
      </c>
      <c r="N53" s="918">
        <f t="shared" si="4"/>
        <v>0.62456214599999993</v>
      </c>
      <c r="O53" s="918">
        <f t="shared" si="5"/>
        <v>0</v>
      </c>
      <c r="P53" s="918" t="str">
        <f>IF(VLOOKUP($A53,'7b erosió costa'!$A$4:$AP$401,42,FALSE)&gt;0,VLOOKUP($A53,'7b erosió costa'!$A$4:$AP$401,42,FALSE),"")</f>
        <v/>
      </c>
      <c r="Q53" s="863">
        <f t="shared" si="13"/>
        <v>6.2106818453464038E-2</v>
      </c>
      <c r="R53" s="864">
        <f t="shared" si="7"/>
        <v>4.7192935826807378</v>
      </c>
      <c r="S53" s="863">
        <f t="shared" si="8"/>
        <v>7.3874749493440001E-2</v>
      </c>
      <c r="T53" s="864">
        <f t="shared" si="14"/>
        <v>0.4749991861370203</v>
      </c>
      <c r="U53" s="864">
        <f t="shared" si="9"/>
        <v>8.0044145999999983E-2</v>
      </c>
      <c r="V53" s="864">
        <f t="shared" si="9"/>
        <v>0</v>
      </c>
      <c r="W53" s="864" t="str">
        <f t="shared" si="15"/>
        <v/>
      </c>
      <c r="X53" s="1067">
        <f t="shared" si="10"/>
        <v>5.4103184827646613</v>
      </c>
      <c r="Y53" s="826">
        <f>VLOOKUP(B53,'BD ASVICC'!$A$6:$Y$316,24,FALSE)</f>
        <v>176</v>
      </c>
      <c r="Z53" s="826" t="str">
        <f t="shared" si="11"/>
        <v>a &lt; 1.000 hab.</v>
      </c>
      <c r="AA53" s="826">
        <f t="shared" si="12"/>
        <v>30740.445924799213</v>
      </c>
    </row>
    <row r="54" spans="1:27" s="826" customFormat="1" ht="45">
      <c r="A54" s="835">
        <v>8051</v>
      </c>
      <c r="B54" s="826" t="s">
        <v>944</v>
      </c>
      <c r="C54" s="878">
        <f>VLOOKUP(A54,copcalor,'1b.Cops de calor'!P$1,FALSE)/1000000</f>
        <v>6.2591727124183381</v>
      </c>
      <c r="D54" s="879">
        <f>VLOOKUP($B54,'2b.Incendis forestals'!$B$4:$P$314,9,FALSE)/1000000</f>
        <v>4.0660142510085953</v>
      </c>
      <c r="E54" s="878">
        <f>VLOOKUP($B54,'3b aigua'!$B$4:$K$314,8,FALSE)/1000000</f>
        <v>55.838281966715726</v>
      </c>
      <c r="F54" s="879">
        <f t="shared" si="0"/>
        <v>1.0446724999999999</v>
      </c>
      <c r="G54" s="879">
        <f t="shared" si="1"/>
        <v>2.2602059999999997</v>
      </c>
      <c r="H54" s="879">
        <f t="shared" si="2"/>
        <v>0.60938581439999995</v>
      </c>
      <c r="I54" s="878" t="str">
        <f>IF(VLOOKUP($A54,'7b erosió costa'!$A$4:$AP$401,9,FALSE)&gt;0,VLOOKUP($A54,'7b erosió costa'!$A$4:$AP$401,9,FALSE),"")</f>
        <v/>
      </c>
      <c r="J54" s="870">
        <f>VLOOKUP(A54,copcalor,'1b.Cops de calor'!Z$1,FALSE)/1000000</f>
        <v>36.675416047377595</v>
      </c>
      <c r="K54" s="870">
        <f>VLOOKUP($B54,'2b.Incendis forestals'!$B$4:$P$314,14,FALSE)/1000000</f>
        <v>11.181539190273638</v>
      </c>
      <c r="L54" s="870">
        <f>VLOOKUP($B54,'3b aigua'!$B$4:$K$314,9,FALSE)/1000000</f>
        <v>102.58282683875001</v>
      </c>
      <c r="M54" s="918">
        <f t="shared" si="3"/>
        <v>6.533038175528123</v>
      </c>
      <c r="N54" s="918">
        <f t="shared" si="4"/>
        <v>2.5924562820000001</v>
      </c>
      <c r="O54" s="918">
        <f t="shared" si="5"/>
        <v>0.73005589680000005</v>
      </c>
      <c r="P54" s="918" t="str">
        <f>IF(VLOOKUP($A54,'7b erosió costa'!$A$4:$AP$401,42,FALSE)&gt;0,VLOOKUP($A54,'7b erosió costa'!$A$4:$AP$401,42,FALSE),"")</f>
        <v/>
      </c>
      <c r="Q54" s="863">
        <f t="shared" si="13"/>
        <v>30.416243334959258</v>
      </c>
      <c r="R54" s="864">
        <f t="shared" si="7"/>
        <v>7.1155249392650424</v>
      </c>
      <c r="S54" s="863">
        <f t="shared" si="8"/>
        <v>46.744544872034282</v>
      </c>
      <c r="T54" s="864">
        <f t="shared" si="14"/>
        <v>5.4883656755281232</v>
      </c>
      <c r="U54" s="864">
        <f t="shared" si="9"/>
        <v>0.3322502820000004</v>
      </c>
      <c r="V54" s="864">
        <f t="shared" si="9"/>
        <v>0.1206700824000001</v>
      </c>
      <c r="W54" s="864" t="str">
        <f t="shared" si="15"/>
        <v/>
      </c>
      <c r="X54" s="1067">
        <f t="shared" si="10"/>
        <v>90.217599186186717</v>
      </c>
      <c r="Y54" s="826">
        <f>VLOOKUP(B54,'BD ASVICC'!$A$6:$Y$316,24,FALSE)</f>
        <v>23633</v>
      </c>
      <c r="Z54" s="826" t="str">
        <f t="shared" si="11"/>
        <v>d 20.000 a 50.000 hab.</v>
      </c>
      <c r="AA54" s="826">
        <f t="shared" si="12"/>
        <v>3817.4416784236751</v>
      </c>
    </row>
    <row r="55" spans="1:27" s="826" customFormat="1" ht="30">
      <c r="A55" s="835">
        <v>8052</v>
      </c>
      <c r="B55" s="826" t="s">
        <v>951</v>
      </c>
      <c r="C55" s="878">
        <f>VLOOKUP(A55,copcalor,'1b.Cops de calor'!P$1,FALSE)/1000000</f>
        <v>2.8454405972992199E-2</v>
      </c>
      <c r="D55" s="879">
        <f>VLOOKUP($B55,'2b.Incendis forestals'!$B$4:$P$314,9,FALSE)/1000000</f>
        <v>3.8183753940858374</v>
      </c>
      <c r="E55" s="878">
        <f>VLOOKUP($B55,'3b aigua'!$B$4:$K$314,8,FALSE)/1000000</f>
        <v>0.40817073131519993</v>
      </c>
      <c r="F55" s="879">
        <f t="shared" si="0"/>
        <v>0</v>
      </c>
      <c r="G55" s="879">
        <f t="shared" si="1"/>
        <v>0.98256599999999983</v>
      </c>
      <c r="H55" s="879">
        <f t="shared" si="2"/>
        <v>1.2215648863500002</v>
      </c>
      <c r="I55" s="878" t="str">
        <f>IF(VLOOKUP($A55,'7b erosió costa'!$A$4:$AP$401,9,FALSE)&gt;0,VLOOKUP($A55,'7b erosió costa'!$A$4:$AP$401,9,FALSE),"")</f>
        <v/>
      </c>
      <c r="J55" s="870">
        <f>VLOOKUP(A55,copcalor,'1b.Cops de calor'!Z$1,FALSE)/1000000</f>
        <v>0.15988552471422299</v>
      </c>
      <c r="K55" s="870">
        <f>VLOOKUP($B55,'2b.Incendis forestals'!$B$4:$P$314,14,FALSE)/1000000</f>
        <v>10.500532333736055</v>
      </c>
      <c r="L55" s="870">
        <f>VLOOKUP($B55,'3b aigua'!$B$4:$K$314,9,FALSE)/1000000</f>
        <v>0.59034177975091184</v>
      </c>
      <c r="M55" s="918">
        <f t="shared" si="3"/>
        <v>0.33795374439151582</v>
      </c>
      <c r="N55" s="918">
        <f t="shared" si="4"/>
        <v>1.1270032019999998</v>
      </c>
      <c r="O55" s="918">
        <f t="shared" si="5"/>
        <v>1.3184483104500002</v>
      </c>
      <c r="P55" s="918" t="str">
        <f>IF(VLOOKUP($A55,'7b erosió costa'!$A$4:$AP$401,42,FALSE)&gt;0,VLOOKUP($A55,'7b erosió costa'!$A$4:$AP$401,42,FALSE),"")</f>
        <v/>
      </c>
      <c r="Q55" s="863">
        <f t="shared" si="13"/>
        <v>0.13143111874123078</v>
      </c>
      <c r="R55" s="864">
        <f t="shared" si="7"/>
        <v>6.6821569396502181</v>
      </c>
      <c r="S55" s="863">
        <f t="shared" si="8"/>
        <v>0.18217104843571191</v>
      </c>
      <c r="T55" s="864">
        <f t="shared" si="14"/>
        <v>0.33795374439151582</v>
      </c>
      <c r="U55" s="864">
        <f t="shared" si="9"/>
        <v>0.14443720199999999</v>
      </c>
      <c r="V55" s="864">
        <f t="shared" si="9"/>
        <v>9.688342410000006E-2</v>
      </c>
      <c r="W55" s="864" t="str">
        <f t="shared" si="15"/>
        <v/>
      </c>
      <c r="X55" s="1067">
        <f t="shared" si="10"/>
        <v>7.5750334773186765</v>
      </c>
      <c r="Y55" s="826">
        <f>VLOOKUP(B55,'BD ASVICC'!$A$6:$Y$316,24,FALSE)</f>
        <v>157</v>
      </c>
      <c r="Z55" s="826" t="str">
        <f t="shared" si="11"/>
        <v>a &lt; 1.000 hab.</v>
      </c>
      <c r="AA55" s="826">
        <f t="shared" si="12"/>
        <v>48248.620874641252</v>
      </c>
    </row>
    <row r="56" spans="1:27" s="826" customFormat="1" ht="45">
      <c r="A56" s="835">
        <v>8053</v>
      </c>
      <c r="B56" s="826" t="s">
        <v>958</v>
      </c>
      <c r="C56" s="878">
        <f>VLOOKUP(A56,copcalor,'1b.Cops de calor'!P$1,FALSE)/1000000</f>
        <v>3.603708451233457</v>
      </c>
      <c r="D56" s="879">
        <f>VLOOKUP($B56,'2b.Incendis forestals'!$B$4:$P$314,9,FALSE)/1000000</f>
        <v>3.5079116230560201</v>
      </c>
      <c r="E56" s="878">
        <f>VLOOKUP($B56,'3b aigua'!$B$4:$K$314,8,FALSE)/1000000</f>
        <v>8.1376896765565867</v>
      </c>
      <c r="F56" s="879">
        <f t="shared" si="0"/>
        <v>0.97689499999999996</v>
      </c>
      <c r="G56" s="879">
        <f t="shared" si="1"/>
        <v>3.1515119999999994</v>
      </c>
      <c r="H56" s="879">
        <f t="shared" si="2"/>
        <v>12.760801340549998</v>
      </c>
      <c r="I56" s="878" t="str">
        <f>IF(VLOOKUP($A56,'7b erosió costa'!$A$4:$AP$401,9,FALSE)&gt;0,VLOOKUP($A56,'7b erosió costa'!$A$4:$AP$401,9,FALSE),"")</f>
        <v/>
      </c>
      <c r="J56" s="870">
        <f>VLOOKUP(A56,copcalor,'1b.Cops de calor'!Z$1,FALSE)/1000000</f>
        <v>18.405054968057822</v>
      </c>
      <c r="K56" s="870">
        <f>VLOOKUP($B56,'2b.Incendis forestals'!$B$4:$P$314,14,FALSE)/1000000</f>
        <v>9.6467569634040551</v>
      </c>
      <c r="L56" s="870">
        <f>VLOOKUP($B56,'3b aigua'!$B$4:$K$314,9,FALSE)/1000000</f>
        <v>11.769629319671262</v>
      </c>
      <c r="M56" s="918">
        <f t="shared" si="3"/>
        <v>6.6928423542333775</v>
      </c>
      <c r="N56" s="918">
        <f t="shared" si="4"/>
        <v>3.6147842639999994</v>
      </c>
      <c r="O56" s="918">
        <f t="shared" si="5"/>
        <v>20.1922814112</v>
      </c>
      <c r="P56" s="918" t="str">
        <f>IF(VLOOKUP($A56,'7b erosió costa'!$A$4:$AP$401,42,FALSE)&gt;0,VLOOKUP($A56,'7b erosió costa'!$A$4:$AP$401,42,FALSE),"")</f>
        <v/>
      </c>
      <c r="Q56" s="863">
        <f t="shared" si="13"/>
        <v>14.801346516824365</v>
      </c>
      <c r="R56" s="864">
        <f t="shared" si="7"/>
        <v>6.138845340348035</v>
      </c>
      <c r="S56" s="863">
        <f t="shared" si="8"/>
        <v>3.6319396431146753</v>
      </c>
      <c r="T56" s="864">
        <f t="shared" si="14"/>
        <v>5.7159473542333776</v>
      </c>
      <c r="U56" s="864">
        <f t="shared" si="9"/>
        <v>0.46327226399999999</v>
      </c>
      <c r="V56" s="864">
        <f t="shared" si="9"/>
        <v>7.4314800706500019</v>
      </c>
      <c r="W56" s="864" t="str">
        <f t="shared" si="15"/>
        <v/>
      </c>
      <c r="X56" s="1067">
        <f t="shared" si="10"/>
        <v>38.182831189170457</v>
      </c>
      <c r="Y56" s="826">
        <f>VLOOKUP(B56,'BD ASVICC'!$A$6:$Y$316,24,FALSE)</f>
        <v>3584</v>
      </c>
      <c r="Z56" s="826" t="str">
        <f t="shared" si="11"/>
        <v>b 1.000 a 5.000 hab.</v>
      </c>
      <c r="AA56" s="826">
        <f t="shared" si="12"/>
        <v>10653.691738049793</v>
      </c>
    </row>
    <row r="57" spans="1:27" s="826" customFormat="1" ht="45">
      <c r="A57" s="835">
        <v>8054</v>
      </c>
      <c r="B57" s="826" t="s">
        <v>964</v>
      </c>
      <c r="C57" s="878">
        <f>VLOOKUP(A57,copcalor,'1b.Cops de calor'!P$1,FALSE)/1000000</f>
        <v>2.8865897326983432</v>
      </c>
      <c r="D57" s="879">
        <f>VLOOKUP($B57,'2b.Incendis forestals'!$B$4:$P$314,9,FALSE)/1000000</f>
        <v>1.9080002148745834</v>
      </c>
      <c r="E57" s="878">
        <f>VLOOKUP($B57,'3b aigua'!$B$4:$K$314,8,FALSE)/1000000</f>
        <v>202.97652530751137</v>
      </c>
      <c r="F57" s="879">
        <f t="shared" si="0"/>
        <v>0.91113374999999996</v>
      </c>
      <c r="G57" s="879">
        <f t="shared" si="1"/>
        <v>2.1476519999999999</v>
      </c>
      <c r="H57" s="879">
        <f t="shared" si="2"/>
        <v>62.073440346450006</v>
      </c>
      <c r="I57" s="878" t="str">
        <f>IF(VLOOKUP($A57,'7b erosió costa'!$A$4:$AP$401,9,FALSE)&gt;0,VLOOKUP($A57,'7b erosió costa'!$A$4:$AP$401,9,FALSE),"")</f>
        <v/>
      </c>
      <c r="J57" s="870">
        <f>VLOOKUP(A57,copcalor,'1b.Cops de calor'!Z$1,FALSE)/1000000</f>
        <v>16.862588473264278</v>
      </c>
      <c r="K57" s="870">
        <f>VLOOKUP($B57,'2b.Incendis forestals'!$B$4:$P$314,14,FALSE)/1000000</f>
        <v>5.2470005909051034</v>
      </c>
      <c r="L57" s="870">
        <f>VLOOKUP($B57,'3b aigua'!$B$4:$K$314,9,FALSE)/1000000</f>
        <v>372.89660452596269</v>
      </c>
      <c r="M57" s="918">
        <f t="shared" si="3"/>
        <v>7.5998404581588801</v>
      </c>
      <c r="N57" s="918">
        <f t="shared" si="4"/>
        <v>2.4633568439999998</v>
      </c>
      <c r="O57" s="918">
        <f t="shared" si="5"/>
        <v>73.966250673450006</v>
      </c>
      <c r="P57" s="918" t="str">
        <f>IF(VLOOKUP($A57,'7b erosió costa'!$A$4:$AP$401,42,FALSE)&gt;0,VLOOKUP($A57,'7b erosió costa'!$A$4:$AP$401,42,FALSE),"")</f>
        <v/>
      </c>
      <c r="Q57" s="863">
        <f t="shared" si="13"/>
        <v>13.975998740565934</v>
      </c>
      <c r="R57" s="864">
        <f t="shared" si="7"/>
        <v>3.33900037603052</v>
      </c>
      <c r="S57" s="863">
        <f t="shared" si="8"/>
        <v>169.92007921845132</v>
      </c>
      <c r="T57" s="864">
        <f t="shared" si="14"/>
        <v>6.6887067081588798</v>
      </c>
      <c r="U57" s="864">
        <f t="shared" si="9"/>
        <v>0.31570484399999987</v>
      </c>
      <c r="V57" s="864">
        <f t="shared" si="9"/>
        <v>11.892810326999999</v>
      </c>
      <c r="W57" s="864" t="str">
        <f t="shared" si="15"/>
        <v/>
      </c>
      <c r="X57" s="1067">
        <f t="shared" si="10"/>
        <v>206.13230021420668</v>
      </c>
      <c r="Y57" s="826">
        <f>VLOOKUP(B57,'BD ASVICC'!$A$6:$Y$316,24,FALSE)</f>
        <v>12277</v>
      </c>
      <c r="Z57" s="826" t="str">
        <f t="shared" si="11"/>
        <v>c 5.000 a 20.000 hab.</v>
      </c>
      <c r="AA57" s="826">
        <f t="shared" si="12"/>
        <v>16790.119753539682</v>
      </c>
    </row>
    <row r="58" spans="1:27" s="826" customFormat="1" ht="30">
      <c r="A58" s="835">
        <v>8055</v>
      </c>
      <c r="B58" s="826" t="s">
        <v>970</v>
      </c>
      <c r="C58" s="878">
        <f>VLOOKUP(A58,copcalor,'1b.Cops de calor'!P$1,FALSE)/1000000</f>
        <v>0.31015352467420843</v>
      </c>
      <c r="D58" s="879">
        <f>VLOOKUP($B58,'2b.Incendis forestals'!$B$4:$P$314,9,FALSE)/1000000</f>
        <v>0.86085955763199484</v>
      </c>
      <c r="E58" s="878">
        <f>VLOOKUP($B58,'3b aigua'!$B$4:$K$314,8,FALSE)/1000000</f>
        <v>2.5730484969847462</v>
      </c>
      <c r="F58" s="879">
        <f t="shared" si="0"/>
        <v>2.0240818750000003</v>
      </c>
      <c r="G58" s="879">
        <f t="shared" si="1"/>
        <v>1.8008639999999998</v>
      </c>
      <c r="H58" s="879">
        <f t="shared" si="2"/>
        <v>0</v>
      </c>
      <c r="I58" s="878" t="str">
        <f>IF(VLOOKUP($A58,'7b erosió costa'!$A$4:$AP$401,9,FALSE)&gt;0,VLOOKUP($A58,'7b erosió costa'!$A$4:$AP$401,9,FALSE),"")</f>
        <v/>
      </c>
      <c r="J58" s="870">
        <f>VLOOKUP(A58,copcalor,'1b.Cops de calor'!Z$1,FALSE)/1000000</f>
        <v>1.7954139424025308</v>
      </c>
      <c r="K58" s="870">
        <f>VLOOKUP($B58,'2b.Incendis forestals'!$B$4:$P$314,14,FALSE)/1000000</f>
        <v>2.3673637834879857</v>
      </c>
      <c r="L58" s="870">
        <f>VLOOKUP($B58,'3b aigua'!$B$4:$K$314,9,FALSE)/1000000</f>
        <v>3.7214280999545513</v>
      </c>
      <c r="M58" s="918">
        <f t="shared" si="3"/>
        <v>9.9745402376844723</v>
      </c>
      <c r="N58" s="918">
        <f t="shared" si="4"/>
        <v>2.0655910079999997</v>
      </c>
      <c r="O58" s="918">
        <f t="shared" si="5"/>
        <v>0</v>
      </c>
      <c r="P58" s="918" t="str">
        <f>IF(VLOOKUP($A58,'7b erosió costa'!$A$4:$AP$401,42,FALSE)&gt;0,VLOOKUP($A58,'7b erosió costa'!$A$4:$AP$401,42,FALSE),"")</f>
        <v/>
      </c>
      <c r="Q58" s="863">
        <f t="shared" si="13"/>
        <v>1.4852604177283224</v>
      </c>
      <c r="R58" s="864">
        <f t="shared" si="7"/>
        <v>1.5065042258559909</v>
      </c>
      <c r="S58" s="863">
        <f t="shared" si="8"/>
        <v>1.148379602969805</v>
      </c>
      <c r="T58" s="864">
        <f t="shared" si="14"/>
        <v>7.950458362684472</v>
      </c>
      <c r="U58" s="864">
        <f t="shared" si="9"/>
        <v>0.26472700799999993</v>
      </c>
      <c r="V58" s="864">
        <f t="shared" si="9"/>
        <v>0</v>
      </c>
      <c r="W58" s="864" t="str">
        <f t="shared" si="15"/>
        <v/>
      </c>
      <c r="X58" s="1067">
        <f t="shared" si="10"/>
        <v>12.35532961723859</v>
      </c>
      <c r="Y58" s="826">
        <f>VLOOKUP(B58,'BD ASVICC'!$A$6:$Y$316,24,FALSE)</f>
        <v>726</v>
      </c>
      <c r="Z58" s="826" t="str">
        <f t="shared" si="11"/>
        <v>a &lt; 1.000 hab.</v>
      </c>
      <c r="AA58" s="826">
        <f t="shared" si="12"/>
        <v>17018.360354323126</v>
      </c>
    </row>
    <row r="59" spans="1:27" s="826" customFormat="1" ht="45">
      <c r="A59" s="835">
        <v>8056</v>
      </c>
      <c r="B59" s="826" t="s">
        <v>340</v>
      </c>
      <c r="C59" s="878">
        <f>VLOOKUP(A59,copcalor,'1b.Cops de calor'!P$1,FALSE)/1000000</f>
        <v>61.679664415314001</v>
      </c>
      <c r="D59" s="879">
        <f>VLOOKUP($B59,'2b.Incendis forestals'!$B$4:$P$314,9,FALSE)/1000000</f>
        <v>0.70101471504724777</v>
      </c>
      <c r="E59" s="878">
        <f>VLOOKUP($B59,'3b aigua'!$B$4:$K$314,8,FALSE)/1000000</f>
        <v>179.14212954537985</v>
      </c>
      <c r="F59" s="879">
        <f t="shared" si="0"/>
        <v>5.0833125E-2</v>
      </c>
      <c r="G59" s="879">
        <f t="shared" si="1"/>
        <v>3.0306198676381468</v>
      </c>
      <c r="H59" s="879">
        <f t="shared" si="2"/>
        <v>23.536581674999994</v>
      </c>
      <c r="I59" s="878" t="str">
        <f>IF(VLOOKUP($A59,'7b erosió costa'!$A$4:$AP$401,9,FALSE)&gt;0,VLOOKUP($A59,'7b erosió costa'!$A$4:$AP$401,9,FALSE),"")</f>
        <v>guanya sorra</v>
      </c>
      <c r="J59" s="870">
        <f>VLOOKUP(A59,copcalor,'1b.Cops de calor'!Z$1,FALSE)/1000000</f>
        <v>362.92623674542966</v>
      </c>
      <c r="K59" s="870">
        <f>VLOOKUP($B59,'2b.Incendis forestals'!$B$4:$P$314,14,FALSE)/1000000</f>
        <v>1.927790466379931</v>
      </c>
      <c r="L59" s="870">
        <f>VLOOKUP($B59,'3b aigua'!$B$4:$K$314,9,FALSE)/1000000</f>
        <v>329.10944619737393</v>
      </c>
      <c r="M59" s="918">
        <f t="shared" si="3"/>
        <v>2.6760011954010099</v>
      </c>
      <c r="N59" s="918">
        <f t="shared" si="4"/>
        <v>3.4761209881809543</v>
      </c>
      <c r="O59" s="918">
        <f t="shared" si="5"/>
        <v>49.542737212199995</v>
      </c>
      <c r="P59" s="918" t="str">
        <f>IF(VLOOKUP($A59,'7b erosió costa'!$A$4:$AP$401,42,FALSE)&gt;0,VLOOKUP($A59,'7b erosió costa'!$A$4:$AP$401,42,FALSE),"")</f>
        <v>No hi ha pèrdua</v>
      </c>
      <c r="Q59" s="863">
        <f t="shared" si="13"/>
        <v>301.24657233011567</v>
      </c>
      <c r="R59" s="864">
        <f t="shared" si="7"/>
        <v>1.2267757513326831</v>
      </c>
      <c r="S59" s="863">
        <f t="shared" si="8"/>
        <v>149.96731665199408</v>
      </c>
      <c r="T59" s="864">
        <f t="shared" si="14"/>
        <v>2.6251680704010099</v>
      </c>
      <c r="U59" s="864">
        <f t="shared" si="9"/>
        <v>0.44550112054280744</v>
      </c>
      <c r="V59" s="864">
        <f t="shared" si="9"/>
        <v>26.006155537200002</v>
      </c>
      <c r="W59" s="864" t="str">
        <f t="shared" si="15"/>
        <v/>
      </c>
      <c r="X59" s="1067">
        <f t="shared" si="10"/>
        <v>481.51748946158625</v>
      </c>
      <c r="Y59" s="826">
        <f>VLOOKUP(B59,'BD ASVICC'!$A$6:$Y$316,24,FALSE)</f>
        <v>64892</v>
      </c>
      <c r="Z59" s="826" t="str">
        <f t="shared" si="11"/>
        <v>e &gt;50.000 hab.</v>
      </c>
      <c r="AA59" s="826">
        <f t="shared" si="12"/>
        <v>7420.290474351018</v>
      </c>
    </row>
    <row r="60" spans="1:27" s="826" customFormat="1" ht="30">
      <c r="A60" s="835">
        <v>8057</v>
      </c>
      <c r="B60" s="826" t="s">
        <v>980</v>
      </c>
      <c r="C60" s="878">
        <f>VLOOKUP(A60,copcalor,'1b.Cops de calor'!P$1,FALSE)/1000000</f>
        <v>1.378373928357223E-2</v>
      </c>
      <c r="D60" s="879">
        <f>VLOOKUP($B60,'2b.Incendis forestals'!$B$4:$P$314,9,FALSE)/1000000</f>
        <v>2.0637365799349054</v>
      </c>
      <c r="E60" s="878">
        <f>VLOOKUP($B60,'3b aigua'!$B$4:$K$314,8,FALSE)/1000000</f>
        <v>3.7822916453333341E-2</v>
      </c>
      <c r="F60" s="879">
        <f t="shared" si="0"/>
        <v>0.19963999999999998</v>
      </c>
      <c r="G60" s="879">
        <f t="shared" si="1"/>
        <v>0.40154399999999996</v>
      </c>
      <c r="H60" s="879">
        <f t="shared" si="2"/>
        <v>0</v>
      </c>
      <c r="I60" s="878" t="str">
        <f>IF(VLOOKUP($A60,'7b erosió costa'!$A$4:$AP$401,9,FALSE)&gt;0,VLOOKUP($A60,'7b erosió costa'!$A$4:$AP$401,9,FALSE),"")</f>
        <v/>
      </c>
      <c r="J60" s="870">
        <f>VLOOKUP(A60,copcalor,'1b.Cops de calor'!Z$1,FALSE)/1000000</f>
        <v>7.4039750495441647E-2</v>
      </c>
      <c r="K60" s="870">
        <f>VLOOKUP($B60,'2b.Incendis forestals'!$B$4:$P$314,14,FALSE)/1000000</f>
        <v>5.675275594820989</v>
      </c>
      <c r="L60" s="870">
        <f>VLOOKUP($B60,'3b aigua'!$B$4:$K$314,9,FALSE)/1000000</f>
        <v>5.4703696520533342E-2</v>
      </c>
      <c r="M60" s="918">
        <f t="shared" si="3"/>
        <v>1.0211935085175303</v>
      </c>
      <c r="N60" s="918">
        <f t="shared" si="4"/>
        <v>0.46057096800000003</v>
      </c>
      <c r="O60" s="918">
        <f t="shared" si="5"/>
        <v>0</v>
      </c>
      <c r="P60" s="918" t="str">
        <f>IF(VLOOKUP($A60,'7b erosió costa'!$A$4:$AP$401,42,FALSE)&gt;0,VLOOKUP($A60,'7b erosió costa'!$A$4:$AP$401,42,FALSE),"")</f>
        <v/>
      </c>
      <c r="Q60" s="863">
        <f t="shared" si="13"/>
        <v>6.0256011211869416E-2</v>
      </c>
      <c r="R60" s="864">
        <f t="shared" si="7"/>
        <v>3.6115390148860835</v>
      </c>
      <c r="S60" s="863">
        <f t="shared" si="8"/>
        <v>1.6880780067200001E-2</v>
      </c>
      <c r="T60" s="864">
        <f t="shared" si="14"/>
        <v>0.82155350851753028</v>
      </c>
      <c r="U60" s="864">
        <f t="shared" si="9"/>
        <v>5.9026968000000068E-2</v>
      </c>
      <c r="V60" s="864">
        <f t="shared" si="9"/>
        <v>0</v>
      </c>
      <c r="W60" s="864" t="str">
        <f t="shared" si="15"/>
        <v/>
      </c>
      <c r="X60" s="1067">
        <f t="shared" si="10"/>
        <v>4.5692562826826837</v>
      </c>
      <c r="Y60" s="826">
        <f>VLOOKUP(B60,'BD ASVICC'!$A$6:$Y$316,24,FALSE)</f>
        <v>69</v>
      </c>
      <c r="Z60" s="826" t="str">
        <f t="shared" si="11"/>
        <v>a &lt; 1.000 hab.</v>
      </c>
      <c r="AA60" s="826">
        <f t="shared" si="12"/>
        <v>66221.105546125851</v>
      </c>
    </row>
    <row r="61" spans="1:27" s="826" customFormat="1" ht="45">
      <c r="A61" s="835">
        <v>8058</v>
      </c>
      <c r="B61" s="826" t="s">
        <v>984</v>
      </c>
      <c r="C61" s="878">
        <f>VLOOKUP(A61,copcalor,'1b.Cops de calor'!P$1,FALSE)/1000000</f>
        <v>0.44554950888954115</v>
      </c>
      <c r="D61" s="879">
        <f>VLOOKUP($B61,'2b.Incendis forestals'!$B$4:$P$314,9,FALSE)/1000000</f>
        <v>2.6013728251929278</v>
      </c>
      <c r="E61" s="878">
        <f>VLOOKUP($B61,'3b aigua'!$B$4:$K$314,8,FALSE)/1000000</f>
        <v>10.632500623620798</v>
      </c>
      <c r="F61" s="879">
        <f t="shared" si="0"/>
        <v>1.0107837499999999</v>
      </c>
      <c r="G61" s="879">
        <f t="shared" si="1"/>
        <v>0.25857000000000002</v>
      </c>
      <c r="H61" s="879">
        <f t="shared" si="2"/>
        <v>0</v>
      </c>
      <c r="I61" s="878" t="str">
        <f>IF(VLOOKUP($A61,'7b erosió costa'!$A$4:$AP$401,9,FALSE)&gt;0,VLOOKUP($A61,'7b erosió costa'!$A$4:$AP$401,9,FALSE),"")</f>
        <v/>
      </c>
      <c r="J61" s="870">
        <f>VLOOKUP(A61,copcalor,'1b.Cops de calor'!Z$1,FALSE)/1000000</f>
        <v>2.5315299901894917</v>
      </c>
      <c r="K61" s="870">
        <f>VLOOKUP($B61,'2b.Incendis forestals'!$B$4:$P$314,14,FALSE)/1000000</f>
        <v>7.1537752692805512</v>
      </c>
      <c r="L61" s="870">
        <f>VLOOKUP($B61,'3b aigua'!$B$4:$K$314,9,FALSE)/1000000</f>
        <v>15.37790159800525</v>
      </c>
      <c r="M61" s="918">
        <f t="shared" si="3"/>
        <v>6.5879513887327175</v>
      </c>
      <c r="N61" s="918">
        <f t="shared" si="4"/>
        <v>0.29657979000000001</v>
      </c>
      <c r="O61" s="918">
        <f t="shared" si="5"/>
        <v>0.33393763500000001</v>
      </c>
      <c r="P61" s="918" t="str">
        <f>IF(VLOOKUP($A61,'7b erosió costa'!$A$4:$AP$401,42,FALSE)&gt;0,VLOOKUP($A61,'7b erosió costa'!$A$4:$AP$401,42,FALSE),"")</f>
        <v/>
      </c>
      <c r="Q61" s="863">
        <f t="shared" si="13"/>
        <v>2.0859804812999503</v>
      </c>
      <c r="R61" s="864">
        <f t="shared" si="7"/>
        <v>4.5524024440876234</v>
      </c>
      <c r="S61" s="863">
        <f t="shared" si="8"/>
        <v>4.7454009743844523</v>
      </c>
      <c r="T61" s="864">
        <f t="shared" si="14"/>
        <v>5.5771676387327176</v>
      </c>
      <c r="U61" s="864">
        <f t="shared" si="9"/>
        <v>3.8009789999999988E-2</v>
      </c>
      <c r="V61" s="864">
        <f t="shared" si="9"/>
        <v>0.33393763500000001</v>
      </c>
      <c r="W61" s="864" t="str">
        <f t="shared" si="15"/>
        <v/>
      </c>
      <c r="X61" s="1067">
        <f t="shared" si="10"/>
        <v>17.332898963504746</v>
      </c>
      <c r="Y61" s="826">
        <f>VLOOKUP(B61,'BD ASVICC'!$A$6:$Y$316,24,FALSE)</f>
        <v>2193</v>
      </c>
      <c r="Z61" s="826" t="str">
        <f t="shared" si="11"/>
        <v>b 1.000 a 5.000 hab.</v>
      </c>
      <c r="AA61" s="826">
        <f t="shared" si="12"/>
        <v>7903.7386974485844</v>
      </c>
    </row>
    <row r="62" spans="1:27" s="826" customFormat="1" ht="30">
      <c r="A62" s="835">
        <v>8059</v>
      </c>
      <c r="B62" s="826" t="s">
        <v>993</v>
      </c>
      <c r="C62" s="878">
        <f>VLOOKUP(A62,copcalor,'1b.Cops de calor'!P$1,FALSE)/1000000</f>
        <v>0.27322190805266133</v>
      </c>
      <c r="D62" s="879">
        <f>VLOOKUP($B62,'2b.Incendis forestals'!$B$4:$P$314,9,FALSE)/1000000</f>
        <v>7.2619055586522219</v>
      </c>
      <c r="E62" s="878">
        <f>VLOOKUP($B62,'3b aigua'!$B$4:$K$314,8,FALSE)/1000000</f>
        <v>1.2845786268671999</v>
      </c>
      <c r="F62" s="879">
        <f t="shared" si="0"/>
        <v>6.9749862499999997</v>
      </c>
      <c r="G62" s="879">
        <f t="shared" si="1"/>
        <v>3.683862</v>
      </c>
      <c r="H62" s="879">
        <f t="shared" si="2"/>
        <v>0</v>
      </c>
      <c r="I62" s="878" t="str">
        <f>IF(VLOOKUP($A62,'7b erosió costa'!$A$4:$AP$401,9,FALSE)&gt;0,VLOOKUP($A62,'7b erosió costa'!$A$4:$AP$401,9,FALSE),"")</f>
        <v/>
      </c>
      <c r="J62" s="870">
        <f>VLOOKUP(A62,copcalor,'1b.Cops de calor'!Z$1,FALSE)/1000000</f>
        <v>1.3834181508682357</v>
      </c>
      <c r="K62" s="870">
        <f>VLOOKUP($B62,'2b.Incendis forestals'!$B$4:$P$314,14,FALSE)/1000000</f>
        <v>19.970240286293613</v>
      </c>
      <c r="L62" s="870">
        <f>VLOOKUP($B62,'3b aigua'!$B$4:$K$314,9,FALSE)/1000000</f>
        <v>1.8579000762040316</v>
      </c>
      <c r="M62" s="918">
        <f t="shared" si="3"/>
        <v>31.050784032854953</v>
      </c>
      <c r="N62" s="918">
        <f t="shared" si="4"/>
        <v>4.2253897140000003</v>
      </c>
      <c r="O62" s="918">
        <f t="shared" si="5"/>
        <v>0</v>
      </c>
      <c r="P62" s="918" t="str">
        <f>IF(VLOOKUP($A62,'7b erosió costa'!$A$4:$AP$401,42,FALSE)&gt;0,VLOOKUP($A62,'7b erosió costa'!$A$4:$AP$401,42,FALSE),"")</f>
        <v/>
      </c>
      <c r="Q62" s="863">
        <f t="shared" si="13"/>
        <v>1.1101962428155745</v>
      </c>
      <c r="R62" s="864">
        <f t="shared" si="7"/>
        <v>12.708334727641391</v>
      </c>
      <c r="S62" s="863">
        <f t="shared" si="8"/>
        <v>0.57332144933683171</v>
      </c>
      <c r="T62" s="864">
        <f t="shared" si="14"/>
        <v>24.075797782854952</v>
      </c>
      <c r="U62" s="864">
        <f t="shared" si="9"/>
        <v>0.54152771400000033</v>
      </c>
      <c r="V62" s="864">
        <f t="shared" si="9"/>
        <v>0</v>
      </c>
      <c r="W62" s="864" t="str">
        <f t="shared" si="15"/>
        <v/>
      </c>
      <c r="X62" s="1067">
        <f t="shared" si="10"/>
        <v>39.009177916648746</v>
      </c>
      <c r="Y62" s="826">
        <f>VLOOKUP(B62,'BD ASVICC'!$A$6:$Y$316,24,FALSE)</f>
        <v>448</v>
      </c>
      <c r="Z62" s="826" t="str">
        <f t="shared" si="11"/>
        <v>a &lt; 1.000 hab.</v>
      </c>
      <c r="AA62" s="826">
        <f t="shared" si="12"/>
        <v>87074.057849662378</v>
      </c>
    </row>
    <row r="63" spans="1:27" s="826" customFormat="1" ht="30">
      <c r="A63" s="835">
        <v>8060</v>
      </c>
      <c r="B63" s="826" t="s">
        <v>997</v>
      </c>
      <c r="C63" s="878">
        <f>VLOOKUP(A63,copcalor,'1b.Cops de calor'!P$1,FALSE)/1000000</f>
        <v>0.1889622483196963</v>
      </c>
      <c r="D63" s="879">
        <f>VLOOKUP($B63,'2b.Incendis forestals'!$B$4:$P$314,9,FALSE)/1000000</f>
        <v>2.1213112150123274</v>
      </c>
      <c r="E63" s="878">
        <f>VLOOKUP($B63,'3b aigua'!$B$4:$K$314,8,FALSE)/1000000</f>
        <v>0.47922460167722669</v>
      </c>
      <c r="F63" s="879">
        <f t="shared" si="0"/>
        <v>7.2512100000000004</v>
      </c>
      <c r="G63" s="879">
        <f t="shared" si="1"/>
        <v>4.2861779999999996</v>
      </c>
      <c r="H63" s="879">
        <f t="shared" si="2"/>
        <v>0</v>
      </c>
      <c r="I63" s="878" t="str">
        <f>IF(VLOOKUP($A63,'7b erosió costa'!$A$4:$AP$401,9,FALSE)&gt;0,VLOOKUP($A63,'7b erosió costa'!$A$4:$AP$401,9,FALSE),"")</f>
        <v/>
      </c>
      <c r="J63" s="870">
        <f>VLOOKUP(A63,copcalor,'1b.Cops de calor'!Z$1,FALSE)/1000000</f>
        <v>1.1235169539097642</v>
      </c>
      <c r="K63" s="870">
        <f>VLOOKUP($B63,'2b.Incendis forestals'!$B$4:$P$314,14,FALSE)/1000000</f>
        <v>5.8336058412839007</v>
      </c>
      <c r="L63" s="870">
        <f>VLOOKUP($B63,'3b aigua'!$B$4:$K$314,9,FALSE)/1000000</f>
        <v>0.69310776728890022</v>
      </c>
      <c r="M63" s="918">
        <f t="shared" si="3"/>
        <v>31.782568099129556</v>
      </c>
      <c r="N63" s="918">
        <f t="shared" si="4"/>
        <v>4.9162461659999988</v>
      </c>
      <c r="O63" s="918">
        <f t="shared" si="5"/>
        <v>0</v>
      </c>
      <c r="P63" s="918" t="str">
        <f>IF(VLOOKUP($A63,'7b erosió costa'!$A$4:$AP$401,42,FALSE)&gt;0,VLOOKUP($A63,'7b erosió costa'!$A$4:$AP$401,42,FALSE),"")</f>
        <v/>
      </c>
      <c r="Q63" s="863">
        <f t="shared" si="13"/>
        <v>0.93455470559006792</v>
      </c>
      <c r="R63" s="864">
        <f t="shared" si="7"/>
        <v>3.7122946262715733</v>
      </c>
      <c r="S63" s="863">
        <f t="shared" si="8"/>
        <v>0.21388316561167353</v>
      </c>
      <c r="T63" s="864">
        <f t="shared" si="14"/>
        <v>24.531358099129555</v>
      </c>
      <c r="U63" s="864">
        <f t="shared" si="9"/>
        <v>0.63006816599999915</v>
      </c>
      <c r="V63" s="864">
        <f t="shared" si="9"/>
        <v>0</v>
      </c>
      <c r="W63" s="864" t="str">
        <f t="shared" si="15"/>
        <v/>
      </c>
      <c r="X63" s="1067">
        <f t="shared" si="10"/>
        <v>30.022158762602871</v>
      </c>
      <c r="Y63" s="826">
        <f>VLOOKUP(B63,'BD ASVICC'!$A$6:$Y$316,24,FALSE)</f>
        <v>165</v>
      </c>
      <c r="Z63" s="826" t="str">
        <f t="shared" si="11"/>
        <v>a &lt; 1.000 hab.</v>
      </c>
      <c r="AA63" s="826">
        <f t="shared" si="12"/>
        <v>181952.47734910829</v>
      </c>
    </row>
    <row r="64" spans="1:27" s="826" customFormat="1" ht="45">
      <c r="A64" s="835">
        <v>8061</v>
      </c>
      <c r="B64" s="826" t="s">
        <v>1002</v>
      </c>
      <c r="C64" s="878">
        <f>VLOOKUP(A64,copcalor,'1b.Cops de calor'!P$1,FALSE)/1000000</f>
        <v>1.3342625983595076</v>
      </c>
      <c r="D64" s="879">
        <f>VLOOKUP($B64,'2b.Incendis forestals'!$B$4:$P$314,9,FALSE)/1000000</f>
        <v>1.8811258656595138</v>
      </c>
      <c r="E64" s="878">
        <f>VLOOKUP($B64,'3b aigua'!$B$4:$K$314,8,FALSE)/1000000</f>
        <v>6.2345249568119465</v>
      </c>
      <c r="F64" s="879">
        <f t="shared" si="0"/>
        <v>1.4867325</v>
      </c>
      <c r="G64" s="879">
        <f t="shared" si="1"/>
        <v>1.107288</v>
      </c>
      <c r="H64" s="879">
        <f t="shared" si="2"/>
        <v>20.076884864700002</v>
      </c>
      <c r="I64" s="878" t="str">
        <f>IF(VLOOKUP($A64,'7b erosió costa'!$A$4:$AP$401,9,FALSE)&gt;0,VLOOKUP($A64,'7b erosió costa'!$A$4:$AP$401,9,FALSE),"")</f>
        <v/>
      </c>
      <c r="J64" s="870">
        <f>VLOOKUP(A64,copcalor,'1b.Cops de calor'!Z$1,FALSE)/1000000</f>
        <v>6.8659616874601115</v>
      </c>
      <c r="K64" s="870">
        <f>VLOOKUP($B64,'2b.Incendis forestals'!$B$4:$P$314,14,FALSE)/1000000</f>
        <v>5.1730961305636631</v>
      </c>
      <c r="L64" s="870">
        <f>VLOOKUP($B64,'3b aigua'!$B$4:$K$314,9,FALSE)/1000000</f>
        <v>9.0170614317361846</v>
      </c>
      <c r="M64" s="918">
        <f t="shared" si="3"/>
        <v>8.2381270787714449</v>
      </c>
      <c r="N64" s="918">
        <f t="shared" si="4"/>
        <v>1.2700593359999999</v>
      </c>
      <c r="O64" s="918">
        <f t="shared" si="5"/>
        <v>25.480466272650002</v>
      </c>
      <c r="P64" s="918" t="str">
        <f>IF(VLOOKUP($A64,'7b erosió costa'!$A$4:$AP$401,42,FALSE)&gt;0,VLOOKUP($A64,'7b erosió costa'!$A$4:$AP$401,42,FALSE),"")</f>
        <v/>
      </c>
      <c r="Q64" s="863">
        <f t="shared" si="13"/>
        <v>5.5316990891006039</v>
      </c>
      <c r="R64" s="864">
        <f t="shared" si="7"/>
        <v>3.2919702649041493</v>
      </c>
      <c r="S64" s="863">
        <f t="shared" si="8"/>
        <v>2.7825364749242381</v>
      </c>
      <c r="T64" s="864">
        <f t="shared" si="14"/>
        <v>6.7513945787714444</v>
      </c>
      <c r="U64" s="864">
        <f t="shared" si="9"/>
        <v>0.16277133599999982</v>
      </c>
      <c r="V64" s="864">
        <f t="shared" si="9"/>
        <v>5.40358140795</v>
      </c>
      <c r="W64" s="864" t="str">
        <f t="shared" si="15"/>
        <v/>
      </c>
      <c r="X64" s="1067">
        <f t="shared" si="10"/>
        <v>23.923953151650437</v>
      </c>
      <c r="Y64" s="826">
        <f>VLOOKUP(B64,'BD ASVICC'!$A$6:$Y$316,24,FALSE)</f>
        <v>1995</v>
      </c>
      <c r="Z64" s="826" t="str">
        <f t="shared" si="11"/>
        <v>b 1.000 a 5.000 hab.</v>
      </c>
      <c r="AA64" s="826">
        <f t="shared" si="12"/>
        <v>11991.9564669927</v>
      </c>
    </row>
    <row r="65" spans="1:27" s="826" customFormat="1" ht="45">
      <c r="A65" s="835">
        <v>8062</v>
      </c>
      <c r="B65" s="826" t="s">
        <v>1004</v>
      </c>
      <c r="C65" s="878">
        <f>VLOOKUP(A65,copcalor,'1b.Cops de calor'!P$1,FALSE)/1000000</f>
        <v>0.22043407748615548</v>
      </c>
      <c r="D65" s="879">
        <f>VLOOKUP($B65,'2b.Incendis forestals'!$B$4:$P$314,9,FALSE)/1000000</f>
        <v>3.752342376451637</v>
      </c>
      <c r="E65" s="878">
        <f>VLOOKUP($B65,'3b aigua'!$B$4:$K$314,8,FALSE)/1000000</f>
        <v>4.0583565082624</v>
      </c>
      <c r="F65" s="879">
        <f t="shared" si="0"/>
        <v>3.3333175000000002</v>
      </c>
      <c r="G65" s="879">
        <f t="shared" si="1"/>
        <v>2.8260179999999999</v>
      </c>
      <c r="H65" s="879">
        <f t="shared" si="2"/>
        <v>0</v>
      </c>
      <c r="I65" s="878" t="str">
        <f>IF(VLOOKUP($A65,'7b erosió costa'!$A$4:$AP$401,9,FALSE)&gt;0,VLOOKUP($A65,'7b erosió costa'!$A$4:$AP$401,9,FALSE),"")</f>
        <v/>
      </c>
      <c r="J65" s="870">
        <f>VLOOKUP(A65,copcalor,'1b.Cops de calor'!Z$1,FALSE)/1000000</f>
        <v>0.7328450897081441</v>
      </c>
      <c r="K65" s="870">
        <f>VLOOKUP($B65,'2b.Incendis forestals'!$B$4:$P$314,14,FALSE)/1000000</f>
        <v>10.318941535242002</v>
      </c>
      <c r="L65" s="870">
        <f>VLOOKUP($B65,'3b aigua'!$B$4:$K$314,9,FALSE)/1000000</f>
        <v>5.8696452737597449</v>
      </c>
      <c r="M65" s="918">
        <f t="shared" si="3"/>
        <v>15.498921981222816</v>
      </c>
      <c r="N65" s="918">
        <f t="shared" si="4"/>
        <v>3.2414426459999999</v>
      </c>
      <c r="O65" s="918">
        <f t="shared" si="5"/>
        <v>0</v>
      </c>
      <c r="P65" s="918" t="str">
        <f>IF(VLOOKUP($A65,'7b erosió costa'!$A$4:$AP$401,42,FALSE)&gt;0,VLOOKUP($A65,'7b erosió costa'!$A$4:$AP$401,42,FALSE),"")</f>
        <v/>
      </c>
      <c r="Q65" s="863">
        <f t="shared" si="13"/>
        <v>0.51241101222198859</v>
      </c>
      <c r="R65" s="864">
        <f t="shared" si="7"/>
        <v>6.5665991587903658</v>
      </c>
      <c r="S65" s="863">
        <f t="shared" si="8"/>
        <v>1.8112887654973449</v>
      </c>
      <c r="T65" s="864">
        <f t="shared" si="14"/>
        <v>12.165604481222816</v>
      </c>
      <c r="U65" s="864">
        <f t="shared" si="9"/>
        <v>0.41542464599999995</v>
      </c>
      <c r="V65" s="864">
        <f t="shared" si="9"/>
        <v>0</v>
      </c>
      <c r="W65" s="864" t="str">
        <f t="shared" si="15"/>
        <v/>
      </c>
      <c r="X65" s="1067">
        <f t="shared" si="10"/>
        <v>21.471328063732514</v>
      </c>
      <c r="Y65" s="826">
        <f>VLOOKUP(B65,'BD ASVICC'!$A$6:$Y$316,24,FALSE)</f>
        <v>1287</v>
      </c>
      <c r="Z65" s="826" t="str">
        <f t="shared" si="11"/>
        <v>b 1.000 a 5.000 hab.</v>
      </c>
      <c r="AA65" s="826">
        <f t="shared" si="12"/>
        <v>16683.238588758752</v>
      </c>
    </row>
    <row r="66" spans="1:27" s="826" customFormat="1" ht="30">
      <c r="A66" s="835">
        <v>8063</v>
      </c>
      <c r="B66" s="826" t="s">
        <v>1008</v>
      </c>
      <c r="C66" s="878">
        <f>VLOOKUP(A66,copcalor,'1b.Cops de calor'!P$1,FALSE)/1000000</f>
        <v>0.38134821689203624</v>
      </c>
      <c r="D66" s="879">
        <f>VLOOKUP($B66,'2b.Incendis forestals'!$B$4:$P$314,9,FALSE)/1000000</f>
        <v>3.1199643513080768</v>
      </c>
      <c r="E66" s="878">
        <f>VLOOKUP($B66,'3b aigua'!$B$4:$K$314,8,FALSE)/1000000</f>
        <v>0.96346916641493352</v>
      </c>
      <c r="F66" s="879">
        <f t="shared" si="0"/>
        <v>2.0044531249999995</v>
      </c>
      <c r="G66" s="879">
        <f t="shared" si="1"/>
        <v>9.7344E-2</v>
      </c>
      <c r="H66" s="879">
        <f t="shared" si="2"/>
        <v>0</v>
      </c>
      <c r="I66" s="878" t="str">
        <f>IF(VLOOKUP($A66,'7b erosió costa'!$A$4:$AP$401,9,FALSE)&gt;0,VLOOKUP($A66,'7b erosió costa'!$A$4:$AP$401,9,FALSE),"")</f>
        <v/>
      </c>
      <c r="J66" s="870">
        <f>VLOOKUP(A66,copcalor,'1b.Cops de calor'!Z$1,FALSE)/1000000</f>
        <v>2.252471149032091</v>
      </c>
      <c r="K66" s="870">
        <f>VLOOKUP($B66,'2b.Incendis forestals'!$B$4:$P$314,14,FALSE)/1000000</f>
        <v>8.5799019660972107</v>
      </c>
      <c r="L66" s="870">
        <f>VLOOKUP($B66,'3b aigua'!$B$4:$K$314,9,FALSE)/1000000</f>
        <v>1.3934759618942296</v>
      </c>
      <c r="M66" s="918">
        <f t="shared" si="3"/>
        <v>9.2161719522431778</v>
      </c>
      <c r="N66" s="918">
        <f t="shared" si="4"/>
        <v>0.11165356799999998</v>
      </c>
      <c r="O66" s="918">
        <f t="shared" si="5"/>
        <v>0</v>
      </c>
      <c r="P66" s="918" t="str">
        <f>IF(VLOOKUP($A66,'7b erosió costa'!$A$4:$AP$401,42,FALSE)&gt;0,VLOOKUP($A66,'7b erosió costa'!$A$4:$AP$401,42,FALSE),"")</f>
        <v/>
      </c>
      <c r="Q66" s="863">
        <f t="shared" si="13"/>
        <v>1.8711229321400547</v>
      </c>
      <c r="R66" s="864">
        <f t="shared" si="7"/>
        <v>5.4599376147891334</v>
      </c>
      <c r="S66" s="863">
        <f t="shared" si="8"/>
        <v>0.4300067954792961</v>
      </c>
      <c r="T66" s="864">
        <f t="shared" si="14"/>
        <v>7.2117188272431783</v>
      </c>
      <c r="U66" s="864">
        <f t="shared" si="9"/>
        <v>1.4309567999999981E-2</v>
      </c>
      <c r="V66" s="864">
        <f t="shared" si="9"/>
        <v>0</v>
      </c>
      <c r="W66" s="864" t="str">
        <f t="shared" si="15"/>
        <v/>
      </c>
      <c r="X66" s="1067">
        <f t="shared" si="10"/>
        <v>14.987095737651662</v>
      </c>
      <c r="Y66" s="826">
        <f>VLOOKUP(B66,'BD ASVICC'!$A$6:$Y$316,24,FALSE)</f>
        <v>573</v>
      </c>
      <c r="Z66" s="826" t="str">
        <f t="shared" si="11"/>
        <v>a &lt; 1.000 hab.</v>
      </c>
      <c r="AA66" s="826">
        <f t="shared" si="12"/>
        <v>26155.489943545661</v>
      </c>
    </row>
    <row r="67" spans="1:27" s="826" customFormat="1" ht="45">
      <c r="A67" s="835">
        <v>8064</v>
      </c>
      <c r="B67" s="826" t="s">
        <v>1012</v>
      </c>
      <c r="C67" s="878">
        <f>VLOOKUP(A67,copcalor,'1b.Cops de calor'!P$1,FALSE)/1000000</f>
        <v>1.0816533216378288</v>
      </c>
      <c r="D67" s="879">
        <f>VLOOKUP($B67,'2b.Incendis forestals'!$B$4:$P$314,9,FALSE)/1000000</f>
        <v>0.74902399740157288</v>
      </c>
      <c r="E67" s="878">
        <f>VLOOKUP($B67,'3b aigua'!$B$4:$K$314,8,FALSE)/1000000</f>
        <v>6.2585433755985074</v>
      </c>
      <c r="F67" s="879">
        <f t="shared" si="0"/>
        <v>2.0918593749999999</v>
      </c>
      <c r="G67" s="879">
        <f t="shared" si="1"/>
        <v>5.6794139999999995</v>
      </c>
      <c r="H67" s="879">
        <f t="shared" si="2"/>
        <v>0</v>
      </c>
      <c r="I67" s="878" t="str">
        <f>IF(VLOOKUP($A67,'7b erosió costa'!$A$4:$AP$401,9,FALSE)&gt;0,VLOOKUP($A67,'7b erosió costa'!$A$4:$AP$401,9,FALSE),"")</f>
        <v/>
      </c>
      <c r="J67" s="870">
        <f>VLOOKUP(A67,copcalor,'1b.Cops de calor'!Z$1,FALSE)/1000000</f>
        <v>6.2777884691299581</v>
      </c>
      <c r="K67" s="870">
        <f>VLOOKUP($B67,'2b.Incendis forestals'!$B$4:$P$314,14,FALSE)/1000000</f>
        <v>2.0598159928543254</v>
      </c>
      <c r="L67" s="870">
        <f>VLOOKUP($B67,'3b aigua'!$B$4:$K$314,9,FALSE)/1000000</f>
        <v>9.0517995327449761</v>
      </c>
      <c r="M67" s="918">
        <f t="shared" si="3"/>
        <v>12.420707599453213</v>
      </c>
      <c r="N67" s="918">
        <f t="shared" si="4"/>
        <v>6.5142878579999994</v>
      </c>
      <c r="O67" s="918">
        <f t="shared" si="5"/>
        <v>0</v>
      </c>
      <c r="P67" s="918" t="str">
        <f>IF(VLOOKUP($A67,'7b erosió costa'!$A$4:$AP$401,42,FALSE)&gt;0,VLOOKUP($A67,'7b erosió costa'!$A$4:$AP$401,42,FALSE),"")</f>
        <v/>
      </c>
      <c r="Q67" s="863">
        <f t="shared" si="13"/>
        <v>5.1961351474921296</v>
      </c>
      <c r="R67" s="864">
        <f t="shared" si="7"/>
        <v>1.3107919954527525</v>
      </c>
      <c r="S67" s="863">
        <f t="shared" si="8"/>
        <v>2.7932561571464687</v>
      </c>
      <c r="T67" s="864">
        <f t="shared" si="14"/>
        <v>10.328848224453212</v>
      </c>
      <c r="U67" s="864">
        <f t="shared" si="9"/>
        <v>0.83487385799999991</v>
      </c>
      <c r="V67" s="864">
        <f t="shared" si="9"/>
        <v>0</v>
      </c>
      <c r="W67" s="864" t="str">
        <f t="shared" si="15"/>
        <v/>
      </c>
      <c r="X67" s="1067">
        <f t="shared" si="10"/>
        <v>20.463905382544567</v>
      </c>
      <c r="Y67" s="826">
        <f>VLOOKUP(B67,'BD ASVICC'!$A$6:$Y$316,24,FALSE)</f>
        <v>2351</v>
      </c>
      <c r="Z67" s="826" t="str">
        <f t="shared" si="11"/>
        <v>b 1.000 a 5.000 hab.</v>
      </c>
      <c r="AA67" s="826">
        <f t="shared" si="12"/>
        <v>8704.3408687981992</v>
      </c>
    </row>
    <row r="68" spans="1:27" s="826" customFormat="1" ht="45">
      <c r="A68" s="835">
        <v>8065</v>
      </c>
      <c r="B68" s="826" t="s">
        <v>1014</v>
      </c>
      <c r="C68" s="878">
        <f>VLOOKUP(A68,copcalor,'1b.Cops de calor'!P$1,FALSE)/1000000</f>
        <v>0.20867024651588736</v>
      </c>
      <c r="D68" s="879">
        <f>VLOOKUP($B68,'2b.Incendis forestals'!$B$4:$P$314,9,FALSE)/1000000</f>
        <v>0.95903145629232345</v>
      </c>
      <c r="E68" s="878">
        <f>VLOOKUP($B68,'3b aigua'!$B$4:$K$314,8,FALSE)/1000000</f>
        <v>3.2398769248332804</v>
      </c>
      <c r="F68" s="879">
        <f t="shared" ref="F68:F131" si="16">VLOOKUP(B68,agric,11,FALSE)</f>
        <v>0.70947749999999998</v>
      </c>
      <c r="G68" s="879">
        <f t="shared" ref="G68:G131" si="17">VLOOKUP(B68,ramad,15,FALSE)</f>
        <v>10.339758</v>
      </c>
      <c r="H68" s="879">
        <f t="shared" ref="H68:H131" si="18">IFERROR(VLOOKUP(B68,costT50,37,FALSE),0)</f>
        <v>0</v>
      </c>
      <c r="I68" s="878" t="str">
        <f>IF(VLOOKUP($A68,'7b erosió costa'!$A$4:$AP$401,9,FALSE)&gt;0,VLOOKUP($A68,'7b erosió costa'!$A$4:$AP$401,9,FALSE),"")</f>
        <v/>
      </c>
      <c r="J68" s="870">
        <f>VLOOKUP(A68,copcalor,'1b.Cops de calor'!Z$1,FALSE)/1000000</f>
        <v>1.1521445467819265</v>
      </c>
      <c r="K68" s="870">
        <f>VLOOKUP($B68,'2b.Incendis forestals'!$B$4:$P$314,14,FALSE)/1000000</f>
        <v>2.6373365048038893</v>
      </c>
      <c r="L68" s="870">
        <f>VLOOKUP($B68,'3b aigua'!$B$4:$K$314,9,FALSE)/1000000</f>
        <v>4.6858693268307983</v>
      </c>
      <c r="M68" s="918">
        <f t="shared" ref="M68:M131" si="19">VLOOKUP(B68,ramad,13,FALSE)</f>
        <v>4.4721115523531214</v>
      </c>
      <c r="N68" s="918">
        <f t="shared" ref="N68:N131" si="20">VLOOKUP(B68,ramad,17,FALSE)</f>
        <v>11.859702425999998</v>
      </c>
      <c r="O68" s="918">
        <f t="shared" ref="O68:O131" si="21">IFERROR(VLOOKUP(B68,costT100,37,FALSE),0)</f>
        <v>8.5090372050000003</v>
      </c>
      <c r="P68" s="918" t="str">
        <f>IF(VLOOKUP($A68,'7b erosió costa'!$A$4:$AP$401,42,FALSE)&gt;0,VLOOKUP($A68,'7b erosió costa'!$A$4:$AP$401,42,FALSE),"")</f>
        <v/>
      </c>
      <c r="Q68" s="863">
        <f t="shared" si="13"/>
        <v>0.94347430026603907</v>
      </c>
      <c r="R68" s="864">
        <f t="shared" si="7"/>
        <v>1.6783050485115658</v>
      </c>
      <c r="S68" s="863">
        <f t="shared" si="8"/>
        <v>1.4459924019975179</v>
      </c>
      <c r="T68" s="864">
        <f t="shared" si="14"/>
        <v>3.7626340523531212</v>
      </c>
      <c r="U68" s="864">
        <f t="shared" si="9"/>
        <v>1.5199444259999986</v>
      </c>
      <c r="V68" s="864">
        <f t="shared" si="9"/>
        <v>8.5090372050000003</v>
      </c>
      <c r="W68" s="864" t="str">
        <f t="shared" si="15"/>
        <v/>
      </c>
      <c r="X68" s="1067">
        <f t="shared" si="10"/>
        <v>17.859387434128244</v>
      </c>
      <c r="Y68" s="826">
        <f>VLOOKUP(B68,'BD ASVICC'!$A$6:$Y$316,24,FALSE)</f>
        <v>1545</v>
      </c>
      <c r="Z68" s="826" t="str">
        <f t="shared" si="11"/>
        <v>b 1.000 a 5.000 hab.</v>
      </c>
      <c r="AA68" s="826">
        <f t="shared" si="12"/>
        <v>11559.474067396921</v>
      </c>
    </row>
    <row r="69" spans="1:27" s="826" customFormat="1" ht="45">
      <c r="A69" s="835">
        <v>8066</v>
      </c>
      <c r="B69" s="826" t="s">
        <v>1021</v>
      </c>
      <c r="C69" s="878">
        <f>VLOOKUP(A69,copcalor,'1b.Cops de calor'!P$1,FALSE)/1000000</f>
        <v>1.6502788346284072</v>
      </c>
      <c r="D69" s="879">
        <f>VLOOKUP($B69,'2b.Incendis forestals'!$B$4:$P$314,9,FALSE)/1000000</f>
        <v>1.7307468097969347</v>
      </c>
      <c r="E69" s="878">
        <f>VLOOKUP($B69,'3b aigua'!$B$4:$K$314,8,FALSE)/1000000</f>
        <v>6.587889214972801</v>
      </c>
      <c r="F69" s="879">
        <f t="shared" si="16"/>
        <v>5.2594374999999999E-2</v>
      </c>
      <c r="G69" s="879">
        <f t="shared" si="17"/>
        <v>3.9545999999999998E-2</v>
      </c>
      <c r="H69" s="879">
        <f t="shared" si="18"/>
        <v>5.0406577650000006E-2</v>
      </c>
      <c r="I69" s="878" t="str">
        <f>IF(VLOOKUP($A69,'7b erosió costa'!$A$4:$AP$401,9,FALSE)&gt;0,VLOOKUP($A69,'7b erosió costa'!$A$4:$AP$401,9,FALSE),"")</f>
        <v/>
      </c>
      <c r="J69" s="870">
        <f>VLOOKUP(A69,copcalor,'1b.Cops de calor'!Z$1,FALSE)/1000000</f>
        <v>9.7193869391096861</v>
      </c>
      <c r="K69" s="870">
        <f>VLOOKUP($B69,'2b.Incendis forestals'!$B$4:$P$314,14,FALSE)/1000000</f>
        <v>4.7595537269415713</v>
      </c>
      <c r="L69" s="870">
        <f>VLOOKUP($B69,'3b aigua'!$B$4:$K$314,9,FALSE)/1000000</f>
        <v>12.102884880578152</v>
      </c>
      <c r="M69" s="918">
        <f t="shared" si="19"/>
        <v>0.37964412802509551</v>
      </c>
      <c r="N69" s="918">
        <f t="shared" si="20"/>
        <v>4.535926199999999E-2</v>
      </c>
      <c r="O69" s="918">
        <f t="shared" si="21"/>
        <v>6.0698913E-2</v>
      </c>
      <c r="P69" s="918" t="str">
        <f>IF(VLOOKUP($A69,'7b erosió costa'!$A$4:$AP$401,42,FALSE)&gt;0,VLOOKUP($A69,'7b erosió costa'!$A$4:$AP$401,42,FALSE),"")</f>
        <v/>
      </c>
      <c r="Q69" s="863">
        <f t="shared" si="13"/>
        <v>8.0691081044812787</v>
      </c>
      <c r="R69" s="864">
        <f t="shared" ref="R69:R132" si="22">K69-D69</f>
        <v>3.0288069171446366</v>
      </c>
      <c r="S69" s="863">
        <f t="shared" ref="S69:S132" si="23">L69-E69</f>
        <v>5.5149956656053511</v>
      </c>
      <c r="T69" s="864">
        <f t="shared" ref="T69:T132" si="24">M69-F69</f>
        <v>0.32704975302509554</v>
      </c>
      <c r="U69" s="864">
        <f t="shared" ref="U69:V132" si="25">N69-G69</f>
        <v>5.8132619999999927E-3</v>
      </c>
      <c r="V69" s="864">
        <f t="shared" si="25"/>
        <v>1.0292335349999994E-2</v>
      </c>
      <c r="W69" s="864" t="str">
        <f t="shared" si="15"/>
        <v/>
      </c>
      <c r="X69" s="1067">
        <f t="shared" ref="X69:X132" si="26">SUM(Q69:W69)</f>
        <v>16.956066037606366</v>
      </c>
      <c r="Y69" s="826">
        <f>VLOOKUP(B69,'BD ASVICC'!$A$6:$Y$316,24,FALSE)</f>
        <v>1807</v>
      </c>
      <c r="Z69" s="826" t="str">
        <f t="shared" ref="Z69:Z132" si="27">IF(Y69&gt;1000,IF(Y69&gt;5000,IF(Y69&gt;20000,IF(Y69&gt;50000,"e &gt;50.000 hab.","d 20.000 a 50.000 hab."),"c 5.000 a 20.000 hab."),"b 1.000 a 5.000 hab."),"a &lt; 1.000 hab.")</f>
        <v>b 1.000 a 5.000 hab.</v>
      </c>
      <c r="AA69" s="826">
        <f t="shared" ref="AA69:AA132" si="28">X69*1000000/Y69</f>
        <v>9383.5451231911265</v>
      </c>
    </row>
    <row r="70" spans="1:27" s="826" customFormat="1" ht="45">
      <c r="A70" s="835">
        <v>8067</v>
      </c>
      <c r="B70" s="826" t="s">
        <v>1025</v>
      </c>
      <c r="C70" s="878">
        <f>VLOOKUP(A70,copcalor,'1b.Cops de calor'!P$1,FALSE)/1000000</f>
        <v>3.6452070708894979</v>
      </c>
      <c r="D70" s="879">
        <f>VLOOKUP($B70,'2b.Incendis forestals'!$B$4:$P$314,9,FALSE)/1000000</f>
        <v>8.4339359497003649E-2</v>
      </c>
      <c r="E70" s="878">
        <f>VLOOKUP($B70,'3b aigua'!$B$4:$K$314,8,FALSE)/1000000</f>
        <v>18.476544781146668</v>
      </c>
      <c r="F70" s="879">
        <f t="shared" si="16"/>
        <v>2.7147687499999997</v>
      </c>
      <c r="G70" s="879">
        <f t="shared" si="17"/>
        <v>4.733352</v>
      </c>
      <c r="H70" s="879">
        <f t="shared" si="18"/>
        <v>2.5090669147500004</v>
      </c>
      <c r="I70" s="878" t="str">
        <f>IF(VLOOKUP($A70,'7b erosió costa'!$A$4:$AP$401,9,FALSE)&gt;0,VLOOKUP($A70,'7b erosió costa'!$A$4:$AP$401,9,FALSE),"")</f>
        <v/>
      </c>
      <c r="J70" s="870">
        <f>VLOOKUP(A70,copcalor,'1b.Cops de calor'!Z$1,FALSE)/1000000</f>
        <v>21.36121247016041</v>
      </c>
      <c r="K70" s="870">
        <f>VLOOKUP($B70,'2b.Incendis forestals'!$B$4:$P$314,14,FALSE)/1000000</f>
        <v>0.23193323861676002</v>
      </c>
      <c r="L70" s="870">
        <f>VLOOKUP($B70,'3b aigua'!$B$4:$K$314,9,FALSE)/1000000</f>
        <v>26.722828201335467</v>
      </c>
      <c r="M70" s="918">
        <f t="shared" si="19"/>
        <v>14.562017408042983</v>
      </c>
      <c r="N70" s="918">
        <f t="shared" si="20"/>
        <v>5.4291547439999999</v>
      </c>
      <c r="O70" s="918">
        <f t="shared" si="21"/>
        <v>2.7716644899</v>
      </c>
      <c r="P70" s="918" t="str">
        <f>IF(VLOOKUP($A70,'7b erosió costa'!$A$4:$AP$401,42,FALSE)&gt;0,VLOOKUP($A70,'7b erosió costa'!$A$4:$AP$401,42,FALSE),"")</f>
        <v/>
      </c>
      <c r="Q70" s="863">
        <f t="shared" ref="Q70:Q133" si="29">J70-C70</f>
        <v>17.716005399270912</v>
      </c>
      <c r="R70" s="864">
        <f t="shared" si="22"/>
        <v>0.14759387911975635</v>
      </c>
      <c r="S70" s="863">
        <f t="shared" si="23"/>
        <v>8.2462834201887993</v>
      </c>
      <c r="T70" s="864">
        <f t="shared" si="24"/>
        <v>11.847248658042984</v>
      </c>
      <c r="U70" s="864">
        <f t="shared" si="25"/>
        <v>0.69580274399999986</v>
      </c>
      <c r="V70" s="864">
        <f t="shared" si="25"/>
        <v>0.2625975751499996</v>
      </c>
      <c r="W70" s="864" t="str">
        <f t="shared" ref="W70:W133" si="30">IFERROR(P70-I70,"")</f>
        <v/>
      </c>
      <c r="X70" s="1067">
        <f t="shared" si="26"/>
        <v>38.915531675772449</v>
      </c>
      <c r="Y70" s="826">
        <f>VLOOKUP(B70,'BD ASVICC'!$A$6:$Y$316,24,FALSE)</f>
        <v>7410</v>
      </c>
      <c r="Z70" s="826" t="str">
        <f t="shared" si="27"/>
        <v>c 5.000 a 20.000 hab.</v>
      </c>
      <c r="AA70" s="826">
        <f t="shared" si="28"/>
        <v>5251.7586606980367</v>
      </c>
    </row>
    <row r="71" spans="1:27" s="826" customFormat="1" ht="45">
      <c r="A71" s="835">
        <v>8068</v>
      </c>
      <c r="B71" s="826" t="s">
        <v>1027</v>
      </c>
      <c r="C71" s="878">
        <f>VLOOKUP(A71,copcalor,'1b.Cops de calor'!P$1,FALSE)/1000000</f>
        <v>10.124412353288498</v>
      </c>
      <c r="D71" s="879">
        <f>VLOOKUP($B71,'2b.Incendis forestals'!$B$4:$P$314,9,FALSE)/1000000</f>
        <v>2.3732398701244297</v>
      </c>
      <c r="E71" s="878">
        <f>VLOOKUP($B71,'3b aigua'!$B$4:$K$314,8,FALSE)/1000000</f>
        <v>22.385636806018834</v>
      </c>
      <c r="F71" s="879">
        <f t="shared" si="16"/>
        <v>3.3888750000000002E-2</v>
      </c>
      <c r="G71" s="879">
        <f t="shared" si="17"/>
        <v>3.042E-3</v>
      </c>
      <c r="H71" s="879">
        <f t="shared" si="18"/>
        <v>5.6238014496000002</v>
      </c>
      <c r="I71" s="878" t="str">
        <f>IF(VLOOKUP($A71,'7b erosió costa'!$A$4:$AP$401,9,FALSE)&gt;0,VLOOKUP($A71,'7b erosió costa'!$A$4:$AP$401,9,FALSE),"")</f>
        <v/>
      </c>
      <c r="J71" s="870">
        <f>VLOOKUP(A71,copcalor,'1b.Cops de calor'!Z$1,FALSE)/1000000</f>
        <v>59.852596502463165</v>
      </c>
      <c r="K71" s="870">
        <f>VLOOKUP($B71,'2b.Incendis forestals'!$B$4:$P$314,14,FALSE)/1000000</f>
        <v>6.5264096428421823</v>
      </c>
      <c r="L71" s="870">
        <f>VLOOKUP($B71,'3b aigua'!$B$4:$K$314,9,FALSE)/1000000</f>
        <v>41.125583081438876</v>
      </c>
      <c r="M71" s="918">
        <f t="shared" si="19"/>
        <v>0.72560029787160973</v>
      </c>
      <c r="N71" s="918">
        <f t="shared" si="20"/>
        <v>3.4891739999999994E-3</v>
      </c>
      <c r="O71" s="918">
        <f t="shared" si="21"/>
        <v>6.2013394879499995</v>
      </c>
      <c r="P71" s="918" t="str">
        <f>IF(VLOOKUP($A71,'7b erosió costa'!$A$4:$AP$401,42,FALSE)&gt;0,VLOOKUP($A71,'7b erosió costa'!$A$4:$AP$401,42,FALSE),"")</f>
        <v/>
      </c>
      <c r="Q71" s="863">
        <f t="shared" si="29"/>
        <v>49.728184149174666</v>
      </c>
      <c r="R71" s="864">
        <f t="shared" si="22"/>
        <v>4.153169772717753</v>
      </c>
      <c r="S71" s="863">
        <f t="shared" si="23"/>
        <v>18.739946275420042</v>
      </c>
      <c r="T71" s="864">
        <f t="shared" si="24"/>
        <v>0.69171154787160971</v>
      </c>
      <c r="U71" s="864">
        <f t="shared" si="25"/>
        <v>4.471739999999994E-4</v>
      </c>
      <c r="V71" s="864">
        <f t="shared" si="25"/>
        <v>0.57753803834999928</v>
      </c>
      <c r="W71" s="864" t="str">
        <f t="shared" si="30"/>
        <v/>
      </c>
      <c r="X71" s="1067">
        <f t="shared" si="26"/>
        <v>73.890996957534071</v>
      </c>
      <c r="Y71" s="826">
        <f>VLOOKUP(B71,'BD ASVICC'!$A$6:$Y$316,24,FALSE)</f>
        <v>8861</v>
      </c>
      <c r="Z71" s="826" t="str">
        <f t="shared" si="27"/>
        <v>c 5.000 a 20.000 hab.</v>
      </c>
      <c r="AA71" s="826">
        <f t="shared" si="28"/>
        <v>8338.9004579092743</v>
      </c>
    </row>
    <row r="72" spans="1:27" s="826" customFormat="1" ht="45">
      <c r="A72" s="835">
        <v>8069</v>
      </c>
      <c r="B72" s="826" t="s">
        <v>1030</v>
      </c>
      <c r="C72" s="878">
        <f>VLOOKUP(A72,copcalor,'1b.Cops de calor'!P$1,FALSE)/1000000</f>
        <v>1.5475087449008098</v>
      </c>
      <c r="D72" s="879">
        <f>VLOOKUP($B72,'2b.Incendis forestals'!$B$4:$P$314,9,FALSE)/1000000</f>
        <v>1.4879441997894511</v>
      </c>
      <c r="E72" s="878">
        <f>VLOOKUP($B72,'3b aigua'!$B$4:$K$314,8,FALSE)/1000000</f>
        <v>10.201369504593918</v>
      </c>
      <c r="F72" s="879">
        <f t="shared" si="16"/>
        <v>0.34047874999999994</v>
      </c>
      <c r="G72" s="879">
        <f t="shared" si="17"/>
        <v>0</v>
      </c>
      <c r="H72" s="879">
        <f t="shared" si="18"/>
        <v>2.1504675000000001E-2</v>
      </c>
      <c r="I72" s="878" t="str">
        <f>IF(VLOOKUP($A72,'7b erosió costa'!$A$4:$AP$401,9,FALSE)&gt;0,VLOOKUP($A72,'7b erosió costa'!$A$4:$AP$401,9,FALSE),"")</f>
        <v/>
      </c>
      <c r="J72" s="870">
        <f>VLOOKUP(A72,copcalor,'1b.Cops de calor'!Z$1,FALSE)/1000000</f>
        <v>9.1287675260577306</v>
      </c>
      <c r="K72" s="870">
        <f>VLOOKUP($B72,'2b.Incendis forestals'!$B$4:$P$314,14,FALSE)/1000000</f>
        <v>4.0918465494209899</v>
      </c>
      <c r="L72" s="870">
        <f>VLOOKUP($B72,'3b aigua'!$B$4:$K$314,9,FALSE)/1000000</f>
        <v>18.741359593256387</v>
      </c>
      <c r="M72" s="918">
        <f t="shared" si="19"/>
        <v>1.8301820551955679</v>
      </c>
      <c r="N72" s="918">
        <f t="shared" si="20"/>
        <v>0</v>
      </c>
      <c r="O72" s="918">
        <f t="shared" si="21"/>
        <v>0.66171129000000006</v>
      </c>
      <c r="P72" s="918" t="str">
        <f>IF(VLOOKUP($A72,'7b erosió costa'!$A$4:$AP$401,42,FALSE)&gt;0,VLOOKUP($A72,'7b erosió costa'!$A$4:$AP$401,42,FALSE),"")</f>
        <v/>
      </c>
      <c r="Q72" s="863">
        <f t="shared" si="29"/>
        <v>7.5812587811569205</v>
      </c>
      <c r="R72" s="864">
        <f t="shared" si="22"/>
        <v>2.6039023496315385</v>
      </c>
      <c r="S72" s="863">
        <f t="shared" si="23"/>
        <v>8.5399900886624689</v>
      </c>
      <c r="T72" s="864">
        <f t="shared" si="24"/>
        <v>1.4897033051955679</v>
      </c>
      <c r="U72" s="864">
        <f t="shared" si="25"/>
        <v>0</v>
      </c>
      <c r="V72" s="864">
        <f t="shared" si="25"/>
        <v>0.64020661500000009</v>
      </c>
      <c r="W72" s="864" t="str">
        <f t="shared" si="30"/>
        <v/>
      </c>
      <c r="X72" s="1067">
        <f t="shared" si="26"/>
        <v>20.855061139646498</v>
      </c>
      <c r="Y72" s="826">
        <f>VLOOKUP(B72,'BD ASVICC'!$A$6:$Y$316,24,FALSE)</f>
        <v>4396</v>
      </c>
      <c r="Z72" s="826" t="str">
        <f t="shared" si="27"/>
        <v>b 1.000 a 5.000 hab.</v>
      </c>
      <c r="AA72" s="826">
        <f t="shared" si="28"/>
        <v>4744.0994403199493</v>
      </c>
    </row>
    <row r="73" spans="1:27" s="826" customFormat="1" ht="30">
      <c r="A73" s="835">
        <v>8070</v>
      </c>
      <c r="B73" s="826" t="s">
        <v>1034</v>
      </c>
      <c r="C73" s="878">
        <f>VLOOKUP(A73,copcalor,'1b.Cops de calor'!P$1,FALSE)/1000000</f>
        <v>8.5300343987391915E-4</v>
      </c>
      <c r="D73" s="879">
        <f>VLOOKUP($B73,'2b.Incendis forestals'!$B$4:$P$314,9,FALSE)/1000000</f>
        <v>0.10705507096373802</v>
      </c>
      <c r="E73" s="878">
        <f>VLOOKUP($B73,'3b aigua'!$B$4:$K$314,8,FALSE)/1000000</f>
        <v>1.04778274157088</v>
      </c>
      <c r="F73" s="879">
        <f t="shared" si="16"/>
        <v>2.6737500000000001</v>
      </c>
      <c r="G73" s="879">
        <f t="shared" si="17"/>
        <v>10.129860000000001</v>
      </c>
      <c r="H73" s="879">
        <f t="shared" si="18"/>
        <v>0</v>
      </c>
      <c r="I73" s="878" t="str">
        <f>IF(VLOOKUP($A73,'7b erosió costa'!$A$4:$AP$401,9,FALSE)&gt;0,VLOOKUP($A73,'7b erosió costa'!$A$4:$AP$401,9,FALSE),"")</f>
        <v/>
      </c>
      <c r="J73" s="870">
        <f>VLOOKUP(A73,copcalor,'1b.Cops de calor'!Z$1,FALSE)/1000000</f>
        <v>1.3555929419992363E-3</v>
      </c>
      <c r="K73" s="870">
        <f>VLOOKUP($B73,'2b.Incendis forestals'!$B$4:$P$314,14,FALSE)/1000000</f>
        <v>0.29440144515027961</v>
      </c>
      <c r="L73" s="870">
        <f>VLOOKUP($B73,'3b aigua'!$B$4:$K$314,9,FALSE)/1000000</f>
        <v>1.5154196050710529</v>
      </c>
      <c r="M73" s="918">
        <f t="shared" si="19"/>
        <v>12.104740206988733</v>
      </c>
      <c r="N73" s="918">
        <f t="shared" si="20"/>
        <v>11.61894942</v>
      </c>
      <c r="O73" s="918">
        <f t="shared" si="21"/>
        <v>0</v>
      </c>
      <c r="P73" s="918" t="str">
        <f>IF(VLOOKUP($A73,'7b erosió costa'!$A$4:$AP$401,42,FALSE)&gt;0,VLOOKUP($A73,'7b erosió costa'!$A$4:$AP$401,42,FALSE),"")</f>
        <v/>
      </c>
      <c r="Q73" s="863">
        <f t="shared" si="29"/>
        <v>5.0258950212531714E-4</v>
      </c>
      <c r="R73" s="864">
        <f t="shared" si="22"/>
        <v>0.1873463741865416</v>
      </c>
      <c r="S73" s="863">
        <f t="shared" si="23"/>
        <v>0.46763686350017286</v>
      </c>
      <c r="T73" s="864">
        <f t="shared" si="24"/>
        <v>9.4309902069887332</v>
      </c>
      <c r="U73" s="864">
        <f t="shared" si="25"/>
        <v>1.4890894199999991</v>
      </c>
      <c r="V73" s="864">
        <f t="shared" si="25"/>
        <v>0</v>
      </c>
      <c r="W73" s="864" t="str">
        <f t="shared" si="30"/>
        <v/>
      </c>
      <c r="X73" s="1067">
        <f t="shared" si="26"/>
        <v>11.575565454177571</v>
      </c>
      <c r="Y73" s="826">
        <f>VLOOKUP(B73,'BD ASVICC'!$A$6:$Y$316,24,FALSE)</f>
        <v>349</v>
      </c>
      <c r="Z73" s="826" t="str">
        <f t="shared" si="27"/>
        <v>a &lt; 1.000 hab.</v>
      </c>
      <c r="AA73" s="826">
        <f t="shared" si="28"/>
        <v>33167.809324291033</v>
      </c>
    </row>
    <row r="74" spans="1:27" s="826" customFormat="1" ht="30">
      <c r="A74" s="835">
        <v>8071</v>
      </c>
      <c r="B74" s="826" t="s">
        <v>1037</v>
      </c>
      <c r="C74" s="878">
        <f>VLOOKUP(A74,copcalor,'1b.Cops de calor'!P$1,FALSE)/1000000</f>
        <v>0.23752369012672056</v>
      </c>
      <c r="D74" s="879">
        <f>VLOOKUP($B74,'2b.Incendis forestals'!$B$4:$P$314,9,FALSE)/1000000</f>
        <v>1.8170857562732254</v>
      </c>
      <c r="E74" s="878">
        <f>VLOOKUP($B74,'3b aigua'!$B$4:$K$314,8,FALSE)/1000000</f>
        <v>0.76448340843424012</v>
      </c>
      <c r="F74" s="879">
        <f t="shared" si="16"/>
        <v>3.275354375</v>
      </c>
      <c r="G74" s="879">
        <f t="shared" si="17"/>
        <v>1.009944</v>
      </c>
      <c r="H74" s="879">
        <f t="shared" si="18"/>
        <v>1.0255324375500003</v>
      </c>
      <c r="I74" s="878" t="str">
        <f>IF(VLOOKUP($A74,'7b erosió costa'!$A$4:$AP$401,9,FALSE)&gt;0,VLOOKUP($A74,'7b erosió costa'!$A$4:$AP$401,9,FALSE),"")</f>
        <v/>
      </c>
      <c r="J74" s="870">
        <f>VLOOKUP(A74,copcalor,'1b.Cops de calor'!Z$1,FALSE)/1000000</f>
        <v>1.406493893472299</v>
      </c>
      <c r="K74" s="870">
        <f>VLOOKUP($B74,'2b.Incendis forestals'!$B$4:$P$314,14,FALSE)/1000000</f>
        <v>4.9969858297513703</v>
      </c>
      <c r="L74" s="870">
        <f>VLOOKUP($B74,'3b aigua'!$B$4:$K$314,9,FALSE)/1000000</f>
        <v>1.1056806902124545</v>
      </c>
      <c r="M74" s="918">
        <f t="shared" si="19"/>
        <v>14.525532096687254</v>
      </c>
      <c r="N74" s="918">
        <f t="shared" si="20"/>
        <v>1.1584057679999997</v>
      </c>
      <c r="O74" s="918">
        <f t="shared" si="21"/>
        <v>1.5151519938</v>
      </c>
      <c r="P74" s="918" t="str">
        <f>IF(VLOOKUP($A74,'7b erosió costa'!$A$4:$AP$401,42,FALSE)&gt;0,VLOOKUP($A74,'7b erosió costa'!$A$4:$AP$401,42,FALSE),"")</f>
        <v/>
      </c>
      <c r="Q74" s="863">
        <f t="shared" si="29"/>
        <v>1.1689702033455784</v>
      </c>
      <c r="R74" s="864">
        <f t="shared" si="22"/>
        <v>3.1799000734781449</v>
      </c>
      <c r="S74" s="863">
        <f t="shared" si="23"/>
        <v>0.3411972817782144</v>
      </c>
      <c r="T74" s="864">
        <f t="shared" si="24"/>
        <v>11.250177721687255</v>
      </c>
      <c r="U74" s="864">
        <f t="shared" si="25"/>
        <v>0.14846176799999977</v>
      </c>
      <c r="V74" s="864">
        <f t="shared" si="25"/>
        <v>0.48961955624999964</v>
      </c>
      <c r="W74" s="864" t="str">
        <f t="shared" si="30"/>
        <v/>
      </c>
      <c r="X74" s="1067">
        <f t="shared" si="26"/>
        <v>16.578326604539189</v>
      </c>
      <c r="Y74" s="826">
        <f>VLOOKUP(B74,'BD ASVICC'!$A$6:$Y$316,24,FALSE)</f>
        <v>300</v>
      </c>
      <c r="Z74" s="826" t="str">
        <f t="shared" si="27"/>
        <v>a &lt; 1.000 hab.</v>
      </c>
      <c r="AA74" s="826">
        <f t="shared" si="28"/>
        <v>55261.088681797301</v>
      </c>
    </row>
    <row r="75" spans="1:27" s="826" customFormat="1" ht="45">
      <c r="A75" s="835">
        <v>8072</v>
      </c>
      <c r="B75" s="826" t="s">
        <v>1043</v>
      </c>
      <c r="C75" s="878">
        <f>VLOOKUP(A75,copcalor,'1b.Cops de calor'!P$1,FALSE)/1000000</f>
        <v>16.949642233821404</v>
      </c>
      <c r="D75" s="879">
        <f>VLOOKUP($B75,'2b.Incendis forestals'!$B$4:$P$314,9,FALSE)/1000000</f>
        <v>1.5962715181004825</v>
      </c>
      <c r="E75" s="878">
        <f>VLOOKUP($B75,'3b aigua'!$B$4:$K$314,8,FALSE)/1000000</f>
        <v>44.010497706814405</v>
      </c>
      <c r="F75" s="879">
        <f t="shared" si="16"/>
        <v>8.5559999999999997E-2</v>
      </c>
      <c r="G75" s="879">
        <f t="shared" si="17"/>
        <v>0.47624026491456589</v>
      </c>
      <c r="H75" s="879">
        <f t="shared" si="18"/>
        <v>3.1637743870500006</v>
      </c>
      <c r="I75" s="878" t="str">
        <f>IF(VLOOKUP($A75,'7b erosió costa'!$A$4:$AP$401,9,FALSE)&gt;0,VLOOKUP($A75,'7b erosió costa'!$A$4:$AP$401,9,FALSE),"")</f>
        <v/>
      </c>
      <c r="J75" s="870">
        <f>VLOOKUP(A75,copcalor,'1b.Cops de calor'!Z$1,FALSE)/1000000</f>
        <v>100.26861764156394</v>
      </c>
      <c r="K75" s="870">
        <f>VLOOKUP($B75,'2b.Incendis forestals'!$B$4:$P$314,14,FALSE)/1000000</f>
        <v>4.389746674776327</v>
      </c>
      <c r="L75" s="870">
        <f>VLOOKUP($B75,'3b aigua'!$B$4:$K$314,9,FALSE)/1000000</f>
        <v>80.853513151362677</v>
      </c>
      <c r="M75" s="918">
        <f t="shared" si="19"/>
        <v>0.73518580337108907</v>
      </c>
      <c r="N75" s="918">
        <f t="shared" si="20"/>
        <v>0.54624758385700711</v>
      </c>
      <c r="O75" s="918">
        <f t="shared" si="21"/>
        <v>3.7255405700999997</v>
      </c>
      <c r="P75" s="918" t="str">
        <f>IF(VLOOKUP($A75,'7b erosió costa'!$A$4:$AP$401,42,FALSE)&gt;0,VLOOKUP($A75,'7b erosió costa'!$A$4:$AP$401,42,FALSE),"")</f>
        <v/>
      </c>
      <c r="Q75" s="863">
        <f t="shared" si="29"/>
        <v>83.318975407742528</v>
      </c>
      <c r="R75" s="864">
        <f t="shared" si="22"/>
        <v>2.7934751566758447</v>
      </c>
      <c r="S75" s="863">
        <f t="shared" si="23"/>
        <v>36.843015444548271</v>
      </c>
      <c r="T75" s="864">
        <f t="shared" si="24"/>
        <v>0.64962580337108911</v>
      </c>
      <c r="U75" s="864">
        <f t="shared" si="25"/>
        <v>7.0007318942441221E-2</v>
      </c>
      <c r="V75" s="864">
        <f t="shared" si="25"/>
        <v>0.56176618304999915</v>
      </c>
      <c r="W75" s="864" t="str">
        <f t="shared" si="30"/>
        <v/>
      </c>
      <c r="X75" s="1067">
        <f t="shared" si="26"/>
        <v>124.23686531433017</v>
      </c>
      <c r="Y75" s="826">
        <f>VLOOKUP(B75,'BD ASVICC'!$A$6:$Y$316,24,FALSE)</f>
        <v>14168</v>
      </c>
      <c r="Z75" s="826" t="str">
        <f t="shared" si="27"/>
        <v>c 5.000 a 20.000 hab.</v>
      </c>
      <c r="AA75" s="826">
        <f t="shared" si="28"/>
        <v>8768.835778820594</v>
      </c>
    </row>
    <row r="76" spans="1:27" s="826" customFormat="1" ht="45">
      <c r="A76" s="835">
        <v>8073</v>
      </c>
      <c r="B76" s="826" t="s">
        <v>1046</v>
      </c>
      <c r="C76" s="878">
        <f>VLOOKUP(A76,copcalor,'1b.Cops de calor'!P$1,FALSE)/1000000</f>
        <v>101.1723677303043</v>
      </c>
      <c r="D76" s="879">
        <f>VLOOKUP($B76,'2b.Incendis forestals'!$B$4:$P$314,9,FALSE)/1000000</f>
        <v>0.11953359261906886</v>
      </c>
      <c r="E76" s="878">
        <f>VLOOKUP($B76,'3b aigua'!$B$4:$K$314,8,FALSE)/1000000</f>
        <v>188.20020554697854</v>
      </c>
      <c r="F76" s="879">
        <f t="shared" si="16"/>
        <v>0.22027687500000001</v>
      </c>
      <c r="G76" s="879">
        <f t="shared" si="17"/>
        <v>6.692831102649623</v>
      </c>
      <c r="H76" s="879">
        <f t="shared" si="18"/>
        <v>1.7854598400000004</v>
      </c>
      <c r="I76" s="878" t="str">
        <f>IF(VLOOKUP($A76,'7b erosió costa'!$A$4:$AP$401,9,FALSE)&gt;0,VLOOKUP($A76,'7b erosió costa'!$A$4:$AP$401,9,FALSE),"")</f>
        <v/>
      </c>
      <c r="J76" s="870">
        <f>VLOOKUP(A76,copcalor,'1b.Cops de calor'!Z$1,FALSE)/1000000</f>
        <v>597.54820804340477</v>
      </c>
      <c r="K76" s="870">
        <f>VLOOKUP($B76,'2b.Incendis forestals'!$B$4:$P$314,14,FALSE)/1000000</f>
        <v>0.32871737970243942</v>
      </c>
      <c r="L76" s="870">
        <f>VLOOKUP($B76,'3b aigua'!$B$4:$K$314,9,FALSE)/1000000</f>
        <v>345.75041381378651</v>
      </c>
      <c r="M76" s="918">
        <f t="shared" si="19"/>
        <v>6.7119455456645971</v>
      </c>
      <c r="N76" s="918">
        <f t="shared" si="20"/>
        <v>7.6766772747391165</v>
      </c>
      <c r="O76" s="918">
        <f t="shared" si="21"/>
        <v>2.0029703099999998</v>
      </c>
      <c r="P76" s="918" t="str">
        <f>IF(VLOOKUP($A76,'7b erosió costa'!$A$4:$AP$401,42,FALSE)&gt;0,VLOOKUP($A76,'7b erosió costa'!$A$4:$AP$401,42,FALSE),"")</f>
        <v/>
      </c>
      <c r="Q76" s="863">
        <f t="shared" si="29"/>
        <v>496.37584031310047</v>
      </c>
      <c r="R76" s="864">
        <f t="shared" si="22"/>
        <v>0.20918378708337054</v>
      </c>
      <c r="S76" s="863">
        <f t="shared" si="23"/>
        <v>157.55020826680797</v>
      </c>
      <c r="T76" s="864">
        <f t="shared" si="24"/>
        <v>6.4916686706645974</v>
      </c>
      <c r="U76" s="864">
        <f t="shared" si="25"/>
        <v>0.98384617208949354</v>
      </c>
      <c r="V76" s="864">
        <f t="shared" si="25"/>
        <v>0.21751046999999946</v>
      </c>
      <c r="W76" s="864" t="str">
        <f t="shared" si="30"/>
        <v/>
      </c>
      <c r="X76" s="1067">
        <f t="shared" si="26"/>
        <v>661.82825767974578</v>
      </c>
      <c r="Y76" s="826">
        <f>VLOOKUP(B76,'BD ASVICC'!$A$6:$Y$316,24,FALSE)</f>
        <v>86072</v>
      </c>
      <c r="Z76" s="826" t="str">
        <f t="shared" si="27"/>
        <v>e &gt;50.000 hab.</v>
      </c>
      <c r="AA76" s="826">
        <f t="shared" si="28"/>
        <v>7689.2399116988772</v>
      </c>
    </row>
    <row r="77" spans="1:27" s="826" customFormat="1" ht="45">
      <c r="A77" s="835">
        <v>8074</v>
      </c>
      <c r="B77" s="826" t="s">
        <v>341</v>
      </c>
      <c r="C77" s="878">
        <f>VLOOKUP(A77,copcalor,'1b.Cops de calor'!P$1,FALSE)/1000000</f>
        <v>8.7192861137642108</v>
      </c>
      <c r="D77" s="879">
        <f>VLOOKUP($B77,'2b.Incendis forestals'!$B$4:$P$314,9,FALSE)/1000000</f>
        <v>1.1834735057376371</v>
      </c>
      <c r="E77" s="878">
        <f>VLOOKUP($B77,'3b aigua'!$B$4:$K$314,8,FALSE)/1000000</f>
        <v>35.61973072486785</v>
      </c>
      <c r="F77" s="879">
        <f t="shared" si="16"/>
        <v>0.42075499999999999</v>
      </c>
      <c r="G77" s="879">
        <f t="shared" si="17"/>
        <v>35.104680000000002</v>
      </c>
      <c r="H77" s="879">
        <f t="shared" si="18"/>
        <v>0</v>
      </c>
      <c r="I77" s="878">
        <f>IF(VLOOKUP($A77,'7b erosió costa'!$A$4:$AP$401,9,FALSE)&gt;0,VLOOKUP($A77,'7b erosió costa'!$A$4:$AP$401,9,FALSE),"")</f>
        <v>0.1520721649484536</v>
      </c>
      <c r="J77" s="870">
        <f>VLOOKUP(A77,copcalor,'1b.Cops de calor'!Z$1,FALSE)/1000000</f>
        <v>47.583497577244323</v>
      </c>
      <c r="K77" s="870">
        <f>VLOOKUP($B77,'2b.Incendis forestals'!$B$4:$P$314,14,FALSE)/1000000</f>
        <v>3.2545521407785025</v>
      </c>
      <c r="L77" s="870">
        <f>VLOOKUP($B77,'3b aigua'!$B$4:$K$314,9,FALSE)/1000000</f>
        <v>65.438486649179026</v>
      </c>
      <c r="M77" s="918">
        <f t="shared" si="19"/>
        <v>3.1913860010791382</v>
      </c>
      <c r="N77" s="918">
        <f t="shared" si="20"/>
        <v>40.265067959999996</v>
      </c>
      <c r="O77" s="918">
        <f t="shared" si="21"/>
        <v>49.641381196950007</v>
      </c>
      <c r="P77" s="918">
        <f>IF(VLOOKUP($A77,'7b erosió costa'!$A$4:$AP$401,42,FALSE)&gt;0,VLOOKUP($A77,'7b erosió costa'!$A$4:$AP$401,42,FALSE),"")</f>
        <v>0.17551375658907498</v>
      </c>
      <c r="Q77" s="863">
        <f t="shared" si="29"/>
        <v>38.86421146348011</v>
      </c>
      <c r="R77" s="864">
        <f t="shared" si="22"/>
        <v>2.0710786350408652</v>
      </c>
      <c r="S77" s="863">
        <f t="shared" si="23"/>
        <v>29.818755924311176</v>
      </c>
      <c r="T77" s="864">
        <f t="shared" si="24"/>
        <v>2.7706310010791384</v>
      </c>
      <c r="U77" s="864">
        <f t="shared" si="25"/>
        <v>5.1603879599999942</v>
      </c>
      <c r="V77" s="864">
        <f t="shared" si="25"/>
        <v>49.641381196950007</v>
      </c>
      <c r="W77" s="864">
        <f t="shared" si="30"/>
        <v>2.3441591640621373E-2</v>
      </c>
      <c r="X77" s="1067">
        <f t="shared" si="26"/>
        <v>128.34988777250192</v>
      </c>
      <c r="Y77" s="826">
        <f>VLOOKUP(B77,'BD ASVICC'!$A$6:$Y$316,24,FALSE)</f>
        <v>14608</v>
      </c>
      <c r="Z77" s="826" t="str">
        <f t="shared" si="27"/>
        <v>c 5.000 a 20.000 hab.</v>
      </c>
      <c r="AA77" s="826">
        <f t="shared" si="28"/>
        <v>8786.2738069894513</v>
      </c>
    </row>
    <row r="78" spans="1:27" s="826" customFormat="1" ht="45">
      <c r="A78" s="835">
        <v>8075</v>
      </c>
      <c r="B78" s="826" t="s">
        <v>1050</v>
      </c>
      <c r="C78" s="878">
        <f>VLOOKUP(A78,copcalor,'1b.Cops de calor'!P$1,FALSE)/1000000</f>
        <v>0.8066944261868455</v>
      </c>
      <c r="D78" s="879">
        <f>VLOOKUP($B78,'2b.Incendis forestals'!$B$4:$P$314,9,FALSE)/1000000</f>
        <v>0.92633328913474444</v>
      </c>
      <c r="E78" s="878">
        <f>VLOOKUP($B78,'3b aigua'!$B$4:$K$314,8,FALSE)/1000000</f>
        <v>17.910337420669865</v>
      </c>
      <c r="F78" s="879">
        <f t="shared" si="16"/>
        <v>1.17696</v>
      </c>
      <c r="G78" s="879">
        <f t="shared" si="17"/>
        <v>8.0369639999999993</v>
      </c>
      <c r="H78" s="879">
        <f t="shared" si="18"/>
        <v>0</v>
      </c>
      <c r="I78" s="878" t="str">
        <f>IF(VLOOKUP($A78,'7b erosió costa'!$A$4:$AP$401,9,FALSE)&gt;0,VLOOKUP($A78,'7b erosió costa'!$A$4:$AP$401,9,FALSE),"")</f>
        <v/>
      </c>
      <c r="J78" s="870">
        <f>VLOOKUP(A78,copcalor,'1b.Cops de calor'!Z$1,FALSE)/1000000</f>
        <v>4.7207328065066347</v>
      </c>
      <c r="K78" s="870">
        <f>VLOOKUP($B78,'2b.Incendis forestals'!$B$4:$P$314,14,FALSE)/1000000</f>
        <v>2.5474165451205475</v>
      </c>
      <c r="L78" s="870">
        <f>VLOOKUP($B78,'3b aigua'!$B$4:$K$314,9,FALSE)/1000000</f>
        <v>32.903824715512222</v>
      </c>
      <c r="M78" s="918">
        <f t="shared" si="19"/>
        <v>12.295202556149327</v>
      </c>
      <c r="N78" s="918">
        <f t="shared" si="20"/>
        <v>9.2183977080000012</v>
      </c>
      <c r="O78" s="918">
        <f t="shared" si="21"/>
        <v>6.2619440164500011</v>
      </c>
      <c r="P78" s="918" t="str">
        <f>IF(VLOOKUP($A78,'7b erosió costa'!$A$4:$AP$401,42,FALSE)&gt;0,VLOOKUP($A78,'7b erosió costa'!$A$4:$AP$401,42,FALSE),"")</f>
        <v/>
      </c>
      <c r="Q78" s="863">
        <f t="shared" si="29"/>
        <v>3.9140383803197891</v>
      </c>
      <c r="R78" s="864">
        <f t="shared" si="22"/>
        <v>1.6210832559858031</v>
      </c>
      <c r="S78" s="863">
        <f t="shared" si="23"/>
        <v>14.993487294842357</v>
      </c>
      <c r="T78" s="864">
        <f t="shared" si="24"/>
        <v>11.118242556149328</v>
      </c>
      <c r="U78" s="864">
        <f t="shared" si="25"/>
        <v>1.1814337080000019</v>
      </c>
      <c r="V78" s="864">
        <f t="shared" si="25"/>
        <v>6.2619440164500011</v>
      </c>
      <c r="W78" s="864" t="str">
        <f t="shared" si="30"/>
        <v/>
      </c>
      <c r="X78" s="1067">
        <f t="shared" si="26"/>
        <v>39.090229211747278</v>
      </c>
      <c r="Y78" s="826">
        <f>VLOOKUP(B78,'BD ASVICC'!$A$6:$Y$316,24,FALSE)</f>
        <v>5154</v>
      </c>
      <c r="Z78" s="826" t="str">
        <f t="shared" si="27"/>
        <v>c 5.000 a 20.000 hab.</v>
      </c>
      <c r="AA78" s="826">
        <f t="shared" si="28"/>
        <v>7584.4449382513158</v>
      </c>
    </row>
    <row r="79" spans="1:27" s="826" customFormat="1" ht="45">
      <c r="A79" s="835">
        <v>8076</v>
      </c>
      <c r="B79" s="826" t="s">
        <v>1053</v>
      </c>
      <c r="C79" s="878">
        <f>VLOOKUP(A79,copcalor,'1b.Cops de calor'!P$1,FALSE)/1000000</f>
        <v>19.26893795075922</v>
      </c>
      <c r="D79" s="879">
        <f>VLOOKUP($B79,'2b.Incendis forestals'!$B$4:$P$314,9,FALSE)/1000000</f>
        <v>1.9984522516000578</v>
      </c>
      <c r="E79" s="878">
        <f>VLOOKUP($B79,'3b aigua'!$B$4:$K$314,8,FALSE)/1000000</f>
        <v>38.04633373318763</v>
      </c>
      <c r="F79" s="879">
        <f t="shared" si="16"/>
        <v>0.53567312499999997</v>
      </c>
      <c r="G79" s="879">
        <f t="shared" si="17"/>
        <v>0.11559599999999999</v>
      </c>
      <c r="H79" s="879">
        <f t="shared" si="18"/>
        <v>12.9856578132</v>
      </c>
      <c r="I79" s="878" t="str">
        <f>IF(VLOOKUP($A79,'7b erosió costa'!$A$4:$AP$401,9,FALSE)&gt;0,VLOOKUP($A79,'7b erosió costa'!$A$4:$AP$401,9,FALSE),"")</f>
        <v/>
      </c>
      <c r="J79" s="870">
        <f>VLOOKUP(A79,copcalor,'1b.Cops de calor'!Z$1,FALSE)/1000000</f>
        <v>113.41792290628744</v>
      </c>
      <c r="K79" s="870">
        <f>VLOOKUP($B79,'2b.Incendis forestals'!$B$4:$P$314,14,FALSE)/1000000</f>
        <v>5.4957436919001603</v>
      </c>
      <c r="L79" s="870">
        <f>VLOOKUP($B79,'3b aigua'!$B$4:$K$314,9,FALSE)/1000000</f>
        <v>69.896499815795437</v>
      </c>
      <c r="M79" s="918">
        <f t="shared" si="19"/>
        <v>3.3080963520303901</v>
      </c>
      <c r="N79" s="918">
        <f t="shared" si="20"/>
        <v>0.13258861199999999</v>
      </c>
      <c r="O79" s="918">
        <f t="shared" si="21"/>
        <v>16.6765876941</v>
      </c>
      <c r="P79" s="918" t="str">
        <f>IF(VLOOKUP($A79,'7b erosió costa'!$A$4:$AP$401,42,FALSE)&gt;0,VLOOKUP($A79,'7b erosió costa'!$A$4:$AP$401,42,FALSE),"")</f>
        <v/>
      </c>
      <c r="Q79" s="863">
        <f t="shared" si="29"/>
        <v>94.148984955528221</v>
      </c>
      <c r="R79" s="864">
        <f t="shared" si="22"/>
        <v>3.4972914403001027</v>
      </c>
      <c r="S79" s="863">
        <f t="shared" si="23"/>
        <v>31.850166082607807</v>
      </c>
      <c r="T79" s="864">
        <f t="shared" si="24"/>
        <v>2.7724232270303899</v>
      </c>
      <c r="U79" s="864">
        <f t="shared" si="25"/>
        <v>1.6992612000000004E-2</v>
      </c>
      <c r="V79" s="864">
        <f t="shared" si="25"/>
        <v>3.6909298809000006</v>
      </c>
      <c r="W79" s="864" t="str">
        <f t="shared" si="30"/>
        <v/>
      </c>
      <c r="X79" s="1067">
        <f t="shared" si="26"/>
        <v>135.97678819836653</v>
      </c>
      <c r="Y79" s="826">
        <f>VLOOKUP(B79,'BD ASVICC'!$A$6:$Y$316,24,FALSE)</f>
        <v>21766</v>
      </c>
      <c r="Z79" s="826" t="str">
        <f t="shared" si="27"/>
        <v>d 20.000 a 50.000 hab.</v>
      </c>
      <c r="AA79" s="826">
        <f t="shared" si="28"/>
        <v>6247.2107046938581</v>
      </c>
    </row>
    <row r="80" spans="1:27" s="826" customFormat="1" ht="45">
      <c r="A80" s="835">
        <v>8077</v>
      </c>
      <c r="B80" s="826" t="s">
        <v>1061</v>
      </c>
      <c r="C80" s="878">
        <f>VLOOKUP(A80,copcalor,'1b.Cops de calor'!P$1,FALSE)/1000000</f>
        <v>55.194442523817351</v>
      </c>
      <c r="D80" s="879">
        <f>VLOOKUP($B80,'2b.Incendis forestals'!$B$4:$P$314,9,FALSE)/1000000</f>
        <v>0.12077873420885087</v>
      </c>
      <c r="E80" s="878">
        <f>VLOOKUP($B80,'3b aigua'!$B$4:$K$314,8,FALSE)/1000000</f>
        <v>110.61194528523167</v>
      </c>
      <c r="F80" s="879">
        <f t="shared" si="16"/>
        <v>0</v>
      </c>
      <c r="G80" s="879">
        <f t="shared" si="17"/>
        <v>3.0102459525615886</v>
      </c>
      <c r="H80" s="879">
        <f t="shared" si="18"/>
        <v>0</v>
      </c>
      <c r="I80" s="878" t="str">
        <f>IF(VLOOKUP($A80,'7b erosió costa'!$A$4:$AP$401,9,FALSE)&gt;0,VLOOKUP($A80,'7b erosió costa'!$A$4:$AP$401,9,FALSE),"")</f>
        <v/>
      </c>
      <c r="J80" s="870">
        <f>VLOOKUP(A80,copcalor,'1b.Cops de calor'!Z$1,FALSE)/1000000</f>
        <v>326.12641950284677</v>
      </c>
      <c r="K80" s="870">
        <f>VLOOKUP($B80,'2b.Incendis forestals'!$B$4:$P$314,14,FALSE)/1000000</f>
        <v>0.33214151907433981</v>
      </c>
      <c r="L80" s="870">
        <f>VLOOKUP($B80,'3b aigua'!$B$4:$K$314,9,FALSE)/1000000</f>
        <v>203.20979854387173</v>
      </c>
      <c r="M80" s="918">
        <f t="shared" si="19"/>
        <v>2.2830049385190168</v>
      </c>
      <c r="N80" s="918">
        <f t="shared" si="20"/>
        <v>3.4527521075881418</v>
      </c>
      <c r="O80" s="918">
        <f t="shared" si="21"/>
        <v>0</v>
      </c>
      <c r="P80" s="918" t="str">
        <f>IF(VLOOKUP($A80,'7b erosió costa'!$A$4:$AP$401,42,FALSE)&gt;0,VLOOKUP($A80,'7b erosió costa'!$A$4:$AP$401,42,FALSE),"")</f>
        <v/>
      </c>
      <c r="Q80" s="863">
        <f t="shared" si="29"/>
        <v>270.9319769790294</v>
      </c>
      <c r="R80" s="864">
        <f t="shared" si="22"/>
        <v>0.21136278486548893</v>
      </c>
      <c r="S80" s="863">
        <f t="shared" si="23"/>
        <v>92.597853258640058</v>
      </c>
      <c r="T80" s="864">
        <f t="shared" si="24"/>
        <v>2.2830049385190168</v>
      </c>
      <c r="U80" s="864">
        <f t="shared" si="25"/>
        <v>0.44250615502655322</v>
      </c>
      <c r="V80" s="864">
        <f t="shared" si="25"/>
        <v>0</v>
      </c>
      <c r="W80" s="864" t="str">
        <f t="shared" si="30"/>
        <v/>
      </c>
      <c r="X80" s="1067">
        <f t="shared" si="26"/>
        <v>366.46670411608051</v>
      </c>
      <c r="Y80" s="826">
        <f>VLOOKUP(B80,'BD ASVICC'!$A$6:$Y$316,24,FALSE)</f>
        <v>45733</v>
      </c>
      <c r="Z80" s="826" t="str">
        <f t="shared" si="27"/>
        <v>d 20.000 a 50.000 hab.</v>
      </c>
      <c r="AA80" s="826">
        <f t="shared" si="28"/>
        <v>8013.1787574854161</v>
      </c>
    </row>
    <row r="81" spans="1:27" s="826" customFormat="1" ht="30">
      <c r="A81" s="835">
        <v>8078</v>
      </c>
      <c r="B81" s="826" t="s">
        <v>1062</v>
      </c>
      <c r="C81" s="878">
        <f>VLOOKUP(A81,copcalor,'1b.Cops de calor'!P$1,FALSE)/1000000</f>
        <v>1.8868965261483201E-2</v>
      </c>
      <c r="D81" s="879">
        <f>VLOOKUP($B81,'2b.Incendis forestals'!$B$4:$P$314,9,FALSE)/1000000</f>
        <v>2.1803423239132895</v>
      </c>
      <c r="E81" s="878">
        <f>VLOOKUP($B81,'3b aigua'!$B$4:$K$314,8,FALSE)/1000000</f>
        <v>0.14192705495018668</v>
      </c>
      <c r="F81" s="879">
        <f t="shared" si="16"/>
        <v>6.7663699999999993</v>
      </c>
      <c r="G81" s="879">
        <f t="shared" si="17"/>
        <v>16.308161999999996</v>
      </c>
      <c r="H81" s="879">
        <f t="shared" si="18"/>
        <v>0</v>
      </c>
      <c r="I81" s="878" t="str">
        <f>IF(VLOOKUP($A81,'7b erosió costa'!$A$4:$AP$401,9,FALSE)&gt;0,VLOOKUP($A81,'7b erosió costa'!$A$4:$AP$401,9,FALSE),"")</f>
        <v/>
      </c>
      <c r="J81" s="870">
        <f>VLOOKUP(A81,copcalor,'1b.Cops de calor'!Z$1,FALSE)/1000000</f>
        <v>8.2203889454696921E-2</v>
      </c>
      <c r="K81" s="870">
        <f>VLOOKUP($B81,'2b.Incendis forestals'!$B$4:$P$314,14,FALSE)/1000000</f>
        <v>5.9959413907615478</v>
      </c>
      <c r="L81" s="870">
        <f>VLOOKUP($B81,'3b aigua'!$B$4:$K$314,9,FALSE)/1000000</f>
        <v>0.20527064727087788</v>
      </c>
      <c r="M81" s="918">
        <f t="shared" si="19"/>
        <v>29.628255626427723</v>
      </c>
      <c r="N81" s="918">
        <f t="shared" si="20"/>
        <v>18.705461813999996</v>
      </c>
      <c r="O81" s="918">
        <f t="shared" si="21"/>
        <v>0</v>
      </c>
      <c r="P81" s="918" t="str">
        <f>IF(VLOOKUP($A81,'7b erosió costa'!$A$4:$AP$401,42,FALSE)&gt;0,VLOOKUP($A81,'7b erosió costa'!$A$4:$AP$401,42,FALSE),"")</f>
        <v/>
      </c>
      <c r="Q81" s="863">
        <f t="shared" si="29"/>
        <v>6.3334924193213724E-2</v>
      </c>
      <c r="R81" s="864">
        <f t="shared" si="22"/>
        <v>3.8155990668482582</v>
      </c>
      <c r="S81" s="863">
        <f t="shared" si="23"/>
        <v>6.33435923206912E-2</v>
      </c>
      <c r="T81" s="864">
        <f t="shared" si="24"/>
        <v>22.861885626427725</v>
      </c>
      <c r="U81" s="864">
        <f t="shared" si="25"/>
        <v>2.3972998140000001</v>
      </c>
      <c r="V81" s="864">
        <f t="shared" si="25"/>
        <v>0</v>
      </c>
      <c r="W81" s="864" t="str">
        <f t="shared" si="30"/>
        <v/>
      </c>
      <c r="X81" s="1067">
        <f t="shared" si="26"/>
        <v>29.201463023789888</v>
      </c>
      <c r="Y81" s="826">
        <f>VLOOKUP(B81,'BD ASVICC'!$A$6:$Y$316,24,FALSE)</f>
        <v>247</v>
      </c>
      <c r="Z81" s="826" t="str">
        <f t="shared" si="27"/>
        <v>a &lt; 1.000 hab.</v>
      </c>
      <c r="AA81" s="826">
        <f t="shared" si="28"/>
        <v>118224.54665501979</v>
      </c>
    </row>
    <row r="82" spans="1:27" s="826" customFormat="1" ht="30">
      <c r="A82" s="835">
        <v>8079</v>
      </c>
      <c r="B82" s="826" t="s">
        <v>1063</v>
      </c>
      <c r="C82" s="878">
        <f>VLOOKUP(A82,copcalor,'1b.Cops de calor'!P$1,FALSE)/1000000</f>
        <v>6.8927136751682133E-2</v>
      </c>
      <c r="D82" s="879">
        <f>VLOOKUP($B82,'2b.Incendis forestals'!$B$4:$P$314,9,FALSE)/1000000</f>
        <v>1.1891225840867863</v>
      </c>
      <c r="E82" s="878">
        <f>VLOOKUP($B82,'3b aigua'!$B$4:$K$314,8,FALSE)/1000000</f>
        <v>1.06570779834816</v>
      </c>
      <c r="F82" s="879">
        <f t="shared" si="16"/>
        <v>0.68447999999999998</v>
      </c>
      <c r="G82" s="879">
        <f t="shared" si="17"/>
        <v>6.1874279999999988</v>
      </c>
      <c r="H82" s="879">
        <f t="shared" si="18"/>
        <v>0</v>
      </c>
      <c r="I82" s="878" t="str">
        <f>IF(VLOOKUP($A82,'7b erosió costa'!$A$4:$AP$401,9,FALSE)&gt;0,VLOOKUP($A82,'7b erosió costa'!$A$4:$AP$401,9,FALSE),"")</f>
        <v/>
      </c>
      <c r="J82" s="870">
        <f>VLOOKUP(A82,copcalor,'1b.Cops de calor'!Z$1,FALSE)/1000000</f>
        <v>0.38059439826236202</v>
      </c>
      <c r="K82" s="870">
        <f>VLOOKUP($B82,'2b.Incendis forestals'!$B$4:$P$314,14,FALSE)/1000000</f>
        <v>3.2700871062386621</v>
      </c>
      <c r="L82" s="870">
        <f>VLOOKUP($B82,'3b aigua'!$B$4:$K$314,9,FALSE)/1000000</f>
        <v>1.5413448101584897</v>
      </c>
      <c r="M82" s="918">
        <f t="shared" si="19"/>
        <v>3.0120712491546611</v>
      </c>
      <c r="N82" s="918">
        <f t="shared" si="20"/>
        <v>7.0969799159999987</v>
      </c>
      <c r="O82" s="918">
        <f t="shared" si="21"/>
        <v>0</v>
      </c>
      <c r="P82" s="918" t="str">
        <f>IF(VLOOKUP($A82,'7b erosió costa'!$A$4:$AP$401,42,FALSE)&gt;0,VLOOKUP($A82,'7b erosió costa'!$A$4:$AP$401,42,FALSE),"")</f>
        <v/>
      </c>
      <c r="Q82" s="863">
        <f t="shared" si="29"/>
        <v>0.31166726151067992</v>
      </c>
      <c r="R82" s="864">
        <f t="shared" si="22"/>
        <v>2.0809645221518758</v>
      </c>
      <c r="S82" s="863">
        <f t="shared" si="23"/>
        <v>0.47563701181032969</v>
      </c>
      <c r="T82" s="864">
        <f t="shared" si="24"/>
        <v>2.3275912491546613</v>
      </c>
      <c r="U82" s="864">
        <f t="shared" si="25"/>
        <v>0.90955191599999985</v>
      </c>
      <c r="V82" s="864">
        <f t="shared" si="25"/>
        <v>0</v>
      </c>
      <c r="W82" s="864" t="str">
        <f t="shared" si="30"/>
        <v/>
      </c>
      <c r="X82" s="1067">
        <f t="shared" si="26"/>
        <v>6.1054119606275465</v>
      </c>
      <c r="Y82" s="826">
        <f>VLOOKUP(B82,'BD ASVICC'!$A$6:$Y$316,24,FALSE)</f>
        <v>404</v>
      </c>
      <c r="Z82" s="826" t="str">
        <f t="shared" si="27"/>
        <v>a &lt; 1.000 hab.</v>
      </c>
      <c r="AA82" s="826">
        <f t="shared" si="28"/>
        <v>15112.405843137491</v>
      </c>
    </row>
    <row r="83" spans="1:27" s="826" customFormat="1" ht="30">
      <c r="A83" s="835">
        <v>8080</v>
      </c>
      <c r="B83" s="826" t="s">
        <v>1067</v>
      </c>
      <c r="C83" s="878">
        <f>VLOOKUP(A83,copcalor,'1b.Cops de calor'!P$1,FALSE)/1000000</f>
        <v>1.1427474107665104E-3</v>
      </c>
      <c r="D83" s="879">
        <f>VLOOKUP($B83,'2b.Incendis forestals'!$B$4:$P$314,9,FALSE)/1000000</f>
        <v>2.422808235995328</v>
      </c>
      <c r="E83" s="878">
        <f>VLOOKUP($B83,'3b aigua'!$B$4:$K$314,8,FALSE)/1000000</f>
        <v>2.1766014671466671E-2</v>
      </c>
      <c r="F83" s="879">
        <f t="shared" si="16"/>
        <v>0</v>
      </c>
      <c r="G83" s="879">
        <f t="shared" si="17"/>
        <v>0.11353054736526508</v>
      </c>
      <c r="H83" s="879">
        <f t="shared" si="18"/>
        <v>0</v>
      </c>
      <c r="I83" s="878" t="str">
        <f>IF(VLOOKUP($A83,'7b erosió costa'!$A$4:$AP$401,9,FALSE)&gt;0,VLOOKUP($A83,'7b erosió costa'!$A$4:$AP$401,9,FALSE),"")</f>
        <v/>
      </c>
      <c r="J83" s="870">
        <f>VLOOKUP(A83,copcalor,'1b.Cops de calor'!Z$1,FALSE)/1000000</f>
        <v>1.8346379683719745E-3</v>
      </c>
      <c r="K83" s="870">
        <f>VLOOKUP($B83,'2b.Incendis forestals'!$B$4:$P$314,14,FALSE)/1000000</f>
        <v>6.6627226489871525</v>
      </c>
      <c r="L83" s="870">
        <f>VLOOKUP($B83,'3b aigua'!$B$4:$K$314,9,FALSE)/1000000</f>
        <v>3.1480424374954671E-2</v>
      </c>
      <c r="M83" s="918">
        <f t="shared" si="19"/>
        <v>8.6102864813125068E-2</v>
      </c>
      <c r="N83" s="918">
        <f t="shared" si="20"/>
        <v>0.13021953782795903</v>
      </c>
      <c r="O83" s="918">
        <f t="shared" si="21"/>
        <v>0</v>
      </c>
      <c r="P83" s="918" t="str">
        <f>IF(VLOOKUP($A83,'7b erosió costa'!$A$4:$AP$401,42,FALSE)&gt;0,VLOOKUP($A83,'7b erosió costa'!$A$4:$AP$401,42,FALSE),"")</f>
        <v/>
      </c>
      <c r="Q83" s="863">
        <f t="shared" si="29"/>
        <v>6.918905576054641E-4</v>
      </c>
      <c r="R83" s="864">
        <f t="shared" si="22"/>
        <v>4.2399144129918245</v>
      </c>
      <c r="S83" s="863">
        <f t="shared" si="23"/>
        <v>9.7144097034880007E-3</v>
      </c>
      <c r="T83" s="864">
        <f t="shared" si="24"/>
        <v>8.6102864813125068E-2</v>
      </c>
      <c r="U83" s="864">
        <f t="shared" si="25"/>
        <v>1.6688990462693953E-2</v>
      </c>
      <c r="V83" s="864">
        <f t="shared" si="25"/>
        <v>0</v>
      </c>
      <c r="W83" s="864" t="str">
        <f t="shared" si="30"/>
        <v/>
      </c>
      <c r="X83" s="1067">
        <f t="shared" si="26"/>
        <v>4.3531125685287373</v>
      </c>
      <c r="Y83" s="826">
        <f>VLOOKUP(B83,'BD ASVICC'!$A$6:$Y$316,24,FALSE)</f>
        <v>40</v>
      </c>
      <c r="Z83" s="826" t="str">
        <f t="shared" si="27"/>
        <v>a &lt; 1.000 hab.</v>
      </c>
      <c r="AA83" s="826">
        <f t="shared" si="28"/>
        <v>108827.81421321843</v>
      </c>
    </row>
    <row r="84" spans="1:27" s="826" customFormat="1" ht="30">
      <c r="A84" s="835">
        <v>8081</v>
      </c>
      <c r="B84" s="826" t="s">
        <v>1068</v>
      </c>
      <c r="C84" s="878">
        <f>VLOOKUP(A84,copcalor,'1b.Cops de calor'!P$1,FALSE)/1000000</f>
        <v>5.6175566511814219E-2</v>
      </c>
      <c r="D84" s="879">
        <f>VLOOKUP($B84,'2b.Incendis forestals'!$B$4:$P$314,9,FALSE)/1000000</f>
        <v>1.11347993755303</v>
      </c>
      <c r="E84" s="878">
        <f>VLOOKUP($B84,'3b aigua'!$B$4:$K$314,8,FALSE)/1000000</f>
        <v>0.4496967478186667</v>
      </c>
      <c r="F84" s="879">
        <f t="shared" si="16"/>
        <v>0.5242675</v>
      </c>
      <c r="G84" s="879">
        <f t="shared" si="17"/>
        <v>0.81829799999999997</v>
      </c>
      <c r="H84" s="879">
        <f t="shared" si="18"/>
        <v>8.6495953500000007E-3</v>
      </c>
      <c r="I84" s="878" t="str">
        <f>IF(VLOOKUP($A84,'7b erosió costa'!$A$4:$AP$401,9,FALSE)&gt;0,VLOOKUP($A84,'7b erosió costa'!$A$4:$AP$401,9,FALSE),"")</f>
        <v/>
      </c>
      <c r="J84" s="870">
        <f>VLOOKUP(A84,copcalor,'1b.Cops de calor'!Z$1,FALSE)/1000000</f>
        <v>0.30287054812641145</v>
      </c>
      <c r="K84" s="870">
        <f>VLOOKUP($B84,'2b.Incendis forestals'!$B$4:$P$314,14,FALSE)/1000000</f>
        <v>3.0620698282708325</v>
      </c>
      <c r="L84" s="870">
        <f>VLOOKUP($B84,'3b aigua'!$B$4:$K$314,9,FALSE)/1000000</f>
        <v>0.65040131025578674</v>
      </c>
      <c r="M84" s="918">
        <f t="shared" si="19"/>
        <v>3.4425570245459918</v>
      </c>
      <c r="N84" s="918">
        <f t="shared" si="20"/>
        <v>0.93858780600000002</v>
      </c>
      <c r="O84" s="918">
        <f t="shared" si="21"/>
        <v>9.0320373000000002E-3</v>
      </c>
      <c r="P84" s="918" t="str">
        <f>IF(VLOOKUP($A84,'7b erosió costa'!$A$4:$AP$401,42,FALSE)&gt;0,VLOOKUP($A84,'7b erosió costa'!$A$4:$AP$401,42,FALSE),"")</f>
        <v/>
      </c>
      <c r="Q84" s="863">
        <f t="shared" si="29"/>
        <v>0.24669498161459724</v>
      </c>
      <c r="R84" s="864">
        <f t="shared" si="22"/>
        <v>1.9485898907178025</v>
      </c>
      <c r="S84" s="863">
        <f t="shared" si="23"/>
        <v>0.20070456243712004</v>
      </c>
      <c r="T84" s="864">
        <f t="shared" si="24"/>
        <v>2.9182895245459917</v>
      </c>
      <c r="U84" s="864">
        <f t="shared" si="25"/>
        <v>0.12028980600000005</v>
      </c>
      <c r="V84" s="864">
        <f t="shared" si="25"/>
        <v>3.8244194999999953E-4</v>
      </c>
      <c r="W84" s="864" t="str">
        <f t="shared" si="30"/>
        <v/>
      </c>
      <c r="X84" s="1067">
        <f t="shared" si="26"/>
        <v>5.4349512072655113</v>
      </c>
      <c r="Y84" s="826">
        <f>VLOOKUP(B84,'BD ASVICC'!$A$6:$Y$316,24,FALSE)</f>
        <v>462</v>
      </c>
      <c r="Z84" s="826" t="str">
        <f t="shared" si="27"/>
        <v>a &lt; 1.000 hab.</v>
      </c>
      <c r="AA84" s="826">
        <f t="shared" si="28"/>
        <v>11763.963652089851</v>
      </c>
    </row>
    <row r="85" spans="1:27" s="826" customFormat="1" ht="45">
      <c r="A85" s="835">
        <v>8082</v>
      </c>
      <c r="B85" s="826" t="s">
        <v>1071</v>
      </c>
      <c r="C85" s="878">
        <f>VLOOKUP(A85,copcalor,'1b.Cops de calor'!P$1,FALSE)/1000000</f>
        <v>0.41462667114398799</v>
      </c>
      <c r="D85" s="879">
        <f>VLOOKUP($B85,'2b.Incendis forestals'!$B$4:$P$314,9,FALSE)/1000000</f>
        <v>0.748790545241519</v>
      </c>
      <c r="E85" s="878">
        <f>VLOOKUP($B85,'3b aigua'!$B$4:$K$314,8,FALSE)/1000000</f>
        <v>30.002986441464003</v>
      </c>
      <c r="F85" s="879">
        <f t="shared" si="16"/>
        <v>1.8125381249999999</v>
      </c>
      <c r="G85" s="879">
        <f t="shared" si="17"/>
        <v>1.0951200000000001</v>
      </c>
      <c r="H85" s="879">
        <f t="shared" si="18"/>
        <v>67.837946723249999</v>
      </c>
      <c r="I85" s="878" t="str">
        <f>IF(VLOOKUP($A85,'7b erosió costa'!$A$4:$AP$401,9,FALSE)&gt;0,VLOOKUP($A85,'7b erosió costa'!$A$4:$AP$401,9,FALSE),"")</f>
        <v/>
      </c>
      <c r="J85" s="870">
        <f>VLOOKUP(A85,copcalor,'1b.Cops de calor'!Z$1,FALSE)/1000000</f>
        <v>2.4356068256352024</v>
      </c>
      <c r="K85" s="870">
        <f>VLOOKUP($B85,'2b.Incendis forestals'!$B$4:$P$314,14,FALSE)/1000000</f>
        <v>2.0591739994141776</v>
      </c>
      <c r="L85" s="870">
        <f>VLOOKUP($B85,'3b aigua'!$B$4:$K$314,9,FALSE)/1000000</f>
        <v>43.39364646902785</v>
      </c>
      <c r="M85" s="918">
        <f t="shared" si="19"/>
        <v>10.978038344551683</v>
      </c>
      <c r="N85" s="918">
        <f t="shared" si="20"/>
        <v>1.2561026400000002</v>
      </c>
      <c r="O85" s="918">
        <f t="shared" si="21"/>
        <v>92.043501041249996</v>
      </c>
      <c r="P85" s="918" t="str">
        <f>IF(VLOOKUP($A85,'7b erosió costa'!$A$4:$AP$401,42,FALSE)&gt;0,VLOOKUP($A85,'7b erosió costa'!$A$4:$AP$401,42,FALSE),"")</f>
        <v/>
      </c>
      <c r="Q85" s="863">
        <f t="shared" si="29"/>
        <v>2.0209801544912143</v>
      </c>
      <c r="R85" s="864">
        <f t="shared" si="22"/>
        <v>1.3103834541726584</v>
      </c>
      <c r="S85" s="863">
        <f t="shared" si="23"/>
        <v>13.390660027563847</v>
      </c>
      <c r="T85" s="864">
        <f t="shared" si="24"/>
        <v>9.1655002195516833</v>
      </c>
      <c r="U85" s="864">
        <f t="shared" si="25"/>
        <v>0.16098264000000007</v>
      </c>
      <c r="V85" s="864">
        <f t="shared" si="25"/>
        <v>24.205554317999997</v>
      </c>
      <c r="W85" s="864" t="str">
        <f t="shared" si="30"/>
        <v/>
      </c>
      <c r="X85" s="1067">
        <f t="shared" si="26"/>
        <v>50.254060813779397</v>
      </c>
      <c r="Y85" s="826">
        <f>VLOOKUP(B85,'BD ASVICC'!$A$6:$Y$316,24,FALSE)</f>
        <v>1452</v>
      </c>
      <c r="Z85" s="826" t="str">
        <f t="shared" si="27"/>
        <v>b 1.000 a 5.000 hab.</v>
      </c>
      <c r="AA85" s="826">
        <f t="shared" si="28"/>
        <v>34610.234720233748</v>
      </c>
    </row>
    <row r="86" spans="1:27" s="826" customFormat="1" ht="45">
      <c r="A86" s="835">
        <v>8083</v>
      </c>
      <c r="B86" s="826" t="s">
        <v>1077</v>
      </c>
      <c r="C86" s="878">
        <f>VLOOKUP(A86,copcalor,'1b.Cops de calor'!P$1,FALSE)/1000000</f>
        <v>0.62412248635682432</v>
      </c>
      <c r="D86" s="879">
        <f>VLOOKUP($B86,'2b.Incendis forestals'!$B$4:$P$314,9,FALSE)/1000000</f>
        <v>3.5296720894464229E-2</v>
      </c>
      <c r="E86" s="878">
        <f>VLOOKUP($B86,'3b aigua'!$B$4:$K$314,8,FALSE)/1000000</f>
        <v>4.8347520227323724</v>
      </c>
      <c r="F86" s="879">
        <f t="shared" si="16"/>
        <v>4.3672525000000002</v>
      </c>
      <c r="G86" s="879">
        <f t="shared" si="17"/>
        <v>21.257496</v>
      </c>
      <c r="H86" s="879">
        <f t="shared" si="18"/>
        <v>0</v>
      </c>
      <c r="I86" s="878" t="str">
        <f>IF(VLOOKUP($A86,'7b erosió costa'!$A$4:$AP$401,9,FALSE)&gt;0,VLOOKUP($A86,'7b erosió costa'!$A$4:$AP$401,9,FALSE),"")</f>
        <v/>
      </c>
      <c r="J86" s="870">
        <f>VLOOKUP(A86,copcalor,'1b.Cops de calor'!Z$1,FALSE)/1000000</f>
        <v>3.5865636850780866</v>
      </c>
      <c r="K86" s="870">
        <f>VLOOKUP($B86,'2b.Incendis forestals'!$B$4:$P$314,14,FALSE)/1000000</f>
        <v>9.7065982459776642E-2</v>
      </c>
      <c r="L86" s="870">
        <f>VLOOKUP($B86,'3b aigua'!$B$4:$K$314,9,FALSE)/1000000</f>
        <v>6.9925545728316747</v>
      </c>
      <c r="M86" s="918">
        <f t="shared" si="19"/>
        <v>22.446868186921336</v>
      </c>
      <c r="N86" s="918">
        <f t="shared" si="20"/>
        <v>24.382347911999997</v>
      </c>
      <c r="O86" s="918">
        <f t="shared" si="21"/>
        <v>0</v>
      </c>
      <c r="P86" s="918" t="str">
        <f>IF(VLOOKUP($A86,'7b erosió costa'!$A$4:$AP$401,42,FALSE)&gt;0,VLOOKUP($A86,'7b erosió costa'!$A$4:$AP$401,42,FALSE),"")</f>
        <v/>
      </c>
      <c r="Q86" s="863">
        <f t="shared" si="29"/>
        <v>2.9624411987212622</v>
      </c>
      <c r="R86" s="864">
        <f t="shared" si="22"/>
        <v>6.1769261565312414E-2</v>
      </c>
      <c r="S86" s="863">
        <f t="shared" si="23"/>
        <v>2.1578025500993023</v>
      </c>
      <c r="T86" s="864">
        <f t="shared" si="24"/>
        <v>18.079615686921336</v>
      </c>
      <c r="U86" s="864">
        <f t="shared" si="25"/>
        <v>3.1248519119999969</v>
      </c>
      <c r="V86" s="864">
        <f t="shared" si="25"/>
        <v>0</v>
      </c>
      <c r="W86" s="864" t="str">
        <f t="shared" si="30"/>
        <v/>
      </c>
      <c r="X86" s="1067">
        <f t="shared" si="26"/>
        <v>26.38648060930721</v>
      </c>
      <c r="Y86" s="826">
        <f>VLOOKUP(B86,'BD ASVICC'!$A$6:$Y$316,24,FALSE)</f>
        <v>2298</v>
      </c>
      <c r="Z86" s="826" t="str">
        <f t="shared" si="27"/>
        <v>b 1.000 a 5.000 hab.</v>
      </c>
      <c r="AA86" s="826">
        <f t="shared" si="28"/>
        <v>11482.36754103882</v>
      </c>
    </row>
    <row r="87" spans="1:27" s="826" customFormat="1" ht="45">
      <c r="A87" s="835">
        <v>8084</v>
      </c>
      <c r="B87" s="826" t="s">
        <v>1078</v>
      </c>
      <c r="C87" s="878">
        <f>VLOOKUP(A87,copcalor,'1b.Cops de calor'!P$1,FALSE)/1000000</f>
        <v>1.4720375126825413</v>
      </c>
      <c r="D87" s="879">
        <f>VLOOKUP($B87,'2b.Incendis forestals'!$B$4:$P$314,9,FALSE)/1000000</f>
        <v>5.095059960982967</v>
      </c>
      <c r="E87" s="878">
        <f>VLOOKUP($B87,'3b aigua'!$B$4:$K$314,8,FALSE)/1000000</f>
        <v>4.8547659429619197</v>
      </c>
      <c r="F87" s="879">
        <f t="shared" si="16"/>
        <v>10.951011874999999</v>
      </c>
      <c r="G87" s="879">
        <f t="shared" si="17"/>
        <v>10.412766</v>
      </c>
      <c r="H87" s="879">
        <f t="shared" si="18"/>
        <v>0</v>
      </c>
      <c r="I87" s="878" t="str">
        <f>IF(VLOOKUP($A87,'7b erosió costa'!$A$4:$AP$401,9,FALSE)&gt;0,VLOOKUP($A87,'7b erosió costa'!$A$4:$AP$401,9,FALSE),"")</f>
        <v/>
      </c>
      <c r="J87" s="870">
        <f>VLOOKUP(A87,copcalor,'1b.Cops de calor'!Z$1,FALSE)/1000000</f>
        <v>8.0319247865321373</v>
      </c>
      <c r="K87" s="870">
        <f>VLOOKUP($B87,'2b.Incendis forestals'!$B$4:$P$314,14,FALSE)/1000000</f>
        <v>14.011414892703161</v>
      </c>
      <c r="L87" s="870">
        <f>VLOOKUP($B87,'3b aigua'!$B$4:$K$314,9,FALSE)/1000000</f>
        <v>7.0215009239089143</v>
      </c>
      <c r="M87" s="918">
        <f t="shared" si="19"/>
        <v>49.741534856713862</v>
      </c>
      <c r="N87" s="918">
        <f t="shared" si="20"/>
        <v>11.943442601999999</v>
      </c>
      <c r="O87" s="918">
        <f t="shared" si="21"/>
        <v>0</v>
      </c>
      <c r="P87" s="918" t="str">
        <f>IF(VLOOKUP($A87,'7b erosió costa'!$A$4:$AP$401,42,FALSE)&gt;0,VLOOKUP($A87,'7b erosió costa'!$A$4:$AP$401,42,FALSE),"")</f>
        <v/>
      </c>
      <c r="Q87" s="863">
        <f t="shared" si="29"/>
        <v>6.5598872738495961</v>
      </c>
      <c r="R87" s="864">
        <f t="shared" si="22"/>
        <v>8.9163549317201944</v>
      </c>
      <c r="S87" s="863">
        <f t="shared" si="23"/>
        <v>2.1667349809469947</v>
      </c>
      <c r="T87" s="864">
        <f t="shared" si="24"/>
        <v>38.790522981713863</v>
      </c>
      <c r="U87" s="864">
        <f t="shared" si="25"/>
        <v>1.5306766019999998</v>
      </c>
      <c r="V87" s="864">
        <f t="shared" si="25"/>
        <v>0</v>
      </c>
      <c r="W87" s="864" t="str">
        <f t="shared" si="30"/>
        <v/>
      </c>
      <c r="X87" s="1067">
        <f t="shared" si="26"/>
        <v>57.964176770230651</v>
      </c>
      <c r="Y87" s="826">
        <f>VLOOKUP(B87,'BD ASVICC'!$A$6:$Y$316,24,FALSE)</f>
        <v>1401</v>
      </c>
      <c r="Z87" s="826" t="str">
        <f t="shared" si="27"/>
        <v>b 1.000 a 5.000 hab.</v>
      </c>
      <c r="AA87" s="826">
        <f t="shared" si="28"/>
        <v>41373.430956624303</v>
      </c>
    </row>
    <row r="88" spans="1:27" s="826" customFormat="1" ht="45">
      <c r="A88" s="835">
        <v>8085</v>
      </c>
      <c r="B88" s="826" t="s">
        <v>1080</v>
      </c>
      <c r="C88" s="878">
        <f>VLOOKUP(A88,copcalor,'1b.Cops de calor'!P$1,FALSE)/1000000</f>
        <v>0.53748797844781893</v>
      </c>
      <c r="D88" s="879">
        <f>VLOOKUP($B88,'2b.Incendis forestals'!$B$4:$P$314,9,FALSE)/1000000</f>
        <v>1.3284765286594797</v>
      </c>
      <c r="E88" s="878">
        <f>VLOOKUP($B88,'3b aigua'!$B$4:$K$314,8,FALSE)/1000000</f>
        <v>3.0203013695244794</v>
      </c>
      <c r="F88" s="879">
        <f t="shared" si="16"/>
        <v>1.2477499999999999</v>
      </c>
      <c r="G88" s="879">
        <f t="shared" si="17"/>
        <v>8.3807100000000005</v>
      </c>
      <c r="H88" s="879">
        <f t="shared" si="18"/>
        <v>0</v>
      </c>
      <c r="I88" s="878" t="str">
        <f>IF(VLOOKUP($A88,'7b erosió costa'!$A$4:$AP$401,9,FALSE)&gt;0,VLOOKUP($A88,'7b erosió costa'!$A$4:$AP$401,9,FALSE),"")</f>
        <v/>
      </c>
      <c r="J88" s="870">
        <f>VLOOKUP(A88,copcalor,'1b.Cops de calor'!Z$1,FALSE)/1000000</f>
        <v>3.0814320084888518</v>
      </c>
      <c r="K88" s="870">
        <f>VLOOKUP($B88,'2b.Incendis forestals'!$B$4:$P$314,14,FALSE)/1000000</f>
        <v>3.6533104538135697</v>
      </c>
      <c r="L88" s="870">
        <f>VLOOKUP($B88,'3b aigua'!$B$4:$K$314,9,FALSE)/1000000</f>
        <v>4.3682948067442693</v>
      </c>
      <c r="M88" s="918">
        <f t="shared" si="19"/>
        <v>6.480798234955687</v>
      </c>
      <c r="N88" s="918">
        <f t="shared" si="20"/>
        <v>9.6126743700000006</v>
      </c>
      <c r="O88" s="918">
        <f t="shared" si="21"/>
        <v>0</v>
      </c>
      <c r="P88" s="918" t="str">
        <f>IF(VLOOKUP($A88,'7b erosió costa'!$A$4:$AP$401,42,FALSE)&gt;0,VLOOKUP($A88,'7b erosió costa'!$A$4:$AP$401,42,FALSE),"")</f>
        <v/>
      </c>
      <c r="Q88" s="863">
        <f t="shared" si="29"/>
        <v>2.543944030041033</v>
      </c>
      <c r="R88" s="864">
        <f t="shared" si="22"/>
        <v>2.3248339251540902</v>
      </c>
      <c r="S88" s="863">
        <f t="shared" si="23"/>
        <v>1.3479934372197899</v>
      </c>
      <c r="T88" s="864">
        <f t="shared" si="24"/>
        <v>5.2330482349556871</v>
      </c>
      <c r="U88" s="864">
        <f t="shared" si="25"/>
        <v>1.23196437</v>
      </c>
      <c r="V88" s="864">
        <f t="shared" si="25"/>
        <v>0</v>
      </c>
      <c r="W88" s="864" t="str">
        <f t="shared" si="30"/>
        <v/>
      </c>
      <c r="X88" s="1067">
        <f t="shared" si="26"/>
        <v>12.6817839973706</v>
      </c>
      <c r="Y88" s="826">
        <f>VLOOKUP(B88,'BD ASVICC'!$A$6:$Y$316,24,FALSE)</f>
        <v>1363</v>
      </c>
      <c r="Z88" s="826" t="str">
        <f t="shared" si="27"/>
        <v>b 1.000 a 5.000 hab.</v>
      </c>
      <c r="AA88" s="826">
        <f t="shared" si="28"/>
        <v>9304.3169459798955</v>
      </c>
    </row>
    <row r="89" spans="1:27" s="826" customFormat="1" ht="45">
      <c r="A89" s="835">
        <v>8086</v>
      </c>
      <c r="B89" s="826" t="s">
        <v>1084</v>
      </c>
      <c r="C89" s="878">
        <f>VLOOKUP(A89,copcalor,'1b.Cops de calor'!P$1,FALSE)/1000000</f>
        <v>2.7712573321642786</v>
      </c>
      <c r="D89" s="879">
        <f>VLOOKUP($B89,'2b.Incendis forestals'!$B$4:$P$314,9,FALSE)/1000000</f>
        <v>0.27425614225444089</v>
      </c>
      <c r="E89" s="878">
        <f>VLOOKUP($B89,'3b aigua'!$B$4:$K$314,8,FALSE)/1000000</f>
        <v>25.711958629446023</v>
      </c>
      <c r="F89" s="879">
        <f t="shared" si="16"/>
        <v>10.487852500000001</v>
      </c>
      <c r="G89" s="879">
        <f t="shared" si="17"/>
        <v>13.129272</v>
      </c>
      <c r="H89" s="879">
        <f t="shared" si="18"/>
        <v>3.9304048641000002</v>
      </c>
      <c r="I89" s="878" t="str">
        <f>IF(VLOOKUP($A89,'7b erosió costa'!$A$4:$AP$401,9,FALSE)&gt;0,VLOOKUP($A89,'7b erosió costa'!$A$4:$AP$401,9,FALSE),"")</f>
        <v/>
      </c>
      <c r="J89" s="870">
        <f>VLOOKUP(A89,copcalor,'1b.Cops de calor'!Z$1,FALSE)/1000000</f>
        <v>15.190902398204612</v>
      </c>
      <c r="K89" s="870">
        <f>VLOOKUP($B89,'2b.Incendis forestals'!$B$4:$P$314,14,FALSE)/1000000</f>
        <v>0.7542043911997125</v>
      </c>
      <c r="L89" s="870">
        <f>VLOOKUP($B89,'3b aigua'!$B$4:$K$314,9,FALSE)/1000000</f>
        <v>47.236507049801382</v>
      </c>
      <c r="M89" s="918">
        <f t="shared" si="19"/>
        <v>67.243978712001876</v>
      </c>
      <c r="N89" s="918">
        <f t="shared" si="20"/>
        <v>15.059274984</v>
      </c>
      <c r="O89" s="918">
        <f t="shared" si="21"/>
        <v>8.2686799984500006</v>
      </c>
      <c r="P89" s="918" t="str">
        <f>IF(VLOOKUP($A89,'7b erosió costa'!$A$4:$AP$401,42,FALSE)&gt;0,VLOOKUP($A89,'7b erosió costa'!$A$4:$AP$401,42,FALSE),"")</f>
        <v/>
      </c>
      <c r="Q89" s="863">
        <f t="shared" si="29"/>
        <v>12.419645066040333</v>
      </c>
      <c r="R89" s="864">
        <f t="shared" si="22"/>
        <v>0.4799482489452716</v>
      </c>
      <c r="S89" s="863">
        <f t="shared" si="23"/>
        <v>21.524548420355359</v>
      </c>
      <c r="T89" s="864">
        <f t="shared" si="24"/>
        <v>56.756126212001874</v>
      </c>
      <c r="U89" s="864">
        <f t="shared" si="25"/>
        <v>1.9300029839999997</v>
      </c>
      <c r="V89" s="864">
        <f t="shared" si="25"/>
        <v>4.3382751343500008</v>
      </c>
      <c r="W89" s="864" t="str">
        <f t="shared" si="30"/>
        <v/>
      </c>
      <c r="X89" s="1067">
        <f t="shared" si="26"/>
        <v>97.448546065692838</v>
      </c>
      <c r="Y89" s="826">
        <f>VLOOKUP(B89,'BD ASVICC'!$A$6:$Y$316,24,FALSE)</f>
        <v>19417</v>
      </c>
      <c r="Z89" s="826" t="str">
        <f t="shared" si="27"/>
        <v>c 5.000 a 20.000 hab.</v>
      </c>
      <c r="AA89" s="826">
        <f t="shared" si="28"/>
        <v>5018.7230810986684</v>
      </c>
    </row>
    <row r="90" spans="1:27" s="826" customFormat="1" ht="30">
      <c r="A90" s="835">
        <v>8087</v>
      </c>
      <c r="B90" s="826" t="s">
        <v>1087</v>
      </c>
      <c r="C90" s="878">
        <f>VLOOKUP(A90,copcalor,'1b.Cops de calor'!P$1,FALSE)/1000000</f>
        <v>1.8341435713591207E-2</v>
      </c>
      <c r="D90" s="879">
        <f>VLOOKUP($B90,'2b.Incendis forestals'!$B$4:$P$314,9,FALSE)/1000000</f>
        <v>1.8087124293983512</v>
      </c>
      <c r="E90" s="878">
        <f>VLOOKUP($B90,'3b aigua'!$B$4:$K$314,8,FALSE)/1000000</f>
        <v>0.31129911154986661</v>
      </c>
      <c r="F90" s="879">
        <f t="shared" si="16"/>
        <v>0.34584750000000003</v>
      </c>
      <c r="G90" s="879">
        <f t="shared" si="17"/>
        <v>6.0591783286321607E-3</v>
      </c>
      <c r="H90" s="879">
        <f t="shared" si="18"/>
        <v>0</v>
      </c>
      <c r="I90" s="878" t="str">
        <f>IF(VLOOKUP($A90,'7b erosió costa'!$A$4:$AP$401,9,FALSE)&gt;0,VLOOKUP($A90,'7b erosió costa'!$A$4:$AP$401,9,FALSE),"")</f>
        <v/>
      </c>
      <c r="J90" s="870">
        <f>VLOOKUP(A90,copcalor,'1b.Cops de calor'!Z$1,FALSE)/1000000</f>
        <v>0.10730119069999593</v>
      </c>
      <c r="K90" s="870">
        <f>VLOOKUP($B90,'2b.Incendis forestals'!$B$4:$P$314,14,FALSE)/1000000</f>
        <v>4.9739591808454655</v>
      </c>
      <c r="L90" s="870">
        <f>VLOOKUP($B90,'3b aigua'!$B$4:$K$314,9,FALSE)/1000000</f>
        <v>0.45023529971165854</v>
      </c>
      <c r="M90" s="918">
        <f t="shared" si="19"/>
        <v>1.7234871101989271</v>
      </c>
      <c r="N90" s="918">
        <f t="shared" si="20"/>
        <v>6.9498775429410881E-3</v>
      </c>
      <c r="O90" s="918">
        <f t="shared" si="21"/>
        <v>0</v>
      </c>
      <c r="P90" s="918" t="str">
        <f>IF(VLOOKUP($A90,'7b erosió costa'!$A$4:$AP$401,42,FALSE)&gt;0,VLOOKUP($A90,'7b erosió costa'!$A$4:$AP$401,42,FALSE),"")</f>
        <v/>
      </c>
      <c r="Q90" s="863">
        <f t="shared" si="29"/>
        <v>8.8959754986404724E-2</v>
      </c>
      <c r="R90" s="864">
        <f t="shared" si="22"/>
        <v>3.1652467514471141</v>
      </c>
      <c r="S90" s="863">
        <f t="shared" si="23"/>
        <v>0.13893618816179193</v>
      </c>
      <c r="T90" s="864">
        <f t="shared" si="24"/>
        <v>1.377639610198927</v>
      </c>
      <c r="U90" s="864">
        <f t="shared" si="25"/>
        <v>8.9069921430892738E-4</v>
      </c>
      <c r="V90" s="864">
        <f t="shared" si="25"/>
        <v>0</v>
      </c>
      <c r="W90" s="864" t="str">
        <f t="shared" si="30"/>
        <v/>
      </c>
      <c r="X90" s="1067">
        <f t="shared" si="26"/>
        <v>4.7716730040085462</v>
      </c>
      <c r="Y90" s="826">
        <f>VLOOKUP(B90,'BD ASVICC'!$A$6:$Y$316,24,FALSE)</f>
        <v>187</v>
      </c>
      <c r="Z90" s="826" t="str">
        <f t="shared" si="27"/>
        <v>a &lt; 1.000 hab.</v>
      </c>
      <c r="AA90" s="826">
        <f t="shared" si="28"/>
        <v>25516.967935874582</v>
      </c>
    </row>
    <row r="91" spans="1:27" s="826" customFormat="1" ht="45">
      <c r="A91" s="835">
        <v>8088</v>
      </c>
      <c r="B91" s="826" t="s">
        <v>1091</v>
      </c>
      <c r="C91" s="878">
        <f>VLOOKUP(A91,copcalor,'1b.Cops de calor'!P$1,FALSE)/1000000</f>
        <v>4.016682261867774</v>
      </c>
      <c r="D91" s="879">
        <f>VLOOKUP($B91,'2b.Incendis forestals'!$B$4:$P$314,9,FALSE)/1000000</f>
        <v>0.36567485633925445</v>
      </c>
      <c r="E91" s="878">
        <f>VLOOKUP($B91,'3b aigua'!$B$4:$K$314,8,FALSE)/1000000</f>
        <v>32.685311666620912</v>
      </c>
      <c r="F91" s="879">
        <f t="shared" si="16"/>
        <v>1.307814375</v>
      </c>
      <c r="G91" s="879">
        <f t="shared" si="17"/>
        <v>0.16122600000000001</v>
      </c>
      <c r="H91" s="879">
        <f t="shared" si="18"/>
        <v>71.513712658650007</v>
      </c>
      <c r="I91" s="878" t="str">
        <f>IF(VLOOKUP($A91,'7b erosió costa'!$A$4:$AP$401,9,FALSE)&gt;0,VLOOKUP($A91,'7b erosió costa'!$A$4:$AP$401,9,FALSE),"")</f>
        <v/>
      </c>
      <c r="J91" s="870">
        <f>VLOOKUP(A91,copcalor,'1b.Cops de calor'!Z$1,FALSE)/1000000</f>
        <v>22.66434886571497</v>
      </c>
      <c r="K91" s="870">
        <f>VLOOKUP($B91,'2b.Incendis forestals'!$B$4:$P$314,14,FALSE)/1000000</f>
        <v>1.0056058549329498</v>
      </c>
      <c r="L91" s="870">
        <f>VLOOKUP($B91,'3b aigua'!$B$4:$K$314,9,FALSE)/1000000</f>
        <v>60.047543526969299</v>
      </c>
      <c r="M91" s="918">
        <f t="shared" si="19"/>
        <v>10.425874991575427</v>
      </c>
      <c r="N91" s="918">
        <f t="shared" si="20"/>
        <v>0.184926222</v>
      </c>
      <c r="O91" s="918">
        <f t="shared" si="21"/>
        <v>149.15279904675</v>
      </c>
      <c r="P91" s="918" t="str">
        <f>IF(VLOOKUP($A91,'7b erosió costa'!$A$4:$AP$401,42,FALSE)&gt;0,VLOOKUP($A91,'7b erosió costa'!$A$4:$AP$401,42,FALSE),"")</f>
        <v/>
      </c>
      <c r="Q91" s="863">
        <f t="shared" si="29"/>
        <v>18.647666603847195</v>
      </c>
      <c r="R91" s="864">
        <f t="shared" si="22"/>
        <v>0.6399309985936954</v>
      </c>
      <c r="S91" s="863">
        <f t="shared" si="23"/>
        <v>27.362231860348388</v>
      </c>
      <c r="T91" s="864">
        <f t="shared" si="24"/>
        <v>9.118060616575427</v>
      </c>
      <c r="U91" s="864">
        <f t="shared" si="25"/>
        <v>2.3700221999999993E-2</v>
      </c>
      <c r="V91" s="864">
        <f t="shared" si="25"/>
        <v>77.639086388099997</v>
      </c>
      <c r="W91" s="864" t="str">
        <f t="shared" si="30"/>
        <v/>
      </c>
      <c r="X91" s="1067">
        <f t="shared" si="26"/>
        <v>133.43067668946469</v>
      </c>
      <c r="Y91" s="826">
        <f>VLOOKUP(B91,'BD ASVICC'!$A$6:$Y$316,24,FALSE)</f>
        <v>15912</v>
      </c>
      <c r="Z91" s="826" t="str">
        <f t="shared" si="27"/>
        <v>c 5.000 a 20.000 hab.</v>
      </c>
      <c r="AA91" s="826">
        <f t="shared" si="28"/>
        <v>8385.5377507205067</v>
      </c>
    </row>
    <row r="92" spans="1:27" s="826" customFormat="1" ht="45">
      <c r="A92" s="835">
        <v>8089</v>
      </c>
      <c r="B92" s="826" t="s">
        <v>342</v>
      </c>
      <c r="C92" s="878">
        <f>VLOOKUP(A92,copcalor,'1b.Cops de calor'!P$1,FALSE)/1000000</f>
        <v>41.146188997702616</v>
      </c>
      <c r="D92" s="879">
        <f>VLOOKUP($B92,'2b.Incendis forestals'!$B$4:$P$314,9,FALSE)/1000000</f>
        <v>2.0868573044745777</v>
      </c>
      <c r="E92" s="878">
        <f>VLOOKUP($B92,'3b aigua'!$B$4:$K$314,8,FALSE)/1000000</f>
        <v>123.774479587344</v>
      </c>
      <c r="F92" s="879">
        <f t="shared" si="16"/>
        <v>4.2022049999999993</v>
      </c>
      <c r="G92" s="879">
        <f t="shared" si="17"/>
        <v>0.95518799999999993</v>
      </c>
      <c r="H92" s="879">
        <f t="shared" si="18"/>
        <v>156.8265383028</v>
      </c>
      <c r="I92" s="878" t="str">
        <f>IF(VLOOKUP($A92,'7b erosió costa'!$A$4:$AP$401,9,FALSE)&gt;0,VLOOKUP($A92,'7b erosió costa'!$A$4:$AP$401,9,FALSE),"")</f>
        <v>guanya sorra</v>
      </c>
      <c r="J92" s="870">
        <f>VLOOKUP(A92,copcalor,'1b.Cops de calor'!Z$1,FALSE)/1000000</f>
        <v>241.77815639622835</v>
      </c>
      <c r="K92" s="870">
        <f>VLOOKUP($B92,'2b.Incendis forestals'!$B$4:$P$314,14,FALSE)/1000000</f>
        <v>5.7388575873050884</v>
      </c>
      <c r="L92" s="870">
        <f>VLOOKUP($B92,'3b aigua'!$B$4:$K$314,9,FALSE)/1000000</f>
        <v>227.39123696773936</v>
      </c>
      <c r="M92" s="918">
        <f t="shared" si="19"/>
        <v>40.051612436079616</v>
      </c>
      <c r="N92" s="918">
        <f t="shared" si="20"/>
        <v>1.0956006359999999</v>
      </c>
      <c r="O92" s="918">
        <f t="shared" si="21"/>
        <v>405.87146413230005</v>
      </c>
      <c r="P92" s="918" t="str">
        <f>IF(VLOOKUP($A92,'7b erosió costa'!$A$4:$AP$401,42,FALSE)&gt;0,VLOOKUP($A92,'7b erosió costa'!$A$4:$AP$401,42,FALSE),"")</f>
        <v>No hi ha pèrdua</v>
      </c>
      <c r="Q92" s="863">
        <f t="shared" si="29"/>
        <v>200.63196739852575</v>
      </c>
      <c r="R92" s="864">
        <f t="shared" si="22"/>
        <v>3.6520002828305107</v>
      </c>
      <c r="S92" s="863">
        <f t="shared" si="23"/>
        <v>103.61675738039536</v>
      </c>
      <c r="T92" s="864">
        <f t="shared" si="24"/>
        <v>35.849407436079616</v>
      </c>
      <c r="U92" s="864">
        <f t="shared" si="25"/>
        <v>0.14041263599999998</v>
      </c>
      <c r="V92" s="864">
        <f t="shared" si="25"/>
        <v>249.04492582950004</v>
      </c>
      <c r="W92" s="864" t="str">
        <f t="shared" si="30"/>
        <v/>
      </c>
      <c r="X92" s="1067">
        <f t="shared" si="26"/>
        <v>592.93547096333123</v>
      </c>
      <c r="Y92" s="826">
        <f>VLOOKUP(B92,'BD ASVICC'!$A$6:$Y$316,24,FALSE)</f>
        <v>46266</v>
      </c>
      <c r="Z92" s="826" t="str">
        <f t="shared" si="27"/>
        <v>d 20.000 a 50.000 hab.</v>
      </c>
      <c r="AA92" s="826">
        <f t="shared" si="28"/>
        <v>12815.792827634359</v>
      </c>
    </row>
    <row r="93" spans="1:27" s="826" customFormat="1" ht="30">
      <c r="A93" s="835">
        <v>8090</v>
      </c>
      <c r="B93" s="826" t="s">
        <v>1100</v>
      </c>
      <c r="C93" s="878">
        <f>VLOOKUP(A93,copcalor,'1b.Cops de calor'!P$1,FALSE)/1000000</f>
        <v>5.9799737197191047E-2</v>
      </c>
      <c r="D93" s="879">
        <f>VLOOKUP($B93,'2b.Incendis forestals'!$B$4:$P$314,9,FALSE)/1000000</f>
        <v>5.3593094241133636</v>
      </c>
      <c r="E93" s="878">
        <f>VLOOKUP($B93,'3b aigua'!$B$4:$K$314,8,FALSE)/1000000</f>
        <v>1.75938419814112</v>
      </c>
      <c r="F93" s="879">
        <f t="shared" si="16"/>
        <v>3.8671443749999996</v>
      </c>
      <c r="G93" s="879">
        <f t="shared" si="17"/>
        <v>11.240189999999998</v>
      </c>
      <c r="H93" s="879">
        <f t="shared" si="18"/>
        <v>4.4315822999999997E-2</v>
      </c>
      <c r="I93" s="878" t="str">
        <f>IF(VLOOKUP($A93,'7b erosió costa'!$A$4:$AP$401,9,FALSE)&gt;0,VLOOKUP($A93,'7b erosió costa'!$A$4:$AP$401,9,FALSE),"")</f>
        <v/>
      </c>
      <c r="J93" s="870">
        <f>VLOOKUP(A93,copcalor,'1b.Cops de calor'!Z$1,FALSE)/1000000</f>
        <v>0.28547946433823074</v>
      </c>
      <c r="K93" s="870">
        <f>VLOOKUP($B93,'2b.Incendis forestals'!$B$4:$P$314,14,FALSE)/1000000</f>
        <v>14.738100916311749</v>
      </c>
      <c r="L93" s="870">
        <f>VLOOKUP($B93,'3b aigua'!$B$4:$K$314,9,FALSE)/1000000</f>
        <v>2.544616551631667</v>
      </c>
      <c r="M93" s="918">
        <f t="shared" si="19"/>
        <v>17.045496981314418</v>
      </c>
      <c r="N93" s="918">
        <f t="shared" si="20"/>
        <v>12.892497929999998</v>
      </c>
      <c r="O93" s="918">
        <f t="shared" si="21"/>
        <v>4.9831501800000004E-2</v>
      </c>
      <c r="P93" s="918" t="str">
        <f>IF(VLOOKUP($A93,'7b erosió costa'!$A$4:$AP$401,42,FALSE)&gt;0,VLOOKUP($A93,'7b erosió costa'!$A$4:$AP$401,42,FALSE),"")</f>
        <v/>
      </c>
      <c r="Q93" s="863">
        <f t="shared" si="29"/>
        <v>0.22567972714103968</v>
      </c>
      <c r="R93" s="864">
        <f t="shared" si="22"/>
        <v>9.3787914921983848</v>
      </c>
      <c r="S93" s="863">
        <f t="shared" si="23"/>
        <v>0.78523235349054699</v>
      </c>
      <c r="T93" s="864">
        <f t="shared" si="24"/>
        <v>13.178352606314419</v>
      </c>
      <c r="U93" s="864">
        <f t="shared" si="25"/>
        <v>1.6523079299999992</v>
      </c>
      <c r="V93" s="864">
        <f t="shared" si="25"/>
        <v>5.5156788000000068E-3</v>
      </c>
      <c r="W93" s="864" t="str">
        <f t="shared" si="30"/>
        <v/>
      </c>
      <c r="X93" s="1067">
        <f t="shared" si="26"/>
        <v>25.22587978794439</v>
      </c>
      <c r="Y93" s="826">
        <f>VLOOKUP(B93,'BD ASVICC'!$A$6:$Y$316,24,FALSE)</f>
        <v>160</v>
      </c>
      <c r="Z93" s="826" t="str">
        <f t="shared" si="27"/>
        <v>a &lt; 1.000 hab.</v>
      </c>
      <c r="AA93" s="826">
        <f t="shared" si="28"/>
        <v>157661.74867465245</v>
      </c>
    </row>
    <row r="94" spans="1:27" s="826" customFormat="1" ht="45">
      <c r="A94" s="835">
        <v>8091</v>
      </c>
      <c r="B94" s="826" t="s">
        <v>1102</v>
      </c>
      <c r="C94" s="878">
        <f>VLOOKUP(A94,copcalor,'1b.Cops de calor'!P$1,FALSE)/1000000</f>
        <v>1.3546517117135033</v>
      </c>
      <c r="D94" s="879">
        <f>VLOOKUP($B94,'2b.Incendis forestals'!$B$4:$P$314,9,FALSE)/1000000</f>
        <v>1.6990114094996958</v>
      </c>
      <c r="E94" s="878">
        <f>VLOOKUP($B94,'3b aigua'!$B$4:$K$314,8,FALSE)/1000000</f>
        <v>23.223809431704645</v>
      </c>
      <c r="F94" s="879">
        <f t="shared" si="16"/>
        <v>0.36631437499999997</v>
      </c>
      <c r="G94" s="879">
        <f t="shared" si="17"/>
        <v>1.2168E-2</v>
      </c>
      <c r="H94" s="879">
        <f t="shared" si="18"/>
        <v>18.7275834609</v>
      </c>
      <c r="I94" s="878" t="str">
        <f>IF(VLOOKUP($A94,'7b erosió costa'!$A$4:$AP$401,9,FALSE)&gt;0,VLOOKUP($A94,'7b erosió costa'!$A$4:$AP$401,9,FALSE),"")</f>
        <v/>
      </c>
      <c r="J94" s="870">
        <f>VLOOKUP(A94,copcalor,'1b.Cops de calor'!Z$1,FALSE)/1000000</f>
        <v>7.5396900874291939</v>
      </c>
      <c r="K94" s="870">
        <f>VLOOKUP($B94,'2b.Incendis forestals'!$B$4:$P$314,14,FALSE)/1000000</f>
        <v>4.6722813761241628</v>
      </c>
      <c r="L94" s="870">
        <f>VLOOKUP($B94,'3b aigua'!$B$4:$K$314,9,FALSE)/1000000</f>
        <v>42.665424822503915</v>
      </c>
      <c r="M94" s="918">
        <f t="shared" si="19"/>
        <v>3.9632957656868619</v>
      </c>
      <c r="N94" s="918">
        <f t="shared" si="20"/>
        <v>1.3956695999999998E-2</v>
      </c>
      <c r="O94" s="918">
        <f t="shared" si="21"/>
        <v>20.952084200399998</v>
      </c>
      <c r="P94" s="918" t="str">
        <f>IF(VLOOKUP($A94,'7b erosió costa'!$A$4:$AP$401,42,FALSE)&gt;0,VLOOKUP($A94,'7b erosió costa'!$A$4:$AP$401,42,FALSE),"")</f>
        <v/>
      </c>
      <c r="Q94" s="863">
        <f t="shared" si="29"/>
        <v>6.1850383757156902</v>
      </c>
      <c r="R94" s="864">
        <f t="shared" si="22"/>
        <v>2.9732699666244669</v>
      </c>
      <c r="S94" s="863">
        <f t="shared" si="23"/>
        <v>19.441615390799271</v>
      </c>
      <c r="T94" s="864">
        <f t="shared" si="24"/>
        <v>3.596981390686862</v>
      </c>
      <c r="U94" s="864">
        <f t="shared" si="25"/>
        <v>1.7886959999999976E-3</v>
      </c>
      <c r="V94" s="864">
        <f t="shared" si="25"/>
        <v>2.224500739499998</v>
      </c>
      <c r="W94" s="864" t="str">
        <f t="shared" si="30"/>
        <v/>
      </c>
      <c r="X94" s="1067">
        <f t="shared" si="26"/>
        <v>34.423194559326291</v>
      </c>
      <c r="Y94" s="826">
        <f>VLOOKUP(B94,'BD ASVICC'!$A$6:$Y$316,24,FALSE)</f>
        <v>7238</v>
      </c>
      <c r="Z94" s="826" t="str">
        <f t="shared" si="27"/>
        <v>c 5.000 a 20.000 hab.</v>
      </c>
      <c r="AA94" s="826">
        <f t="shared" si="28"/>
        <v>4755.8986680472908</v>
      </c>
    </row>
    <row r="95" spans="1:27" s="826" customFormat="1" ht="45">
      <c r="A95" s="835">
        <v>8092</v>
      </c>
      <c r="B95" s="826" t="s">
        <v>1104</v>
      </c>
      <c r="C95" s="878">
        <f>VLOOKUP(A95,copcalor,'1b.Cops de calor'!P$1,FALSE)/1000000</f>
        <v>0.55014887464063278</v>
      </c>
      <c r="D95" s="879">
        <f>VLOOKUP($B95,'2b.Incendis forestals'!$B$4:$P$314,9,FALSE)/1000000</f>
        <v>0.20822454281854419</v>
      </c>
      <c r="E95" s="878">
        <f>VLOOKUP($B95,'3b aigua'!$B$4:$K$314,8,FALSE)/1000000</f>
        <v>6.2098158026219741</v>
      </c>
      <c r="F95" s="879">
        <f t="shared" si="16"/>
        <v>1.5757299999999999</v>
      </c>
      <c r="G95" s="879">
        <f t="shared" si="17"/>
        <v>8.8278839999999992</v>
      </c>
      <c r="H95" s="879">
        <f t="shared" si="18"/>
        <v>21.101229089850001</v>
      </c>
      <c r="I95" s="878" t="str">
        <f>IF(VLOOKUP($A95,'7b erosió costa'!$A$4:$AP$401,9,FALSE)&gt;0,VLOOKUP($A95,'7b erosió costa'!$A$4:$AP$401,9,FALSE),"")</f>
        <v/>
      </c>
      <c r="J95" s="870">
        <f>VLOOKUP(A95,copcalor,'1b.Cops de calor'!Z$1,FALSE)/1000000</f>
        <v>2.9674489178024381</v>
      </c>
      <c r="K95" s="870">
        <f>VLOOKUP($B95,'2b.Incendis forestals'!$B$4:$P$314,14,FALSE)/1000000</f>
        <v>0.5726174927509966</v>
      </c>
      <c r="L95" s="870">
        <f>VLOOKUP($B95,'3b aigua'!$B$4:$K$314,9,FALSE)/1000000</f>
        <v>8.9813243125810533</v>
      </c>
      <c r="M95" s="918">
        <f t="shared" si="19"/>
        <v>8.8426825979996657</v>
      </c>
      <c r="N95" s="918">
        <f t="shared" si="20"/>
        <v>10.125582948</v>
      </c>
      <c r="O95" s="918">
        <f t="shared" si="21"/>
        <v>25.069786771350003</v>
      </c>
      <c r="P95" s="918" t="str">
        <f>IF(VLOOKUP($A95,'7b erosió costa'!$A$4:$AP$401,42,FALSE)&gt;0,VLOOKUP($A95,'7b erosió costa'!$A$4:$AP$401,42,FALSE),"")</f>
        <v/>
      </c>
      <c r="Q95" s="863">
        <f t="shared" si="29"/>
        <v>2.4173000431618052</v>
      </c>
      <c r="R95" s="864">
        <f t="shared" si="22"/>
        <v>0.36439294993245241</v>
      </c>
      <c r="S95" s="863">
        <f t="shared" si="23"/>
        <v>2.7715085099590793</v>
      </c>
      <c r="T95" s="864">
        <f t="shared" si="24"/>
        <v>7.2669525979996656</v>
      </c>
      <c r="U95" s="864">
        <f t="shared" si="25"/>
        <v>1.2976989480000007</v>
      </c>
      <c r="V95" s="864">
        <f t="shared" si="25"/>
        <v>3.9685576815000019</v>
      </c>
      <c r="W95" s="864" t="str">
        <f t="shared" si="30"/>
        <v/>
      </c>
      <c r="X95" s="1067">
        <f t="shared" si="26"/>
        <v>18.086410730553006</v>
      </c>
      <c r="Y95" s="826">
        <f>VLOOKUP(B95,'BD ASVICC'!$A$6:$Y$316,24,FALSE)</f>
        <v>4829</v>
      </c>
      <c r="Z95" s="826" t="str">
        <f t="shared" si="27"/>
        <v>b 1.000 a 5.000 hab.</v>
      </c>
      <c r="AA95" s="826">
        <f t="shared" si="28"/>
        <v>3745.3739346765387</v>
      </c>
    </row>
    <row r="96" spans="1:27" s="826" customFormat="1" ht="30">
      <c r="A96" s="835">
        <v>8093</v>
      </c>
      <c r="B96" s="826" t="s">
        <v>1105</v>
      </c>
      <c r="C96" s="878">
        <f>VLOOKUP(A96,copcalor,'1b.Cops de calor'!P$1,FALSE)/1000000</f>
        <v>0</v>
      </c>
      <c r="D96" s="879">
        <f>VLOOKUP($B96,'2b.Incendis forestals'!$B$4:$P$314,9,FALSE)/1000000</f>
        <v>3.1511314146539693</v>
      </c>
      <c r="E96" s="878">
        <f>VLOOKUP($B96,'3b aigua'!$B$4:$K$314,8,FALSE)/1000000</f>
        <v>1.0608467760426668E-2</v>
      </c>
      <c r="F96" s="879">
        <f t="shared" si="16"/>
        <v>0</v>
      </c>
      <c r="G96" s="879">
        <f t="shared" si="17"/>
        <v>8.2309646839817174E-2</v>
      </c>
      <c r="H96" s="879">
        <f t="shared" si="18"/>
        <v>0</v>
      </c>
      <c r="I96" s="878" t="str">
        <f>IF(VLOOKUP($A96,'7b erosió costa'!$A$4:$AP$401,9,FALSE)&gt;0,VLOOKUP($A96,'7b erosió costa'!$A$4:$AP$401,9,FALSE),"")</f>
        <v/>
      </c>
      <c r="J96" s="870">
        <f>VLOOKUP(A96,copcalor,'1b.Cops de calor'!Z$1,FALSE)/1000000</f>
        <v>0</v>
      </c>
      <c r="K96" s="870">
        <f>VLOOKUP($B96,'2b.Incendis forestals'!$B$4:$P$314,14,FALSE)/1000000</f>
        <v>8.665611390298416</v>
      </c>
      <c r="L96" s="870">
        <f>VLOOKUP($B96,'3b aigua'!$B$4:$K$314,9,FALSE)/1000000</f>
        <v>1.5343142605892269E-2</v>
      </c>
      <c r="M96" s="918">
        <f t="shared" si="19"/>
        <v>6.2424576989515666E-2</v>
      </c>
      <c r="N96" s="918">
        <f t="shared" si="20"/>
        <v>9.4409164925270295E-2</v>
      </c>
      <c r="O96" s="918">
        <f t="shared" si="21"/>
        <v>0</v>
      </c>
      <c r="P96" s="918" t="str">
        <f>IF(VLOOKUP($A96,'7b erosió costa'!$A$4:$AP$401,42,FALSE)&gt;0,VLOOKUP($A96,'7b erosió costa'!$A$4:$AP$401,42,FALSE),"")</f>
        <v/>
      </c>
      <c r="Q96" s="863">
        <f t="shared" si="29"/>
        <v>0</v>
      </c>
      <c r="R96" s="864">
        <f t="shared" si="22"/>
        <v>5.5144799756444467</v>
      </c>
      <c r="S96" s="863">
        <f t="shared" si="23"/>
        <v>4.7346748454656015E-3</v>
      </c>
      <c r="T96" s="864">
        <f t="shared" si="24"/>
        <v>6.2424576989515666E-2</v>
      </c>
      <c r="U96" s="864">
        <f t="shared" si="25"/>
        <v>1.209951808545312E-2</v>
      </c>
      <c r="V96" s="864">
        <f t="shared" si="25"/>
        <v>0</v>
      </c>
      <c r="W96" s="864" t="str">
        <f t="shared" si="30"/>
        <v/>
      </c>
      <c r="X96" s="1067">
        <f t="shared" si="26"/>
        <v>5.593738745564881</v>
      </c>
      <c r="Y96" s="826">
        <f>VLOOKUP(B96,'BD ASVICC'!$A$6:$Y$316,24,FALSE)</f>
        <v>29</v>
      </c>
      <c r="Z96" s="826" t="str">
        <f t="shared" si="27"/>
        <v>a &lt; 1.000 hab.</v>
      </c>
      <c r="AA96" s="826">
        <f t="shared" si="28"/>
        <v>192887.54295051313</v>
      </c>
    </row>
    <row r="97" spans="1:27" s="826" customFormat="1" ht="45">
      <c r="A97" s="835">
        <v>8094</v>
      </c>
      <c r="B97" s="826" t="s">
        <v>1108</v>
      </c>
      <c r="C97" s="878">
        <f>VLOOKUP(A97,copcalor,'1b.Cops de calor'!P$1,FALSE)/1000000</f>
        <v>0.24335468005766092</v>
      </c>
      <c r="D97" s="879">
        <f>VLOOKUP($B97,'2b.Incendis forestals'!$B$4:$P$314,9,FALSE)/1000000</f>
        <v>3.8143296557081048E-2</v>
      </c>
      <c r="E97" s="878">
        <f>VLOOKUP($B97,'3b aigua'!$B$4:$K$314,8,FALSE)/1000000</f>
        <v>3.1676160316844792</v>
      </c>
      <c r="F97" s="879">
        <f t="shared" si="16"/>
        <v>0.34936999999999996</v>
      </c>
      <c r="G97" s="879">
        <f t="shared" si="17"/>
        <v>0.40154399999999996</v>
      </c>
      <c r="H97" s="879">
        <f t="shared" si="18"/>
        <v>0</v>
      </c>
      <c r="I97" s="878" t="str">
        <f>IF(VLOOKUP($A97,'7b erosió costa'!$A$4:$AP$401,9,FALSE)&gt;0,VLOOKUP($A97,'7b erosió costa'!$A$4:$AP$401,9,FALSE),"")</f>
        <v/>
      </c>
      <c r="J97" s="870">
        <f>VLOOKUP(A97,copcalor,'1b.Cops de calor'!Z$1,FALSE)/1000000</f>
        <v>1.3635757615908499</v>
      </c>
      <c r="K97" s="870">
        <f>VLOOKUP($B97,'2b.Incendis forestals'!$B$4:$P$314,14,FALSE)/1000000</f>
        <v>0.10489406553197288</v>
      </c>
      <c r="L97" s="870">
        <f>VLOOKUP($B97,'3b aigua'!$B$4:$K$314,9,FALSE)/1000000</f>
        <v>5.819358967090543</v>
      </c>
      <c r="M97" s="918">
        <f t="shared" si="19"/>
        <v>3.1021432028934846</v>
      </c>
      <c r="N97" s="918">
        <f t="shared" si="20"/>
        <v>0.46057096800000003</v>
      </c>
      <c r="O97" s="918">
        <f t="shared" si="21"/>
        <v>0</v>
      </c>
      <c r="P97" s="918" t="str">
        <f>IF(VLOOKUP($A97,'7b erosió costa'!$A$4:$AP$401,42,FALSE)&gt;0,VLOOKUP($A97,'7b erosió costa'!$A$4:$AP$401,42,FALSE),"")</f>
        <v/>
      </c>
      <c r="Q97" s="863">
        <f t="shared" si="29"/>
        <v>1.120221081533189</v>
      </c>
      <c r="R97" s="864">
        <f t="shared" si="22"/>
        <v>6.6750768974891822E-2</v>
      </c>
      <c r="S97" s="863">
        <f t="shared" si="23"/>
        <v>2.6517429354060638</v>
      </c>
      <c r="T97" s="864">
        <f t="shared" si="24"/>
        <v>2.7527732028934846</v>
      </c>
      <c r="U97" s="864">
        <f t="shared" si="25"/>
        <v>5.9026968000000068E-2</v>
      </c>
      <c r="V97" s="864">
        <f t="shared" si="25"/>
        <v>0</v>
      </c>
      <c r="W97" s="864" t="str">
        <f t="shared" si="30"/>
        <v/>
      </c>
      <c r="X97" s="1067">
        <f t="shared" si="26"/>
        <v>6.6505149568076298</v>
      </c>
      <c r="Y97" s="826">
        <f>VLOOKUP(B97,'BD ASVICC'!$A$6:$Y$316,24,FALSE)</f>
        <v>2091</v>
      </c>
      <c r="Z97" s="826" t="str">
        <f t="shared" si="27"/>
        <v>b 1.000 a 5.000 hab.</v>
      </c>
      <c r="AA97" s="826">
        <f t="shared" si="28"/>
        <v>3180.5427818305261</v>
      </c>
    </row>
    <row r="98" spans="1:27" s="826" customFormat="1" ht="30">
      <c r="A98" s="835">
        <v>8095</v>
      </c>
      <c r="B98" s="826" t="s">
        <v>1110</v>
      </c>
      <c r="C98" s="878">
        <f>VLOOKUP(A98,copcalor,'1b.Cops de calor'!P$1,FALSE)/1000000</f>
        <v>9.6895946220038737E-4</v>
      </c>
      <c r="D98" s="879">
        <f>VLOOKUP($B98,'2b.Incendis forestals'!$B$4:$P$314,9,FALSE)/1000000</f>
        <v>0.65821474141065817</v>
      </c>
      <c r="E98" s="878">
        <f>VLOOKUP($B98,'3b aigua'!$B$4:$K$314,8,FALSE)/1000000</f>
        <v>5.5620203820800011E-2</v>
      </c>
      <c r="F98" s="879">
        <f t="shared" si="16"/>
        <v>0.55613999999999997</v>
      </c>
      <c r="G98" s="879">
        <f t="shared" si="17"/>
        <v>3.0419999999999999E-2</v>
      </c>
      <c r="H98" s="879">
        <f t="shared" si="18"/>
        <v>0</v>
      </c>
      <c r="I98" s="878" t="str">
        <f>IF(VLOOKUP($A98,'7b erosió costa'!$A$4:$AP$401,9,FALSE)&gt;0,VLOOKUP($A98,'7b erosió costa'!$A$4:$AP$401,9,FALSE),"")</f>
        <v/>
      </c>
      <c r="J98" s="870">
        <f>VLOOKUP(A98,copcalor,'1b.Cops de calor'!Z$1,FALSE)/1000000</f>
        <v>1.5368400411569687E-3</v>
      </c>
      <c r="K98" s="870">
        <f>VLOOKUP($B98,'2b.Incendis forestals'!$B$4:$P$314,14,FALSE)/1000000</f>
        <v>1.8100905388793098</v>
      </c>
      <c r="L98" s="870">
        <f>VLOOKUP($B98,'3b aigua'!$B$4:$K$314,9,FALSE)/1000000</f>
        <v>8.0444107317248006E-2</v>
      </c>
      <c r="M98" s="918">
        <f t="shared" si="19"/>
        <v>2.5254470711771591</v>
      </c>
      <c r="N98" s="918">
        <f t="shared" si="20"/>
        <v>3.4891739999999997E-2</v>
      </c>
      <c r="O98" s="918">
        <f t="shared" si="21"/>
        <v>0</v>
      </c>
      <c r="P98" s="918" t="str">
        <f>IF(VLOOKUP($A98,'7b erosió costa'!$A$4:$AP$401,42,FALSE)&gt;0,VLOOKUP($A98,'7b erosió costa'!$A$4:$AP$401,42,FALSE),"")</f>
        <v/>
      </c>
      <c r="Q98" s="863">
        <f t="shared" si="29"/>
        <v>5.6788057895658134E-4</v>
      </c>
      <c r="R98" s="864">
        <f t="shared" si="22"/>
        <v>1.1518757974686515</v>
      </c>
      <c r="S98" s="863">
        <f t="shared" si="23"/>
        <v>2.4823903496447995E-2</v>
      </c>
      <c r="T98" s="864">
        <f t="shared" si="24"/>
        <v>1.969307071177159</v>
      </c>
      <c r="U98" s="864">
        <f t="shared" si="25"/>
        <v>4.4717399999999984E-3</v>
      </c>
      <c r="V98" s="864">
        <f t="shared" si="25"/>
        <v>0</v>
      </c>
      <c r="W98" s="864" t="str">
        <f t="shared" si="30"/>
        <v/>
      </c>
      <c r="X98" s="1067">
        <f t="shared" si="26"/>
        <v>3.1510463927212151</v>
      </c>
      <c r="Y98" s="826">
        <f>VLOOKUP(B98,'BD ASVICC'!$A$6:$Y$316,24,FALSE)</f>
        <v>79</v>
      </c>
      <c r="Z98" s="826" t="str">
        <f t="shared" si="27"/>
        <v>a &lt; 1.000 hab.</v>
      </c>
      <c r="AA98" s="826">
        <f t="shared" si="28"/>
        <v>39886.663199002724</v>
      </c>
    </row>
    <row r="99" spans="1:27" s="826" customFormat="1" ht="45">
      <c r="A99" s="835">
        <v>8096</v>
      </c>
      <c r="B99" s="826" t="s">
        <v>1113</v>
      </c>
      <c r="C99" s="878">
        <f>VLOOKUP(A99,copcalor,'1b.Cops de calor'!P$1,FALSE)/1000000</f>
        <v>12.050997081779023</v>
      </c>
      <c r="D99" s="879">
        <f>VLOOKUP($B99,'2b.Incendis forestals'!$B$4:$P$314,9,FALSE)/1000000</f>
        <v>3.9919505150368621E-2</v>
      </c>
      <c r="E99" s="878">
        <f>VLOOKUP($B99,'3b aigua'!$B$4:$K$314,8,FALSE)/1000000</f>
        <v>107.63945035713878</v>
      </c>
      <c r="F99" s="879">
        <f t="shared" si="16"/>
        <v>2.8850625000000001</v>
      </c>
      <c r="G99" s="879">
        <f t="shared" si="17"/>
        <v>2.1567779999999996</v>
      </c>
      <c r="H99" s="879">
        <f t="shared" si="18"/>
        <v>115.98024287189999</v>
      </c>
      <c r="I99" s="878" t="str">
        <f>IF(VLOOKUP($A99,'7b erosió costa'!$A$4:$AP$401,9,FALSE)&gt;0,VLOOKUP($A99,'7b erosió costa'!$A$4:$AP$401,9,FALSE),"")</f>
        <v/>
      </c>
      <c r="J99" s="870">
        <f>VLOOKUP(A99,copcalor,'1b.Cops de calor'!Z$1,FALSE)/1000000</f>
        <v>67.853777138438701</v>
      </c>
      <c r="K99" s="870">
        <f>VLOOKUP($B99,'2b.Incendis forestals'!$B$4:$P$314,14,FALSE)/1000000</f>
        <v>0.10977863916351371</v>
      </c>
      <c r="L99" s="870">
        <f>VLOOKUP($B99,'3b aigua'!$B$4:$K$314,9,FALSE)/1000000</f>
        <v>197.74890465982676</v>
      </c>
      <c r="M99" s="918">
        <f t="shared" si="19"/>
        <v>37.220967780021233</v>
      </c>
      <c r="N99" s="918">
        <f t="shared" si="20"/>
        <v>2.4738243659999992</v>
      </c>
      <c r="O99" s="918">
        <f t="shared" si="21"/>
        <v>191.79488427314999</v>
      </c>
      <c r="P99" s="918" t="str">
        <f>IF(VLOOKUP($A99,'7b erosió costa'!$A$4:$AP$401,42,FALSE)&gt;0,VLOOKUP($A99,'7b erosió costa'!$A$4:$AP$401,42,FALSE),"")</f>
        <v/>
      </c>
      <c r="Q99" s="863">
        <f t="shared" si="29"/>
        <v>55.802780056659678</v>
      </c>
      <c r="R99" s="864">
        <f t="shared" si="22"/>
        <v>6.9859134013145086E-2</v>
      </c>
      <c r="S99" s="863">
        <f t="shared" si="23"/>
        <v>90.109454302687979</v>
      </c>
      <c r="T99" s="864">
        <f t="shared" si="24"/>
        <v>34.335905280021237</v>
      </c>
      <c r="U99" s="864">
        <f t="shared" si="25"/>
        <v>0.31704636599999958</v>
      </c>
      <c r="V99" s="864">
        <f t="shared" si="25"/>
        <v>75.81464140125</v>
      </c>
      <c r="W99" s="864" t="str">
        <f t="shared" si="30"/>
        <v/>
      </c>
      <c r="X99" s="1067">
        <f t="shared" si="26"/>
        <v>256.44968654063206</v>
      </c>
      <c r="Y99" s="826">
        <f>VLOOKUP(B99,'BD ASVICC'!$A$6:$Y$316,24,FALSE)</f>
        <v>60174</v>
      </c>
      <c r="Z99" s="826" t="str">
        <f t="shared" si="27"/>
        <v>e &gt;50.000 hab.</v>
      </c>
      <c r="AA99" s="826">
        <f t="shared" si="28"/>
        <v>4261.8022159177062</v>
      </c>
    </row>
    <row r="100" spans="1:27" s="826" customFormat="1" ht="45">
      <c r="A100" s="835">
        <v>8097</v>
      </c>
      <c r="B100" s="826" t="s">
        <v>1116</v>
      </c>
      <c r="C100" s="878">
        <f>VLOOKUP(A100,copcalor,'1b.Cops de calor'!P$1,FALSE)/1000000</f>
        <v>0.12076595312953915</v>
      </c>
      <c r="D100" s="879">
        <f>VLOOKUP($B100,'2b.Incendis forestals'!$B$4:$P$314,9,FALSE)/1000000</f>
        <v>0.62286617196453009</v>
      </c>
      <c r="E100" s="878">
        <f>VLOOKUP($B100,'3b aigua'!$B$4:$K$314,8,FALSE)/1000000</f>
        <v>3.8207439128138661</v>
      </c>
      <c r="F100" s="879">
        <f t="shared" si="16"/>
        <v>0.46898874999999995</v>
      </c>
      <c r="G100" s="879">
        <f t="shared" si="17"/>
        <v>7.300799999999999E-2</v>
      </c>
      <c r="H100" s="879">
        <f t="shared" si="18"/>
        <v>2.57580315</v>
      </c>
      <c r="I100" s="878" t="str">
        <f>IF(VLOOKUP($A100,'7b erosió costa'!$A$4:$AP$401,9,FALSE)&gt;0,VLOOKUP($A100,'7b erosió costa'!$A$4:$AP$401,9,FALSE),"")</f>
        <v/>
      </c>
      <c r="J100" s="870">
        <f>VLOOKUP(A100,copcalor,'1b.Cops de calor'!Z$1,FALSE)/1000000</f>
        <v>0.61908761174948646</v>
      </c>
      <c r="K100" s="870">
        <f>VLOOKUP($B100,'2b.Incendis forestals'!$B$4:$P$314,14,FALSE)/1000000</f>
        <v>1.7128819729024578</v>
      </c>
      <c r="L100" s="870">
        <f>VLOOKUP($B100,'3b aigua'!$B$4:$K$314,9,FALSE)/1000000</f>
        <v>5.5259835858274986</v>
      </c>
      <c r="M100" s="918">
        <f t="shared" si="19"/>
        <v>3.3378626608450426</v>
      </c>
      <c r="N100" s="918">
        <f t="shared" si="20"/>
        <v>8.3740176E-2</v>
      </c>
      <c r="O100" s="918">
        <f t="shared" si="21"/>
        <v>5.8888360659000005</v>
      </c>
      <c r="P100" s="918" t="str">
        <f>IF(VLOOKUP($A100,'7b erosió costa'!$A$4:$AP$401,42,FALSE)&gt;0,VLOOKUP($A100,'7b erosió costa'!$A$4:$AP$401,42,FALSE),"")</f>
        <v/>
      </c>
      <c r="Q100" s="863">
        <f t="shared" si="29"/>
        <v>0.49832165861994732</v>
      </c>
      <c r="R100" s="864">
        <f t="shared" si="22"/>
        <v>1.0900158009379277</v>
      </c>
      <c r="S100" s="863">
        <f t="shared" si="23"/>
        <v>1.7052396730136326</v>
      </c>
      <c r="T100" s="864">
        <f t="shared" si="24"/>
        <v>2.8688739108450427</v>
      </c>
      <c r="U100" s="864">
        <f t="shared" si="25"/>
        <v>1.073217600000001E-2</v>
      </c>
      <c r="V100" s="864">
        <f t="shared" si="25"/>
        <v>3.3130329159000005</v>
      </c>
      <c r="W100" s="864" t="str">
        <f t="shared" si="30"/>
        <v/>
      </c>
      <c r="X100" s="1067">
        <f t="shared" si="26"/>
        <v>9.4862161353165515</v>
      </c>
      <c r="Y100" s="826">
        <f>VLOOKUP(B100,'BD ASVICC'!$A$6:$Y$316,24,FALSE)</f>
        <v>1426</v>
      </c>
      <c r="Z100" s="826" t="str">
        <f t="shared" si="27"/>
        <v>b 1.000 a 5.000 hab.</v>
      </c>
      <c r="AA100" s="826">
        <f t="shared" si="28"/>
        <v>6652.3254805866418</v>
      </c>
    </row>
    <row r="101" spans="1:27" s="826" customFormat="1" ht="45">
      <c r="A101" s="835">
        <v>8098</v>
      </c>
      <c r="B101" s="826" t="s">
        <v>1121</v>
      </c>
      <c r="C101" s="878">
        <f>VLOOKUP(A101,copcalor,'1b.Cops de calor'!P$1,FALSE)/1000000</f>
        <v>1.8057095439585029</v>
      </c>
      <c r="D101" s="879">
        <f>VLOOKUP($B101,'2b.Incendis forestals'!$B$4:$P$314,9,FALSE)/1000000</f>
        <v>4.2610225929776524</v>
      </c>
      <c r="E101" s="878">
        <f>VLOOKUP($B101,'3b aigua'!$B$4:$K$314,8,FALSE)/1000000</f>
        <v>9.6567546342348791</v>
      </c>
      <c r="F101" s="879">
        <f t="shared" si="16"/>
        <v>3.3172962499999996</v>
      </c>
      <c r="G101" s="879">
        <f t="shared" si="17"/>
        <v>2.6465399999999999</v>
      </c>
      <c r="H101" s="879">
        <f t="shared" si="18"/>
        <v>0.36894193919999996</v>
      </c>
      <c r="I101" s="878" t="str">
        <f>IF(VLOOKUP($A101,'7b erosió costa'!$A$4:$AP$401,9,FALSE)&gt;0,VLOOKUP($A101,'7b erosió costa'!$A$4:$AP$401,9,FALSE),"")</f>
        <v/>
      </c>
      <c r="J101" s="870">
        <f>VLOOKUP(A101,copcalor,'1b.Cops de calor'!Z$1,FALSE)/1000000</f>
        <v>9.0400080064221626</v>
      </c>
      <c r="K101" s="870">
        <f>VLOOKUP($B101,'2b.Incendis forestals'!$B$4:$P$314,14,FALSE)/1000000</f>
        <v>11.717812130688545</v>
      </c>
      <c r="L101" s="870">
        <f>VLOOKUP($B101,'3b aigua'!$B$4:$K$314,9,FALSE)/1000000</f>
        <v>13.96666953317089</v>
      </c>
      <c r="M101" s="918">
        <f t="shared" si="19"/>
        <v>16.571391680754843</v>
      </c>
      <c r="N101" s="918">
        <f t="shared" si="20"/>
        <v>3.03558138</v>
      </c>
      <c r="O101" s="918">
        <f t="shared" si="21"/>
        <v>0.47630674590000005</v>
      </c>
      <c r="P101" s="918" t="str">
        <f>IF(VLOOKUP($A101,'7b erosió costa'!$A$4:$AP$401,42,FALSE)&gt;0,VLOOKUP($A101,'7b erosió costa'!$A$4:$AP$401,42,FALSE),"")</f>
        <v/>
      </c>
      <c r="Q101" s="863">
        <f t="shared" si="29"/>
        <v>7.2342984624636593</v>
      </c>
      <c r="R101" s="864">
        <f t="shared" si="22"/>
        <v>7.4567895377108924</v>
      </c>
      <c r="S101" s="863">
        <f t="shared" si="23"/>
        <v>4.309914898936011</v>
      </c>
      <c r="T101" s="864">
        <f t="shared" si="24"/>
        <v>13.254095430754843</v>
      </c>
      <c r="U101" s="864">
        <f t="shared" si="25"/>
        <v>0.3890413800000001</v>
      </c>
      <c r="V101" s="864">
        <f t="shared" si="25"/>
        <v>0.10736480670000009</v>
      </c>
      <c r="W101" s="864" t="str">
        <f t="shared" si="30"/>
        <v/>
      </c>
      <c r="X101" s="1067">
        <f t="shared" si="26"/>
        <v>32.751504516565404</v>
      </c>
      <c r="Y101" s="826">
        <f>VLOOKUP(B101,'BD ASVICC'!$A$6:$Y$316,24,FALSE)</f>
        <v>3141</v>
      </c>
      <c r="Z101" s="826" t="str">
        <f t="shared" si="27"/>
        <v>b 1.000 a 5.000 hab.</v>
      </c>
      <c r="AA101" s="826">
        <f t="shared" si="28"/>
        <v>10427.094720332825</v>
      </c>
    </row>
    <row r="102" spans="1:27" s="826" customFormat="1" ht="30">
      <c r="A102" s="835">
        <v>8099</v>
      </c>
      <c r="B102" s="826" t="s">
        <v>1125</v>
      </c>
      <c r="C102" s="878">
        <f>VLOOKUP(A102,copcalor,'1b.Cops de calor'!P$1,FALSE)/1000000</f>
        <v>8.5559985877541433E-2</v>
      </c>
      <c r="D102" s="879">
        <f>VLOOKUP($B102,'2b.Incendis forestals'!$B$4:$P$314,9,FALSE)/1000000</f>
        <v>5.0399593786212957</v>
      </c>
      <c r="E102" s="878">
        <f>VLOOKUP($B102,'3b aigua'!$B$4:$K$314,8,FALSE)/1000000</f>
        <v>0.74706592128568883</v>
      </c>
      <c r="F102" s="879">
        <f t="shared" si="16"/>
        <v>8.5559999999999997E-2</v>
      </c>
      <c r="G102" s="879">
        <f t="shared" si="17"/>
        <v>1.9042919999999997</v>
      </c>
      <c r="H102" s="879">
        <f t="shared" si="18"/>
        <v>6.9084117404999992</v>
      </c>
      <c r="I102" s="878" t="str">
        <f>IF(VLOOKUP($A102,'7b erosió costa'!$A$4:$AP$401,9,FALSE)&gt;0,VLOOKUP($A102,'7b erosió costa'!$A$4:$AP$401,9,FALSE),"")</f>
        <v/>
      </c>
      <c r="J102" s="870">
        <f>VLOOKUP(A102,copcalor,'1b.Cops de calor'!Z$1,FALSE)/1000000</f>
        <v>0.45142171604240777</v>
      </c>
      <c r="K102" s="870">
        <f>VLOOKUP($B102,'2b.Incendis forestals'!$B$4:$P$314,14,FALSE)/1000000</f>
        <v>13.859888291208565</v>
      </c>
      <c r="L102" s="870">
        <f>VLOOKUP($B102,'3b aigua'!$B$4:$K$314,9,FALSE)/1000000</f>
        <v>1.08048958861403</v>
      </c>
      <c r="M102" s="918">
        <f t="shared" si="19"/>
        <v>2.3048564863121386</v>
      </c>
      <c r="N102" s="918">
        <f t="shared" si="20"/>
        <v>2.1842229239999997</v>
      </c>
      <c r="O102" s="918">
        <f t="shared" si="21"/>
        <v>9.6197545624499998</v>
      </c>
      <c r="P102" s="918" t="str">
        <f>IF(VLOOKUP($A102,'7b erosió costa'!$A$4:$AP$401,42,FALSE)&gt;0,VLOOKUP($A102,'7b erosió costa'!$A$4:$AP$401,42,FALSE),"")</f>
        <v/>
      </c>
      <c r="Q102" s="863">
        <f t="shared" si="29"/>
        <v>0.36586173016486634</v>
      </c>
      <c r="R102" s="864">
        <f t="shared" si="22"/>
        <v>8.8199289125872689</v>
      </c>
      <c r="S102" s="863">
        <f t="shared" si="23"/>
        <v>0.33342366732834117</v>
      </c>
      <c r="T102" s="864">
        <f t="shared" si="24"/>
        <v>2.2192964863121385</v>
      </c>
      <c r="U102" s="864">
        <f t="shared" si="25"/>
        <v>0.27993092400000008</v>
      </c>
      <c r="V102" s="864">
        <f t="shared" si="25"/>
        <v>2.7113428219500006</v>
      </c>
      <c r="W102" s="864" t="str">
        <f t="shared" si="30"/>
        <v/>
      </c>
      <c r="X102" s="1067">
        <f t="shared" si="26"/>
        <v>14.729784542342617</v>
      </c>
      <c r="Y102" s="826">
        <f>VLOOKUP(B102,'BD ASVICC'!$A$6:$Y$316,24,FALSE)</f>
        <v>897</v>
      </c>
      <c r="Z102" s="826" t="str">
        <f t="shared" si="27"/>
        <v>a &lt; 1.000 hab.</v>
      </c>
      <c r="AA102" s="826">
        <f t="shared" si="28"/>
        <v>16421.164484216966</v>
      </c>
    </row>
    <row r="103" spans="1:27" s="826" customFormat="1" ht="45">
      <c r="A103" s="835">
        <v>8100</v>
      </c>
      <c r="B103" s="826" t="s">
        <v>1127</v>
      </c>
      <c r="C103" s="878">
        <f>VLOOKUP(A103,copcalor,'1b.Cops de calor'!P$1,FALSE)/1000000</f>
        <v>0.57917348186993622</v>
      </c>
      <c r="D103" s="879">
        <f>VLOOKUP($B103,'2b.Incendis forestals'!$B$4:$P$314,9,FALSE)/1000000</f>
        <v>0.21178032536678537</v>
      </c>
      <c r="E103" s="878">
        <f>VLOOKUP($B103,'3b aigua'!$B$4:$K$314,8,FALSE)/1000000</f>
        <v>33.725034539999996</v>
      </c>
      <c r="F103" s="879">
        <f t="shared" si="16"/>
        <v>19.880553124999999</v>
      </c>
      <c r="G103" s="879">
        <f t="shared" si="17"/>
        <v>66.412943999999996</v>
      </c>
      <c r="H103" s="879">
        <f t="shared" si="18"/>
        <v>5.5588353760500002</v>
      </c>
      <c r="I103" s="878" t="str">
        <f>IF(VLOOKUP($A103,'7b erosió costa'!$A$4:$AP$401,9,FALSE)&gt;0,VLOOKUP($A103,'7b erosió costa'!$A$4:$AP$401,9,FALSE),"")</f>
        <v/>
      </c>
      <c r="J103" s="870">
        <f>VLOOKUP(A103,copcalor,'1b.Cops de calor'!Z$1,FALSE)/1000000</f>
        <v>3.2989050403023605</v>
      </c>
      <c r="K103" s="870">
        <f>VLOOKUP($B103,'2b.Incendis forestals'!$B$4:$P$314,14,FALSE)/1000000</f>
        <v>0.58239589475865972</v>
      </c>
      <c r="L103" s="870">
        <f>VLOOKUP($B103,'3b aigua'!$B$4:$K$314,9,FALSE)/1000000</f>
        <v>48.776885222400004</v>
      </c>
      <c r="M103" s="918">
        <f t="shared" si="19"/>
        <v>95.902694620421002</v>
      </c>
      <c r="N103" s="918">
        <f t="shared" si="20"/>
        <v>76.175646767999993</v>
      </c>
      <c r="O103" s="918">
        <f t="shared" si="21"/>
        <v>96.552591951599737</v>
      </c>
      <c r="P103" s="918" t="str">
        <f>IF(VLOOKUP($A103,'7b erosió costa'!$A$4:$AP$401,42,FALSE)&gt;0,VLOOKUP($A103,'7b erosió costa'!$A$4:$AP$401,42,FALSE),"")</f>
        <v/>
      </c>
      <c r="Q103" s="863">
        <f t="shared" si="29"/>
        <v>2.7197315584324242</v>
      </c>
      <c r="R103" s="864">
        <f t="shared" si="22"/>
        <v>0.37061556939187434</v>
      </c>
      <c r="S103" s="863">
        <f t="shared" si="23"/>
        <v>15.051850682400008</v>
      </c>
      <c r="T103" s="864">
        <f t="shared" si="24"/>
        <v>76.02214149542101</v>
      </c>
      <c r="U103" s="864">
        <f t="shared" si="25"/>
        <v>9.7627027679999969</v>
      </c>
      <c r="V103" s="864">
        <f t="shared" si="25"/>
        <v>90.993756575549739</v>
      </c>
      <c r="W103" s="864" t="str">
        <f t="shared" si="30"/>
        <v/>
      </c>
      <c r="X103" s="1067">
        <f t="shared" si="26"/>
        <v>194.92079864919504</v>
      </c>
      <c r="Y103" s="826">
        <f>VLOOKUP(B103,'BD ASVICC'!$A$6:$Y$316,24,FALSE)</f>
        <v>2559</v>
      </c>
      <c r="Z103" s="826" t="str">
        <f t="shared" si="27"/>
        <v>b 1.000 a 5.000 hab.</v>
      </c>
      <c r="AA103" s="826">
        <f t="shared" si="28"/>
        <v>76170.691148571728</v>
      </c>
    </row>
    <row r="104" spans="1:27" s="826" customFormat="1" ht="45">
      <c r="A104" s="835">
        <v>8101</v>
      </c>
      <c r="B104" s="826" t="s">
        <v>1135</v>
      </c>
      <c r="C104" s="878">
        <f>VLOOKUP(A104,copcalor,'1b.Cops de calor'!P$1,FALSE)/1000000</f>
        <v>292.73278146562711</v>
      </c>
      <c r="D104" s="879">
        <f>VLOOKUP($B104,'2b.Incendis forestals'!$B$4:$P$314,9,FALSE)/1000000</f>
        <v>0.23501717499781274</v>
      </c>
      <c r="E104" s="878">
        <f>VLOOKUP($B104,'3b aigua'!$B$4:$K$314,8,FALSE)/1000000</f>
        <v>495.39984412069202</v>
      </c>
      <c r="F104" s="879">
        <f t="shared" si="16"/>
        <v>0.33888750000000001</v>
      </c>
      <c r="G104" s="879">
        <f t="shared" si="17"/>
        <v>9.1259999999999987E-3</v>
      </c>
      <c r="H104" s="879">
        <f t="shared" si="18"/>
        <v>1.036001715</v>
      </c>
      <c r="I104" s="878" t="str">
        <f>IF(VLOOKUP($A104,'7b erosió costa'!$A$4:$AP$401,9,FALSE)&gt;0,VLOOKUP($A104,'7b erosió costa'!$A$4:$AP$401,9,FALSE),"")</f>
        <v/>
      </c>
      <c r="J104" s="870">
        <f>VLOOKUP(A104,copcalor,'1b.Cops de calor'!Z$1,FALSE)/1000000</f>
        <v>1728.382802458382</v>
      </c>
      <c r="K104" s="870">
        <f>VLOOKUP($B104,'2b.Incendis forestals'!$B$4:$P$314,14,FALSE)/1000000</f>
        <v>0.64629723124398497</v>
      </c>
      <c r="L104" s="870">
        <f>VLOOKUP($B104,'3b aigua'!$B$4:$K$314,9,FALSE)/1000000</f>
        <v>910.11962824481895</v>
      </c>
      <c r="M104" s="918">
        <f t="shared" si="19"/>
        <v>4.6075668950147426</v>
      </c>
      <c r="N104" s="918">
        <f t="shared" si="20"/>
        <v>1.0467522E-2</v>
      </c>
      <c r="O104" s="918">
        <f t="shared" si="21"/>
        <v>1.0658612700000001</v>
      </c>
      <c r="P104" s="918" t="str">
        <f>IF(VLOOKUP($A104,'7b erosió costa'!$A$4:$AP$401,42,FALSE)&gt;0,VLOOKUP($A104,'7b erosió costa'!$A$4:$AP$401,42,FALSE),"")</f>
        <v/>
      </c>
      <c r="Q104" s="863">
        <f t="shared" si="29"/>
        <v>1435.6500209927549</v>
      </c>
      <c r="R104" s="864">
        <f t="shared" si="22"/>
        <v>0.41128005624617225</v>
      </c>
      <c r="S104" s="863">
        <f t="shared" si="23"/>
        <v>414.71978412412693</v>
      </c>
      <c r="T104" s="864">
        <f t="shared" si="24"/>
        <v>4.2686793950147424</v>
      </c>
      <c r="U104" s="864">
        <f t="shared" si="25"/>
        <v>1.3415220000000012E-3</v>
      </c>
      <c r="V104" s="864">
        <f t="shared" si="25"/>
        <v>2.9859555000000038E-2</v>
      </c>
      <c r="W104" s="864" t="str">
        <f t="shared" si="30"/>
        <v/>
      </c>
      <c r="X104" s="1067">
        <f t="shared" si="26"/>
        <v>1855.0809656451427</v>
      </c>
      <c r="Y104" s="826">
        <f>VLOOKUP(B104,'BD ASVICC'!$A$6:$Y$316,24,FALSE)</f>
        <v>254804</v>
      </c>
      <c r="Z104" s="826" t="str">
        <f t="shared" si="27"/>
        <v>e &gt;50.000 hab.</v>
      </c>
      <c r="AA104" s="826">
        <f t="shared" si="28"/>
        <v>7280.4232494197213</v>
      </c>
    </row>
    <row r="105" spans="1:27" s="826" customFormat="1" ht="45">
      <c r="A105" s="835">
        <v>8102</v>
      </c>
      <c r="B105" s="826" t="s">
        <v>1136</v>
      </c>
      <c r="C105" s="878">
        <f>VLOOKUP(A105,copcalor,'1b.Cops de calor'!P$1,FALSE)/1000000</f>
        <v>16.786765304484849</v>
      </c>
      <c r="D105" s="879">
        <f>VLOOKUP($B105,'2b.Incendis forestals'!$B$4:$P$314,9,FALSE)/1000000</f>
        <v>0.29595846257771369</v>
      </c>
      <c r="E105" s="878">
        <f>VLOOKUP($B105,'3b aigua'!$B$4:$K$314,8,FALSE)/1000000</f>
        <v>117.1905144073888</v>
      </c>
      <c r="F105" s="879">
        <f t="shared" si="16"/>
        <v>0.42066999999999999</v>
      </c>
      <c r="G105" s="879">
        <f t="shared" si="17"/>
        <v>2.7225899999999994</v>
      </c>
      <c r="H105" s="879">
        <f t="shared" si="18"/>
        <v>32.215904193900002</v>
      </c>
      <c r="I105" s="878" t="str">
        <f>IF(VLOOKUP($A105,'7b erosió costa'!$A$4:$AP$401,9,FALSE)&gt;0,VLOOKUP($A105,'7b erosió costa'!$A$4:$AP$401,9,FALSE),"")</f>
        <v/>
      </c>
      <c r="J105" s="870">
        <f>VLOOKUP(A105,copcalor,'1b.Cops de calor'!Z$1,FALSE)/1000000</f>
        <v>98.297127770181717</v>
      </c>
      <c r="K105" s="870">
        <f>VLOOKUP($B105,'2b.Incendis forestals'!$B$4:$P$314,14,FALSE)/1000000</f>
        <v>0.81388577208871271</v>
      </c>
      <c r="L105" s="870">
        <f>VLOOKUP($B105,'3b aigua'!$B$4:$K$314,9,FALSE)/1000000</f>
        <v>169.49391893501132</v>
      </c>
      <c r="M105" s="918">
        <f t="shared" si="19"/>
        <v>30.054951860577148</v>
      </c>
      <c r="N105" s="918">
        <f t="shared" si="20"/>
        <v>3.1228107299999994</v>
      </c>
      <c r="O105" s="918">
        <f t="shared" si="21"/>
        <v>41.9227912287</v>
      </c>
      <c r="P105" s="918" t="str">
        <f>IF(VLOOKUP($A105,'7b erosió costa'!$A$4:$AP$401,42,FALSE)&gt;0,VLOOKUP($A105,'7b erosió costa'!$A$4:$AP$401,42,FALSE),"")</f>
        <v/>
      </c>
      <c r="Q105" s="863">
        <f t="shared" si="29"/>
        <v>81.510362465696872</v>
      </c>
      <c r="R105" s="864">
        <f t="shared" si="22"/>
        <v>0.51792730951099908</v>
      </c>
      <c r="S105" s="863">
        <f t="shared" si="23"/>
        <v>52.303404527622519</v>
      </c>
      <c r="T105" s="864">
        <f t="shared" si="24"/>
        <v>29.634281860577147</v>
      </c>
      <c r="U105" s="864">
        <f t="shared" si="25"/>
        <v>0.40022073000000002</v>
      </c>
      <c r="V105" s="864">
        <f t="shared" si="25"/>
        <v>9.7068870347999976</v>
      </c>
      <c r="W105" s="864" t="str">
        <f t="shared" si="30"/>
        <v/>
      </c>
      <c r="X105" s="1067">
        <f t="shared" si="26"/>
        <v>174.07308392820752</v>
      </c>
      <c r="Y105" s="826">
        <f>VLOOKUP(B105,'BD ASVICC'!$A$6:$Y$316,24,FALSE)</f>
        <v>38987</v>
      </c>
      <c r="Z105" s="826" t="str">
        <f t="shared" si="27"/>
        <v>d 20.000 a 50.000 hab.</v>
      </c>
      <c r="AA105" s="826">
        <f t="shared" si="28"/>
        <v>4464.900708651795</v>
      </c>
    </row>
    <row r="106" spans="1:27" s="826" customFormat="1" ht="30">
      <c r="A106" s="835">
        <v>8103</v>
      </c>
      <c r="B106" s="826" t="s">
        <v>1137</v>
      </c>
      <c r="C106" s="878">
        <f>VLOOKUP(A106,copcalor,'1b.Cops de calor'!P$1,FALSE)/1000000</f>
        <v>0.38498327790101594</v>
      </c>
      <c r="D106" s="879">
        <f>VLOOKUP($B106,'2b.Incendis forestals'!$B$4:$P$314,9,FALSE)/1000000</f>
        <v>3.1861003205991856</v>
      </c>
      <c r="E106" s="878">
        <f>VLOOKUP($B106,'3b aigua'!$B$4:$K$314,8,FALSE)/1000000</f>
        <v>1.4917119890333865</v>
      </c>
      <c r="F106" s="879">
        <f t="shared" si="16"/>
        <v>4.5489399999999991</v>
      </c>
      <c r="G106" s="879">
        <f t="shared" si="17"/>
        <v>2.564406</v>
      </c>
      <c r="H106" s="879">
        <f t="shared" si="18"/>
        <v>2.8112436235500002</v>
      </c>
      <c r="I106" s="878" t="str">
        <f>IF(VLOOKUP($A106,'7b erosió costa'!$A$4:$AP$401,9,FALSE)&gt;0,VLOOKUP($A106,'7b erosió costa'!$A$4:$AP$401,9,FALSE),"")</f>
        <v/>
      </c>
      <c r="J106" s="870">
        <f>VLOOKUP(A106,copcalor,'1b.Cops de calor'!Z$1,FALSE)/1000000</f>
        <v>2.258244022418268</v>
      </c>
      <c r="K106" s="870">
        <f>VLOOKUP($B106,'2b.Incendis forestals'!$B$4:$P$314,14,FALSE)/1000000</f>
        <v>8.7617758816477611</v>
      </c>
      <c r="L106" s="870">
        <f>VLOOKUP($B106,'3b aigua'!$B$4:$K$314,9,FALSE)/1000000</f>
        <v>2.1574793166678692</v>
      </c>
      <c r="M106" s="918">
        <f t="shared" si="19"/>
        <v>20.317899655642503</v>
      </c>
      <c r="N106" s="918">
        <f t="shared" si="20"/>
        <v>2.9413736819999996</v>
      </c>
      <c r="O106" s="918">
        <f t="shared" si="21"/>
        <v>3.0186448618499999</v>
      </c>
      <c r="P106" s="918" t="str">
        <f>IF(VLOOKUP($A106,'7b erosió costa'!$A$4:$AP$401,42,FALSE)&gt;0,VLOOKUP($A106,'7b erosió costa'!$A$4:$AP$401,42,FALSE),"")</f>
        <v/>
      </c>
      <c r="Q106" s="863">
        <f t="shared" si="29"/>
        <v>1.873260744517252</v>
      </c>
      <c r="R106" s="864">
        <f t="shared" si="22"/>
        <v>5.5756755610485751</v>
      </c>
      <c r="S106" s="863">
        <f t="shared" si="23"/>
        <v>0.66576732763448265</v>
      </c>
      <c r="T106" s="864">
        <f t="shared" si="24"/>
        <v>15.768959655642504</v>
      </c>
      <c r="U106" s="864">
        <f t="shared" si="25"/>
        <v>0.37696768199999964</v>
      </c>
      <c r="V106" s="864">
        <f t="shared" si="25"/>
        <v>0.20740123829999968</v>
      </c>
      <c r="W106" s="864" t="str">
        <f t="shared" si="30"/>
        <v/>
      </c>
      <c r="X106" s="1067">
        <f t="shared" si="26"/>
        <v>24.468032209142812</v>
      </c>
      <c r="Y106" s="826">
        <f>VLOOKUP(B106,'BD ASVICC'!$A$6:$Y$316,24,FALSE)</f>
        <v>831</v>
      </c>
      <c r="Z106" s="826" t="str">
        <f t="shared" si="27"/>
        <v>a &lt; 1.000 hab.</v>
      </c>
      <c r="AA106" s="826">
        <f t="shared" si="28"/>
        <v>29444.082080797609</v>
      </c>
    </row>
    <row r="107" spans="1:27" s="826" customFormat="1" ht="30">
      <c r="A107" s="835">
        <v>8104</v>
      </c>
      <c r="B107" s="826" t="s">
        <v>1142</v>
      </c>
      <c r="C107" s="878">
        <f>VLOOKUP(A107,copcalor,'1b.Cops de calor'!P$1,FALSE)/1000000</f>
        <v>0.80549531763500104</v>
      </c>
      <c r="D107" s="879">
        <f>VLOOKUP($B107,'2b.Incendis forestals'!$B$4:$P$314,9,FALSE)/1000000</f>
        <v>6.2134743148997114</v>
      </c>
      <c r="E107" s="878">
        <f>VLOOKUP($B107,'3b aigua'!$B$4:$K$314,8,FALSE)/1000000</f>
        <v>1.4687087559680001</v>
      </c>
      <c r="F107" s="879">
        <f t="shared" si="16"/>
        <v>5.3189799999999989</v>
      </c>
      <c r="G107" s="879">
        <f t="shared" si="17"/>
        <v>4.3956899999999992</v>
      </c>
      <c r="H107" s="879">
        <f t="shared" si="18"/>
        <v>9.6647908500000004E-3</v>
      </c>
      <c r="I107" s="878" t="str">
        <f>IF(VLOOKUP($A107,'7b erosió costa'!$A$4:$AP$401,9,FALSE)&gt;0,VLOOKUP($A107,'7b erosió costa'!$A$4:$AP$401,9,FALSE),"")</f>
        <v/>
      </c>
      <c r="J107" s="870">
        <f>VLOOKUP(A107,copcalor,'1b.Cops de calor'!Z$1,FALSE)/1000000</f>
        <v>4.7787676670261492</v>
      </c>
      <c r="K107" s="870">
        <f>VLOOKUP($B107,'2b.Incendis forestals'!$B$4:$P$314,14,FALSE)/1000000</f>
        <v>17.087054365974204</v>
      </c>
      <c r="L107" s="870">
        <f>VLOOKUP($B107,'3b aigua'!$B$4:$K$314,9,FALSE)/1000000</f>
        <v>2.1242094898380799</v>
      </c>
      <c r="M107" s="918">
        <f t="shared" si="19"/>
        <v>23.705289374873956</v>
      </c>
      <c r="N107" s="918">
        <f t="shared" si="20"/>
        <v>5.0418564299999993</v>
      </c>
      <c r="O107" s="918">
        <f t="shared" si="21"/>
        <v>1.145572395E-2</v>
      </c>
      <c r="P107" s="918" t="str">
        <f>IF(VLOOKUP($A107,'7b erosió costa'!$A$4:$AP$401,42,FALSE)&gt;0,VLOOKUP($A107,'7b erosió costa'!$A$4:$AP$401,42,FALSE),"")</f>
        <v/>
      </c>
      <c r="Q107" s="863">
        <f t="shared" si="29"/>
        <v>3.9732723493911482</v>
      </c>
      <c r="R107" s="864">
        <f t="shared" si="22"/>
        <v>10.873580051074493</v>
      </c>
      <c r="S107" s="863">
        <f t="shared" si="23"/>
        <v>0.65550073387007979</v>
      </c>
      <c r="T107" s="864">
        <f t="shared" si="24"/>
        <v>18.386309374873957</v>
      </c>
      <c r="U107" s="864">
        <f t="shared" si="25"/>
        <v>0.64616643000000007</v>
      </c>
      <c r="V107" s="864">
        <f t="shared" si="25"/>
        <v>1.7909330999999994E-3</v>
      </c>
      <c r="W107" s="864" t="str">
        <f t="shared" si="30"/>
        <v/>
      </c>
      <c r="X107" s="1067">
        <f t="shared" si="26"/>
        <v>34.536619872309679</v>
      </c>
      <c r="Y107" s="826">
        <f>VLOOKUP(B107,'BD ASVICC'!$A$6:$Y$316,24,FALSE)</f>
        <v>872</v>
      </c>
      <c r="Z107" s="826" t="str">
        <f t="shared" si="27"/>
        <v>a &lt; 1.000 hab.</v>
      </c>
      <c r="AA107" s="826">
        <f t="shared" si="28"/>
        <v>39606.215449896416</v>
      </c>
    </row>
    <row r="108" spans="1:27" s="826" customFormat="1" ht="45">
      <c r="A108" s="835">
        <v>8105</v>
      </c>
      <c r="B108" s="826" t="s">
        <v>1147</v>
      </c>
      <c r="C108" s="878">
        <f>VLOOKUP(A108,copcalor,'1b.Cops de calor'!P$1,FALSE)/1000000</f>
        <v>2.2077352777748978</v>
      </c>
      <c r="D108" s="879">
        <f>VLOOKUP($B108,'2b.Incendis forestals'!$B$4:$P$314,9,FALSE)/1000000</f>
        <v>0</v>
      </c>
      <c r="E108" s="878">
        <f>VLOOKUP($B108,'3b aigua'!$B$4:$K$314,8,FALSE)/1000000</f>
        <v>18.372572193044483</v>
      </c>
      <c r="F108" s="879">
        <f t="shared" si="16"/>
        <v>0</v>
      </c>
      <c r="G108" s="879">
        <f t="shared" si="17"/>
        <v>3.050524230023691</v>
      </c>
      <c r="H108" s="879">
        <f t="shared" si="18"/>
        <v>52.101753166199998</v>
      </c>
      <c r="I108" s="878" t="str">
        <f>IF(VLOOKUP($A108,'7b erosió costa'!$A$4:$AP$401,9,FALSE)&gt;0,VLOOKUP($A108,'7b erosió costa'!$A$4:$AP$401,9,FALSE),"")</f>
        <v/>
      </c>
      <c r="J108" s="870">
        <f>VLOOKUP(A108,copcalor,'1b.Cops de calor'!Z$1,FALSE)/1000000</f>
        <v>12.266281306343231</v>
      </c>
      <c r="K108" s="870">
        <f>VLOOKUP($B108,'2b.Incendis forestals'!$B$4:$P$314,14,FALSE)/1000000</f>
        <v>0</v>
      </c>
      <c r="L108" s="870">
        <f>VLOOKUP($B108,'3b aigua'!$B$4:$K$314,9,FALSE)/1000000</f>
        <v>33.753015413063025</v>
      </c>
      <c r="M108" s="918">
        <f t="shared" si="19"/>
        <v>2.3135524445401678</v>
      </c>
      <c r="N108" s="918">
        <f t="shared" si="20"/>
        <v>3.4989512918371739</v>
      </c>
      <c r="O108" s="918">
        <f t="shared" si="21"/>
        <v>159.55744066080001</v>
      </c>
      <c r="P108" s="918" t="str">
        <f>IF(VLOOKUP($A108,'7b erosió costa'!$A$4:$AP$401,42,FALSE)&gt;0,VLOOKUP($A108,'7b erosió costa'!$A$4:$AP$401,42,FALSE),"")</f>
        <v/>
      </c>
      <c r="Q108" s="863">
        <f t="shared" si="29"/>
        <v>10.058546028568333</v>
      </c>
      <c r="R108" s="864">
        <f t="shared" si="22"/>
        <v>0</v>
      </c>
      <c r="S108" s="863">
        <f t="shared" si="23"/>
        <v>15.380443220018542</v>
      </c>
      <c r="T108" s="864">
        <f t="shared" si="24"/>
        <v>2.3135524445401678</v>
      </c>
      <c r="U108" s="864">
        <f t="shared" si="25"/>
        <v>0.44842706181348291</v>
      </c>
      <c r="V108" s="864">
        <f t="shared" si="25"/>
        <v>107.45568749460001</v>
      </c>
      <c r="W108" s="864" t="str">
        <f t="shared" si="30"/>
        <v/>
      </c>
      <c r="X108" s="1067">
        <f t="shared" si="26"/>
        <v>135.65665624954053</v>
      </c>
      <c r="Y108" s="826">
        <f>VLOOKUP(B108,'BD ASVICC'!$A$6:$Y$316,24,FALSE)</f>
        <v>13247</v>
      </c>
      <c r="Z108" s="826" t="str">
        <f t="shared" si="27"/>
        <v>c 5.000 a 20.000 hab.</v>
      </c>
      <c r="AA108" s="826">
        <f t="shared" si="28"/>
        <v>10240.556824151923</v>
      </c>
    </row>
    <row r="109" spans="1:27" s="826" customFormat="1" ht="45">
      <c r="A109" s="835">
        <v>8106</v>
      </c>
      <c r="B109" s="826" t="s">
        <v>1149</v>
      </c>
      <c r="C109" s="878">
        <f>VLOOKUP(A109,copcalor,'1b.Cops de calor'!P$1,FALSE)/1000000</f>
        <v>2.3422883355958843</v>
      </c>
      <c r="D109" s="879">
        <f>VLOOKUP($B109,'2b.Incendis forestals'!$B$4:$P$314,9,FALSE)/1000000</f>
        <v>0.51682046362614631</v>
      </c>
      <c r="E109" s="878">
        <f>VLOOKUP($B109,'3b aigua'!$B$4:$K$314,8,FALSE)/1000000</f>
        <v>29.783206573581975</v>
      </c>
      <c r="F109" s="879">
        <f t="shared" si="16"/>
        <v>2.8546962499999999</v>
      </c>
      <c r="G109" s="879">
        <f t="shared" si="17"/>
        <v>4.6268819999999993</v>
      </c>
      <c r="H109" s="879">
        <f t="shared" si="18"/>
        <v>94.174929786749999</v>
      </c>
      <c r="I109" s="878" t="str">
        <f>IF(VLOOKUP($A109,'7b erosió costa'!$A$4:$AP$401,9,FALSE)&gt;0,VLOOKUP($A109,'7b erosió costa'!$A$4:$AP$401,9,FALSE),"")</f>
        <v/>
      </c>
      <c r="J109" s="870">
        <f>VLOOKUP(A109,copcalor,'1b.Cops de calor'!Z$1,FALSE)/1000000</f>
        <v>13.334780310918482</v>
      </c>
      <c r="K109" s="870">
        <f>VLOOKUP($B109,'2b.Incendis forestals'!$B$4:$P$314,14,FALSE)/1000000</f>
        <v>1.4212562749719024</v>
      </c>
      <c r="L109" s="870">
        <f>VLOOKUP($B109,'3b aigua'!$B$4:$K$314,9,FALSE)/1000000</f>
        <v>54.715965732284914</v>
      </c>
      <c r="M109" s="918">
        <f t="shared" si="19"/>
        <v>21.01902527548345</v>
      </c>
      <c r="N109" s="918">
        <f t="shared" si="20"/>
        <v>5.3070336539999996</v>
      </c>
      <c r="O109" s="918">
        <f t="shared" si="21"/>
        <v>121.42635546690002</v>
      </c>
      <c r="P109" s="918" t="str">
        <f>IF(VLOOKUP($A109,'7b erosió costa'!$A$4:$AP$401,42,FALSE)&gt;0,VLOOKUP($A109,'7b erosió costa'!$A$4:$AP$401,42,FALSE),"")</f>
        <v/>
      </c>
      <c r="Q109" s="863">
        <f t="shared" si="29"/>
        <v>10.992491975322597</v>
      </c>
      <c r="R109" s="864">
        <f t="shared" si="22"/>
        <v>0.90443581134575612</v>
      </c>
      <c r="S109" s="863">
        <f t="shared" si="23"/>
        <v>24.93275915870294</v>
      </c>
      <c r="T109" s="864">
        <f t="shared" si="24"/>
        <v>18.16432902548345</v>
      </c>
      <c r="U109" s="864">
        <f t="shared" si="25"/>
        <v>0.68015165400000033</v>
      </c>
      <c r="V109" s="864">
        <f t="shared" si="25"/>
        <v>27.251425680150021</v>
      </c>
      <c r="W109" s="864" t="str">
        <f t="shared" si="30"/>
        <v/>
      </c>
      <c r="X109" s="1067">
        <f t="shared" si="26"/>
        <v>82.925593305004767</v>
      </c>
      <c r="Y109" s="826">
        <f>VLOOKUP(B109,'BD ASVICC'!$A$6:$Y$316,24,FALSE)</f>
        <v>9717</v>
      </c>
      <c r="Z109" s="826" t="str">
        <f t="shared" si="27"/>
        <v>c 5.000 a 20.000 hab.</v>
      </c>
      <c r="AA109" s="826">
        <f t="shared" si="28"/>
        <v>8534.0736137701715</v>
      </c>
    </row>
    <row r="110" spans="1:27" s="826" customFormat="1" ht="45">
      <c r="A110" s="835">
        <v>8107</v>
      </c>
      <c r="B110" s="826" t="s">
        <v>1155</v>
      </c>
      <c r="C110" s="878">
        <f>VLOOKUP(A110,copcalor,'1b.Cops de calor'!P$1,FALSE)/1000000</f>
        <v>2.5460811751606651</v>
      </c>
      <c r="D110" s="879">
        <f>VLOOKUP($B110,'2b.Incendis forestals'!$B$4:$P$314,9,FALSE)/1000000</f>
        <v>0.23860284376136356</v>
      </c>
      <c r="E110" s="878">
        <f>VLOOKUP($B110,'3b aigua'!$B$4:$K$314,8,FALSE)/1000000</f>
        <v>33.876058871017918</v>
      </c>
      <c r="F110" s="879">
        <f t="shared" si="16"/>
        <v>5.6027824999999991</v>
      </c>
      <c r="G110" s="879">
        <f t="shared" si="17"/>
        <v>2.047266</v>
      </c>
      <c r="H110" s="879">
        <f t="shared" si="18"/>
        <v>59.682417441450006</v>
      </c>
      <c r="I110" s="878" t="str">
        <f>IF(VLOOKUP($A110,'7b erosió costa'!$A$4:$AP$401,9,FALSE)&gt;0,VLOOKUP($A110,'7b erosió costa'!$A$4:$AP$401,9,FALSE),"")</f>
        <v/>
      </c>
      <c r="J110" s="870">
        <f>VLOOKUP(A110,copcalor,'1b.Cops de calor'!Z$1,FALSE)/1000000</f>
        <v>13.944777893827759</v>
      </c>
      <c r="K110" s="870">
        <f>VLOOKUP($B110,'2b.Incendis forestals'!$B$4:$P$314,14,FALSE)/1000000</f>
        <v>0.6561578203437497</v>
      </c>
      <c r="L110" s="870">
        <f>VLOOKUP($B110,'3b aigua'!$B$4:$K$314,9,FALSE)/1000000</f>
        <v>62.235114669473219</v>
      </c>
      <c r="M110" s="918">
        <f t="shared" si="19"/>
        <v>37.645845100089261</v>
      </c>
      <c r="N110" s="918">
        <f t="shared" si="20"/>
        <v>2.348214102</v>
      </c>
      <c r="O110" s="918">
        <f t="shared" si="21"/>
        <v>67.7302755873</v>
      </c>
      <c r="P110" s="918" t="str">
        <f>IF(VLOOKUP($A110,'7b erosió costa'!$A$4:$AP$401,42,FALSE)&gt;0,VLOOKUP($A110,'7b erosió costa'!$A$4:$AP$401,42,FALSE),"")</f>
        <v/>
      </c>
      <c r="Q110" s="863">
        <f t="shared" si="29"/>
        <v>11.398696718667093</v>
      </c>
      <c r="R110" s="864">
        <f t="shared" si="22"/>
        <v>0.41755497658238616</v>
      </c>
      <c r="S110" s="863">
        <f t="shared" si="23"/>
        <v>28.359055798455302</v>
      </c>
      <c r="T110" s="864">
        <f t="shared" si="24"/>
        <v>32.043062600089264</v>
      </c>
      <c r="U110" s="864">
        <f t="shared" si="25"/>
        <v>0.300948102</v>
      </c>
      <c r="V110" s="864">
        <f t="shared" si="25"/>
        <v>8.0478581458499932</v>
      </c>
      <c r="W110" s="864" t="str">
        <f t="shared" si="30"/>
        <v/>
      </c>
      <c r="X110" s="1067">
        <f t="shared" si="26"/>
        <v>80.567176341644057</v>
      </c>
      <c r="Y110" s="826">
        <f>VLOOKUP(B110,'BD ASVICC'!$A$6:$Y$316,24,FALSE)</f>
        <v>14759</v>
      </c>
      <c r="Z110" s="826" t="str">
        <f t="shared" si="27"/>
        <v>c 5.000 a 20.000 hab.</v>
      </c>
      <c r="AA110" s="826">
        <f t="shared" si="28"/>
        <v>5458.8506227823063</v>
      </c>
    </row>
    <row r="111" spans="1:27" s="826" customFormat="1" ht="45">
      <c r="A111" s="835">
        <v>8108</v>
      </c>
      <c r="B111" s="826" t="s">
        <v>1158</v>
      </c>
      <c r="C111" s="878">
        <f>VLOOKUP(A111,copcalor,'1b.Cops de calor'!P$1,FALSE)/1000000</f>
        <v>1.1933417040973935</v>
      </c>
      <c r="D111" s="879">
        <f>VLOOKUP($B111,'2b.Incendis forestals'!$B$4:$P$314,9,FALSE)/1000000</f>
        <v>7.9839010300737243E-2</v>
      </c>
      <c r="E111" s="878">
        <f>VLOOKUP($B111,'3b aigua'!$B$4:$K$314,8,FALSE)/1000000</f>
        <v>15.147857540189866</v>
      </c>
      <c r="F111" s="879">
        <f t="shared" si="16"/>
        <v>2.0683799999999999</v>
      </c>
      <c r="G111" s="879">
        <f t="shared" si="17"/>
        <v>0.42892200000000003</v>
      </c>
      <c r="H111" s="879">
        <f t="shared" si="18"/>
        <v>48.216419195249998</v>
      </c>
      <c r="I111" s="878" t="str">
        <f>IF(VLOOKUP($A111,'7b erosió costa'!$A$4:$AP$401,9,FALSE)&gt;0,VLOOKUP($A111,'7b erosió costa'!$A$4:$AP$401,9,FALSE),"")</f>
        <v/>
      </c>
      <c r="J111" s="870">
        <f>VLOOKUP(A111,copcalor,'1b.Cops de calor'!Z$1,FALSE)/1000000</f>
        <v>6.5852831447715161</v>
      </c>
      <c r="K111" s="870">
        <f>VLOOKUP($B111,'2b.Incendis forestals'!$B$4:$P$314,14,FALSE)/1000000</f>
        <v>0.21955727832702743</v>
      </c>
      <c r="L111" s="870">
        <f>VLOOKUP($B111,'3b aigua'!$B$4:$K$314,9,FALSE)/1000000</f>
        <v>27.828758197639583</v>
      </c>
      <c r="M111" s="918">
        <f t="shared" si="19"/>
        <v>15.943092326870886</v>
      </c>
      <c r="N111" s="918">
        <f t="shared" si="20"/>
        <v>0.49197353400000005</v>
      </c>
      <c r="O111" s="918">
        <f t="shared" si="21"/>
        <v>56.349541089900001</v>
      </c>
      <c r="P111" s="918" t="str">
        <f>IF(VLOOKUP($A111,'7b erosió costa'!$A$4:$AP$401,42,FALSE)&gt;0,VLOOKUP($A111,'7b erosió costa'!$A$4:$AP$401,42,FALSE),"")</f>
        <v/>
      </c>
      <c r="Q111" s="863">
        <f t="shared" si="29"/>
        <v>5.3919414406741222</v>
      </c>
      <c r="R111" s="864">
        <f t="shared" si="22"/>
        <v>0.13971826802629017</v>
      </c>
      <c r="S111" s="863">
        <f t="shared" si="23"/>
        <v>12.680900657449717</v>
      </c>
      <c r="T111" s="864">
        <f t="shared" si="24"/>
        <v>13.874712326870887</v>
      </c>
      <c r="U111" s="864">
        <f t="shared" si="25"/>
        <v>6.305153400000002E-2</v>
      </c>
      <c r="V111" s="864">
        <f t="shared" si="25"/>
        <v>8.133121894650003</v>
      </c>
      <c r="W111" s="864" t="str">
        <f t="shared" si="30"/>
        <v/>
      </c>
      <c r="X111" s="1067">
        <f t="shared" si="26"/>
        <v>40.28344612167102</v>
      </c>
      <c r="Y111" s="826">
        <f>VLOOKUP(B111,'BD ASVICC'!$A$6:$Y$316,24,FALSE)</f>
        <v>6370</v>
      </c>
      <c r="Z111" s="826" t="str">
        <f t="shared" si="27"/>
        <v>c 5.000 a 20.000 hab.</v>
      </c>
      <c r="AA111" s="826">
        <f t="shared" si="28"/>
        <v>6323.9318872324993</v>
      </c>
    </row>
    <row r="112" spans="1:27" s="826" customFormat="1" ht="30">
      <c r="A112" s="835">
        <v>8109</v>
      </c>
      <c r="B112" s="826" t="s">
        <v>1160</v>
      </c>
      <c r="C112" s="878">
        <f>VLOOKUP(A112,copcalor,'1b.Cops de calor'!P$1,FALSE)/1000000</f>
        <v>5.2642927741833236E-4</v>
      </c>
      <c r="D112" s="879">
        <f>VLOOKUP($B112,'2b.Incendis forestals'!$B$4:$P$314,9,FALSE)/1000000</f>
        <v>0.46270156895317466</v>
      </c>
      <c r="E112" s="878">
        <f>VLOOKUP($B112,'3b aigua'!$B$4:$K$314,8,FALSE)/1000000</f>
        <v>0.73742265590442657</v>
      </c>
      <c r="F112" s="879">
        <f t="shared" si="16"/>
        <v>6.3599600000000001</v>
      </c>
      <c r="G112" s="879">
        <f t="shared" si="17"/>
        <v>11.191517999999999</v>
      </c>
      <c r="H112" s="879">
        <f t="shared" si="18"/>
        <v>0</v>
      </c>
      <c r="I112" s="878" t="str">
        <f>IF(VLOOKUP($A112,'7b erosió costa'!$A$4:$AP$401,9,FALSE)&gt;0,VLOOKUP($A112,'7b erosió costa'!$A$4:$AP$401,9,FALSE),"")</f>
        <v/>
      </c>
      <c r="J112" s="870">
        <f>VLOOKUP(A112,copcalor,'1b.Cops de calor'!Z$1,FALSE)/1000000</f>
        <v>8.366013307467185E-4</v>
      </c>
      <c r="K112" s="870">
        <f>VLOOKUP($B112,'2b.Incendis forestals'!$B$4:$P$314,14,FALSE)/1000000</f>
        <v>1.2724293146212304</v>
      </c>
      <c r="L112" s="870">
        <f>VLOOKUP($B112,'3b aigua'!$B$4:$K$314,9,FALSE)/1000000</f>
        <v>1.0665424287345322</v>
      </c>
      <c r="M112" s="918">
        <f t="shared" si="19"/>
        <v>28.133938886510201</v>
      </c>
      <c r="N112" s="918">
        <f t="shared" si="20"/>
        <v>12.836671145999997</v>
      </c>
      <c r="O112" s="918">
        <f t="shared" si="21"/>
        <v>0</v>
      </c>
      <c r="P112" s="918" t="str">
        <f>IF(VLOOKUP($A112,'7b erosió costa'!$A$4:$AP$401,42,FALSE)&gt;0,VLOOKUP($A112,'7b erosió costa'!$A$4:$AP$401,42,FALSE),"")</f>
        <v/>
      </c>
      <c r="Q112" s="863">
        <f t="shared" si="29"/>
        <v>3.1017205332838614E-4</v>
      </c>
      <c r="R112" s="864">
        <f t="shared" si="22"/>
        <v>0.80972774566805583</v>
      </c>
      <c r="S112" s="863">
        <f t="shared" si="23"/>
        <v>0.32911977283010563</v>
      </c>
      <c r="T112" s="864">
        <f t="shared" si="24"/>
        <v>21.7739788865102</v>
      </c>
      <c r="U112" s="864">
        <f t="shared" si="25"/>
        <v>1.6451531459999984</v>
      </c>
      <c r="V112" s="864">
        <f t="shared" si="25"/>
        <v>0</v>
      </c>
      <c r="W112" s="864" t="str">
        <f t="shared" si="30"/>
        <v/>
      </c>
      <c r="X112" s="1067">
        <f t="shared" si="26"/>
        <v>24.558289723061687</v>
      </c>
      <c r="Y112" s="826">
        <f>VLOOKUP(B112,'BD ASVICC'!$A$6:$Y$316,24,FALSE)</f>
        <v>280</v>
      </c>
      <c r="Z112" s="826" t="str">
        <f t="shared" si="27"/>
        <v>a &lt; 1.000 hab.</v>
      </c>
      <c r="AA112" s="826">
        <f t="shared" si="28"/>
        <v>87708.177582363176</v>
      </c>
    </row>
    <row r="113" spans="1:27" s="826" customFormat="1" ht="45">
      <c r="A113" s="835">
        <v>8110</v>
      </c>
      <c r="B113" s="826" t="s">
        <v>343</v>
      </c>
      <c r="C113" s="878">
        <f>VLOOKUP(A113,copcalor,'1b.Cops de calor'!P$1,FALSE)/1000000</f>
        <v>6.3008856782570666</v>
      </c>
      <c r="D113" s="879">
        <f>VLOOKUP($B113,'2b.Incendis forestals'!$B$4:$P$314,9,FALSE)/1000000</f>
        <v>0.10539924222060061</v>
      </c>
      <c r="E113" s="878">
        <f>VLOOKUP($B113,'3b aigua'!$B$4:$K$314,8,FALSE)/1000000</f>
        <v>63.5500978530048</v>
      </c>
      <c r="F113" s="879">
        <f t="shared" si="16"/>
        <v>4.8772956250000004</v>
      </c>
      <c r="G113" s="879">
        <f t="shared" si="17"/>
        <v>0.22206599999999999</v>
      </c>
      <c r="H113" s="879">
        <f t="shared" si="18"/>
        <v>184.73240247929999</v>
      </c>
      <c r="I113" s="878">
        <f>IF(VLOOKUP($A113,'7b erosió costa'!$A$4:$AP$401,9,FALSE)&gt;0,VLOOKUP($A113,'7b erosió costa'!$A$4:$AP$401,9,FALSE),"")</f>
        <v>16.969940174672487</v>
      </c>
      <c r="J113" s="870">
        <f>VLOOKUP(A113,copcalor,'1b.Cops de calor'!Z$1,FALSE)/1000000</f>
        <v>37.148190917696979</v>
      </c>
      <c r="K113" s="870">
        <f>VLOOKUP($B113,'2b.Incendis forestals'!$B$4:$P$314,14,FALSE)/1000000</f>
        <v>0.28984791610665173</v>
      </c>
      <c r="L113" s="870">
        <f>VLOOKUP($B113,'3b aigua'!$B$4:$K$314,9,FALSE)/1000000</f>
        <v>116.75052408536429</v>
      </c>
      <c r="M113" s="918">
        <f t="shared" si="19"/>
        <v>44.572802035055645</v>
      </c>
      <c r="N113" s="918">
        <f t="shared" si="20"/>
        <v>0.25470970199999998</v>
      </c>
      <c r="O113" s="918">
        <f t="shared" si="21"/>
        <v>192.79915161884998</v>
      </c>
      <c r="P113" s="918">
        <f>IF(VLOOKUP($A113,'7b erosió costa'!$A$4:$AP$401,42,FALSE)&gt;0,VLOOKUP($A113,'7b erosió costa'!$A$4:$AP$401,42,FALSE),"")</f>
        <v>19.585819338852765</v>
      </c>
      <c r="Q113" s="863">
        <f t="shared" si="29"/>
        <v>30.847305239439912</v>
      </c>
      <c r="R113" s="864">
        <f t="shared" si="22"/>
        <v>0.18444867388605113</v>
      </c>
      <c r="S113" s="863">
        <f t="shared" si="23"/>
        <v>53.20042623235949</v>
      </c>
      <c r="T113" s="864">
        <f t="shared" si="24"/>
        <v>39.695506410055643</v>
      </c>
      <c r="U113" s="864">
        <f t="shared" si="25"/>
        <v>3.2643701999999997E-2</v>
      </c>
      <c r="V113" s="864">
        <f t="shared" si="25"/>
        <v>8.0667491395499837</v>
      </c>
      <c r="W113" s="864">
        <f t="shared" si="30"/>
        <v>2.6158791641802779</v>
      </c>
      <c r="X113" s="1067">
        <f t="shared" si="26"/>
        <v>134.64295856147135</v>
      </c>
      <c r="Y113" s="826">
        <f>VLOOKUP(B113,'BD ASVICC'!$A$6:$Y$316,24,FALSE)</f>
        <v>18295</v>
      </c>
      <c r="Z113" s="826" t="str">
        <f t="shared" si="27"/>
        <v>c 5.000 a 20.000 hab.</v>
      </c>
      <c r="AA113" s="826">
        <f t="shared" si="28"/>
        <v>7359.5495250872555</v>
      </c>
    </row>
    <row r="114" spans="1:27" s="826" customFormat="1" ht="30">
      <c r="A114" s="835">
        <v>8111</v>
      </c>
      <c r="B114" s="826" t="s">
        <v>1171</v>
      </c>
      <c r="C114" s="878">
        <f>VLOOKUP(A114,copcalor,'1b.Cops de calor'!P$1,FALSE)/1000000</f>
        <v>0.10221024972030988</v>
      </c>
      <c r="D114" s="879">
        <f>VLOOKUP($B114,'2b.Incendis forestals'!$B$4:$P$314,9,FALSE)/1000000</f>
        <v>2.0269404078009159E-2</v>
      </c>
      <c r="E114" s="878">
        <f>VLOOKUP($B114,'3b aigua'!$B$4:$K$314,8,FALSE)/1000000</f>
        <v>0.5168807540474667</v>
      </c>
      <c r="F114" s="879">
        <f t="shared" si="16"/>
        <v>5.5249968749999994</v>
      </c>
      <c r="G114" s="879">
        <f t="shared" si="17"/>
        <v>17.21772</v>
      </c>
      <c r="H114" s="879">
        <f t="shared" si="18"/>
        <v>0.11477052674999999</v>
      </c>
      <c r="I114" s="878" t="str">
        <f>IF(VLOOKUP($A114,'7b erosió costa'!$A$4:$AP$401,9,FALSE)&gt;0,VLOOKUP($A114,'7b erosió costa'!$A$4:$AP$401,9,FALSE),"")</f>
        <v/>
      </c>
      <c r="J114" s="870">
        <f>VLOOKUP(A114,copcalor,'1b.Cops de calor'!Z$1,FALSE)/1000000</f>
        <v>0.59488390074667075</v>
      </c>
      <c r="K114" s="870">
        <f>VLOOKUP($B114,'2b.Incendis forestals'!$B$4:$P$314,14,FALSE)/1000000</f>
        <v>5.5740861214525192E-2</v>
      </c>
      <c r="L114" s="870">
        <f>VLOOKUP($B114,'3b aigua'!$B$4:$K$314,9,FALSE)/1000000</f>
        <v>0.74757027109751462</v>
      </c>
      <c r="M114" s="918">
        <f t="shared" si="19"/>
        <v>25.141827086740854</v>
      </c>
      <c r="N114" s="918">
        <f t="shared" si="20"/>
        <v>19.748724839999998</v>
      </c>
      <c r="O114" s="918">
        <f t="shared" si="21"/>
        <v>0.29129643105000003</v>
      </c>
      <c r="P114" s="918" t="str">
        <f>IF(VLOOKUP($A114,'7b erosió costa'!$A$4:$AP$401,42,FALSE)&gt;0,VLOOKUP($A114,'7b erosió costa'!$A$4:$AP$401,42,FALSE),"")</f>
        <v/>
      </c>
      <c r="Q114" s="863">
        <f t="shared" si="29"/>
        <v>0.49267365102636085</v>
      </c>
      <c r="R114" s="864">
        <f t="shared" si="22"/>
        <v>3.5471457136516032E-2</v>
      </c>
      <c r="S114" s="863">
        <f t="shared" si="23"/>
        <v>0.23068951705004792</v>
      </c>
      <c r="T114" s="864">
        <f t="shared" si="24"/>
        <v>19.616830211740854</v>
      </c>
      <c r="U114" s="864">
        <f t="shared" si="25"/>
        <v>2.5310048399999978</v>
      </c>
      <c r="V114" s="864">
        <f t="shared" si="25"/>
        <v>0.17652590430000004</v>
      </c>
      <c r="W114" s="864" t="str">
        <f t="shared" si="30"/>
        <v/>
      </c>
      <c r="X114" s="1067">
        <f t="shared" si="26"/>
        <v>23.083195581253776</v>
      </c>
      <c r="Y114" s="826">
        <f>VLOOKUP(B114,'BD ASVICC'!$A$6:$Y$316,24,FALSE)</f>
        <v>267</v>
      </c>
      <c r="Z114" s="826" t="str">
        <f t="shared" si="27"/>
        <v>a &lt; 1.000 hab.</v>
      </c>
      <c r="AA114" s="826">
        <f t="shared" si="28"/>
        <v>86453.916034658338</v>
      </c>
    </row>
    <row r="115" spans="1:27" s="826" customFormat="1" ht="45">
      <c r="A115" s="835">
        <v>8112</v>
      </c>
      <c r="B115" s="826" t="s">
        <v>721</v>
      </c>
      <c r="C115" s="878">
        <f>VLOOKUP(A115,copcalor,'1b.Cops de calor'!P$1,FALSE)/1000000</f>
        <v>8.6474390135846804</v>
      </c>
      <c r="D115" s="879">
        <f>VLOOKUP($B115,'2b.Incendis forestals'!$B$4:$P$314,9,FALSE)/1000000</f>
        <v>2.155080318638905E-2</v>
      </c>
      <c r="E115" s="878">
        <f>VLOOKUP($B115,'3b aigua'!$B$4:$K$314,8,FALSE)/1000000</f>
        <v>28.895482765352423</v>
      </c>
      <c r="F115" s="879">
        <f t="shared" si="16"/>
        <v>7.7735581249999992</v>
      </c>
      <c r="G115" s="879">
        <f t="shared" si="17"/>
        <v>27.225899999999996</v>
      </c>
      <c r="H115" s="879">
        <f t="shared" si="18"/>
        <v>100.96460620380002</v>
      </c>
      <c r="I115" s="878" t="str">
        <f>IF(VLOOKUP($A115,'7b erosió costa'!$A$4:$AP$401,9,FALSE)&gt;0,VLOOKUP($A115,'7b erosió costa'!$A$4:$AP$401,9,FALSE),"")</f>
        <v/>
      </c>
      <c r="J115" s="870">
        <f>VLOOKUP(A115,copcalor,'1b.Cops de calor'!Z$1,FALSE)/1000000</f>
        <v>50.5008766970452</v>
      </c>
      <c r="K115" s="870">
        <f>VLOOKUP($B115,'2b.Incendis forestals'!$B$4:$P$314,14,FALSE)/1000000</f>
        <v>5.9264708762569888E-2</v>
      </c>
      <c r="L115" s="870">
        <f>VLOOKUP($B115,'3b aigua'!$B$4:$K$314,9,FALSE)/1000000</f>
        <v>41.791851825081416</v>
      </c>
      <c r="M115" s="918">
        <f t="shared" si="19"/>
        <v>47.725624492758726</v>
      </c>
      <c r="N115" s="918">
        <f t="shared" si="20"/>
        <v>31.228107299999994</v>
      </c>
      <c r="O115" s="918">
        <f t="shared" si="21"/>
        <v>122.20302394680002</v>
      </c>
      <c r="P115" s="918" t="str">
        <f>IF(VLOOKUP($A115,'7b erosió costa'!$A$4:$AP$401,42,FALSE)&gt;0,VLOOKUP($A115,'7b erosió costa'!$A$4:$AP$401,42,FALSE),"")</f>
        <v/>
      </c>
      <c r="Q115" s="863">
        <f t="shared" si="29"/>
        <v>41.85343768346052</v>
      </c>
      <c r="R115" s="864">
        <f t="shared" si="22"/>
        <v>3.7713905576180838E-2</v>
      </c>
      <c r="S115" s="863">
        <f t="shared" si="23"/>
        <v>12.896369059728993</v>
      </c>
      <c r="T115" s="864">
        <f t="shared" si="24"/>
        <v>39.952066367758725</v>
      </c>
      <c r="U115" s="864">
        <f t="shared" si="25"/>
        <v>4.0022072999999985</v>
      </c>
      <c r="V115" s="864">
        <f t="shared" si="25"/>
        <v>21.238417742999999</v>
      </c>
      <c r="W115" s="864" t="str">
        <f t="shared" si="30"/>
        <v/>
      </c>
      <c r="X115" s="1067">
        <f t="shared" si="26"/>
        <v>119.9802120595244</v>
      </c>
      <c r="Y115" s="826">
        <f>VLOOKUP(B115,'BD ASVICC'!$A$6:$Y$316,24,FALSE)</f>
        <v>20104</v>
      </c>
      <c r="Z115" s="826" t="str">
        <f t="shared" si="27"/>
        <v>d 20.000 a 50.000 hab.</v>
      </c>
      <c r="AA115" s="826">
        <f t="shared" si="28"/>
        <v>5967.9771219421209</v>
      </c>
    </row>
    <row r="116" spans="1:27" s="826" customFormat="1" ht="45">
      <c r="A116" s="835">
        <v>8113</v>
      </c>
      <c r="B116" s="826" t="s">
        <v>699</v>
      </c>
      <c r="C116" s="878">
        <f>VLOOKUP(A116,copcalor,'1b.Cops de calor'!P$1,FALSE)/1000000</f>
        <v>74.390861982869239</v>
      </c>
      <c r="D116" s="879">
        <f>VLOOKUP($B116,'2b.Incendis forestals'!$B$4:$P$314,9,FALSE)/1000000</f>
        <v>1.9752647368997174</v>
      </c>
      <c r="E116" s="878">
        <f>VLOOKUP($B116,'3b aigua'!$B$4:$K$314,8,FALSE)/1000000</f>
        <v>140.94793599125757</v>
      </c>
      <c r="F116" s="879">
        <f t="shared" si="16"/>
        <v>8.8356118749999997</v>
      </c>
      <c r="G116" s="879">
        <f t="shared" si="17"/>
        <v>16.341623999999996</v>
      </c>
      <c r="H116" s="879">
        <f t="shared" si="18"/>
        <v>45.439979500650004</v>
      </c>
      <c r="I116" s="878" t="str">
        <f>IF(VLOOKUP($A116,'7b erosió costa'!$A$4:$AP$401,9,FALSE)&gt;0,VLOOKUP($A116,'7b erosió costa'!$A$4:$AP$401,9,FALSE),"")</f>
        <v/>
      </c>
      <c r="J116" s="870">
        <f>VLOOKUP(A116,copcalor,'1b.Cops de calor'!Z$1,FALSE)/1000000</f>
        <v>379.2436607623489</v>
      </c>
      <c r="K116" s="870">
        <f>VLOOKUP($B116,'2b.Incendis forestals'!$B$4:$P$314,14,FALSE)/1000000</f>
        <v>5.4319780264742237</v>
      </c>
      <c r="L116" s="870">
        <f>VLOOKUP($B116,'3b aigua'!$B$4:$K$314,9,FALSE)/1000000</f>
        <v>203.85453684341144</v>
      </c>
      <c r="M116" s="918">
        <f t="shared" si="19"/>
        <v>59.656998047972479</v>
      </c>
      <c r="N116" s="918">
        <f t="shared" si="20"/>
        <v>18.743842727999997</v>
      </c>
      <c r="O116" s="918">
        <f t="shared" si="21"/>
        <v>71.264428661550014</v>
      </c>
      <c r="P116" s="918" t="str">
        <f>IF(VLOOKUP($A116,'7b erosió costa'!$A$4:$AP$401,42,FALSE)&gt;0,VLOOKUP($A116,'7b erosió costa'!$A$4:$AP$401,42,FALSE),"")</f>
        <v/>
      </c>
      <c r="Q116" s="863">
        <f t="shared" si="29"/>
        <v>304.85279877947966</v>
      </c>
      <c r="R116" s="864">
        <f t="shared" si="22"/>
        <v>3.4567132895745063</v>
      </c>
      <c r="S116" s="863">
        <f t="shared" si="23"/>
        <v>62.906600852153872</v>
      </c>
      <c r="T116" s="864">
        <f t="shared" si="24"/>
        <v>50.821386172972481</v>
      </c>
      <c r="U116" s="864">
        <f t="shared" si="25"/>
        <v>2.4022187280000011</v>
      </c>
      <c r="V116" s="864">
        <f t="shared" si="25"/>
        <v>25.824449160900009</v>
      </c>
      <c r="W116" s="864" t="str">
        <f t="shared" si="30"/>
        <v/>
      </c>
      <c r="X116" s="1067">
        <f t="shared" si="26"/>
        <v>450.26416698308054</v>
      </c>
      <c r="Y116" s="826">
        <f>VLOOKUP(B116,'BD ASVICC'!$A$6:$Y$316,24,FALSE)</f>
        <v>74752</v>
      </c>
      <c r="Z116" s="826" t="str">
        <f t="shared" si="27"/>
        <v>e &gt;50.000 hab.</v>
      </c>
      <c r="AA116" s="826">
        <f t="shared" si="28"/>
        <v>6023.4397338275976</v>
      </c>
    </row>
    <row r="117" spans="1:27" s="826" customFormat="1" ht="45">
      <c r="A117" s="835">
        <v>8114</v>
      </c>
      <c r="B117" s="826" t="s">
        <v>677</v>
      </c>
      <c r="C117" s="878">
        <f>VLOOKUP(A117,copcalor,'1b.Cops de calor'!P$1,FALSE)/1000000</f>
        <v>23.023624912937088</v>
      </c>
      <c r="D117" s="879">
        <f>VLOOKUP($B117,'2b.Incendis forestals'!$B$4:$P$314,9,FALSE)/1000000</f>
        <v>0.55408800745297548</v>
      </c>
      <c r="E117" s="878">
        <f>VLOOKUP($B117,'3b aigua'!$B$4:$K$314,8,FALSE)/1000000</f>
        <v>159.21116675452322</v>
      </c>
      <c r="F117" s="879">
        <f t="shared" si="16"/>
        <v>0.29065374999999993</v>
      </c>
      <c r="G117" s="879">
        <f t="shared" si="17"/>
        <v>3.042E-3</v>
      </c>
      <c r="H117" s="879">
        <f t="shared" si="18"/>
        <v>62.9160018249</v>
      </c>
      <c r="I117" s="878" t="str">
        <f>IF(VLOOKUP($A117,'7b erosió costa'!$A$4:$AP$401,9,FALSE)&gt;0,VLOOKUP($A117,'7b erosió costa'!$A$4:$AP$401,9,FALSE),"")</f>
        <v/>
      </c>
      <c r="J117" s="870">
        <f>VLOOKUP(A117,copcalor,'1b.Cops de calor'!Z$1,FALSE)/1000000</f>
        <v>135.35298447035819</v>
      </c>
      <c r="K117" s="870">
        <f>VLOOKUP($B117,'2b.Incendis forestals'!$B$4:$P$314,14,FALSE)/1000000</f>
        <v>1.5237420204956826</v>
      </c>
      <c r="L117" s="870">
        <f>VLOOKUP($B117,'3b aigua'!$B$4:$K$314,9,FALSE)/1000000</f>
        <v>292.49344669504762</v>
      </c>
      <c r="M117" s="918">
        <f t="shared" si="19"/>
        <v>6.6189365830001403</v>
      </c>
      <c r="N117" s="918">
        <f t="shared" si="20"/>
        <v>3.4891739999999994E-3</v>
      </c>
      <c r="O117" s="918">
        <f t="shared" si="21"/>
        <v>108.90370647555001</v>
      </c>
      <c r="P117" s="918" t="str">
        <f>IF(VLOOKUP($A117,'7b erosió costa'!$A$4:$AP$401,42,FALSE)&gt;0,VLOOKUP($A117,'7b erosió costa'!$A$4:$AP$401,42,FALSE),"")</f>
        <v/>
      </c>
      <c r="Q117" s="863">
        <f t="shared" si="29"/>
        <v>112.3293595574211</v>
      </c>
      <c r="R117" s="864">
        <f t="shared" si="22"/>
        <v>0.96965401304270715</v>
      </c>
      <c r="S117" s="863">
        <f t="shared" si="23"/>
        <v>133.2822799405244</v>
      </c>
      <c r="T117" s="864">
        <f t="shared" si="24"/>
        <v>6.3282828330001406</v>
      </c>
      <c r="U117" s="864">
        <f t="shared" si="25"/>
        <v>4.471739999999994E-4</v>
      </c>
      <c r="V117" s="864">
        <f t="shared" si="25"/>
        <v>45.987704650650009</v>
      </c>
      <c r="W117" s="864" t="str">
        <f t="shared" si="30"/>
        <v/>
      </c>
      <c r="X117" s="1067">
        <f t="shared" si="26"/>
        <v>298.89772816863837</v>
      </c>
      <c r="Y117" s="826">
        <f>VLOOKUP(B117,'BD ASVICC'!$A$6:$Y$316,24,FALSE)</f>
        <v>27645</v>
      </c>
      <c r="Z117" s="826" t="str">
        <f t="shared" si="27"/>
        <v>d 20.000 a 50.000 hab.</v>
      </c>
      <c r="AA117" s="826">
        <f t="shared" si="28"/>
        <v>10811.999572025261</v>
      </c>
    </row>
    <row r="118" spans="1:27" s="826" customFormat="1" ht="45">
      <c r="A118" s="835">
        <v>8115</v>
      </c>
      <c r="B118" s="826" t="s">
        <v>1183</v>
      </c>
      <c r="C118" s="878">
        <f>VLOOKUP(A118,copcalor,'1b.Cops de calor'!P$1,FALSE)/1000000</f>
        <v>1.3626313620526456</v>
      </c>
      <c r="D118" s="879">
        <f>VLOOKUP($B118,'2b.Incendis forestals'!$B$4:$P$314,9,FALSE)/1000000</f>
        <v>3.809113086867235E-2</v>
      </c>
      <c r="E118" s="878">
        <f>VLOOKUP($B118,'3b aigua'!$B$4:$K$314,8,FALSE)/1000000</f>
        <v>47.202265229536536</v>
      </c>
      <c r="F118" s="879">
        <f t="shared" si="16"/>
        <v>7.843E-2</v>
      </c>
      <c r="G118" s="879">
        <f t="shared" si="17"/>
        <v>3.9545999999999998E-2</v>
      </c>
      <c r="H118" s="879">
        <f t="shared" si="18"/>
        <v>174.09983191920003</v>
      </c>
      <c r="I118" s="878" t="str">
        <f>IF(VLOOKUP($A118,'7b erosió costa'!$A$4:$AP$401,9,FALSE)&gt;0,VLOOKUP($A118,'7b erosió costa'!$A$4:$AP$401,9,FALSE),"")</f>
        <v/>
      </c>
      <c r="J118" s="870">
        <f>VLOOKUP(A118,copcalor,'1b.Cops de calor'!Z$1,FALSE)/1000000</f>
        <v>7.8261908331110241</v>
      </c>
      <c r="K118" s="870">
        <f>VLOOKUP($B118,'2b.Incendis forestals'!$B$4:$P$314,14,FALSE)/1000000</f>
        <v>0.10475060988884896</v>
      </c>
      <c r="L118" s="870">
        <f>VLOOKUP($B118,'3b aigua'!$B$4:$K$314,9,FALSE)/1000000</f>
        <v>86.717241825681825</v>
      </c>
      <c r="M118" s="918">
        <f t="shared" si="19"/>
        <v>1.5216415366740756</v>
      </c>
      <c r="N118" s="918">
        <f t="shared" si="20"/>
        <v>4.535926199999999E-2</v>
      </c>
      <c r="O118" s="918">
        <f t="shared" si="21"/>
        <v>203.22722035859999</v>
      </c>
      <c r="P118" s="918" t="str">
        <f>IF(VLOOKUP($A118,'7b erosió costa'!$A$4:$AP$401,42,FALSE)&gt;0,VLOOKUP($A118,'7b erosió costa'!$A$4:$AP$401,42,FALSE),"")</f>
        <v/>
      </c>
      <c r="Q118" s="863">
        <f t="shared" si="29"/>
        <v>6.4635594710583781</v>
      </c>
      <c r="R118" s="864">
        <f t="shared" si="22"/>
        <v>6.6659479020176604E-2</v>
      </c>
      <c r="S118" s="863">
        <f t="shared" si="23"/>
        <v>39.514976596145289</v>
      </c>
      <c r="T118" s="864">
        <f t="shared" si="24"/>
        <v>1.4432115366740756</v>
      </c>
      <c r="U118" s="864">
        <f t="shared" si="25"/>
        <v>5.8132619999999927E-3</v>
      </c>
      <c r="V118" s="864">
        <f t="shared" si="25"/>
        <v>29.127388439399965</v>
      </c>
      <c r="W118" s="864" t="str">
        <f t="shared" si="30"/>
        <v/>
      </c>
      <c r="X118" s="1067">
        <f t="shared" si="26"/>
        <v>76.621608784297877</v>
      </c>
      <c r="Y118" s="826">
        <f>VLOOKUP(B118,'BD ASVICC'!$A$6:$Y$316,24,FALSE)</f>
        <v>4725</v>
      </c>
      <c r="Z118" s="826" t="str">
        <f t="shared" si="27"/>
        <v>b 1.000 a 5.000 hab.</v>
      </c>
      <c r="AA118" s="826">
        <f t="shared" si="28"/>
        <v>16216.213499322303</v>
      </c>
    </row>
    <row r="119" spans="1:27" s="826" customFormat="1" ht="30">
      <c r="A119" s="835">
        <v>8116</v>
      </c>
      <c r="B119" s="826" t="s">
        <v>1184</v>
      </c>
      <c r="C119" s="878">
        <f>VLOOKUP(A119,copcalor,'1b.Cops de calor'!P$1,FALSE)/1000000</f>
        <v>0.25625125065655902</v>
      </c>
      <c r="D119" s="879">
        <f>VLOOKUP($B119,'2b.Incendis forestals'!$B$4:$P$314,9,FALSE)/1000000</f>
        <v>8.8649520134281456E-2</v>
      </c>
      <c r="E119" s="878">
        <f>VLOOKUP($B119,'3b aigua'!$B$4:$K$314,8,FALSE)/1000000</f>
        <v>1.3080524444437331</v>
      </c>
      <c r="F119" s="879">
        <f t="shared" si="16"/>
        <v>4.3500649999999998</v>
      </c>
      <c r="G119" s="879">
        <f t="shared" si="17"/>
        <v>14.300441999999999</v>
      </c>
      <c r="H119" s="879">
        <f t="shared" si="18"/>
        <v>8.2221652413000008</v>
      </c>
      <c r="I119" s="878" t="str">
        <f>IF(VLOOKUP($A119,'7b erosió costa'!$A$4:$AP$401,9,FALSE)&gt;0,VLOOKUP($A119,'7b erosió costa'!$A$4:$AP$401,9,FALSE),"")</f>
        <v/>
      </c>
      <c r="J119" s="870">
        <f>VLOOKUP(A119,copcalor,'1b.Cops de calor'!Z$1,FALSE)/1000000</f>
        <v>1.4883629171652542</v>
      </c>
      <c r="K119" s="870">
        <f>VLOOKUP($B119,'2b.Incendis forestals'!$B$4:$P$314,14,FALSE)/1000000</f>
        <v>0.24378618036927402</v>
      </c>
      <c r="L119" s="870">
        <f>VLOOKUP($B119,'3b aigua'!$B$4:$K$314,9,FALSE)/1000000</f>
        <v>1.891850514543957</v>
      </c>
      <c r="M119" s="918">
        <f t="shared" si="19"/>
        <v>23.593116881769983</v>
      </c>
      <c r="N119" s="918">
        <f t="shared" si="20"/>
        <v>16.402606973999998</v>
      </c>
      <c r="O119" s="918">
        <f t="shared" si="21"/>
        <v>8.8412253887999999</v>
      </c>
      <c r="P119" s="918" t="str">
        <f>IF(VLOOKUP($A119,'7b erosió costa'!$A$4:$AP$401,42,FALSE)&gt;0,VLOOKUP($A119,'7b erosió costa'!$A$4:$AP$401,42,FALSE),"")</f>
        <v/>
      </c>
      <c r="Q119" s="863">
        <f t="shared" si="29"/>
        <v>1.2321116665086951</v>
      </c>
      <c r="R119" s="864">
        <f t="shared" si="22"/>
        <v>0.15513666023499256</v>
      </c>
      <c r="S119" s="863">
        <f t="shared" si="23"/>
        <v>0.58379807010022389</v>
      </c>
      <c r="T119" s="864">
        <f t="shared" si="24"/>
        <v>19.243051881769983</v>
      </c>
      <c r="U119" s="864">
        <f t="shared" si="25"/>
        <v>2.102164973999999</v>
      </c>
      <c r="V119" s="864">
        <f t="shared" si="25"/>
        <v>0.61906014749999905</v>
      </c>
      <c r="W119" s="864" t="str">
        <f t="shared" si="30"/>
        <v/>
      </c>
      <c r="X119" s="1067">
        <f t="shared" si="26"/>
        <v>23.935323400113894</v>
      </c>
      <c r="Y119" s="826">
        <f>VLOOKUP(B119,'BD ASVICC'!$A$6:$Y$316,24,FALSE)</f>
        <v>714</v>
      </c>
      <c r="Z119" s="826" t="str">
        <f t="shared" si="27"/>
        <v>a &lt; 1.000 hab.</v>
      </c>
      <c r="AA119" s="826">
        <f t="shared" si="28"/>
        <v>33522.861904921425</v>
      </c>
    </row>
    <row r="120" spans="1:27" s="826" customFormat="1" ht="45">
      <c r="A120" s="835">
        <v>8117</v>
      </c>
      <c r="B120" s="826" t="s">
        <v>1187</v>
      </c>
      <c r="C120" s="878">
        <f>VLOOKUP(A120,copcalor,'1b.Cops de calor'!P$1,FALSE)/1000000</f>
        <v>1.3730580561362633</v>
      </c>
      <c r="D120" s="879">
        <f>VLOOKUP($B120,'2b.Incendis forestals'!$B$4:$P$314,9,FALSE)/1000000</f>
        <v>0.12149993364002043</v>
      </c>
      <c r="E120" s="878">
        <f>VLOOKUP($B120,'3b aigua'!$B$4:$K$314,8,FALSE)/1000000</f>
        <v>20.246826038993493</v>
      </c>
      <c r="F120" s="879">
        <f t="shared" si="16"/>
        <v>6.2771812499999999</v>
      </c>
      <c r="G120" s="879">
        <f t="shared" si="17"/>
        <v>38.107133999999995</v>
      </c>
      <c r="H120" s="879">
        <f t="shared" si="18"/>
        <v>36.246266566050004</v>
      </c>
      <c r="I120" s="878" t="str">
        <f>IF(VLOOKUP($A120,'7b erosió costa'!$A$4:$AP$401,9,FALSE)&gt;0,VLOOKUP($A120,'7b erosió costa'!$A$4:$AP$401,9,FALSE),"")</f>
        <v/>
      </c>
      <c r="J120" s="870">
        <f>VLOOKUP(A120,copcalor,'1b.Cops de calor'!Z$1,FALSE)/1000000</f>
        <v>8.02015738433313</v>
      </c>
      <c r="K120" s="870">
        <f>VLOOKUP($B120,'2b.Incendis forestals'!$B$4:$P$314,14,FALSE)/1000000</f>
        <v>0.33412481751005624</v>
      </c>
      <c r="L120" s="870">
        <f>VLOOKUP($B120,'3b aigua'!$B$4:$K$314,9,FALSE)/1000000</f>
        <v>29.283205289250546</v>
      </c>
      <c r="M120" s="918">
        <f t="shared" si="19"/>
        <v>36.079545937953647</v>
      </c>
      <c r="N120" s="918">
        <f t="shared" si="20"/>
        <v>43.708882697999996</v>
      </c>
      <c r="O120" s="918">
        <f t="shared" si="21"/>
        <v>38.446538940449997</v>
      </c>
      <c r="P120" s="918" t="str">
        <f>IF(VLOOKUP($A120,'7b erosió costa'!$A$4:$AP$401,42,FALSE)&gt;0,VLOOKUP($A120,'7b erosió costa'!$A$4:$AP$401,42,FALSE),"")</f>
        <v/>
      </c>
      <c r="Q120" s="863">
        <f t="shared" si="29"/>
        <v>6.6470993281968669</v>
      </c>
      <c r="R120" s="864">
        <f t="shared" si="22"/>
        <v>0.21262488387003581</v>
      </c>
      <c r="S120" s="863">
        <f t="shared" si="23"/>
        <v>9.0363792502570526</v>
      </c>
      <c r="T120" s="864">
        <f t="shared" si="24"/>
        <v>29.802364687953649</v>
      </c>
      <c r="U120" s="864">
        <f t="shared" si="25"/>
        <v>5.6017486980000015</v>
      </c>
      <c r="V120" s="864">
        <f t="shared" si="25"/>
        <v>2.2002723743999937</v>
      </c>
      <c r="W120" s="864" t="str">
        <f t="shared" si="30"/>
        <v/>
      </c>
      <c r="X120" s="1067">
        <f t="shared" si="26"/>
        <v>53.500489222677601</v>
      </c>
      <c r="Y120" s="826">
        <f>VLOOKUP(B120,'BD ASVICC'!$A$6:$Y$316,24,FALSE)</f>
        <v>3170</v>
      </c>
      <c r="Z120" s="826" t="str">
        <f t="shared" si="27"/>
        <v>b 1.000 a 5.000 hab.</v>
      </c>
      <c r="AA120" s="826">
        <f t="shared" si="28"/>
        <v>16877.125937753186</v>
      </c>
    </row>
    <row r="121" spans="1:27" s="826" customFormat="1" ht="45">
      <c r="A121" s="835">
        <v>8118</v>
      </c>
      <c r="B121" s="826" t="s">
        <v>344</v>
      </c>
      <c r="C121" s="878">
        <f>VLOOKUP(A121,copcalor,'1b.Cops de calor'!P$1,FALSE)/1000000</f>
        <v>43.329165579770759</v>
      </c>
      <c r="D121" s="879">
        <f>VLOOKUP($B121,'2b.Incendis forestals'!$B$4:$P$314,9,FALSE)/1000000</f>
        <v>0</v>
      </c>
      <c r="E121" s="878">
        <f>VLOOKUP($B121,'3b aigua'!$B$4:$K$314,8,FALSE)/1000000</f>
        <v>49.38230530203252</v>
      </c>
      <c r="F121" s="879">
        <f t="shared" si="16"/>
        <v>0.28805437499999997</v>
      </c>
      <c r="G121" s="879">
        <f t="shared" si="17"/>
        <v>0</v>
      </c>
      <c r="H121" s="879">
        <f t="shared" si="18"/>
        <v>0</v>
      </c>
      <c r="I121" s="878">
        <f>IF(VLOOKUP($A121,'7b erosió costa'!$A$4:$AP$401,9,FALSE)&gt;0,VLOOKUP($A121,'7b erosió costa'!$A$4:$AP$401,9,FALSE),"")</f>
        <v>34.412671232876718</v>
      </c>
      <c r="J121" s="870">
        <f>VLOOKUP(A121,copcalor,'1b.Cops de calor'!Z$1,FALSE)/1000000</f>
        <v>254.5506556022938</v>
      </c>
      <c r="K121" s="870">
        <f>VLOOKUP($B121,'2b.Incendis forestals'!$B$4:$P$314,14,FALSE)/1000000</f>
        <v>0</v>
      </c>
      <c r="L121" s="870">
        <f>VLOOKUP($B121,'3b aigua'!$B$4:$K$314,9,FALSE)/1000000</f>
        <v>90.722283982811518</v>
      </c>
      <c r="M121" s="918">
        <f t="shared" si="19"/>
        <v>5.7825555319086828</v>
      </c>
      <c r="N121" s="918">
        <f t="shared" si="20"/>
        <v>0</v>
      </c>
      <c r="O121" s="918">
        <f t="shared" si="21"/>
        <v>0</v>
      </c>
      <c r="P121" s="918">
        <f>IF(VLOOKUP($A121,'7b erosió costa'!$A$4:$AP$401,42,FALSE)&gt;0,VLOOKUP($A121,'7b erosió costa'!$A$4:$AP$401,42,FALSE),"")</f>
        <v>39.717309241926493</v>
      </c>
      <c r="Q121" s="863">
        <f t="shared" si="29"/>
        <v>211.22149002252303</v>
      </c>
      <c r="R121" s="864">
        <f t="shared" si="22"/>
        <v>0</v>
      </c>
      <c r="S121" s="863">
        <f t="shared" si="23"/>
        <v>41.339978680778998</v>
      </c>
      <c r="T121" s="864">
        <f t="shared" si="24"/>
        <v>5.494501156908683</v>
      </c>
      <c r="U121" s="864">
        <f t="shared" si="25"/>
        <v>0</v>
      </c>
      <c r="V121" s="864">
        <f t="shared" si="25"/>
        <v>0</v>
      </c>
      <c r="W121" s="864">
        <f t="shared" si="30"/>
        <v>5.3046380090497749</v>
      </c>
      <c r="X121" s="1067">
        <f t="shared" si="26"/>
        <v>263.36060786926043</v>
      </c>
      <c r="Y121" s="826">
        <f>VLOOKUP(B121,'BD ASVICC'!$A$6:$Y$316,24,FALSE)</f>
        <v>23119</v>
      </c>
      <c r="Z121" s="826" t="str">
        <f t="shared" si="27"/>
        <v>d 20.000 a 50.000 hab.</v>
      </c>
      <c r="AA121" s="826">
        <f t="shared" si="28"/>
        <v>11391.522465040029</v>
      </c>
    </row>
    <row r="122" spans="1:27" s="826" customFormat="1" ht="45">
      <c r="A122" s="835">
        <v>8119</v>
      </c>
      <c r="B122" s="826" t="s">
        <v>1194</v>
      </c>
      <c r="C122" s="878">
        <f>VLOOKUP(A122,copcalor,'1b.Cops de calor'!P$1,FALSE)/1000000</f>
        <v>2.9643754471755948</v>
      </c>
      <c r="D122" s="879">
        <f>VLOOKUP($B122,'2b.Incendis forestals'!$B$4:$P$314,9,FALSE)/1000000</f>
        <v>1.0317211209413037</v>
      </c>
      <c r="E122" s="878">
        <f>VLOOKUP($B122,'3b aigua'!$B$4:$K$314,8,FALSE)/1000000</f>
        <v>21.710634987069447</v>
      </c>
      <c r="F122" s="879">
        <f t="shared" si="16"/>
        <v>1.1676437499999999</v>
      </c>
      <c r="G122" s="879">
        <f t="shared" si="17"/>
        <v>3.2275619999999998</v>
      </c>
      <c r="H122" s="879">
        <f t="shared" si="18"/>
        <v>0</v>
      </c>
      <c r="I122" s="878" t="str">
        <f>IF(VLOOKUP($A122,'7b erosió costa'!$A$4:$AP$401,9,FALSE)&gt;0,VLOOKUP($A122,'7b erosió costa'!$A$4:$AP$401,9,FALSE),"")</f>
        <v/>
      </c>
      <c r="J122" s="870">
        <f>VLOOKUP(A122,copcalor,'1b.Cops de calor'!Z$1,FALSE)/1000000</f>
        <v>17.264972010528997</v>
      </c>
      <c r="K122" s="870">
        <f>VLOOKUP($B122,'2b.Incendis forestals'!$B$4:$P$314,14,FALSE)/1000000</f>
        <v>2.8372330825885848</v>
      </c>
      <c r="L122" s="870">
        <f>VLOOKUP($B122,'3b aigua'!$B$4:$K$314,9,FALSE)/1000000</f>
        <v>39.885509206128731</v>
      </c>
      <c r="M122" s="918">
        <f t="shared" si="19"/>
        <v>8.6725688229324973</v>
      </c>
      <c r="N122" s="918">
        <f t="shared" si="20"/>
        <v>3.7020136140000002</v>
      </c>
      <c r="O122" s="918">
        <f t="shared" si="21"/>
        <v>0</v>
      </c>
      <c r="P122" s="918" t="str">
        <f>IF(VLOOKUP($A122,'7b erosió costa'!$A$4:$AP$401,42,FALSE)&gt;0,VLOOKUP($A122,'7b erosió costa'!$A$4:$AP$401,42,FALSE),"")</f>
        <v/>
      </c>
      <c r="Q122" s="863">
        <f t="shared" si="29"/>
        <v>14.300596563353402</v>
      </c>
      <c r="R122" s="864">
        <f t="shared" si="22"/>
        <v>1.805511961647281</v>
      </c>
      <c r="S122" s="863">
        <f t="shared" si="23"/>
        <v>18.174874219059284</v>
      </c>
      <c r="T122" s="864">
        <f t="shared" si="24"/>
        <v>7.5049250729324974</v>
      </c>
      <c r="U122" s="864">
        <f t="shared" si="25"/>
        <v>0.47445161400000035</v>
      </c>
      <c r="V122" s="864">
        <f t="shared" si="25"/>
        <v>0</v>
      </c>
      <c r="W122" s="864" t="str">
        <f t="shared" si="30"/>
        <v/>
      </c>
      <c r="X122" s="1067">
        <f t="shared" si="26"/>
        <v>42.260359430992466</v>
      </c>
      <c r="Y122" s="826">
        <f>VLOOKUP(B122,'BD ASVICC'!$A$6:$Y$316,24,FALSE)</f>
        <v>8386</v>
      </c>
      <c r="Z122" s="826" t="str">
        <f t="shared" si="27"/>
        <v>c 5.000 a 20.000 hab.</v>
      </c>
      <c r="AA122" s="826">
        <f t="shared" si="28"/>
        <v>5039.3941606239532</v>
      </c>
    </row>
    <row r="123" spans="1:27" s="826" customFormat="1" ht="45">
      <c r="A123" s="835">
        <v>8120</v>
      </c>
      <c r="B123" s="826" t="s">
        <v>1197</v>
      </c>
      <c r="C123" s="878">
        <f>VLOOKUP(A123,copcalor,'1b.Cops de calor'!P$1,FALSE)/1000000</f>
        <v>2.454823568140581</v>
      </c>
      <c r="D123" s="879">
        <f>VLOOKUP($B123,'2b.Incendis forestals'!$B$4:$P$314,9,FALSE)/1000000</f>
        <v>2.4247751947026837</v>
      </c>
      <c r="E123" s="878">
        <f>VLOOKUP($B123,'3b aigua'!$B$4:$K$314,8,FALSE)/1000000</f>
        <v>35.347149804258571</v>
      </c>
      <c r="F123" s="879">
        <f t="shared" si="16"/>
        <v>7.1300000000000002E-2</v>
      </c>
      <c r="G123" s="879">
        <f t="shared" si="17"/>
        <v>0.14721474620278965</v>
      </c>
      <c r="H123" s="879">
        <f t="shared" si="18"/>
        <v>1.5706267037999999</v>
      </c>
      <c r="I123" s="878" t="str">
        <f>IF(VLOOKUP($A123,'7b erosió costa'!$A$4:$AP$401,9,FALSE)&gt;0,VLOOKUP($A123,'7b erosió costa'!$A$4:$AP$401,9,FALSE),"")</f>
        <v/>
      </c>
      <c r="J123" s="870">
        <f>VLOOKUP(A123,copcalor,'1b.Cops de calor'!Z$1,FALSE)/1000000</f>
        <v>14.394556941337973</v>
      </c>
      <c r="K123" s="870">
        <f>VLOOKUP($B123,'2b.Incendis forestals'!$B$4:$P$314,14,FALSE)/1000000</f>
        <v>6.6681317854323794</v>
      </c>
      <c r="L123" s="870">
        <f>VLOOKUP($B123,'3b aigua'!$B$4:$K$314,9,FALSE)/1000000</f>
        <v>51.122968218057117</v>
      </c>
      <c r="M123" s="918">
        <f t="shared" si="19"/>
        <v>0.42331579863109409</v>
      </c>
      <c r="N123" s="918">
        <f t="shared" si="20"/>
        <v>0.16885531389459976</v>
      </c>
      <c r="O123" s="918">
        <f t="shared" si="21"/>
        <v>2.3171544909000001</v>
      </c>
      <c r="P123" s="918" t="str">
        <f>IF(VLOOKUP($A123,'7b erosió costa'!$A$4:$AP$401,42,FALSE)&gt;0,VLOOKUP($A123,'7b erosió costa'!$A$4:$AP$401,42,FALSE),"")</f>
        <v/>
      </c>
      <c r="Q123" s="863">
        <f t="shared" si="29"/>
        <v>11.939733373197392</v>
      </c>
      <c r="R123" s="864">
        <f t="shared" si="22"/>
        <v>4.2433565907296957</v>
      </c>
      <c r="S123" s="863">
        <f t="shared" si="23"/>
        <v>15.775818413798547</v>
      </c>
      <c r="T123" s="864">
        <f t="shared" si="24"/>
        <v>0.35201579863109411</v>
      </c>
      <c r="U123" s="864">
        <f t="shared" si="25"/>
        <v>2.1640567691810109E-2</v>
      </c>
      <c r="V123" s="864">
        <f t="shared" si="25"/>
        <v>0.74652778710000023</v>
      </c>
      <c r="W123" s="864" t="str">
        <f t="shared" si="30"/>
        <v/>
      </c>
      <c r="X123" s="1067">
        <f t="shared" si="26"/>
        <v>33.07909253114854</v>
      </c>
      <c r="Y123" s="826">
        <f>VLOOKUP(B123,'BD ASVICC'!$A$6:$Y$316,24,FALSE)</f>
        <v>8984</v>
      </c>
      <c r="Z123" s="826" t="str">
        <f t="shared" si="27"/>
        <v>c 5.000 a 20.000 hab.</v>
      </c>
      <c r="AA123" s="826">
        <f t="shared" si="28"/>
        <v>3682.0005043575843</v>
      </c>
    </row>
    <row r="124" spans="1:27" s="826" customFormat="1" ht="45">
      <c r="A124" s="835">
        <v>8121</v>
      </c>
      <c r="B124" s="826" t="s">
        <v>345</v>
      </c>
      <c r="C124" s="878">
        <f>VLOOKUP(A124,copcalor,'1b.Cops de calor'!P$1,FALSE)/1000000</f>
        <v>231.28644155636974</v>
      </c>
      <c r="D124" s="879">
        <f>VLOOKUP($B124,'2b.Incendis forestals'!$B$4:$P$314,9,FALSE)/1000000</f>
        <v>0.24754071391759386</v>
      </c>
      <c r="E124" s="878">
        <f>VLOOKUP($B124,'3b aigua'!$B$4:$K$314,8,FALSE)/1000000</f>
        <v>300.91859706019858</v>
      </c>
      <c r="F124" s="879">
        <f t="shared" si="16"/>
        <v>3.0740618750000004</v>
      </c>
      <c r="G124" s="879">
        <f t="shared" si="17"/>
        <v>0.85784400000000005</v>
      </c>
      <c r="H124" s="879">
        <f t="shared" si="18"/>
        <v>0</v>
      </c>
      <c r="I124" s="878">
        <f>IF(VLOOKUP($A124,'7b erosió costa'!$A$4:$AP$401,9,FALSE)&gt;0,VLOOKUP($A124,'7b erosió costa'!$A$4:$AP$401,9,FALSE),"")</f>
        <v>15.776844827586206</v>
      </c>
      <c r="J124" s="870">
        <f>VLOOKUP(A124,copcalor,'1b.Cops de calor'!Z$1,FALSE)/1000000</f>
        <v>1358.2689924662341</v>
      </c>
      <c r="K124" s="870">
        <f>VLOOKUP($B124,'2b.Incendis forestals'!$B$4:$P$314,14,FALSE)/1000000</f>
        <v>0.68073696327338296</v>
      </c>
      <c r="L124" s="870">
        <f>VLOOKUP($B124,'3b aigua'!$B$4:$K$314,9,FALSE)/1000000</f>
        <v>552.83005220659356</v>
      </c>
      <c r="M124" s="918">
        <f t="shared" si="19"/>
        <v>36.636818102620502</v>
      </c>
      <c r="N124" s="918">
        <f t="shared" si="20"/>
        <v>0.98394706800000009</v>
      </c>
      <c r="O124" s="918">
        <f t="shared" si="21"/>
        <v>13.056251633699997</v>
      </c>
      <c r="P124" s="918">
        <f>IF(VLOOKUP($A124,'7b erosió costa'!$A$4:$AP$401,42,FALSE)&gt;0,VLOOKUP($A124,'7b erosió costa'!$A$4:$AP$401,42,FALSE),"")</f>
        <v>18.208810953346855</v>
      </c>
      <c r="Q124" s="863">
        <f t="shared" si="29"/>
        <v>1126.9825509098644</v>
      </c>
      <c r="R124" s="864">
        <f t="shared" si="22"/>
        <v>0.4331962493557891</v>
      </c>
      <c r="S124" s="863">
        <f t="shared" si="23"/>
        <v>251.91145514639499</v>
      </c>
      <c r="T124" s="864">
        <f t="shared" si="24"/>
        <v>33.562756227620504</v>
      </c>
      <c r="U124" s="864">
        <f t="shared" si="25"/>
        <v>0.12610306800000004</v>
      </c>
      <c r="V124" s="864">
        <f t="shared" si="25"/>
        <v>13.056251633699997</v>
      </c>
      <c r="W124" s="864">
        <f t="shared" si="30"/>
        <v>2.4319661257606491</v>
      </c>
      <c r="X124" s="1067">
        <f t="shared" si="26"/>
        <v>1428.5042793606963</v>
      </c>
      <c r="Y124" s="826">
        <f>VLOOKUP(B124,'BD ASVICC'!$A$6:$Y$316,24,FALSE)</f>
        <v>125517</v>
      </c>
      <c r="Z124" s="826" t="str">
        <f t="shared" si="27"/>
        <v>e &gt;50.000 hab.</v>
      </c>
      <c r="AA124" s="826">
        <f t="shared" si="28"/>
        <v>11380.962573680827</v>
      </c>
    </row>
    <row r="125" spans="1:27" s="826" customFormat="1" ht="45">
      <c r="A125" s="835">
        <v>8122</v>
      </c>
      <c r="B125" s="826" t="s">
        <v>1204</v>
      </c>
      <c r="C125" s="878">
        <f>VLOOKUP(A125,copcalor,'1b.Cops de calor'!P$1,FALSE)/1000000</f>
        <v>0.50631968578602204</v>
      </c>
      <c r="D125" s="879">
        <f>VLOOKUP($B125,'2b.Incendis forestals'!$B$4:$P$314,9,FALSE)/1000000</f>
        <v>3.3042992903162784</v>
      </c>
      <c r="E125" s="878">
        <f>VLOOKUP($B125,'3b aigua'!$B$4:$K$314,8,FALSE)/1000000</f>
        <v>8.4573331603193598</v>
      </c>
      <c r="F125" s="879">
        <f t="shared" si="16"/>
        <v>2.7165300000000001</v>
      </c>
      <c r="G125" s="879">
        <f t="shared" si="17"/>
        <v>2.8959839999999994</v>
      </c>
      <c r="H125" s="879">
        <f t="shared" si="18"/>
        <v>0.57294216585000002</v>
      </c>
      <c r="I125" s="878" t="str">
        <f>IF(VLOOKUP($A125,'7b erosió costa'!$A$4:$AP$401,9,FALSE)&gt;0,VLOOKUP($A125,'7b erosió costa'!$A$4:$AP$401,9,FALSE),"")</f>
        <v/>
      </c>
      <c r="J125" s="870">
        <f>VLOOKUP(A125,copcalor,'1b.Cops de calor'!Z$1,FALSE)/1000000</f>
        <v>2.9199017214272396</v>
      </c>
      <c r="K125" s="870">
        <f>VLOOKUP($B125,'2b.Incendis forestals'!$B$4:$P$314,14,FALSE)/1000000</f>
        <v>9.0868230483697658</v>
      </c>
      <c r="L125" s="870">
        <f>VLOOKUP($B125,'3b aigua'!$B$4:$K$314,9,FALSE)/1000000</f>
        <v>12.231933175908761</v>
      </c>
      <c r="M125" s="918">
        <f t="shared" si="19"/>
        <v>13.593333946163392</v>
      </c>
      <c r="N125" s="918">
        <f t="shared" si="20"/>
        <v>3.3216936479999992</v>
      </c>
      <c r="O125" s="918">
        <f t="shared" si="21"/>
        <v>1.1028123264000003</v>
      </c>
      <c r="P125" s="918" t="str">
        <f>IF(VLOOKUP($A125,'7b erosió costa'!$A$4:$AP$401,42,FALSE)&gt;0,VLOOKUP($A125,'7b erosió costa'!$A$4:$AP$401,42,FALSE),"")</f>
        <v/>
      </c>
      <c r="Q125" s="863">
        <f t="shared" si="29"/>
        <v>2.4135820356412174</v>
      </c>
      <c r="R125" s="864">
        <f t="shared" si="22"/>
        <v>5.7825237580534878</v>
      </c>
      <c r="S125" s="863">
        <f t="shared" si="23"/>
        <v>3.7746000155894013</v>
      </c>
      <c r="T125" s="864">
        <f t="shared" si="24"/>
        <v>10.876803946163392</v>
      </c>
      <c r="U125" s="864">
        <f t="shared" si="25"/>
        <v>0.42570964799999977</v>
      </c>
      <c r="V125" s="864">
        <f t="shared" si="25"/>
        <v>0.52987016055000025</v>
      </c>
      <c r="W125" s="864" t="str">
        <f t="shared" si="30"/>
        <v/>
      </c>
      <c r="X125" s="1067">
        <f t="shared" si="26"/>
        <v>23.803089563997499</v>
      </c>
      <c r="Y125" s="826">
        <f>VLOOKUP(B125,'BD ASVICC'!$A$6:$Y$316,24,FALSE)</f>
        <v>2282</v>
      </c>
      <c r="Z125" s="826" t="str">
        <f t="shared" si="27"/>
        <v>b 1.000 a 5.000 hab.</v>
      </c>
      <c r="AA125" s="826">
        <f t="shared" si="28"/>
        <v>10430.801737071648</v>
      </c>
    </row>
    <row r="126" spans="1:27" s="826" customFormat="1" ht="45">
      <c r="A126" s="835">
        <v>8123</v>
      </c>
      <c r="B126" s="826" t="s">
        <v>1208</v>
      </c>
      <c r="C126" s="878">
        <f>VLOOKUP(A126,copcalor,'1b.Cops de calor'!P$1,FALSE)/1000000</f>
        <v>21.727396681531591</v>
      </c>
      <c r="D126" s="879">
        <f>VLOOKUP($B126,'2b.Incendis forestals'!$B$4:$P$314,9,FALSE)/1000000</f>
        <v>1.1480205457789743</v>
      </c>
      <c r="E126" s="878">
        <f>VLOOKUP($B126,'3b aigua'!$B$4:$K$314,8,FALSE)/1000000</f>
        <v>41.584909402324485</v>
      </c>
      <c r="F126" s="879">
        <f t="shared" si="16"/>
        <v>0.52527562499999991</v>
      </c>
      <c r="G126" s="879">
        <f t="shared" si="17"/>
        <v>6.9966E-2</v>
      </c>
      <c r="H126" s="879">
        <f t="shared" si="18"/>
        <v>2.9164123800000001</v>
      </c>
      <c r="I126" s="878" t="str">
        <f>IF(VLOOKUP($A126,'7b erosió costa'!$A$4:$AP$401,9,FALSE)&gt;0,VLOOKUP($A126,'7b erosió costa'!$A$4:$AP$401,9,FALSE),"")</f>
        <v/>
      </c>
      <c r="J126" s="870">
        <f>VLOOKUP(A126,copcalor,'1b.Cops de calor'!Z$1,FALSE)/1000000</f>
        <v>127.56956375096085</v>
      </c>
      <c r="K126" s="870">
        <f>VLOOKUP($B126,'2b.Incendis forestals'!$B$4:$P$314,14,FALSE)/1000000</f>
        <v>3.1570565008921787</v>
      </c>
      <c r="L126" s="870">
        <f>VLOOKUP($B126,'3b aigua'!$B$4:$K$314,9,FALSE)/1000000</f>
        <v>76.397364139294055</v>
      </c>
      <c r="M126" s="918">
        <f t="shared" si="19"/>
        <v>5.545147117009952</v>
      </c>
      <c r="N126" s="918">
        <f t="shared" si="20"/>
        <v>8.0251002000000002E-2</v>
      </c>
      <c r="O126" s="918">
        <f t="shared" si="21"/>
        <v>3.18162192</v>
      </c>
      <c r="P126" s="918" t="str">
        <f>IF(VLOOKUP($A126,'7b erosió costa'!$A$4:$AP$401,42,FALSE)&gt;0,VLOOKUP($A126,'7b erosió costa'!$A$4:$AP$401,42,FALSE),"")</f>
        <v/>
      </c>
      <c r="Q126" s="863">
        <f t="shared" si="29"/>
        <v>105.84216706942927</v>
      </c>
      <c r="R126" s="864">
        <f t="shared" si="22"/>
        <v>2.0090359551132044</v>
      </c>
      <c r="S126" s="863">
        <f t="shared" si="23"/>
        <v>34.81245473696957</v>
      </c>
      <c r="T126" s="864">
        <f t="shared" si="24"/>
        <v>5.0198714920099521</v>
      </c>
      <c r="U126" s="864">
        <f t="shared" si="25"/>
        <v>1.0285002000000001E-2</v>
      </c>
      <c r="V126" s="864">
        <f t="shared" si="25"/>
        <v>0.26520953999999985</v>
      </c>
      <c r="W126" s="864" t="str">
        <f t="shared" si="30"/>
        <v/>
      </c>
      <c r="X126" s="1067">
        <f t="shared" si="26"/>
        <v>147.95902379552197</v>
      </c>
      <c r="Y126" s="826">
        <f>VLOOKUP(B126,'BD ASVICC'!$A$6:$Y$316,24,FALSE)</f>
        <v>25359</v>
      </c>
      <c r="Z126" s="826" t="str">
        <f t="shared" si="27"/>
        <v>d 20.000 a 50.000 hab.</v>
      </c>
      <c r="AA126" s="826">
        <f t="shared" si="28"/>
        <v>5834.5764342254024</v>
      </c>
    </row>
    <row r="127" spans="1:27" s="826" customFormat="1" ht="45">
      <c r="A127" s="835">
        <v>8124</v>
      </c>
      <c r="B127" s="826" t="s">
        <v>1214</v>
      </c>
      <c r="C127" s="878">
        <f>VLOOKUP(A127,copcalor,'1b.Cops de calor'!P$1,FALSE)/1000000</f>
        <v>8.2731037640905321</v>
      </c>
      <c r="D127" s="879">
        <f>VLOOKUP($B127,'2b.Incendis forestals'!$B$4:$P$314,9,FALSE)/1000000</f>
        <v>4.9366105605799362E-2</v>
      </c>
      <c r="E127" s="878">
        <f>VLOOKUP($B127,'3b aigua'!$B$4:$K$314,8,FALSE)/1000000</f>
        <v>73.103744507572486</v>
      </c>
      <c r="F127" s="879">
        <f t="shared" si="16"/>
        <v>2.7625043749999998</v>
      </c>
      <c r="G127" s="879">
        <f t="shared" si="17"/>
        <v>0.69661799999999996</v>
      </c>
      <c r="H127" s="879">
        <f t="shared" si="18"/>
        <v>386.06544064215007</v>
      </c>
      <c r="I127" s="878" t="str">
        <f>IF(VLOOKUP($A127,'7b erosió costa'!$A$4:$AP$401,9,FALSE)&gt;0,VLOOKUP($A127,'7b erosió costa'!$A$4:$AP$401,9,FALSE),"")</f>
        <v/>
      </c>
      <c r="J127" s="870">
        <f>VLOOKUP(A127,copcalor,'1b.Cops de calor'!Z$1,FALSE)/1000000</f>
        <v>45.82886245904124</v>
      </c>
      <c r="K127" s="870">
        <f>VLOOKUP($B127,'2b.Incendis forestals'!$B$4:$P$314,14,FALSE)/1000000</f>
        <v>0.13575679041594826</v>
      </c>
      <c r="L127" s="870">
        <f>VLOOKUP($B127,'3b aigua'!$B$4:$K$314,9,FALSE)/1000000</f>
        <v>134.30192513005096</v>
      </c>
      <c r="M127" s="918">
        <f t="shared" si="19"/>
        <v>26.234706265964732</v>
      </c>
      <c r="N127" s="918">
        <f t="shared" si="20"/>
        <v>0.7990208459999999</v>
      </c>
      <c r="O127" s="918">
        <f t="shared" si="21"/>
        <v>473.5838615115</v>
      </c>
      <c r="P127" s="918" t="str">
        <f>IF(VLOOKUP($A127,'7b erosió costa'!$A$4:$AP$401,42,FALSE)&gt;0,VLOOKUP($A127,'7b erosió costa'!$A$4:$AP$401,42,FALSE),"")</f>
        <v/>
      </c>
      <c r="Q127" s="863">
        <f t="shared" si="29"/>
        <v>37.555758694950711</v>
      </c>
      <c r="R127" s="864">
        <f t="shared" si="22"/>
        <v>8.6390684810148902E-2</v>
      </c>
      <c r="S127" s="863">
        <f t="shared" si="23"/>
        <v>61.198180622478475</v>
      </c>
      <c r="T127" s="864">
        <f t="shared" si="24"/>
        <v>23.472201890964733</v>
      </c>
      <c r="U127" s="864">
        <f t="shared" si="25"/>
        <v>0.10240284599999994</v>
      </c>
      <c r="V127" s="864">
        <f t="shared" si="25"/>
        <v>87.518420869349939</v>
      </c>
      <c r="W127" s="864" t="str">
        <f t="shared" si="30"/>
        <v/>
      </c>
      <c r="X127" s="1067">
        <f t="shared" si="26"/>
        <v>209.933355608554</v>
      </c>
      <c r="Y127" s="826">
        <f>VLOOKUP(B127,'BD ASVICC'!$A$6:$Y$316,24,FALSE)</f>
        <v>51491</v>
      </c>
      <c r="Z127" s="826" t="str">
        <f t="shared" si="27"/>
        <v>e &gt;50.000 hab.</v>
      </c>
      <c r="AA127" s="826">
        <f t="shared" si="28"/>
        <v>4077.0883379338916</v>
      </c>
    </row>
    <row r="128" spans="1:27" s="826" customFormat="1" ht="45">
      <c r="A128" s="835">
        <v>8125</v>
      </c>
      <c r="B128" s="826" t="s">
        <v>1220</v>
      </c>
      <c r="C128" s="878">
        <f>VLOOKUP(A128,copcalor,'1b.Cops de calor'!P$1,FALSE)/1000000</f>
        <v>10.034165721663902</v>
      </c>
      <c r="D128" s="879">
        <f>VLOOKUP($B128,'2b.Incendis forestals'!$B$4:$P$314,9,FALSE)/1000000</f>
        <v>1.3122735020171903</v>
      </c>
      <c r="E128" s="878">
        <f>VLOOKUP($B128,'3b aigua'!$B$4:$K$314,8,FALSE)/1000000</f>
        <v>98.144232184975976</v>
      </c>
      <c r="F128" s="879">
        <f t="shared" si="16"/>
        <v>1.3993262499999997</v>
      </c>
      <c r="G128" s="879">
        <f t="shared" si="17"/>
        <v>2.244996</v>
      </c>
      <c r="H128" s="879">
        <f t="shared" si="18"/>
        <v>440.14338650249999</v>
      </c>
      <c r="I128" s="878" t="str">
        <f>IF(VLOOKUP($A128,'7b erosió costa'!$A$4:$AP$401,9,FALSE)&gt;0,VLOOKUP($A128,'7b erosió costa'!$A$4:$AP$401,9,FALSE),"")</f>
        <v/>
      </c>
      <c r="J128" s="870">
        <f>VLOOKUP(A128,copcalor,'1b.Cops de calor'!Z$1,FALSE)/1000000</f>
        <v>58.909663938384249</v>
      </c>
      <c r="K128" s="870">
        <f>VLOOKUP($B128,'2b.Incendis forestals'!$B$4:$P$314,14,FALSE)/1000000</f>
        <v>3.6087521305472725</v>
      </c>
      <c r="L128" s="870">
        <f>VLOOKUP($B128,'3b aigua'!$B$4:$K$314,9,FALSE)/1000000</f>
        <v>180.30484500677835</v>
      </c>
      <c r="M128" s="918">
        <f t="shared" si="19"/>
        <v>7.5357423252322979</v>
      </c>
      <c r="N128" s="918">
        <f t="shared" si="20"/>
        <v>2.5750104120000001</v>
      </c>
      <c r="O128" s="918">
        <f t="shared" si="21"/>
        <v>562.08763893164996</v>
      </c>
      <c r="P128" s="918" t="str">
        <f>IF(VLOOKUP($A128,'7b erosió costa'!$A$4:$AP$401,42,FALSE)&gt;0,VLOOKUP($A128,'7b erosió costa'!$A$4:$AP$401,42,FALSE),"")</f>
        <v/>
      </c>
      <c r="Q128" s="863">
        <f t="shared" si="29"/>
        <v>48.875498216720345</v>
      </c>
      <c r="R128" s="864">
        <f t="shared" si="22"/>
        <v>2.2964786285300822</v>
      </c>
      <c r="S128" s="863">
        <f t="shared" si="23"/>
        <v>82.160612821802374</v>
      </c>
      <c r="T128" s="864">
        <f t="shared" si="24"/>
        <v>6.1364160752322983</v>
      </c>
      <c r="U128" s="864">
        <f t="shared" si="25"/>
        <v>0.33001441200000015</v>
      </c>
      <c r="V128" s="864">
        <f t="shared" si="25"/>
        <v>121.94425242914997</v>
      </c>
      <c r="W128" s="864" t="str">
        <f t="shared" si="30"/>
        <v/>
      </c>
      <c r="X128" s="1067">
        <f t="shared" si="26"/>
        <v>261.74327258343504</v>
      </c>
      <c r="Y128" s="826">
        <f>VLOOKUP(B128,'BD ASVICC'!$A$6:$Y$316,24,FALSE)</f>
        <v>34802</v>
      </c>
      <c r="Z128" s="826" t="str">
        <f t="shared" si="27"/>
        <v>d 20.000 a 50.000 hab.</v>
      </c>
      <c r="AA128" s="826">
        <f t="shared" si="28"/>
        <v>7520.9261704337405</v>
      </c>
    </row>
    <row r="129" spans="1:27" s="826" customFormat="1" ht="45">
      <c r="A129" s="835">
        <v>8126</v>
      </c>
      <c r="B129" s="826" t="s">
        <v>346</v>
      </c>
      <c r="C129" s="878">
        <f>VLOOKUP(A129,copcalor,'1b.Cops de calor'!P$1,FALSE)/1000000</f>
        <v>13.774150094322462</v>
      </c>
      <c r="D129" s="879">
        <f>VLOOKUP($B129,'2b.Incendis forestals'!$B$4:$P$314,9,FALSE)/1000000</f>
        <v>0</v>
      </c>
      <c r="E129" s="878">
        <f>VLOOKUP($B129,'3b aigua'!$B$4:$K$314,8,FALSE)/1000000</f>
        <v>23.796333563351041</v>
      </c>
      <c r="F129" s="879">
        <f t="shared" si="16"/>
        <v>0.118610625</v>
      </c>
      <c r="G129" s="879">
        <f t="shared" si="17"/>
        <v>1.4254709999999999</v>
      </c>
      <c r="H129" s="879">
        <f t="shared" si="18"/>
        <v>0</v>
      </c>
      <c r="I129" s="878">
        <f>IF(VLOOKUP($A129,'7b erosió costa'!$A$4:$AP$401,9,FALSE)&gt;0,VLOOKUP($A129,'7b erosió costa'!$A$4:$AP$401,9,FALSE),"")</f>
        <v>19.664383561643834</v>
      </c>
      <c r="J129" s="870">
        <f>VLOOKUP(A129,copcalor,'1b.Cops de calor'!Z$1,FALSE)/1000000</f>
        <v>79.918302077209489</v>
      </c>
      <c r="K129" s="870">
        <f>VLOOKUP($B129,'2b.Incendis forestals'!$B$4:$P$314,14,FALSE)/1000000</f>
        <v>0</v>
      </c>
      <c r="L129" s="870">
        <f>VLOOKUP($B129,'3b aigua'!$B$4:$K$314,9,FALSE)/1000000</f>
        <v>43.717232682435878</v>
      </c>
      <c r="M129" s="918">
        <f t="shared" si="19"/>
        <v>1.9620305425506341</v>
      </c>
      <c r="N129" s="918">
        <f t="shared" si="20"/>
        <v>1.635015237</v>
      </c>
      <c r="O129" s="918">
        <f t="shared" si="21"/>
        <v>0</v>
      </c>
      <c r="P129" s="918">
        <f>IF(VLOOKUP($A129,'7b erosió costa'!$A$4:$AP$401,42,FALSE)&gt;0,VLOOKUP($A129,'7b erosió costa'!$A$4:$AP$401,42,FALSE),"")</f>
        <v>22.69560528110085</v>
      </c>
      <c r="Q129" s="863">
        <f t="shared" si="29"/>
        <v>66.144151982887024</v>
      </c>
      <c r="R129" s="864">
        <f t="shared" si="22"/>
        <v>0</v>
      </c>
      <c r="S129" s="863">
        <f t="shared" si="23"/>
        <v>19.920899119084837</v>
      </c>
      <c r="T129" s="864">
        <f t="shared" si="24"/>
        <v>1.8434199175506341</v>
      </c>
      <c r="U129" s="864">
        <f t="shared" si="25"/>
        <v>0.20954423700000002</v>
      </c>
      <c r="V129" s="864">
        <f t="shared" si="25"/>
        <v>0</v>
      </c>
      <c r="W129" s="864">
        <f t="shared" si="30"/>
        <v>3.0312217194570152</v>
      </c>
      <c r="X129" s="1067">
        <f t="shared" si="26"/>
        <v>91.149236975979505</v>
      </c>
      <c r="Y129" s="826">
        <f>VLOOKUP(B129,'BD ASVICC'!$A$6:$Y$316,24,FALSE)</f>
        <v>11621</v>
      </c>
      <c r="Z129" s="826" t="str">
        <f t="shared" si="27"/>
        <v>c 5.000 a 20.000 hab.</v>
      </c>
      <c r="AA129" s="826">
        <f t="shared" si="28"/>
        <v>7843.4934150227609</v>
      </c>
    </row>
    <row r="130" spans="1:27" s="826" customFormat="1" ht="45">
      <c r="A130" s="835">
        <v>8127</v>
      </c>
      <c r="B130" s="826" t="s">
        <v>1227</v>
      </c>
      <c r="C130" s="878">
        <f>VLOOKUP(A130,copcalor,'1b.Cops de calor'!P$1,FALSE)/1000000</f>
        <v>3.1194121577668308</v>
      </c>
      <c r="D130" s="879">
        <f>VLOOKUP($B130,'2b.Incendis forestals'!$B$4:$P$314,9,FALSE)/1000000</f>
        <v>1.6499075854204159</v>
      </c>
      <c r="E130" s="878">
        <f>VLOOKUP($B130,'3b aigua'!$B$4:$K$314,8,FALSE)/1000000</f>
        <v>9.8572629442867203</v>
      </c>
      <c r="F130" s="879">
        <f t="shared" si="16"/>
        <v>0.15241437499999999</v>
      </c>
      <c r="G130" s="879">
        <f t="shared" si="17"/>
        <v>1.1012039999999998</v>
      </c>
      <c r="H130" s="879">
        <f t="shared" si="18"/>
        <v>4.1504898086999997</v>
      </c>
      <c r="I130" s="878" t="str">
        <f>IF(VLOOKUP($A130,'7b erosió costa'!$A$4:$AP$401,9,FALSE)&gt;0,VLOOKUP($A130,'7b erosió costa'!$A$4:$AP$401,9,FALSE),"")</f>
        <v/>
      </c>
      <c r="J130" s="870">
        <f>VLOOKUP(A130,copcalor,'1b.Cops de calor'!Z$1,FALSE)/1000000</f>
        <v>16.142895886138891</v>
      </c>
      <c r="K130" s="870">
        <f>VLOOKUP($B130,'2b.Incendis forestals'!$B$4:$P$314,14,FALSE)/1000000</f>
        <v>4.537245859906144</v>
      </c>
      <c r="L130" s="870">
        <f>VLOOKUP($B130,'3b aigua'!$B$4:$K$314,9,FALSE)/1000000</f>
        <v>14.256666888516406</v>
      </c>
      <c r="M130" s="918">
        <f t="shared" si="19"/>
        <v>2.3246167525475205</v>
      </c>
      <c r="N130" s="918">
        <f t="shared" si="20"/>
        <v>1.263080988</v>
      </c>
      <c r="O130" s="918">
        <f t="shared" si="21"/>
        <v>4.7045114199000029</v>
      </c>
      <c r="P130" s="918" t="str">
        <f>IF(VLOOKUP($A130,'7b erosió costa'!$A$4:$AP$401,42,FALSE)&gt;0,VLOOKUP($A130,'7b erosió costa'!$A$4:$AP$401,42,FALSE),"")</f>
        <v/>
      </c>
      <c r="Q130" s="863">
        <f t="shared" si="29"/>
        <v>13.02348372837206</v>
      </c>
      <c r="R130" s="864">
        <f t="shared" si="22"/>
        <v>2.8873382744857281</v>
      </c>
      <c r="S130" s="863">
        <f t="shared" si="23"/>
        <v>4.3994039442296859</v>
      </c>
      <c r="T130" s="864">
        <f t="shared" si="24"/>
        <v>2.1722023775475208</v>
      </c>
      <c r="U130" s="864">
        <f t="shared" si="25"/>
        <v>0.16187698800000017</v>
      </c>
      <c r="V130" s="864">
        <f t="shared" si="25"/>
        <v>0.55402161120000315</v>
      </c>
      <c r="W130" s="864" t="str">
        <f t="shared" si="30"/>
        <v/>
      </c>
      <c r="X130" s="1067">
        <f t="shared" si="26"/>
        <v>23.198326923834998</v>
      </c>
      <c r="Y130" s="826">
        <f>VLOOKUP(B130,'BD ASVICC'!$A$6:$Y$316,24,FALSE)</f>
        <v>2867</v>
      </c>
      <c r="Z130" s="826" t="str">
        <f t="shared" si="27"/>
        <v>b 1.000 a 5.000 hab.</v>
      </c>
      <c r="AA130" s="826">
        <f t="shared" si="28"/>
        <v>8091.4987526456216</v>
      </c>
    </row>
    <row r="131" spans="1:27" s="826" customFormat="1" ht="30">
      <c r="A131" s="835">
        <v>8128</v>
      </c>
      <c r="B131" s="826" t="s">
        <v>1230</v>
      </c>
      <c r="C131" s="878">
        <f>VLOOKUP(A131,copcalor,'1b.Cops de calor'!P$1,FALSE)/1000000</f>
        <v>0.91554457977279935</v>
      </c>
      <c r="D131" s="879">
        <f>VLOOKUP($B131,'2b.Incendis forestals'!$B$4:$P$314,9,FALSE)/1000000</f>
        <v>3.1990700630223685</v>
      </c>
      <c r="E131" s="878">
        <f>VLOOKUP($B131,'3b aigua'!$B$4:$K$314,8,FALSE)/1000000</f>
        <v>1.4336794471805865</v>
      </c>
      <c r="F131" s="879">
        <f t="shared" si="16"/>
        <v>0.38325874999999998</v>
      </c>
      <c r="G131" s="879">
        <f t="shared" si="17"/>
        <v>1.8343259999999999</v>
      </c>
      <c r="H131" s="879">
        <f t="shared" si="18"/>
        <v>0</v>
      </c>
      <c r="I131" s="878" t="str">
        <f>IF(VLOOKUP($A131,'7b erosió costa'!$A$4:$AP$401,9,FALSE)&gt;0,VLOOKUP($A131,'7b erosió costa'!$A$4:$AP$401,9,FALSE),"")</f>
        <v/>
      </c>
      <c r="J131" s="870">
        <f>VLOOKUP(A131,copcalor,'1b.Cops de calor'!Z$1,FALSE)/1000000</f>
        <v>4.8570309141054269</v>
      </c>
      <c r="K131" s="870">
        <f>VLOOKUP($B131,'2b.Incendis forestals'!$B$4:$P$314,14,FALSE)/1000000</f>
        <v>8.7974426733115134</v>
      </c>
      <c r="L131" s="870">
        <f>VLOOKUP($B131,'3b aigua'!$B$4:$K$314,9,FALSE)/1000000</f>
        <v>2.0735462185487017</v>
      </c>
      <c r="M131" s="918">
        <f t="shared" si="19"/>
        <v>2.6145539524391821</v>
      </c>
      <c r="N131" s="918">
        <f t="shared" si="20"/>
        <v>2.1039719219999999</v>
      </c>
      <c r="O131" s="918">
        <f t="shared" si="21"/>
        <v>0</v>
      </c>
      <c r="P131" s="918" t="str">
        <f>IF(VLOOKUP($A131,'7b erosió costa'!$A$4:$AP$401,42,FALSE)&gt;0,VLOOKUP($A131,'7b erosió costa'!$A$4:$AP$401,42,FALSE),"")</f>
        <v/>
      </c>
      <c r="Q131" s="863">
        <f t="shared" si="29"/>
        <v>3.9414863343326276</v>
      </c>
      <c r="R131" s="864">
        <f t="shared" si="22"/>
        <v>5.5983726102891449</v>
      </c>
      <c r="S131" s="863">
        <f t="shared" si="23"/>
        <v>0.63986677136811521</v>
      </c>
      <c r="T131" s="864">
        <f t="shared" si="24"/>
        <v>2.2312952024391821</v>
      </c>
      <c r="U131" s="864">
        <f t="shared" si="25"/>
        <v>0.26964592200000004</v>
      </c>
      <c r="V131" s="864">
        <f t="shared" si="25"/>
        <v>0</v>
      </c>
      <c r="W131" s="864" t="str">
        <f t="shared" si="30"/>
        <v/>
      </c>
      <c r="X131" s="1067">
        <f t="shared" si="26"/>
        <v>12.680666840429071</v>
      </c>
      <c r="Y131" s="826">
        <f>VLOOKUP(B131,'BD ASVICC'!$A$6:$Y$316,24,FALSE)</f>
        <v>699</v>
      </c>
      <c r="Z131" s="826" t="str">
        <f t="shared" si="27"/>
        <v>a &lt; 1.000 hab.</v>
      </c>
      <c r="AA131" s="826">
        <f t="shared" si="28"/>
        <v>18141.154278153179</v>
      </c>
    </row>
    <row r="132" spans="1:27" s="826" customFormat="1" ht="30">
      <c r="A132" s="835">
        <v>8129</v>
      </c>
      <c r="B132" s="826" t="s">
        <v>1233</v>
      </c>
      <c r="C132" s="878">
        <f>VLOOKUP(A132,copcalor,'1b.Cops de calor'!P$1,FALSE)/1000000</f>
        <v>8.5935633102245959E-2</v>
      </c>
      <c r="D132" s="879">
        <f>VLOOKUP($B132,'2b.Incendis forestals'!$B$4:$P$314,9,FALSE)/1000000</f>
        <v>0.37230468639837522</v>
      </c>
      <c r="E132" s="878">
        <f>VLOOKUP($B132,'3b aigua'!$B$4:$K$314,8,FALSE)/1000000</f>
        <v>2.2759322952170664</v>
      </c>
      <c r="F132" s="879">
        <f t="shared" ref="F132:F195" si="31">VLOOKUP(B132,agric,11,FALSE)</f>
        <v>3.3502618749999997</v>
      </c>
      <c r="G132" s="879">
        <f t="shared" ref="G132:G195" si="32">VLOOKUP(B132,ramad,15,FALSE)</f>
        <v>11.462255999999998</v>
      </c>
      <c r="H132" s="879">
        <f t="shared" ref="H132:H195" si="33">IFERROR(VLOOKUP(B132,costT50,37,FALSE),0)</f>
        <v>0</v>
      </c>
      <c r="I132" s="878" t="str">
        <f>IF(VLOOKUP($A132,'7b erosió costa'!$A$4:$AP$401,9,FALSE)&gt;0,VLOOKUP($A132,'7b erosió costa'!$A$4:$AP$401,9,FALSE),"")</f>
        <v/>
      </c>
      <c r="J132" s="870">
        <f>VLOOKUP(A132,copcalor,'1b.Cops de calor'!Z$1,FALSE)/1000000</f>
        <v>0.50910231916036541</v>
      </c>
      <c r="K132" s="870">
        <f>VLOOKUP($B132,'2b.Incendis forestals'!$B$4:$P$314,14,FALSE)/1000000</f>
        <v>1.0238378875955318</v>
      </c>
      <c r="L132" s="870">
        <f>VLOOKUP($B132,'3b aigua'!$B$4:$K$314,9,FALSE)/1000000</f>
        <v>3.2917056973236902</v>
      </c>
      <c r="M132" s="918">
        <f t="shared" ref="M132:M195" si="34">VLOOKUP(B132,ramad,13,FALSE)</f>
        <v>15.622521281966048</v>
      </c>
      <c r="N132" s="918">
        <f t="shared" ref="N132:N195" si="35">VLOOKUP(B132,ramad,17,FALSE)</f>
        <v>13.147207631999997</v>
      </c>
      <c r="O132" s="918">
        <f t="shared" ref="O132:O195" si="36">IFERROR(VLOOKUP(B132,costT100,37,FALSE),0)</f>
        <v>0</v>
      </c>
      <c r="P132" s="918" t="str">
        <f>IF(VLOOKUP($A132,'7b erosió costa'!$A$4:$AP$401,42,FALSE)&gt;0,VLOOKUP($A132,'7b erosió costa'!$A$4:$AP$401,42,FALSE),"")</f>
        <v/>
      </c>
      <c r="Q132" s="863">
        <f t="shared" si="29"/>
        <v>0.42316668605811947</v>
      </c>
      <c r="R132" s="864">
        <f t="shared" si="22"/>
        <v>0.65153320119715663</v>
      </c>
      <c r="S132" s="863">
        <f t="shared" si="23"/>
        <v>1.0157734021066238</v>
      </c>
      <c r="T132" s="864">
        <f t="shared" si="24"/>
        <v>12.272259406966048</v>
      </c>
      <c r="U132" s="864">
        <f t="shared" si="25"/>
        <v>1.6849516319999989</v>
      </c>
      <c r="V132" s="864">
        <f t="shared" si="25"/>
        <v>0</v>
      </c>
      <c r="W132" s="864" t="str">
        <f t="shared" si="30"/>
        <v/>
      </c>
      <c r="X132" s="1067">
        <f t="shared" si="26"/>
        <v>16.047684328327946</v>
      </c>
      <c r="Y132" s="826">
        <f>VLOOKUP(B132,'BD ASVICC'!$A$6:$Y$316,24,FALSE)</f>
        <v>604</v>
      </c>
      <c r="Z132" s="826" t="str">
        <f t="shared" si="27"/>
        <v>a &lt; 1.000 hab.</v>
      </c>
      <c r="AA132" s="826">
        <f t="shared" si="28"/>
        <v>26569.013788622429</v>
      </c>
    </row>
    <row r="133" spans="1:27" s="826" customFormat="1" ht="30">
      <c r="A133" s="835">
        <v>8130</v>
      </c>
      <c r="B133" s="826" t="s">
        <v>1237</v>
      </c>
      <c r="C133" s="878">
        <f>VLOOKUP(A133,copcalor,'1b.Cops de calor'!P$1,FALSE)/1000000</f>
        <v>2.13604454508667E-2</v>
      </c>
      <c r="D133" s="879">
        <f>VLOOKUP($B133,'2b.Incendis forestals'!$B$4:$P$314,9,FALSE)/1000000</f>
        <v>1.3492950374641663</v>
      </c>
      <c r="E133" s="878">
        <f>VLOOKUP($B133,'3b aigua'!$B$4:$K$314,8,FALSE)/1000000</f>
        <v>0.13663393751392</v>
      </c>
      <c r="F133" s="879">
        <f t="shared" si="31"/>
        <v>4.4205999999999994</v>
      </c>
      <c r="G133" s="879">
        <f t="shared" si="32"/>
        <v>9.1990079999999992</v>
      </c>
      <c r="H133" s="879">
        <f t="shared" si="33"/>
        <v>0</v>
      </c>
      <c r="I133" s="878" t="str">
        <f>IF(VLOOKUP($A133,'7b erosió costa'!$A$4:$AP$401,9,FALSE)&gt;0,VLOOKUP($A133,'7b erosió costa'!$A$4:$AP$401,9,FALSE),"")</f>
        <v/>
      </c>
      <c r="J133" s="870">
        <f>VLOOKUP(A133,copcalor,'1b.Cops de calor'!Z$1,FALSE)/1000000</f>
        <v>0.11994567637574861</v>
      </c>
      <c r="K133" s="870">
        <f>VLOOKUP($B133,'2b.Incendis forestals'!$B$4:$P$314,14,FALSE)/1000000</f>
        <v>3.7105613530264576</v>
      </c>
      <c r="L133" s="870">
        <f>VLOOKUP($B133,'3b aigua'!$B$4:$K$314,9,FALSE)/1000000</f>
        <v>0.19761515380203523</v>
      </c>
      <c r="M133" s="918">
        <f t="shared" si="34"/>
        <v>19.579476071505887</v>
      </c>
      <c r="N133" s="918">
        <f t="shared" si="35"/>
        <v>10.551262175999998</v>
      </c>
      <c r="O133" s="918">
        <f t="shared" si="36"/>
        <v>0</v>
      </c>
      <c r="P133" s="918" t="str">
        <f>IF(VLOOKUP($A133,'7b erosió costa'!$A$4:$AP$401,42,FALSE)&gt;0,VLOOKUP($A133,'7b erosió costa'!$A$4:$AP$401,42,FALSE),"")</f>
        <v/>
      </c>
      <c r="Q133" s="863">
        <f t="shared" si="29"/>
        <v>9.8585230924881917E-2</v>
      </c>
      <c r="R133" s="864">
        <f t="shared" ref="R133:R196" si="37">K133-D133</f>
        <v>2.3612663155622915</v>
      </c>
      <c r="S133" s="863">
        <f t="shared" ref="S133:S196" si="38">L133-E133</f>
        <v>6.0981216288115231E-2</v>
      </c>
      <c r="T133" s="864">
        <f t="shared" ref="T133:T196" si="39">M133-F133</f>
        <v>15.158876071505887</v>
      </c>
      <c r="U133" s="864">
        <f t="shared" ref="U133:V196" si="40">N133-G133</f>
        <v>1.3522541759999989</v>
      </c>
      <c r="V133" s="864">
        <f t="shared" si="40"/>
        <v>0</v>
      </c>
      <c r="W133" s="864" t="str">
        <f t="shared" si="30"/>
        <v/>
      </c>
      <c r="X133" s="1067">
        <f t="shared" ref="X133:X196" si="41">SUM(Q133:W133)</f>
        <v>19.031963010281174</v>
      </c>
      <c r="Y133" s="826">
        <f>VLOOKUP(B133,'BD ASVICC'!$A$6:$Y$316,24,FALSE)</f>
        <v>119</v>
      </c>
      <c r="Z133" s="826" t="str">
        <f t="shared" ref="Z133:Z196" si="42">IF(Y133&gt;1000,IF(Y133&gt;5000,IF(Y133&gt;20000,IF(Y133&gt;50000,"e &gt;50.000 hab.","d 20.000 a 50.000 hab."),"c 5.000 a 20.000 hab."),"b 1.000 a 5.000 hab."),"a &lt; 1.000 hab.")</f>
        <v>a &lt; 1.000 hab.</v>
      </c>
      <c r="AA133" s="826">
        <f t="shared" ref="AA133:AA196" si="43">X133*1000000/Y133</f>
        <v>159932.46227127037</v>
      </c>
    </row>
    <row r="134" spans="1:27" s="826" customFormat="1" ht="30">
      <c r="A134" s="835">
        <v>8131</v>
      </c>
      <c r="B134" s="826" t="s">
        <v>1240</v>
      </c>
      <c r="C134" s="878">
        <f>VLOOKUP(A134,copcalor,'1b.Cops de calor'!P$1,FALSE)/1000000</f>
        <v>0.51012699994130439</v>
      </c>
      <c r="D134" s="879">
        <f>VLOOKUP($B134,'2b.Incendis forestals'!$B$4:$P$314,9,FALSE)/1000000</f>
        <v>4.2868624716709033E-2</v>
      </c>
      <c r="E134" s="878">
        <f>VLOOKUP($B134,'3b aigua'!$B$4:$K$314,8,FALSE)/1000000</f>
        <v>1.3212280789523201</v>
      </c>
      <c r="F134" s="879">
        <f t="shared" si="31"/>
        <v>0.24242</v>
      </c>
      <c r="G134" s="879">
        <f t="shared" si="32"/>
        <v>1.4612038223020503</v>
      </c>
      <c r="H134" s="879">
        <f t="shared" si="33"/>
        <v>18.765847186049999</v>
      </c>
      <c r="I134" s="878" t="str">
        <f>IF(VLOOKUP($A134,'7b erosió costa'!$A$4:$AP$401,9,FALSE)&gt;0,VLOOKUP($A134,'7b erosió costa'!$A$4:$AP$401,9,FALSE),"")</f>
        <v/>
      </c>
      <c r="J134" s="870">
        <f>VLOOKUP(A134,copcalor,'1b.Cops de calor'!Z$1,FALSE)/1000000</f>
        <v>3.0198430069510835</v>
      </c>
      <c r="K134" s="870">
        <f>VLOOKUP($B134,'2b.Incendis forestals'!$B$4:$P$314,14,FALSE)/1000000</f>
        <v>0.11788871797094982</v>
      </c>
      <c r="L134" s="870">
        <f>VLOOKUP($B134,'3b aigua'!$B$4:$K$314,9,FALSE)/1000000</f>
        <v>1.9109065784123396</v>
      </c>
      <c r="M134" s="918">
        <f t="shared" si="34"/>
        <v>2.1678596190255215</v>
      </c>
      <c r="N134" s="918">
        <f t="shared" si="35"/>
        <v>1.6760007841804518</v>
      </c>
      <c r="O134" s="918">
        <f t="shared" si="36"/>
        <v>23.834789608949993</v>
      </c>
      <c r="P134" s="918" t="str">
        <f>IF(VLOOKUP($A134,'7b erosió costa'!$A$4:$AP$401,42,FALSE)&gt;0,VLOOKUP($A134,'7b erosió costa'!$A$4:$AP$401,42,FALSE),"")</f>
        <v/>
      </c>
      <c r="Q134" s="863">
        <f t="shared" ref="Q134:Q197" si="44">J134-C134</f>
        <v>2.509716007009779</v>
      </c>
      <c r="R134" s="864">
        <f t="shared" si="37"/>
        <v>7.5020093254240791E-2</v>
      </c>
      <c r="S134" s="863">
        <f t="shared" si="38"/>
        <v>0.58967849946001949</v>
      </c>
      <c r="T134" s="864">
        <f t="shared" si="39"/>
        <v>1.9254396190255214</v>
      </c>
      <c r="U134" s="864">
        <f t="shared" si="40"/>
        <v>0.21479696187840158</v>
      </c>
      <c r="V134" s="864">
        <f t="shared" si="40"/>
        <v>5.068942422899994</v>
      </c>
      <c r="W134" s="864" t="str">
        <f t="shared" ref="W134:W197" si="45">IFERROR(P134-I134,"")</f>
        <v/>
      </c>
      <c r="X134" s="1067">
        <f t="shared" si="41"/>
        <v>10.383593603527956</v>
      </c>
      <c r="Y134" s="826">
        <f>VLOOKUP(B134,'BD ASVICC'!$A$6:$Y$316,24,FALSE)</f>
        <v>931</v>
      </c>
      <c r="Z134" s="826" t="str">
        <f t="shared" si="42"/>
        <v>a &lt; 1.000 hab.</v>
      </c>
      <c r="AA134" s="826">
        <f t="shared" si="43"/>
        <v>11153.16176533615</v>
      </c>
    </row>
    <row r="135" spans="1:27" s="826" customFormat="1" ht="30">
      <c r="A135" s="835">
        <v>8132</v>
      </c>
      <c r="B135" s="826" t="s">
        <v>1245</v>
      </c>
      <c r="C135" s="878">
        <f>VLOOKUP(A135,copcalor,'1b.Cops de calor'!P$1,FALSE)/1000000</f>
        <v>2.6891342918976609E-2</v>
      </c>
      <c r="D135" s="879">
        <f>VLOOKUP($B135,'2b.Incendis forestals'!$B$4:$P$314,9,FALSE)/1000000</f>
        <v>5.3934783802065578</v>
      </c>
      <c r="E135" s="878">
        <f>VLOOKUP($B135,'3b aigua'!$B$4:$K$314,8,FALSE)/1000000</f>
        <v>0.70346536957824002</v>
      </c>
      <c r="F135" s="879">
        <f t="shared" si="31"/>
        <v>11.430398125</v>
      </c>
      <c r="G135" s="879">
        <f t="shared" si="32"/>
        <v>32.071806000000002</v>
      </c>
      <c r="H135" s="879">
        <f t="shared" si="33"/>
        <v>0</v>
      </c>
      <c r="I135" s="878" t="str">
        <f>IF(VLOOKUP($A135,'7b erosió costa'!$A$4:$AP$401,9,FALSE)&gt;0,VLOOKUP($A135,'7b erosió costa'!$A$4:$AP$401,9,FALSE),"")</f>
        <v/>
      </c>
      <c r="J135" s="870">
        <f>VLOOKUP(A135,copcalor,'1b.Cops de calor'!Z$1,FALSE)/1000000</f>
        <v>0.12882532414266901</v>
      </c>
      <c r="K135" s="870">
        <f>VLOOKUP($B135,'2b.Incendis forestals'!$B$4:$P$314,14,FALSE)/1000000</f>
        <v>14.832065545568033</v>
      </c>
      <c r="L135" s="870">
        <f>VLOOKUP($B135,'3b aigua'!$B$4:$K$314,9,FALSE)/1000000</f>
        <v>1.0174296352210943</v>
      </c>
      <c r="M135" s="918">
        <f t="shared" si="34"/>
        <v>51.547990414660568</v>
      </c>
      <c r="N135" s="918">
        <f t="shared" si="35"/>
        <v>36.786361482000004</v>
      </c>
      <c r="O135" s="918">
        <f t="shared" si="36"/>
        <v>0</v>
      </c>
      <c r="P135" s="918" t="str">
        <f>IF(VLOOKUP($A135,'7b erosió costa'!$A$4:$AP$401,42,FALSE)&gt;0,VLOOKUP($A135,'7b erosió costa'!$A$4:$AP$401,42,FALSE),"")</f>
        <v/>
      </c>
      <c r="Q135" s="863">
        <f t="shared" si="44"/>
        <v>0.1019339812236924</v>
      </c>
      <c r="R135" s="864">
        <f t="shared" si="37"/>
        <v>9.4385871653614757</v>
      </c>
      <c r="S135" s="863">
        <f t="shared" si="38"/>
        <v>0.31396426564285429</v>
      </c>
      <c r="T135" s="864">
        <f t="shared" si="39"/>
        <v>40.117592289660564</v>
      </c>
      <c r="U135" s="864">
        <f t="shared" si="40"/>
        <v>4.7145554820000015</v>
      </c>
      <c r="V135" s="864">
        <f t="shared" si="40"/>
        <v>0</v>
      </c>
      <c r="W135" s="864" t="str">
        <f t="shared" si="45"/>
        <v/>
      </c>
      <c r="X135" s="1067">
        <f t="shared" si="41"/>
        <v>54.686633183888588</v>
      </c>
      <c r="Y135" s="826">
        <f>VLOOKUP(B135,'BD ASVICC'!$A$6:$Y$316,24,FALSE)</f>
        <v>471</v>
      </c>
      <c r="Z135" s="826" t="str">
        <f t="shared" si="42"/>
        <v>a &lt; 1.000 hab.</v>
      </c>
      <c r="AA135" s="826">
        <f t="shared" si="43"/>
        <v>116107.50145199276</v>
      </c>
    </row>
    <row r="136" spans="1:27" s="826" customFormat="1" ht="30">
      <c r="A136" s="835">
        <v>8133</v>
      </c>
      <c r="B136" s="826" t="s">
        <v>1249</v>
      </c>
      <c r="C136" s="878">
        <f>VLOOKUP(A136,copcalor,'1b.Cops de calor'!P$1,FALSE)/1000000</f>
        <v>0.18876499694711601</v>
      </c>
      <c r="D136" s="879">
        <f>VLOOKUP($B136,'2b.Incendis forestals'!$B$4:$P$314,9,FALSE)/1000000</f>
        <v>0.57372953360037238</v>
      </c>
      <c r="E136" s="878">
        <f>VLOOKUP($B136,'3b aigua'!$B$4:$K$314,8,FALSE)/1000000</f>
        <v>0.5841787125386666</v>
      </c>
      <c r="F136" s="879">
        <f t="shared" si="31"/>
        <v>5.5186200000000003</v>
      </c>
      <c r="G136" s="879">
        <f t="shared" si="32"/>
        <v>4.3531019999999998</v>
      </c>
      <c r="H136" s="879">
        <f t="shared" si="33"/>
        <v>0</v>
      </c>
      <c r="I136" s="878" t="str">
        <f>IF(VLOOKUP($A136,'7b erosió costa'!$A$4:$AP$401,9,FALSE)&gt;0,VLOOKUP($A136,'7b erosió costa'!$A$4:$AP$401,9,FALSE),"")</f>
        <v/>
      </c>
      <c r="J136" s="870">
        <f>VLOOKUP(A136,copcalor,'1b.Cops de calor'!Z$1,FALSE)/1000000</f>
        <v>1.1232036972143904</v>
      </c>
      <c r="K136" s="870">
        <f>VLOOKUP($B136,'2b.Incendis forestals'!$B$4:$P$314,14,FALSE)/1000000</f>
        <v>1.5777562174010245</v>
      </c>
      <c r="L136" s="870">
        <f>VLOOKUP($B136,'3b aigua'!$B$4:$K$314,9,FALSE)/1000000</f>
        <v>0.84490404233898664</v>
      </c>
      <c r="M136" s="918">
        <f t="shared" si="34"/>
        <v>24.201768709106684</v>
      </c>
      <c r="N136" s="918">
        <f t="shared" si="35"/>
        <v>4.9930079940000001</v>
      </c>
      <c r="O136" s="918">
        <f t="shared" si="36"/>
        <v>0</v>
      </c>
      <c r="P136" s="918" t="str">
        <f>IF(VLOOKUP($A136,'7b erosió costa'!$A$4:$AP$401,42,FALSE)&gt;0,VLOOKUP($A136,'7b erosió costa'!$A$4:$AP$401,42,FALSE),"")</f>
        <v/>
      </c>
      <c r="Q136" s="863">
        <f t="shared" si="44"/>
        <v>0.93443870026727438</v>
      </c>
      <c r="R136" s="864">
        <f t="shared" si="37"/>
        <v>1.0040266838006522</v>
      </c>
      <c r="S136" s="863">
        <f t="shared" si="38"/>
        <v>0.26072532980032004</v>
      </c>
      <c r="T136" s="864">
        <f t="shared" si="39"/>
        <v>18.683148709106682</v>
      </c>
      <c r="U136" s="864">
        <f t="shared" si="40"/>
        <v>0.63990599400000026</v>
      </c>
      <c r="V136" s="864">
        <f t="shared" si="40"/>
        <v>0</v>
      </c>
      <c r="W136" s="864" t="str">
        <f t="shared" si="45"/>
        <v/>
      </c>
      <c r="X136" s="1067">
        <f t="shared" si="41"/>
        <v>21.522245416974929</v>
      </c>
      <c r="Y136" s="826">
        <f>VLOOKUP(B136,'BD ASVICC'!$A$6:$Y$316,24,FALSE)</f>
        <v>151</v>
      </c>
      <c r="Z136" s="826" t="str">
        <f t="shared" si="42"/>
        <v>a &lt; 1.000 hab.</v>
      </c>
      <c r="AA136" s="826">
        <f t="shared" si="43"/>
        <v>142531.42660248297</v>
      </c>
    </row>
    <row r="137" spans="1:27" s="826" customFormat="1" ht="45">
      <c r="A137" s="835">
        <v>8134</v>
      </c>
      <c r="B137" s="826" t="s">
        <v>1253</v>
      </c>
      <c r="C137" s="878">
        <f>VLOOKUP(A137,copcalor,'1b.Cops de calor'!P$1,FALSE)/1000000</f>
        <v>0.52435411355955319</v>
      </c>
      <c r="D137" s="879">
        <f>VLOOKUP($B137,'2b.Incendis forestals'!$B$4:$P$314,9,FALSE)/1000000</f>
        <v>0.4202213557431933</v>
      </c>
      <c r="E137" s="878">
        <f>VLOOKUP($B137,'3b aigua'!$B$4:$K$314,8,FALSE)/1000000</f>
        <v>2.475501190251876</v>
      </c>
      <c r="F137" s="879">
        <f t="shared" si="31"/>
        <v>0.15686</v>
      </c>
      <c r="G137" s="879">
        <f t="shared" si="32"/>
        <v>0.35921891105363901</v>
      </c>
      <c r="H137" s="879">
        <f t="shared" si="33"/>
        <v>7.3443467680500003</v>
      </c>
      <c r="I137" s="878" t="str">
        <f>IF(VLOOKUP($A137,'7b erosió costa'!$A$4:$AP$401,9,FALSE)&gt;0,VLOOKUP($A137,'7b erosió costa'!$A$4:$AP$401,9,FALSE),"")</f>
        <v/>
      </c>
      <c r="J137" s="870">
        <f>VLOOKUP(A137,copcalor,'1b.Cops de calor'!Z$1,FALSE)/1000000</f>
        <v>3.0475931819608313</v>
      </c>
      <c r="K137" s="870">
        <f>VLOOKUP($B137,'2b.Incendis forestals'!$B$4:$P$314,14,FALSE)/1000000</f>
        <v>1.1556087282937817</v>
      </c>
      <c r="L137" s="870">
        <f>VLOOKUP($B137,'3b aigua'!$B$4:$K$314,9,FALSE)/1000000</f>
        <v>3.5803443664858685</v>
      </c>
      <c r="M137" s="918">
        <f t="shared" si="34"/>
        <v>0.95810192340876843</v>
      </c>
      <c r="N137" s="918">
        <f t="shared" si="35"/>
        <v>0.41202409097852394</v>
      </c>
      <c r="O137" s="918">
        <f t="shared" si="36"/>
        <v>0</v>
      </c>
      <c r="P137" s="918" t="str">
        <f>IF(VLOOKUP($A137,'7b erosió costa'!$A$4:$AP$401,42,FALSE)&gt;0,VLOOKUP($A137,'7b erosió costa'!$A$4:$AP$401,42,FALSE),"")</f>
        <v/>
      </c>
      <c r="Q137" s="863">
        <f t="shared" si="44"/>
        <v>2.5232390684012782</v>
      </c>
      <c r="R137" s="864">
        <f t="shared" si="37"/>
        <v>0.73538737255058839</v>
      </c>
      <c r="S137" s="863">
        <f t="shared" si="38"/>
        <v>1.1048431762339925</v>
      </c>
      <c r="T137" s="864">
        <f t="shared" si="39"/>
        <v>0.80124192340876843</v>
      </c>
      <c r="U137" s="864">
        <f t="shared" si="40"/>
        <v>5.2805179924884926E-2</v>
      </c>
      <c r="V137" s="864">
        <f t="shared" si="40"/>
        <v>-7.3443467680500003</v>
      </c>
      <c r="W137" s="864" t="str">
        <f t="shared" si="45"/>
        <v/>
      </c>
      <c r="X137" s="1067">
        <f t="shared" si="41"/>
        <v>-2.126830047530488</v>
      </c>
      <c r="Y137" s="826">
        <f>VLOOKUP(B137,'BD ASVICC'!$A$6:$Y$316,24,FALSE)</f>
        <v>1092</v>
      </c>
      <c r="Z137" s="826" t="str">
        <f t="shared" si="42"/>
        <v>b 1.000 a 5.000 hab.</v>
      </c>
      <c r="AA137" s="826">
        <f t="shared" si="43"/>
        <v>-1947.6465636726082</v>
      </c>
    </row>
    <row r="138" spans="1:27" s="826" customFormat="1" ht="45">
      <c r="A138" s="835">
        <v>8135</v>
      </c>
      <c r="B138" s="826" t="s">
        <v>1255</v>
      </c>
      <c r="C138" s="878">
        <f>VLOOKUP(A138,copcalor,'1b.Cops de calor'!P$1,FALSE)/1000000</f>
        <v>2.1329238392635843</v>
      </c>
      <c r="D138" s="879">
        <f>VLOOKUP($B138,'2b.Incendis forestals'!$B$4:$P$314,9,FALSE)/1000000</f>
        <v>0</v>
      </c>
      <c r="E138" s="878">
        <f>VLOOKUP($B138,'3b aigua'!$B$4:$K$314,8,FALSE)/1000000</f>
        <v>21.102027557904005</v>
      </c>
      <c r="F138" s="879">
        <f t="shared" si="31"/>
        <v>0.26213375</v>
      </c>
      <c r="G138" s="879">
        <f t="shared" si="32"/>
        <v>3.5986653026060731</v>
      </c>
      <c r="H138" s="879">
        <f t="shared" si="33"/>
        <v>112.7951430108</v>
      </c>
      <c r="I138" s="878" t="str">
        <f>IF(VLOOKUP($A138,'7b erosió costa'!$A$4:$AP$401,9,FALSE)&gt;0,VLOOKUP($A138,'7b erosió costa'!$A$4:$AP$401,9,FALSE),"")</f>
        <v/>
      </c>
      <c r="J138" s="870">
        <f>VLOOKUP(A138,copcalor,'1b.Cops de calor'!Z$1,FALSE)/1000000</f>
        <v>12.147624934507354</v>
      </c>
      <c r="K138" s="870">
        <f>VLOOKUP($B138,'2b.Incendis forestals'!$B$4:$P$314,14,FALSE)/1000000</f>
        <v>0</v>
      </c>
      <c r="L138" s="870">
        <f>VLOOKUP($B138,'3b aigua'!$B$4:$K$314,9,FALSE)/1000000</f>
        <v>38.767411221737476</v>
      </c>
      <c r="M138" s="918">
        <f t="shared" si="34"/>
        <v>4.3929167768941557</v>
      </c>
      <c r="N138" s="918">
        <f t="shared" si="35"/>
        <v>4.1276691020891665</v>
      </c>
      <c r="O138" s="918">
        <f t="shared" si="36"/>
        <v>152.4322840314</v>
      </c>
      <c r="P138" s="918" t="str">
        <f>IF(VLOOKUP($A138,'7b erosió costa'!$A$4:$AP$401,42,FALSE)&gt;0,VLOOKUP($A138,'7b erosió costa'!$A$4:$AP$401,42,FALSE),"")</f>
        <v/>
      </c>
      <c r="Q138" s="863">
        <f t="shared" si="44"/>
        <v>10.014701095243769</v>
      </c>
      <c r="R138" s="864">
        <f t="shared" si="37"/>
        <v>0</v>
      </c>
      <c r="S138" s="863">
        <f t="shared" si="38"/>
        <v>17.66538366383347</v>
      </c>
      <c r="T138" s="864">
        <f t="shared" si="39"/>
        <v>4.1307830268941554</v>
      </c>
      <c r="U138" s="864">
        <f t="shared" si="40"/>
        <v>0.5290037994830934</v>
      </c>
      <c r="V138" s="864">
        <f t="shared" si="40"/>
        <v>39.637141020599998</v>
      </c>
      <c r="W138" s="864" t="str">
        <f t="shared" si="45"/>
        <v/>
      </c>
      <c r="X138" s="1067">
        <f t="shared" si="41"/>
        <v>71.977012606054487</v>
      </c>
      <c r="Y138" s="826">
        <f>VLOOKUP(B138,'BD ASVICC'!$A$6:$Y$316,24,FALSE)</f>
        <v>8784</v>
      </c>
      <c r="Z138" s="826" t="str">
        <f t="shared" si="42"/>
        <v>c 5.000 a 20.000 hab.</v>
      </c>
      <c r="AA138" s="826">
        <f t="shared" si="43"/>
        <v>8194.1043495052927</v>
      </c>
    </row>
    <row r="139" spans="1:27" s="826" customFormat="1" ht="45">
      <c r="A139" s="835">
        <v>8136</v>
      </c>
      <c r="B139" s="826" t="s">
        <v>1256</v>
      </c>
      <c r="C139" s="878">
        <f>VLOOKUP(A139,copcalor,'1b.Cops de calor'!P$1,FALSE)/1000000</f>
        <v>1.9911650572264139</v>
      </c>
      <c r="D139" s="879">
        <f>VLOOKUP($B139,'2b.Incendis forestals'!$B$4:$P$314,9,FALSE)/1000000</f>
        <v>0.22519476569559094</v>
      </c>
      <c r="E139" s="878">
        <f>VLOOKUP($B139,'3b aigua'!$B$4:$K$314,8,FALSE)/1000000</f>
        <v>33.081707529175048</v>
      </c>
      <c r="F139" s="879">
        <f t="shared" si="31"/>
        <v>0.89888999999999997</v>
      </c>
      <c r="G139" s="879">
        <f t="shared" si="32"/>
        <v>8.5175999999999988E-2</v>
      </c>
      <c r="H139" s="879">
        <f t="shared" si="33"/>
        <v>139.84982470919994</v>
      </c>
      <c r="I139" s="878" t="str">
        <f>IF(VLOOKUP($A139,'7b erosió costa'!$A$4:$AP$401,9,FALSE)&gt;0,VLOOKUP($A139,'7b erosió costa'!$A$4:$AP$401,9,FALSE),"")</f>
        <v/>
      </c>
      <c r="J139" s="870">
        <f>VLOOKUP(A139,copcalor,'1b.Cops de calor'!Z$1,FALSE)/1000000</f>
        <v>10.747039095268706</v>
      </c>
      <c r="K139" s="870">
        <f>VLOOKUP($B139,'2b.Incendis forestals'!$B$4:$P$314,14,FALSE)/1000000</f>
        <v>0.61928560566287505</v>
      </c>
      <c r="L139" s="870">
        <f>VLOOKUP($B139,'3b aigua'!$B$4:$K$314,9,FALSE)/1000000</f>
        <v>60.775778828911925</v>
      </c>
      <c r="M139" s="918">
        <f t="shared" si="34"/>
        <v>8.0511606417964448</v>
      </c>
      <c r="N139" s="918">
        <f t="shared" si="35"/>
        <v>9.769687199999999E-2</v>
      </c>
      <c r="O139" s="918">
        <f t="shared" si="36"/>
        <v>202.68091558440003</v>
      </c>
      <c r="P139" s="918" t="str">
        <f>IF(VLOOKUP($A139,'7b erosió costa'!$A$4:$AP$401,42,FALSE)&gt;0,VLOOKUP($A139,'7b erosió costa'!$A$4:$AP$401,42,FALSE),"")</f>
        <v/>
      </c>
      <c r="Q139" s="863">
        <f t="shared" si="44"/>
        <v>8.7558740380422915</v>
      </c>
      <c r="R139" s="864">
        <f t="shared" si="37"/>
        <v>0.39409083996728411</v>
      </c>
      <c r="S139" s="863">
        <f t="shared" si="38"/>
        <v>27.694071299736876</v>
      </c>
      <c r="T139" s="864">
        <f t="shared" si="39"/>
        <v>7.152270641796445</v>
      </c>
      <c r="U139" s="864">
        <f t="shared" si="40"/>
        <v>1.2520872000000002E-2</v>
      </c>
      <c r="V139" s="864">
        <f t="shared" si="40"/>
        <v>62.83109087520009</v>
      </c>
      <c r="W139" s="864" t="str">
        <f t="shared" si="45"/>
        <v/>
      </c>
      <c r="X139" s="1067">
        <f t="shared" si="41"/>
        <v>106.83991856674299</v>
      </c>
      <c r="Y139" s="826">
        <f>VLOOKUP(B139,'BD ASVICC'!$A$6:$Y$316,24,FALSE)</f>
        <v>16218</v>
      </c>
      <c r="Z139" s="826" t="str">
        <f t="shared" si="42"/>
        <v>c 5.000 a 20.000 hab.</v>
      </c>
      <c r="AA139" s="826">
        <f t="shared" si="43"/>
        <v>6587.7369938798247</v>
      </c>
    </row>
    <row r="140" spans="1:27" s="826" customFormat="1" ht="30">
      <c r="A140" s="835">
        <v>8137</v>
      </c>
      <c r="B140" s="826" t="s">
        <v>1258</v>
      </c>
      <c r="C140" s="878">
        <f>VLOOKUP(A140,copcalor,'1b.Cops de calor'!P$1,FALSE)/1000000</f>
        <v>0.21326024847898997</v>
      </c>
      <c r="D140" s="879">
        <f>VLOOKUP($B140,'2b.Incendis forestals'!$B$4:$P$314,9,FALSE)/1000000</f>
        <v>0.77766852781481466</v>
      </c>
      <c r="E140" s="878">
        <f>VLOOKUP($B140,'3b aigua'!$B$4:$K$314,8,FALSE)/1000000</f>
        <v>0.63177429001312013</v>
      </c>
      <c r="F140" s="879">
        <f t="shared" si="31"/>
        <v>0.31917374999999998</v>
      </c>
      <c r="G140" s="879">
        <f t="shared" si="32"/>
        <v>0.31332599999999999</v>
      </c>
      <c r="H140" s="879">
        <f t="shared" si="33"/>
        <v>0</v>
      </c>
      <c r="I140" s="878" t="str">
        <f>IF(VLOOKUP($A140,'7b erosió costa'!$A$4:$AP$401,9,FALSE)&gt;0,VLOOKUP($A140,'7b erosió costa'!$A$4:$AP$401,9,FALSE),"")</f>
        <v/>
      </c>
      <c r="J140" s="870">
        <f>VLOOKUP(A140,copcalor,'1b.Cops de calor'!Z$1,FALSE)/1000000</f>
        <v>1.2506877914170937</v>
      </c>
      <c r="K140" s="870">
        <f>VLOOKUP($B140,'2b.Incendis forestals'!$B$4:$P$314,14,FALSE)/1000000</f>
        <v>2.1385884514907403</v>
      </c>
      <c r="L140" s="870">
        <f>VLOOKUP($B140,'3b aigua'!$B$4:$K$314,9,FALSE)/1000000</f>
        <v>0.91374204506398748</v>
      </c>
      <c r="M140" s="918">
        <f t="shared" si="34"/>
        <v>1.9928156850008922</v>
      </c>
      <c r="N140" s="918">
        <f t="shared" si="35"/>
        <v>0.35938492199999994</v>
      </c>
      <c r="O140" s="918">
        <f t="shared" si="36"/>
        <v>0</v>
      </c>
      <c r="P140" s="918" t="str">
        <f>IF(VLOOKUP($A140,'7b erosió costa'!$A$4:$AP$401,42,FALSE)&gt;0,VLOOKUP($A140,'7b erosió costa'!$A$4:$AP$401,42,FALSE),"")</f>
        <v/>
      </c>
      <c r="Q140" s="863">
        <f t="shared" si="44"/>
        <v>1.0374275429381037</v>
      </c>
      <c r="R140" s="864">
        <f t="shared" si="37"/>
        <v>1.3609199236759255</v>
      </c>
      <c r="S140" s="863">
        <f t="shared" si="38"/>
        <v>0.28196775505086735</v>
      </c>
      <c r="T140" s="864">
        <f t="shared" si="39"/>
        <v>1.6736419350008922</v>
      </c>
      <c r="U140" s="864">
        <f t="shared" si="40"/>
        <v>4.6058921999999947E-2</v>
      </c>
      <c r="V140" s="864">
        <f t="shared" si="40"/>
        <v>0</v>
      </c>
      <c r="W140" s="864" t="str">
        <f t="shared" si="45"/>
        <v/>
      </c>
      <c r="X140" s="1067">
        <f t="shared" si="41"/>
        <v>4.4000160786657894</v>
      </c>
      <c r="Y140" s="826">
        <f>VLOOKUP(B140,'BD ASVICC'!$A$6:$Y$316,24,FALSE)</f>
        <v>320</v>
      </c>
      <c r="Z140" s="826" t="str">
        <f t="shared" si="42"/>
        <v>a &lt; 1.000 hab.</v>
      </c>
      <c r="AA140" s="826">
        <f t="shared" si="43"/>
        <v>13750.050245830591</v>
      </c>
    </row>
    <row r="141" spans="1:27" s="826" customFormat="1" ht="45">
      <c r="A141" s="835">
        <v>8138</v>
      </c>
      <c r="B141" s="826" t="s">
        <v>1260</v>
      </c>
      <c r="C141" s="878">
        <f>VLOOKUP(A141,copcalor,'1b.Cops de calor'!P$1,FALSE)/1000000</f>
        <v>0.42542250279646165</v>
      </c>
      <c r="D141" s="879">
        <f>VLOOKUP($B141,'2b.Incendis forestals'!$B$4:$P$314,9,FALSE)/1000000</f>
        <v>8.4394672287270538</v>
      </c>
      <c r="E141" s="878">
        <f>VLOOKUP($B141,'3b aigua'!$B$4:$K$314,8,FALSE)/1000000</f>
        <v>12.594511075743997</v>
      </c>
      <c r="F141" s="879">
        <f t="shared" si="31"/>
        <v>10.899170625</v>
      </c>
      <c r="G141" s="879">
        <f t="shared" si="32"/>
        <v>35.408880000000003</v>
      </c>
      <c r="H141" s="879">
        <f t="shared" si="33"/>
        <v>0</v>
      </c>
      <c r="I141" s="878" t="str">
        <f>IF(VLOOKUP($A141,'7b erosió costa'!$A$4:$AP$401,9,FALSE)&gt;0,VLOOKUP($A141,'7b erosió costa'!$A$4:$AP$401,9,FALSE),"")</f>
        <v/>
      </c>
      <c r="J141" s="870">
        <f>VLOOKUP(A141,copcalor,'1b.Cops de calor'!Z$1,FALSE)/1000000</f>
        <v>2.0664139986358672</v>
      </c>
      <c r="K141" s="870">
        <f>VLOOKUP($B141,'2b.Incendis forestals'!$B$4:$P$314,14,FALSE)/1000000</f>
        <v>23.208534878999398</v>
      </c>
      <c r="L141" s="870">
        <f>VLOOKUP($B141,'3b aigua'!$B$4:$K$314,9,FALSE)/1000000</f>
        <v>18.215578710384634</v>
      </c>
      <c r="M141" s="918">
        <f t="shared" si="34"/>
        <v>54.22489464515467</v>
      </c>
      <c r="N141" s="918">
        <f t="shared" si="35"/>
        <v>40.613985360000001</v>
      </c>
      <c r="O141" s="918">
        <f t="shared" si="36"/>
        <v>0</v>
      </c>
      <c r="P141" s="918" t="str">
        <f>IF(VLOOKUP($A141,'7b erosió costa'!$A$4:$AP$401,42,FALSE)&gt;0,VLOOKUP($A141,'7b erosió costa'!$A$4:$AP$401,42,FALSE),"")</f>
        <v/>
      </c>
      <c r="Q141" s="863">
        <f t="shared" si="44"/>
        <v>1.6409914958394056</v>
      </c>
      <c r="R141" s="864">
        <f t="shared" si="37"/>
        <v>14.769067650272344</v>
      </c>
      <c r="S141" s="863">
        <f t="shared" si="38"/>
        <v>5.621067634640637</v>
      </c>
      <c r="T141" s="864">
        <f t="shared" si="39"/>
        <v>43.325724020154667</v>
      </c>
      <c r="U141" s="864">
        <f t="shared" si="40"/>
        <v>5.2051053599999975</v>
      </c>
      <c r="V141" s="864">
        <f t="shared" si="40"/>
        <v>0</v>
      </c>
      <c r="W141" s="864" t="str">
        <f t="shared" si="45"/>
        <v/>
      </c>
      <c r="X141" s="1067">
        <f t="shared" si="41"/>
        <v>70.561956160907044</v>
      </c>
      <c r="Y141" s="826">
        <f>VLOOKUP(B141,'BD ASVICC'!$A$6:$Y$316,24,FALSE)</f>
        <v>5957</v>
      </c>
      <c r="Z141" s="826" t="str">
        <f t="shared" si="42"/>
        <v>c 5.000 a 20.000 hab.</v>
      </c>
      <c r="AA141" s="826">
        <f t="shared" si="43"/>
        <v>11845.216746836839</v>
      </c>
    </row>
    <row r="142" spans="1:27" s="826" customFormat="1" ht="30">
      <c r="A142" s="835">
        <v>8139</v>
      </c>
      <c r="B142" s="826" t="s">
        <v>1263</v>
      </c>
      <c r="C142" s="878">
        <f>VLOOKUP(A142,copcalor,'1b.Cops de calor'!P$1,FALSE)/1000000</f>
        <v>2.7103563110919961E-2</v>
      </c>
      <c r="D142" s="879">
        <f>VLOOKUP($B142,'2b.Incendis forestals'!$B$4:$P$314,9,FALSE)/1000000</f>
        <v>8.4411187878716198</v>
      </c>
      <c r="E142" s="878">
        <f>VLOOKUP($B142,'3b aigua'!$B$4:$K$314,8,FALSE)/1000000</f>
        <v>0.53775107605824002</v>
      </c>
      <c r="F142" s="879">
        <f t="shared" si="31"/>
        <v>0.10518875</v>
      </c>
      <c r="G142" s="879">
        <f t="shared" si="32"/>
        <v>0.194688</v>
      </c>
      <c r="H142" s="879">
        <f t="shared" si="33"/>
        <v>0</v>
      </c>
      <c r="I142" s="878" t="str">
        <f>IF(VLOOKUP($A142,'7b erosió costa'!$A$4:$AP$401,9,FALSE)&gt;0,VLOOKUP($A142,'7b erosió costa'!$A$4:$AP$401,9,FALSE),"")</f>
        <v/>
      </c>
      <c r="J142" s="870">
        <f>VLOOKUP(A142,copcalor,'1b.Cops de calor'!Z$1,FALSE)/1000000</f>
        <v>0.12137946431525483</v>
      </c>
      <c r="K142" s="870">
        <f>VLOOKUP($B142,'2b.Incendis forestals'!$B$4:$P$314,14,FALSE)/1000000</f>
        <v>23.213076666646952</v>
      </c>
      <c r="L142" s="870">
        <f>VLOOKUP($B142,'3b aigua'!$B$4:$K$314,9,FALSE)/1000000</f>
        <v>0.77775524540989449</v>
      </c>
      <c r="M142" s="918">
        <f t="shared" si="34"/>
        <v>0.68608542670790285</v>
      </c>
      <c r="N142" s="918">
        <f t="shared" si="35"/>
        <v>0.22330713599999996</v>
      </c>
      <c r="O142" s="918">
        <f t="shared" si="36"/>
        <v>0</v>
      </c>
      <c r="P142" s="918" t="str">
        <f>IF(VLOOKUP($A142,'7b erosió costa'!$A$4:$AP$401,42,FALSE)&gt;0,VLOOKUP($A142,'7b erosió costa'!$A$4:$AP$401,42,FALSE),"")</f>
        <v/>
      </c>
      <c r="Q142" s="863">
        <f t="shared" si="44"/>
        <v>9.4275901204334864E-2</v>
      </c>
      <c r="R142" s="864">
        <f t="shared" si="37"/>
        <v>14.771957878775332</v>
      </c>
      <c r="S142" s="863">
        <f t="shared" si="38"/>
        <v>0.24000416935165447</v>
      </c>
      <c r="T142" s="864">
        <f t="shared" si="39"/>
        <v>0.5808966767079029</v>
      </c>
      <c r="U142" s="864">
        <f t="shared" si="40"/>
        <v>2.8619135999999962E-2</v>
      </c>
      <c r="V142" s="864">
        <f t="shared" si="40"/>
        <v>0</v>
      </c>
      <c r="W142" s="864" t="str">
        <f t="shared" si="45"/>
        <v/>
      </c>
      <c r="X142" s="1067">
        <f t="shared" si="41"/>
        <v>15.715753762039226</v>
      </c>
      <c r="Y142" s="826">
        <f>VLOOKUP(B142,'BD ASVICC'!$A$6:$Y$316,24,FALSE)</f>
        <v>219</v>
      </c>
      <c r="Z142" s="826" t="str">
        <f t="shared" si="42"/>
        <v>a &lt; 1.000 hab.</v>
      </c>
      <c r="AA142" s="826">
        <f t="shared" si="43"/>
        <v>71761.432703375453</v>
      </c>
    </row>
    <row r="143" spans="1:27" s="826" customFormat="1" ht="45">
      <c r="A143" s="835">
        <v>8140</v>
      </c>
      <c r="B143" s="826" t="s">
        <v>1268</v>
      </c>
      <c r="C143" s="878">
        <f>VLOOKUP(A143,copcalor,'1b.Cops de calor'!P$1,FALSE)/1000000</f>
        <v>6.0361273335901631</v>
      </c>
      <c r="D143" s="879">
        <f>VLOOKUP($B143,'2b.Incendis forestals'!$B$4:$P$314,9,FALSE)/1000000</f>
        <v>0.38646483982820556</v>
      </c>
      <c r="E143" s="878">
        <f>VLOOKUP($B143,'3b aigua'!$B$4:$K$314,8,FALSE)/1000000</f>
        <v>11.844313813659948</v>
      </c>
      <c r="F143" s="879">
        <f t="shared" si="31"/>
        <v>0.70327062499999993</v>
      </c>
      <c r="G143" s="879">
        <f t="shared" si="32"/>
        <v>5.7797999999999995E-2</v>
      </c>
      <c r="H143" s="879">
        <f t="shared" si="33"/>
        <v>5.5839538565999982</v>
      </c>
      <c r="I143" s="878" t="str">
        <f>IF(VLOOKUP($A143,'7b erosió costa'!$A$4:$AP$401,9,FALSE)&gt;0,VLOOKUP($A143,'7b erosió costa'!$A$4:$AP$401,9,FALSE),"")</f>
        <v/>
      </c>
      <c r="J143" s="870">
        <f>VLOOKUP(A143,copcalor,'1b.Cops de calor'!Z$1,FALSE)/1000000</f>
        <v>30.76642845302332</v>
      </c>
      <c r="K143" s="870">
        <f>VLOOKUP($B143,'2b.Incendis forestals'!$B$4:$P$314,14,FALSE)/1000000</f>
        <v>1.0627783095275656</v>
      </c>
      <c r="L143" s="870">
        <f>VLOOKUP($B143,'3b aigua'!$B$4:$K$314,9,FALSE)/1000000</f>
        <v>17.130560229427068</v>
      </c>
      <c r="M143" s="918">
        <f t="shared" si="34"/>
        <v>4.2511244522156684</v>
      </c>
      <c r="N143" s="918">
        <f t="shared" si="35"/>
        <v>6.6294305999999997E-2</v>
      </c>
      <c r="O143" s="918">
        <f t="shared" si="36"/>
        <v>6.8077673063999997</v>
      </c>
      <c r="P143" s="918" t="str">
        <f>IF(VLOOKUP($A143,'7b erosió costa'!$A$4:$AP$401,42,FALSE)&gt;0,VLOOKUP($A143,'7b erosió costa'!$A$4:$AP$401,42,FALSE),"")</f>
        <v/>
      </c>
      <c r="Q143" s="863">
        <f t="shared" si="44"/>
        <v>24.730301119433157</v>
      </c>
      <c r="R143" s="864">
        <f t="shared" si="37"/>
        <v>0.67631346969936001</v>
      </c>
      <c r="S143" s="863">
        <f t="shared" si="38"/>
        <v>5.2862464157671205</v>
      </c>
      <c r="T143" s="864">
        <f t="shared" si="39"/>
        <v>3.5478538272156683</v>
      </c>
      <c r="U143" s="864">
        <f t="shared" si="40"/>
        <v>8.4963060000000021E-3</v>
      </c>
      <c r="V143" s="864">
        <f t="shared" si="40"/>
        <v>1.2238134498000015</v>
      </c>
      <c r="W143" s="864" t="str">
        <f t="shared" si="45"/>
        <v/>
      </c>
      <c r="X143" s="1067">
        <f t="shared" si="41"/>
        <v>35.473024587915305</v>
      </c>
      <c r="Y143" s="826">
        <f>VLOOKUP(B143,'BD ASVICC'!$A$6:$Y$316,24,FALSE)</f>
        <v>5988</v>
      </c>
      <c r="Z143" s="826" t="str">
        <f t="shared" si="42"/>
        <v>c 5.000 a 20.000 hab.</v>
      </c>
      <c r="AA143" s="826">
        <f t="shared" si="43"/>
        <v>5924.0188022570646</v>
      </c>
    </row>
    <row r="144" spans="1:27" s="826" customFormat="1" ht="45">
      <c r="A144" s="835">
        <v>8141</v>
      </c>
      <c r="B144" s="826" t="s">
        <v>1269</v>
      </c>
      <c r="C144" s="878">
        <f>VLOOKUP(A144,copcalor,'1b.Cops de calor'!P$1,FALSE)/1000000</f>
        <v>5.6197302177776436</v>
      </c>
      <c r="D144" s="879">
        <f>VLOOKUP($B144,'2b.Incendis forestals'!$B$4:$P$314,9,FALSE)/1000000</f>
        <v>10.672375192178908</v>
      </c>
      <c r="E144" s="878">
        <f>VLOOKUP($B144,'3b aigua'!$B$4:$K$314,8,FALSE)/1000000</f>
        <v>10.966278909796266</v>
      </c>
      <c r="F144" s="879">
        <f t="shared" si="31"/>
        <v>9.1077793749999998</v>
      </c>
      <c r="G144" s="879">
        <f t="shared" si="32"/>
        <v>20.405736000000001</v>
      </c>
      <c r="H144" s="879">
        <f t="shared" si="33"/>
        <v>2.36931336</v>
      </c>
      <c r="I144" s="878" t="str">
        <f>IF(VLOOKUP($A144,'7b erosió costa'!$A$4:$AP$401,9,FALSE)&gt;0,VLOOKUP($A144,'7b erosió costa'!$A$4:$AP$401,9,FALSE),"")</f>
        <v/>
      </c>
      <c r="J144" s="870">
        <f>VLOOKUP(A144,copcalor,'1b.Cops de calor'!Z$1,FALSE)/1000000</f>
        <v>28.216163806534052</v>
      </c>
      <c r="K144" s="870">
        <f>VLOOKUP($B144,'2b.Incendis forestals'!$B$4:$P$314,14,FALSE)/1000000</f>
        <v>29.349031778492002</v>
      </c>
      <c r="L144" s="870">
        <f>VLOOKUP($B144,'3b aigua'!$B$4:$K$314,9,FALSE)/1000000</f>
        <v>15.860648773110444</v>
      </c>
      <c r="M144" s="918">
        <f t="shared" si="34"/>
        <v>45.431645761633007</v>
      </c>
      <c r="N144" s="918">
        <f t="shared" si="35"/>
        <v>23.405379191999998</v>
      </c>
      <c r="O144" s="918">
        <f t="shared" si="36"/>
        <v>3.0957976722000002</v>
      </c>
      <c r="P144" s="918" t="str">
        <f>IF(VLOOKUP($A144,'7b erosió costa'!$A$4:$AP$401,42,FALSE)&gt;0,VLOOKUP($A144,'7b erosió costa'!$A$4:$AP$401,42,FALSE),"")</f>
        <v/>
      </c>
      <c r="Q144" s="863">
        <f t="shared" si="44"/>
        <v>22.596433588756408</v>
      </c>
      <c r="R144" s="864">
        <f t="shared" si="37"/>
        <v>18.676656586313094</v>
      </c>
      <c r="S144" s="863">
        <f t="shared" si="38"/>
        <v>4.8943698633141786</v>
      </c>
      <c r="T144" s="864">
        <f t="shared" si="39"/>
        <v>36.323866386633007</v>
      </c>
      <c r="U144" s="864">
        <f t="shared" si="40"/>
        <v>2.9996431919999971</v>
      </c>
      <c r="V144" s="864">
        <f t="shared" si="40"/>
        <v>0.7264843122000002</v>
      </c>
      <c r="W144" s="864" t="str">
        <f t="shared" si="45"/>
        <v/>
      </c>
      <c r="X144" s="1067">
        <f t="shared" si="41"/>
        <v>86.217453929216688</v>
      </c>
      <c r="Y144" s="826">
        <f>VLOOKUP(B144,'BD ASVICC'!$A$6:$Y$316,24,FALSE)</f>
        <v>6045</v>
      </c>
      <c r="Z144" s="826" t="str">
        <f t="shared" si="42"/>
        <v>c 5.000 a 20.000 hab.</v>
      </c>
      <c r="AA144" s="826">
        <f t="shared" si="43"/>
        <v>14262.60610905156</v>
      </c>
    </row>
    <row r="145" spans="1:27" s="826" customFormat="1" ht="30">
      <c r="A145" s="835">
        <v>8142</v>
      </c>
      <c r="B145" s="826" t="s">
        <v>1272</v>
      </c>
      <c r="C145" s="878">
        <f>VLOOKUP(A145,copcalor,'1b.Cops de calor'!P$1,FALSE)/1000000</f>
        <v>1.6126371475643574E-2</v>
      </c>
      <c r="D145" s="879">
        <f>VLOOKUP($B145,'2b.Incendis forestals'!$B$4:$P$314,9,FALSE)/1000000</f>
        <v>2.066512907172485</v>
      </c>
      <c r="E145" s="878">
        <f>VLOOKUP($B145,'3b aigua'!$B$4:$K$314,8,FALSE)/1000000</f>
        <v>0.14117117160959999</v>
      </c>
      <c r="F145" s="879">
        <f t="shared" si="31"/>
        <v>0.22103</v>
      </c>
      <c r="G145" s="879">
        <f t="shared" si="32"/>
        <v>0.60839999999999994</v>
      </c>
      <c r="H145" s="879">
        <f t="shared" si="33"/>
        <v>0</v>
      </c>
      <c r="I145" s="878" t="str">
        <f>IF(VLOOKUP($A145,'7b erosió costa'!$A$4:$AP$401,9,FALSE)&gt;0,VLOOKUP($A145,'7b erosió costa'!$A$4:$AP$401,9,FALSE),"")</f>
        <v/>
      </c>
      <c r="J145" s="870">
        <f>VLOOKUP(A145,copcalor,'1b.Cops de calor'!Z$1,FALSE)/1000000</f>
        <v>7.7800758330604194E-2</v>
      </c>
      <c r="K145" s="870">
        <f>VLOOKUP($B145,'2b.Incendis forestals'!$B$4:$P$314,14,FALSE)/1000000</f>
        <v>5.6829104947243341</v>
      </c>
      <c r="L145" s="870">
        <f>VLOOKUP($B145,'3b aigua'!$B$4:$K$314,9,FALSE)/1000000</f>
        <v>0.204177404952576</v>
      </c>
      <c r="M145" s="918">
        <f t="shared" si="34"/>
        <v>1.2912043171038892</v>
      </c>
      <c r="N145" s="918">
        <f t="shared" si="35"/>
        <v>0.69783479999999998</v>
      </c>
      <c r="O145" s="918">
        <f t="shared" si="36"/>
        <v>0</v>
      </c>
      <c r="P145" s="918" t="str">
        <f>IF(VLOOKUP($A145,'7b erosió costa'!$A$4:$AP$401,42,FALSE)&gt;0,VLOOKUP($A145,'7b erosió costa'!$A$4:$AP$401,42,FALSE),"")</f>
        <v/>
      </c>
      <c r="Q145" s="863">
        <f t="shared" si="44"/>
        <v>6.1674386854960621E-2</v>
      </c>
      <c r="R145" s="864">
        <f t="shared" si="37"/>
        <v>3.616397587551849</v>
      </c>
      <c r="S145" s="863">
        <f t="shared" si="38"/>
        <v>6.3006233342976004E-2</v>
      </c>
      <c r="T145" s="864">
        <f t="shared" si="39"/>
        <v>1.0701743171038891</v>
      </c>
      <c r="U145" s="864">
        <f t="shared" si="40"/>
        <v>8.9434800000000036E-2</v>
      </c>
      <c r="V145" s="864">
        <f t="shared" si="40"/>
        <v>0</v>
      </c>
      <c r="W145" s="864" t="str">
        <f t="shared" si="45"/>
        <v/>
      </c>
      <c r="X145" s="1067">
        <f t="shared" si="41"/>
        <v>4.9006873248536751</v>
      </c>
      <c r="Y145" s="826">
        <f>VLOOKUP(B145,'BD ASVICC'!$A$6:$Y$316,24,FALSE)</f>
        <v>151</v>
      </c>
      <c r="Z145" s="826" t="str">
        <f t="shared" si="42"/>
        <v>a &lt; 1.000 hab.</v>
      </c>
      <c r="AA145" s="826">
        <f t="shared" si="43"/>
        <v>32454.882946050831</v>
      </c>
    </row>
    <row r="146" spans="1:27" s="826" customFormat="1" ht="45">
      <c r="A146" s="835">
        <v>8143</v>
      </c>
      <c r="B146" s="826" t="s">
        <v>1274</v>
      </c>
      <c r="C146" s="878">
        <f>VLOOKUP(A146,copcalor,'1b.Cops de calor'!P$1,FALSE)/1000000</f>
        <v>1.4972610322069364</v>
      </c>
      <c r="D146" s="879">
        <f>VLOOKUP($B146,'2b.Incendis forestals'!$B$4:$P$314,9,FALSE)/1000000</f>
        <v>4.0309873282931061</v>
      </c>
      <c r="E146" s="878">
        <f>VLOOKUP($B146,'3b aigua'!$B$4:$K$314,8,FALSE)/1000000</f>
        <v>8.2791455197354651</v>
      </c>
      <c r="F146" s="879">
        <f t="shared" si="31"/>
        <v>11.718197499999999</v>
      </c>
      <c r="G146" s="879">
        <f t="shared" si="32"/>
        <v>11.361869999999998</v>
      </c>
      <c r="H146" s="879">
        <f t="shared" si="33"/>
        <v>0</v>
      </c>
      <c r="I146" s="878" t="str">
        <f>IF(VLOOKUP($A146,'7b erosió costa'!$A$4:$AP$401,9,FALSE)&gt;0,VLOOKUP($A146,'7b erosió costa'!$A$4:$AP$401,9,FALSE),"")</f>
        <v/>
      </c>
      <c r="J146" s="870">
        <f>VLOOKUP(A146,copcalor,'1b.Cops de calor'!Z$1,FALSE)/1000000</f>
        <v>8.7593521000152741</v>
      </c>
      <c r="K146" s="870">
        <f>VLOOKUP($B146,'2b.Incendis forestals'!$B$4:$P$314,14,FALSE)/1000000</f>
        <v>11.08521515280604</v>
      </c>
      <c r="L146" s="870">
        <f>VLOOKUP($B146,'3b aigua'!$B$4:$K$314,9,FALSE)/1000000</f>
        <v>11.974218448218792</v>
      </c>
      <c r="M146" s="918">
        <f t="shared" si="34"/>
        <v>53.311668093836865</v>
      </c>
      <c r="N146" s="918">
        <f t="shared" si="35"/>
        <v>13.032064889999999</v>
      </c>
      <c r="O146" s="918">
        <f t="shared" si="36"/>
        <v>0</v>
      </c>
      <c r="P146" s="918" t="str">
        <f>IF(VLOOKUP($A146,'7b erosió costa'!$A$4:$AP$401,42,FALSE)&gt;0,VLOOKUP($A146,'7b erosió costa'!$A$4:$AP$401,42,FALSE),"")</f>
        <v/>
      </c>
      <c r="Q146" s="863">
        <f t="shared" si="44"/>
        <v>7.2620910678083375</v>
      </c>
      <c r="R146" s="864">
        <f t="shared" si="37"/>
        <v>7.0542278245129335</v>
      </c>
      <c r="S146" s="863">
        <f t="shared" si="38"/>
        <v>3.6950729284833272</v>
      </c>
      <c r="T146" s="864">
        <f t="shared" si="39"/>
        <v>41.593470593836869</v>
      </c>
      <c r="U146" s="864">
        <f t="shared" si="40"/>
        <v>1.6701948900000012</v>
      </c>
      <c r="V146" s="864">
        <f t="shared" si="40"/>
        <v>0</v>
      </c>
      <c r="W146" s="864" t="str">
        <f t="shared" si="45"/>
        <v/>
      </c>
      <c r="X146" s="1067">
        <f t="shared" si="41"/>
        <v>61.275057304641464</v>
      </c>
      <c r="Y146" s="826">
        <f>VLOOKUP(B146,'BD ASVICC'!$A$6:$Y$316,24,FALSE)</f>
        <v>3607</v>
      </c>
      <c r="Z146" s="826" t="str">
        <f t="shared" si="42"/>
        <v>b 1.000 a 5.000 hab.</v>
      </c>
      <c r="AA146" s="826">
        <f t="shared" si="43"/>
        <v>16987.817384153441</v>
      </c>
    </row>
    <row r="147" spans="1:27" s="826" customFormat="1" ht="30">
      <c r="A147" s="835">
        <v>8144</v>
      </c>
      <c r="B147" s="826" t="s">
        <v>1278</v>
      </c>
      <c r="C147" s="878">
        <f>VLOOKUP(A147,copcalor,'1b.Cops de calor'!P$1,FALSE)/1000000</f>
        <v>0.16617622590513412</v>
      </c>
      <c r="D147" s="879">
        <f>VLOOKUP($B147,'2b.Incendis forestals'!$B$4:$P$314,9,FALSE)/1000000</f>
        <v>2.4237336784078543</v>
      </c>
      <c r="E147" s="878">
        <f>VLOOKUP($B147,'3b aigua'!$B$4:$K$314,8,FALSE)/1000000</f>
        <v>0.60838046553087999</v>
      </c>
      <c r="F147" s="879">
        <f t="shared" si="31"/>
        <v>3.9927999999999995</v>
      </c>
      <c r="G147" s="879">
        <f t="shared" si="32"/>
        <v>10.172447999999999</v>
      </c>
      <c r="H147" s="879">
        <f t="shared" si="33"/>
        <v>5.1258976723499998</v>
      </c>
      <c r="I147" s="878" t="str">
        <f>IF(VLOOKUP($A147,'7b erosió costa'!$A$4:$AP$401,9,FALSE)&gt;0,VLOOKUP($A147,'7b erosió costa'!$A$4:$AP$401,9,FALSE),"")</f>
        <v/>
      </c>
      <c r="J147" s="870">
        <f>VLOOKUP(A147,copcalor,'1b.Cops de calor'!Z$1,FALSE)/1000000</f>
        <v>0.88971538657395066</v>
      </c>
      <c r="K147" s="870">
        <f>VLOOKUP($B147,'2b.Incendis forestals'!$B$4:$P$314,14,FALSE)/1000000</f>
        <v>6.6652676156216</v>
      </c>
      <c r="L147" s="870">
        <f>VLOOKUP($B147,'3b aigua'!$B$4:$K$314,9,FALSE)/1000000</f>
        <v>0.87990730160865294</v>
      </c>
      <c r="M147" s="918">
        <f t="shared" si="34"/>
        <v>19.293770069678342</v>
      </c>
      <c r="N147" s="918">
        <f t="shared" si="35"/>
        <v>11.667797856</v>
      </c>
      <c r="O147" s="918">
        <f t="shared" si="36"/>
        <v>5.62679308365</v>
      </c>
      <c r="P147" s="918" t="str">
        <f>IF(VLOOKUP($A147,'7b erosió costa'!$A$4:$AP$401,42,FALSE)&gt;0,VLOOKUP($A147,'7b erosió costa'!$A$4:$AP$401,42,FALSE),"")</f>
        <v/>
      </c>
      <c r="Q147" s="863">
        <f t="shared" si="44"/>
        <v>0.72353916066881652</v>
      </c>
      <c r="R147" s="864">
        <f t="shared" si="37"/>
        <v>4.2415339372137453</v>
      </c>
      <c r="S147" s="863">
        <f t="shared" si="38"/>
        <v>0.27152683607777295</v>
      </c>
      <c r="T147" s="864">
        <f t="shared" si="39"/>
        <v>15.300970069678343</v>
      </c>
      <c r="U147" s="864">
        <f t="shared" si="40"/>
        <v>1.4953498560000007</v>
      </c>
      <c r="V147" s="864">
        <f t="shared" si="40"/>
        <v>0.50089541130000015</v>
      </c>
      <c r="W147" s="864" t="str">
        <f t="shared" si="45"/>
        <v/>
      </c>
      <c r="X147" s="1067">
        <f t="shared" si="41"/>
        <v>22.533815270938678</v>
      </c>
      <c r="Y147" s="826">
        <f>VLOOKUP(B147,'BD ASVICC'!$A$6:$Y$316,24,FALSE)</f>
        <v>855</v>
      </c>
      <c r="Z147" s="826" t="str">
        <f t="shared" si="42"/>
        <v>a &lt; 1.000 hab.</v>
      </c>
      <c r="AA147" s="826">
        <f t="shared" si="43"/>
        <v>26355.339498173893</v>
      </c>
    </row>
    <row r="148" spans="1:27" s="826" customFormat="1" ht="45">
      <c r="A148" s="835">
        <v>8145</v>
      </c>
      <c r="B148" s="826" t="s">
        <v>1281</v>
      </c>
      <c r="C148" s="878">
        <f>VLOOKUP(A148,copcalor,'1b.Cops de calor'!P$1,FALSE)/1000000</f>
        <v>0.33222321570946217</v>
      </c>
      <c r="D148" s="879">
        <f>VLOOKUP($B148,'2b.Incendis forestals'!$B$4:$P$314,9,FALSE)/1000000</f>
        <v>1.6619579214156743</v>
      </c>
      <c r="E148" s="878">
        <f>VLOOKUP($B148,'3b aigua'!$B$4:$K$314,8,FALSE)/1000000</f>
        <v>10.8843494982368</v>
      </c>
      <c r="F148" s="879">
        <f t="shared" si="31"/>
        <v>0.54187999999999992</v>
      </c>
      <c r="G148" s="879">
        <f t="shared" si="32"/>
        <v>0.37112400000000001</v>
      </c>
      <c r="H148" s="879">
        <f t="shared" si="33"/>
        <v>0</v>
      </c>
      <c r="I148" s="878" t="str">
        <f>IF(VLOOKUP($A148,'7b erosió costa'!$A$4:$AP$401,9,FALSE)&gt;0,VLOOKUP($A148,'7b erosió costa'!$A$4:$AP$401,9,FALSE),"")</f>
        <v/>
      </c>
      <c r="J148" s="870">
        <f>VLOOKUP(A148,copcalor,'1b.Cops de calor'!Z$1,FALSE)/1000000</f>
        <v>1.83038705471263</v>
      </c>
      <c r="K148" s="870">
        <f>VLOOKUP($B148,'2b.Incendis forestals'!$B$4:$P$314,14,FALSE)/1000000</f>
        <v>4.5703842838931035</v>
      </c>
      <c r="L148" s="870">
        <f>VLOOKUP($B148,'3b aigua'!$B$4:$K$314,9,FALSE)/1000000</f>
        <v>19.996090504640101</v>
      </c>
      <c r="M148" s="918">
        <f t="shared" si="34"/>
        <v>5.02676924745455</v>
      </c>
      <c r="N148" s="918">
        <f t="shared" si="35"/>
        <v>0.42567922799999997</v>
      </c>
      <c r="O148" s="918">
        <f t="shared" si="36"/>
        <v>0</v>
      </c>
      <c r="P148" s="918" t="str">
        <f>IF(VLOOKUP($A148,'7b erosió costa'!$A$4:$AP$401,42,FALSE)&gt;0,VLOOKUP($A148,'7b erosió costa'!$A$4:$AP$401,42,FALSE),"")</f>
        <v/>
      </c>
      <c r="Q148" s="863">
        <f t="shared" si="44"/>
        <v>1.4981638390031677</v>
      </c>
      <c r="R148" s="864">
        <f t="shared" si="37"/>
        <v>2.9084263624774289</v>
      </c>
      <c r="S148" s="863">
        <f t="shared" si="38"/>
        <v>9.1117410064033013</v>
      </c>
      <c r="T148" s="864">
        <f t="shared" si="39"/>
        <v>4.4848892474545501</v>
      </c>
      <c r="U148" s="864">
        <f t="shared" si="40"/>
        <v>5.4555227999999956E-2</v>
      </c>
      <c r="V148" s="864">
        <f t="shared" si="40"/>
        <v>0</v>
      </c>
      <c r="W148" s="864" t="str">
        <f t="shared" si="45"/>
        <v/>
      </c>
      <c r="X148" s="1067">
        <f t="shared" si="41"/>
        <v>18.057775683338452</v>
      </c>
      <c r="Y148" s="826">
        <f>VLOOKUP(B148,'BD ASVICC'!$A$6:$Y$316,24,FALSE)</f>
        <v>3529</v>
      </c>
      <c r="Z148" s="826" t="str">
        <f t="shared" si="42"/>
        <v>b 1.000 a 5.000 hab.</v>
      </c>
      <c r="AA148" s="826">
        <f t="shared" si="43"/>
        <v>5116.9667564008078</v>
      </c>
    </row>
    <row r="149" spans="1:27" s="826" customFormat="1" ht="45">
      <c r="A149" s="835">
        <v>8146</v>
      </c>
      <c r="B149" s="826" t="s">
        <v>1286</v>
      </c>
      <c r="C149" s="878">
        <f>VLOOKUP(A149,copcalor,'1b.Cops de calor'!P$1,FALSE)/1000000</f>
        <v>0.19520879871561439</v>
      </c>
      <c r="D149" s="879">
        <f>VLOOKUP($B149,'2b.Incendis forestals'!$B$4:$P$314,9,FALSE)/1000000</f>
        <v>2.935944026422181</v>
      </c>
      <c r="E149" s="878">
        <f>VLOOKUP($B149,'3b aigua'!$B$4:$K$314,8,FALSE)/1000000</f>
        <v>6.9959998338559997</v>
      </c>
      <c r="F149" s="879">
        <f t="shared" si="31"/>
        <v>2.8519999999999997E-2</v>
      </c>
      <c r="G149" s="879">
        <f t="shared" si="32"/>
        <v>0</v>
      </c>
      <c r="H149" s="879">
        <f t="shared" si="33"/>
        <v>0</v>
      </c>
      <c r="I149" s="878" t="str">
        <f>IF(VLOOKUP($A149,'7b erosió costa'!$A$4:$AP$401,9,FALSE)&gt;0,VLOOKUP($A149,'7b erosió costa'!$A$4:$AP$401,9,FALSE),"")</f>
        <v/>
      </c>
      <c r="J149" s="870">
        <f>VLOOKUP(A149,copcalor,'1b.Cops de calor'!Z$1,FALSE)/1000000</f>
        <v>1.0916929428364581</v>
      </c>
      <c r="K149" s="870">
        <f>VLOOKUP($B149,'2b.Incendis forestals'!$B$4:$P$314,14,FALSE)/1000000</f>
        <v>8.0738460726609986</v>
      </c>
      <c r="L149" s="870">
        <f>VLOOKUP($B149,'3b aigua'!$B$4:$K$314,9,FALSE)/1000000</f>
        <v>10.118390850191361</v>
      </c>
      <c r="M149" s="918">
        <f t="shared" si="34"/>
        <v>1.4224601634190517</v>
      </c>
      <c r="N149" s="918">
        <f t="shared" si="35"/>
        <v>0</v>
      </c>
      <c r="O149" s="918">
        <f t="shared" si="36"/>
        <v>0</v>
      </c>
      <c r="P149" s="918" t="str">
        <f>IF(VLOOKUP($A149,'7b erosió costa'!$A$4:$AP$401,42,FALSE)&gt;0,VLOOKUP($A149,'7b erosió costa'!$A$4:$AP$401,42,FALSE),"")</f>
        <v/>
      </c>
      <c r="Q149" s="863">
        <f t="shared" si="44"/>
        <v>0.89648414412084376</v>
      </c>
      <c r="R149" s="864">
        <f t="shared" si="37"/>
        <v>5.1379020462388176</v>
      </c>
      <c r="S149" s="863">
        <f t="shared" si="38"/>
        <v>3.122391016335361</v>
      </c>
      <c r="T149" s="864">
        <f t="shared" si="39"/>
        <v>1.3939401634190516</v>
      </c>
      <c r="U149" s="864">
        <f t="shared" si="40"/>
        <v>0</v>
      </c>
      <c r="V149" s="864">
        <f t="shared" si="40"/>
        <v>0</v>
      </c>
      <c r="W149" s="864" t="str">
        <f t="shared" si="45"/>
        <v/>
      </c>
      <c r="X149" s="1067">
        <f t="shared" si="41"/>
        <v>10.550717370114073</v>
      </c>
      <c r="Y149" s="826">
        <f>VLOOKUP(B149,'BD ASVICC'!$A$6:$Y$316,24,FALSE)</f>
        <v>1723</v>
      </c>
      <c r="Z149" s="826" t="str">
        <f t="shared" si="42"/>
        <v>b 1.000 a 5.000 hab.</v>
      </c>
      <c r="AA149" s="826">
        <f t="shared" si="43"/>
        <v>6123.4575566535541</v>
      </c>
    </row>
    <row r="150" spans="1:27" s="826" customFormat="1" ht="45">
      <c r="A150" s="835">
        <v>8147</v>
      </c>
      <c r="B150" s="826" t="s">
        <v>1291</v>
      </c>
      <c r="C150" s="878">
        <f>VLOOKUP(A150,copcalor,'1b.Cops de calor'!P$1,FALSE)/1000000</f>
        <v>5.1111337109689057</v>
      </c>
      <c r="D150" s="879">
        <f>VLOOKUP($B150,'2b.Incendis forestals'!$B$4:$P$314,9,FALSE)/1000000</f>
        <v>1.1430399794198463</v>
      </c>
      <c r="E150" s="878">
        <f>VLOOKUP($B150,'3b aigua'!$B$4:$K$314,8,FALSE)/1000000</f>
        <v>56.981385618969185</v>
      </c>
      <c r="F150" s="879">
        <f t="shared" si="31"/>
        <v>8.4721875000000002E-2</v>
      </c>
      <c r="G150" s="879">
        <f t="shared" si="32"/>
        <v>9.1259999999999987E-3</v>
      </c>
      <c r="H150" s="879">
        <f t="shared" si="33"/>
        <v>4.2594748300500003</v>
      </c>
      <c r="I150" s="878" t="str">
        <f>IF(VLOOKUP($A150,'7b erosió costa'!$A$4:$AP$401,9,FALSE)&gt;0,VLOOKUP($A150,'7b erosió costa'!$A$4:$AP$401,9,FALSE),"")</f>
        <v/>
      </c>
      <c r="J150" s="870">
        <f>VLOOKUP(A150,copcalor,'1b.Cops de calor'!Z$1,FALSE)/1000000</f>
        <v>30.225477725354505</v>
      </c>
      <c r="K150" s="870">
        <f>VLOOKUP($B150,'2b.Incendis forestals'!$B$4:$P$314,14,FALSE)/1000000</f>
        <v>3.1433599434045774</v>
      </c>
      <c r="L150" s="870">
        <f>VLOOKUP($B150,'3b aigua'!$B$4:$K$314,9,FALSE)/1000000</f>
        <v>104.68287003291127</v>
      </c>
      <c r="M150" s="918">
        <f t="shared" si="34"/>
        <v>1.35740729444355</v>
      </c>
      <c r="N150" s="918">
        <f t="shared" si="35"/>
        <v>1.0467522E-2</v>
      </c>
      <c r="O150" s="918">
        <f t="shared" si="36"/>
        <v>6.2362140514500002</v>
      </c>
      <c r="P150" s="918" t="str">
        <f>IF(VLOOKUP($A150,'7b erosió costa'!$A$4:$AP$401,42,FALSE)&gt;0,VLOOKUP($A150,'7b erosió costa'!$A$4:$AP$401,42,FALSE),"")</f>
        <v/>
      </c>
      <c r="Q150" s="863">
        <f t="shared" si="44"/>
        <v>25.114344014385601</v>
      </c>
      <c r="R150" s="864">
        <f t="shared" si="37"/>
        <v>2.0003199639847313</v>
      </c>
      <c r="S150" s="863">
        <f t="shared" si="38"/>
        <v>47.701484413942083</v>
      </c>
      <c r="T150" s="864">
        <f t="shared" si="39"/>
        <v>1.27268541944355</v>
      </c>
      <c r="U150" s="864">
        <f t="shared" si="40"/>
        <v>1.3415220000000012E-3</v>
      </c>
      <c r="V150" s="864">
        <f t="shared" si="40"/>
        <v>1.9767392213999999</v>
      </c>
      <c r="W150" s="864" t="str">
        <f t="shared" si="45"/>
        <v/>
      </c>
      <c r="X150" s="1067">
        <f t="shared" si="41"/>
        <v>78.066914555155961</v>
      </c>
      <c r="Y150" s="826">
        <f>VLOOKUP(B150,'BD ASVICC'!$A$6:$Y$316,24,FALSE)</f>
        <v>23645</v>
      </c>
      <c r="Z150" s="826" t="str">
        <f t="shared" si="42"/>
        <v>d 20.000 a 50.000 hab.</v>
      </c>
      <c r="AA150" s="826">
        <f t="shared" si="43"/>
        <v>3301.6246375621045</v>
      </c>
    </row>
    <row r="151" spans="1:27" s="826" customFormat="1" ht="45">
      <c r="A151" s="835">
        <v>8148</v>
      </c>
      <c r="B151" s="826" t="s">
        <v>1294</v>
      </c>
      <c r="C151" s="878">
        <f>VLOOKUP(A151,copcalor,'1b.Cops de calor'!P$1,FALSE)/1000000</f>
        <v>1.8282157124537559</v>
      </c>
      <c r="D151" s="879">
        <f>VLOOKUP($B151,'2b.Incendis forestals'!$B$4:$P$314,9,FALSE)/1000000</f>
        <v>6.6427222580112533</v>
      </c>
      <c r="E151" s="878">
        <f>VLOOKUP($B151,'3b aigua'!$B$4:$K$314,8,FALSE)/1000000</f>
        <v>10.117423939489065</v>
      </c>
      <c r="F151" s="879">
        <f t="shared" si="31"/>
        <v>4.2779999999999999E-2</v>
      </c>
      <c r="G151" s="879">
        <f t="shared" si="32"/>
        <v>9.1259999999999987E-3</v>
      </c>
      <c r="H151" s="879">
        <f t="shared" si="33"/>
        <v>0</v>
      </c>
      <c r="I151" s="878" t="str">
        <f>IF(VLOOKUP($A151,'7b erosió costa'!$A$4:$AP$401,9,FALSE)&gt;0,VLOOKUP($A151,'7b erosió costa'!$A$4:$AP$401,9,FALSE),"")</f>
        <v/>
      </c>
      <c r="J151" s="870">
        <f>VLOOKUP(A151,copcalor,'1b.Cops de calor'!Z$1,FALSE)/1000000</f>
        <v>9.8131271069403745</v>
      </c>
      <c r="K151" s="870">
        <f>VLOOKUP($B151,'2b.Incendis forestals'!$B$4:$P$314,14,FALSE)/1000000</f>
        <v>18.267486209530947</v>
      </c>
      <c r="L151" s="870">
        <f>VLOOKUP($B151,'3b aigua'!$B$4:$K$314,9,FALSE)/1000000</f>
        <v>18.587139709231923</v>
      </c>
      <c r="M151" s="918">
        <f t="shared" si="34"/>
        <v>1.0847185577970753</v>
      </c>
      <c r="N151" s="918">
        <f t="shared" si="35"/>
        <v>1.0467522E-2</v>
      </c>
      <c r="O151" s="918">
        <f t="shared" si="36"/>
        <v>0</v>
      </c>
      <c r="P151" s="918" t="str">
        <f>IF(VLOOKUP($A151,'7b erosió costa'!$A$4:$AP$401,42,FALSE)&gt;0,VLOOKUP($A151,'7b erosió costa'!$A$4:$AP$401,42,FALSE),"")</f>
        <v/>
      </c>
      <c r="Q151" s="863">
        <f t="shared" si="44"/>
        <v>7.9849113944866188</v>
      </c>
      <c r="R151" s="864">
        <f t="shared" si="37"/>
        <v>11.624763951519693</v>
      </c>
      <c r="S151" s="863">
        <f t="shared" si="38"/>
        <v>8.4697157697428587</v>
      </c>
      <c r="T151" s="864">
        <f t="shared" si="39"/>
        <v>1.0419385577970752</v>
      </c>
      <c r="U151" s="864">
        <f t="shared" si="40"/>
        <v>1.3415220000000012E-3</v>
      </c>
      <c r="V151" s="864">
        <f t="shared" si="40"/>
        <v>0</v>
      </c>
      <c r="W151" s="864" t="str">
        <f t="shared" si="45"/>
        <v/>
      </c>
      <c r="X151" s="1067">
        <f t="shared" si="41"/>
        <v>29.122671195546246</v>
      </c>
      <c r="Y151" s="826">
        <f>VLOOKUP(B151,'BD ASVICC'!$A$6:$Y$316,24,FALSE)</f>
        <v>3569</v>
      </c>
      <c r="Z151" s="826" t="str">
        <f t="shared" si="42"/>
        <v>b 1.000 a 5.000 hab.</v>
      </c>
      <c r="AA151" s="826">
        <f t="shared" si="43"/>
        <v>8159.8966644847987</v>
      </c>
    </row>
    <row r="152" spans="1:27" s="826" customFormat="1" ht="45">
      <c r="A152" s="835">
        <v>8149</v>
      </c>
      <c r="B152" s="826" t="s">
        <v>1298</v>
      </c>
      <c r="C152" s="878">
        <f>VLOOKUP(A152,copcalor,'1b.Cops de calor'!P$1,FALSE)/1000000</f>
        <v>0.41066676842159999</v>
      </c>
      <c r="D152" s="879">
        <f>VLOOKUP($B152,'2b.Incendis forestals'!$B$4:$P$314,9,FALSE)/1000000</f>
        <v>0.15679665453448466</v>
      </c>
      <c r="E152" s="878">
        <f>VLOOKUP($B152,'3b aigua'!$B$4:$K$314,8,FALSE)/1000000</f>
        <v>6.1190784213196814</v>
      </c>
      <c r="F152" s="879">
        <f t="shared" si="31"/>
        <v>7.5364100000000001</v>
      </c>
      <c r="G152" s="879">
        <f t="shared" si="32"/>
        <v>18.440604</v>
      </c>
      <c r="H152" s="879">
        <f t="shared" si="33"/>
        <v>0</v>
      </c>
      <c r="I152" s="878" t="str">
        <f>IF(VLOOKUP($A152,'7b erosió costa'!$A$4:$AP$401,9,FALSE)&gt;0,VLOOKUP($A152,'7b erosió costa'!$A$4:$AP$401,9,FALSE),"")</f>
        <v/>
      </c>
      <c r="J152" s="870">
        <f>VLOOKUP(A152,copcalor,'1b.Cops de calor'!Z$1,FALSE)/1000000</f>
        <v>2.3824371156734259</v>
      </c>
      <c r="K152" s="870">
        <f>VLOOKUP($B152,'2b.Incendis forestals'!$B$4:$P$314,14,FALSE)/1000000</f>
        <v>0.43119079996983284</v>
      </c>
      <c r="L152" s="870">
        <f>VLOOKUP($B152,'3b aigua'!$B$4:$K$314,9,FALSE)/1000000</f>
        <v>8.8500898485239823</v>
      </c>
      <c r="M152" s="918">
        <f t="shared" si="34"/>
        <v>34.353680551068173</v>
      </c>
      <c r="N152" s="918">
        <f t="shared" si="35"/>
        <v>21.151372788</v>
      </c>
      <c r="O152" s="918">
        <f t="shared" si="36"/>
        <v>0</v>
      </c>
      <c r="P152" s="918" t="str">
        <f>IF(VLOOKUP($A152,'7b erosió costa'!$A$4:$AP$401,42,FALSE)&gt;0,VLOOKUP($A152,'7b erosió costa'!$A$4:$AP$401,42,FALSE),"")</f>
        <v/>
      </c>
      <c r="Q152" s="863">
        <f t="shared" si="44"/>
        <v>1.9717703472518258</v>
      </c>
      <c r="R152" s="864">
        <f t="shared" si="37"/>
        <v>0.27439414543534818</v>
      </c>
      <c r="S152" s="863">
        <f t="shared" si="38"/>
        <v>2.7310114272043009</v>
      </c>
      <c r="T152" s="864">
        <f t="shared" si="39"/>
        <v>26.817270551068173</v>
      </c>
      <c r="U152" s="864">
        <f t="shared" si="40"/>
        <v>2.7107687879999993</v>
      </c>
      <c r="V152" s="864">
        <f t="shared" si="40"/>
        <v>0</v>
      </c>
      <c r="W152" s="864" t="str">
        <f t="shared" si="45"/>
        <v/>
      </c>
      <c r="X152" s="1067">
        <f t="shared" si="41"/>
        <v>34.505215258959652</v>
      </c>
      <c r="Y152" s="826">
        <f>VLOOKUP(B152,'BD ASVICC'!$A$6:$Y$316,24,FALSE)</f>
        <v>1185</v>
      </c>
      <c r="Z152" s="826" t="str">
        <f t="shared" si="42"/>
        <v>b 1.000 a 5.000 hab.</v>
      </c>
      <c r="AA152" s="826">
        <f t="shared" si="43"/>
        <v>29118.325113046118</v>
      </c>
    </row>
    <row r="153" spans="1:27" s="826" customFormat="1" ht="30">
      <c r="A153" s="835">
        <v>8150</v>
      </c>
      <c r="B153" s="826" t="s">
        <v>1301</v>
      </c>
      <c r="C153" s="878">
        <f>VLOOKUP(A153,copcalor,'1b.Cops de calor'!P$1,FALSE)/1000000</f>
        <v>5.7018529105709065E-2</v>
      </c>
      <c r="D153" s="879">
        <f>VLOOKUP($B153,'2b.Incendis forestals'!$B$4:$P$314,9,FALSE)/1000000</f>
        <v>0.21411014192747604</v>
      </c>
      <c r="E153" s="878">
        <f>VLOOKUP($B153,'3b aigua'!$B$4:$K$314,8,FALSE)/1000000</f>
        <v>1.5519130738026667</v>
      </c>
      <c r="F153" s="879">
        <f t="shared" si="31"/>
        <v>3.8247043749999996</v>
      </c>
      <c r="G153" s="879">
        <f t="shared" si="32"/>
        <v>15.544619999999997</v>
      </c>
      <c r="H153" s="879">
        <f t="shared" si="33"/>
        <v>9.3881862978000026</v>
      </c>
      <c r="I153" s="878" t="str">
        <f>IF(VLOOKUP($A153,'7b erosió costa'!$A$4:$AP$401,9,FALSE)&gt;0,VLOOKUP($A153,'7b erosió costa'!$A$4:$AP$401,9,FALSE),"")</f>
        <v/>
      </c>
      <c r="J153" s="870">
        <f>VLOOKUP(A153,copcalor,'1b.Cops de calor'!Z$1,FALSE)/1000000</f>
        <v>0.33028569106301714</v>
      </c>
      <c r="K153" s="870">
        <f>VLOOKUP($B153,'2b.Incendis forestals'!$B$4:$P$314,14,FALSE)/1000000</f>
        <v>0.58880289030055921</v>
      </c>
      <c r="L153" s="870">
        <f>VLOOKUP($B153,'3b aigua'!$B$4:$K$314,9,FALSE)/1000000</f>
        <v>2.2445488020548265</v>
      </c>
      <c r="M153" s="918">
        <f t="shared" si="34"/>
        <v>18.796313552945936</v>
      </c>
      <c r="N153" s="918">
        <f t="shared" si="35"/>
        <v>17.829679139999996</v>
      </c>
      <c r="O153" s="918">
        <f t="shared" si="36"/>
        <v>16.853790728850001</v>
      </c>
      <c r="P153" s="918" t="str">
        <f>IF(VLOOKUP($A153,'7b erosió costa'!$A$4:$AP$401,42,FALSE)&gt;0,VLOOKUP($A153,'7b erosió costa'!$A$4:$AP$401,42,FALSE),"")</f>
        <v/>
      </c>
      <c r="Q153" s="863">
        <f t="shared" si="44"/>
        <v>0.27326716195730805</v>
      </c>
      <c r="R153" s="864">
        <f t="shared" si="37"/>
        <v>0.3746927483730832</v>
      </c>
      <c r="S153" s="863">
        <f t="shared" si="38"/>
        <v>0.6926357282521598</v>
      </c>
      <c r="T153" s="864">
        <f t="shared" si="39"/>
        <v>14.971609177945936</v>
      </c>
      <c r="U153" s="864">
        <f t="shared" si="40"/>
        <v>2.2850591399999995</v>
      </c>
      <c r="V153" s="864">
        <f t="shared" si="40"/>
        <v>7.4656044310499983</v>
      </c>
      <c r="W153" s="864" t="str">
        <f t="shared" si="45"/>
        <v/>
      </c>
      <c r="X153" s="1067">
        <f t="shared" si="41"/>
        <v>26.062868387578483</v>
      </c>
      <c r="Y153" s="826">
        <f>VLOOKUP(B153,'BD ASVICC'!$A$6:$Y$316,24,FALSE)</f>
        <v>310</v>
      </c>
      <c r="Z153" s="826" t="str">
        <f t="shared" si="42"/>
        <v>a &lt; 1.000 hab.</v>
      </c>
      <c r="AA153" s="826">
        <f t="shared" si="43"/>
        <v>84073.768992188663</v>
      </c>
    </row>
    <row r="154" spans="1:27" s="826" customFormat="1" ht="30">
      <c r="A154" s="835">
        <v>8151</v>
      </c>
      <c r="B154" s="826" t="s">
        <v>1304</v>
      </c>
      <c r="C154" s="878">
        <f>VLOOKUP(A154,copcalor,'1b.Cops de calor'!P$1,FALSE)/1000000</f>
        <v>0.30266711272288199</v>
      </c>
      <c r="D154" s="879">
        <f>VLOOKUP($B154,'2b.Incendis forestals'!$B$4:$P$314,9,FALSE)/1000000</f>
        <v>0.53178062997765407</v>
      </c>
      <c r="E154" s="878">
        <f>VLOOKUP($B154,'3b aigua'!$B$4:$K$314,8,FALSE)/1000000</f>
        <v>2.6648401458009601</v>
      </c>
      <c r="F154" s="879">
        <f t="shared" si="31"/>
        <v>13.704783124999999</v>
      </c>
      <c r="G154" s="879">
        <f t="shared" si="32"/>
        <v>50.916995999999997</v>
      </c>
      <c r="H154" s="879">
        <f t="shared" si="33"/>
        <v>0</v>
      </c>
      <c r="I154" s="878" t="str">
        <f>IF(VLOOKUP($A154,'7b erosió costa'!$A$4:$AP$401,9,FALSE)&gt;0,VLOOKUP($A154,'7b erosió costa'!$A$4:$AP$401,9,FALSE),"")</f>
        <v/>
      </c>
      <c r="J154" s="870">
        <f>VLOOKUP(A154,copcalor,'1b.Cops de calor'!Z$1,FALSE)/1000000</f>
        <v>1.7783526917918684</v>
      </c>
      <c r="K154" s="870">
        <f>VLOOKUP($B154,'2b.Incendis forestals'!$B$4:$P$314,14,FALSE)/1000000</f>
        <v>1.4623967324385492</v>
      </c>
      <c r="L154" s="870">
        <f>VLOOKUP($B154,'3b aigua'!$B$4:$K$314,9,FALSE)/1000000</f>
        <v>3.8541873626136578</v>
      </c>
      <c r="M154" s="918">
        <f t="shared" si="34"/>
        <v>60.712778505802085</v>
      </c>
      <c r="N154" s="918">
        <f t="shared" si="35"/>
        <v>58.401794412000001</v>
      </c>
      <c r="O154" s="918">
        <f t="shared" si="36"/>
        <v>0</v>
      </c>
      <c r="P154" s="918" t="str">
        <f>IF(VLOOKUP($A154,'7b erosió costa'!$A$4:$AP$401,42,FALSE)&gt;0,VLOOKUP($A154,'7b erosió costa'!$A$4:$AP$401,42,FALSE),"")</f>
        <v/>
      </c>
      <c r="Q154" s="863">
        <f t="shared" si="44"/>
        <v>1.4756855790689865</v>
      </c>
      <c r="R154" s="864">
        <f t="shared" si="37"/>
        <v>0.9306161024608951</v>
      </c>
      <c r="S154" s="863">
        <f t="shared" si="38"/>
        <v>1.1893472168126977</v>
      </c>
      <c r="T154" s="864">
        <f t="shared" si="39"/>
        <v>47.007995380802086</v>
      </c>
      <c r="U154" s="864">
        <f t="shared" si="40"/>
        <v>7.4847984120000035</v>
      </c>
      <c r="V154" s="864">
        <f t="shared" si="40"/>
        <v>0</v>
      </c>
      <c r="W154" s="864" t="str">
        <f t="shared" si="45"/>
        <v/>
      </c>
      <c r="X154" s="1067">
        <f t="shared" si="41"/>
        <v>58.088442691144671</v>
      </c>
      <c r="Y154" s="826">
        <f>VLOOKUP(B154,'BD ASVICC'!$A$6:$Y$316,24,FALSE)</f>
        <v>547</v>
      </c>
      <c r="Z154" s="826" t="str">
        <f t="shared" si="42"/>
        <v>a &lt; 1.000 hab.</v>
      </c>
      <c r="AA154" s="826">
        <f t="shared" si="43"/>
        <v>106194.59358527361</v>
      </c>
    </row>
    <row r="155" spans="1:27" s="826" customFormat="1" ht="30">
      <c r="A155" s="835">
        <v>8152</v>
      </c>
      <c r="B155" s="826" t="s">
        <v>1306</v>
      </c>
      <c r="C155" s="878">
        <f>VLOOKUP(A155,copcalor,'1b.Cops de calor'!P$1,FALSE)/1000000</f>
        <v>4.8617799342047192E-2</v>
      </c>
      <c r="D155" s="879">
        <f>VLOOKUP($B155,'2b.Incendis forestals'!$B$4:$P$314,9,FALSE)/1000000</f>
        <v>1.8022051631827258</v>
      </c>
      <c r="E155" s="878">
        <f>VLOOKUP($B155,'3b aigua'!$B$4:$K$314,8,FALSE)/1000000</f>
        <v>0.24744514239103998</v>
      </c>
      <c r="F155" s="879">
        <f t="shared" si="31"/>
        <v>2.0418643749999998</v>
      </c>
      <c r="G155" s="879">
        <f t="shared" si="32"/>
        <v>2.3453819999999999</v>
      </c>
      <c r="H155" s="879">
        <f t="shared" si="33"/>
        <v>0.8666780383499999</v>
      </c>
      <c r="I155" s="878" t="str">
        <f>IF(VLOOKUP($A155,'7b erosió costa'!$A$4:$AP$401,9,FALSE)&gt;0,VLOOKUP($A155,'7b erosió costa'!$A$4:$AP$401,9,FALSE),"")</f>
        <v/>
      </c>
      <c r="J155" s="870">
        <f>VLOOKUP(A155,copcalor,'1b.Cops de calor'!Z$1,FALSE)/1000000</f>
        <v>0.28306644147549853</v>
      </c>
      <c r="K155" s="870">
        <f>VLOOKUP($B155,'2b.Incendis forestals'!$B$4:$P$314,14,FALSE)/1000000</f>
        <v>4.9560641987524967</v>
      </c>
      <c r="L155" s="870">
        <f>VLOOKUP($B155,'3b aigua'!$B$4:$K$314,9,FALSE)/1000000</f>
        <v>0.35788260779786252</v>
      </c>
      <c r="M155" s="918">
        <f t="shared" si="34"/>
        <v>9.0496996076057208</v>
      </c>
      <c r="N155" s="918">
        <f t="shared" si="35"/>
        <v>2.6901531539999999</v>
      </c>
      <c r="O155" s="918">
        <f t="shared" si="36"/>
        <v>1.10782283145</v>
      </c>
      <c r="P155" s="918" t="str">
        <f>IF(VLOOKUP($A155,'7b erosió costa'!$A$4:$AP$401,42,FALSE)&gt;0,VLOOKUP($A155,'7b erosió costa'!$A$4:$AP$401,42,FALSE),"")</f>
        <v/>
      </c>
      <c r="Q155" s="863">
        <f t="shared" si="44"/>
        <v>0.23444864213345135</v>
      </c>
      <c r="R155" s="864">
        <f t="shared" si="37"/>
        <v>3.1538590355697709</v>
      </c>
      <c r="S155" s="863">
        <f t="shared" si="38"/>
        <v>0.11043746540682253</v>
      </c>
      <c r="T155" s="864">
        <f t="shared" si="39"/>
        <v>7.0078352326057214</v>
      </c>
      <c r="U155" s="864">
        <f t="shared" si="40"/>
        <v>0.34477115400000002</v>
      </c>
      <c r="V155" s="864">
        <f t="shared" si="40"/>
        <v>0.24114479310000014</v>
      </c>
      <c r="W155" s="864" t="str">
        <f t="shared" si="45"/>
        <v/>
      </c>
      <c r="X155" s="1067">
        <f t="shared" si="41"/>
        <v>11.092496322815766</v>
      </c>
      <c r="Y155" s="826">
        <f>VLOOKUP(B155,'BD ASVICC'!$A$6:$Y$316,24,FALSE)</f>
        <v>139</v>
      </c>
      <c r="Z155" s="826" t="str">
        <f t="shared" si="42"/>
        <v>a &lt; 1.000 hab.</v>
      </c>
      <c r="AA155" s="826">
        <f t="shared" si="43"/>
        <v>79802.131818818467</v>
      </c>
    </row>
    <row r="156" spans="1:27" s="826" customFormat="1" ht="30">
      <c r="A156" s="835">
        <v>8153</v>
      </c>
      <c r="B156" s="826" t="s">
        <v>1309</v>
      </c>
      <c r="C156" s="878">
        <f>VLOOKUP(A156,copcalor,'1b.Cops de calor'!P$1,FALSE)/1000000</f>
        <v>0.65294347153047161</v>
      </c>
      <c r="D156" s="879">
        <f>VLOOKUP($B156,'2b.Incendis forestals'!$B$4:$P$314,9,FALSE)/1000000</f>
        <v>0.12873189889539008</v>
      </c>
      <c r="E156" s="878">
        <f>VLOOKUP($B156,'3b aigua'!$B$4:$K$314,8,FALSE)/1000000</f>
        <v>1.787304645568</v>
      </c>
      <c r="F156" s="879">
        <f t="shared" si="31"/>
        <v>8.2037500000000013E-2</v>
      </c>
      <c r="G156" s="879">
        <f t="shared" si="32"/>
        <v>0.47147726559816078</v>
      </c>
      <c r="H156" s="879">
        <f t="shared" si="33"/>
        <v>0</v>
      </c>
      <c r="I156" s="878" t="str">
        <f>IF(VLOOKUP($A156,'7b erosió costa'!$A$4:$AP$401,9,FALSE)&gt;0,VLOOKUP($A156,'7b erosió costa'!$A$4:$AP$401,9,FALSE),"")</f>
        <v/>
      </c>
      <c r="J156" s="870">
        <f>VLOOKUP(A156,copcalor,'1b.Cops de calor'!Z$1,FALSE)/1000000</f>
        <v>3.8094822149039431</v>
      </c>
      <c r="K156" s="870">
        <f>VLOOKUP($B156,'2b.Incendis forestals'!$B$4:$P$314,14,FALSE)/1000000</f>
        <v>0.35401272196232275</v>
      </c>
      <c r="L156" s="870">
        <f>VLOOKUP($B156,'3b aigua'!$B$4:$K$314,9,FALSE)/1000000</f>
        <v>3.283531593498624</v>
      </c>
      <c r="M156" s="918">
        <f t="shared" si="34"/>
        <v>0.92329963359193135</v>
      </c>
      <c r="N156" s="918">
        <f t="shared" si="35"/>
        <v>0.54078442364109036</v>
      </c>
      <c r="O156" s="918">
        <f t="shared" si="36"/>
        <v>0</v>
      </c>
      <c r="P156" s="918" t="str">
        <f>IF(VLOOKUP($A156,'7b erosió costa'!$A$4:$AP$401,42,FALSE)&gt;0,VLOOKUP($A156,'7b erosió costa'!$A$4:$AP$401,42,FALSE),"")</f>
        <v/>
      </c>
      <c r="Q156" s="863">
        <f t="shared" si="44"/>
        <v>3.1565387433734715</v>
      </c>
      <c r="R156" s="864">
        <f t="shared" si="37"/>
        <v>0.22528082306693267</v>
      </c>
      <c r="S156" s="863">
        <f t="shared" si="38"/>
        <v>1.4962269479306241</v>
      </c>
      <c r="T156" s="864">
        <f t="shared" si="39"/>
        <v>0.84126213359193136</v>
      </c>
      <c r="U156" s="864">
        <f t="shared" si="40"/>
        <v>6.9307158042929584E-2</v>
      </c>
      <c r="V156" s="864">
        <f t="shared" si="40"/>
        <v>0</v>
      </c>
      <c r="W156" s="864" t="str">
        <f t="shared" si="45"/>
        <v/>
      </c>
      <c r="X156" s="1067">
        <f t="shared" si="41"/>
        <v>5.7886158060058888</v>
      </c>
      <c r="Y156" s="826">
        <f>VLOOKUP(B156,'BD ASVICC'!$A$6:$Y$316,24,FALSE)</f>
        <v>702</v>
      </c>
      <c r="Z156" s="826" t="str">
        <f t="shared" si="42"/>
        <v>a &lt; 1.000 hab.</v>
      </c>
      <c r="AA156" s="826">
        <f t="shared" si="43"/>
        <v>8245.8914615468493</v>
      </c>
    </row>
    <row r="157" spans="1:27" s="826" customFormat="1" ht="30">
      <c r="A157" s="835">
        <v>8154</v>
      </c>
      <c r="B157" s="826" t="s">
        <v>1310</v>
      </c>
      <c r="C157" s="878">
        <f>VLOOKUP(A157,copcalor,'1b.Cops de calor'!P$1,FALSE)/1000000</f>
        <v>0.12747557518964556</v>
      </c>
      <c r="D157" s="879">
        <f>VLOOKUP($B157,'2b.Incendis forestals'!$B$4:$P$314,9,FALSE)/1000000</f>
        <v>0.10462161341370801</v>
      </c>
      <c r="E157" s="878">
        <f>VLOOKUP($B157,'3b aigua'!$B$4:$K$314,8,FALSE)/1000000</f>
        <v>7.296675946118401</v>
      </c>
      <c r="F157" s="879">
        <f t="shared" si="31"/>
        <v>0.15686</v>
      </c>
      <c r="G157" s="879">
        <f t="shared" si="32"/>
        <v>0.69661799999999996</v>
      </c>
      <c r="H157" s="879">
        <f t="shared" si="33"/>
        <v>0</v>
      </c>
      <c r="I157" s="878" t="str">
        <f>IF(VLOOKUP($A157,'7b erosió costa'!$A$4:$AP$401,9,FALSE)&gt;0,VLOOKUP($A157,'7b erosió costa'!$A$4:$AP$401,9,FALSE),"")</f>
        <v/>
      </c>
      <c r="J157" s="870">
        <f>VLOOKUP(A157,copcalor,'1b.Cops de calor'!Z$1,FALSE)/1000000</f>
        <v>0.72357283278920104</v>
      </c>
      <c r="K157" s="870">
        <f>VLOOKUP($B157,'2b.Incendis forestals'!$B$4:$P$314,14,FALSE)/1000000</f>
        <v>0.28770943688769701</v>
      </c>
      <c r="L157" s="870">
        <f>VLOOKUP($B157,'3b aigua'!$B$4:$K$314,9,FALSE)/1000000</f>
        <v>13.405026421216055</v>
      </c>
      <c r="M157" s="918">
        <f t="shared" si="34"/>
        <v>1.3590425520485006</v>
      </c>
      <c r="N157" s="918">
        <f t="shared" si="35"/>
        <v>0.7990208459999999</v>
      </c>
      <c r="O157" s="918">
        <f t="shared" si="36"/>
        <v>2.1558830701500002</v>
      </c>
      <c r="P157" s="918" t="str">
        <f>IF(VLOOKUP($A157,'7b erosió costa'!$A$4:$AP$401,42,FALSE)&gt;0,VLOOKUP($A157,'7b erosió costa'!$A$4:$AP$401,42,FALSE),"")</f>
        <v/>
      </c>
      <c r="Q157" s="863">
        <f t="shared" si="44"/>
        <v>0.59609725759955545</v>
      </c>
      <c r="R157" s="864">
        <f t="shared" si="37"/>
        <v>0.183087823473989</v>
      </c>
      <c r="S157" s="863">
        <f t="shared" si="38"/>
        <v>6.1083504750976543</v>
      </c>
      <c r="T157" s="864">
        <f t="shared" si="39"/>
        <v>1.2021825520485006</v>
      </c>
      <c r="U157" s="864">
        <f t="shared" si="40"/>
        <v>0.10240284599999994</v>
      </c>
      <c r="V157" s="864">
        <f t="shared" si="40"/>
        <v>2.1558830701500002</v>
      </c>
      <c r="W157" s="864" t="str">
        <f t="shared" si="45"/>
        <v/>
      </c>
      <c r="X157" s="1067">
        <f t="shared" si="41"/>
        <v>10.3480040243697</v>
      </c>
      <c r="Y157" s="826">
        <f>VLOOKUP(B157,'BD ASVICC'!$A$6:$Y$316,24,FALSE)</f>
        <v>894</v>
      </c>
      <c r="Z157" s="826" t="str">
        <f t="shared" si="42"/>
        <v>a &lt; 1.000 hab.</v>
      </c>
      <c r="AA157" s="826">
        <f t="shared" si="43"/>
        <v>11574.94857312047</v>
      </c>
    </row>
    <row r="158" spans="1:27" s="826" customFormat="1" ht="45">
      <c r="A158" s="835">
        <v>8155</v>
      </c>
      <c r="B158" s="826" t="s">
        <v>1311</v>
      </c>
      <c r="C158" s="878">
        <f>VLOOKUP(A158,copcalor,'1b.Cops de calor'!P$1,FALSE)/1000000</f>
        <v>2.198237297732812</v>
      </c>
      <c r="D158" s="879">
        <f>VLOOKUP($B158,'2b.Incendis forestals'!$B$4:$P$314,9,FALSE)/1000000</f>
        <v>0.20167997493611114</v>
      </c>
      <c r="E158" s="878">
        <f>VLOOKUP($B158,'3b aigua'!$B$4:$K$314,8,FALSE)/1000000</f>
        <v>51.391221397725865</v>
      </c>
      <c r="F158" s="879">
        <f t="shared" si="31"/>
        <v>4.2741731249999999</v>
      </c>
      <c r="G158" s="879">
        <f t="shared" si="32"/>
        <v>0.748332</v>
      </c>
      <c r="H158" s="879">
        <f t="shared" si="33"/>
        <v>117.20347940580002</v>
      </c>
      <c r="I158" s="878" t="str">
        <f>IF(VLOOKUP($A158,'7b erosió costa'!$A$4:$AP$401,9,FALSE)&gt;0,VLOOKUP($A158,'7b erosió costa'!$A$4:$AP$401,9,FALSE),"")</f>
        <v/>
      </c>
      <c r="J158" s="870">
        <f>VLOOKUP(A158,copcalor,'1b.Cops de calor'!Z$1,FALSE)/1000000</f>
        <v>12.861383024122802</v>
      </c>
      <c r="K158" s="870">
        <f>VLOOKUP($B158,'2b.Incendis forestals'!$B$4:$P$314,14,FALSE)/1000000</f>
        <v>0.55461993107430552</v>
      </c>
      <c r="L158" s="870">
        <f>VLOOKUP($B158,'3b aigua'!$B$4:$K$314,9,FALSE)/1000000</f>
        <v>94.412947175152027</v>
      </c>
      <c r="M158" s="918">
        <f t="shared" si="34"/>
        <v>39.940291022816751</v>
      </c>
      <c r="N158" s="918">
        <f t="shared" si="35"/>
        <v>0.8583368039999999</v>
      </c>
      <c r="O158" s="918">
        <f t="shared" si="36"/>
        <v>140.85756971730001</v>
      </c>
      <c r="P158" s="918" t="str">
        <f>IF(VLOOKUP($A158,'7b erosió costa'!$A$4:$AP$401,42,FALSE)&gt;0,VLOOKUP($A158,'7b erosió costa'!$A$4:$AP$401,42,FALSE),"")</f>
        <v/>
      </c>
      <c r="Q158" s="863">
        <f t="shared" si="44"/>
        <v>10.66314572638999</v>
      </c>
      <c r="R158" s="864">
        <f t="shared" si="37"/>
        <v>0.3529399561381944</v>
      </c>
      <c r="S158" s="863">
        <f t="shared" si="38"/>
        <v>43.021725777426163</v>
      </c>
      <c r="T158" s="864">
        <f t="shared" si="39"/>
        <v>35.666117897816754</v>
      </c>
      <c r="U158" s="864">
        <f t="shared" si="40"/>
        <v>0.1100048039999999</v>
      </c>
      <c r="V158" s="864">
        <f t="shared" si="40"/>
        <v>23.654090311499985</v>
      </c>
      <c r="W158" s="864" t="str">
        <f t="shared" si="45"/>
        <v/>
      </c>
      <c r="X158" s="1067">
        <f t="shared" si="41"/>
        <v>113.46802447327109</v>
      </c>
      <c r="Y158" s="826">
        <f>VLOOKUP(B158,'BD ASVICC'!$A$6:$Y$316,24,FALSE)</f>
        <v>9133</v>
      </c>
      <c r="Z158" s="826" t="str">
        <f t="shared" si="42"/>
        <v>c 5.000 a 20.000 hab.</v>
      </c>
      <c r="AA158" s="826">
        <f t="shared" si="43"/>
        <v>12423.959758378527</v>
      </c>
    </row>
    <row r="159" spans="1:27" s="826" customFormat="1" ht="45">
      <c r="A159" s="835">
        <v>8156</v>
      </c>
      <c r="B159" s="826" t="s">
        <v>1316</v>
      </c>
      <c r="C159" s="878">
        <f>VLOOKUP(A159,copcalor,'1b.Cops de calor'!P$1,FALSE)/1000000</f>
        <v>3.1812198126808462</v>
      </c>
      <c r="D159" s="879">
        <f>VLOOKUP($B159,'2b.Incendis forestals'!$B$4:$P$314,9,FALSE)/1000000</f>
        <v>0.50720507279424665</v>
      </c>
      <c r="E159" s="878">
        <f>VLOOKUP($B159,'3b aigua'!$B$4:$K$314,8,FALSE)/1000000</f>
        <v>36.562347707544966</v>
      </c>
      <c r="F159" s="879">
        <f t="shared" si="31"/>
        <v>3.0125525</v>
      </c>
      <c r="G159" s="879">
        <f t="shared" si="32"/>
        <v>4.4686979999999989</v>
      </c>
      <c r="H159" s="879">
        <f t="shared" si="33"/>
        <v>7.6236960200999997</v>
      </c>
      <c r="I159" s="878" t="str">
        <f>IF(VLOOKUP($A159,'7b erosió costa'!$A$4:$AP$401,9,FALSE)&gt;0,VLOOKUP($A159,'7b erosió costa'!$A$4:$AP$401,9,FALSE),"")</f>
        <v/>
      </c>
      <c r="J159" s="870">
        <f>VLOOKUP(A159,copcalor,'1b.Cops de calor'!Z$1,FALSE)/1000000</f>
        <v>18.732406599872917</v>
      </c>
      <c r="K159" s="870">
        <f>VLOOKUP($B159,'2b.Incendis forestals'!$B$4:$P$314,14,FALSE)/1000000</f>
        <v>1.3948139501841781</v>
      </c>
      <c r="L159" s="870">
        <f>VLOOKUP($B159,'3b aigua'!$B$4:$K$314,9,FALSE)/1000000</f>
        <v>67.170207456185068</v>
      </c>
      <c r="M159" s="918">
        <f t="shared" si="34"/>
        <v>15.63855526171775</v>
      </c>
      <c r="N159" s="918">
        <f t="shared" si="35"/>
        <v>5.1255966059999993</v>
      </c>
      <c r="O159" s="918">
        <f t="shared" si="36"/>
        <v>27.409093065600004</v>
      </c>
      <c r="P159" s="918" t="str">
        <f>IF(VLOOKUP($A159,'7b erosió costa'!$A$4:$AP$401,42,FALSE)&gt;0,VLOOKUP($A159,'7b erosió costa'!$A$4:$AP$401,42,FALSE),"")</f>
        <v/>
      </c>
      <c r="Q159" s="863">
        <f t="shared" si="44"/>
        <v>15.551186787192071</v>
      </c>
      <c r="R159" s="864">
        <f t="shared" si="37"/>
        <v>0.88760887738993144</v>
      </c>
      <c r="S159" s="863">
        <f t="shared" si="38"/>
        <v>30.607859748640102</v>
      </c>
      <c r="T159" s="864">
        <f t="shared" si="39"/>
        <v>12.62600276171775</v>
      </c>
      <c r="U159" s="864">
        <f t="shared" si="40"/>
        <v>0.65689860600000038</v>
      </c>
      <c r="V159" s="864">
        <f t="shared" si="40"/>
        <v>19.785397045500005</v>
      </c>
      <c r="W159" s="864" t="str">
        <f t="shared" si="45"/>
        <v/>
      </c>
      <c r="X159" s="1067">
        <f t="shared" si="41"/>
        <v>80.114953826439859</v>
      </c>
      <c r="Y159" s="826">
        <f>VLOOKUP(B159,'BD ASVICC'!$A$6:$Y$316,24,FALSE)</f>
        <v>14494</v>
      </c>
      <c r="Z159" s="826" t="str">
        <f t="shared" si="42"/>
        <v>c 5.000 a 20.000 hab.</v>
      </c>
      <c r="AA159" s="826">
        <f t="shared" si="43"/>
        <v>5527.456452769412</v>
      </c>
    </row>
    <row r="160" spans="1:27" s="826" customFormat="1" ht="45">
      <c r="A160" s="835">
        <v>8157</v>
      </c>
      <c r="B160" s="826" t="s">
        <v>1320</v>
      </c>
      <c r="C160" s="878">
        <f>VLOOKUP(A160,copcalor,'1b.Cops de calor'!P$1,FALSE)/1000000</f>
        <v>15.810507196341359</v>
      </c>
      <c r="D160" s="879">
        <f>VLOOKUP($B160,'2b.Incendis forestals'!$B$4:$P$314,9,FALSE)/1000000</f>
        <v>0.61260966217272794</v>
      </c>
      <c r="E160" s="878">
        <f>VLOOKUP($B160,'3b aigua'!$B$4:$K$314,8,FALSE)/1000000</f>
        <v>27.994028179948799</v>
      </c>
      <c r="F160" s="879">
        <f t="shared" si="31"/>
        <v>5.0833125E-2</v>
      </c>
      <c r="G160" s="879">
        <f t="shared" si="32"/>
        <v>0.58829679783564026</v>
      </c>
      <c r="H160" s="879">
        <f t="shared" si="33"/>
        <v>7.4054723243999998</v>
      </c>
      <c r="I160" s="878" t="str">
        <f>IF(VLOOKUP($A160,'7b erosió costa'!$A$4:$AP$401,9,FALSE)&gt;0,VLOOKUP($A160,'7b erosió costa'!$A$4:$AP$401,9,FALSE),"")</f>
        <v/>
      </c>
      <c r="J160" s="870">
        <f>VLOOKUP(A160,copcalor,'1b.Cops de calor'!Z$1,FALSE)/1000000</f>
        <v>93.612379673721506</v>
      </c>
      <c r="K160" s="870">
        <f>VLOOKUP($B160,'2b.Incendis forestals'!$B$4:$P$314,14,FALSE)/1000000</f>
        <v>1.6846765709750022</v>
      </c>
      <c r="L160" s="870">
        <f>VLOOKUP($B160,'3b aigua'!$B$4:$K$314,9,FALSE)/1000000</f>
        <v>51.428991798396517</v>
      </c>
      <c r="M160" s="918">
        <f t="shared" si="34"/>
        <v>0.82371546271087726</v>
      </c>
      <c r="N160" s="918">
        <f t="shared" si="35"/>
        <v>0.67477642711747943</v>
      </c>
      <c r="O160" s="918">
        <f t="shared" si="36"/>
        <v>37.623837208799998</v>
      </c>
      <c r="P160" s="918" t="str">
        <f>IF(VLOOKUP($A160,'7b erosió costa'!$A$4:$AP$401,42,FALSE)&gt;0,VLOOKUP($A160,'7b erosió costa'!$A$4:$AP$401,42,FALSE),"")</f>
        <v/>
      </c>
      <c r="Q160" s="863">
        <f t="shared" si="44"/>
        <v>77.801872477380144</v>
      </c>
      <c r="R160" s="864">
        <f t="shared" si="37"/>
        <v>1.0720669088022743</v>
      </c>
      <c r="S160" s="863">
        <f t="shared" si="38"/>
        <v>23.434963618447718</v>
      </c>
      <c r="T160" s="864">
        <f t="shared" si="39"/>
        <v>0.77288233771087722</v>
      </c>
      <c r="U160" s="864">
        <f t="shared" si="40"/>
        <v>8.6479629281839165E-2</v>
      </c>
      <c r="V160" s="864">
        <f t="shared" si="40"/>
        <v>30.218364884399996</v>
      </c>
      <c r="W160" s="864" t="str">
        <f t="shared" si="45"/>
        <v/>
      </c>
      <c r="X160" s="1067">
        <f t="shared" si="41"/>
        <v>133.38662985602286</v>
      </c>
      <c r="Y160" s="826">
        <f>VLOOKUP(B160,'BD ASVICC'!$A$6:$Y$316,24,FALSE)</f>
        <v>11348</v>
      </c>
      <c r="Z160" s="826" t="str">
        <f t="shared" si="42"/>
        <v>c 5.000 a 20.000 hab.</v>
      </c>
      <c r="AA160" s="826">
        <f t="shared" si="43"/>
        <v>11754.197202680902</v>
      </c>
    </row>
    <row r="161" spans="1:27" s="826" customFormat="1" ht="45">
      <c r="A161" s="835">
        <v>8158</v>
      </c>
      <c r="B161" s="826" t="s">
        <v>1324</v>
      </c>
      <c r="C161" s="878">
        <f>VLOOKUP(A161,copcalor,'1b.Cops de calor'!P$1,FALSE)/1000000</f>
        <v>3.4709641765148955</v>
      </c>
      <c r="D161" s="879">
        <f>VLOOKUP($B161,'2b.Incendis forestals'!$B$4:$P$314,9,FALSE)/1000000</f>
        <v>0.5042823438616969</v>
      </c>
      <c r="E161" s="878">
        <f>VLOOKUP($B161,'3b aigua'!$B$4:$K$314,8,FALSE)/1000000</f>
        <v>14.587690764749439</v>
      </c>
      <c r="F161" s="879">
        <f t="shared" si="31"/>
        <v>0.229168125</v>
      </c>
      <c r="G161" s="879">
        <f t="shared" si="32"/>
        <v>6.0839999999999998E-2</v>
      </c>
      <c r="H161" s="879">
        <f t="shared" si="33"/>
        <v>13.872337771799998</v>
      </c>
      <c r="I161" s="878" t="str">
        <f>IF(VLOOKUP($A161,'7b erosió costa'!$A$4:$AP$401,9,FALSE)&gt;0,VLOOKUP($A161,'7b erosió costa'!$A$4:$AP$401,9,FALSE),"")</f>
        <v/>
      </c>
      <c r="J161" s="870">
        <f>VLOOKUP(A161,copcalor,'1b.Cops de calor'!Z$1,FALSE)/1000000</f>
        <v>20.376679156716172</v>
      </c>
      <c r="K161" s="870">
        <f>VLOOKUP($B161,'2b.Incendis forestals'!$B$4:$P$314,14,FALSE)/1000000</f>
        <v>1.3867764456196665</v>
      </c>
      <c r="L161" s="870">
        <f>VLOOKUP($B161,'3b aigua'!$B$4:$K$314,9,FALSE)/1000000</f>
        <v>26.799652550010965</v>
      </c>
      <c r="M161" s="918">
        <f t="shared" si="34"/>
        <v>1.7922471732787342</v>
      </c>
      <c r="N161" s="918">
        <f t="shared" si="35"/>
        <v>6.9783479999999995E-2</v>
      </c>
      <c r="O161" s="918">
        <f t="shared" si="36"/>
        <v>23.586339492299999</v>
      </c>
      <c r="P161" s="918" t="str">
        <f>IF(VLOOKUP($A161,'7b erosió costa'!$A$4:$AP$401,42,FALSE)&gt;0,VLOOKUP($A161,'7b erosió costa'!$A$4:$AP$401,42,FALSE),"")</f>
        <v/>
      </c>
      <c r="Q161" s="863">
        <f t="shared" si="44"/>
        <v>16.905714980201274</v>
      </c>
      <c r="R161" s="864">
        <f t="shared" si="37"/>
        <v>0.88249410175796961</v>
      </c>
      <c r="S161" s="863">
        <f t="shared" si="38"/>
        <v>12.211961785261526</v>
      </c>
      <c r="T161" s="864">
        <f t="shared" si="39"/>
        <v>1.5630790482787342</v>
      </c>
      <c r="U161" s="864">
        <f t="shared" si="40"/>
        <v>8.9434799999999967E-3</v>
      </c>
      <c r="V161" s="864">
        <f t="shared" si="40"/>
        <v>9.7140017205000007</v>
      </c>
      <c r="W161" s="864" t="str">
        <f t="shared" si="45"/>
        <v/>
      </c>
      <c r="X161" s="1067">
        <f t="shared" si="41"/>
        <v>41.286195115999504</v>
      </c>
      <c r="Y161" s="826">
        <f>VLOOKUP(B161,'BD ASVICC'!$A$6:$Y$316,24,FALSE)</f>
        <v>4075</v>
      </c>
      <c r="Z161" s="826" t="str">
        <f t="shared" si="42"/>
        <v>b 1.000 a 5.000 hab.</v>
      </c>
      <c r="AA161" s="826">
        <f t="shared" si="43"/>
        <v>10131.581623558161</v>
      </c>
    </row>
    <row r="162" spans="1:27" s="826" customFormat="1" ht="45">
      <c r="A162" s="835">
        <v>8159</v>
      </c>
      <c r="B162" s="826" t="s">
        <v>1325</v>
      </c>
      <c r="C162" s="878">
        <f>VLOOKUP(A162,copcalor,'1b.Cops de calor'!P$1,FALSE)/1000000</f>
        <v>2.9068287800498798</v>
      </c>
      <c r="D162" s="879">
        <f>VLOOKUP($B162,'2b.Incendis forestals'!$B$4:$P$314,9,FALSE)/1000000</f>
        <v>3.1996549929684773E-2</v>
      </c>
      <c r="E162" s="878">
        <f>VLOOKUP($B162,'3b aigua'!$B$4:$K$314,8,FALSE)/1000000</f>
        <v>62.406663007386875</v>
      </c>
      <c r="F162" s="879">
        <f t="shared" si="31"/>
        <v>2.4825150000000002</v>
      </c>
      <c r="G162" s="879">
        <f t="shared" si="32"/>
        <v>5.1713999999999996E-2</v>
      </c>
      <c r="H162" s="879">
        <f t="shared" si="33"/>
        <v>60.535733238900001</v>
      </c>
      <c r="I162" s="878" t="str">
        <f>IF(VLOOKUP($A162,'7b erosió costa'!$A$4:$AP$401,9,FALSE)&gt;0,VLOOKUP($A162,'7b erosió costa'!$A$4:$AP$401,9,FALSE),"")</f>
        <v/>
      </c>
      <c r="J162" s="870">
        <f>VLOOKUP(A162,copcalor,'1b.Cops de calor'!Z$1,FALSE)/1000000</f>
        <v>16.047244621335956</v>
      </c>
      <c r="K162" s="870">
        <f>VLOOKUP($B162,'2b.Incendis forestals'!$B$4:$P$314,14,FALSE)/1000000</f>
        <v>8.7990512306633115E-2</v>
      </c>
      <c r="L162" s="870">
        <f>VLOOKUP($B162,'3b aigua'!$B$4:$K$314,9,FALSE)/1000000</f>
        <v>114.64987244211832</v>
      </c>
      <c r="M162" s="918">
        <f t="shared" si="34"/>
        <v>28.12694914786276</v>
      </c>
      <c r="N162" s="918">
        <f t="shared" si="35"/>
        <v>5.9315957999999995E-2</v>
      </c>
      <c r="O162" s="918">
        <f t="shared" si="36"/>
        <v>91.4737722789</v>
      </c>
      <c r="P162" s="918" t="str">
        <f>IF(VLOOKUP($A162,'7b erosió costa'!$A$4:$AP$401,42,FALSE)&gt;0,VLOOKUP($A162,'7b erosió costa'!$A$4:$AP$401,42,FALSE),"")</f>
        <v/>
      </c>
      <c r="Q162" s="863">
        <f t="shared" si="44"/>
        <v>13.140415841286076</v>
      </c>
      <c r="R162" s="864">
        <f t="shared" si="37"/>
        <v>5.5993962376948342E-2</v>
      </c>
      <c r="S162" s="863">
        <f t="shared" si="38"/>
        <v>52.243209434731448</v>
      </c>
      <c r="T162" s="864">
        <f t="shared" si="39"/>
        <v>25.644434147862761</v>
      </c>
      <c r="U162" s="864">
        <f t="shared" si="40"/>
        <v>7.6019579999999989E-3</v>
      </c>
      <c r="V162" s="864">
        <f t="shared" si="40"/>
        <v>30.93803904</v>
      </c>
      <c r="W162" s="864" t="str">
        <f t="shared" si="45"/>
        <v/>
      </c>
      <c r="X162" s="1067">
        <f t="shared" si="41"/>
        <v>122.02969438425723</v>
      </c>
      <c r="Y162" s="826">
        <f>VLOOKUP(B162,'BD ASVICC'!$A$6:$Y$316,24,FALSE)</f>
        <v>18837</v>
      </c>
      <c r="Z162" s="826" t="str">
        <f t="shared" si="42"/>
        <v>c 5.000 a 20.000 hab.</v>
      </c>
      <c r="AA162" s="826">
        <f t="shared" si="43"/>
        <v>6478.1915583297359</v>
      </c>
    </row>
    <row r="163" spans="1:27" s="826" customFormat="1" ht="30">
      <c r="A163" s="835">
        <v>8160</v>
      </c>
      <c r="B163" s="826" t="s">
        <v>1326</v>
      </c>
      <c r="C163" s="878">
        <f>VLOOKUP(A163,copcalor,'1b.Cops de calor'!P$1,FALSE)/1000000</f>
        <v>7.7272297506762375E-4</v>
      </c>
      <c r="D163" s="879">
        <f>VLOOKUP($B163,'2b.Incendis forestals'!$B$4:$P$314,9,FALSE)/1000000</f>
        <v>0.12639254841747091</v>
      </c>
      <c r="E163" s="878">
        <f>VLOOKUP($B163,'3b aigua'!$B$4:$K$314,8,FALSE)/1000000</f>
        <v>1.46808531164064</v>
      </c>
      <c r="F163" s="879">
        <f t="shared" si="31"/>
        <v>3.0954281250000002</v>
      </c>
      <c r="G163" s="879">
        <f t="shared" si="32"/>
        <v>13.871519999999999</v>
      </c>
      <c r="H163" s="879">
        <f t="shared" si="33"/>
        <v>0</v>
      </c>
      <c r="I163" s="878" t="str">
        <f>IF(VLOOKUP($A163,'7b erosió costa'!$A$4:$AP$401,9,FALSE)&gt;0,VLOOKUP($A163,'7b erosió costa'!$A$4:$AP$401,9,FALSE),"")</f>
        <v/>
      </c>
      <c r="J163" s="870">
        <f>VLOOKUP(A163,copcalor,'1b.Cops de calor'!Z$1,FALSE)/1000000</f>
        <v>1.228011239060362E-3</v>
      </c>
      <c r="K163" s="870">
        <f>VLOOKUP($B163,'2b.Incendis forestals'!$B$4:$P$314,14,FALSE)/1000000</f>
        <v>0.34757950814804506</v>
      </c>
      <c r="L163" s="870">
        <f>VLOOKUP($B163,'3b aigua'!$B$4:$K$314,9,FALSE)/1000000</f>
        <v>2.1233077955088384</v>
      </c>
      <c r="M163" s="918">
        <f t="shared" si="34"/>
        <v>14.589544959338401</v>
      </c>
      <c r="N163" s="918">
        <f t="shared" si="35"/>
        <v>15.91063344</v>
      </c>
      <c r="O163" s="918">
        <f t="shared" si="36"/>
        <v>0</v>
      </c>
      <c r="P163" s="918" t="str">
        <f>IF(VLOOKUP($A163,'7b erosió costa'!$A$4:$AP$401,42,FALSE)&gt;0,VLOOKUP($A163,'7b erosió costa'!$A$4:$AP$401,42,FALSE),"")</f>
        <v/>
      </c>
      <c r="Q163" s="863">
        <f t="shared" si="44"/>
        <v>4.5528826399273824E-4</v>
      </c>
      <c r="R163" s="864">
        <f t="shared" si="37"/>
        <v>0.22118695973057415</v>
      </c>
      <c r="S163" s="863">
        <f t="shared" si="38"/>
        <v>0.65522248386819837</v>
      </c>
      <c r="T163" s="864">
        <f t="shared" si="39"/>
        <v>11.494116834338401</v>
      </c>
      <c r="U163" s="864">
        <f t="shared" si="40"/>
        <v>2.0391134400000013</v>
      </c>
      <c r="V163" s="864">
        <f t="shared" si="40"/>
        <v>0</v>
      </c>
      <c r="W163" s="864" t="str">
        <f t="shared" si="45"/>
        <v/>
      </c>
      <c r="X163" s="1067">
        <f t="shared" si="41"/>
        <v>14.410095006201168</v>
      </c>
      <c r="Y163" s="826">
        <f>VLOOKUP(B163,'BD ASVICC'!$A$6:$Y$316,24,FALSE)</f>
        <v>411</v>
      </c>
      <c r="Z163" s="826" t="str">
        <f t="shared" si="42"/>
        <v>a &lt; 1.000 hab.</v>
      </c>
      <c r="AA163" s="826">
        <f t="shared" si="43"/>
        <v>35061.058409248588</v>
      </c>
    </row>
    <row r="164" spans="1:27" s="826" customFormat="1" ht="45">
      <c r="A164" s="835">
        <v>8161</v>
      </c>
      <c r="B164" s="826" t="s">
        <v>1330</v>
      </c>
      <c r="C164" s="878">
        <f>VLOOKUP(A164,copcalor,'1b.Cops de calor'!P$1,FALSE)/1000000</f>
        <v>6.7436673457197829</v>
      </c>
      <c r="D164" s="879">
        <f>VLOOKUP($B164,'2b.Incendis forestals'!$B$4:$P$314,9,FALSE)/1000000</f>
        <v>3.9483173666792202</v>
      </c>
      <c r="E164" s="878">
        <f>VLOOKUP($B164,'3b aigua'!$B$4:$K$314,8,FALSE)/1000000</f>
        <v>49.577063622741008</v>
      </c>
      <c r="F164" s="879">
        <f t="shared" si="31"/>
        <v>2.951066875</v>
      </c>
      <c r="G164" s="879">
        <f t="shared" si="32"/>
        <v>2.7043379999999999</v>
      </c>
      <c r="H164" s="879">
        <f t="shared" si="33"/>
        <v>0.92452128329999994</v>
      </c>
      <c r="I164" s="878" t="str">
        <f>IF(VLOOKUP($A164,'7b erosió costa'!$A$4:$AP$401,9,FALSE)&gt;0,VLOOKUP($A164,'7b erosió costa'!$A$4:$AP$401,9,FALSE),"")</f>
        <v/>
      </c>
      <c r="J164" s="870">
        <f>VLOOKUP(A164,copcalor,'1b.Cops de calor'!Z$1,FALSE)/1000000</f>
        <v>39.529529549093176</v>
      </c>
      <c r="K164" s="870">
        <f>VLOOKUP($B164,'2b.Incendis forestals'!$B$4:$P$314,14,FALSE)/1000000</f>
        <v>10.857872758367852</v>
      </c>
      <c r="L164" s="870">
        <f>VLOOKUP($B164,'3b aigua'!$B$4:$K$314,9,FALSE)/1000000</f>
        <v>91.080082582355715</v>
      </c>
      <c r="M164" s="918">
        <f t="shared" si="34"/>
        <v>19.052366063015565</v>
      </c>
      <c r="N164" s="918">
        <f t="shared" si="35"/>
        <v>3.1018756859999996</v>
      </c>
      <c r="O164" s="918">
        <f t="shared" si="36"/>
        <v>0.94006518329999988</v>
      </c>
      <c r="P164" s="918" t="str">
        <f>IF(VLOOKUP($A164,'7b erosió costa'!$A$4:$AP$401,42,FALSE)&gt;0,VLOOKUP($A164,'7b erosió costa'!$A$4:$AP$401,42,FALSE),"")</f>
        <v/>
      </c>
      <c r="Q164" s="863">
        <f t="shared" si="44"/>
        <v>32.785862203373391</v>
      </c>
      <c r="R164" s="864">
        <f t="shared" si="37"/>
        <v>6.9095553916886328</v>
      </c>
      <c r="S164" s="863">
        <f t="shared" si="38"/>
        <v>41.503018959614707</v>
      </c>
      <c r="T164" s="864">
        <f t="shared" si="39"/>
        <v>16.101299188015567</v>
      </c>
      <c r="U164" s="864">
        <f t="shared" si="40"/>
        <v>0.39753768599999972</v>
      </c>
      <c r="V164" s="864">
        <f t="shared" si="40"/>
        <v>1.5543899999999944E-2</v>
      </c>
      <c r="W164" s="864" t="str">
        <f t="shared" si="45"/>
        <v/>
      </c>
      <c r="X164" s="1067">
        <f t="shared" si="41"/>
        <v>97.712817328692282</v>
      </c>
      <c r="Y164" s="826">
        <f>VLOOKUP(B164,'BD ASVICC'!$A$6:$Y$316,24,FALSE)</f>
        <v>15001</v>
      </c>
      <c r="Z164" s="826" t="str">
        <f t="shared" si="42"/>
        <v>c 5.000 a 20.000 hab.</v>
      </c>
      <c r="AA164" s="826">
        <f t="shared" si="43"/>
        <v>6513.7535716747079</v>
      </c>
    </row>
    <row r="165" spans="1:27" s="826" customFormat="1" ht="45">
      <c r="A165" s="835">
        <v>8162</v>
      </c>
      <c r="B165" s="826" t="s">
        <v>1334</v>
      </c>
      <c r="C165" s="878">
        <f>VLOOKUP(A165,copcalor,'1b.Cops de calor'!P$1,FALSE)/1000000</f>
        <v>0.79724800854463829</v>
      </c>
      <c r="D165" s="879">
        <f>VLOOKUP($B165,'2b.Incendis forestals'!$B$4:$P$314,9,FALSE)/1000000</f>
        <v>3.4489907985313448</v>
      </c>
      <c r="E165" s="878">
        <f>VLOOKUP($B165,'3b aigua'!$B$4:$K$314,8,FALSE)/1000000</f>
        <v>11.966227645336321</v>
      </c>
      <c r="F165" s="879">
        <f t="shared" si="31"/>
        <v>1.5998043749999999</v>
      </c>
      <c r="G165" s="879">
        <f t="shared" si="32"/>
        <v>2.1293999999999997E-2</v>
      </c>
      <c r="H165" s="879">
        <f t="shared" si="33"/>
        <v>0</v>
      </c>
      <c r="I165" s="878" t="str">
        <f>IF(VLOOKUP($A165,'7b erosió costa'!$A$4:$AP$401,9,FALSE)&gt;0,VLOOKUP($A165,'7b erosió costa'!$A$4:$AP$401,9,FALSE),"")</f>
        <v/>
      </c>
      <c r="J165" s="870">
        <f>VLOOKUP(A165,copcalor,'1b.Cops de calor'!Z$1,FALSE)/1000000</f>
        <v>4.6015063368047793</v>
      </c>
      <c r="K165" s="870">
        <f>VLOOKUP($B165,'2b.Incendis forestals'!$B$4:$P$314,14,FALSE)/1000000</f>
        <v>9.4847246959611979</v>
      </c>
      <c r="L165" s="870">
        <f>VLOOKUP($B165,'3b aigua'!$B$4:$K$314,9,FALSE)/1000000</f>
        <v>21.983653780506867</v>
      </c>
      <c r="M165" s="918">
        <f t="shared" si="34"/>
        <v>8.5532426204775724</v>
      </c>
      <c r="N165" s="918">
        <f t="shared" si="35"/>
        <v>2.4424217999999998E-2</v>
      </c>
      <c r="O165" s="918">
        <f t="shared" si="36"/>
        <v>0</v>
      </c>
      <c r="P165" s="918" t="str">
        <f>IF(VLOOKUP($A165,'7b erosió costa'!$A$4:$AP$401,42,FALSE)&gt;0,VLOOKUP($A165,'7b erosió costa'!$A$4:$AP$401,42,FALSE),"")</f>
        <v/>
      </c>
      <c r="Q165" s="863">
        <f t="shared" si="44"/>
        <v>3.8042583282601408</v>
      </c>
      <c r="R165" s="864">
        <f t="shared" si="37"/>
        <v>6.0357338974298536</v>
      </c>
      <c r="S165" s="863">
        <f t="shared" si="38"/>
        <v>10.017426135170545</v>
      </c>
      <c r="T165" s="864">
        <f t="shared" si="39"/>
        <v>6.9534382454775727</v>
      </c>
      <c r="U165" s="864">
        <f t="shared" si="40"/>
        <v>3.1302180000000006E-3</v>
      </c>
      <c r="V165" s="864">
        <f t="shared" si="40"/>
        <v>0</v>
      </c>
      <c r="W165" s="864" t="str">
        <f t="shared" si="45"/>
        <v/>
      </c>
      <c r="X165" s="1067">
        <f t="shared" si="41"/>
        <v>26.813986824338112</v>
      </c>
      <c r="Y165" s="826">
        <f>VLOOKUP(B165,'BD ASVICC'!$A$6:$Y$316,24,FALSE)</f>
        <v>2891</v>
      </c>
      <c r="Z165" s="826" t="str">
        <f t="shared" si="42"/>
        <v>b 1.000 a 5.000 hab.</v>
      </c>
      <c r="AA165" s="826">
        <f t="shared" si="43"/>
        <v>9274.9867949976178</v>
      </c>
    </row>
    <row r="166" spans="1:27" s="826" customFormat="1" ht="45">
      <c r="A166" s="835">
        <v>8163</v>
      </c>
      <c r="B166" s="826" t="s">
        <v>347</v>
      </c>
      <c r="C166" s="878">
        <f>VLOOKUP(A166,copcalor,'1b.Cops de calor'!P$1,FALSE)/1000000</f>
        <v>7.2810329723266154</v>
      </c>
      <c r="D166" s="879">
        <f>VLOOKUP($B166,'2b.Incendis forestals'!$B$4:$P$314,9,FALSE)/1000000</f>
        <v>0.16493774545971851</v>
      </c>
      <c r="E166" s="878">
        <f>VLOOKUP($B166,'3b aigua'!$B$4:$K$314,8,FALSE)/1000000</f>
        <v>57.292028128522666</v>
      </c>
      <c r="F166" s="879">
        <f t="shared" si="31"/>
        <v>1.9994362499999998</v>
      </c>
      <c r="G166" s="879">
        <f t="shared" si="32"/>
        <v>0</v>
      </c>
      <c r="H166" s="879">
        <f t="shared" si="33"/>
        <v>0</v>
      </c>
      <c r="I166" s="878">
        <f>IF(VLOOKUP($A166,'7b erosió costa'!$A$4:$AP$401,9,FALSE)&gt;0,VLOOKUP($A166,'7b erosió costa'!$A$4:$AP$401,9,FALSE),"")</f>
        <v>10.882002183406113</v>
      </c>
      <c r="J166" s="870">
        <f>VLOOKUP(A166,copcalor,'1b.Cops de calor'!Z$1,FALSE)/1000000</f>
        <v>42.743704720845535</v>
      </c>
      <c r="K166" s="870">
        <f>VLOOKUP($B166,'2b.Incendis forestals'!$B$4:$P$314,14,FALSE)/1000000</f>
        <v>0.4535788000142259</v>
      </c>
      <c r="L166" s="870">
        <f>VLOOKUP($B166,'3b aigua'!$B$4:$K$314,9,FALSE)/1000000</f>
        <v>105.25356428860621</v>
      </c>
      <c r="M166" s="918">
        <f t="shared" si="34"/>
        <v>19.381788574424974</v>
      </c>
      <c r="N166" s="918">
        <f t="shared" si="35"/>
        <v>0</v>
      </c>
      <c r="O166" s="918">
        <f t="shared" si="36"/>
        <v>195.58359211110002</v>
      </c>
      <c r="P166" s="918">
        <f>IF(VLOOKUP($A166,'7b erosió costa'!$A$4:$AP$401,42,FALSE)&gt;0,VLOOKUP($A166,'7b erosió costa'!$A$4:$AP$401,42,FALSE),"")</f>
        <v>12.55943902072754</v>
      </c>
      <c r="Q166" s="863">
        <f t="shared" si="44"/>
        <v>35.462671748518922</v>
      </c>
      <c r="R166" s="864">
        <f t="shared" si="37"/>
        <v>0.28864105455450739</v>
      </c>
      <c r="S166" s="863">
        <f t="shared" si="38"/>
        <v>47.961536160083547</v>
      </c>
      <c r="T166" s="864">
        <f t="shared" si="39"/>
        <v>17.382352324424975</v>
      </c>
      <c r="U166" s="864">
        <f t="shared" si="40"/>
        <v>0</v>
      </c>
      <c r="V166" s="864">
        <f t="shared" si="40"/>
        <v>195.58359211110002</v>
      </c>
      <c r="W166" s="864">
        <f t="shared" si="45"/>
        <v>1.6774368373214266</v>
      </c>
      <c r="X166" s="1067">
        <f t="shared" si="41"/>
        <v>298.35623023600334</v>
      </c>
      <c r="Y166" s="826">
        <f>VLOOKUP(B166,'BD ASVICC'!$A$6:$Y$316,24,FALSE)</f>
        <v>26240</v>
      </c>
      <c r="Z166" s="826" t="str">
        <f t="shared" si="42"/>
        <v>d 20.000 a 50.000 hab.</v>
      </c>
      <c r="AA166" s="826">
        <f t="shared" si="43"/>
        <v>11370.283164481834</v>
      </c>
    </row>
    <row r="167" spans="1:27" s="826" customFormat="1" ht="45">
      <c r="A167" s="835">
        <v>8164</v>
      </c>
      <c r="B167" s="826" t="s">
        <v>1339</v>
      </c>
      <c r="C167" s="878">
        <f>VLOOKUP(A167,copcalor,'1b.Cops de calor'!P$1,FALSE)/1000000</f>
        <v>0.16076169822441375</v>
      </c>
      <c r="D167" s="879">
        <f>VLOOKUP($B167,'2b.Incendis forestals'!$B$4:$P$314,9,FALSE)/1000000</f>
        <v>0.14603433538996743</v>
      </c>
      <c r="E167" s="878">
        <f>VLOOKUP($B167,'3b aigua'!$B$4:$K$314,8,FALSE)/1000000</f>
        <v>2.1670991726783995</v>
      </c>
      <c r="F167" s="879">
        <f t="shared" si="31"/>
        <v>0.22815999999999997</v>
      </c>
      <c r="G167" s="879">
        <f t="shared" si="32"/>
        <v>1.24722</v>
      </c>
      <c r="H167" s="879">
        <f t="shared" si="33"/>
        <v>0</v>
      </c>
      <c r="I167" s="878" t="str">
        <f>IF(VLOOKUP($A167,'7b erosió costa'!$A$4:$AP$401,9,FALSE)&gt;0,VLOOKUP($A167,'7b erosió costa'!$A$4:$AP$401,9,FALSE),"")</f>
        <v/>
      </c>
      <c r="J167" s="870">
        <f>VLOOKUP(A167,copcalor,'1b.Cops de calor'!Z$1,FALSE)/1000000</f>
        <v>0.90671267839470815</v>
      </c>
      <c r="K167" s="870">
        <f>VLOOKUP($B167,'2b.Incendis forestals'!$B$4:$P$314,14,FALSE)/1000000</f>
        <v>0.40159442232241038</v>
      </c>
      <c r="L167" s="870">
        <f>VLOOKUP($B167,'3b aigua'!$B$4:$K$314,9,FALSE)/1000000</f>
        <v>3.9812678926221303</v>
      </c>
      <c r="M167" s="918">
        <f t="shared" si="34"/>
        <v>1.941114051517518</v>
      </c>
      <c r="N167" s="918">
        <f t="shared" si="35"/>
        <v>1.4305613400000001</v>
      </c>
      <c r="O167" s="918">
        <f t="shared" si="36"/>
        <v>0</v>
      </c>
      <c r="P167" s="918" t="str">
        <f>IF(VLOOKUP($A167,'7b erosió costa'!$A$4:$AP$401,42,FALSE)&gt;0,VLOOKUP($A167,'7b erosió costa'!$A$4:$AP$401,42,FALSE),"")</f>
        <v/>
      </c>
      <c r="Q167" s="863">
        <f t="shared" si="44"/>
        <v>0.74595098017029438</v>
      </c>
      <c r="R167" s="864">
        <f t="shared" si="37"/>
        <v>0.25556008693244292</v>
      </c>
      <c r="S167" s="863">
        <f t="shared" si="38"/>
        <v>1.8141687199437309</v>
      </c>
      <c r="T167" s="864">
        <f t="shared" si="39"/>
        <v>1.7129540515175181</v>
      </c>
      <c r="U167" s="864">
        <f t="shared" si="40"/>
        <v>0.18334134000000013</v>
      </c>
      <c r="V167" s="864">
        <f t="shared" si="40"/>
        <v>0</v>
      </c>
      <c r="W167" s="864" t="str">
        <f t="shared" si="45"/>
        <v/>
      </c>
      <c r="X167" s="1067">
        <f t="shared" si="41"/>
        <v>4.7119751785639865</v>
      </c>
      <c r="Y167" s="826">
        <f>VLOOKUP(B167,'BD ASVICC'!$A$6:$Y$316,24,FALSE)</f>
        <v>1253</v>
      </c>
      <c r="Z167" s="826" t="str">
        <f t="shared" si="42"/>
        <v>b 1.000 a 5.000 hab.</v>
      </c>
      <c r="AA167" s="826">
        <f t="shared" si="43"/>
        <v>3760.55481130406</v>
      </c>
    </row>
    <row r="168" spans="1:27" s="826" customFormat="1" ht="45">
      <c r="A168" s="835">
        <v>8165</v>
      </c>
      <c r="B168" s="826" t="s">
        <v>1340</v>
      </c>
      <c r="C168" s="878">
        <f>VLOOKUP(A168,copcalor,'1b.Cops de calor'!P$1,FALSE)/1000000</f>
        <v>0.91694710452863226</v>
      </c>
      <c r="D168" s="879">
        <f>VLOOKUP($B168,'2b.Incendis forestals'!$B$4:$P$314,9,FALSE)/1000000</f>
        <v>2.0287208580047751</v>
      </c>
      <c r="E168" s="878">
        <f>VLOOKUP($B168,'3b aigua'!$B$4:$K$314,8,FALSE)/1000000</f>
        <v>83.844052108381874</v>
      </c>
      <c r="F168" s="879">
        <f t="shared" si="31"/>
        <v>0.92245437499999994</v>
      </c>
      <c r="G168" s="879">
        <f t="shared" si="32"/>
        <v>1.8251999999999997E-2</v>
      </c>
      <c r="H168" s="879">
        <f t="shared" si="33"/>
        <v>25.503397917299999</v>
      </c>
      <c r="I168" s="878" t="str">
        <f>IF(VLOOKUP($A168,'7b erosió costa'!$A$4:$AP$401,9,FALSE)&gt;0,VLOOKUP($A168,'7b erosió costa'!$A$4:$AP$401,9,FALSE),"")</f>
        <v/>
      </c>
      <c r="J168" s="870">
        <f>VLOOKUP(A168,copcalor,'1b.Cops de calor'!Z$1,FALSE)/1000000</f>
        <v>5.3674774075223111</v>
      </c>
      <c r="K168" s="870">
        <f>VLOOKUP($B168,'2b.Incendis forestals'!$B$4:$P$314,14,FALSE)/1000000</f>
        <v>5.5789823595131312</v>
      </c>
      <c r="L168" s="870">
        <f>VLOOKUP($B168,'3b aigua'!$B$4:$K$314,9,FALSE)/1000000</f>
        <v>121.2645668730416</v>
      </c>
      <c r="M168" s="918">
        <f t="shared" si="34"/>
        <v>5.2104852641970654</v>
      </c>
      <c r="N168" s="918">
        <f t="shared" si="35"/>
        <v>2.0935044E-2</v>
      </c>
      <c r="O168" s="918">
        <f t="shared" si="36"/>
        <v>32.410203289199998</v>
      </c>
      <c r="P168" s="918" t="str">
        <f>IF(VLOOKUP($A168,'7b erosió costa'!$A$4:$AP$401,42,FALSE)&gt;0,VLOOKUP($A168,'7b erosió costa'!$A$4:$AP$401,42,FALSE),"")</f>
        <v/>
      </c>
      <c r="Q168" s="863">
        <f t="shared" si="44"/>
        <v>4.4505303029936787</v>
      </c>
      <c r="R168" s="864">
        <f t="shared" si="37"/>
        <v>3.5502615015083561</v>
      </c>
      <c r="S168" s="863">
        <f t="shared" si="38"/>
        <v>37.420514764659728</v>
      </c>
      <c r="T168" s="864">
        <f t="shared" si="39"/>
        <v>4.2880308891970653</v>
      </c>
      <c r="U168" s="864">
        <f t="shared" si="40"/>
        <v>2.6830440000000025E-3</v>
      </c>
      <c r="V168" s="864">
        <f t="shared" si="40"/>
        <v>6.9068053718999991</v>
      </c>
      <c r="W168" s="864" t="str">
        <f t="shared" si="45"/>
        <v/>
      </c>
      <c r="X168" s="1067">
        <f t="shared" si="41"/>
        <v>56.618825874258832</v>
      </c>
      <c r="Y168" s="826">
        <f>VLOOKUP(B168,'BD ASVICC'!$A$6:$Y$316,24,FALSE)</f>
        <v>2159</v>
      </c>
      <c r="Z168" s="826" t="str">
        <f t="shared" si="42"/>
        <v>b 1.000 a 5.000 hab.</v>
      </c>
      <c r="AA168" s="826">
        <f t="shared" si="43"/>
        <v>26224.560386409834</v>
      </c>
    </row>
    <row r="169" spans="1:27" s="826" customFormat="1" ht="45">
      <c r="A169" s="835">
        <v>8166</v>
      </c>
      <c r="B169" s="826" t="s">
        <v>1343</v>
      </c>
      <c r="C169" s="878">
        <f>VLOOKUP(A169,copcalor,'1b.Cops de calor'!P$1,FALSE)/1000000</f>
        <v>0.26796124064877064</v>
      </c>
      <c r="D169" s="879">
        <f>VLOOKUP($B169,'2b.Incendis forestals'!$B$4:$P$314,9,FALSE)/1000000</f>
        <v>3.9312793684141147</v>
      </c>
      <c r="E169" s="878">
        <f>VLOOKUP($B169,'3b aigua'!$B$4:$K$314,8,FALSE)/1000000</f>
        <v>1.8634301931059198</v>
      </c>
      <c r="F169" s="879">
        <f t="shared" si="31"/>
        <v>0.70427874999999995</v>
      </c>
      <c r="G169" s="879">
        <f t="shared" si="32"/>
        <v>2.3636339999999998</v>
      </c>
      <c r="H169" s="879">
        <f t="shared" si="33"/>
        <v>5.0992270834499998</v>
      </c>
      <c r="I169" s="878" t="str">
        <f>IF(VLOOKUP($A169,'7b erosió costa'!$A$4:$AP$401,9,FALSE)&gt;0,VLOOKUP($A169,'7b erosió costa'!$A$4:$AP$401,9,FALSE),"")</f>
        <v/>
      </c>
      <c r="J169" s="870">
        <f>VLOOKUP(A169,copcalor,'1b.Cops de calor'!Z$1,FALSE)/1000000</f>
        <v>1.4684112036223222</v>
      </c>
      <c r="K169" s="870">
        <f>VLOOKUP($B169,'2b.Incendis forestals'!$B$4:$P$314,14,FALSE)/1000000</f>
        <v>10.811018263138816</v>
      </c>
      <c r="L169" s="870">
        <f>VLOOKUP($B169,'3b aigua'!$B$4:$K$314,9,FALSE)/1000000</f>
        <v>2.6950994087575553</v>
      </c>
      <c r="M169" s="918">
        <f t="shared" si="34"/>
        <v>6.3999533128384867</v>
      </c>
      <c r="N169" s="918">
        <f t="shared" si="35"/>
        <v>2.7110881979999997</v>
      </c>
      <c r="O169" s="918">
        <f t="shared" si="36"/>
        <v>5.9588298761999985</v>
      </c>
      <c r="P169" s="918" t="str">
        <f>IF(VLOOKUP($A169,'7b erosió costa'!$A$4:$AP$401,42,FALSE)&gt;0,VLOOKUP($A169,'7b erosió costa'!$A$4:$AP$401,42,FALSE),"")</f>
        <v/>
      </c>
      <c r="Q169" s="863">
        <f t="shared" si="44"/>
        <v>1.2004499629735517</v>
      </c>
      <c r="R169" s="864">
        <f t="shared" si="37"/>
        <v>6.8797388947247011</v>
      </c>
      <c r="S169" s="863">
        <f t="shared" si="38"/>
        <v>0.83166921565163543</v>
      </c>
      <c r="T169" s="864">
        <f t="shared" si="39"/>
        <v>5.6956745628384864</v>
      </c>
      <c r="U169" s="864">
        <f t="shared" si="40"/>
        <v>0.34745419799999988</v>
      </c>
      <c r="V169" s="864">
        <f t="shared" si="40"/>
        <v>0.85960279274999873</v>
      </c>
      <c r="W169" s="864" t="str">
        <f t="shared" si="45"/>
        <v/>
      </c>
      <c r="X169" s="1067">
        <f t="shared" si="41"/>
        <v>15.814589626938371</v>
      </c>
      <c r="Y169" s="826">
        <f>VLOOKUP(B169,'BD ASVICC'!$A$6:$Y$316,24,FALSE)</f>
        <v>1110</v>
      </c>
      <c r="Z169" s="826" t="str">
        <f t="shared" si="42"/>
        <v>b 1.000 a 5.000 hab.</v>
      </c>
      <c r="AA169" s="826">
        <f t="shared" si="43"/>
        <v>14247.37804228682</v>
      </c>
    </row>
    <row r="170" spans="1:27" s="826" customFormat="1" ht="45">
      <c r="A170" s="835">
        <v>8167</v>
      </c>
      <c r="B170" s="826" t="s">
        <v>1349</v>
      </c>
      <c r="C170" s="878">
        <f>VLOOKUP(A170,copcalor,'1b.Cops de calor'!P$1,FALSE)/1000000</f>
        <v>1.0501257034118276</v>
      </c>
      <c r="D170" s="879">
        <f>VLOOKUP($B170,'2b.Incendis forestals'!$B$4:$P$314,9,FALSE)/1000000</f>
        <v>0.27991978074022095</v>
      </c>
      <c r="E170" s="878">
        <f>VLOOKUP($B170,'3b aigua'!$B$4:$K$314,8,FALSE)/1000000</f>
        <v>15.689637403712426</v>
      </c>
      <c r="F170" s="879">
        <f t="shared" si="31"/>
        <v>1.910086875</v>
      </c>
      <c r="G170" s="879">
        <f t="shared" si="32"/>
        <v>0.86392800000000003</v>
      </c>
      <c r="H170" s="879">
        <f t="shared" si="33"/>
        <v>19.883975200499997</v>
      </c>
      <c r="I170" s="878" t="str">
        <f>IF(VLOOKUP($A170,'7b erosió costa'!$A$4:$AP$401,9,FALSE)&gt;0,VLOOKUP($A170,'7b erosió costa'!$A$4:$AP$401,9,FALSE),"")</f>
        <v/>
      </c>
      <c r="J170" s="870">
        <f>VLOOKUP(A170,copcalor,'1b.Cops de calor'!Z$1,FALSE)/1000000</f>
        <v>6.0975134385915002</v>
      </c>
      <c r="K170" s="870">
        <f>VLOOKUP($B170,'2b.Incendis forestals'!$B$4:$P$314,14,FALSE)/1000000</f>
        <v>0.76977939703560783</v>
      </c>
      <c r="L170" s="870">
        <f>VLOOKUP($B170,'3b aigua'!$B$4:$K$314,9,FALSE)/1000000</f>
        <v>28.824084485751118</v>
      </c>
      <c r="M170" s="918">
        <f t="shared" si="34"/>
        <v>9.4809185803406155</v>
      </c>
      <c r="N170" s="918">
        <f t="shared" si="35"/>
        <v>0.99092541600000006</v>
      </c>
      <c r="O170" s="918">
        <f t="shared" si="36"/>
        <v>23.847498745950002</v>
      </c>
      <c r="P170" s="918" t="str">
        <f>IF(VLOOKUP($A170,'7b erosió costa'!$A$4:$AP$401,42,FALSE)&gt;0,VLOOKUP($A170,'7b erosió costa'!$A$4:$AP$401,42,FALSE),"")</f>
        <v/>
      </c>
      <c r="Q170" s="863">
        <f t="shared" si="44"/>
        <v>5.0473877351796723</v>
      </c>
      <c r="R170" s="864">
        <f t="shared" si="37"/>
        <v>0.48985961629538688</v>
      </c>
      <c r="S170" s="863">
        <f t="shared" si="38"/>
        <v>13.134447082038692</v>
      </c>
      <c r="T170" s="864">
        <f t="shared" si="39"/>
        <v>7.5708317053406153</v>
      </c>
      <c r="U170" s="864">
        <f t="shared" si="40"/>
        <v>0.12699741600000003</v>
      </c>
      <c r="V170" s="864">
        <f t="shared" si="40"/>
        <v>3.9635235454500055</v>
      </c>
      <c r="W170" s="864" t="str">
        <f t="shared" si="45"/>
        <v/>
      </c>
      <c r="X170" s="1067">
        <f t="shared" si="41"/>
        <v>30.333047100304373</v>
      </c>
      <c r="Y170" s="826">
        <f>VLOOKUP(B170,'BD ASVICC'!$A$6:$Y$316,24,FALSE)</f>
        <v>8300</v>
      </c>
      <c r="Z170" s="826" t="str">
        <f t="shared" si="42"/>
        <v>c 5.000 a 20.000 hab.</v>
      </c>
      <c r="AA170" s="826">
        <f t="shared" si="43"/>
        <v>3654.5839879884788</v>
      </c>
    </row>
    <row r="171" spans="1:27" s="826" customFormat="1" ht="30">
      <c r="A171" s="835">
        <v>8168</v>
      </c>
      <c r="B171" s="826" t="s">
        <v>1352</v>
      </c>
      <c r="C171" s="878">
        <f>VLOOKUP(A171,copcalor,'1b.Cops de calor'!P$1,FALSE)/1000000</f>
        <v>0.14546523834325895</v>
      </c>
      <c r="D171" s="879">
        <f>VLOOKUP($B171,'2b.Incendis forestals'!$B$4:$P$314,9,FALSE)/1000000</f>
        <v>2.1349347987234792</v>
      </c>
      <c r="E171" s="878">
        <f>VLOOKUP($B171,'3b aigua'!$B$4:$K$314,8,FALSE)/1000000</f>
        <v>0.46306024674517338</v>
      </c>
      <c r="F171" s="879">
        <f t="shared" si="31"/>
        <v>0.86541437499999996</v>
      </c>
      <c r="G171" s="879">
        <f t="shared" si="32"/>
        <v>0.13080600000000001</v>
      </c>
      <c r="H171" s="879">
        <f t="shared" si="33"/>
        <v>0</v>
      </c>
      <c r="I171" s="878" t="str">
        <f>IF(VLOOKUP($A171,'7b erosió costa'!$A$4:$AP$401,9,FALSE)&gt;0,VLOOKUP($A171,'7b erosió costa'!$A$4:$AP$401,9,FALSE),"")</f>
        <v/>
      </c>
      <c r="J171" s="870">
        <f>VLOOKUP(A171,copcalor,'1b.Cops de calor'!Z$1,FALSE)/1000000</f>
        <v>0.82509984856599405</v>
      </c>
      <c r="K171" s="870">
        <f>VLOOKUP($B171,'2b.Incendis forestals'!$B$4:$P$314,14,FALSE)/1000000</f>
        <v>5.8710706964895678</v>
      </c>
      <c r="L171" s="870">
        <f>VLOOKUP($B171,'3b aigua'!$B$4:$K$314,9,FALSE)/1000000</f>
        <v>0.66972908448044388</v>
      </c>
      <c r="M171" s="918">
        <f t="shared" si="34"/>
        <v>4.1758864152682138</v>
      </c>
      <c r="N171" s="918">
        <f t="shared" si="35"/>
        <v>0.15003448200000002</v>
      </c>
      <c r="O171" s="918">
        <f t="shared" si="36"/>
        <v>0.85767878790000007</v>
      </c>
      <c r="P171" s="918" t="str">
        <f>IF(VLOOKUP($A171,'7b erosió costa'!$A$4:$AP$401,42,FALSE)&gt;0,VLOOKUP($A171,'7b erosió costa'!$A$4:$AP$401,42,FALSE),"")</f>
        <v/>
      </c>
      <c r="Q171" s="863">
        <f t="shared" si="44"/>
        <v>0.67963461022273508</v>
      </c>
      <c r="R171" s="864">
        <f t="shared" si="37"/>
        <v>3.7361358977660886</v>
      </c>
      <c r="S171" s="863">
        <f t="shared" si="38"/>
        <v>0.20666883773527051</v>
      </c>
      <c r="T171" s="864">
        <f t="shared" si="39"/>
        <v>3.310472040268214</v>
      </c>
      <c r="U171" s="864">
        <f t="shared" si="40"/>
        <v>1.9228482000000019E-2</v>
      </c>
      <c r="V171" s="864">
        <f t="shared" si="40"/>
        <v>0.85767878790000007</v>
      </c>
      <c r="W171" s="864" t="str">
        <f t="shared" si="45"/>
        <v/>
      </c>
      <c r="X171" s="1067">
        <f t="shared" si="41"/>
        <v>8.8098186558923075</v>
      </c>
      <c r="Y171" s="826">
        <f>VLOOKUP(B171,'BD ASVICC'!$A$6:$Y$316,24,FALSE)</f>
        <v>453</v>
      </c>
      <c r="Z171" s="826" t="str">
        <f t="shared" si="42"/>
        <v>a &lt; 1.000 hab.</v>
      </c>
      <c r="AA171" s="826">
        <f t="shared" si="43"/>
        <v>19447.723302190523</v>
      </c>
    </row>
    <row r="172" spans="1:27" s="826" customFormat="1" ht="45">
      <c r="A172" s="835">
        <v>8169</v>
      </c>
      <c r="B172" s="826" t="s">
        <v>348</v>
      </c>
      <c r="C172" s="878">
        <f>VLOOKUP(A172,copcalor,'1b.Cops de calor'!P$1,FALSE)/1000000</f>
        <v>71.457556601007553</v>
      </c>
      <c r="D172" s="879">
        <f>VLOOKUP($B172,'2b.Incendis forestals'!$B$4:$P$314,9,FALSE)/1000000</f>
        <v>1.1119114396752972</v>
      </c>
      <c r="E172" s="878">
        <f>VLOOKUP($B172,'3b aigua'!$B$4:$K$314,8,FALSE)/1000000</f>
        <v>242.03077790064711</v>
      </c>
      <c r="F172" s="879">
        <f t="shared" si="31"/>
        <v>4.3198924999999999</v>
      </c>
      <c r="G172" s="879">
        <f t="shared" si="32"/>
        <v>0.84567599999999987</v>
      </c>
      <c r="H172" s="879">
        <f t="shared" si="33"/>
        <v>629.02633603079994</v>
      </c>
      <c r="I172" s="878" t="str">
        <f>IF(VLOOKUP($A172,'7b erosió costa'!$A$4:$AP$401,9,FALSE)&gt;0,VLOOKUP($A172,'7b erosió costa'!$A$4:$AP$401,9,FALSE),"")</f>
        <v>guanya sorra</v>
      </c>
      <c r="J172" s="870">
        <f>VLOOKUP(A172,copcalor,'1b.Cops de calor'!Z$1,FALSE)/1000000</f>
        <v>421.75174126324868</v>
      </c>
      <c r="K172" s="870">
        <f>VLOOKUP($B172,'2b.Incendis forestals'!$B$4:$P$314,14,FALSE)/1000000</f>
        <v>3.0577564591070674</v>
      </c>
      <c r="L172" s="870">
        <f>VLOOKUP($B172,'3b aigua'!$B$4:$K$314,9,FALSE)/1000000</f>
        <v>444.64479393957203</v>
      </c>
      <c r="M172" s="918">
        <f t="shared" si="34"/>
        <v>39.27344131018581</v>
      </c>
      <c r="N172" s="918">
        <f t="shared" si="35"/>
        <v>0.96999037199999982</v>
      </c>
      <c r="O172" s="918">
        <f t="shared" si="36"/>
        <v>1269.3229899743999</v>
      </c>
      <c r="P172" s="918" t="str">
        <f>IF(VLOOKUP($A172,'7b erosió costa'!$A$4:$AP$401,42,FALSE)&gt;0,VLOOKUP($A172,'7b erosió costa'!$A$4:$AP$401,42,FALSE),"")</f>
        <v>No hi ha pèrdua</v>
      </c>
      <c r="Q172" s="863">
        <f t="shared" si="44"/>
        <v>350.29418466224115</v>
      </c>
      <c r="R172" s="864">
        <f t="shared" si="37"/>
        <v>1.9458450194317702</v>
      </c>
      <c r="S172" s="863">
        <f t="shared" si="38"/>
        <v>202.61401603892492</v>
      </c>
      <c r="T172" s="864">
        <f t="shared" si="39"/>
        <v>34.953548810185808</v>
      </c>
      <c r="U172" s="864">
        <f t="shared" si="40"/>
        <v>0.12431437199999995</v>
      </c>
      <c r="V172" s="864">
        <f t="shared" si="40"/>
        <v>640.29665394359995</v>
      </c>
      <c r="W172" s="864" t="str">
        <f t="shared" si="45"/>
        <v/>
      </c>
      <c r="X172" s="1067">
        <f t="shared" si="41"/>
        <v>1230.2285628463835</v>
      </c>
      <c r="Y172" s="826">
        <f>VLOOKUP(B172,'BD ASVICC'!$A$6:$Y$316,24,FALSE)</f>
        <v>63457</v>
      </c>
      <c r="Z172" s="826" t="str">
        <f t="shared" si="42"/>
        <v>e &gt;50.000 hab.</v>
      </c>
      <c r="AA172" s="826">
        <f t="shared" si="43"/>
        <v>19386.806228570269</v>
      </c>
    </row>
    <row r="173" spans="1:27" s="826" customFormat="1" ht="30">
      <c r="A173" s="835">
        <v>8170</v>
      </c>
      <c r="B173" s="826" t="s">
        <v>1359</v>
      </c>
      <c r="C173" s="878">
        <f>VLOOKUP(A173,copcalor,'1b.Cops de calor'!P$1,FALSE)/1000000</f>
        <v>0.10085657030931833</v>
      </c>
      <c r="D173" s="879">
        <f>VLOOKUP($B173,'2b.Incendis forestals'!$B$4:$P$314,9,FALSE)/1000000</f>
        <v>1.2913048004089072</v>
      </c>
      <c r="E173" s="878">
        <f>VLOOKUP($B173,'3b aigua'!$B$4:$K$314,8,FALSE)/1000000</f>
        <v>0.50943512367658661</v>
      </c>
      <c r="F173" s="879">
        <f t="shared" si="31"/>
        <v>11.493559999999999</v>
      </c>
      <c r="G173" s="879">
        <f t="shared" si="32"/>
        <v>18.671796000000001</v>
      </c>
      <c r="H173" s="879">
        <f t="shared" si="33"/>
        <v>0</v>
      </c>
      <c r="I173" s="878" t="str">
        <f>IF(VLOOKUP($A173,'7b erosió costa'!$A$4:$AP$401,9,FALSE)&gt;0,VLOOKUP($A173,'7b erosió costa'!$A$4:$AP$401,9,FALSE),"")</f>
        <v/>
      </c>
      <c r="J173" s="870">
        <f>VLOOKUP(A173,copcalor,'1b.Cops de calor'!Z$1,FALSE)/1000000</f>
        <v>0.57188338085893309</v>
      </c>
      <c r="K173" s="870">
        <f>VLOOKUP($B173,'2b.Incendis forestals'!$B$4:$P$314,14,FALSE)/1000000</f>
        <v>3.5510882011244944</v>
      </c>
      <c r="L173" s="870">
        <f>VLOOKUP($B173,'3b aigua'!$B$4:$K$314,9,FALSE)/1000000</f>
        <v>0.73680157469846175</v>
      </c>
      <c r="M173" s="918">
        <f t="shared" si="34"/>
        <v>50.519772073711955</v>
      </c>
      <c r="N173" s="918">
        <f t="shared" si="35"/>
        <v>21.416550012000002</v>
      </c>
      <c r="O173" s="918">
        <f t="shared" si="36"/>
        <v>0</v>
      </c>
      <c r="P173" s="918" t="str">
        <f>IF(VLOOKUP($A173,'7b erosió costa'!$A$4:$AP$401,42,FALSE)&gt;0,VLOOKUP($A173,'7b erosió costa'!$A$4:$AP$401,42,FALSE),"")</f>
        <v/>
      </c>
      <c r="Q173" s="863">
        <f t="shared" si="44"/>
        <v>0.47102681054961476</v>
      </c>
      <c r="R173" s="864">
        <f t="shared" si="37"/>
        <v>2.2597834007155875</v>
      </c>
      <c r="S173" s="863">
        <f t="shared" si="38"/>
        <v>0.22736645102187514</v>
      </c>
      <c r="T173" s="864">
        <f t="shared" si="39"/>
        <v>39.02621207371196</v>
      </c>
      <c r="U173" s="864">
        <f t="shared" si="40"/>
        <v>2.7447540120000014</v>
      </c>
      <c r="V173" s="864">
        <f t="shared" si="40"/>
        <v>0</v>
      </c>
      <c r="W173" s="864" t="str">
        <f t="shared" si="45"/>
        <v/>
      </c>
      <c r="X173" s="1067">
        <f t="shared" si="41"/>
        <v>44.729142747999042</v>
      </c>
      <c r="Y173" s="826">
        <f>VLOOKUP(B173,'BD ASVICC'!$A$6:$Y$316,24,FALSE)</f>
        <v>535</v>
      </c>
      <c r="Z173" s="826" t="str">
        <f t="shared" si="42"/>
        <v>a &lt; 1.000 hab.</v>
      </c>
      <c r="AA173" s="826">
        <f t="shared" si="43"/>
        <v>83605.87429532531</v>
      </c>
    </row>
    <row r="174" spans="1:27" s="826" customFormat="1" ht="45">
      <c r="A174" s="835">
        <v>8171</v>
      </c>
      <c r="B174" s="826" t="s">
        <v>1363</v>
      </c>
      <c r="C174" s="878">
        <f>VLOOKUP(A174,copcalor,'1b.Cops de calor'!P$1,FALSE)/1000000</f>
        <v>0.20563496820206434</v>
      </c>
      <c r="D174" s="879">
        <f>VLOOKUP($B174,'2b.Incendis forestals'!$B$4:$P$314,9,FALSE)/1000000</f>
        <v>6.6749244463788798E-2</v>
      </c>
      <c r="E174" s="878">
        <f>VLOOKUP($B174,'3b aigua'!$B$4:$K$314,8,FALSE)/1000000</f>
        <v>6.5326795877745072</v>
      </c>
      <c r="F174" s="879">
        <f t="shared" si="31"/>
        <v>2.9429287499999996</v>
      </c>
      <c r="G174" s="879">
        <f t="shared" si="32"/>
        <v>5.7585059999999997</v>
      </c>
      <c r="H174" s="879">
        <f t="shared" si="33"/>
        <v>0</v>
      </c>
      <c r="I174" s="878" t="str">
        <f>IF(VLOOKUP($A174,'7b erosió costa'!$A$4:$AP$401,9,FALSE)&gt;0,VLOOKUP($A174,'7b erosió costa'!$A$4:$AP$401,9,FALSE),"")</f>
        <v/>
      </c>
      <c r="J174" s="870">
        <f>VLOOKUP(A174,copcalor,'1b.Cops de calor'!Z$1,FALSE)/1000000</f>
        <v>1.2125388657620189</v>
      </c>
      <c r="K174" s="870">
        <f>VLOOKUP($B174,'2b.Incendis forestals'!$B$4:$P$314,14,FALSE)/1000000</f>
        <v>0.18356042227541916</v>
      </c>
      <c r="L174" s="870">
        <f>VLOOKUP($B174,'3b aigua'!$B$4:$K$314,9,FALSE)/1000000</f>
        <v>9.4482857258355377</v>
      </c>
      <c r="M174" s="918">
        <f t="shared" si="34"/>
        <v>16.020874227506596</v>
      </c>
      <c r="N174" s="918">
        <f t="shared" si="35"/>
        <v>6.6050063819999991</v>
      </c>
      <c r="O174" s="918">
        <f t="shared" si="36"/>
        <v>0</v>
      </c>
      <c r="P174" s="918" t="str">
        <f>IF(VLOOKUP($A174,'7b erosió costa'!$A$4:$AP$401,42,FALSE)&gt;0,VLOOKUP($A174,'7b erosió costa'!$A$4:$AP$401,42,FALSE),"")</f>
        <v/>
      </c>
      <c r="Q174" s="863">
        <f t="shared" si="44"/>
        <v>1.0069038975599545</v>
      </c>
      <c r="R174" s="864">
        <f t="shared" si="37"/>
        <v>0.11681117781163036</v>
      </c>
      <c r="S174" s="863">
        <f t="shared" si="38"/>
        <v>2.9156061380610305</v>
      </c>
      <c r="T174" s="864">
        <f t="shared" si="39"/>
        <v>13.077945477506596</v>
      </c>
      <c r="U174" s="864">
        <f t="shared" si="40"/>
        <v>0.84650038199999944</v>
      </c>
      <c r="V174" s="864">
        <f t="shared" si="40"/>
        <v>0</v>
      </c>
      <c r="W174" s="864" t="str">
        <f t="shared" si="45"/>
        <v/>
      </c>
      <c r="X174" s="1067">
        <f t="shared" si="41"/>
        <v>17.963767072939209</v>
      </c>
      <c r="Y174" s="826">
        <f>VLOOKUP(B174,'BD ASVICC'!$A$6:$Y$316,24,FALSE)</f>
        <v>2565</v>
      </c>
      <c r="Z174" s="826" t="str">
        <f t="shared" si="42"/>
        <v>b 1.000 a 5.000 hab.</v>
      </c>
      <c r="AA174" s="826">
        <f t="shared" si="43"/>
        <v>7003.4179621595358</v>
      </c>
    </row>
    <row r="175" spans="1:27" s="826" customFormat="1" ht="45">
      <c r="A175" s="835">
        <v>8172</v>
      </c>
      <c r="B175" s="826" t="s">
        <v>349</v>
      </c>
      <c r="C175" s="878">
        <f>VLOOKUP(A175,copcalor,'1b.Cops de calor'!P$1,FALSE)/1000000</f>
        <v>60.325818940141964</v>
      </c>
      <c r="D175" s="879">
        <f>VLOOKUP($B175,'2b.Incendis forestals'!$B$4:$P$314,9,FALSE)/1000000</f>
        <v>0</v>
      </c>
      <c r="E175" s="878">
        <f>VLOOKUP($B175,'3b aigua'!$B$4:$K$314,8,FALSE)/1000000</f>
        <v>43.607170057172269</v>
      </c>
      <c r="F175" s="879">
        <f t="shared" si="31"/>
        <v>0.16944375</v>
      </c>
      <c r="G175" s="879">
        <f t="shared" si="32"/>
        <v>0</v>
      </c>
      <c r="H175" s="879">
        <f t="shared" si="33"/>
        <v>0</v>
      </c>
      <c r="I175" s="878">
        <f>IF(VLOOKUP($A175,'7b erosió costa'!$A$4:$AP$401,9,FALSE)&gt;0,VLOOKUP($A175,'7b erosió costa'!$A$4:$AP$401,9,FALSE),"")</f>
        <v>47.160535714285707</v>
      </c>
      <c r="J175" s="870">
        <f>VLOOKUP(A175,copcalor,'1b.Cops de calor'!Z$1,FALSE)/1000000</f>
        <v>355.41680216276734</v>
      </c>
      <c r="K175" s="870">
        <f>VLOOKUP($B175,'2b.Incendis forestals'!$B$4:$P$314,14,FALSE)/1000000</f>
        <v>0</v>
      </c>
      <c r="L175" s="870">
        <f>VLOOKUP($B175,'3b aigua'!$B$4:$K$314,9,FALSE)/1000000</f>
        <v>80.112543175474357</v>
      </c>
      <c r="M175" s="918">
        <f t="shared" si="34"/>
        <v>3.0257484893580489</v>
      </c>
      <c r="N175" s="918">
        <f t="shared" si="35"/>
        <v>0</v>
      </c>
      <c r="O175" s="918">
        <f t="shared" si="36"/>
        <v>0</v>
      </c>
      <c r="P175" s="918">
        <f>IF(VLOOKUP($A175,'7b erosió costa'!$A$4:$AP$401,42,FALSE)&gt;0,VLOOKUP($A175,'7b erosió costa'!$A$4:$AP$401,42,FALSE),"")</f>
        <v>54.430229153199733</v>
      </c>
      <c r="Q175" s="863">
        <f t="shared" si="44"/>
        <v>295.09098322262537</v>
      </c>
      <c r="R175" s="864">
        <f t="shared" si="37"/>
        <v>0</v>
      </c>
      <c r="S175" s="863">
        <f t="shared" si="38"/>
        <v>36.505373118302089</v>
      </c>
      <c r="T175" s="864">
        <f t="shared" si="39"/>
        <v>2.8563047393580487</v>
      </c>
      <c r="U175" s="864">
        <f t="shared" si="40"/>
        <v>0</v>
      </c>
      <c r="V175" s="864">
        <f t="shared" si="40"/>
        <v>0</v>
      </c>
      <c r="W175" s="864">
        <f t="shared" si="45"/>
        <v>7.2696934389140253</v>
      </c>
      <c r="X175" s="1067">
        <f t="shared" si="41"/>
        <v>341.72235451919954</v>
      </c>
      <c r="Y175" s="826">
        <f>VLOOKUP(B175,'BD ASVICC'!$A$6:$Y$316,24,FALSE)</f>
        <v>27866</v>
      </c>
      <c r="Z175" s="826" t="str">
        <f t="shared" si="42"/>
        <v>d 20.000 a 50.000 hab.</v>
      </c>
      <c r="AA175" s="826">
        <f t="shared" si="43"/>
        <v>12263.057292729474</v>
      </c>
    </row>
    <row r="176" spans="1:27" s="826" customFormat="1" ht="30">
      <c r="A176" s="835">
        <v>8174</v>
      </c>
      <c r="B176" s="826" t="s">
        <v>1365</v>
      </c>
      <c r="C176" s="878">
        <f>VLOOKUP(A176,copcalor,'1b.Cops de calor'!P$1,FALSE)/1000000</f>
        <v>7.9183264258499461E-2</v>
      </c>
      <c r="D176" s="879">
        <f>VLOOKUP($B176,'2b.Incendis forestals'!$B$4:$P$314,9,FALSE)/1000000</f>
        <v>1.0898084730594582E-3</v>
      </c>
      <c r="E176" s="878">
        <f>VLOOKUP($B176,'3b aigua'!$B$4:$K$314,8,FALSE)/1000000</f>
        <v>1.0768993741228798</v>
      </c>
      <c r="F176" s="879">
        <f t="shared" si="31"/>
        <v>7.1299999999999992E-3</v>
      </c>
      <c r="G176" s="879">
        <f t="shared" si="32"/>
        <v>0</v>
      </c>
      <c r="H176" s="879">
        <f t="shared" si="33"/>
        <v>0</v>
      </c>
      <c r="I176" s="878" t="str">
        <f>IF(VLOOKUP($A176,'7b erosió costa'!$A$4:$AP$401,9,FALSE)&gt;0,VLOOKUP($A176,'7b erosió costa'!$A$4:$AP$401,9,FALSE),"")</f>
        <v/>
      </c>
      <c r="J176" s="870">
        <f>VLOOKUP(A176,copcalor,'1b.Cops de calor'!Z$1,FALSE)/1000000</f>
        <v>0.45145788913654472</v>
      </c>
      <c r="K176" s="870">
        <f>VLOOKUP($B176,'2b.Incendis forestals'!$B$4:$P$314,14,FALSE)/1000000</f>
        <v>2.9969733009135107E-3</v>
      </c>
      <c r="L176" s="870">
        <f>VLOOKUP($B176,'3b aigua'!$B$4:$K$314,9,FALSE)/1000000</f>
        <v>1.5575313082441726</v>
      </c>
      <c r="M176" s="918">
        <f t="shared" si="34"/>
        <v>0.41681395471132532</v>
      </c>
      <c r="N176" s="918">
        <f t="shared" si="35"/>
        <v>0</v>
      </c>
      <c r="O176" s="918">
        <f t="shared" si="36"/>
        <v>0</v>
      </c>
      <c r="P176" s="918" t="str">
        <f>IF(VLOOKUP($A176,'7b erosió costa'!$A$4:$AP$401,42,FALSE)&gt;0,VLOOKUP($A176,'7b erosió costa'!$A$4:$AP$401,42,FALSE),"")</f>
        <v/>
      </c>
      <c r="Q176" s="863">
        <f t="shared" si="44"/>
        <v>0.37227462487804525</v>
      </c>
      <c r="R176" s="864">
        <f t="shared" si="37"/>
        <v>1.9071648278540525E-3</v>
      </c>
      <c r="S176" s="863">
        <f t="shared" si="38"/>
        <v>0.48063193412129279</v>
      </c>
      <c r="T176" s="864">
        <f t="shared" si="39"/>
        <v>0.40968395471132529</v>
      </c>
      <c r="U176" s="864">
        <f t="shared" si="40"/>
        <v>0</v>
      </c>
      <c r="V176" s="864">
        <f t="shared" si="40"/>
        <v>0</v>
      </c>
      <c r="W176" s="864" t="str">
        <f t="shared" si="45"/>
        <v/>
      </c>
      <c r="X176" s="1067">
        <f t="shared" si="41"/>
        <v>1.2644976785385174</v>
      </c>
      <c r="Y176" s="826">
        <f>VLOOKUP(B176,'BD ASVICC'!$A$6:$Y$316,24,FALSE)</f>
        <v>512</v>
      </c>
      <c r="Z176" s="826" t="str">
        <f t="shared" si="42"/>
        <v>a &lt; 1.000 hab.</v>
      </c>
      <c r="AA176" s="826">
        <f t="shared" si="43"/>
        <v>2469.7220283955417</v>
      </c>
    </row>
    <row r="177" spans="1:27" s="826" customFormat="1" ht="45">
      <c r="A177" s="835">
        <v>8175</v>
      </c>
      <c r="B177" s="826" t="s">
        <v>1366</v>
      </c>
      <c r="C177" s="878">
        <f>VLOOKUP(A177,copcalor,'1b.Cops de calor'!P$1,FALSE)/1000000</f>
        <v>0.55204940415061698</v>
      </c>
      <c r="D177" s="879">
        <f>VLOOKUP($B177,'2b.Incendis forestals'!$B$4:$P$314,9,FALSE)/1000000</f>
        <v>3.460229180437941</v>
      </c>
      <c r="E177" s="878">
        <f>VLOOKUP($B177,'3b aigua'!$B$4:$K$314,8,FALSE)/1000000</f>
        <v>7.5802030443886919</v>
      </c>
      <c r="F177" s="879">
        <f t="shared" si="31"/>
        <v>4.7485800000000005</v>
      </c>
      <c r="G177" s="879">
        <f t="shared" si="32"/>
        <v>19.277153999999996</v>
      </c>
      <c r="H177" s="879">
        <f t="shared" si="33"/>
        <v>11.06405926455</v>
      </c>
      <c r="I177" s="878" t="str">
        <f>IF(VLOOKUP($A177,'7b erosió costa'!$A$4:$AP$401,9,FALSE)&gt;0,VLOOKUP($A177,'7b erosió costa'!$A$4:$AP$401,9,FALSE),"")</f>
        <v/>
      </c>
      <c r="J177" s="870">
        <f>VLOOKUP(A177,copcalor,'1b.Cops de calor'!Z$1,FALSE)/1000000</f>
        <v>3.0276016697244676</v>
      </c>
      <c r="K177" s="870">
        <f>VLOOKUP($B177,'2b.Incendis forestals'!$B$4:$P$314,14,FALSE)/1000000</f>
        <v>9.5156302462043403</v>
      </c>
      <c r="L177" s="870">
        <f>VLOOKUP($B177,'3b aigua'!$B$4:$K$314,9,FALSE)/1000000</f>
        <v>10.963330324246252</v>
      </c>
      <c r="M177" s="918">
        <f t="shared" si="34"/>
        <v>29.632038520331307</v>
      </c>
      <c r="N177" s="918">
        <f t="shared" si="35"/>
        <v>22.110895637999995</v>
      </c>
      <c r="O177" s="918">
        <f t="shared" si="36"/>
        <v>13.474368382649999</v>
      </c>
      <c r="P177" s="918" t="str">
        <f>IF(VLOOKUP($A177,'7b erosió costa'!$A$4:$AP$401,42,FALSE)&gt;0,VLOOKUP($A177,'7b erosió costa'!$A$4:$AP$401,42,FALSE),"")</f>
        <v/>
      </c>
      <c r="Q177" s="863">
        <f t="shared" si="44"/>
        <v>2.4755522655738504</v>
      </c>
      <c r="R177" s="864">
        <f t="shared" si="37"/>
        <v>6.0554010657663992</v>
      </c>
      <c r="S177" s="863">
        <f t="shared" si="38"/>
        <v>3.3831272798575602</v>
      </c>
      <c r="T177" s="864">
        <f t="shared" si="39"/>
        <v>24.883458520331306</v>
      </c>
      <c r="U177" s="864">
        <f t="shared" si="40"/>
        <v>2.8337416379999993</v>
      </c>
      <c r="V177" s="864">
        <f t="shared" si="40"/>
        <v>2.4103091180999989</v>
      </c>
      <c r="W177" s="864" t="str">
        <f t="shared" si="45"/>
        <v/>
      </c>
      <c r="X177" s="1067">
        <f t="shared" si="41"/>
        <v>42.041589887629115</v>
      </c>
      <c r="Y177" s="826">
        <f>VLOOKUP(B177,'BD ASVICC'!$A$6:$Y$316,24,FALSE)</f>
        <v>4123</v>
      </c>
      <c r="Z177" s="826" t="str">
        <f t="shared" si="42"/>
        <v>b 1.000 a 5.000 hab.</v>
      </c>
      <c r="AA177" s="826">
        <f t="shared" si="43"/>
        <v>10196.844503426901</v>
      </c>
    </row>
    <row r="178" spans="1:27" s="826" customFormat="1" ht="30">
      <c r="A178" s="835">
        <v>8176</v>
      </c>
      <c r="B178" s="826" t="s">
        <v>1368</v>
      </c>
      <c r="C178" s="878">
        <f>VLOOKUP(A178,copcalor,'1b.Cops de calor'!P$1,FALSE)/1000000</f>
        <v>0.14276782298363555</v>
      </c>
      <c r="D178" s="879">
        <f>VLOOKUP($B178,'2b.Incendis forestals'!$B$4:$P$314,9,FALSE)/1000000</f>
        <v>1.4797923128885686</v>
      </c>
      <c r="E178" s="878">
        <f>VLOOKUP($B178,'3b aigua'!$B$4:$K$314,8,FALSE)/1000000</f>
        <v>0.24129443834879999</v>
      </c>
      <c r="F178" s="879">
        <f t="shared" si="31"/>
        <v>14.010450000000001</v>
      </c>
      <c r="G178" s="879">
        <f t="shared" si="32"/>
        <v>16.137810000000002</v>
      </c>
      <c r="H178" s="879">
        <f t="shared" si="33"/>
        <v>0</v>
      </c>
      <c r="I178" s="878" t="str">
        <f>IF(VLOOKUP($A178,'7b erosió costa'!$A$4:$AP$401,9,FALSE)&gt;0,VLOOKUP($A178,'7b erosió costa'!$A$4:$AP$401,9,FALSE),"")</f>
        <v/>
      </c>
      <c r="J178" s="870">
        <f>VLOOKUP(A178,copcalor,'1b.Cops de calor'!Z$1,FALSE)/1000000</f>
        <v>0.84429909469171727</v>
      </c>
      <c r="K178" s="870">
        <f>VLOOKUP($B178,'2b.Incendis forestals'!$B$4:$P$314,14,FALSE)/1000000</f>
        <v>4.0694288604435629</v>
      </c>
      <c r="L178" s="870">
        <f>VLOOKUP($B178,'3b aigua'!$B$4:$K$314,9,FALSE)/1000000</f>
        <v>0.34898677746892803</v>
      </c>
      <c r="M178" s="918">
        <f t="shared" si="34"/>
        <v>61.345765764523577</v>
      </c>
      <c r="N178" s="918">
        <f t="shared" si="35"/>
        <v>18.510068069999999</v>
      </c>
      <c r="O178" s="918">
        <f t="shared" si="36"/>
        <v>0</v>
      </c>
      <c r="P178" s="918" t="str">
        <f>IF(VLOOKUP($A178,'7b erosió costa'!$A$4:$AP$401,42,FALSE)&gt;0,VLOOKUP($A178,'7b erosió costa'!$A$4:$AP$401,42,FALSE),"")</f>
        <v/>
      </c>
      <c r="Q178" s="863">
        <f t="shared" si="44"/>
        <v>0.70153127170808172</v>
      </c>
      <c r="R178" s="864">
        <f t="shared" si="37"/>
        <v>2.5896365475549943</v>
      </c>
      <c r="S178" s="863">
        <f t="shared" si="38"/>
        <v>0.10769233912012804</v>
      </c>
      <c r="T178" s="864">
        <f t="shared" si="39"/>
        <v>47.335315764523578</v>
      </c>
      <c r="U178" s="864">
        <f t="shared" si="40"/>
        <v>2.3722580699999973</v>
      </c>
      <c r="V178" s="864">
        <f t="shared" si="40"/>
        <v>0</v>
      </c>
      <c r="W178" s="864" t="str">
        <f t="shared" si="45"/>
        <v/>
      </c>
      <c r="X178" s="1067">
        <f t="shared" si="41"/>
        <v>53.106433992906773</v>
      </c>
      <c r="Y178" s="826">
        <f>VLOOKUP(B178,'BD ASVICC'!$A$6:$Y$316,24,FALSE)</f>
        <v>198</v>
      </c>
      <c r="Z178" s="826" t="str">
        <f t="shared" si="42"/>
        <v>a &lt; 1.000 hab.</v>
      </c>
      <c r="AA178" s="826">
        <f t="shared" si="43"/>
        <v>268214.31309548876</v>
      </c>
    </row>
    <row r="179" spans="1:27" s="826" customFormat="1" ht="30">
      <c r="A179" s="835">
        <v>8177</v>
      </c>
      <c r="B179" s="826" t="s">
        <v>1372</v>
      </c>
      <c r="C179" s="878">
        <f>VLOOKUP(A179,copcalor,'1b.Cops de calor'!P$1,FALSE)/1000000</f>
        <v>1.3355209004534789E-2</v>
      </c>
      <c r="D179" s="879">
        <f>VLOOKUP($B179,'2b.Incendis forestals'!$B$4:$P$314,9,FALSE)/1000000</f>
        <v>3.1131882757403679</v>
      </c>
      <c r="E179" s="878">
        <f>VLOOKUP($B179,'3b aigua'!$B$4:$K$314,8,FALSE)/1000000</f>
        <v>1.1006952200960001E-2</v>
      </c>
      <c r="F179" s="879">
        <f t="shared" si="31"/>
        <v>0.62031000000000003</v>
      </c>
      <c r="G179" s="879">
        <f t="shared" si="32"/>
        <v>7.7327640000000004</v>
      </c>
      <c r="H179" s="879">
        <f t="shared" si="33"/>
        <v>0</v>
      </c>
      <c r="I179" s="878" t="str">
        <f>IF(VLOOKUP($A179,'7b erosió costa'!$A$4:$AP$401,9,FALSE)&gt;0,VLOOKUP($A179,'7b erosió costa'!$A$4:$AP$401,9,FALSE),"")</f>
        <v/>
      </c>
      <c r="J179" s="870">
        <f>VLOOKUP(A179,copcalor,'1b.Cops de calor'!Z$1,FALSE)/1000000</f>
        <v>7.3351761257302153E-2</v>
      </c>
      <c r="K179" s="870">
        <f>VLOOKUP($B179,'2b.Incendis forestals'!$B$4:$P$314,14,FALSE)/1000000</f>
        <v>8.5612677582860108</v>
      </c>
      <c r="L179" s="870">
        <f>VLOOKUP($B179,'3b aigua'!$B$4:$K$314,9,FALSE)/1000000</f>
        <v>1.5919474997657602E-2</v>
      </c>
      <c r="M179" s="918">
        <f t="shared" si="34"/>
        <v>2.827737003361841</v>
      </c>
      <c r="N179" s="918">
        <f t="shared" si="35"/>
        <v>8.869480308</v>
      </c>
      <c r="O179" s="918">
        <f t="shared" si="36"/>
        <v>0</v>
      </c>
      <c r="P179" s="918" t="str">
        <f>IF(VLOOKUP($A179,'7b erosió costa'!$A$4:$AP$401,42,FALSE)&gt;0,VLOOKUP($A179,'7b erosió costa'!$A$4:$AP$401,42,FALSE),"")</f>
        <v/>
      </c>
      <c r="Q179" s="863">
        <f t="shared" si="44"/>
        <v>5.9996552252767364E-2</v>
      </c>
      <c r="R179" s="864">
        <f t="shared" si="37"/>
        <v>5.4480794825456424</v>
      </c>
      <c r="S179" s="863">
        <f t="shared" si="38"/>
        <v>4.912522796697601E-3</v>
      </c>
      <c r="T179" s="864">
        <f t="shared" si="39"/>
        <v>2.2074270033618411</v>
      </c>
      <c r="U179" s="864">
        <f t="shared" si="40"/>
        <v>1.1367163079999996</v>
      </c>
      <c r="V179" s="864">
        <f t="shared" si="40"/>
        <v>0</v>
      </c>
      <c r="W179" s="864" t="str">
        <f t="shared" si="45"/>
        <v/>
      </c>
      <c r="X179" s="1067">
        <f t="shared" si="41"/>
        <v>8.857131868956948</v>
      </c>
      <c r="Y179" s="826">
        <f>VLOOKUP(B179,'BD ASVICC'!$A$6:$Y$316,24,FALSE)</f>
        <v>54</v>
      </c>
      <c r="Z179" s="826" t="str">
        <f t="shared" si="42"/>
        <v>a &lt; 1.000 hab.</v>
      </c>
      <c r="AA179" s="826">
        <f t="shared" si="43"/>
        <v>164020.96053623979</v>
      </c>
    </row>
    <row r="180" spans="1:27" s="826" customFormat="1" ht="30">
      <c r="A180" s="835">
        <v>8178</v>
      </c>
      <c r="B180" s="826" t="s">
        <v>1375</v>
      </c>
      <c r="C180" s="878">
        <f>VLOOKUP(A180,copcalor,'1b.Cops de calor'!P$1,FALSE)/1000000</f>
        <v>0.17677709708051009</v>
      </c>
      <c r="D180" s="879">
        <f>VLOOKUP($B180,'2b.Incendis forestals'!$B$4:$P$314,9,FALSE)/1000000</f>
        <v>5.3114142089209802</v>
      </c>
      <c r="E180" s="878">
        <f>VLOOKUP($B180,'3b aigua'!$B$4:$K$314,8,FALSE)/1000000</f>
        <v>1.9095547758095999</v>
      </c>
      <c r="F180" s="879">
        <f t="shared" si="31"/>
        <v>5.6924243749999999</v>
      </c>
      <c r="G180" s="879">
        <f t="shared" si="32"/>
        <v>5.7128759999999996</v>
      </c>
      <c r="H180" s="879">
        <f t="shared" si="33"/>
        <v>0</v>
      </c>
      <c r="I180" s="878" t="str">
        <f>IF(VLOOKUP($A180,'7b erosió costa'!$A$4:$AP$401,9,FALSE)&gt;0,VLOOKUP($A180,'7b erosió costa'!$A$4:$AP$401,9,FALSE),"")</f>
        <v/>
      </c>
      <c r="J180" s="870">
        <f>VLOOKUP(A180,copcalor,'1b.Cops de calor'!Z$1,FALSE)/1000000</f>
        <v>0.75619430672493226</v>
      </c>
      <c r="K180" s="870">
        <f>VLOOKUP($B180,'2b.Incendis forestals'!$B$4:$P$314,14,FALSE)/1000000</f>
        <v>14.606389074532695</v>
      </c>
      <c r="L180" s="870">
        <f>VLOOKUP($B180,'3b aigua'!$B$4:$K$314,9,FALSE)/1000000</f>
        <v>2.7618098957045762</v>
      </c>
      <c r="M180" s="918">
        <f t="shared" si="34"/>
        <v>25.233178976915074</v>
      </c>
      <c r="N180" s="918">
        <f t="shared" si="35"/>
        <v>6.5526687719999996</v>
      </c>
      <c r="O180" s="918">
        <f t="shared" si="36"/>
        <v>0</v>
      </c>
      <c r="P180" s="918" t="str">
        <f>IF(VLOOKUP($A180,'7b erosió costa'!$A$4:$AP$401,42,FALSE)&gt;0,VLOOKUP($A180,'7b erosió costa'!$A$4:$AP$401,42,FALSE),"")</f>
        <v/>
      </c>
      <c r="Q180" s="863">
        <f t="shared" si="44"/>
        <v>0.57941720964442212</v>
      </c>
      <c r="R180" s="864">
        <f t="shared" si="37"/>
        <v>9.2949748656117137</v>
      </c>
      <c r="S180" s="863">
        <f t="shared" si="38"/>
        <v>0.85225511989497638</v>
      </c>
      <c r="T180" s="864">
        <f t="shared" si="39"/>
        <v>19.540754601915076</v>
      </c>
      <c r="U180" s="864">
        <f t="shared" si="40"/>
        <v>0.83979277200000002</v>
      </c>
      <c r="V180" s="864">
        <f t="shared" si="40"/>
        <v>0</v>
      </c>
      <c r="W180" s="864" t="str">
        <f t="shared" si="45"/>
        <v/>
      </c>
      <c r="X180" s="1067">
        <f t="shared" si="41"/>
        <v>31.107194569066188</v>
      </c>
      <c r="Y180" s="826">
        <f>VLOOKUP(B180,'BD ASVICC'!$A$6:$Y$316,24,FALSE)</f>
        <v>533</v>
      </c>
      <c r="Z180" s="826" t="str">
        <f t="shared" si="42"/>
        <v>a &lt; 1.000 hab.</v>
      </c>
      <c r="AA180" s="826">
        <f t="shared" si="43"/>
        <v>58362.466358473153</v>
      </c>
    </row>
    <row r="181" spans="1:27" s="826" customFormat="1" ht="30">
      <c r="A181" s="835">
        <v>8179</v>
      </c>
      <c r="B181" s="826" t="s">
        <v>1377</v>
      </c>
      <c r="C181" s="878">
        <f>VLOOKUP(A181,copcalor,'1b.Cops de calor'!P$1,FALSE)/1000000</f>
        <v>0.10871999610121091</v>
      </c>
      <c r="D181" s="879">
        <f>VLOOKUP($B181,'2b.Incendis forestals'!$B$4:$P$314,9,FALSE)/1000000</f>
        <v>1.8900566391861076</v>
      </c>
      <c r="E181" s="878">
        <f>VLOOKUP($B181,'3b aigua'!$B$4:$K$314,8,FALSE)/1000000</f>
        <v>2.438745405953707</v>
      </c>
      <c r="F181" s="879">
        <f t="shared" si="31"/>
        <v>3.1204374999999996E-2</v>
      </c>
      <c r="G181" s="879">
        <f t="shared" si="32"/>
        <v>2.3426662735834505E-2</v>
      </c>
      <c r="H181" s="879">
        <f t="shared" si="33"/>
        <v>0</v>
      </c>
      <c r="I181" s="878" t="str">
        <f>IF(VLOOKUP($A181,'7b erosió costa'!$A$4:$AP$401,9,FALSE)&gt;0,VLOOKUP($A181,'7b erosió costa'!$A$4:$AP$401,9,FALSE),"")</f>
        <v/>
      </c>
      <c r="J181" s="870">
        <f>VLOOKUP(A181,copcalor,'1b.Cops de calor'!Z$1,FALSE)/1000000</f>
        <v>0.6416975848989146</v>
      </c>
      <c r="K181" s="870">
        <f>VLOOKUP($B181,'2b.Incendis forestals'!$B$4:$P$314,14,FALSE)/1000000</f>
        <v>5.1976557577617957</v>
      </c>
      <c r="L181" s="870">
        <f>VLOOKUP($B181,'3b aigua'!$B$4:$K$314,9,FALSE)/1000000</f>
        <v>3.5271840748382894</v>
      </c>
      <c r="M181" s="918">
        <f t="shared" si="34"/>
        <v>0.20594848820871797</v>
      </c>
      <c r="N181" s="918">
        <f t="shared" si="35"/>
        <v>2.6870382158002179E-2</v>
      </c>
      <c r="O181" s="918">
        <f t="shared" si="36"/>
        <v>0</v>
      </c>
      <c r="P181" s="918" t="str">
        <f>IF(VLOOKUP($A181,'7b erosió costa'!$A$4:$AP$401,42,FALSE)&gt;0,VLOOKUP($A181,'7b erosió costa'!$A$4:$AP$401,42,FALSE),"")</f>
        <v/>
      </c>
      <c r="Q181" s="863">
        <f t="shared" si="44"/>
        <v>0.53297758879770374</v>
      </c>
      <c r="R181" s="864">
        <f t="shared" si="37"/>
        <v>3.3075991185756881</v>
      </c>
      <c r="S181" s="863">
        <f t="shared" si="38"/>
        <v>1.0884386688845824</v>
      </c>
      <c r="T181" s="864">
        <f t="shared" si="39"/>
        <v>0.17474411320871797</v>
      </c>
      <c r="U181" s="864">
        <f t="shared" si="40"/>
        <v>3.4437194221676737E-3</v>
      </c>
      <c r="V181" s="864">
        <f t="shared" si="40"/>
        <v>0</v>
      </c>
      <c r="W181" s="864" t="str">
        <f t="shared" si="45"/>
        <v/>
      </c>
      <c r="X181" s="1067">
        <f t="shared" si="41"/>
        <v>5.1072032088888593</v>
      </c>
      <c r="Y181" s="826">
        <f>VLOOKUP(B181,'BD ASVICC'!$A$6:$Y$316,24,FALSE)</f>
        <v>723</v>
      </c>
      <c r="Z181" s="826" t="str">
        <f t="shared" si="42"/>
        <v>a &lt; 1.000 hab.</v>
      </c>
      <c r="AA181" s="826">
        <f t="shared" si="43"/>
        <v>7063.904853234937</v>
      </c>
    </row>
    <row r="182" spans="1:27" s="826" customFormat="1" ht="45">
      <c r="A182" s="835">
        <v>8180</v>
      </c>
      <c r="B182" s="826" t="s">
        <v>1383</v>
      </c>
      <c r="C182" s="878">
        <f>VLOOKUP(A182,copcalor,'1b.Cops de calor'!P$1,FALSE)/1000000</f>
        <v>8.8910986412908066</v>
      </c>
      <c r="D182" s="879">
        <f>VLOOKUP($B182,'2b.Incendis forestals'!$B$4:$P$314,9,FALSE)/1000000</f>
        <v>8.2540448166988231E-2</v>
      </c>
      <c r="E182" s="878">
        <f>VLOOKUP($B182,'3b aigua'!$B$4:$K$314,8,FALSE)/1000000</f>
        <v>49.06014760273343</v>
      </c>
      <c r="F182" s="879">
        <f t="shared" si="31"/>
        <v>3.5650000000000001E-2</v>
      </c>
      <c r="G182" s="879">
        <f t="shared" si="32"/>
        <v>0.71333324176311086</v>
      </c>
      <c r="H182" s="879">
        <f t="shared" si="33"/>
        <v>3.6232034012999992</v>
      </c>
      <c r="I182" s="878" t="str">
        <f>IF(VLOOKUP($A182,'7b erosió costa'!$A$4:$AP$401,9,FALSE)&gt;0,VLOOKUP($A182,'7b erosió costa'!$A$4:$AP$401,9,FALSE),"")</f>
        <v/>
      </c>
      <c r="J182" s="870">
        <f>VLOOKUP(A182,copcalor,'1b.Cops de calor'!Z$1,FALSE)/1000000</f>
        <v>51.945333340103737</v>
      </c>
      <c r="K182" s="870">
        <f>VLOOKUP($B182,'2b.Incendis forestals'!$B$4:$P$314,14,FALSE)/1000000</f>
        <v>0.2269862324592177</v>
      </c>
      <c r="L182" s="870">
        <f>VLOOKUP($B182,'3b aigua'!$B$4:$K$314,9,FALSE)/1000000</f>
        <v>90.130434693793859</v>
      </c>
      <c r="M182" s="918">
        <f t="shared" si="34"/>
        <v>0.6968333103846146</v>
      </c>
      <c r="N182" s="918">
        <f t="shared" si="35"/>
        <v>0.81819322830228813</v>
      </c>
      <c r="O182" s="918">
        <f t="shared" si="36"/>
        <v>3.9666468021000005</v>
      </c>
      <c r="P182" s="918" t="str">
        <f>IF(VLOOKUP($A182,'7b erosió costa'!$A$4:$AP$401,42,FALSE)&gt;0,VLOOKUP($A182,'7b erosió costa'!$A$4:$AP$401,42,FALSE),"")</f>
        <v/>
      </c>
      <c r="Q182" s="863">
        <f t="shared" si="44"/>
        <v>43.054234698812934</v>
      </c>
      <c r="R182" s="864">
        <f t="shared" si="37"/>
        <v>0.14444578429222948</v>
      </c>
      <c r="S182" s="863">
        <f t="shared" si="38"/>
        <v>41.070287091060429</v>
      </c>
      <c r="T182" s="864">
        <f t="shared" si="39"/>
        <v>0.66118331038461464</v>
      </c>
      <c r="U182" s="864">
        <f t="shared" si="40"/>
        <v>0.10485998653917727</v>
      </c>
      <c r="V182" s="864">
        <f t="shared" si="40"/>
        <v>0.34344340080000135</v>
      </c>
      <c r="W182" s="864" t="str">
        <f t="shared" si="45"/>
        <v/>
      </c>
      <c r="X182" s="1067">
        <f t="shared" si="41"/>
        <v>85.378454271889396</v>
      </c>
      <c r="Y182" s="826">
        <f>VLOOKUP(B182,'BD ASVICC'!$A$6:$Y$316,24,FALSE)</f>
        <v>37648</v>
      </c>
      <c r="Z182" s="826" t="str">
        <f t="shared" si="42"/>
        <v>d 20.000 a 50.000 hab.</v>
      </c>
      <c r="AA182" s="826">
        <f t="shared" si="43"/>
        <v>2267.8084963846522</v>
      </c>
    </row>
    <row r="183" spans="1:27" s="826" customFormat="1" ht="45">
      <c r="A183" s="835">
        <v>8181</v>
      </c>
      <c r="B183" s="826" t="s">
        <v>1384</v>
      </c>
      <c r="C183" s="878">
        <f>VLOOKUP(A183,copcalor,'1b.Cops de calor'!P$1,FALSE)/1000000</f>
        <v>1.7274666898457118</v>
      </c>
      <c r="D183" s="879">
        <f>VLOOKUP($B183,'2b.Incendis forestals'!$B$4:$P$314,9,FALSE)/1000000</f>
        <v>0.53236164502056471</v>
      </c>
      <c r="E183" s="878">
        <f>VLOOKUP($B183,'3b aigua'!$B$4:$K$314,8,FALSE)/1000000</f>
        <v>20.450945050189123</v>
      </c>
      <c r="F183" s="879">
        <f t="shared" si="31"/>
        <v>7.3471181249999997</v>
      </c>
      <c r="G183" s="879">
        <f t="shared" si="32"/>
        <v>6.1570079999999994</v>
      </c>
      <c r="H183" s="879">
        <f t="shared" si="33"/>
        <v>129.38128243530002</v>
      </c>
      <c r="I183" s="878" t="str">
        <f>IF(VLOOKUP($A183,'7b erosió costa'!$A$4:$AP$401,9,FALSE)&gt;0,VLOOKUP($A183,'7b erosió costa'!$A$4:$AP$401,9,FALSE),"")</f>
        <v/>
      </c>
      <c r="J183" s="870">
        <f>VLOOKUP(A183,copcalor,'1b.Cops de calor'!Z$1,FALSE)/1000000</f>
        <v>9.5805922664325429</v>
      </c>
      <c r="K183" s="870">
        <f>VLOOKUP($B183,'2b.Incendis forestals'!$B$4:$P$314,14,FALSE)/1000000</f>
        <v>1.4639945238065528</v>
      </c>
      <c r="L183" s="870">
        <f>VLOOKUP($B183,'3b aigua'!$B$4:$K$314,9,FALSE)/1000000</f>
        <v>37.571280506496862</v>
      </c>
      <c r="M183" s="918">
        <f t="shared" si="34"/>
        <v>65.067730689248194</v>
      </c>
      <c r="N183" s="918">
        <f t="shared" si="35"/>
        <v>7.0620881759999996</v>
      </c>
      <c r="O183" s="918">
        <f t="shared" si="36"/>
        <v>145.94974103640001</v>
      </c>
      <c r="P183" s="918" t="str">
        <f>IF(VLOOKUP($A183,'7b erosió costa'!$A$4:$AP$401,42,FALSE)&gt;0,VLOOKUP($A183,'7b erosió costa'!$A$4:$AP$401,42,FALSE),"")</f>
        <v/>
      </c>
      <c r="Q183" s="863">
        <f t="shared" si="44"/>
        <v>7.8531255765868311</v>
      </c>
      <c r="R183" s="864">
        <f t="shared" si="37"/>
        <v>0.93163287878598811</v>
      </c>
      <c r="S183" s="863">
        <f t="shared" si="38"/>
        <v>17.120335456307739</v>
      </c>
      <c r="T183" s="864">
        <f t="shared" si="39"/>
        <v>57.720612564248192</v>
      </c>
      <c r="U183" s="864">
        <f t="shared" si="40"/>
        <v>0.90508017600000024</v>
      </c>
      <c r="V183" s="864">
        <f t="shared" si="40"/>
        <v>16.568458601099991</v>
      </c>
      <c r="W183" s="864" t="str">
        <f t="shared" si="45"/>
        <v/>
      </c>
      <c r="X183" s="1067">
        <f t="shared" si="41"/>
        <v>101.09924525302874</v>
      </c>
      <c r="Y183" s="826">
        <f>VLOOKUP(B183,'BD ASVICC'!$A$6:$Y$316,24,FALSE)</f>
        <v>10599</v>
      </c>
      <c r="Z183" s="826" t="str">
        <f t="shared" si="42"/>
        <v>c 5.000 a 20.000 hab.</v>
      </c>
      <c r="AA183" s="826">
        <f t="shared" si="43"/>
        <v>9538.5645110886635</v>
      </c>
    </row>
    <row r="184" spans="1:27" s="826" customFormat="1" ht="45">
      <c r="A184" s="835">
        <v>8182</v>
      </c>
      <c r="B184" s="826" t="s">
        <v>1387</v>
      </c>
      <c r="C184" s="878">
        <f>VLOOKUP(A184,copcalor,'1b.Cops de calor'!P$1,FALSE)/1000000</f>
        <v>2.9566307051878886</v>
      </c>
      <c r="D184" s="879">
        <f>VLOOKUP($B184,'2b.Incendis forestals'!$B$4:$P$314,9,FALSE)/1000000</f>
        <v>3.9918184524135598</v>
      </c>
      <c r="E184" s="878">
        <f>VLOOKUP($B184,'3b aigua'!$B$4:$K$314,8,FALSE)/1000000</f>
        <v>8.8243744255194674</v>
      </c>
      <c r="F184" s="879">
        <f t="shared" si="31"/>
        <v>0.38057437499999996</v>
      </c>
      <c r="G184" s="879">
        <f t="shared" si="32"/>
        <v>9.4301999999999997E-2</v>
      </c>
      <c r="H184" s="879">
        <f t="shared" si="33"/>
        <v>1.8147687025499999</v>
      </c>
      <c r="I184" s="878" t="str">
        <f>IF(VLOOKUP($A184,'7b erosió costa'!$A$4:$AP$401,9,FALSE)&gt;0,VLOOKUP($A184,'7b erosió costa'!$A$4:$AP$401,9,FALSE),"")</f>
        <v/>
      </c>
      <c r="J184" s="870">
        <f>VLOOKUP(A184,copcalor,'1b.Cops de calor'!Z$1,FALSE)/1000000</f>
        <v>14.39691678321633</v>
      </c>
      <c r="K184" s="870">
        <f>VLOOKUP($B184,'2b.Incendis forestals'!$B$4:$P$314,14,FALSE)/1000000</f>
        <v>10.977500744137291</v>
      </c>
      <c r="L184" s="870">
        <f>VLOOKUP($B184,'3b aigua'!$B$4:$K$314,9,FALSE)/1000000</f>
        <v>12.762788960305834</v>
      </c>
      <c r="M184" s="918">
        <f t="shared" si="34"/>
        <v>3.8021929331324906</v>
      </c>
      <c r="N184" s="918">
        <f t="shared" si="35"/>
        <v>0.10816439399999998</v>
      </c>
      <c r="O184" s="918">
        <f t="shared" si="36"/>
        <v>2.3595752776499999</v>
      </c>
      <c r="P184" s="918" t="str">
        <f>IF(VLOOKUP($A184,'7b erosió costa'!$A$4:$AP$401,42,FALSE)&gt;0,VLOOKUP($A184,'7b erosió costa'!$A$4:$AP$401,42,FALSE),"")</f>
        <v/>
      </c>
      <c r="Q184" s="863">
        <f t="shared" si="44"/>
        <v>11.440286078028441</v>
      </c>
      <c r="R184" s="864">
        <f t="shared" si="37"/>
        <v>6.985682291723732</v>
      </c>
      <c r="S184" s="863">
        <f t="shared" si="38"/>
        <v>3.9384145347863662</v>
      </c>
      <c r="T184" s="864">
        <f t="shared" si="39"/>
        <v>3.4216185581324905</v>
      </c>
      <c r="U184" s="864">
        <f t="shared" si="40"/>
        <v>1.3862393999999986E-2</v>
      </c>
      <c r="V184" s="864">
        <f t="shared" si="40"/>
        <v>0.54480657509999997</v>
      </c>
      <c r="W184" s="864" t="str">
        <f t="shared" si="45"/>
        <v/>
      </c>
      <c r="X184" s="1067">
        <f t="shared" si="41"/>
        <v>26.344670431771029</v>
      </c>
      <c r="Y184" s="826">
        <f>VLOOKUP(B184,'BD ASVICC'!$A$6:$Y$316,24,FALSE)</f>
        <v>3724</v>
      </c>
      <c r="Z184" s="826" t="str">
        <f t="shared" si="42"/>
        <v>b 1.000 a 5.000 hab.</v>
      </c>
      <c r="AA184" s="826">
        <f t="shared" si="43"/>
        <v>7074.2938860824461</v>
      </c>
    </row>
    <row r="185" spans="1:27" s="826" customFormat="1" ht="45">
      <c r="A185" s="835">
        <v>8183</v>
      </c>
      <c r="B185" s="826" t="s">
        <v>1390</v>
      </c>
      <c r="C185" s="878">
        <f>VLOOKUP(A185,copcalor,'1b.Cops de calor'!P$1,FALSE)/1000000</f>
        <v>2.742620621870469</v>
      </c>
      <c r="D185" s="879">
        <f>VLOOKUP($B185,'2b.Incendis forestals'!$B$4:$P$314,9,FALSE)/1000000</f>
        <v>1.7473624205180311E-3</v>
      </c>
      <c r="E185" s="878">
        <f>VLOOKUP($B185,'3b aigua'!$B$4:$K$314,8,FALSE)/1000000</f>
        <v>7.2371440782442678</v>
      </c>
      <c r="F185" s="879">
        <f t="shared" si="31"/>
        <v>0.34223999999999999</v>
      </c>
      <c r="G185" s="879">
        <f t="shared" si="32"/>
        <v>1.426698</v>
      </c>
      <c r="H185" s="879">
        <f t="shared" si="33"/>
        <v>13.9004018577</v>
      </c>
      <c r="I185" s="878" t="str">
        <f>IF(VLOOKUP($A185,'7b erosió costa'!$A$4:$AP$401,9,FALSE)&gt;0,VLOOKUP($A185,'7b erosió costa'!$A$4:$AP$401,9,FALSE),"")</f>
        <v/>
      </c>
      <c r="J185" s="870">
        <f>VLOOKUP(A185,copcalor,'1b.Cops de calor'!Z$1,FALSE)/1000000</f>
        <v>16.034759735830104</v>
      </c>
      <c r="K185" s="870">
        <f>VLOOKUP($B185,'2b.Incendis forestals'!$B$4:$P$314,14,FALSE)/1000000</f>
        <v>4.8052466564245857E-3</v>
      </c>
      <c r="L185" s="870">
        <f>VLOOKUP($B185,'3b aigua'!$B$4:$K$314,9,FALSE)/1000000</f>
        <v>10.467160400497322</v>
      </c>
      <c r="M185" s="918">
        <f t="shared" si="34"/>
        <v>1.9550934715112394</v>
      </c>
      <c r="N185" s="918">
        <f t="shared" si="35"/>
        <v>1.636422606</v>
      </c>
      <c r="O185" s="918">
        <f t="shared" si="36"/>
        <v>15.8767634655</v>
      </c>
      <c r="P185" s="918" t="str">
        <f>IF(VLOOKUP($A185,'7b erosió costa'!$A$4:$AP$401,42,FALSE)&gt;0,VLOOKUP($A185,'7b erosió costa'!$A$4:$AP$401,42,FALSE),"")</f>
        <v/>
      </c>
      <c r="Q185" s="863">
        <f t="shared" si="44"/>
        <v>13.292139113959635</v>
      </c>
      <c r="R185" s="864">
        <f t="shared" si="37"/>
        <v>3.0578842359065546E-3</v>
      </c>
      <c r="S185" s="863">
        <f t="shared" si="38"/>
        <v>3.2300163222530545</v>
      </c>
      <c r="T185" s="864">
        <f t="shared" si="39"/>
        <v>1.6128534715112393</v>
      </c>
      <c r="U185" s="864">
        <f t="shared" si="40"/>
        <v>0.20972460599999998</v>
      </c>
      <c r="V185" s="864">
        <f t="shared" si="40"/>
        <v>1.9763616077999995</v>
      </c>
      <c r="W185" s="864" t="str">
        <f t="shared" si="45"/>
        <v/>
      </c>
      <c r="X185" s="1067">
        <f t="shared" si="41"/>
        <v>20.32415300575984</v>
      </c>
      <c r="Y185" s="826">
        <f>VLOOKUP(B185,'BD ASVICC'!$A$6:$Y$316,24,FALSE)</f>
        <v>6116</v>
      </c>
      <c r="Z185" s="826" t="str">
        <f t="shared" si="42"/>
        <v>c 5.000 a 20.000 hab.</v>
      </c>
      <c r="AA185" s="826">
        <f t="shared" si="43"/>
        <v>3323.1120022498103</v>
      </c>
    </row>
    <row r="186" spans="1:27" s="826" customFormat="1" ht="45">
      <c r="A186" s="835">
        <v>8184</v>
      </c>
      <c r="B186" s="826" t="s">
        <v>1394</v>
      </c>
      <c r="C186" s="878">
        <f>VLOOKUP(A186,copcalor,'1b.Cops de calor'!P$1,FALSE)/1000000</f>
        <v>22.584071581024382</v>
      </c>
      <c r="D186" s="879">
        <f>VLOOKUP($B186,'2b.Incendis forestals'!$B$4:$P$314,9,FALSE)/1000000</f>
        <v>1.4749619215927028</v>
      </c>
      <c r="E186" s="878">
        <f>VLOOKUP($B186,'3b aigua'!$B$4:$K$314,8,FALSE)/1000000</f>
        <v>204.18560015847427</v>
      </c>
      <c r="F186" s="879">
        <f t="shared" si="31"/>
        <v>1.697863125</v>
      </c>
      <c r="G186" s="879">
        <f t="shared" si="32"/>
        <v>0.73312199999999994</v>
      </c>
      <c r="H186" s="879">
        <f t="shared" si="33"/>
        <v>12.799739090699999</v>
      </c>
      <c r="I186" s="878" t="str">
        <f>IF(VLOOKUP($A186,'7b erosió costa'!$A$4:$AP$401,9,FALSE)&gt;0,VLOOKUP($A186,'7b erosió costa'!$A$4:$AP$401,9,FALSE),"")</f>
        <v/>
      </c>
      <c r="J186" s="870">
        <f>VLOOKUP(A186,copcalor,'1b.Cops de calor'!Z$1,FALSE)/1000000</f>
        <v>132.70671385068468</v>
      </c>
      <c r="K186" s="870">
        <f>VLOOKUP($B186,'2b.Incendis forestals'!$B$4:$P$314,14,FALSE)/1000000</f>
        <v>4.0561452843799328</v>
      </c>
      <c r="L186" s="870">
        <f>VLOOKUP($B186,'3b aigua'!$B$4:$K$314,9,FALSE)/1000000</f>
        <v>375.11784614914427</v>
      </c>
      <c r="M186" s="918">
        <f t="shared" si="34"/>
        <v>9.4687243553304867</v>
      </c>
      <c r="N186" s="918">
        <f t="shared" si="35"/>
        <v>0.84089093399999981</v>
      </c>
      <c r="O186" s="918">
        <f t="shared" si="36"/>
        <v>22.572782203200003</v>
      </c>
      <c r="P186" s="918" t="str">
        <f>IF(VLOOKUP($A186,'7b erosió costa'!$A$4:$AP$401,42,FALSE)&gt;0,VLOOKUP($A186,'7b erosió costa'!$A$4:$AP$401,42,FALSE),"")</f>
        <v/>
      </c>
      <c r="Q186" s="863">
        <f t="shared" si="44"/>
        <v>110.1226422696603</v>
      </c>
      <c r="R186" s="864">
        <f t="shared" si="37"/>
        <v>2.5811833627872298</v>
      </c>
      <c r="S186" s="863">
        <f t="shared" si="38"/>
        <v>170.93224599067</v>
      </c>
      <c r="T186" s="864">
        <f t="shared" si="39"/>
        <v>7.7708612303304871</v>
      </c>
      <c r="U186" s="864">
        <f t="shared" si="40"/>
        <v>0.10776893399999987</v>
      </c>
      <c r="V186" s="864">
        <f t="shared" si="40"/>
        <v>9.7730431125000035</v>
      </c>
      <c r="W186" s="864" t="str">
        <f t="shared" si="45"/>
        <v/>
      </c>
      <c r="X186" s="1067">
        <f t="shared" si="41"/>
        <v>301.28774489994794</v>
      </c>
      <c r="Y186" s="826">
        <f>VLOOKUP(B186,'BD ASVICC'!$A$6:$Y$316,24,FALSE)</f>
        <v>75167</v>
      </c>
      <c r="Z186" s="826" t="str">
        <f t="shared" si="42"/>
        <v>e &gt;50.000 hab.</v>
      </c>
      <c r="AA186" s="826">
        <f t="shared" si="43"/>
        <v>4008.244906673779</v>
      </c>
    </row>
    <row r="187" spans="1:27" s="826" customFormat="1" ht="30">
      <c r="A187" s="835">
        <v>8185</v>
      </c>
      <c r="B187" s="826" t="s">
        <v>1399</v>
      </c>
      <c r="C187" s="878">
        <f>VLOOKUP(A187,copcalor,'1b.Cops de calor'!P$1,FALSE)/1000000</f>
        <v>9.6573397647574818E-2</v>
      </c>
      <c r="D187" s="879">
        <f>VLOOKUP($B187,'2b.Incendis forestals'!$B$4:$P$314,9,FALSE)/1000000</f>
        <v>6.0332537985814385</v>
      </c>
      <c r="E187" s="878">
        <f>VLOOKUP($B187,'3b aigua'!$B$4:$K$314,8,FALSE)/1000000</f>
        <v>0.16594104806784002</v>
      </c>
      <c r="F187" s="879">
        <f t="shared" si="31"/>
        <v>6.3057743750000004</v>
      </c>
      <c r="G187" s="879">
        <f t="shared" si="32"/>
        <v>2.0746439999999997</v>
      </c>
      <c r="H187" s="879">
        <f t="shared" si="33"/>
        <v>0</v>
      </c>
      <c r="I187" s="878" t="str">
        <f>IF(VLOOKUP($A187,'7b erosió costa'!$A$4:$AP$401,9,FALSE)&gt;0,VLOOKUP($A187,'7b erosió costa'!$A$4:$AP$401,9,FALSE),"")</f>
        <v/>
      </c>
      <c r="J187" s="870">
        <f>VLOOKUP(A187,copcalor,'1b.Cops de calor'!Z$1,FALSE)/1000000</f>
        <v>0.56508123547367017</v>
      </c>
      <c r="K187" s="870">
        <f>VLOOKUP($B187,'2b.Incendis forestals'!$B$4:$P$314,14,FALSE)/1000000</f>
        <v>16.591447946098953</v>
      </c>
      <c r="L187" s="870">
        <f>VLOOKUP($B187,'3b aigua'!$B$4:$K$314,9,FALSE)/1000000</f>
        <v>0.24000234738647044</v>
      </c>
      <c r="M187" s="918">
        <f t="shared" si="34"/>
        <v>28.564592960643878</v>
      </c>
      <c r="N187" s="918">
        <f t="shared" si="35"/>
        <v>2.3796166679999997</v>
      </c>
      <c r="O187" s="918">
        <f t="shared" si="36"/>
        <v>0</v>
      </c>
      <c r="P187" s="918" t="str">
        <f>IF(VLOOKUP($A187,'7b erosió costa'!$A$4:$AP$401,42,FALSE)&gt;0,VLOOKUP($A187,'7b erosió costa'!$A$4:$AP$401,42,FALSE),"")</f>
        <v/>
      </c>
      <c r="Q187" s="863">
        <f t="shared" si="44"/>
        <v>0.46850783782609534</v>
      </c>
      <c r="R187" s="864">
        <f t="shared" si="37"/>
        <v>10.558194147517515</v>
      </c>
      <c r="S187" s="863">
        <f t="shared" si="38"/>
        <v>7.4061299318630425E-2</v>
      </c>
      <c r="T187" s="864">
        <f t="shared" si="39"/>
        <v>22.25881858564388</v>
      </c>
      <c r="U187" s="864">
        <f t="shared" si="40"/>
        <v>0.304972668</v>
      </c>
      <c r="V187" s="864">
        <f t="shared" si="40"/>
        <v>0</v>
      </c>
      <c r="W187" s="864" t="str">
        <f t="shared" si="45"/>
        <v/>
      </c>
      <c r="X187" s="1067">
        <f t="shared" si="41"/>
        <v>33.66455453830612</v>
      </c>
      <c r="Y187" s="826">
        <f>VLOOKUP(B187,'BD ASVICC'!$A$6:$Y$316,24,FALSE)</f>
        <v>231</v>
      </c>
      <c r="Z187" s="826" t="str">
        <f t="shared" si="42"/>
        <v>a &lt; 1.000 hab.</v>
      </c>
      <c r="AA187" s="826">
        <f t="shared" si="43"/>
        <v>145734.0023303295</v>
      </c>
    </row>
    <row r="188" spans="1:27" s="826" customFormat="1" ht="45">
      <c r="A188" s="835">
        <v>8187</v>
      </c>
      <c r="B188" s="826" t="s">
        <v>947</v>
      </c>
      <c r="C188" s="878">
        <f>VLOOKUP(A188,copcalor,'1b.Cops de calor'!P$1,FALSE)/1000000</f>
        <v>77.930782240205176</v>
      </c>
      <c r="D188" s="879">
        <f>VLOOKUP($B188,'2b.Incendis forestals'!$B$4:$P$314,9,FALSE)/1000000</f>
        <v>1.0861844483423959</v>
      </c>
      <c r="E188" s="878">
        <f>VLOOKUP($B188,'3b aigua'!$B$4:$K$314,8,FALSE)/1000000</f>
        <v>340.22241124729567</v>
      </c>
      <c r="F188" s="879">
        <f t="shared" si="31"/>
        <v>3.5482256250000002</v>
      </c>
      <c r="G188" s="879">
        <f t="shared" si="32"/>
        <v>3.2032259999999999</v>
      </c>
      <c r="H188" s="879">
        <f t="shared" si="33"/>
        <v>28.774701649199997</v>
      </c>
      <c r="I188" s="878" t="str">
        <f>IF(VLOOKUP($A188,'7b erosió costa'!$A$4:$AP$401,9,FALSE)&gt;0,VLOOKUP($A188,'7b erosió costa'!$A$4:$AP$401,9,FALSE),"")</f>
        <v/>
      </c>
      <c r="J188" s="870">
        <f>VLOOKUP(A188,copcalor,'1b.Cops de calor'!Z$1,FALSE)/1000000</f>
        <v>459.83377761084898</v>
      </c>
      <c r="K188" s="870">
        <f>VLOOKUP($B188,'2b.Incendis forestals'!$B$4:$P$314,14,FALSE)/1000000</f>
        <v>2.9870072329415889</v>
      </c>
      <c r="L188" s="870">
        <f>VLOOKUP($B188,'3b aigua'!$B$4:$K$314,9,FALSE)/1000000</f>
        <v>625.03672158909217</v>
      </c>
      <c r="M188" s="918">
        <f t="shared" si="34"/>
        <v>20.325150882721019</v>
      </c>
      <c r="N188" s="918">
        <f t="shared" si="35"/>
        <v>3.6741002220000007</v>
      </c>
      <c r="O188" s="918">
        <f t="shared" si="36"/>
        <v>35.027511287399996</v>
      </c>
      <c r="P188" s="918" t="str">
        <f>IF(VLOOKUP($A188,'7b erosió costa'!$A$4:$AP$401,42,FALSE)&gt;0,VLOOKUP($A188,'7b erosió costa'!$A$4:$AP$401,42,FALSE),"")</f>
        <v/>
      </c>
      <c r="Q188" s="863">
        <f t="shared" si="44"/>
        <v>381.90299537064379</v>
      </c>
      <c r="R188" s="864">
        <f t="shared" si="37"/>
        <v>1.900822784599193</v>
      </c>
      <c r="S188" s="863">
        <f t="shared" si="38"/>
        <v>284.8143103417965</v>
      </c>
      <c r="T188" s="864">
        <f t="shared" si="39"/>
        <v>16.776925257721018</v>
      </c>
      <c r="U188" s="864">
        <f t="shared" si="40"/>
        <v>0.47087422200000084</v>
      </c>
      <c r="V188" s="864">
        <f t="shared" si="40"/>
        <v>6.2528096381999987</v>
      </c>
      <c r="W188" s="864" t="str">
        <f t="shared" si="45"/>
        <v/>
      </c>
      <c r="X188" s="1067">
        <f t="shared" si="41"/>
        <v>692.11873761496054</v>
      </c>
      <c r="Y188" s="826">
        <f>VLOOKUP(B188,'BD ASVICC'!$A$6:$Y$316,24,FALSE)</f>
        <v>208246</v>
      </c>
      <c r="Z188" s="826" t="str">
        <f t="shared" si="42"/>
        <v>e &gt;50.000 hab.</v>
      </c>
      <c r="AA188" s="826">
        <f t="shared" si="43"/>
        <v>3323.5631782361274</v>
      </c>
    </row>
    <row r="189" spans="1:27" s="826" customFormat="1" ht="30">
      <c r="A189" s="835">
        <v>8188</v>
      </c>
      <c r="B189" s="826" t="s">
        <v>1409</v>
      </c>
      <c r="C189" s="878">
        <f>VLOOKUP(A189,copcalor,'1b.Cops de calor'!P$1,FALSE)/1000000</f>
        <v>8.8852170885020051E-3</v>
      </c>
      <c r="D189" s="879">
        <f>VLOOKUP($B189,'2b.Incendis forestals'!$B$4:$P$314,9,FALSE)/1000000</f>
        <v>3.0622889430513904</v>
      </c>
      <c r="E189" s="878">
        <f>VLOOKUP($B189,'3b aigua'!$B$4:$K$314,8,FALSE)/1000000</f>
        <v>1.7354490481408</v>
      </c>
      <c r="F189" s="879">
        <f t="shared" si="31"/>
        <v>6.6166399999999994</v>
      </c>
      <c r="G189" s="879">
        <f t="shared" si="32"/>
        <v>14.136174</v>
      </c>
      <c r="H189" s="879">
        <f t="shared" si="33"/>
        <v>0</v>
      </c>
      <c r="I189" s="878" t="str">
        <f>IF(VLOOKUP($A189,'7b erosió costa'!$A$4:$AP$401,9,FALSE)&gt;0,VLOOKUP($A189,'7b erosió costa'!$A$4:$AP$401,9,FALSE),"")</f>
        <v/>
      </c>
      <c r="J189" s="870">
        <f>VLOOKUP(A189,copcalor,'1b.Cops de calor'!Z$1,FALSE)/1000000</f>
        <v>4.2815643353897426E-2</v>
      </c>
      <c r="K189" s="870">
        <f>VLOOKUP($B189,'2b.Incendis forestals'!$B$4:$P$314,14,FALSE)/1000000</f>
        <v>8.4212945933913232</v>
      </c>
      <c r="L189" s="870">
        <f>VLOOKUP($B189,'3b aigua'!$B$4:$K$314,9,FALSE)/1000000</f>
        <v>2.5099988831764484</v>
      </c>
      <c r="M189" s="918">
        <f t="shared" si="34"/>
        <v>29.249837668840502</v>
      </c>
      <c r="N189" s="918">
        <f t="shared" si="35"/>
        <v>16.214191577999998</v>
      </c>
      <c r="O189" s="918">
        <f t="shared" si="36"/>
        <v>0</v>
      </c>
      <c r="P189" s="918" t="str">
        <f>IF(VLOOKUP($A189,'7b erosió costa'!$A$4:$AP$401,42,FALSE)&gt;0,VLOOKUP($A189,'7b erosió costa'!$A$4:$AP$401,42,FALSE),"")</f>
        <v/>
      </c>
      <c r="Q189" s="863">
        <f t="shared" si="44"/>
        <v>3.3930426265395421E-2</v>
      </c>
      <c r="R189" s="864">
        <f t="shared" si="37"/>
        <v>5.3590056503399328</v>
      </c>
      <c r="S189" s="863">
        <f t="shared" si="38"/>
        <v>0.77454983503564834</v>
      </c>
      <c r="T189" s="864">
        <f t="shared" si="39"/>
        <v>22.633197668840502</v>
      </c>
      <c r="U189" s="864">
        <f t="shared" si="40"/>
        <v>2.0780175779999972</v>
      </c>
      <c r="V189" s="864">
        <f t="shared" si="40"/>
        <v>0</v>
      </c>
      <c r="W189" s="864" t="str">
        <f t="shared" si="45"/>
        <v/>
      </c>
      <c r="X189" s="1067">
        <f t="shared" si="41"/>
        <v>30.878701158481476</v>
      </c>
      <c r="Y189" s="826">
        <f>VLOOKUP(B189,'BD ASVICC'!$A$6:$Y$316,24,FALSE)</f>
        <v>152</v>
      </c>
      <c r="Z189" s="826" t="str">
        <f t="shared" si="42"/>
        <v>a &lt; 1.000 hab.</v>
      </c>
      <c r="AA189" s="826">
        <f t="shared" si="43"/>
        <v>203149.3497268518</v>
      </c>
    </row>
    <row r="190" spans="1:27" s="826" customFormat="1" ht="30">
      <c r="A190" s="835">
        <v>8189</v>
      </c>
      <c r="B190" s="826" t="s">
        <v>1411</v>
      </c>
      <c r="C190" s="878">
        <f>VLOOKUP(A190,copcalor,'1b.Cops de calor'!P$1,FALSE)/1000000</f>
        <v>2.2261226334061622E-3</v>
      </c>
      <c r="D190" s="879">
        <f>VLOOKUP($B190,'2b.Incendis forestals'!$B$4:$P$314,9,FALSE)/1000000</f>
        <v>1.5922234606834542</v>
      </c>
      <c r="E190" s="878">
        <f>VLOOKUP($B190,'3b aigua'!$B$4:$K$314,8,FALSE)/1000000</f>
        <v>0.50567257330240012</v>
      </c>
      <c r="F190" s="879">
        <f t="shared" si="31"/>
        <v>6.4882999999999997</v>
      </c>
      <c r="G190" s="879">
        <f t="shared" si="32"/>
        <v>3.7081979999999999</v>
      </c>
      <c r="H190" s="879">
        <f t="shared" si="33"/>
        <v>0</v>
      </c>
      <c r="I190" s="878" t="str">
        <f>IF(VLOOKUP($A190,'7b erosió costa'!$A$4:$AP$401,9,FALSE)&gt;0,VLOOKUP($A190,'7b erosió costa'!$A$4:$AP$401,9,FALSE),"")</f>
        <v/>
      </c>
      <c r="J190" s="870">
        <f>VLOOKUP(A190,copcalor,'1b.Cops de calor'!Z$1,FALSE)/1000000</f>
        <v>3.5353255620774312E-3</v>
      </c>
      <c r="K190" s="870">
        <f>VLOOKUP($B190,'2b.Incendis forestals'!$B$4:$P$314,14,FALSE)/1000000</f>
        <v>4.3786145168794999</v>
      </c>
      <c r="L190" s="870">
        <f>VLOOKUP($B190,'3b aigua'!$B$4:$K$314,9,FALSE)/1000000</f>
        <v>0.73135975706214407</v>
      </c>
      <c r="M190" s="918">
        <f t="shared" si="34"/>
        <v>28.444084760095468</v>
      </c>
      <c r="N190" s="918">
        <f t="shared" si="35"/>
        <v>4.2533031060000006</v>
      </c>
      <c r="O190" s="918">
        <f t="shared" si="36"/>
        <v>0</v>
      </c>
      <c r="P190" s="918" t="str">
        <f>IF(VLOOKUP($A190,'7b erosió costa'!$A$4:$AP$401,42,FALSE)&gt;0,VLOOKUP($A190,'7b erosió costa'!$A$4:$AP$401,42,FALSE),"")</f>
        <v/>
      </c>
      <c r="Q190" s="863">
        <f t="shared" si="44"/>
        <v>1.309202928671269E-3</v>
      </c>
      <c r="R190" s="864">
        <f t="shared" si="37"/>
        <v>2.7863910561960457</v>
      </c>
      <c r="S190" s="863">
        <f t="shared" si="38"/>
        <v>0.22568718375974395</v>
      </c>
      <c r="T190" s="864">
        <f t="shared" si="39"/>
        <v>21.955784760095469</v>
      </c>
      <c r="U190" s="864">
        <f t="shared" si="40"/>
        <v>0.54510510600000073</v>
      </c>
      <c r="V190" s="864">
        <f t="shared" si="40"/>
        <v>0</v>
      </c>
      <c r="W190" s="864" t="str">
        <f t="shared" si="45"/>
        <v/>
      </c>
      <c r="X190" s="1067">
        <f t="shared" si="41"/>
        <v>25.514277308979931</v>
      </c>
      <c r="Y190" s="826">
        <f>VLOOKUP(B190,'BD ASVICC'!$A$6:$Y$316,24,FALSE)</f>
        <v>158</v>
      </c>
      <c r="Z190" s="826" t="str">
        <f t="shared" si="42"/>
        <v>a &lt; 1.000 hab.</v>
      </c>
      <c r="AA190" s="826">
        <f t="shared" si="43"/>
        <v>161482.767778354</v>
      </c>
    </row>
    <row r="191" spans="1:27" s="826" customFormat="1" ht="30">
      <c r="A191" s="835">
        <v>8190</v>
      </c>
      <c r="B191" s="826" t="s">
        <v>1413</v>
      </c>
      <c r="C191" s="878">
        <f>VLOOKUP(A191,copcalor,'1b.Cops de calor'!P$1,FALSE)/1000000</f>
        <v>0</v>
      </c>
      <c r="D191" s="879">
        <f>VLOOKUP($B191,'2b.Incendis forestals'!$B$4:$P$314,9,FALSE)/1000000</f>
        <v>5.1269509653988221</v>
      </c>
      <c r="E191" s="878">
        <f>VLOOKUP($B191,'3b aigua'!$B$4:$K$314,8,FALSE)/1000000</f>
        <v>0.79528047095487997</v>
      </c>
      <c r="F191" s="879">
        <f t="shared" si="31"/>
        <v>7.1300000000000002E-2</v>
      </c>
      <c r="G191" s="879">
        <f t="shared" si="32"/>
        <v>1.4753699999999998</v>
      </c>
      <c r="H191" s="879">
        <f t="shared" si="33"/>
        <v>0</v>
      </c>
      <c r="I191" s="878" t="str">
        <f>IF(VLOOKUP($A191,'7b erosió costa'!$A$4:$AP$401,9,FALSE)&gt;0,VLOOKUP($A191,'7b erosió costa'!$A$4:$AP$401,9,FALSE),"")</f>
        <v/>
      </c>
      <c r="J191" s="870">
        <f>VLOOKUP(A191,copcalor,'1b.Cops de calor'!Z$1,FALSE)/1000000</f>
        <v>0</v>
      </c>
      <c r="K191" s="870">
        <f>VLOOKUP($B191,'2b.Incendis forestals'!$B$4:$P$314,14,FALSE)/1000000</f>
        <v>14.099115154846757</v>
      </c>
      <c r="L191" s="870">
        <f>VLOOKUP($B191,'3b aigua'!$B$4:$K$314,9,FALSE)/1000000</f>
        <v>1.1502228175740927</v>
      </c>
      <c r="M191" s="918">
        <f t="shared" si="34"/>
        <v>0.90577621960873766</v>
      </c>
      <c r="N191" s="918">
        <f t="shared" si="35"/>
        <v>1.6922493899999997</v>
      </c>
      <c r="O191" s="918">
        <f t="shared" si="36"/>
        <v>0</v>
      </c>
      <c r="P191" s="918" t="str">
        <f>IF(VLOOKUP($A191,'7b erosió costa'!$A$4:$AP$401,42,FALSE)&gt;0,VLOOKUP($A191,'7b erosió costa'!$A$4:$AP$401,42,FALSE),"")</f>
        <v/>
      </c>
      <c r="Q191" s="863">
        <f t="shared" si="44"/>
        <v>0</v>
      </c>
      <c r="R191" s="864">
        <f t="shared" si="37"/>
        <v>8.972164189447934</v>
      </c>
      <c r="S191" s="863">
        <f t="shared" si="38"/>
        <v>0.35494234661921276</v>
      </c>
      <c r="T191" s="864">
        <f t="shared" si="39"/>
        <v>0.83447621960873763</v>
      </c>
      <c r="U191" s="864">
        <f t="shared" si="40"/>
        <v>0.21687938999999989</v>
      </c>
      <c r="V191" s="864">
        <f t="shared" si="40"/>
        <v>0</v>
      </c>
      <c r="W191" s="864" t="str">
        <f t="shared" si="45"/>
        <v/>
      </c>
      <c r="X191" s="1067">
        <f t="shared" si="41"/>
        <v>10.378462145675883</v>
      </c>
      <c r="Y191" s="826">
        <f>VLOOKUP(B191,'BD ASVICC'!$A$6:$Y$316,24,FALSE)</f>
        <v>276</v>
      </c>
      <c r="Z191" s="826" t="str">
        <f t="shared" si="42"/>
        <v>a &lt; 1.000 hab.</v>
      </c>
      <c r="AA191" s="826">
        <f t="shared" si="43"/>
        <v>37603.123716216964</v>
      </c>
    </row>
    <row r="192" spans="1:27" s="826" customFormat="1" ht="45">
      <c r="A192" s="835">
        <v>8191</v>
      </c>
      <c r="B192" s="826" t="s">
        <v>1416</v>
      </c>
      <c r="C192" s="878">
        <f>VLOOKUP(A192,copcalor,'1b.Cops de calor'!P$1,FALSE)/1000000</f>
        <v>8.4735264813838267</v>
      </c>
      <c r="D192" s="879">
        <f>VLOOKUP($B192,'2b.Incendis forestals'!$B$4:$P$314,9,FALSE)/1000000</f>
        <v>6.5732053953686256</v>
      </c>
      <c r="E192" s="878">
        <f>VLOOKUP($B192,'3b aigua'!$B$4:$K$314,8,FALSE)/1000000</f>
        <v>46.886932295017182</v>
      </c>
      <c r="F192" s="879">
        <f t="shared" si="31"/>
        <v>12.508959375</v>
      </c>
      <c r="G192" s="879">
        <f t="shared" si="32"/>
        <v>18.391931999999997</v>
      </c>
      <c r="H192" s="879">
        <f t="shared" si="33"/>
        <v>40.262113421400002</v>
      </c>
      <c r="I192" s="878" t="str">
        <f>IF(VLOOKUP($A192,'7b erosió costa'!$A$4:$AP$401,9,FALSE)&gt;0,VLOOKUP($A192,'7b erosió costa'!$A$4:$AP$401,9,FALSE),"")</f>
        <v/>
      </c>
      <c r="J192" s="870">
        <f>VLOOKUP(A192,copcalor,'1b.Cops de calor'!Z$1,FALSE)/1000000</f>
        <v>44.841056694610849</v>
      </c>
      <c r="K192" s="870">
        <f>VLOOKUP($B192,'2b.Incendis forestals'!$B$4:$P$314,14,FALSE)/1000000</f>
        <v>18.076314837263723</v>
      </c>
      <c r="L192" s="870">
        <f>VLOOKUP($B192,'3b aigua'!$B$4:$K$314,9,FALSE)/1000000</f>
        <v>67.81308147429678</v>
      </c>
      <c r="M192" s="918">
        <f t="shared" si="34"/>
        <v>63.277219154885756</v>
      </c>
      <c r="N192" s="918">
        <f t="shared" si="35"/>
        <v>21.095546003999999</v>
      </c>
      <c r="O192" s="918">
        <f t="shared" si="36"/>
        <v>52.269044584350006</v>
      </c>
      <c r="P192" s="918" t="str">
        <f>IF(VLOOKUP($A192,'7b erosió costa'!$A$4:$AP$401,42,FALSE)&gt;0,VLOOKUP($A192,'7b erosió costa'!$A$4:$AP$401,42,FALSE),"")</f>
        <v/>
      </c>
      <c r="Q192" s="863">
        <f t="shared" si="44"/>
        <v>36.36753021322702</v>
      </c>
      <c r="R192" s="864">
        <f t="shared" si="37"/>
        <v>11.503109441895099</v>
      </c>
      <c r="S192" s="863">
        <f t="shared" si="38"/>
        <v>20.926149179279598</v>
      </c>
      <c r="T192" s="864">
        <f t="shared" si="39"/>
        <v>50.768259779885753</v>
      </c>
      <c r="U192" s="864">
        <f t="shared" si="40"/>
        <v>2.7036140040000021</v>
      </c>
      <c r="V192" s="864">
        <f t="shared" si="40"/>
        <v>12.006931162950004</v>
      </c>
      <c r="W192" s="864" t="str">
        <f t="shared" si="45"/>
        <v/>
      </c>
      <c r="X192" s="1067">
        <f t="shared" si="41"/>
        <v>134.27559378123749</v>
      </c>
      <c r="Y192" s="826">
        <f>VLOOKUP(B192,'BD ASVICC'!$A$6:$Y$316,24,FALSE)</f>
        <v>6592</v>
      </c>
      <c r="Z192" s="826" t="str">
        <f t="shared" si="42"/>
        <v>c 5.000 a 20.000 hab.</v>
      </c>
      <c r="AA192" s="826">
        <f t="shared" si="43"/>
        <v>20369.477211959569</v>
      </c>
    </row>
    <row r="193" spans="1:27" s="826" customFormat="1" ht="45">
      <c r="A193" s="835">
        <v>8192</v>
      </c>
      <c r="B193" s="826" t="s">
        <v>1418</v>
      </c>
      <c r="C193" s="878">
        <f>VLOOKUP(A193,copcalor,'1b.Cops de calor'!P$1,FALSE)/1000000</f>
        <v>1.9857678458747536</v>
      </c>
      <c r="D193" s="879">
        <f>VLOOKUP($B193,'2b.Incendis forestals'!$B$4:$P$314,9,FALSE)/1000000</f>
        <v>0.61438000177817298</v>
      </c>
      <c r="E193" s="878">
        <f>VLOOKUP($B193,'3b aigua'!$B$4:$K$314,8,FALSE)/1000000</f>
        <v>16.160686540398721</v>
      </c>
      <c r="F193" s="879">
        <f t="shared" si="31"/>
        <v>5.8867806249999992</v>
      </c>
      <c r="G193" s="879">
        <f t="shared" si="32"/>
        <v>15.517242</v>
      </c>
      <c r="H193" s="879">
        <f t="shared" si="33"/>
        <v>0</v>
      </c>
      <c r="I193" s="878" t="str">
        <f>IF(VLOOKUP($A193,'7b erosió costa'!$A$4:$AP$401,9,FALSE)&gt;0,VLOOKUP($A193,'7b erosió costa'!$A$4:$AP$401,9,FALSE),"")</f>
        <v/>
      </c>
      <c r="J193" s="870">
        <f>VLOOKUP(A193,copcalor,'1b.Cops de calor'!Z$1,FALSE)/1000000</f>
        <v>5.0698303008910015</v>
      </c>
      <c r="K193" s="870">
        <f>VLOOKUP($B193,'2b.Incendis forestals'!$B$4:$P$314,14,FALSE)/1000000</f>
        <v>1.6895450048899761</v>
      </c>
      <c r="L193" s="870">
        <f>VLOOKUP($B193,'3b aigua'!$B$4:$K$314,9,FALSE)/1000000</f>
        <v>23.373377173603128</v>
      </c>
      <c r="M193" s="918">
        <f t="shared" si="34"/>
        <v>31.301936477565722</v>
      </c>
      <c r="N193" s="918">
        <f t="shared" si="35"/>
        <v>17.798276573999999</v>
      </c>
      <c r="O193" s="918">
        <f t="shared" si="36"/>
        <v>0</v>
      </c>
      <c r="P193" s="918" t="str">
        <f>IF(VLOOKUP($A193,'7b erosió costa'!$A$4:$AP$401,42,FALSE)&gt;0,VLOOKUP($A193,'7b erosió costa'!$A$4:$AP$401,42,FALSE),"")</f>
        <v/>
      </c>
      <c r="Q193" s="863">
        <f t="shared" si="44"/>
        <v>3.0840624550162481</v>
      </c>
      <c r="R193" s="864">
        <f t="shared" si="37"/>
        <v>1.075165003111803</v>
      </c>
      <c r="S193" s="863">
        <f t="shared" si="38"/>
        <v>7.2126906332044065</v>
      </c>
      <c r="T193" s="864">
        <f t="shared" si="39"/>
        <v>25.415155852565722</v>
      </c>
      <c r="U193" s="864">
        <f t="shared" si="40"/>
        <v>2.2810345739999995</v>
      </c>
      <c r="V193" s="864">
        <f t="shared" si="40"/>
        <v>0</v>
      </c>
      <c r="W193" s="864" t="str">
        <f t="shared" si="45"/>
        <v/>
      </c>
      <c r="X193" s="1067">
        <f t="shared" si="41"/>
        <v>39.068108517898182</v>
      </c>
      <c r="Y193" s="826">
        <f>VLOOKUP(B193,'BD ASVICC'!$A$6:$Y$316,24,FALSE)</f>
        <v>7520</v>
      </c>
      <c r="Z193" s="826" t="str">
        <f t="shared" si="42"/>
        <v>c 5.000 a 20.000 hab.</v>
      </c>
      <c r="AA193" s="826">
        <f t="shared" si="43"/>
        <v>5195.2271965290129</v>
      </c>
    </row>
    <row r="194" spans="1:27" s="826" customFormat="1" ht="45">
      <c r="A194" s="835">
        <v>8193</v>
      </c>
      <c r="B194" s="826" t="s">
        <v>1421</v>
      </c>
      <c r="C194" s="878">
        <f>VLOOKUP(A194,copcalor,'1b.Cops de calor'!P$1,FALSE)/1000000</f>
        <v>20.626043914127301</v>
      </c>
      <c r="D194" s="879">
        <f>VLOOKUP($B194,'2b.Incendis forestals'!$B$4:$P$314,9,FALSE)/1000000</f>
        <v>0.3465033611934249</v>
      </c>
      <c r="E194" s="878">
        <f>VLOOKUP($B194,'3b aigua'!$B$4:$K$314,8,FALSE)/1000000</f>
        <v>2.5683381565088004</v>
      </c>
      <c r="F194" s="879">
        <f t="shared" si="31"/>
        <v>0.59305312499999996</v>
      </c>
      <c r="G194" s="879">
        <f t="shared" si="32"/>
        <v>0.24031799999999998</v>
      </c>
      <c r="H194" s="879">
        <f t="shared" si="33"/>
        <v>0</v>
      </c>
      <c r="I194" s="878" t="str">
        <f>IF(VLOOKUP($A194,'7b erosió costa'!$A$4:$AP$401,9,FALSE)&gt;0,VLOOKUP($A194,'7b erosió costa'!$A$4:$AP$401,9,FALSE),"")</f>
        <v/>
      </c>
      <c r="J194" s="870">
        <f>VLOOKUP(A194,copcalor,'1b.Cops de calor'!Z$1,FALSE)/1000000</f>
        <v>123.55716552230179</v>
      </c>
      <c r="K194" s="870">
        <f>VLOOKUP($B194,'2b.Incendis forestals'!$B$4:$P$314,14,FALSE)/1000000</f>
        <v>0.95288424328191856</v>
      </c>
      <c r="L194" s="870">
        <f>VLOOKUP($B194,'3b aigua'!$B$4:$K$314,9,FALSE)/1000000</f>
        <v>4.7184006938025993</v>
      </c>
      <c r="M194" s="918">
        <f t="shared" si="34"/>
        <v>5.0627839044922691</v>
      </c>
      <c r="N194" s="918">
        <f t="shared" si="35"/>
        <v>0.275644746</v>
      </c>
      <c r="O194" s="918">
        <f t="shared" si="36"/>
        <v>0</v>
      </c>
      <c r="P194" s="918" t="str">
        <f>IF(VLOOKUP($A194,'7b erosió costa'!$A$4:$AP$401,42,FALSE)&gt;0,VLOOKUP($A194,'7b erosió costa'!$A$4:$AP$401,42,FALSE),"")</f>
        <v/>
      </c>
      <c r="Q194" s="863">
        <f t="shared" si="44"/>
        <v>102.93112160817449</v>
      </c>
      <c r="R194" s="864">
        <f t="shared" si="37"/>
        <v>0.60638088208849372</v>
      </c>
      <c r="S194" s="863">
        <f t="shared" si="38"/>
        <v>2.1500625372937989</v>
      </c>
      <c r="T194" s="864">
        <f t="shared" si="39"/>
        <v>4.4697307794922692</v>
      </c>
      <c r="U194" s="864">
        <f t="shared" si="40"/>
        <v>3.532674600000002E-2</v>
      </c>
      <c r="V194" s="864">
        <f t="shared" si="40"/>
        <v>0</v>
      </c>
      <c r="W194" s="864" t="str">
        <f t="shared" si="45"/>
        <v/>
      </c>
      <c r="X194" s="1067">
        <f t="shared" si="41"/>
        <v>110.19262255304905</v>
      </c>
      <c r="Y194" s="826">
        <f>VLOOKUP(B194,'BD ASVICC'!$A$6:$Y$316,24,FALSE)</f>
        <v>1292</v>
      </c>
      <c r="Z194" s="826" t="str">
        <f t="shared" si="42"/>
        <v>b 1.000 a 5.000 hab.</v>
      </c>
      <c r="AA194" s="826">
        <f t="shared" si="43"/>
        <v>85288.407548799572</v>
      </c>
    </row>
    <row r="195" spans="1:27" s="826" customFormat="1" ht="45">
      <c r="A195" s="835">
        <v>8194</v>
      </c>
      <c r="B195" s="826" t="s">
        <v>350</v>
      </c>
      <c r="C195" s="878">
        <f>VLOOKUP(A195,copcalor,'1b.Cops de calor'!P$1,FALSE)/1000000</f>
        <v>43.524372166329925</v>
      </c>
      <c r="D195" s="879">
        <f>VLOOKUP($B195,'2b.Incendis forestals'!$B$4:$P$314,9,FALSE)/1000000</f>
        <v>8.6095400741772993E-2</v>
      </c>
      <c r="E195" s="878">
        <f>VLOOKUP($B195,'3b aigua'!$B$4:$K$314,8,FALSE)/1000000</f>
        <v>86.067090202737916</v>
      </c>
      <c r="F195" s="879">
        <f t="shared" si="31"/>
        <v>0</v>
      </c>
      <c r="G195" s="879">
        <f t="shared" si="32"/>
        <v>0</v>
      </c>
      <c r="H195" s="879">
        <f t="shared" si="33"/>
        <v>49.978217109600003</v>
      </c>
      <c r="I195" s="878">
        <f>IF(VLOOKUP($A195,'7b erosió costa'!$A$4:$AP$401,9,FALSE)&gt;0,VLOOKUP($A195,'7b erosió costa'!$A$4:$AP$401,9,FALSE),"")</f>
        <v>6.8825342465753421</v>
      </c>
      <c r="J195" s="870">
        <f>VLOOKUP(A195,copcalor,'1b.Cops de calor'!Z$1,FALSE)/1000000</f>
        <v>257.13375754352802</v>
      </c>
      <c r="K195" s="870">
        <f>VLOOKUP($B195,'2b.Incendis forestals'!$B$4:$P$314,14,FALSE)/1000000</f>
        <v>0.2367623520398757</v>
      </c>
      <c r="L195" s="870">
        <f>VLOOKUP($B195,'3b aigua'!$B$4:$K$314,9,FALSE)/1000000</f>
        <v>158.11742589153019</v>
      </c>
      <c r="M195" s="918">
        <f t="shared" si="34"/>
        <v>0.32240191717187627</v>
      </c>
      <c r="N195" s="918">
        <f t="shared" si="35"/>
        <v>0</v>
      </c>
      <c r="O195" s="918">
        <f t="shared" si="36"/>
        <v>311.99204896259999</v>
      </c>
      <c r="P195" s="918">
        <f>IF(VLOOKUP($A195,'7b erosió costa'!$A$4:$AP$401,42,FALSE)&gt;0,VLOOKUP($A195,'7b erosió costa'!$A$4:$AP$401,42,FALSE),"")</f>
        <v>7.9434618483852963</v>
      </c>
      <c r="Q195" s="863">
        <f t="shared" si="44"/>
        <v>213.60938537719809</v>
      </c>
      <c r="R195" s="864">
        <f t="shared" si="37"/>
        <v>0.1506669512981027</v>
      </c>
      <c r="S195" s="863">
        <f t="shared" si="38"/>
        <v>72.050335688792273</v>
      </c>
      <c r="T195" s="864">
        <f t="shared" si="39"/>
        <v>0.32240191717187627</v>
      </c>
      <c r="U195" s="864">
        <f t="shared" si="40"/>
        <v>0</v>
      </c>
      <c r="V195" s="864">
        <f t="shared" si="40"/>
        <v>262.013831853</v>
      </c>
      <c r="W195" s="864">
        <f t="shared" si="45"/>
        <v>1.0609276018099543</v>
      </c>
      <c r="X195" s="1067">
        <f t="shared" si="41"/>
        <v>549.2075493892703</v>
      </c>
      <c r="Y195" s="826">
        <f>VLOOKUP(B195,'BD ASVICC'!$A$6:$Y$316,24,FALSE)</f>
        <v>36496</v>
      </c>
      <c r="Z195" s="826" t="str">
        <f t="shared" si="42"/>
        <v>d 20.000 a 50.000 hab.</v>
      </c>
      <c r="AA195" s="826">
        <f t="shared" si="43"/>
        <v>15048.431318206662</v>
      </c>
    </row>
    <row r="196" spans="1:27" s="826" customFormat="1" ht="30">
      <c r="A196" s="835">
        <v>8195</v>
      </c>
      <c r="B196" s="826" t="s">
        <v>1424</v>
      </c>
      <c r="C196" s="878">
        <f>VLOOKUP(A196,copcalor,'1b.Cops de calor'!P$1,FALSE)/1000000</f>
        <v>1.1985469619723164E-2</v>
      </c>
      <c r="D196" s="879">
        <f>VLOOKUP($B196,'2b.Incendis forestals'!$B$4:$P$314,9,FALSE)/1000000</f>
        <v>9.4940024848146343E-2</v>
      </c>
      <c r="E196" s="878">
        <f>VLOOKUP($B196,'3b aigua'!$B$4:$K$314,8,FALSE)/1000000</f>
        <v>0.25571616001301334</v>
      </c>
      <c r="F196" s="879">
        <f t="shared" ref="F196:F259" si="46">VLOOKUP(B196,agric,11,FALSE)</f>
        <v>1.9892700000000003</v>
      </c>
      <c r="G196" s="879">
        <f t="shared" ref="G196:G259" si="47">VLOOKUP(B196,ramad,15,FALSE)</f>
        <v>8.7122879999999991</v>
      </c>
      <c r="H196" s="879">
        <f t="shared" ref="H196:H259" si="48">IFERROR(VLOOKUP(B196,costT50,37,FALSE),0)</f>
        <v>0</v>
      </c>
      <c r="I196" s="878" t="str">
        <f>IF(VLOOKUP($A196,'7b erosió costa'!$A$4:$AP$401,9,FALSE)&gt;0,VLOOKUP($A196,'7b erosió costa'!$A$4:$AP$401,9,FALSE),"")</f>
        <v/>
      </c>
      <c r="J196" s="870">
        <f>VLOOKUP(A196,copcalor,'1b.Cops de calor'!Z$1,FALSE)/1000000</f>
        <v>7.1149883294388205E-2</v>
      </c>
      <c r="K196" s="870">
        <f>VLOOKUP($B196,'2b.Incendis forestals'!$B$4:$P$314,14,FALSE)/1000000</f>
        <v>0.26108506833240247</v>
      </c>
      <c r="L196" s="870">
        <f>VLOOKUP($B196,'3b aigua'!$B$4:$K$314,9,FALSE)/1000000</f>
        <v>0.36984507077891415</v>
      </c>
      <c r="M196" s="918">
        <f t="shared" ref="M196:M259" si="49">VLOOKUP(B196,ramad,13,FALSE)</f>
        <v>8.805004031189636</v>
      </c>
      <c r="N196" s="918">
        <f t="shared" ref="N196:N259" si="50">VLOOKUP(B196,ramad,17,FALSE)</f>
        <v>9.9929943359999989</v>
      </c>
      <c r="O196" s="918">
        <f t="shared" ref="O196:O259" si="51">IFERROR(VLOOKUP(B196,costT100,37,FALSE),0)</f>
        <v>0</v>
      </c>
      <c r="P196" s="918" t="str">
        <f>IF(VLOOKUP($A196,'7b erosió costa'!$A$4:$AP$401,42,FALSE)&gt;0,VLOOKUP($A196,'7b erosió costa'!$A$4:$AP$401,42,FALSE),"")</f>
        <v/>
      </c>
      <c r="Q196" s="863">
        <f t="shared" si="44"/>
        <v>5.9164413674665045E-2</v>
      </c>
      <c r="R196" s="864">
        <f t="shared" si="37"/>
        <v>0.16614504348425613</v>
      </c>
      <c r="S196" s="863">
        <f t="shared" si="38"/>
        <v>0.11412891076590082</v>
      </c>
      <c r="T196" s="864">
        <f t="shared" si="39"/>
        <v>6.8157340311896357</v>
      </c>
      <c r="U196" s="864">
        <f t="shared" si="40"/>
        <v>1.2807063359999997</v>
      </c>
      <c r="V196" s="864">
        <f t="shared" si="40"/>
        <v>0</v>
      </c>
      <c r="W196" s="864" t="str">
        <f t="shared" si="45"/>
        <v/>
      </c>
      <c r="X196" s="1067">
        <f t="shared" si="41"/>
        <v>8.4358787351144571</v>
      </c>
      <c r="Y196" s="826">
        <f>VLOOKUP(B196,'BD ASVICC'!$A$6:$Y$316,24,FALSE)</f>
        <v>92</v>
      </c>
      <c r="Z196" s="826" t="str">
        <f t="shared" si="42"/>
        <v>a &lt; 1.000 hab.</v>
      </c>
      <c r="AA196" s="826">
        <f t="shared" si="43"/>
        <v>91694.334077331048</v>
      </c>
    </row>
    <row r="197" spans="1:27" s="826" customFormat="1" ht="45">
      <c r="A197" s="835">
        <v>8196</v>
      </c>
      <c r="B197" s="826" t="s">
        <v>1426</v>
      </c>
      <c r="C197" s="878">
        <f>VLOOKUP(A197,copcalor,'1b.Cops de calor'!P$1,FALSE)/1000000</f>
        <v>24.76172318024113</v>
      </c>
      <c r="D197" s="879">
        <f>VLOOKUP($B197,'2b.Incendis forestals'!$B$4:$P$314,9,FALSE)/1000000</f>
        <v>0.24778317636661154</v>
      </c>
      <c r="E197" s="878">
        <f>VLOOKUP($B197,'3b aigua'!$B$4:$K$314,8,FALSE)/1000000</f>
        <v>49.666148661390721</v>
      </c>
      <c r="F197" s="879">
        <f t="shared" si="46"/>
        <v>0</v>
      </c>
      <c r="G197" s="879">
        <f t="shared" si="47"/>
        <v>1.7776240904297702</v>
      </c>
      <c r="H197" s="879">
        <f t="shared" si="48"/>
        <v>13.3596547152</v>
      </c>
      <c r="I197" s="878" t="str">
        <f>IF(VLOOKUP($A197,'7b erosió costa'!$A$4:$AP$401,9,FALSE)&gt;0,VLOOKUP($A197,'7b erosió costa'!$A$4:$AP$401,9,FALSE),"")</f>
        <v/>
      </c>
      <c r="J197" s="870">
        <f>VLOOKUP(A197,copcalor,'1b.Cops de calor'!Z$1,FALSE)/1000000</f>
        <v>145.80285927644445</v>
      </c>
      <c r="K197" s="870">
        <f>VLOOKUP($B197,'2b.Incendis forestals'!$B$4:$P$314,14,FALSE)/1000000</f>
        <v>0.68140373500818174</v>
      </c>
      <c r="L197" s="870">
        <f>VLOOKUP($B197,'3b aigua'!$B$4:$K$314,9,FALSE)/1000000</f>
        <v>91.243744406678573</v>
      </c>
      <c r="M197" s="918">
        <f t="shared" si="49"/>
        <v>1.3481704290069996</v>
      </c>
      <c r="N197" s="918">
        <f t="shared" si="50"/>
        <v>2.0389348317229463</v>
      </c>
      <c r="O197" s="918">
        <f t="shared" si="51"/>
        <v>14.383328100899996</v>
      </c>
      <c r="P197" s="918" t="str">
        <f>IF(VLOOKUP($A197,'7b erosió costa'!$A$4:$AP$401,42,FALSE)&gt;0,VLOOKUP($A197,'7b erosió costa'!$A$4:$AP$401,42,FALSE),"")</f>
        <v/>
      </c>
      <c r="Q197" s="863">
        <f t="shared" si="44"/>
        <v>121.04113609620332</v>
      </c>
      <c r="R197" s="864">
        <f t="shared" ref="R197:R260" si="52">K197-D197</f>
        <v>0.43362055864157023</v>
      </c>
      <c r="S197" s="863">
        <f t="shared" ref="S197:S260" si="53">L197-E197</f>
        <v>41.577595745287852</v>
      </c>
      <c r="T197" s="864">
        <f t="shared" ref="T197:T260" si="54">M197-F197</f>
        <v>1.3481704290069996</v>
      </c>
      <c r="U197" s="864">
        <f t="shared" ref="U197:V260" si="55">N197-G197</f>
        <v>0.26131074129317611</v>
      </c>
      <c r="V197" s="864">
        <f t="shared" si="55"/>
        <v>1.0236733856999969</v>
      </c>
      <c r="W197" s="864" t="str">
        <f t="shared" si="45"/>
        <v/>
      </c>
      <c r="X197" s="1067">
        <f t="shared" ref="X197:X260" si="56">SUM(Q197:W197)</f>
        <v>165.68550695613294</v>
      </c>
      <c r="Y197" s="826">
        <f>VLOOKUP(B197,'BD ASVICC'!$A$6:$Y$316,24,FALSE)</f>
        <v>27434</v>
      </c>
      <c r="Z197" s="826" t="str">
        <f t="shared" ref="Z197:Z260" si="57">IF(Y197&gt;1000,IF(Y197&gt;5000,IF(Y197&gt;20000,IF(Y197&gt;50000,"e &gt;50.000 hab.","d 20.000 a 50.000 hab."),"c 5.000 a 20.000 hab."),"b 1.000 a 5.000 hab."),"a &lt; 1.000 hab.")</f>
        <v>d 20.000 a 50.000 hab.</v>
      </c>
      <c r="AA197" s="826">
        <f t="shared" ref="AA197:AA260" si="58">X197*1000000/Y197</f>
        <v>6039.4221388107071</v>
      </c>
    </row>
    <row r="198" spans="1:27" s="826" customFormat="1" ht="45">
      <c r="A198" s="835">
        <v>8197</v>
      </c>
      <c r="B198" s="826" t="s">
        <v>351</v>
      </c>
      <c r="C198" s="878">
        <f>VLOOKUP(A198,copcalor,'1b.Cops de calor'!P$1,FALSE)/1000000</f>
        <v>21.85611209390418</v>
      </c>
      <c r="D198" s="879">
        <f>VLOOKUP($B198,'2b.Incendis forestals'!$B$4:$P$314,9,FALSE)/1000000</f>
        <v>0.25665922342268399</v>
      </c>
      <c r="E198" s="878">
        <f>VLOOKUP($B198,'3b aigua'!$B$4:$K$314,8,FALSE)/1000000</f>
        <v>36.834452851322872</v>
      </c>
      <c r="F198" s="879">
        <f t="shared" si="46"/>
        <v>0.9997181249999999</v>
      </c>
      <c r="G198" s="879">
        <f t="shared" si="47"/>
        <v>1.8251999999999997E-2</v>
      </c>
      <c r="H198" s="879">
        <f t="shared" si="48"/>
        <v>0</v>
      </c>
      <c r="I198" s="878">
        <f>IF(VLOOKUP($A198,'7b erosió costa'!$A$4:$AP$401,9,FALSE)&gt;0,VLOOKUP($A198,'7b erosió costa'!$A$4:$AP$401,9,FALSE),"")</f>
        <v>5.1490999999999998</v>
      </c>
      <c r="J198" s="870">
        <f>VLOOKUP(A198,copcalor,'1b.Cops de calor'!Z$1,FALSE)/1000000</f>
        <v>128.63484658586054</v>
      </c>
      <c r="K198" s="870">
        <f>VLOOKUP($B198,'2b.Incendis forestals'!$B$4:$P$314,14,FALSE)/1000000</f>
        <v>0.70581286441238089</v>
      </c>
      <c r="L198" s="870">
        <f>VLOOKUP($B198,'3b aigua'!$B$4:$K$314,9,FALSE)/1000000</f>
        <v>67.67010311670596</v>
      </c>
      <c r="M198" s="918">
        <f t="shared" si="49"/>
        <v>20.131591787212486</v>
      </c>
      <c r="N198" s="918">
        <f t="shared" si="50"/>
        <v>2.0935044E-2</v>
      </c>
      <c r="O198" s="918">
        <f t="shared" si="51"/>
        <v>0</v>
      </c>
      <c r="P198" s="918">
        <f>IF(VLOOKUP($A198,'7b erosió costa'!$A$4:$AP$401,42,FALSE)&gt;0,VLOOKUP($A198,'7b erosió costa'!$A$4:$AP$401,42,FALSE),"")</f>
        <v>5.9428225037707394</v>
      </c>
      <c r="Q198" s="863">
        <f t="shared" ref="Q198:Q261" si="59">J198-C198</f>
        <v>106.77873449195636</v>
      </c>
      <c r="R198" s="864">
        <f t="shared" si="52"/>
        <v>0.4491536409896969</v>
      </c>
      <c r="S198" s="863">
        <f t="shared" si="53"/>
        <v>30.835650265383087</v>
      </c>
      <c r="T198" s="864">
        <f t="shared" si="54"/>
        <v>19.131873662212485</v>
      </c>
      <c r="U198" s="864">
        <f t="shared" si="55"/>
        <v>2.6830440000000025E-3</v>
      </c>
      <c r="V198" s="864">
        <f t="shared" si="55"/>
        <v>0</v>
      </c>
      <c r="W198" s="864">
        <f t="shared" ref="W198:W261" si="60">IFERROR(P198-I198,"")</f>
        <v>0.79372250377073961</v>
      </c>
      <c r="X198" s="1067">
        <f t="shared" si="56"/>
        <v>157.99181760831237</v>
      </c>
      <c r="Y198" s="826">
        <f>VLOOKUP(B198,'BD ASVICC'!$A$6:$Y$316,24,FALSE)</f>
        <v>10663</v>
      </c>
      <c r="Z198" s="826" t="str">
        <f t="shared" si="57"/>
        <v>c 5.000 a 20.000 hab.</v>
      </c>
      <c r="AA198" s="826">
        <f t="shared" si="58"/>
        <v>14816.826184780302</v>
      </c>
    </row>
    <row r="199" spans="1:27" s="826" customFormat="1" ht="45">
      <c r="A199" s="835">
        <v>8198</v>
      </c>
      <c r="B199" s="826" t="s">
        <v>1429</v>
      </c>
      <c r="C199" s="878">
        <f>VLOOKUP(A199,copcalor,'1b.Cops de calor'!P$1,FALSE)/1000000</f>
        <v>1.0426716767148376</v>
      </c>
      <c r="D199" s="879">
        <f>VLOOKUP($B199,'2b.Incendis forestals'!$B$4:$P$314,9,FALSE)/1000000</f>
        <v>0.13316659351687851</v>
      </c>
      <c r="E199" s="878">
        <f>VLOOKUP($B199,'3b aigua'!$B$4:$K$314,8,FALSE)/1000000</f>
        <v>13.213785133625814</v>
      </c>
      <c r="F199" s="879">
        <f t="shared" si="46"/>
        <v>4.8469056249999989</v>
      </c>
      <c r="G199" s="879">
        <f t="shared" si="47"/>
        <v>11.915514</v>
      </c>
      <c r="H199" s="879">
        <f t="shared" si="48"/>
        <v>3.666098043449999</v>
      </c>
      <c r="I199" s="878" t="str">
        <f>IF(VLOOKUP($A199,'7b erosió costa'!$A$4:$AP$401,9,FALSE)&gt;0,VLOOKUP($A199,'7b erosió costa'!$A$4:$AP$401,9,FALSE),"")</f>
        <v/>
      </c>
      <c r="J199" s="870">
        <f>VLOOKUP(A199,copcalor,'1b.Cops de calor'!Z$1,FALSE)/1000000</f>
        <v>5.8223073931104414</v>
      </c>
      <c r="K199" s="870">
        <f>VLOOKUP($B199,'2b.Incendis forestals'!$B$4:$P$314,14,FALSE)/1000000</f>
        <v>0.36620813217141596</v>
      </c>
      <c r="L199" s="870">
        <f>VLOOKUP($B199,'3b aigua'!$B$4:$K$314,9,FALSE)/1000000</f>
        <v>24.275593454955896</v>
      </c>
      <c r="M199" s="918">
        <f t="shared" si="49"/>
        <v>30.444320451638415</v>
      </c>
      <c r="N199" s="918">
        <f t="shared" si="50"/>
        <v>13.667094557999999</v>
      </c>
      <c r="O199" s="918">
        <f t="shared" si="51"/>
        <v>4.3981207060499994</v>
      </c>
      <c r="P199" s="918" t="str">
        <f>IF(VLOOKUP($A199,'7b erosió costa'!$A$4:$AP$401,42,FALSE)&gt;0,VLOOKUP($A199,'7b erosió costa'!$A$4:$AP$401,42,FALSE),"")</f>
        <v/>
      </c>
      <c r="Q199" s="863">
        <f t="shared" si="59"/>
        <v>4.779635716395604</v>
      </c>
      <c r="R199" s="864">
        <f t="shared" si="52"/>
        <v>0.23304153865453744</v>
      </c>
      <c r="S199" s="863">
        <f t="shared" si="53"/>
        <v>11.061808321330082</v>
      </c>
      <c r="T199" s="864">
        <f t="shared" si="54"/>
        <v>25.597414826638417</v>
      </c>
      <c r="U199" s="864">
        <f t="shared" si="55"/>
        <v>1.7515805579999988</v>
      </c>
      <c r="V199" s="864">
        <f t="shared" si="55"/>
        <v>0.73202266260000037</v>
      </c>
      <c r="W199" s="864" t="str">
        <f t="shared" si="60"/>
        <v/>
      </c>
      <c r="X199" s="1067">
        <f t="shared" si="56"/>
        <v>44.155503623618642</v>
      </c>
      <c r="Y199" s="826">
        <f>VLOOKUP(B199,'BD ASVICC'!$A$6:$Y$316,24,FALSE)</f>
        <v>5862</v>
      </c>
      <c r="Z199" s="826" t="str">
        <f t="shared" si="57"/>
        <v>c 5.000 a 20.000 hab.</v>
      </c>
      <c r="AA199" s="826">
        <f t="shared" si="58"/>
        <v>7532.4980593003484</v>
      </c>
    </row>
    <row r="200" spans="1:27" s="826" customFormat="1" ht="30">
      <c r="A200" s="835">
        <v>8199</v>
      </c>
      <c r="B200" s="826" t="s">
        <v>1431</v>
      </c>
      <c r="C200" s="878">
        <f>VLOOKUP(A200,copcalor,'1b.Cops de calor'!P$1,FALSE)/1000000</f>
        <v>0.16032976268637975</v>
      </c>
      <c r="D200" s="879">
        <f>VLOOKUP($B200,'2b.Incendis forestals'!$B$4:$P$314,9,FALSE)/1000000</f>
        <v>0.26909381275977678</v>
      </c>
      <c r="E200" s="878">
        <f>VLOOKUP($B200,'3b aigua'!$B$4:$K$314,8,FALSE)/1000000</f>
        <v>2.4237128025892258</v>
      </c>
      <c r="F200" s="879">
        <f t="shared" si="46"/>
        <v>6.2301137499999992</v>
      </c>
      <c r="G200" s="879">
        <f t="shared" si="47"/>
        <v>46.040669999999992</v>
      </c>
      <c r="H200" s="879">
        <f t="shared" si="48"/>
        <v>0</v>
      </c>
      <c r="I200" s="878" t="str">
        <f>IF(VLOOKUP($A200,'7b erosió costa'!$A$4:$AP$401,9,FALSE)&gt;0,VLOOKUP($A200,'7b erosió costa'!$A$4:$AP$401,9,FALSE),"")</f>
        <v/>
      </c>
      <c r="J200" s="870">
        <f>VLOOKUP(A200,copcalor,'1b.Cops de calor'!Z$1,FALSE)/1000000</f>
        <v>0.90347311567292177</v>
      </c>
      <c r="K200" s="870">
        <f>VLOOKUP($B200,'2b.Incendis forestals'!$B$4:$P$314,14,FALSE)/1000000</f>
        <v>0.74000798508938614</v>
      </c>
      <c r="L200" s="870">
        <f>VLOOKUP($B200,'3b aigua'!$B$4:$K$314,9,FALSE)/1000000</f>
        <v>3.5054422566636205</v>
      </c>
      <c r="M200" s="918">
        <f t="shared" si="49"/>
        <v>29.591145066720049</v>
      </c>
      <c r="N200" s="918">
        <f t="shared" si="50"/>
        <v>52.808648489999996</v>
      </c>
      <c r="O200" s="918">
        <f t="shared" si="51"/>
        <v>0</v>
      </c>
      <c r="P200" s="918" t="str">
        <f>IF(VLOOKUP($A200,'7b erosió costa'!$A$4:$AP$401,42,FALSE)&gt;0,VLOOKUP($A200,'7b erosió costa'!$A$4:$AP$401,42,FALSE),"")</f>
        <v/>
      </c>
      <c r="Q200" s="863">
        <f t="shared" si="59"/>
        <v>0.74314335298654199</v>
      </c>
      <c r="R200" s="864">
        <f t="shared" si="52"/>
        <v>0.47091417232960936</v>
      </c>
      <c r="S200" s="863">
        <f t="shared" si="53"/>
        <v>1.0817294540743947</v>
      </c>
      <c r="T200" s="864">
        <f t="shared" si="54"/>
        <v>23.361031316720052</v>
      </c>
      <c r="U200" s="864">
        <f t="shared" si="55"/>
        <v>6.7679784900000044</v>
      </c>
      <c r="V200" s="864">
        <f t="shared" si="55"/>
        <v>0</v>
      </c>
      <c r="W200" s="864" t="str">
        <f t="shared" si="60"/>
        <v/>
      </c>
      <c r="X200" s="1067">
        <f t="shared" si="56"/>
        <v>32.424796786110605</v>
      </c>
      <c r="Y200" s="826">
        <f>VLOOKUP(B200,'BD ASVICC'!$A$6:$Y$316,24,FALSE)</f>
        <v>850</v>
      </c>
      <c r="Z200" s="826" t="str">
        <f t="shared" si="57"/>
        <v>a &lt; 1.000 hab.</v>
      </c>
      <c r="AA200" s="826">
        <f t="shared" si="58"/>
        <v>38146.819748365422</v>
      </c>
    </row>
    <row r="201" spans="1:27" s="826" customFormat="1" ht="45">
      <c r="A201" s="835">
        <v>8200</v>
      </c>
      <c r="B201" s="826" t="s">
        <v>1094</v>
      </c>
      <c r="C201" s="878">
        <f>VLOOKUP(A201,copcalor,'1b.Cops de calor'!P$1,FALSE)/1000000</f>
        <v>97.125644870719157</v>
      </c>
      <c r="D201" s="879">
        <f>VLOOKUP($B201,'2b.Incendis forestals'!$B$4:$P$314,9,FALSE)/1000000</f>
        <v>0.57027484812014106</v>
      </c>
      <c r="E201" s="878">
        <f>VLOOKUP($B201,'3b aigua'!$B$4:$K$314,8,FALSE)/1000000</f>
        <v>180.37041099789852</v>
      </c>
      <c r="F201" s="879">
        <f t="shared" si="46"/>
        <v>9.2489443749999989</v>
      </c>
      <c r="G201" s="879">
        <f t="shared" si="47"/>
        <v>0.559728</v>
      </c>
      <c r="H201" s="879">
        <f t="shared" si="48"/>
        <v>36.400130709599999</v>
      </c>
      <c r="I201" s="878" t="str">
        <f>IF(VLOOKUP($A201,'7b erosió costa'!$A$4:$AP$401,9,FALSE)&gt;0,VLOOKUP($A201,'7b erosió costa'!$A$4:$AP$401,9,FALSE),"")</f>
        <v/>
      </c>
      <c r="J201" s="870">
        <f>VLOOKUP(A201,copcalor,'1b.Cops de calor'!Z$1,FALSE)/1000000</f>
        <v>573.67234172312305</v>
      </c>
      <c r="K201" s="870">
        <f>VLOOKUP($B201,'2b.Incendis forestals'!$B$4:$P$314,14,FALSE)/1000000</f>
        <v>1.5682558323303881</v>
      </c>
      <c r="L201" s="870">
        <f>VLOOKUP($B201,'3b aigua'!$B$4:$K$314,9,FALSE)/1000000</f>
        <v>331.36597306594911</v>
      </c>
      <c r="M201" s="918">
        <f t="shared" si="49"/>
        <v>73.087487960493306</v>
      </c>
      <c r="N201" s="918">
        <f t="shared" si="50"/>
        <v>0.64200801600000001</v>
      </c>
      <c r="O201" s="918">
        <f t="shared" si="51"/>
        <v>127.04528962379999</v>
      </c>
      <c r="P201" s="918" t="str">
        <f>IF(VLOOKUP($A201,'7b erosió costa'!$A$4:$AP$401,42,FALSE)&gt;0,VLOOKUP($A201,'7b erosió costa'!$A$4:$AP$401,42,FALSE),"")</f>
        <v/>
      </c>
      <c r="Q201" s="863">
        <f t="shared" si="59"/>
        <v>476.5466968524039</v>
      </c>
      <c r="R201" s="864">
        <f t="shared" si="52"/>
        <v>0.99798098421024706</v>
      </c>
      <c r="S201" s="863">
        <f t="shared" si="53"/>
        <v>150.99556206805059</v>
      </c>
      <c r="T201" s="864">
        <f t="shared" si="54"/>
        <v>63.838543585493305</v>
      </c>
      <c r="U201" s="864">
        <f t="shared" si="55"/>
        <v>8.2280016000000011E-2</v>
      </c>
      <c r="V201" s="864">
        <f t="shared" si="55"/>
        <v>90.645158914199982</v>
      </c>
      <c r="W201" s="864" t="str">
        <f t="shared" si="60"/>
        <v/>
      </c>
      <c r="X201" s="1067">
        <f t="shared" si="56"/>
        <v>783.10622242035811</v>
      </c>
      <c r="Y201" s="826">
        <f>VLOOKUP(B201,'BD ASVICC'!$A$6:$Y$316,24,FALSE)</f>
        <v>82402</v>
      </c>
      <c r="Z201" s="826" t="str">
        <f t="shared" si="57"/>
        <v>e &gt;50.000 hab.</v>
      </c>
      <c r="AA201" s="826">
        <f t="shared" si="58"/>
        <v>9503.4856243823942</v>
      </c>
    </row>
    <row r="202" spans="1:27" s="826" customFormat="1" ht="30">
      <c r="A202" s="835">
        <v>8201</v>
      </c>
      <c r="B202" s="826" t="s">
        <v>1435</v>
      </c>
      <c r="C202" s="878">
        <f>VLOOKUP(A202,copcalor,'1b.Cops de calor'!P$1,FALSE)/1000000</f>
        <v>0.10139706510428377</v>
      </c>
      <c r="D202" s="879">
        <f>VLOOKUP($B202,'2b.Incendis forestals'!$B$4:$P$314,9,FALSE)/1000000</f>
        <v>0.14398266345068578</v>
      </c>
      <c r="E202" s="878">
        <f>VLOOKUP($B202,'3b aigua'!$B$4:$K$314,8,FALSE)/1000000</f>
        <v>2.4923067328426667</v>
      </c>
      <c r="F202" s="879">
        <f t="shared" si="46"/>
        <v>4.1710500000000001</v>
      </c>
      <c r="G202" s="879">
        <f t="shared" si="47"/>
        <v>15.158285999999999</v>
      </c>
      <c r="H202" s="879">
        <f t="shared" si="48"/>
        <v>0</v>
      </c>
      <c r="I202" s="878" t="str">
        <f>IF(VLOOKUP($A202,'7b erosió costa'!$A$4:$AP$401,9,FALSE)&gt;0,VLOOKUP($A202,'7b erosió costa'!$A$4:$AP$401,9,FALSE),"")</f>
        <v/>
      </c>
      <c r="J202" s="870">
        <f>VLOOKUP(A202,copcalor,'1b.Cops de calor'!Z$1,FALSE)/1000000</f>
        <v>0.60401210321894105</v>
      </c>
      <c r="K202" s="870">
        <f>VLOOKUP($B202,'2b.Incendis forestals'!$B$4:$P$314,14,FALSE)/1000000</f>
        <v>0.39595232448938589</v>
      </c>
      <c r="L202" s="870">
        <f>VLOOKUP($B202,'3b aigua'!$B$4:$K$314,9,FALSE)/1000000</f>
        <v>3.6046504059972273</v>
      </c>
      <c r="M202" s="918">
        <f t="shared" si="49"/>
        <v>18.859789366280769</v>
      </c>
      <c r="N202" s="918">
        <f t="shared" si="50"/>
        <v>17.386554042</v>
      </c>
      <c r="O202" s="918">
        <f t="shared" si="51"/>
        <v>0</v>
      </c>
      <c r="P202" s="918" t="str">
        <f>IF(VLOOKUP($A202,'7b erosió costa'!$A$4:$AP$401,42,FALSE)&gt;0,VLOOKUP($A202,'7b erosió costa'!$A$4:$AP$401,42,FALSE),"")</f>
        <v/>
      </c>
      <c r="Q202" s="863">
        <f t="shared" si="59"/>
        <v>0.50261503811465724</v>
      </c>
      <c r="R202" s="864">
        <f t="shared" si="52"/>
        <v>0.25196966103870011</v>
      </c>
      <c r="S202" s="863">
        <f t="shared" si="53"/>
        <v>1.1123436731545606</v>
      </c>
      <c r="T202" s="864">
        <f t="shared" si="54"/>
        <v>14.688739366280767</v>
      </c>
      <c r="U202" s="864">
        <f t="shared" si="55"/>
        <v>2.2282680420000016</v>
      </c>
      <c r="V202" s="864">
        <f t="shared" si="55"/>
        <v>0</v>
      </c>
      <c r="W202" s="864" t="str">
        <f t="shared" si="60"/>
        <v/>
      </c>
      <c r="X202" s="1067">
        <f t="shared" si="56"/>
        <v>18.783935780588685</v>
      </c>
      <c r="Y202" s="826">
        <f>VLOOKUP(B202,'BD ASVICC'!$A$6:$Y$316,24,FALSE)</f>
        <v>527</v>
      </c>
      <c r="Z202" s="826" t="str">
        <f t="shared" si="57"/>
        <v>a &lt; 1.000 hab.</v>
      </c>
      <c r="AA202" s="826">
        <f t="shared" si="58"/>
        <v>35643.141898650261</v>
      </c>
    </row>
    <row r="203" spans="1:27" s="826" customFormat="1" ht="45">
      <c r="A203" s="835">
        <v>8202</v>
      </c>
      <c r="B203" s="826" t="s">
        <v>1437</v>
      </c>
      <c r="C203" s="878">
        <f>VLOOKUP(A203,copcalor,'1b.Cops de calor'!P$1,FALSE)/1000000</f>
        <v>3.5873408260113018</v>
      </c>
      <c r="D203" s="879">
        <f>VLOOKUP($B203,'2b.Incendis forestals'!$B$4:$P$314,9,FALSE)/1000000</f>
        <v>1.6878941910526088</v>
      </c>
      <c r="E203" s="878">
        <f>VLOOKUP($B203,'3b aigua'!$B$4:$K$314,8,FALSE)/1000000</f>
        <v>37.767418565243737</v>
      </c>
      <c r="F203" s="879">
        <f t="shared" si="46"/>
        <v>1.3776081249999999</v>
      </c>
      <c r="G203" s="879">
        <f t="shared" si="47"/>
        <v>1.7369819999999998</v>
      </c>
      <c r="H203" s="879">
        <f t="shared" si="48"/>
        <v>31.346970148499999</v>
      </c>
      <c r="I203" s="878" t="str">
        <f>IF(VLOOKUP($A203,'7b erosió costa'!$A$4:$AP$401,9,FALSE)&gt;0,VLOOKUP($A203,'7b erosió costa'!$A$4:$AP$401,9,FALSE),"")</f>
        <v/>
      </c>
      <c r="J203" s="870">
        <f>VLOOKUP(A203,copcalor,'1b.Cops de calor'!Z$1,FALSE)/1000000</f>
        <v>20.226280441855536</v>
      </c>
      <c r="K203" s="870">
        <f>VLOOKUP($B203,'2b.Incendis forestals'!$B$4:$P$314,14,FALSE)/1000000</f>
        <v>4.6417090253946744</v>
      </c>
      <c r="L203" s="870">
        <f>VLOOKUP($B203,'3b aigua'!$B$4:$K$314,9,FALSE)/1000000</f>
        <v>54.62342931979196</v>
      </c>
      <c r="M203" s="918">
        <f t="shared" si="49"/>
        <v>15.385719984922815</v>
      </c>
      <c r="N203" s="918">
        <f t="shared" si="50"/>
        <v>1.9923183539999998</v>
      </c>
      <c r="O203" s="918">
        <f t="shared" si="51"/>
        <v>50.6674491084</v>
      </c>
      <c r="P203" s="918" t="str">
        <f>IF(VLOOKUP($A203,'7b erosió costa'!$A$4:$AP$401,42,FALSE)&gt;0,VLOOKUP($A203,'7b erosió costa'!$A$4:$AP$401,42,FALSE),"")</f>
        <v/>
      </c>
      <c r="Q203" s="863">
        <f t="shared" si="59"/>
        <v>16.638939615844233</v>
      </c>
      <c r="R203" s="864">
        <f t="shared" si="52"/>
        <v>2.9538148343420656</v>
      </c>
      <c r="S203" s="863">
        <f t="shared" si="53"/>
        <v>16.856010754548223</v>
      </c>
      <c r="T203" s="864">
        <f t="shared" si="54"/>
        <v>14.008111859922815</v>
      </c>
      <c r="U203" s="864">
        <f t="shared" si="55"/>
        <v>0.25533635399999999</v>
      </c>
      <c r="V203" s="864">
        <f t="shared" si="55"/>
        <v>19.320478959900001</v>
      </c>
      <c r="W203" s="864" t="str">
        <f t="shared" si="60"/>
        <v/>
      </c>
      <c r="X203" s="1067">
        <f t="shared" si="56"/>
        <v>70.032692378557329</v>
      </c>
      <c r="Y203" s="826">
        <f>VLOOKUP(B203,'BD ASVICC'!$A$6:$Y$316,24,FALSE)</f>
        <v>17540</v>
      </c>
      <c r="Z203" s="826" t="str">
        <f t="shared" si="57"/>
        <v>c 5.000 a 20.000 hab.</v>
      </c>
      <c r="AA203" s="826">
        <f t="shared" si="58"/>
        <v>3992.7418687889012</v>
      </c>
    </row>
    <row r="204" spans="1:27" s="826" customFormat="1" ht="45">
      <c r="A204" s="835">
        <v>8203</v>
      </c>
      <c r="B204" s="826" t="s">
        <v>1443</v>
      </c>
      <c r="C204" s="878">
        <f>VLOOKUP(A204,copcalor,'1b.Cops de calor'!P$1,FALSE)/1000000</f>
        <v>1.8444393934828209</v>
      </c>
      <c r="D204" s="879">
        <f>VLOOKUP($B204,'2b.Incendis forestals'!$B$4:$P$314,9,FALSE)/1000000</f>
        <v>0.30198357949210253</v>
      </c>
      <c r="E204" s="878">
        <f>VLOOKUP($B204,'3b aigua'!$B$4:$K$314,8,FALSE)/1000000</f>
        <v>11.589270285625172</v>
      </c>
      <c r="F204" s="879">
        <f t="shared" si="46"/>
        <v>0.88018437500000002</v>
      </c>
      <c r="G204" s="879">
        <f t="shared" si="47"/>
        <v>4.2587999999999994E-2</v>
      </c>
      <c r="H204" s="879">
        <f t="shared" si="48"/>
        <v>0</v>
      </c>
      <c r="I204" s="878" t="str">
        <f>IF(VLOOKUP($A204,'7b erosió costa'!$A$4:$AP$401,9,FALSE)&gt;0,VLOOKUP($A204,'7b erosió costa'!$A$4:$AP$401,9,FALSE),"")</f>
        <v/>
      </c>
      <c r="J204" s="870">
        <f>VLOOKUP(A204,copcalor,'1b.Cops de calor'!Z$1,FALSE)/1000000</f>
        <v>10.553635496317987</v>
      </c>
      <c r="K204" s="870">
        <f>VLOOKUP($B204,'2b.Incendis forestals'!$B$4:$P$314,14,FALSE)/1000000</f>
        <v>0.83045484360328203</v>
      </c>
      <c r="L204" s="870">
        <f>VLOOKUP($B204,'3b aigua'!$B$4:$K$314,9,FALSE)/1000000</f>
        <v>21.291129759443844</v>
      </c>
      <c r="M204" s="918">
        <f t="shared" si="49"/>
        <v>8.0803996108175724</v>
      </c>
      <c r="N204" s="918">
        <f t="shared" si="50"/>
        <v>4.8848435999999995E-2</v>
      </c>
      <c r="O204" s="918">
        <f t="shared" si="51"/>
        <v>12.7996060605</v>
      </c>
      <c r="P204" s="918" t="str">
        <f>IF(VLOOKUP($A204,'7b erosió costa'!$A$4:$AP$401,42,FALSE)&gt;0,VLOOKUP($A204,'7b erosió costa'!$A$4:$AP$401,42,FALSE),"")</f>
        <v/>
      </c>
      <c r="Q204" s="863">
        <f t="shared" si="59"/>
        <v>8.7091961028351665</v>
      </c>
      <c r="R204" s="864">
        <f t="shared" si="52"/>
        <v>0.52847126411117951</v>
      </c>
      <c r="S204" s="863">
        <f t="shared" si="53"/>
        <v>9.7018594738186721</v>
      </c>
      <c r="T204" s="864">
        <f t="shared" si="54"/>
        <v>7.2002152358175726</v>
      </c>
      <c r="U204" s="864">
        <f t="shared" si="55"/>
        <v>6.2604360000000012E-3</v>
      </c>
      <c r="V204" s="864">
        <f t="shared" si="55"/>
        <v>12.7996060605</v>
      </c>
      <c r="W204" s="864" t="str">
        <f t="shared" si="60"/>
        <v/>
      </c>
      <c r="X204" s="1067">
        <f t="shared" si="56"/>
        <v>38.945608573082595</v>
      </c>
      <c r="Y204" s="826">
        <f>VLOOKUP(B204,'BD ASVICC'!$A$6:$Y$316,24,FALSE)</f>
        <v>3329</v>
      </c>
      <c r="Z204" s="826" t="str">
        <f t="shared" si="57"/>
        <v>b 1.000 a 5.000 hab.</v>
      </c>
      <c r="AA204" s="826">
        <f t="shared" si="58"/>
        <v>11698.891130394291</v>
      </c>
    </row>
    <row r="205" spans="1:27" s="826" customFormat="1" ht="45">
      <c r="A205" s="835">
        <v>8204</v>
      </c>
      <c r="B205" s="826" t="s">
        <v>1446</v>
      </c>
      <c r="C205" s="878">
        <f>VLOOKUP(A205,copcalor,'1b.Cops de calor'!P$1,FALSE)/1000000</f>
        <v>3.6161621217904143</v>
      </c>
      <c r="D205" s="879">
        <f>VLOOKUP($B205,'2b.Incendis forestals'!$B$4:$P$314,9,FALSE)/1000000</f>
        <v>0.99984869659491993</v>
      </c>
      <c r="E205" s="878">
        <f>VLOOKUP($B205,'3b aigua'!$B$4:$K$314,8,FALSE)/1000000</f>
        <v>8.4318650736074652</v>
      </c>
      <c r="F205" s="879">
        <f t="shared" si="46"/>
        <v>7.4907499999999988E-2</v>
      </c>
      <c r="G205" s="879">
        <f t="shared" si="47"/>
        <v>0.12776399999999999</v>
      </c>
      <c r="H205" s="879">
        <f t="shared" si="48"/>
        <v>0</v>
      </c>
      <c r="I205" s="878" t="str">
        <f>IF(VLOOKUP($A205,'7b erosió costa'!$A$4:$AP$401,9,FALSE)&gt;0,VLOOKUP($A205,'7b erosió costa'!$A$4:$AP$401,9,FALSE),"")</f>
        <v/>
      </c>
      <c r="J205" s="870">
        <f>VLOOKUP(A205,copcalor,'1b.Cops de calor'!Z$1,FALSE)/1000000</f>
        <v>21.253487540276289</v>
      </c>
      <c r="K205" s="870">
        <f>VLOOKUP($B205,'2b.Incendis forestals'!$B$4:$P$314,14,FALSE)/1000000</f>
        <v>2.7495839156360296</v>
      </c>
      <c r="L205" s="870">
        <f>VLOOKUP($B205,'3b aigua'!$B$4:$K$314,9,FALSE)/1000000</f>
        <v>15.490529513231973</v>
      </c>
      <c r="M205" s="918">
        <f t="shared" si="49"/>
        <v>0.75271204542696502</v>
      </c>
      <c r="N205" s="918">
        <f t="shared" si="50"/>
        <v>0.14654530799999999</v>
      </c>
      <c r="O205" s="918">
        <f t="shared" si="51"/>
        <v>0</v>
      </c>
      <c r="P205" s="918" t="str">
        <f>IF(VLOOKUP($A205,'7b erosió costa'!$A$4:$AP$401,42,FALSE)&gt;0,VLOOKUP($A205,'7b erosió costa'!$A$4:$AP$401,42,FALSE),"")</f>
        <v/>
      </c>
      <c r="Q205" s="863">
        <f t="shared" si="59"/>
        <v>17.637325418485876</v>
      </c>
      <c r="R205" s="864">
        <f t="shared" si="52"/>
        <v>1.7497352190411095</v>
      </c>
      <c r="S205" s="863">
        <f t="shared" si="53"/>
        <v>7.0586644396245077</v>
      </c>
      <c r="T205" s="864">
        <f t="shared" si="54"/>
        <v>0.677804545426965</v>
      </c>
      <c r="U205" s="864">
        <f t="shared" si="55"/>
        <v>1.8781307999999997E-2</v>
      </c>
      <c r="V205" s="864">
        <f t="shared" si="55"/>
        <v>0</v>
      </c>
      <c r="W205" s="864" t="str">
        <f t="shared" si="60"/>
        <v/>
      </c>
      <c r="X205" s="1067">
        <f t="shared" si="56"/>
        <v>27.142310930578461</v>
      </c>
      <c r="Y205" s="826">
        <f>VLOOKUP(B205,'BD ASVICC'!$A$6:$Y$316,24,FALSE)</f>
        <v>4024</v>
      </c>
      <c r="Z205" s="826" t="str">
        <f t="shared" si="57"/>
        <v>b 1.000 a 5.000 hab.</v>
      </c>
      <c r="AA205" s="826">
        <f t="shared" si="58"/>
        <v>6745.1070901039911</v>
      </c>
    </row>
    <row r="206" spans="1:27" s="826" customFormat="1" ht="45">
      <c r="A206" s="835">
        <v>8205</v>
      </c>
      <c r="B206" s="826" t="s">
        <v>1450</v>
      </c>
      <c r="C206" s="878">
        <f>VLOOKUP(A206,copcalor,'1b.Cops de calor'!P$1,FALSE)/1000000</f>
        <v>22.879645799769438</v>
      </c>
      <c r="D206" s="879">
        <f>VLOOKUP($B206,'2b.Incendis forestals'!$B$4:$P$314,9,FALSE)/1000000</f>
        <v>3.083902541659358</v>
      </c>
      <c r="E206" s="878">
        <f>VLOOKUP($B206,'3b aigua'!$B$4:$K$314,8,FALSE)/1000000</f>
        <v>297.19742077226044</v>
      </c>
      <c r="F206" s="879">
        <f t="shared" si="46"/>
        <v>0.45279750000000002</v>
      </c>
      <c r="G206" s="879">
        <f t="shared" si="47"/>
        <v>0.58102199999999993</v>
      </c>
      <c r="H206" s="879">
        <f t="shared" si="48"/>
        <v>20.510301326700002</v>
      </c>
      <c r="I206" s="878" t="str">
        <f>IF(VLOOKUP($A206,'7b erosió costa'!$A$4:$AP$401,9,FALSE)&gt;0,VLOOKUP($A206,'7b erosió costa'!$A$4:$AP$401,9,FALSE),"")</f>
        <v/>
      </c>
      <c r="J206" s="870">
        <f>VLOOKUP(A206,copcalor,'1b.Cops de calor'!Z$1,FALSE)/1000000</f>
        <v>133.96823530228338</v>
      </c>
      <c r="K206" s="870">
        <f>VLOOKUP($B206,'2b.Incendis forestals'!$B$4:$P$314,14,FALSE)/1000000</f>
        <v>8.4807319895632336</v>
      </c>
      <c r="L206" s="870">
        <f>VLOOKUP($B206,'3b aigua'!$B$4:$K$314,9,FALSE)/1000000</f>
        <v>545.99372470264973</v>
      </c>
      <c r="M206" s="918">
        <f t="shared" si="49"/>
        <v>5.810910459083984</v>
      </c>
      <c r="N206" s="918">
        <f t="shared" si="50"/>
        <v>0.66643223399999996</v>
      </c>
      <c r="O206" s="918">
        <f t="shared" si="51"/>
        <v>29.149381896299996</v>
      </c>
      <c r="P206" s="918" t="str">
        <f>IF(VLOOKUP($A206,'7b erosió costa'!$A$4:$AP$401,42,FALSE)&gt;0,VLOOKUP($A206,'7b erosió costa'!$A$4:$AP$401,42,FALSE),"")</f>
        <v/>
      </c>
      <c r="Q206" s="863">
        <f t="shared" si="59"/>
        <v>111.08858950251394</v>
      </c>
      <c r="R206" s="864">
        <f t="shared" si="52"/>
        <v>5.3968294479038761</v>
      </c>
      <c r="S206" s="863">
        <f t="shared" si="53"/>
        <v>248.79630393038929</v>
      </c>
      <c r="T206" s="864">
        <f t="shared" si="54"/>
        <v>5.358112959083984</v>
      </c>
      <c r="U206" s="864">
        <f t="shared" si="55"/>
        <v>8.5410234000000029E-2</v>
      </c>
      <c r="V206" s="864">
        <f t="shared" si="55"/>
        <v>8.6390805695999937</v>
      </c>
      <c r="W206" s="864" t="str">
        <f t="shared" si="60"/>
        <v/>
      </c>
      <c r="X206" s="1067">
        <f t="shared" si="56"/>
        <v>379.3643266434911</v>
      </c>
      <c r="Y206" s="826">
        <f>VLOOKUP(B206,'BD ASVICC'!$A$6:$Y$316,24,FALSE)</f>
        <v>88921</v>
      </c>
      <c r="Z206" s="826" t="str">
        <f t="shared" si="57"/>
        <v>e &gt;50.000 hab.</v>
      </c>
      <c r="AA206" s="826">
        <f t="shared" si="58"/>
        <v>4266.3074711653162</v>
      </c>
    </row>
    <row r="207" spans="1:27" s="826" customFormat="1" ht="30">
      <c r="A207" s="835">
        <v>8206</v>
      </c>
      <c r="B207" s="826" t="s">
        <v>1457</v>
      </c>
      <c r="C207" s="878">
        <f>VLOOKUP(A207,copcalor,'1b.Cops de calor'!P$1,FALSE)/1000000</f>
        <v>0.17259873144242183</v>
      </c>
      <c r="D207" s="879">
        <f>VLOOKUP($B207,'2b.Incendis forestals'!$B$4:$P$314,9,FALSE)/1000000</f>
        <v>7.8466210060281025E-2</v>
      </c>
      <c r="E207" s="878">
        <f>VLOOKUP($B207,'3b aigua'!$B$4:$K$314,8,FALSE)/1000000</f>
        <v>3.1326130329760002</v>
      </c>
      <c r="F207" s="879">
        <f t="shared" si="46"/>
        <v>0.22103</v>
      </c>
      <c r="G207" s="879">
        <f t="shared" si="47"/>
        <v>9.1259999999999987E-3</v>
      </c>
      <c r="H207" s="879">
        <f t="shared" si="48"/>
        <v>0</v>
      </c>
      <c r="I207" s="878" t="str">
        <f>IF(VLOOKUP($A207,'7b erosió costa'!$A$4:$AP$401,9,FALSE)&gt;0,VLOOKUP($A207,'7b erosió costa'!$A$4:$AP$401,9,FALSE),"")</f>
        <v/>
      </c>
      <c r="J207" s="870">
        <f>VLOOKUP(A207,copcalor,'1b.Cops de calor'!Z$1,FALSE)/1000000</f>
        <v>0.99066393042941014</v>
      </c>
      <c r="K207" s="870">
        <f>VLOOKUP($B207,'2b.Incendis forestals'!$B$4:$P$314,14,FALSE)/1000000</f>
        <v>0.21578207766577279</v>
      </c>
      <c r="L207" s="870">
        <f>VLOOKUP($B207,'3b aigua'!$B$4:$K$314,9,FALSE)/1000000</f>
        <v>5.755053504442369</v>
      </c>
      <c r="M207" s="918">
        <f t="shared" si="49"/>
        <v>1.6990465339104692</v>
      </c>
      <c r="N207" s="918">
        <f t="shared" si="50"/>
        <v>1.0467522E-2</v>
      </c>
      <c r="O207" s="918">
        <f t="shared" si="51"/>
        <v>0</v>
      </c>
      <c r="P207" s="918" t="str">
        <f>IF(VLOOKUP($A207,'7b erosió costa'!$A$4:$AP$401,42,FALSE)&gt;0,VLOOKUP($A207,'7b erosió costa'!$A$4:$AP$401,42,FALSE),"")</f>
        <v/>
      </c>
      <c r="Q207" s="863">
        <f t="shared" si="59"/>
        <v>0.81806519898698826</v>
      </c>
      <c r="R207" s="864">
        <f t="shared" si="52"/>
        <v>0.13731586760549175</v>
      </c>
      <c r="S207" s="863">
        <f t="shared" si="53"/>
        <v>2.6224404714663687</v>
      </c>
      <c r="T207" s="864">
        <f t="shared" si="54"/>
        <v>1.4780165339104692</v>
      </c>
      <c r="U207" s="864">
        <f t="shared" si="55"/>
        <v>1.3415220000000012E-3</v>
      </c>
      <c r="V207" s="864">
        <f t="shared" si="55"/>
        <v>0</v>
      </c>
      <c r="W207" s="864" t="str">
        <f t="shared" si="60"/>
        <v/>
      </c>
      <c r="X207" s="1067">
        <f t="shared" si="56"/>
        <v>5.0571795939693178</v>
      </c>
      <c r="Y207" s="826">
        <f>VLOOKUP(B207,'BD ASVICC'!$A$6:$Y$316,24,FALSE)</f>
        <v>973</v>
      </c>
      <c r="Z207" s="826" t="str">
        <f t="shared" si="57"/>
        <v>a &lt; 1.000 hab.</v>
      </c>
      <c r="AA207" s="826">
        <f t="shared" si="58"/>
        <v>5197.5124295676442</v>
      </c>
    </row>
    <row r="208" spans="1:27" s="826" customFormat="1" ht="45">
      <c r="A208" s="835">
        <v>8207</v>
      </c>
      <c r="B208" s="826" t="s">
        <v>1458</v>
      </c>
      <c r="C208" s="878">
        <f>VLOOKUP(A208,copcalor,'1b.Cops de calor'!P$1,FALSE)/1000000</f>
        <v>0.28572222102641809</v>
      </c>
      <c r="D208" s="879">
        <f>VLOOKUP($B208,'2b.Incendis forestals'!$B$4:$P$314,9,FALSE)/1000000</f>
        <v>0.22428057855474276</v>
      </c>
      <c r="E208" s="878">
        <f>VLOOKUP($B208,'3b aigua'!$B$4:$K$314,8,FALSE)/1000000</f>
        <v>7.1188759174655996</v>
      </c>
      <c r="F208" s="879">
        <f t="shared" si="46"/>
        <v>1.7183418749999999</v>
      </c>
      <c r="G208" s="879">
        <f t="shared" si="47"/>
        <v>1.256346</v>
      </c>
      <c r="H208" s="879">
        <f t="shared" si="48"/>
        <v>0.5579595933</v>
      </c>
      <c r="I208" s="878" t="str">
        <f>IF(VLOOKUP($A208,'7b erosió costa'!$A$4:$AP$401,9,FALSE)&gt;0,VLOOKUP($A208,'7b erosió costa'!$A$4:$AP$401,9,FALSE),"")</f>
        <v/>
      </c>
      <c r="J208" s="870">
        <f>VLOOKUP(A208,copcalor,'1b.Cops de calor'!Z$1,FALSE)/1000000</f>
        <v>1.5220362923821285</v>
      </c>
      <c r="K208" s="870">
        <f>VLOOKUP($B208,'2b.Incendis forestals'!$B$4:$P$314,14,FALSE)/1000000</f>
        <v>0.61677159102554246</v>
      </c>
      <c r="L208" s="870">
        <f>VLOOKUP($B208,'3b aigua'!$B$4:$K$314,9,FALSE)/1000000</f>
        <v>10.296107869863937</v>
      </c>
      <c r="M208" s="918">
        <f t="shared" si="49"/>
        <v>12.560998836183023</v>
      </c>
      <c r="N208" s="918">
        <f t="shared" si="50"/>
        <v>1.441028862</v>
      </c>
      <c r="O208" s="918">
        <f t="shared" si="51"/>
        <v>21.132917994450001</v>
      </c>
      <c r="P208" s="918" t="str">
        <f>IF(VLOOKUP($A208,'7b erosió costa'!$A$4:$AP$401,42,FALSE)&gt;0,VLOOKUP($A208,'7b erosió costa'!$A$4:$AP$401,42,FALSE),"")</f>
        <v/>
      </c>
      <c r="Q208" s="863">
        <f t="shared" si="59"/>
        <v>1.2363140713557104</v>
      </c>
      <c r="R208" s="864">
        <f t="shared" si="52"/>
        <v>0.39249101247079971</v>
      </c>
      <c r="S208" s="863">
        <f t="shared" si="53"/>
        <v>3.177231952398337</v>
      </c>
      <c r="T208" s="864">
        <f t="shared" si="54"/>
        <v>10.842656961183023</v>
      </c>
      <c r="U208" s="864">
        <f t="shared" si="55"/>
        <v>0.18468286200000006</v>
      </c>
      <c r="V208" s="864">
        <f t="shared" si="55"/>
        <v>20.574958401149999</v>
      </c>
      <c r="W208" s="864" t="str">
        <f t="shared" si="60"/>
        <v/>
      </c>
      <c r="X208" s="1067">
        <f t="shared" si="56"/>
        <v>36.40833526055787</v>
      </c>
      <c r="Y208" s="826">
        <f>VLOOKUP(B208,'BD ASVICC'!$A$6:$Y$316,24,FALSE)</f>
        <v>2599</v>
      </c>
      <c r="Z208" s="826" t="str">
        <f t="shared" si="57"/>
        <v>b 1.000 a 5.000 hab.</v>
      </c>
      <c r="AA208" s="826">
        <f t="shared" si="58"/>
        <v>14008.593790133848</v>
      </c>
    </row>
    <row r="209" spans="1:27" s="826" customFormat="1" ht="45">
      <c r="A209" s="835">
        <v>8208</v>
      </c>
      <c r="B209" s="826" t="s">
        <v>1463</v>
      </c>
      <c r="C209" s="878">
        <f>VLOOKUP(A209,copcalor,'1b.Cops de calor'!P$1,FALSE)/1000000</f>
        <v>6.7447219092554205</v>
      </c>
      <c r="D209" s="879">
        <f>VLOOKUP($B209,'2b.Incendis forestals'!$B$4:$P$314,9,FALSE)/1000000</f>
        <v>0.89401166146345279</v>
      </c>
      <c r="E209" s="878">
        <f>VLOOKUP($B209,'3b aigua'!$B$4:$K$314,8,FALSE)/1000000</f>
        <v>50.813920000429221</v>
      </c>
      <c r="F209" s="879">
        <f t="shared" si="46"/>
        <v>0.98939375000000007</v>
      </c>
      <c r="G209" s="879">
        <f t="shared" si="47"/>
        <v>0.13689000000000001</v>
      </c>
      <c r="H209" s="879">
        <f t="shared" si="48"/>
        <v>1.3207711950000001</v>
      </c>
      <c r="I209" s="878" t="str">
        <f>IF(VLOOKUP($A209,'7b erosió costa'!$A$4:$AP$401,9,FALSE)&gt;0,VLOOKUP($A209,'7b erosió costa'!$A$4:$AP$401,9,FALSE),"")</f>
        <v/>
      </c>
      <c r="J209" s="870">
        <f>VLOOKUP(A209,copcalor,'1b.Cops de calor'!Z$1,FALSE)/1000000</f>
        <v>39.697222042780531</v>
      </c>
      <c r="K209" s="870">
        <f>VLOOKUP($B209,'2b.Incendis forestals'!$B$4:$P$314,14,FALSE)/1000000</f>
        <v>2.4585320690244949</v>
      </c>
      <c r="L209" s="870">
        <f>VLOOKUP($B209,'3b aigua'!$B$4:$K$314,9,FALSE)/1000000</f>
        <v>93.352362802087853</v>
      </c>
      <c r="M209" s="918">
        <f t="shared" si="49"/>
        <v>6.0446834419370594</v>
      </c>
      <c r="N209" s="918">
        <f t="shared" si="50"/>
        <v>0.15701283000000002</v>
      </c>
      <c r="O209" s="918">
        <f t="shared" si="51"/>
        <v>1.3737048599999999</v>
      </c>
      <c r="P209" s="918" t="str">
        <f>IF(VLOOKUP($A209,'7b erosió costa'!$A$4:$AP$401,42,FALSE)&gt;0,VLOOKUP($A209,'7b erosió costa'!$A$4:$AP$401,42,FALSE),"")</f>
        <v/>
      </c>
      <c r="Q209" s="863">
        <f t="shared" si="59"/>
        <v>32.952500133525113</v>
      </c>
      <c r="R209" s="864">
        <f t="shared" si="52"/>
        <v>1.5645204075610422</v>
      </c>
      <c r="S209" s="863">
        <f t="shared" si="53"/>
        <v>42.538442801658633</v>
      </c>
      <c r="T209" s="864">
        <f t="shared" si="54"/>
        <v>5.0552896919370589</v>
      </c>
      <c r="U209" s="864">
        <f t="shared" si="55"/>
        <v>2.0122830000000008E-2</v>
      </c>
      <c r="V209" s="864">
        <f t="shared" si="55"/>
        <v>5.2933664999999852E-2</v>
      </c>
      <c r="W209" s="864" t="str">
        <f t="shared" si="60"/>
        <v/>
      </c>
      <c r="X209" s="1067">
        <f t="shared" si="56"/>
        <v>82.183809529681852</v>
      </c>
      <c r="Y209" s="826">
        <f>VLOOKUP(B209,'BD ASVICC'!$A$6:$Y$316,24,FALSE)</f>
        <v>7644</v>
      </c>
      <c r="Z209" s="826" t="str">
        <f t="shared" si="57"/>
        <v>c 5.000 a 20.000 hab.</v>
      </c>
      <c r="AA209" s="826">
        <f t="shared" si="58"/>
        <v>10751.414119529283</v>
      </c>
    </row>
    <row r="210" spans="1:27" s="826" customFormat="1" ht="45">
      <c r="A210" s="835">
        <v>8209</v>
      </c>
      <c r="B210" s="826" t="s">
        <v>1464</v>
      </c>
      <c r="C210" s="878">
        <f>VLOOKUP(A210,copcalor,'1b.Cops de calor'!P$1,FALSE)/1000000</f>
        <v>2.4696964022233607</v>
      </c>
      <c r="D210" s="879">
        <f>VLOOKUP($B210,'2b.Incendis forestals'!$B$4:$P$314,9,FALSE)/1000000</f>
        <v>0.27486560034833962</v>
      </c>
      <c r="E210" s="878">
        <f>VLOOKUP($B210,'3b aigua'!$B$4:$K$314,8,FALSE)/1000000</f>
        <v>25.738998841694723</v>
      </c>
      <c r="F210" s="879">
        <f t="shared" si="46"/>
        <v>1.6944375000000001E-2</v>
      </c>
      <c r="G210" s="879">
        <f t="shared" si="47"/>
        <v>1.8946615334912771</v>
      </c>
      <c r="H210" s="879">
        <f t="shared" si="48"/>
        <v>63.750406003199998</v>
      </c>
      <c r="I210" s="878" t="str">
        <f>IF(VLOOKUP($A210,'7b erosió costa'!$A$4:$AP$401,9,FALSE)&gt;0,VLOOKUP($A210,'7b erosió costa'!$A$4:$AP$401,9,FALSE),"")</f>
        <v/>
      </c>
      <c r="J210" s="870">
        <f>VLOOKUP(A210,copcalor,'1b.Cops de calor'!Z$1,FALSE)/1000000</f>
        <v>14.178174818817009</v>
      </c>
      <c r="K210" s="870">
        <f>VLOOKUP($B210,'2b.Incendis forestals'!$B$4:$P$314,14,FALSE)/1000000</f>
        <v>0.75588040095793396</v>
      </c>
      <c r="L210" s="870">
        <f>VLOOKUP($B210,'3b aigua'!$B$4:$K$314,9,FALSE)/1000000</f>
        <v>47.286183746739248</v>
      </c>
      <c r="M210" s="918">
        <f t="shared" si="49"/>
        <v>1.5627811125369246</v>
      </c>
      <c r="N210" s="918">
        <f t="shared" si="50"/>
        <v>2.1731767789144949</v>
      </c>
      <c r="O210" s="918">
        <f t="shared" si="51"/>
        <v>85.316221081800009</v>
      </c>
      <c r="P210" s="918" t="str">
        <f>IF(VLOOKUP($A210,'7b erosió costa'!$A$4:$AP$401,42,FALSE)&gt;0,VLOOKUP($A210,'7b erosió costa'!$A$4:$AP$401,42,FALSE),"")</f>
        <v/>
      </c>
      <c r="Q210" s="863">
        <f t="shared" si="59"/>
        <v>11.708478416593648</v>
      </c>
      <c r="R210" s="864">
        <f t="shared" si="52"/>
        <v>0.48101480060959434</v>
      </c>
      <c r="S210" s="863">
        <f t="shared" si="53"/>
        <v>21.547184905044524</v>
      </c>
      <c r="T210" s="864">
        <f t="shared" si="54"/>
        <v>1.5458367375369246</v>
      </c>
      <c r="U210" s="864">
        <f t="shared" si="55"/>
        <v>0.27851524542321782</v>
      </c>
      <c r="V210" s="864">
        <f t="shared" si="55"/>
        <v>21.565815078600011</v>
      </c>
      <c r="W210" s="864" t="str">
        <f t="shared" si="60"/>
        <v/>
      </c>
      <c r="X210" s="1067">
        <f t="shared" si="56"/>
        <v>57.126845183807916</v>
      </c>
      <c r="Y210" s="826">
        <f>VLOOKUP(B210,'BD ASVICC'!$A$6:$Y$316,24,FALSE)</f>
        <v>8650</v>
      </c>
      <c r="Z210" s="826" t="str">
        <f t="shared" si="57"/>
        <v>c 5.000 a 20.000 hab.</v>
      </c>
      <c r="AA210" s="826">
        <f t="shared" si="58"/>
        <v>6604.2595588217246</v>
      </c>
    </row>
    <row r="211" spans="1:27" s="826" customFormat="1" ht="45">
      <c r="A211" s="835">
        <v>8210</v>
      </c>
      <c r="B211" s="826" t="s">
        <v>1466</v>
      </c>
      <c r="C211" s="878">
        <f>VLOOKUP(A211,copcalor,'1b.Cops de calor'!P$1,FALSE)/1000000</f>
        <v>1.3623114466331625</v>
      </c>
      <c r="D211" s="879">
        <f>VLOOKUP($B211,'2b.Incendis forestals'!$B$4:$P$314,9,FALSE)/1000000</f>
        <v>0.2322035337754266</v>
      </c>
      <c r="E211" s="878">
        <f>VLOOKUP($B211,'3b aigua'!$B$4:$K$314,8,FALSE)/1000000</f>
        <v>10.491643029819521</v>
      </c>
      <c r="F211" s="879">
        <f t="shared" si="46"/>
        <v>0.39751875000000003</v>
      </c>
      <c r="G211" s="879">
        <f t="shared" si="47"/>
        <v>3.2762339999999996</v>
      </c>
      <c r="H211" s="879">
        <f t="shared" si="48"/>
        <v>0</v>
      </c>
      <c r="I211" s="878" t="str">
        <f>IF(VLOOKUP($A211,'7b erosió costa'!$A$4:$AP$401,9,FALSE)&gt;0,VLOOKUP($A211,'7b erosió costa'!$A$4:$AP$401,9,FALSE),"")</f>
        <v/>
      </c>
      <c r="J211" s="870">
        <f>VLOOKUP(A211,copcalor,'1b.Cops de calor'!Z$1,FALSE)/1000000</f>
        <v>7.6353741849287919</v>
      </c>
      <c r="K211" s="870">
        <f>VLOOKUP($B211,'2b.Incendis forestals'!$B$4:$P$314,14,FALSE)/1000000</f>
        <v>0.63855971788242316</v>
      </c>
      <c r="L211" s="870">
        <f>VLOOKUP($B211,'3b aigua'!$B$4:$K$314,9,FALSE)/1000000</f>
        <v>15.174177724056371</v>
      </c>
      <c r="M211" s="918">
        <f t="shared" si="49"/>
        <v>2.5816702051023013</v>
      </c>
      <c r="N211" s="918">
        <f t="shared" si="50"/>
        <v>3.7578403979999995</v>
      </c>
      <c r="O211" s="918">
        <f t="shared" si="51"/>
        <v>0</v>
      </c>
      <c r="P211" s="918" t="str">
        <f>IF(VLOOKUP($A211,'7b erosió costa'!$A$4:$AP$401,42,FALSE)&gt;0,VLOOKUP($A211,'7b erosió costa'!$A$4:$AP$401,42,FALSE),"")</f>
        <v/>
      </c>
      <c r="Q211" s="863">
        <f t="shared" si="59"/>
        <v>6.2730627382956294</v>
      </c>
      <c r="R211" s="864">
        <f t="shared" si="52"/>
        <v>0.40635618410699659</v>
      </c>
      <c r="S211" s="863">
        <f t="shared" si="53"/>
        <v>4.6825346942368498</v>
      </c>
      <c r="T211" s="864">
        <f t="shared" si="54"/>
        <v>2.1841514551023011</v>
      </c>
      <c r="U211" s="864">
        <f t="shared" si="55"/>
        <v>0.48160639799999982</v>
      </c>
      <c r="V211" s="864">
        <f t="shared" si="55"/>
        <v>0</v>
      </c>
      <c r="W211" s="864" t="str">
        <f t="shared" si="60"/>
        <v/>
      </c>
      <c r="X211" s="1067">
        <f t="shared" si="56"/>
        <v>14.027711469741776</v>
      </c>
      <c r="Y211" s="826">
        <f>VLOOKUP(B211,'BD ASVICC'!$A$6:$Y$316,24,FALSE)</f>
        <v>5968</v>
      </c>
      <c r="Z211" s="826" t="str">
        <f t="shared" si="57"/>
        <v>c 5.000 a 20.000 hab.</v>
      </c>
      <c r="AA211" s="826">
        <f t="shared" si="58"/>
        <v>2350.4878468065981</v>
      </c>
    </row>
    <row r="212" spans="1:27" s="826" customFormat="1" ht="45">
      <c r="A212" s="835">
        <v>8211</v>
      </c>
      <c r="B212" s="826" t="s">
        <v>1028</v>
      </c>
      <c r="C212" s="878">
        <f>VLOOKUP(A212,copcalor,'1b.Cops de calor'!P$1,FALSE)/1000000</f>
        <v>46.071751168303237</v>
      </c>
      <c r="D212" s="879">
        <f>VLOOKUP($B212,'2b.Incendis forestals'!$B$4:$P$314,9,FALSE)/1000000</f>
        <v>0.58895197196687055</v>
      </c>
      <c r="E212" s="878">
        <f>VLOOKUP($B212,'3b aigua'!$B$4:$K$314,8,FALSE)/1000000</f>
        <v>91.256779617264627</v>
      </c>
      <c r="F212" s="879">
        <f t="shared" si="46"/>
        <v>0.72860812500000005</v>
      </c>
      <c r="G212" s="879">
        <f t="shared" si="47"/>
        <v>0.25857000000000002</v>
      </c>
      <c r="H212" s="879">
        <f t="shared" si="48"/>
        <v>0.4516842450000001</v>
      </c>
      <c r="I212" s="878" t="str">
        <f>IF(VLOOKUP($A212,'7b erosió costa'!$A$4:$AP$401,9,FALSE)&gt;0,VLOOKUP($A212,'7b erosió costa'!$A$4:$AP$401,9,FALSE),"")</f>
        <v/>
      </c>
      <c r="J212" s="870">
        <f>VLOOKUP(A212,copcalor,'1b.Cops de calor'!Z$1,FALSE)/1000000</f>
        <v>271.571787301347</v>
      </c>
      <c r="K212" s="870">
        <f>VLOOKUP($B212,'2b.Incendis forestals'!$B$4:$P$314,14,FALSE)/1000000</f>
        <v>1.6196179229088941</v>
      </c>
      <c r="L212" s="870">
        <f>VLOOKUP($B212,'3b aigua'!$B$4:$K$314,9,FALSE)/1000000</f>
        <v>167.65161984962199</v>
      </c>
      <c r="M212" s="918">
        <f t="shared" si="49"/>
        <v>7.5859986542396092</v>
      </c>
      <c r="N212" s="918">
        <f t="shared" si="50"/>
        <v>0.29657979000000001</v>
      </c>
      <c r="O212" s="918">
        <f t="shared" si="51"/>
        <v>0.67251165000000002</v>
      </c>
      <c r="P212" s="918" t="str">
        <f>IF(VLOOKUP($A212,'7b erosió costa'!$A$4:$AP$401,42,FALSE)&gt;0,VLOOKUP($A212,'7b erosió costa'!$A$4:$AP$401,42,FALSE),"")</f>
        <v/>
      </c>
      <c r="Q212" s="863">
        <f t="shared" si="59"/>
        <v>225.50003613304375</v>
      </c>
      <c r="R212" s="864">
        <f t="shared" si="52"/>
        <v>1.0306659509420235</v>
      </c>
      <c r="S212" s="863">
        <f t="shared" si="53"/>
        <v>76.394840232357367</v>
      </c>
      <c r="T212" s="864">
        <f t="shared" si="54"/>
        <v>6.8573905292396091</v>
      </c>
      <c r="U212" s="864">
        <f t="shared" si="55"/>
        <v>3.8009789999999988E-2</v>
      </c>
      <c r="V212" s="864">
        <f t="shared" si="55"/>
        <v>0.22082740499999992</v>
      </c>
      <c r="W212" s="864" t="str">
        <f t="shared" si="60"/>
        <v/>
      </c>
      <c r="X212" s="1067">
        <f t="shared" si="56"/>
        <v>310.04177004058278</v>
      </c>
      <c r="Y212" s="826">
        <f>VLOOKUP(B212,'BD ASVICC'!$A$6:$Y$316,24,FALSE)</f>
        <v>44086</v>
      </c>
      <c r="Z212" s="826" t="str">
        <f t="shared" si="57"/>
        <v>d 20.000 a 50.000 hab.</v>
      </c>
      <c r="AA212" s="826">
        <f t="shared" si="58"/>
        <v>7032.6582144123477</v>
      </c>
    </row>
    <row r="213" spans="1:27" s="826" customFormat="1" ht="30">
      <c r="A213" s="835">
        <v>8212</v>
      </c>
      <c r="B213" s="826" t="s">
        <v>1470</v>
      </c>
      <c r="C213" s="878">
        <f>VLOOKUP(A213,copcalor,'1b.Cops de calor'!P$1,FALSE)/1000000</f>
        <v>0.23627922915425575</v>
      </c>
      <c r="D213" s="879">
        <f>VLOOKUP($B213,'2b.Incendis forestals'!$B$4:$P$314,9,FALSE)/1000000</f>
        <v>2.5813869429550653</v>
      </c>
      <c r="E213" s="878">
        <f>VLOOKUP($B213,'3b aigua'!$B$4:$K$314,8,FALSE)/1000000</f>
        <v>2.8339779207308795</v>
      </c>
      <c r="F213" s="879">
        <f t="shared" si="46"/>
        <v>3.9197387499999996</v>
      </c>
      <c r="G213" s="879">
        <f t="shared" si="47"/>
        <v>9.5640479999999997</v>
      </c>
      <c r="H213" s="879">
        <f t="shared" si="48"/>
        <v>0</v>
      </c>
      <c r="I213" s="878" t="str">
        <f>IF(VLOOKUP($A213,'7b erosió costa'!$A$4:$AP$401,9,FALSE)&gt;0,VLOOKUP($A213,'7b erosió costa'!$A$4:$AP$401,9,FALSE),"")</f>
        <v/>
      </c>
      <c r="J213" s="870">
        <f>VLOOKUP(A213,copcalor,'1b.Cops de calor'!Z$1,FALSE)/1000000</f>
        <v>1.1372303573437328</v>
      </c>
      <c r="K213" s="870">
        <f>VLOOKUP($B213,'2b.Incendis forestals'!$B$4:$P$314,14,FALSE)/1000000</f>
        <v>7.098814093126431</v>
      </c>
      <c r="L213" s="870">
        <f>VLOOKUP($B213,'3b aigua'!$B$4:$K$314,9,FALSE)/1000000</f>
        <v>4.0988131709206517</v>
      </c>
      <c r="M213" s="918">
        <f t="shared" si="49"/>
        <v>17.580468994577288</v>
      </c>
      <c r="N213" s="918">
        <f t="shared" si="50"/>
        <v>10.969963055999999</v>
      </c>
      <c r="O213" s="918">
        <f t="shared" si="51"/>
        <v>0</v>
      </c>
      <c r="P213" s="918" t="str">
        <f>IF(VLOOKUP($A213,'7b erosió costa'!$A$4:$AP$401,42,FALSE)&gt;0,VLOOKUP($A213,'7b erosió costa'!$A$4:$AP$401,42,FALSE),"")</f>
        <v/>
      </c>
      <c r="Q213" s="863">
        <f t="shared" si="59"/>
        <v>0.90095112818947709</v>
      </c>
      <c r="R213" s="864">
        <f t="shared" si="52"/>
        <v>4.5174271501713656</v>
      </c>
      <c r="S213" s="863">
        <f t="shared" si="53"/>
        <v>1.2648352501897722</v>
      </c>
      <c r="T213" s="864">
        <f t="shared" si="54"/>
        <v>13.660730244577287</v>
      </c>
      <c r="U213" s="864">
        <f t="shared" si="55"/>
        <v>1.4059150559999996</v>
      </c>
      <c r="V213" s="864">
        <f t="shared" si="55"/>
        <v>0</v>
      </c>
      <c r="W213" s="864" t="str">
        <f t="shared" si="60"/>
        <v/>
      </c>
      <c r="X213" s="1067">
        <f t="shared" si="56"/>
        <v>21.749858829127902</v>
      </c>
      <c r="Y213" s="826">
        <f>VLOOKUP(B213,'BD ASVICC'!$A$6:$Y$316,24,FALSE)</f>
        <v>612</v>
      </c>
      <c r="Z213" s="826" t="str">
        <f t="shared" si="57"/>
        <v>a &lt; 1.000 hab.</v>
      </c>
      <c r="AA213" s="826">
        <f t="shared" si="58"/>
        <v>35538.98501491487</v>
      </c>
    </row>
    <row r="214" spans="1:27" s="826" customFormat="1" ht="45">
      <c r="A214" s="835">
        <v>8213</v>
      </c>
      <c r="B214" s="826" t="s">
        <v>1473</v>
      </c>
      <c r="C214" s="878">
        <f>VLOOKUP(A214,copcalor,'1b.Cops de calor'!P$1,FALSE)/1000000</f>
        <v>5.8478903343053927</v>
      </c>
      <c r="D214" s="879">
        <f>VLOOKUP($B214,'2b.Incendis forestals'!$B$4:$P$314,9,FALSE)/1000000</f>
        <v>0.70356419558468197</v>
      </c>
      <c r="E214" s="878">
        <f>VLOOKUP($B214,'3b aigua'!$B$4:$K$314,8,FALSE)/1000000</f>
        <v>20.031862657945599</v>
      </c>
      <c r="F214" s="879">
        <f t="shared" si="46"/>
        <v>6.7701474999999993</v>
      </c>
      <c r="G214" s="879">
        <f t="shared" si="47"/>
        <v>13.987115999999999</v>
      </c>
      <c r="H214" s="879">
        <f t="shared" si="48"/>
        <v>1.8027093034499999</v>
      </c>
      <c r="I214" s="878" t="str">
        <f>IF(VLOOKUP($A214,'7b erosió costa'!$A$4:$AP$401,9,FALSE)&gt;0,VLOOKUP($A214,'7b erosió costa'!$A$4:$AP$401,9,FALSE),"")</f>
        <v/>
      </c>
      <c r="J214" s="870">
        <f>VLOOKUP(A214,copcalor,'1b.Cops de calor'!Z$1,FALSE)/1000000</f>
        <v>27.453413441133353</v>
      </c>
      <c r="K214" s="870">
        <f>VLOOKUP($B214,'2b.Incendis forestals'!$B$4:$P$314,14,FALSE)/1000000</f>
        <v>1.9348015378578751</v>
      </c>
      <c r="L214" s="870">
        <f>VLOOKUP($B214,'3b aigua'!$B$4:$K$314,9,FALSE)/1000000</f>
        <v>28.972301407092736</v>
      </c>
      <c r="M214" s="918">
        <f t="shared" si="49"/>
        <v>35.911331985031467</v>
      </c>
      <c r="N214" s="918">
        <f t="shared" si="50"/>
        <v>16.043222051999997</v>
      </c>
      <c r="O214" s="918">
        <f t="shared" si="51"/>
        <v>2.1664909389</v>
      </c>
      <c r="P214" s="918" t="str">
        <f>IF(VLOOKUP($A214,'7b erosió costa'!$A$4:$AP$401,42,FALSE)&gt;0,VLOOKUP($A214,'7b erosió costa'!$A$4:$AP$401,42,FALSE),"")</f>
        <v/>
      </c>
      <c r="Q214" s="863">
        <f t="shared" si="59"/>
        <v>21.60552310682796</v>
      </c>
      <c r="R214" s="864">
        <f t="shared" si="52"/>
        <v>1.231237342273193</v>
      </c>
      <c r="S214" s="863">
        <f t="shared" si="53"/>
        <v>8.9404387491471375</v>
      </c>
      <c r="T214" s="864">
        <f t="shared" si="54"/>
        <v>29.141184485031467</v>
      </c>
      <c r="U214" s="864">
        <f t="shared" si="55"/>
        <v>2.0561060519999987</v>
      </c>
      <c r="V214" s="864">
        <f t="shared" si="55"/>
        <v>0.36378163545000008</v>
      </c>
      <c r="W214" s="864" t="str">
        <f t="shared" si="60"/>
        <v/>
      </c>
      <c r="X214" s="1067">
        <f t="shared" si="56"/>
        <v>63.338271370729757</v>
      </c>
      <c r="Y214" s="826">
        <f>VLOOKUP(B214,'BD ASVICC'!$A$6:$Y$316,24,FALSE)</f>
        <v>8387</v>
      </c>
      <c r="Z214" s="826" t="str">
        <f t="shared" si="57"/>
        <v>c 5.000 a 20.000 hab.</v>
      </c>
      <c r="AA214" s="826">
        <f t="shared" si="58"/>
        <v>7551.9579552557243</v>
      </c>
    </row>
    <row r="215" spans="1:27" s="826" customFormat="1" ht="45">
      <c r="A215" s="835">
        <v>8214</v>
      </c>
      <c r="B215" s="826" t="s">
        <v>1474</v>
      </c>
      <c r="C215" s="878">
        <f>VLOOKUP(A215,copcalor,'1b.Cops de calor'!P$1,FALSE)/1000000</f>
        <v>18.416334452238967</v>
      </c>
      <c r="D215" s="879">
        <f>VLOOKUP($B215,'2b.Incendis forestals'!$B$4:$P$314,9,FALSE)/1000000</f>
        <v>0.13838679131254433</v>
      </c>
      <c r="E215" s="878">
        <f>VLOOKUP($B215,'3b aigua'!$B$4:$K$314,8,FALSE)/1000000</f>
        <v>21.603884716739838</v>
      </c>
      <c r="F215" s="879">
        <f t="shared" si="46"/>
        <v>1.081755625</v>
      </c>
      <c r="G215" s="879">
        <f t="shared" si="47"/>
        <v>0.32549400000000001</v>
      </c>
      <c r="H215" s="879">
        <f t="shared" si="48"/>
        <v>0</v>
      </c>
      <c r="I215" s="878" t="str">
        <f>IF(VLOOKUP($A215,'7b erosió costa'!$A$4:$AP$401,9,FALSE)&gt;0,VLOOKUP($A215,'7b erosió costa'!$A$4:$AP$401,9,FALSE),"")</f>
        <v/>
      </c>
      <c r="J215" s="870">
        <f>VLOOKUP(A215,copcalor,'1b.Cops de calor'!Z$1,FALSE)/1000000</f>
        <v>108.39739262948598</v>
      </c>
      <c r="K215" s="870">
        <f>VLOOKUP($B215,'2b.Incendis forestals'!$B$4:$P$314,14,FALSE)/1000000</f>
        <v>0.38056367610949698</v>
      </c>
      <c r="L215" s="870">
        <f>VLOOKUP($B215,'3b aigua'!$B$4:$K$314,9,FALSE)/1000000</f>
        <v>39.689393851026303</v>
      </c>
      <c r="M215" s="918">
        <f t="shared" si="49"/>
        <v>24.577406673435341</v>
      </c>
      <c r="N215" s="918">
        <f t="shared" si="50"/>
        <v>0.37334161799999999</v>
      </c>
      <c r="O215" s="918">
        <f t="shared" si="51"/>
        <v>0</v>
      </c>
      <c r="P215" s="918" t="str">
        <f>IF(VLOOKUP($A215,'7b erosió costa'!$A$4:$AP$401,42,FALSE)&gt;0,VLOOKUP($A215,'7b erosió costa'!$A$4:$AP$401,42,FALSE),"")</f>
        <v/>
      </c>
      <c r="Q215" s="863">
        <f t="shared" si="59"/>
        <v>89.981058177247007</v>
      </c>
      <c r="R215" s="864">
        <f t="shared" si="52"/>
        <v>0.24217688479695265</v>
      </c>
      <c r="S215" s="863">
        <f t="shared" si="53"/>
        <v>18.085509134286465</v>
      </c>
      <c r="T215" s="864">
        <f t="shared" si="54"/>
        <v>23.495651048435342</v>
      </c>
      <c r="U215" s="864">
        <f t="shared" si="55"/>
        <v>4.7847617999999981E-2</v>
      </c>
      <c r="V215" s="864">
        <f t="shared" si="55"/>
        <v>0</v>
      </c>
      <c r="W215" s="864" t="str">
        <f t="shared" si="60"/>
        <v/>
      </c>
      <c r="X215" s="1067">
        <f t="shared" si="56"/>
        <v>131.85224286276576</v>
      </c>
      <c r="Y215" s="826">
        <f>VLOOKUP(B215,'BD ASVICC'!$A$6:$Y$316,24,FALSE)</f>
        <v>8953</v>
      </c>
      <c r="Z215" s="826" t="str">
        <f t="shared" si="57"/>
        <v>c 5.000 a 20.000 hab.</v>
      </c>
      <c r="AA215" s="826">
        <f t="shared" si="58"/>
        <v>14727.157697170307</v>
      </c>
    </row>
    <row r="216" spans="1:27" s="826" customFormat="1" ht="45">
      <c r="A216" s="835">
        <v>8215</v>
      </c>
      <c r="B216" s="826" t="s">
        <v>1477</v>
      </c>
      <c r="C216" s="878">
        <f>VLOOKUP(A216,copcalor,'1b.Cops de calor'!P$1,FALSE)/1000000</f>
        <v>1.7207678025532314</v>
      </c>
      <c r="D216" s="879">
        <f>VLOOKUP($B216,'2b.Incendis forestals'!$B$4:$P$314,9,FALSE)/1000000</f>
        <v>0</v>
      </c>
      <c r="E216" s="878">
        <f>VLOOKUP($B216,'3b aigua'!$B$4:$K$314,8,FALSE)/1000000</f>
        <v>5.717386869283839</v>
      </c>
      <c r="F216" s="879">
        <f t="shared" si="46"/>
        <v>9.9819999999999992E-2</v>
      </c>
      <c r="G216" s="879">
        <f t="shared" si="47"/>
        <v>5.4336064799244879</v>
      </c>
      <c r="H216" s="879">
        <f t="shared" si="48"/>
        <v>0</v>
      </c>
      <c r="I216" s="878" t="str">
        <f>IF(VLOOKUP($A216,'7b erosió costa'!$A$4:$AP$401,9,FALSE)&gt;0,VLOOKUP($A216,'7b erosió costa'!$A$4:$AP$401,9,FALSE),"")</f>
        <v/>
      </c>
      <c r="J216" s="870">
        <f>VLOOKUP(A216,copcalor,'1b.Cops de calor'!Z$1,FALSE)/1000000</f>
        <v>10.086317516423122</v>
      </c>
      <c r="K216" s="870">
        <f>VLOOKUP($B216,'2b.Incendis forestals'!$B$4:$P$314,14,FALSE)/1000000</f>
        <v>0</v>
      </c>
      <c r="L216" s="870">
        <f>VLOOKUP($B216,'3b aigua'!$B$4:$K$314,9,FALSE)/1000000</f>
        <v>8.2691189764194295</v>
      </c>
      <c r="M216" s="918">
        <f t="shared" si="49"/>
        <v>4.5572422956323297</v>
      </c>
      <c r="N216" s="918">
        <f t="shared" si="50"/>
        <v>6.232346632473388</v>
      </c>
      <c r="O216" s="918">
        <f t="shared" si="51"/>
        <v>0</v>
      </c>
      <c r="P216" s="918" t="str">
        <f>IF(VLOOKUP($A216,'7b erosió costa'!$A$4:$AP$401,42,FALSE)&gt;0,VLOOKUP($A216,'7b erosió costa'!$A$4:$AP$401,42,FALSE),"")</f>
        <v/>
      </c>
      <c r="Q216" s="863">
        <f t="shared" si="59"/>
        <v>8.3655497138698909</v>
      </c>
      <c r="R216" s="864">
        <f t="shared" si="52"/>
        <v>0</v>
      </c>
      <c r="S216" s="863">
        <f t="shared" si="53"/>
        <v>2.5517321071355905</v>
      </c>
      <c r="T216" s="864">
        <f t="shared" si="54"/>
        <v>4.4574222956323295</v>
      </c>
      <c r="U216" s="864">
        <f t="shared" si="55"/>
        <v>0.79874015254890018</v>
      </c>
      <c r="V216" s="864">
        <f t="shared" si="55"/>
        <v>0</v>
      </c>
      <c r="W216" s="864" t="str">
        <f t="shared" si="60"/>
        <v/>
      </c>
      <c r="X216" s="1067">
        <f t="shared" si="56"/>
        <v>16.17344426918671</v>
      </c>
      <c r="Y216" s="826">
        <f>VLOOKUP(B216,'BD ASVICC'!$A$6:$Y$316,24,FALSE)</f>
        <v>3462</v>
      </c>
      <c r="Z216" s="826" t="str">
        <f t="shared" si="57"/>
        <v>b 1.000 a 5.000 hab.</v>
      </c>
      <c r="AA216" s="826">
        <f t="shared" si="58"/>
        <v>4671.7054503716672</v>
      </c>
    </row>
    <row r="217" spans="1:27" s="826" customFormat="1" ht="30">
      <c r="A217" s="835">
        <v>8216</v>
      </c>
      <c r="B217" s="826" t="s">
        <v>1479</v>
      </c>
      <c r="C217" s="878">
        <f>VLOOKUP(A217,copcalor,'1b.Cops de calor'!P$1,FALSE)/1000000</f>
        <v>0</v>
      </c>
      <c r="D217" s="879">
        <f>VLOOKUP($B217,'2b.Incendis forestals'!$B$4:$P$314,9,FALSE)/1000000</f>
        <v>1.7842529713517923</v>
      </c>
      <c r="E217" s="878">
        <f>VLOOKUP($B217,'3b aigua'!$B$4:$K$314,8,FALSE)/1000000</f>
        <v>3.0748815760000006E-2</v>
      </c>
      <c r="F217" s="879">
        <f t="shared" si="46"/>
        <v>6.4169999999999991E-2</v>
      </c>
      <c r="G217" s="879">
        <f t="shared" si="47"/>
        <v>1.5179579999999999</v>
      </c>
      <c r="H217" s="879">
        <f t="shared" si="48"/>
        <v>0</v>
      </c>
      <c r="I217" s="878" t="str">
        <f>IF(VLOOKUP($A217,'7b erosió costa'!$A$4:$AP$401,9,FALSE)&gt;0,VLOOKUP($A217,'7b erosió costa'!$A$4:$AP$401,9,FALSE),"")</f>
        <v/>
      </c>
      <c r="J217" s="870">
        <f>VLOOKUP(A217,copcalor,'1b.Cops de calor'!Z$1,FALSE)/1000000</f>
        <v>0</v>
      </c>
      <c r="K217" s="870">
        <f>VLOOKUP($B217,'2b.Incendis forestals'!$B$4:$P$314,14,FALSE)/1000000</f>
        <v>4.9066956712174292</v>
      </c>
      <c r="L217" s="870">
        <f>VLOOKUP($B217,'3b aigua'!$B$4:$K$314,9,FALSE)/1000000</f>
        <v>4.4472347545599998E-2</v>
      </c>
      <c r="M217" s="918">
        <f t="shared" si="49"/>
        <v>0.33861924090721679</v>
      </c>
      <c r="N217" s="918">
        <f t="shared" si="50"/>
        <v>1.7410978260000001</v>
      </c>
      <c r="O217" s="918">
        <f t="shared" si="51"/>
        <v>0</v>
      </c>
      <c r="P217" s="918" t="str">
        <f>IF(VLOOKUP($A217,'7b erosió costa'!$A$4:$AP$401,42,FALSE)&gt;0,VLOOKUP($A217,'7b erosió costa'!$A$4:$AP$401,42,FALSE),"")</f>
        <v/>
      </c>
      <c r="Q217" s="863">
        <f t="shared" si="59"/>
        <v>0</v>
      </c>
      <c r="R217" s="864">
        <f t="shared" si="52"/>
        <v>3.1224426998656369</v>
      </c>
      <c r="S217" s="863">
        <f t="shared" si="53"/>
        <v>1.3723531785599992E-2</v>
      </c>
      <c r="T217" s="864">
        <f t="shared" si="54"/>
        <v>0.27444924090721678</v>
      </c>
      <c r="U217" s="864">
        <f t="shared" si="55"/>
        <v>0.22313982600000015</v>
      </c>
      <c r="V217" s="864">
        <f t="shared" si="55"/>
        <v>0</v>
      </c>
      <c r="W217" s="864" t="str">
        <f t="shared" si="60"/>
        <v/>
      </c>
      <c r="X217" s="1067">
        <f t="shared" si="56"/>
        <v>3.6337552985584538</v>
      </c>
      <c r="Y217" s="826">
        <f>VLOOKUP(B217,'BD ASVICC'!$A$6:$Y$316,24,FALSE)</f>
        <v>27</v>
      </c>
      <c r="Z217" s="826" t="str">
        <f t="shared" si="57"/>
        <v>a &lt; 1.000 hab.</v>
      </c>
      <c r="AA217" s="826">
        <f t="shared" si="58"/>
        <v>134583.52957623903</v>
      </c>
    </row>
    <row r="218" spans="1:27" s="826" customFormat="1" ht="45">
      <c r="A218" s="835">
        <v>8217</v>
      </c>
      <c r="B218" s="826" t="s">
        <v>1481</v>
      </c>
      <c r="C218" s="878">
        <f>VLOOKUP(A218,copcalor,'1b.Cops de calor'!P$1,FALSE)/1000000</f>
        <v>26.911449752540385</v>
      </c>
      <c r="D218" s="879">
        <f>VLOOKUP($B218,'2b.Incendis forestals'!$B$4:$P$314,9,FALSE)/1000000</f>
        <v>7.7198778566481996E-2</v>
      </c>
      <c r="E218" s="878">
        <f>VLOOKUP($B218,'3b aigua'!$B$4:$K$314,8,FALSE)/1000000</f>
        <v>84.496419366871663</v>
      </c>
      <c r="F218" s="879">
        <f t="shared" si="46"/>
        <v>0.50833125000000001</v>
      </c>
      <c r="G218" s="879">
        <f t="shared" si="47"/>
        <v>0</v>
      </c>
      <c r="H218" s="879">
        <f t="shared" si="48"/>
        <v>18.862604372699998</v>
      </c>
      <c r="I218" s="878" t="str">
        <f>IF(VLOOKUP($A218,'7b erosió costa'!$A$4:$AP$401,9,FALSE)&gt;0,VLOOKUP($A218,'7b erosió costa'!$A$4:$AP$401,9,FALSE),"")</f>
        <v/>
      </c>
      <c r="J218" s="870">
        <f>VLOOKUP(A218,copcalor,'1b.Cops de calor'!Z$1,FALSE)/1000000</f>
        <v>157.7764418425289</v>
      </c>
      <c r="K218" s="870">
        <f>VLOOKUP($B218,'2b.Incendis forestals'!$B$4:$P$314,14,FALSE)/1000000</f>
        <v>0.2122966410578255</v>
      </c>
      <c r="L218" s="870">
        <f>VLOOKUP($B218,'3b aigua'!$B$4:$K$314,9,FALSE)/1000000</f>
        <v>155.23188126692324</v>
      </c>
      <c r="M218" s="918">
        <f t="shared" si="49"/>
        <v>6.054586454074518</v>
      </c>
      <c r="N218" s="918">
        <f t="shared" si="50"/>
        <v>0</v>
      </c>
      <c r="O218" s="918">
        <f t="shared" si="51"/>
        <v>20.989725595199999</v>
      </c>
      <c r="P218" s="918" t="str">
        <f>IF(VLOOKUP($A218,'7b erosió costa'!$A$4:$AP$401,42,FALSE)&gt;0,VLOOKUP($A218,'7b erosió costa'!$A$4:$AP$401,42,FALSE),"")</f>
        <v/>
      </c>
      <c r="Q218" s="863">
        <f t="shared" si="59"/>
        <v>130.8649920899885</v>
      </c>
      <c r="R218" s="864">
        <f t="shared" si="52"/>
        <v>0.13509786249134351</v>
      </c>
      <c r="S218" s="863">
        <f t="shared" si="53"/>
        <v>70.735461900051575</v>
      </c>
      <c r="T218" s="864">
        <f t="shared" si="54"/>
        <v>5.5462552040745177</v>
      </c>
      <c r="U218" s="864">
        <f t="shared" si="55"/>
        <v>0</v>
      </c>
      <c r="V218" s="864">
        <f t="shared" si="55"/>
        <v>2.1271212225000014</v>
      </c>
      <c r="W218" s="864" t="str">
        <f t="shared" si="60"/>
        <v/>
      </c>
      <c r="X218" s="1067">
        <f t="shared" si="56"/>
        <v>209.40892827910594</v>
      </c>
      <c r="Y218" s="826">
        <f>VLOOKUP(B218,'BD ASVICC'!$A$6:$Y$316,24,FALSE)</f>
        <v>33502</v>
      </c>
      <c r="Z218" s="826" t="str">
        <f t="shared" si="57"/>
        <v>d 20.000 a 50.000 hab.</v>
      </c>
      <c r="AA218" s="826">
        <f t="shared" si="58"/>
        <v>6250.6396119367782</v>
      </c>
    </row>
    <row r="219" spans="1:27" s="826" customFormat="1" ht="45">
      <c r="A219" s="835">
        <v>8218</v>
      </c>
      <c r="B219" s="826" t="s">
        <v>1482</v>
      </c>
      <c r="C219" s="878">
        <f>VLOOKUP(A219,copcalor,'1b.Cops de calor'!P$1,FALSE)/1000000</f>
        <v>9.4612052163980938</v>
      </c>
      <c r="D219" s="879">
        <f>VLOOKUP($B219,'2b.Incendis forestals'!$B$4:$P$314,9,FALSE)/1000000</f>
        <v>0.93313091667921433</v>
      </c>
      <c r="E219" s="878">
        <f>VLOOKUP($B219,'3b aigua'!$B$4:$K$314,8,FALSE)/1000000</f>
        <v>24.297455834637766</v>
      </c>
      <c r="F219" s="879">
        <f t="shared" si="46"/>
        <v>4.9134931249999996</v>
      </c>
      <c r="G219" s="879">
        <f t="shared" si="47"/>
        <v>2.9111939999999996</v>
      </c>
      <c r="H219" s="879">
        <f t="shared" si="48"/>
        <v>35.133898823399996</v>
      </c>
      <c r="I219" s="878" t="str">
        <f>IF(VLOOKUP($A219,'7b erosió costa'!$A$4:$AP$401,9,FALSE)&gt;0,VLOOKUP($A219,'7b erosió costa'!$A$4:$AP$401,9,FALSE),"")</f>
        <v/>
      </c>
      <c r="J219" s="870">
        <f>VLOOKUP(A219,copcalor,'1b.Cops de calor'!Z$1,FALSE)/1000000</f>
        <v>47.109360494931394</v>
      </c>
      <c r="K219" s="870">
        <f>VLOOKUP($B219,'2b.Incendis forestals'!$B$4:$P$314,14,FALSE)/1000000</f>
        <v>2.5661100208678396</v>
      </c>
      <c r="L219" s="870">
        <f>VLOOKUP($B219,'3b aigua'!$B$4:$K$314,9,FALSE)/1000000</f>
        <v>35.141675334291875</v>
      </c>
      <c r="M219" s="918">
        <f t="shared" si="49"/>
        <v>24.387763500362944</v>
      </c>
      <c r="N219" s="918">
        <f t="shared" si="50"/>
        <v>3.3391395179999996</v>
      </c>
      <c r="O219" s="918">
        <f t="shared" si="51"/>
        <v>46.981075632150002</v>
      </c>
      <c r="P219" s="918" t="str">
        <f>IF(VLOOKUP($A219,'7b erosió costa'!$A$4:$AP$401,42,FALSE)&gt;0,VLOOKUP($A219,'7b erosió costa'!$A$4:$AP$401,42,FALSE),"")</f>
        <v/>
      </c>
      <c r="Q219" s="863">
        <f t="shared" si="59"/>
        <v>37.648155278533302</v>
      </c>
      <c r="R219" s="864">
        <f t="shared" si="52"/>
        <v>1.6329791041886252</v>
      </c>
      <c r="S219" s="863">
        <f t="shared" si="53"/>
        <v>10.844219499654109</v>
      </c>
      <c r="T219" s="864">
        <f t="shared" si="54"/>
        <v>19.474270375362945</v>
      </c>
      <c r="U219" s="864">
        <f t="shared" si="55"/>
        <v>0.42794551800000002</v>
      </c>
      <c r="V219" s="864">
        <f t="shared" si="55"/>
        <v>11.847176808750007</v>
      </c>
      <c r="W219" s="864" t="str">
        <f t="shared" si="60"/>
        <v/>
      </c>
      <c r="X219" s="1067">
        <f t="shared" si="56"/>
        <v>81.874746584488989</v>
      </c>
      <c r="Y219" s="826">
        <f>VLOOKUP(B219,'BD ASVICC'!$A$6:$Y$316,24,FALSE)</f>
        <v>10759</v>
      </c>
      <c r="Z219" s="826" t="str">
        <f t="shared" si="57"/>
        <v>c 5.000 a 20.000 hab.</v>
      </c>
      <c r="AA219" s="826">
        <f t="shared" si="58"/>
        <v>7609.8844301969502</v>
      </c>
    </row>
    <row r="220" spans="1:27" s="826" customFormat="1" ht="45">
      <c r="A220" s="835">
        <v>8219</v>
      </c>
      <c r="B220" s="826" t="s">
        <v>352</v>
      </c>
      <c r="C220" s="878">
        <f>VLOOKUP(A220,copcalor,'1b.Cops de calor'!P$1,FALSE)/1000000</f>
        <v>36.501671278861529</v>
      </c>
      <c r="D220" s="879">
        <f>VLOOKUP($B220,'2b.Incendis forestals'!$B$4:$P$314,9,FALSE)/1000000</f>
        <v>0</v>
      </c>
      <c r="E220" s="878">
        <f>VLOOKUP($B220,'3b aigua'!$B$4:$K$314,8,FALSE)/1000000</f>
        <v>38.148147535753601</v>
      </c>
      <c r="F220" s="879">
        <f t="shared" si="46"/>
        <v>2.9822099999999998</v>
      </c>
      <c r="G220" s="879">
        <f t="shared" si="47"/>
        <v>0.22510799999999997</v>
      </c>
      <c r="H220" s="879">
        <f t="shared" si="48"/>
        <v>0</v>
      </c>
      <c r="I220" s="878">
        <f>IF(VLOOKUP($A220,'7b erosió costa'!$A$4:$AP$401,9,FALSE)&gt;0,VLOOKUP($A220,'7b erosió costa'!$A$4:$AP$401,9,FALSE),"")</f>
        <v>11.682</v>
      </c>
      <c r="J220" s="870">
        <f>VLOOKUP(A220,copcalor,'1b.Cops de calor'!Z$1,FALSE)/1000000</f>
        <v>214.15841390930538</v>
      </c>
      <c r="K220" s="870">
        <f>VLOOKUP($B220,'2b.Incendis forestals'!$B$4:$P$314,14,FALSE)/1000000</f>
        <v>0</v>
      </c>
      <c r="L220" s="870">
        <f>VLOOKUP($B220,'3b aigua'!$B$4:$K$314,9,FALSE)/1000000</f>
        <v>70.083546180951259</v>
      </c>
      <c r="M220" s="918">
        <f t="shared" si="49"/>
        <v>65.481871212701648</v>
      </c>
      <c r="N220" s="918">
        <f t="shared" si="50"/>
        <v>0.25819887599999997</v>
      </c>
      <c r="O220" s="918">
        <f t="shared" si="51"/>
        <v>0</v>
      </c>
      <c r="P220" s="918">
        <f>IF(VLOOKUP($A220,'7b erosió costa'!$A$4:$AP$401,42,FALSE)&gt;0,VLOOKUP($A220,'7b erosió costa'!$A$4:$AP$401,42,FALSE),"")</f>
        <v>13.482754751131221</v>
      </c>
      <c r="Q220" s="863">
        <f t="shared" si="59"/>
        <v>177.65674263044386</v>
      </c>
      <c r="R220" s="864">
        <f t="shared" si="52"/>
        <v>0</v>
      </c>
      <c r="S220" s="863">
        <f t="shared" si="53"/>
        <v>31.935398645197658</v>
      </c>
      <c r="T220" s="864">
        <f t="shared" si="54"/>
        <v>62.499661212701646</v>
      </c>
      <c r="U220" s="864">
        <f t="shared" si="55"/>
        <v>3.3090875999999991E-2</v>
      </c>
      <c r="V220" s="864">
        <f t="shared" si="55"/>
        <v>0</v>
      </c>
      <c r="W220" s="864">
        <f t="shared" si="60"/>
        <v>1.8007547511312207</v>
      </c>
      <c r="X220" s="1067">
        <f t="shared" si="56"/>
        <v>273.92564811547436</v>
      </c>
      <c r="Y220" s="826">
        <f>VLOOKUP(B220,'BD ASVICC'!$A$6:$Y$316,24,FALSE)</f>
        <v>20678</v>
      </c>
      <c r="Z220" s="826" t="str">
        <f t="shared" si="57"/>
        <v>d 20.000 a 50.000 hab.</v>
      </c>
      <c r="AA220" s="826">
        <f t="shared" si="58"/>
        <v>13247.202249515154</v>
      </c>
    </row>
    <row r="221" spans="1:27" s="826" customFormat="1" ht="45">
      <c r="A221" s="835">
        <v>8220</v>
      </c>
      <c r="B221" s="826" t="s">
        <v>1485</v>
      </c>
      <c r="C221" s="878">
        <f>VLOOKUP(A221,copcalor,'1b.Cops de calor'!P$1,FALSE)/1000000</f>
        <v>1.1760810786678826</v>
      </c>
      <c r="D221" s="879">
        <f>VLOOKUP($B221,'2b.Incendis forestals'!$B$4:$P$314,9,FALSE)/1000000</f>
        <v>0.13070270905474873</v>
      </c>
      <c r="E221" s="878">
        <f>VLOOKUP($B221,'3b aigua'!$B$4:$K$314,8,FALSE)/1000000</f>
        <v>5.776175329325012</v>
      </c>
      <c r="F221" s="879">
        <f t="shared" si="46"/>
        <v>3.1135506249999998</v>
      </c>
      <c r="G221" s="879">
        <f t="shared" si="47"/>
        <v>16.393338</v>
      </c>
      <c r="H221" s="879">
        <f t="shared" si="48"/>
        <v>0</v>
      </c>
      <c r="I221" s="878" t="str">
        <f>IF(VLOOKUP($A221,'7b erosió costa'!$A$4:$AP$401,9,FALSE)&gt;0,VLOOKUP($A221,'7b erosió costa'!$A$4:$AP$401,9,FALSE),"")</f>
        <v/>
      </c>
      <c r="J221" s="870">
        <f>VLOOKUP(A221,copcalor,'1b.Cops de calor'!Z$1,FALSE)/1000000</f>
        <v>6.8422188268703588</v>
      </c>
      <c r="K221" s="870">
        <f>VLOOKUP($B221,'2b.Incendis forestals'!$B$4:$P$314,14,FALSE)/1000000</f>
        <v>0.35943244990055895</v>
      </c>
      <c r="L221" s="870">
        <f>VLOOKUP($B221,'3b aigua'!$B$4:$K$314,9,FALSE)/1000000</f>
        <v>8.3541453672576331</v>
      </c>
      <c r="M221" s="918">
        <f t="shared" si="49"/>
        <v>19.334889193715071</v>
      </c>
      <c r="N221" s="918">
        <f t="shared" si="50"/>
        <v>18.803158685999996</v>
      </c>
      <c r="O221" s="918">
        <f t="shared" si="51"/>
        <v>0</v>
      </c>
      <c r="P221" s="918" t="str">
        <f>IF(VLOOKUP($A221,'7b erosió costa'!$A$4:$AP$401,42,FALSE)&gt;0,VLOOKUP($A221,'7b erosió costa'!$A$4:$AP$401,42,FALSE),"")</f>
        <v/>
      </c>
      <c r="Q221" s="863">
        <f t="shared" si="59"/>
        <v>5.666137748202476</v>
      </c>
      <c r="R221" s="864">
        <f t="shared" si="52"/>
        <v>0.22872974084581021</v>
      </c>
      <c r="S221" s="863">
        <f t="shared" si="53"/>
        <v>2.5779700379326211</v>
      </c>
      <c r="T221" s="864">
        <f t="shared" si="54"/>
        <v>16.221338568715073</v>
      </c>
      <c r="U221" s="864">
        <f t="shared" si="55"/>
        <v>2.4098206859999962</v>
      </c>
      <c r="V221" s="864">
        <f t="shared" si="55"/>
        <v>0</v>
      </c>
      <c r="W221" s="864" t="str">
        <f t="shared" si="60"/>
        <v/>
      </c>
      <c r="X221" s="1067">
        <f t="shared" si="56"/>
        <v>27.103996781695976</v>
      </c>
      <c r="Y221" s="826">
        <f>VLOOKUP(B221,'BD ASVICC'!$A$6:$Y$316,24,FALSE)</f>
        <v>3113</v>
      </c>
      <c r="Z221" s="826" t="str">
        <f t="shared" si="57"/>
        <v>b 1.000 a 5.000 hab.</v>
      </c>
      <c r="AA221" s="826">
        <f t="shared" si="58"/>
        <v>8706.7127470915439</v>
      </c>
    </row>
    <row r="222" spans="1:27" s="826" customFormat="1" ht="45">
      <c r="A222" s="835">
        <v>8221</v>
      </c>
      <c r="B222" s="826" t="s">
        <v>1489</v>
      </c>
      <c r="C222" s="878">
        <f>VLOOKUP(A222,copcalor,'1b.Cops de calor'!P$1,FALSE)/1000000</f>
        <v>18.000856967084083</v>
      </c>
      <c r="D222" s="879">
        <f>VLOOKUP($B222,'2b.Incendis forestals'!$B$4:$P$314,9,FALSE)/1000000</f>
        <v>0.47439894570692959</v>
      </c>
      <c r="E222" s="878">
        <f>VLOOKUP($B222,'3b aigua'!$B$4:$K$314,8,FALSE)/1000000</f>
        <v>53.531759569983038</v>
      </c>
      <c r="F222" s="879">
        <f t="shared" si="46"/>
        <v>0.118610625</v>
      </c>
      <c r="G222" s="879">
        <f t="shared" si="47"/>
        <v>2.2971589248820243</v>
      </c>
      <c r="H222" s="879">
        <f t="shared" si="48"/>
        <v>0</v>
      </c>
      <c r="I222" s="878" t="str">
        <f>IF(VLOOKUP($A222,'7b erosió costa'!$A$4:$AP$401,9,FALSE)&gt;0,VLOOKUP($A222,'7b erosió costa'!$A$4:$AP$401,9,FALSE),"")</f>
        <v/>
      </c>
      <c r="J222" s="870">
        <f>VLOOKUP(A222,copcalor,'1b.Cops de calor'!Z$1,FALSE)/1000000</f>
        <v>106.1396164995668</v>
      </c>
      <c r="K222" s="870">
        <f>VLOOKUP($B222,'2b.Incendis forestals'!$B$4:$P$314,14,FALSE)/1000000</f>
        <v>1.3045971006940564</v>
      </c>
      <c r="L222" s="870">
        <f>VLOOKUP($B222,'3b aigua'!$B$4:$K$314,9,FALSE)/1000000</f>
        <v>98.345418750786862</v>
      </c>
      <c r="M222" s="918">
        <f t="shared" si="49"/>
        <v>2.6231286284593933</v>
      </c>
      <c r="N222" s="918">
        <f t="shared" si="50"/>
        <v>2.6348412868396816</v>
      </c>
      <c r="O222" s="918">
        <f t="shared" si="51"/>
        <v>0</v>
      </c>
      <c r="P222" s="918" t="str">
        <f>IF(VLOOKUP($A222,'7b erosió costa'!$A$4:$AP$401,42,FALSE)&gt;0,VLOOKUP($A222,'7b erosió costa'!$A$4:$AP$401,42,FALSE),"")</f>
        <v/>
      </c>
      <c r="Q222" s="863">
        <f t="shared" si="59"/>
        <v>88.138759532482709</v>
      </c>
      <c r="R222" s="864">
        <f t="shared" si="52"/>
        <v>0.8301981549871269</v>
      </c>
      <c r="S222" s="863">
        <f t="shared" si="53"/>
        <v>44.813659180803825</v>
      </c>
      <c r="T222" s="864">
        <f t="shared" si="54"/>
        <v>2.5045180034593932</v>
      </c>
      <c r="U222" s="864">
        <f t="shared" si="55"/>
        <v>0.33768236195765722</v>
      </c>
      <c r="V222" s="864">
        <f t="shared" si="55"/>
        <v>0</v>
      </c>
      <c r="W222" s="864" t="str">
        <f t="shared" si="60"/>
        <v/>
      </c>
      <c r="X222" s="1067">
        <f t="shared" si="56"/>
        <v>136.62481723369072</v>
      </c>
      <c r="Y222" s="826">
        <f>VLOOKUP(B222,'BD ASVICC'!$A$6:$Y$316,24,FALSE)</f>
        <v>16927</v>
      </c>
      <c r="Z222" s="826" t="str">
        <f t="shared" si="57"/>
        <v>c 5.000 a 20.000 hab.</v>
      </c>
      <c r="AA222" s="826">
        <f t="shared" si="58"/>
        <v>8071.4135543032262</v>
      </c>
    </row>
    <row r="223" spans="1:27" s="826" customFormat="1" ht="45">
      <c r="A223" s="835">
        <v>8222</v>
      </c>
      <c r="B223" s="826" t="s">
        <v>1490</v>
      </c>
      <c r="C223" s="878">
        <f>VLOOKUP(A223,copcalor,'1b.Cops de calor'!P$1,FALSE)/1000000</f>
        <v>0.41098704205719755</v>
      </c>
      <c r="D223" s="879">
        <f>VLOOKUP($B223,'2b.Incendis forestals'!$B$4:$P$314,9,FALSE)/1000000</f>
        <v>0.60375389407493985</v>
      </c>
      <c r="E223" s="878">
        <f>VLOOKUP($B223,'3b aigua'!$B$4:$K$314,8,FALSE)/1000000</f>
        <v>6.7093384559573348</v>
      </c>
      <c r="F223" s="879">
        <f t="shared" si="46"/>
        <v>0.829764375</v>
      </c>
      <c r="G223" s="879">
        <f t="shared" si="47"/>
        <v>1.5301260000000001</v>
      </c>
      <c r="H223" s="879">
        <f t="shared" si="48"/>
        <v>0</v>
      </c>
      <c r="I223" s="878" t="str">
        <f>IF(VLOOKUP($A223,'7b erosió costa'!$A$4:$AP$401,9,FALSE)&gt;0,VLOOKUP($A223,'7b erosió costa'!$A$4:$AP$401,9,FALSE),"")</f>
        <v/>
      </c>
      <c r="J223" s="870">
        <f>VLOOKUP(A223,copcalor,'1b.Cops de calor'!Z$1,FALSE)/1000000</f>
        <v>2.2577127872331584</v>
      </c>
      <c r="K223" s="870">
        <f>VLOOKUP($B223,'2b.Incendis forestals'!$B$4:$P$314,14,FALSE)/1000000</f>
        <v>1.6603232087060849</v>
      </c>
      <c r="L223" s="870">
        <f>VLOOKUP($B223,'3b aigua'!$B$4:$K$314,9,FALSE)/1000000</f>
        <v>9.703789373330773</v>
      </c>
      <c r="M223" s="918">
        <f t="shared" si="49"/>
        <v>5.6085886884351606</v>
      </c>
      <c r="N223" s="918">
        <f t="shared" si="50"/>
        <v>1.7550545219999998</v>
      </c>
      <c r="O223" s="918">
        <f t="shared" si="51"/>
        <v>0</v>
      </c>
      <c r="P223" s="918" t="str">
        <f>IF(VLOOKUP($A223,'7b erosió costa'!$A$4:$AP$401,42,FALSE)&gt;0,VLOOKUP($A223,'7b erosió costa'!$A$4:$AP$401,42,FALSE),"")</f>
        <v/>
      </c>
      <c r="Q223" s="863">
        <f t="shared" si="59"/>
        <v>1.8467257451759609</v>
      </c>
      <c r="R223" s="864">
        <f t="shared" si="52"/>
        <v>1.056569314631145</v>
      </c>
      <c r="S223" s="863">
        <f t="shared" si="53"/>
        <v>2.9944509173734382</v>
      </c>
      <c r="T223" s="864">
        <f t="shared" si="54"/>
        <v>4.7788243134351607</v>
      </c>
      <c r="U223" s="864">
        <f t="shared" si="55"/>
        <v>0.22492852199999969</v>
      </c>
      <c r="V223" s="864">
        <f t="shared" si="55"/>
        <v>0</v>
      </c>
      <c r="W223" s="864" t="str">
        <f t="shared" si="60"/>
        <v/>
      </c>
      <c r="X223" s="1067">
        <f t="shared" si="56"/>
        <v>10.901498812615703</v>
      </c>
      <c r="Y223" s="826">
        <f>VLOOKUP(B223,'BD ASVICC'!$A$6:$Y$316,24,FALSE)</f>
        <v>2562</v>
      </c>
      <c r="Z223" s="826" t="str">
        <f t="shared" si="57"/>
        <v>b 1.000 a 5.000 hab.</v>
      </c>
      <c r="AA223" s="826">
        <f t="shared" si="58"/>
        <v>4255.0736973519533</v>
      </c>
    </row>
    <row r="224" spans="1:27" s="826" customFormat="1" ht="45">
      <c r="A224" s="835">
        <v>8223</v>
      </c>
      <c r="B224" s="826" t="s">
        <v>1494</v>
      </c>
      <c r="C224" s="878">
        <f>VLOOKUP(A224,copcalor,'1b.Cops de calor'!P$1,FALSE)/1000000</f>
        <v>0.45087719154962103</v>
      </c>
      <c r="D224" s="879">
        <f>VLOOKUP($B224,'2b.Incendis forestals'!$B$4:$P$314,9,FALSE)/1000000</f>
        <v>4.4643616312927552</v>
      </c>
      <c r="E224" s="878">
        <f>VLOOKUP($B224,'3b aigua'!$B$4:$K$314,8,FALSE)/1000000</f>
        <v>3.8163115705560533</v>
      </c>
      <c r="F224" s="879">
        <f t="shared" si="46"/>
        <v>0.44918999999999998</v>
      </c>
      <c r="G224" s="879">
        <f t="shared" si="47"/>
        <v>0.35287199999999996</v>
      </c>
      <c r="H224" s="879">
        <f t="shared" si="48"/>
        <v>0</v>
      </c>
      <c r="I224" s="878" t="str">
        <f>IF(VLOOKUP($A224,'7b erosió costa'!$A$4:$AP$401,9,FALSE)&gt;0,VLOOKUP($A224,'7b erosió costa'!$A$4:$AP$401,9,FALSE),"")</f>
        <v/>
      </c>
      <c r="J224" s="870">
        <f>VLOOKUP(A224,copcalor,'1b.Cops de calor'!Z$1,FALSE)/1000000</f>
        <v>2.6703694006015524</v>
      </c>
      <c r="K224" s="870">
        <f>VLOOKUP($B224,'2b.Incendis forestals'!$B$4:$P$314,14,FALSE)/1000000</f>
        <v>12.276994486055077</v>
      </c>
      <c r="L224" s="870">
        <f>VLOOKUP($B224,'3b aigua'!$B$4:$K$314,9,FALSE)/1000000</f>
        <v>5.5195730408858976</v>
      </c>
      <c r="M224" s="918">
        <f t="shared" si="49"/>
        <v>2.0218620538208603</v>
      </c>
      <c r="N224" s="918">
        <f t="shared" si="50"/>
        <v>0.40474418400000001</v>
      </c>
      <c r="O224" s="918">
        <f t="shared" si="51"/>
        <v>0</v>
      </c>
      <c r="P224" s="918" t="str">
        <f>IF(VLOOKUP($A224,'7b erosió costa'!$A$4:$AP$401,42,FALSE)&gt;0,VLOOKUP($A224,'7b erosió costa'!$A$4:$AP$401,42,FALSE),"")</f>
        <v/>
      </c>
      <c r="Q224" s="863">
        <f t="shared" si="59"/>
        <v>2.2194922090519311</v>
      </c>
      <c r="R224" s="864">
        <f t="shared" si="52"/>
        <v>7.8126328547623221</v>
      </c>
      <c r="S224" s="863">
        <f t="shared" si="53"/>
        <v>1.7032614703298443</v>
      </c>
      <c r="T224" s="864">
        <f t="shared" si="54"/>
        <v>1.5726720538208603</v>
      </c>
      <c r="U224" s="864">
        <f t="shared" si="55"/>
        <v>5.1872184000000043E-2</v>
      </c>
      <c r="V224" s="864">
        <f t="shared" si="55"/>
        <v>0</v>
      </c>
      <c r="W224" s="864" t="str">
        <f t="shared" si="60"/>
        <v/>
      </c>
      <c r="X224" s="1067">
        <f t="shared" si="56"/>
        <v>13.359930771964956</v>
      </c>
      <c r="Y224" s="826">
        <f>VLOOKUP(B224,'BD ASVICC'!$A$6:$Y$316,24,FALSE)</f>
        <v>2375</v>
      </c>
      <c r="Z224" s="826" t="str">
        <f t="shared" si="57"/>
        <v>b 1.000 a 5.000 hab.</v>
      </c>
      <c r="AA224" s="826">
        <f t="shared" si="58"/>
        <v>5625.2340092484028</v>
      </c>
    </row>
    <row r="225" spans="1:27" s="826" customFormat="1" ht="45">
      <c r="A225" s="835">
        <v>8224</v>
      </c>
      <c r="B225" s="826" t="s">
        <v>1496</v>
      </c>
      <c r="C225" s="878">
        <f>VLOOKUP(A225,copcalor,'1b.Cops de calor'!P$1,FALSE)/1000000</f>
        <v>0.60577116174602119</v>
      </c>
      <c r="D225" s="879">
        <f>VLOOKUP($B225,'2b.Incendis forestals'!$B$4:$P$314,9,FALSE)/1000000</f>
        <v>0.22948693122803479</v>
      </c>
      <c r="E225" s="878">
        <f>VLOOKUP($B225,'3b aigua'!$B$4:$K$314,8,FALSE)/1000000</f>
        <v>2.2106927083648</v>
      </c>
      <c r="F225" s="879">
        <f t="shared" si="46"/>
        <v>2.7560424999999995</v>
      </c>
      <c r="G225" s="879">
        <f t="shared" si="47"/>
        <v>3.4405019999999995</v>
      </c>
      <c r="H225" s="879">
        <f t="shared" si="48"/>
        <v>7.2947888134500003</v>
      </c>
      <c r="I225" s="878" t="str">
        <f>IF(VLOOKUP($A225,'7b erosió costa'!$A$4:$AP$401,9,FALSE)&gt;0,VLOOKUP($A225,'7b erosió costa'!$A$4:$AP$401,9,FALSE),"")</f>
        <v/>
      </c>
      <c r="J225" s="870">
        <f>VLOOKUP(A225,copcalor,'1b.Cops de calor'!Z$1,FALSE)/1000000</f>
        <v>3.5573997626882563</v>
      </c>
      <c r="K225" s="870">
        <f>VLOOKUP($B225,'2b.Incendis forestals'!$B$4:$P$314,14,FALSE)/1000000</f>
        <v>0.63108906087709571</v>
      </c>
      <c r="L225" s="870">
        <f>VLOOKUP($B225,'3b aigua'!$B$4:$K$314,9,FALSE)/1000000</f>
        <v>3.1973489714298879</v>
      </c>
      <c r="M225" s="918">
        <f t="shared" si="49"/>
        <v>14.832620629691801</v>
      </c>
      <c r="N225" s="918">
        <f t="shared" si="50"/>
        <v>3.9462557939999998</v>
      </c>
      <c r="O225" s="918">
        <f t="shared" si="51"/>
        <v>8.9760594772500024</v>
      </c>
      <c r="P225" s="918" t="str">
        <f>IF(VLOOKUP($A225,'7b erosió costa'!$A$4:$AP$401,42,FALSE)&gt;0,VLOOKUP($A225,'7b erosió costa'!$A$4:$AP$401,42,FALSE),"")</f>
        <v/>
      </c>
      <c r="Q225" s="863">
        <f t="shared" si="59"/>
        <v>2.951628600942235</v>
      </c>
      <c r="R225" s="864">
        <f t="shared" si="52"/>
        <v>0.40160212964906095</v>
      </c>
      <c r="S225" s="863">
        <f t="shared" si="53"/>
        <v>0.98665626306508791</v>
      </c>
      <c r="T225" s="864">
        <f t="shared" si="54"/>
        <v>12.076578129691802</v>
      </c>
      <c r="U225" s="864">
        <f t="shared" si="55"/>
        <v>0.50575379400000031</v>
      </c>
      <c r="V225" s="864">
        <f t="shared" si="55"/>
        <v>1.6812706638000021</v>
      </c>
      <c r="W225" s="864" t="str">
        <f t="shared" si="60"/>
        <v/>
      </c>
      <c r="X225" s="1067">
        <f t="shared" si="56"/>
        <v>18.603489581148189</v>
      </c>
      <c r="Y225" s="826">
        <f>VLOOKUP(B225,'BD ASVICC'!$A$6:$Y$316,24,FALSE)</f>
        <v>1122</v>
      </c>
      <c r="Z225" s="826" t="str">
        <f t="shared" si="57"/>
        <v>b 1.000 a 5.000 hab.</v>
      </c>
      <c r="AA225" s="826">
        <f t="shared" si="58"/>
        <v>16580.65025057771</v>
      </c>
    </row>
    <row r="226" spans="1:27" s="826" customFormat="1" ht="30">
      <c r="A226" s="835">
        <v>8225</v>
      </c>
      <c r="B226" s="826" t="s">
        <v>1499</v>
      </c>
      <c r="C226" s="878">
        <f>VLOOKUP(A226,copcalor,'1b.Cops de calor'!P$1,FALSE)/1000000</f>
        <v>6.1093012927184989E-3</v>
      </c>
      <c r="D226" s="879">
        <f>VLOOKUP($B226,'2b.Incendis forestals'!$B$4:$P$314,9,FALSE)/1000000</f>
        <v>8.2824978732554691E-2</v>
      </c>
      <c r="E226" s="878">
        <f>VLOOKUP($B226,'3b aigua'!$B$4:$K$314,8,FALSE)/1000000</f>
        <v>1.5567123109823999</v>
      </c>
      <c r="F226" s="879">
        <f t="shared" si="46"/>
        <v>3.7361200000000001</v>
      </c>
      <c r="G226" s="879">
        <f t="shared" si="47"/>
        <v>12.317057999999999</v>
      </c>
      <c r="H226" s="879">
        <f t="shared" si="48"/>
        <v>0</v>
      </c>
      <c r="I226" s="878" t="str">
        <f>IF(VLOOKUP($A226,'7b erosió costa'!$A$4:$AP$401,9,FALSE)&gt;0,VLOOKUP($A226,'7b erosió costa'!$A$4:$AP$401,9,FALSE),"")</f>
        <v/>
      </c>
      <c r="J226" s="870">
        <f>VLOOKUP(A226,copcalor,'1b.Cops de calor'!Z$1,FALSE)/1000000</f>
        <v>3.5760189084716579E-2</v>
      </c>
      <c r="K226" s="870">
        <f>VLOOKUP($B226,'2b.Incendis forestals'!$B$4:$P$314,14,FALSE)/1000000</f>
        <v>0.22776869151452536</v>
      </c>
      <c r="L226" s="870">
        <f>VLOOKUP($B226,'3b aigua'!$B$4:$K$314,9,FALSE)/1000000</f>
        <v>2.251489991122944</v>
      </c>
      <c r="M226" s="918">
        <f t="shared" si="49"/>
        <v>16.459877333950232</v>
      </c>
      <c r="N226" s="918">
        <f t="shared" si="50"/>
        <v>14.127665525999998</v>
      </c>
      <c r="O226" s="918">
        <f t="shared" si="51"/>
        <v>0</v>
      </c>
      <c r="P226" s="918" t="str">
        <f>IF(VLOOKUP($A226,'7b erosió costa'!$A$4:$AP$401,42,FALSE)&gt;0,VLOOKUP($A226,'7b erosió costa'!$A$4:$AP$401,42,FALSE),"")</f>
        <v/>
      </c>
      <c r="Q226" s="863">
        <f t="shared" si="59"/>
        <v>2.9650887791998079E-2</v>
      </c>
      <c r="R226" s="864">
        <f t="shared" si="52"/>
        <v>0.14494371278197066</v>
      </c>
      <c r="S226" s="863">
        <f t="shared" si="53"/>
        <v>0.69477768014054408</v>
      </c>
      <c r="T226" s="864">
        <f t="shared" si="54"/>
        <v>12.723757333950232</v>
      </c>
      <c r="U226" s="864">
        <f t="shared" si="55"/>
        <v>1.8106075259999983</v>
      </c>
      <c r="V226" s="864">
        <f t="shared" si="55"/>
        <v>0</v>
      </c>
      <c r="W226" s="864" t="str">
        <f t="shared" si="60"/>
        <v/>
      </c>
      <c r="X226" s="1067">
        <f t="shared" si="56"/>
        <v>15.403737140664743</v>
      </c>
      <c r="Y226" s="826">
        <f>VLOOKUP(B226,'BD ASVICC'!$A$6:$Y$316,24,FALSE)</f>
        <v>108</v>
      </c>
      <c r="Z226" s="826" t="str">
        <f t="shared" si="57"/>
        <v>a &lt; 1.000 hab.</v>
      </c>
      <c r="AA226" s="826">
        <f t="shared" si="58"/>
        <v>142627.19574689577</v>
      </c>
    </row>
    <row r="227" spans="1:27" s="826" customFormat="1" ht="45">
      <c r="A227" s="835">
        <v>8226</v>
      </c>
      <c r="B227" s="826" t="s">
        <v>1501</v>
      </c>
      <c r="C227" s="878">
        <f>VLOOKUP(A227,copcalor,'1b.Cops de calor'!P$1,FALSE)/1000000</f>
        <v>0.39004136666932487</v>
      </c>
      <c r="D227" s="879">
        <f>VLOOKUP($B227,'2b.Incendis forestals'!$B$4:$P$314,9,FALSE)/1000000</f>
        <v>3.5581151478616757</v>
      </c>
      <c r="E227" s="878">
        <f>VLOOKUP($B227,'3b aigua'!$B$4:$K$314,8,FALSE)/1000000</f>
        <v>0.90482105583456007</v>
      </c>
      <c r="F227" s="879">
        <f t="shared" si="46"/>
        <v>7.8440081250000002</v>
      </c>
      <c r="G227" s="879">
        <f t="shared" si="47"/>
        <v>0.10342799999999999</v>
      </c>
      <c r="H227" s="879">
        <f t="shared" si="48"/>
        <v>0</v>
      </c>
      <c r="I227" s="878" t="str">
        <f>IF(VLOOKUP($A227,'7b erosió costa'!$A$4:$AP$401,9,FALSE)&gt;0,VLOOKUP($A227,'7b erosió costa'!$A$4:$AP$401,9,FALSE),"")</f>
        <v/>
      </c>
      <c r="J227" s="870">
        <f>VLOOKUP(A227,copcalor,'1b.Cops de calor'!Z$1,FALSE)/1000000</f>
        <v>2.2662768191067855</v>
      </c>
      <c r="K227" s="870">
        <f>VLOOKUP($B227,'2b.Incendis forestals'!$B$4:$P$314,14,FALSE)/1000000</f>
        <v>9.7848166566196078</v>
      </c>
      <c r="L227" s="870">
        <f>VLOOKUP($B227,'3b aigua'!$B$4:$K$314,9,FALSE)/1000000</f>
        <v>1.3086525600116734</v>
      </c>
      <c r="M227" s="918">
        <f t="shared" si="49"/>
        <v>35.478197349372095</v>
      </c>
      <c r="N227" s="918">
        <f t="shared" si="50"/>
        <v>0.11863191599999999</v>
      </c>
      <c r="O227" s="918">
        <f t="shared" si="51"/>
        <v>0</v>
      </c>
      <c r="P227" s="918" t="str">
        <f>IF(VLOOKUP($A227,'7b erosió costa'!$A$4:$AP$401,42,FALSE)&gt;0,VLOOKUP($A227,'7b erosió costa'!$A$4:$AP$401,42,FALSE),"")</f>
        <v/>
      </c>
      <c r="Q227" s="863">
        <f t="shared" si="59"/>
        <v>1.8762354524374607</v>
      </c>
      <c r="R227" s="864">
        <f t="shared" si="52"/>
        <v>6.226701508757932</v>
      </c>
      <c r="S227" s="863">
        <f t="shared" si="53"/>
        <v>0.40383150417711333</v>
      </c>
      <c r="T227" s="864">
        <f t="shared" si="54"/>
        <v>27.634189224372093</v>
      </c>
      <c r="U227" s="864">
        <f t="shared" si="55"/>
        <v>1.5203915999999998E-2</v>
      </c>
      <c r="V227" s="864">
        <f t="shared" si="55"/>
        <v>0</v>
      </c>
      <c r="W227" s="864" t="str">
        <f t="shared" si="60"/>
        <v/>
      </c>
      <c r="X227" s="1067">
        <f t="shared" si="56"/>
        <v>36.156161605744593</v>
      </c>
      <c r="Y227" s="826">
        <f>VLOOKUP(B227,'BD ASVICC'!$A$6:$Y$316,24,FALSE)</f>
        <v>1190</v>
      </c>
      <c r="Z227" s="826" t="str">
        <f t="shared" si="57"/>
        <v>b 1.000 a 5.000 hab.</v>
      </c>
      <c r="AA227" s="826">
        <f t="shared" si="58"/>
        <v>30383.329080457643</v>
      </c>
    </row>
    <row r="228" spans="1:27" s="826" customFormat="1" ht="45">
      <c r="A228" s="835">
        <v>8227</v>
      </c>
      <c r="B228" s="826" t="s">
        <v>1506</v>
      </c>
      <c r="C228" s="878">
        <f>VLOOKUP(A228,copcalor,'1b.Cops de calor'!P$1,FALSE)/1000000</f>
        <v>0.70687852966196441</v>
      </c>
      <c r="D228" s="879">
        <f>VLOOKUP($B228,'2b.Incendis forestals'!$B$4:$P$314,9,FALSE)/1000000</f>
        <v>1.1235925357243015</v>
      </c>
      <c r="E228" s="878">
        <f>VLOOKUP($B228,'3b aigua'!$B$4:$K$314,8,FALSE)/1000000</f>
        <v>6.11558578447712</v>
      </c>
      <c r="F228" s="879">
        <f t="shared" si="46"/>
        <v>0.93679937499999999</v>
      </c>
      <c r="G228" s="879">
        <f t="shared" si="47"/>
        <v>10.288043999999999</v>
      </c>
      <c r="H228" s="879">
        <f t="shared" si="48"/>
        <v>0</v>
      </c>
      <c r="I228" s="878" t="str">
        <f>IF(VLOOKUP($A228,'7b erosió costa'!$A$4:$AP$401,9,FALSE)&gt;0,VLOOKUP($A228,'7b erosió costa'!$A$4:$AP$401,9,FALSE),"")</f>
        <v/>
      </c>
      <c r="J228" s="870">
        <f>VLOOKUP(A228,copcalor,'1b.Cops de calor'!Z$1,FALSE)/1000000</f>
        <v>4.0409355059722918</v>
      </c>
      <c r="K228" s="870">
        <f>VLOOKUP($B228,'2b.Incendis forestals'!$B$4:$P$314,14,FALSE)/1000000</f>
        <v>3.0898794732418291</v>
      </c>
      <c r="L228" s="870">
        <f>VLOOKUP($B228,'3b aigua'!$B$4:$K$314,9,FALSE)/1000000</f>
        <v>11.235196633028446</v>
      </c>
      <c r="M228" s="918">
        <f t="shared" si="49"/>
        <v>6.8951850434666255</v>
      </c>
      <c r="N228" s="918">
        <f t="shared" si="50"/>
        <v>11.800386467999999</v>
      </c>
      <c r="O228" s="918">
        <f t="shared" si="51"/>
        <v>1.4083302474000001</v>
      </c>
      <c r="P228" s="918" t="str">
        <f>IF(VLOOKUP($A228,'7b erosió costa'!$A$4:$AP$401,42,FALSE)&gt;0,VLOOKUP($A228,'7b erosió costa'!$A$4:$AP$401,42,FALSE),"")</f>
        <v/>
      </c>
      <c r="Q228" s="863">
        <f t="shared" si="59"/>
        <v>3.3340569763103272</v>
      </c>
      <c r="R228" s="864">
        <f t="shared" si="52"/>
        <v>1.9662869375175276</v>
      </c>
      <c r="S228" s="863">
        <f t="shared" si="53"/>
        <v>5.1196108485513259</v>
      </c>
      <c r="T228" s="864">
        <f t="shared" si="54"/>
        <v>5.9583856684666259</v>
      </c>
      <c r="U228" s="864">
        <f t="shared" si="55"/>
        <v>1.5123424679999999</v>
      </c>
      <c r="V228" s="864">
        <f t="shared" si="55"/>
        <v>1.4083302474000001</v>
      </c>
      <c r="W228" s="864" t="str">
        <f t="shared" si="60"/>
        <v/>
      </c>
      <c r="X228" s="1067">
        <f t="shared" si="56"/>
        <v>19.299013146245805</v>
      </c>
      <c r="Y228" s="826">
        <f>VLOOKUP(B228,'BD ASVICC'!$A$6:$Y$316,24,FALSE)</f>
        <v>3099</v>
      </c>
      <c r="Z228" s="826" t="str">
        <f t="shared" si="57"/>
        <v>b 1.000 a 5.000 hab.</v>
      </c>
      <c r="AA228" s="826">
        <f t="shared" si="58"/>
        <v>6227.4969816862867</v>
      </c>
    </row>
    <row r="229" spans="1:27" s="826" customFormat="1" ht="30">
      <c r="A229" s="835">
        <v>8228</v>
      </c>
      <c r="B229" s="826" t="s">
        <v>1510</v>
      </c>
      <c r="C229" s="878">
        <f>VLOOKUP(A229,copcalor,'1b.Cops de calor'!P$1,FALSE)/1000000</f>
        <v>0.19186466137337774</v>
      </c>
      <c r="D229" s="879">
        <f>VLOOKUP($B229,'2b.Incendis forestals'!$B$4:$P$314,9,FALSE)/1000000</f>
        <v>2.6454387716443685E-2</v>
      </c>
      <c r="E229" s="878">
        <f>VLOOKUP($B229,'3b aigua'!$B$4:$K$314,8,FALSE)/1000000</f>
        <v>0.35632255646655997</v>
      </c>
      <c r="F229" s="879">
        <f t="shared" si="46"/>
        <v>1.7967599999999999</v>
      </c>
      <c r="G229" s="879">
        <f t="shared" si="47"/>
        <v>2.3453819999999999</v>
      </c>
      <c r="H229" s="879">
        <f t="shared" si="48"/>
        <v>0</v>
      </c>
      <c r="I229" s="878" t="str">
        <f>IF(VLOOKUP($A229,'7b erosió costa'!$A$4:$AP$401,9,FALSE)&gt;0,VLOOKUP($A229,'7b erosió costa'!$A$4:$AP$401,9,FALSE),"")</f>
        <v/>
      </c>
      <c r="J229" s="870">
        <f>VLOOKUP(A229,copcalor,'1b.Cops de calor'!Z$1,FALSE)/1000000</f>
        <v>1.1281263024274097</v>
      </c>
      <c r="K229" s="870">
        <f>VLOOKUP($B229,'2b.Incendis forestals'!$B$4:$P$314,14,FALSE)/1000000</f>
        <v>7.2749566220220122E-2</v>
      </c>
      <c r="L229" s="870">
        <f>VLOOKUP($B229,'3b aigua'!$B$4:$K$314,9,FALSE)/1000000</f>
        <v>0.51535319906959354</v>
      </c>
      <c r="M229" s="918">
        <f t="shared" si="49"/>
        <v>8.0475664142355114</v>
      </c>
      <c r="N229" s="918">
        <f t="shared" si="50"/>
        <v>2.6901531539999999</v>
      </c>
      <c r="O229" s="918">
        <f t="shared" si="51"/>
        <v>0</v>
      </c>
      <c r="P229" s="918" t="str">
        <f>IF(VLOOKUP($A229,'7b erosió costa'!$A$4:$AP$401,42,FALSE)&gt;0,VLOOKUP($A229,'7b erosió costa'!$A$4:$AP$401,42,FALSE),"")</f>
        <v/>
      </c>
      <c r="Q229" s="863">
        <f t="shared" si="59"/>
        <v>0.93626164105403198</v>
      </c>
      <c r="R229" s="864">
        <f t="shared" si="52"/>
        <v>4.6295178503776437E-2</v>
      </c>
      <c r="S229" s="863">
        <f t="shared" si="53"/>
        <v>0.15903064260303357</v>
      </c>
      <c r="T229" s="864">
        <f t="shared" si="54"/>
        <v>6.2508064142355115</v>
      </c>
      <c r="U229" s="864">
        <f t="shared" si="55"/>
        <v>0.34477115400000002</v>
      </c>
      <c r="V229" s="864">
        <f t="shared" si="55"/>
        <v>0</v>
      </c>
      <c r="W229" s="864" t="str">
        <f t="shared" si="60"/>
        <v/>
      </c>
      <c r="X229" s="1067">
        <f t="shared" si="56"/>
        <v>7.7371650303963531</v>
      </c>
      <c r="Y229" s="826">
        <f>VLOOKUP(B229,'BD ASVICC'!$A$6:$Y$316,24,FALSE)</f>
        <v>371</v>
      </c>
      <c r="Z229" s="826" t="str">
        <f t="shared" si="57"/>
        <v>a &lt; 1.000 hab.</v>
      </c>
      <c r="AA229" s="826">
        <f t="shared" si="58"/>
        <v>20854.892265219281</v>
      </c>
    </row>
    <row r="230" spans="1:27" s="826" customFormat="1" ht="30">
      <c r="A230" s="835">
        <v>8229</v>
      </c>
      <c r="B230" s="826" t="s">
        <v>1511</v>
      </c>
      <c r="C230" s="878">
        <f>VLOOKUP(A230,copcalor,'1b.Cops de calor'!P$1,FALSE)/1000000</f>
        <v>0.53871425836165032</v>
      </c>
      <c r="D230" s="879">
        <f>VLOOKUP($B230,'2b.Incendis forestals'!$B$4:$P$314,9,FALSE)/1000000</f>
        <v>14.067980793404509</v>
      </c>
      <c r="E230" s="878">
        <f>VLOOKUP($B230,'3b aigua'!$B$4:$K$314,8,FALSE)/1000000</f>
        <v>1.9776401026166399</v>
      </c>
      <c r="F230" s="879">
        <f t="shared" si="46"/>
        <v>9.3028887499999993</v>
      </c>
      <c r="G230" s="879">
        <f t="shared" si="47"/>
        <v>22.644648</v>
      </c>
      <c r="H230" s="879">
        <f t="shared" si="48"/>
        <v>3.9450510893999993</v>
      </c>
      <c r="I230" s="878" t="str">
        <f>IF(VLOOKUP($A230,'7b erosió costa'!$A$4:$AP$401,9,FALSE)&gt;0,VLOOKUP($A230,'7b erosió costa'!$A$4:$AP$401,9,FALSE),"")</f>
        <v/>
      </c>
      <c r="J230" s="870">
        <f>VLOOKUP(A230,copcalor,'1b.Cops de calor'!Z$1,FALSE)/1000000</f>
        <v>2.9490910716314156</v>
      </c>
      <c r="K230" s="870">
        <f>VLOOKUP($B230,'2b.Incendis forestals'!$B$4:$P$314,14,FALSE)/1000000</f>
        <v>38.686947181862401</v>
      </c>
      <c r="L230" s="870">
        <f>VLOOKUP($B230,'3b aigua'!$B$4:$K$314,9,FALSE)/1000000</f>
        <v>2.8602824463273988</v>
      </c>
      <c r="M230" s="918">
        <f t="shared" si="49"/>
        <v>41.114648415747396</v>
      </c>
      <c r="N230" s="918">
        <f t="shared" si="50"/>
        <v>25.973411255999999</v>
      </c>
      <c r="O230" s="918">
        <f t="shared" si="51"/>
        <v>5.6906314134000002</v>
      </c>
      <c r="P230" s="918" t="str">
        <f>IF(VLOOKUP($A230,'7b erosió costa'!$A$4:$AP$401,42,FALSE)&gt;0,VLOOKUP($A230,'7b erosió costa'!$A$4:$AP$401,42,FALSE),"")</f>
        <v/>
      </c>
      <c r="Q230" s="863">
        <f t="shared" si="59"/>
        <v>2.4103768132697652</v>
      </c>
      <c r="R230" s="864">
        <f t="shared" si="52"/>
        <v>24.618966388457892</v>
      </c>
      <c r="S230" s="863">
        <f t="shared" si="53"/>
        <v>0.88264234371075889</v>
      </c>
      <c r="T230" s="864">
        <f t="shared" si="54"/>
        <v>31.811759665747395</v>
      </c>
      <c r="U230" s="864">
        <f t="shared" si="55"/>
        <v>3.3287632559999984</v>
      </c>
      <c r="V230" s="864">
        <f t="shared" si="55"/>
        <v>1.745580324000001</v>
      </c>
      <c r="W230" s="864" t="str">
        <f t="shared" si="60"/>
        <v/>
      </c>
      <c r="X230" s="1067">
        <f t="shared" si="56"/>
        <v>64.798088791185819</v>
      </c>
      <c r="Y230" s="826">
        <f>VLOOKUP(B230,'BD ASVICC'!$A$6:$Y$316,24,FALSE)</f>
        <v>618</v>
      </c>
      <c r="Z230" s="826" t="str">
        <f t="shared" si="57"/>
        <v>a &lt; 1.000 hab.</v>
      </c>
      <c r="AA230" s="826">
        <f t="shared" si="58"/>
        <v>104851.2763611421</v>
      </c>
    </row>
    <row r="231" spans="1:27" s="826" customFormat="1" ht="45">
      <c r="A231" s="835">
        <v>8230</v>
      </c>
      <c r="B231" s="826" t="s">
        <v>1513</v>
      </c>
      <c r="C231" s="878">
        <f>VLOOKUP(A231,copcalor,'1b.Cops de calor'!P$1,FALSE)/1000000</f>
        <v>39.012980738756845</v>
      </c>
      <c r="D231" s="879">
        <f>VLOOKUP($B231,'2b.Incendis forestals'!$B$4:$P$314,9,FALSE)/1000000</f>
        <v>8.4480308650099742E-2</v>
      </c>
      <c r="E231" s="878">
        <f>VLOOKUP($B231,'3b aigua'!$B$4:$K$314,8,FALSE)/1000000</f>
        <v>23.574395432649599</v>
      </c>
      <c r="F231" s="879">
        <f t="shared" si="46"/>
        <v>0.56361000000000006</v>
      </c>
      <c r="G231" s="879">
        <f t="shared" si="47"/>
        <v>0</v>
      </c>
      <c r="H231" s="879">
        <f t="shared" si="48"/>
        <v>0</v>
      </c>
      <c r="I231" s="878" t="str">
        <f>IF(VLOOKUP($A231,'7b erosió costa'!$A$4:$AP$401,9,FALSE)&gt;0,VLOOKUP($A231,'7b erosió costa'!$A$4:$AP$401,9,FALSE),"")</f>
        <v/>
      </c>
      <c r="J231" s="870">
        <f>VLOOKUP(A231,copcalor,'1b.Cops de calor'!Z$1,FALSE)/1000000</f>
        <v>232.46814966792957</v>
      </c>
      <c r="K231" s="870">
        <f>VLOOKUP($B231,'2b.Incendis forestals'!$B$4:$P$314,14,FALSE)/1000000</f>
        <v>0.23232084878777431</v>
      </c>
      <c r="L231" s="870">
        <f>VLOOKUP($B231,'3b aigua'!$B$4:$K$314,9,FALSE)/1000000</f>
        <v>43.309500925140163</v>
      </c>
      <c r="M231" s="918">
        <f t="shared" si="49"/>
        <v>14.763734701665207</v>
      </c>
      <c r="N231" s="918">
        <f t="shared" si="50"/>
        <v>0</v>
      </c>
      <c r="O231" s="918">
        <f t="shared" si="51"/>
        <v>0</v>
      </c>
      <c r="P231" s="918" t="str">
        <f>IF(VLOOKUP($A231,'7b erosió costa'!$A$4:$AP$401,42,FALSE)&gt;0,VLOOKUP($A231,'7b erosió costa'!$A$4:$AP$401,42,FALSE),"")</f>
        <v/>
      </c>
      <c r="Q231" s="863">
        <f t="shared" si="59"/>
        <v>193.45516892917271</v>
      </c>
      <c r="R231" s="864">
        <f t="shared" si="52"/>
        <v>0.14784054013767456</v>
      </c>
      <c r="S231" s="863">
        <f t="shared" si="53"/>
        <v>19.735105492490565</v>
      </c>
      <c r="T231" s="864">
        <f t="shared" si="54"/>
        <v>14.200124701665207</v>
      </c>
      <c r="U231" s="864">
        <f t="shared" si="55"/>
        <v>0</v>
      </c>
      <c r="V231" s="864">
        <f t="shared" si="55"/>
        <v>0</v>
      </c>
      <c r="W231" s="864" t="str">
        <f t="shared" si="60"/>
        <v/>
      </c>
      <c r="X231" s="1067">
        <f t="shared" si="56"/>
        <v>227.53823966346616</v>
      </c>
      <c r="Y231" s="826">
        <f>VLOOKUP(B231,'BD ASVICC'!$A$6:$Y$316,24,FALSE)</f>
        <v>10446</v>
      </c>
      <c r="Z231" s="826" t="str">
        <f t="shared" si="57"/>
        <v>c 5.000 a 20.000 hab.</v>
      </c>
      <c r="AA231" s="826">
        <f t="shared" si="58"/>
        <v>21782.331960890882</v>
      </c>
    </row>
    <row r="232" spans="1:27" s="826" customFormat="1" ht="45">
      <c r="A232" s="835">
        <v>8231</v>
      </c>
      <c r="B232" s="826" t="s">
        <v>1518</v>
      </c>
      <c r="C232" s="878">
        <f>VLOOKUP(A232,copcalor,'1b.Cops de calor'!P$1,FALSE)/1000000</f>
        <v>18.221605475215735</v>
      </c>
      <c r="D232" s="879">
        <f>VLOOKUP($B232,'2b.Incendis forestals'!$B$4:$P$314,9,FALSE)/1000000</f>
        <v>4.611729015906664</v>
      </c>
      <c r="E232" s="878">
        <f>VLOOKUP($B232,'3b aigua'!$B$4:$K$314,8,FALSE)/1000000</f>
        <v>71.283333384389763</v>
      </c>
      <c r="F232" s="879">
        <f t="shared" si="46"/>
        <v>0.92161624999999991</v>
      </c>
      <c r="G232" s="879">
        <f t="shared" si="47"/>
        <v>0.52322400000000002</v>
      </c>
      <c r="H232" s="879">
        <f t="shared" si="48"/>
        <v>0</v>
      </c>
      <c r="I232" s="878" t="str">
        <f>IF(VLOOKUP($A232,'7b erosió costa'!$A$4:$AP$401,9,FALSE)&gt;0,VLOOKUP($A232,'7b erosió costa'!$A$4:$AP$401,9,FALSE),"")</f>
        <v/>
      </c>
      <c r="J232" s="870">
        <f>VLOOKUP(A232,copcalor,'1b.Cops de calor'!Z$1,FALSE)/1000000</f>
        <v>99.662403761646019</v>
      </c>
      <c r="K232" s="870">
        <f>VLOOKUP($B232,'2b.Incendis forestals'!$B$4:$P$314,14,FALSE)/1000000</f>
        <v>12.682254793743326</v>
      </c>
      <c r="L232" s="870">
        <f>VLOOKUP($B232,'3b aigua'!$B$4:$K$314,9,FALSE)/1000000</f>
        <v>130.95757225157047</v>
      </c>
      <c r="M232" s="918">
        <f t="shared" si="49"/>
        <v>6.284234096193841</v>
      </c>
      <c r="N232" s="918">
        <f t="shared" si="50"/>
        <v>0.6001379280000001</v>
      </c>
      <c r="O232" s="918">
        <f t="shared" si="51"/>
        <v>36.418756993800002</v>
      </c>
      <c r="P232" s="918" t="str">
        <f>IF(VLOOKUP($A232,'7b erosió costa'!$A$4:$AP$401,42,FALSE)&gt;0,VLOOKUP($A232,'7b erosió costa'!$A$4:$AP$401,42,FALSE),"")</f>
        <v/>
      </c>
      <c r="Q232" s="863">
        <f t="shared" si="59"/>
        <v>81.44079828643028</v>
      </c>
      <c r="R232" s="864">
        <f t="shared" si="52"/>
        <v>8.0705257778366608</v>
      </c>
      <c r="S232" s="863">
        <f t="shared" si="53"/>
        <v>59.674238867180705</v>
      </c>
      <c r="T232" s="864">
        <f t="shared" si="54"/>
        <v>5.3626178461938414</v>
      </c>
      <c r="U232" s="864">
        <f t="shared" si="55"/>
        <v>7.6913928000000076E-2</v>
      </c>
      <c r="V232" s="864">
        <f t="shared" si="55"/>
        <v>36.418756993800002</v>
      </c>
      <c r="W232" s="864" t="str">
        <f t="shared" si="60"/>
        <v/>
      </c>
      <c r="X232" s="1067">
        <f t="shared" si="56"/>
        <v>191.04385169944149</v>
      </c>
      <c r="Y232" s="826">
        <f>VLOOKUP(B232,'BD ASVICC'!$A$6:$Y$316,24,FALSE)</f>
        <v>29842</v>
      </c>
      <c r="Z232" s="826" t="str">
        <f t="shared" si="57"/>
        <v>d 20.000 a 50.000 hab.</v>
      </c>
      <c r="AA232" s="826">
        <f t="shared" si="58"/>
        <v>6401.8447724496182</v>
      </c>
    </row>
    <row r="233" spans="1:27" s="826" customFormat="1" ht="45">
      <c r="A233" s="835">
        <v>8232</v>
      </c>
      <c r="B233" s="826" t="s">
        <v>1523</v>
      </c>
      <c r="C233" s="878">
        <f>VLOOKUP(A233,copcalor,'1b.Cops de calor'!P$1,FALSE)/1000000</f>
        <v>0.35850133572615517</v>
      </c>
      <c r="D233" s="879">
        <f>VLOOKUP($B233,'2b.Incendis forestals'!$B$4:$P$314,9,FALSE)/1000000</f>
        <v>0.13404644218631337</v>
      </c>
      <c r="E233" s="878">
        <f>VLOOKUP($B233,'3b aigua'!$B$4:$K$314,8,FALSE)/1000000</f>
        <v>3.3532228531691728</v>
      </c>
      <c r="F233" s="879">
        <f t="shared" si="46"/>
        <v>0.30306749999999999</v>
      </c>
      <c r="G233" s="879">
        <f t="shared" si="47"/>
        <v>0.64490400000000003</v>
      </c>
      <c r="H233" s="879">
        <f t="shared" si="48"/>
        <v>0.1307664093</v>
      </c>
      <c r="I233" s="878" t="str">
        <f>IF(VLOOKUP($A233,'7b erosió costa'!$A$4:$AP$401,9,FALSE)&gt;0,VLOOKUP($A233,'7b erosió costa'!$A$4:$AP$401,9,FALSE),"")</f>
        <v/>
      </c>
      <c r="J233" s="870">
        <f>VLOOKUP(A233,copcalor,'1b.Cops de calor'!Z$1,FALSE)/1000000</f>
        <v>2.0284923107191628</v>
      </c>
      <c r="K233" s="870">
        <f>VLOOKUP($B233,'2b.Incendis forestals'!$B$4:$P$314,14,FALSE)/1000000</f>
        <v>0.36862771601236177</v>
      </c>
      <c r="L233" s="870">
        <f>VLOOKUP($B233,'3b aigua'!$B$4:$K$314,9,FALSE)/1000000</f>
        <v>4.8498027790058833</v>
      </c>
      <c r="M233" s="918">
        <f t="shared" si="49"/>
        <v>3.3162639123642323</v>
      </c>
      <c r="N233" s="918">
        <f t="shared" si="50"/>
        <v>0.739704888</v>
      </c>
      <c r="O233" s="918">
        <f t="shared" si="51"/>
        <v>0.16621167420000005</v>
      </c>
      <c r="P233" s="918" t="str">
        <f>IF(VLOOKUP($A233,'7b erosió costa'!$A$4:$AP$401,42,FALSE)&gt;0,VLOOKUP($A233,'7b erosió costa'!$A$4:$AP$401,42,FALSE),"")</f>
        <v/>
      </c>
      <c r="Q233" s="863">
        <f t="shared" si="59"/>
        <v>1.6699909749930075</v>
      </c>
      <c r="R233" s="864">
        <f t="shared" si="52"/>
        <v>0.2345812738260484</v>
      </c>
      <c r="S233" s="863">
        <f t="shared" si="53"/>
        <v>1.4965799258367105</v>
      </c>
      <c r="T233" s="864">
        <f t="shared" si="54"/>
        <v>3.0131964123642323</v>
      </c>
      <c r="U233" s="864">
        <f t="shared" si="55"/>
        <v>9.4800887999999972E-2</v>
      </c>
      <c r="V233" s="864">
        <f t="shared" si="55"/>
        <v>3.5445264900000051E-2</v>
      </c>
      <c r="W233" s="864" t="str">
        <f t="shared" si="60"/>
        <v/>
      </c>
      <c r="X233" s="1067">
        <f t="shared" si="56"/>
        <v>6.5445947399199991</v>
      </c>
      <c r="Y233" s="826">
        <f>VLOOKUP(B233,'BD ASVICC'!$A$6:$Y$316,24,FALSE)</f>
        <v>2369</v>
      </c>
      <c r="Z233" s="826" t="str">
        <f t="shared" si="57"/>
        <v>b 1.000 a 5.000 hab.</v>
      </c>
      <c r="AA233" s="826">
        <f t="shared" si="58"/>
        <v>2762.5980328915148</v>
      </c>
    </row>
    <row r="234" spans="1:27" s="826" customFormat="1" ht="45">
      <c r="A234" s="835">
        <v>8233</v>
      </c>
      <c r="B234" s="826" t="s">
        <v>1524</v>
      </c>
      <c r="C234" s="878">
        <f>VLOOKUP(A234,copcalor,'1b.Cops de calor'!P$1,FALSE)/1000000</f>
        <v>0.70020861335340612</v>
      </c>
      <c r="D234" s="879">
        <f>VLOOKUP($B234,'2b.Incendis forestals'!$B$4:$P$314,9,FALSE)/1000000</f>
        <v>0.52770345099644533</v>
      </c>
      <c r="E234" s="878">
        <f>VLOOKUP($B234,'3b aigua'!$B$4:$K$314,8,FALSE)/1000000</f>
        <v>5.0016416798249601</v>
      </c>
      <c r="F234" s="879">
        <f t="shared" si="46"/>
        <v>3.6669212499999997</v>
      </c>
      <c r="G234" s="879">
        <f t="shared" si="47"/>
        <v>12.782484</v>
      </c>
      <c r="H234" s="879">
        <f t="shared" si="48"/>
        <v>2.9883004799999995E-2</v>
      </c>
      <c r="I234" s="878" t="str">
        <f>IF(VLOOKUP($A234,'7b erosió costa'!$A$4:$AP$401,9,FALSE)&gt;0,VLOOKUP($A234,'7b erosió costa'!$A$4:$AP$401,9,FALSE),"")</f>
        <v/>
      </c>
      <c r="J234" s="870">
        <f>VLOOKUP(A234,copcalor,'1b.Cops de calor'!Z$1,FALSE)/1000000</f>
        <v>4.108669587774008</v>
      </c>
      <c r="K234" s="870">
        <f>VLOOKUP($B234,'2b.Incendis forestals'!$B$4:$P$314,14,FALSE)/1000000</f>
        <v>1.4511844902402249</v>
      </c>
      <c r="L234" s="870">
        <f>VLOOKUP($B234,'3b aigua'!$B$4:$K$314,9,FALSE)/1000000</f>
        <v>7.233928903795098</v>
      </c>
      <c r="M234" s="918">
        <f t="shared" si="49"/>
        <v>20.471189967181907</v>
      </c>
      <c r="N234" s="918">
        <f t="shared" si="50"/>
        <v>14.661509148</v>
      </c>
      <c r="O234" s="918">
        <f t="shared" si="51"/>
        <v>4.823044709999999E-2</v>
      </c>
      <c r="P234" s="918" t="str">
        <f>IF(VLOOKUP($A234,'7b erosió costa'!$A$4:$AP$401,42,FALSE)&gt;0,VLOOKUP($A234,'7b erosió costa'!$A$4:$AP$401,42,FALSE),"")</f>
        <v/>
      </c>
      <c r="Q234" s="863">
        <f t="shared" si="59"/>
        <v>3.4084609744206018</v>
      </c>
      <c r="R234" s="864">
        <f t="shared" si="52"/>
        <v>0.92348103924377956</v>
      </c>
      <c r="S234" s="863">
        <f t="shared" si="53"/>
        <v>2.2322872239701379</v>
      </c>
      <c r="T234" s="864">
        <f t="shared" si="54"/>
        <v>16.804268717181905</v>
      </c>
      <c r="U234" s="864">
        <f t="shared" si="55"/>
        <v>1.8790251480000002</v>
      </c>
      <c r="V234" s="864">
        <f t="shared" si="55"/>
        <v>1.8347442299999996E-2</v>
      </c>
      <c r="W234" s="864" t="str">
        <f t="shared" si="60"/>
        <v/>
      </c>
      <c r="X234" s="1067">
        <f t="shared" si="56"/>
        <v>25.265870545116428</v>
      </c>
      <c r="Y234" s="826">
        <f>VLOOKUP(B234,'BD ASVICC'!$A$6:$Y$316,24,FALSE)</f>
        <v>2427</v>
      </c>
      <c r="Z234" s="826" t="str">
        <f t="shared" si="57"/>
        <v>b 1.000 a 5.000 hab.</v>
      </c>
      <c r="AA234" s="826">
        <f t="shared" si="58"/>
        <v>10410.329849656542</v>
      </c>
    </row>
    <row r="235" spans="1:27" s="826" customFormat="1" ht="45">
      <c r="A235" s="835">
        <v>8234</v>
      </c>
      <c r="B235" s="826" t="s">
        <v>1530</v>
      </c>
      <c r="C235" s="878">
        <f>VLOOKUP(A235,copcalor,'1b.Cops de calor'!P$1,FALSE)/1000000</f>
        <v>0.72518022000171678</v>
      </c>
      <c r="D235" s="879">
        <f>VLOOKUP($B235,'2b.Incendis forestals'!$B$4:$P$314,9,FALSE)/1000000</f>
        <v>0.81941640724687959</v>
      </c>
      <c r="E235" s="878">
        <f>VLOOKUP($B235,'3b aigua'!$B$4:$K$314,8,FALSE)/1000000</f>
        <v>11.949931426379514</v>
      </c>
      <c r="F235" s="879">
        <f t="shared" si="46"/>
        <v>2.9126593750000001</v>
      </c>
      <c r="G235" s="879">
        <f t="shared" si="47"/>
        <v>17.461079999999999</v>
      </c>
      <c r="H235" s="879">
        <f t="shared" si="48"/>
        <v>2.5860729967500005</v>
      </c>
      <c r="I235" s="878" t="str">
        <f>IF(VLOOKUP($A235,'7b erosió costa'!$A$4:$AP$401,9,FALSE)&gt;0,VLOOKUP($A235,'7b erosió costa'!$A$4:$AP$401,9,FALSE),"")</f>
        <v/>
      </c>
      <c r="J235" s="870">
        <f>VLOOKUP(A235,copcalor,'1b.Cops de calor'!Z$1,FALSE)/1000000</f>
        <v>4.0361107648790764</v>
      </c>
      <c r="K235" s="870">
        <f>VLOOKUP($B235,'2b.Incendis forestals'!$B$4:$P$314,14,FALSE)/1000000</f>
        <v>2.2533951199289186</v>
      </c>
      <c r="L235" s="870">
        <f>VLOOKUP($B235,'3b aigua'!$B$4:$K$314,9,FALSE)/1000000</f>
        <v>21.953715319857803</v>
      </c>
      <c r="M235" s="918">
        <f t="shared" si="49"/>
        <v>18.402364637366997</v>
      </c>
      <c r="N235" s="918">
        <f t="shared" si="50"/>
        <v>20.027858760000001</v>
      </c>
      <c r="O235" s="918">
        <f t="shared" si="51"/>
        <v>3.5024972350499999</v>
      </c>
      <c r="P235" s="918" t="str">
        <f>IF(VLOOKUP($A235,'7b erosió costa'!$A$4:$AP$401,42,FALSE)&gt;0,VLOOKUP($A235,'7b erosió costa'!$A$4:$AP$401,42,FALSE),"")</f>
        <v/>
      </c>
      <c r="Q235" s="863">
        <f t="shared" si="59"/>
        <v>3.3109305448773596</v>
      </c>
      <c r="R235" s="864">
        <f t="shared" si="52"/>
        <v>1.4339787126820389</v>
      </c>
      <c r="S235" s="863">
        <f t="shared" si="53"/>
        <v>10.003783893478289</v>
      </c>
      <c r="T235" s="864">
        <f t="shared" si="54"/>
        <v>15.489705262366996</v>
      </c>
      <c r="U235" s="864">
        <f t="shared" si="55"/>
        <v>2.5667787600000018</v>
      </c>
      <c r="V235" s="864">
        <f t="shared" si="55"/>
        <v>0.91642423829999942</v>
      </c>
      <c r="W235" s="864" t="str">
        <f t="shared" si="60"/>
        <v/>
      </c>
      <c r="X235" s="1067">
        <f t="shared" si="56"/>
        <v>33.721601411704683</v>
      </c>
      <c r="Y235" s="826">
        <f>VLOOKUP(B235,'BD ASVICC'!$A$6:$Y$316,24,FALSE)</f>
        <v>4257</v>
      </c>
      <c r="Z235" s="826" t="str">
        <f t="shared" si="57"/>
        <v>b 1.000 a 5.000 hab.</v>
      </c>
      <c r="AA235" s="826">
        <f t="shared" si="58"/>
        <v>7921.447360043383</v>
      </c>
    </row>
    <row r="236" spans="1:27" s="826" customFormat="1" ht="45">
      <c r="A236" s="835">
        <v>8235</v>
      </c>
      <c r="B236" s="826" t="s">
        <v>353</v>
      </c>
      <c r="C236" s="878">
        <f>VLOOKUP(A236,copcalor,'1b.Cops de calor'!P$1,FALSE)/1000000</f>
        <v>8.6353922391137168</v>
      </c>
      <c r="D236" s="879">
        <f>VLOOKUP($B236,'2b.Incendis forestals'!$B$4:$P$314,9,FALSE)/1000000</f>
        <v>0.18263838155783466</v>
      </c>
      <c r="E236" s="878">
        <f>VLOOKUP($B236,'3b aigua'!$B$4:$K$314,8,FALSE)/1000000</f>
        <v>15.241087357161815</v>
      </c>
      <c r="F236" s="879">
        <f t="shared" si="46"/>
        <v>0.94888499999999998</v>
      </c>
      <c r="G236" s="879">
        <f t="shared" si="47"/>
        <v>2.308878</v>
      </c>
      <c r="H236" s="879">
        <f t="shared" si="48"/>
        <v>0</v>
      </c>
      <c r="I236" s="878">
        <f>IF(VLOOKUP($A236,'7b erosió costa'!$A$4:$AP$401,9,FALSE)&gt;0,VLOOKUP($A236,'7b erosió costa'!$A$4:$AP$401,9,FALSE),"")</f>
        <v>14.621521834061133</v>
      </c>
      <c r="J236" s="870">
        <f>VLOOKUP(A236,copcalor,'1b.Cops de calor'!Z$1,FALSE)/1000000</f>
        <v>50.650715957900708</v>
      </c>
      <c r="K236" s="870">
        <f>VLOOKUP($B236,'2b.Incendis forestals'!$B$4:$P$314,14,FALSE)/1000000</f>
        <v>0.50225554928404537</v>
      </c>
      <c r="L236" s="870">
        <f>VLOOKUP($B236,'3b aigua'!$B$4:$K$314,9,FALSE)/1000000</f>
        <v>28.000034566356334</v>
      </c>
      <c r="M236" s="918">
        <f t="shared" si="49"/>
        <v>9.7354205904050737</v>
      </c>
      <c r="N236" s="918">
        <f t="shared" si="50"/>
        <v>2.6482830659999999</v>
      </c>
      <c r="O236" s="918">
        <f t="shared" si="51"/>
        <v>57.94937022405</v>
      </c>
      <c r="P236" s="918">
        <f>IF(VLOOKUP($A236,'7b erosió costa'!$A$4:$AP$401,42,FALSE)&gt;0,VLOOKUP($A236,'7b erosió costa'!$A$4:$AP$401,42,FALSE),"")</f>
        <v>16.875397447094389</v>
      </c>
      <c r="Q236" s="863">
        <f t="shared" si="59"/>
        <v>42.015323718786988</v>
      </c>
      <c r="R236" s="864">
        <f t="shared" si="52"/>
        <v>0.31961716772621074</v>
      </c>
      <c r="S236" s="863">
        <f t="shared" si="53"/>
        <v>12.758947209194519</v>
      </c>
      <c r="T236" s="864">
        <f t="shared" si="54"/>
        <v>8.786535590405073</v>
      </c>
      <c r="U236" s="864">
        <f t="shared" si="55"/>
        <v>0.33940506599999987</v>
      </c>
      <c r="V236" s="864">
        <f t="shared" si="55"/>
        <v>57.94937022405</v>
      </c>
      <c r="W236" s="864">
        <f t="shared" si="60"/>
        <v>2.2538756130332569</v>
      </c>
      <c r="X236" s="1067">
        <f t="shared" si="56"/>
        <v>124.42307458919605</v>
      </c>
      <c r="Y236" s="826">
        <f>VLOOKUP(B236,'BD ASVICC'!$A$6:$Y$316,24,FALSE)</f>
        <v>4951</v>
      </c>
      <c r="Z236" s="826" t="str">
        <f t="shared" si="57"/>
        <v>b 1.000 a 5.000 hab.</v>
      </c>
      <c r="AA236" s="826">
        <f t="shared" si="58"/>
        <v>25130.897715450625</v>
      </c>
    </row>
    <row r="237" spans="1:27" s="826" customFormat="1" ht="45">
      <c r="A237" s="835">
        <v>8236</v>
      </c>
      <c r="B237" s="826" t="s">
        <v>1532</v>
      </c>
      <c r="C237" s="878">
        <f>VLOOKUP(A237,copcalor,'1b.Cops de calor'!P$1,FALSE)/1000000</f>
        <v>0.38867117267841916</v>
      </c>
      <c r="D237" s="879">
        <f>VLOOKUP($B237,'2b.Incendis forestals'!$B$4:$P$314,9,FALSE)/1000000</f>
        <v>0.63644814826672369</v>
      </c>
      <c r="E237" s="878">
        <f>VLOOKUP($B237,'3b aigua'!$B$4:$K$314,8,FALSE)/1000000</f>
        <v>3.1446226256949332</v>
      </c>
      <c r="F237" s="879">
        <f t="shared" si="46"/>
        <v>0.45187437499999999</v>
      </c>
      <c r="G237" s="879">
        <f t="shared" si="47"/>
        <v>0.88217999999999985</v>
      </c>
      <c r="H237" s="879">
        <f t="shared" si="48"/>
        <v>9.401706014999997E-2</v>
      </c>
      <c r="I237" s="878" t="str">
        <f>IF(VLOOKUP($A237,'7b erosió costa'!$A$4:$AP$401,9,FALSE)&gt;0,VLOOKUP($A237,'7b erosió costa'!$A$4:$AP$401,9,FALSE),"")</f>
        <v/>
      </c>
      <c r="J237" s="870">
        <f>VLOOKUP(A237,copcalor,'1b.Cops de calor'!Z$1,FALSE)/1000000</f>
        <v>2.2223369527375874</v>
      </c>
      <c r="K237" s="870">
        <f>VLOOKUP($B237,'2b.Incendis forestals'!$B$4:$P$314,14,FALSE)/1000000</f>
        <v>1.7502324077334905</v>
      </c>
      <c r="L237" s="870">
        <f>VLOOKUP($B237,'3b aigua'!$B$4:$K$314,9,FALSE)/1000000</f>
        <v>4.54810199525103</v>
      </c>
      <c r="M237" s="918">
        <f t="shared" si="49"/>
        <v>3.624587616746445</v>
      </c>
      <c r="N237" s="918">
        <f t="shared" si="50"/>
        <v>1.0118604599999999</v>
      </c>
      <c r="O237" s="918">
        <f t="shared" si="51"/>
        <v>0.11081226825</v>
      </c>
      <c r="P237" s="918" t="str">
        <f>IF(VLOOKUP($A237,'7b erosió costa'!$A$4:$AP$401,42,FALSE)&gt;0,VLOOKUP($A237,'7b erosió costa'!$A$4:$AP$401,42,FALSE),"")</f>
        <v/>
      </c>
      <c r="Q237" s="863">
        <f t="shared" si="59"/>
        <v>1.8336657800591682</v>
      </c>
      <c r="R237" s="864">
        <f t="shared" si="52"/>
        <v>1.1137842594667668</v>
      </c>
      <c r="S237" s="863">
        <f t="shared" si="53"/>
        <v>1.4034793695560968</v>
      </c>
      <c r="T237" s="864">
        <f t="shared" si="54"/>
        <v>3.172713241746445</v>
      </c>
      <c r="U237" s="864">
        <f t="shared" si="55"/>
        <v>0.12968046</v>
      </c>
      <c r="V237" s="864">
        <f t="shared" si="55"/>
        <v>1.6795208100000028E-2</v>
      </c>
      <c r="W237" s="864" t="str">
        <f t="shared" si="60"/>
        <v/>
      </c>
      <c r="X237" s="1067">
        <f t="shared" si="56"/>
        <v>7.6701183189284778</v>
      </c>
      <c r="Y237" s="826">
        <f>VLOOKUP(B237,'BD ASVICC'!$A$6:$Y$316,24,FALSE)</f>
        <v>2121</v>
      </c>
      <c r="Z237" s="826" t="str">
        <f t="shared" si="57"/>
        <v>b 1.000 a 5.000 hab.</v>
      </c>
      <c r="AA237" s="826">
        <f t="shared" si="58"/>
        <v>3616.274549235492</v>
      </c>
    </row>
    <row r="238" spans="1:27" s="826" customFormat="1" ht="45">
      <c r="A238" s="835">
        <v>8237</v>
      </c>
      <c r="B238" s="826" t="s">
        <v>1536</v>
      </c>
      <c r="C238" s="878">
        <f>VLOOKUP(A238,copcalor,'1b.Cops de calor'!P$1,FALSE)/1000000</f>
        <v>0.74114655263187124</v>
      </c>
      <c r="D238" s="879">
        <f>VLOOKUP($B238,'2b.Incendis forestals'!$B$4:$P$314,9,FALSE)/1000000</f>
        <v>5.6847524080853279E-2</v>
      </c>
      <c r="E238" s="878">
        <f>VLOOKUP($B238,'3b aigua'!$B$4:$K$314,8,FALSE)/1000000</f>
        <v>2.2501215850666663</v>
      </c>
      <c r="F238" s="879">
        <f t="shared" si="46"/>
        <v>0.67223624999999998</v>
      </c>
      <c r="G238" s="879">
        <f t="shared" si="47"/>
        <v>3.2245199999999996</v>
      </c>
      <c r="H238" s="879">
        <f t="shared" si="48"/>
        <v>19.150017520950001</v>
      </c>
      <c r="I238" s="878" t="str">
        <f>IF(VLOOKUP($A238,'7b erosió costa'!$A$4:$AP$401,9,FALSE)&gt;0,VLOOKUP($A238,'7b erosió costa'!$A$4:$AP$401,9,FALSE),"")</f>
        <v/>
      </c>
      <c r="J238" s="870">
        <f>VLOOKUP(A238,copcalor,'1b.Cops de calor'!Z$1,FALSE)/1000000</f>
        <v>4.3534820445983371</v>
      </c>
      <c r="K238" s="870">
        <f>VLOOKUP($B238,'2b.Incendis forestals'!$B$4:$P$314,14,FALSE)/1000000</f>
        <v>0.1563306912223465</v>
      </c>
      <c r="L238" s="870">
        <f>VLOOKUP($B238,'3b aigua'!$B$4:$K$314,9,FALSE)/1000000</f>
        <v>3.2543753857706665</v>
      </c>
      <c r="M238" s="918">
        <f t="shared" si="49"/>
        <v>6.6071015258033512</v>
      </c>
      <c r="N238" s="918">
        <f t="shared" si="50"/>
        <v>3.698524439999999</v>
      </c>
      <c r="O238" s="918">
        <f t="shared" si="51"/>
        <v>28.238636951399993</v>
      </c>
      <c r="P238" s="918" t="str">
        <f>IF(VLOOKUP($A238,'7b erosió costa'!$A$4:$AP$401,42,FALSE)&gt;0,VLOOKUP($A238,'7b erosió costa'!$A$4:$AP$401,42,FALSE),"")</f>
        <v/>
      </c>
      <c r="Q238" s="863">
        <f t="shared" si="59"/>
        <v>3.6123354919664656</v>
      </c>
      <c r="R238" s="864">
        <f t="shared" si="52"/>
        <v>9.9483167141493217E-2</v>
      </c>
      <c r="S238" s="863">
        <f t="shared" si="53"/>
        <v>1.0042538007040003</v>
      </c>
      <c r="T238" s="864">
        <f t="shared" si="54"/>
        <v>5.9348652758033511</v>
      </c>
      <c r="U238" s="864">
        <f t="shared" si="55"/>
        <v>0.47400443999999942</v>
      </c>
      <c r="V238" s="864">
        <f t="shared" si="55"/>
        <v>9.0886194304499917</v>
      </c>
      <c r="W238" s="864" t="str">
        <f t="shared" si="60"/>
        <v/>
      </c>
      <c r="X238" s="1067">
        <f t="shared" si="56"/>
        <v>20.213561606065305</v>
      </c>
      <c r="Y238" s="826">
        <f>VLOOKUP(B238,'BD ASVICC'!$A$6:$Y$316,24,FALSE)</f>
        <v>2125</v>
      </c>
      <c r="Z238" s="826" t="str">
        <f t="shared" si="57"/>
        <v>b 1.000 a 5.000 hab.</v>
      </c>
      <c r="AA238" s="826">
        <f t="shared" si="58"/>
        <v>9512.2642852072022</v>
      </c>
    </row>
    <row r="239" spans="1:27" s="826" customFormat="1" ht="45">
      <c r="A239" s="835">
        <v>8238</v>
      </c>
      <c r="B239" s="826" t="s">
        <v>1538</v>
      </c>
      <c r="C239" s="878">
        <f>VLOOKUP(A239,copcalor,'1b.Cops de calor'!P$1,FALSE)/1000000</f>
        <v>5.7319290342738629</v>
      </c>
      <c r="D239" s="879">
        <f>VLOOKUP($B239,'2b.Incendis forestals'!$B$4:$P$314,9,FALSE)/1000000</f>
        <v>0.91751483687072433</v>
      </c>
      <c r="E239" s="878">
        <f>VLOOKUP($B239,'3b aigua'!$B$4:$K$314,8,FALSE)/1000000</f>
        <v>36.170228563724159</v>
      </c>
      <c r="F239" s="879">
        <f t="shared" si="46"/>
        <v>0.58465999999999996</v>
      </c>
      <c r="G239" s="879">
        <f t="shared" si="47"/>
        <v>0.139932</v>
      </c>
      <c r="H239" s="879">
        <f t="shared" si="48"/>
        <v>10.3178818635</v>
      </c>
      <c r="I239" s="878" t="str">
        <f>IF(VLOOKUP($A239,'7b erosió costa'!$A$4:$AP$401,9,FALSE)&gt;0,VLOOKUP($A239,'7b erosió costa'!$A$4:$AP$401,9,FALSE),"")</f>
        <v/>
      </c>
      <c r="J239" s="870">
        <f>VLOOKUP(A239,copcalor,'1b.Cops de calor'!Z$1,FALSE)/1000000</f>
        <v>33.659680152990866</v>
      </c>
      <c r="K239" s="870">
        <f>VLOOKUP($B239,'2b.Incendis forestals'!$B$4:$P$314,14,FALSE)/1000000</f>
        <v>2.5231658013944918</v>
      </c>
      <c r="L239" s="870">
        <f>VLOOKUP($B239,'3b aigua'!$B$4:$K$314,9,FALSE)/1000000</f>
        <v>66.44982909184526</v>
      </c>
      <c r="M239" s="918">
        <f t="shared" si="49"/>
        <v>3.1338814425948684</v>
      </c>
      <c r="N239" s="918">
        <f t="shared" si="50"/>
        <v>0.160502004</v>
      </c>
      <c r="O239" s="918">
        <f t="shared" si="51"/>
        <v>13.603435621199999</v>
      </c>
      <c r="P239" s="918" t="str">
        <f>IF(VLOOKUP($A239,'7b erosió costa'!$A$4:$AP$401,42,FALSE)&gt;0,VLOOKUP($A239,'7b erosió costa'!$A$4:$AP$401,42,FALSE),"")</f>
        <v/>
      </c>
      <c r="Q239" s="863">
        <f t="shared" si="59"/>
        <v>27.927751118717005</v>
      </c>
      <c r="R239" s="864">
        <f t="shared" si="52"/>
        <v>1.6056509645237673</v>
      </c>
      <c r="S239" s="863">
        <f t="shared" si="53"/>
        <v>30.279600528121101</v>
      </c>
      <c r="T239" s="864">
        <f t="shared" si="54"/>
        <v>2.5492214425948685</v>
      </c>
      <c r="U239" s="864">
        <f t="shared" si="55"/>
        <v>2.0570004000000003E-2</v>
      </c>
      <c r="V239" s="864">
        <f t="shared" si="55"/>
        <v>3.2855537576999989</v>
      </c>
      <c r="W239" s="864" t="str">
        <f t="shared" si="60"/>
        <v/>
      </c>
      <c r="X239" s="1067">
        <f t="shared" si="56"/>
        <v>65.668347815656745</v>
      </c>
      <c r="Y239" s="826">
        <f>VLOOKUP(B239,'BD ASVICC'!$A$6:$Y$316,24,FALSE)</f>
        <v>19664</v>
      </c>
      <c r="Z239" s="826" t="str">
        <f t="shared" si="57"/>
        <v>c 5.000 a 20.000 hab.</v>
      </c>
      <c r="AA239" s="826">
        <f t="shared" si="58"/>
        <v>3339.5213494536588</v>
      </c>
    </row>
    <row r="240" spans="1:27" s="826" customFormat="1" ht="30">
      <c r="A240" s="835">
        <v>8239</v>
      </c>
      <c r="B240" s="826" t="s">
        <v>1542</v>
      </c>
      <c r="C240" s="878">
        <f>VLOOKUP(A240,copcalor,'1b.Cops de calor'!P$1,FALSE)/1000000</f>
        <v>6.0969252245843611E-2</v>
      </c>
      <c r="D240" s="879">
        <f>VLOOKUP($B240,'2b.Incendis forestals'!$B$4:$P$314,9,FALSE)/1000000</f>
        <v>0.69843897560797608</v>
      </c>
      <c r="E240" s="878">
        <f>VLOOKUP($B240,'3b aigua'!$B$4:$K$314,8,FALSE)/1000000</f>
        <v>2.2879020569158399</v>
      </c>
      <c r="F240" s="879">
        <f t="shared" si="46"/>
        <v>0.75578000000000001</v>
      </c>
      <c r="G240" s="879">
        <f t="shared" si="47"/>
        <v>0.389376</v>
      </c>
      <c r="H240" s="879">
        <f t="shared" si="48"/>
        <v>0</v>
      </c>
      <c r="I240" s="878" t="str">
        <f>IF(VLOOKUP($A240,'7b erosió costa'!$A$4:$AP$401,9,FALSE)&gt;0,VLOOKUP($A240,'7b erosió costa'!$A$4:$AP$401,9,FALSE),"")</f>
        <v/>
      </c>
      <c r="J240" s="870">
        <f>VLOOKUP(A240,copcalor,'1b.Cops de calor'!Z$1,FALSE)/1000000</f>
        <v>0.33132948868629097</v>
      </c>
      <c r="K240" s="870">
        <f>VLOOKUP($B240,'2b.Incendis forestals'!$B$4:$P$314,14,FALSE)/1000000</f>
        <v>1.9207071829219342</v>
      </c>
      <c r="L240" s="870">
        <f>VLOOKUP($B240,'3b aigua'!$B$4:$K$314,9,FALSE)/1000000</f>
        <v>3.309017694197351</v>
      </c>
      <c r="M240" s="918">
        <f t="shared" si="49"/>
        <v>4.0652321037026571</v>
      </c>
      <c r="N240" s="918">
        <f t="shared" si="50"/>
        <v>0.44661427199999992</v>
      </c>
      <c r="O240" s="918">
        <f t="shared" si="51"/>
        <v>0</v>
      </c>
      <c r="P240" s="918" t="str">
        <f>IF(VLOOKUP($A240,'7b erosió costa'!$A$4:$AP$401,42,FALSE)&gt;0,VLOOKUP($A240,'7b erosió costa'!$A$4:$AP$401,42,FALSE),"")</f>
        <v/>
      </c>
      <c r="Q240" s="863">
        <f t="shared" si="59"/>
        <v>0.27036023644044738</v>
      </c>
      <c r="R240" s="864">
        <f t="shared" si="52"/>
        <v>1.2222682073139581</v>
      </c>
      <c r="S240" s="863">
        <f t="shared" si="53"/>
        <v>1.0211156372815111</v>
      </c>
      <c r="T240" s="864">
        <f t="shared" si="54"/>
        <v>3.309452103702657</v>
      </c>
      <c r="U240" s="864">
        <f t="shared" si="55"/>
        <v>5.7238271999999923E-2</v>
      </c>
      <c r="V240" s="864">
        <f t="shared" si="55"/>
        <v>0</v>
      </c>
      <c r="W240" s="864" t="str">
        <f t="shared" si="60"/>
        <v/>
      </c>
      <c r="X240" s="1067">
        <f t="shared" si="56"/>
        <v>5.8804344567385742</v>
      </c>
      <c r="Y240" s="826">
        <f>VLOOKUP(B240,'BD ASVICC'!$A$6:$Y$316,24,FALSE)</f>
        <v>637</v>
      </c>
      <c r="Z240" s="826" t="str">
        <f t="shared" si="57"/>
        <v>a &lt; 1.000 hab.</v>
      </c>
      <c r="AA240" s="826">
        <f t="shared" si="58"/>
        <v>9231.4512664655795</v>
      </c>
    </row>
    <row r="241" spans="1:27" s="826" customFormat="1" ht="45">
      <c r="A241" s="835">
        <v>8240</v>
      </c>
      <c r="B241" s="826" t="s">
        <v>1544</v>
      </c>
      <c r="C241" s="878">
        <f>VLOOKUP(A241,copcalor,'1b.Cops de calor'!P$1,FALSE)/1000000</f>
        <v>2.6497760168586169</v>
      </c>
      <c r="D241" s="879">
        <f>VLOOKUP($B241,'2b.Incendis forestals'!$B$4:$P$314,9,FALSE)/1000000</f>
        <v>0.45553994173885359</v>
      </c>
      <c r="E241" s="878">
        <f>VLOOKUP($B241,'3b aigua'!$B$4:$K$314,8,FALSE)/1000000</f>
        <v>24.908645432523517</v>
      </c>
      <c r="F241" s="879">
        <f t="shared" si="46"/>
        <v>0.49020874999999997</v>
      </c>
      <c r="G241" s="879">
        <f t="shared" si="47"/>
        <v>1.5392519999999998</v>
      </c>
      <c r="H241" s="879">
        <f t="shared" si="48"/>
        <v>34.4342635581</v>
      </c>
      <c r="I241" s="878" t="str">
        <f>IF(VLOOKUP($A241,'7b erosió costa'!$A$4:$AP$401,9,FALSE)&gt;0,VLOOKUP($A241,'7b erosió costa'!$A$4:$AP$401,9,FALSE),"")</f>
        <v/>
      </c>
      <c r="J241" s="870">
        <f>VLOOKUP(A241,copcalor,'1b.Cops de calor'!Z$1,FALSE)/1000000</f>
        <v>14.870286635303815</v>
      </c>
      <c r="K241" s="870">
        <f>VLOOKUP($B241,'2b.Incendis forestals'!$B$4:$P$314,14,FALSE)/1000000</f>
        <v>1.2527348397818474</v>
      </c>
      <c r="L241" s="870">
        <f>VLOOKUP($B241,'3b aigua'!$B$4:$K$314,9,FALSE)/1000000</f>
        <v>45.760707013075596</v>
      </c>
      <c r="M241" s="918">
        <f t="shared" si="49"/>
        <v>5.2452853432199289</v>
      </c>
      <c r="N241" s="918">
        <f t="shared" si="50"/>
        <v>1.7655220439999999</v>
      </c>
      <c r="O241" s="918">
        <f t="shared" si="51"/>
        <v>50.03438657025</v>
      </c>
      <c r="P241" s="918" t="str">
        <f>IF(VLOOKUP($A241,'7b erosió costa'!$A$4:$AP$401,42,FALSE)&gt;0,VLOOKUP($A241,'7b erosió costa'!$A$4:$AP$401,42,FALSE),"")</f>
        <v/>
      </c>
      <c r="Q241" s="863">
        <f t="shared" si="59"/>
        <v>12.220510618445198</v>
      </c>
      <c r="R241" s="864">
        <f t="shared" si="52"/>
        <v>0.79719489804299382</v>
      </c>
      <c r="S241" s="863">
        <f t="shared" si="53"/>
        <v>20.852061580552078</v>
      </c>
      <c r="T241" s="864">
        <f t="shared" si="54"/>
        <v>4.755076593219929</v>
      </c>
      <c r="U241" s="864">
        <f t="shared" si="55"/>
        <v>0.22627004400000006</v>
      </c>
      <c r="V241" s="864">
        <f t="shared" si="55"/>
        <v>15.60012301215</v>
      </c>
      <c r="W241" s="864" t="str">
        <f t="shared" si="60"/>
        <v/>
      </c>
      <c r="X241" s="1067">
        <f t="shared" si="56"/>
        <v>54.451236746410196</v>
      </c>
      <c r="Y241" s="826">
        <f>VLOOKUP(B241,'BD ASVICC'!$A$6:$Y$316,24,FALSE)</f>
        <v>12654</v>
      </c>
      <c r="Z241" s="826" t="str">
        <f t="shared" si="57"/>
        <v>c 5.000 a 20.000 hab.</v>
      </c>
      <c r="AA241" s="826">
        <f t="shared" si="58"/>
        <v>4303.0849333341394</v>
      </c>
    </row>
    <row r="242" spans="1:27" s="826" customFormat="1" ht="30">
      <c r="A242" s="835">
        <v>8241</v>
      </c>
      <c r="B242" s="826" t="s">
        <v>1549</v>
      </c>
      <c r="C242" s="878">
        <f>VLOOKUP(A242,copcalor,'1b.Cops de calor'!P$1,FALSE)/1000000</f>
        <v>9.9292139429306328E-2</v>
      </c>
      <c r="D242" s="879">
        <f>VLOOKUP($B242,'2b.Incendis forestals'!$B$4:$P$314,9,FALSE)/1000000</f>
        <v>0.32407748359207744</v>
      </c>
      <c r="E242" s="878">
        <f>VLOOKUP($B242,'3b aigua'!$B$4:$K$314,8,FALSE)/1000000</f>
        <v>5.5075184437333334E-3</v>
      </c>
      <c r="F242" s="879">
        <f t="shared" si="46"/>
        <v>0.90550999999999993</v>
      </c>
      <c r="G242" s="879">
        <f t="shared" si="47"/>
        <v>3.5165519999999999</v>
      </c>
      <c r="H242" s="879">
        <f t="shared" si="48"/>
        <v>0</v>
      </c>
      <c r="I242" s="878" t="str">
        <f>IF(VLOOKUP($A242,'7b erosió costa'!$A$4:$AP$401,9,FALSE)&gt;0,VLOOKUP($A242,'7b erosió costa'!$A$4:$AP$401,9,FALSE),"")</f>
        <v/>
      </c>
      <c r="J242" s="870">
        <f>VLOOKUP(A242,copcalor,'1b.Cops de calor'!Z$1,FALSE)/1000000</f>
        <v>0.59024644029862794</v>
      </c>
      <c r="K242" s="870">
        <f>VLOOKUP($B242,'2b.Incendis forestals'!$B$4:$P$314,14,FALSE)/1000000</f>
        <v>0.89121307987821319</v>
      </c>
      <c r="L242" s="870">
        <f>VLOOKUP($B242,'3b aigua'!$B$4:$K$314,9,FALSE)/1000000</f>
        <v>7.9655839839573341E-3</v>
      </c>
      <c r="M242" s="918">
        <f t="shared" si="49"/>
        <v>4.053390040483392</v>
      </c>
      <c r="N242" s="918">
        <f t="shared" si="50"/>
        <v>4.0334851440000001</v>
      </c>
      <c r="O242" s="918">
        <f t="shared" si="51"/>
        <v>0</v>
      </c>
      <c r="P242" s="918" t="str">
        <f>IF(VLOOKUP($A242,'7b erosió costa'!$A$4:$AP$401,42,FALSE)&gt;0,VLOOKUP($A242,'7b erosió costa'!$A$4:$AP$401,42,FALSE),"")</f>
        <v/>
      </c>
      <c r="Q242" s="863">
        <f t="shared" si="59"/>
        <v>0.49095430086932162</v>
      </c>
      <c r="R242" s="864">
        <f t="shared" si="52"/>
        <v>0.56713559628613575</v>
      </c>
      <c r="S242" s="863">
        <f t="shared" si="53"/>
        <v>2.4580655402240007E-3</v>
      </c>
      <c r="T242" s="864">
        <f t="shared" si="54"/>
        <v>3.147880040483392</v>
      </c>
      <c r="U242" s="864">
        <f t="shared" si="55"/>
        <v>0.51693314400000023</v>
      </c>
      <c r="V242" s="864">
        <f t="shared" si="55"/>
        <v>0</v>
      </c>
      <c r="W242" s="864" t="str">
        <f t="shared" si="60"/>
        <v/>
      </c>
      <c r="X242" s="1067">
        <f t="shared" si="56"/>
        <v>4.7253611471790737</v>
      </c>
      <c r="Y242" s="826">
        <f>VLOOKUP(B242,'BD ASVICC'!$A$6:$Y$316,24,FALSE)</f>
        <v>80</v>
      </c>
      <c r="Z242" s="826" t="str">
        <f t="shared" si="57"/>
        <v>a &lt; 1.000 hab.</v>
      </c>
      <c r="AA242" s="826">
        <f t="shared" si="58"/>
        <v>59067.014339738424</v>
      </c>
    </row>
    <row r="243" spans="1:27" s="826" customFormat="1" ht="30">
      <c r="A243" s="835">
        <v>8242</v>
      </c>
      <c r="B243" s="826" t="s">
        <v>1555</v>
      </c>
      <c r="C243" s="878">
        <f>VLOOKUP(A243,copcalor,'1b.Cops de calor'!P$1,FALSE)/1000000</f>
        <v>0.82813868719179595</v>
      </c>
      <c r="D243" s="879">
        <f>VLOOKUP($B243,'2b.Incendis forestals'!$B$4:$P$314,9,FALSE)/1000000</f>
        <v>1.7473495749497501</v>
      </c>
      <c r="E243" s="878">
        <f>VLOOKUP($B243,'3b aigua'!$B$4:$K$314,8,FALSE)/1000000</f>
        <v>0.6216839914165333</v>
      </c>
      <c r="F243" s="879">
        <f t="shared" si="46"/>
        <v>0.37789</v>
      </c>
      <c r="G243" s="879">
        <f t="shared" si="47"/>
        <v>4.8672E-2</v>
      </c>
      <c r="H243" s="879">
        <f t="shared" si="48"/>
        <v>0</v>
      </c>
      <c r="I243" s="878" t="str">
        <f>IF(VLOOKUP($A243,'7b erosió costa'!$A$4:$AP$401,9,FALSE)&gt;0,VLOOKUP($A243,'7b erosió costa'!$A$4:$AP$401,9,FALSE),"")</f>
        <v/>
      </c>
      <c r="J243" s="870">
        <f>VLOOKUP(A243,copcalor,'1b.Cops de calor'!Z$1,FALSE)/1000000</f>
        <v>4.7167040424995745</v>
      </c>
      <c r="K243" s="870">
        <f>VLOOKUP($B243,'2b.Incendis forestals'!$B$4:$P$314,14,FALSE)/1000000</f>
        <v>4.8052113311118125</v>
      </c>
      <c r="L243" s="870">
        <f>VLOOKUP($B243,'3b aigua'!$B$4:$K$314,9,FALSE)/1000000</f>
        <v>0.89914833617032541</v>
      </c>
      <c r="M243" s="918">
        <f t="shared" si="49"/>
        <v>1.8070567701914171</v>
      </c>
      <c r="N243" s="918">
        <f t="shared" si="50"/>
        <v>5.582678399999999E-2</v>
      </c>
      <c r="O243" s="918">
        <f t="shared" si="51"/>
        <v>0</v>
      </c>
      <c r="P243" s="918" t="str">
        <f>IF(VLOOKUP($A243,'7b erosió costa'!$A$4:$AP$401,42,FALSE)&gt;0,VLOOKUP($A243,'7b erosió costa'!$A$4:$AP$401,42,FALSE),"")</f>
        <v/>
      </c>
      <c r="Q243" s="863">
        <f t="shared" si="59"/>
        <v>3.8885653553077786</v>
      </c>
      <c r="R243" s="864">
        <f t="shared" si="52"/>
        <v>3.0578617561620627</v>
      </c>
      <c r="S243" s="863">
        <f t="shared" si="53"/>
        <v>0.27746434475379211</v>
      </c>
      <c r="T243" s="864">
        <f t="shared" si="54"/>
        <v>1.429166770191417</v>
      </c>
      <c r="U243" s="864">
        <f t="shared" si="55"/>
        <v>7.1547839999999904E-3</v>
      </c>
      <c r="V243" s="864">
        <f t="shared" si="55"/>
        <v>0</v>
      </c>
      <c r="W243" s="864" t="str">
        <f t="shared" si="60"/>
        <v/>
      </c>
      <c r="X243" s="1067">
        <f t="shared" si="56"/>
        <v>8.6602130104150508</v>
      </c>
      <c r="Y243" s="826">
        <f>VLOOKUP(B243,'BD ASVICC'!$A$6:$Y$316,24,FALSE)</f>
        <v>277</v>
      </c>
      <c r="Z243" s="826" t="str">
        <f t="shared" si="57"/>
        <v>a &lt; 1.000 hab.</v>
      </c>
      <c r="AA243" s="826">
        <f t="shared" si="58"/>
        <v>31264.306896805239</v>
      </c>
    </row>
    <row r="244" spans="1:27" s="826" customFormat="1" ht="30">
      <c r="A244" s="835">
        <v>8243</v>
      </c>
      <c r="B244" s="826" t="s">
        <v>1556</v>
      </c>
      <c r="C244" s="878">
        <f>VLOOKUP(A244,copcalor,'1b.Cops de calor'!P$1,FALSE)/1000000</f>
        <v>2.855690819538233E-3</v>
      </c>
      <c r="D244" s="879">
        <f>VLOOKUP($B244,'2b.Incendis forestals'!$B$4:$P$314,9,FALSE)/1000000</f>
        <v>4.1587225608329143E-2</v>
      </c>
      <c r="E244" s="878">
        <f>VLOOKUP($B244,'3b aigua'!$B$4:$K$314,8,FALSE)/1000000</f>
        <v>0.85274914077162656</v>
      </c>
      <c r="F244" s="879">
        <f t="shared" si="46"/>
        <v>2.7343974999999996</v>
      </c>
      <c r="G244" s="879">
        <f t="shared" si="47"/>
        <v>13.202279999999998</v>
      </c>
      <c r="H244" s="879">
        <f t="shared" si="48"/>
        <v>0</v>
      </c>
      <c r="I244" s="878" t="str">
        <f>IF(VLOOKUP($A244,'7b erosió costa'!$A$4:$AP$401,9,FALSE)&gt;0,VLOOKUP($A244,'7b erosió costa'!$A$4:$AP$401,9,FALSE),"")</f>
        <v/>
      </c>
      <c r="J244" s="870">
        <f>VLOOKUP(A244,copcalor,'1b.Cops de calor'!Z$1,FALSE)/1000000</f>
        <v>4.5382634331113956E-3</v>
      </c>
      <c r="K244" s="870">
        <f>VLOOKUP($B244,'2b.Incendis forestals'!$B$4:$P$314,14,FALSE)/1000000</f>
        <v>0.11436487042290515</v>
      </c>
      <c r="L244" s="870">
        <f>VLOOKUP($B244,'3b aigua'!$B$4:$K$314,9,FALSE)/1000000</f>
        <v>1.2333403814185644</v>
      </c>
      <c r="M244" s="918">
        <f t="shared" si="49"/>
        <v>12.377547607808244</v>
      </c>
      <c r="N244" s="918">
        <f t="shared" si="50"/>
        <v>15.143015160000001</v>
      </c>
      <c r="O244" s="918">
        <f t="shared" si="51"/>
        <v>0</v>
      </c>
      <c r="P244" s="918" t="str">
        <f>IF(VLOOKUP($A244,'7b erosió costa'!$A$4:$AP$401,42,FALSE)&gt;0,VLOOKUP($A244,'7b erosió costa'!$A$4:$AP$401,42,FALSE),"")</f>
        <v/>
      </c>
      <c r="Q244" s="863">
        <f t="shared" si="59"/>
        <v>1.6825726135731626E-3</v>
      </c>
      <c r="R244" s="864">
        <f t="shared" si="52"/>
        <v>7.2777644814576006E-2</v>
      </c>
      <c r="S244" s="863">
        <f t="shared" si="53"/>
        <v>0.38059124064693783</v>
      </c>
      <c r="T244" s="864">
        <f t="shared" si="54"/>
        <v>9.6431501078082444</v>
      </c>
      <c r="U244" s="864">
        <f t="shared" si="55"/>
        <v>1.9407351600000027</v>
      </c>
      <c r="V244" s="864">
        <f t="shared" si="55"/>
        <v>0</v>
      </c>
      <c r="W244" s="864" t="str">
        <f t="shared" si="60"/>
        <v/>
      </c>
      <c r="X244" s="1067">
        <f t="shared" si="56"/>
        <v>12.038936725883334</v>
      </c>
      <c r="Y244" s="826">
        <f>VLOOKUP(B244,'BD ASVICC'!$A$6:$Y$316,24,FALSE)</f>
        <v>183</v>
      </c>
      <c r="Z244" s="826" t="str">
        <f t="shared" si="57"/>
        <v>a &lt; 1.000 hab.</v>
      </c>
      <c r="AA244" s="826">
        <f t="shared" si="58"/>
        <v>65786.539485701272</v>
      </c>
    </row>
    <row r="245" spans="1:27" s="826" customFormat="1" ht="45">
      <c r="A245" s="835">
        <v>8244</v>
      </c>
      <c r="B245" s="826" t="s">
        <v>1558</v>
      </c>
      <c r="C245" s="878">
        <f>VLOOKUP(A245,copcalor,'1b.Cops de calor'!P$1,FALSE)/1000000</f>
        <v>5.5479076892391435</v>
      </c>
      <c r="D245" s="879">
        <f>VLOOKUP($B245,'2b.Incendis forestals'!$B$4:$P$314,9,FALSE)/1000000</f>
        <v>0.26646030021334099</v>
      </c>
      <c r="E245" s="878">
        <f>VLOOKUP($B245,'3b aigua'!$B$4:$K$314,8,FALSE)/1000000</f>
        <v>18.993687451158717</v>
      </c>
      <c r="F245" s="879">
        <f t="shared" si="46"/>
        <v>1.1717612500000001</v>
      </c>
      <c r="G245" s="879">
        <f t="shared" si="47"/>
        <v>0</v>
      </c>
      <c r="H245" s="879">
        <f t="shared" si="48"/>
        <v>10.363612905</v>
      </c>
      <c r="I245" s="878" t="str">
        <f>IF(VLOOKUP($A245,'7b erosió costa'!$A$4:$AP$401,9,FALSE)&gt;0,VLOOKUP($A245,'7b erosió costa'!$A$4:$AP$401,9,FALSE),"")</f>
        <v/>
      </c>
      <c r="J245" s="870">
        <f>VLOOKUP(A245,copcalor,'1b.Cops de calor'!Z$1,FALSE)/1000000</f>
        <v>32.473060174008026</v>
      </c>
      <c r="K245" s="870">
        <f>VLOOKUP($B245,'2b.Incendis forestals'!$B$4:$P$314,14,FALSE)/1000000</f>
        <v>0.7327658255866879</v>
      </c>
      <c r="L245" s="870">
        <f>VLOOKUP($B245,'3b aigua'!$B$4:$K$314,9,FALSE)/1000000</f>
        <v>34.894092049482794</v>
      </c>
      <c r="M245" s="918">
        <f t="shared" si="49"/>
        <v>10.455113203096801</v>
      </c>
      <c r="N245" s="918">
        <f t="shared" si="50"/>
        <v>0</v>
      </c>
      <c r="O245" s="918">
        <f t="shared" si="51"/>
        <v>17.630332799999998</v>
      </c>
      <c r="P245" s="918" t="str">
        <f>IF(VLOOKUP($A245,'7b erosió costa'!$A$4:$AP$401,42,FALSE)&gt;0,VLOOKUP($A245,'7b erosió costa'!$A$4:$AP$401,42,FALSE),"")</f>
        <v/>
      </c>
      <c r="Q245" s="863">
        <f t="shared" si="59"/>
        <v>26.925152484768883</v>
      </c>
      <c r="R245" s="864">
        <f t="shared" si="52"/>
        <v>0.46630552537334691</v>
      </c>
      <c r="S245" s="863">
        <f t="shared" si="53"/>
        <v>15.900404598324076</v>
      </c>
      <c r="T245" s="864">
        <f t="shared" si="54"/>
        <v>9.2833519530968012</v>
      </c>
      <c r="U245" s="864">
        <f t="shared" si="55"/>
        <v>0</v>
      </c>
      <c r="V245" s="864">
        <f t="shared" si="55"/>
        <v>7.2667198949999978</v>
      </c>
      <c r="W245" s="864" t="str">
        <f t="shared" si="60"/>
        <v/>
      </c>
      <c r="X245" s="1067">
        <f t="shared" si="56"/>
        <v>59.841934456563095</v>
      </c>
      <c r="Y245" s="826">
        <f>VLOOKUP(B245,'BD ASVICC'!$A$6:$Y$316,24,FALSE)</f>
        <v>8073</v>
      </c>
      <c r="Z245" s="826" t="str">
        <f t="shared" si="57"/>
        <v>c 5.000 a 20.000 hab.</v>
      </c>
      <c r="AA245" s="826">
        <f t="shared" si="58"/>
        <v>7412.6018155039137</v>
      </c>
    </row>
    <row r="246" spans="1:27" s="826" customFormat="1" ht="45">
      <c r="A246" s="835">
        <v>8245</v>
      </c>
      <c r="B246" s="826" t="s">
        <v>1559</v>
      </c>
      <c r="C246" s="878">
        <f>VLOOKUP(A246,copcalor,'1b.Cops de calor'!P$1,FALSE)/1000000</f>
        <v>121.99455283940843</v>
      </c>
      <c r="D246" s="879">
        <f>VLOOKUP($B246,'2b.Incendis forestals'!$B$4:$P$314,9,FALSE)/1000000</f>
        <v>0.60732161063791212</v>
      </c>
      <c r="E246" s="878">
        <f>VLOOKUP($B246,'3b aigua'!$B$4:$K$314,8,FALSE)/1000000</f>
        <v>223.88258403714141</v>
      </c>
      <c r="F246" s="879">
        <f t="shared" si="46"/>
        <v>0</v>
      </c>
      <c r="G246" s="879">
        <f t="shared" si="47"/>
        <v>0.64816988282955523</v>
      </c>
      <c r="H246" s="879">
        <f t="shared" si="48"/>
        <v>17.891229497099999</v>
      </c>
      <c r="I246" s="878" t="str">
        <f>IF(VLOOKUP($A246,'7b erosió costa'!$A$4:$AP$401,9,FALSE)&gt;0,VLOOKUP($A246,'7b erosió costa'!$A$4:$AP$401,9,FALSE),"")</f>
        <v/>
      </c>
      <c r="J246" s="870">
        <f>VLOOKUP(A246,copcalor,'1b.Cops de calor'!Z$1,FALSE)/1000000</f>
        <v>719.08717847563958</v>
      </c>
      <c r="K246" s="870">
        <f>VLOOKUP($B246,'2b.Incendis forestals'!$B$4:$P$314,14,FALSE)/1000000</f>
        <v>1.6701344292542586</v>
      </c>
      <c r="L246" s="870">
        <f>VLOOKUP($B246,'3b aigua'!$B$4:$K$314,9,FALSE)/1000000</f>
        <v>411.30399327443359</v>
      </c>
      <c r="M246" s="918">
        <f t="shared" si="49"/>
        <v>0.49157944793180208</v>
      </c>
      <c r="N246" s="918">
        <f t="shared" si="50"/>
        <v>0.74345085560549995</v>
      </c>
      <c r="O246" s="918">
        <f t="shared" si="51"/>
        <v>107.79644965980002</v>
      </c>
      <c r="P246" s="918" t="str">
        <f>IF(VLOOKUP($A246,'7b erosió costa'!$A$4:$AP$401,42,FALSE)&gt;0,VLOOKUP($A246,'7b erosió costa'!$A$4:$AP$401,42,FALSE),"")</f>
        <v/>
      </c>
      <c r="Q246" s="863">
        <f t="shared" si="59"/>
        <v>597.09262563623111</v>
      </c>
      <c r="R246" s="864">
        <f t="shared" si="52"/>
        <v>1.0628128186163464</v>
      </c>
      <c r="S246" s="863">
        <f t="shared" si="53"/>
        <v>187.42140923729218</v>
      </c>
      <c r="T246" s="864">
        <f t="shared" si="54"/>
        <v>0.49157944793180208</v>
      </c>
      <c r="U246" s="864">
        <f t="shared" si="55"/>
        <v>9.5280972775944717E-2</v>
      </c>
      <c r="V246" s="864">
        <f t="shared" si="55"/>
        <v>89.905220162700019</v>
      </c>
      <c r="W246" s="864" t="str">
        <f t="shared" si="60"/>
        <v/>
      </c>
      <c r="X246" s="1067">
        <f t="shared" si="56"/>
        <v>876.06892827554748</v>
      </c>
      <c r="Y246" s="826">
        <f>VLOOKUP(B246,'BD ASVICC'!$A$6:$Y$316,24,FALSE)</f>
        <v>117153</v>
      </c>
      <c r="Z246" s="826" t="str">
        <f t="shared" si="57"/>
        <v>e &gt;50.000 hab.</v>
      </c>
      <c r="AA246" s="826">
        <f t="shared" si="58"/>
        <v>7477.9897081214094</v>
      </c>
    </row>
    <row r="247" spans="1:27" s="826" customFormat="1" ht="45">
      <c r="A247" s="835">
        <v>8246</v>
      </c>
      <c r="B247" s="826" t="s">
        <v>1561</v>
      </c>
      <c r="C247" s="878">
        <f>VLOOKUP(A247,copcalor,'1b.Cops de calor'!P$1,FALSE)/1000000</f>
        <v>0.72135478322777524</v>
      </c>
      <c r="D247" s="879">
        <f>VLOOKUP($B247,'2b.Incendis forestals'!$B$4:$P$314,9,FALSE)/1000000</f>
        <v>7.3389221661757306E-3</v>
      </c>
      <c r="E247" s="878">
        <f>VLOOKUP($B247,'3b aigua'!$B$4:$K$314,8,FALSE)/1000000</f>
        <v>20.997385125646506</v>
      </c>
      <c r="F247" s="879">
        <f t="shared" si="46"/>
        <v>3.4081399999999999</v>
      </c>
      <c r="G247" s="879">
        <f t="shared" si="47"/>
        <v>9.305477999999999</v>
      </c>
      <c r="H247" s="879">
        <f t="shared" si="48"/>
        <v>0.19058432250000004</v>
      </c>
      <c r="I247" s="878" t="str">
        <f>IF(VLOOKUP($A247,'7b erosió costa'!$A$4:$AP$401,9,FALSE)&gt;0,VLOOKUP($A247,'7b erosió costa'!$A$4:$AP$401,9,FALSE),"")</f>
        <v/>
      </c>
      <c r="J247" s="870">
        <f>VLOOKUP(A247,copcalor,'1b.Cops de calor'!Z$1,FALSE)/1000000</f>
        <v>4.1735366238839795</v>
      </c>
      <c r="K247" s="870">
        <f>VLOOKUP($B247,'2b.Incendis forestals'!$B$4:$P$314,14,FALSE)/1000000</f>
        <v>2.0182035956983261E-2</v>
      </c>
      <c r="L247" s="870">
        <f>VLOOKUP($B247,'3b aigua'!$B$4:$K$314,9,FALSE)/1000000</f>
        <v>30.368747081027855</v>
      </c>
      <c r="M247" s="918">
        <f t="shared" si="49"/>
        <v>17.571129042503756</v>
      </c>
      <c r="N247" s="918">
        <f t="shared" si="50"/>
        <v>10.673383266</v>
      </c>
      <c r="O247" s="918">
        <f t="shared" si="51"/>
        <v>0.20075809215000004</v>
      </c>
      <c r="P247" s="918" t="str">
        <f>IF(VLOOKUP($A247,'7b erosió costa'!$A$4:$AP$401,42,FALSE)&gt;0,VLOOKUP($A247,'7b erosió costa'!$A$4:$AP$401,42,FALSE),"")</f>
        <v/>
      </c>
      <c r="Q247" s="863">
        <f t="shared" si="59"/>
        <v>3.4521818406562041</v>
      </c>
      <c r="R247" s="864">
        <f t="shared" si="52"/>
        <v>1.284311379080753E-2</v>
      </c>
      <c r="S247" s="863">
        <f t="shared" si="53"/>
        <v>9.3713619553813494</v>
      </c>
      <c r="T247" s="864">
        <f t="shared" si="54"/>
        <v>14.162989042503757</v>
      </c>
      <c r="U247" s="864">
        <f t="shared" si="55"/>
        <v>1.3679052660000011</v>
      </c>
      <c r="V247" s="864">
        <f t="shared" si="55"/>
        <v>1.0173769649999997E-2</v>
      </c>
      <c r="W247" s="864" t="str">
        <f t="shared" si="60"/>
        <v/>
      </c>
      <c r="X247" s="1067">
        <f t="shared" si="56"/>
        <v>28.377454987982116</v>
      </c>
      <c r="Y247" s="826">
        <f>VLOOKUP(B247,'BD ASVICC'!$A$6:$Y$316,24,FALSE)</f>
        <v>2246</v>
      </c>
      <c r="Z247" s="826" t="str">
        <f t="shared" si="57"/>
        <v>b 1.000 a 5.000 hab.</v>
      </c>
      <c r="AA247" s="826">
        <f t="shared" si="58"/>
        <v>12634.663841488031</v>
      </c>
    </row>
    <row r="248" spans="1:27" s="826" customFormat="1" ht="45">
      <c r="A248" s="835">
        <v>8247</v>
      </c>
      <c r="B248" s="826" t="s">
        <v>1562</v>
      </c>
      <c r="C248" s="878">
        <f>VLOOKUP(A248,copcalor,'1b.Cops de calor'!P$1,FALSE)/1000000</f>
        <v>7.2197401088482452E-2</v>
      </c>
      <c r="D248" s="879">
        <f>VLOOKUP($B248,'2b.Incendis forestals'!$B$4:$P$314,9,FALSE)/1000000</f>
        <v>9.5405988160284491E-2</v>
      </c>
      <c r="E248" s="878">
        <f>VLOOKUP($B248,'3b aigua'!$B$4:$K$314,8,FALSE)/1000000</f>
        <v>1.986763200894293</v>
      </c>
      <c r="F248" s="879">
        <f t="shared" si="46"/>
        <v>2.9173481250000002</v>
      </c>
      <c r="G248" s="879">
        <f t="shared" si="47"/>
        <v>8.259030000000001</v>
      </c>
      <c r="H248" s="879">
        <f t="shared" si="48"/>
        <v>1.1716133820000001</v>
      </c>
      <c r="I248" s="878" t="str">
        <f>IF(VLOOKUP($A248,'7b erosió costa'!$A$4:$AP$401,9,FALSE)&gt;0,VLOOKUP($A248,'7b erosió costa'!$A$4:$AP$401,9,FALSE),"")</f>
        <v/>
      </c>
      <c r="J248" s="870">
        <f>VLOOKUP(A248,copcalor,'1b.Cops de calor'!Z$1,FALSE)/1000000</f>
        <v>0.41953617310765334</v>
      </c>
      <c r="K248" s="870">
        <f>VLOOKUP($B248,'2b.Incendis forestals'!$B$4:$P$314,14,FALSE)/1000000</f>
        <v>0.26236646744078235</v>
      </c>
      <c r="L248" s="870">
        <f>VLOOKUP($B248,'3b aigua'!$B$4:$K$314,9,FALSE)/1000000</f>
        <v>2.873477282852591</v>
      </c>
      <c r="M248" s="918">
        <f t="shared" si="49"/>
        <v>15.657345582799261</v>
      </c>
      <c r="N248" s="918">
        <f t="shared" si="50"/>
        <v>9.473107409999999</v>
      </c>
      <c r="O248" s="918">
        <f t="shared" si="51"/>
        <v>1.4855814359999999</v>
      </c>
      <c r="P248" s="918" t="str">
        <f>IF(VLOOKUP($A248,'7b erosió costa'!$A$4:$AP$401,42,FALSE)&gt;0,VLOOKUP($A248,'7b erosió costa'!$A$4:$AP$401,42,FALSE),"")</f>
        <v/>
      </c>
      <c r="Q248" s="863">
        <f t="shared" si="59"/>
        <v>0.3473387720191709</v>
      </c>
      <c r="R248" s="864">
        <f t="shared" si="52"/>
        <v>0.16696047928049784</v>
      </c>
      <c r="S248" s="863">
        <f t="shared" si="53"/>
        <v>0.88671408195829793</v>
      </c>
      <c r="T248" s="864">
        <f t="shared" si="54"/>
        <v>12.739997457799261</v>
      </c>
      <c r="U248" s="864">
        <f t="shared" si="55"/>
        <v>1.214077409999998</v>
      </c>
      <c r="V248" s="864">
        <f t="shared" si="55"/>
        <v>0.31396805399999983</v>
      </c>
      <c r="W248" s="864" t="str">
        <f t="shared" si="60"/>
        <v/>
      </c>
      <c r="X248" s="1067">
        <f t="shared" si="56"/>
        <v>15.669056255057225</v>
      </c>
      <c r="Y248" s="826">
        <f>VLOOKUP(B248,'BD ASVICC'!$A$6:$Y$316,24,FALSE)</f>
        <v>1266</v>
      </c>
      <c r="Z248" s="826" t="str">
        <f t="shared" si="57"/>
        <v>b 1.000 a 5.000 hab.</v>
      </c>
      <c r="AA248" s="826">
        <f t="shared" si="58"/>
        <v>12376.821686459103</v>
      </c>
    </row>
    <row r="249" spans="1:27" s="826" customFormat="1" ht="45">
      <c r="A249" s="835">
        <v>8248</v>
      </c>
      <c r="B249" s="826" t="s">
        <v>1564</v>
      </c>
      <c r="C249" s="878">
        <f>VLOOKUP(A249,copcalor,'1b.Cops de calor'!P$1,FALSE)/1000000</f>
        <v>1.7978469461825004</v>
      </c>
      <c r="D249" s="879">
        <f>VLOOKUP($B249,'2b.Incendis forestals'!$B$4:$P$314,9,FALSE)/1000000</f>
        <v>0.23951703090221169</v>
      </c>
      <c r="E249" s="878">
        <f>VLOOKUP($B249,'3b aigua'!$B$4:$K$314,8,FALSE)/1000000</f>
        <v>9.3552738517305585</v>
      </c>
      <c r="F249" s="879">
        <f t="shared" si="46"/>
        <v>2.927089375</v>
      </c>
      <c r="G249" s="879">
        <f t="shared" si="47"/>
        <v>4.2222959999999992</v>
      </c>
      <c r="H249" s="879">
        <f t="shared" si="48"/>
        <v>43.136448673350003</v>
      </c>
      <c r="I249" s="878" t="str">
        <f>IF(VLOOKUP($A249,'7b erosió costa'!$A$4:$AP$401,9,FALSE)&gt;0,VLOOKUP($A249,'7b erosió costa'!$A$4:$AP$401,9,FALSE),"")</f>
        <v/>
      </c>
      <c r="J249" s="870">
        <f>VLOOKUP(A249,copcalor,'1b.Cops de calor'!Z$1,FALSE)/1000000</f>
        <v>10.151048216247164</v>
      </c>
      <c r="K249" s="870">
        <f>VLOOKUP($B249,'2b.Incendis forestals'!$B$4:$P$314,14,FALSE)/1000000</f>
        <v>0.65867183498108228</v>
      </c>
      <c r="L249" s="870">
        <f>VLOOKUP($B249,'3b aigua'!$B$4:$K$314,9,FALSE)/1000000</f>
        <v>17.186962129909681</v>
      </c>
      <c r="M249" s="918">
        <f t="shared" si="49"/>
        <v>23.141234771870124</v>
      </c>
      <c r="N249" s="918">
        <f t="shared" si="50"/>
        <v>4.8429735120000004</v>
      </c>
      <c r="O249" s="918">
        <f t="shared" si="51"/>
        <v>54.647747420850003</v>
      </c>
      <c r="P249" s="918" t="str">
        <f>IF(VLOOKUP($A249,'7b erosió costa'!$A$4:$AP$401,42,FALSE)&gt;0,VLOOKUP($A249,'7b erosió costa'!$A$4:$AP$401,42,FALSE),"")</f>
        <v/>
      </c>
      <c r="Q249" s="863">
        <f t="shared" si="59"/>
        <v>8.3532012700646625</v>
      </c>
      <c r="R249" s="864">
        <f t="shared" si="52"/>
        <v>0.41915480407887062</v>
      </c>
      <c r="S249" s="863">
        <f t="shared" si="53"/>
        <v>7.8316882781791222</v>
      </c>
      <c r="T249" s="864">
        <f t="shared" si="54"/>
        <v>20.214145396870123</v>
      </c>
      <c r="U249" s="864">
        <f t="shared" si="55"/>
        <v>0.62067751200000121</v>
      </c>
      <c r="V249" s="864">
        <f t="shared" si="55"/>
        <v>11.5112987475</v>
      </c>
      <c r="W249" s="864" t="str">
        <f t="shared" si="60"/>
        <v/>
      </c>
      <c r="X249" s="1067">
        <f t="shared" si="56"/>
        <v>48.950166008692776</v>
      </c>
      <c r="Y249" s="826">
        <f>VLOOKUP(B249,'BD ASVICC'!$A$6:$Y$316,24,FALSE)</f>
        <v>7049</v>
      </c>
      <c r="Z249" s="826" t="str">
        <f t="shared" si="57"/>
        <v>c 5.000 a 20.000 hab.</v>
      </c>
      <c r="AA249" s="826">
        <f t="shared" si="58"/>
        <v>6944.270961653111</v>
      </c>
    </row>
    <row r="250" spans="1:27" s="826" customFormat="1" ht="30">
      <c r="A250" s="835">
        <v>8249</v>
      </c>
      <c r="B250" s="826" t="s">
        <v>1566</v>
      </c>
      <c r="C250" s="878">
        <f>VLOOKUP(A250,copcalor,'1b.Cops de calor'!P$1,FALSE)/1000000</f>
        <v>3.3443011880232035E-2</v>
      </c>
      <c r="D250" s="879">
        <f>VLOOKUP($B250,'2b.Incendis forestals'!$B$4:$P$314,9,FALSE)/1000000</f>
        <v>4.1412721976259427E-2</v>
      </c>
      <c r="E250" s="878">
        <f>VLOOKUP($B250,'3b aigua'!$B$4:$K$314,8,FALSE)/1000000</f>
        <v>0.65543382886869339</v>
      </c>
      <c r="F250" s="879">
        <f t="shared" si="46"/>
        <v>0.15686</v>
      </c>
      <c r="G250" s="879">
        <f t="shared" si="47"/>
        <v>0</v>
      </c>
      <c r="H250" s="879">
        <f t="shared" si="48"/>
        <v>0</v>
      </c>
      <c r="I250" s="878" t="str">
        <f>IF(VLOOKUP($A250,'7b erosió costa'!$A$4:$AP$401,9,FALSE)&gt;0,VLOOKUP($A250,'7b erosió costa'!$A$4:$AP$401,9,FALSE),"")</f>
        <v/>
      </c>
      <c r="J250" s="870">
        <f>VLOOKUP(A250,copcalor,'1b.Cops de calor'!Z$1,FALSE)/1000000</f>
        <v>0.18338855085364797</v>
      </c>
      <c r="K250" s="870">
        <f>VLOOKUP($B250,'2b.Incendis forestals'!$B$4:$P$314,14,FALSE)/1000000</f>
        <v>0.1138849854347134</v>
      </c>
      <c r="L250" s="870">
        <f>VLOOKUP($B250,'3b aigua'!$B$4:$K$314,9,FALSE)/1000000</f>
        <v>1.2041247080484043</v>
      </c>
      <c r="M250" s="918">
        <f t="shared" si="49"/>
        <v>0.96736950336650018</v>
      </c>
      <c r="N250" s="918">
        <f t="shared" si="50"/>
        <v>0</v>
      </c>
      <c r="O250" s="918">
        <f t="shared" si="51"/>
        <v>0</v>
      </c>
      <c r="P250" s="918" t="str">
        <f>IF(VLOOKUP($A250,'7b erosió costa'!$A$4:$AP$401,42,FALSE)&gt;0,VLOOKUP($A250,'7b erosió costa'!$A$4:$AP$401,42,FALSE),"")</f>
        <v/>
      </c>
      <c r="Q250" s="863">
        <f t="shared" si="59"/>
        <v>0.14994553897341595</v>
      </c>
      <c r="R250" s="864">
        <f t="shared" si="52"/>
        <v>7.2472263458453978E-2</v>
      </c>
      <c r="S250" s="863">
        <f t="shared" si="53"/>
        <v>0.54869087917971093</v>
      </c>
      <c r="T250" s="864">
        <f t="shared" si="54"/>
        <v>0.81050950336650018</v>
      </c>
      <c r="U250" s="864">
        <f t="shared" si="55"/>
        <v>0</v>
      </c>
      <c r="V250" s="864">
        <f t="shared" si="55"/>
        <v>0</v>
      </c>
      <c r="W250" s="864" t="str">
        <f t="shared" si="60"/>
        <v/>
      </c>
      <c r="X250" s="1067">
        <f t="shared" si="56"/>
        <v>1.581618184978081</v>
      </c>
      <c r="Y250" s="826">
        <f>VLOOKUP(B250,'BD ASVICC'!$A$6:$Y$316,24,FALSE)</f>
        <v>374</v>
      </c>
      <c r="Z250" s="826" t="str">
        <f t="shared" si="57"/>
        <v>a &lt; 1.000 hab.</v>
      </c>
      <c r="AA250" s="826">
        <f t="shared" si="58"/>
        <v>4228.9256282836395</v>
      </c>
    </row>
    <row r="251" spans="1:27" s="826" customFormat="1" ht="45">
      <c r="A251" s="835">
        <v>8250</v>
      </c>
      <c r="B251" s="826" t="s">
        <v>1567</v>
      </c>
      <c r="C251" s="878">
        <f>VLOOKUP(A251,copcalor,'1b.Cops de calor'!P$1,FALSE)/1000000</f>
        <v>3.1682724422763706</v>
      </c>
      <c r="D251" s="879">
        <f>VLOOKUP($B251,'2b.Incendis forestals'!$B$4:$P$314,9,FALSE)/1000000</f>
        <v>2.1047772226895503</v>
      </c>
      <c r="E251" s="878">
        <f>VLOOKUP($B251,'3b aigua'!$B$4:$K$314,8,FALSE)/1000000</f>
        <v>12.026931479123839</v>
      </c>
      <c r="F251" s="879">
        <f t="shared" si="46"/>
        <v>6.5988574999999994</v>
      </c>
      <c r="G251" s="879">
        <f t="shared" si="47"/>
        <v>1.7491499999999998</v>
      </c>
      <c r="H251" s="879">
        <f t="shared" si="48"/>
        <v>1.75730222115</v>
      </c>
      <c r="I251" s="878" t="str">
        <f>IF(VLOOKUP($A251,'7b erosió costa'!$A$4:$AP$401,9,FALSE)&gt;0,VLOOKUP($A251,'7b erosió costa'!$A$4:$AP$401,9,FALSE),"")</f>
        <v/>
      </c>
      <c r="J251" s="870">
        <f>VLOOKUP(A251,copcalor,'1b.Cops de calor'!Z$1,FALSE)/1000000</f>
        <v>18.412206971374218</v>
      </c>
      <c r="K251" s="870">
        <f>VLOOKUP($B251,'2b.Incendis forestals'!$B$4:$P$314,14,FALSE)/1000000</f>
        <v>5.7881373623962649</v>
      </c>
      <c r="L251" s="870">
        <f>VLOOKUP($B251,'3b aigua'!$B$4:$K$314,9,FALSE)/1000000</f>
        <v>17.394682150409828</v>
      </c>
      <c r="M251" s="918">
        <f t="shared" si="49"/>
        <v>30.236799635416041</v>
      </c>
      <c r="N251" s="918">
        <f t="shared" si="50"/>
        <v>2.0062750499999997</v>
      </c>
      <c r="O251" s="918">
        <f t="shared" si="51"/>
        <v>2.19589526115</v>
      </c>
      <c r="P251" s="918" t="str">
        <f>IF(VLOOKUP($A251,'7b erosió costa'!$A$4:$AP$401,42,FALSE)&gt;0,VLOOKUP($A251,'7b erosió costa'!$A$4:$AP$401,42,FALSE),"")</f>
        <v/>
      </c>
      <c r="Q251" s="863">
        <f t="shared" si="59"/>
        <v>15.243934529097848</v>
      </c>
      <c r="R251" s="864">
        <f t="shared" si="52"/>
        <v>3.6833601397067146</v>
      </c>
      <c r="S251" s="863">
        <f t="shared" si="53"/>
        <v>5.3677506712859895</v>
      </c>
      <c r="T251" s="864">
        <f t="shared" si="54"/>
        <v>23.63794213541604</v>
      </c>
      <c r="U251" s="864">
        <f t="shared" si="55"/>
        <v>0.25712504999999997</v>
      </c>
      <c r="V251" s="864">
        <f t="shared" si="55"/>
        <v>0.43859303999999999</v>
      </c>
      <c r="W251" s="864" t="str">
        <f t="shared" si="60"/>
        <v/>
      </c>
      <c r="X251" s="1067">
        <f t="shared" si="56"/>
        <v>48.628705565506593</v>
      </c>
      <c r="Y251" s="826">
        <f>VLOOKUP(B251,'BD ASVICC'!$A$6:$Y$316,24,FALSE)</f>
        <v>9611</v>
      </c>
      <c r="Z251" s="826" t="str">
        <f t="shared" si="57"/>
        <v>c 5.000 a 20.000 hab.</v>
      </c>
      <c r="AA251" s="826">
        <f t="shared" si="58"/>
        <v>5059.6925986376646</v>
      </c>
    </row>
    <row r="252" spans="1:27" s="826" customFormat="1" ht="45">
      <c r="A252" s="835">
        <v>8251</v>
      </c>
      <c r="B252" s="826" t="s">
        <v>1571</v>
      </c>
      <c r="C252" s="878">
        <f>VLOOKUP(A252,copcalor,'1b.Cops de calor'!P$1,FALSE)/1000000</f>
        <v>0.62330825184092997</v>
      </c>
      <c r="D252" s="879">
        <f>VLOOKUP($B252,'2b.Incendis forestals'!$B$4:$P$314,9,FALSE)/1000000</f>
        <v>0.62119082964389127</v>
      </c>
      <c r="E252" s="878">
        <f>VLOOKUP($B252,'3b aigua'!$B$4:$K$314,8,FALSE)/1000000</f>
        <v>21.227620043908157</v>
      </c>
      <c r="F252" s="879">
        <f t="shared" si="46"/>
        <v>0.42159312500000001</v>
      </c>
      <c r="G252" s="879">
        <f t="shared" si="47"/>
        <v>0.78179399999999988</v>
      </c>
      <c r="H252" s="879">
        <f t="shared" si="48"/>
        <v>0</v>
      </c>
      <c r="I252" s="878" t="str">
        <f>IF(VLOOKUP($A252,'7b erosió costa'!$A$4:$AP$401,9,FALSE)&gt;0,VLOOKUP($A252,'7b erosió costa'!$A$4:$AP$401,9,FALSE),"")</f>
        <v/>
      </c>
      <c r="J252" s="870">
        <f>VLOOKUP(A252,copcalor,'1b.Cops de calor'!Z$1,FALSE)/1000000</f>
        <v>3.4000001250878311</v>
      </c>
      <c r="K252" s="870">
        <f>VLOOKUP($B252,'2b.Incendis forestals'!$B$4:$P$314,14,FALSE)/1000000</f>
        <v>1.7082747815207013</v>
      </c>
      <c r="L252" s="870">
        <f>VLOOKUP($B252,'3b aigua'!$B$4:$K$314,9,FALSE)/1000000</f>
        <v>38.998142393797757</v>
      </c>
      <c r="M252" s="918">
        <f t="shared" si="49"/>
        <v>4.9008719992779239</v>
      </c>
      <c r="N252" s="918">
        <f t="shared" si="50"/>
        <v>0.89671771799999989</v>
      </c>
      <c r="O252" s="918">
        <f t="shared" si="51"/>
        <v>18.034913041500001</v>
      </c>
      <c r="P252" s="918" t="str">
        <f>IF(VLOOKUP($A252,'7b erosió costa'!$A$4:$AP$401,42,FALSE)&gt;0,VLOOKUP($A252,'7b erosió costa'!$A$4:$AP$401,42,FALSE),"")</f>
        <v/>
      </c>
      <c r="Q252" s="863">
        <f t="shared" si="59"/>
        <v>2.776691873246901</v>
      </c>
      <c r="R252" s="864">
        <f t="shared" si="52"/>
        <v>1.0870839518768101</v>
      </c>
      <c r="S252" s="863">
        <f t="shared" si="53"/>
        <v>17.7705223498896</v>
      </c>
      <c r="T252" s="864">
        <f t="shared" si="54"/>
        <v>4.4792788742779237</v>
      </c>
      <c r="U252" s="864">
        <f t="shared" si="55"/>
        <v>0.11492371800000001</v>
      </c>
      <c r="V252" s="864">
        <f t="shared" si="55"/>
        <v>18.034913041500001</v>
      </c>
      <c r="W252" s="864" t="str">
        <f t="shared" si="60"/>
        <v/>
      </c>
      <c r="X252" s="1067">
        <f t="shared" si="56"/>
        <v>44.263413808791235</v>
      </c>
      <c r="Y252" s="826">
        <f>VLOOKUP(B252,'BD ASVICC'!$A$6:$Y$316,24,FALSE)</f>
        <v>7360</v>
      </c>
      <c r="Z252" s="826" t="str">
        <f t="shared" si="57"/>
        <v>c 5.000 a 20.000 hab.</v>
      </c>
      <c r="AA252" s="826">
        <f t="shared" si="58"/>
        <v>6014.0507892379392</v>
      </c>
    </row>
    <row r="253" spans="1:27" s="826" customFormat="1" ht="45">
      <c r="A253" s="835">
        <v>8252</v>
      </c>
      <c r="B253" s="826" t="s">
        <v>1572</v>
      </c>
      <c r="C253" s="878">
        <f>VLOOKUP(A253,copcalor,'1b.Cops de calor'!P$1,FALSE)/1000000</f>
        <v>9.7033349498209649</v>
      </c>
      <c r="D253" s="879">
        <f>VLOOKUP($B253,'2b.Incendis forestals'!$B$4:$P$314,9,FALSE)/1000000</f>
        <v>0.16986584985090333</v>
      </c>
      <c r="E253" s="878">
        <f>VLOOKUP($B253,'3b aigua'!$B$4:$K$314,8,FALSE)/1000000</f>
        <v>74.744171133747415</v>
      </c>
      <c r="F253" s="879">
        <f t="shared" si="46"/>
        <v>0.22103</v>
      </c>
      <c r="G253" s="879">
        <f t="shared" si="47"/>
        <v>0.15818399999999999</v>
      </c>
      <c r="H253" s="879">
        <f t="shared" si="48"/>
        <v>4.5766378046999998</v>
      </c>
      <c r="I253" s="878" t="str">
        <f>IF(VLOOKUP($A253,'7b erosió costa'!$A$4:$AP$401,9,FALSE)&gt;0,VLOOKUP($A253,'7b erosió costa'!$A$4:$AP$401,9,FALSE),"")</f>
        <v/>
      </c>
      <c r="J253" s="870">
        <f>VLOOKUP(A253,copcalor,'1b.Cops de calor'!Z$1,FALSE)/1000000</f>
        <v>56.998002704586845</v>
      </c>
      <c r="K253" s="870">
        <f>VLOOKUP($B253,'2b.Incendis forestals'!$B$4:$P$314,14,FALSE)/1000000</f>
        <v>0.46713108708998413</v>
      </c>
      <c r="L253" s="870">
        <f>VLOOKUP($B253,'3b aigua'!$B$4:$K$314,9,FALSE)/1000000</f>
        <v>137.31562101408417</v>
      </c>
      <c r="M253" s="918">
        <f t="shared" si="49"/>
        <v>2.4212383765105168</v>
      </c>
      <c r="N253" s="918">
        <f t="shared" si="50"/>
        <v>0.18143704799999996</v>
      </c>
      <c r="O253" s="918">
        <f t="shared" si="51"/>
        <v>7.1148084972000003</v>
      </c>
      <c r="P253" s="918" t="str">
        <f>IF(VLOOKUP($A253,'7b erosió costa'!$A$4:$AP$401,42,FALSE)&gt;0,VLOOKUP($A253,'7b erosió costa'!$A$4:$AP$401,42,FALSE),"")</f>
        <v/>
      </c>
      <c r="Q253" s="863">
        <f t="shared" si="59"/>
        <v>47.294667754765882</v>
      </c>
      <c r="R253" s="864">
        <f t="shared" si="52"/>
        <v>0.29726523723908083</v>
      </c>
      <c r="S253" s="863">
        <f t="shared" si="53"/>
        <v>62.571449880336758</v>
      </c>
      <c r="T253" s="864">
        <f t="shared" si="54"/>
        <v>2.2002083765105169</v>
      </c>
      <c r="U253" s="864">
        <f t="shared" si="55"/>
        <v>2.3253047999999971E-2</v>
      </c>
      <c r="V253" s="864">
        <f t="shared" si="55"/>
        <v>2.5381706925000005</v>
      </c>
      <c r="W253" s="864" t="str">
        <f t="shared" si="60"/>
        <v/>
      </c>
      <c r="X253" s="1067">
        <f t="shared" si="56"/>
        <v>114.92501498935223</v>
      </c>
      <c r="Y253" s="826">
        <f>VLOOKUP(B253,'BD ASVICC'!$A$6:$Y$316,24,FALSE)</f>
        <v>32832</v>
      </c>
      <c r="Z253" s="826" t="str">
        <f t="shared" si="57"/>
        <v>d 20.000 a 50.000 hab.</v>
      </c>
      <c r="AA253" s="826">
        <f t="shared" si="58"/>
        <v>3500.3964117127266</v>
      </c>
    </row>
    <row r="254" spans="1:27" s="826" customFormat="1" ht="30">
      <c r="A254" s="835">
        <v>8253</v>
      </c>
      <c r="B254" s="826" t="s">
        <v>1574</v>
      </c>
      <c r="C254" s="878">
        <f>VLOOKUP(A254,copcalor,'1b.Cops de calor'!P$1,FALSE)/1000000</f>
        <v>3.2777879018596211E-2</v>
      </c>
      <c r="D254" s="879">
        <f>VLOOKUP($B254,'2b.Incendis forestals'!$B$4:$P$314,9,FALSE)/1000000</f>
        <v>0.22517677059075694</v>
      </c>
      <c r="E254" s="878">
        <f>VLOOKUP($B254,'3b aigua'!$B$4:$K$314,8,FALSE)/1000000</f>
        <v>0.24298051365888002</v>
      </c>
      <c r="F254" s="879">
        <f t="shared" si="46"/>
        <v>0.95541999999999994</v>
      </c>
      <c r="G254" s="879">
        <f t="shared" si="47"/>
        <v>4.9128299999999996</v>
      </c>
      <c r="H254" s="879">
        <f t="shared" si="48"/>
        <v>0.18658034669999998</v>
      </c>
      <c r="I254" s="878" t="str">
        <f>IF(VLOOKUP($A254,'7b erosió costa'!$A$4:$AP$401,9,FALSE)&gt;0,VLOOKUP($A254,'7b erosió costa'!$A$4:$AP$401,9,FALSE),"")</f>
        <v/>
      </c>
      <c r="J254" s="870">
        <f>VLOOKUP(A254,copcalor,'1b.Cops de calor'!Z$1,FALSE)/1000000</f>
        <v>0.19016242887084897</v>
      </c>
      <c r="K254" s="870">
        <f>VLOOKUP($B254,'2b.Incendis forestals'!$B$4:$P$314,14,FALSE)/1000000</f>
        <v>0.61923611912458154</v>
      </c>
      <c r="L254" s="870">
        <f>VLOOKUP($B254,'3b aigua'!$B$4:$K$314,9,FALSE)/1000000</f>
        <v>0.35142536657633283</v>
      </c>
      <c r="M254" s="918">
        <f t="shared" si="49"/>
        <v>4.3524987379347007</v>
      </c>
      <c r="N254" s="918">
        <f t="shared" si="50"/>
        <v>5.6350160100000002</v>
      </c>
      <c r="O254" s="918">
        <f t="shared" si="51"/>
        <v>0.81091201740000007</v>
      </c>
      <c r="P254" s="918" t="str">
        <f>IF(VLOOKUP($A254,'7b erosió costa'!$A$4:$AP$401,42,FALSE)&gt;0,VLOOKUP($A254,'7b erosió costa'!$A$4:$AP$401,42,FALSE),"")</f>
        <v/>
      </c>
      <c r="Q254" s="863">
        <f t="shared" si="59"/>
        <v>0.15738454985225275</v>
      </c>
      <c r="R254" s="864">
        <f t="shared" si="52"/>
        <v>0.39405934853382463</v>
      </c>
      <c r="S254" s="863">
        <f t="shared" si="53"/>
        <v>0.10844485291745282</v>
      </c>
      <c r="T254" s="864">
        <f t="shared" si="54"/>
        <v>3.3970787379347005</v>
      </c>
      <c r="U254" s="864">
        <f t="shared" si="55"/>
        <v>0.7221860100000006</v>
      </c>
      <c r="V254" s="864">
        <f t="shared" si="55"/>
        <v>0.62433167070000006</v>
      </c>
      <c r="W254" s="864" t="str">
        <f t="shared" si="60"/>
        <v/>
      </c>
      <c r="X254" s="1067">
        <f t="shared" si="56"/>
        <v>5.4034851699382314</v>
      </c>
      <c r="Y254" s="826">
        <f>VLOOKUP(B254,'BD ASVICC'!$A$6:$Y$316,24,FALSE)</f>
        <v>148</v>
      </c>
      <c r="Z254" s="826" t="str">
        <f t="shared" si="57"/>
        <v>a &lt; 1.000 hab.</v>
      </c>
      <c r="AA254" s="826">
        <f t="shared" si="58"/>
        <v>36510.034932015078</v>
      </c>
    </row>
    <row r="255" spans="1:27" s="826" customFormat="1" ht="45">
      <c r="A255" s="835">
        <v>8254</v>
      </c>
      <c r="B255" s="826" t="s">
        <v>1578</v>
      </c>
      <c r="C255" s="878">
        <f>VLOOKUP(A255,copcalor,'1b.Cops de calor'!P$1,FALSE)/1000000</f>
        <v>0.69796865677799103</v>
      </c>
      <c r="D255" s="879">
        <f>VLOOKUP($B255,'2b.Incendis forestals'!$B$4:$P$314,9,FALSE)/1000000</f>
        <v>0.43451078856881714</v>
      </c>
      <c r="E255" s="878">
        <f>VLOOKUP($B255,'3b aigua'!$B$4:$K$314,8,FALSE)/1000000</f>
        <v>13.58925794277717</v>
      </c>
      <c r="F255" s="879">
        <f t="shared" si="46"/>
        <v>11.047054375</v>
      </c>
      <c r="G255" s="879">
        <f t="shared" si="47"/>
        <v>59.699249999999992</v>
      </c>
      <c r="H255" s="879">
        <f t="shared" si="48"/>
        <v>0</v>
      </c>
      <c r="I255" s="878" t="str">
        <f>IF(VLOOKUP($A255,'7b erosió costa'!$A$4:$AP$401,9,FALSE)&gt;0,VLOOKUP($A255,'7b erosió costa'!$A$4:$AP$401,9,FALSE),"")</f>
        <v/>
      </c>
      <c r="J255" s="870">
        <f>VLOOKUP(A255,copcalor,'1b.Cops de calor'!Z$1,FALSE)/1000000</f>
        <v>4.1051098491116802</v>
      </c>
      <c r="K255" s="870">
        <f>VLOOKUP($B255,'2b.Incendis forestals'!$B$4:$P$314,14,FALSE)/1000000</f>
        <v>1.194904668564247</v>
      </c>
      <c r="L255" s="870">
        <f>VLOOKUP($B255,'3b aigua'!$B$4:$K$314,9,FALSE)/1000000</f>
        <v>19.654291951762364</v>
      </c>
      <c r="M255" s="918">
        <f t="shared" si="49"/>
        <v>50.921275510153535</v>
      </c>
      <c r="N255" s="918">
        <f t="shared" si="50"/>
        <v>68.475039749999993</v>
      </c>
      <c r="O255" s="918">
        <f t="shared" si="51"/>
        <v>0</v>
      </c>
      <c r="P255" s="918" t="str">
        <f>IF(VLOOKUP($A255,'7b erosió costa'!$A$4:$AP$401,42,FALSE)&gt;0,VLOOKUP($A255,'7b erosió costa'!$A$4:$AP$401,42,FALSE),"")</f>
        <v/>
      </c>
      <c r="Q255" s="863">
        <f t="shared" si="59"/>
        <v>3.4071411923336892</v>
      </c>
      <c r="R255" s="864">
        <f t="shared" si="52"/>
        <v>0.76039387999542996</v>
      </c>
      <c r="S255" s="863">
        <f t="shared" si="53"/>
        <v>6.0650340089851937</v>
      </c>
      <c r="T255" s="864">
        <f t="shared" si="54"/>
        <v>39.874221135153533</v>
      </c>
      <c r="U255" s="864">
        <f t="shared" si="55"/>
        <v>8.7757897500000013</v>
      </c>
      <c r="V255" s="864">
        <f t="shared" si="55"/>
        <v>0</v>
      </c>
      <c r="W255" s="864" t="str">
        <f t="shared" si="60"/>
        <v/>
      </c>
      <c r="X255" s="1067">
        <f t="shared" si="56"/>
        <v>58.882579966467844</v>
      </c>
      <c r="Y255" s="826">
        <f>VLOOKUP(B255,'BD ASVICC'!$A$6:$Y$316,24,FALSE)</f>
        <v>2168</v>
      </c>
      <c r="Z255" s="826" t="str">
        <f t="shared" si="57"/>
        <v>b 1.000 a 5.000 hab.</v>
      </c>
      <c r="AA255" s="826">
        <f t="shared" si="58"/>
        <v>27159.861608149375</v>
      </c>
    </row>
    <row r="256" spans="1:27" s="826" customFormat="1" ht="30">
      <c r="A256" s="835">
        <v>8255</v>
      </c>
      <c r="B256" s="826" t="s">
        <v>1580</v>
      </c>
      <c r="C256" s="878">
        <f>VLOOKUP(A256,copcalor,'1b.Cops de calor'!P$1,FALSE)/1000000</f>
        <v>1.5790624287851034E-2</v>
      </c>
      <c r="D256" s="879">
        <f>VLOOKUP($B256,'2b.Incendis forestals'!$B$4:$P$314,9,FALSE)/1000000</f>
        <v>3.6860371290944962</v>
      </c>
      <c r="E256" s="878">
        <f>VLOOKUP($B256,'3b aigua'!$B$4:$K$314,8,FALSE)/1000000</f>
        <v>1.4738104719359999</v>
      </c>
      <c r="F256" s="879">
        <f t="shared" si="46"/>
        <v>5.8109499999999992</v>
      </c>
      <c r="G256" s="879">
        <f t="shared" si="47"/>
        <v>24.725376000000001</v>
      </c>
      <c r="H256" s="879">
        <f t="shared" si="48"/>
        <v>0</v>
      </c>
      <c r="I256" s="878" t="str">
        <f>IF(VLOOKUP($A256,'7b erosió costa'!$A$4:$AP$401,9,FALSE)&gt;0,VLOOKUP($A256,'7b erosió costa'!$A$4:$AP$401,9,FALSE),"")</f>
        <v/>
      </c>
      <c r="J256" s="870">
        <f>VLOOKUP(A256,copcalor,'1b.Cops de calor'!Z$1,FALSE)/1000000</f>
        <v>8.2452776427590399E-2</v>
      </c>
      <c r="K256" s="870">
        <f>VLOOKUP($B256,'2b.Incendis forestals'!$B$4:$P$314,14,FALSE)/1000000</f>
        <v>10.136602105009866</v>
      </c>
      <c r="L256" s="870">
        <f>VLOOKUP($B256,'3b aigua'!$B$4:$K$314,9,FALSE)/1000000</f>
        <v>2.1315881572761599</v>
      </c>
      <c r="M256" s="918">
        <f t="shared" si="49"/>
        <v>25.783973618869659</v>
      </c>
      <c r="N256" s="918">
        <f t="shared" si="50"/>
        <v>28.360006271999996</v>
      </c>
      <c r="O256" s="918">
        <f t="shared" si="51"/>
        <v>0</v>
      </c>
      <c r="P256" s="918" t="str">
        <f>IF(VLOOKUP($A256,'7b erosió costa'!$A$4:$AP$401,42,FALSE)&gt;0,VLOOKUP($A256,'7b erosió costa'!$A$4:$AP$401,42,FALSE),"")</f>
        <v/>
      </c>
      <c r="Q256" s="863">
        <f t="shared" si="59"/>
        <v>6.6662152139739361E-2</v>
      </c>
      <c r="R256" s="864">
        <f t="shared" si="52"/>
        <v>6.4505649759153698</v>
      </c>
      <c r="S256" s="863">
        <f t="shared" si="53"/>
        <v>0.65777768534016001</v>
      </c>
      <c r="T256" s="864">
        <f t="shared" si="54"/>
        <v>19.973023618869661</v>
      </c>
      <c r="U256" s="864">
        <f t="shared" si="55"/>
        <v>3.6346302719999954</v>
      </c>
      <c r="V256" s="864">
        <f t="shared" si="55"/>
        <v>0</v>
      </c>
      <c r="W256" s="864" t="str">
        <f t="shared" si="60"/>
        <v/>
      </c>
      <c r="X256" s="1067">
        <f t="shared" si="56"/>
        <v>30.782658704264925</v>
      </c>
      <c r="Y256" s="826">
        <f>VLOOKUP(B256,'BD ASVICC'!$A$6:$Y$316,24,FALSE)</f>
        <v>178</v>
      </c>
      <c r="Z256" s="826" t="str">
        <f t="shared" si="57"/>
        <v>a &lt; 1.000 hab.</v>
      </c>
      <c r="AA256" s="826">
        <f t="shared" si="58"/>
        <v>172936.28485542093</v>
      </c>
    </row>
    <row r="257" spans="1:27" s="826" customFormat="1" ht="30">
      <c r="A257" s="835">
        <v>8256</v>
      </c>
      <c r="B257" s="826" t="s">
        <v>1584</v>
      </c>
      <c r="C257" s="878">
        <f>VLOOKUP(A257,copcalor,'1b.Cops de calor'!P$1,FALSE)/1000000</f>
        <v>0.28080446486292643</v>
      </c>
      <c r="D257" s="879">
        <f>VLOOKUP($B257,'2b.Incendis forestals'!$B$4:$P$314,9,FALSE)/1000000</f>
        <v>0.11122610213652324</v>
      </c>
      <c r="E257" s="878">
        <f>VLOOKUP($B257,'3b aigua'!$B$4:$K$314,8,FALSE)/1000000</f>
        <v>1.5493498448544001</v>
      </c>
      <c r="F257" s="879">
        <f t="shared" si="46"/>
        <v>0.14083875000000001</v>
      </c>
      <c r="G257" s="879">
        <f t="shared" si="47"/>
        <v>0</v>
      </c>
      <c r="H257" s="879">
        <f t="shared" si="48"/>
        <v>0</v>
      </c>
      <c r="I257" s="878" t="str">
        <f>IF(VLOOKUP($A257,'7b erosió costa'!$A$4:$AP$401,9,FALSE)&gt;0,VLOOKUP($A257,'7b erosió costa'!$A$4:$AP$401,9,FALSE),"")</f>
        <v/>
      </c>
      <c r="J257" s="870">
        <f>VLOOKUP(A257,copcalor,'1b.Cops de calor'!Z$1,FALSE)/1000000</f>
        <v>1.6211223851446754</v>
      </c>
      <c r="K257" s="870">
        <f>VLOOKUP($B257,'2b.Incendis forestals'!$B$4:$P$314,14,FALSE)/1000000</f>
        <v>0.30587178087543887</v>
      </c>
      <c r="L257" s="870">
        <f>VLOOKUP($B257,'3b aigua'!$B$4:$K$314,9,FALSE)/1000000</f>
        <v>2.8463749465300991</v>
      </c>
      <c r="M257" s="918">
        <f t="shared" si="49"/>
        <v>0.93400106980433617</v>
      </c>
      <c r="N257" s="918">
        <f t="shared" si="50"/>
        <v>0</v>
      </c>
      <c r="O257" s="918">
        <f t="shared" si="51"/>
        <v>0</v>
      </c>
      <c r="P257" s="918" t="str">
        <f>IF(VLOOKUP($A257,'7b erosió costa'!$A$4:$AP$401,42,FALSE)&gt;0,VLOOKUP($A257,'7b erosió costa'!$A$4:$AP$401,42,FALSE),"")</f>
        <v/>
      </c>
      <c r="Q257" s="863">
        <f t="shared" si="59"/>
        <v>1.340317920281749</v>
      </c>
      <c r="R257" s="864">
        <f t="shared" si="52"/>
        <v>0.19464567873891564</v>
      </c>
      <c r="S257" s="863">
        <f t="shared" si="53"/>
        <v>1.2970251016756991</v>
      </c>
      <c r="T257" s="864">
        <f t="shared" si="54"/>
        <v>0.79316231980433616</v>
      </c>
      <c r="U257" s="864">
        <f t="shared" si="55"/>
        <v>0</v>
      </c>
      <c r="V257" s="864">
        <f t="shared" si="55"/>
        <v>0</v>
      </c>
      <c r="W257" s="864" t="str">
        <f t="shared" si="60"/>
        <v/>
      </c>
      <c r="X257" s="1067">
        <f t="shared" si="56"/>
        <v>3.6251510205007</v>
      </c>
      <c r="Y257" s="826">
        <f>VLOOKUP(B257,'BD ASVICC'!$A$6:$Y$316,24,FALSE)</f>
        <v>861</v>
      </c>
      <c r="Z257" s="826" t="str">
        <f t="shared" si="57"/>
        <v>a &lt; 1.000 hab.</v>
      </c>
      <c r="AA257" s="826">
        <f t="shared" si="58"/>
        <v>4210.396074913705</v>
      </c>
    </row>
    <row r="258" spans="1:27" s="826" customFormat="1" ht="30">
      <c r="A258" s="835">
        <v>8257</v>
      </c>
      <c r="B258" s="826" t="s">
        <v>1587</v>
      </c>
      <c r="C258" s="878">
        <f>VLOOKUP(A258,copcalor,'1b.Cops de calor'!P$1,FALSE)/1000000</f>
        <v>1.8597986557570461E-3</v>
      </c>
      <c r="D258" s="879">
        <f>VLOOKUP($B258,'2b.Incendis forestals'!$B$4:$P$314,9,FALSE)/1000000</f>
        <v>2.6371717754829795</v>
      </c>
      <c r="E258" s="878">
        <f>VLOOKUP($B258,'3b aigua'!$B$4:$K$314,8,FALSE)/1000000</f>
        <v>0.3408491982963201</v>
      </c>
      <c r="F258" s="879">
        <f t="shared" si="46"/>
        <v>2.9232999999999998</v>
      </c>
      <c r="G258" s="879">
        <f t="shared" si="47"/>
        <v>2.1050639999999996</v>
      </c>
      <c r="H258" s="879">
        <f t="shared" si="48"/>
        <v>0</v>
      </c>
      <c r="I258" s="878" t="str">
        <f>IF(VLOOKUP($A258,'7b erosió costa'!$A$4:$AP$401,9,FALSE)&gt;0,VLOOKUP($A258,'7b erosió costa'!$A$4:$AP$401,9,FALSE),"")</f>
        <v/>
      </c>
      <c r="J258" s="870">
        <f>VLOOKUP(A258,copcalor,'1b.Cops de calor'!Z$1,FALSE)/1000000</f>
        <v>2.9535631278115246E-3</v>
      </c>
      <c r="K258" s="870">
        <f>VLOOKUP($B258,'2b.Incendis forestals'!$B$4:$P$314,14,FALSE)/1000000</f>
        <v>7.2522223825781955</v>
      </c>
      <c r="L258" s="870">
        <f>VLOOKUP($B258,'3b aigua'!$B$4:$K$314,9,FALSE)/1000000</f>
        <v>0.49297391241297922</v>
      </c>
      <c r="M258" s="918">
        <f t="shared" si="49"/>
        <v>12.847196460513306</v>
      </c>
      <c r="N258" s="918">
        <f t="shared" si="50"/>
        <v>2.4145084079999997</v>
      </c>
      <c r="O258" s="918">
        <f t="shared" si="51"/>
        <v>0</v>
      </c>
      <c r="P258" s="918" t="str">
        <f>IF(VLOOKUP($A258,'7b erosió costa'!$A$4:$AP$401,42,FALSE)&gt;0,VLOOKUP($A258,'7b erosió costa'!$A$4:$AP$401,42,FALSE),"")</f>
        <v/>
      </c>
      <c r="Q258" s="863">
        <f t="shared" si="59"/>
        <v>1.0937644720544785E-3</v>
      </c>
      <c r="R258" s="864">
        <f t="shared" si="52"/>
        <v>4.615050607095216</v>
      </c>
      <c r="S258" s="863">
        <f t="shared" si="53"/>
        <v>0.15212471411665912</v>
      </c>
      <c r="T258" s="864">
        <f t="shared" si="54"/>
        <v>9.9238964605133066</v>
      </c>
      <c r="U258" s="864">
        <f t="shared" si="55"/>
        <v>0.30944440800000006</v>
      </c>
      <c r="V258" s="864">
        <f t="shared" si="55"/>
        <v>0</v>
      </c>
      <c r="W258" s="864" t="str">
        <f t="shared" si="60"/>
        <v/>
      </c>
      <c r="X258" s="1067">
        <f t="shared" si="56"/>
        <v>15.001609954197235</v>
      </c>
      <c r="Y258" s="826">
        <f>VLOOKUP(B258,'BD ASVICC'!$A$6:$Y$316,24,FALSE)</f>
        <v>132</v>
      </c>
      <c r="Z258" s="826" t="str">
        <f t="shared" si="57"/>
        <v>a &lt; 1.000 hab.</v>
      </c>
      <c r="AA258" s="826">
        <f t="shared" si="58"/>
        <v>113648.56025906997</v>
      </c>
    </row>
    <row r="259" spans="1:27" s="826" customFormat="1" ht="45">
      <c r="A259" s="835">
        <v>8258</v>
      </c>
      <c r="B259" s="826" t="s">
        <v>1591</v>
      </c>
      <c r="C259" s="878">
        <f>VLOOKUP(A259,copcalor,'1b.Cops de calor'!P$1,FALSE)/1000000</f>
        <v>0.45483158909899596</v>
      </c>
      <c r="D259" s="879">
        <f>VLOOKUP($B259,'2b.Incendis forestals'!$B$4:$P$314,9,FALSE)/1000000</f>
        <v>8.4741499707629178</v>
      </c>
      <c r="E259" s="878">
        <f>VLOOKUP($B259,'3b aigua'!$B$4:$K$314,8,FALSE)/1000000</f>
        <v>1.3338811360520533</v>
      </c>
      <c r="F259" s="879">
        <f t="shared" si="46"/>
        <v>6.108733749999999</v>
      </c>
      <c r="G259" s="879">
        <f t="shared" si="47"/>
        <v>19.815587999999998</v>
      </c>
      <c r="H259" s="879">
        <f t="shared" si="48"/>
        <v>0</v>
      </c>
      <c r="I259" s="878" t="str">
        <f>IF(VLOOKUP($A259,'7b erosió costa'!$A$4:$AP$401,9,FALSE)&gt;0,VLOOKUP($A259,'7b erosió costa'!$A$4:$AP$401,9,FALSE),"")</f>
        <v/>
      </c>
      <c r="J259" s="870">
        <f>VLOOKUP(A259,copcalor,'1b.Cops de calor'!Z$1,FALSE)/1000000</f>
        <v>2.246000893203095</v>
      </c>
      <c r="K259" s="870">
        <f>VLOOKUP($B259,'2b.Incendis forestals'!$B$4:$P$314,14,FALSE)/1000000</f>
        <v>23.303912419598024</v>
      </c>
      <c r="L259" s="870">
        <f>VLOOKUP($B259,'3b aigua'!$B$4:$K$314,9,FALSE)/1000000</f>
        <v>1.9292068328756562</v>
      </c>
      <c r="M259" s="918">
        <f t="shared" si="49"/>
        <v>28.480410576212726</v>
      </c>
      <c r="N259" s="918">
        <f t="shared" si="50"/>
        <v>22.728479435999997</v>
      </c>
      <c r="O259" s="918">
        <f t="shared" si="51"/>
        <v>0</v>
      </c>
      <c r="P259" s="918" t="str">
        <f>IF(VLOOKUP($A259,'7b erosió costa'!$A$4:$AP$401,42,FALSE)&gt;0,VLOOKUP($A259,'7b erosió costa'!$A$4:$AP$401,42,FALSE),"")</f>
        <v/>
      </c>
      <c r="Q259" s="863">
        <f t="shared" si="59"/>
        <v>1.791169304104099</v>
      </c>
      <c r="R259" s="864">
        <f t="shared" si="52"/>
        <v>14.829762448835107</v>
      </c>
      <c r="S259" s="863">
        <f t="shared" si="53"/>
        <v>0.59532569682360292</v>
      </c>
      <c r="T259" s="864">
        <f t="shared" si="54"/>
        <v>22.371676826212727</v>
      </c>
      <c r="U259" s="864">
        <f t="shared" si="55"/>
        <v>2.9128914359999989</v>
      </c>
      <c r="V259" s="864">
        <f t="shared" si="55"/>
        <v>0</v>
      </c>
      <c r="W259" s="864" t="str">
        <f t="shared" si="60"/>
        <v/>
      </c>
      <c r="X259" s="1067">
        <f t="shared" si="56"/>
        <v>42.500825711975537</v>
      </c>
      <c r="Y259" s="826">
        <f>VLOOKUP(B259,'BD ASVICC'!$A$6:$Y$316,24,FALSE)</f>
        <v>1054</v>
      </c>
      <c r="Z259" s="826" t="str">
        <f t="shared" si="57"/>
        <v>b 1.000 a 5.000 hab.</v>
      </c>
      <c r="AA259" s="826">
        <f t="shared" si="58"/>
        <v>40323.364053107718</v>
      </c>
    </row>
    <row r="260" spans="1:27" s="826" customFormat="1" ht="45">
      <c r="A260" s="835">
        <v>8259</v>
      </c>
      <c r="B260" s="826" t="s">
        <v>1594</v>
      </c>
      <c r="C260" s="878">
        <f>VLOOKUP(A260,copcalor,'1b.Cops de calor'!P$1,FALSE)/1000000</f>
        <v>1.8492090011030731</v>
      </c>
      <c r="D260" s="879">
        <f>VLOOKUP($B260,'2b.Incendis forestals'!$B$4:$P$314,9,FALSE)/1000000</f>
        <v>0.27059939369104835</v>
      </c>
      <c r="E260" s="878">
        <f>VLOOKUP($B260,'3b aigua'!$B$4:$K$314,8,FALSE)/1000000</f>
        <v>14.948074691360853</v>
      </c>
      <c r="F260" s="879">
        <f t="shared" ref="F260:F314" si="61">VLOOKUP(B260,agric,11,FALSE)</f>
        <v>3.4120993749999999</v>
      </c>
      <c r="G260" s="879">
        <f t="shared" ref="G260:G314" si="62">VLOOKUP(B260,ramad,15,FALSE)</f>
        <v>3.166722</v>
      </c>
      <c r="H260" s="879">
        <f t="shared" ref="H260:H314" si="63">IFERROR(VLOOKUP(B260,costT50,37,FALSE),0)</f>
        <v>5.7610471951500006</v>
      </c>
      <c r="I260" s="878" t="str">
        <f>IF(VLOOKUP($A260,'7b erosió costa'!$A$4:$AP$401,9,FALSE)&gt;0,VLOOKUP($A260,'7b erosió costa'!$A$4:$AP$401,9,FALSE),"")</f>
        <v/>
      </c>
      <c r="J260" s="870">
        <f>VLOOKUP(A260,copcalor,'1b.Cops de calor'!Z$1,FALSE)/1000000</f>
        <v>10.415000475052436</v>
      </c>
      <c r="K260" s="870">
        <f>VLOOKUP($B260,'2b.Incendis forestals'!$B$4:$P$314,14,FALSE)/1000000</f>
        <v>0.74414833265038305</v>
      </c>
      <c r="L260" s="870">
        <f>VLOOKUP($B260,'3b aigua'!$B$4:$K$314,9,FALSE)/1000000</f>
        <v>27.461728828809871</v>
      </c>
      <c r="M260" s="918">
        <f t="shared" ref="M260:M314" si="64">VLOOKUP(B260,ramad,13,FALSE)</f>
        <v>22.520715012037531</v>
      </c>
      <c r="N260" s="918">
        <f t="shared" ref="N260:N314" si="65">VLOOKUP(B260,ramad,17,FALSE)</f>
        <v>3.6322301340000003</v>
      </c>
      <c r="O260" s="918">
        <f t="shared" ref="O260:O314" si="66">IFERROR(VLOOKUP(B260,costT100,37,FALSE),0)</f>
        <v>6.8548402649999991</v>
      </c>
      <c r="P260" s="918" t="str">
        <f>IF(VLOOKUP($A260,'7b erosió costa'!$A$4:$AP$401,42,FALSE)&gt;0,VLOOKUP($A260,'7b erosió costa'!$A$4:$AP$401,42,FALSE),"")</f>
        <v/>
      </c>
      <c r="Q260" s="863">
        <f t="shared" si="59"/>
        <v>8.5657914739493624</v>
      </c>
      <c r="R260" s="864">
        <f t="shared" si="52"/>
        <v>0.4735489389593347</v>
      </c>
      <c r="S260" s="863">
        <f t="shared" si="53"/>
        <v>12.513654137449018</v>
      </c>
      <c r="T260" s="864">
        <f t="shared" si="54"/>
        <v>19.108615637037531</v>
      </c>
      <c r="U260" s="864">
        <f t="shared" si="55"/>
        <v>0.46550813400000024</v>
      </c>
      <c r="V260" s="864">
        <f t="shared" si="55"/>
        <v>1.0937930698499985</v>
      </c>
      <c r="W260" s="864" t="str">
        <f t="shared" si="60"/>
        <v/>
      </c>
      <c r="X260" s="1067">
        <f t="shared" si="56"/>
        <v>42.220911391245245</v>
      </c>
      <c r="Y260" s="826">
        <f>VLOOKUP(B260,'BD ASVICC'!$A$6:$Y$316,24,FALSE)</f>
        <v>9194</v>
      </c>
      <c r="Z260" s="826" t="str">
        <f t="shared" si="57"/>
        <v>c 5.000 a 20.000 hab.</v>
      </c>
      <c r="AA260" s="826">
        <f t="shared" si="58"/>
        <v>4592.2244280231944</v>
      </c>
    </row>
    <row r="261" spans="1:27" s="826" customFormat="1" ht="45">
      <c r="A261" s="835">
        <v>8260</v>
      </c>
      <c r="B261" s="826" t="s">
        <v>1598</v>
      </c>
      <c r="C261" s="878">
        <f>VLOOKUP(A261,copcalor,'1b.Cops de calor'!P$1,FALSE)/1000000</f>
        <v>7.4424695077249199</v>
      </c>
      <c r="D261" s="879">
        <f>VLOOKUP($B261,'2b.Incendis forestals'!$B$4:$P$314,9,FALSE)/1000000</f>
        <v>0.18182823364322051</v>
      </c>
      <c r="E261" s="878">
        <f>VLOOKUP($B261,'3b aigua'!$B$4:$K$314,8,FALSE)/1000000</f>
        <v>46.671777285990402</v>
      </c>
      <c r="F261" s="879">
        <f t="shared" si="61"/>
        <v>3.2692324999999998</v>
      </c>
      <c r="G261" s="879">
        <f t="shared" si="62"/>
        <v>3.7538279999999995</v>
      </c>
      <c r="H261" s="879">
        <f t="shared" si="63"/>
        <v>62.039601890099995</v>
      </c>
      <c r="I261" s="878" t="str">
        <f>IF(VLOOKUP($A261,'7b erosió costa'!$A$4:$AP$401,9,FALSE)&gt;0,VLOOKUP($A261,'7b erosió costa'!$A$4:$AP$401,9,FALSE),"")</f>
        <v/>
      </c>
      <c r="J261" s="870">
        <f>VLOOKUP(A261,copcalor,'1b.Cops de calor'!Z$1,FALSE)/1000000</f>
        <v>43.703622761891495</v>
      </c>
      <c r="K261" s="870">
        <f>VLOOKUP($B261,'2b.Incendis forestals'!$B$4:$P$314,14,FALSE)/1000000</f>
        <v>0.50002764251885634</v>
      </c>
      <c r="L261" s="870">
        <f>VLOOKUP($B261,'3b aigua'!$B$4:$K$314,9,FALSE)/1000000</f>
        <v>85.742660392727345</v>
      </c>
      <c r="M261" s="918">
        <f t="shared" si="64"/>
        <v>17.812028990351177</v>
      </c>
      <c r="N261" s="918">
        <f t="shared" si="65"/>
        <v>4.3056407159999992</v>
      </c>
      <c r="O261" s="918">
        <f t="shared" si="66"/>
        <v>89.03397494730001</v>
      </c>
      <c r="P261" s="918" t="str">
        <f>IF(VLOOKUP($A261,'7b erosió costa'!$A$4:$AP$401,42,FALSE)&gt;0,VLOOKUP($A261,'7b erosió costa'!$A$4:$AP$401,42,FALSE),"")</f>
        <v/>
      </c>
      <c r="Q261" s="863">
        <f t="shared" si="59"/>
        <v>36.261153254166572</v>
      </c>
      <c r="R261" s="864">
        <f t="shared" ref="R261:R314" si="67">K261-D261</f>
        <v>0.3181994088756358</v>
      </c>
      <c r="S261" s="863">
        <f t="shared" ref="S261:S314" si="68">L261-E261</f>
        <v>39.070883106736943</v>
      </c>
      <c r="T261" s="864">
        <f t="shared" ref="T261:T314" si="69">M261-F261</f>
        <v>14.542796490351177</v>
      </c>
      <c r="U261" s="864">
        <f t="shared" ref="U261:V314" si="70">N261-G261</f>
        <v>0.5518127159999997</v>
      </c>
      <c r="V261" s="864">
        <f t="shared" si="70"/>
        <v>26.994373057200015</v>
      </c>
      <c r="W261" s="864" t="str">
        <f t="shared" si="60"/>
        <v/>
      </c>
      <c r="X261" s="1067">
        <f t="shared" ref="X261:X314" si="71">SUM(Q261:W261)</f>
        <v>117.73921803333036</v>
      </c>
      <c r="Y261" s="826">
        <f>VLOOKUP(B261,'BD ASVICC'!$A$6:$Y$316,24,FALSE)</f>
        <v>25556</v>
      </c>
      <c r="Z261" s="826" t="str">
        <f t="shared" ref="Z261:Z314" si="72">IF(Y261&gt;1000,IF(Y261&gt;5000,IF(Y261&gt;20000,IF(Y261&gt;50000,"e &gt;50.000 hab.","d 20.000 a 50.000 hab."),"c 5.000 a 20.000 hab."),"b 1.000 a 5.000 hab."),"a &lt; 1.000 hab.")</f>
        <v>d 20.000 a 50.000 hab.</v>
      </c>
      <c r="AA261" s="826">
        <f t="shared" ref="AA261:AA314" si="73">X261*1000000/Y261</f>
        <v>4607.1066690143361</v>
      </c>
    </row>
    <row r="262" spans="1:27" s="826" customFormat="1" ht="45">
      <c r="A262" s="835">
        <v>8261</v>
      </c>
      <c r="B262" s="826" t="s">
        <v>354</v>
      </c>
      <c r="C262" s="878">
        <f>VLOOKUP(A262,copcalor,'1b.Cops de calor'!P$1,FALSE)/1000000</f>
        <v>0.68618933158503603</v>
      </c>
      <c r="D262" s="879">
        <f>VLOOKUP($B262,'2b.Incendis forestals'!$B$4:$P$314,9,FALSE)/1000000</f>
        <v>0.24646794809346559</v>
      </c>
      <c r="E262" s="878">
        <f>VLOOKUP($B262,'3b aigua'!$B$4:$K$314,8,FALSE)/1000000</f>
        <v>23.852917047114772</v>
      </c>
      <c r="F262" s="879">
        <f t="shared" si="61"/>
        <v>1.241385</v>
      </c>
      <c r="G262" s="879">
        <f t="shared" si="62"/>
        <v>0.47455199999999986</v>
      </c>
      <c r="H262" s="879">
        <f t="shared" si="63"/>
        <v>0</v>
      </c>
      <c r="I262" s="878">
        <f>IF(VLOOKUP($A262,'7b erosió costa'!$A$4:$AP$401,9,FALSE)&gt;0,VLOOKUP($A262,'7b erosió costa'!$A$4:$AP$401,9,FALSE),"")</f>
        <v>7.852991266375545</v>
      </c>
      <c r="J262" s="870">
        <f>VLOOKUP(A262,copcalor,'1b.Cops de calor'!Z$1,FALSE)/1000000</f>
        <v>3.9977798685163761</v>
      </c>
      <c r="K262" s="870">
        <f>VLOOKUP($B262,'2b.Incendis forestals'!$B$4:$P$314,14,FALSE)/1000000</f>
        <v>0.67778685725703036</v>
      </c>
      <c r="L262" s="870">
        <f>VLOOKUP($B262,'3b aigua'!$B$4:$K$314,9,FALSE)/1000000</f>
        <v>43.821184550445139</v>
      </c>
      <c r="M262" s="918">
        <f t="shared" si="64"/>
        <v>10.847184269506869</v>
      </c>
      <c r="N262" s="918">
        <f t="shared" si="65"/>
        <v>0.54431114399999991</v>
      </c>
      <c r="O262" s="918">
        <f t="shared" si="66"/>
        <v>68.018112059850012</v>
      </c>
      <c r="P262" s="918">
        <f>IF(VLOOKUP($A262,'7b erosió costa'!$A$4:$AP$401,42,FALSE)&gt;0,VLOOKUP($A262,'7b erosió costa'!$A$4:$AP$401,42,FALSE),"")</f>
        <v>9.0635126953703917</v>
      </c>
      <c r="Q262" s="863">
        <f t="shared" ref="Q262:Q314" si="74">J262-C262</f>
        <v>3.3115905369313401</v>
      </c>
      <c r="R262" s="864">
        <f t="shared" si="67"/>
        <v>0.43131890916356475</v>
      </c>
      <c r="S262" s="863">
        <f t="shared" si="68"/>
        <v>19.968267503330367</v>
      </c>
      <c r="T262" s="864">
        <f t="shared" si="69"/>
        <v>9.6057992695068695</v>
      </c>
      <c r="U262" s="864">
        <f t="shared" si="70"/>
        <v>6.9759144000000051E-2</v>
      </c>
      <c r="V262" s="864">
        <f t="shared" si="70"/>
        <v>68.018112059850012</v>
      </c>
      <c r="W262" s="864">
        <f t="shared" ref="W262:W314" si="75">IFERROR(P262-I262,"")</f>
        <v>1.2105214289948467</v>
      </c>
      <c r="X262" s="1067">
        <f t="shared" si="71"/>
        <v>102.61536885177701</v>
      </c>
      <c r="Y262" s="826">
        <f>VLOOKUP(B262,'BD ASVICC'!$A$6:$Y$316,24,FALSE)</f>
        <v>3323</v>
      </c>
      <c r="Z262" s="826" t="str">
        <f t="shared" si="72"/>
        <v>b 1.000 a 5.000 hab.</v>
      </c>
      <c r="AA262" s="826">
        <f t="shared" si="73"/>
        <v>30880.339708629854</v>
      </c>
    </row>
    <row r="263" spans="1:27" s="826" customFormat="1" ht="45">
      <c r="A263" s="835">
        <v>8262</v>
      </c>
      <c r="B263" s="826" t="s">
        <v>1600</v>
      </c>
      <c r="C263" s="878">
        <f>VLOOKUP(A263,copcalor,'1b.Cops de calor'!P$1,FALSE)/1000000</f>
        <v>8.3053099304941327</v>
      </c>
      <c r="D263" s="879">
        <f>VLOOKUP($B263,'2b.Incendis forestals'!$B$4:$P$314,9,FALSE)/1000000</f>
        <v>1.9967350057790623</v>
      </c>
      <c r="E263" s="878">
        <f>VLOOKUP($B263,'3b aigua'!$B$4:$K$314,8,FALSE)/1000000</f>
        <v>16.252129432565976</v>
      </c>
      <c r="F263" s="879">
        <f t="shared" si="61"/>
        <v>0.79503750000000006</v>
      </c>
      <c r="G263" s="879">
        <f t="shared" si="62"/>
        <v>0.27378000000000002</v>
      </c>
      <c r="H263" s="879">
        <f t="shared" si="63"/>
        <v>28.63131541125</v>
      </c>
      <c r="I263" s="878" t="str">
        <f>IF(VLOOKUP($A263,'7b erosió costa'!$A$4:$AP$401,9,FALSE)&gt;0,VLOOKUP($A263,'7b erosió costa'!$A$4:$AP$401,9,FALSE),"")</f>
        <v/>
      </c>
      <c r="J263" s="870">
        <f>VLOOKUP(A263,copcalor,'1b.Cops de calor'!Z$1,FALSE)/1000000</f>
        <v>41.542015092777341</v>
      </c>
      <c r="K263" s="870">
        <f>VLOOKUP($B263,'2b.Incendis forestals'!$B$4:$P$314,14,FALSE)/1000000</f>
        <v>5.4910212658924218</v>
      </c>
      <c r="L263" s="870">
        <f>VLOOKUP($B263,'3b aigua'!$B$4:$K$314,9,FALSE)/1000000</f>
        <v>23.505632025717698</v>
      </c>
      <c r="M263" s="918">
        <f t="shared" si="64"/>
        <v>4.0995246602046027</v>
      </c>
      <c r="N263" s="918">
        <f t="shared" si="65"/>
        <v>0.31402566000000004</v>
      </c>
      <c r="O263" s="918">
        <f t="shared" si="66"/>
        <v>52.192983007949998</v>
      </c>
      <c r="P263" s="918" t="str">
        <f>IF(VLOOKUP($A263,'7b erosió costa'!$A$4:$AP$401,42,FALSE)&gt;0,VLOOKUP($A263,'7b erosió costa'!$A$4:$AP$401,42,FALSE),"")</f>
        <v/>
      </c>
      <c r="Q263" s="863">
        <f t="shared" si="74"/>
        <v>33.236705162283208</v>
      </c>
      <c r="R263" s="864">
        <f t="shared" si="67"/>
        <v>3.4942862601133595</v>
      </c>
      <c r="S263" s="863">
        <f t="shared" si="68"/>
        <v>7.2535025931517225</v>
      </c>
      <c r="T263" s="864">
        <f t="shared" si="69"/>
        <v>3.3044871602046024</v>
      </c>
      <c r="U263" s="864">
        <f t="shared" si="70"/>
        <v>4.0245660000000016E-2</v>
      </c>
      <c r="V263" s="864">
        <f t="shared" si="70"/>
        <v>23.561667596699998</v>
      </c>
      <c r="W263" s="864" t="str">
        <f t="shared" si="75"/>
        <v/>
      </c>
      <c r="X263" s="1067">
        <f t="shared" si="71"/>
        <v>70.890894432452882</v>
      </c>
      <c r="Y263" s="826">
        <f>VLOOKUP(B263,'BD ASVICC'!$A$6:$Y$316,24,FALSE)</f>
        <v>9235</v>
      </c>
      <c r="Z263" s="826" t="str">
        <f t="shared" si="72"/>
        <v>c 5.000 a 20.000 hab.</v>
      </c>
      <c r="AA263" s="826">
        <f t="shared" si="73"/>
        <v>7676.3285795834208</v>
      </c>
    </row>
    <row r="264" spans="1:27" s="826" customFormat="1" ht="45">
      <c r="A264" s="835">
        <v>8263</v>
      </c>
      <c r="B264" s="826" t="s">
        <v>1602</v>
      </c>
      <c r="C264" s="878">
        <f>VLOOKUP(A264,copcalor,'1b.Cops de calor'!P$1,FALSE)/1000000</f>
        <v>26.650808239510187</v>
      </c>
      <c r="D264" s="879">
        <f>VLOOKUP($B264,'2b.Incendis forestals'!$B$4:$P$314,9,FALSE)/1000000</f>
        <v>0.39470988396088369</v>
      </c>
      <c r="E264" s="878">
        <f>VLOOKUP($B264,'3b aigua'!$B$4:$K$314,8,FALSE)/1000000</f>
        <v>56.931096534095992</v>
      </c>
      <c r="F264" s="879">
        <f t="shared" si="61"/>
        <v>0.62694187500000009</v>
      </c>
      <c r="G264" s="879">
        <f t="shared" si="62"/>
        <v>0</v>
      </c>
      <c r="H264" s="879">
        <f t="shared" si="63"/>
        <v>20.118411917100001</v>
      </c>
      <c r="I264" s="878" t="str">
        <f>IF(VLOOKUP($A264,'7b erosió costa'!$A$4:$AP$401,9,FALSE)&gt;0,VLOOKUP($A264,'7b erosió costa'!$A$4:$AP$401,9,FALSE),"")</f>
        <v/>
      </c>
      <c r="J264" s="870">
        <f>VLOOKUP(A264,copcalor,'1b.Cops de calor'!Z$1,FALSE)/1000000</f>
        <v>157.0842070652717</v>
      </c>
      <c r="K264" s="870">
        <f>VLOOKUP($B264,'2b.Incendis forestals'!$B$4:$P$314,14,FALSE)/1000000</f>
        <v>1.08545218089243</v>
      </c>
      <c r="L264" s="870">
        <f>VLOOKUP($B264,'3b aigua'!$B$4:$K$314,9,FALSE)/1000000</f>
        <v>104.59048186651853</v>
      </c>
      <c r="M264" s="918">
        <f t="shared" si="64"/>
        <v>7.7861225106247804</v>
      </c>
      <c r="N264" s="918">
        <f t="shared" si="65"/>
        <v>0</v>
      </c>
      <c r="O264" s="918">
        <f t="shared" si="66"/>
        <v>34.433319482550004</v>
      </c>
      <c r="P264" s="918" t="str">
        <f>IF(VLOOKUP($A264,'7b erosió costa'!$A$4:$AP$401,42,FALSE)&gt;0,VLOOKUP($A264,'7b erosió costa'!$A$4:$AP$401,42,FALSE),"")</f>
        <v/>
      </c>
      <c r="Q264" s="863">
        <f t="shared" si="74"/>
        <v>130.43339882576151</v>
      </c>
      <c r="R264" s="864">
        <f t="shared" si="67"/>
        <v>0.69074229693154632</v>
      </c>
      <c r="S264" s="863">
        <f t="shared" si="68"/>
        <v>47.659385332422538</v>
      </c>
      <c r="T264" s="864">
        <f t="shared" si="69"/>
        <v>7.1591806356247805</v>
      </c>
      <c r="U264" s="864">
        <f t="shared" si="70"/>
        <v>0</v>
      </c>
      <c r="V264" s="864">
        <f t="shared" si="70"/>
        <v>14.314907565450003</v>
      </c>
      <c r="W264" s="864" t="str">
        <f t="shared" si="75"/>
        <v/>
      </c>
      <c r="X264" s="1067">
        <f t="shared" si="71"/>
        <v>200.25761465619038</v>
      </c>
      <c r="Y264" s="826">
        <f>VLOOKUP(B264,'BD ASVICC'!$A$6:$Y$316,24,FALSE)</f>
        <v>27961</v>
      </c>
      <c r="Z264" s="826" t="str">
        <f t="shared" si="72"/>
        <v>d 20.000 a 50.000 hab.</v>
      </c>
      <c r="AA264" s="826">
        <f t="shared" si="73"/>
        <v>7162.0333556092555</v>
      </c>
    </row>
    <row r="265" spans="1:27" s="826" customFormat="1" ht="45">
      <c r="A265" s="835">
        <v>8264</v>
      </c>
      <c r="B265" s="826" t="s">
        <v>355</v>
      </c>
      <c r="C265" s="878">
        <f>VLOOKUP(A265,copcalor,'1b.Cops de calor'!P$1,FALSE)/1000000</f>
        <v>11.092885255569785</v>
      </c>
      <c r="D265" s="879">
        <f>VLOOKUP($B265,'2b.Incendis forestals'!$B$4:$P$314,9,FALSE)/1000000</f>
        <v>0.13677764257635197</v>
      </c>
      <c r="E265" s="878">
        <f>VLOOKUP($B265,'3b aigua'!$B$4:$K$314,8,FALSE)/1000000</f>
        <v>40.668027144198931</v>
      </c>
      <c r="F265" s="879">
        <f t="shared" si="61"/>
        <v>0.33888750000000001</v>
      </c>
      <c r="G265" s="879">
        <f t="shared" si="62"/>
        <v>3.042E-3</v>
      </c>
      <c r="H265" s="879">
        <f t="shared" si="63"/>
        <v>0</v>
      </c>
      <c r="I265" s="878">
        <f>IF(VLOOKUP($A265,'7b erosió costa'!$A$4:$AP$401,9,FALSE)&gt;0,VLOOKUP($A265,'7b erosió costa'!$A$4:$AP$401,9,FALSE),"")</f>
        <v>20.546569999999999</v>
      </c>
      <c r="J265" s="870">
        <f>VLOOKUP(A265,copcalor,'1b.Cops de calor'!Z$1,FALSE)/1000000</f>
        <v>65.106848418600734</v>
      </c>
      <c r="K265" s="870">
        <f>VLOOKUP($B265,'2b.Incendis forestals'!$B$4:$P$314,14,FALSE)/1000000</f>
        <v>0.37613851708496787</v>
      </c>
      <c r="L265" s="870">
        <f>VLOOKUP($B265,'3b aigua'!$B$4:$K$314,9,FALSE)/1000000</f>
        <v>74.712921663558859</v>
      </c>
      <c r="M265" s="918">
        <f t="shared" si="64"/>
        <v>8.7492942287160993</v>
      </c>
      <c r="N265" s="918">
        <f t="shared" si="65"/>
        <v>3.4891739999999994E-3</v>
      </c>
      <c r="O265" s="918">
        <f t="shared" si="66"/>
        <v>0</v>
      </c>
      <c r="P265" s="918">
        <f>IF(VLOOKUP($A265,'7b erosió costa'!$A$4:$AP$401,42,FALSE)&gt;0,VLOOKUP($A265,'7b erosió costa'!$A$4:$AP$401,42,FALSE),"")</f>
        <v>23.713778829562596</v>
      </c>
      <c r="Q265" s="863">
        <f t="shared" si="74"/>
        <v>54.013963163030951</v>
      </c>
      <c r="R265" s="864">
        <f t="shared" si="67"/>
        <v>0.2393608745086159</v>
      </c>
      <c r="S265" s="863">
        <f t="shared" si="68"/>
        <v>34.044894519359929</v>
      </c>
      <c r="T265" s="864">
        <f t="shared" si="69"/>
        <v>8.4104067287160991</v>
      </c>
      <c r="U265" s="864">
        <f t="shared" si="70"/>
        <v>4.471739999999994E-4</v>
      </c>
      <c r="V265" s="864">
        <f t="shared" si="70"/>
        <v>0</v>
      </c>
      <c r="W265" s="864">
        <f t="shared" si="75"/>
        <v>3.1672088295625969</v>
      </c>
      <c r="X265" s="1067">
        <f t="shared" si="71"/>
        <v>99.876281289178181</v>
      </c>
      <c r="Y265" s="826">
        <f>VLOOKUP(B265,'BD ASVICC'!$A$6:$Y$316,24,FALSE)</f>
        <v>6182</v>
      </c>
      <c r="Z265" s="826" t="str">
        <f t="shared" si="72"/>
        <v>c 5.000 a 20.000 hab.</v>
      </c>
      <c r="AA265" s="826">
        <f t="shared" si="73"/>
        <v>16155.982091423193</v>
      </c>
    </row>
    <row r="266" spans="1:27" s="826" customFormat="1" ht="45">
      <c r="A266" s="835">
        <v>8265</v>
      </c>
      <c r="B266" s="826" t="s">
        <v>1604</v>
      </c>
      <c r="C266" s="878">
        <f>VLOOKUP(A266,copcalor,'1b.Cops de calor'!P$1,FALSE)/1000000</f>
        <v>0.91354106626119291</v>
      </c>
      <c r="D266" s="879">
        <f>VLOOKUP($B266,'2b.Incendis forestals'!$B$4:$P$314,9,FALSE)/1000000</f>
        <v>2.9588670320771997E-2</v>
      </c>
      <c r="E266" s="878">
        <f>VLOOKUP($B266,'3b aigua'!$B$4:$K$314,8,FALSE)/1000000</f>
        <v>7.415109738427093</v>
      </c>
      <c r="F266" s="879">
        <f t="shared" si="61"/>
        <v>1.58999</v>
      </c>
      <c r="G266" s="879">
        <f t="shared" si="62"/>
        <v>3.8815919999999995</v>
      </c>
      <c r="H266" s="879">
        <f t="shared" si="63"/>
        <v>15.87368355555</v>
      </c>
      <c r="I266" s="878" t="str">
        <f>IF(VLOOKUP($A266,'7b erosió costa'!$A$4:$AP$401,9,FALSE)&gt;0,VLOOKUP($A266,'7b erosió costa'!$A$4:$AP$401,9,FALSE),"")</f>
        <v/>
      </c>
      <c r="J266" s="870">
        <f>VLOOKUP(A266,copcalor,'1b.Cops de calor'!Z$1,FALSE)/1000000</f>
        <v>5.3438618104507665</v>
      </c>
      <c r="K266" s="870">
        <f>VLOOKUP($B266,'2b.Incendis forestals'!$B$4:$P$314,14,FALSE)/1000000</f>
        <v>8.1368843382122982E-2</v>
      </c>
      <c r="L266" s="870">
        <f>VLOOKUP($B266,'3b aigua'!$B$4:$K$314,9,FALSE)/1000000</f>
        <v>10.724554075512563</v>
      </c>
      <c r="M266" s="918">
        <f t="shared" si="64"/>
        <v>9.3260529593922623</v>
      </c>
      <c r="N266" s="918">
        <f t="shared" si="65"/>
        <v>4.4521860239999995</v>
      </c>
      <c r="O266" s="918">
        <f t="shared" si="66"/>
        <v>23.772058229099997</v>
      </c>
      <c r="P266" s="918" t="str">
        <f>IF(VLOOKUP($A266,'7b erosió costa'!$A$4:$AP$401,42,FALSE)&gt;0,VLOOKUP($A266,'7b erosió costa'!$A$4:$AP$401,42,FALSE),"")</f>
        <v/>
      </c>
      <c r="Q266" s="863">
        <f t="shared" si="74"/>
        <v>4.430320744189574</v>
      </c>
      <c r="R266" s="864">
        <f t="shared" si="67"/>
        <v>5.1780173061350986E-2</v>
      </c>
      <c r="S266" s="863">
        <f t="shared" si="68"/>
        <v>3.3094443370854698</v>
      </c>
      <c r="T266" s="864">
        <f t="shared" si="69"/>
        <v>7.7360629593922621</v>
      </c>
      <c r="U266" s="864">
        <f t="shared" si="70"/>
        <v>0.57059402400000003</v>
      </c>
      <c r="V266" s="864">
        <f t="shared" si="70"/>
        <v>7.8983746735499967</v>
      </c>
      <c r="W266" s="864" t="str">
        <f t="shared" si="75"/>
        <v/>
      </c>
      <c r="X266" s="1067">
        <f t="shared" si="71"/>
        <v>23.996576911278652</v>
      </c>
      <c r="Y266" s="826">
        <f>VLOOKUP(B266,'BD ASVICC'!$A$6:$Y$316,24,FALSE)</f>
        <v>1996</v>
      </c>
      <c r="Z266" s="826" t="str">
        <f t="shared" si="72"/>
        <v>b 1.000 a 5.000 hab.</v>
      </c>
      <c r="AA266" s="826">
        <f t="shared" si="73"/>
        <v>12022.333121883092</v>
      </c>
    </row>
    <row r="267" spans="1:27" s="826" customFormat="1" ht="45">
      <c r="A267" s="835">
        <v>8266</v>
      </c>
      <c r="B267" s="826" t="s">
        <v>1605</v>
      </c>
      <c r="C267" s="878">
        <f>VLOOKUP(A267,copcalor,'1b.Cops de calor'!P$1,FALSE)/1000000</f>
        <v>17.9915388155625</v>
      </c>
      <c r="D267" s="879">
        <f>VLOOKUP($B267,'2b.Incendis forestals'!$B$4:$P$314,9,FALSE)/1000000</f>
        <v>2.058726250657779</v>
      </c>
      <c r="E267" s="878">
        <f>VLOOKUP($B267,'3b aigua'!$B$4:$K$314,8,FALSE)/1000000</f>
        <v>156.76599583488158</v>
      </c>
      <c r="F267" s="879">
        <f t="shared" si="61"/>
        <v>1.3396018750000001</v>
      </c>
      <c r="G267" s="879">
        <f t="shared" si="62"/>
        <v>0.41066999999999992</v>
      </c>
      <c r="H267" s="879">
        <f t="shared" si="63"/>
        <v>114.04420636979999</v>
      </c>
      <c r="I267" s="878" t="str">
        <f>IF(VLOOKUP($A267,'7b erosió costa'!$A$4:$AP$401,9,FALSE)&gt;0,VLOOKUP($A267,'7b erosió costa'!$A$4:$AP$401,9,FALSE),"")</f>
        <v/>
      </c>
      <c r="J267" s="870">
        <f>VLOOKUP(A267,copcalor,'1b.Cops de calor'!Z$1,FALSE)/1000000</f>
        <v>105.8074825134028</v>
      </c>
      <c r="K267" s="870">
        <f>VLOOKUP($B267,'2b.Incendis forestals'!$B$4:$P$314,14,FALSE)/1000000</f>
        <v>5.6614971893088928</v>
      </c>
      <c r="L267" s="870">
        <f>VLOOKUP($B267,'3b aigua'!$B$4:$K$314,9,FALSE)/1000000</f>
        <v>288.00132164739199</v>
      </c>
      <c r="M267" s="918">
        <f t="shared" si="64"/>
        <v>7.6204749036382262</v>
      </c>
      <c r="N267" s="918">
        <f t="shared" si="65"/>
        <v>0.47103848999999987</v>
      </c>
      <c r="O267" s="918">
        <f t="shared" si="66"/>
        <v>132.42271288950002</v>
      </c>
      <c r="P267" s="918" t="str">
        <f>IF(VLOOKUP($A267,'7b erosió costa'!$A$4:$AP$401,42,FALSE)&gt;0,VLOOKUP($A267,'7b erosió costa'!$A$4:$AP$401,42,FALSE),"")</f>
        <v/>
      </c>
      <c r="Q267" s="863">
        <f t="shared" si="74"/>
        <v>87.815943697840311</v>
      </c>
      <c r="R267" s="864">
        <f t="shared" si="67"/>
        <v>3.6027709386511138</v>
      </c>
      <c r="S267" s="863">
        <f t="shared" si="68"/>
        <v>131.23532581251041</v>
      </c>
      <c r="T267" s="864">
        <f t="shared" si="69"/>
        <v>6.2808730286382257</v>
      </c>
      <c r="U267" s="864">
        <f t="shared" si="70"/>
        <v>6.0368489999999941E-2</v>
      </c>
      <c r="V267" s="864">
        <f t="shared" si="70"/>
        <v>18.378506519700025</v>
      </c>
      <c r="W267" s="864" t="str">
        <f t="shared" si="75"/>
        <v/>
      </c>
      <c r="X267" s="1067">
        <f t="shared" si="71"/>
        <v>247.37378848734011</v>
      </c>
      <c r="Y267" s="826">
        <f>VLOOKUP(B267,'BD ASVICC'!$A$6:$Y$316,24,FALSE)</f>
        <v>57543</v>
      </c>
      <c r="Z267" s="826" t="str">
        <f t="shared" si="72"/>
        <v>e &gt;50.000 hab.</v>
      </c>
      <c r="AA267" s="826">
        <f t="shared" si="73"/>
        <v>4298.9379852864831</v>
      </c>
    </row>
    <row r="268" spans="1:27" s="826" customFormat="1" ht="45">
      <c r="A268" s="835">
        <v>8267</v>
      </c>
      <c r="B268" s="826" t="s">
        <v>1608</v>
      </c>
      <c r="C268" s="878">
        <f>VLOOKUP(A268,copcalor,'1b.Cops de calor'!P$1,FALSE)/1000000</f>
        <v>1.5839081168292648</v>
      </c>
      <c r="D268" s="879">
        <f>VLOOKUP($B268,'2b.Incendis forestals'!$B$4:$P$314,9,FALSE)/1000000</f>
        <v>2.4714284914927203</v>
      </c>
      <c r="E268" s="878">
        <f>VLOOKUP($B268,'3b aigua'!$B$4:$K$314,8,FALSE)/1000000</f>
        <v>22.859873452774401</v>
      </c>
      <c r="F268" s="879">
        <f t="shared" si="61"/>
        <v>3.3993337499999998</v>
      </c>
      <c r="G268" s="879">
        <f t="shared" si="62"/>
        <v>4.8063599999999997</v>
      </c>
      <c r="H268" s="879">
        <f t="shared" si="63"/>
        <v>8.4236811282000001</v>
      </c>
      <c r="I268" s="878" t="str">
        <f>IF(VLOOKUP($A268,'7b erosió costa'!$A$4:$AP$401,9,FALSE)&gt;0,VLOOKUP($A268,'7b erosió costa'!$A$4:$AP$401,9,FALSE),"")</f>
        <v/>
      </c>
      <c r="J268" s="870">
        <f>VLOOKUP(A268,copcalor,'1b.Cops de calor'!Z$1,FALSE)/1000000</f>
        <v>9.2904131826200054</v>
      </c>
      <c r="K268" s="870">
        <f>VLOOKUP($B268,'2b.Incendis forestals'!$B$4:$P$314,14,FALSE)/1000000</f>
        <v>6.7964283516049813</v>
      </c>
      <c r="L268" s="870">
        <f>VLOOKUP($B268,'3b aigua'!$B$4:$K$314,9,FALSE)/1000000</f>
        <v>41.996822920868674</v>
      </c>
      <c r="M268" s="918">
        <f t="shared" si="64"/>
        <v>20.101202282995366</v>
      </c>
      <c r="N268" s="918">
        <f t="shared" si="65"/>
        <v>5.5128949199999999</v>
      </c>
      <c r="O268" s="918">
        <f t="shared" si="66"/>
        <v>10.6526533173</v>
      </c>
      <c r="P268" s="918" t="str">
        <f>IF(VLOOKUP($A268,'7b erosió costa'!$A$4:$AP$401,42,FALSE)&gt;0,VLOOKUP($A268,'7b erosió costa'!$A$4:$AP$401,42,FALSE),"")</f>
        <v/>
      </c>
      <c r="Q268" s="863">
        <f t="shared" si="74"/>
        <v>7.7065050657907408</v>
      </c>
      <c r="R268" s="864">
        <f t="shared" si="67"/>
        <v>4.3249998601122606</v>
      </c>
      <c r="S268" s="863">
        <f t="shared" si="68"/>
        <v>19.136949468094272</v>
      </c>
      <c r="T268" s="864">
        <f t="shared" si="69"/>
        <v>16.701868532995366</v>
      </c>
      <c r="U268" s="864">
        <f t="shared" si="70"/>
        <v>0.70653492000000018</v>
      </c>
      <c r="V268" s="864">
        <f t="shared" si="70"/>
        <v>2.2289721891000003</v>
      </c>
      <c r="W268" s="864" t="str">
        <f t="shared" si="75"/>
        <v/>
      </c>
      <c r="X268" s="1067">
        <f t="shared" si="71"/>
        <v>50.805830036092644</v>
      </c>
      <c r="Y268" s="826">
        <f>VLOOKUP(B268,'BD ASVICC'!$A$6:$Y$316,24,FALSE)</f>
        <v>8700</v>
      </c>
      <c r="Z268" s="826" t="str">
        <f t="shared" si="72"/>
        <v>c 5.000 a 20.000 hab.</v>
      </c>
      <c r="AA268" s="826">
        <f t="shared" si="73"/>
        <v>5839.7505788612234</v>
      </c>
    </row>
    <row r="269" spans="1:27" s="826" customFormat="1" ht="45">
      <c r="A269" s="835">
        <v>8268</v>
      </c>
      <c r="B269" s="826" t="s">
        <v>1610</v>
      </c>
      <c r="C269" s="878">
        <f>VLOOKUP(A269,copcalor,'1b.Cops de calor'!P$1,FALSE)/1000000</f>
        <v>0.11604134007038074</v>
      </c>
      <c r="D269" s="879">
        <f>VLOOKUP($B269,'2b.Incendis forestals'!$B$4:$P$314,9,FALSE)/1000000</f>
        <v>3.9905076828158341</v>
      </c>
      <c r="E269" s="878">
        <f>VLOOKUP($B269,'3b aigua'!$B$4:$K$314,8,FALSE)/1000000</f>
        <v>1.7544958900186669</v>
      </c>
      <c r="F269" s="879">
        <f t="shared" si="61"/>
        <v>0.1426</v>
      </c>
      <c r="G269" s="879">
        <f t="shared" si="62"/>
        <v>3.7507859999999993</v>
      </c>
      <c r="H269" s="879">
        <f t="shared" si="63"/>
        <v>0</v>
      </c>
      <c r="I269" s="878" t="str">
        <f>IF(VLOOKUP($A269,'7b erosió costa'!$A$4:$AP$401,9,FALSE)&gt;0,VLOOKUP($A269,'7b erosió costa'!$A$4:$AP$401,9,FALSE),"")</f>
        <v/>
      </c>
      <c r="J269" s="870">
        <f>VLOOKUP(A269,copcalor,'1b.Cops de calor'!Z$1,FALSE)/1000000</f>
        <v>0.61456142985303064</v>
      </c>
      <c r="K269" s="870">
        <f>VLOOKUP($B269,'2b.Incendis forestals'!$B$4:$P$314,14,FALSE)/1000000</f>
        <v>10.973896127743542</v>
      </c>
      <c r="L269" s="870">
        <f>VLOOKUP($B269,'3b aigua'!$B$4:$K$314,9,FALSE)/1000000</f>
        <v>2.5375465382877866</v>
      </c>
      <c r="M269" s="918">
        <f t="shared" si="64"/>
        <v>3.1698251316445232</v>
      </c>
      <c r="N269" s="918">
        <f t="shared" si="65"/>
        <v>4.3021515419999989</v>
      </c>
      <c r="O269" s="918">
        <f t="shared" si="66"/>
        <v>0</v>
      </c>
      <c r="P269" s="918" t="str">
        <f>IF(VLOOKUP($A269,'7b erosió costa'!$A$4:$AP$401,42,FALSE)&gt;0,VLOOKUP($A269,'7b erosió costa'!$A$4:$AP$401,42,FALSE),"")</f>
        <v/>
      </c>
      <c r="Q269" s="863">
        <f t="shared" si="74"/>
        <v>0.49852008978264989</v>
      </c>
      <c r="R269" s="864">
        <f t="shared" si="67"/>
        <v>6.9833884449277077</v>
      </c>
      <c r="S269" s="863">
        <f t="shared" si="68"/>
        <v>0.78305064826911974</v>
      </c>
      <c r="T269" s="864">
        <f t="shared" si="69"/>
        <v>3.0272251316445233</v>
      </c>
      <c r="U269" s="864">
        <f t="shared" si="70"/>
        <v>0.55136554199999965</v>
      </c>
      <c r="V269" s="864">
        <f t="shared" si="70"/>
        <v>0</v>
      </c>
      <c r="W269" s="864" t="str">
        <f t="shared" si="75"/>
        <v/>
      </c>
      <c r="X269" s="1067">
        <f t="shared" si="71"/>
        <v>11.843549856624001</v>
      </c>
      <c r="Y269" s="826">
        <f>VLOOKUP(B269,'BD ASVICC'!$A$6:$Y$316,24,FALSE)</f>
        <v>1183</v>
      </c>
      <c r="Z269" s="826" t="str">
        <f t="shared" si="72"/>
        <v>b 1.000 a 5.000 hab.</v>
      </c>
      <c r="AA269" s="826">
        <f t="shared" si="73"/>
        <v>10011.453809487744</v>
      </c>
    </row>
    <row r="270" spans="1:27" s="826" customFormat="1" ht="45">
      <c r="A270" s="835">
        <v>8269</v>
      </c>
      <c r="B270" s="826" t="s">
        <v>1614</v>
      </c>
      <c r="C270" s="878">
        <f>VLOOKUP(A270,copcalor,'1b.Cops de calor'!P$1,FALSE)/1000000</f>
        <v>1.1812774996673701</v>
      </c>
      <c r="D270" s="879">
        <f>VLOOKUP($B270,'2b.Incendis forestals'!$B$4:$P$314,9,FALSE)/1000000</f>
        <v>0.2052568389968514</v>
      </c>
      <c r="E270" s="878">
        <f>VLOOKUP($B270,'3b aigua'!$B$4:$K$314,8,FALSE)/1000000</f>
        <v>9.7506616133973321</v>
      </c>
      <c r="F270" s="879">
        <f t="shared" si="61"/>
        <v>4.3504781249999995</v>
      </c>
      <c r="G270" s="879">
        <f t="shared" si="62"/>
        <v>8.0825940000000003</v>
      </c>
      <c r="H270" s="879">
        <f t="shared" si="63"/>
        <v>4.7484596099999991E-2</v>
      </c>
      <c r="I270" s="878" t="str">
        <f>IF(VLOOKUP($A270,'7b erosió costa'!$A$4:$AP$401,9,FALSE)&gt;0,VLOOKUP($A270,'7b erosió costa'!$A$4:$AP$401,9,FALSE),"")</f>
        <v/>
      </c>
      <c r="J270" s="870">
        <f>VLOOKUP(A270,copcalor,'1b.Cops de calor'!Z$1,FALSE)/1000000</f>
        <v>6.8504769783633979</v>
      </c>
      <c r="K270" s="870">
        <f>VLOOKUP($B270,'2b.Incendis forestals'!$B$4:$P$314,14,FALSE)/1000000</f>
        <v>0.56445630724134133</v>
      </c>
      <c r="L270" s="870">
        <f>VLOOKUP($B270,'3b aigua'!$B$4:$K$314,9,FALSE)/1000000</f>
        <v>14.102488221177172</v>
      </c>
      <c r="M270" s="918">
        <f t="shared" si="64"/>
        <v>23.31289083407221</v>
      </c>
      <c r="N270" s="918">
        <f t="shared" si="65"/>
        <v>9.2707353179999998</v>
      </c>
      <c r="O270" s="918">
        <f t="shared" si="66"/>
        <v>4.7504460899999996E-2</v>
      </c>
      <c r="P270" s="918" t="str">
        <f>IF(VLOOKUP($A270,'7b erosió costa'!$A$4:$AP$401,42,FALSE)&gt;0,VLOOKUP($A270,'7b erosió costa'!$A$4:$AP$401,42,FALSE),"")</f>
        <v/>
      </c>
      <c r="Q270" s="863">
        <f t="shared" si="74"/>
        <v>5.6691994786960276</v>
      </c>
      <c r="R270" s="864">
        <f t="shared" si="67"/>
        <v>0.35919946824448989</v>
      </c>
      <c r="S270" s="863">
        <f t="shared" si="68"/>
        <v>4.3518266077798398</v>
      </c>
      <c r="T270" s="864">
        <f t="shared" si="69"/>
        <v>18.962412709072211</v>
      </c>
      <c r="U270" s="864">
        <f t="shared" si="70"/>
        <v>1.1881413179999996</v>
      </c>
      <c r="V270" s="864">
        <f t="shared" si="70"/>
        <v>1.9864800000005123E-5</v>
      </c>
      <c r="W270" s="864" t="str">
        <f t="shared" si="75"/>
        <v/>
      </c>
      <c r="X270" s="1067">
        <f t="shared" si="71"/>
        <v>30.530799446592567</v>
      </c>
      <c r="Y270" s="826">
        <f>VLOOKUP(B270,'BD ASVICC'!$A$6:$Y$316,24,FALSE)</f>
        <v>3446</v>
      </c>
      <c r="Z270" s="826" t="str">
        <f t="shared" si="72"/>
        <v>b 1.000 a 5.000 hab.</v>
      </c>
      <c r="AA270" s="826">
        <f t="shared" si="73"/>
        <v>8859.7792938457824</v>
      </c>
    </row>
    <row r="271" spans="1:27" s="826" customFormat="1" ht="45">
      <c r="A271" s="835">
        <v>8270</v>
      </c>
      <c r="B271" s="826" t="s">
        <v>356</v>
      </c>
      <c r="C271" s="878">
        <f>VLOOKUP(A271,copcalor,'1b.Cops de calor'!P$1,FALSE)/1000000</f>
        <v>20.609233390798</v>
      </c>
      <c r="D271" s="879">
        <f>VLOOKUP($B271,'2b.Incendis forestals'!$B$4:$P$314,9,FALSE)/1000000</f>
        <v>6.2743184086445387</v>
      </c>
      <c r="E271" s="878">
        <f>VLOOKUP($B271,'3b aigua'!$B$4:$K$314,8,FALSE)/1000000</f>
        <v>146.51500904104589</v>
      </c>
      <c r="F271" s="879">
        <f t="shared" si="61"/>
        <v>0.26649437499999995</v>
      </c>
      <c r="G271" s="879">
        <f t="shared" si="62"/>
        <v>0.15209999999999999</v>
      </c>
      <c r="H271" s="879">
        <f t="shared" si="63"/>
        <v>0</v>
      </c>
      <c r="I271" s="878">
        <f>IF(VLOOKUP($A271,'7b erosió costa'!$A$4:$AP$401,9,FALSE)&gt;0,VLOOKUP($A271,'7b erosió costa'!$A$4:$AP$401,9,FALSE),"")</f>
        <v>0.38630412371134026</v>
      </c>
      <c r="J271" s="870">
        <f>VLOOKUP(A271,copcalor,'1b.Cops de calor'!Z$1,FALSE)/1000000</f>
        <v>114.43003508726476</v>
      </c>
      <c r="K271" s="870">
        <f>VLOOKUP($B271,'2b.Incendis forestals'!$B$4:$P$314,14,FALSE)/1000000</f>
        <v>17.254375623772479</v>
      </c>
      <c r="L271" s="870">
        <f>VLOOKUP($B271,'3b aigua'!$B$4:$K$314,9,FALSE)/1000000</f>
        <v>269.16880807139779</v>
      </c>
      <c r="M271" s="918">
        <f t="shared" si="64"/>
        <v>10.451530249325682</v>
      </c>
      <c r="N271" s="918">
        <f t="shared" si="65"/>
        <v>0.17445869999999999</v>
      </c>
      <c r="O271" s="918">
        <f t="shared" si="66"/>
        <v>28.198271635349997</v>
      </c>
      <c r="P271" s="918">
        <f>IF(VLOOKUP($A271,'7b erosió costa'!$A$4:$AP$401,42,FALSE)&gt;0,VLOOKUP($A271,'7b erosió costa'!$A$4:$AP$401,42,FALSE),"")</f>
        <v>0.4458520595232543</v>
      </c>
      <c r="Q271" s="863">
        <f t="shared" si="74"/>
        <v>93.820801696466759</v>
      </c>
      <c r="R271" s="864">
        <f t="shared" si="67"/>
        <v>10.980057215127939</v>
      </c>
      <c r="S271" s="863">
        <f t="shared" si="68"/>
        <v>122.65379903035191</v>
      </c>
      <c r="T271" s="864">
        <f t="shared" si="69"/>
        <v>10.185035874325681</v>
      </c>
      <c r="U271" s="864">
        <f t="shared" si="70"/>
        <v>2.2358700000000009E-2</v>
      </c>
      <c r="V271" s="864">
        <f t="shared" si="70"/>
        <v>28.198271635349997</v>
      </c>
      <c r="W271" s="864">
        <f t="shared" si="75"/>
        <v>5.9547935811914032E-2</v>
      </c>
      <c r="X271" s="1067">
        <f t="shared" si="71"/>
        <v>265.91987208743421</v>
      </c>
      <c r="Y271" s="826">
        <f>VLOOKUP(B271,'BD ASVICC'!$A$6:$Y$316,24,FALSE)</f>
        <v>28478</v>
      </c>
      <c r="Z271" s="826" t="str">
        <f t="shared" si="72"/>
        <v>d 20.000 a 50.000 hab.</v>
      </c>
      <c r="AA271" s="826">
        <f t="shared" si="73"/>
        <v>9337.7298998326496</v>
      </c>
    </row>
    <row r="272" spans="1:27" s="826" customFormat="1" ht="30">
      <c r="A272" s="835">
        <v>8271</v>
      </c>
      <c r="B272" s="826" t="s">
        <v>1621</v>
      </c>
      <c r="C272" s="878">
        <f>VLOOKUP(A272,copcalor,'1b.Cops de calor'!P$1,FALSE)/1000000</f>
        <v>1.5604867866329138E-4</v>
      </c>
      <c r="D272" s="879">
        <f>VLOOKUP($B272,'2b.Incendis forestals'!$B$4:$P$314,9,FALSE)/1000000</f>
        <v>0.12499465848105648</v>
      </c>
      <c r="E272" s="878">
        <f>VLOOKUP($B272,'3b aigua'!$B$4:$K$314,8,FALSE)/1000000</f>
        <v>0.11820871045461336</v>
      </c>
      <c r="F272" s="879">
        <f t="shared" si="61"/>
        <v>0.82707999999999993</v>
      </c>
      <c r="G272" s="879">
        <f t="shared" si="62"/>
        <v>0.58710599999999991</v>
      </c>
      <c r="H272" s="879">
        <f t="shared" si="63"/>
        <v>0</v>
      </c>
      <c r="I272" s="878" t="str">
        <f>IF(VLOOKUP($A272,'7b erosió costa'!$A$4:$AP$401,9,FALSE)&gt;0,VLOOKUP($A272,'7b erosió costa'!$A$4:$AP$401,9,FALSE),"")</f>
        <v/>
      </c>
      <c r="J272" s="870">
        <f>VLOOKUP(A272,copcalor,'1b.Cops de calor'!Z$1,FALSE)/1000000</f>
        <v>2.4799253732849159E-4</v>
      </c>
      <c r="K272" s="870">
        <f>VLOOKUP($B272,'2b.Incendis forestals'!$B$4:$P$314,14,FALSE)/1000000</f>
        <v>0.34373531082290532</v>
      </c>
      <c r="L272" s="870">
        <f>VLOOKUP($B272,'3b aigua'!$B$4:$K$314,9,FALSE)/1000000</f>
        <v>0.17096654698141014</v>
      </c>
      <c r="M272" s="918">
        <f t="shared" si="64"/>
        <v>3.7141279214088967</v>
      </c>
      <c r="N272" s="918">
        <f t="shared" si="65"/>
        <v>0.67341058199999981</v>
      </c>
      <c r="O272" s="918">
        <f t="shared" si="66"/>
        <v>0</v>
      </c>
      <c r="P272" s="918" t="str">
        <f>IF(VLOOKUP($A272,'7b erosió costa'!$A$4:$AP$401,42,FALSE)&gt;0,VLOOKUP($A272,'7b erosió costa'!$A$4:$AP$401,42,FALSE),"")</f>
        <v/>
      </c>
      <c r="Q272" s="863">
        <f t="shared" si="74"/>
        <v>9.1943858665200206E-5</v>
      </c>
      <c r="R272" s="864">
        <f t="shared" si="67"/>
        <v>0.21874065234184883</v>
      </c>
      <c r="S272" s="863">
        <f t="shared" si="68"/>
        <v>5.2757836526796789E-2</v>
      </c>
      <c r="T272" s="864">
        <f t="shared" si="69"/>
        <v>2.8870479214088967</v>
      </c>
      <c r="U272" s="864">
        <f t="shared" si="70"/>
        <v>8.6304581999999908E-2</v>
      </c>
      <c r="V272" s="864">
        <f t="shared" si="70"/>
        <v>0</v>
      </c>
      <c r="W272" s="864" t="str">
        <f t="shared" si="75"/>
        <v/>
      </c>
      <c r="X272" s="1067">
        <f t="shared" si="71"/>
        <v>3.2449429361362072</v>
      </c>
      <c r="Y272" s="826">
        <f>VLOOKUP(B272,'BD ASVICC'!$A$6:$Y$316,24,FALSE)</f>
        <v>83</v>
      </c>
      <c r="Z272" s="826" t="str">
        <f t="shared" si="72"/>
        <v>a &lt; 1.000 hab.</v>
      </c>
      <c r="AA272" s="826">
        <f t="shared" si="73"/>
        <v>39095.698025737438</v>
      </c>
    </row>
    <row r="273" spans="1:27" s="826" customFormat="1" ht="30">
      <c r="A273" s="835">
        <v>8272</v>
      </c>
      <c r="B273" s="826" t="s">
        <v>1625</v>
      </c>
      <c r="C273" s="878">
        <f>VLOOKUP(A273,copcalor,'1b.Cops de calor'!P$1,FALSE)/1000000</f>
        <v>6.2615897622573732E-3</v>
      </c>
      <c r="D273" s="879">
        <f>VLOOKUP($B273,'2b.Incendis forestals'!$B$4:$P$314,9,FALSE)/1000000</f>
        <v>0.27293801008491647</v>
      </c>
      <c r="E273" s="878">
        <f>VLOOKUP($B273,'3b aigua'!$B$4:$K$314,8,FALSE)/1000000</f>
        <v>0.25672636250069336</v>
      </c>
      <c r="F273" s="879">
        <f t="shared" si="61"/>
        <v>3.1086799999999997</v>
      </c>
      <c r="G273" s="879">
        <f t="shared" si="62"/>
        <v>15.657173999999999</v>
      </c>
      <c r="H273" s="879">
        <f t="shared" si="63"/>
        <v>2.6390453999999997E-3</v>
      </c>
      <c r="I273" s="878" t="str">
        <f>IF(VLOOKUP($A273,'7b erosió costa'!$A$4:$AP$401,9,FALSE)&gt;0,VLOOKUP($A273,'7b erosió costa'!$A$4:$AP$401,9,FALSE),"")</f>
        <v/>
      </c>
      <c r="J273" s="870">
        <f>VLOOKUP(A273,copcalor,'1b.Cops de calor'!Z$1,FALSE)/1000000</f>
        <v>3.6002205898254036E-2</v>
      </c>
      <c r="K273" s="870">
        <f>VLOOKUP($B273,'2b.Incendis forestals'!$B$4:$P$314,14,FALSE)/1000000</f>
        <v>0.75057952773352032</v>
      </c>
      <c r="L273" s="870">
        <f>VLOOKUP($B273,'3b aigua'!$B$4:$K$314,9,FALSE)/1000000</f>
        <v>0.37130613765297499</v>
      </c>
      <c r="M273" s="918">
        <f t="shared" si="64"/>
        <v>13.8136289740607</v>
      </c>
      <c r="N273" s="918">
        <f t="shared" si="65"/>
        <v>17.958778578</v>
      </c>
      <c r="O273" s="918">
        <f t="shared" si="66"/>
        <v>6.3368364000000003E-3</v>
      </c>
      <c r="P273" s="918" t="str">
        <f>IF(VLOOKUP($A273,'7b erosió costa'!$A$4:$AP$401,42,FALSE)&gt;0,VLOOKUP($A273,'7b erosió costa'!$A$4:$AP$401,42,FALSE),"")</f>
        <v/>
      </c>
      <c r="Q273" s="863">
        <f t="shared" si="74"/>
        <v>2.9740616135996663E-2</v>
      </c>
      <c r="R273" s="864">
        <f t="shared" si="67"/>
        <v>0.47764151764860385</v>
      </c>
      <c r="S273" s="863">
        <f t="shared" si="68"/>
        <v>0.11457977515228163</v>
      </c>
      <c r="T273" s="864">
        <f t="shared" si="69"/>
        <v>10.7049489740607</v>
      </c>
      <c r="U273" s="864">
        <f t="shared" si="70"/>
        <v>2.301604578000001</v>
      </c>
      <c r="V273" s="864">
        <f t="shared" si="70"/>
        <v>3.6977910000000006E-3</v>
      </c>
      <c r="W273" s="864" t="str">
        <f t="shared" si="75"/>
        <v/>
      </c>
      <c r="X273" s="1067">
        <f t="shared" si="71"/>
        <v>13.632213251997584</v>
      </c>
      <c r="Y273" s="826">
        <f>VLOOKUP(B273,'BD ASVICC'!$A$6:$Y$316,24,FALSE)</f>
        <v>189</v>
      </c>
      <c r="Z273" s="826" t="str">
        <f t="shared" si="72"/>
        <v>a &lt; 1.000 hab.</v>
      </c>
      <c r="AA273" s="826">
        <f t="shared" si="73"/>
        <v>72128.112444431667</v>
      </c>
    </row>
    <row r="274" spans="1:27" s="826" customFormat="1" ht="45">
      <c r="A274" s="835">
        <v>8273</v>
      </c>
      <c r="B274" s="826" t="s">
        <v>1627</v>
      </c>
      <c r="C274" s="878">
        <f>VLOOKUP(A274,copcalor,'1b.Cops de calor'!P$1,FALSE)/1000000</f>
        <v>0.78281964872967269</v>
      </c>
      <c r="D274" s="879">
        <f>VLOOKUP($B274,'2b.Incendis forestals'!$B$4:$P$314,9,FALSE)/1000000</f>
        <v>2.9424828772605385</v>
      </c>
      <c r="E274" s="878">
        <f>VLOOKUP($B274,'3b aigua'!$B$4:$K$314,8,FALSE)/1000000</f>
        <v>8.49436921374976</v>
      </c>
      <c r="F274" s="879">
        <f t="shared" si="61"/>
        <v>0.77364749999999993</v>
      </c>
      <c r="G274" s="879">
        <f t="shared" si="62"/>
        <v>4.5173699999999997</v>
      </c>
      <c r="H274" s="879">
        <f t="shared" si="63"/>
        <v>7.954647197099999</v>
      </c>
      <c r="I274" s="878" t="str">
        <f>IF(VLOOKUP($A274,'7b erosió costa'!$A$4:$AP$401,9,FALSE)&gt;0,VLOOKUP($A274,'7b erosió costa'!$A$4:$AP$401,9,FALSE),"")</f>
        <v/>
      </c>
      <c r="J274" s="870">
        <f>VLOOKUP(A274,copcalor,'1b.Cops de calor'!Z$1,FALSE)/1000000</f>
        <v>4.4533567030982741</v>
      </c>
      <c r="K274" s="870">
        <f>VLOOKUP($B274,'2b.Incendis forestals'!$B$4:$P$314,14,FALSE)/1000000</f>
        <v>8.0918279124664796</v>
      </c>
      <c r="L274" s="870">
        <f>VLOOKUP($B274,'3b aigua'!$B$4:$K$314,9,FALSE)/1000000</f>
        <v>15.605358464966985</v>
      </c>
      <c r="M274" s="918">
        <f t="shared" si="64"/>
        <v>5.8462830262158318</v>
      </c>
      <c r="N274" s="918">
        <f t="shared" si="65"/>
        <v>5.1814233899999991</v>
      </c>
      <c r="O274" s="918">
        <f t="shared" si="66"/>
        <v>13.163483250899999</v>
      </c>
      <c r="P274" s="918" t="str">
        <f>IF(VLOOKUP($A274,'7b erosió costa'!$A$4:$AP$401,42,FALSE)&gt;0,VLOOKUP($A274,'7b erosió costa'!$A$4:$AP$401,42,FALSE),"")</f>
        <v/>
      </c>
      <c r="Q274" s="863">
        <f t="shared" si="74"/>
        <v>3.6705370543686016</v>
      </c>
      <c r="R274" s="864">
        <f t="shared" si="67"/>
        <v>5.1493450352059416</v>
      </c>
      <c r="S274" s="863">
        <f t="shared" si="68"/>
        <v>7.1109892512172248</v>
      </c>
      <c r="T274" s="864">
        <f t="shared" si="69"/>
        <v>5.0726355262158318</v>
      </c>
      <c r="U274" s="864">
        <f t="shared" si="70"/>
        <v>0.66405338999999941</v>
      </c>
      <c r="V274" s="864">
        <f t="shared" si="70"/>
        <v>5.2088360537999998</v>
      </c>
      <c r="W274" s="864" t="str">
        <f t="shared" si="75"/>
        <v/>
      </c>
      <c r="X274" s="1067">
        <f t="shared" si="71"/>
        <v>26.8763963108076</v>
      </c>
      <c r="Y274" s="826">
        <f>VLOOKUP(B274,'BD ASVICC'!$A$6:$Y$316,24,FALSE)</f>
        <v>2997</v>
      </c>
      <c r="Z274" s="826" t="str">
        <f t="shared" si="72"/>
        <v>b 1.000 a 5.000 hab.</v>
      </c>
      <c r="AA274" s="826">
        <f t="shared" si="73"/>
        <v>8967.7665368060061</v>
      </c>
    </row>
    <row r="275" spans="1:27" s="826" customFormat="1" ht="45">
      <c r="A275" s="835">
        <v>8274</v>
      </c>
      <c r="B275" s="826" t="s">
        <v>1631</v>
      </c>
      <c r="C275" s="878">
        <f>VLOOKUP(A275,copcalor,'1b.Cops de calor'!P$1,FALSE)/1000000</f>
        <v>4.1478924433381428</v>
      </c>
      <c r="D275" s="879">
        <f>VLOOKUP($B275,'2b.Incendis forestals'!$B$4:$P$314,9,FALSE)/1000000</f>
        <v>2.9265628041691474</v>
      </c>
      <c r="E275" s="878">
        <f>VLOOKUP($B275,'3b aigua'!$B$4:$K$314,8,FALSE)/1000000</f>
        <v>71.937389575708167</v>
      </c>
      <c r="F275" s="879">
        <f t="shared" si="61"/>
        <v>1.598213125</v>
      </c>
      <c r="G275" s="879">
        <f t="shared" si="62"/>
        <v>4.8246120000000001</v>
      </c>
      <c r="H275" s="879">
        <f t="shared" si="63"/>
        <v>39.021571296449999</v>
      </c>
      <c r="I275" s="878" t="str">
        <f>IF(VLOOKUP($A275,'7b erosió costa'!$A$4:$AP$401,9,FALSE)&gt;0,VLOOKUP($A275,'7b erosió costa'!$A$4:$AP$401,9,FALSE),"")</f>
        <v/>
      </c>
      <c r="J275" s="870">
        <f>VLOOKUP(A275,copcalor,'1b.Cops de calor'!Z$1,FALSE)/1000000</f>
        <v>22.196090626927681</v>
      </c>
      <c r="K275" s="870">
        <f>VLOOKUP($B275,'2b.Incendis forestals'!$B$4:$P$314,14,FALSE)/1000000</f>
        <v>8.0480477114651556</v>
      </c>
      <c r="L275" s="870">
        <f>VLOOKUP($B275,'3b aigua'!$B$4:$K$314,9,FALSE)/1000000</f>
        <v>104.04383101140009</v>
      </c>
      <c r="M275" s="918">
        <f t="shared" si="64"/>
        <v>9.9544173277076222</v>
      </c>
      <c r="N275" s="918">
        <f t="shared" si="65"/>
        <v>5.5338299640000006</v>
      </c>
      <c r="O275" s="918">
        <f t="shared" si="66"/>
        <v>44.117723024700005</v>
      </c>
      <c r="P275" s="918" t="str">
        <f>IF(VLOOKUP($A275,'7b erosió costa'!$A$4:$AP$401,42,FALSE)&gt;0,VLOOKUP($A275,'7b erosió costa'!$A$4:$AP$401,42,FALSE),"")</f>
        <v/>
      </c>
      <c r="Q275" s="863">
        <f t="shared" si="74"/>
        <v>18.048198183589538</v>
      </c>
      <c r="R275" s="864">
        <f t="shared" si="67"/>
        <v>5.1214849072960078</v>
      </c>
      <c r="S275" s="863">
        <f t="shared" si="68"/>
        <v>32.10644143569192</v>
      </c>
      <c r="T275" s="864">
        <f t="shared" si="69"/>
        <v>8.3562042027076231</v>
      </c>
      <c r="U275" s="864">
        <f t="shared" si="70"/>
        <v>0.70921796400000048</v>
      </c>
      <c r="V275" s="864">
        <f t="shared" si="70"/>
        <v>5.0961517282500068</v>
      </c>
      <c r="W275" s="864" t="str">
        <f t="shared" si="75"/>
        <v/>
      </c>
      <c r="X275" s="1067">
        <f t="shared" si="71"/>
        <v>69.437698421535089</v>
      </c>
      <c r="Y275" s="826">
        <f>VLOOKUP(B275,'BD ASVICC'!$A$6:$Y$316,24,FALSE)</f>
        <v>5873</v>
      </c>
      <c r="Z275" s="826" t="str">
        <f t="shared" si="72"/>
        <v>c 5.000 a 20.000 hab.</v>
      </c>
      <c r="AA275" s="826">
        <f t="shared" si="73"/>
        <v>11823.20763179552</v>
      </c>
    </row>
    <row r="276" spans="1:27" s="826" customFormat="1" ht="30">
      <c r="A276" s="835">
        <v>8275</v>
      </c>
      <c r="B276" s="826" t="s">
        <v>1634</v>
      </c>
      <c r="C276" s="878">
        <f>VLOOKUP(A276,copcalor,'1b.Cops de calor'!P$1,FALSE)/1000000</f>
        <v>0.20104984798149264</v>
      </c>
      <c r="D276" s="879">
        <f>VLOOKUP($B276,'2b.Incendis forestals'!$B$4:$P$314,9,FALSE)/1000000</f>
        <v>0.15982541606338257</v>
      </c>
      <c r="E276" s="878">
        <f>VLOOKUP($B276,'3b aigua'!$B$4:$K$314,8,FALSE)/1000000</f>
        <v>1.1627021345942401</v>
      </c>
      <c r="F276" s="879">
        <f t="shared" si="61"/>
        <v>2.36900625</v>
      </c>
      <c r="G276" s="879">
        <f t="shared" si="62"/>
        <v>5.7311279999999991</v>
      </c>
      <c r="H276" s="879">
        <f t="shared" si="63"/>
        <v>0</v>
      </c>
      <c r="I276" s="878" t="str">
        <f>IF(VLOOKUP($A276,'7b erosió costa'!$A$4:$AP$401,9,FALSE)&gt;0,VLOOKUP($A276,'7b erosió costa'!$A$4:$AP$401,9,FALSE),"")</f>
        <v/>
      </c>
      <c r="J276" s="870">
        <f>VLOOKUP(A276,copcalor,'1b.Cops de calor'!Z$1,FALSE)/1000000</f>
        <v>1.1844111626870459</v>
      </c>
      <c r="K276" s="870">
        <f>VLOOKUP($B276,'2b.Incendis forestals'!$B$4:$P$314,14,FALSE)/1000000</f>
        <v>0.43951989417430204</v>
      </c>
      <c r="L276" s="870">
        <f>VLOOKUP($B276,'3b aigua'!$B$4:$K$314,9,FALSE)/1000000</f>
        <v>1.6816287763820543</v>
      </c>
      <c r="M276" s="918">
        <f t="shared" si="64"/>
        <v>11.044605807607411</v>
      </c>
      <c r="N276" s="918">
        <f t="shared" si="65"/>
        <v>6.5736038159999985</v>
      </c>
      <c r="O276" s="918">
        <f t="shared" si="66"/>
        <v>0</v>
      </c>
      <c r="P276" s="918" t="str">
        <f>IF(VLOOKUP($A276,'7b erosió costa'!$A$4:$AP$401,42,FALSE)&gt;0,VLOOKUP($A276,'7b erosió costa'!$A$4:$AP$401,42,FALSE),"")</f>
        <v/>
      </c>
      <c r="Q276" s="863">
        <f t="shared" si="74"/>
        <v>0.98336131470555332</v>
      </c>
      <c r="R276" s="864">
        <f t="shared" si="67"/>
        <v>0.27969447811091946</v>
      </c>
      <c r="S276" s="863">
        <f t="shared" si="68"/>
        <v>0.51892664178781422</v>
      </c>
      <c r="T276" s="864">
        <f t="shared" si="69"/>
        <v>8.675599557607411</v>
      </c>
      <c r="U276" s="864">
        <f t="shared" si="70"/>
        <v>0.84247581599999943</v>
      </c>
      <c r="V276" s="864">
        <f t="shared" si="70"/>
        <v>0</v>
      </c>
      <c r="W276" s="864" t="str">
        <f t="shared" si="75"/>
        <v/>
      </c>
      <c r="X276" s="1067">
        <f t="shared" si="71"/>
        <v>11.300057808211697</v>
      </c>
      <c r="Y276" s="826">
        <f>VLOOKUP(B276,'BD ASVICC'!$A$6:$Y$316,24,FALSE)</f>
        <v>318</v>
      </c>
      <c r="Z276" s="826" t="str">
        <f t="shared" si="72"/>
        <v>a &lt; 1.000 hab.</v>
      </c>
      <c r="AA276" s="826">
        <f t="shared" si="73"/>
        <v>35534.772981797789</v>
      </c>
    </row>
    <row r="277" spans="1:27" s="826" customFormat="1" ht="30">
      <c r="A277" s="835">
        <v>8276</v>
      </c>
      <c r="B277" s="826" t="s">
        <v>1636</v>
      </c>
      <c r="C277" s="878">
        <f>VLOOKUP(A277,copcalor,'1b.Cops de calor'!P$1,FALSE)/1000000</f>
        <v>2.9512603393362112E-2</v>
      </c>
      <c r="D277" s="879">
        <f>VLOOKUP($B277,'2b.Incendis forestals'!$B$4:$P$314,9,FALSE)/1000000</f>
        <v>1.2250107687365026</v>
      </c>
      <c r="E277" s="878">
        <f>VLOOKUP($B277,'3b aigua'!$B$4:$K$314,8,FALSE)/1000000</f>
        <v>0.81577877541909327</v>
      </c>
      <c r="F277" s="879">
        <f t="shared" si="61"/>
        <v>2.1389999999999999E-2</v>
      </c>
      <c r="G277" s="879">
        <f t="shared" si="62"/>
        <v>0.47759399999999996</v>
      </c>
      <c r="H277" s="879">
        <f t="shared" si="63"/>
        <v>13.933587091649997</v>
      </c>
      <c r="I277" s="878" t="str">
        <f>IF(VLOOKUP($A277,'7b erosió costa'!$A$4:$AP$401,9,FALSE)&gt;0,VLOOKUP($A277,'7b erosió costa'!$A$4:$AP$401,9,FALSE),"")</f>
        <v/>
      </c>
      <c r="J277" s="870">
        <f>VLOOKUP(A277,copcalor,'1b.Cops de calor'!Z$1,FALSE)/1000000</f>
        <v>0.15369514222499139</v>
      </c>
      <c r="K277" s="870">
        <f>VLOOKUP($B277,'2b.Incendis forestals'!$B$4:$P$314,14,FALSE)/1000000</f>
        <v>3.3687796140253825</v>
      </c>
      <c r="L277" s="870">
        <f>VLOOKUP($B277,'3b aigua'!$B$4:$K$314,9,FALSE)/1000000</f>
        <v>1.1798697388520794</v>
      </c>
      <c r="M277" s="918">
        <f t="shared" si="64"/>
        <v>0.17233664825604555</v>
      </c>
      <c r="N277" s="918">
        <f t="shared" si="65"/>
        <v>0.54780031799999995</v>
      </c>
      <c r="O277" s="918">
        <f t="shared" si="66"/>
        <v>16.980744766500003</v>
      </c>
      <c r="P277" s="918" t="str">
        <f>IF(VLOOKUP($A277,'7b erosió costa'!$A$4:$AP$401,42,FALSE)&gt;0,VLOOKUP($A277,'7b erosió costa'!$A$4:$AP$401,42,FALSE),"")</f>
        <v/>
      </c>
      <c r="Q277" s="863">
        <f t="shared" si="74"/>
        <v>0.12418253883162927</v>
      </c>
      <c r="R277" s="864">
        <f t="shared" si="67"/>
        <v>2.1437688452888799</v>
      </c>
      <c r="S277" s="863">
        <f t="shared" si="68"/>
        <v>0.36409096343298608</v>
      </c>
      <c r="T277" s="864">
        <f t="shared" si="69"/>
        <v>0.15094664825604556</v>
      </c>
      <c r="U277" s="864">
        <f t="shared" si="70"/>
        <v>7.020631799999999E-2</v>
      </c>
      <c r="V277" s="864">
        <f t="shared" si="70"/>
        <v>3.0471576748500055</v>
      </c>
      <c r="W277" s="864" t="str">
        <f t="shared" si="75"/>
        <v/>
      </c>
      <c r="X277" s="1067">
        <f t="shared" si="71"/>
        <v>5.9003529886595469</v>
      </c>
      <c r="Y277" s="826">
        <f>VLOOKUP(B277,'BD ASVICC'!$A$6:$Y$316,24,FALSE)</f>
        <v>316</v>
      </c>
      <c r="Z277" s="826" t="str">
        <f t="shared" si="72"/>
        <v>a &lt; 1.000 hab.</v>
      </c>
      <c r="AA277" s="826">
        <f t="shared" si="73"/>
        <v>18672.00312866945</v>
      </c>
    </row>
    <row r="278" spans="1:27" s="826" customFormat="1" ht="30">
      <c r="A278" s="835">
        <v>8277</v>
      </c>
      <c r="B278" s="826" t="s">
        <v>1639</v>
      </c>
      <c r="C278" s="878">
        <f>VLOOKUP(A278,copcalor,'1b.Cops de calor'!P$1,FALSE)/1000000</f>
        <v>0.12416549708546598</v>
      </c>
      <c r="D278" s="879">
        <f>VLOOKUP($B278,'2b.Incendis forestals'!$B$4:$P$314,9,FALSE)/1000000</f>
        <v>4.4212238300004545</v>
      </c>
      <c r="E278" s="878">
        <f>VLOOKUP($B278,'3b aigua'!$B$4:$K$314,8,FALSE)/1000000</f>
        <v>0.61541058831744</v>
      </c>
      <c r="F278" s="879">
        <f t="shared" si="61"/>
        <v>0.63456999999999997</v>
      </c>
      <c r="G278" s="879">
        <f t="shared" si="62"/>
        <v>0.13743228830257739</v>
      </c>
      <c r="H278" s="879">
        <f t="shared" si="63"/>
        <v>1.7230814999999997E-2</v>
      </c>
      <c r="I278" s="878" t="str">
        <f>IF(VLOOKUP($A278,'7b erosió costa'!$A$4:$AP$401,9,FALSE)&gt;0,VLOOKUP($A278,'7b erosió costa'!$A$4:$AP$401,9,FALSE),"")</f>
        <v/>
      </c>
      <c r="J278" s="870">
        <f>VLOOKUP(A278,copcalor,'1b.Cops de calor'!Z$1,FALSE)/1000000</f>
        <v>0.57569398250874015</v>
      </c>
      <c r="K278" s="870">
        <f>VLOOKUP($B278,'2b.Incendis forestals'!$B$4:$P$314,14,FALSE)/1000000</f>
        <v>12.158365532501252</v>
      </c>
      <c r="L278" s="870">
        <f>VLOOKUP($B278,'3b aigua'!$B$4:$K$314,9,FALSE)/1000000</f>
        <v>0.89007504485744648</v>
      </c>
      <c r="M278" s="918">
        <f t="shared" si="64"/>
        <v>2.8780616446884593</v>
      </c>
      <c r="N278" s="918">
        <f t="shared" si="65"/>
        <v>0.15763483468305625</v>
      </c>
      <c r="O278" s="918">
        <f t="shared" si="66"/>
        <v>1.6762559999999999E-2</v>
      </c>
      <c r="P278" s="918" t="str">
        <f>IF(VLOOKUP($A278,'7b erosió costa'!$A$4:$AP$401,42,FALSE)&gt;0,VLOOKUP($A278,'7b erosió costa'!$A$4:$AP$401,42,FALSE),"")</f>
        <v/>
      </c>
      <c r="Q278" s="863">
        <f t="shared" si="74"/>
        <v>0.45152848542327417</v>
      </c>
      <c r="R278" s="864">
        <f t="shared" si="67"/>
        <v>7.7371417025007974</v>
      </c>
      <c r="S278" s="863">
        <f t="shared" si="68"/>
        <v>0.27466445654000649</v>
      </c>
      <c r="T278" s="864">
        <f t="shared" si="69"/>
        <v>2.2434916446884592</v>
      </c>
      <c r="U278" s="864">
        <f t="shared" si="70"/>
        <v>2.0202546380478859E-2</v>
      </c>
      <c r="V278" s="864">
        <f t="shared" si="70"/>
        <v>-4.6825499999999728E-4</v>
      </c>
      <c r="W278" s="864" t="str">
        <f t="shared" si="75"/>
        <v/>
      </c>
      <c r="X278" s="1067">
        <f t="shared" si="71"/>
        <v>10.726560580533016</v>
      </c>
      <c r="Y278" s="826">
        <f>VLOOKUP(B278,'BD ASVICC'!$A$6:$Y$316,24,FALSE)</f>
        <v>186</v>
      </c>
      <c r="Z278" s="826" t="str">
        <f t="shared" si="72"/>
        <v>a &lt; 1.000 hab.</v>
      </c>
      <c r="AA278" s="826">
        <f t="shared" si="73"/>
        <v>57669.680540500085</v>
      </c>
    </row>
    <row r="279" spans="1:27" s="826" customFormat="1" ht="45">
      <c r="A279" s="835">
        <v>8278</v>
      </c>
      <c r="B279" s="826" t="s">
        <v>1641</v>
      </c>
      <c r="C279" s="878">
        <f>VLOOKUP(A279,copcalor,'1b.Cops de calor'!P$1,FALSE)/1000000</f>
        <v>2.5497321197830662</v>
      </c>
      <c r="D279" s="879">
        <f>VLOOKUP($B279,'2b.Incendis forestals'!$B$4:$P$314,9,FALSE)/1000000</f>
        <v>0.18755023313560201</v>
      </c>
      <c r="E279" s="878">
        <f>VLOOKUP($B279,'3b aigua'!$B$4:$K$314,8,FALSE)/1000000</f>
        <v>12.920485426606083</v>
      </c>
      <c r="F279" s="879">
        <f t="shared" si="61"/>
        <v>6.0854974999999998</v>
      </c>
      <c r="G279" s="879">
        <f t="shared" si="62"/>
        <v>22.796748000000001</v>
      </c>
      <c r="H279" s="879">
        <f t="shared" si="63"/>
        <v>5.2436607504000001</v>
      </c>
      <c r="I279" s="878" t="str">
        <f>IF(VLOOKUP($A279,'7b erosió costa'!$A$4:$AP$401,9,FALSE)&gt;0,VLOOKUP($A279,'7b erosió costa'!$A$4:$AP$401,9,FALSE),"")</f>
        <v/>
      </c>
      <c r="J279" s="870">
        <f>VLOOKUP(A279,copcalor,'1b.Cops de calor'!Z$1,FALSE)/1000000</f>
        <v>14.86331858284534</v>
      </c>
      <c r="K279" s="870">
        <f>VLOOKUP($B279,'2b.Incendis forestals'!$B$4:$P$314,14,FALSE)/1000000</f>
        <v>0.51576314112290556</v>
      </c>
      <c r="L279" s="870">
        <f>VLOOKUP($B279,'3b aigua'!$B$4:$K$314,9,FALSE)/1000000</f>
        <v>18.687038968745167</v>
      </c>
      <c r="M279" s="918">
        <f t="shared" si="64"/>
        <v>34.536131928149175</v>
      </c>
      <c r="N279" s="918">
        <f t="shared" si="65"/>
        <v>26.147869955999997</v>
      </c>
      <c r="O279" s="918">
        <f t="shared" si="66"/>
        <v>6.0340984041000008</v>
      </c>
      <c r="P279" s="918" t="str">
        <f>IF(VLOOKUP($A279,'7b erosió costa'!$A$4:$AP$401,42,FALSE)&gt;0,VLOOKUP($A279,'7b erosió costa'!$A$4:$AP$401,42,FALSE),"")</f>
        <v/>
      </c>
      <c r="Q279" s="863">
        <f t="shared" si="74"/>
        <v>12.313586463062274</v>
      </c>
      <c r="R279" s="864">
        <f t="shared" si="67"/>
        <v>0.32821290798730351</v>
      </c>
      <c r="S279" s="863">
        <f t="shared" si="68"/>
        <v>5.7665535421390839</v>
      </c>
      <c r="T279" s="864">
        <f t="shared" si="69"/>
        <v>28.450634428149176</v>
      </c>
      <c r="U279" s="864">
        <f t="shared" si="70"/>
        <v>3.3511219559999965</v>
      </c>
      <c r="V279" s="864">
        <f t="shared" si="70"/>
        <v>0.79043765370000063</v>
      </c>
      <c r="W279" s="864" t="str">
        <f t="shared" si="75"/>
        <v/>
      </c>
      <c r="X279" s="1067">
        <f t="shared" si="71"/>
        <v>51.00054695103784</v>
      </c>
      <c r="Y279" s="826">
        <f>VLOOKUP(B279,'BD ASVICC'!$A$6:$Y$316,24,FALSE)</f>
        <v>6321</v>
      </c>
      <c r="Z279" s="826" t="str">
        <f t="shared" si="72"/>
        <v>c 5.000 a 20.000 hab.</v>
      </c>
      <c r="AA279" s="826">
        <f t="shared" si="73"/>
        <v>8068.4301457107795</v>
      </c>
    </row>
    <row r="280" spans="1:27" s="826" customFormat="1" ht="45">
      <c r="A280" s="835">
        <v>8279</v>
      </c>
      <c r="B280" s="826" t="s">
        <v>967</v>
      </c>
      <c r="C280" s="878">
        <f>VLOOKUP(A280,copcalor,'1b.Cops de calor'!P$1,FALSE)/1000000</f>
        <v>73.365364978235746</v>
      </c>
      <c r="D280" s="879">
        <f>VLOOKUP($B280,'2b.Incendis forestals'!$B$4:$P$314,9,FALSE)/1000000</f>
        <v>4.086350303455534</v>
      </c>
      <c r="E280" s="878">
        <f>VLOOKUP($B280,'3b aigua'!$B$4:$K$314,8,FALSE)/1000000</f>
        <v>399.75890033869058</v>
      </c>
      <c r="F280" s="879">
        <f t="shared" si="61"/>
        <v>3.3778587499999997</v>
      </c>
      <c r="G280" s="879">
        <f t="shared" si="62"/>
        <v>1.670058</v>
      </c>
      <c r="H280" s="879">
        <f t="shared" si="63"/>
        <v>35.8080785832</v>
      </c>
      <c r="I280" s="878" t="str">
        <f>IF(VLOOKUP($A280,'7b erosió costa'!$A$4:$AP$401,9,FALSE)&gt;0,VLOOKUP($A280,'7b erosió costa'!$A$4:$AP$401,9,FALSE),"")</f>
        <v/>
      </c>
      <c r="J280" s="870">
        <f>VLOOKUP(A280,copcalor,'1b.Cops de calor'!Z$1,FALSE)/1000000</f>
        <v>432.18538654859378</v>
      </c>
      <c r="K280" s="870">
        <f>VLOOKUP($B280,'2b.Incendis forestals'!$B$4:$P$314,14,FALSE)/1000000</f>
        <v>11.237463334502717</v>
      </c>
      <c r="L280" s="870">
        <f>VLOOKUP($B280,'3b aigua'!$B$4:$K$314,9,FALSE)/1000000</f>
        <v>578.17565687964293</v>
      </c>
      <c r="M280" s="918">
        <f t="shared" si="64"/>
        <v>19.210469362761074</v>
      </c>
      <c r="N280" s="918">
        <f t="shared" si="65"/>
        <v>1.915556526</v>
      </c>
      <c r="O280" s="918">
        <f t="shared" si="66"/>
        <v>38.458040364299997</v>
      </c>
      <c r="P280" s="918" t="str">
        <f>IF(VLOOKUP($A280,'7b erosió costa'!$A$4:$AP$401,42,FALSE)&gt;0,VLOOKUP($A280,'7b erosió costa'!$A$4:$AP$401,42,FALSE),"")</f>
        <v/>
      </c>
      <c r="Q280" s="863">
        <f t="shared" si="74"/>
        <v>358.82002157035805</v>
      </c>
      <c r="R280" s="864">
        <f t="shared" si="67"/>
        <v>7.1511130310471831</v>
      </c>
      <c r="S280" s="863">
        <f t="shared" si="68"/>
        <v>178.41675654095235</v>
      </c>
      <c r="T280" s="864">
        <f t="shared" si="69"/>
        <v>15.832610612761075</v>
      </c>
      <c r="U280" s="864">
        <f t="shared" si="70"/>
        <v>0.24549852599999999</v>
      </c>
      <c r="V280" s="864">
        <f t="shared" si="70"/>
        <v>2.6499617810999965</v>
      </c>
      <c r="W280" s="864" t="str">
        <f t="shared" si="75"/>
        <v/>
      </c>
      <c r="X280" s="1067">
        <f t="shared" si="71"/>
        <v>563.11596206221873</v>
      </c>
      <c r="Y280" s="826">
        <f>VLOOKUP(B280,'BD ASVICC'!$A$6:$Y$316,24,FALSE)</f>
        <v>215121</v>
      </c>
      <c r="Z280" s="826" t="str">
        <f t="shared" si="72"/>
        <v>e &gt;50.000 hab.</v>
      </c>
      <c r="AA280" s="826">
        <f t="shared" si="73"/>
        <v>2617.6708088109426</v>
      </c>
    </row>
    <row r="281" spans="1:27" s="826" customFormat="1" ht="30">
      <c r="A281" s="835">
        <v>8280</v>
      </c>
      <c r="B281" s="826" t="s">
        <v>1650</v>
      </c>
      <c r="C281" s="878">
        <f>VLOOKUP(A281,copcalor,'1b.Cops de calor'!P$1,FALSE)/1000000</f>
        <v>1.7477452010288637E-3</v>
      </c>
      <c r="D281" s="879">
        <f>VLOOKUP($B281,'2b.Incendis forestals'!$B$4:$P$314,9,FALSE)/1000000</f>
        <v>0.29938142804875595</v>
      </c>
      <c r="E281" s="878">
        <f>VLOOKUP($B281,'3b aigua'!$B$4:$K$314,8,FALSE)/1000000</f>
        <v>0.23752056244394673</v>
      </c>
      <c r="F281" s="879">
        <f t="shared" si="61"/>
        <v>1.0623699999999998</v>
      </c>
      <c r="G281" s="879">
        <f t="shared" si="62"/>
        <v>5.8345559999999992</v>
      </c>
      <c r="H281" s="879">
        <f t="shared" si="63"/>
        <v>0</v>
      </c>
      <c r="I281" s="878" t="str">
        <f>IF(VLOOKUP($A281,'7b erosió costa'!$A$4:$AP$401,9,FALSE)&gt;0,VLOOKUP($A281,'7b erosió costa'!$A$4:$AP$401,9,FALSE),"")</f>
        <v/>
      </c>
      <c r="J281" s="870">
        <f>VLOOKUP(A281,copcalor,'1b.Cops de calor'!Z$1,FALSE)/1000000</f>
        <v>2.7775164180791059E-3</v>
      </c>
      <c r="K281" s="870">
        <f>VLOOKUP($B281,'2b.Incendis forestals'!$B$4:$P$314,14,FALSE)/1000000</f>
        <v>0.82329892713407893</v>
      </c>
      <c r="L281" s="870">
        <f>VLOOKUP($B281,'3b aigua'!$B$4:$K$314,9,FALSE)/1000000</f>
        <v>0.34352857959410349</v>
      </c>
      <c r="M281" s="918">
        <f t="shared" si="64"/>
        <v>4.7771466737700052</v>
      </c>
      <c r="N281" s="918">
        <f t="shared" si="65"/>
        <v>6.6922357319999994</v>
      </c>
      <c r="O281" s="918">
        <f t="shared" si="66"/>
        <v>0</v>
      </c>
      <c r="P281" s="918" t="str">
        <f>IF(VLOOKUP($A281,'7b erosió costa'!$A$4:$AP$401,42,FALSE)&gt;0,VLOOKUP($A281,'7b erosió costa'!$A$4:$AP$401,42,FALSE),"")</f>
        <v/>
      </c>
      <c r="Q281" s="863">
        <f t="shared" si="74"/>
        <v>1.0297712170502422E-3</v>
      </c>
      <c r="R281" s="864">
        <f t="shared" si="67"/>
        <v>0.52391749908532304</v>
      </c>
      <c r="S281" s="863">
        <f t="shared" si="68"/>
        <v>0.10600801715015676</v>
      </c>
      <c r="T281" s="864">
        <f t="shared" si="69"/>
        <v>3.7147766737700056</v>
      </c>
      <c r="U281" s="864">
        <f t="shared" si="70"/>
        <v>0.85767973200000025</v>
      </c>
      <c r="V281" s="864">
        <f t="shared" si="70"/>
        <v>0</v>
      </c>
      <c r="W281" s="864" t="str">
        <f t="shared" si="75"/>
        <v/>
      </c>
      <c r="X281" s="1067">
        <f t="shared" si="71"/>
        <v>5.2034116932225363</v>
      </c>
      <c r="Y281" s="826">
        <f>VLOOKUP(B281,'BD ASVICC'!$A$6:$Y$316,24,FALSE)</f>
        <v>112</v>
      </c>
      <c r="Z281" s="826" t="str">
        <f t="shared" si="72"/>
        <v>a &lt; 1.000 hab.</v>
      </c>
      <c r="AA281" s="826">
        <f t="shared" si="73"/>
        <v>46459.032975201219</v>
      </c>
    </row>
    <row r="282" spans="1:27" s="826" customFormat="1" ht="45">
      <c r="A282" s="835">
        <v>8281</v>
      </c>
      <c r="B282" s="826" t="s">
        <v>1652</v>
      </c>
      <c r="C282" s="878">
        <f>VLOOKUP(A282,copcalor,'1b.Cops de calor'!P$1,FALSE)/1000000</f>
        <v>12.77113592600832</v>
      </c>
      <c r="D282" s="879">
        <f>VLOOKUP($B282,'2b.Incendis forestals'!$B$4:$P$314,9,FALSE)/1000000</f>
        <v>9.8962647275831123E-2</v>
      </c>
      <c r="E282" s="878">
        <f>VLOOKUP($B282,'3b aigua'!$B$4:$K$314,8,FALSE)/1000000</f>
        <v>16.423964617846721</v>
      </c>
      <c r="F282" s="879">
        <f t="shared" si="61"/>
        <v>0.37277624999999998</v>
      </c>
      <c r="G282" s="879">
        <f t="shared" si="62"/>
        <v>1.8251999999999997E-2</v>
      </c>
      <c r="H282" s="879">
        <f t="shared" si="63"/>
        <v>0</v>
      </c>
      <c r="I282" s="878" t="str">
        <f>IF(VLOOKUP($A282,'7b erosió costa'!$A$4:$AP$401,9,FALSE)&gt;0,VLOOKUP($A282,'7b erosió costa'!$A$4:$AP$401,9,FALSE),"")</f>
        <v/>
      </c>
      <c r="J282" s="870">
        <f>VLOOKUP(A282,copcalor,'1b.Cops de calor'!Z$1,FALSE)/1000000</f>
        <v>75.159459308869117</v>
      </c>
      <c r="K282" s="870">
        <f>VLOOKUP($B282,'2b.Incendis forestals'!$B$4:$P$314,14,FALSE)/1000000</f>
        <v>0.27214728000853561</v>
      </c>
      <c r="L282" s="870">
        <f>VLOOKUP($B282,'3b aigua'!$B$4:$K$314,9,FALSE)/1000000</f>
        <v>30.173147508417575</v>
      </c>
      <c r="M282" s="918">
        <f t="shared" si="64"/>
        <v>5.9724477765877069</v>
      </c>
      <c r="N282" s="918">
        <f t="shared" si="65"/>
        <v>2.0935044E-2</v>
      </c>
      <c r="O282" s="918">
        <f t="shared" si="66"/>
        <v>0</v>
      </c>
      <c r="P282" s="918" t="str">
        <f>IF(VLOOKUP($A282,'7b erosió costa'!$A$4:$AP$401,42,FALSE)&gt;0,VLOOKUP($A282,'7b erosió costa'!$A$4:$AP$401,42,FALSE),"")</f>
        <v/>
      </c>
      <c r="Q282" s="863">
        <f t="shared" si="74"/>
        <v>62.388323382860797</v>
      </c>
      <c r="R282" s="864">
        <f t="shared" si="67"/>
        <v>0.17318463273270449</v>
      </c>
      <c r="S282" s="863">
        <f t="shared" si="68"/>
        <v>13.749182890570854</v>
      </c>
      <c r="T282" s="864">
        <f t="shared" si="69"/>
        <v>5.5996715265877066</v>
      </c>
      <c r="U282" s="864">
        <f t="shared" si="70"/>
        <v>2.6830440000000025E-3</v>
      </c>
      <c r="V282" s="864">
        <f t="shared" si="70"/>
        <v>0</v>
      </c>
      <c r="W282" s="864" t="str">
        <f t="shared" si="75"/>
        <v/>
      </c>
      <c r="X282" s="1067">
        <f t="shared" si="71"/>
        <v>81.91304547675206</v>
      </c>
      <c r="Y282" s="826">
        <f>VLOOKUP(B282,'BD ASVICC'!$A$6:$Y$316,24,FALSE)</f>
        <v>6254</v>
      </c>
      <c r="Z282" s="826" t="str">
        <f t="shared" si="72"/>
        <v>c 5.000 a 20.000 hab.</v>
      </c>
      <c r="AA282" s="826">
        <f t="shared" si="73"/>
        <v>13097.704745243373</v>
      </c>
    </row>
    <row r="283" spans="1:27" s="826" customFormat="1" ht="45">
      <c r="A283" s="835">
        <v>8282</v>
      </c>
      <c r="B283" s="826" t="s">
        <v>1655</v>
      </c>
      <c r="C283" s="878">
        <f>VLOOKUP(A283,copcalor,'1b.Cops de calor'!P$1,FALSE)/1000000</f>
        <v>11.218969616469327</v>
      </c>
      <c r="D283" s="879">
        <f>VLOOKUP($B283,'2b.Incendis forestals'!$B$4:$P$314,9,FALSE)/1000000</f>
        <v>0.12444083559887704</v>
      </c>
      <c r="E283" s="878">
        <f>VLOOKUP($B283,'3b aigua'!$B$4:$K$314,8,FALSE)/1000000</f>
        <v>20.603029921322559</v>
      </c>
      <c r="F283" s="879">
        <f t="shared" si="61"/>
        <v>0.52527562499999991</v>
      </c>
      <c r="G283" s="879">
        <f t="shared" si="62"/>
        <v>6.084E-3</v>
      </c>
      <c r="H283" s="879">
        <f t="shared" si="63"/>
        <v>0</v>
      </c>
      <c r="I283" s="878" t="str">
        <f>IF(VLOOKUP($A283,'7b erosió costa'!$A$4:$AP$401,9,FALSE)&gt;0,VLOOKUP($A283,'7b erosió costa'!$A$4:$AP$401,9,FALSE),"")</f>
        <v/>
      </c>
      <c r="J283" s="870">
        <f>VLOOKUP(A283,copcalor,'1b.Cops de calor'!Z$1,FALSE)/1000000</f>
        <v>65.307054350217101</v>
      </c>
      <c r="K283" s="870">
        <f>VLOOKUP($B283,'2b.Incendis forestals'!$B$4:$P$314,14,FALSE)/1000000</f>
        <v>0.34221229789691193</v>
      </c>
      <c r="L283" s="870">
        <f>VLOOKUP($B283,'3b aigua'!$B$4:$K$314,9,FALSE)/1000000</f>
        <v>37.850681939541936</v>
      </c>
      <c r="M283" s="918">
        <f t="shared" si="64"/>
        <v>6.8854068670099515</v>
      </c>
      <c r="N283" s="918">
        <f t="shared" si="65"/>
        <v>6.9783479999999988E-3</v>
      </c>
      <c r="O283" s="918">
        <f t="shared" si="66"/>
        <v>0</v>
      </c>
      <c r="P283" s="918" t="str">
        <f>IF(VLOOKUP($A283,'7b erosió costa'!$A$4:$AP$401,42,FALSE)&gt;0,VLOOKUP($A283,'7b erosió costa'!$A$4:$AP$401,42,FALSE),"")</f>
        <v/>
      </c>
      <c r="Q283" s="863">
        <f t="shared" si="74"/>
        <v>54.088084733747777</v>
      </c>
      <c r="R283" s="864">
        <f t="shared" si="67"/>
        <v>0.2177714622980349</v>
      </c>
      <c r="S283" s="863">
        <f t="shared" si="68"/>
        <v>17.247652018219377</v>
      </c>
      <c r="T283" s="864">
        <f t="shared" si="69"/>
        <v>6.3601312420099516</v>
      </c>
      <c r="U283" s="864">
        <f t="shared" si="70"/>
        <v>8.943479999999988E-4</v>
      </c>
      <c r="V283" s="864">
        <f t="shared" si="70"/>
        <v>0</v>
      </c>
      <c r="W283" s="864" t="str">
        <f t="shared" si="75"/>
        <v/>
      </c>
      <c r="X283" s="1067">
        <f t="shared" si="71"/>
        <v>77.914533804275138</v>
      </c>
      <c r="Y283" s="826">
        <f>VLOOKUP(B283,'BD ASVICC'!$A$6:$Y$316,24,FALSE)</f>
        <v>8553</v>
      </c>
      <c r="Z283" s="826" t="str">
        <f t="shared" si="72"/>
        <v>c 5.000 a 20.000 hab.</v>
      </c>
      <c r="AA283" s="826">
        <f t="shared" si="73"/>
        <v>9109.6146152548972</v>
      </c>
    </row>
    <row r="284" spans="1:27" s="826" customFormat="1" ht="45">
      <c r="A284" s="835">
        <v>8283</v>
      </c>
      <c r="B284" s="826" t="s">
        <v>1658</v>
      </c>
      <c r="C284" s="878">
        <f>VLOOKUP(A284,copcalor,'1b.Cops de calor'!P$1,FALSE)/1000000</f>
        <v>3.1144086794051828</v>
      </c>
      <c r="D284" s="879">
        <f>VLOOKUP($B284,'2b.Incendis forestals'!$B$4:$P$314,9,FALSE)/1000000</f>
        <v>6.5817317839512501E-2</v>
      </c>
      <c r="E284" s="878">
        <f>VLOOKUP($B284,'3b aigua'!$B$4:$K$314,8,FALSE)/1000000</f>
        <v>14.849937783309443</v>
      </c>
      <c r="F284" s="879">
        <f t="shared" si="61"/>
        <v>4.6205799999999995</v>
      </c>
      <c r="G284" s="879">
        <f t="shared" si="62"/>
        <v>13.047137999999999</v>
      </c>
      <c r="H284" s="879">
        <f t="shared" si="63"/>
        <v>0</v>
      </c>
      <c r="I284" s="878" t="str">
        <f>IF(VLOOKUP($A284,'7b erosió costa'!$A$4:$AP$401,9,FALSE)&gt;0,VLOOKUP($A284,'7b erosió costa'!$A$4:$AP$401,9,FALSE),"")</f>
        <v/>
      </c>
      <c r="J284" s="870">
        <f>VLOOKUP(A284,copcalor,'1b.Cops de calor'!Z$1,FALSE)/1000000</f>
        <v>18.139185116429879</v>
      </c>
      <c r="K284" s="870">
        <f>VLOOKUP($B284,'2b.Incendis forestals'!$B$4:$P$314,14,FALSE)/1000000</f>
        <v>0.18099762405865943</v>
      </c>
      <c r="L284" s="870">
        <f>VLOOKUP($B284,'3b aigua'!$B$4:$K$314,9,FALSE)/1000000</f>
        <v>21.477626952676971</v>
      </c>
      <c r="M284" s="918">
        <f t="shared" si="64"/>
        <v>27.371000593121352</v>
      </c>
      <c r="N284" s="918">
        <f t="shared" si="65"/>
        <v>14.965067286</v>
      </c>
      <c r="O284" s="918">
        <f t="shared" si="66"/>
        <v>0</v>
      </c>
      <c r="P284" s="918" t="str">
        <f>IF(VLOOKUP($A284,'7b erosió costa'!$A$4:$AP$401,42,FALSE)&gt;0,VLOOKUP($A284,'7b erosió costa'!$A$4:$AP$401,42,FALSE),"")</f>
        <v/>
      </c>
      <c r="Q284" s="863">
        <f t="shared" si="74"/>
        <v>15.024776437024695</v>
      </c>
      <c r="R284" s="864">
        <f t="shared" si="67"/>
        <v>0.11518030621914693</v>
      </c>
      <c r="S284" s="863">
        <f t="shared" si="68"/>
        <v>6.6276891693675282</v>
      </c>
      <c r="T284" s="864">
        <f t="shared" si="69"/>
        <v>22.750420593121351</v>
      </c>
      <c r="U284" s="864">
        <f t="shared" si="70"/>
        <v>1.9179292860000015</v>
      </c>
      <c r="V284" s="864">
        <f t="shared" si="70"/>
        <v>0</v>
      </c>
      <c r="W284" s="864" t="str">
        <f t="shared" si="75"/>
        <v/>
      </c>
      <c r="X284" s="1067">
        <f t="shared" si="71"/>
        <v>46.435995791732722</v>
      </c>
      <c r="Y284" s="826">
        <f>VLOOKUP(B284,'BD ASVICC'!$A$6:$Y$316,24,FALSE)</f>
        <v>7951</v>
      </c>
      <c r="Z284" s="826" t="str">
        <f t="shared" si="72"/>
        <v>c 5.000 a 20.000 hab.</v>
      </c>
      <c r="AA284" s="826">
        <f t="shared" si="73"/>
        <v>5840.2711346664219</v>
      </c>
    </row>
    <row r="285" spans="1:27" s="826" customFormat="1" ht="45">
      <c r="A285" s="835">
        <v>8284</v>
      </c>
      <c r="B285" s="826" t="s">
        <v>1660</v>
      </c>
      <c r="C285" s="878">
        <f>VLOOKUP(A285,copcalor,'1b.Cops de calor'!P$1,FALSE)/1000000</f>
        <v>5.6633716006074621</v>
      </c>
      <c r="D285" s="879">
        <f>VLOOKUP($B285,'2b.Incendis forestals'!$B$4:$P$314,9,FALSE)/1000000</f>
        <v>1.745658187312696</v>
      </c>
      <c r="E285" s="878">
        <f>VLOOKUP($B285,'3b aigua'!$B$4:$K$314,8,FALSE)/1000000</f>
        <v>34.990718975718835</v>
      </c>
      <c r="F285" s="879">
        <f t="shared" si="61"/>
        <v>12.501499374999998</v>
      </c>
      <c r="G285" s="879">
        <f t="shared" si="62"/>
        <v>16.028297999999999</v>
      </c>
      <c r="H285" s="879">
        <f t="shared" si="63"/>
        <v>318.7171570173</v>
      </c>
      <c r="I285" s="878" t="str">
        <f>IF(VLOOKUP($A285,'7b erosió costa'!$A$4:$AP$401,9,FALSE)&gt;0,VLOOKUP($A285,'7b erosió costa'!$A$4:$AP$401,9,FALSE),"")</f>
        <v/>
      </c>
      <c r="J285" s="870">
        <f>VLOOKUP(A285,copcalor,'1b.Cops de calor'!Z$1,FALSE)/1000000</f>
        <v>33.389267744267215</v>
      </c>
      <c r="K285" s="870">
        <f>VLOOKUP($B285,'2b.Incendis forestals'!$B$4:$P$314,14,FALSE)/1000000</f>
        <v>4.8005600151099133</v>
      </c>
      <c r="L285" s="870">
        <f>VLOOKUP($B285,'3b aigua'!$B$4:$K$314,9,FALSE)/1000000</f>
        <v>50.60745842390741</v>
      </c>
      <c r="M285" s="918">
        <f t="shared" si="64"/>
        <v>101.27894016879868</v>
      </c>
      <c r="N285" s="918">
        <f t="shared" si="65"/>
        <v>18.384457806</v>
      </c>
      <c r="O285" s="918">
        <f t="shared" si="66"/>
        <v>327.46995639405009</v>
      </c>
      <c r="P285" s="918" t="str">
        <f>IF(VLOOKUP($A285,'7b erosió costa'!$A$4:$AP$401,42,FALSE)&gt;0,VLOOKUP($A285,'7b erosió costa'!$A$4:$AP$401,42,FALSE),"")</f>
        <v/>
      </c>
      <c r="Q285" s="863">
        <f t="shared" si="74"/>
        <v>27.725896143659753</v>
      </c>
      <c r="R285" s="864">
        <f t="shared" si="67"/>
        <v>3.0549018277972175</v>
      </c>
      <c r="S285" s="863">
        <f t="shared" si="68"/>
        <v>15.616739448188575</v>
      </c>
      <c r="T285" s="864">
        <f t="shared" si="69"/>
        <v>88.777440793798689</v>
      </c>
      <c r="U285" s="864">
        <f t="shared" si="70"/>
        <v>2.3561598060000009</v>
      </c>
      <c r="V285" s="864">
        <f t="shared" si="70"/>
        <v>8.7527993767500902</v>
      </c>
      <c r="W285" s="864" t="str">
        <f t="shared" si="75"/>
        <v/>
      </c>
      <c r="X285" s="1067">
        <f t="shared" si="71"/>
        <v>146.28393739619432</v>
      </c>
      <c r="Y285" s="826">
        <f>VLOOKUP(B285,'BD ASVICC'!$A$6:$Y$316,24,FALSE)</f>
        <v>16453</v>
      </c>
      <c r="Z285" s="826" t="str">
        <f t="shared" si="72"/>
        <v>c 5.000 a 20.000 hab.</v>
      </c>
      <c r="AA285" s="826">
        <f t="shared" si="73"/>
        <v>8891.0191087457788</v>
      </c>
    </row>
    <row r="286" spans="1:27" s="826" customFormat="1" ht="45">
      <c r="A286" s="835">
        <v>8285</v>
      </c>
      <c r="B286" s="826" t="s">
        <v>1667</v>
      </c>
      <c r="C286" s="878">
        <f>VLOOKUP(A286,copcalor,'1b.Cops de calor'!P$1,FALSE)/1000000</f>
        <v>3.1900837206449184</v>
      </c>
      <c r="D286" s="879">
        <f>VLOOKUP($B286,'2b.Incendis forestals'!$B$4:$P$314,9,FALSE)/1000000</f>
        <v>3.0870069429151881E-2</v>
      </c>
      <c r="E286" s="878">
        <f>VLOOKUP($B286,'3b aigua'!$B$4:$K$314,8,FALSE)/1000000</f>
        <v>25.779252739745917</v>
      </c>
      <c r="F286" s="879">
        <f t="shared" si="61"/>
        <v>5.9680768749999995</v>
      </c>
      <c r="G286" s="879">
        <f t="shared" si="62"/>
        <v>11.261483999999999</v>
      </c>
      <c r="H286" s="879">
        <f t="shared" si="63"/>
        <v>24.674817895800004</v>
      </c>
      <c r="I286" s="878" t="str">
        <f>IF(VLOOKUP($A286,'7b erosió costa'!$A$4:$AP$401,9,FALSE)&gt;0,VLOOKUP($A286,'7b erosió costa'!$A$4:$AP$401,9,FALSE),"")</f>
        <v/>
      </c>
      <c r="J286" s="870">
        <f>VLOOKUP(A286,copcalor,'1b.Cops de calor'!Z$1,FALSE)/1000000</f>
        <v>18.611140273811252</v>
      </c>
      <c r="K286" s="870">
        <f>VLOOKUP($B286,'2b.Incendis forestals'!$B$4:$P$314,14,FALSE)/1000000</f>
        <v>8.4892690930167672E-2</v>
      </c>
      <c r="L286" s="870">
        <f>VLOOKUP($B286,'3b aigua'!$B$4:$K$314,9,FALSE)/1000000</f>
        <v>37.284814356955955</v>
      </c>
      <c r="M286" s="918">
        <f t="shared" si="64"/>
        <v>36.552261432617236</v>
      </c>
      <c r="N286" s="918">
        <f t="shared" si="65"/>
        <v>12.916922147999999</v>
      </c>
      <c r="O286" s="918">
        <f t="shared" si="66"/>
        <v>35.6488217271</v>
      </c>
      <c r="P286" s="918" t="str">
        <f>IF(VLOOKUP($A286,'7b erosió costa'!$A$4:$AP$401,42,FALSE)&gt;0,VLOOKUP($A286,'7b erosió costa'!$A$4:$AP$401,42,FALSE),"")</f>
        <v/>
      </c>
      <c r="Q286" s="863">
        <f t="shared" si="74"/>
        <v>15.421056553166334</v>
      </c>
      <c r="R286" s="864">
        <f t="shared" si="67"/>
        <v>5.4022621501015791E-2</v>
      </c>
      <c r="S286" s="863">
        <f t="shared" si="68"/>
        <v>11.505561617210038</v>
      </c>
      <c r="T286" s="864">
        <f t="shared" si="69"/>
        <v>30.584184557617235</v>
      </c>
      <c r="U286" s="864">
        <f t="shared" si="70"/>
        <v>1.655438148</v>
      </c>
      <c r="V286" s="864">
        <f t="shared" si="70"/>
        <v>10.974003831299996</v>
      </c>
      <c r="W286" s="864" t="str">
        <f t="shared" si="75"/>
        <v/>
      </c>
      <c r="X286" s="1067">
        <f t="shared" si="71"/>
        <v>70.194267328794623</v>
      </c>
      <c r="Y286" s="826">
        <f>VLOOKUP(B286,'BD ASVICC'!$A$6:$Y$316,24,FALSE)</f>
        <v>13877</v>
      </c>
      <c r="Z286" s="826" t="str">
        <f t="shared" si="72"/>
        <v>c 5.000 a 20.000 hab.</v>
      </c>
      <c r="AA286" s="826">
        <f t="shared" si="73"/>
        <v>5058.3171671683094</v>
      </c>
    </row>
    <row r="287" spans="1:27" s="826" customFormat="1" ht="45">
      <c r="A287" s="835">
        <v>8286</v>
      </c>
      <c r="B287" s="826" t="s">
        <v>1670</v>
      </c>
      <c r="C287" s="878">
        <f>VLOOKUP(A287,copcalor,'1b.Cops de calor'!P$1,FALSE)/1000000</f>
        <v>0.56569381133884633</v>
      </c>
      <c r="D287" s="879">
        <f>VLOOKUP($B287,'2b.Incendis forestals'!$B$4:$P$314,9,FALSE)/1000000</f>
        <v>1.2764242073184078</v>
      </c>
      <c r="E287" s="878">
        <f>VLOOKUP($B287,'3b aigua'!$B$4:$K$314,8,FALSE)/1000000</f>
        <v>11.201517482354241</v>
      </c>
      <c r="F287" s="879">
        <f t="shared" si="61"/>
        <v>1.6755500000000001</v>
      </c>
      <c r="G287" s="879">
        <f t="shared" si="62"/>
        <v>0.155142</v>
      </c>
      <c r="H287" s="879">
        <f t="shared" si="63"/>
        <v>0.31097494320000002</v>
      </c>
      <c r="I287" s="878" t="str">
        <f>IF(VLOOKUP($A287,'7b erosió costa'!$A$4:$AP$401,9,FALSE)&gt;0,VLOOKUP($A287,'7b erosió costa'!$A$4:$AP$401,9,FALSE),"")</f>
        <v/>
      </c>
      <c r="J287" s="870">
        <f>VLOOKUP(A287,copcalor,'1b.Cops de calor'!Z$1,FALSE)/1000000</f>
        <v>3.1628002800129882</v>
      </c>
      <c r="K287" s="870">
        <f>VLOOKUP($B287,'2b.Incendis forestals'!$B$4:$P$314,14,FALSE)/1000000</f>
        <v>3.5101665701256217</v>
      </c>
      <c r="L287" s="870">
        <f>VLOOKUP($B287,'3b aigua'!$B$4:$K$314,9,FALSE)/1000000</f>
        <v>16.200876885847656</v>
      </c>
      <c r="M287" s="918">
        <f t="shared" si="64"/>
        <v>9.2661408522983439</v>
      </c>
      <c r="N287" s="918">
        <f t="shared" si="65"/>
        <v>0.17794787399999998</v>
      </c>
      <c r="O287" s="918">
        <f t="shared" si="66"/>
        <v>0.52741195485000003</v>
      </c>
      <c r="P287" s="918" t="str">
        <f>IF(VLOOKUP($A287,'7b erosió costa'!$A$4:$AP$401,42,FALSE)&gt;0,VLOOKUP($A287,'7b erosió costa'!$A$4:$AP$401,42,FALSE),"")</f>
        <v/>
      </c>
      <c r="Q287" s="863">
        <f t="shared" si="74"/>
        <v>2.5971064686741419</v>
      </c>
      <c r="R287" s="864">
        <f t="shared" si="67"/>
        <v>2.2337423628072139</v>
      </c>
      <c r="S287" s="863">
        <f t="shared" si="68"/>
        <v>4.9993594034934148</v>
      </c>
      <c r="T287" s="864">
        <f t="shared" si="69"/>
        <v>7.5905908522983436</v>
      </c>
      <c r="U287" s="864">
        <f t="shared" si="70"/>
        <v>2.2805873999999976E-2</v>
      </c>
      <c r="V287" s="864">
        <f t="shared" si="70"/>
        <v>0.21643701165000001</v>
      </c>
      <c r="W287" s="864" t="str">
        <f t="shared" si="75"/>
        <v/>
      </c>
      <c r="X287" s="1067">
        <f t="shared" si="71"/>
        <v>17.660041972923114</v>
      </c>
      <c r="Y287" s="826">
        <f>VLOOKUP(B287,'BD ASVICC'!$A$6:$Y$316,24,FALSE)</f>
        <v>3722</v>
      </c>
      <c r="Z287" s="826" t="str">
        <f t="shared" si="72"/>
        <v>b 1.000 a 5.000 hab.</v>
      </c>
      <c r="AA287" s="826">
        <f t="shared" si="73"/>
        <v>4744.7721582275963</v>
      </c>
    </row>
    <row r="288" spans="1:27" s="826" customFormat="1" ht="45">
      <c r="A288" s="835">
        <v>8287</v>
      </c>
      <c r="B288" s="826" t="s">
        <v>1673</v>
      </c>
      <c r="C288" s="878">
        <f>VLOOKUP(A288,copcalor,'1b.Cops de calor'!P$1,FALSE)/1000000</f>
        <v>0.51977341546714295</v>
      </c>
      <c r="D288" s="879">
        <f>VLOOKUP($B288,'2b.Incendis forestals'!$B$4:$P$314,9,FALSE)/1000000</f>
        <v>0.76613535656079945</v>
      </c>
      <c r="E288" s="878">
        <f>VLOOKUP($B288,'3b aigua'!$B$4:$K$314,8,FALSE)/1000000</f>
        <v>2.8846460624035202</v>
      </c>
      <c r="F288" s="879">
        <f t="shared" si="61"/>
        <v>1.1713362499999997</v>
      </c>
      <c r="G288" s="879">
        <f t="shared" si="62"/>
        <v>1.1894219999999998</v>
      </c>
      <c r="H288" s="879">
        <f t="shared" si="63"/>
        <v>0.24323252279999996</v>
      </c>
      <c r="I288" s="878" t="str">
        <f>IF(VLOOKUP($A288,'7b erosió costa'!$A$4:$AP$401,9,FALSE)&gt;0,VLOOKUP($A288,'7b erosió costa'!$A$4:$AP$401,9,FALSE),"")</f>
        <v/>
      </c>
      <c r="J288" s="870">
        <f>VLOOKUP(A288,copcalor,'1b.Cops de calor'!Z$1,FALSE)/1000000</f>
        <v>3.0038083404997864</v>
      </c>
      <c r="K288" s="870">
        <f>VLOOKUP($B288,'2b.Incendis forestals'!$B$4:$P$314,14,FALSE)/1000000</f>
        <v>2.1068722305421979</v>
      </c>
      <c r="L288" s="870">
        <f>VLOOKUP($B288,'3b aigua'!$B$4:$K$314,9,FALSE)/1000000</f>
        <v>4.1720950567514112</v>
      </c>
      <c r="M288" s="918">
        <f t="shared" si="64"/>
        <v>7.3236197315004699</v>
      </c>
      <c r="N288" s="918">
        <f t="shared" si="65"/>
        <v>1.3642670339999996</v>
      </c>
      <c r="O288" s="918">
        <f t="shared" si="66"/>
        <v>0.30682696859999997</v>
      </c>
      <c r="P288" s="918" t="str">
        <f>IF(VLOOKUP($A288,'7b erosió costa'!$A$4:$AP$401,42,FALSE)&gt;0,VLOOKUP($A288,'7b erosió costa'!$A$4:$AP$401,42,FALSE),"")</f>
        <v/>
      </c>
      <c r="Q288" s="863">
        <f t="shared" si="74"/>
        <v>2.4840349250326437</v>
      </c>
      <c r="R288" s="864">
        <f t="shared" si="67"/>
        <v>1.3407368739813985</v>
      </c>
      <c r="S288" s="863">
        <f t="shared" si="68"/>
        <v>1.2874489943478911</v>
      </c>
      <c r="T288" s="864">
        <f t="shared" si="69"/>
        <v>6.1522834815004703</v>
      </c>
      <c r="U288" s="864">
        <f t="shared" si="70"/>
        <v>0.17484503399999984</v>
      </c>
      <c r="V288" s="864">
        <f t="shared" si="70"/>
        <v>6.359444580000001E-2</v>
      </c>
      <c r="W288" s="864" t="str">
        <f t="shared" si="75"/>
        <v/>
      </c>
      <c r="X288" s="1067">
        <f t="shared" si="71"/>
        <v>11.502943754662404</v>
      </c>
      <c r="Y288" s="826">
        <f>VLOOKUP(B288,'BD ASVICC'!$A$6:$Y$316,24,FALSE)</f>
        <v>1413</v>
      </c>
      <c r="Z288" s="826" t="str">
        <f t="shared" si="72"/>
        <v>b 1.000 a 5.000 hab.</v>
      </c>
      <c r="AA288" s="826">
        <f t="shared" si="73"/>
        <v>8140.7952970009937</v>
      </c>
    </row>
    <row r="289" spans="1:27" s="826" customFormat="1" ht="45">
      <c r="A289" s="835">
        <v>8288</v>
      </c>
      <c r="B289" s="826" t="s">
        <v>1677</v>
      </c>
      <c r="C289" s="878">
        <f>VLOOKUP(A289,copcalor,'1b.Cops de calor'!P$1,FALSE)/1000000</f>
        <v>0.54902602756082064</v>
      </c>
      <c r="D289" s="879">
        <f>VLOOKUP($B289,'2b.Incendis forestals'!$B$4:$P$314,9,FALSE)/1000000</f>
        <v>2.3311003238741814</v>
      </c>
      <c r="E289" s="878">
        <f>VLOOKUP($B289,'3b aigua'!$B$4:$K$314,8,FALSE)/1000000</f>
        <v>5.432392261021441</v>
      </c>
      <c r="F289" s="879">
        <f t="shared" si="61"/>
        <v>1.1827418750000001</v>
      </c>
      <c r="G289" s="879">
        <f t="shared" si="62"/>
        <v>4.027607999999999</v>
      </c>
      <c r="H289" s="879">
        <f t="shared" si="63"/>
        <v>0</v>
      </c>
      <c r="I289" s="878" t="str">
        <f>IF(VLOOKUP($A289,'7b erosió costa'!$A$4:$AP$401,9,FALSE)&gt;0,VLOOKUP($A289,'7b erosió costa'!$A$4:$AP$401,9,FALSE),"")</f>
        <v/>
      </c>
      <c r="J289" s="870">
        <f>VLOOKUP(A289,copcalor,'1b.Cops de calor'!Z$1,FALSE)/1000000</f>
        <v>3.1518719401081032</v>
      </c>
      <c r="K289" s="870">
        <f>VLOOKUP($B289,'2b.Incendis forestals'!$B$4:$P$314,14,FALSE)/1000000</f>
        <v>6.4105258906540001</v>
      </c>
      <c r="L289" s="870">
        <f>VLOOKUP($B289,'3b aigua'!$B$4:$K$314,9,FALSE)/1000000</f>
        <v>9.9800734371574595</v>
      </c>
      <c r="M289" s="918">
        <f t="shared" si="64"/>
        <v>7.0867356118976144</v>
      </c>
      <c r="N289" s="918">
        <f t="shared" si="65"/>
        <v>4.6196663759999996</v>
      </c>
      <c r="O289" s="918">
        <f t="shared" si="66"/>
        <v>7.9620821550000012E-2</v>
      </c>
      <c r="P289" s="918" t="str">
        <f>IF(VLOOKUP($A289,'7b erosió costa'!$A$4:$AP$401,42,FALSE)&gt;0,VLOOKUP($A289,'7b erosió costa'!$A$4:$AP$401,42,FALSE),"")</f>
        <v/>
      </c>
      <c r="Q289" s="863">
        <f t="shared" si="74"/>
        <v>2.6028459125472825</v>
      </c>
      <c r="R289" s="864">
        <f t="shared" si="67"/>
        <v>4.0794255667798183</v>
      </c>
      <c r="S289" s="863">
        <f t="shared" si="68"/>
        <v>4.5476811761360185</v>
      </c>
      <c r="T289" s="864">
        <f t="shared" si="69"/>
        <v>5.9039937368976148</v>
      </c>
      <c r="U289" s="864">
        <f t="shared" si="70"/>
        <v>0.59205837600000066</v>
      </c>
      <c r="V289" s="864">
        <f t="shared" si="70"/>
        <v>7.9620821550000012E-2</v>
      </c>
      <c r="W289" s="864" t="str">
        <f t="shared" si="75"/>
        <v/>
      </c>
      <c r="X289" s="1067">
        <f t="shared" si="71"/>
        <v>17.805625589910736</v>
      </c>
      <c r="Y289" s="826">
        <f>VLOOKUP(B289,'BD ASVICC'!$A$6:$Y$316,24,FALSE)</f>
        <v>2201</v>
      </c>
      <c r="Z289" s="826" t="str">
        <f t="shared" si="72"/>
        <v>b 1.000 a 5.000 hab.</v>
      </c>
      <c r="AA289" s="826">
        <f t="shared" si="73"/>
        <v>8089.7890004137826</v>
      </c>
    </row>
    <row r="290" spans="1:27" s="826" customFormat="1" ht="45">
      <c r="A290" s="835">
        <v>8289</v>
      </c>
      <c r="B290" s="826" t="s">
        <v>1681</v>
      </c>
      <c r="C290" s="878">
        <f>VLOOKUP(A290,copcalor,'1b.Cops de calor'!P$1,FALSE)/1000000</f>
        <v>4.8284996390289647</v>
      </c>
      <c r="D290" s="879">
        <f>VLOOKUP($B290,'2b.Incendis forestals'!$B$4:$P$314,9,FALSE)/1000000</f>
        <v>1.07580233357162</v>
      </c>
      <c r="E290" s="878">
        <f>VLOOKUP($B290,'3b aigua'!$B$4:$K$314,8,FALSE)/1000000</f>
        <v>13.86363775840587</v>
      </c>
      <c r="F290" s="879">
        <f t="shared" si="61"/>
        <v>0.27111000000000002</v>
      </c>
      <c r="G290" s="879">
        <f t="shared" si="62"/>
        <v>7.300799999999999E-2</v>
      </c>
      <c r="H290" s="879">
        <f t="shared" si="63"/>
        <v>0</v>
      </c>
      <c r="I290" s="878" t="str">
        <f>IF(VLOOKUP($A290,'7b erosió costa'!$A$4:$AP$401,9,FALSE)&gt;0,VLOOKUP($A290,'7b erosió costa'!$A$4:$AP$401,9,FALSE),"")</f>
        <v/>
      </c>
      <c r="J290" s="870">
        <f>VLOOKUP(A290,copcalor,'1b.Cops de calor'!Z$1,FALSE)/1000000</f>
        <v>28.372490227442039</v>
      </c>
      <c r="K290" s="870">
        <f>VLOOKUP($B290,'2b.Incendis forestals'!$B$4:$P$314,14,FALSE)/1000000</f>
        <v>2.9584564173219547</v>
      </c>
      <c r="L290" s="870">
        <f>VLOOKUP($B290,'3b aigua'!$B$4:$K$314,9,FALSE)/1000000</f>
        <v>25.469464701178271</v>
      </c>
      <c r="M290" s="918">
        <f t="shared" si="64"/>
        <v>3.4797108829728778</v>
      </c>
      <c r="N290" s="918">
        <f t="shared" si="65"/>
        <v>8.3740176E-2</v>
      </c>
      <c r="O290" s="918">
        <f t="shared" si="66"/>
        <v>0</v>
      </c>
      <c r="P290" s="918" t="str">
        <f>IF(VLOOKUP($A290,'7b erosió costa'!$A$4:$AP$401,42,FALSE)&gt;0,VLOOKUP($A290,'7b erosió costa'!$A$4:$AP$401,42,FALSE),"")</f>
        <v/>
      </c>
      <c r="Q290" s="863">
        <f t="shared" si="74"/>
        <v>23.543990588413074</v>
      </c>
      <c r="R290" s="864">
        <f t="shared" si="67"/>
        <v>1.8826540837503347</v>
      </c>
      <c r="S290" s="863">
        <f t="shared" si="68"/>
        <v>11.605826942772401</v>
      </c>
      <c r="T290" s="864">
        <f t="shared" si="69"/>
        <v>3.2086008829728776</v>
      </c>
      <c r="U290" s="864">
        <f t="shared" si="70"/>
        <v>1.073217600000001E-2</v>
      </c>
      <c r="V290" s="864">
        <f t="shared" si="70"/>
        <v>0</v>
      </c>
      <c r="W290" s="864" t="str">
        <f t="shared" si="75"/>
        <v/>
      </c>
      <c r="X290" s="1067">
        <f t="shared" si="71"/>
        <v>40.251804673908687</v>
      </c>
      <c r="Y290" s="826">
        <f>VLOOKUP(B290,'BD ASVICC'!$A$6:$Y$316,24,FALSE)</f>
        <v>5933</v>
      </c>
      <c r="Z290" s="826" t="str">
        <f t="shared" si="72"/>
        <v>c 5.000 a 20.000 hab.</v>
      </c>
      <c r="AA290" s="826">
        <f t="shared" si="73"/>
        <v>6784.3931693761488</v>
      </c>
    </row>
    <row r="291" spans="1:27" s="826" customFormat="1" ht="45">
      <c r="A291" s="835">
        <v>8290</v>
      </c>
      <c r="B291" s="826" t="s">
        <v>1682</v>
      </c>
      <c r="C291" s="878">
        <f>VLOOKUP(A291,copcalor,'1b.Cops de calor'!P$1,FALSE)/1000000</f>
        <v>0.48082419726212555</v>
      </c>
      <c r="D291" s="879">
        <f>VLOOKUP($B291,'2b.Incendis forestals'!$B$4:$P$314,9,FALSE)/1000000</f>
        <v>0.58735304420277146</v>
      </c>
      <c r="E291" s="878">
        <f>VLOOKUP($B291,'3b aigua'!$B$4:$K$314,8,FALSE)/1000000</f>
        <v>4.4640876331525332</v>
      </c>
      <c r="F291" s="879">
        <f t="shared" si="61"/>
        <v>0.136393125</v>
      </c>
      <c r="G291" s="879">
        <f t="shared" si="62"/>
        <v>2.9507399999999997</v>
      </c>
      <c r="H291" s="879">
        <f t="shared" si="63"/>
        <v>2.3937045000000001E-3</v>
      </c>
      <c r="I291" s="878" t="str">
        <f>IF(VLOOKUP($A291,'7b erosió costa'!$A$4:$AP$401,9,FALSE)&gt;0,VLOOKUP($A291,'7b erosió costa'!$A$4:$AP$401,9,FALSE),"")</f>
        <v/>
      </c>
      <c r="J291" s="870">
        <f>VLOOKUP(A291,copcalor,'1b.Cops de calor'!Z$1,FALSE)/1000000</f>
        <v>2.8430051014556597</v>
      </c>
      <c r="K291" s="870">
        <f>VLOOKUP($B291,'2b.Incendis forestals'!$B$4:$P$314,14,FALSE)/1000000</f>
        <v>1.6152208715576215</v>
      </c>
      <c r="L291" s="870">
        <f>VLOOKUP($B291,'3b aigua'!$B$4:$K$314,9,FALSE)/1000000</f>
        <v>8.2011607903277053</v>
      </c>
      <c r="M291" s="918">
        <f t="shared" si="64"/>
        <v>0.80165070765132962</v>
      </c>
      <c r="N291" s="918">
        <f t="shared" si="65"/>
        <v>3.3844987799999995</v>
      </c>
      <c r="O291" s="1111">
        <f t="shared" si="66"/>
        <v>2.6442108E-3</v>
      </c>
      <c r="P291" s="918" t="str">
        <f>IF(VLOOKUP($A291,'7b erosió costa'!$A$4:$AP$401,42,FALSE)&gt;0,VLOOKUP($A291,'7b erosió costa'!$A$4:$AP$401,42,FALSE),"")</f>
        <v/>
      </c>
      <c r="Q291" s="863">
        <f t="shared" si="74"/>
        <v>2.3621809041935342</v>
      </c>
      <c r="R291" s="864">
        <f t="shared" si="67"/>
        <v>1.02786782735485</v>
      </c>
      <c r="S291" s="863">
        <f t="shared" si="68"/>
        <v>3.7370731571751721</v>
      </c>
      <c r="T291" s="864">
        <f t="shared" si="69"/>
        <v>0.66525758265132962</v>
      </c>
      <c r="U291" s="864">
        <f t="shared" si="70"/>
        <v>0.43375877999999979</v>
      </c>
      <c r="V291" s="1113">
        <f t="shared" si="70"/>
        <v>2.5050629999999983E-4</v>
      </c>
      <c r="W291" s="864" t="str">
        <f t="shared" si="75"/>
        <v/>
      </c>
      <c r="X291" s="1067">
        <f t="shared" si="71"/>
        <v>8.2263887576748846</v>
      </c>
      <c r="Y291" s="826">
        <f>VLOOKUP(B291,'BD ASVICC'!$A$6:$Y$316,24,FALSE)</f>
        <v>2039</v>
      </c>
      <c r="Z291" s="826" t="str">
        <f t="shared" si="72"/>
        <v>b 1.000 a 5.000 hab.</v>
      </c>
      <c r="AA291" s="826">
        <f t="shared" si="73"/>
        <v>4034.5212151421701</v>
      </c>
    </row>
    <row r="292" spans="1:27" s="826" customFormat="1" ht="45">
      <c r="A292" s="835">
        <v>8291</v>
      </c>
      <c r="B292" s="826" t="s">
        <v>1684</v>
      </c>
      <c r="C292" s="878">
        <f>VLOOKUP(A292,copcalor,'1b.Cops de calor'!P$1,FALSE)/1000000</f>
        <v>0.82266597814962295</v>
      </c>
      <c r="D292" s="879">
        <f>VLOOKUP($B292,'2b.Incendis forestals'!$B$4:$P$314,9,FALSE)/1000000</f>
        <v>4.0648180126293632</v>
      </c>
      <c r="E292" s="878">
        <f>VLOOKUP($B292,'3b aigua'!$B$4:$K$314,8,FALSE)/1000000</f>
        <v>12.361820643042666</v>
      </c>
      <c r="F292" s="879">
        <f t="shared" si="61"/>
        <v>0.70587</v>
      </c>
      <c r="G292" s="879">
        <f t="shared" si="62"/>
        <v>6.6923999999999997E-2</v>
      </c>
      <c r="H292" s="879">
        <f t="shared" si="63"/>
        <v>3.39663225E-2</v>
      </c>
      <c r="I292" s="878" t="str">
        <f>IF(VLOOKUP($A292,'7b erosió costa'!$A$4:$AP$401,9,FALSE)&gt;0,VLOOKUP($A292,'7b erosió costa'!$A$4:$AP$401,9,FALSE),"")</f>
        <v/>
      </c>
      <c r="J292" s="870">
        <f>VLOOKUP(A292,copcalor,'1b.Cops de calor'!Z$1,FALSE)/1000000</f>
        <v>4.808632951551469</v>
      </c>
      <c r="K292" s="870">
        <f>VLOOKUP($B292,'2b.Incendis forestals'!$B$4:$P$314,14,FALSE)/1000000</f>
        <v>11.178249534730751</v>
      </c>
      <c r="L292" s="870">
        <f>VLOOKUP($B292,'3b aigua'!$B$4:$K$314,9,FALSE)/1000000</f>
        <v>17.879036000109224</v>
      </c>
      <c r="M292" s="918">
        <f t="shared" si="64"/>
        <v>3.2761187137737444</v>
      </c>
      <c r="N292" s="918">
        <f t="shared" si="65"/>
        <v>7.6761828000000004E-2</v>
      </c>
      <c r="O292" s="918">
        <f t="shared" si="66"/>
        <v>3.735256545E-2</v>
      </c>
      <c r="P292" s="918" t="str">
        <f>IF(VLOOKUP($A292,'7b erosió costa'!$A$4:$AP$401,42,FALSE)&gt;0,VLOOKUP($A292,'7b erosió costa'!$A$4:$AP$401,42,FALSE),"")</f>
        <v/>
      </c>
      <c r="Q292" s="863">
        <f t="shared" si="74"/>
        <v>3.9859669734018461</v>
      </c>
      <c r="R292" s="864">
        <f t="shared" si="67"/>
        <v>7.1134315221013882</v>
      </c>
      <c r="S292" s="863">
        <f t="shared" si="68"/>
        <v>5.5172153570665579</v>
      </c>
      <c r="T292" s="864">
        <f t="shared" si="69"/>
        <v>2.5702487137737444</v>
      </c>
      <c r="U292" s="864">
        <f t="shared" si="70"/>
        <v>9.8378280000000068E-3</v>
      </c>
      <c r="V292" s="864">
        <f t="shared" si="70"/>
        <v>3.3862429499999999E-3</v>
      </c>
      <c r="W292" s="864" t="str">
        <f t="shared" si="75"/>
        <v/>
      </c>
      <c r="X292" s="1067">
        <f t="shared" si="71"/>
        <v>19.200086637293534</v>
      </c>
      <c r="Y292" s="826">
        <f>VLOOKUP(B292,'BD ASVICC'!$A$6:$Y$316,24,FALSE)</f>
        <v>6192</v>
      </c>
      <c r="Z292" s="826" t="str">
        <f t="shared" si="72"/>
        <v>c 5.000 a 20.000 hab.</v>
      </c>
      <c r="AA292" s="826">
        <f t="shared" si="73"/>
        <v>3100.7891856094207</v>
      </c>
    </row>
    <row r="293" spans="1:27" s="826" customFormat="1" ht="45">
      <c r="A293" s="835">
        <v>8292</v>
      </c>
      <c r="B293" s="826" t="s">
        <v>1686</v>
      </c>
      <c r="C293" s="878">
        <f>VLOOKUP(A293,copcalor,'1b.Cops de calor'!P$1,FALSE)/1000000</f>
        <v>0.48648795986309806</v>
      </c>
      <c r="D293" s="879">
        <f>VLOOKUP($B293,'2b.Incendis forestals'!$B$4:$P$314,9,FALSE)/1000000</f>
        <v>0.7159218675762572</v>
      </c>
      <c r="E293" s="878">
        <f>VLOOKUP($B293,'3b aigua'!$B$4:$K$314,8,FALSE)/1000000</f>
        <v>3.6203734954538662</v>
      </c>
      <c r="F293" s="879">
        <f t="shared" si="61"/>
        <v>0.14973</v>
      </c>
      <c r="G293" s="879">
        <f t="shared" si="62"/>
        <v>3.0419999999999999E-2</v>
      </c>
      <c r="H293" s="879">
        <f t="shared" si="63"/>
        <v>0.36559971014999992</v>
      </c>
      <c r="I293" s="878" t="str">
        <f>IF(VLOOKUP($A293,'7b erosió costa'!$A$4:$AP$401,9,FALSE)&gt;0,VLOOKUP($A293,'7b erosió costa'!$A$4:$AP$401,9,FALSE),"")</f>
        <v/>
      </c>
      <c r="J293" s="870">
        <f>VLOOKUP(A293,copcalor,'1b.Cops de calor'!Z$1,FALSE)/1000000</f>
        <v>2.8311566752762869</v>
      </c>
      <c r="K293" s="870">
        <f>VLOOKUP($B293,'2b.Incendis forestals'!$B$4:$P$314,14,FALSE)/1000000</f>
        <v>1.9687851358347075</v>
      </c>
      <c r="L293" s="870">
        <f>VLOOKUP($B293,'3b aigua'!$B$4:$K$314,9,FALSE)/1000000</f>
        <v>5.2361856661858983</v>
      </c>
      <c r="M293" s="918">
        <f t="shared" si="64"/>
        <v>1.391220307685018</v>
      </c>
      <c r="N293" s="918">
        <f t="shared" si="65"/>
        <v>3.4891739999999997E-2</v>
      </c>
      <c r="O293" s="918">
        <f t="shared" si="66"/>
        <v>0.40295097480000003</v>
      </c>
      <c r="P293" s="918" t="str">
        <f>IF(VLOOKUP($A293,'7b erosió costa'!$A$4:$AP$401,42,FALSE)&gt;0,VLOOKUP($A293,'7b erosió costa'!$A$4:$AP$401,42,FALSE),"")</f>
        <v/>
      </c>
      <c r="Q293" s="863">
        <f t="shared" si="74"/>
        <v>2.3446687154131887</v>
      </c>
      <c r="R293" s="864">
        <f t="shared" si="67"/>
        <v>1.2528632682584502</v>
      </c>
      <c r="S293" s="863">
        <f t="shared" si="68"/>
        <v>1.6158121707320321</v>
      </c>
      <c r="T293" s="864">
        <f t="shared" si="69"/>
        <v>1.2414903076850181</v>
      </c>
      <c r="U293" s="864">
        <f t="shared" si="70"/>
        <v>4.4717399999999984E-3</v>
      </c>
      <c r="V293" s="864">
        <f t="shared" si="70"/>
        <v>3.7351264650000104E-2</v>
      </c>
      <c r="W293" s="864" t="str">
        <f t="shared" si="75"/>
        <v/>
      </c>
      <c r="X293" s="1067">
        <f t="shared" si="71"/>
        <v>6.4966574667386885</v>
      </c>
      <c r="Y293" s="826">
        <f>VLOOKUP(B293,'BD ASVICC'!$A$6:$Y$316,24,FALSE)</f>
        <v>1412</v>
      </c>
      <c r="Z293" s="826" t="str">
        <f t="shared" si="72"/>
        <v>b 1.000 a 5.000 hab.</v>
      </c>
      <c r="AA293" s="826">
        <f t="shared" si="73"/>
        <v>4601.0322002398643</v>
      </c>
    </row>
    <row r="294" spans="1:27" s="826" customFormat="1" ht="30">
      <c r="A294" s="835">
        <v>8293</v>
      </c>
      <c r="B294" s="826" t="s">
        <v>1690</v>
      </c>
      <c r="C294" s="878">
        <f>VLOOKUP(A294,copcalor,'1b.Cops de calor'!P$1,FALSE)/1000000</f>
        <v>0</v>
      </c>
      <c r="D294" s="879">
        <f>VLOOKUP($B294,'2b.Incendis forestals'!$B$4:$P$314,9,FALSE)/1000000</f>
        <v>1.7444589476131371</v>
      </c>
      <c r="E294" s="878">
        <f>VLOOKUP($B294,'3b aigua'!$B$4:$K$314,8,FALSE)/1000000</f>
        <v>6.1066128801599985E-2</v>
      </c>
      <c r="F294" s="879">
        <f t="shared" si="61"/>
        <v>7.843E-2</v>
      </c>
      <c r="G294" s="879">
        <f t="shared" si="62"/>
        <v>0.24031799999999998</v>
      </c>
      <c r="H294" s="879">
        <f t="shared" si="63"/>
        <v>0</v>
      </c>
      <c r="I294" s="878" t="str">
        <f>IF(VLOOKUP($A294,'7b erosió costa'!$A$4:$AP$401,9,FALSE)&gt;0,VLOOKUP($A294,'7b erosió costa'!$A$4:$AP$401,9,FALSE),"")</f>
        <v/>
      </c>
      <c r="J294" s="870">
        <f>VLOOKUP(A294,copcalor,'1b.Cops de calor'!Z$1,FALSE)/1000000</f>
        <v>0</v>
      </c>
      <c r="K294" s="870">
        <f>VLOOKUP($B294,'2b.Incendis forestals'!$B$4:$P$314,14,FALSE)/1000000</f>
        <v>4.7972621059361273</v>
      </c>
      <c r="L294" s="870">
        <f>VLOOKUP($B294,'3b aigua'!$B$4:$K$314,9,FALSE)/1000000</f>
        <v>8.8320608004095996E-2</v>
      </c>
      <c r="M294" s="918">
        <f t="shared" si="64"/>
        <v>0.88958628920133631</v>
      </c>
      <c r="N294" s="918">
        <f t="shared" si="65"/>
        <v>0.275644746</v>
      </c>
      <c r="O294" s="918">
        <f t="shared" si="66"/>
        <v>0</v>
      </c>
      <c r="P294" s="918" t="str">
        <f>IF(VLOOKUP($A294,'7b erosió costa'!$A$4:$AP$401,42,FALSE)&gt;0,VLOOKUP($A294,'7b erosió costa'!$A$4:$AP$401,42,FALSE),"")</f>
        <v/>
      </c>
      <c r="Q294" s="863">
        <f t="shared" si="74"/>
        <v>0</v>
      </c>
      <c r="R294" s="864">
        <f t="shared" si="67"/>
        <v>3.0528031583229902</v>
      </c>
      <c r="S294" s="863">
        <f t="shared" si="68"/>
        <v>2.7254479202496011E-2</v>
      </c>
      <c r="T294" s="864">
        <f t="shared" si="69"/>
        <v>0.81115628920133631</v>
      </c>
      <c r="U294" s="864">
        <f t="shared" si="70"/>
        <v>3.532674600000002E-2</v>
      </c>
      <c r="V294" s="864">
        <f t="shared" si="70"/>
        <v>0</v>
      </c>
      <c r="W294" s="864" t="str">
        <f t="shared" si="75"/>
        <v/>
      </c>
      <c r="X294" s="1067">
        <f t="shared" si="71"/>
        <v>3.9265406727268224</v>
      </c>
      <c r="Y294" s="826">
        <f>VLOOKUP(B294,'BD ASVICC'!$A$6:$Y$316,24,FALSE)</f>
        <v>254</v>
      </c>
      <c r="Z294" s="826" t="str">
        <f t="shared" si="72"/>
        <v>a &lt; 1.000 hab.</v>
      </c>
      <c r="AA294" s="826">
        <f t="shared" si="73"/>
        <v>15458.821546168592</v>
      </c>
    </row>
    <row r="295" spans="1:27" s="826" customFormat="1" ht="45">
      <c r="A295" s="835">
        <v>8294</v>
      </c>
      <c r="B295" s="826" t="s">
        <v>1692</v>
      </c>
      <c r="C295" s="878">
        <f>VLOOKUP(A295,copcalor,'1b.Cops de calor'!P$1,FALSE)/1000000</f>
        <v>0.36126902407088535</v>
      </c>
      <c r="D295" s="879">
        <f>VLOOKUP($B295,'2b.Incendis forestals'!$B$4:$P$314,9,FALSE)/1000000</f>
        <v>0.56679602732584455</v>
      </c>
      <c r="E295" s="878">
        <f>VLOOKUP($B295,'3b aigua'!$B$4:$K$314,8,FALSE)/1000000</f>
        <v>5.4350620893491195</v>
      </c>
      <c r="F295" s="879">
        <f t="shared" si="61"/>
        <v>0.13370874999999999</v>
      </c>
      <c r="G295" s="879">
        <f t="shared" si="62"/>
        <v>1.1133719999999998</v>
      </c>
      <c r="H295" s="879">
        <f t="shared" si="63"/>
        <v>0.33626515544999996</v>
      </c>
      <c r="I295" s="878" t="str">
        <f>IF(VLOOKUP($A295,'7b erosió costa'!$A$4:$AP$401,9,FALSE)&gt;0,VLOOKUP($A295,'7b erosió costa'!$A$4:$AP$401,9,FALSE),"")</f>
        <v/>
      </c>
      <c r="J295" s="870">
        <f>VLOOKUP(A295,copcalor,'1b.Cops de calor'!Z$1,FALSE)/1000000</f>
        <v>1.9625170387584687</v>
      </c>
      <c r="K295" s="870">
        <f>VLOOKUP($B295,'2b.Incendis forestals'!$B$4:$P$314,14,FALSE)/1000000</f>
        <v>1.5586890751460722</v>
      </c>
      <c r="L295" s="870">
        <f>VLOOKUP($B295,'3b aigua'!$B$4:$K$314,9,FALSE)/1000000</f>
        <v>9.9849782896597414</v>
      </c>
      <c r="M295" s="918">
        <f t="shared" si="64"/>
        <v>1.37959694879689</v>
      </c>
      <c r="N295" s="918">
        <f t="shared" si="65"/>
        <v>1.277037684</v>
      </c>
      <c r="O295" s="918">
        <f t="shared" si="66"/>
        <v>0.47104069919999997</v>
      </c>
      <c r="P295" s="918" t="str">
        <f>IF(VLOOKUP($A295,'7b erosió costa'!$A$4:$AP$401,42,FALSE)&gt;0,VLOOKUP($A295,'7b erosió costa'!$A$4:$AP$401,42,FALSE),"")</f>
        <v/>
      </c>
      <c r="Q295" s="863">
        <f t="shared" si="74"/>
        <v>1.6012480146875834</v>
      </c>
      <c r="R295" s="864">
        <f t="shared" si="67"/>
        <v>0.99189304782022769</v>
      </c>
      <c r="S295" s="863">
        <f t="shared" si="68"/>
        <v>4.5499162003106219</v>
      </c>
      <c r="T295" s="864">
        <f t="shared" si="69"/>
        <v>1.2458881987968899</v>
      </c>
      <c r="U295" s="864">
        <f t="shared" si="70"/>
        <v>0.16366568400000014</v>
      </c>
      <c r="V295" s="864">
        <f t="shared" si="70"/>
        <v>0.13477554375</v>
      </c>
      <c r="W295" s="864" t="str">
        <f t="shared" si="75"/>
        <v/>
      </c>
      <c r="X295" s="1067">
        <f t="shared" si="71"/>
        <v>8.6873866893653222</v>
      </c>
      <c r="Y295" s="826">
        <f>VLOOKUP(B295,'BD ASVICC'!$A$6:$Y$316,24,FALSE)</f>
        <v>2772</v>
      </c>
      <c r="Z295" s="826" t="str">
        <f t="shared" si="72"/>
        <v>b 1.000 a 5.000 hab.</v>
      </c>
      <c r="AA295" s="826">
        <f t="shared" si="73"/>
        <v>3133.9778821664222</v>
      </c>
    </row>
    <row r="296" spans="1:27" s="826" customFormat="1" ht="45">
      <c r="A296" s="835">
        <v>8295</v>
      </c>
      <c r="B296" s="826" t="s">
        <v>1697</v>
      </c>
      <c r="C296" s="878">
        <f>VLOOKUP(A296,copcalor,'1b.Cops de calor'!P$1,FALSE)/1000000</f>
        <v>14.950207439198399</v>
      </c>
      <c r="D296" s="879">
        <f>VLOOKUP($B296,'2b.Incendis forestals'!$B$4:$P$314,9,FALSE)/1000000</f>
        <v>2.0221099418059154</v>
      </c>
      <c r="E296" s="878">
        <f>VLOOKUP($B296,'3b aigua'!$B$4:$K$314,8,FALSE)/1000000</f>
        <v>28.882598493188162</v>
      </c>
      <c r="F296" s="879">
        <f t="shared" si="61"/>
        <v>0.10074312499999999</v>
      </c>
      <c r="G296" s="879">
        <f t="shared" si="62"/>
        <v>0.52208157383682363</v>
      </c>
      <c r="H296" s="879">
        <f t="shared" si="63"/>
        <v>0.93330786374999997</v>
      </c>
      <c r="I296" s="878" t="str">
        <f>IF(VLOOKUP($A296,'7b erosió costa'!$A$4:$AP$401,9,FALSE)&gt;0,VLOOKUP($A296,'7b erosió costa'!$A$4:$AP$401,9,FALSE),"")</f>
        <v/>
      </c>
      <c r="J296" s="870">
        <f>VLOOKUP(A296,copcalor,'1b.Cops de calor'!Z$1,FALSE)/1000000</f>
        <v>88.220762984019785</v>
      </c>
      <c r="K296" s="870">
        <f>VLOOKUP($B296,'2b.Incendis forestals'!$B$4:$P$314,14,FALSE)/1000000</f>
        <v>5.5608023399662674</v>
      </c>
      <c r="L296" s="870">
        <f>VLOOKUP($B296,'3b aigua'!$B$4:$K$314,9,FALSE)/1000000</f>
        <v>53.061421224348805</v>
      </c>
      <c r="M296" s="918">
        <f t="shared" si="64"/>
        <v>0.99166359664721859</v>
      </c>
      <c r="N296" s="918">
        <f t="shared" si="65"/>
        <v>0.59882756519083669</v>
      </c>
      <c r="O296" s="918">
        <f t="shared" si="66"/>
        <v>1.0263662612999997</v>
      </c>
      <c r="P296" s="918" t="str">
        <f>IF(VLOOKUP($A296,'7b erosió costa'!$A$4:$AP$401,42,FALSE)&gt;0,VLOOKUP($A296,'7b erosió costa'!$A$4:$AP$401,42,FALSE),"")</f>
        <v/>
      </c>
      <c r="Q296" s="863">
        <f t="shared" si="74"/>
        <v>73.270555544821391</v>
      </c>
      <c r="R296" s="864">
        <f t="shared" si="67"/>
        <v>3.538692398160352</v>
      </c>
      <c r="S296" s="863">
        <f t="shared" si="68"/>
        <v>24.178822731160643</v>
      </c>
      <c r="T296" s="864">
        <f t="shared" si="69"/>
        <v>0.89092047164721855</v>
      </c>
      <c r="U296" s="864">
        <f t="shared" si="70"/>
        <v>7.6745991354013054E-2</v>
      </c>
      <c r="V296" s="864">
        <f t="shared" si="70"/>
        <v>9.3058397549999783E-2</v>
      </c>
      <c r="W296" s="864" t="str">
        <f t="shared" si="75"/>
        <v/>
      </c>
      <c r="X296" s="1067">
        <f t="shared" si="71"/>
        <v>102.04879553469362</v>
      </c>
      <c r="Y296" s="826">
        <f>VLOOKUP(B296,'BD ASVICC'!$A$6:$Y$316,24,FALSE)</f>
        <v>14676</v>
      </c>
      <c r="Z296" s="826" t="str">
        <f t="shared" si="72"/>
        <v>c 5.000 a 20.000 hab.</v>
      </c>
      <c r="AA296" s="826">
        <f t="shared" si="73"/>
        <v>6953.4475016825854</v>
      </c>
    </row>
    <row r="297" spans="1:27" s="826" customFormat="1" ht="45">
      <c r="A297" s="835">
        <v>8296</v>
      </c>
      <c r="B297" s="826" t="s">
        <v>1700</v>
      </c>
      <c r="C297" s="878">
        <f>VLOOKUP(A297,copcalor,'1b.Cops de calor'!P$1,FALSE)/1000000</f>
        <v>0.30869741437733961</v>
      </c>
      <c r="D297" s="879">
        <f>VLOOKUP($B297,'2b.Incendis forestals'!$B$4:$P$314,9,FALSE)/1000000</f>
        <v>0.26755210322155459</v>
      </c>
      <c r="E297" s="878">
        <f>VLOOKUP($B297,'3b aigua'!$B$4:$K$314,8,FALSE)/1000000</f>
        <v>13.182168259499946</v>
      </c>
      <c r="F297" s="879">
        <f t="shared" si="61"/>
        <v>3.8334375000000004E-2</v>
      </c>
      <c r="G297" s="879">
        <f t="shared" si="62"/>
        <v>0.83061149304985216</v>
      </c>
      <c r="H297" s="879">
        <f t="shared" si="63"/>
        <v>0</v>
      </c>
      <c r="I297" s="878" t="str">
        <f>IF(VLOOKUP($A297,'7b erosió costa'!$A$4:$AP$401,9,FALSE)&gt;0,VLOOKUP($A297,'7b erosió costa'!$A$4:$AP$401,9,FALSE),"")</f>
        <v/>
      </c>
      <c r="J297" s="870">
        <f>VLOOKUP(A297,copcalor,'1b.Cops de calor'!Z$1,FALSE)/1000000</f>
        <v>1.665362627747162</v>
      </c>
      <c r="K297" s="870">
        <f>VLOOKUP($B297,'2b.Incendis forestals'!$B$4:$P$314,14,FALSE)/1000000</f>
        <v>0.73576828385927506</v>
      </c>
      <c r="L297" s="870">
        <f>VLOOKUP($B297,'3b aigua'!$B$4:$K$314,9,FALSE)/1000000</f>
        <v>24.217508782408657</v>
      </c>
      <c r="M297" s="918">
        <f t="shared" si="64"/>
        <v>0.84929333514543948</v>
      </c>
      <c r="N297" s="918">
        <f t="shared" si="65"/>
        <v>0.95271138252818055</v>
      </c>
      <c r="O297" s="918">
        <f t="shared" si="66"/>
        <v>0</v>
      </c>
      <c r="P297" s="918" t="str">
        <f>IF(VLOOKUP($A297,'7b erosió costa'!$A$4:$AP$401,42,FALSE)&gt;0,VLOOKUP($A297,'7b erosió costa'!$A$4:$AP$401,42,FALSE),"")</f>
        <v/>
      </c>
      <c r="Q297" s="863">
        <f t="shared" si="74"/>
        <v>1.3566652133698225</v>
      </c>
      <c r="R297" s="864">
        <f t="shared" si="67"/>
        <v>0.46821618063772047</v>
      </c>
      <c r="S297" s="863">
        <f t="shared" si="68"/>
        <v>11.035340522908712</v>
      </c>
      <c r="T297" s="864">
        <f t="shared" si="69"/>
        <v>0.81095896014543944</v>
      </c>
      <c r="U297" s="864">
        <f t="shared" si="70"/>
        <v>0.12209988947832839</v>
      </c>
      <c r="V297" s="864">
        <f t="shared" si="70"/>
        <v>0</v>
      </c>
      <c r="W297" s="864" t="str">
        <f t="shared" si="75"/>
        <v/>
      </c>
      <c r="X297" s="1067">
        <f t="shared" si="71"/>
        <v>13.793280766540022</v>
      </c>
      <c r="Y297" s="826">
        <f>VLOOKUP(B297,'BD ASVICC'!$A$6:$Y$316,24,FALSE)</f>
        <v>2525</v>
      </c>
      <c r="Z297" s="826" t="str">
        <f t="shared" si="72"/>
        <v>b 1.000 a 5.000 hab.</v>
      </c>
      <c r="AA297" s="826">
        <f t="shared" si="73"/>
        <v>5462.6854520950583</v>
      </c>
    </row>
    <row r="298" spans="1:27" s="826" customFormat="1" ht="30">
      <c r="A298" s="835">
        <v>8297</v>
      </c>
      <c r="B298" s="826" t="s">
        <v>1702</v>
      </c>
      <c r="C298" s="878">
        <f>VLOOKUP(A298,copcalor,'1b.Cops de calor'!P$1,FALSE)/1000000</f>
        <v>0.18907496338974217</v>
      </c>
      <c r="D298" s="879">
        <f>VLOOKUP($B298,'2b.Incendis forestals'!$B$4:$P$314,9,FALSE)/1000000</f>
        <v>3.040601188158746</v>
      </c>
      <c r="E298" s="878">
        <f>VLOOKUP($B298,'3b aigua'!$B$4:$K$314,8,FALSE)/1000000</f>
        <v>0.26873989301952</v>
      </c>
      <c r="F298" s="879">
        <f t="shared" si="61"/>
        <v>10.8376</v>
      </c>
      <c r="G298" s="879">
        <f t="shared" si="62"/>
        <v>13.104935999999999</v>
      </c>
      <c r="H298" s="879">
        <f t="shared" si="63"/>
        <v>0</v>
      </c>
      <c r="I298" s="878" t="str">
        <f>IF(VLOOKUP($A298,'7b erosió costa'!$A$4:$AP$401,9,FALSE)&gt;0,VLOOKUP($A298,'7b erosió costa'!$A$4:$AP$401,9,FALSE),"")</f>
        <v/>
      </c>
      <c r="J298" s="870">
        <f>VLOOKUP(A298,copcalor,'1b.Cops de calor'!Z$1,FALSE)/1000000</f>
        <v>1.1236959577356924</v>
      </c>
      <c r="K298" s="870">
        <f>VLOOKUP($B298,'2b.Incendis forestals'!$B$4:$P$314,14,FALSE)/1000000</f>
        <v>8.3616532674365516</v>
      </c>
      <c r="L298" s="870">
        <f>VLOOKUP($B298,'3b aigua'!$B$4:$K$314,9,FALSE)/1000000</f>
        <v>0.38868143784837123</v>
      </c>
      <c r="M298" s="918">
        <f t="shared" si="64"/>
        <v>47.463564710041879</v>
      </c>
      <c r="N298" s="918">
        <f t="shared" si="65"/>
        <v>15.031361591999998</v>
      </c>
      <c r="O298" s="918">
        <f t="shared" si="66"/>
        <v>0</v>
      </c>
      <c r="P298" s="918" t="str">
        <f>IF(VLOOKUP($A298,'7b erosió costa'!$A$4:$AP$401,42,FALSE)&gt;0,VLOOKUP($A298,'7b erosió costa'!$A$4:$AP$401,42,FALSE),"")</f>
        <v/>
      </c>
      <c r="Q298" s="863">
        <f t="shared" si="74"/>
        <v>0.93462099434595025</v>
      </c>
      <c r="R298" s="864">
        <f t="shared" si="67"/>
        <v>5.3210520792778055</v>
      </c>
      <c r="S298" s="863">
        <f t="shared" si="68"/>
        <v>0.11994154482885122</v>
      </c>
      <c r="T298" s="864">
        <f t="shared" si="69"/>
        <v>36.625964710041877</v>
      </c>
      <c r="U298" s="864">
        <f t="shared" si="70"/>
        <v>1.9264255919999993</v>
      </c>
      <c r="V298" s="864">
        <f t="shared" si="70"/>
        <v>0</v>
      </c>
      <c r="W298" s="864" t="str">
        <f t="shared" si="75"/>
        <v/>
      </c>
      <c r="X298" s="1067">
        <f t="shared" si="71"/>
        <v>44.928004920494487</v>
      </c>
      <c r="Y298" s="826">
        <f>VLOOKUP(B298,'BD ASVICC'!$A$6:$Y$316,24,FALSE)</f>
        <v>173</v>
      </c>
      <c r="Z298" s="826" t="str">
        <f t="shared" si="72"/>
        <v>a &lt; 1.000 hab.</v>
      </c>
      <c r="AA298" s="826">
        <f t="shared" si="73"/>
        <v>259699.4504074826</v>
      </c>
    </row>
    <row r="299" spans="1:27" s="826" customFormat="1" ht="45">
      <c r="A299" s="835">
        <v>8298</v>
      </c>
      <c r="B299" s="826" t="s">
        <v>815</v>
      </c>
      <c r="C299" s="878">
        <f>VLOOKUP(A299,copcalor,'1b.Cops de calor'!P$1,FALSE)/1000000</f>
        <v>16.068356665329791</v>
      </c>
      <c r="D299" s="879">
        <f>VLOOKUP($B299,'2b.Incendis forestals'!$B$4:$P$314,9,FALSE)/1000000</f>
        <v>5.9177340641543993E-2</v>
      </c>
      <c r="E299" s="878">
        <f>VLOOKUP($B299,'3b aigua'!$B$4:$K$314,8,FALSE)/1000000</f>
        <v>119.24413108325535</v>
      </c>
      <c r="F299" s="879">
        <f t="shared" si="61"/>
        <v>10.440421249999998</v>
      </c>
      <c r="G299" s="879">
        <f t="shared" si="62"/>
        <v>42.226002000000001</v>
      </c>
      <c r="H299" s="879">
        <f t="shared" si="63"/>
        <v>22.016402657399997</v>
      </c>
      <c r="I299" s="878" t="str">
        <f>IF(VLOOKUP($A299,'7b erosió costa'!$A$4:$AP$401,9,FALSE)&gt;0,VLOOKUP($A299,'7b erosió costa'!$A$4:$AP$401,9,FALSE),"")</f>
        <v/>
      </c>
      <c r="J299" s="870">
        <f>VLOOKUP(A299,copcalor,'1b.Cops de calor'!Z$1,FALSE)/1000000</f>
        <v>93.430697796333831</v>
      </c>
      <c r="K299" s="870">
        <f>VLOOKUP($B299,'2b.Incendis forestals'!$B$4:$P$314,14,FALSE)/1000000</f>
        <v>0.16273768676424596</v>
      </c>
      <c r="L299" s="870">
        <f>VLOOKUP($B299,'3b aigua'!$B$4:$K$314,9,FALSE)/1000000</f>
        <v>172.4640871277449</v>
      </c>
      <c r="M299" s="918">
        <f t="shared" si="64"/>
        <v>58.919705287139912</v>
      </c>
      <c r="N299" s="918">
        <f t="shared" si="65"/>
        <v>48.433224293999999</v>
      </c>
      <c r="O299" s="918">
        <f t="shared" si="66"/>
        <v>217.22587991039987</v>
      </c>
      <c r="P299" s="918" t="str">
        <f>IF(VLOOKUP($A299,'7b erosió costa'!$A$4:$AP$401,42,FALSE)&gt;0,VLOOKUP($A299,'7b erosió costa'!$A$4:$AP$401,42,FALSE),"")</f>
        <v/>
      </c>
      <c r="Q299" s="863">
        <f t="shared" si="74"/>
        <v>77.362341131004044</v>
      </c>
      <c r="R299" s="864">
        <f t="shared" si="67"/>
        <v>0.10356034612270197</v>
      </c>
      <c r="S299" s="863">
        <f t="shared" si="68"/>
        <v>53.21995604448955</v>
      </c>
      <c r="T299" s="864">
        <f t="shared" si="69"/>
        <v>48.479284037139912</v>
      </c>
      <c r="U299" s="864">
        <f t="shared" si="70"/>
        <v>6.2072222939999975</v>
      </c>
      <c r="V299" s="864">
        <f t="shared" si="70"/>
        <v>195.20947725299987</v>
      </c>
      <c r="W299" s="864" t="str">
        <f t="shared" si="75"/>
        <v/>
      </c>
      <c r="X299" s="1067">
        <f t="shared" si="71"/>
        <v>380.5818411057561</v>
      </c>
      <c r="Y299" s="826">
        <f>VLOOKUP(B299,'BD ASVICC'!$A$6:$Y$316,24,FALSE)</f>
        <v>43287</v>
      </c>
      <c r="Z299" s="826" t="str">
        <f t="shared" si="72"/>
        <v>d 20.000 a 50.000 hab.</v>
      </c>
      <c r="AA299" s="826">
        <f t="shared" si="73"/>
        <v>8792.0586112633373</v>
      </c>
    </row>
    <row r="300" spans="1:27" s="826" customFormat="1" ht="30">
      <c r="A300" s="835">
        <v>8299</v>
      </c>
      <c r="B300" s="826" t="s">
        <v>1708</v>
      </c>
      <c r="C300" s="878">
        <f>VLOOKUP(A300,copcalor,'1b.Cops de calor'!P$1,FALSE)/1000000</f>
        <v>5.2234619066157E-2</v>
      </c>
      <c r="D300" s="879">
        <f>VLOOKUP($B300,'2b.Incendis forestals'!$B$4:$P$314,9,FALSE)/1000000</f>
        <v>1.7435335052006102</v>
      </c>
      <c r="E300" s="878">
        <f>VLOOKUP($B300,'3b aigua'!$B$4:$K$314,8,FALSE)/1000000</f>
        <v>0.31143043543392002</v>
      </c>
      <c r="F300" s="879">
        <f t="shared" si="61"/>
        <v>0.19250999999999999</v>
      </c>
      <c r="G300" s="879">
        <f t="shared" si="62"/>
        <v>9.4301999999999997E-2</v>
      </c>
      <c r="H300" s="879">
        <f t="shared" si="63"/>
        <v>0</v>
      </c>
      <c r="I300" s="878" t="str">
        <f>IF(VLOOKUP($A300,'7b erosió costa'!$A$4:$AP$401,9,FALSE)&gt;0,VLOOKUP($A300,'7b erosió costa'!$A$4:$AP$401,9,FALSE),"")</f>
        <v/>
      </c>
      <c r="J300" s="870">
        <f>VLOOKUP(A300,copcalor,'1b.Cops de calor'!Z$1,FALSE)/1000000</f>
        <v>0.28371604698799929</v>
      </c>
      <c r="K300" s="870">
        <f>VLOOKUP($B300,'2b.Incendis forestals'!$B$4:$P$314,14,FALSE)/1000000</f>
        <v>4.7947171393016781</v>
      </c>
      <c r="L300" s="870">
        <f>VLOOKUP($B300,'3b aigua'!$B$4:$K$314,9,FALSE)/1000000</f>
        <v>0.45042523487723518</v>
      </c>
      <c r="M300" s="918">
        <f t="shared" si="64"/>
        <v>1.7671052182161662</v>
      </c>
      <c r="N300" s="918">
        <f t="shared" si="65"/>
        <v>0.10816439399999998</v>
      </c>
      <c r="O300" s="918">
        <f t="shared" si="66"/>
        <v>0</v>
      </c>
      <c r="P300" s="918" t="str">
        <f>IF(VLOOKUP($A300,'7b erosió costa'!$A$4:$AP$401,42,FALSE)&gt;0,VLOOKUP($A300,'7b erosió costa'!$A$4:$AP$401,42,FALSE),"")</f>
        <v/>
      </c>
      <c r="Q300" s="863">
        <f t="shared" si="74"/>
        <v>0.23148142792184229</v>
      </c>
      <c r="R300" s="864">
        <f t="shared" si="67"/>
        <v>3.0511836341010676</v>
      </c>
      <c r="S300" s="863">
        <f t="shared" si="68"/>
        <v>0.13899479944331516</v>
      </c>
      <c r="T300" s="864">
        <f t="shared" si="69"/>
        <v>1.5745952182161662</v>
      </c>
      <c r="U300" s="864">
        <f t="shared" si="70"/>
        <v>1.3862393999999986E-2</v>
      </c>
      <c r="V300" s="864">
        <f t="shared" si="70"/>
        <v>0</v>
      </c>
      <c r="W300" s="864" t="str">
        <f t="shared" si="75"/>
        <v/>
      </c>
      <c r="X300" s="1067">
        <f t="shared" si="71"/>
        <v>5.0101174736823921</v>
      </c>
      <c r="Y300" s="826">
        <f>VLOOKUP(B300,'BD ASVICC'!$A$6:$Y$316,24,FALSE)</f>
        <v>430</v>
      </c>
      <c r="Z300" s="826" t="str">
        <f t="shared" si="72"/>
        <v>a &lt; 1.000 hab.</v>
      </c>
      <c r="AA300" s="826">
        <f t="shared" si="73"/>
        <v>11651.435985307889</v>
      </c>
    </row>
    <row r="301" spans="1:27" s="826" customFormat="1" ht="45">
      <c r="A301" s="835">
        <v>8300</v>
      </c>
      <c r="B301" s="826" t="s">
        <v>1710</v>
      </c>
      <c r="C301" s="878">
        <f>VLOOKUP(A301,copcalor,'1b.Cops de calor'!P$1,FALSE)/1000000</f>
        <v>0.728858010870854</v>
      </c>
      <c r="D301" s="879">
        <f>VLOOKUP($B301,'2b.Incendis forestals'!$B$4:$P$314,9,FALSE)/1000000</f>
        <v>1.7465080336783019</v>
      </c>
      <c r="E301" s="878">
        <f>VLOOKUP($B301,'3b aigua'!$B$4:$K$314,8,FALSE)/1000000</f>
        <v>18.127428363637119</v>
      </c>
      <c r="F301" s="879">
        <f t="shared" si="61"/>
        <v>0.10695</v>
      </c>
      <c r="G301" s="879">
        <f t="shared" si="62"/>
        <v>8.5175999999999988E-2</v>
      </c>
      <c r="H301" s="879">
        <f t="shared" si="63"/>
        <v>0</v>
      </c>
      <c r="I301" s="878" t="str">
        <f>IF(VLOOKUP($A301,'7b erosió costa'!$A$4:$AP$401,9,FALSE)&gt;0,VLOOKUP($A301,'7b erosió costa'!$A$4:$AP$401,9,FALSE),"")</f>
        <v/>
      </c>
      <c r="J301" s="870">
        <f>VLOOKUP(A301,copcalor,'1b.Cops de calor'!Z$1,FALSE)/1000000</f>
        <v>4.2218840319298305</v>
      </c>
      <c r="K301" s="870">
        <f>VLOOKUP($B301,'2b.Incendis forestals'!$B$4:$P$314,14,FALSE)/1000000</f>
        <v>4.8028970926153303</v>
      </c>
      <c r="L301" s="870">
        <f>VLOOKUP($B301,'3b aigua'!$B$4:$K$314,9,FALSE)/1000000</f>
        <v>26.217897319621429</v>
      </c>
      <c r="M301" s="918">
        <f t="shared" si="64"/>
        <v>0.66810541451169436</v>
      </c>
      <c r="N301" s="918">
        <f t="shared" si="65"/>
        <v>9.769687199999999E-2</v>
      </c>
      <c r="O301" s="918">
        <f t="shared" si="66"/>
        <v>0</v>
      </c>
      <c r="P301" s="918" t="str">
        <f>IF(VLOOKUP($A301,'7b erosió costa'!$A$4:$AP$401,42,FALSE)&gt;0,VLOOKUP($A301,'7b erosió costa'!$A$4:$AP$401,42,FALSE),"")</f>
        <v/>
      </c>
      <c r="Q301" s="863">
        <f t="shared" si="74"/>
        <v>3.4930260210589763</v>
      </c>
      <c r="R301" s="864">
        <f t="shared" si="67"/>
        <v>3.0563890589370284</v>
      </c>
      <c r="S301" s="863">
        <f t="shared" si="68"/>
        <v>8.0904689559843099</v>
      </c>
      <c r="T301" s="864">
        <f t="shared" si="69"/>
        <v>0.56115541451169437</v>
      </c>
      <c r="U301" s="864">
        <f t="shared" si="70"/>
        <v>1.2520872000000002E-2</v>
      </c>
      <c r="V301" s="864">
        <f t="shared" si="70"/>
        <v>0</v>
      </c>
      <c r="W301" s="864" t="str">
        <f t="shared" si="75"/>
        <v/>
      </c>
      <c r="X301" s="1067">
        <f t="shared" si="71"/>
        <v>15.213560322492008</v>
      </c>
      <c r="Y301" s="826">
        <f>VLOOKUP(B301,'BD ASVICC'!$A$6:$Y$316,24,FALSE)</f>
        <v>7354</v>
      </c>
      <c r="Z301" s="826" t="str">
        <f t="shared" si="72"/>
        <v>c 5.000 a 20.000 hab.</v>
      </c>
      <c r="AA301" s="826">
        <f t="shared" si="73"/>
        <v>2068.7463043910807</v>
      </c>
    </row>
    <row r="302" spans="1:27" s="826" customFormat="1" ht="45">
      <c r="A302" s="835">
        <v>8301</v>
      </c>
      <c r="B302" s="826" t="s">
        <v>357</v>
      </c>
      <c r="C302" s="878">
        <f>VLOOKUP(A302,copcalor,'1b.Cops de calor'!P$1,FALSE)/1000000</f>
        <v>60.823025151404494</v>
      </c>
      <c r="D302" s="879">
        <f>VLOOKUP($B302,'2b.Incendis forestals'!$B$4:$P$314,9,FALSE)/1000000</f>
        <v>0.59268739673621651</v>
      </c>
      <c r="E302" s="878">
        <f>VLOOKUP($B302,'3b aigua'!$B$4:$K$314,8,FALSE)/1000000</f>
        <v>137.89624500744799</v>
      </c>
      <c r="F302" s="879">
        <f t="shared" si="61"/>
        <v>3.5868387500000001</v>
      </c>
      <c r="G302" s="879">
        <f t="shared" si="62"/>
        <v>0.41066999999999992</v>
      </c>
      <c r="H302" s="879">
        <f t="shared" si="63"/>
        <v>944.36469567810002</v>
      </c>
      <c r="I302" s="878" t="str">
        <f>IF(VLOOKUP($A302,'7b erosió costa'!$A$4:$AP$401,9,FALSE)&gt;0,VLOOKUP($A302,'7b erosió costa'!$A$4:$AP$401,9,FALSE),"")</f>
        <v>guanya sorra</v>
      </c>
      <c r="J302" s="870">
        <f>VLOOKUP(A302,copcalor,'1b.Cops de calor'!Z$1,FALSE)/1000000</f>
        <v>357.68864485880567</v>
      </c>
      <c r="K302" s="870">
        <f>VLOOKUP($B302,'2b.Incendis forestals'!$B$4:$P$314,14,FALSE)/1000000</f>
        <v>1.6298903410245955</v>
      </c>
      <c r="L302" s="870">
        <f>VLOOKUP($B302,'3b aigua'!$B$4:$K$314,9,FALSE)/1000000</f>
        <v>253.33491871660647</v>
      </c>
      <c r="M302" s="918">
        <f t="shared" si="64"/>
        <v>35.171906857478305</v>
      </c>
      <c r="N302" s="918">
        <f t="shared" si="65"/>
        <v>0.47103848999999987</v>
      </c>
      <c r="O302" s="918">
        <f t="shared" si="66"/>
        <v>1444.23378843195</v>
      </c>
      <c r="P302" s="918" t="str">
        <f>IF(VLOOKUP($A302,'7b erosió costa'!$A$4:$AP$401,42,FALSE)&gt;0,VLOOKUP($A302,'7b erosió costa'!$A$4:$AP$401,42,FALSE),"")</f>
        <v>No hi ha pèrdua</v>
      </c>
      <c r="Q302" s="863">
        <f t="shared" si="74"/>
        <v>296.86561970740115</v>
      </c>
      <c r="R302" s="864">
        <f t="shared" si="67"/>
        <v>1.037202944288379</v>
      </c>
      <c r="S302" s="863">
        <f t="shared" si="68"/>
        <v>115.43867370915848</v>
      </c>
      <c r="T302" s="864">
        <f t="shared" si="69"/>
        <v>31.585068107478307</v>
      </c>
      <c r="U302" s="864">
        <f t="shared" si="70"/>
        <v>6.0368489999999941E-2</v>
      </c>
      <c r="V302" s="864">
        <f t="shared" si="70"/>
        <v>499.86909275384994</v>
      </c>
      <c r="W302" s="864" t="str">
        <f t="shared" si="75"/>
        <v/>
      </c>
      <c r="X302" s="1067">
        <f t="shared" si="71"/>
        <v>944.85602571217623</v>
      </c>
      <c r="Y302" s="826">
        <f>VLOOKUP(B302,'BD ASVICC'!$A$6:$Y$316,24,FALSE)</f>
        <v>65779</v>
      </c>
      <c r="Z302" s="826" t="str">
        <f t="shared" si="72"/>
        <v>e &gt;50.000 hab.</v>
      </c>
      <c r="AA302" s="826">
        <f t="shared" si="73"/>
        <v>14364.098355283239</v>
      </c>
    </row>
    <row r="303" spans="1:27" s="826" customFormat="1" ht="45">
      <c r="A303" s="835">
        <v>8302</v>
      </c>
      <c r="B303" s="826" t="s">
        <v>1718</v>
      </c>
      <c r="C303" s="878">
        <f>VLOOKUP(A303,copcalor,'1b.Cops de calor'!P$1,FALSE)/1000000</f>
        <v>4.3275195380249176</v>
      </c>
      <c r="D303" s="879">
        <f>VLOOKUP($B303,'2b.Incendis forestals'!$B$4:$P$314,9,FALSE)/1000000</f>
        <v>0.8134724222806432</v>
      </c>
      <c r="E303" s="878">
        <f>VLOOKUP($B303,'3b aigua'!$B$4:$K$314,8,FALSE)/1000000</f>
        <v>18.449300851226241</v>
      </c>
      <c r="F303" s="879">
        <f t="shared" si="61"/>
        <v>1.4785943750000001</v>
      </c>
      <c r="G303" s="879">
        <f t="shared" si="62"/>
        <v>0.40762799999999993</v>
      </c>
      <c r="H303" s="879">
        <f t="shared" si="63"/>
        <v>13.267930653899999</v>
      </c>
      <c r="I303" s="878" t="str">
        <f>IF(VLOOKUP($A303,'7b erosió costa'!$A$4:$AP$401,9,FALSE)&gt;0,VLOOKUP($A303,'7b erosió costa'!$A$4:$AP$401,9,FALSE),"")</f>
        <v/>
      </c>
      <c r="J303" s="870">
        <f>VLOOKUP(A303,copcalor,'1b.Cops de calor'!Z$1,FALSE)/1000000</f>
        <v>25.193763559492524</v>
      </c>
      <c r="K303" s="870">
        <f>VLOOKUP($B303,'2b.Incendis forestals'!$B$4:$P$314,14,FALSE)/1000000</f>
        <v>2.2370491612717691</v>
      </c>
      <c r="L303" s="870">
        <f>VLOOKUP($B303,'3b aigua'!$B$4:$K$314,9,FALSE)/1000000</f>
        <v>26.683425008399976</v>
      </c>
      <c r="M303" s="918">
        <f t="shared" si="64"/>
        <v>6.8432876730983896</v>
      </c>
      <c r="N303" s="918">
        <f t="shared" si="65"/>
        <v>0.46754931599999994</v>
      </c>
      <c r="O303" s="918">
        <f t="shared" si="66"/>
        <v>0</v>
      </c>
      <c r="P303" s="918" t="str">
        <f>IF(VLOOKUP($A303,'7b erosió costa'!$A$4:$AP$401,42,FALSE)&gt;0,VLOOKUP($A303,'7b erosió costa'!$A$4:$AP$401,42,FALSE),"")</f>
        <v/>
      </c>
      <c r="Q303" s="863">
        <f t="shared" si="74"/>
        <v>20.866244021467608</v>
      </c>
      <c r="R303" s="864">
        <f t="shared" si="67"/>
        <v>1.4235767389911258</v>
      </c>
      <c r="S303" s="863">
        <f t="shared" si="68"/>
        <v>8.2341241571737349</v>
      </c>
      <c r="T303" s="864">
        <f t="shared" si="69"/>
        <v>5.3646932980983895</v>
      </c>
      <c r="U303" s="864">
        <f t="shared" si="70"/>
        <v>5.9921316000000002E-2</v>
      </c>
      <c r="V303" s="864">
        <f t="shared" si="70"/>
        <v>-13.267930653899999</v>
      </c>
      <c r="W303" s="864" t="str">
        <f t="shared" si="75"/>
        <v/>
      </c>
      <c r="X303" s="1067">
        <f t="shared" si="71"/>
        <v>22.680628877830859</v>
      </c>
      <c r="Y303" s="826">
        <f>VLOOKUP(B303,'BD ASVICC'!$A$6:$Y$316,24,FALSE)</f>
        <v>12409</v>
      </c>
      <c r="Z303" s="826" t="str">
        <f t="shared" si="72"/>
        <v>c 5.000 a 20.000 hab.</v>
      </c>
      <c r="AA303" s="826">
        <f t="shared" si="73"/>
        <v>1827.7563766484695</v>
      </c>
    </row>
    <row r="304" spans="1:27" s="826" customFormat="1" ht="30">
      <c r="A304" s="835">
        <v>8303</v>
      </c>
      <c r="B304" s="826" t="s">
        <v>1722</v>
      </c>
      <c r="C304" s="878">
        <f>VLOOKUP(A304,copcalor,'1b.Cops de calor'!P$1,FALSE)/1000000</f>
        <v>5.3843779170695702E-2</v>
      </c>
      <c r="D304" s="879">
        <f>VLOOKUP($B304,'2b.Incendis forestals'!$B$4:$P$314,9,FALSE)/1000000</f>
        <v>0.59701549367699402</v>
      </c>
      <c r="E304" s="878">
        <f>VLOOKUP($B304,'3b aigua'!$B$4:$K$314,8,FALSE)/1000000</f>
        <v>0.41184816597045337</v>
      </c>
      <c r="F304" s="879">
        <f t="shared" si="61"/>
        <v>0.63373187500000006</v>
      </c>
      <c r="G304" s="879">
        <f t="shared" si="62"/>
        <v>1.2046319999999997</v>
      </c>
      <c r="H304" s="879">
        <f t="shared" si="63"/>
        <v>0</v>
      </c>
      <c r="I304" s="878" t="str">
        <f>IF(VLOOKUP($A304,'7b erosió costa'!$A$4:$AP$401,9,FALSE)&gt;0,VLOOKUP($A304,'7b erosió costa'!$A$4:$AP$401,9,FALSE),"")</f>
        <v/>
      </c>
      <c r="J304" s="870">
        <f>VLOOKUP(A304,copcalor,'1b.Cops de calor'!Z$1,FALSE)/1000000</f>
        <v>0.30179421940345036</v>
      </c>
      <c r="K304" s="870">
        <f>VLOOKUP($B304,'2b.Incendis forestals'!$B$4:$P$314,14,FALSE)/1000000</f>
        <v>1.6417926076117335</v>
      </c>
      <c r="L304" s="870">
        <f>VLOOKUP($B304,'3b aigua'!$B$4:$K$314,9,FALSE)/1000000</f>
        <v>0.5956604935947607</v>
      </c>
      <c r="M304" s="918">
        <f t="shared" si="64"/>
        <v>3.3968832201851038</v>
      </c>
      <c r="N304" s="918">
        <f t="shared" si="65"/>
        <v>1.3817129039999996</v>
      </c>
      <c r="O304" s="918">
        <f t="shared" si="66"/>
        <v>0</v>
      </c>
      <c r="P304" s="918" t="str">
        <f>IF(VLOOKUP($A304,'7b erosió costa'!$A$4:$AP$401,42,FALSE)&gt;0,VLOOKUP($A304,'7b erosió costa'!$A$4:$AP$401,42,FALSE),"")</f>
        <v/>
      </c>
      <c r="Q304" s="863">
        <f t="shared" si="74"/>
        <v>0.24795044023275464</v>
      </c>
      <c r="R304" s="864">
        <f t="shared" si="67"/>
        <v>1.0447771139347395</v>
      </c>
      <c r="S304" s="863">
        <f t="shared" si="68"/>
        <v>0.18381232762430733</v>
      </c>
      <c r="T304" s="864">
        <f t="shared" si="69"/>
        <v>2.7631513451851037</v>
      </c>
      <c r="U304" s="864">
        <f t="shared" si="70"/>
        <v>0.17708090399999987</v>
      </c>
      <c r="V304" s="864">
        <f t="shared" si="70"/>
        <v>0</v>
      </c>
      <c r="W304" s="864" t="str">
        <f t="shared" si="75"/>
        <v/>
      </c>
      <c r="X304" s="1067">
        <f t="shared" si="71"/>
        <v>4.4167721309769057</v>
      </c>
      <c r="Y304" s="826">
        <f>VLOOKUP(B304,'BD ASVICC'!$A$6:$Y$316,24,FALSE)</f>
        <v>309</v>
      </c>
      <c r="Z304" s="826" t="str">
        <f t="shared" si="72"/>
        <v>a &lt; 1.000 hab.</v>
      </c>
      <c r="AA304" s="826">
        <f t="shared" si="73"/>
        <v>14293.760941672836</v>
      </c>
    </row>
    <row r="305" spans="1:27" s="826" customFormat="1" ht="45">
      <c r="A305" s="835">
        <v>8304</v>
      </c>
      <c r="B305" s="826" t="s">
        <v>1728</v>
      </c>
      <c r="C305" s="878">
        <f>VLOOKUP(A305,copcalor,'1b.Cops de calor'!P$1,FALSE)/1000000</f>
        <v>0.26421368367768522</v>
      </c>
      <c r="D305" s="879">
        <f>VLOOKUP($B305,'2b.Incendis forestals'!$B$4:$P$314,9,FALSE)/1000000</f>
        <v>5.6670040599091843E-2</v>
      </c>
      <c r="E305" s="878">
        <f>VLOOKUP($B305,'3b aigua'!$B$4:$K$314,8,FALSE)/1000000</f>
        <v>2.6196828505356797</v>
      </c>
      <c r="F305" s="879">
        <f t="shared" si="61"/>
        <v>0.33066437499999995</v>
      </c>
      <c r="G305" s="879">
        <f t="shared" si="62"/>
        <v>0.69357599999999986</v>
      </c>
      <c r="H305" s="879">
        <f t="shared" si="63"/>
        <v>0</v>
      </c>
      <c r="I305" s="878" t="str">
        <f>IF(VLOOKUP($A305,'7b erosió costa'!$A$4:$AP$401,9,FALSE)&gt;0,VLOOKUP($A305,'7b erosió costa'!$A$4:$AP$401,9,FALSE),"")</f>
        <v/>
      </c>
      <c r="J305" s="870">
        <f>VLOOKUP(A305,copcalor,'1b.Cops de calor'!Z$1,FALSE)/1000000</f>
        <v>1.5139783762786179</v>
      </c>
      <c r="K305" s="870">
        <f>VLOOKUP($B305,'2b.Incendis forestals'!$B$4:$P$314,14,FALSE)/1000000</f>
        <v>0.15584261164750254</v>
      </c>
      <c r="L305" s="870">
        <f>VLOOKUP($B305,'3b aigua'!$B$4:$K$314,9,FALSE)/1000000</f>
        <v>4.8127281636124266</v>
      </c>
      <c r="M305" s="918">
        <f t="shared" si="64"/>
        <v>2.3279793331344019</v>
      </c>
      <c r="N305" s="918">
        <f t="shared" si="65"/>
        <v>0.79553167199999986</v>
      </c>
      <c r="O305" s="918">
        <f t="shared" si="66"/>
        <v>0</v>
      </c>
      <c r="P305" s="918" t="str">
        <f>IF(VLOOKUP($A305,'7b erosió costa'!$A$4:$AP$401,42,FALSE)&gt;0,VLOOKUP($A305,'7b erosió costa'!$A$4:$AP$401,42,FALSE),"")</f>
        <v/>
      </c>
      <c r="Q305" s="863">
        <f t="shared" si="74"/>
        <v>1.2497646926009327</v>
      </c>
      <c r="R305" s="864">
        <f t="shared" si="67"/>
        <v>9.9172571048410707E-2</v>
      </c>
      <c r="S305" s="863">
        <f t="shared" si="68"/>
        <v>2.1930453130767469</v>
      </c>
      <c r="T305" s="864">
        <f t="shared" si="69"/>
        <v>1.9973149581344019</v>
      </c>
      <c r="U305" s="864">
        <f t="shared" si="70"/>
        <v>0.101955672</v>
      </c>
      <c r="V305" s="864">
        <f t="shared" si="70"/>
        <v>0</v>
      </c>
      <c r="W305" s="864" t="str">
        <f t="shared" si="75"/>
        <v/>
      </c>
      <c r="X305" s="1067">
        <f t="shared" si="71"/>
        <v>5.6412532068604921</v>
      </c>
      <c r="Y305" s="826">
        <f>VLOOKUP(B305,'BD ASVICC'!$A$6:$Y$316,24,FALSE)</f>
        <v>1103</v>
      </c>
      <c r="Z305" s="826" t="str">
        <f t="shared" si="72"/>
        <v>b 1.000 a 5.000 hab.</v>
      </c>
      <c r="AA305" s="826">
        <f t="shared" si="73"/>
        <v>5114.4634695018058</v>
      </c>
    </row>
    <row r="306" spans="1:27" s="826" customFormat="1" ht="45">
      <c r="A306" s="835">
        <v>8305</v>
      </c>
      <c r="B306" s="826" t="s">
        <v>1729</v>
      </c>
      <c r="C306" s="878">
        <f>VLOOKUP(A306,copcalor,'1b.Cops de calor'!P$1,FALSE)/1000000</f>
        <v>4.398447376778968</v>
      </c>
      <c r="D306" s="879">
        <f>VLOOKUP($B306,'2b.Incendis forestals'!$B$4:$P$314,9,FALSE)/1000000</f>
        <v>9.4813337156172892E-2</v>
      </c>
      <c r="E306" s="878">
        <f>VLOOKUP($B306,'3b aigua'!$B$4:$K$314,8,FALSE)/1000000</f>
        <v>73.714065106202142</v>
      </c>
      <c r="F306" s="879">
        <f t="shared" si="61"/>
        <v>1.1684818749999999</v>
      </c>
      <c r="G306" s="879">
        <f t="shared" si="62"/>
        <v>1.3658579999999998</v>
      </c>
      <c r="H306" s="879">
        <f t="shared" si="63"/>
        <v>0</v>
      </c>
      <c r="I306" s="878" t="str">
        <f>IF(VLOOKUP($A306,'7b erosió costa'!$A$4:$AP$401,9,FALSE)&gt;0,VLOOKUP($A306,'7b erosió costa'!$A$4:$AP$401,9,FALSE),"")</f>
        <v/>
      </c>
      <c r="J306" s="870">
        <f>VLOOKUP(A306,copcalor,'1b.Cops de calor'!Z$1,FALSE)/1000000</f>
        <v>24.57299797287126</v>
      </c>
      <c r="K306" s="870">
        <f>VLOOKUP($B306,'2b.Incendis forestals'!$B$4:$P$314,14,FALSE)/1000000</f>
        <v>0.26073667717947546</v>
      </c>
      <c r="L306" s="870">
        <f>VLOOKUP($B306,'3b aigua'!$B$4:$K$314,9,FALSE)/1000000</f>
        <v>135.42317044921506</v>
      </c>
      <c r="M306" s="918">
        <f t="shared" si="64"/>
        <v>10.080928321131283</v>
      </c>
      <c r="N306" s="918">
        <f t="shared" si="65"/>
        <v>1.5666391259999999</v>
      </c>
      <c r="O306" s="918">
        <f t="shared" si="66"/>
        <v>0</v>
      </c>
      <c r="P306" s="918" t="str">
        <f>IF(VLOOKUP($A306,'7b erosió costa'!$A$4:$AP$401,42,FALSE)&gt;0,VLOOKUP($A306,'7b erosió costa'!$A$4:$AP$401,42,FALSE),"")</f>
        <v/>
      </c>
      <c r="Q306" s="863">
        <f t="shared" si="74"/>
        <v>20.174550596092292</v>
      </c>
      <c r="R306" s="864">
        <f t="shared" si="67"/>
        <v>0.16592334002330256</v>
      </c>
      <c r="S306" s="863">
        <f t="shared" si="68"/>
        <v>61.709105343012922</v>
      </c>
      <c r="T306" s="864">
        <f t="shared" si="69"/>
        <v>8.912446446131284</v>
      </c>
      <c r="U306" s="864">
        <f t="shared" si="70"/>
        <v>0.20078112600000009</v>
      </c>
      <c r="V306" s="864">
        <f t="shared" si="70"/>
        <v>0</v>
      </c>
      <c r="W306" s="864" t="str">
        <f t="shared" si="75"/>
        <v/>
      </c>
      <c r="X306" s="1067">
        <f t="shared" si="71"/>
        <v>91.162806851259802</v>
      </c>
      <c r="Y306" s="826">
        <f>VLOOKUP(B306,'BD ASVICC'!$A$6:$Y$316,24,FALSE)</f>
        <v>39365</v>
      </c>
      <c r="Z306" s="826" t="str">
        <f t="shared" si="72"/>
        <v>d 20.000 a 50.000 hab.</v>
      </c>
      <c r="AA306" s="826">
        <f t="shared" si="73"/>
        <v>2315.8340366127218</v>
      </c>
    </row>
    <row r="307" spans="1:27" s="826" customFormat="1" ht="30">
      <c r="A307" s="835">
        <v>8306</v>
      </c>
      <c r="B307" s="826" t="s">
        <v>1730</v>
      </c>
      <c r="C307" s="878">
        <f>VLOOKUP(A307,copcalor,'1b.Cops de calor'!P$1,FALSE)/1000000</f>
        <v>0.27783748645904965</v>
      </c>
      <c r="D307" s="879">
        <f>VLOOKUP($B307,'2b.Incendis forestals'!$B$4:$P$314,9,FALSE)/1000000</f>
        <v>0.15266925252163877</v>
      </c>
      <c r="E307" s="878">
        <f>VLOOKUP($B307,'3b aigua'!$B$4:$K$314,8,FALSE)/1000000</f>
        <v>1.0759899688581336</v>
      </c>
      <c r="F307" s="879">
        <f t="shared" si="61"/>
        <v>0.22639875000000001</v>
      </c>
      <c r="G307" s="879">
        <f t="shared" si="62"/>
        <v>0.264654</v>
      </c>
      <c r="H307" s="879">
        <f t="shared" si="63"/>
        <v>0</v>
      </c>
      <c r="I307" s="878" t="str">
        <f>IF(VLOOKUP($A307,'7b erosió costa'!$A$4:$AP$401,9,FALSE)&gt;0,VLOOKUP($A307,'7b erosió costa'!$A$4:$AP$401,9,FALSE),"")</f>
        <v/>
      </c>
      <c r="J307" s="870">
        <f>VLOOKUP(A307,copcalor,'1b.Cops de calor'!Z$1,FALSE)/1000000</f>
        <v>1.6164165420313101</v>
      </c>
      <c r="K307" s="870">
        <f>VLOOKUP($B307,'2b.Incendis forestals'!$B$4:$P$314,14,FALSE)/1000000</f>
        <v>0.41984044443450652</v>
      </c>
      <c r="L307" s="870">
        <f>VLOOKUP($B307,'3b aigua'!$B$4:$K$314,9,FALSE)/1000000</f>
        <v>1.5562160254928217</v>
      </c>
      <c r="M307" s="918">
        <f t="shared" si="64"/>
        <v>1.2638422743309528</v>
      </c>
      <c r="N307" s="918">
        <f t="shared" si="65"/>
        <v>0.30355813799999998</v>
      </c>
      <c r="O307" s="918">
        <f t="shared" si="66"/>
        <v>0</v>
      </c>
      <c r="P307" s="918" t="str">
        <f>IF(VLOOKUP($A307,'7b erosió costa'!$A$4:$AP$401,42,FALSE)&gt;0,VLOOKUP($A307,'7b erosió costa'!$A$4:$AP$401,42,FALSE),"")</f>
        <v/>
      </c>
      <c r="Q307" s="863">
        <f t="shared" si="74"/>
        <v>1.3385790555722605</v>
      </c>
      <c r="R307" s="864">
        <f t="shared" si="67"/>
        <v>0.26717119191286776</v>
      </c>
      <c r="S307" s="863">
        <f t="shared" si="68"/>
        <v>0.48022605663468809</v>
      </c>
      <c r="T307" s="864">
        <f t="shared" si="69"/>
        <v>1.0374435243309528</v>
      </c>
      <c r="U307" s="864">
        <f t="shared" si="70"/>
        <v>3.8904137999999977E-2</v>
      </c>
      <c r="V307" s="864">
        <f t="shared" si="70"/>
        <v>0</v>
      </c>
      <c r="W307" s="864" t="str">
        <f t="shared" si="75"/>
        <v/>
      </c>
      <c r="X307" s="1067">
        <f t="shared" si="71"/>
        <v>3.1623239664507694</v>
      </c>
      <c r="Y307" s="826">
        <f>VLOOKUP(B307,'BD ASVICC'!$A$6:$Y$316,24,FALSE)</f>
        <v>684</v>
      </c>
      <c r="Z307" s="826" t="str">
        <f t="shared" si="72"/>
        <v>a &lt; 1.000 hab.</v>
      </c>
      <c r="AA307" s="826">
        <f t="shared" si="73"/>
        <v>4623.2806527058037</v>
      </c>
    </row>
    <row r="308" spans="1:27" s="826" customFormat="1" ht="45">
      <c r="A308" s="835">
        <v>8307</v>
      </c>
      <c r="B308" s="826" t="s">
        <v>358</v>
      </c>
      <c r="C308" s="878">
        <f>VLOOKUP(A308,copcalor,'1b.Cops de calor'!P$1,FALSE)/1000000</f>
        <v>52.567972949565473</v>
      </c>
      <c r="D308" s="879">
        <f>VLOOKUP($B308,'2b.Incendis forestals'!$B$4:$P$314,9,FALSE)/1000000</f>
        <v>2.4795678773438556</v>
      </c>
      <c r="E308" s="878">
        <f>VLOOKUP($B308,'3b aigua'!$B$4:$K$314,8,FALSE)/1000000</f>
        <v>147.95421217604314</v>
      </c>
      <c r="F308" s="879">
        <f t="shared" si="61"/>
        <v>1.7589356250000001</v>
      </c>
      <c r="G308" s="879">
        <f t="shared" si="62"/>
        <v>3.2823180000000001</v>
      </c>
      <c r="H308" s="879">
        <f t="shared" si="63"/>
        <v>0</v>
      </c>
      <c r="I308" s="878">
        <f>IF(VLOOKUP($A308,'7b erosió costa'!$A$4:$AP$401,9,FALSE)&gt;0,VLOOKUP($A308,'7b erosió costa'!$A$4:$AP$401,9,FALSE),"")</f>
        <v>0.17529123711340211</v>
      </c>
      <c r="J308" s="870">
        <f>VLOOKUP(A308,copcalor,'1b.Cops de calor'!Z$1,FALSE)/1000000</f>
        <v>294.0364002098824</v>
      </c>
      <c r="K308" s="870">
        <f>VLOOKUP($B308,'2b.Incendis forestals'!$B$4:$P$314,14,FALSE)/1000000</f>
        <v>6.8188116626956043</v>
      </c>
      <c r="L308" s="870">
        <f>VLOOKUP($B308,'3b aigua'!$B$4:$K$314,9,FALSE)/1000000</f>
        <v>271.81282792271082</v>
      </c>
      <c r="M308" s="918">
        <f t="shared" si="64"/>
        <v>46.227921107358185</v>
      </c>
      <c r="N308" s="918">
        <f t="shared" si="65"/>
        <v>3.764818746</v>
      </c>
      <c r="O308" s="918">
        <f t="shared" si="66"/>
        <v>0</v>
      </c>
      <c r="P308" s="918">
        <f>IF(VLOOKUP($A308,'7b erosió costa'!$A$4:$AP$401,42,FALSE)&gt;0,VLOOKUP($A308,'7b erosió costa'!$A$4:$AP$401,42,FALSE),"")</f>
        <v>0.20231199794747404</v>
      </c>
      <c r="Q308" s="863">
        <f t="shared" si="74"/>
        <v>241.46842726031693</v>
      </c>
      <c r="R308" s="864">
        <f t="shared" si="67"/>
        <v>4.3392437853517487</v>
      </c>
      <c r="S308" s="863">
        <f t="shared" si="68"/>
        <v>123.85861574666768</v>
      </c>
      <c r="T308" s="864">
        <f t="shared" si="69"/>
        <v>44.468985482358185</v>
      </c>
      <c r="U308" s="864">
        <f t="shared" si="70"/>
        <v>0.48250074599999992</v>
      </c>
      <c r="V308" s="864">
        <f t="shared" si="70"/>
        <v>0</v>
      </c>
      <c r="W308" s="864">
        <f t="shared" si="75"/>
        <v>2.7020760834071927E-2</v>
      </c>
      <c r="X308" s="1067">
        <f t="shared" si="71"/>
        <v>414.64479378152862</v>
      </c>
      <c r="Y308" s="826">
        <f>VLOOKUP(B308,'BD ASVICC'!$A$6:$Y$316,24,FALSE)</f>
        <v>65972</v>
      </c>
      <c r="Z308" s="826" t="str">
        <f t="shared" si="72"/>
        <v>e &gt;50.000 hab.</v>
      </c>
      <c r="AA308" s="826">
        <f t="shared" si="73"/>
        <v>6285.1633083964198</v>
      </c>
    </row>
    <row r="309" spans="1:27" s="826" customFormat="1" ht="30">
      <c r="A309" s="835">
        <v>8308</v>
      </c>
      <c r="B309" s="826" t="s">
        <v>1737</v>
      </c>
      <c r="C309" s="878">
        <f>VLOOKUP(A309,copcalor,'1b.Cops de calor'!P$1,FALSE)/1000000</f>
        <v>4.1526719857482401E-2</v>
      </c>
      <c r="D309" s="879">
        <f>VLOOKUP($B309,'2b.Incendis forestals'!$B$4:$P$314,9,FALSE)/1000000</f>
        <v>4.9020684591547941</v>
      </c>
      <c r="E309" s="878">
        <f>VLOOKUP($B309,'3b aigua'!$B$4:$K$314,8,FALSE)/1000000</f>
        <v>0.2677467833712</v>
      </c>
      <c r="F309" s="879">
        <f t="shared" si="61"/>
        <v>6.03911</v>
      </c>
      <c r="G309" s="879">
        <f t="shared" si="62"/>
        <v>18.017765999999998</v>
      </c>
      <c r="H309" s="879">
        <f t="shared" si="63"/>
        <v>0</v>
      </c>
      <c r="I309" s="878" t="str">
        <f>IF(VLOOKUP($A309,'7b erosió costa'!$A$4:$AP$401,9,FALSE)&gt;0,VLOOKUP($A309,'7b erosió costa'!$A$4:$AP$401,9,FALSE),"")</f>
        <v/>
      </c>
      <c r="J309" s="870">
        <f>VLOOKUP(A309,copcalor,'1b.Cops de calor'!Z$1,FALSE)/1000000</f>
        <v>0.23797415607454858</v>
      </c>
      <c r="K309" s="870">
        <f>VLOOKUP($B309,'2b.Incendis forestals'!$B$4:$P$314,14,FALSE)/1000000</f>
        <v>13.480688262675683</v>
      </c>
      <c r="L309" s="870">
        <f>VLOOKUP($B309,'3b aigua'!$B$4:$K$314,9,FALSE)/1000000</f>
        <v>0.38724509253427197</v>
      </c>
      <c r="M309" s="918">
        <f t="shared" si="64"/>
        <v>26.746865120618565</v>
      </c>
      <c r="N309" s="918">
        <f t="shared" si="65"/>
        <v>20.666377601999997</v>
      </c>
      <c r="O309" s="918">
        <f t="shared" si="66"/>
        <v>0</v>
      </c>
      <c r="P309" s="918" t="str">
        <f>IF(VLOOKUP($A309,'7b erosió costa'!$A$4:$AP$401,42,FALSE)&gt;0,VLOOKUP($A309,'7b erosió costa'!$A$4:$AP$401,42,FALSE),"")</f>
        <v/>
      </c>
      <c r="Q309" s="863">
        <f t="shared" si="74"/>
        <v>0.19644743621706617</v>
      </c>
      <c r="R309" s="864">
        <f t="shared" si="67"/>
        <v>8.5786198035208887</v>
      </c>
      <c r="S309" s="863">
        <f t="shared" si="68"/>
        <v>0.11949830916307197</v>
      </c>
      <c r="T309" s="864">
        <f t="shared" si="69"/>
        <v>20.707755120618565</v>
      </c>
      <c r="U309" s="864">
        <f t="shared" si="70"/>
        <v>2.648611601999999</v>
      </c>
      <c r="V309" s="864">
        <f t="shared" si="70"/>
        <v>0</v>
      </c>
      <c r="W309" s="864" t="str">
        <f t="shared" si="75"/>
        <v/>
      </c>
      <c r="X309" s="1067">
        <f t="shared" si="71"/>
        <v>32.250932271519588</v>
      </c>
      <c r="Y309" s="826">
        <f>VLOOKUP(B309,'BD ASVICC'!$A$6:$Y$316,24,FALSE)</f>
        <v>162</v>
      </c>
      <c r="Z309" s="826" t="str">
        <f t="shared" si="72"/>
        <v>a &lt; 1.000 hab.</v>
      </c>
      <c r="AA309" s="826">
        <f t="shared" si="73"/>
        <v>199079.82883654066</v>
      </c>
    </row>
    <row r="310" spans="1:27" s="826" customFormat="1" ht="30">
      <c r="A310" s="835">
        <v>8901</v>
      </c>
      <c r="B310" s="826" t="s">
        <v>1742</v>
      </c>
      <c r="C310" s="878">
        <f>VLOOKUP(A310,copcalor,'1b.Cops de calor'!P$1,FALSE)/1000000</f>
        <v>0.21974562923316579</v>
      </c>
      <c r="D310" s="879">
        <f>VLOOKUP($B310,'2b.Incendis forestals'!$B$4:$P$314,9,FALSE)/1000000</f>
        <v>0.43136553621188461</v>
      </c>
      <c r="E310" s="878">
        <f>VLOOKUP($B310,'3b aigua'!$B$4:$K$314,8,FALSE)/1000000</f>
        <v>0.39156966392064002</v>
      </c>
      <c r="F310" s="879">
        <f t="shared" si="61"/>
        <v>1.8965799999999997</v>
      </c>
      <c r="G310" s="879">
        <f t="shared" si="62"/>
        <v>3.4252919999999998</v>
      </c>
      <c r="H310" s="879">
        <f t="shared" si="63"/>
        <v>0</v>
      </c>
      <c r="I310" s="878" t="str">
        <f>IF(VLOOKUP($A310,'7b erosió costa'!$A$4:$AP$401,9,FALSE)&gt;0,VLOOKUP($A310,'7b erosió costa'!$A$4:$AP$401,9,FALSE),"")</f>
        <v/>
      </c>
      <c r="J310" s="870">
        <f>VLOOKUP(A310,copcalor,'1b.Cops de calor'!Z$1,FALSE)/1000000</f>
        <v>1.3079071336272761</v>
      </c>
      <c r="K310" s="870">
        <f>VLOOKUP($B310,'2b.Incendis forestals'!$B$4:$P$314,14,FALSE)/1000000</f>
        <v>1.1862552245826827</v>
      </c>
      <c r="L310" s="870">
        <f>VLOOKUP($B310,'3b aigua'!$B$4:$K$314,9,FALSE)/1000000</f>
        <v>0.5663314749456384</v>
      </c>
      <c r="M310" s="918">
        <f t="shared" si="64"/>
        <v>8.6200479878209535</v>
      </c>
      <c r="N310" s="918">
        <f t="shared" si="65"/>
        <v>3.9288099240000003</v>
      </c>
      <c r="O310" s="918">
        <f t="shared" si="66"/>
        <v>0</v>
      </c>
      <c r="P310" s="918" t="str">
        <f>IF(VLOOKUP($A310,'7b erosió costa'!$A$4:$AP$401,42,FALSE)&gt;0,VLOOKUP($A310,'7b erosió costa'!$A$4:$AP$401,42,FALSE),"")</f>
        <v/>
      </c>
      <c r="Q310" s="863">
        <f t="shared" si="74"/>
        <v>1.0881615043941102</v>
      </c>
      <c r="R310" s="864">
        <f t="shared" si="67"/>
        <v>0.75488968837079806</v>
      </c>
      <c r="S310" s="863">
        <f t="shared" si="68"/>
        <v>0.17476181102499838</v>
      </c>
      <c r="T310" s="864">
        <f t="shared" si="69"/>
        <v>6.7234679878209533</v>
      </c>
      <c r="U310" s="864">
        <f t="shared" si="70"/>
        <v>0.50351792400000051</v>
      </c>
      <c r="V310" s="864">
        <f t="shared" si="70"/>
        <v>0</v>
      </c>
      <c r="W310" s="864" t="str">
        <f t="shared" si="75"/>
        <v/>
      </c>
      <c r="X310" s="1067">
        <f t="shared" si="71"/>
        <v>9.2447989156108612</v>
      </c>
      <c r="Y310" s="826">
        <f>VLOOKUP(B310,'BD ASVICC'!$A$6:$Y$316,24,FALSE)</f>
        <v>277</v>
      </c>
      <c r="Z310" s="826" t="str">
        <f t="shared" si="72"/>
        <v>a &lt; 1.000 hab.</v>
      </c>
      <c r="AA310" s="826">
        <f t="shared" si="73"/>
        <v>33374.725327115018</v>
      </c>
    </row>
    <row r="311" spans="1:27" s="826" customFormat="1" ht="45">
      <c r="A311" s="835">
        <v>8902</v>
      </c>
      <c r="B311" s="826" t="s">
        <v>1743</v>
      </c>
      <c r="C311" s="878">
        <f>VLOOKUP(A311,copcalor,'1b.Cops de calor'!P$1,FALSE)/1000000</f>
        <v>0.91078168126003201</v>
      </c>
      <c r="D311" s="879">
        <f>VLOOKUP($B311,'2b.Incendis forestals'!$B$4:$P$314,9,FALSE)/1000000</f>
        <v>0.24987781849849056</v>
      </c>
      <c r="E311" s="878">
        <f>VLOOKUP($B311,'3b aigua'!$B$4:$K$314,8,FALSE)/1000000</f>
        <v>8.7973233258265608</v>
      </c>
      <c r="F311" s="879">
        <f t="shared" si="61"/>
        <v>2.3394900000000001</v>
      </c>
      <c r="G311" s="879">
        <f t="shared" si="62"/>
        <v>2.1537359999999999</v>
      </c>
      <c r="H311" s="879">
        <f t="shared" si="63"/>
        <v>43.624610219850005</v>
      </c>
      <c r="I311" s="878" t="str">
        <f>IF(VLOOKUP($A311,'7b erosió costa'!$A$4:$AP$401,9,FALSE)&gt;0,VLOOKUP($A311,'7b erosió costa'!$A$4:$AP$401,9,FALSE),"")</f>
        <v/>
      </c>
      <c r="J311" s="870">
        <f>VLOOKUP(A311,copcalor,'1b.Cops de calor'!Z$1,FALSE)/1000000</f>
        <v>5.078690231765127</v>
      </c>
      <c r="K311" s="870">
        <f>VLOOKUP($B311,'2b.Incendis forestals'!$B$4:$P$314,14,FALSE)/1000000</f>
        <v>0.68716400087084906</v>
      </c>
      <c r="L311" s="870">
        <f>VLOOKUP($B311,'3b aigua'!$B$4:$K$314,9,FALSE)/1000000</f>
        <v>16.161928046348208</v>
      </c>
      <c r="M311" s="918">
        <f t="shared" si="64"/>
        <v>15.247545957959202</v>
      </c>
      <c r="N311" s="918">
        <f t="shared" si="65"/>
        <v>2.4703351919999998</v>
      </c>
      <c r="O311" s="918">
        <f t="shared" si="66"/>
        <v>0</v>
      </c>
      <c r="P311" s="918" t="str">
        <f>IF(VLOOKUP($A311,'7b erosió costa'!$A$4:$AP$401,42,FALSE)&gt;0,VLOOKUP($A311,'7b erosió costa'!$A$4:$AP$401,42,FALSE),"")</f>
        <v/>
      </c>
      <c r="Q311" s="863">
        <f t="shared" si="74"/>
        <v>4.1679085505050946</v>
      </c>
      <c r="R311" s="864">
        <f t="shared" si="67"/>
        <v>0.4372861823723585</v>
      </c>
      <c r="S311" s="863">
        <f t="shared" si="68"/>
        <v>7.3646047205216476</v>
      </c>
      <c r="T311" s="864">
        <f t="shared" si="69"/>
        <v>12.908055957959203</v>
      </c>
      <c r="U311" s="864">
        <f t="shared" si="70"/>
        <v>0.31659919199999997</v>
      </c>
      <c r="V311" s="864">
        <f t="shared" si="70"/>
        <v>-43.624610219850005</v>
      </c>
      <c r="W311" s="864" t="str">
        <f t="shared" si="75"/>
        <v/>
      </c>
      <c r="X311" s="1067">
        <f t="shared" si="71"/>
        <v>-18.430155616491703</v>
      </c>
      <c r="Y311" s="826">
        <f>VLOOKUP(B311,'BD ASVICC'!$A$6:$Y$316,24,FALSE)</f>
        <v>5217</v>
      </c>
      <c r="Z311" s="826" t="str">
        <f t="shared" si="72"/>
        <v>c 5.000 a 20.000 hab.</v>
      </c>
      <c r="AA311" s="826">
        <f t="shared" si="73"/>
        <v>-3532.7114465193986</v>
      </c>
    </row>
    <row r="312" spans="1:27" s="826" customFormat="1" ht="30">
      <c r="A312" s="835">
        <v>8903</v>
      </c>
      <c r="B312" s="826" t="s">
        <v>1746</v>
      </c>
      <c r="C312" s="878">
        <f>VLOOKUP(A312,copcalor,'1b.Cops de calor'!P$1,FALSE)/1000000</f>
        <v>7.1707400025598543E-3</v>
      </c>
      <c r="D312" s="879">
        <f>VLOOKUP($B312,'2b.Incendis forestals'!$B$4:$P$314,9,FALSE)/1000000</f>
        <v>0.86806498295019763</v>
      </c>
      <c r="E312" s="878">
        <f>VLOOKUP($B312,'3b aigua'!$B$4:$K$314,8,FALSE)/1000000</f>
        <v>0.16525743903679999</v>
      </c>
      <c r="F312" s="879">
        <f t="shared" si="61"/>
        <v>2.1389999999999999E-2</v>
      </c>
      <c r="G312" s="879">
        <f t="shared" si="62"/>
        <v>9.7344E-2</v>
      </c>
      <c r="H312" s="879">
        <f t="shared" si="63"/>
        <v>3.9097444799999992E-2</v>
      </c>
      <c r="I312" s="878" t="str">
        <f>IF(VLOOKUP($A312,'7b erosió costa'!$A$4:$AP$401,9,FALSE)&gt;0,VLOOKUP($A312,'7b erosió costa'!$A$4:$AP$401,9,FALSE),"")</f>
        <v/>
      </c>
      <c r="J312" s="870">
        <f>VLOOKUP(A312,copcalor,'1b.Cops de calor'!Z$1,FALSE)/1000000</f>
        <v>1.1512353251534142E-2</v>
      </c>
      <c r="K312" s="870">
        <f>VLOOKUP($B312,'2b.Incendis forestals'!$B$4:$P$314,14,FALSE)/1000000</f>
        <v>2.3871787031130438</v>
      </c>
      <c r="L312" s="870">
        <f>VLOOKUP($B312,'3b aigua'!$B$4:$K$314,9,FALSE)/1000000</f>
        <v>0.23901363619020796</v>
      </c>
      <c r="M312" s="918">
        <f t="shared" si="64"/>
        <v>0.63379541242181214</v>
      </c>
      <c r="N312" s="918">
        <f t="shared" si="65"/>
        <v>0.11165356799999998</v>
      </c>
      <c r="O312" s="918">
        <f t="shared" si="66"/>
        <v>1.25144555145</v>
      </c>
      <c r="P312" s="918" t="str">
        <f>IF(VLOOKUP($A312,'7b erosió costa'!$A$4:$AP$401,42,FALSE)&gt;0,VLOOKUP($A312,'7b erosió costa'!$A$4:$AP$401,42,FALSE),"")</f>
        <v/>
      </c>
      <c r="Q312" s="863">
        <f t="shared" si="74"/>
        <v>4.3416132489742876E-3</v>
      </c>
      <c r="R312" s="864">
        <f t="shared" si="67"/>
        <v>1.5191137201628462</v>
      </c>
      <c r="S312" s="863">
        <f t="shared" si="68"/>
        <v>7.3756197153407976E-2</v>
      </c>
      <c r="T312" s="864">
        <f t="shared" si="69"/>
        <v>0.61240541242181212</v>
      </c>
      <c r="U312" s="864">
        <f t="shared" si="70"/>
        <v>1.4309567999999981E-2</v>
      </c>
      <c r="V312" s="864">
        <f t="shared" si="70"/>
        <v>1.2123481066499999</v>
      </c>
      <c r="W312" s="864" t="str">
        <f t="shared" si="75"/>
        <v/>
      </c>
      <c r="X312" s="1067">
        <f t="shared" si="71"/>
        <v>3.4362746176370402</v>
      </c>
      <c r="Y312" s="826">
        <f>VLOOKUP(B312,'BD ASVICC'!$A$6:$Y$316,24,FALSE)</f>
        <v>251</v>
      </c>
      <c r="Z312" s="826" t="str">
        <f t="shared" si="72"/>
        <v>a &lt; 1.000 hab.</v>
      </c>
      <c r="AA312" s="826">
        <f t="shared" si="73"/>
        <v>13690.33712205992</v>
      </c>
    </row>
    <row r="313" spans="1:27" s="826" customFormat="1" ht="45">
      <c r="A313" s="835">
        <v>8904</v>
      </c>
      <c r="B313" s="826" t="s">
        <v>1748</v>
      </c>
      <c r="C313" s="878">
        <f>VLOOKUP(A313,copcalor,'1b.Cops de calor'!P$1,FALSE)/1000000</f>
        <v>4.4678172162367895</v>
      </c>
      <c r="D313" s="879">
        <f>VLOOKUP($B313,'2b.Incendis forestals'!$B$4:$P$314,9,FALSE)/1000000</f>
        <v>0</v>
      </c>
      <c r="E313" s="878">
        <f>VLOOKUP($B313,'3b aigua'!$B$4:$K$314,8,FALSE)/1000000</f>
        <v>19.75238921103541</v>
      </c>
      <c r="F313" s="879">
        <f t="shared" si="61"/>
        <v>0</v>
      </c>
      <c r="G313" s="879">
        <f t="shared" si="62"/>
        <v>9.0961957003349692E-2</v>
      </c>
      <c r="H313" s="879">
        <f t="shared" si="63"/>
        <v>16.652351197799998</v>
      </c>
      <c r="I313" s="878" t="str">
        <f>IF(VLOOKUP($A313,'7b erosió costa'!$A$4:$AP$401,9,FALSE)&gt;0,VLOOKUP($A313,'7b erosió costa'!$A$4:$AP$401,9,FALSE),"")</f>
        <v/>
      </c>
      <c r="J313" s="870">
        <f>VLOOKUP(A313,copcalor,'1b.Cops de calor'!Z$1,FALSE)/1000000</f>
        <v>26.305103276170808</v>
      </c>
      <c r="K313" s="870">
        <f>VLOOKUP($B313,'2b.Incendis forestals'!$B$4:$P$314,14,FALSE)/1000000</f>
        <v>0</v>
      </c>
      <c r="L313" s="870">
        <f>VLOOKUP($B313,'3b aigua'!$B$4:$K$314,9,FALSE)/1000000</f>
        <v>36.287934562439744</v>
      </c>
      <c r="M313" s="918">
        <f t="shared" si="64"/>
        <v>6.898658791627528E-2</v>
      </c>
      <c r="N313" s="918">
        <f t="shared" si="65"/>
        <v>0.1043333646828421</v>
      </c>
      <c r="O313" s="918">
        <f t="shared" si="66"/>
        <v>19.2263285481</v>
      </c>
      <c r="P313" s="918" t="str">
        <f>IF(VLOOKUP($A313,'7b erosió costa'!$A$4:$AP$401,42,FALSE)&gt;0,VLOOKUP($A313,'7b erosió costa'!$A$4:$AP$401,42,FALSE),"")</f>
        <v/>
      </c>
      <c r="Q313" s="863">
        <f t="shared" si="74"/>
        <v>21.837286059934019</v>
      </c>
      <c r="R313" s="864">
        <f t="shared" si="67"/>
        <v>0</v>
      </c>
      <c r="S313" s="863">
        <f t="shared" si="68"/>
        <v>16.535545351404334</v>
      </c>
      <c r="T313" s="864">
        <f t="shared" si="69"/>
        <v>6.898658791627528E-2</v>
      </c>
      <c r="U313" s="864">
        <f t="shared" si="70"/>
        <v>1.3371407679492409E-2</v>
      </c>
      <c r="V313" s="864">
        <f t="shared" si="70"/>
        <v>2.5739773503000016</v>
      </c>
      <c r="W313" s="864" t="str">
        <f t="shared" si="75"/>
        <v/>
      </c>
      <c r="X313" s="1067">
        <f t="shared" si="71"/>
        <v>41.029166757234123</v>
      </c>
      <c r="Y313" s="826">
        <f>VLOOKUP(B313,'BD ASVICC'!$A$6:$Y$316,24,FALSE)</f>
        <v>13482</v>
      </c>
      <c r="Z313" s="826" t="str">
        <f t="shared" si="72"/>
        <v>c 5.000 a 20.000 hab.</v>
      </c>
      <c r="AA313" s="826">
        <f t="shared" si="73"/>
        <v>3043.2552111878149</v>
      </c>
    </row>
    <row r="314" spans="1:27" s="827" customFormat="1" ht="45.75" thickBot="1">
      <c r="A314" s="836">
        <v>8905</v>
      </c>
      <c r="B314" s="827" t="s">
        <v>1749</v>
      </c>
      <c r="C314" s="880">
        <f>VLOOKUP(A314,copcalor,'1b.Cops de calor'!P$1,FALSE)/1000000</f>
        <v>1.9457660750609975</v>
      </c>
      <c r="D314" s="881">
        <f>VLOOKUP($B314,'2b.Incendis forestals'!$B$4:$P$314,9,FALSE)/1000000</f>
        <v>0.52420460929820833</v>
      </c>
      <c r="E314" s="880">
        <f>VLOOKUP($B314,'3b aigua'!$B$4:$K$314,8,FALSE)/1000000</f>
        <v>5.8213809061987192</v>
      </c>
      <c r="F314" s="880">
        <f t="shared" si="61"/>
        <v>8.4721875000000002E-2</v>
      </c>
      <c r="G314" s="880">
        <f t="shared" si="62"/>
        <v>0</v>
      </c>
      <c r="H314" s="880">
        <f t="shared" si="63"/>
        <v>1.3933451994000003</v>
      </c>
      <c r="I314" s="880" t="str">
        <f>IF(VLOOKUP($A314,'7b erosió costa'!$A$4:$AP$401,9,FALSE)&gt;0,VLOOKUP($A314,'7b erosió costa'!$A$4:$AP$401,9,FALSE),"")</f>
        <v/>
      </c>
      <c r="J314" s="871">
        <f>VLOOKUP(A314,copcalor,'1b.Cops de calor'!Z$1,FALSE)/1000000</f>
        <v>11.37196324284951</v>
      </c>
      <c r="K314" s="871">
        <f>VLOOKUP($B314,'2b.Incendis forestals'!$B$4:$P$314,14,FALSE)/1000000</f>
        <v>1.441562675570073</v>
      </c>
      <c r="L314" s="871">
        <f>VLOOKUP($B314,'3b aigua'!$B$4:$K$314,9,FALSE)/1000000</f>
        <v>10.694700632425512</v>
      </c>
      <c r="M314" s="919">
        <f t="shared" si="64"/>
        <v>0.79187951538771828</v>
      </c>
      <c r="N314" s="919">
        <f t="shared" si="65"/>
        <v>0</v>
      </c>
      <c r="O314" s="919">
        <f t="shared" si="66"/>
        <v>1.8571704226500001</v>
      </c>
      <c r="P314" s="919" t="str">
        <f>IF(VLOOKUP($A314,'7b erosió costa'!$A$4:$AP$401,42,FALSE)&gt;0,VLOOKUP($A314,'7b erosió costa'!$A$4:$AP$401,42,FALSE),"")</f>
        <v/>
      </c>
      <c r="Q314" s="865">
        <f t="shared" si="74"/>
        <v>9.4261971677885121</v>
      </c>
      <c r="R314" s="866">
        <f t="shared" si="67"/>
        <v>0.91735806627186467</v>
      </c>
      <c r="S314" s="865">
        <f t="shared" si="68"/>
        <v>4.8733197262267929</v>
      </c>
      <c r="T314" s="866">
        <f t="shared" si="69"/>
        <v>0.70715764038771822</v>
      </c>
      <c r="U314" s="866">
        <f t="shared" si="70"/>
        <v>0</v>
      </c>
      <c r="V314" s="866">
        <f t="shared" si="70"/>
        <v>0.46382522324999975</v>
      </c>
      <c r="W314" s="866" t="str">
        <f t="shared" si="75"/>
        <v/>
      </c>
      <c r="X314" s="1068">
        <f t="shared" si="71"/>
        <v>16.38785782392489</v>
      </c>
      <c r="Y314" s="827">
        <f>VLOOKUP(B314,'BD ASVICC'!$A$6:$Y$316,24,FALSE)</f>
        <v>3000</v>
      </c>
      <c r="Z314" s="827" t="str">
        <f t="shared" si="72"/>
        <v>b 1.000 a 5.000 hab.</v>
      </c>
      <c r="AA314" s="827">
        <f t="shared" si="73"/>
        <v>5462.61927464163</v>
      </c>
    </row>
  </sheetData>
  <mergeCells count="3">
    <mergeCell ref="C2:I2"/>
    <mergeCell ref="J2:P2"/>
    <mergeCell ref="Q2:W2"/>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4"/>
  <sheetViews>
    <sheetView workbookViewId="0">
      <selection activeCell="O17" sqref="O17:O18"/>
    </sheetView>
  </sheetViews>
  <sheetFormatPr defaultRowHeight="15"/>
  <cols>
    <col min="1" max="1" width="9.140625" style="822"/>
    <col min="2" max="2" width="24.28515625" style="821" customWidth="1"/>
    <col min="3" max="6" width="9.85546875" style="822" customWidth="1"/>
    <col min="8" max="8" width="9.140625" style="798"/>
    <col min="11" max="11" width="9.140625" style="901"/>
  </cols>
  <sheetData>
    <row r="1" spans="1:11">
      <c r="A1" s="822" t="s">
        <v>4570</v>
      </c>
    </row>
    <row r="2" spans="1:11" ht="30">
      <c r="A2" s="832"/>
      <c r="B2" s="823"/>
      <c r="C2" s="832"/>
      <c r="D2" s="832" t="s">
        <v>2734</v>
      </c>
      <c r="E2" s="1191" t="s">
        <v>2685</v>
      </c>
      <c r="F2" s="1191"/>
      <c r="G2" s="1191"/>
      <c r="H2" s="1155" t="s">
        <v>2750</v>
      </c>
      <c r="I2" s="1155"/>
      <c r="J2" s="1155"/>
      <c r="K2" s="896"/>
    </row>
    <row r="3" spans="1:11" ht="35.25" thickBot="1">
      <c r="A3" s="833" t="s">
        <v>2579</v>
      </c>
      <c r="B3" s="824" t="s">
        <v>66</v>
      </c>
      <c r="C3" s="833" t="s">
        <v>2732</v>
      </c>
      <c r="D3" s="833" t="s">
        <v>2733</v>
      </c>
      <c r="E3" s="833" t="s">
        <v>2738</v>
      </c>
      <c r="F3" s="833" t="s">
        <v>2743</v>
      </c>
      <c r="G3" s="833" t="s">
        <v>2744</v>
      </c>
      <c r="H3" s="891" t="s">
        <v>2751</v>
      </c>
      <c r="I3" s="833" t="s">
        <v>2738</v>
      </c>
      <c r="J3" s="833" t="s">
        <v>2745</v>
      </c>
      <c r="K3" s="897" t="s">
        <v>2754</v>
      </c>
    </row>
    <row r="4" spans="1:11">
      <c r="A4" s="834">
        <v>8001</v>
      </c>
      <c r="B4" s="825" t="s">
        <v>672</v>
      </c>
      <c r="C4" s="834">
        <v>1</v>
      </c>
      <c r="D4" s="834">
        <v>1.3959999999999999</v>
      </c>
      <c r="E4" s="883">
        <f>D4+D4*'3. Aigua-Resid '!$N$72</f>
        <v>1.78688</v>
      </c>
      <c r="F4" s="883">
        <f>0.56*E4</f>
        <v>1.0006528000000001</v>
      </c>
      <c r="G4" s="883">
        <f>E4-F4</f>
        <v>0.7862271999999999</v>
      </c>
      <c r="H4" s="892">
        <f>('A. Dades de partida'!$D$10*E4+(120*(I4-E4)/'A. Dades de partida'!$D$10))/'A. Dades de partida'!$D$10</f>
        <v>2.9476372479999999</v>
      </c>
      <c r="I4" s="883">
        <f>G4+J4</f>
        <v>3.9632998399999999</v>
      </c>
      <c r="J4" s="883">
        <f>IF(C4=1,F4*'3. Aigua-Resid '!$N$80,F4*'3. Aigua-Resid '!$N$82)</f>
        <v>3.17707264</v>
      </c>
      <c r="K4" s="898">
        <f>('A. Dades de partida'!$D$10*D4+(120*(E4-D4)/'A. Dades de partida'!$D$10))/'A. Dades de partida'!$D$10</f>
        <v>1.6044693333333333</v>
      </c>
    </row>
    <row r="5" spans="1:11">
      <c r="A5" s="835">
        <v>8002</v>
      </c>
      <c r="B5" s="826" t="s">
        <v>694</v>
      </c>
      <c r="C5" s="835">
        <v>0</v>
      </c>
      <c r="D5" s="835">
        <v>1.649</v>
      </c>
      <c r="E5" s="884">
        <f>D5+D5*'3. Aigua-Resid '!$N$72</f>
        <v>2.1107200000000002</v>
      </c>
      <c r="F5" s="884">
        <f t="shared" ref="F5:F68" si="0">0.56*E5</f>
        <v>1.1820032000000003</v>
      </c>
      <c r="G5" s="884">
        <f t="shared" ref="G5:G68" si="1">E5-F5</f>
        <v>0.9287167999999999</v>
      </c>
      <c r="H5" s="893">
        <f>('A. Dades de partida'!$D$10*E5+(120*(I5-E5)/'A. Dades de partida'!$D$10))/'A. Dades de partida'!$D$10</f>
        <v>2.7411217066666667</v>
      </c>
      <c r="I5" s="884">
        <f t="shared" ref="I5:I68" si="2">G5+J5</f>
        <v>3.2927232000000002</v>
      </c>
      <c r="J5" s="884">
        <f>IF(C5=1,F5*'3. Aigua-Resid '!$N$80,F5*'3. Aigua-Resid '!$N$82)</f>
        <v>2.3640064000000005</v>
      </c>
      <c r="K5" s="899">
        <f>('A. Dades de partida'!$D$10*D5+(120*(E5-D5)/'A. Dades de partida'!$D$10))/'A. Dades de partida'!$D$10</f>
        <v>1.8952506666666666</v>
      </c>
    </row>
    <row r="6" spans="1:11">
      <c r="A6" s="835">
        <v>8003</v>
      </c>
      <c r="B6" s="826" t="s">
        <v>707</v>
      </c>
      <c r="C6" s="835">
        <v>1</v>
      </c>
      <c r="D6" s="835">
        <v>1.958</v>
      </c>
      <c r="E6" s="884">
        <f>D6+D6*'3. Aigua-Resid '!$N$72</f>
        <v>2.50624</v>
      </c>
      <c r="F6" s="884">
        <f t="shared" si="0"/>
        <v>1.4034944000000003</v>
      </c>
      <c r="G6" s="884">
        <f t="shared" si="1"/>
        <v>1.1027455999999998</v>
      </c>
      <c r="H6" s="893">
        <f>('A. Dades de partida'!$D$10*E6+(120*(I6-E6)/'A. Dades de partida'!$D$10))/'A. Dades de partida'!$D$10</f>
        <v>4.1342935040000004</v>
      </c>
      <c r="I6" s="884">
        <f t="shared" si="2"/>
        <v>5.5588403199999998</v>
      </c>
      <c r="J6" s="884">
        <f>IF(C6=1,F6*'3. Aigua-Resid '!$N$80,F6*'3. Aigua-Resid '!$N$82)</f>
        <v>4.4560947200000003</v>
      </c>
      <c r="K6" s="899">
        <f>('A. Dades de partida'!$D$10*D6+(120*(E6-D6)/'A. Dades de partida'!$D$10))/'A. Dades de partida'!$D$10</f>
        <v>2.2503946666666668</v>
      </c>
    </row>
    <row r="7" spans="1:11">
      <c r="A7" s="835">
        <v>8004</v>
      </c>
      <c r="B7" s="826" t="s">
        <v>716</v>
      </c>
      <c r="C7" s="835">
        <v>0</v>
      </c>
      <c r="D7" s="835">
        <v>2.4260000000000002</v>
      </c>
      <c r="E7" s="884">
        <f>D7+D7*'3. Aigua-Resid '!$N$72</f>
        <v>3.1052800000000005</v>
      </c>
      <c r="F7" s="884">
        <f t="shared" si="0"/>
        <v>1.7389568000000004</v>
      </c>
      <c r="G7" s="884">
        <f t="shared" si="1"/>
        <v>1.3663232000000001</v>
      </c>
      <c r="H7" s="893">
        <f>('A. Dades de partida'!$D$10*E7+(120*(I7-E7)/'A. Dades de partida'!$D$10))/'A. Dades de partida'!$D$10</f>
        <v>4.0327236266666677</v>
      </c>
      <c r="I7" s="884">
        <f t="shared" si="2"/>
        <v>4.8442368000000009</v>
      </c>
      <c r="J7" s="884">
        <f>IF(C7=1,F7*'3. Aigua-Resid '!$N$80,F7*'3. Aigua-Resid '!$N$82)</f>
        <v>3.4779136000000008</v>
      </c>
      <c r="K7" s="899">
        <f>('A. Dades de partida'!$D$10*D7+(120*(E7-D7)/'A. Dades de partida'!$D$10))/'A. Dades de partida'!$D$10</f>
        <v>2.7882826666666669</v>
      </c>
    </row>
    <row r="8" spans="1:11">
      <c r="A8" s="835">
        <v>8005</v>
      </c>
      <c r="B8" s="826" t="s">
        <v>725</v>
      </c>
      <c r="C8" s="835">
        <v>1</v>
      </c>
      <c r="D8" s="835">
        <v>2.4329999999999998</v>
      </c>
      <c r="E8" s="884">
        <f>D8+D8*'3. Aigua-Resid '!$N$72</f>
        <v>3.1142399999999997</v>
      </c>
      <c r="F8" s="884">
        <f t="shared" si="0"/>
        <v>1.7439743999999999</v>
      </c>
      <c r="G8" s="884">
        <f t="shared" si="1"/>
        <v>1.3702655999999998</v>
      </c>
      <c r="H8" s="893">
        <f>('A. Dades de partida'!$D$10*E8+(120*(I8-E8)/'A. Dades de partida'!$D$10))/'A. Dades de partida'!$D$10</f>
        <v>5.1372503040000002</v>
      </c>
      <c r="I8" s="884">
        <f t="shared" si="2"/>
        <v>6.9073843199999994</v>
      </c>
      <c r="J8" s="884">
        <f>IF(C8=1,F8*'3. Aigua-Resid '!$N$80,F8*'3. Aigua-Resid '!$N$82)</f>
        <v>5.5371187199999996</v>
      </c>
      <c r="K8" s="899">
        <f>('A. Dades de partida'!$D$10*D8+(120*(E8-D8)/'A. Dades de partida'!$D$10))/'A. Dades de partida'!$D$10</f>
        <v>2.7963279999999999</v>
      </c>
    </row>
    <row r="9" spans="1:11">
      <c r="A9" s="835">
        <v>8006</v>
      </c>
      <c r="B9" s="826" t="s">
        <v>334</v>
      </c>
      <c r="C9" s="835">
        <v>1</v>
      </c>
      <c r="D9" s="835">
        <v>1.4470000000000001</v>
      </c>
      <c r="E9" s="884">
        <f>D9+D9*'3. Aigua-Resid '!$N$72</f>
        <v>1.85216</v>
      </c>
      <c r="F9" s="884">
        <f t="shared" si="0"/>
        <v>1.0372096000000002</v>
      </c>
      <c r="G9" s="884">
        <f t="shared" si="1"/>
        <v>0.81495039999999985</v>
      </c>
      <c r="H9" s="893">
        <f>('A. Dades de partida'!$D$10*E9+(120*(I9-E9)/'A. Dades de partida'!$D$10))/'A. Dades de partida'!$D$10</f>
        <v>3.0553231360000002</v>
      </c>
      <c r="I9" s="884">
        <f t="shared" si="2"/>
        <v>4.1080908800000007</v>
      </c>
      <c r="J9" s="884">
        <f>IF(C9=1,F9*'3. Aigua-Resid '!$N$80,F9*'3. Aigua-Resid '!$N$82)</f>
        <v>3.2931404800000004</v>
      </c>
      <c r="K9" s="899">
        <f>('A. Dades de partida'!$D$10*D9+(120*(E9-D9)/'A. Dades de partida'!$D$10))/'A. Dades de partida'!$D$10</f>
        <v>1.6630853333333335</v>
      </c>
    </row>
    <row r="10" spans="1:11">
      <c r="A10" s="835">
        <v>8007</v>
      </c>
      <c r="B10" s="826" t="s">
        <v>742</v>
      </c>
      <c r="C10" s="835">
        <v>1</v>
      </c>
      <c r="D10" s="835">
        <v>2.056</v>
      </c>
      <c r="E10" s="884">
        <f>D10+D10*'3. Aigua-Resid '!$N$72</f>
        <v>2.6316800000000002</v>
      </c>
      <c r="F10" s="884">
        <f t="shared" si="0"/>
        <v>1.4737408000000003</v>
      </c>
      <c r="G10" s="884">
        <f t="shared" si="1"/>
        <v>1.1579391999999999</v>
      </c>
      <c r="H10" s="893">
        <f>('A. Dades de partida'!$D$10*E10+(120*(I10-E10)/'A. Dades de partida'!$D$10))/'A. Dades de partida'!$D$10</f>
        <v>4.3412193279999993</v>
      </c>
      <c r="I10" s="884">
        <f t="shared" si="2"/>
        <v>5.8370662400000004</v>
      </c>
      <c r="J10" s="884">
        <f>IF(C10=1,F10*'3. Aigua-Resid '!$N$80,F10*'3. Aigua-Resid '!$N$82)</f>
        <v>4.6791270400000009</v>
      </c>
      <c r="K10" s="899">
        <f>('A. Dades de partida'!$D$10*D10+(120*(E10-D10)/'A. Dades de partida'!$D$10))/'A. Dades de partida'!$D$10</f>
        <v>2.3630293333333339</v>
      </c>
    </row>
    <row r="11" spans="1:11">
      <c r="A11" s="835">
        <v>8008</v>
      </c>
      <c r="B11" s="826" t="s">
        <v>751</v>
      </c>
      <c r="C11" s="835">
        <v>0</v>
      </c>
      <c r="D11" s="835">
        <v>1.819</v>
      </c>
      <c r="E11" s="884">
        <f>D11+D11*'3. Aigua-Resid '!$N$72</f>
        <v>2.3283199999999997</v>
      </c>
      <c r="F11" s="884">
        <f t="shared" si="0"/>
        <v>1.3038592</v>
      </c>
      <c r="G11" s="884">
        <f t="shared" si="1"/>
        <v>1.0244607999999997</v>
      </c>
      <c r="H11" s="893">
        <f>('A. Dades de partida'!$D$10*E11+(120*(I11-E11)/'A. Dades de partida'!$D$10))/'A. Dades de partida'!$D$10</f>
        <v>3.0237115733333328</v>
      </c>
      <c r="I11" s="884">
        <f t="shared" si="2"/>
        <v>3.6321791999999995</v>
      </c>
      <c r="J11" s="884">
        <f>IF(C11=1,F11*'3. Aigua-Resid '!$N$80,F11*'3. Aigua-Resid '!$N$82)</f>
        <v>2.6077184</v>
      </c>
      <c r="K11" s="899">
        <f>('A. Dades de partida'!$D$10*D11+(120*(E11-D11)/'A. Dades de partida'!$D$10))/'A. Dades de partida'!$D$10</f>
        <v>2.090637333333333</v>
      </c>
    </row>
    <row r="12" spans="1:11">
      <c r="A12" s="835">
        <v>8009</v>
      </c>
      <c r="B12" s="826" t="s">
        <v>761</v>
      </c>
      <c r="C12" s="835">
        <v>1</v>
      </c>
      <c r="D12" s="835">
        <v>2.1869999999999998</v>
      </c>
      <c r="E12" s="884">
        <f>D12+D12*'3. Aigua-Resid '!$N$72</f>
        <v>2.7993600000000001</v>
      </c>
      <c r="F12" s="884">
        <f t="shared" si="0"/>
        <v>1.5676416000000002</v>
      </c>
      <c r="G12" s="884">
        <f t="shared" si="1"/>
        <v>1.2317183999999999</v>
      </c>
      <c r="H12" s="893">
        <f>('A. Dades de partida'!$D$10*E12+(120*(I12-E12)/'A. Dades de partida'!$D$10))/'A. Dades de partida'!$D$10</f>
        <v>4.6178242560000005</v>
      </c>
      <c r="I12" s="884">
        <f t="shared" si="2"/>
        <v>6.2089804800000001</v>
      </c>
      <c r="J12" s="884">
        <f>IF(C12=1,F12*'3. Aigua-Resid '!$N$80,F12*'3. Aigua-Resid '!$N$82)</f>
        <v>4.97726208</v>
      </c>
      <c r="K12" s="899">
        <f>('A. Dades de partida'!$D$10*D12+(120*(E12-D12)/'A. Dades de partida'!$D$10))/'A. Dades de partida'!$D$10</f>
        <v>2.513592</v>
      </c>
    </row>
    <row r="13" spans="1:11">
      <c r="A13" s="835">
        <v>8010</v>
      </c>
      <c r="B13" s="826" t="s">
        <v>767</v>
      </c>
      <c r="C13" s="835">
        <v>0</v>
      </c>
      <c r="D13" s="835">
        <v>1.304</v>
      </c>
      <c r="E13" s="884">
        <f>D13+D13*'3. Aigua-Resid '!$N$72</f>
        <v>1.6691200000000002</v>
      </c>
      <c r="F13" s="884">
        <f t="shared" si="0"/>
        <v>0.93470720000000018</v>
      </c>
      <c r="G13" s="884">
        <f t="shared" si="1"/>
        <v>0.73441279999999998</v>
      </c>
      <c r="H13" s="893">
        <f>('A. Dades de partida'!$D$10*E13+(120*(I13-E13)/'A. Dades de partida'!$D$10))/'A. Dades de partida'!$D$10</f>
        <v>2.1676305066666672</v>
      </c>
      <c r="I13" s="884">
        <f t="shared" si="2"/>
        <v>2.6038272000000005</v>
      </c>
      <c r="J13" s="884">
        <f>IF(C13=1,F13*'3. Aigua-Resid '!$N$80,F13*'3. Aigua-Resid '!$N$82)</f>
        <v>1.8694144000000004</v>
      </c>
      <c r="K13" s="899">
        <f>('A. Dades de partida'!$D$10*D13+(120*(E13-D13)/'A. Dades de partida'!$D$10))/'A. Dades de partida'!$D$10</f>
        <v>1.4987306666666669</v>
      </c>
    </row>
    <row r="14" spans="1:11">
      <c r="A14" s="835">
        <v>8011</v>
      </c>
      <c r="B14" s="826" t="s">
        <v>774</v>
      </c>
      <c r="C14" s="835">
        <v>0</v>
      </c>
      <c r="D14" s="835">
        <v>1.915</v>
      </c>
      <c r="E14" s="884">
        <f>D14+D14*'3. Aigua-Resid '!$N$72</f>
        <v>2.4512</v>
      </c>
      <c r="F14" s="884">
        <f t="shared" si="0"/>
        <v>1.3726720000000001</v>
      </c>
      <c r="G14" s="884">
        <f t="shared" si="1"/>
        <v>1.0785279999999999</v>
      </c>
      <c r="H14" s="893">
        <f>('A. Dades de partida'!$D$10*E14+(120*(I14-E14)/'A. Dades de partida'!$D$10))/'A. Dades de partida'!$D$10</f>
        <v>3.1832917333333333</v>
      </c>
      <c r="I14" s="884">
        <f t="shared" si="2"/>
        <v>3.8238720000000002</v>
      </c>
      <c r="J14" s="884">
        <f>IF(C14=1,F14*'3. Aigua-Resid '!$N$80,F14*'3. Aigua-Resid '!$N$82)</f>
        <v>2.7453440000000002</v>
      </c>
      <c r="K14" s="899">
        <f>('A. Dades de partida'!$D$10*D14+(120*(E14-D14)/'A. Dades de partida'!$D$10))/'A. Dades de partida'!$D$10</f>
        <v>2.2009733333333332</v>
      </c>
    </row>
    <row r="15" spans="1:11">
      <c r="A15" s="835">
        <v>8012</v>
      </c>
      <c r="B15" s="826" t="s">
        <v>781</v>
      </c>
      <c r="C15" s="835">
        <v>0</v>
      </c>
      <c r="D15" s="835">
        <v>1.772</v>
      </c>
      <c r="E15" s="884">
        <f>D15+D15*'3. Aigua-Resid '!$N$72</f>
        <v>2.26816</v>
      </c>
      <c r="F15" s="884">
        <f t="shared" si="0"/>
        <v>1.2701696</v>
      </c>
      <c r="G15" s="884">
        <f t="shared" si="1"/>
        <v>0.99799039999999994</v>
      </c>
      <c r="H15" s="893">
        <f>('A. Dades de partida'!$D$10*E15+(120*(I15-E15)/'A. Dades de partida'!$D$10))/'A. Dades de partida'!$D$10</f>
        <v>2.9455837866666665</v>
      </c>
      <c r="I15" s="884">
        <f t="shared" si="2"/>
        <v>3.5383296</v>
      </c>
      <c r="J15" s="884">
        <f>IF(C15=1,F15*'3. Aigua-Resid '!$N$80,F15*'3. Aigua-Resid '!$N$82)</f>
        <v>2.5403392</v>
      </c>
      <c r="K15" s="899">
        <f>('A. Dades de partida'!$D$10*D15+(120*(E15-D15)/'A. Dades de partida'!$D$10))/'A. Dades de partida'!$D$10</f>
        <v>2.036618666666667</v>
      </c>
    </row>
    <row r="16" spans="1:11">
      <c r="A16" s="835">
        <v>8013</v>
      </c>
      <c r="B16" s="826" t="s">
        <v>787</v>
      </c>
      <c r="C16" s="835">
        <v>1</v>
      </c>
      <c r="D16" s="835">
        <v>1.9159999999999999</v>
      </c>
      <c r="E16" s="884">
        <f>D16+D16*'3. Aigua-Resid '!$N$72</f>
        <v>2.45248</v>
      </c>
      <c r="F16" s="884">
        <f t="shared" si="0"/>
        <v>1.3733888000000001</v>
      </c>
      <c r="G16" s="884">
        <f t="shared" si="1"/>
        <v>1.0790911999999999</v>
      </c>
      <c r="H16" s="893">
        <f>('A. Dades de partida'!$D$10*E16+(120*(I16-E16)/'A. Dades de partida'!$D$10))/'A. Dades de partida'!$D$10</f>
        <v>4.0456110079999998</v>
      </c>
      <c r="I16" s="884">
        <f t="shared" si="2"/>
        <v>5.4396006400000001</v>
      </c>
      <c r="J16" s="884">
        <f>IF(C16=1,F16*'3. Aigua-Resid '!$N$80,F16*'3. Aigua-Resid '!$N$82)</f>
        <v>4.3605094400000004</v>
      </c>
      <c r="K16" s="899">
        <f>('A. Dades de partida'!$D$10*D16+(120*(E16-D16)/'A. Dades de partida'!$D$10))/'A. Dades de partida'!$D$10</f>
        <v>2.2021226666666665</v>
      </c>
    </row>
    <row r="17" spans="1:11">
      <c r="A17" s="835">
        <v>8014</v>
      </c>
      <c r="B17" s="826" t="s">
        <v>797</v>
      </c>
      <c r="C17" s="835">
        <v>0</v>
      </c>
      <c r="D17" s="835">
        <v>1.6830000000000001</v>
      </c>
      <c r="E17" s="884">
        <f>D17+D17*'3. Aigua-Resid '!$N$72</f>
        <v>2.1542400000000002</v>
      </c>
      <c r="F17" s="884">
        <f t="shared" si="0"/>
        <v>1.2063744000000003</v>
      </c>
      <c r="G17" s="884">
        <f t="shared" si="1"/>
        <v>0.94786559999999986</v>
      </c>
      <c r="H17" s="893">
        <f>('A. Dades de partida'!$D$10*E17+(120*(I17-E17)/'A. Dades de partida'!$D$10))/'A. Dades de partida'!$D$10</f>
        <v>2.7976396800000005</v>
      </c>
      <c r="I17" s="884">
        <f t="shared" si="2"/>
        <v>3.3606144000000002</v>
      </c>
      <c r="J17" s="884">
        <f>IF(C17=1,F17*'3. Aigua-Resid '!$N$80,F17*'3. Aigua-Resid '!$N$82)</f>
        <v>2.4127488000000006</v>
      </c>
      <c r="K17" s="899">
        <f>('A. Dades de partida'!$D$10*D17+(120*(E17-D17)/'A. Dades de partida'!$D$10))/'A. Dades de partida'!$D$10</f>
        <v>1.9343280000000003</v>
      </c>
    </row>
    <row r="18" spans="1:11">
      <c r="A18" s="835">
        <v>8015</v>
      </c>
      <c r="B18" s="826" t="s">
        <v>335</v>
      </c>
      <c r="C18" s="835">
        <v>1</v>
      </c>
      <c r="D18" s="835">
        <v>2.4809999999999999</v>
      </c>
      <c r="E18" s="884">
        <f>D18+D18*'3. Aigua-Resid '!$N$72</f>
        <v>3.1756799999999998</v>
      </c>
      <c r="F18" s="884">
        <f t="shared" si="0"/>
        <v>1.7783808000000001</v>
      </c>
      <c r="G18" s="884">
        <f t="shared" si="1"/>
        <v>1.3972991999999997</v>
      </c>
      <c r="H18" s="893">
        <f>('A. Dades de partida'!$D$10*E18+(120*(I18-E18)/'A. Dades de partida'!$D$10))/'A. Dades de partida'!$D$10</f>
        <v>5.2386017279999999</v>
      </c>
      <c r="I18" s="884">
        <f t="shared" si="2"/>
        <v>7.0436582400000001</v>
      </c>
      <c r="J18" s="884">
        <f>IF(C18=1,F18*'3. Aigua-Resid '!$N$80,F18*'3. Aigua-Resid '!$N$82)</f>
        <v>5.6463590400000001</v>
      </c>
      <c r="K18" s="899">
        <f>('A. Dades de partida'!$D$10*D18+(120*(E18-D18)/'A. Dades de partida'!$D$10))/'A. Dades de partida'!$D$10</f>
        <v>2.8514959999999996</v>
      </c>
    </row>
    <row r="19" spans="1:11">
      <c r="A19" s="835">
        <v>8016</v>
      </c>
      <c r="B19" s="826" t="s">
        <v>807</v>
      </c>
      <c r="C19" s="835">
        <v>0</v>
      </c>
      <c r="D19" s="835">
        <v>1.2789999999999999</v>
      </c>
      <c r="E19" s="884">
        <f>D19+D19*'3. Aigua-Resid '!$N$72</f>
        <v>1.6371199999999999</v>
      </c>
      <c r="F19" s="884">
        <f t="shared" si="0"/>
        <v>0.91678720000000002</v>
      </c>
      <c r="G19" s="884">
        <f t="shared" si="1"/>
        <v>0.72033279999999988</v>
      </c>
      <c r="H19" s="893">
        <f>('A. Dades de partida'!$D$10*E19+(120*(I19-E19)/'A. Dades de partida'!$D$10))/'A. Dades de partida'!$D$10</f>
        <v>2.1260731733333333</v>
      </c>
      <c r="I19" s="884">
        <f t="shared" si="2"/>
        <v>2.5539071999999998</v>
      </c>
      <c r="J19" s="884">
        <f>IF(C19=1,F19*'3. Aigua-Resid '!$N$80,F19*'3. Aigua-Resid '!$N$82)</f>
        <v>1.8335744</v>
      </c>
      <c r="K19" s="899">
        <f>('A. Dades de partida'!$D$10*D19+(120*(E19-D19)/'A. Dades de partida'!$D$10))/'A. Dades de partida'!$D$10</f>
        <v>1.4699973333333332</v>
      </c>
    </row>
    <row r="20" spans="1:11">
      <c r="A20" s="835">
        <v>8017</v>
      </c>
      <c r="B20" s="826" t="s">
        <v>812</v>
      </c>
      <c r="C20" s="835">
        <v>0</v>
      </c>
      <c r="D20" s="835">
        <v>1.591</v>
      </c>
      <c r="E20" s="884">
        <f>D20+D20*'3. Aigua-Resid '!$N$72</f>
        <v>2.0364800000000001</v>
      </c>
      <c r="F20" s="884">
        <f t="shared" si="0"/>
        <v>1.1404288000000002</v>
      </c>
      <c r="G20" s="884">
        <f t="shared" si="1"/>
        <v>0.89605119999999983</v>
      </c>
      <c r="H20" s="893">
        <f>('A. Dades de partida'!$D$10*E20+(120*(I20-E20)/'A. Dades de partida'!$D$10))/'A. Dades de partida'!$D$10</f>
        <v>2.6447086933333335</v>
      </c>
      <c r="I20" s="884">
        <f t="shared" si="2"/>
        <v>3.1769088000000005</v>
      </c>
      <c r="J20" s="884">
        <f>IF(C20=1,F20*'3. Aigua-Resid '!$N$80,F20*'3. Aigua-Resid '!$N$82)</f>
        <v>2.2808576000000005</v>
      </c>
      <c r="K20" s="899">
        <f>('A. Dades de partida'!$D$10*D20+(120*(E20-D20)/'A. Dades de partida'!$D$10))/'A. Dades de partida'!$D$10</f>
        <v>1.8285893333333334</v>
      </c>
    </row>
    <row r="21" spans="1:11">
      <c r="A21" s="835">
        <v>8018</v>
      </c>
      <c r="B21" s="826" t="s">
        <v>817</v>
      </c>
      <c r="C21" s="835">
        <v>0</v>
      </c>
      <c r="D21" s="835">
        <v>1.274</v>
      </c>
      <c r="E21" s="884">
        <f>D21+D21*'3. Aigua-Resid '!$N$72</f>
        <v>1.6307200000000002</v>
      </c>
      <c r="F21" s="884">
        <f t="shared" si="0"/>
        <v>0.91320320000000021</v>
      </c>
      <c r="G21" s="884">
        <f t="shared" si="1"/>
        <v>0.71751679999999995</v>
      </c>
      <c r="H21" s="893">
        <f>('A. Dades de partida'!$D$10*E21+(120*(I21-E21)/'A. Dades de partida'!$D$10))/'A. Dades de partida'!$D$10</f>
        <v>2.1177617066666672</v>
      </c>
      <c r="I21" s="884">
        <f t="shared" si="2"/>
        <v>2.5439232000000005</v>
      </c>
      <c r="J21" s="884">
        <f>IF(C21=1,F21*'3. Aigua-Resid '!$N$80,F21*'3. Aigua-Resid '!$N$82)</f>
        <v>1.8264064000000004</v>
      </c>
      <c r="K21" s="899">
        <f>('A. Dades de partida'!$D$10*D21+(120*(E21-D21)/'A. Dades de partida'!$D$10))/'A. Dades de partida'!$D$10</f>
        <v>1.4642506666666668</v>
      </c>
    </row>
    <row r="22" spans="1:11">
      <c r="A22" s="835">
        <v>8019</v>
      </c>
      <c r="B22" s="826" t="s">
        <v>331</v>
      </c>
      <c r="C22" s="835">
        <v>1</v>
      </c>
      <c r="D22" s="835">
        <v>2.6339999999999999</v>
      </c>
      <c r="E22" s="884">
        <f>D22+D22*'3. Aigua-Resid '!$N$72</f>
        <v>3.3715199999999999</v>
      </c>
      <c r="F22" s="884">
        <f t="shared" si="0"/>
        <v>1.8880512</v>
      </c>
      <c r="G22" s="884">
        <f t="shared" si="1"/>
        <v>1.4834687999999998</v>
      </c>
      <c r="H22" s="893">
        <f>('A. Dades de partida'!$D$10*E22+(120*(I22-E22)/'A. Dades de partida'!$D$10))/'A. Dades de partida'!$D$10</f>
        <v>5.5616593919999993</v>
      </c>
      <c r="I22" s="884">
        <f t="shared" si="2"/>
        <v>7.4780313599999992</v>
      </c>
      <c r="J22" s="884">
        <f>IF(C22=1,F22*'3. Aigua-Resid '!$N$80,F22*'3. Aigua-Resid '!$N$82)</f>
        <v>5.9945625599999994</v>
      </c>
      <c r="K22" s="899">
        <f>('A. Dades de partida'!$D$10*D22+(120*(E22-D22)/'A. Dades de partida'!$D$10))/'A. Dades de partida'!$D$10</f>
        <v>3.0273439999999998</v>
      </c>
    </row>
    <row r="23" spans="1:11">
      <c r="A23" s="835">
        <v>8020</v>
      </c>
      <c r="B23" s="826" t="s">
        <v>825</v>
      </c>
      <c r="C23" s="835">
        <v>1</v>
      </c>
      <c r="D23" s="835">
        <v>2.677</v>
      </c>
      <c r="E23" s="884">
        <f>D23+D23*'3. Aigua-Resid '!$N$72</f>
        <v>3.4265600000000003</v>
      </c>
      <c r="F23" s="884">
        <f t="shared" si="0"/>
        <v>1.9188736000000004</v>
      </c>
      <c r="G23" s="884">
        <f t="shared" si="1"/>
        <v>1.5076863999999999</v>
      </c>
      <c r="H23" s="893">
        <f>('A. Dades de partida'!$D$10*E23+(120*(I23-E23)/'A. Dades de partida'!$D$10))/'A. Dades de partida'!$D$10</f>
        <v>5.6524533760000004</v>
      </c>
      <c r="I23" s="884">
        <f t="shared" si="2"/>
        <v>7.6001100800000012</v>
      </c>
      <c r="J23" s="884">
        <f>IF(C23=1,F23*'3. Aigua-Resid '!$N$80,F23*'3. Aigua-Resid '!$N$82)</f>
        <v>6.0924236800000013</v>
      </c>
      <c r="K23" s="899">
        <f>('A. Dades de partida'!$D$10*D23+(120*(E23-D23)/'A. Dades de partida'!$D$10))/'A. Dades de partida'!$D$10</f>
        <v>3.0767653333333338</v>
      </c>
    </row>
    <row r="24" spans="1:11">
      <c r="A24" s="835">
        <v>8021</v>
      </c>
      <c r="B24" s="826" t="s">
        <v>829</v>
      </c>
      <c r="C24" s="835">
        <v>0</v>
      </c>
      <c r="D24" s="835">
        <v>1.679</v>
      </c>
      <c r="E24" s="884">
        <f>D24+D24*'3. Aigua-Resid '!$N$72</f>
        <v>2.1491199999999999</v>
      </c>
      <c r="F24" s="884">
        <f t="shared" si="0"/>
        <v>1.2035072</v>
      </c>
      <c r="G24" s="884">
        <f t="shared" si="1"/>
        <v>0.94561279999999992</v>
      </c>
      <c r="H24" s="893">
        <f>('A. Dades de partida'!$D$10*E24+(120*(I24-E24)/'A. Dades de partida'!$D$10))/'A. Dades de partida'!$D$10</f>
        <v>2.7909905066666667</v>
      </c>
      <c r="I24" s="884">
        <f t="shared" si="2"/>
        <v>3.3526271999999997</v>
      </c>
      <c r="J24" s="884">
        <f>IF(C24=1,F24*'3. Aigua-Resid '!$N$80,F24*'3. Aigua-Resid '!$N$82)</f>
        <v>2.4070144</v>
      </c>
      <c r="K24" s="899">
        <f>('A. Dades de partida'!$D$10*D24+(120*(E24-D24)/'A. Dades de partida'!$D$10))/'A. Dades de partida'!$D$10</f>
        <v>1.9297306666666667</v>
      </c>
    </row>
    <row r="25" spans="1:11">
      <c r="A25" s="835">
        <v>8022</v>
      </c>
      <c r="B25" s="826" t="s">
        <v>777</v>
      </c>
      <c r="C25" s="835">
        <v>0</v>
      </c>
      <c r="D25" s="835">
        <v>2.028</v>
      </c>
      <c r="E25" s="884">
        <f>D25+D25*'3. Aigua-Resid '!$N$72</f>
        <v>2.5958399999999999</v>
      </c>
      <c r="F25" s="884">
        <f t="shared" si="0"/>
        <v>1.4536704</v>
      </c>
      <c r="G25" s="884">
        <f t="shared" si="1"/>
        <v>1.1421695999999999</v>
      </c>
      <c r="H25" s="893">
        <f>('A. Dades de partida'!$D$10*E25+(120*(I25-E25)/'A. Dades de partida'!$D$10))/'A. Dades de partida'!$D$10</f>
        <v>3.3711308799999999</v>
      </c>
      <c r="I25" s="884">
        <f t="shared" si="2"/>
        <v>4.0495104</v>
      </c>
      <c r="J25" s="884">
        <f>IF(C25=1,F25*'3. Aigua-Resid '!$N$80,F25*'3. Aigua-Resid '!$N$82)</f>
        <v>2.9073408000000001</v>
      </c>
      <c r="K25" s="899">
        <f>('A. Dades de partida'!$D$10*D25+(120*(E25-D25)/'A. Dades de partida'!$D$10))/'A. Dades de partida'!$D$10</f>
        <v>2.3308480000000005</v>
      </c>
    </row>
    <row r="26" spans="1:11">
      <c r="A26" s="835">
        <v>8023</v>
      </c>
      <c r="B26" s="826" t="s">
        <v>838</v>
      </c>
      <c r="C26" s="835">
        <v>1</v>
      </c>
      <c r="D26" s="835">
        <v>2.6970000000000001</v>
      </c>
      <c r="E26" s="884">
        <f>D26+D26*'3. Aigua-Resid '!$N$72</f>
        <v>3.4521600000000001</v>
      </c>
      <c r="F26" s="884">
        <f t="shared" si="0"/>
        <v>1.9332096000000003</v>
      </c>
      <c r="G26" s="884">
        <f t="shared" si="1"/>
        <v>1.5189503999999998</v>
      </c>
      <c r="H26" s="893">
        <f>('A. Dades de partida'!$D$10*E26+(120*(I26-E26)/'A. Dades de partida'!$D$10))/'A. Dades de partida'!$D$10</f>
        <v>5.6946831360000001</v>
      </c>
      <c r="I26" s="884">
        <f t="shared" si="2"/>
        <v>7.6568908800000006</v>
      </c>
      <c r="J26" s="884">
        <f>IF(C26=1,F26*'3. Aigua-Resid '!$N$80,F26*'3. Aigua-Resid '!$N$82)</f>
        <v>6.137940480000001</v>
      </c>
      <c r="K26" s="899">
        <f>('A. Dades de partida'!$D$10*D26+(120*(E26-D26)/'A. Dades de partida'!$D$10))/'A. Dades de partida'!$D$10</f>
        <v>3.0997520000000001</v>
      </c>
    </row>
    <row r="27" spans="1:11">
      <c r="A27" s="835">
        <v>8024</v>
      </c>
      <c r="B27" s="826" t="s">
        <v>843</v>
      </c>
      <c r="C27" s="835">
        <v>0</v>
      </c>
      <c r="D27" s="835">
        <v>1.2330000000000001</v>
      </c>
      <c r="E27" s="884">
        <f>D27+D27*'3. Aigua-Resid '!$N$72</f>
        <v>1.5782400000000001</v>
      </c>
      <c r="F27" s="884">
        <f t="shared" si="0"/>
        <v>0.88381440000000011</v>
      </c>
      <c r="G27" s="884">
        <f t="shared" si="1"/>
        <v>0.69442559999999998</v>
      </c>
      <c r="H27" s="893">
        <f>('A. Dades de partida'!$D$10*E27+(120*(I27-E27)/'A. Dades de partida'!$D$10))/'A. Dades de partida'!$D$10</f>
        <v>2.0496076800000003</v>
      </c>
      <c r="I27" s="884">
        <f t="shared" si="2"/>
        <v>2.4620544000000004</v>
      </c>
      <c r="J27" s="884">
        <f>IF(C27=1,F27*'3. Aigua-Resid '!$N$80,F27*'3. Aigua-Resid '!$N$82)</f>
        <v>1.7676288000000002</v>
      </c>
      <c r="K27" s="899">
        <f>('A. Dades de partida'!$D$10*D27+(120*(E27-D27)/'A. Dades de partida'!$D$10))/'A. Dades de partida'!$D$10</f>
        <v>1.4171280000000002</v>
      </c>
    </row>
    <row r="28" spans="1:11">
      <c r="A28" s="835">
        <v>8025</v>
      </c>
      <c r="B28" s="826" t="s">
        <v>846</v>
      </c>
      <c r="C28" s="835">
        <v>0</v>
      </c>
      <c r="D28" s="835">
        <v>1.7609999999999999</v>
      </c>
      <c r="E28" s="884">
        <f>D28+D28*'3. Aigua-Resid '!$N$72</f>
        <v>2.2540800000000001</v>
      </c>
      <c r="F28" s="884">
        <f t="shared" si="0"/>
        <v>1.2622848000000002</v>
      </c>
      <c r="G28" s="884">
        <f t="shared" si="1"/>
        <v>0.99179519999999988</v>
      </c>
      <c r="H28" s="893">
        <f>('A. Dades de partida'!$D$10*E28+(120*(I28-E28)/'A. Dades de partida'!$D$10))/'A. Dades de partida'!$D$10</f>
        <v>2.9272985599999997</v>
      </c>
      <c r="I28" s="884">
        <f t="shared" si="2"/>
        <v>3.5163648000000003</v>
      </c>
      <c r="J28" s="884">
        <f>IF(C28=1,F28*'3. Aigua-Resid '!$N$80,F28*'3. Aigua-Resid '!$N$82)</f>
        <v>2.5245696000000004</v>
      </c>
      <c r="K28" s="899">
        <f>('A. Dades de partida'!$D$10*D28+(120*(E28-D28)/'A. Dades de partida'!$D$10))/'A. Dades de partida'!$D$10</f>
        <v>2.0239759999999998</v>
      </c>
    </row>
    <row r="29" spans="1:11">
      <c r="A29" s="835">
        <v>8026</v>
      </c>
      <c r="B29" s="826" t="s">
        <v>850</v>
      </c>
      <c r="C29" s="835">
        <v>0</v>
      </c>
      <c r="D29" s="835">
        <v>1.196</v>
      </c>
      <c r="E29" s="884">
        <f>D29+D29*'3. Aigua-Resid '!$N$72</f>
        <v>1.53088</v>
      </c>
      <c r="F29" s="884">
        <f t="shared" si="0"/>
        <v>0.85729280000000008</v>
      </c>
      <c r="G29" s="884">
        <f t="shared" si="1"/>
        <v>0.67358719999999994</v>
      </c>
      <c r="H29" s="893">
        <f>('A. Dades de partida'!$D$10*E29+(120*(I29-E29)/'A. Dades de partida'!$D$10))/'A. Dades de partida'!$D$10</f>
        <v>1.9881028266666665</v>
      </c>
      <c r="I29" s="884">
        <f t="shared" si="2"/>
        <v>2.3881728</v>
      </c>
      <c r="J29" s="884">
        <f>IF(C29=1,F29*'3. Aigua-Resid '!$N$80,F29*'3. Aigua-Resid '!$N$82)</f>
        <v>1.7145856000000002</v>
      </c>
      <c r="K29" s="899">
        <f>('A. Dades de partida'!$D$10*D29+(120*(E29-D29)/'A. Dades de partida'!$D$10))/'A. Dades de partida'!$D$10</f>
        <v>1.3746026666666666</v>
      </c>
    </row>
    <row r="30" spans="1:11">
      <c r="A30" s="835">
        <v>8027</v>
      </c>
      <c r="B30" s="826" t="s">
        <v>854</v>
      </c>
      <c r="C30" s="835">
        <v>1</v>
      </c>
      <c r="D30" s="835">
        <v>2.657</v>
      </c>
      <c r="E30" s="884">
        <f>D30+D30*'3. Aigua-Resid '!$N$72</f>
        <v>3.40096</v>
      </c>
      <c r="F30" s="884">
        <f t="shared" si="0"/>
        <v>1.9045376000000003</v>
      </c>
      <c r="G30" s="884">
        <f t="shared" si="1"/>
        <v>1.4964223999999997</v>
      </c>
      <c r="H30" s="893">
        <f>('A. Dades de partida'!$D$10*E30+(120*(I30-E30)/'A. Dades de partida'!$D$10))/'A. Dades de partida'!$D$10</f>
        <v>5.6102236159999999</v>
      </c>
      <c r="I30" s="884">
        <f t="shared" si="2"/>
        <v>7.54332928</v>
      </c>
      <c r="J30" s="884">
        <f>IF(C30=1,F30*'3. Aigua-Resid '!$N$80,F30*'3. Aigua-Resid '!$N$82)</f>
        <v>6.0469068800000008</v>
      </c>
      <c r="K30" s="899">
        <f>('A. Dades de partida'!$D$10*D30+(120*(E30-D30)/'A. Dades de partida'!$D$10))/'A. Dades de partida'!$D$10</f>
        <v>3.0537786666666666</v>
      </c>
    </row>
    <row r="31" spans="1:11">
      <c r="A31" s="835">
        <v>8028</v>
      </c>
      <c r="B31" s="826" t="s">
        <v>856</v>
      </c>
      <c r="C31" s="835">
        <v>0</v>
      </c>
      <c r="D31" s="835">
        <v>1.609</v>
      </c>
      <c r="E31" s="884">
        <f>D31+D31*'3. Aigua-Resid '!$N$72</f>
        <v>2.05952</v>
      </c>
      <c r="F31" s="884">
        <f t="shared" si="0"/>
        <v>1.1533312000000002</v>
      </c>
      <c r="G31" s="884">
        <f t="shared" si="1"/>
        <v>0.90618879999999979</v>
      </c>
      <c r="H31" s="893">
        <f>('A. Dades de partida'!$D$10*E31+(120*(I31-E31)/'A. Dades de partida'!$D$10))/'A. Dades de partida'!$D$10</f>
        <v>2.6746299733333334</v>
      </c>
      <c r="I31" s="884">
        <f t="shared" si="2"/>
        <v>3.2128512000000002</v>
      </c>
      <c r="J31" s="884">
        <f>IF(C31=1,F31*'3. Aigua-Resid '!$N$80,F31*'3. Aigua-Resid '!$N$82)</f>
        <v>2.3066624000000004</v>
      </c>
      <c r="K31" s="899">
        <f>('A. Dades de partida'!$D$10*D31+(120*(E31-D31)/'A. Dades de partida'!$D$10))/'A. Dades de partida'!$D$10</f>
        <v>1.8492773333333332</v>
      </c>
    </row>
    <row r="32" spans="1:11">
      <c r="A32" s="835">
        <v>8029</v>
      </c>
      <c r="B32" s="826" t="s">
        <v>336</v>
      </c>
      <c r="C32" s="835">
        <v>1</v>
      </c>
      <c r="D32" s="835">
        <v>1.9950000000000001</v>
      </c>
      <c r="E32" s="884">
        <f>D32+D32*'3. Aigua-Resid '!$N$72</f>
        <v>2.5536000000000003</v>
      </c>
      <c r="F32" s="884">
        <f t="shared" si="0"/>
        <v>1.4300160000000004</v>
      </c>
      <c r="G32" s="884">
        <f t="shared" si="1"/>
        <v>1.1235839999999999</v>
      </c>
      <c r="H32" s="893">
        <f>('A. Dades de partida'!$D$10*E32+(120*(I32-E32)/'A. Dades de partida'!$D$10))/'A. Dades de partida'!$D$10</f>
        <v>4.2124185600000006</v>
      </c>
      <c r="I32" s="884">
        <f t="shared" si="2"/>
        <v>5.6638848000000008</v>
      </c>
      <c r="J32" s="884">
        <f>IF(C32=1,F32*'3. Aigua-Resid '!$N$80,F32*'3. Aigua-Resid '!$N$82)</f>
        <v>4.5403008000000007</v>
      </c>
      <c r="K32" s="899">
        <f>('A. Dades de partida'!$D$10*D32+(120*(E32-D32)/'A. Dades de partida'!$D$10))/'A. Dades de partida'!$D$10</f>
        <v>2.2929200000000001</v>
      </c>
    </row>
    <row r="33" spans="1:11">
      <c r="A33" s="835">
        <v>8030</v>
      </c>
      <c r="B33" s="826" t="s">
        <v>864</v>
      </c>
      <c r="C33" s="835">
        <v>1</v>
      </c>
      <c r="D33" s="835">
        <v>2.1230000000000002</v>
      </c>
      <c r="E33" s="884">
        <f>D33+D33*'3. Aigua-Resid '!$N$72</f>
        <v>2.7174400000000003</v>
      </c>
      <c r="F33" s="884">
        <f t="shared" si="0"/>
        <v>1.5217664000000004</v>
      </c>
      <c r="G33" s="884">
        <f t="shared" si="1"/>
        <v>1.1956735999999999</v>
      </c>
      <c r="H33" s="893">
        <f>('A. Dades de partida'!$D$10*E33+(120*(I33-E33)/'A. Dades de partida'!$D$10))/'A. Dades de partida'!$D$10</f>
        <v>4.4826890239999999</v>
      </c>
      <c r="I33" s="884">
        <f t="shared" si="2"/>
        <v>6.027281920000001</v>
      </c>
      <c r="J33" s="884">
        <f>IF(C33=1,F33*'3. Aigua-Resid '!$N$80,F33*'3. Aigua-Resid '!$N$82)</f>
        <v>4.8316083200000008</v>
      </c>
      <c r="K33" s="899">
        <f>('A. Dades de partida'!$D$10*D33+(120*(E33-D33)/'A. Dades de partida'!$D$10))/'A. Dades de partida'!$D$10</f>
        <v>2.440034666666667</v>
      </c>
    </row>
    <row r="34" spans="1:11">
      <c r="A34" s="835">
        <v>8031</v>
      </c>
      <c r="B34" s="826" t="s">
        <v>865</v>
      </c>
      <c r="C34" s="835">
        <v>0</v>
      </c>
      <c r="D34" s="835">
        <v>2.3079999999999998</v>
      </c>
      <c r="E34" s="884">
        <f>D34+D34*'3. Aigua-Resid '!$N$72</f>
        <v>2.95424</v>
      </c>
      <c r="F34" s="884">
        <f t="shared" si="0"/>
        <v>1.6543744000000002</v>
      </c>
      <c r="G34" s="884">
        <f t="shared" si="1"/>
        <v>1.2998655999999997</v>
      </c>
      <c r="H34" s="893">
        <f>('A. Dades de partida'!$D$10*E34+(120*(I34-E34)/'A. Dades de partida'!$D$10))/'A. Dades de partida'!$D$10</f>
        <v>3.836573013333334</v>
      </c>
      <c r="I34" s="884">
        <f t="shared" si="2"/>
        <v>4.6086144000000004</v>
      </c>
      <c r="J34" s="884">
        <f>IF(C34=1,F34*'3. Aigua-Resid '!$N$80,F34*'3. Aigua-Resid '!$N$82)</f>
        <v>3.3087488000000005</v>
      </c>
      <c r="K34" s="899">
        <f>('A. Dades de partida'!$D$10*D34+(120*(E34-D34)/'A. Dades de partida'!$D$10))/'A. Dades de partida'!$D$10</f>
        <v>2.6526613333333331</v>
      </c>
    </row>
    <row r="35" spans="1:11">
      <c r="A35" s="835">
        <v>8032</v>
      </c>
      <c r="B35" s="826" t="s">
        <v>337</v>
      </c>
      <c r="C35" s="835">
        <v>1</v>
      </c>
      <c r="D35" s="835">
        <v>2.5790000000000002</v>
      </c>
      <c r="E35" s="884">
        <f>D35+D35*'3. Aigua-Resid '!$N$72</f>
        <v>3.3011200000000001</v>
      </c>
      <c r="F35" s="884">
        <f t="shared" si="0"/>
        <v>1.8486272000000001</v>
      </c>
      <c r="G35" s="884">
        <f t="shared" si="1"/>
        <v>1.4524927999999999</v>
      </c>
      <c r="H35" s="893">
        <f>('A. Dades de partida'!$D$10*E35+(120*(I35-E35)/'A. Dades de partida'!$D$10))/'A. Dades de partida'!$D$10</f>
        <v>5.4455275520000006</v>
      </c>
      <c r="I35" s="884">
        <f t="shared" si="2"/>
        <v>7.3218841599999998</v>
      </c>
      <c r="J35" s="884">
        <f>IF(C35=1,F35*'3. Aigua-Resid '!$N$80,F35*'3. Aigua-Resid '!$N$82)</f>
        <v>5.8693913599999998</v>
      </c>
      <c r="K35" s="899">
        <f>('A. Dades de partida'!$D$10*D35+(120*(E35-D35)/'A. Dades de partida'!$D$10))/'A. Dades de partida'!$D$10</f>
        <v>2.9641306666666671</v>
      </c>
    </row>
    <row r="36" spans="1:11">
      <c r="A36" s="835">
        <v>8033</v>
      </c>
      <c r="B36" s="826" t="s">
        <v>867</v>
      </c>
      <c r="C36" s="835">
        <v>1</v>
      </c>
      <c r="D36" s="835">
        <v>1.889</v>
      </c>
      <c r="E36" s="884">
        <f>D36+D36*'3. Aigua-Resid '!$N$72</f>
        <v>2.4179200000000001</v>
      </c>
      <c r="F36" s="884">
        <f t="shared" si="0"/>
        <v>1.3540352000000002</v>
      </c>
      <c r="G36" s="884">
        <f t="shared" si="1"/>
        <v>1.0638847999999999</v>
      </c>
      <c r="H36" s="893">
        <f>('A. Dades de partida'!$D$10*E36+(120*(I36-E36)/'A. Dades de partida'!$D$10))/'A. Dades de partida'!$D$10</f>
        <v>3.9886008320000004</v>
      </c>
      <c r="I36" s="884">
        <f t="shared" si="2"/>
        <v>5.362946560000001</v>
      </c>
      <c r="J36" s="884">
        <f>IF(C36=1,F36*'3. Aigua-Resid '!$N$80,F36*'3. Aigua-Resid '!$N$82)</f>
        <v>4.2990617600000007</v>
      </c>
      <c r="K36" s="899">
        <f>('A. Dades de partida'!$D$10*D36+(120*(E36-D36)/'A. Dades de partida'!$D$10))/'A. Dades de partida'!$D$10</f>
        <v>2.1710906666666667</v>
      </c>
    </row>
    <row r="37" spans="1:11">
      <c r="A37" s="835">
        <v>8034</v>
      </c>
      <c r="B37" s="826" t="s">
        <v>875</v>
      </c>
      <c r="C37" s="835">
        <v>0</v>
      </c>
      <c r="D37" s="835">
        <v>2.1930000000000001</v>
      </c>
      <c r="E37" s="884">
        <f>D37+D37*'3. Aigua-Resid '!$N$72</f>
        <v>2.8070400000000002</v>
      </c>
      <c r="F37" s="884">
        <f t="shared" si="0"/>
        <v>1.5719424000000002</v>
      </c>
      <c r="G37" s="884">
        <f t="shared" si="1"/>
        <v>1.2350976</v>
      </c>
      <c r="H37" s="893">
        <f>('A. Dades de partida'!$D$10*E37+(120*(I37-E37)/'A. Dades de partida'!$D$10))/'A. Dades de partida'!$D$10</f>
        <v>3.6454092800000004</v>
      </c>
      <c r="I37" s="884">
        <f t="shared" si="2"/>
        <v>4.3789823999999999</v>
      </c>
      <c r="J37" s="884">
        <f>IF(C37=1,F37*'3. Aigua-Resid '!$N$80,F37*'3. Aigua-Resid '!$N$82)</f>
        <v>3.1438848000000004</v>
      </c>
      <c r="K37" s="899">
        <f>('A. Dades de partida'!$D$10*D37+(120*(E37-D37)/'A. Dades de partida'!$D$10))/'A. Dades de partida'!$D$10</f>
        <v>2.5204880000000003</v>
      </c>
    </row>
    <row r="38" spans="1:11">
      <c r="A38" s="835">
        <v>8035</v>
      </c>
      <c r="B38" s="826" t="s">
        <v>338</v>
      </c>
      <c r="C38" s="835">
        <v>1</v>
      </c>
      <c r="D38" s="835">
        <v>2.0870000000000002</v>
      </c>
      <c r="E38" s="884">
        <f>D38+D38*'3. Aigua-Resid '!$N$72</f>
        <v>2.6713600000000004</v>
      </c>
      <c r="F38" s="884">
        <f t="shared" si="0"/>
        <v>1.4959616000000004</v>
      </c>
      <c r="G38" s="884">
        <f t="shared" si="1"/>
        <v>1.1753984</v>
      </c>
      <c r="H38" s="893">
        <f>('A. Dades de partida'!$D$10*E38+(120*(I38-E38)/'A. Dades de partida'!$D$10))/'A. Dades de partida'!$D$10</f>
        <v>4.4066754560000012</v>
      </c>
      <c r="I38" s="884">
        <f t="shared" si="2"/>
        <v>5.9250764800000013</v>
      </c>
      <c r="J38" s="884">
        <f>IF(C38=1,F38*'3. Aigua-Resid '!$N$80,F38*'3. Aigua-Resid '!$N$82)</f>
        <v>4.7496780800000016</v>
      </c>
      <c r="K38" s="899">
        <f>('A. Dades de partida'!$D$10*D38+(120*(E38-D38)/'A. Dades de partida'!$D$10))/'A. Dades de partida'!$D$10</f>
        <v>2.3986586666666674</v>
      </c>
    </row>
    <row r="39" spans="1:11">
      <c r="A39" s="835">
        <v>8036</v>
      </c>
      <c r="B39" s="826" t="s">
        <v>881</v>
      </c>
      <c r="C39" s="835">
        <v>0</v>
      </c>
      <c r="D39" s="835">
        <v>1.4570000000000001</v>
      </c>
      <c r="E39" s="884">
        <f>D39+D39*'3. Aigua-Resid '!$N$72</f>
        <v>1.8649600000000002</v>
      </c>
      <c r="F39" s="884">
        <f t="shared" si="0"/>
        <v>1.0443776000000002</v>
      </c>
      <c r="G39" s="884">
        <f t="shared" si="1"/>
        <v>0.82058239999999993</v>
      </c>
      <c r="H39" s="893">
        <f>('A. Dades de partida'!$D$10*E39+(120*(I39-E39)/'A. Dades de partida'!$D$10))/'A. Dades de partida'!$D$10</f>
        <v>2.4219613866666672</v>
      </c>
      <c r="I39" s="884">
        <f t="shared" si="2"/>
        <v>2.9093376000000006</v>
      </c>
      <c r="J39" s="884">
        <f>IF(C39=1,F39*'3. Aigua-Resid '!$N$80,F39*'3. Aigua-Resid '!$N$82)</f>
        <v>2.0887552000000005</v>
      </c>
      <c r="K39" s="899">
        <f>('A. Dades de partida'!$D$10*D39+(120*(E39-D39)/'A. Dades de partida'!$D$10))/'A. Dades de partida'!$D$10</f>
        <v>1.6745786666666667</v>
      </c>
    </row>
    <row r="40" spans="1:11">
      <c r="A40" s="835">
        <v>8037</v>
      </c>
      <c r="B40" s="826" t="s">
        <v>886</v>
      </c>
      <c r="C40" s="835">
        <v>0</v>
      </c>
      <c r="D40" s="835">
        <v>1.9910000000000001</v>
      </c>
      <c r="E40" s="884">
        <f>D40+D40*'3. Aigua-Resid '!$N$72</f>
        <v>2.5484800000000001</v>
      </c>
      <c r="F40" s="884">
        <f t="shared" si="0"/>
        <v>1.4271488000000001</v>
      </c>
      <c r="G40" s="884">
        <f t="shared" si="1"/>
        <v>1.1213312</v>
      </c>
      <c r="H40" s="893">
        <f>('A. Dades de partida'!$D$10*E40+(120*(I40-E40)/'A. Dades de partida'!$D$10))/'A. Dades de partida'!$D$10</f>
        <v>3.3096260266666673</v>
      </c>
      <c r="I40" s="884">
        <f t="shared" si="2"/>
        <v>3.9756288</v>
      </c>
      <c r="J40" s="884">
        <f>IF(C40=1,F40*'3. Aigua-Resid '!$N$80,F40*'3. Aigua-Resid '!$N$82)</f>
        <v>2.8542976000000002</v>
      </c>
      <c r="K40" s="899">
        <f>('A. Dades de partida'!$D$10*D40+(120*(E40-D40)/'A. Dades de partida'!$D$10))/'A. Dades de partida'!$D$10</f>
        <v>2.2883226666666667</v>
      </c>
    </row>
    <row r="41" spans="1:11">
      <c r="A41" s="835">
        <v>8038</v>
      </c>
      <c r="B41" s="826" t="s">
        <v>890</v>
      </c>
      <c r="C41" s="835">
        <v>0</v>
      </c>
      <c r="D41" s="835">
        <v>1.7969999999999999</v>
      </c>
      <c r="E41" s="884">
        <f>D41+D41*'3. Aigua-Resid '!$N$72</f>
        <v>2.30016</v>
      </c>
      <c r="F41" s="884">
        <f t="shared" si="0"/>
        <v>1.2880896000000002</v>
      </c>
      <c r="G41" s="884">
        <f t="shared" si="1"/>
        <v>1.0120703999999998</v>
      </c>
      <c r="H41" s="893">
        <f>('A. Dades de partida'!$D$10*E41+(120*(I41-E41)/'A. Dades de partida'!$D$10))/'A. Dades de partida'!$D$10</f>
        <v>2.98714112</v>
      </c>
      <c r="I41" s="884">
        <f t="shared" si="2"/>
        <v>3.5882496000000002</v>
      </c>
      <c r="J41" s="884">
        <f>IF(C41=1,F41*'3. Aigua-Resid '!$N$80,F41*'3. Aigua-Resid '!$N$82)</f>
        <v>2.5761792000000003</v>
      </c>
      <c r="K41" s="899">
        <f>('A. Dades de partida'!$D$10*D41+(120*(E41-D41)/'A. Dades de partida'!$D$10))/'A. Dades de partida'!$D$10</f>
        <v>2.0653519999999999</v>
      </c>
    </row>
    <row r="42" spans="1:11">
      <c r="A42" s="835">
        <v>8039</v>
      </c>
      <c r="B42" s="826" t="s">
        <v>894</v>
      </c>
      <c r="C42" s="835">
        <v>0</v>
      </c>
      <c r="D42" s="835">
        <v>1.63</v>
      </c>
      <c r="E42" s="884">
        <f>D42+D42*'3. Aigua-Resid '!$N$72</f>
        <v>2.0863999999999998</v>
      </c>
      <c r="F42" s="884">
        <f t="shared" si="0"/>
        <v>1.1683840000000001</v>
      </c>
      <c r="G42" s="884">
        <f t="shared" si="1"/>
        <v>0.91801599999999972</v>
      </c>
      <c r="H42" s="893">
        <f>('A. Dades de partida'!$D$10*E42+(120*(I42-E42)/'A. Dades de partida'!$D$10))/'A. Dades de partida'!$D$10</f>
        <v>2.709538133333333</v>
      </c>
      <c r="I42" s="884">
        <f t="shared" si="2"/>
        <v>3.2547839999999999</v>
      </c>
      <c r="J42" s="884">
        <f>IF(C42=1,F42*'3. Aigua-Resid '!$N$80,F42*'3. Aigua-Resid '!$N$82)</f>
        <v>2.3367680000000002</v>
      </c>
      <c r="K42" s="899">
        <f>('A. Dades de partida'!$D$10*D42+(120*(E42-D42)/'A. Dades de partida'!$D$10))/'A. Dades de partida'!$D$10</f>
        <v>1.8734133333333332</v>
      </c>
    </row>
    <row r="43" spans="1:11">
      <c r="A43" s="835">
        <v>8040</v>
      </c>
      <c r="B43" s="826" t="s">
        <v>339</v>
      </c>
      <c r="C43" s="835">
        <v>1</v>
      </c>
      <c r="D43" s="835">
        <v>2.4849999999999999</v>
      </c>
      <c r="E43" s="884">
        <f>D43+D43*'3. Aigua-Resid '!$N$72</f>
        <v>3.1808000000000001</v>
      </c>
      <c r="F43" s="884">
        <f t="shared" si="0"/>
        <v>1.7812480000000002</v>
      </c>
      <c r="G43" s="884">
        <f t="shared" si="1"/>
        <v>1.3995519999999999</v>
      </c>
      <c r="H43" s="893">
        <f>('A. Dades de partida'!$D$10*E43+(120*(I43-E43)/'A. Dades de partida'!$D$10))/'A. Dades de partida'!$D$10</f>
        <v>5.2470476799999997</v>
      </c>
      <c r="I43" s="884">
        <f t="shared" si="2"/>
        <v>7.0550144000000001</v>
      </c>
      <c r="J43" s="884">
        <f>IF(C43=1,F43*'3. Aigua-Resid '!$N$80,F43*'3. Aigua-Resid '!$N$82)</f>
        <v>5.6554624000000002</v>
      </c>
      <c r="K43" s="899">
        <f>('A. Dades de partida'!$D$10*D43+(120*(E43-D43)/'A. Dades de partida'!$D$10))/'A. Dades de partida'!$D$10</f>
        <v>2.8560933333333334</v>
      </c>
    </row>
    <row r="44" spans="1:11">
      <c r="A44" s="835">
        <v>8041</v>
      </c>
      <c r="B44" s="826" t="s">
        <v>900</v>
      </c>
      <c r="C44" s="835">
        <v>1</v>
      </c>
      <c r="D44" s="835">
        <v>1.7709999999999999</v>
      </c>
      <c r="E44" s="884">
        <f>D44+D44*'3. Aigua-Resid '!$N$72</f>
        <v>2.26688</v>
      </c>
      <c r="F44" s="884">
        <f t="shared" si="0"/>
        <v>1.2694528</v>
      </c>
      <c r="G44" s="884">
        <f t="shared" si="1"/>
        <v>0.99742719999999996</v>
      </c>
      <c r="H44" s="893">
        <f>('A. Dades de partida'!$D$10*E44+(120*(I44-E44)/'A. Dades de partida'!$D$10))/'A. Dades de partida'!$D$10</f>
        <v>3.7394452479999996</v>
      </c>
      <c r="I44" s="884">
        <f t="shared" si="2"/>
        <v>5.0279398399999993</v>
      </c>
      <c r="J44" s="884">
        <f>IF(C44=1,F44*'3. Aigua-Resid '!$N$80,F44*'3. Aigua-Resid '!$N$82)</f>
        <v>4.0305126399999995</v>
      </c>
      <c r="K44" s="899">
        <f>('A. Dades de partida'!$D$10*D44+(120*(E44-D44)/'A. Dades de partida'!$D$10))/'A. Dades de partida'!$D$10</f>
        <v>2.0354693333333334</v>
      </c>
    </row>
    <row r="45" spans="1:11">
      <c r="A45" s="835">
        <v>8042</v>
      </c>
      <c r="B45" s="826" t="s">
        <v>901</v>
      </c>
      <c r="C45" s="835">
        <v>1</v>
      </c>
      <c r="D45" s="835">
        <v>2.597</v>
      </c>
      <c r="E45" s="884">
        <f>D45+D45*'3. Aigua-Resid '!$N$72</f>
        <v>3.32416</v>
      </c>
      <c r="F45" s="884">
        <f t="shared" si="0"/>
        <v>1.8615296000000001</v>
      </c>
      <c r="G45" s="884">
        <f t="shared" si="1"/>
        <v>1.4626303999999999</v>
      </c>
      <c r="H45" s="893">
        <f>('A. Dades de partida'!$D$10*E45+(120*(I45-E45)/'A. Dades de partida'!$D$10))/'A. Dades de partida'!$D$10</f>
        <v>5.4835343360000008</v>
      </c>
      <c r="I45" s="884">
        <f t="shared" si="2"/>
        <v>7.37298688</v>
      </c>
      <c r="J45" s="884">
        <f>IF(C45=1,F45*'3. Aigua-Resid '!$N$80,F45*'3. Aigua-Resid '!$N$82)</f>
        <v>5.9103564799999999</v>
      </c>
      <c r="K45" s="899">
        <f>('A. Dades de partida'!$D$10*D45+(120*(E45-D45)/'A. Dades de partida'!$D$10))/'A. Dades de partida'!$D$10</f>
        <v>2.9848186666666665</v>
      </c>
    </row>
    <row r="46" spans="1:11">
      <c r="A46" s="835">
        <v>8043</v>
      </c>
      <c r="B46" s="826" t="s">
        <v>906</v>
      </c>
      <c r="C46" s="835">
        <v>1</v>
      </c>
      <c r="D46" s="835">
        <v>3.1640000000000001</v>
      </c>
      <c r="E46" s="884">
        <f>D46+D46*'3. Aigua-Resid '!$N$72</f>
        <v>4.0499200000000002</v>
      </c>
      <c r="F46" s="884">
        <f t="shared" si="0"/>
        <v>2.2679552000000003</v>
      </c>
      <c r="G46" s="884">
        <f t="shared" si="1"/>
        <v>1.7819647999999999</v>
      </c>
      <c r="H46" s="893">
        <f>('A. Dades de partida'!$D$10*E46+(120*(I46-E46)/'A. Dades de partida'!$D$10))/'A. Dades de partida'!$D$10</f>
        <v>6.6807480319999994</v>
      </c>
      <c r="I46" s="884">
        <f t="shared" si="2"/>
        <v>8.9827225599999991</v>
      </c>
      <c r="J46" s="884">
        <f>IF(C46=1,F46*'3. Aigua-Resid '!$N$80,F46*'3. Aigua-Resid '!$N$82)</f>
        <v>7.2007577600000001</v>
      </c>
      <c r="K46" s="899">
        <f>('A. Dades de partida'!$D$10*D46+(120*(E46-D46)/'A. Dades de partida'!$D$10))/'A. Dades de partida'!$D$10</f>
        <v>3.6364906666666665</v>
      </c>
    </row>
    <row r="47" spans="1:11">
      <c r="A47" s="835">
        <v>8044</v>
      </c>
      <c r="B47" s="826" t="s">
        <v>912</v>
      </c>
      <c r="C47" s="835">
        <v>0</v>
      </c>
      <c r="D47" s="835">
        <v>1.3069999999999999</v>
      </c>
      <c r="E47" s="884">
        <f>D47+D47*'3. Aigua-Resid '!$N$72</f>
        <v>1.67296</v>
      </c>
      <c r="F47" s="884">
        <f t="shared" si="0"/>
        <v>0.93685760000000007</v>
      </c>
      <c r="G47" s="884">
        <f t="shared" si="1"/>
        <v>0.73610239999999993</v>
      </c>
      <c r="H47" s="893">
        <f>('A. Dades de partida'!$D$10*E47+(120*(I47-E47)/'A. Dades de partida'!$D$10))/'A. Dades de partida'!$D$10</f>
        <v>2.1726173866666665</v>
      </c>
      <c r="I47" s="884">
        <f t="shared" si="2"/>
        <v>2.6098176</v>
      </c>
      <c r="J47" s="884">
        <f>IF(C47=1,F47*'3. Aigua-Resid '!$N$80,F47*'3. Aigua-Resid '!$N$82)</f>
        <v>1.8737152000000001</v>
      </c>
      <c r="K47" s="899">
        <f>('A. Dades de partida'!$D$10*D47+(120*(E47-D47)/'A. Dades de partida'!$D$10))/'A. Dades de partida'!$D$10</f>
        <v>1.5021786666666666</v>
      </c>
    </row>
    <row r="48" spans="1:11">
      <c r="A48" s="835">
        <v>8045</v>
      </c>
      <c r="B48" s="826" t="s">
        <v>916</v>
      </c>
      <c r="C48" s="835">
        <v>0</v>
      </c>
      <c r="D48" s="835">
        <v>1.3180000000000001</v>
      </c>
      <c r="E48" s="884">
        <f>D48+D48*'3. Aigua-Resid '!$N$72</f>
        <v>1.6870400000000001</v>
      </c>
      <c r="F48" s="884">
        <f t="shared" si="0"/>
        <v>0.94474240000000009</v>
      </c>
      <c r="G48" s="884">
        <f t="shared" si="1"/>
        <v>0.7422976</v>
      </c>
      <c r="H48" s="893">
        <f>('A. Dades de partida'!$D$10*E48+(120*(I48-E48)/'A. Dades de partida'!$D$10))/'A. Dades de partida'!$D$10</f>
        <v>2.1909026133333338</v>
      </c>
      <c r="I48" s="884">
        <f t="shared" si="2"/>
        <v>2.6317824000000001</v>
      </c>
      <c r="J48" s="884">
        <f>IF(C48=1,F48*'3. Aigua-Resid '!$N$80,F48*'3. Aigua-Resid '!$N$82)</f>
        <v>1.8894848000000002</v>
      </c>
      <c r="K48" s="899">
        <f>('A. Dades de partida'!$D$10*D48+(120*(E48-D48)/'A. Dades de partida'!$D$10))/'A. Dades de partida'!$D$10</f>
        <v>1.5148213333333334</v>
      </c>
    </row>
    <row r="49" spans="1:11">
      <c r="A49" s="835">
        <v>8046</v>
      </c>
      <c r="B49" s="826" t="s">
        <v>920</v>
      </c>
      <c r="C49" s="835">
        <v>1</v>
      </c>
      <c r="D49" s="835">
        <v>1.869</v>
      </c>
      <c r="E49" s="884">
        <f>D49+D49*'3. Aigua-Resid '!$N$72</f>
        <v>2.3923199999999998</v>
      </c>
      <c r="F49" s="884">
        <f t="shared" si="0"/>
        <v>1.3396992000000001</v>
      </c>
      <c r="G49" s="884">
        <f t="shared" si="1"/>
        <v>1.0526207999999997</v>
      </c>
      <c r="H49" s="893">
        <f>('A. Dades de partida'!$D$10*E49+(120*(I49-E49)/'A. Dades de partida'!$D$10))/'A. Dades de partida'!$D$10</f>
        <v>3.9463710719999998</v>
      </c>
      <c r="I49" s="884">
        <f t="shared" si="2"/>
        <v>5.3061657599999998</v>
      </c>
      <c r="J49" s="884">
        <f>IF(C49=1,F49*'3. Aigua-Resid '!$N$80,F49*'3. Aigua-Resid '!$N$82)</f>
        <v>4.2535449600000002</v>
      </c>
      <c r="K49" s="899">
        <f>('A. Dades de partida'!$D$10*D49+(120*(E49-D49)/'A. Dades de partida'!$D$10))/'A. Dades de partida'!$D$10</f>
        <v>2.1481039999999996</v>
      </c>
    </row>
    <row r="50" spans="1:11">
      <c r="A50" s="835">
        <v>8047</v>
      </c>
      <c r="B50" s="826" t="s">
        <v>924</v>
      </c>
      <c r="C50" s="835">
        <v>0</v>
      </c>
      <c r="D50" s="835">
        <v>1.7649999999999999</v>
      </c>
      <c r="E50" s="884">
        <f>D50+D50*'3. Aigua-Resid '!$N$72</f>
        <v>2.2591999999999999</v>
      </c>
      <c r="F50" s="884">
        <f t="shared" si="0"/>
        <v>1.2651520000000001</v>
      </c>
      <c r="G50" s="884">
        <f t="shared" si="1"/>
        <v>0.99404799999999982</v>
      </c>
      <c r="H50" s="893">
        <f>('A. Dades de partida'!$D$10*E50+(120*(I50-E50)/'A. Dades de partida'!$D$10))/'A. Dades de partida'!$D$10</f>
        <v>2.933947733333333</v>
      </c>
      <c r="I50" s="884">
        <f t="shared" si="2"/>
        <v>3.5243519999999999</v>
      </c>
      <c r="J50" s="884">
        <f>IF(C50=1,F50*'3. Aigua-Resid '!$N$80,F50*'3. Aigua-Resid '!$N$82)</f>
        <v>2.5303040000000001</v>
      </c>
      <c r="K50" s="899">
        <f>('A. Dades de partida'!$D$10*D50+(120*(E50-D50)/'A. Dades de partida'!$D$10))/'A. Dades de partida'!$D$10</f>
        <v>2.0285733333333331</v>
      </c>
    </row>
    <row r="51" spans="1:11">
      <c r="A51" s="835">
        <v>8048</v>
      </c>
      <c r="B51" s="826" t="s">
        <v>929</v>
      </c>
      <c r="C51" s="835">
        <v>0</v>
      </c>
      <c r="D51" s="835">
        <v>1.1890000000000001</v>
      </c>
      <c r="E51" s="884">
        <f>D51+D51*'3. Aigua-Resid '!$N$72</f>
        <v>1.5219200000000002</v>
      </c>
      <c r="F51" s="884">
        <f t="shared" si="0"/>
        <v>0.85227520000000012</v>
      </c>
      <c r="G51" s="884">
        <f t="shared" si="1"/>
        <v>0.66964480000000004</v>
      </c>
      <c r="H51" s="893">
        <f>('A. Dades de partida'!$D$10*E51+(120*(I51-E51)/'A. Dades de partida'!$D$10))/'A. Dades de partida'!$D$10</f>
        <v>1.9764667733333334</v>
      </c>
      <c r="I51" s="884">
        <f t="shared" si="2"/>
        <v>2.3741952000000004</v>
      </c>
      <c r="J51" s="884">
        <f>IF(C51=1,F51*'3. Aigua-Resid '!$N$80,F51*'3. Aigua-Resid '!$N$82)</f>
        <v>1.7045504000000002</v>
      </c>
      <c r="K51" s="899">
        <f>('A. Dades de partida'!$D$10*D51+(120*(E51-D51)/'A. Dades de partida'!$D$10))/'A. Dades de partida'!$D$10</f>
        <v>1.3665573333333334</v>
      </c>
    </row>
    <row r="52" spans="1:11">
      <c r="A52" s="835">
        <v>8049</v>
      </c>
      <c r="B52" s="826" t="s">
        <v>934</v>
      </c>
      <c r="C52" s="835">
        <v>0</v>
      </c>
      <c r="D52" s="835">
        <v>1.722</v>
      </c>
      <c r="E52" s="884">
        <f>D52+D52*'3. Aigua-Resid '!$N$72</f>
        <v>2.2041599999999999</v>
      </c>
      <c r="F52" s="884">
        <f t="shared" si="0"/>
        <v>1.2343296000000001</v>
      </c>
      <c r="G52" s="884">
        <f t="shared" si="1"/>
        <v>0.96983039999999976</v>
      </c>
      <c r="H52" s="893">
        <f>('A. Dades de partida'!$D$10*E52+(120*(I52-E52)/'A. Dades de partida'!$D$10))/'A. Dades de partida'!$D$10</f>
        <v>2.8624691200000001</v>
      </c>
      <c r="I52" s="884">
        <f t="shared" si="2"/>
        <v>3.4384896</v>
      </c>
      <c r="J52" s="884">
        <f>IF(C52=1,F52*'3. Aigua-Resid '!$N$80,F52*'3. Aigua-Resid '!$N$82)</f>
        <v>2.4686592000000003</v>
      </c>
      <c r="K52" s="899">
        <f>('A. Dades de partida'!$D$10*D52+(120*(E52-D52)/'A. Dades de partida'!$D$10))/'A. Dades de partida'!$D$10</f>
        <v>1.9791519999999998</v>
      </c>
    </row>
    <row r="53" spans="1:11">
      <c r="A53" s="835">
        <v>8050</v>
      </c>
      <c r="B53" s="826" t="s">
        <v>942</v>
      </c>
      <c r="C53" s="835">
        <v>0</v>
      </c>
      <c r="D53" s="835">
        <v>1.075</v>
      </c>
      <c r="E53" s="884">
        <f>D53+D53*'3. Aigua-Resid '!$N$72</f>
        <v>1.3759999999999999</v>
      </c>
      <c r="F53" s="884">
        <f t="shared" si="0"/>
        <v>0.77056000000000002</v>
      </c>
      <c r="G53" s="884">
        <f t="shared" si="1"/>
        <v>0.60543999999999987</v>
      </c>
      <c r="H53" s="893">
        <f>('A. Dades de partida'!$D$10*E53+(120*(I53-E53)/'A. Dades de partida'!$D$10))/'A. Dades de partida'!$D$10</f>
        <v>1.7869653333333333</v>
      </c>
      <c r="I53" s="884">
        <f t="shared" si="2"/>
        <v>2.14656</v>
      </c>
      <c r="J53" s="884">
        <f>IF(C53=1,F53*'3. Aigua-Resid '!$N$80,F53*'3. Aigua-Resid '!$N$82)</f>
        <v>1.54112</v>
      </c>
      <c r="K53" s="899">
        <f>('A. Dades de partida'!$D$10*D53+(120*(E53-D53)/'A. Dades de partida'!$D$10))/'A. Dades de partida'!$D$10</f>
        <v>1.2355333333333334</v>
      </c>
    </row>
    <row r="54" spans="1:11">
      <c r="A54" s="835">
        <v>8051</v>
      </c>
      <c r="B54" s="826" t="s">
        <v>944</v>
      </c>
      <c r="C54" s="835">
        <v>1</v>
      </c>
      <c r="D54" s="835">
        <v>2.0299999999999998</v>
      </c>
      <c r="E54" s="884">
        <f>D54+D54*'3. Aigua-Resid '!$N$72</f>
        <v>2.5983999999999998</v>
      </c>
      <c r="F54" s="884">
        <f t="shared" si="0"/>
        <v>1.455104</v>
      </c>
      <c r="G54" s="884">
        <f t="shared" si="1"/>
        <v>1.1432959999999999</v>
      </c>
      <c r="H54" s="893">
        <f>('A. Dades de partida'!$D$10*E54+(120*(I54-E54)/'A. Dades de partida'!$D$10))/'A. Dades de partida'!$D$10</f>
        <v>4.2863206399999996</v>
      </c>
      <c r="I54" s="884">
        <f t="shared" si="2"/>
        <v>5.7632511999999991</v>
      </c>
      <c r="J54" s="884">
        <f>IF(C54=1,F54*'3. Aigua-Resid '!$N$80,F54*'3. Aigua-Resid '!$N$82)</f>
        <v>4.6199551999999997</v>
      </c>
      <c r="K54" s="899">
        <f>('A. Dades de partida'!$D$10*D54+(120*(E54-D54)/'A. Dades de partida'!$D$10))/'A. Dades de partida'!$D$10</f>
        <v>2.333146666666666</v>
      </c>
    </row>
    <row r="55" spans="1:11">
      <c r="A55" s="835">
        <v>8052</v>
      </c>
      <c r="B55" s="826" t="s">
        <v>951</v>
      </c>
      <c r="C55" s="835">
        <v>0</v>
      </c>
      <c r="D55" s="835">
        <v>1.1619999999999999</v>
      </c>
      <c r="E55" s="884">
        <f>D55+D55*'3. Aigua-Resid '!$N$72</f>
        <v>1.4873599999999998</v>
      </c>
      <c r="F55" s="884">
        <f t="shared" si="0"/>
        <v>0.83292159999999993</v>
      </c>
      <c r="G55" s="884">
        <f t="shared" si="1"/>
        <v>0.65443839999999986</v>
      </c>
      <c r="H55" s="893">
        <f>('A. Dades de partida'!$D$10*E55+(120*(I55-E55)/'A. Dades de partida'!$D$10))/'A. Dades de partida'!$D$10</f>
        <v>1.9315848533333331</v>
      </c>
      <c r="I55" s="884">
        <f t="shared" si="2"/>
        <v>2.3202815999999995</v>
      </c>
      <c r="J55" s="884">
        <f>IF(C55=1,F55*'3. Aigua-Resid '!$N$80,F55*'3. Aigua-Resid '!$N$82)</f>
        <v>1.6658431999999999</v>
      </c>
      <c r="K55" s="899">
        <f>('A. Dades de partida'!$D$10*D55+(120*(E55-D55)/'A. Dades de partida'!$D$10))/'A. Dades de partida'!$D$10</f>
        <v>1.3355253333333332</v>
      </c>
    </row>
    <row r="56" spans="1:11">
      <c r="A56" s="835">
        <v>8053</v>
      </c>
      <c r="B56" s="826" t="s">
        <v>958</v>
      </c>
      <c r="C56" s="835">
        <v>0</v>
      </c>
      <c r="D56" s="835">
        <v>2.2509999999999999</v>
      </c>
      <c r="E56" s="884">
        <f>D56+D56*'3. Aigua-Resid '!$N$72</f>
        <v>2.8812799999999998</v>
      </c>
      <c r="F56" s="884">
        <f t="shared" si="0"/>
        <v>1.6135168</v>
      </c>
      <c r="G56" s="884">
        <f t="shared" si="1"/>
        <v>1.2677631999999999</v>
      </c>
      <c r="H56" s="893">
        <f>('A. Dades de partida'!$D$10*E56+(120*(I56-E56)/'A. Dades de partida'!$D$10))/'A. Dades de partida'!$D$10</f>
        <v>3.7418222933333332</v>
      </c>
      <c r="I56" s="884">
        <f t="shared" si="2"/>
        <v>4.4947967999999996</v>
      </c>
      <c r="J56" s="884">
        <f>IF(C56=1,F56*'3. Aigua-Resid '!$N$80,F56*'3. Aigua-Resid '!$N$82)</f>
        <v>3.2270335999999999</v>
      </c>
      <c r="K56" s="899">
        <f>('A. Dades de partida'!$D$10*D56+(120*(E56-D56)/'A. Dades de partida'!$D$10))/'A. Dades de partida'!$D$10</f>
        <v>2.5871493333333335</v>
      </c>
    </row>
    <row r="57" spans="1:11">
      <c r="A57" s="835">
        <v>8054</v>
      </c>
      <c r="B57" s="826" t="s">
        <v>964</v>
      </c>
      <c r="C57" s="835">
        <v>1</v>
      </c>
      <c r="D57" s="835">
        <v>2.073</v>
      </c>
      <c r="E57" s="884">
        <f>D57+D57*'3. Aigua-Resid '!$N$72</f>
        <v>2.6534399999999998</v>
      </c>
      <c r="F57" s="884">
        <f t="shared" si="0"/>
        <v>1.4859264000000001</v>
      </c>
      <c r="G57" s="884">
        <f t="shared" si="1"/>
        <v>1.1675135999999997</v>
      </c>
      <c r="H57" s="893">
        <f>('A. Dades de partida'!$D$10*E57+(120*(I57-E57)/'A. Dades de partida'!$D$10))/'A. Dades de partida'!$D$10</f>
        <v>4.377114623999999</v>
      </c>
      <c r="I57" s="884">
        <f t="shared" si="2"/>
        <v>5.8853299199999993</v>
      </c>
      <c r="J57" s="884">
        <f>IF(C57=1,F57*'3. Aigua-Resid '!$N$80,F57*'3. Aigua-Resid '!$N$82)</f>
        <v>4.7178163199999998</v>
      </c>
      <c r="K57" s="899">
        <f>('A. Dades de partida'!$D$10*D57+(120*(E57-D57)/'A. Dades de partida'!$D$10))/'A. Dades de partida'!$D$10</f>
        <v>2.3825679999999996</v>
      </c>
    </row>
    <row r="58" spans="1:11">
      <c r="A58" s="835">
        <v>8055</v>
      </c>
      <c r="B58" s="826" t="s">
        <v>970</v>
      </c>
      <c r="C58" s="835">
        <v>0</v>
      </c>
      <c r="D58" s="835">
        <v>2.032</v>
      </c>
      <c r="E58" s="884">
        <f>D58+D58*'3. Aigua-Resid '!$N$72</f>
        <v>2.6009600000000002</v>
      </c>
      <c r="F58" s="884">
        <f t="shared" si="0"/>
        <v>1.4565376000000003</v>
      </c>
      <c r="G58" s="884">
        <f t="shared" si="1"/>
        <v>1.1444223999999998</v>
      </c>
      <c r="H58" s="893">
        <f>('A. Dades de partida'!$D$10*E58+(120*(I58-E58)/'A. Dades de partida'!$D$10))/'A. Dades de partida'!$D$10</f>
        <v>3.3777800533333333</v>
      </c>
      <c r="I58" s="884">
        <f t="shared" si="2"/>
        <v>4.0574976000000005</v>
      </c>
      <c r="J58" s="884">
        <f>IF(C58=1,F58*'3. Aigua-Resid '!$N$80,F58*'3. Aigua-Resid '!$N$82)</f>
        <v>2.9130752000000006</v>
      </c>
      <c r="K58" s="899">
        <f>('A. Dades de partida'!$D$10*D58+(120*(E58-D58)/'A. Dades de partida'!$D$10))/'A. Dades de partida'!$D$10</f>
        <v>2.3354453333333334</v>
      </c>
    </row>
    <row r="59" spans="1:11">
      <c r="A59" s="835">
        <v>8056</v>
      </c>
      <c r="B59" s="826" t="s">
        <v>340</v>
      </c>
      <c r="C59" s="835">
        <v>1</v>
      </c>
      <c r="D59" s="835">
        <v>2.6880000000000002</v>
      </c>
      <c r="E59" s="884">
        <f>D59+D59*'3. Aigua-Resid '!$N$72</f>
        <v>3.4406400000000001</v>
      </c>
      <c r="F59" s="884">
        <f t="shared" si="0"/>
        <v>1.9267584000000002</v>
      </c>
      <c r="G59" s="884">
        <f t="shared" si="1"/>
        <v>1.5138815999999999</v>
      </c>
      <c r="H59" s="893">
        <f>('A. Dades de partida'!$D$10*E59+(120*(I59-E59)/'A. Dades de partida'!$D$10))/'A. Dades de partida'!$D$10</f>
        <v>5.6756797440000009</v>
      </c>
      <c r="I59" s="884">
        <f t="shared" si="2"/>
        <v>7.6313395200000009</v>
      </c>
      <c r="J59" s="884">
        <f>IF(C59=1,F59*'3. Aigua-Resid '!$N$80,F59*'3. Aigua-Resid '!$N$82)</f>
        <v>6.1174579200000005</v>
      </c>
      <c r="K59" s="899">
        <f>('A. Dades de partida'!$D$10*D59+(120*(E59-D59)/'A. Dades de partida'!$D$10))/'A. Dades de partida'!$D$10</f>
        <v>3.0894080000000002</v>
      </c>
    </row>
    <row r="60" spans="1:11">
      <c r="A60" s="835">
        <v>8057</v>
      </c>
      <c r="B60" s="826" t="s">
        <v>980</v>
      </c>
      <c r="C60" s="835">
        <v>0</v>
      </c>
      <c r="D60" s="835">
        <v>0.91400000000000003</v>
      </c>
      <c r="E60" s="884">
        <f>D60+D60*'3. Aigua-Resid '!$N$72</f>
        <v>1.1699200000000001</v>
      </c>
      <c r="F60" s="884">
        <f t="shared" si="0"/>
        <v>0.65515520000000005</v>
      </c>
      <c r="G60" s="884">
        <f t="shared" si="1"/>
        <v>0.51476480000000002</v>
      </c>
      <c r="H60" s="893">
        <f>('A. Dades de partida'!$D$10*E60+(120*(I60-E60)/'A. Dades de partida'!$D$10))/'A. Dades de partida'!$D$10</f>
        <v>1.5193361066666669</v>
      </c>
      <c r="I60" s="884">
        <f t="shared" si="2"/>
        <v>1.8250752000000001</v>
      </c>
      <c r="J60" s="884">
        <f>IF(C60=1,F60*'3. Aigua-Resid '!$N$80,F60*'3. Aigua-Resid '!$N$82)</f>
        <v>1.3103104000000001</v>
      </c>
      <c r="K60" s="899">
        <f>('A. Dades de partida'!$D$10*D60+(120*(E60-D60)/'A. Dades de partida'!$D$10))/'A. Dades de partida'!$D$10</f>
        <v>1.0504906666666669</v>
      </c>
    </row>
    <row r="61" spans="1:11">
      <c r="A61" s="835">
        <v>8058</v>
      </c>
      <c r="B61" s="826" t="s">
        <v>984</v>
      </c>
      <c r="C61" s="835">
        <v>0</v>
      </c>
      <c r="D61" s="835">
        <v>2.645</v>
      </c>
      <c r="E61" s="884">
        <f>D61+D61*'3. Aigua-Resid '!$N$72</f>
        <v>3.3856000000000002</v>
      </c>
      <c r="F61" s="884">
        <f t="shared" si="0"/>
        <v>1.8959360000000003</v>
      </c>
      <c r="G61" s="884">
        <f t="shared" si="1"/>
        <v>1.4896639999999999</v>
      </c>
      <c r="H61" s="893">
        <f>('A. Dades de partida'!$D$10*E61+(120*(I61-E61)/'A. Dades de partida'!$D$10))/'A. Dades de partida'!$D$10</f>
        <v>4.3967658666666676</v>
      </c>
      <c r="I61" s="884">
        <f t="shared" si="2"/>
        <v>5.2815360000000009</v>
      </c>
      <c r="J61" s="884">
        <f>IF(C61=1,F61*'3. Aigua-Resid '!$N$80,F61*'3. Aigua-Resid '!$N$82)</f>
        <v>3.7918720000000006</v>
      </c>
      <c r="K61" s="899">
        <f>('A. Dades de partida'!$D$10*D61+(120*(E61-D61)/'A. Dades de partida'!$D$10))/'A. Dades de partida'!$D$10</f>
        <v>3.0399866666666666</v>
      </c>
    </row>
    <row r="62" spans="1:11">
      <c r="A62" s="835">
        <v>8059</v>
      </c>
      <c r="B62" s="826" t="s">
        <v>993</v>
      </c>
      <c r="C62" s="835">
        <v>0</v>
      </c>
      <c r="D62" s="835">
        <v>2.76</v>
      </c>
      <c r="E62" s="884">
        <f>D62+D62*'3. Aigua-Resid '!$N$72</f>
        <v>3.5327999999999999</v>
      </c>
      <c r="F62" s="884">
        <f t="shared" si="0"/>
        <v>1.9783680000000001</v>
      </c>
      <c r="G62" s="884">
        <f t="shared" si="1"/>
        <v>1.5544319999999998</v>
      </c>
      <c r="H62" s="893">
        <f>('A. Dades de partida'!$D$10*E62+(120*(I62-E62)/'A. Dades de partida'!$D$10))/'A. Dades de partida'!$D$10</f>
        <v>4.5879295999999989</v>
      </c>
      <c r="I62" s="884">
        <f t="shared" si="2"/>
        <v>5.5111679999999996</v>
      </c>
      <c r="J62" s="884">
        <f>IF(C62=1,F62*'3. Aigua-Resid '!$N$80,F62*'3. Aigua-Resid '!$N$82)</f>
        <v>3.9567360000000003</v>
      </c>
      <c r="K62" s="899">
        <f>('A. Dades de partida'!$D$10*D62+(120*(E62-D62)/'A. Dades de partida'!$D$10))/'A. Dades de partida'!$D$10</f>
        <v>3.1721599999999999</v>
      </c>
    </row>
    <row r="63" spans="1:11">
      <c r="A63" s="835">
        <v>8060</v>
      </c>
      <c r="B63" s="826" t="s">
        <v>997</v>
      </c>
      <c r="C63" s="835">
        <v>0</v>
      </c>
      <c r="D63" s="835">
        <v>2.2389999999999999</v>
      </c>
      <c r="E63" s="884">
        <f>D63+D63*'3. Aigua-Resid '!$N$72</f>
        <v>2.86592</v>
      </c>
      <c r="F63" s="884">
        <f t="shared" si="0"/>
        <v>1.6049152000000002</v>
      </c>
      <c r="G63" s="884">
        <f t="shared" si="1"/>
        <v>1.2610047999999998</v>
      </c>
      <c r="H63" s="893">
        <f>('A. Dades de partida'!$D$10*E63+(120*(I63-E63)/'A. Dades de partida'!$D$10))/'A. Dades de partida'!$D$10</f>
        <v>3.7218747733333331</v>
      </c>
      <c r="I63" s="884">
        <f t="shared" si="2"/>
        <v>4.4708351999999998</v>
      </c>
      <c r="J63" s="884">
        <f>IF(C63=1,F63*'3. Aigua-Resid '!$N$80,F63*'3. Aigua-Resid '!$N$82)</f>
        <v>3.2098304000000004</v>
      </c>
      <c r="K63" s="899">
        <f>('A. Dades de partida'!$D$10*D63+(120*(E63-D63)/'A. Dades de partida'!$D$10))/'A. Dades de partida'!$D$10</f>
        <v>2.5733573333333335</v>
      </c>
    </row>
    <row r="64" spans="1:11">
      <c r="A64" s="835">
        <v>8061</v>
      </c>
      <c r="B64" s="826" t="s">
        <v>1002</v>
      </c>
      <c r="C64" s="835">
        <v>0</v>
      </c>
      <c r="D64" s="835">
        <v>1.4630000000000001</v>
      </c>
      <c r="E64" s="884">
        <f>D64+D64*'3. Aigua-Resid '!$N$72</f>
        <v>1.8726400000000001</v>
      </c>
      <c r="F64" s="884">
        <f t="shared" si="0"/>
        <v>1.0486784000000002</v>
      </c>
      <c r="G64" s="884">
        <f t="shared" si="1"/>
        <v>0.82396159999999985</v>
      </c>
      <c r="H64" s="893">
        <f>('A. Dades de partida'!$D$10*E64+(120*(I64-E64)/'A. Dades de partida'!$D$10))/'A. Dades de partida'!$D$10</f>
        <v>2.431935146666667</v>
      </c>
      <c r="I64" s="884">
        <f t="shared" si="2"/>
        <v>2.9213184000000005</v>
      </c>
      <c r="J64" s="884">
        <f>IF(C64=1,F64*'3. Aigua-Resid '!$N$80,F64*'3. Aigua-Resid '!$N$82)</f>
        <v>2.0973568000000005</v>
      </c>
      <c r="K64" s="899">
        <f>('A. Dades de partida'!$D$10*D64+(120*(E64-D64)/'A. Dades de partida'!$D$10))/'A. Dades de partida'!$D$10</f>
        <v>1.6814746666666667</v>
      </c>
    </row>
    <row r="65" spans="1:11">
      <c r="A65" s="835">
        <v>8062</v>
      </c>
      <c r="B65" s="826" t="s">
        <v>1004</v>
      </c>
      <c r="C65" s="835">
        <v>0</v>
      </c>
      <c r="D65" s="835">
        <v>2.23</v>
      </c>
      <c r="E65" s="884">
        <f>D65+D65*'3. Aigua-Resid '!$N$72</f>
        <v>2.8544</v>
      </c>
      <c r="F65" s="884">
        <f t="shared" si="0"/>
        <v>1.5984640000000001</v>
      </c>
      <c r="G65" s="884">
        <f t="shared" si="1"/>
        <v>1.2559359999999999</v>
      </c>
      <c r="H65" s="893">
        <f>('A. Dades de partida'!$D$10*E65+(120*(I65-E65)/'A. Dades de partida'!$D$10))/'A. Dades de partida'!$D$10</f>
        <v>3.7069141333333335</v>
      </c>
      <c r="I65" s="884">
        <f t="shared" si="2"/>
        <v>4.4528639999999999</v>
      </c>
      <c r="J65" s="884">
        <f>IF(C65=1,F65*'3. Aigua-Resid '!$N$80,F65*'3. Aigua-Resid '!$N$82)</f>
        <v>3.1969280000000002</v>
      </c>
      <c r="K65" s="899">
        <f>('A. Dades de partida'!$D$10*D65+(120*(E65-D65)/'A. Dades de partida'!$D$10))/'A. Dades de partida'!$D$10</f>
        <v>2.5630133333333331</v>
      </c>
    </row>
    <row r="66" spans="1:11">
      <c r="A66" s="835">
        <v>8063</v>
      </c>
      <c r="B66" s="826" t="s">
        <v>1008</v>
      </c>
      <c r="C66" s="835">
        <v>0</v>
      </c>
      <c r="D66" s="835">
        <v>1.5940000000000001</v>
      </c>
      <c r="E66" s="884">
        <f>D66+D66*'3. Aigua-Resid '!$N$72</f>
        <v>2.0403200000000004</v>
      </c>
      <c r="F66" s="884">
        <f t="shared" si="0"/>
        <v>1.1425792000000004</v>
      </c>
      <c r="G66" s="884">
        <f t="shared" si="1"/>
        <v>0.89774080000000001</v>
      </c>
      <c r="H66" s="893">
        <f>('A. Dades de partida'!$D$10*E66+(120*(I66-E66)/'A. Dades de partida'!$D$10))/'A. Dades de partida'!$D$10</f>
        <v>2.6496955733333336</v>
      </c>
      <c r="I66" s="884">
        <f t="shared" si="2"/>
        <v>3.1828992000000005</v>
      </c>
      <c r="J66" s="884">
        <f>IF(C66=1,F66*'3. Aigua-Resid '!$N$80,F66*'3. Aigua-Resid '!$N$82)</f>
        <v>2.2851584000000007</v>
      </c>
      <c r="K66" s="899">
        <f>('A. Dades de partida'!$D$10*D66+(120*(E66-D66)/'A. Dades de partida'!$D$10))/'A. Dades de partida'!$D$10</f>
        <v>1.8320373333333335</v>
      </c>
    </row>
    <row r="67" spans="1:11">
      <c r="A67" s="835">
        <v>8064</v>
      </c>
      <c r="B67" s="826" t="s">
        <v>1012</v>
      </c>
      <c r="C67" s="835">
        <v>0</v>
      </c>
      <c r="D67" s="835">
        <v>1.474</v>
      </c>
      <c r="E67" s="884">
        <f>D67+D67*'3. Aigua-Resid '!$N$72</f>
        <v>1.88672</v>
      </c>
      <c r="F67" s="884">
        <f t="shared" si="0"/>
        <v>1.0565632</v>
      </c>
      <c r="G67" s="884">
        <f t="shared" si="1"/>
        <v>0.83015679999999992</v>
      </c>
      <c r="H67" s="893">
        <f>('A. Dades de partida'!$D$10*E67+(120*(I67-E67)/'A. Dades de partida'!$D$10))/'A. Dades de partida'!$D$10</f>
        <v>2.450220373333333</v>
      </c>
      <c r="I67" s="884">
        <f t="shared" si="2"/>
        <v>2.9432831999999998</v>
      </c>
      <c r="J67" s="884">
        <f>IF(C67=1,F67*'3. Aigua-Resid '!$N$80,F67*'3. Aigua-Resid '!$N$82)</f>
        <v>2.1131264000000001</v>
      </c>
      <c r="K67" s="899">
        <f>('A. Dades de partida'!$D$10*D67+(120*(E67-D67)/'A. Dades de partida'!$D$10))/'A. Dades de partida'!$D$10</f>
        <v>1.6941173333333335</v>
      </c>
    </row>
    <row r="68" spans="1:11">
      <c r="A68" s="835">
        <v>8065</v>
      </c>
      <c r="B68" s="826" t="s">
        <v>1014</v>
      </c>
      <c r="C68" s="835">
        <v>0</v>
      </c>
      <c r="D68" s="835">
        <v>2.4540000000000002</v>
      </c>
      <c r="E68" s="884">
        <f>D68+D68*'3. Aigua-Resid '!$N$72</f>
        <v>3.1411200000000004</v>
      </c>
      <c r="F68" s="884">
        <f t="shared" si="0"/>
        <v>1.7590272000000005</v>
      </c>
      <c r="G68" s="884">
        <f t="shared" si="1"/>
        <v>1.3820927999999999</v>
      </c>
      <c r="H68" s="893">
        <f>('A. Dades de partida'!$D$10*E68+(120*(I68-E68)/'A. Dades de partida'!$D$10))/'A. Dades de partida'!$D$10</f>
        <v>4.0792678400000009</v>
      </c>
      <c r="I68" s="884">
        <f t="shared" si="2"/>
        <v>4.900147200000001</v>
      </c>
      <c r="J68" s="884">
        <f>IF(C68=1,F68*'3. Aigua-Resid '!$N$80,F68*'3. Aigua-Resid '!$N$82)</f>
        <v>3.5180544000000009</v>
      </c>
      <c r="K68" s="899">
        <f>('A. Dades de partida'!$D$10*D68+(120*(E68-D68)/'A. Dades de partida'!$D$10))/'A. Dades de partida'!$D$10</f>
        <v>2.8204640000000003</v>
      </c>
    </row>
    <row r="69" spans="1:11">
      <c r="A69" s="835">
        <v>8066</v>
      </c>
      <c r="B69" s="826" t="s">
        <v>1021</v>
      </c>
      <c r="C69" s="835">
        <v>1</v>
      </c>
      <c r="D69" s="835">
        <v>2.1930000000000001</v>
      </c>
      <c r="E69" s="884">
        <f>D69+D69*'3. Aigua-Resid '!$N$72</f>
        <v>2.8070400000000002</v>
      </c>
      <c r="F69" s="884">
        <f t="shared" ref="F69:F132" si="3">0.56*E69</f>
        <v>1.5719424000000002</v>
      </c>
      <c r="G69" s="884">
        <f t="shared" ref="G69:G132" si="4">E69-F69</f>
        <v>1.2350976</v>
      </c>
      <c r="H69" s="893">
        <f>('A. Dades de partida'!$D$10*E69+(120*(I69-E69)/'A. Dades de partida'!$D$10))/'A. Dades de partida'!$D$10</f>
        <v>4.6304931840000005</v>
      </c>
      <c r="I69" s="884">
        <f t="shared" ref="I69:I132" si="5">G69+J69</f>
        <v>6.2260147200000002</v>
      </c>
      <c r="J69" s="884">
        <f>IF(C69=1,F69*'3. Aigua-Resid '!$N$80,F69*'3. Aigua-Resid '!$N$82)</f>
        <v>4.9909171200000007</v>
      </c>
      <c r="K69" s="899">
        <f>('A. Dades de partida'!$D$10*D69+(120*(E69-D69)/'A. Dades de partida'!$D$10))/'A. Dades de partida'!$D$10</f>
        <v>2.5204880000000003</v>
      </c>
    </row>
    <row r="70" spans="1:11">
      <c r="A70" s="835">
        <v>8067</v>
      </c>
      <c r="B70" s="826" t="s">
        <v>1025</v>
      </c>
      <c r="C70" s="835">
        <v>0</v>
      </c>
      <c r="D70" s="835">
        <v>1.9179999999999999</v>
      </c>
      <c r="E70" s="884">
        <f>D70+D70*'3. Aigua-Resid '!$N$72</f>
        <v>2.4550399999999999</v>
      </c>
      <c r="F70" s="884">
        <f t="shared" si="3"/>
        <v>1.3748224</v>
      </c>
      <c r="G70" s="884">
        <f t="shared" si="4"/>
        <v>1.0802175999999999</v>
      </c>
      <c r="H70" s="893">
        <f>('A. Dades de partida'!$D$10*E70+(120*(I70-E70)/'A. Dades de partida'!$D$10))/'A. Dades de partida'!$D$10</f>
        <v>3.1882786133333334</v>
      </c>
      <c r="I70" s="884">
        <f t="shared" si="5"/>
        <v>3.8298623999999997</v>
      </c>
      <c r="J70" s="884">
        <f>IF(C70=1,F70*'3. Aigua-Resid '!$N$80,F70*'3. Aigua-Resid '!$N$82)</f>
        <v>2.7496448</v>
      </c>
      <c r="K70" s="899">
        <f>('A. Dades de partida'!$D$10*D70+(120*(E70-D70)/'A. Dades de partida'!$D$10))/'A. Dades de partida'!$D$10</f>
        <v>2.2044213333333333</v>
      </c>
    </row>
    <row r="71" spans="1:11">
      <c r="A71" s="835">
        <v>8068</v>
      </c>
      <c r="B71" s="826" t="s">
        <v>1027</v>
      </c>
      <c r="C71" s="835">
        <v>1</v>
      </c>
      <c r="D71" s="835">
        <v>2.355</v>
      </c>
      <c r="E71" s="884">
        <f>D71+D71*'3. Aigua-Resid '!$N$72</f>
        <v>3.0144000000000002</v>
      </c>
      <c r="F71" s="884">
        <f t="shared" si="3"/>
        <v>1.6880640000000002</v>
      </c>
      <c r="G71" s="884">
        <f t="shared" si="4"/>
        <v>1.326336</v>
      </c>
      <c r="H71" s="893">
        <f>('A. Dades de partida'!$D$10*E71+(120*(I71-E71)/'A. Dades de partida'!$D$10))/'A. Dades de partida'!$D$10</f>
        <v>4.9725542399999991</v>
      </c>
      <c r="I71" s="884">
        <f t="shared" si="5"/>
        <v>6.6859392</v>
      </c>
      <c r="J71" s="884">
        <f>IF(C71=1,F71*'3. Aigua-Resid '!$N$80,F71*'3. Aigua-Resid '!$N$82)</f>
        <v>5.3596032000000005</v>
      </c>
      <c r="K71" s="899">
        <f>('A. Dades de partida'!$D$10*D71+(120*(E71-D71)/'A. Dades de partida'!$D$10))/'A. Dades de partida'!$D$10</f>
        <v>2.70668</v>
      </c>
    </row>
    <row r="72" spans="1:11">
      <c r="A72" s="835">
        <v>8069</v>
      </c>
      <c r="B72" s="826" t="s">
        <v>1030</v>
      </c>
      <c r="C72" s="835">
        <v>1</v>
      </c>
      <c r="D72" s="835">
        <v>2.3119999999999998</v>
      </c>
      <c r="E72" s="884">
        <f>D72+D72*'3. Aigua-Resid '!$N$72</f>
        <v>2.9593599999999998</v>
      </c>
      <c r="F72" s="884">
        <f t="shared" si="3"/>
        <v>1.6572416000000001</v>
      </c>
      <c r="G72" s="884">
        <f t="shared" si="4"/>
        <v>1.3021183999999997</v>
      </c>
      <c r="H72" s="893">
        <f>('A. Dades de partida'!$D$10*E72+(120*(I72-E72)/'A. Dades de partida'!$D$10))/'A. Dades de partida'!$D$10</f>
        <v>4.8817602560000006</v>
      </c>
      <c r="I72" s="884">
        <f t="shared" si="5"/>
        <v>6.5638604799999998</v>
      </c>
      <c r="J72" s="884">
        <f>IF(C72=1,F72*'3. Aigua-Resid '!$N$80,F72*'3. Aigua-Resid '!$N$82)</f>
        <v>5.2617420800000003</v>
      </c>
      <c r="K72" s="899">
        <f>('A. Dades de partida'!$D$10*D72+(120*(E72-D72)/'A. Dades de partida'!$D$10))/'A. Dades de partida'!$D$10</f>
        <v>2.6572586666666664</v>
      </c>
    </row>
    <row r="73" spans="1:11">
      <c r="A73" s="835">
        <v>8070</v>
      </c>
      <c r="B73" s="826" t="s">
        <v>1034</v>
      </c>
      <c r="C73" s="835">
        <v>0</v>
      </c>
      <c r="D73" s="835">
        <v>1.2709999999999999</v>
      </c>
      <c r="E73" s="884">
        <f>D73+D73*'3. Aigua-Resid '!$N$72</f>
        <v>1.6268799999999999</v>
      </c>
      <c r="F73" s="884">
        <f t="shared" si="3"/>
        <v>0.9110528</v>
      </c>
      <c r="G73" s="884">
        <f t="shared" si="4"/>
        <v>0.71582719999999989</v>
      </c>
      <c r="H73" s="893">
        <f>('A. Dades de partida'!$D$10*E73+(120*(I73-E73)/'A. Dades de partida'!$D$10))/'A. Dades de partida'!$D$10</f>
        <v>2.1127748266666666</v>
      </c>
      <c r="I73" s="884">
        <f t="shared" si="5"/>
        <v>2.5379328000000001</v>
      </c>
      <c r="J73" s="884">
        <f>IF(C73=1,F73*'3. Aigua-Resid '!$N$80,F73*'3. Aigua-Resid '!$N$82)</f>
        <v>1.8221056</v>
      </c>
      <c r="K73" s="899">
        <f>('A. Dades de partida'!$D$10*D73+(120*(E73-D73)/'A. Dades de partida'!$D$10))/'A. Dades de partida'!$D$10</f>
        <v>1.4608026666666665</v>
      </c>
    </row>
    <row r="74" spans="1:11">
      <c r="A74" s="835">
        <v>8071</v>
      </c>
      <c r="B74" s="826" t="s">
        <v>1037</v>
      </c>
      <c r="C74" s="835">
        <v>0</v>
      </c>
      <c r="D74" s="835">
        <v>2.4129999999999998</v>
      </c>
      <c r="E74" s="884">
        <f>D74+D74*'3. Aigua-Resid '!$N$72</f>
        <v>3.0886399999999998</v>
      </c>
      <c r="F74" s="884">
        <f t="shared" si="3"/>
        <v>1.7296384</v>
      </c>
      <c r="G74" s="884">
        <f t="shared" si="4"/>
        <v>1.3590015999999998</v>
      </c>
      <c r="H74" s="893">
        <f>('A. Dades de partida'!$D$10*E74+(120*(I74-E74)/'A. Dades de partida'!$D$10))/'A. Dades de partida'!$D$10</f>
        <v>4.0111138133333331</v>
      </c>
      <c r="I74" s="884">
        <f t="shared" si="5"/>
        <v>4.8182783999999996</v>
      </c>
      <c r="J74" s="884">
        <f>IF(C74=1,F74*'3. Aigua-Resid '!$N$80,F74*'3. Aigua-Resid '!$N$82)</f>
        <v>3.4592768</v>
      </c>
      <c r="K74" s="899">
        <f>('A. Dades de partida'!$D$10*D74+(120*(E74-D74)/'A. Dades de partida'!$D$10))/'A. Dades de partida'!$D$10</f>
        <v>2.7733413333333337</v>
      </c>
    </row>
    <row r="75" spans="1:11">
      <c r="A75" s="835">
        <v>8072</v>
      </c>
      <c r="B75" s="826" t="s">
        <v>1043</v>
      </c>
      <c r="C75" s="835">
        <v>1</v>
      </c>
      <c r="D75" s="835">
        <v>3.2719999999999998</v>
      </c>
      <c r="E75" s="884">
        <f>D75+D75*'3. Aigua-Resid '!$N$72</f>
        <v>4.1881599999999999</v>
      </c>
      <c r="F75" s="884">
        <f t="shared" si="3"/>
        <v>2.3453696000000002</v>
      </c>
      <c r="G75" s="884">
        <f t="shared" si="4"/>
        <v>1.8427903999999997</v>
      </c>
      <c r="H75" s="893">
        <f>('A. Dades de partida'!$D$10*E75+(120*(I75-E75)/'A. Dades de partida'!$D$10))/'A. Dades de partida'!$D$10</f>
        <v>6.9087887360000009</v>
      </c>
      <c r="I75" s="884">
        <f t="shared" si="5"/>
        <v>9.289338879999999</v>
      </c>
      <c r="J75" s="884">
        <f>IF(C75=1,F75*'3. Aigua-Resid '!$N$80,F75*'3. Aigua-Resid '!$N$82)</f>
        <v>7.4465484799999997</v>
      </c>
      <c r="K75" s="899">
        <f>('A. Dades de partida'!$D$10*D75+(120*(E75-D75)/'A. Dades de partida'!$D$10))/'A. Dades de partida'!$D$10</f>
        <v>3.7606186666666663</v>
      </c>
    </row>
    <row r="76" spans="1:11">
      <c r="A76" s="835">
        <v>8073</v>
      </c>
      <c r="B76" s="826" t="s">
        <v>1046</v>
      </c>
      <c r="C76" s="835">
        <v>1</v>
      </c>
      <c r="D76" s="835">
        <v>2.4809999999999999</v>
      </c>
      <c r="E76" s="884">
        <f>D76+D76*'3. Aigua-Resid '!$N$72</f>
        <v>3.1756799999999998</v>
      </c>
      <c r="F76" s="884">
        <f t="shared" si="3"/>
        <v>1.7783808000000001</v>
      </c>
      <c r="G76" s="884">
        <f t="shared" si="4"/>
        <v>1.3972991999999997</v>
      </c>
      <c r="H76" s="893">
        <f>('A. Dades de partida'!$D$10*E76+(120*(I76-E76)/'A. Dades de partida'!$D$10))/'A. Dades de partida'!$D$10</f>
        <v>5.2386017279999999</v>
      </c>
      <c r="I76" s="884">
        <f t="shared" si="5"/>
        <v>7.0436582400000001</v>
      </c>
      <c r="J76" s="884">
        <f>IF(C76=1,F76*'3. Aigua-Resid '!$N$80,F76*'3. Aigua-Resid '!$N$82)</f>
        <v>5.6463590400000001</v>
      </c>
      <c r="K76" s="899">
        <f>('A. Dades de partida'!$D$10*D76+(120*(E76-D76)/'A. Dades de partida'!$D$10))/'A. Dades de partida'!$D$10</f>
        <v>2.8514959999999996</v>
      </c>
    </row>
    <row r="77" spans="1:11">
      <c r="A77" s="835">
        <v>8074</v>
      </c>
      <c r="B77" s="826" t="s">
        <v>341</v>
      </c>
      <c r="C77" s="835">
        <v>1</v>
      </c>
      <c r="D77" s="835">
        <v>1.8660000000000001</v>
      </c>
      <c r="E77" s="884">
        <f>D77+D77*'3. Aigua-Resid '!$N$72</f>
        <v>2.3884800000000004</v>
      </c>
      <c r="F77" s="884">
        <f t="shared" si="3"/>
        <v>1.3375488000000004</v>
      </c>
      <c r="G77" s="884">
        <f t="shared" si="4"/>
        <v>1.0509312</v>
      </c>
      <c r="H77" s="893">
        <f>('A. Dades de partida'!$D$10*E77+(120*(I77-E77)/'A. Dades de partida'!$D$10))/'A. Dades de partida'!$D$10</f>
        <v>3.9400366080000007</v>
      </c>
      <c r="I77" s="884">
        <f t="shared" si="5"/>
        <v>5.2976486400000011</v>
      </c>
      <c r="J77" s="884">
        <f>IF(C77=1,F77*'3. Aigua-Resid '!$N$80,F77*'3. Aigua-Resid '!$N$82)</f>
        <v>4.2467174400000012</v>
      </c>
      <c r="K77" s="899">
        <f>('A. Dades de partida'!$D$10*D77+(120*(E77-D77)/'A. Dades de partida'!$D$10))/'A. Dades de partida'!$D$10</f>
        <v>2.1446560000000003</v>
      </c>
    </row>
    <row r="78" spans="1:11">
      <c r="A78" s="835">
        <v>8075</v>
      </c>
      <c r="B78" s="826" t="s">
        <v>1050</v>
      </c>
      <c r="C78" s="835">
        <v>1</v>
      </c>
      <c r="D78" s="835">
        <v>2.0859999999999999</v>
      </c>
      <c r="E78" s="884">
        <f>D78+D78*'3. Aigua-Resid '!$N$72</f>
        <v>2.67008</v>
      </c>
      <c r="F78" s="884">
        <f t="shared" si="3"/>
        <v>1.4952448</v>
      </c>
      <c r="G78" s="884">
        <f t="shared" si="4"/>
        <v>1.1748352</v>
      </c>
      <c r="H78" s="893">
        <f>('A. Dades de partida'!$D$10*E78+(120*(I78-E78)/'A. Dades de partida'!$D$10))/'A. Dades de partida'!$D$10</f>
        <v>4.4045639680000006</v>
      </c>
      <c r="I78" s="884">
        <f t="shared" si="5"/>
        <v>5.92223744</v>
      </c>
      <c r="J78" s="884">
        <f>IF(C78=1,F78*'3. Aigua-Resid '!$N$80,F78*'3. Aigua-Resid '!$N$82)</f>
        <v>4.7474022399999996</v>
      </c>
      <c r="K78" s="899">
        <f>('A. Dades de partida'!$D$10*D78+(120*(E78-D78)/'A. Dades de partida'!$D$10))/'A. Dades de partida'!$D$10</f>
        <v>2.3975093333333333</v>
      </c>
    </row>
    <row r="79" spans="1:11">
      <c r="A79" s="835">
        <v>8076</v>
      </c>
      <c r="B79" s="826" t="s">
        <v>1053</v>
      </c>
      <c r="C79" s="835">
        <v>1</v>
      </c>
      <c r="D79" s="835">
        <v>1.766</v>
      </c>
      <c r="E79" s="884">
        <f>D79+D79*'3. Aigua-Resid '!$N$72</f>
        <v>2.2604800000000003</v>
      </c>
      <c r="F79" s="884">
        <f t="shared" si="3"/>
        <v>1.2658688000000002</v>
      </c>
      <c r="G79" s="884">
        <f t="shared" si="4"/>
        <v>0.99461120000000003</v>
      </c>
      <c r="H79" s="893">
        <f>('A. Dades de partida'!$D$10*E79+(120*(I79-E79)/'A. Dades de partida'!$D$10))/'A. Dades de partida'!$D$10</f>
        <v>3.7288878080000005</v>
      </c>
      <c r="I79" s="884">
        <f t="shared" si="5"/>
        <v>5.0137446400000005</v>
      </c>
      <c r="J79" s="884">
        <f>IF(C79=1,F79*'3. Aigua-Resid '!$N$80,F79*'3. Aigua-Resid '!$N$82)</f>
        <v>4.0191334400000009</v>
      </c>
      <c r="K79" s="899">
        <f>('A. Dades de partida'!$D$10*D79+(120*(E79-D79)/'A. Dades de partida'!$D$10))/'A. Dades de partida'!$D$10</f>
        <v>2.0297226666666668</v>
      </c>
    </row>
    <row r="80" spans="1:11">
      <c r="A80" s="835">
        <v>8077</v>
      </c>
      <c r="B80" s="826" t="s">
        <v>1061</v>
      </c>
      <c r="C80" s="835">
        <v>1</v>
      </c>
      <c r="D80" s="835">
        <v>2.4809999999999999</v>
      </c>
      <c r="E80" s="884">
        <f>D80+D80*'3. Aigua-Resid '!$N$72</f>
        <v>3.1756799999999998</v>
      </c>
      <c r="F80" s="884">
        <f t="shared" si="3"/>
        <v>1.7783808000000001</v>
      </c>
      <c r="G80" s="884">
        <f t="shared" si="4"/>
        <v>1.3972991999999997</v>
      </c>
      <c r="H80" s="893">
        <f>('A. Dades de partida'!$D$10*E80+(120*(I80-E80)/'A. Dades de partida'!$D$10))/'A. Dades de partida'!$D$10</f>
        <v>5.2386017279999999</v>
      </c>
      <c r="I80" s="884">
        <f t="shared" si="5"/>
        <v>7.0436582400000001</v>
      </c>
      <c r="J80" s="884">
        <f>IF(C80=1,F80*'3. Aigua-Resid '!$N$80,F80*'3. Aigua-Resid '!$N$82)</f>
        <v>5.6463590400000001</v>
      </c>
      <c r="K80" s="899">
        <f>('A. Dades de partida'!$D$10*D80+(120*(E80-D80)/'A. Dades de partida'!$D$10))/'A. Dades de partida'!$D$10</f>
        <v>2.8514959999999996</v>
      </c>
    </row>
    <row r="81" spans="1:11">
      <c r="A81" s="835">
        <v>8078</v>
      </c>
      <c r="B81" s="826" t="s">
        <v>1062</v>
      </c>
      <c r="C81" s="835">
        <v>0</v>
      </c>
      <c r="D81" s="835">
        <v>1.0580000000000001</v>
      </c>
      <c r="E81" s="884">
        <f>D81+D81*'3. Aigua-Resid '!$N$72</f>
        <v>1.3542400000000001</v>
      </c>
      <c r="F81" s="884">
        <f t="shared" si="3"/>
        <v>0.75837440000000012</v>
      </c>
      <c r="G81" s="884">
        <f t="shared" si="4"/>
        <v>0.5958656</v>
      </c>
      <c r="H81" s="893">
        <f>('A. Dades de partida'!$D$10*E81+(120*(I81-E81)/'A. Dades de partida'!$D$10))/'A. Dades de partida'!$D$10</f>
        <v>1.7587063466666668</v>
      </c>
      <c r="I81" s="884">
        <f t="shared" si="5"/>
        <v>2.1126144</v>
      </c>
      <c r="J81" s="884">
        <f>IF(C81=1,F81*'3. Aigua-Resid '!$N$80,F81*'3. Aigua-Resid '!$N$82)</f>
        <v>1.5167488000000002</v>
      </c>
      <c r="K81" s="899">
        <f>('A. Dades de partida'!$D$10*D81+(120*(E81-D81)/'A. Dades de partida'!$D$10))/'A. Dades de partida'!$D$10</f>
        <v>1.2159946666666668</v>
      </c>
    </row>
    <row r="82" spans="1:11">
      <c r="A82" s="835">
        <v>8079</v>
      </c>
      <c r="B82" s="826" t="s">
        <v>1063</v>
      </c>
      <c r="C82" s="835">
        <v>0</v>
      </c>
      <c r="D82" s="835">
        <v>1.377</v>
      </c>
      <c r="E82" s="884">
        <f>D82+D82*'3. Aigua-Resid '!$N$72</f>
        <v>1.7625600000000001</v>
      </c>
      <c r="F82" s="884">
        <f t="shared" si="3"/>
        <v>0.98703360000000018</v>
      </c>
      <c r="G82" s="884">
        <f t="shared" si="4"/>
        <v>0.77552639999999995</v>
      </c>
      <c r="H82" s="893">
        <f>('A. Dades de partida'!$D$10*E82+(120*(I82-E82)/'A. Dades de partida'!$D$10))/'A. Dades de partida'!$D$10</f>
        <v>2.2889779200000002</v>
      </c>
      <c r="I82" s="884">
        <f t="shared" si="5"/>
        <v>2.7495936000000003</v>
      </c>
      <c r="J82" s="884">
        <f>IF(C82=1,F82*'3. Aigua-Resid '!$N$80,F82*'3. Aigua-Resid '!$N$82)</f>
        <v>1.9740672000000004</v>
      </c>
      <c r="K82" s="899">
        <f>('A. Dades de partida'!$D$10*D82+(120*(E82-D82)/'A. Dades de partida'!$D$10))/'A. Dades de partida'!$D$10</f>
        <v>1.582632</v>
      </c>
    </row>
    <row r="83" spans="1:11">
      <c r="A83" s="835">
        <v>8080</v>
      </c>
      <c r="B83" s="826" t="s">
        <v>1067</v>
      </c>
      <c r="C83" s="835">
        <v>0</v>
      </c>
      <c r="D83" s="835">
        <v>0.433</v>
      </c>
      <c r="E83" s="884">
        <f>D83+D83*'3. Aigua-Resid '!$N$72</f>
        <v>0.55424000000000007</v>
      </c>
      <c r="F83" s="884">
        <f t="shared" si="3"/>
        <v>0.31037440000000005</v>
      </c>
      <c r="G83" s="884">
        <f t="shared" si="4"/>
        <v>0.24386560000000002</v>
      </c>
      <c r="H83" s="893">
        <f>('A. Dades de partida'!$D$10*E83+(120*(I83-E83)/'A. Dades de partida'!$D$10))/'A. Dades de partida'!$D$10</f>
        <v>0.71977301333333343</v>
      </c>
      <c r="I83" s="884">
        <f t="shared" si="5"/>
        <v>0.86461440000000012</v>
      </c>
      <c r="J83" s="884">
        <f>IF(C83=1,F83*'3. Aigua-Resid '!$N$80,F83*'3. Aigua-Resid '!$N$82)</f>
        <v>0.6207488000000001</v>
      </c>
      <c r="K83" s="899">
        <f>('A. Dades de partida'!$D$10*D83+(120*(E83-D83)/'A. Dades de partida'!$D$10))/'A. Dades de partida'!$D$10</f>
        <v>0.4976613333333334</v>
      </c>
    </row>
    <row r="84" spans="1:11">
      <c r="A84" s="835">
        <v>8081</v>
      </c>
      <c r="B84" s="826" t="s">
        <v>1068</v>
      </c>
      <c r="C84" s="835">
        <v>0</v>
      </c>
      <c r="D84" s="835">
        <v>0.90400000000000003</v>
      </c>
      <c r="E84" s="884">
        <f>D84+D84*'3. Aigua-Resid '!$N$72</f>
        <v>1.1571199999999999</v>
      </c>
      <c r="F84" s="884">
        <f t="shared" si="3"/>
        <v>0.64798719999999999</v>
      </c>
      <c r="G84" s="884">
        <f t="shared" si="4"/>
        <v>0.50913279999999994</v>
      </c>
      <c r="H84" s="893">
        <f>('A. Dades de partida'!$D$10*E84+(120*(I84-E84)/'A. Dades de partida'!$D$10))/'A. Dades de partida'!$D$10</f>
        <v>1.5027131733333334</v>
      </c>
      <c r="I84" s="884">
        <f t="shared" si="5"/>
        <v>1.8051071999999999</v>
      </c>
      <c r="J84" s="884">
        <f>IF(C84=1,F84*'3. Aigua-Resid '!$N$80,F84*'3. Aigua-Resid '!$N$82)</f>
        <v>1.2959744</v>
      </c>
      <c r="K84" s="899">
        <f>('A. Dades de partida'!$D$10*D84+(120*(E84-D84)/'A. Dades de partida'!$D$10))/'A. Dades de partida'!$D$10</f>
        <v>1.0389973333333333</v>
      </c>
    </row>
    <row r="85" spans="1:11">
      <c r="A85" s="835">
        <v>8082</v>
      </c>
      <c r="B85" s="826" t="s">
        <v>1071</v>
      </c>
      <c r="C85" s="835">
        <v>0</v>
      </c>
      <c r="D85" s="835">
        <v>1.7250000000000001</v>
      </c>
      <c r="E85" s="884">
        <f>D85+D85*'3. Aigua-Resid '!$N$72</f>
        <v>2.2080000000000002</v>
      </c>
      <c r="F85" s="884">
        <f t="shared" si="3"/>
        <v>1.2364800000000002</v>
      </c>
      <c r="G85" s="884">
        <f t="shared" si="4"/>
        <v>0.97151999999999994</v>
      </c>
      <c r="H85" s="893">
        <f>('A. Dades de partida'!$D$10*E85+(120*(I85-E85)/'A. Dades de partida'!$D$10))/'A. Dades de partida'!$D$10</f>
        <v>2.8674560000000002</v>
      </c>
      <c r="I85" s="884">
        <f t="shared" si="5"/>
        <v>3.4444800000000004</v>
      </c>
      <c r="J85" s="884">
        <f>IF(C85=1,F85*'3. Aigua-Resid '!$N$80,F85*'3. Aigua-Resid '!$N$82)</f>
        <v>2.4729600000000005</v>
      </c>
      <c r="K85" s="899">
        <f>('A. Dades de partida'!$D$10*D85+(120*(E85-D85)/'A. Dades de partida'!$D$10))/'A. Dades de partida'!$D$10</f>
        <v>1.9826000000000001</v>
      </c>
    </row>
    <row r="86" spans="1:11">
      <c r="A86" s="835">
        <v>8083</v>
      </c>
      <c r="B86" s="826" t="s">
        <v>1077</v>
      </c>
      <c r="C86" s="835">
        <v>0</v>
      </c>
      <c r="D86" s="835">
        <v>1.9330000000000001</v>
      </c>
      <c r="E86" s="884">
        <f>D86+D86*'3. Aigua-Resid '!$N$72</f>
        <v>2.47424</v>
      </c>
      <c r="F86" s="884">
        <f t="shared" si="3"/>
        <v>1.3855744000000001</v>
      </c>
      <c r="G86" s="884">
        <f t="shared" si="4"/>
        <v>1.0886655999999999</v>
      </c>
      <c r="H86" s="893">
        <f>('A. Dades de partida'!$D$10*E86+(120*(I86-E86)/'A. Dades de partida'!$D$10))/'A. Dades de partida'!$D$10</f>
        <v>3.2132130133333332</v>
      </c>
      <c r="I86" s="884">
        <f t="shared" si="5"/>
        <v>3.8598144000000003</v>
      </c>
      <c r="J86" s="884">
        <f>IF(C86=1,F86*'3. Aigua-Resid '!$N$80,F86*'3. Aigua-Resid '!$N$82)</f>
        <v>2.7711488000000002</v>
      </c>
      <c r="K86" s="899">
        <f>('A. Dades de partida'!$D$10*D86+(120*(E86-D86)/'A. Dades de partida'!$D$10))/'A. Dades de partida'!$D$10</f>
        <v>2.221661333333333</v>
      </c>
    </row>
    <row r="87" spans="1:11">
      <c r="A87" s="835">
        <v>8084</v>
      </c>
      <c r="B87" s="826" t="s">
        <v>1078</v>
      </c>
      <c r="C87" s="835">
        <v>0</v>
      </c>
      <c r="D87" s="835">
        <v>2.8180000000000001</v>
      </c>
      <c r="E87" s="884">
        <f>D87+D87*'3. Aigua-Resid '!$N$72</f>
        <v>3.60704</v>
      </c>
      <c r="F87" s="884">
        <f t="shared" si="3"/>
        <v>2.0199424000000001</v>
      </c>
      <c r="G87" s="884">
        <f t="shared" si="4"/>
        <v>1.5870975999999999</v>
      </c>
      <c r="H87" s="893">
        <f>('A. Dades de partida'!$D$10*E87+(120*(I87-E87)/'A. Dades de partida'!$D$10))/'A. Dades de partida'!$D$10</f>
        <v>4.6843426133333335</v>
      </c>
      <c r="I87" s="884">
        <f t="shared" si="5"/>
        <v>5.6269824000000002</v>
      </c>
      <c r="J87" s="884">
        <f>IF(C87=1,F87*'3. Aigua-Resid '!$N$80,F87*'3. Aigua-Resid '!$N$82)</f>
        <v>4.0398848000000003</v>
      </c>
      <c r="K87" s="899">
        <f>('A. Dades de partida'!$D$10*D87+(120*(E87-D87)/'A. Dades de partida'!$D$10))/'A. Dades de partida'!$D$10</f>
        <v>3.2388213333333336</v>
      </c>
    </row>
    <row r="88" spans="1:11">
      <c r="A88" s="835">
        <v>8085</v>
      </c>
      <c r="B88" s="826" t="s">
        <v>1080</v>
      </c>
      <c r="C88" s="835">
        <v>0</v>
      </c>
      <c r="D88" s="835">
        <v>1.6539999999999999</v>
      </c>
      <c r="E88" s="884">
        <f>D88+D88*'3. Aigua-Resid '!$N$72</f>
        <v>2.1171199999999999</v>
      </c>
      <c r="F88" s="884">
        <f t="shared" si="3"/>
        <v>1.1855872000000001</v>
      </c>
      <c r="G88" s="884">
        <f t="shared" si="4"/>
        <v>0.93153279999999983</v>
      </c>
      <c r="H88" s="893">
        <f>('A. Dades de partida'!$D$10*E88+(120*(I88-E88)/'A. Dades de partida'!$D$10))/'A. Dades de partida'!$D$10</f>
        <v>2.7494331733333337</v>
      </c>
      <c r="I88" s="884">
        <f t="shared" si="5"/>
        <v>3.3027072</v>
      </c>
      <c r="J88" s="884">
        <f>IF(C88=1,F88*'3. Aigua-Resid '!$N$80,F88*'3. Aigua-Resid '!$N$82)</f>
        <v>2.3711744000000001</v>
      </c>
      <c r="K88" s="899">
        <f>('A. Dades de partida'!$D$10*D88+(120*(E88-D88)/'A. Dades de partida'!$D$10))/'A. Dades de partida'!$D$10</f>
        <v>1.9009973333333332</v>
      </c>
    </row>
    <row r="89" spans="1:11">
      <c r="A89" s="835">
        <v>8086</v>
      </c>
      <c r="B89" s="826" t="s">
        <v>1084</v>
      </c>
      <c r="C89" s="835">
        <v>1</v>
      </c>
      <c r="D89" s="835">
        <v>1.105</v>
      </c>
      <c r="E89" s="884">
        <f>D89+D89*'3. Aigua-Resid '!$N$72</f>
        <v>1.4144000000000001</v>
      </c>
      <c r="F89" s="884">
        <f t="shared" si="3"/>
        <v>0.7920640000000001</v>
      </c>
      <c r="G89" s="884">
        <f t="shared" si="4"/>
        <v>0.622336</v>
      </c>
      <c r="H89" s="893">
        <f>('A. Dades de partida'!$D$10*E89+(120*(I89-E89)/'A. Dades de partida'!$D$10))/'A. Dades de partida'!$D$10</f>
        <v>2.3331942400000001</v>
      </c>
      <c r="I89" s="884">
        <f t="shared" si="5"/>
        <v>3.1371392</v>
      </c>
      <c r="J89" s="884">
        <f>IF(C89=1,F89*'3. Aigua-Resid '!$N$80,F89*'3. Aigua-Resid '!$N$82)</f>
        <v>2.5148032000000002</v>
      </c>
      <c r="K89" s="899">
        <f>('A. Dades de partida'!$D$10*D89+(120*(E89-D89)/'A. Dades de partida'!$D$10))/'A. Dades de partida'!$D$10</f>
        <v>1.2700133333333334</v>
      </c>
    </row>
    <row r="90" spans="1:11">
      <c r="A90" s="835">
        <v>8087</v>
      </c>
      <c r="B90" s="826" t="s">
        <v>1087</v>
      </c>
      <c r="C90" s="835">
        <v>0</v>
      </c>
      <c r="D90" s="835">
        <v>1.99</v>
      </c>
      <c r="E90" s="884">
        <f>D90+D90*'3. Aigua-Resid '!$N$72</f>
        <v>2.5472000000000001</v>
      </c>
      <c r="F90" s="884">
        <f t="shared" si="3"/>
        <v>1.4264320000000001</v>
      </c>
      <c r="G90" s="884">
        <f t="shared" si="4"/>
        <v>1.120768</v>
      </c>
      <c r="H90" s="893">
        <f>('A. Dades de partida'!$D$10*E90+(120*(I90-E90)/'A. Dades de partida'!$D$10))/'A. Dades de partida'!$D$10</f>
        <v>3.3079637333333332</v>
      </c>
      <c r="I90" s="884">
        <f t="shared" si="5"/>
        <v>3.9736320000000003</v>
      </c>
      <c r="J90" s="884">
        <f>IF(C90=1,F90*'3. Aigua-Resid '!$N$80,F90*'3. Aigua-Resid '!$N$82)</f>
        <v>2.8528640000000003</v>
      </c>
      <c r="K90" s="899">
        <f>('A. Dades de partida'!$D$10*D90+(120*(E90-D90)/'A. Dades de partida'!$D$10))/'A. Dades de partida'!$D$10</f>
        <v>2.2871733333333335</v>
      </c>
    </row>
    <row r="91" spans="1:11">
      <c r="A91" s="835">
        <v>8088</v>
      </c>
      <c r="B91" s="826" t="s">
        <v>1091</v>
      </c>
      <c r="C91" s="835">
        <v>1</v>
      </c>
      <c r="D91" s="835">
        <v>2.1930000000000001</v>
      </c>
      <c r="E91" s="884">
        <f>D91+D91*'3. Aigua-Resid '!$N$72</f>
        <v>2.8070400000000002</v>
      </c>
      <c r="F91" s="884">
        <f t="shared" si="3"/>
        <v>1.5719424000000002</v>
      </c>
      <c r="G91" s="884">
        <f t="shared" si="4"/>
        <v>1.2350976</v>
      </c>
      <c r="H91" s="893">
        <f>('A. Dades de partida'!$D$10*E91+(120*(I91-E91)/'A. Dades de partida'!$D$10))/'A. Dades de partida'!$D$10</f>
        <v>4.6304931840000005</v>
      </c>
      <c r="I91" s="884">
        <f t="shared" si="5"/>
        <v>6.2260147200000002</v>
      </c>
      <c r="J91" s="884">
        <f>IF(C91=1,F91*'3. Aigua-Resid '!$N$80,F91*'3. Aigua-Resid '!$N$82)</f>
        <v>4.9909171200000007</v>
      </c>
      <c r="K91" s="899">
        <f>('A. Dades de partida'!$D$10*D91+(120*(E91-D91)/'A. Dades de partida'!$D$10))/'A. Dades de partida'!$D$10</f>
        <v>2.5204880000000003</v>
      </c>
    </row>
    <row r="92" spans="1:11">
      <c r="A92" s="835">
        <v>8089</v>
      </c>
      <c r="B92" s="826" t="s">
        <v>342</v>
      </c>
      <c r="C92" s="835">
        <v>1</v>
      </c>
      <c r="D92" s="835">
        <v>2.5499999999999998</v>
      </c>
      <c r="E92" s="884">
        <f>D92+D92*'3. Aigua-Resid '!$N$72</f>
        <v>3.2639999999999998</v>
      </c>
      <c r="F92" s="884">
        <f t="shared" si="3"/>
        <v>1.8278400000000001</v>
      </c>
      <c r="G92" s="884">
        <f t="shared" si="4"/>
        <v>1.4361599999999997</v>
      </c>
      <c r="H92" s="893">
        <f>('A. Dades de partida'!$D$10*E92+(120*(I92-E92)/'A. Dades de partida'!$D$10))/'A. Dades de partida'!$D$10</f>
        <v>5.3842943999999999</v>
      </c>
      <c r="I92" s="884">
        <f t="shared" si="5"/>
        <v>7.2395519999999998</v>
      </c>
      <c r="J92" s="884">
        <f>IF(C92=1,F92*'3. Aigua-Resid '!$N$80,F92*'3. Aigua-Resid '!$N$82)</f>
        <v>5.8033919999999997</v>
      </c>
      <c r="K92" s="899">
        <f>('A. Dades de partida'!$D$10*D92+(120*(E92-D92)/'A. Dades de partida'!$D$10))/'A. Dades de partida'!$D$10</f>
        <v>2.9308000000000001</v>
      </c>
    </row>
    <row r="93" spans="1:11">
      <c r="A93" s="835">
        <v>8090</v>
      </c>
      <c r="B93" s="826" t="s">
        <v>1100</v>
      </c>
      <c r="C93" s="835">
        <v>0</v>
      </c>
      <c r="D93" s="835">
        <v>2.9710000000000001</v>
      </c>
      <c r="E93" s="884">
        <f>D93+D93*'3. Aigua-Resid '!$N$72</f>
        <v>3.80288</v>
      </c>
      <c r="F93" s="884">
        <f t="shared" si="3"/>
        <v>2.1296128000000003</v>
      </c>
      <c r="G93" s="884">
        <f t="shared" si="4"/>
        <v>1.6732671999999997</v>
      </c>
      <c r="H93" s="893">
        <f>('A. Dades de partida'!$D$10*E93+(120*(I93-E93)/'A. Dades de partida'!$D$10))/'A. Dades de partida'!$D$10</f>
        <v>4.9386734933333338</v>
      </c>
      <c r="I93" s="884">
        <f t="shared" si="5"/>
        <v>5.9324928000000003</v>
      </c>
      <c r="J93" s="884">
        <f>IF(C93=1,F93*'3. Aigua-Resid '!$N$80,F93*'3. Aigua-Resid '!$N$82)</f>
        <v>4.2592256000000006</v>
      </c>
      <c r="K93" s="899">
        <f>('A. Dades de partida'!$D$10*D93+(120*(E93-D93)/'A. Dades de partida'!$D$10))/'A. Dades de partida'!$D$10</f>
        <v>3.4146693333333333</v>
      </c>
    </row>
    <row r="94" spans="1:11">
      <c r="A94" s="835">
        <v>8091</v>
      </c>
      <c r="B94" s="826" t="s">
        <v>1102</v>
      </c>
      <c r="C94" s="835">
        <v>1</v>
      </c>
      <c r="D94" s="835">
        <v>1.9470000000000001</v>
      </c>
      <c r="E94" s="884">
        <f>D94+D94*'3. Aigua-Resid '!$N$72</f>
        <v>2.4921600000000002</v>
      </c>
      <c r="F94" s="884">
        <f t="shared" si="3"/>
        <v>1.3956096000000002</v>
      </c>
      <c r="G94" s="884">
        <f t="shared" si="4"/>
        <v>1.0965503999999999</v>
      </c>
      <c r="H94" s="893">
        <f>('A. Dades de partida'!$D$10*E94+(120*(I94-E94)/'A. Dades de partida'!$D$10))/'A. Dades de partida'!$D$10</f>
        <v>4.111067136</v>
      </c>
      <c r="I94" s="884">
        <f t="shared" si="5"/>
        <v>5.5276108800000001</v>
      </c>
      <c r="J94" s="884">
        <f>IF(C94=1,F94*'3. Aigua-Resid '!$N$80,F94*'3. Aigua-Resid '!$N$82)</f>
        <v>4.4310604800000002</v>
      </c>
      <c r="K94" s="899">
        <f>('A. Dades de partida'!$D$10*D94+(120*(E94-D94)/'A. Dades de partida'!$D$10))/'A. Dades de partida'!$D$10</f>
        <v>2.2377520000000004</v>
      </c>
    </row>
    <row r="95" spans="1:11">
      <c r="A95" s="835">
        <v>8092</v>
      </c>
      <c r="B95" s="826" t="s">
        <v>1104</v>
      </c>
      <c r="C95" s="835">
        <v>0</v>
      </c>
      <c r="D95" s="835">
        <v>1.7090000000000001</v>
      </c>
      <c r="E95" s="884">
        <f>D95+D95*'3. Aigua-Resid '!$N$72</f>
        <v>2.1875200000000001</v>
      </c>
      <c r="F95" s="884">
        <f t="shared" si="3"/>
        <v>1.2250112000000002</v>
      </c>
      <c r="G95" s="884">
        <f t="shared" si="4"/>
        <v>0.96250879999999994</v>
      </c>
      <c r="H95" s="893">
        <f>('A. Dades de partida'!$D$10*E95+(120*(I95-E95)/'A. Dades de partida'!$D$10))/'A. Dades de partida'!$D$10</f>
        <v>2.8408593066666668</v>
      </c>
      <c r="I95" s="884">
        <f t="shared" si="5"/>
        <v>3.4125312000000001</v>
      </c>
      <c r="J95" s="884">
        <f>IF(C95=1,F95*'3. Aigua-Resid '!$N$80,F95*'3. Aigua-Resid '!$N$82)</f>
        <v>2.4500224000000004</v>
      </c>
      <c r="K95" s="899">
        <f>('A. Dades de partida'!$D$10*D95+(120*(E95-D95)/'A. Dades de partida'!$D$10))/'A. Dades de partida'!$D$10</f>
        <v>1.9642106666666668</v>
      </c>
    </row>
    <row r="96" spans="1:11">
      <c r="A96" s="835">
        <v>8093</v>
      </c>
      <c r="B96" s="826" t="s">
        <v>1105</v>
      </c>
      <c r="C96" s="835">
        <v>0</v>
      </c>
      <c r="D96" s="835">
        <v>0.55400000000000005</v>
      </c>
      <c r="E96" s="884">
        <f>D96+D96*'3. Aigua-Resid '!$N$72</f>
        <v>0.70912000000000008</v>
      </c>
      <c r="F96" s="884">
        <f t="shared" si="3"/>
        <v>0.3971072000000001</v>
      </c>
      <c r="G96" s="884">
        <f t="shared" si="4"/>
        <v>0.31201279999999998</v>
      </c>
      <c r="H96" s="893">
        <f>('A. Dades de partida'!$D$10*E96+(120*(I96-E96)/'A. Dades de partida'!$D$10))/'A. Dades de partida'!$D$10</f>
        <v>0.92091050666666685</v>
      </c>
      <c r="I96" s="884">
        <f t="shared" si="5"/>
        <v>1.1062272000000002</v>
      </c>
      <c r="J96" s="884">
        <f>IF(C96=1,F96*'3. Aigua-Resid '!$N$80,F96*'3. Aigua-Resid '!$N$82)</f>
        <v>0.79421440000000021</v>
      </c>
      <c r="K96" s="899">
        <f>('A. Dades de partida'!$D$10*D96+(120*(E96-D96)/'A. Dades de partida'!$D$10))/'A. Dades de partida'!$D$10</f>
        <v>0.63673066666666667</v>
      </c>
    </row>
    <row r="97" spans="1:11">
      <c r="A97" s="835">
        <v>8094</v>
      </c>
      <c r="B97" s="826" t="s">
        <v>1108</v>
      </c>
      <c r="C97" s="835">
        <v>1</v>
      </c>
      <c r="D97" s="835">
        <v>1.867</v>
      </c>
      <c r="E97" s="884">
        <f>D97+D97*'3. Aigua-Resid '!$N$72</f>
        <v>2.3897599999999999</v>
      </c>
      <c r="F97" s="884">
        <f t="shared" si="3"/>
        <v>1.3382656000000002</v>
      </c>
      <c r="G97" s="884">
        <f t="shared" si="4"/>
        <v>1.0514943999999997</v>
      </c>
      <c r="H97" s="893">
        <f>('A. Dades de partida'!$D$10*E97+(120*(I97-E97)/'A. Dades de partida'!$D$10))/'A. Dades de partida'!$D$10</f>
        <v>3.9421480959999995</v>
      </c>
      <c r="I97" s="884">
        <f t="shared" si="5"/>
        <v>5.3004876799999998</v>
      </c>
      <c r="J97" s="884">
        <f>IF(C97=1,F97*'3. Aigua-Resid '!$N$80,F97*'3. Aigua-Resid '!$N$82)</f>
        <v>4.2489932800000005</v>
      </c>
      <c r="K97" s="899">
        <f>('A. Dades de partida'!$D$10*D97+(120*(E97-D97)/'A. Dades de partida'!$D$10))/'A. Dades de partida'!$D$10</f>
        <v>2.1458053333333331</v>
      </c>
    </row>
    <row r="98" spans="1:11">
      <c r="A98" s="835">
        <v>8095</v>
      </c>
      <c r="B98" s="826" t="s">
        <v>1110</v>
      </c>
      <c r="C98" s="835">
        <v>0</v>
      </c>
      <c r="D98" s="835">
        <v>0.64100000000000001</v>
      </c>
      <c r="E98" s="884">
        <f>D98+D98*'3. Aigua-Resid '!$N$72</f>
        <v>0.8204800000000001</v>
      </c>
      <c r="F98" s="884">
        <f t="shared" si="3"/>
        <v>0.45946880000000012</v>
      </c>
      <c r="G98" s="884">
        <f t="shared" si="4"/>
        <v>0.36101119999999998</v>
      </c>
      <c r="H98" s="893">
        <f>('A. Dades de partida'!$D$10*E98+(120*(I98-E98)/'A. Dades de partida'!$D$10))/'A. Dades de partida'!$D$10</f>
        <v>1.0655300266666667</v>
      </c>
      <c r="I98" s="884">
        <f t="shared" si="5"/>
        <v>1.2799488000000001</v>
      </c>
      <c r="J98" s="884">
        <f>IF(C98=1,F98*'3. Aigua-Resid '!$N$80,F98*'3. Aigua-Resid '!$N$82)</f>
        <v>0.91893760000000024</v>
      </c>
      <c r="K98" s="899">
        <f>('A. Dades de partida'!$D$10*D98+(120*(E98-D98)/'A. Dades de partida'!$D$10))/'A. Dades de partida'!$D$10</f>
        <v>0.73672266666666675</v>
      </c>
    </row>
    <row r="99" spans="1:11">
      <c r="A99" s="835">
        <v>8096</v>
      </c>
      <c r="B99" s="826" t="s">
        <v>1113</v>
      </c>
      <c r="C99" s="835">
        <v>1</v>
      </c>
      <c r="D99" s="835">
        <v>1.544</v>
      </c>
      <c r="E99" s="884">
        <f>D99+D99*'3. Aigua-Resid '!$N$72</f>
        <v>1.9763200000000001</v>
      </c>
      <c r="F99" s="884">
        <f t="shared" si="3"/>
        <v>1.1067392000000003</v>
      </c>
      <c r="G99" s="884">
        <f t="shared" si="4"/>
        <v>0.86958079999999982</v>
      </c>
      <c r="H99" s="893">
        <f>('A. Dades de partida'!$D$10*E99+(120*(I99-E99)/'A. Dades de partida'!$D$10))/'A. Dades de partida'!$D$10</f>
        <v>3.2601374719999998</v>
      </c>
      <c r="I99" s="884">
        <f t="shared" si="5"/>
        <v>4.3834777600000008</v>
      </c>
      <c r="J99" s="884">
        <f>IF(C99=1,F99*'3. Aigua-Resid '!$N$80,F99*'3. Aigua-Resid '!$N$82)</f>
        <v>3.5138969600000007</v>
      </c>
      <c r="K99" s="899">
        <f>('A. Dades de partida'!$D$10*D99+(120*(E99-D99)/'A. Dades de partida'!$D$10))/'A. Dades de partida'!$D$10</f>
        <v>1.7745706666666667</v>
      </c>
    </row>
    <row r="100" spans="1:11">
      <c r="A100" s="835">
        <v>8097</v>
      </c>
      <c r="B100" s="826" t="s">
        <v>1116</v>
      </c>
      <c r="C100" s="835">
        <v>0</v>
      </c>
      <c r="D100" s="835">
        <v>1.3029999999999999</v>
      </c>
      <c r="E100" s="884">
        <f>D100+D100*'3. Aigua-Resid '!$N$72</f>
        <v>1.66784</v>
      </c>
      <c r="F100" s="884">
        <f t="shared" si="3"/>
        <v>0.93399040000000011</v>
      </c>
      <c r="G100" s="884">
        <f t="shared" si="4"/>
        <v>0.73384959999999988</v>
      </c>
      <c r="H100" s="893">
        <f>('A. Dades de partida'!$D$10*E100+(120*(I100-E100)/'A. Dades de partida'!$D$10))/'A. Dades de partida'!$D$10</f>
        <v>2.1659682133333336</v>
      </c>
      <c r="I100" s="884">
        <f t="shared" si="5"/>
        <v>2.6018303999999999</v>
      </c>
      <c r="J100" s="884">
        <f>IF(C100=1,F100*'3. Aigua-Resid '!$N$80,F100*'3. Aigua-Resid '!$N$82)</f>
        <v>1.8679808000000002</v>
      </c>
      <c r="K100" s="899">
        <f>('A. Dades de partida'!$D$10*D100+(120*(E100-D100)/'A. Dades de partida'!$D$10))/'A. Dades de partida'!$D$10</f>
        <v>1.4975813333333332</v>
      </c>
    </row>
    <row r="101" spans="1:11" ht="30">
      <c r="A101" s="835">
        <v>8098</v>
      </c>
      <c r="B101" s="826" t="s">
        <v>1121</v>
      </c>
      <c r="C101" s="835">
        <v>0</v>
      </c>
      <c r="D101" s="835">
        <v>2.5720000000000001</v>
      </c>
      <c r="E101" s="884">
        <f>D101+D101*'3. Aigua-Resid '!$N$72</f>
        <v>3.29216</v>
      </c>
      <c r="F101" s="884">
        <f t="shared" si="3"/>
        <v>1.8436096000000002</v>
      </c>
      <c r="G101" s="884">
        <f t="shared" si="4"/>
        <v>1.4485503999999998</v>
      </c>
      <c r="H101" s="893">
        <f>('A. Dades de partida'!$D$10*E101+(120*(I101-E101)/'A. Dades de partida'!$D$10))/'A. Dades de partida'!$D$10</f>
        <v>4.2754184533333328</v>
      </c>
      <c r="I101" s="884">
        <f t="shared" si="5"/>
        <v>5.1357695999999997</v>
      </c>
      <c r="J101" s="884">
        <f>IF(C101=1,F101*'3. Aigua-Resid '!$N$80,F101*'3. Aigua-Resid '!$N$82)</f>
        <v>3.6872192000000004</v>
      </c>
      <c r="K101" s="899">
        <f>('A. Dades de partida'!$D$10*D101+(120*(E101-D101)/'A. Dades de partida'!$D$10))/'A. Dades de partida'!$D$10</f>
        <v>2.9560853333333332</v>
      </c>
    </row>
    <row r="102" spans="1:11">
      <c r="A102" s="835">
        <v>8099</v>
      </c>
      <c r="B102" s="826" t="s">
        <v>1125</v>
      </c>
      <c r="C102" s="835">
        <v>0</v>
      </c>
      <c r="D102" s="835">
        <v>1.208</v>
      </c>
      <c r="E102" s="884">
        <f>D102+D102*'3. Aigua-Resid '!$N$72</f>
        <v>1.5462400000000001</v>
      </c>
      <c r="F102" s="884">
        <f t="shared" si="3"/>
        <v>0.86589440000000006</v>
      </c>
      <c r="G102" s="884">
        <f t="shared" si="4"/>
        <v>0.68034559999999999</v>
      </c>
      <c r="H102" s="893">
        <f>('A. Dades de partida'!$D$10*E102+(120*(I102-E102)/'A. Dades de partida'!$D$10))/'A. Dades de partida'!$D$10</f>
        <v>2.0080503466666668</v>
      </c>
      <c r="I102" s="884">
        <f t="shared" si="5"/>
        <v>2.4121344000000002</v>
      </c>
      <c r="J102" s="884">
        <f>IF(C102=1,F102*'3. Aigua-Resid '!$N$80,F102*'3. Aigua-Resid '!$N$82)</f>
        <v>1.7317888000000001</v>
      </c>
      <c r="K102" s="899">
        <f>('A. Dades de partida'!$D$10*D102+(120*(E102-D102)/'A. Dades de partida'!$D$10))/'A. Dades de partida'!$D$10</f>
        <v>1.3883946666666669</v>
      </c>
    </row>
    <row r="103" spans="1:11">
      <c r="A103" s="835">
        <v>8100</v>
      </c>
      <c r="B103" s="826" t="s">
        <v>1127</v>
      </c>
      <c r="C103" s="835">
        <v>0</v>
      </c>
      <c r="D103" s="835">
        <v>1.395</v>
      </c>
      <c r="E103" s="884">
        <f>D103+D103*'3. Aigua-Resid '!$N$72</f>
        <v>1.7856000000000001</v>
      </c>
      <c r="F103" s="884">
        <f t="shared" si="3"/>
        <v>0.99993600000000016</v>
      </c>
      <c r="G103" s="884">
        <f t="shared" si="4"/>
        <v>0.78566399999999992</v>
      </c>
      <c r="H103" s="893">
        <f>('A. Dades de partida'!$D$10*E103+(120*(I103-E103)/'A. Dades de partida'!$D$10))/'A. Dades de partida'!$D$10</f>
        <v>2.3188992000000002</v>
      </c>
      <c r="I103" s="884">
        <f t="shared" si="5"/>
        <v>2.7855360000000005</v>
      </c>
      <c r="J103" s="884">
        <f>IF(C103=1,F103*'3. Aigua-Resid '!$N$80,F103*'3. Aigua-Resid '!$N$82)</f>
        <v>1.9998720000000003</v>
      </c>
      <c r="K103" s="899">
        <f>('A. Dades de partida'!$D$10*D103+(120*(E103-D103)/'A. Dades de partida'!$D$10))/'A. Dades de partida'!$D$10</f>
        <v>1.6033200000000001</v>
      </c>
    </row>
    <row r="104" spans="1:11">
      <c r="A104" s="835">
        <v>8101</v>
      </c>
      <c r="B104" s="826" t="s">
        <v>1135</v>
      </c>
      <c r="C104" s="835">
        <v>1</v>
      </c>
      <c r="D104" s="835">
        <v>2.4809999999999999</v>
      </c>
      <c r="E104" s="884">
        <f>D104+D104*'3. Aigua-Resid '!$N$72</f>
        <v>3.1756799999999998</v>
      </c>
      <c r="F104" s="884">
        <f t="shared" si="3"/>
        <v>1.7783808000000001</v>
      </c>
      <c r="G104" s="884">
        <f t="shared" si="4"/>
        <v>1.3972991999999997</v>
      </c>
      <c r="H104" s="893">
        <f>('A. Dades de partida'!$D$10*E104+(120*(I104-E104)/'A. Dades de partida'!$D$10))/'A. Dades de partida'!$D$10</f>
        <v>5.2386017279999999</v>
      </c>
      <c r="I104" s="884">
        <f t="shared" si="5"/>
        <v>7.0436582400000001</v>
      </c>
      <c r="J104" s="884">
        <f>IF(C104=1,F104*'3. Aigua-Resid '!$N$80,F104*'3. Aigua-Resid '!$N$82)</f>
        <v>5.6463590400000001</v>
      </c>
      <c r="K104" s="899">
        <f>('A. Dades de partida'!$D$10*D104+(120*(E104-D104)/'A. Dades de partida'!$D$10))/'A. Dades de partida'!$D$10</f>
        <v>2.8514959999999996</v>
      </c>
    </row>
    <row r="105" spans="1:11">
      <c r="A105" s="835">
        <v>8102</v>
      </c>
      <c r="B105" s="826" t="s">
        <v>1136</v>
      </c>
      <c r="C105" s="835">
        <v>0</v>
      </c>
      <c r="D105" s="835">
        <v>1.9950000000000001</v>
      </c>
      <c r="E105" s="884">
        <f>D105+D105*'3. Aigua-Resid '!$N$72</f>
        <v>2.5536000000000003</v>
      </c>
      <c r="F105" s="884">
        <f t="shared" si="3"/>
        <v>1.4300160000000004</v>
      </c>
      <c r="G105" s="884">
        <f t="shared" si="4"/>
        <v>1.1235839999999999</v>
      </c>
      <c r="H105" s="893">
        <f>('A. Dades de partida'!$D$10*E105+(120*(I105-E105)/'A. Dades de partida'!$D$10))/'A. Dades de partida'!$D$10</f>
        <v>3.3162752000000002</v>
      </c>
      <c r="I105" s="884">
        <f t="shared" si="5"/>
        <v>3.9836160000000005</v>
      </c>
      <c r="J105" s="884">
        <f>IF(C105=1,F105*'3. Aigua-Resid '!$N$80,F105*'3. Aigua-Resid '!$N$82)</f>
        <v>2.8600320000000008</v>
      </c>
      <c r="K105" s="899">
        <f>('A. Dades de partida'!$D$10*D105+(120*(E105-D105)/'A. Dades de partida'!$D$10))/'A. Dades de partida'!$D$10</f>
        <v>2.2929200000000001</v>
      </c>
    </row>
    <row r="106" spans="1:11">
      <c r="A106" s="835">
        <v>8103</v>
      </c>
      <c r="B106" s="826" t="s">
        <v>1137</v>
      </c>
      <c r="C106" s="835">
        <v>0</v>
      </c>
      <c r="D106" s="835">
        <v>1.252</v>
      </c>
      <c r="E106" s="884">
        <f>D106+D106*'3. Aigua-Resid '!$N$72</f>
        <v>1.60256</v>
      </c>
      <c r="F106" s="884">
        <f t="shared" si="3"/>
        <v>0.89743360000000005</v>
      </c>
      <c r="G106" s="884">
        <f t="shared" si="4"/>
        <v>0.70512639999999993</v>
      </c>
      <c r="H106" s="893">
        <f>('A. Dades de partida'!$D$10*E106+(120*(I106-E106)/'A. Dades de partida'!$D$10))/'A. Dades de partida'!$D$10</f>
        <v>2.081191253333333</v>
      </c>
      <c r="I106" s="884">
        <f t="shared" si="5"/>
        <v>2.4999935999999998</v>
      </c>
      <c r="J106" s="884">
        <f>IF(C106=1,F106*'3. Aigua-Resid '!$N$80,F106*'3. Aigua-Resid '!$N$82)</f>
        <v>1.7948672000000001</v>
      </c>
      <c r="K106" s="899">
        <f>('A. Dades de partida'!$D$10*D106+(120*(E106-D106)/'A. Dades de partida'!$D$10))/'A. Dades de partida'!$D$10</f>
        <v>1.4389653333333332</v>
      </c>
    </row>
    <row r="107" spans="1:11">
      <c r="A107" s="835">
        <v>8104</v>
      </c>
      <c r="B107" s="826" t="s">
        <v>1142</v>
      </c>
      <c r="C107" s="835">
        <v>0</v>
      </c>
      <c r="D107" s="835">
        <v>1.6319999999999999</v>
      </c>
      <c r="E107" s="884">
        <f>D107+D107*'3. Aigua-Resid '!$N$72</f>
        <v>2.0889600000000002</v>
      </c>
      <c r="F107" s="884">
        <f t="shared" si="3"/>
        <v>1.1698176000000002</v>
      </c>
      <c r="G107" s="884">
        <f t="shared" si="4"/>
        <v>0.91914239999999992</v>
      </c>
      <c r="H107" s="893">
        <f>('A. Dades de partida'!$D$10*E107+(120*(I107-E107)/'A. Dades de partida'!$D$10))/'A. Dades de partida'!$D$10</f>
        <v>2.7128627199999999</v>
      </c>
      <c r="I107" s="884">
        <f t="shared" si="5"/>
        <v>3.2587776000000002</v>
      </c>
      <c r="J107" s="884">
        <f>IF(C107=1,F107*'3. Aigua-Resid '!$N$80,F107*'3. Aigua-Resid '!$N$82)</f>
        <v>2.3396352000000005</v>
      </c>
      <c r="K107" s="899">
        <f>('A. Dades de partida'!$D$10*D107+(120*(E107-D107)/'A. Dades de partida'!$D$10))/'A. Dades de partida'!$D$10</f>
        <v>1.875712</v>
      </c>
    </row>
    <row r="108" spans="1:11">
      <c r="A108" s="835">
        <v>8105</v>
      </c>
      <c r="B108" s="826" t="s">
        <v>1147</v>
      </c>
      <c r="C108" s="835">
        <v>1</v>
      </c>
      <c r="D108" s="835">
        <v>1.544</v>
      </c>
      <c r="E108" s="884">
        <f>D108+D108*'3. Aigua-Resid '!$N$72</f>
        <v>1.9763200000000001</v>
      </c>
      <c r="F108" s="884">
        <f t="shared" si="3"/>
        <v>1.1067392000000003</v>
      </c>
      <c r="G108" s="884">
        <f t="shared" si="4"/>
        <v>0.86958079999999982</v>
      </c>
      <c r="H108" s="893">
        <f>('A. Dades de partida'!$D$10*E108+(120*(I108-E108)/'A. Dades de partida'!$D$10))/'A. Dades de partida'!$D$10</f>
        <v>3.2601374719999998</v>
      </c>
      <c r="I108" s="884">
        <f t="shared" si="5"/>
        <v>4.3834777600000008</v>
      </c>
      <c r="J108" s="884">
        <f>IF(C108=1,F108*'3. Aigua-Resid '!$N$80,F108*'3. Aigua-Resid '!$N$82)</f>
        <v>3.5138969600000007</v>
      </c>
      <c r="K108" s="899">
        <f>('A. Dades de partida'!$D$10*D108+(120*(E108-D108)/'A. Dades de partida'!$D$10))/'A. Dades de partida'!$D$10</f>
        <v>1.7745706666666667</v>
      </c>
    </row>
    <row r="109" spans="1:11">
      <c r="A109" s="835">
        <v>8106</v>
      </c>
      <c r="B109" s="826" t="s">
        <v>1149</v>
      </c>
      <c r="C109" s="835">
        <v>1</v>
      </c>
      <c r="D109" s="835">
        <v>2.081</v>
      </c>
      <c r="E109" s="884">
        <f>D109+D109*'3. Aigua-Resid '!$N$72</f>
        <v>2.6636800000000003</v>
      </c>
      <c r="F109" s="884">
        <f t="shared" si="3"/>
        <v>1.4916608000000002</v>
      </c>
      <c r="G109" s="884">
        <f t="shared" si="4"/>
        <v>1.1720192</v>
      </c>
      <c r="H109" s="893">
        <f>('A. Dades de partida'!$D$10*E109+(120*(I109-E109)/'A. Dades de partida'!$D$10))/'A. Dades de partida'!$D$10</f>
        <v>4.3940065280000002</v>
      </c>
      <c r="I109" s="884">
        <f t="shared" si="5"/>
        <v>5.9080422400000003</v>
      </c>
      <c r="J109" s="884">
        <f>IF(C109=1,F109*'3. Aigua-Resid '!$N$80,F109*'3. Aigua-Resid '!$N$82)</f>
        <v>4.7360230400000001</v>
      </c>
      <c r="K109" s="899">
        <f>('A. Dades de partida'!$D$10*D109+(120*(E109-D109)/'A. Dades de partida'!$D$10))/'A. Dades de partida'!$D$10</f>
        <v>2.3917626666666667</v>
      </c>
    </row>
    <row r="110" spans="1:11">
      <c r="A110" s="835">
        <v>8107</v>
      </c>
      <c r="B110" s="826" t="s">
        <v>1155</v>
      </c>
      <c r="C110" s="835">
        <v>1</v>
      </c>
      <c r="D110" s="835">
        <v>2.2429999999999999</v>
      </c>
      <c r="E110" s="884">
        <f>D110+D110*'3. Aigua-Resid '!$N$72</f>
        <v>2.8710399999999998</v>
      </c>
      <c r="F110" s="884">
        <f t="shared" si="3"/>
        <v>1.6077824000000001</v>
      </c>
      <c r="G110" s="884">
        <f t="shared" si="4"/>
        <v>1.2632575999999998</v>
      </c>
      <c r="H110" s="893">
        <f>('A. Dades de partida'!$D$10*E110+(120*(I110-E110)/'A. Dades de partida'!$D$10))/'A. Dades de partida'!$D$10</f>
        <v>4.7360675839999997</v>
      </c>
      <c r="I110" s="884">
        <f t="shared" si="5"/>
        <v>6.3679667200000001</v>
      </c>
      <c r="J110" s="884">
        <f>IF(C110=1,F110*'3. Aigua-Resid '!$N$80,F110*'3. Aigua-Resid '!$N$82)</f>
        <v>5.1047091199999999</v>
      </c>
      <c r="K110" s="899">
        <f>('A. Dades de partida'!$D$10*D110+(120*(E110-D110)/'A. Dades de partida'!$D$10))/'A. Dades de partida'!$D$10</f>
        <v>2.5779546666666664</v>
      </c>
    </row>
    <row r="111" spans="1:11">
      <c r="A111" s="835">
        <v>8108</v>
      </c>
      <c r="B111" s="826" t="s">
        <v>1158</v>
      </c>
      <c r="C111" s="835">
        <v>1</v>
      </c>
      <c r="D111" s="835">
        <v>1.48</v>
      </c>
      <c r="E111" s="884">
        <f>D111+D111*'3. Aigua-Resid '!$N$72</f>
        <v>1.8944000000000001</v>
      </c>
      <c r="F111" s="884">
        <f t="shared" si="3"/>
        <v>1.0608640000000003</v>
      </c>
      <c r="G111" s="884">
        <f t="shared" si="4"/>
        <v>0.83353599999999983</v>
      </c>
      <c r="H111" s="893">
        <f>('A. Dades de partida'!$D$10*E111+(120*(I111-E111)/'A. Dades de partida'!$D$10))/'A. Dades de partida'!$D$10</f>
        <v>3.1250022400000006</v>
      </c>
      <c r="I111" s="884">
        <f t="shared" si="5"/>
        <v>4.2017792000000007</v>
      </c>
      <c r="J111" s="884">
        <f>IF(C111=1,F111*'3. Aigua-Resid '!$N$80,F111*'3. Aigua-Resid '!$N$82)</f>
        <v>3.3682432000000007</v>
      </c>
      <c r="K111" s="899">
        <f>('A. Dades de partida'!$D$10*D111+(120*(E111-D111)/'A. Dades de partida'!$D$10))/'A. Dades de partida'!$D$10</f>
        <v>1.7010133333333333</v>
      </c>
    </row>
    <row r="112" spans="1:11">
      <c r="A112" s="835">
        <v>8109</v>
      </c>
      <c r="B112" s="826" t="s">
        <v>1160</v>
      </c>
      <c r="C112" s="835">
        <v>0</v>
      </c>
      <c r="D112" s="835">
        <v>2.032</v>
      </c>
      <c r="E112" s="884">
        <f>D112+D112*'3. Aigua-Resid '!$N$72</f>
        <v>2.6009600000000002</v>
      </c>
      <c r="F112" s="884">
        <f t="shared" si="3"/>
        <v>1.4565376000000003</v>
      </c>
      <c r="G112" s="884">
        <f t="shared" si="4"/>
        <v>1.1444223999999998</v>
      </c>
      <c r="H112" s="893">
        <f>('A. Dades de partida'!$D$10*E112+(120*(I112-E112)/'A. Dades de partida'!$D$10))/'A. Dades de partida'!$D$10</f>
        <v>3.3777800533333333</v>
      </c>
      <c r="I112" s="884">
        <f t="shared" si="5"/>
        <v>4.0574976000000005</v>
      </c>
      <c r="J112" s="884">
        <f>IF(C112=1,F112*'3. Aigua-Resid '!$N$80,F112*'3. Aigua-Resid '!$N$82)</f>
        <v>2.9130752000000006</v>
      </c>
      <c r="K112" s="899">
        <f>('A. Dades de partida'!$D$10*D112+(120*(E112-D112)/'A. Dades de partida'!$D$10))/'A. Dades de partida'!$D$10</f>
        <v>2.3354453333333334</v>
      </c>
    </row>
    <row r="113" spans="1:11">
      <c r="A113" s="835">
        <v>8110</v>
      </c>
      <c r="B113" s="826" t="s">
        <v>343</v>
      </c>
      <c r="C113" s="835">
        <v>1</v>
      </c>
      <c r="D113" s="835">
        <v>2.19</v>
      </c>
      <c r="E113" s="884">
        <f>D113+D113*'3. Aigua-Resid '!$N$72</f>
        <v>2.8031999999999999</v>
      </c>
      <c r="F113" s="884">
        <f t="shared" si="3"/>
        <v>1.5697920000000001</v>
      </c>
      <c r="G113" s="884">
        <f t="shared" si="4"/>
        <v>1.2334079999999998</v>
      </c>
      <c r="H113" s="893">
        <f>('A. Dades de partida'!$D$10*E113+(120*(I113-E113)/'A. Dades de partida'!$D$10))/'A. Dades de partida'!$D$10</f>
        <v>4.6241587199999996</v>
      </c>
      <c r="I113" s="884">
        <f t="shared" si="5"/>
        <v>6.2174975999999997</v>
      </c>
      <c r="J113" s="884">
        <f>IF(C113=1,F113*'3. Aigua-Resid '!$N$80,F113*'3. Aigua-Resid '!$N$82)</f>
        <v>4.9840895999999999</v>
      </c>
      <c r="K113" s="899">
        <f>('A. Dades de partida'!$D$10*D113+(120*(E113-D113)/'A. Dades de partida'!$D$10))/'A. Dades de partida'!$D$10</f>
        <v>2.5170400000000002</v>
      </c>
    </row>
    <row r="114" spans="1:11">
      <c r="A114" s="835">
        <v>8111</v>
      </c>
      <c r="B114" s="826" t="s">
        <v>1171</v>
      </c>
      <c r="C114" s="835">
        <v>0</v>
      </c>
      <c r="D114" s="835">
        <v>0.80500000000000005</v>
      </c>
      <c r="E114" s="884">
        <f>D114+D114*'3. Aigua-Resid '!$N$72</f>
        <v>1.0304000000000002</v>
      </c>
      <c r="F114" s="884">
        <f t="shared" si="3"/>
        <v>0.5770240000000002</v>
      </c>
      <c r="G114" s="884">
        <f t="shared" si="4"/>
        <v>0.453376</v>
      </c>
      <c r="H114" s="893">
        <f>('A. Dades de partida'!$D$10*E114+(120*(I114-E114)/'A. Dades de partida'!$D$10))/'A. Dades de partida'!$D$10</f>
        <v>1.3381461333333335</v>
      </c>
      <c r="I114" s="884">
        <f t="shared" si="5"/>
        <v>1.6074240000000004</v>
      </c>
      <c r="J114" s="884">
        <f>IF(C114=1,F114*'3. Aigua-Resid '!$N$80,F114*'3. Aigua-Resid '!$N$82)</f>
        <v>1.1540480000000004</v>
      </c>
      <c r="K114" s="899">
        <f>('A. Dades de partida'!$D$10*D114+(120*(E114-D114)/'A. Dades de partida'!$D$10))/'A. Dades de partida'!$D$10</f>
        <v>0.92521333333333355</v>
      </c>
    </row>
    <row r="115" spans="1:11">
      <c r="A115" s="835">
        <v>8112</v>
      </c>
      <c r="B115" s="826" t="s">
        <v>721</v>
      </c>
      <c r="C115" s="835">
        <v>0</v>
      </c>
      <c r="D115" s="835">
        <v>1.5069999999999999</v>
      </c>
      <c r="E115" s="884">
        <f>D115+D115*'3. Aigua-Resid '!$N$72</f>
        <v>1.92896</v>
      </c>
      <c r="F115" s="884">
        <f t="shared" si="3"/>
        <v>1.0802176000000001</v>
      </c>
      <c r="G115" s="884">
        <f t="shared" si="4"/>
        <v>0.8487423999999999</v>
      </c>
      <c r="H115" s="893">
        <f>('A. Dades de partida'!$D$10*E115+(120*(I115-E115)/'A. Dades de partida'!$D$10))/'A. Dades de partida'!$D$10</f>
        <v>2.5050760533333336</v>
      </c>
      <c r="I115" s="884">
        <f t="shared" si="5"/>
        <v>3.0091776000000001</v>
      </c>
      <c r="J115" s="884">
        <f>IF(C115=1,F115*'3. Aigua-Resid '!$N$80,F115*'3. Aigua-Resid '!$N$82)</f>
        <v>2.1604352000000002</v>
      </c>
      <c r="K115" s="899">
        <f>('A. Dades de partida'!$D$10*D115+(120*(E115-D115)/'A. Dades de partida'!$D$10))/'A. Dades de partida'!$D$10</f>
        <v>1.7320453333333332</v>
      </c>
    </row>
    <row r="116" spans="1:11">
      <c r="A116" s="835">
        <v>8113</v>
      </c>
      <c r="B116" s="826" t="s">
        <v>699</v>
      </c>
      <c r="C116" s="835">
        <v>0</v>
      </c>
      <c r="D116" s="835">
        <v>1.93</v>
      </c>
      <c r="E116" s="884">
        <f>D116+D116*'3. Aigua-Resid '!$N$72</f>
        <v>2.4703999999999997</v>
      </c>
      <c r="F116" s="884">
        <f t="shared" si="3"/>
        <v>1.383424</v>
      </c>
      <c r="G116" s="884">
        <f t="shared" si="4"/>
        <v>1.0869759999999997</v>
      </c>
      <c r="H116" s="893">
        <f>('A. Dades de partida'!$D$10*E116+(120*(I116-E116)/'A. Dades de partida'!$D$10))/'A. Dades de partida'!$D$10</f>
        <v>3.2082261333333331</v>
      </c>
      <c r="I116" s="884">
        <f t="shared" si="5"/>
        <v>3.8538239999999995</v>
      </c>
      <c r="J116" s="884">
        <f>IF(C116=1,F116*'3. Aigua-Resid '!$N$80,F116*'3. Aigua-Resid '!$N$82)</f>
        <v>2.766848</v>
      </c>
      <c r="K116" s="899">
        <f>('A. Dades de partida'!$D$10*D116+(120*(E116-D116)/'A. Dades de partida'!$D$10))/'A. Dades de partida'!$D$10</f>
        <v>2.2182133333333329</v>
      </c>
    </row>
    <row r="117" spans="1:11">
      <c r="A117" s="835">
        <v>8114</v>
      </c>
      <c r="B117" s="826" t="s">
        <v>677</v>
      </c>
      <c r="C117" s="835">
        <v>1</v>
      </c>
      <c r="D117" s="835">
        <v>1.1850000000000001</v>
      </c>
      <c r="E117" s="884">
        <f>D117+D117*'3. Aigua-Resid '!$N$72</f>
        <v>1.5168000000000001</v>
      </c>
      <c r="F117" s="884">
        <f t="shared" si="3"/>
        <v>0.84940800000000016</v>
      </c>
      <c r="G117" s="884">
        <f t="shared" si="4"/>
        <v>0.66739199999999999</v>
      </c>
      <c r="H117" s="893">
        <f>('A. Dades de partida'!$D$10*E117+(120*(I117-E117)/'A. Dades de partida'!$D$10))/'A. Dades de partida'!$D$10</f>
        <v>2.5021132800000006</v>
      </c>
      <c r="I117" s="884">
        <f t="shared" si="5"/>
        <v>3.3642624000000003</v>
      </c>
      <c r="J117" s="884">
        <f>IF(C117=1,F117*'3. Aigua-Resid '!$N$80,F117*'3. Aigua-Resid '!$N$82)</f>
        <v>2.6968704000000003</v>
      </c>
      <c r="K117" s="899">
        <f>('A. Dades de partida'!$D$10*D117+(120*(E117-D117)/'A. Dades de partida'!$D$10))/'A. Dades de partida'!$D$10</f>
        <v>1.3619600000000001</v>
      </c>
    </row>
    <row r="118" spans="1:11">
      <c r="A118" s="835">
        <v>8115</v>
      </c>
      <c r="B118" s="826" t="s">
        <v>1183</v>
      </c>
      <c r="C118" s="835">
        <v>1</v>
      </c>
      <c r="D118" s="835">
        <v>1.5489999999999999</v>
      </c>
      <c r="E118" s="884">
        <f>D118+D118*'3. Aigua-Resid '!$N$72</f>
        <v>1.98272</v>
      </c>
      <c r="F118" s="884">
        <f t="shared" si="3"/>
        <v>1.1103232000000001</v>
      </c>
      <c r="G118" s="884">
        <f t="shared" si="4"/>
        <v>0.87239679999999997</v>
      </c>
      <c r="H118" s="893">
        <f>('A. Dades de partida'!$D$10*E118+(120*(I118-E118)/'A. Dades de partida'!$D$10))/'A. Dades de partida'!$D$10</f>
        <v>3.2706949120000002</v>
      </c>
      <c r="I118" s="884">
        <f t="shared" si="5"/>
        <v>4.3976729600000004</v>
      </c>
      <c r="J118" s="884">
        <f>IF(C118=1,F118*'3. Aigua-Resid '!$N$80,F118*'3. Aigua-Resid '!$N$82)</f>
        <v>3.5252761600000002</v>
      </c>
      <c r="K118" s="899">
        <f>('A. Dades de partida'!$D$10*D118+(120*(E118-D118)/'A. Dades de partida'!$D$10))/'A. Dades de partida'!$D$10</f>
        <v>1.7803173333333333</v>
      </c>
    </row>
    <row r="119" spans="1:11">
      <c r="A119" s="835">
        <v>8116</v>
      </c>
      <c r="B119" s="826" t="s">
        <v>1184</v>
      </c>
      <c r="C119" s="835">
        <v>0</v>
      </c>
      <c r="D119" s="835">
        <v>1.19</v>
      </c>
      <c r="E119" s="884">
        <f>D119+D119*'3. Aigua-Resid '!$N$72</f>
        <v>1.5231999999999999</v>
      </c>
      <c r="F119" s="884">
        <f t="shared" si="3"/>
        <v>0.85299199999999997</v>
      </c>
      <c r="G119" s="884">
        <f t="shared" si="4"/>
        <v>0.67020799999999991</v>
      </c>
      <c r="H119" s="893">
        <f>('A. Dades de partida'!$D$10*E119+(120*(I119-E119)/'A. Dades de partida'!$D$10))/'A. Dades de partida'!$D$10</f>
        <v>1.9781290666666664</v>
      </c>
      <c r="I119" s="884">
        <f t="shared" si="5"/>
        <v>2.3761919999999996</v>
      </c>
      <c r="J119" s="884">
        <f>IF(C119=1,F119*'3. Aigua-Resid '!$N$80,F119*'3. Aigua-Resid '!$N$82)</f>
        <v>1.7059839999999999</v>
      </c>
      <c r="K119" s="899">
        <f>('A. Dades de partida'!$D$10*D119+(120*(E119-D119)/'A. Dades de partida'!$D$10))/'A. Dades de partida'!$D$10</f>
        <v>1.3677066666666666</v>
      </c>
    </row>
    <row r="120" spans="1:11">
      <c r="A120" s="835">
        <v>8117</v>
      </c>
      <c r="B120" s="826" t="s">
        <v>1187</v>
      </c>
      <c r="C120" s="835">
        <v>0</v>
      </c>
      <c r="D120" s="835">
        <v>2.077</v>
      </c>
      <c r="E120" s="884">
        <f>D120+D120*'3. Aigua-Resid '!$N$72</f>
        <v>2.65856</v>
      </c>
      <c r="F120" s="884">
        <f t="shared" si="3"/>
        <v>1.4887936000000002</v>
      </c>
      <c r="G120" s="884">
        <f t="shared" si="4"/>
        <v>1.1697663999999999</v>
      </c>
      <c r="H120" s="893">
        <f>('A. Dades de partida'!$D$10*E120+(120*(I120-E120)/'A. Dades de partida'!$D$10))/'A. Dades de partida'!$D$10</f>
        <v>3.452583253333334</v>
      </c>
      <c r="I120" s="884">
        <f t="shared" si="5"/>
        <v>4.1473536000000006</v>
      </c>
      <c r="J120" s="884">
        <f>IF(C120=1,F120*'3. Aigua-Resid '!$N$80,F120*'3. Aigua-Resid '!$N$82)</f>
        <v>2.9775872000000003</v>
      </c>
      <c r="K120" s="899">
        <f>('A. Dades de partida'!$D$10*D120+(120*(E120-D120)/'A. Dades de partida'!$D$10))/'A. Dades de partida'!$D$10</f>
        <v>2.3871653333333334</v>
      </c>
    </row>
    <row r="121" spans="1:11">
      <c r="A121" s="835">
        <v>8118</v>
      </c>
      <c r="B121" s="826" t="s">
        <v>344</v>
      </c>
      <c r="C121" s="835">
        <v>1</v>
      </c>
      <c r="D121" s="835">
        <v>1.7649999999999999</v>
      </c>
      <c r="E121" s="884">
        <f>D121+D121*'3. Aigua-Resid '!$N$72</f>
        <v>2.2591999999999999</v>
      </c>
      <c r="F121" s="884">
        <f t="shared" si="3"/>
        <v>1.2651520000000001</v>
      </c>
      <c r="G121" s="884">
        <f t="shared" si="4"/>
        <v>0.99404799999999982</v>
      </c>
      <c r="H121" s="893">
        <f>('A. Dades de partida'!$D$10*E121+(120*(I121-E121)/'A. Dades de partida'!$D$10))/'A. Dades de partida'!$D$10</f>
        <v>3.7267763199999995</v>
      </c>
      <c r="I121" s="884">
        <f t="shared" si="5"/>
        <v>5.0109055999999992</v>
      </c>
      <c r="J121" s="884">
        <f>IF(C121=1,F121*'3. Aigua-Resid '!$N$80,F121*'3. Aigua-Resid '!$N$82)</f>
        <v>4.0168575999999998</v>
      </c>
      <c r="K121" s="899">
        <f>('A. Dades de partida'!$D$10*D121+(120*(E121-D121)/'A. Dades de partida'!$D$10))/'A. Dades de partida'!$D$10</f>
        <v>2.0285733333333331</v>
      </c>
    </row>
    <row r="122" spans="1:11">
      <c r="A122" s="835">
        <v>8119</v>
      </c>
      <c r="B122" s="826" t="s">
        <v>1194</v>
      </c>
      <c r="C122" s="835">
        <v>1</v>
      </c>
      <c r="D122" s="835">
        <v>2.7080000000000002</v>
      </c>
      <c r="E122" s="884">
        <f>D122+D122*'3. Aigua-Resid '!$N$72</f>
        <v>3.4662400000000004</v>
      </c>
      <c r="F122" s="884">
        <f t="shared" si="3"/>
        <v>1.9410944000000003</v>
      </c>
      <c r="G122" s="884">
        <f t="shared" si="4"/>
        <v>1.5251456000000001</v>
      </c>
      <c r="H122" s="893">
        <f>('A. Dades de partida'!$D$10*E122+(120*(I122-E122)/'A. Dades de partida'!$D$10))/'A. Dades de partida'!$D$10</f>
        <v>5.7179095040000014</v>
      </c>
      <c r="I122" s="884">
        <f t="shared" si="5"/>
        <v>7.6881203200000012</v>
      </c>
      <c r="J122" s="884">
        <f>IF(C122=1,F122*'3. Aigua-Resid '!$N$80,F122*'3. Aigua-Resid '!$N$82)</f>
        <v>6.1629747200000011</v>
      </c>
      <c r="K122" s="899">
        <f>('A. Dades de partida'!$D$10*D122+(120*(E122-D122)/'A. Dades de partida'!$D$10))/'A. Dades de partida'!$D$10</f>
        <v>3.1123946666666673</v>
      </c>
    </row>
    <row r="123" spans="1:11">
      <c r="A123" s="835">
        <v>8120</v>
      </c>
      <c r="B123" s="826" t="s">
        <v>1197</v>
      </c>
      <c r="C123" s="835">
        <v>0</v>
      </c>
      <c r="D123" s="835">
        <v>2.6230000000000002</v>
      </c>
      <c r="E123" s="884">
        <f>D123+D123*'3. Aigua-Resid '!$N$72</f>
        <v>3.3574400000000004</v>
      </c>
      <c r="F123" s="884">
        <f t="shared" si="3"/>
        <v>1.8801664000000005</v>
      </c>
      <c r="G123" s="884">
        <f t="shared" si="4"/>
        <v>1.4772736</v>
      </c>
      <c r="H123" s="893">
        <f>('A. Dades de partida'!$D$10*E123+(120*(I123-E123)/'A. Dades de partida'!$D$10))/'A. Dades de partida'!$D$10</f>
        <v>4.3601954133333338</v>
      </c>
      <c r="I123" s="884">
        <f t="shared" si="5"/>
        <v>5.2376064000000007</v>
      </c>
      <c r="J123" s="884">
        <f>IF(C123=1,F123*'3. Aigua-Resid '!$N$80,F123*'3. Aigua-Resid '!$N$82)</f>
        <v>3.7603328000000009</v>
      </c>
      <c r="K123" s="899">
        <f>('A. Dades de partida'!$D$10*D123+(120*(E123-D123)/'A. Dades de partida'!$D$10))/'A. Dades de partida'!$D$10</f>
        <v>3.0147013333333339</v>
      </c>
    </row>
    <row r="124" spans="1:11">
      <c r="A124" s="835">
        <v>8121</v>
      </c>
      <c r="B124" s="826" t="s">
        <v>345</v>
      </c>
      <c r="C124" s="835">
        <v>1</v>
      </c>
      <c r="D124" s="835">
        <v>2.6259999999999999</v>
      </c>
      <c r="E124" s="884">
        <f>D124+D124*'3. Aigua-Resid '!$N$72</f>
        <v>3.3612799999999998</v>
      </c>
      <c r="F124" s="884">
        <f t="shared" si="3"/>
        <v>1.8823168000000001</v>
      </c>
      <c r="G124" s="884">
        <f t="shared" si="4"/>
        <v>1.4789631999999997</v>
      </c>
      <c r="H124" s="893">
        <f>('A. Dades de partida'!$D$10*E124+(120*(I124-E124)/'A. Dades de partida'!$D$10))/'A. Dades de partida'!$D$10</f>
        <v>5.5447674880000006</v>
      </c>
      <c r="I124" s="884">
        <f t="shared" si="5"/>
        <v>7.45531904</v>
      </c>
      <c r="J124" s="884">
        <f>IF(C124=1,F124*'3. Aigua-Resid '!$N$80,F124*'3. Aigua-Resid '!$N$82)</f>
        <v>5.9763558400000001</v>
      </c>
      <c r="K124" s="899">
        <f>('A. Dades de partida'!$D$10*D124+(120*(E124-D124)/'A. Dades de partida'!$D$10))/'A. Dades de partida'!$D$10</f>
        <v>3.0181493333333331</v>
      </c>
    </row>
    <row r="125" spans="1:11">
      <c r="A125" s="835">
        <v>8122</v>
      </c>
      <c r="B125" s="826" t="s">
        <v>1204</v>
      </c>
      <c r="C125" s="835">
        <v>0</v>
      </c>
      <c r="D125" s="835">
        <v>2.0939999999999999</v>
      </c>
      <c r="E125" s="884">
        <f>D125+D125*'3. Aigua-Resid '!$N$72</f>
        <v>2.68032</v>
      </c>
      <c r="F125" s="884">
        <f t="shared" si="3"/>
        <v>1.5009792000000002</v>
      </c>
      <c r="G125" s="884">
        <f t="shared" si="4"/>
        <v>1.1793407999999999</v>
      </c>
      <c r="H125" s="893">
        <f>('A. Dades de partida'!$D$10*E125+(120*(I125-E125)/'A. Dades de partida'!$D$10))/'A. Dades de partida'!$D$10</f>
        <v>3.4808422399999999</v>
      </c>
      <c r="I125" s="884">
        <f t="shared" si="5"/>
        <v>4.1812991999999998</v>
      </c>
      <c r="J125" s="884">
        <f>IF(C125=1,F125*'3. Aigua-Resid '!$N$80,F125*'3. Aigua-Resid '!$N$82)</f>
        <v>3.0019584000000004</v>
      </c>
      <c r="K125" s="899">
        <f>('A. Dades de partida'!$D$10*D125+(120*(E125-D125)/'A. Dades de partida'!$D$10))/'A. Dades de partida'!$D$10</f>
        <v>2.406704</v>
      </c>
    </row>
    <row r="126" spans="1:11">
      <c r="A126" s="835">
        <v>8123</v>
      </c>
      <c r="B126" s="826" t="s">
        <v>1208</v>
      </c>
      <c r="C126" s="835">
        <v>1</v>
      </c>
      <c r="D126" s="835">
        <v>1.8640000000000001</v>
      </c>
      <c r="E126" s="884">
        <f>D126+D126*'3. Aigua-Resid '!$N$72</f>
        <v>2.38592</v>
      </c>
      <c r="F126" s="884">
        <f t="shared" si="3"/>
        <v>1.3361152000000001</v>
      </c>
      <c r="G126" s="884">
        <f t="shared" si="4"/>
        <v>1.0498048</v>
      </c>
      <c r="H126" s="893">
        <f>('A. Dades de partida'!$D$10*E126+(120*(I126-E126)/'A. Dades de partida'!$D$10))/'A. Dades de partida'!$D$10</f>
        <v>3.9358136319999999</v>
      </c>
      <c r="I126" s="884">
        <f t="shared" si="5"/>
        <v>5.2919705599999993</v>
      </c>
      <c r="J126" s="884">
        <f>IF(C126=1,F126*'3. Aigua-Resid '!$N$80,F126*'3. Aigua-Resid '!$N$82)</f>
        <v>4.2421657599999998</v>
      </c>
      <c r="K126" s="899">
        <f>('A. Dades de partida'!$D$10*D126+(120*(E126-D126)/'A. Dades de partida'!$D$10))/'A. Dades de partida'!$D$10</f>
        <v>2.1423573333333334</v>
      </c>
    </row>
    <row r="127" spans="1:11">
      <c r="A127" s="835">
        <v>8124</v>
      </c>
      <c r="B127" s="826" t="s">
        <v>1214</v>
      </c>
      <c r="C127" s="835">
        <v>1</v>
      </c>
      <c r="D127" s="835">
        <v>1.4430000000000001</v>
      </c>
      <c r="E127" s="884">
        <f>D127+D127*'3. Aigua-Resid '!$N$72</f>
        <v>1.8470400000000002</v>
      </c>
      <c r="F127" s="884">
        <f t="shared" si="3"/>
        <v>1.0343424000000003</v>
      </c>
      <c r="G127" s="884">
        <f t="shared" si="4"/>
        <v>0.81269759999999991</v>
      </c>
      <c r="H127" s="893">
        <f>('A. Dades de partida'!$D$10*E127+(120*(I127-E127)/'A. Dades de partida'!$D$10))/'A. Dades de partida'!$D$10</f>
        <v>3.0468771840000008</v>
      </c>
      <c r="I127" s="884">
        <f t="shared" si="5"/>
        <v>4.0967347200000006</v>
      </c>
      <c r="J127" s="884">
        <f>IF(C127=1,F127*'3. Aigua-Resid '!$N$80,F127*'3. Aigua-Resid '!$N$82)</f>
        <v>3.2840371200000007</v>
      </c>
      <c r="K127" s="899">
        <f>('A. Dades de partida'!$D$10*D127+(120*(E127-D127)/'A. Dades de partida'!$D$10))/'A. Dades de partida'!$D$10</f>
        <v>1.658488</v>
      </c>
    </row>
    <row r="128" spans="1:11">
      <c r="A128" s="835">
        <v>8125</v>
      </c>
      <c r="B128" s="826" t="s">
        <v>1220</v>
      </c>
      <c r="C128" s="835">
        <v>1</v>
      </c>
      <c r="D128" s="835">
        <v>2.4809999999999999</v>
      </c>
      <c r="E128" s="884">
        <f>D128+D128*'3. Aigua-Resid '!$N$72</f>
        <v>3.1756799999999998</v>
      </c>
      <c r="F128" s="884">
        <f t="shared" si="3"/>
        <v>1.7783808000000001</v>
      </c>
      <c r="G128" s="884">
        <f t="shared" si="4"/>
        <v>1.3972991999999997</v>
      </c>
      <c r="H128" s="893">
        <f>('A. Dades de partida'!$D$10*E128+(120*(I128-E128)/'A. Dades de partida'!$D$10))/'A. Dades de partida'!$D$10</f>
        <v>5.2386017279999999</v>
      </c>
      <c r="I128" s="884">
        <f t="shared" si="5"/>
        <v>7.0436582400000001</v>
      </c>
      <c r="J128" s="884">
        <f>IF(C128=1,F128*'3. Aigua-Resid '!$N$80,F128*'3. Aigua-Resid '!$N$82)</f>
        <v>5.6463590400000001</v>
      </c>
      <c r="K128" s="899">
        <f>('A. Dades de partida'!$D$10*D128+(120*(E128-D128)/'A. Dades de partida'!$D$10))/'A. Dades de partida'!$D$10</f>
        <v>2.8514959999999996</v>
      </c>
    </row>
    <row r="129" spans="1:11">
      <c r="A129" s="835">
        <v>8126</v>
      </c>
      <c r="B129" s="826" t="s">
        <v>346</v>
      </c>
      <c r="C129" s="835">
        <v>1</v>
      </c>
      <c r="D129" s="835">
        <v>2.5920000000000001</v>
      </c>
      <c r="E129" s="884">
        <f>D129+D129*'3. Aigua-Resid '!$N$72</f>
        <v>3.3177600000000003</v>
      </c>
      <c r="F129" s="884">
        <f t="shared" si="3"/>
        <v>1.8579456000000003</v>
      </c>
      <c r="G129" s="884">
        <f t="shared" si="4"/>
        <v>1.4598144</v>
      </c>
      <c r="H129" s="893">
        <f>('A. Dades de partida'!$D$10*E129+(120*(I129-E129)/'A. Dades de partida'!$D$10))/'A. Dades de partida'!$D$10</f>
        <v>5.4729768960000005</v>
      </c>
      <c r="I129" s="884">
        <f t="shared" si="5"/>
        <v>7.3587916800000004</v>
      </c>
      <c r="J129" s="884">
        <f>IF(C129=1,F129*'3. Aigua-Resid '!$N$80,F129*'3. Aigua-Resid '!$N$82)</f>
        <v>5.8989772800000004</v>
      </c>
      <c r="K129" s="899">
        <f>('A. Dades de partida'!$D$10*D129+(120*(E129-D129)/'A. Dades de partida'!$D$10))/'A. Dades de partida'!$D$10</f>
        <v>2.9790720000000004</v>
      </c>
    </row>
    <row r="130" spans="1:11">
      <c r="A130" s="835">
        <v>8127</v>
      </c>
      <c r="B130" s="826" t="s">
        <v>1227</v>
      </c>
      <c r="C130" s="835">
        <v>0</v>
      </c>
      <c r="D130" s="835">
        <v>1.212</v>
      </c>
      <c r="E130" s="884">
        <f>D130+D130*'3. Aigua-Resid '!$N$72</f>
        <v>1.5513600000000001</v>
      </c>
      <c r="F130" s="884">
        <f t="shared" si="3"/>
        <v>0.86876160000000013</v>
      </c>
      <c r="G130" s="884">
        <f t="shared" si="4"/>
        <v>0.68259839999999994</v>
      </c>
      <c r="H130" s="893">
        <f>('A. Dades de partida'!$D$10*E130+(120*(I130-E130)/'A. Dades de partida'!$D$10))/'A. Dades de partida'!$D$10</f>
        <v>2.0146995200000002</v>
      </c>
      <c r="I130" s="884">
        <f t="shared" si="5"/>
        <v>2.4201216000000003</v>
      </c>
      <c r="J130" s="884">
        <f>IF(C130=1,F130*'3. Aigua-Resid '!$N$80,F130*'3. Aigua-Resid '!$N$82)</f>
        <v>1.7375232000000003</v>
      </c>
      <c r="K130" s="899">
        <f>('A. Dades de partida'!$D$10*D130+(120*(E130-D130)/'A. Dades de partida'!$D$10))/'A. Dades de partida'!$D$10</f>
        <v>1.392992</v>
      </c>
    </row>
    <row r="131" spans="1:11">
      <c r="A131" s="835">
        <v>8128</v>
      </c>
      <c r="B131" s="826" t="s">
        <v>1230</v>
      </c>
      <c r="C131" s="835">
        <v>0</v>
      </c>
      <c r="D131" s="835">
        <v>2.1579999999999999</v>
      </c>
      <c r="E131" s="884">
        <f>D131+D131*'3. Aigua-Resid '!$N$72</f>
        <v>2.7622399999999998</v>
      </c>
      <c r="F131" s="884">
        <f t="shared" si="3"/>
        <v>1.5468544</v>
      </c>
      <c r="G131" s="884">
        <f t="shared" si="4"/>
        <v>1.2153855999999998</v>
      </c>
      <c r="H131" s="893">
        <f>('A. Dades de partida'!$D$10*E131+(120*(I131-E131)/'A. Dades de partida'!$D$10))/'A. Dades de partida'!$D$10</f>
        <v>3.5872290133333329</v>
      </c>
      <c r="I131" s="884">
        <f t="shared" si="5"/>
        <v>4.3090943999999993</v>
      </c>
      <c r="J131" s="884">
        <f>IF(C131=1,F131*'3. Aigua-Resid '!$N$80,F131*'3. Aigua-Resid '!$N$82)</f>
        <v>3.0937087999999999</v>
      </c>
      <c r="K131" s="899">
        <f>('A. Dades de partida'!$D$10*D131+(120*(E131-D131)/'A. Dades de partida'!$D$10))/'A. Dades de partida'!$D$10</f>
        <v>2.480261333333333</v>
      </c>
    </row>
    <row r="132" spans="1:11">
      <c r="A132" s="835">
        <v>8129</v>
      </c>
      <c r="B132" s="826" t="s">
        <v>1233</v>
      </c>
      <c r="C132" s="835">
        <v>0</v>
      </c>
      <c r="D132" s="835">
        <v>2.4039999999999999</v>
      </c>
      <c r="E132" s="884">
        <f>D132+D132*'3. Aigua-Resid '!$N$72</f>
        <v>3.0771199999999999</v>
      </c>
      <c r="F132" s="884">
        <f t="shared" si="3"/>
        <v>1.7231872000000001</v>
      </c>
      <c r="G132" s="884">
        <f t="shared" si="4"/>
        <v>1.3539327999999997</v>
      </c>
      <c r="H132" s="893">
        <f>('A. Dades de partida'!$D$10*E132+(120*(I132-E132)/'A. Dades de partida'!$D$10))/'A. Dades de partida'!$D$10</f>
        <v>3.9961531733333331</v>
      </c>
      <c r="I132" s="884">
        <f t="shared" si="5"/>
        <v>4.8003071999999998</v>
      </c>
      <c r="J132" s="884">
        <f>IF(C132=1,F132*'3. Aigua-Resid '!$N$80,F132*'3. Aigua-Resid '!$N$82)</f>
        <v>3.4463744000000003</v>
      </c>
      <c r="K132" s="899">
        <f>('A. Dades de partida'!$D$10*D132+(120*(E132-D132)/'A. Dades de partida'!$D$10))/'A. Dades de partida'!$D$10</f>
        <v>2.7629973333333333</v>
      </c>
    </row>
    <row r="133" spans="1:11">
      <c r="A133" s="835">
        <v>8130</v>
      </c>
      <c r="B133" s="826" t="s">
        <v>1237</v>
      </c>
      <c r="C133" s="835">
        <v>0</v>
      </c>
      <c r="D133" s="835">
        <v>0.91300000000000003</v>
      </c>
      <c r="E133" s="884">
        <f>D133+D133*'3. Aigua-Resid '!$N$72</f>
        <v>1.1686400000000001</v>
      </c>
      <c r="F133" s="884">
        <f t="shared" ref="F133:F196" si="6">0.56*E133</f>
        <v>0.65443840000000009</v>
      </c>
      <c r="G133" s="884">
        <f t="shared" ref="G133:G196" si="7">E133-F133</f>
        <v>0.51420160000000004</v>
      </c>
      <c r="H133" s="893">
        <f>('A. Dades de partida'!$D$10*E133+(120*(I133-E133)/'A. Dades de partida'!$D$10))/'A. Dades de partida'!$D$10</f>
        <v>1.5176738133333336</v>
      </c>
      <c r="I133" s="884">
        <f t="shared" ref="I133:I196" si="8">G133+J133</f>
        <v>1.8230784000000002</v>
      </c>
      <c r="J133" s="884">
        <f>IF(C133=1,F133*'3. Aigua-Resid '!$N$80,F133*'3. Aigua-Resid '!$N$82)</f>
        <v>1.3088768000000002</v>
      </c>
      <c r="K133" s="899">
        <f>('A. Dades de partida'!$D$10*D133+(120*(E133-D133)/'A. Dades de partida'!$D$10))/'A. Dades de partida'!$D$10</f>
        <v>1.0493413333333335</v>
      </c>
    </row>
    <row r="134" spans="1:11">
      <c r="A134" s="835">
        <v>8131</v>
      </c>
      <c r="B134" s="826" t="s">
        <v>1240</v>
      </c>
      <c r="C134" s="835">
        <v>0</v>
      </c>
      <c r="D134" s="835">
        <v>1.694</v>
      </c>
      <c r="E134" s="884">
        <f>D134+D134*'3. Aigua-Resid '!$N$72</f>
        <v>2.16832</v>
      </c>
      <c r="F134" s="884">
        <f t="shared" si="6"/>
        <v>1.2142592000000001</v>
      </c>
      <c r="G134" s="884">
        <f t="shared" si="7"/>
        <v>0.95406079999999993</v>
      </c>
      <c r="H134" s="893">
        <f>('A. Dades de partida'!$D$10*E134+(120*(I134-E134)/'A. Dades de partida'!$D$10))/'A. Dades de partida'!$D$10</f>
        <v>2.8159249066666669</v>
      </c>
      <c r="I134" s="884">
        <f t="shared" si="8"/>
        <v>3.3825792000000003</v>
      </c>
      <c r="J134" s="884">
        <f>IF(C134=1,F134*'3. Aigua-Resid '!$N$80,F134*'3. Aigua-Resid '!$N$82)</f>
        <v>2.4285184000000002</v>
      </c>
      <c r="K134" s="899">
        <f>('A. Dades de partida'!$D$10*D134+(120*(E134-D134)/'A. Dades de partida'!$D$10))/'A. Dades de partida'!$D$10</f>
        <v>1.9469706666666666</v>
      </c>
    </row>
    <row r="135" spans="1:11">
      <c r="A135" s="835">
        <v>8132</v>
      </c>
      <c r="B135" s="826" t="s">
        <v>1245</v>
      </c>
      <c r="C135" s="835">
        <v>0</v>
      </c>
      <c r="D135" s="835">
        <v>1.6020000000000001</v>
      </c>
      <c r="E135" s="884">
        <f>D135+D135*'3. Aigua-Resid '!$N$72</f>
        <v>2.0505599999999999</v>
      </c>
      <c r="F135" s="884">
        <f t="shared" si="6"/>
        <v>1.1483136</v>
      </c>
      <c r="G135" s="884">
        <f t="shared" si="7"/>
        <v>0.90224639999999989</v>
      </c>
      <c r="H135" s="893">
        <f>('A. Dades de partida'!$D$10*E135+(120*(I135-E135)/'A. Dades de partida'!$D$10))/'A. Dades de partida'!$D$10</f>
        <v>2.6629939199999995</v>
      </c>
      <c r="I135" s="884">
        <f t="shared" si="8"/>
        <v>3.1988735999999998</v>
      </c>
      <c r="J135" s="884">
        <f>IF(C135=1,F135*'3. Aigua-Resid '!$N$80,F135*'3. Aigua-Resid '!$N$82)</f>
        <v>2.2966272000000001</v>
      </c>
      <c r="K135" s="899">
        <f>('A. Dades de partida'!$D$10*D135+(120*(E135-D135)/'A. Dades de partida'!$D$10))/'A. Dades de partida'!$D$10</f>
        <v>1.841232</v>
      </c>
    </row>
    <row r="136" spans="1:11">
      <c r="A136" s="835">
        <v>8133</v>
      </c>
      <c r="B136" s="826" t="s">
        <v>1249</v>
      </c>
      <c r="C136" s="835">
        <v>0</v>
      </c>
      <c r="D136" s="835">
        <v>1.2969999999999999</v>
      </c>
      <c r="E136" s="884">
        <f>D136+D136*'3. Aigua-Resid '!$N$72</f>
        <v>1.6601599999999999</v>
      </c>
      <c r="F136" s="884">
        <f t="shared" si="6"/>
        <v>0.9296896</v>
      </c>
      <c r="G136" s="884">
        <f t="shared" si="7"/>
        <v>0.73047039999999985</v>
      </c>
      <c r="H136" s="893">
        <f>('A. Dades de partida'!$D$10*E136+(120*(I136-E136)/'A. Dades de partida'!$D$10))/'A. Dades de partida'!$D$10</f>
        <v>2.1559944533333333</v>
      </c>
      <c r="I136" s="884">
        <f t="shared" si="8"/>
        <v>2.5898496</v>
      </c>
      <c r="J136" s="884">
        <f>IF(C136=1,F136*'3. Aigua-Resid '!$N$80,F136*'3. Aigua-Resid '!$N$82)</f>
        <v>1.8593792</v>
      </c>
      <c r="K136" s="899">
        <f>('A. Dades de partida'!$D$10*D136+(120*(E136-D136)/'A. Dades de partida'!$D$10))/'A. Dades de partida'!$D$10</f>
        <v>1.490685333333333</v>
      </c>
    </row>
    <row r="137" spans="1:11">
      <c r="A137" s="835">
        <v>8134</v>
      </c>
      <c r="B137" s="826" t="s">
        <v>1253</v>
      </c>
      <c r="C137" s="835">
        <v>0</v>
      </c>
      <c r="D137" s="835">
        <v>2.1379999999999999</v>
      </c>
      <c r="E137" s="884">
        <f>D137+D137*'3. Aigua-Resid '!$N$72</f>
        <v>2.73664</v>
      </c>
      <c r="F137" s="884">
        <f t="shared" si="6"/>
        <v>1.5325184000000001</v>
      </c>
      <c r="G137" s="884">
        <f t="shared" si="7"/>
        <v>1.2041215999999999</v>
      </c>
      <c r="H137" s="893">
        <f>('A. Dades de partida'!$D$10*E137+(120*(I137-E137)/'A. Dades de partida'!$D$10))/'A. Dades de partida'!$D$10</f>
        <v>3.5539831466666669</v>
      </c>
      <c r="I137" s="884">
        <f t="shared" si="8"/>
        <v>4.2691584000000002</v>
      </c>
      <c r="J137" s="884">
        <f>IF(C137=1,F137*'3. Aigua-Resid '!$N$80,F137*'3. Aigua-Resid '!$N$82)</f>
        <v>3.0650368000000001</v>
      </c>
      <c r="K137" s="899">
        <f>('A. Dades de partida'!$D$10*D137+(120*(E137-D137)/'A. Dades de partida'!$D$10))/'A. Dades de partida'!$D$10</f>
        <v>2.4572746666666672</v>
      </c>
    </row>
    <row r="138" spans="1:11">
      <c r="A138" s="835">
        <v>8135</v>
      </c>
      <c r="B138" s="826" t="s">
        <v>1255</v>
      </c>
      <c r="C138" s="835">
        <v>1</v>
      </c>
      <c r="D138" s="835">
        <v>1.35</v>
      </c>
      <c r="E138" s="884">
        <f>D138+D138*'3. Aigua-Resid '!$N$72</f>
        <v>1.7280000000000002</v>
      </c>
      <c r="F138" s="884">
        <f t="shared" si="6"/>
        <v>0.96768000000000021</v>
      </c>
      <c r="G138" s="884">
        <f t="shared" si="7"/>
        <v>0.76032</v>
      </c>
      <c r="H138" s="893">
        <f>('A. Dades de partida'!$D$10*E138+(120*(I138-E138)/'A. Dades de partida'!$D$10))/'A. Dades de partida'!$D$10</f>
        <v>2.8505088000000001</v>
      </c>
      <c r="I138" s="884">
        <f t="shared" si="8"/>
        <v>3.8327040000000006</v>
      </c>
      <c r="J138" s="884">
        <f>IF(C138=1,F138*'3. Aigua-Resid '!$N$80,F138*'3. Aigua-Resid '!$N$82)</f>
        <v>3.0723840000000004</v>
      </c>
      <c r="K138" s="899">
        <f>('A. Dades de partida'!$D$10*D138+(120*(E138-D138)/'A. Dades de partida'!$D$10))/'A. Dades de partida'!$D$10</f>
        <v>1.5516000000000001</v>
      </c>
    </row>
    <row r="139" spans="1:11">
      <c r="A139" s="835">
        <v>8136</v>
      </c>
      <c r="B139" s="826" t="s">
        <v>1256</v>
      </c>
      <c r="C139" s="835">
        <v>1</v>
      </c>
      <c r="D139" s="835">
        <v>1.488</v>
      </c>
      <c r="E139" s="884">
        <f>D139+D139*'3. Aigua-Resid '!$N$72</f>
        <v>1.9046400000000001</v>
      </c>
      <c r="F139" s="884">
        <f t="shared" si="6"/>
        <v>1.0665984000000002</v>
      </c>
      <c r="G139" s="884">
        <f t="shared" si="7"/>
        <v>0.83804159999999994</v>
      </c>
      <c r="H139" s="893">
        <f>('A. Dades de partida'!$D$10*E139+(120*(I139-E139)/'A. Dades de partida'!$D$10))/'A. Dades de partida'!$D$10</f>
        <v>3.1418941440000006</v>
      </c>
      <c r="I139" s="884">
        <f t="shared" si="8"/>
        <v>4.2244915200000008</v>
      </c>
      <c r="J139" s="884">
        <f>IF(C139=1,F139*'3. Aigua-Resid '!$N$80,F139*'3. Aigua-Resid '!$N$82)</f>
        <v>3.3864499200000004</v>
      </c>
      <c r="K139" s="899">
        <f>('A. Dades de partida'!$D$10*D139+(120*(E139-D139)/'A. Dades de partida'!$D$10))/'A. Dades de partida'!$D$10</f>
        <v>1.7102080000000002</v>
      </c>
    </row>
    <row r="140" spans="1:11">
      <c r="A140" s="835">
        <v>8137</v>
      </c>
      <c r="B140" s="826" t="s">
        <v>1258</v>
      </c>
      <c r="C140" s="835">
        <v>0</v>
      </c>
      <c r="D140" s="835">
        <v>1.2270000000000001</v>
      </c>
      <c r="E140" s="884">
        <f>D140+D140*'3. Aigua-Resid '!$N$72</f>
        <v>1.5705600000000002</v>
      </c>
      <c r="F140" s="884">
        <f t="shared" si="6"/>
        <v>0.87951360000000023</v>
      </c>
      <c r="G140" s="884">
        <f t="shared" si="7"/>
        <v>0.69104639999999995</v>
      </c>
      <c r="H140" s="893">
        <f>('A. Dades de partida'!$D$10*E140+(120*(I140-E140)/'A. Dades de partida'!$D$10))/'A. Dades de partida'!$D$10</f>
        <v>2.0396339200000004</v>
      </c>
      <c r="I140" s="884">
        <f t="shared" si="8"/>
        <v>2.4500736000000005</v>
      </c>
      <c r="J140" s="884">
        <f>IF(C140=1,F140*'3. Aigua-Resid '!$N$80,F140*'3. Aigua-Resid '!$N$82)</f>
        <v>1.7590272000000005</v>
      </c>
      <c r="K140" s="899">
        <f>('A. Dades de partida'!$D$10*D140+(120*(E140-D140)/'A. Dades de partida'!$D$10))/'A. Dades de partida'!$D$10</f>
        <v>1.4102320000000002</v>
      </c>
    </row>
    <row r="141" spans="1:11">
      <c r="A141" s="835">
        <v>8138</v>
      </c>
      <c r="B141" s="826" t="s">
        <v>1260</v>
      </c>
      <c r="C141" s="835">
        <v>0</v>
      </c>
      <c r="D141" s="835">
        <v>1.69</v>
      </c>
      <c r="E141" s="884">
        <f>D141+D141*'3. Aigua-Resid '!$N$72</f>
        <v>2.1631999999999998</v>
      </c>
      <c r="F141" s="884">
        <f t="shared" si="6"/>
        <v>1.211392</v>
      </c>
      <c r="G141" s="884">
        <f t="shared" si="7"/>
        <v>0.95180799999999977</v>
      </c>
      <c r="H141" s="893">
        <f>('A. Dades de partida'!$D$10*E141+(120*(I141-E141)/'A. Dades de partida'!$D$10))/'A. Dades de partida'!$D$10</f>
        <v>2.8092757333333327</v>
      </c>
      <c r="I141" s="884">
        <f t="shared" si="8"/>
        <v>3.3745919999999998</v>
      </c>
      <c r="J141" s="884">
        <f>IF(C141=1,F141*'3. Aigua-Resid '!$N$80,F141*'3. Aigua-Resid '!$N$82)</f>
        <v>2.422784</v>
      </c>
      <c r="K141" s="899">
        <f>('A. Dades de partida'!$D$10*D141+(120*(E141-D141)/'A. Dades de partida'!$D$10))/'A. Dades de partida'!$D$10</f>
        <v>1.9423733333333331</v>
      </c>
    </row>
    <row r="142" spans="1:11">
      <c r="A142" s="835">
        <v>8139</v>
      </c>
      <c r="B142" s="826" t="s">
        <v>1263</v>
      </c>
      <c r="C142" s="835">
        <v>0</v>
      </c>
      <c r="D142" s="835">
        <v>1.5569999999999999</v>
      </c>
      <c r="E142" s="884">
        <f>D142+D142*'3. Aigua-Resid '!$N$72</f>
        <v>1.9929600000000001</v>
      </c>
      <c r="F142" s="884">
        <f t="shared" si="6"/>
        <v>1.1160576000000002</v>
      </c>
      <c r="G142" s="884">
        <f t="shared" si="7"/>
        <v>0.87690239999999986</v>
      </c>
      <c r="H142" s="893">
        <f>('A. Dades de partida'!$D$10*E142+(120*(I142-E142)/'A. Dades de partida'!$D$10))/'A. Dades de partida'!$D$10</f>
        <v>2.5881907200000001</v>
      </c>
      <c r="I142" s="884">
        <f t="shared" si="8"/>
        <v>3.1090176000000005</v>
      </c>
      <c r="J142" s="884">
        <f>IF(C142=1,F142*'3. Aigua-Resid '!$N$80,F142*'3. Aigua-Resid '!$N$82)</f>
        <v>2.2321152000000004</v>
      </c>
      <c r="K142" s="899">
        <f>('A. Dades de partida'!$D$10*D142+(120*(E142-D142)/'A. Dades de partida'!$D$10))/'A. Dades de partida'!$D$10</f>
        <v>1.789512</v>
      </c>
    </row>
    <row r="143" spans="1:11">
      <c r="A143" s="835">
        <v>8140</v>
      </c>
      <c r="B143" s="826" t="s">
        <v>1268</v>
      </c>
      <c r="C143" s="835">
        <v>0</v>
      </c>
      <c r="D143" s="835">
        <v>2.222</v>
      </c>
      <c r="E143" s="884">
        <f>D143+D143*'3. Aigua-Resid '!$N$72</f>
        <v>2.84416</v>
      </c>
      <c r="F143" s="884">
        <f t="shared" si="6"/>
        <v>1.5927296000000002</v>
      </c>
      <c r="G143" s="884">
        <f t="shared" si="7"/>
        <v>1.2514303999999998</v>
      </c>
      <c r="H143" s="893">
        <f>('A. Dades de partida'!$D$10*E143+(120*(I143-E143)/'A. Dades de partida'!$D$10))/'A. Dades de partida'!$D$10</f>
        <v>3.6936157866666672</v>
      </c>
      <c r="I143" s="884">
        <f t="shared" si="8"/>
        <v>4.4368896000000007</v>
      </c>
      <c r="J143" s="884">
        <f>IF(C143=1,F143*'3. Aigua-Resid '!$N$80,F143*'3. Aigua-Resid '!$N$82)</f>
        <v>3.1854592000000004</v>
      </c>
      <c r="K143" s="899">
        <f>('A. Dades de partida'!$D$10*D143+(120*(E143-D143)/'A. Dades de partida'!$D$10))/'A. Dades de partida'!$D$10</f>
        <v>2.5538186666666665</v>
      </c>
    </row>
    <row r="144" spans="1:11">
      <c r="A144" s="835">
        <v>8141</v>
      </c>
      <c r="B144" s="826" t="s">
        <v>1269</v>
      </c>
      <c r="C144" s="835">
        <v>0</v>
      </c>
      <c r="D144" s="835">
        <v>1.7350000000000001</v>
      </c>
      <c r="E144" s="884">
        <f>D144+D144*'3. Aigua-Resid '!$N$72</f>
        <v>2.2208000000000001</v>
      </c>
      <c r="F144" s="884">
        <f t="shared" si="6"/>
        <v>1.2436480000000001</v>
      </c>
      <c r="G144" s="884">
        <f t="shared" si="7"/>
        <v>0.97715200000000002</v>
      </c>
      <c r="H144" s="893">
        <f>('A. Dades de partida'!$D$10*E144+(120*(I144-E144)/'A. Dades de partida'!$D$10))/'A. Dades de partida'!$D$10</f>
        <v>2.8840789333333334</v>
      </c>
      <c r="I144" s="884">
        <f t="shared" si="8"/>
        <v>3.464448</v>
      </c>
      <c r="J144" s="884">
        <f>IF(C144=1,F144*'3. Aigua-Resid '!$N$80,F144*'3. Aigua-Resid '!$N$82)</f>
        <v>2.4872960000000002</v>
      </c>
      <c r="K144" s="899">
        <f>('A. Dades de partida'!$D$10*D144+(120*(E144-D144)/'A. Dades de partida'!$D$10))/'A. Dades de partida'!$D$10</f>
        <v>1.9940933333333333</v>
      </c>
    </row>
    <row r="145" spans="1:11">
      <c r="A145" s="835">
        <v>8142</v>
      </c>
      <c r="B145" s="826" t="s">
        <v>1272</v>
      </c>
      <c r="C145" s="835">
        <v>0</v>
      </c>
      <c r="D145" s="835">
        <v>0.96799999999999997</v>
      </c>
      <c r="E145" s="884">
        <f>D145+D145*'3. Aigua-Resid '!$N$72</f>
        <v>1.2390399999999999</v>
      </c>
      <c r="F145" s="884">
        <f t="shared" si="6"/>
        <v>0.69386239999999999</v>
      </c>
      <c r="G145" s="884">
        <f t="shared" si="7"/>
        <v>0.54517759999999993</v>
      </c>
      <c r="H145" s="893">
        <f>('A. Dades de partida'!$D$10*E145+(120*(I145-E145)/'A. Dades de partida'!$D$10))/'A. Dades de partida'!$D$10</f>
        <v>1.6090999466666667</v>
      </c>
      <c r="I145" s="884">
        <f t="shared" si="8"/>
        <v>1.9329023999999999</v>
      </c>
      <c r="J145" s="884">
        <f>IF(C145=1,F145*'3. Aigua-Resid '!$N$80,F145*'3. Aigua-Resid '!$N$82)</f>
        <v>1.3877248</v>
      </c>
      <c r="K145" s="899">
        <f>('A. Dades de partida'!$D$10*D145+(120*(E145-D145)/'A. Dades de partida'!$D$10))/'A. Dades de partida'!$D$10</f>
        <v>1.1125546666666666</v>
      </c>
    </row>
    <row r="146" spans="1:11">
      <c r="A146" s="835">
        <v>8143</v>
      </c>
      <c r="B146" s="826" t="s">
        <v>1274</v>
      </c>
      <c r="C146" s="835">
        <v>0</v>
      </c>
      <c r="D146" s="835">
        <v>2.2599999999999998</v>
      </c>
      <c r="E146" s="884">
        <f>D146+D146*'3. Aigua-Resid '!$N$72</f>
        <v>2.8927999999999998</v>
      </c>
      <c r="F146" s="884">
        <f t="shared" si="6"/>
        <v>1.6199680000000001</v>
      </c>
      <c r="G146" s="884">
        <f t="shared" si="7"/>
        <v>1.2728319999999997</v>
      </c>
      <c r="H146" s="893">
        <f>('A. Dades de partida'!$D$10*E146+(120*(I146-E146)/'A. Dades de partida'!$D$10))/'A. Dades de partida'!$D$10</f>
        <v>3.7567829333333331</v>
      </c>
      <c r="I146" s="884">
        <f t="shared" si="8"/>
        <v>4.5127679999999994</v>
      </c>
      <c r="J146" s="884">
        <f>IF(C146=1,F146*'3. Aigua-Resid '!$N$80,F146*'3. Aigua-Resid '!$N$82)</f>
        <v>3.2399360000000001</v>
      </c>
      <c r="K146" s="899">
        <f>('A. Dades de partida'!$D$10*D146+(120*(E146-D146)/'A. Dades de partida'!$D$10))/'A. Dades de partida'!$D$10</f>
        <v>2.5974933333333334</v>
      </c>
    </row>
    <row r="147" spans="1:11">
      <c r="A147" s="835">
        <v>8144</v>
      </c>
      <c r="B147" s="826" t="s">
        <v>1278</v>
      </c>
      <c r="C147" s="835">
        <v>0</v>
      </c>
      <c r="D147" s="835">
        <v>0.89200000000000002</v>
      </c>
      <c r="E147" s="884">
        <f>D147+D147*'3. Aigua-Resid '!$N$72</f>
        <v>1.1417600000000001</v>
      </c>
      <c r="F147" s="884">
        <f t="shared" si="6"/>
        <v>0.63938560000000011</v>
      </c>
      <c r="G147" s="884">
        <f t="shared" si="7"/>
        <v>0.5023744</v>
      </c>
      <c r="H147" s="893">
        <f>('A. Dades de partida'!$D$10*E147+(120*(I147-E147)/'A. Dades de partida'!$D$10))/'A. Dades de partida'!$D$10</f>
        <v>1.4827656533333335</v>
      </c>
      <c r="I147" s="884">
        <f t="shared" si="8"/>
        <v>1.7811456000000003</v>
      </c>
      <c r="J147" s="884">
        <f>IF(C147=1,F147*'3. Aigua-Resid '!$N$80,F147*'3. Aigua-Resid '!$N$82)</f>
        <v>1.2787712000000002</v>
      </c>
      <c r="K147" s="899">
        <f>('A. Dades de partida'!$D$10*D147+(120*(E147-D147)/'A. Dades de partida'!$D$10))/'A. Dades de partida'!$D$10</f>
        <v>1.0252053333333333</v>
      </c>
    </row>
    <row r="148" spans="1:11">
      <c r="A148" s="835">
        <v>8145</v>
      </c>
      <c r="B148" s="826" t="s">
        <v>1281</v>
      </c>
      <c r="C148" s="835">
        <v>1</v>
      </c>
      <c r="D148" s="835">
        <v>1.867</v>
      </c>
      <c r="E148" s="884">
        <f>D148+D148*'3. Aigua-Resid '!$N$72</f>
        <v>2.3897599999999999</v>
      </c>
      <c r="F148" s="884">
        <f t="shared" si="6"/>
        <v>1.3382656000000002</v>
      </c>
      <c r="G148" s="884">
        <f t="shared" si="7"/>
        <v>1.0514943999999997</v>
      </c>
      <c r="H148" s="893">
        <f>('A. Dades de partida'!$D$10*E148+(120*(I148-E148)/'A. Dades de partida'!$D$10))/'A. Dades de partida'!$D$10</f>
        <v>3.9421480959999995</v>
      </c>
      <c r="I148" s="884">
        <f t="shared" si="8"/>
        <v>5.3004876799999998</v>
      </c>
      <c r="J148" s="884">
        <f>IF(C148=1,F148*'3. Aigua-Resid '!$N$80,F148*'3. Aigua-Resid '!$N$82)</f>
        <v>4.2489932800000005</v>
      </c>
      <c r="K148" s="899">
        <f>('A. Dades de partida'!$D$10*D148+(120*(E148-D148)/'A. Dades de partida'!$D$10))/'A. Dades de partida'!$D$10</f>
        <v>2.1458053333333331</v>
      </c>
    </row>
    <row r="149" spans="1:11">
      <c r="A149" s="835">
        <v>8146</v>
      </c>
      <c r="B149" s="826" t="s">
        <v>1286</v>
      </c>
      <c r="C149" s="835">
        <v>0</v>
      </c>
      <c r="D149" s="835">
        <v>3.2160000000000002</v>
      </c>
      <c r="E149" s="884">
        <f>D149+D149*'3. Aigua-Resid '!$N$72</f>
        <v>4.1164800000000001</v>
      </c>
      <c r="F149" s="884">
        <f t="shared" si="6"/>
        <v>2.3052288000000001</v>
      </c>
      <c r="G149" s="884">
        <f t="shared" si="7"/>
        <v>1.8112512000000001</v>
      </c>
      <c r="H149" s="893">
        <f>('A. Dades de partida'!$D$10*E149+(120*(I149-E149)/'A. Dades de partida'!$D$10))/'A. Dades de partida'!$D$10</f>
        <v>5.3459353600000004</v>
      </c>
      <c r="I149" s="884">
        <f t="shared" si="8"/>
        <v>6.4217088000000002</v>
      </c>
      <c r="J149" s="884">
        <f>IF(C149=1,F149*'3. Aigua-Resid '!$N$80,F149*'3. Aigua-Resid '!$N$82)</f>
        <v>4.6104576000000002</v>
      </c>
      <c r="K149" s="899">
        <f>('A. Dades de partida'!$D$10*D149+(120*(E149-D149)/'A. Dades de partida'!$D$10))/'A. Dades de partida'!$D$10</f>
        <v>3.696256</v>
      </c>
    </row>
    <row r="150" spans="1:11">
      <c r="A150" s="835">
        <v>8147</v>
      </c>
      <c r="B150" s="826" t="s">
        <v>1291</v>
      </c>
      <c r="C150" s="835">
        <v>1</v>
      </c>
      <c r="D150" s="835">
        <v>1.427</v>
      </c>
      <c r="E150" s="884">
        <f>D150+D150*'3. Aigua-Resid '!$N$72</f>
        <v>1.8265600000000002</v>
      </c>
      <c r="F150" s="884">
        <f t="shared" si="6"/>
        <v>1.0228736000000003</v>
      </c>
      <c r="G150" s="884">
        <f t="shared" si="7"/>
        <v>0.80368639999999991</v>
      </c>
      <c r="H150" s="893">
        <f>('A. Dades de partida'!$D$10*E150+(120*(I150-E150)/'A. Dades de partida'!$D$10))/'A. Dades de partida'!$D$10</f>
        <v>3.0130933760000005</v>
      </c>
      <c r="I150" s="884">
        <f t="shared" si="8"/>
        <v>4.0513100800000004</v>
      </c>
      <c r="J150" s="884">
        <f>IF(C150=1,F150*'3. Aigua-Resid '!$N$80,F150*'3. Aigua-Resid '!$N$82)</f>
        <v>3.2476236800000007</v>
      </c>
      <c r="K150" s="899">
        <f>('A. Dades de partida'!$D$10*D150+(120*(E150-D150)/'A. Dades de partida'!$D$10))/'A. Dades de partida'!$D$10</f>
        <v>1.6400986666666668</v>
      </c>
    </row>
    <row r="151" spans="1:11">
      <c r="A151" s="835">
        <v>8148</v>
      </c>
      <c r="B151" s="826" t="s">
        <v>1294</v>
      </c>
      <c r="C151" s="835">
        <v>1</v>
      </c>
      <c r="D151" s="835">
        <v>2.17</v>
      </c>
      <c r="E151" s="884">
        <f>D151+D151*'3. Aigua-Resid '!$N$72</f>
        <v>2.7776000000000001</v>
      </c>
      <c r="F151" s="884">
        <f t="shared" si="6"/>
        <v>1.5554560000000002</v>
      </c>
      <c r="G151" s="884">
        <f t="shared" si="7"/>
        <v>1.2221439999999999</v>
      </c>
      <c r="H151" s="893">
        <f>('A. Dades de partida'!$D$10*E151+(120*(I151-E151)/'A. Dades de partida'!$D$10))/'A. Dades de partida'!$D$10</f>
        <v>4.5819289599999999</v>
      </c>
      <c r="I151" s="884">
        <f t="shared" si="8"/>
        <v>6.1607168000000003</v>
      </c>
      <c r="J151" s="884">
        <f>IF(C151=1,F151*'3. Aigua-Resid '!$N$80,F151*'3. Aigua-Resid '!$N$82)</f>
        <v>4.9385728000000002</v>
      </c>
      <c r="K151" s="899">
        <f>('A. Dades de partida'!$D$10*D151+(120*(E151-D151)/'A. Dades de partida'!$D$10))/'A. Dades de partida'!$D$10</f>
        <v>2.494053333333333</v>
      </c>
    </row>
    <row r="152" spans="1:11">
      <c r="A152" s="835">
        <v>8149</v>
      </c>
      <c r="B152" s="826" t="s">
        <v>1298</v>
      </c>
      <c r="C152" s="835">
        <v>0</v>
      </c>
      <c r="D152" s="835">
        <v>1.7470000000000001</v>
      </c>
      <c r="E152" s="884">
        <f>D152+D152*'3. Aigua-Resid '!$N$72</f>
        <v>2.2361600000000004</v>
      </c>
      <c r="F152" s="884">
        <f t="shared" si="6"/>
        <v>1.2522496000000003</v>
      </c>
      <c r="G152" s="884">
        <f t="shared" si="7"/>
        <v>0.98391040000000007</v>
      </c>
      <c r="H152" s="893">
        <f>('A. Dades de partida'!$D$10*E152+(120*(I152-E152)/'A. Dades de partida'!$D$10))/'A. Dades de partida'!$D$10</f>
        <v>2.904026453333334</v>
      </c>
      <c r="I152" s="884">
        <f t="shared" si="8"/>
        <v>3.4884096000000007</v>
      </c>
      <c r="J152" s="884">
        <f>IF(C152=1,F152*'3. Aigua-Resid '!$N$80,F152*'3. Aigua-Resid '!$N$82)</f>
        <v>2.5044992000000006</v>
      </c>
      <c r="K152" s="899">
        <f>('A. Dades de partida'!$D$10*D152+(120*(E152-D152)/'A. Dades de partida'!$D$10))/'A. Dades de partida'!$D$10</f>
        <v>2.0078853333333337</v>
      </c>
    </row>
    <row r="153" spans="1:11">
      <c r="A153" s="835">
        <v>8150</v>
      </c>
      <c r="B153" s="826" t="s">
        <v>1301</v>
      </c>
      <c r="C153" s="835">
        <v>0</v>
      </c>
      <c r="D153" s="835">
        <v>1.21</v>
      </c>
      <c r="E153" s="884">
        <f>D153+D153*'3. Aigua-Resid '!$N$72</f>
        <v>1.5488</v>
      </c>
      <c r="F153" s="884">
        <f t="shared" si="6"/>
        <v>0.8673280000000001</v>
      </c>
      <c r="G153" s="884">
        <f t="shared" si="7"/>
        <v>0.68147199999999986</v>
      </c>
      <c r="H153" s="893">
        <f>('A. Dades de partida'!$D$10*E153+(120*(I153-E153)/'A. Dades de partida'!$D$10))/'A. Dades de partida'!$D$10</f>
        <v>2.0113749333333333</v>
      </c>
      <c r="I153" s="884">
        <f t="shared" si="8"/>
        <v>2.4161280000000001</v>
      </c>
      <c r="J153" s="884">
        <f>IF(C153=1,F153*'3. Aigua-Resid '!$N$80,F153*'3. Aigua-Resid '!$N$82)</f>
        <v>1.7346560000000002</v>
      </c>
      <c r="K153" s="899">
        <f>('A. Dades de partida'!$D$10*D153+(120*(E153-D153)/'A. Dades de partida'!$D$10))/'A. Dades de partida'!$D$10</f>
        <v>1.3906933333333333</v>
      </c>
    </row>
    <row r="154" spans="1:11">
      <c r="A154" s="835">
        <v>8151</v>
      </c>
      <c r="B154" s="826" t="s">
        <v>1304</v>
      </c>
      <c r="C154" s="835">
        <v>0</v>
      </c>
      <c r="D154" s="835">
        <v>2.052</v>
      </c>
      <c r="E154" s="884">
        <f>D154+D154*'3. Aigua-Resid '!$N$72</f>
        <v>2.62656</v>
      </c>
      <c r="F154" s="884">
        <f t="shared" si="6"/>
        <v>1.4708736000000002</v>
      </c>
      <c r="G154" s="884">
        <f t="shared" si="7"/>
        <v>1.1556863999999998</v>
      </c>
      <c r="H154" s="893">
        <f>('A. Dades de partida'!$D$10*E154+(120*(I154-E154)/'A. Dades de partida'!$D$10))/'A. Dades de partida'!$D$10</f>
        <v>3.4110259200000002</v>
      </c>
      <c r="I154" s="884">
        <f t="shared" si="8"/>
        <v>4.0974336000000005</v>
      </c>
      <c r="J154" s="884">
        <f>IF(C154=1,F154*'3. Aigua-Resid '!$N$80,F154*'3. Aigua-Resid '!$N$82)</f>
        <v>2.9417472000000005</v>
      </c>
      <c r="K154" s="899">
        <f>('A. Dades de partida'!$D$10*D154+(120*(E154-D154)/'A. Dades de partida'!$D$10))/'A. Dades de partida'!$D$10</f>
        <v>2.3584320000000001</v>
      </c>
    </row>
    <row r="155" spans="1:11">
      <c r="A155" s="835">
        <v>8152</v>
      </c>
      <c r="B155" s="826" t="s">
        <v>1306</v>
      </c>
      <c r="C155" s="835">
        <v>0</v>
      </c>
      <c r="D155" s="835">
        <v>1.6259999999999999</v>
      </c>
      <c r="E155" s="884">
        <f>D155+D155*'3. Aigua-Resid '!$N$72</f>
        <v>2.08128</v>
      </c>
      <c r="F155" s="884">
        <f t="shared" si="6"/>
        <v>1.1655168</v>
      </c>
      <c r="G155" s="884">
        <f t="shared" si="7"/>
        <v>0.9157632</v>
      </c>
      <c r="H155" s="893">
        <f>('A. Dades de partida'!$D$10*E155+(120*(I155-E155)/'A. Dades de partida'!$D$10))/'A. Dades de partida'!$D$10</f>
        <v>2.7028889600000006</v>
      </c>
      <c r="I155" s="884">
        <f t="shared" si="8"/>
        <v>3.2467968000000003</v>
      </c>
      <c r="J155" s="884">
        <f>IF(C155=1,F155*'3. Aigua-Resid '!$N$80,F155*'3. Aigua-Resid '!$N$82)</f>
        <v>2.3310336</v>
      </c>
      <c r="K155" s="899">
        <f>('A. Dades de partida'!$D$10*D155+(120*(E155-D155)/'A. Dades de partida'!$D$10))/'A. Dades de partida'!$D$10</f>
        <v>1.8688159999999998</v>
      </c>
    </row>
    <row r="156" spans="1:11">
      <c r="A156" s="835">
        <v>8153</v>
      </c>
      <c r="B156" s="826" t="s">
        <v>1309</v>
      </c>
      <c r="C156" s="835">
        <v>1</v>
      </c>
      <c r="D156" s="835">
        <v>2.6</v>
      </c>
      <c r="E156" s="884">
        <f>D156+D156*'3. Aigua-Resid '!$N$72</f>
        <v>3.3280000000000003</v>
      </c>
      <c r="F156" s="884">
        <f t="shared" si="6"/>
        <v>1.8636800000000004</v>
      </c>
      <c r="G156" s="884">
        <f t="shared" si="7"/>
        <v>1.4643199999999998</v>
      </c>
      <c r="H156" s="893">
        <f>('A. Dades de partida'!$D$10*E156+(120*(I156-E156)/'A. Dades de partida'!$D$10))/'A. Dades de partida'!$D$10</f>
        <v>5.4898688</v>
      </c>
      <c r="I156" s="884">
        <f t="shared" si="8"/>
        <v>7.3815040000000005</v>
      </c>
      <c r="J156" s="884">
        <f>IF(C156=1,F156*'3. Aigua-Resid '!$N$80,F156*'3. Aigua-Resid '!$N$82)</f>
        <v>5.9171840000000007</v>
      </c>
      <c r="K156" s="899">
        <f>('A. Dades de partida'!$D$10*D156+(120*(E156-D156)/'A. Dades de partida'!$D$10))/'A. Dades de partida'!$D$10</f>
        <v>2.9882666666666666</v>
      </c>
    </row>
    <row r="157" spans="1:11">
      <c r="A157" s="835">
        <v>8154</v>
      </c>
      <c r="B157" s="826" t="s">
        <v>1310</v>
      </c>
      <c r="C157" s="835">
        <v>1</v>
      </c>
      <c r="D157" s="835">
        <v>1.665</v>
      </c>
      <c r="E157" s="884">
        <f>D157+D157*'3. Aigua-Resid '!$N$72</f>
        <v>2.1312000000000002</v>
      </c>
      <c r="F157" s="884">
        <f t="shared" si="6"/>
        <v>1.1934720000000003</v>
      </c>
      <c r="G157" s="884">
        <f t="shared" si="7"/>
        <v>0.93772799999999989</v>
      </c>
      <c r="H157" s="893">
        <f>('A. Dades de partida'!$D$10*E157+(120*(I157-E157)/'A. Dades de partida'!$D$10))/'A. Dades de partida'!$D$10</f>
        <v>3.5156275200000011</v>
      </c>
      <c r="I157" s="884">
        <f t="shared" si="8"/>
        <v>4.7270016000000012</v>
      </c>
      <c r="J157" s="884">
        <f>IF(C157=1,F157*'3. Aigua-Resid '!$N$80,F157*'3. Aigua-Resid '!$N$82)</f>
        <v>3.7892736000000009</v>
      </c>
      <c r="K157" s="899">
        <f>('A. Dades de partida'!$D$10*D157+(120*(E157-D157)/'A. Dades de partida'!$D$10))/'A. Dades de partida'!$D$10</f>
        <v>1.9136400000000002</v>
      </c>
    </row>
    <row r="158" spans="1:11">
      <c r="A158" s="835">
        <v>8155</v>
      </c>
      <c r="B158" s="826" t="s">
        <v>1311</v>
      </c>
      <c r="C158" s="835">
        <v>1</v>
      </c>
      <c r="D158" s="835">
        <v>2.54</v>
      </c>
      <c r="E158" s="884">
        <f>D158+D158*'3. Aigua-Resid '!$N$72</f>
        <v>3.2511999999999999</v>
      </c>
      <c r="F158" s="884">
        <f t="shared" si="6"/>
        <v>1.8206720000000001</v>
      </c>
      <c r="G158" s="884">
        <f t="shared" si="7"/>
        <v>1.4305279999999998</v>
      </c>
      <c r="H158" s="893">
        <f>('A. Dades de partida'!$D$10*E158+(120*(I158-E158)/'A. Dades de partida'!$D$10))/'A. Dades de partida'!$D$10</f>
        <v>5.3631795200000001</v>
      </c>
      <c r="I158" s="884">
        <f t="shared" si="8"/>
        <v>7.2111615999999996</v>
      </c>
      <c r="J158" s="884">
        <f>IF(C158=1,F158*'3. Aigua-Resid '!$N$80,F158*'3. Aigua-Resid '!$N$82)</f>
        <v>5.7806335999999998</v>
      </c>
      <c r="K158" s="899">
        <f>('A. Dades de partida'!$D$10*D158+(120*(E158-D158)/'A. Dades de partida'!$D$10))/'A. Dades de partida'!$D$10</f>
        <v>2.9193066666666665</v>
      </c>
    </row>
    <row r="159" spans="1:11">
      <c r="A159" s="835">
        <v>8156</v>
      </c>
      <c r="B159" s="826" t="s">
        <v>1316</v>
      </c>
      <c r="C159" s="835">
        <v>1</v>
      </c>
      <c r="D159" s="835">
        <v>1.8180000000000001</v>
      </c>
      <c r="E159" s="884">
        <f>D159+D159*'3. Aigua-Resid '!$N$72</f>
        <v>2.3270400000000002</v>
      </c>
      <c r="F159" s="884">
        <f t="shared" si="6"/>
        <v>1.3031424000000003</v>
      </c>
      <c r="G159" s="884">
        <f t="shared" si="7"/>
        <v>1.0238976</v>
      </c>
      <c r="H159" s="893">
        <f>('A. Dades de partida'!$D$10*E159+(120*(I159-E159)/'A. Dades de partida'!$D$10))/'A. Dades de partida'!$D$10</f>
        <v>3.8386851840000005</v>
      </c>
      <c r="I159" s="884">
        <f t="shared" si="8"/>
        <v>5.1613747200000004</v>
      </c>
      <c r="J159" s="884">
        <f>IF(C159=1,F159*'3. Aigua-Resid '!$N$80,F159*'3. Aigua-Resid '!$N$82)</f>
        <v>4.1374771200000007</v>
      </c>
      <c r="K159" s="899">
        <f>('A. Dades de partida'!$D$10*D159+(120*(E159-D159)/'A. Dades de partida'!$D$10))/'A. Dades de partida'!$D$10</f>
        <v>2.0894880000000002</v>
      </c>
    </row>
    <row r="160" spans="1:11">
      <c r="A160" s="835">
        <v>8157</v>
      </c>
      <c r="B160" s="826" t="s">
        <v>1320</v>
      </c>
      <c r="C160" s="835">
        <v>1</v>
      </c>
      <c r="D160" s="835">
        <v>2.4809999999999999</v>
      </c>
      <c r="E160" s="884">
        <f>D160+D160*'3. Aigua-Resid '!$N$72</f>
        <v>3.1756799999999998</v>
      </c>
      <c r="F160" s="884">
        <f t="shared" si="6"/>
        <v>1.7783808000000001</v>
      </c>
      <c r="G160" s="884">
        <f t="shared" si="7"/>
        <v>1.3972991999999997</v>
      </c>
      <c r="H160" s="893">
        <f>('A. Dades de partida'!$D$10*E160+(120*(I160-E160)/'A. Dades de partida'!$D$10))/'A. Dades de partida'!$D$10</f>
        <v>5.2386017279999999</v>
      </c>
      <c r="I160" s="884">
        <f t="shared" si="8"/>
        <v>7.0436582400000001</v>
      </c>
      <c r="J160" s="884">
        <f>IF(C160=1,F160*'3. Aigua-Resid '!$N$80,F160*'3. Aigua-Resid '!$N$82)</f>
        <v>5.6463590400000001</v>
      </c>
      <c r="K160" s="899">
        <f>('A. Dades de partida'!$D$10*D160+(120*(E160-D160)/'A. Dades de partida'!$D$10))/'A. Dades de partida'!$D$10</f>
        <v>2.8514959999999996</v>
      </c>
    </row>
    <row r="161" spans="1:11">
      <c r="A161" s="835">
        <v>8158</v>
      </c>
      <c r="B161" s="826" t="s">
        <v>1324</v>
      </c>
      <c r="C161" s="835">
        <v>1</v>
      </c>
      <c r="D161" s="835">
        <v>2.4809999999999999</v>
      </c>
      <c r="E161" s="884">
        <f>D161+D161*'3. Aigua-Resid '!$N$72</f>
        <v>3.1756799999999998</v>
      </c>
      <c r="F161" s="884">
        <f t="shared" si="6"/>
        <v>1.7783808000000001</v>
      </c>
      <c r="G161" s="884">
        <f t="shared" si="7"/>
        <v>1.3972991999999997</v>
      </c>
      <c r="H161" s="893">
        <f>('A. Dades de partida'!$D$10*E161+(120*(I161-E161)/'A. Dades de partida'!$D$10))/'A. Dades de partida'!$D$10</f>
        <v>5.2386017279999999</v>
      </c>
      <c r="I161" s="884">
        <f t="shared" si="8"/>
        <v>7.0436582400000001</v>
      </c>
      <c r="J161" s="884">
        <f>IF(C161=1,F161*'3. Aigua-Resid '!$N$80,F161*'3. Aigua-Resid '!$N$82)</f>
        <v>5.6463590400000001</v>
      </c>
      <c r="K161" s="899">
        <f>('A. Dades de partida'!$D$10*D161+(120*(E161-D161)/'A. Dades de partida'!$D$10))/'A. Dades de partida'!$D$10</f>
        <v>2.8514959999999996</v>
      </c>
    </row>
    <row r="162" spans="1:11">
      <c r="A162" s="835">
        <v>8159</v>
      </c>
      <c r="B162" s="826" t="s">
        <v>1325</v>
      </c>
      <c r="C162" s="835">
        <v>1</v>
      </c>
      <c r="D162" s="835">
        <v>1.417</v>
      </c>
      <c r="E162" s="884">
        <f>D162+D162*'3. Aigua-Resid '!$N$72</f>
        <v>1.81376</v>
      </c>
      <c r="F162" s="884">
        <f t="shared" si="6"/>
        <v>1.0157056000000002</v>
      </c>
      <c r="G162" s="884">
        <f t="shared" si="7"/>
        <v>0.79805439999999983</v>
      </c>
      <c r="H162" s="893">
        <f>('A. Dades de partida'!$D$10*E162+(120*(I162-E162)/'A. Dades de partida'!$D$10))/'A. Dades de partida'!$D$10</f>
        <v>2.9919784960000002</v>
      </c>
      <c r="I162" s="884">
        <f t="shared" si="8"/>
        <v>4.0229196800000002</v>
      </c>
      <c r="J162" s="884">
        <f>IF(C162=1,F162*'3. Aigua-Resid '!$N$80,F162*'3. Aigua-Resid '!$N$82)</f>
        <v>3.2248652800000004</v>
      </c>
      <c r="K162" s="899">
        <f>('A. Dades de partida'!$D$10*D162+(120*(E162-D162)/'A. Dades de partida'!$D$10))/'A. Dades de partida'!$D$10</f>
        <v>1.6286053333333332</v>
      </c>
    </row>
    <row r="163" spans="1:11">
      <c r="A163" s="835">
        <v>8160</v>
      </c>
      <c r="B163" s="826" t="s">
        <v>1326</v>
      </c>
      <c r="C163" s="835">
        <v>0</v>
      </c>
      <c r="D163" s="835">
        <v>2.5409999999999999</v>
      </c>
      <c r="E163" s="884">
        <f>D163+D163*'3. Aigua-Resid '!$N$72</f>
        <v>3.2524799999999998</v>
      </c>
      <c r="F163" s="884">
        <f t="shared" si="6"/>
        <v>1.8213888</v>
      </c>
      <c r="G163" s="884">
        <f t="shared" si="7"/>
        <v>1.4310911999999998</v>
      </c>
      <c r="H163" s="893">
        <f>('A. Dades de partida'!$D$10*E163+(120*(I163-E163)/'A. Dades de partida'!$D$10))/'A. Dades de partida'!$D$10</f>
        <v>4.22388736</v>
      </c>
      <c r="I163" s="884">
        <f t="shared" si="8"/>
        <v>5.0738687999999996</v>
      </c>
      <c r="J163" s="884">
        <f>IF(C163=1,F163*'3. Aigua-Resid '!$N$80,F163*'3. Aigua-Resid '!$N$82)</f>
        <v>3.6427776000000001</v>
      </c>
      <c r="K163" s="899">
        <f>('A. Dades de partida'!$D$10*D163+(120*(E163-D163)/'A. Dades de partida'!$D$10))/'A. Dades de partida'!$D$10</f>
        <v>2.9204560000000002</v>
      </c>
    </row>
    <row r="164" spans="1:11">
      <c r="A164" s="835">
        <v>8161</v>
      </c>
      <c r="B164" s="826" t="s">
        <v>1330</v>
      </c>
      <c r="C164" s="835">
        <v>1</v>
      </c>
      <c r="D164" s="835">
        <v>3.1930000000000001</v>
      </c>
      <c r="E164" s="884">
        <f>D164+D164*'3. Aigua-Resid '!$N$72</f>
        <v>4.08704</v>
      </c>
      <c r="F164" s="884">
        <f t="shared" si="6"/>
        <v>2.2887424000000003</v>
      </c>
      <c r="G164" s="884">
        <f t="shared" si="7"/>
        <v>1.7982975999999997</v>
      </c>
      <c r="H164" s="893">
        <f>('A. Dades de partida'!$D$10*E164+(120*(I164-E164)/'A. Dades de partida'!$D$10))/'A. Dades de partida'!$D$10</f>
        <v>6.7419811839999992</v>
      </c>
      <c r="I164" s="884">
        <f t="shared" si="8"/>
        <v>9.0650547199999991</v>
      </c>
      <c r="J164" s="884">
        <f>IF(C164=1,F164*'3. Aigua-Resid '!$N$80,F164*'3. Aigua-Resid '!$N$82)</f>
        <v>7.2667571200000003</v>
      </c>
      <c r="K164" s="899">
        <f>('A. Dades de partida'!$D$10*D164+(120*(E164-D164)/'A. Dades de partida'!$D$10))/'A. Dades de partida'!$D$10</f>
        <v>3.6698213333333332</v>
      </c>
    </row>
    <row r="165" spans="1:11">
      <c r="A165" s="835">
        <v>8162</v>
      </c>
      <c r="B165" s="826" t="s">
        <v>1334</v>
      </c>
      <c r="C165" s="835">
        <v>1</v>
      </c>
      <c r="D165" s="835">
        <v>2.4119999999999999</v>
      </c>
      <c r="E165" s="884">
        <f>D165+D165*'3. Aigua-Resid '!$N$72</f>
        <v>3.0873599999999999</v>
      </c>
      <c r="F165" s="884">
        <f t="shared" si="6"/>
        <v>1.7289216000000001</v>
      </c>
      <c r="G165" s="884">
        <f t="shared" si="7"/>
        <v>1.3584383999999998</v>
      </c>
      <c r="H165" s="893">
        <f>('A. Dades de partida'!$D$10*E165+(120*(I165-E165)/'A. Dades de partida'!$D$10))/'A. Dades de partida'!$D$10</f>
        <v>5.0929090559999999</v>
      </c>
      <c r="I165" s="884">
        <f t="shared" si="8"/>
        <v>6.8477644799999995</v>
      </c>
      <c r="J165" s="884">
        <f>IF(C165=1,F165*'3. Aigua-Resid '!$N$80,F165*'3. Aigua-Resid '!$N$82)</f>
        <v>5.4893260799999997</v>
      </c>
      <c r="K165" s="899">
        <f>('A. Dades de partida'!$D$10*D165+(120*(E165-D165)/'A. Dades de partida'!$D$10))/'A. Dades de partida'!$D$10</f>
        <v>2.772192</v>
      </c>
    </row>
    <row r="166" spans="1:11">
      <c r="A166" s="835">
        <v>8163</v>
      </c>
      <c r="B166" s="826" t="s">
        <v>347</v>
      </c>
      <c r="C166" s="835">
        <v>1</v>
      </c>
      <c r="D166" s="835">
        <v>1.9750000000000001</v>
      </c>
      <c r="E166" s="884">
        <f>D166+D166*'3. Aigua-Resid '!$N$72</f>
        <v>2.528</v>
      </c>
      <c r="F166" s="884">
        <f t="shared" si="6"/>
        <v>1.41568</v>
      </c>
      <c r="G166" s="884">
        <f t="shared" si="7"/>
        <v>1.11232</v>
      </c>
      <c r="H166" s="893">
        <f>('A. Dades de partida'!$D$10*E166+(120*(I166-E166)/'A. Dades de partida'!$D$10))/'A. Dades de partida'!$D$10</f>
        <v>4.1701888</v>
      </c>
      <c r="I166" s="884">
        <f t="shared" si="8"/>
        <v>5.6071039999999996</v>
      </c>
      <c r="J166" s="884">
        <f>IF(C166=1,F166*'3. Aigua-Resid '!$N$80,F166*'3. Aigua-Resid '!$N$82)</f>
        <v>4.4947840000000001</v>
      </c>
      <c r="K166" s="899">
        <f>('A. Dades de partida'!$D$10*D166+(120*(E166-D166)/'A. Dades de partida'!$D$10))/'A. Dades de partida'!$D$10</f>
        <v>2.2699333333333334</v>
      </c>
    </row>
    <row r="167" spans="1:11">
      <c r="A167" s="835">
        <v>8164</v>
      </c>
      <c r="B167" s="826" t="s">
        <v>1339</v>
      </c>
      <c r="C167" s="835">
        <v>1</v>
      </c>
      <c r="D167" s="835">
        <v>2.46</v>
      </c>
      <c r="E167" s="884">
        <f>D167+D167*'3. Aigua-Resid '!$N$72</f>
        <v>3.1488</v>
      </c>
      <c r="F167" s="884">
        <f t="shared" si="6"/>
        <v>1.7633280000000002</v>
      </c>
      <c r="G167" s="884">
        <f t="shared" si="7"/>
        <v>1.3854719999999998</v>
      </c>
      <c r="H167" s="893">
        <f>('A. Dades de partida'!$D$10*E167+(120*(I167-E167)/'A. Dades de partida'!$D$10))/'A. Dades de partida'!$D$10</f>
        <v>5.1942604799999996</v>
      </c>
      <c r="I167" s="884">
        <f t="shared" si="8"/>
        <v>6.9840384000000002</v>
      </c>
      <c r="J167" s="884">
        <f>IF(C167=1,F167*'3. Aigua-Resid '!$N$80,F167*'3. Aigua-Resid '!$N$82)</f>
        <v>5.5985664000000002</v>
      </c>
      <c r="K167" s="899">
        <f>('A. Dades de partida'!$D$10*D167+(120*(E167-D167)/'A. Dades de partida'!$D$10))/'A. Dades de partida'!$D$10</f>
        <v>2.8273599999999997</v>
      </c>
    </row>
    <row r="168" spans="1:11">
      <c r="A168" s="835">
        <v>8165</v>
      </c>
      <c r="B168" s="826" t="s">
        <v>1340</v>
      </c>
      <c r="C168" s="835">
        <v>0</v>
      </c>
      <c r="D168" s="835">
        <v>2.1080000000000001</v>
      </c>
      <c r="E168" s="884">
        <f>D168+D168*'3. Aigua-Resid '!$N$72</f>
        <v>2.6982400000000002</v>
      </c>
      <c r="F168" s="884">
        <f t="shared" si="6"/>
        <v>1.5110144000000003</v>
      </c>
      <c r="G168" s="884">
        <f t="shared" si="7"/>
        <v>1.1872255999999999</v>
      </c>
      <c r="H168" s="893">
        <f>('A. Dades de partida'!$D$10*E168+(120*(I168-E168)/'A. Dades de partida'!$D$10))/'A. Dades de partida'!$D$10</f>
        <v>3.5041143466666673</v>
      </c>
      <c r="I168" s="884">
        <f t="shared" si="8"/>
        <v>4.2092544000000007</v>
      </c>
      <c r="J168" s="884">
        <f>IF(C168=1,F168*'3. Aigua-Resid '!$N$80,F168*'3. Aigua-Resid '!$N$82)</f>
        <v>3.0220288000000006</v>
      </c>
      <c r="K168" s="899">
        <f>('A. Dades de partida'!$D$10*D168+(120*(E168-D168)/'A. Dades de partida'!$D$10))/'A. Dades de partida'!$D$10</f>
        <v>2.4227946666666669</v>
      </c>
    </row>
    <row r="169" spans="1:11">
      <c r="A169" s="835">
        <v>8166</v>
      </c>
      <c r="B169" s="826" t="s">
        <v>1343</v>
      </c>
      <c r="C169" s="835">
        <v>0</v>
      </c>
      <c r="D169" s="835">
        <v>1.698</v>
      </c>
      <c r="E169" s="884">
        <f>D169+D169*'3. Aigua-Resid '!$N$72</f>
        <v>2.1734399999999998</v>
      </c>
      <c r="F169" s="884">
        <f t="shared" si="6"/>
        <v>1.2171263999999999</v>
      </c>
      <c r="G169" s="884">
        <f t="shared" si="7"/>
        <v>0.95631359999999987</v>
      </c>
      <c r="H169" s="893">
        <f>('A. Dades de partida'!$D$10*E169+(120*(I169-E169)/'A. Dades de partida'!$D$10))/'A. Dades de partida'!$D$10</f>
        <v>2.8225740800000003</v>
      </c>
      <c r="I169" s="884">
        <f t="shared" si="8"/>
        <v>3.3905664</v>
      </c>
      <c r="J169" s="884">
        <f>IF(C169=1,F169*'3. Aigua-Resid '!$N$80,F169*'3. Aigua-Resid '!$N$82)</f>
        <v>2.4342527999999999</v>
      </c>
      <c r="K169" s="899">
        <f>('A. Dades de partida'!$D$10*D169+(120*(E169-D169)/'A. Dades de partida'!$D$10))/'A. Dades de partida'!$D$10</f>
        <v>1.9515679999999997</v>
      </c>
    </row>
    <row r="170" spans="1:11">
      <c r="A170" s="835">
        <v>8167</v>
      </c>
      <c r="B170" s="826" t="s">
        <v>1349</v>
      </c>
      <c r="C170" s="835">
        <v>1</v>
      </c>
      <c r="D170" s="835">
        <v>1.4570000000000001</v>
      </c>
      <c r="E170" s="884">
        <f>D170+D170*'3. Aigua-Resid '!$N$72</f>
        <v>1.8649600000000002</v>
      </c>
      <c r="F170" s="884">
        <f t="shared" si="6"/>
        <v>1.0443776000000002</v>
      </c>
      <c r="G170" s="884">
        <f t="shared" si="7"/>
        <v>0.82058239999999993</v>
      </c>
      <c r="H170" s="893">
        <f>('A. Dades de partida'!$D$10*E170+(120*(I170-E170)/'A. Dades de partida'!$D$10))/'A. Dades de partida'!$D$10</f>
        <v>3.0764380160000004</v>
      </c>
      <c r="I170" s="884">
        <f t="shared" si="8"/>
        <v>4.1364812800000008</v>
      </c>
      <c r="J170" s="884">
        <f>IF(C170=1,F170*'3. Aigua-Resid '!$N$80,F170*'3. Aigua-Resid '!$N$82)</f>
        <v>3.3158988800000007</v>
      </c>
      <c r="K170" s="899">
        <f>('A. Dades de partida'!$D$10*D170+(120*(E170-D170)/'A. Dades de partida'!$D$10))/'A. Dades de partida'!$D$10</f>
        <v>1.6745786666666667</v>
      </c>
    </row>
    <row r="171" spans="1:11">
      <c r="A171" s="835">
        <v>8168</v>
      </c>
      <c r="B171" s="826" t="s">
        <v>1352</v>
      </c>
      <c r="C171" s="835">
        <v>0</v>
      </c>
      <c r="D171" s="835">
        <v>0.83899999999999997</v>
      </c>
      <c r="E171" s="884">
        <f>D171+D171*'3. Aigua-Resid '!$N$72</f>
        <v>1.07392</v>
      </c>
      <c r="F171" s="884">
        <f t="shared" si="6"/>
        <v>0.60139520000000002</v>
      </c>
      <c r="G171" s="884">
        <f t="shared" si="7"/>
        <v>0.47252479999999997</v>
      </c>
      <c r="H171" s="893">
        <f>('A. Dades de partida'!$D$10*E171+(120*(I171-E171)/'A. Dades de partida'!$D$10))/'A. Dades de partida'!$D$10</f>
        <v>1.3946641066666667</v>
      </c>
      <c r="I171" s="884">
        <f t="shared" si="8"/>
        <v>1.6753152</v>
      </c>
      <c r="J171" s="884">
        <f>IF(C171=1,F171*'3. Aigua-Resid '!$N$80,F171*'3. Aigua-Resid '!$N$82)</f>
        <v>1.2027904</v>
      </c>
      <c r="K171" s="899">
        <f>('A. Dades de partida'!$D$10*D171+(120*(E171-D171)/'A. Dades de partida'!$D$10))/'A. Dades de partida'!$D$10</f>
        <v>0.96429066666666663</v>
      </c>
    </row>
    <row r="172" spans="1:11">
      <c r="A172" s="835">
        <v>8169</v>
      </c>
      <c r="B172" s="826" t="s">
        <v>348</v>
      </c>
      <c r="C172" s="835">
        <v>1</v>
      </c>
      <c r="D172" s="835">
        <v>1.8220000000000001</v>
      </c>
      <c r="E172" s="884">
        <f>D172+D172*'3. Aigua-Resid '!$N$72</f>
        <v>2.33216</v>
      </c>
      <c r="F172" s="884">
        <f t="shared" si="6"/>
        <v>1.3060096000000001</v>
      </c>
      <c r="G172" s="884">
        <f t="shared" si="7"/>
        <v>1.0261503999999999</v>
      </c>
      <c r="H172" s="893">
        <f>('A. Dades de partida'!$D$10*E172+(120*(I172-E172)/'A. Dades de partida'!$D$10))/'A. Dades de partida'!$D$10</f>
        <v>3.8471311359999998</v>
      </c>
      <c r="I172" s="884">
        <f t="shared" si="8"/>
        <v>5.1727308799999996</v>
      </c>
      <c r="J172" s="884">
        <f>IF(C172=1,F172*'3. Aigua-Resid '!$N$80,F172*'3. Aigua-Resid '!$N$82)</f>
        <v>4.1465804799999999</v>
      </c>
      <c r="K172" s="899">
        <f>('A. Dades de partida'!$D$10*D172+(120*(E172-D172)/'A. Dades de partida'!$D$10))/'A. Dades de partida'!$D$10</f>
        <v>2.0940853333333336</v>
      </c>
    </row>
    <row r="173" spans="1:11">
      <c r="A173" s="835">
        <v>8170</v>
      </c>
      <c r="B173" s="826" t="s">
        <v>1359</v>
      </c>
      <c r="C173" s="835">
        <v>0</v>
      </c>
      <c r="D173" s="835">
        <v>1.2370000000000001</v>
      </c>
      <c r="E173" s="884">
        <f>D173+D173*'3. Aigua-Resid '!$N$72</f>
        <v>1.5833600000000001</v>
      </c>
      <c r="F173" s="884">
        <f t="shared" si="6"/>
        <v>0.88668160000000018</v>
      </c>
      <c r="G173" s="884">
        <f t="shared" si="7"/>
        <v>0.69667839999999992</v>
      </c>
      <c r="H173" s="893">
        <f>('A. Dades de partida'!$D$10*E173+(120*(I173-E173)/'A. Dades de partida'!$D$10))/'A. Dades de partida'!$D$10</f>
        <v>2.0562568533333332</v>
      </c>
      <c r="I173" s="884">
        <f t="shared" si="8"/>
        <v>2.4700416000000001</v>
      </c>
      <c r="J173" s="884">
        <f>IF(C173=1,F173*'3. Aigua-Resid '!$N$80,F173*'3. Aigua-Resid '!$N$82)</f>
        <v>1.7733632000000004</v>
      </c>
      <c r="K173" s="899">
        <f>('A. Dades de partida'!$D$10*D173+(120*(E173-D173)/'A. Dades de partida'!$D$10))/'A. Dades de partida'!$D$10</f>
        <v>1.4217253333333333</v>
      </c>
    </row>
    <row r="174" spans="1:11">
      <c r="A174" s="835">
        <v>8171</v>
      </c>
      <c r="B174" s="826" t="s">
        <v>1363</v>
      </c>
      <c r="C174" s="835">
        <v>0</v>
      </c>
      <c r="D174" s="835">
        <v>2.1819999999999999</v>
      </c>
      <c r="E174" s="884">
        <f>D174+D174*'3. Aigua-Resid '!$N$72</f>
        <v>2.7929599999999999</v>
      </c>
      <c r="F174" s="884">
        <f t="shared" si="6"/>
        <v>1.5640576000000002</v>
      </c>
      <c r="G174" s="884">
        <f t="shared" si="7"/>
        <v>1.2289023999999997</v>
      </c>
      <c r="H174" s="893">
        <f>('A. Dades de partida'!$D$10*E174+(120*(I174-E174)/'A. Dades de partida'!$D$10))/'A. Dades de partida'!$D$10</f>
        <v>3.6271240533333331</v>
      </c>
      <c r="I174" s="884">
        <f t="shared" si="8"/>
        <v>4.3570175999999998</v>
      </c>
      <c r="J174" s="884">
        <f>IF(C174=1,F174*'3. Aigua-Resid '!$N$80,F174*'3. Aigua-Resid '!$N$82)</f>
        <v>3.1281152000000003</v>
      </c>
      <c r="K174" s="899">
        <f>('A. Dades de partida'!$D$10*D174+(120*(E174-D174)/'A. Dades de partida'!$D$10))/'A. Dades de partida'!$D$10</f>
        <v>2.507845333333333</v>
      </c>
    </row>
    <row r="175" spans="1:11">
      <c r="A175" s="835">
        <v>8172</v>
      </c>
      <c r="B175" s="826" t="s">
        <v>349</v>
      </c>
      <c r="C175" s="835">
        <v>1</v>
      </c>
      <c r="D175" s="835">
        <v>1.79</v>
      </c>
      <c r="E175" s="884">
        <f>D175+D175*'3. Aigua-Resid '!$N$72</f>
        <v>2.2911999999999999</v>
      </c>
      <c r="F175" s="884">
        <f t="shared" si="6"/>
        <v>1.283072</v>
      </c>
      <c r="G175" s="884">
        <f t="shared" si="7"/>
        <v>1.0081279999999999</v>
      </c>
      <c r="H175" s="893">
        <f>('A. Dades de partida'!$D$10*E175+(120*(I175-E175)/'A. Dades de partida'!$D$10))/'A. Dades de partida'!$D$10</f>
        <v>3.7795635199999995</v>
      </c>
      <c r="I175" s="884">
        <f t="shared" si="8"/>
        <v>5.0818816</v>
      </c>
      <c r="J175" s="884">
        <f>IF(C175=1,F175*'3. Aigua-Resid '!$N$80,F175*'3. Aigua-Resid '!$N$82)</f>
        <v>4.0737535999999999</v>
      </c>
      <c r="K175" s="899">
        <f>('A. Dades de partida'!$D$10*D175+(120*(E175-D175)/'A. Dades de partida'!$D$10))/'A. Dades de partida'!$D$10</f>
        <v>2.0573066666666668</v>
      </c>
    </row>
    <row r="176" spans="1:11">
      <c r="A176" s="835">
        <v>8174</v>
      </c>
      <c r="B176" s="826" t="s">
        <v>1365</v>
      </c>
      <c r="C176" s="835">
        <v>0</v>
      </c>
      <c r="D176" s="835">
        <v>2.3940000000000001</v>
      </c>
      <c r="E176" s="884">
        <f>D176+D176*'3. Aigua-Resid '!$N$72</f>
        <v>3.0643200000000004</v>
      </c>
      <c r="F176" s="884">
        <f t="shared" si="6"/>
        <v>1.7160192000000003</v>
      </c>
      <c r="G176" s="884">
        <f t="shared" si="7"/>
        <v>1.3483008000000001</v>
      </c>
      <c r="H176" s="893">
        <f>('A. Dades de partida'!$D$10*E176+(120*(I176-E176)/'A. Dades de partida'!$D$10))/'A. Dades de partida'!$D$10</f>
        <v>3.9795302400000003</v>
      </c>
      <c r="I176" s="884">
        <f t="shared" si="8"/>
        <v>4.7803392000000002</v>
      </c>
      <c r="J176" s="884">
        <f>IF(C176=1,F176*'3. Aigua-Resid '!$N$80,F176*'3. Aigua-Resid '!$N$82)</f>
        <v>3.4320384000000006</v>
      </c>
      <c r="K176" s="899">
        <f>('A. Dades de partida'!$D$10*D176+(120*(E176-D176)/'A. Dades de partida'!$D$10))/'A. Dades de partida'!$D$10</f>
        <v>2.7515040000000002</v>
      </c>
    </row>
    <row r="177" spans="1:11">
      <c r="A177" s="835">
        <v>8175</v>
      </c>
      <c r="B177" s="826" t="s">
        <v>1366</v>
      </c>
      <c r="C177" s="835">
        <v>0</v>
      </c>
      <c r="D177" s="835">
        <v>1.7509999999999999</v>
      </c>
      <c r="E177" s="884">
        <f>D177+D177*'3. Aigua-Resid '!$N$72</f>
        <v>2.2412799999999997</v>
      </c>
      <c r="F177" s="884">
        <f t="shared" si="6"/>
        <v>1.2551167999999999</v>
      </c>
      <c r="G177" s="884">
        <f t="shared" si="7"/>
        <v>0.9861631999999998</v>
      </c>
      <c r="H177" s="893">
        <f>('A. Dades de partida'!$D$10*E177+(120*(I177-E177)/'A. Dades de partida'!$D$10))/'A. Dades de partida'!$D$10</f>
        <v>2.910675626666666</v>
      </c>
      <c r="I177" s="884">
        <f t="shared" si="8"/>
        <v>3.4963967999999994</v>
      </c>
      <c r="J177" s="884">
        <f>IF(C177=1,F177*'3. Aigua-Resid '!$N$80,F177*'3. Aigua-Resid '!$N$82)</f>
        <v>2.5102335999999998</v>
      </c>
      <c r="K177" s="899">
        <f>('A. Dades de partida'!$D$10*D177+(120*(E177-D177)/'A. Dades de partida'!$D$10))/'A. Dades de partida'!$D$10</f>
        <v>2.0124826666666662</v>
      </c>
    </row>
    <row r="178" spans="1:11">
      <c r="A178" s="835">
        <v>8176</v>
      </c>
      <c r="B178" s="826" t="s">
        <v>1368</v>
      </c>
      <c r="C178" s="835">
        <v>0</v>
      </c>
      <c r="D178" s="835">
        <v>1.956</v>
      </c>
      <c r="E178" s="884">
        <f>D178+D178*'3. Aigua-Resid '!$N$72</f>
        <v>2.5036800000000001</v>
      </c>
      <c r="F178" s="884">
        <f t="shared" si="6"/>
        <v>1.4020608000000001</v>
      </c>
      <c r="G178" s="884">
        <f t="shared" si="7"/>
        <v>1.1016192</v>
      </c>
      <c r="H178" s="893">
        <f>('A. Dades de partida'!$D$10*E178+(120*(I178-E178)/'A. Dades de partida'!$D$10))/'A. Dades de partida'!$D$10</f>
        <v>3.2514457600000002</v>
      </c>
      <c r="I178" s="884">
        <f t="shared" si="8"/>
        <v>3.9057408000000002</v>
      </c>
      <c r="J178" s="884">
        <f>IF(C178=1,F178*'3. Aigua-Resid '!$N$80,F178*'3. Aigua-Resid '!$N$82)</f>
        <v>2.8041216000000002</v>
      </c>
      <c r="K178" s="899">
        <f>('A. Dades de partida'!$D$10*D178+(120*(E178-D178)/'A. Dades de partida'!$D$10))/'A. Dades de partida'!$D$10</f>
        <v>2.2480959999999999</v>
      </c>
    </row>
    <row r="179" spans="1:11">
      <c r="A179" s="835">
        <v>8177</v>
      </c>
      <c r="B179" s="826" t="s">
        <v>1372</v>
      </c>
      <c r="C179" s="835">
        <v>0</v>
      </c>
      <c r="D179" s="835">
        <v>0.73199999999999998</v>
      </c>
      <c r="E179" s="884">
        <f>D179+D179*'3. Aigua-Resid '!$N$72</f>
        <v>0.93696000000000002</v>
      </c>
      <c r="F179" s="884">
        <f t="shared" si="6"/>
        <v>0.5246976000000001</v>
      </c>
      <c r="G179" s="884">
        <f t="shared" si="7"/>
        <v>0.41226239999999992</v>
      </c>
      <c r="H179" s="893">
        <f>('A. Dades de partida'!$D$10*E179+(120*(I179-E179)/'A. Dades de partida'!$D$10))/'A. Dades de partida'!$D$10</f>
        <v>1.2167987200000001</v>
      </c>
      <c r="I179" s="884">
        <f t="shared" si="8"/>
        <v>1.4616576000000001</v>
      </c>
      <c r="J179" s="884">
        <f>IF(C179=1,F179*'3. Aigua-Resid '!$N$80,F179*'3. Aigua-Resid '!$N$82)</f>
        <v>1.0493952000000002</v>
      </c>
      <c r="K179" s="899">
        <f>('A. Dades de partida'!$D$10*D179+(120*(E179-D179)/'A. Dades de partida'!$D$10))/'A. Dades de partida'!$D$10</f>
        <v>0.84131200000000006</v>
      </c>
    </row>
    <row r="180" spans="1:11">
      <c r="A180" s="835">
        <v>8178</v>
      </c>
      <c r="B180" s="826" t="s">
        <v>1375</v>
      </c>
      <c r="C180" s="835">
        <v>0</v>
      </c>
      <c r="D180" s="835">
        <v>2.3069999999999999</v>
      </c>
      <c r="E180" s="884">
        <f>D180+D180*'3. Aigua-Resid '!$N$72</f>
        <v>2.95296</v>
      </c>
      <c r="F180" s="884">
        <f t="shared" si="6"/>
        <v>1.6536576000000003</v>
      </c>
      <c r="G180" s="884">
        <f t="shared" si="7"/>
        <v>1.2993023999999997</v>
      </c>
      <c r="H180" s="893">
        <f>('A. Dades de partida'!$D$10*E180+(120*(I180-E180)/'A. Dades de partida'!$D$10))/'A. Dades de partida'!$D$10</f>
        <v>3.8349107200000003</v>
      </c>
      <c r="I180" s="884">
        <f t="shared" si="8"/>
        <v>4.6066175999999999</v>
      </c>
      <c r="J180" s="884">
        <f>IF(C180=1,F180*'3. Aigua-Resid '!$N$80,F180*'3. Aigua-Resid '!$N$82)</f>
        <v>3.3073152000000006</v>
      </c>
      <c r="K180" s="899">
        <f>('A. Dades de partida'!$D$10*D180+(120*(E180-D180)/'A. Dades de partida'!$D$10))/'A. Dades de partida'!$D$10</f>
        <v>2.6515119999999994</v>
      </c>
    </row>
    <row r="181" spans="1:11">
      <c r="A181" s="835">
        <v>8179</v>
      </c>
      <c r="B181" s="826" t="s">
        <v>1377</v>
      </c>
      <c r="C181" s="835">
        <v>0</v>
      </c>
      <c r="D181" s="835">
        <v>2.3210000000000002</v>
      </c>
      <c r="E181" s="884">
        <f>D181+D181*'3. Aigua-Resid '!$N$72</f>
        <v>2.9708800000000002</v>
      </c>
      <c r="F181" s="884">
        <f t="shared" si="6"/>
        <v>1.6636928000000002</v>
      </c>
      <c r="G181" s="884">
        <f t="shared" si="7"/>
        <v>1.3071872</v>
      </c>
      <c r="H181" s="893">
        <f>('A. Dades de partida'!$D$10*E181+(120*(I181-E181)/'A. Dades de partida'!$D$10))/'A. Dades de partida'!$D$10</f>
        <v>3.8581828266666673</v>
      </c>
      <c r="I181" s="884">
        <f t="shared" si="8"/>
        <v>4.6345728000000008</v>
      </c>
      <c r="J181" s="884">
        <f>IF(C181=1,F181*'3. Aigua-Resid '!$N$80,F181*'3. Aigua-Resid '!$N$82)</f>
        <v>3.3273856000000004</v>
      </c>
      <c r="K181" s="899">
        <f>('A. Dades de partida'!$D$10*D181+(120*(E181-D181)/'A. Dades de partida'!$D$10))/'A. Dades de partida'!$D$10</f>
        <v>2.6676026666666672</v>
      </c>
    </row>
    <row r="182" spans="1:11">
      <c r="A182" s="835">
        <v>8180</v>
      </c>
      <c r="B182" s="826" t="s">
        <v>1383</v>
      </c>
      <c r="C182" s="835">
        <v>1</v>
      </c>
      <c r="D182" s="835">
        <v>1.579</v>
      </c>
      <c r="E182" s="884">
        <f>D182+D182*'3. Aigua-Resid '!$N$72</f>
        <v>2.0211199999999998</v>
      </c>
      <c r="F182" s="884">
        <f t="shared" si="6"/>
        <v>1.1318272</v>
      </c>
      <c r="G182" s="884">
        <f t="shared" si="7"/>
        <v>0.88929279999999977</v>
      </c>
      <c r="H182" s="893">
        <f>('A. Dades de partida'!$D$10*E182+(120*(I182-E182)/'A. Dades de partida'!$D$10))/'A. Dades de partida'!$D$10</f>
        <v>3.3340395519999992</v>
      </c>
      <c r="I182" s="884">
        <f t="shared" si="8"/>
        <v>4.4828441599999991</v>
      </c>
      <c r="J182" s="884">
        <f>IF(C182=1,F182*'3. Aigua-Resid '!$N$80,F182*'3. Aigua-Resid '!$N$82)</f>
        <v>3.5935513599999998</v>
      </c>
      <c r="K182" s="899">
        <f>('A. Dades de partida'!$D$10*D182+(120*(E182-D182)/'A. Dades de partida'!$D$10))/'A. Dades de partida'!$D$10</f>
        <v>1.8147973333333332</v>
      </c>
    </row>
    <row r="183" spans="1:11">
      <c r="A183" s="835">
        <v>8181</v>
      </c>
      <c r="B183" s="826" t="s">
        <v>1384</v>
      </c>
      <c r="C183" s="835">
        <v>1</v>
      </c>
      <c r="D183" s="835">
        <v>1.0469999999999999</v>
      </c>
      <c r="E183" s="884">
        <f>D183+D183*'3. Aigua-Resid '!$N$72</f>
        <v>1.34016</v>
      </c>
      <c r="F183" s="884">
        <f t="shared" si="6"/>
        <v>0.75048960000000009</v>
      </c>
      <c r="G183" s="884">
        <f t="shared" si="7"/>
        <v>0.58967039999999993</v>
      </c>
      <c r="H183" s="893">
        <f>('A. Dades de partida'!$D$10*E183+(120*(I183-E183)/'A. Dades de partida'!$D$10))/'A. Dades de partida'!$D$10</f>
        <v>2.2107279359999996</v>
      </c>
      <c r="I183" s="884">
        <f t="shared" si="8"/>
        <v>2.97247488</v>
      </c>
      <c r="J183" s="884">
        <f>IF(C183=1,F183*'3. Aigua-Resid '!$N$80,F183*'3. Aigua-Resid '!$N$82)</f>
        <v>2.3828044800000003</v>
      </c>
      <c r="K183" s="899">
        <f>('A. Dades de partida'!$D$10*D183+(120*(E183-D183)/'A. Dades de partida'!$D$10))/'A. Dades de partida'!$D$10</f>
        <v>1.203352</v>
      </c>
    </row>
    <row r="184" spans="1:11" ht="30">
      <c r="A184" s="835">
        <v>8182</v>
      </c>
      <c r="B184" s="826" t="s">
        <v>1387</v>
      </c>
      <c r="C184" s="835">
        <v>0</v>
      </c>
      <c r="D184" s="835">
        <v>2.4129999999999998</v>
      </c>
      <c r="E184" s="884">
        <f>D184+D184*'3. Aigua-Resid '!$N$72</f>
        <v>3.0886399999999998</v>
      </c>
      <c r="F184" s="884">
        <f t="shared" si="6"/>
        <v>1.7296384</v>
      </c>
      <c r="G184" s="884">
        <f t="shared" si="7"/>
        <v>1.3590015999999998</v>
      </c>
      <c r="H184" s="893">
        <f>('A. Dades de partida'!$D$10*E184+(120*(I184-E184)/'A. Dades de partida'!$D$10))/'A. Dades de partida'!$D$10</f>
        <v>4.0111138133333331</v>
      </c>
      <c r="I184" s="884">
        <f t="shared" si="8"/>
        <v>4.8182783999999996</v>
      </c>
      <c r="J184" s="884">
        <f>IF(C184=1,F184*'3. Aigua-Resid '!$N$80,F184*'3. Aigua-Resid '!$N$82)</f>
        <v>3.4592768</v>
      </c>
      <c r="K184" s="899">
        <f>('A. Dades de partida'!$D$10*D184+(120*(E184-D184)/'A. Dades de partida'!$D$10))/'A. Dades de partida'!$D$10</f>
        <v>2.7733413333333337</v>
      </c>
    </row>
    <row r="185" spans="1:11">
      <c r="A185" s="835">
        <v>8183</v>
      </c>
      <c r="B185" s="826" t="s">
        <v>1390</v>
      </c>
      <c r="C185" s="835">
        <v>0</v>
      </c>
      <c r="D185" s="835">
        <v>1.61</v>
      </c>
      <c r="E185" s="884">
        <f>D185+D185*'3. Aigua-Resid '!$N$72</f>
        <v>2.0608000000000004</v>
      </c>
      <c r="F185" s="884">
        <f t="shared" si="6"/>
        <v>1.1540480000000004</v>
      </c>
      <c r="G185" s="884">
        <f t="shared" si="7"/>
        <v>0.906752</v>
      </c>
      <c r="H185" s="893">
        <f>('A. Dades de partida'!$D$10*E185+(120*(I185-E185)/'A. Dades de partida'!$D$10))/'A. Dades de partida'!$D$10</f>
        <v>2.6762922666666671</v>
      </c>
      <c r="I185" s="884">
        <f t="shared" si="8"/>
        <v>3.2148480000000008</v>
      </c>
      <c r="J185" s="884">
        <f>IF(C185=1,F185*'3. Aigua-Resid '!$N$80,F185*'3. Aigua-Resid '!$N$82)</f>
        <v>2.3080960000000008</v>
      </c>
      <c r="K185" s="899">
        <f>('A. Dades de partida'!$D$10*D185+(120*(E185-D185)/'A. Dades de partida'!$D$10))/'A. Dades de partida'!$D$10</f>
        <v>1.8504266666666671</v>
      </c>
    </row>
    <row r="186" spans="1:11">
      <c r="A186" s="835">
        <v>8184</v>
      </c>
      <c r="B186" s="826" t="s">
        <v>1394</v>
      </c>
      <c r="C186" s="835">
        <v>1</v>
      </c>
      <c r="D186" s="835">
        <v>2.2080000000000002</v>
      </c>
      <c r="E186" s="884">
        <f>D186+D186*'3. Aigua-Resid '!$N$72</f>
        <v>2.8262400000000003</v>
      </c>
      <c r="F186" s="884">
        <f t="shared" si="6"/>
        <v>1.5826944000000003</v>
      </c>
      <c r="G186" s="884">
        <f t="shared" si="7"/>
        <v>1.2435456</v>
      </c>
      <c r="H186" s="893">
        <f>('A. Dades de partida'!$D$10*E186+(120*(I186-E186)/'A. Dades de partida'!$D$10))/'A. Dades de partida'!$D$10</f>
        <v>4.6621655040000007</v>
      </c>
      <c r="I186" s="884">
        <f t="shared" si="8"/>
        <v>6.2686003200000009</v>
      </c>
      <c r="J186" s="884">
        <f>IF(C186=1,F186*'3. Aigua-Resid '!$N$80,F186*'3. Aigua-Resid '!$N$82)</f>
        <v>5.0250547200000009</v>
      </c>
      <c r="K186" s="899">
        <f>('A. Dades de partida'!$D$10*D186+(120*(E186-D186)/'A. Dades de partida'!$D$10))/'A. Dades de partida'!$D$10</f>
        <v>2.5377280000000004</v>
      </c>
    </row>
    <row r="187" spans="1:11">
      <c r="A187" s="835">
        <v>8185</v>
      </c>
      <c r="B187" s="826" t="s">
        <v>1399</v>
      </c>
      <c r="C187" s="835">
        <v>0</v>
      </c>
      <c r="D187" s="835">
        <v>0.97799999999999998</v>
      </c>
      <c r="E187" s="884">
        <f>D187+D187*'3. Aigua-Resid '!$N$72</f>
        <v>1.2518400000000001</v>
      </c>
      <c r="F187" s="884">
        <f t="shared" si="6"/>
        <v>0.70103040000000005</v>
      </c>
      <c r="G187" s="884">
        <f t="shared" si="7"/>
        <v>0.55080960000000001</v>
      </c>
      <c r="H187" s="893">
        <f>('A. Dades de partida'!$D$10*E187+(120*(I187-E187)/'A. Dades de partida'!$D$10))/'A. Dades de partida'!$D$10</f>
        <v>1.6257228800000001</v>
      </c>
      <c r="I187" s="884">
        <f t="shared" si="8"/>
        <v>1.9528704000000001</v>
      </c>
      <c r="J187" s="884">
        <f>IF(C187=1,F187*'3. Aigua-Resid '!$N$80,F187*'3. Aigua-Resid '!$N$82)</f>
        <v>1.4020608000000001</v>
      </c>
      <c r="K187" s="899">
        <f>('A. Dades de partida'!$D$10*D187+(120*(E187-D187)/'A. Dades de partida'!$D$10))/'A. Dades de partida'!$D$10</f>
        <v>1.1240479999999999</v>
      </c>
    </row>
    <row r="188" spans="1:11">
      <c r="A188" s="835">
        <v>8187</v>
      </c>
      <c r="B188" s="826" t="s">
        <v>947</v>
      </c>
      <c r="C188" s="835">
        <v>1</v>
      </c>
      <c r="D188" s="835">
        <v>1.9510000000000001</v>
      </c>
      <c r="E188" s="884">
        <f>D188+D188*'3. Aigua-Resid '!$N$72</f>
        <v>2.4972799999999999</v>
      </c>
      <c r="F188" s="884">
        <f t="shared" si="6"/>
        <v>1.3984768000000001</v>
      </c>
      <c r="G188" s="884">
        <f t="shared" si="7"/>
        <v>1.0988031999999999</v>
      </c>
      <c r="H188" s="893">
        <f>('A. Dades de partida'!$D$10*E188+(120*(I188-E188)/'A. Dades de partida'!$D$10))/'A. Dades de partida'!$D$10</f>
        <v>4.1195130879999997</v>
      </c>
      <c r="I188" s="884">
        <f t="shared" si="8"/>
        <v>5.5389670400000002</v>
      </c>
      <c r="J188" s="884">
        <f>IF(C188=1,F188*'3. Aigua-Resid '!$N$80,F188*'3. Aigua-Resid '!$N$82)</f>
        <v>4.4401638400000003</v>
      </c>
      <c r="K188" s="899">
        <f>('A. Dades de partida'!$D$10*D188+(120*(E188-D188)/'A. Dades de partida'!$D$10))/'A. Dades de partida'!$D$10</f>
        <v>2.2423493333333329</v>
      </c>
    </row>
    <row r="189" spans="1:11">
      <c r="A189" s="835">
        <v>8188</v>
      </c>
      <c r="B189" s="826" t="s">
        <v>1409</v>
      </c>
      <c r="C189" s="835">
        <v>0</v>
      </c>
      <c r="D189" s="835">
        <v>2.67</v>
      </c>
      <c r="E189" s="884">
        <f>D189+D189*'3. Aigua-Resid '!$N$72</f>
        <v>3.4176000000000002</v>
      </c>
      <c r="F189" s="884">
        <f t="shared" si="6"/>
        <v>1.9138560000000002</v>
      </c>
      <c r="G189" s="884">
        <f t="shared" si="7"/>
        <v>1.503744</v>
      </c>
      <c r="H189" s="893">
        <f>('A. Dades de partida'!$D$10*E189+(120*(I189-E189)/'A. Dades de partida'!$D$10))/'A. Dades de partida'!$D$10</f>
        <v>4.4383232000000001</v>
      </c>
      <c r="I189" s="884">
        <f t="shared" si="8"/>
        <v>5.3314560000000002</v>
      </c>
      <c r="J189" s="884">
        <f>IF(C189=1,F189*'3. Aigua-Resid '!$N$80,F189*'3. Aigua-Resid '!$N$82)</f>
        <v>3.8277120000000004</v>
      </c>
      <c r="K189" s="899">
        <f>('A. Dades de partida'!$D$10*D189+(120*(E189-D189)/'A. Dades de partida'!$D$10))/'A. Dades de partida'!$D$10</f>
        <v>3.0687199999999999</v>
      </c>
    </row>
    <row r="190" spans="1:11">
      <c r="A190" s="835">
        <v>8189</v>
      </c>
      <c r="B190" s="826" t="s">
        <v>1411</v>
      </c>
      <c r="C190" s="835">
        <v>0</v>
      </c>
      <c r="D190" s="835">
        <v>1.2230000000000001</v>
      </c>
      <c r="E190" s="884">
        <f>D190+D190*'3. Aigua-Resid '!$N$72</f>
        <v>1.5654400000000002</v>
      </c>
      <c r="F190" s="884">
        <f t="shared" si="6"/>
        <v>0.87664640000000016</v>
      </c>
      <c r="G190" s="884">
        <f t="shared" si="7"/>
        <v>0.68879360000000001</v>
      </c>
      <c r="H190" s="893">
        <f>('A. Dades de partida'!$D$10*E190+(120*(I190-E190)/'A. Dades de partida'!$D$10))/'A. Dades de partida'!$D$10</f>
        <v>2.0329847466666671</v>
      </c>
      <c r="I190" s="884">
        <f t="shared" si="8"/>
        <v>2.4420864000000004</v>
      </c>
      <c r="J190" s="884">
        <f>IF(C190=1,F190*'3. Aigua-Resid '!$N$80,F190*'3. Aigua-Resid '!$N$82)</f>
        <v>1.7532928000000003</v>
      </c>
      <c r="K190" s="899">
        <f>('A. Dades de partida'!$D$10*D190+(120*(E190-D190)/'A. Dades de partida'!$D$10))/'A. Dades de partida'!$D$10</f>
        <v>1.405634666666667</v>
      </c>
    </row>
    <row r="191" spans="1:11">
      <c r="A191" s="835">
        <v>8190</v>
      </c>
      <c r="B191" s="826" t="s">
        <v>1413</v>
      </c>
      <c r="C191" s="835">
        <v>0</v>
      </c>
      <c r="D191" s="835">
        <v>1.266</v>
      </c>
      <c r="E191" s="884">
        <f>D191+D191*'3. Aigua-Resid '!$N$72</f>
        <v>1.6204800000000001</v>
      </c>
      <c r="F191" s="884">
        <f t="shared" si="6"/>
        <v>0.90746880000000019</v>
      </c>
      <c r="G191" s="884">
        <f t="shared" si="7"/>
        <v>0.71301119999999996</v>
      </c>
      <c r="H191" s="893">
        <f>('A. Dades de partida'!$D$10*E191+(120*(I191-E191)/'A. Dades de partida'!$D$10))/'A. Dades de partida'!$D$10</f>
        <v>2.10446336</v>
      </c>
      <c r="I191" s="884">
        <f t="shared" si="8"/>
        <v>2.5279488000000003</v>
      </c>
      <c r="J191" s="884">
        <f>IF(C191=1,F191*'3. Aigua-Resid '!$N$80,F191*'3. Aigua-Resid '!$N$82)</f>
        <v>1.8149376000000004</v>
      </c>
      <c r="K191" s="899">
        <f>('A. Dades de partida'!$D$10*D191+(120*(E191-D191)/'A. Dades de partida'!$D$10))/'A. Dades de partida'!$D$10</f>
        <v>1.4550560000000001</v>
      </c>
    </row>
    <row r="192" spans="1:11">
      <c r="A192" s="835">
        <v>8191</v>
      </c>
      <c r="B192" s="826" t="s">
        <v>1416</v>
      </c>
      <c r="C192" s="835">
        <v>0</v>
      </c>
      <c r="D192" s="835">
        <v>1.8260000000000001</v>
      </c>
      <c r="E192" s="884">
        <f>D192+D192*'3. Aigua-Resid '!$N$72</f>
        <v>2.3372800000000002</v>
      </c>
      <c r="F192" s="884">
        <f t="shared" si="6"/>
        <v>1.3088768000000002</v>
      </c>
      <c r="G192" s="884">
        <f t="shared" si="7"/>
        <v>1.0284032000000001</v>
      </c>
      <c r="H192" s="893">
        <f>('A. Dades de partida'!$D$10*E192+(120*(I192-E192)/'A. Dades de partida'!$D$10))/'A. Dades de partida'!$D$10</f>
        <v>3.0353476266666672</v>
      </c>
      <c r="I192" s="884">
        <f t="shared" si="8"/>
        <v>3.6461568000000004</v>
      </c>
      <c r="J192" s="884">
        <f>IF(C192=1,F192*'3. Aigua-Resid '!$N$80,F192*'3. Aigua-Resid '!$N$82)</f>
        <v>2.6177536000000003</v>
      </c>
      <c r="K192" s="899">
        <f>('A. Dades de partida'!$D$10*D192+(120*(E192-D192)/'A. Dades de partida'!$D$10))/'A. Dades de partida'!$D$10</f>
        <v>2.0986826666666669</v>
      </c>
    </row>
    <row r="193" spans="1:11">
      <c r="A193" s="835">
        <v>8192</v>
      </c>
      <c r="B193" s="826" t="s">
        <v>1418</v>
      </c>
      <c r="C193" s="835">
        <v>0</v>
      </c>
      <c r="D193" s="835">
        <v>1.758</v>
      </c>
      <c r="E193" s="884">
        <f>D193+D193*'3. Aigua-Resid '!$N$72</f>
        <v>2.2502400000000002</v>
      </c>
      <c r="F193" s="884">
        <f t="shared" si="6"/>
        <v>1.2601344000000003</v>
      </c>
      <c r="G193" s="884">
        <f t="shared" si="7"/>
        <v>0.99010559999999992</v>
      </c>
      <c r="H193" s="893">
        <f>('A. Dades de partida'!$D$10*E193+(120*(I193-E193)/'A. Dades de partida'!$D$10))/'A. Dades de partida'!$D$10</f>
        <v>2.9223116800000004</v>
      </c>
      <c r="I193" s="884">
        <f t="shared" si="8"/>
        <v>3.5103744000000008</v>
      </c>
      <c r="J193" s="884">
        <f>IF(C193=1,F193*'3. Aigua-Resid '!$N$80,F193*'3. Aigua-Resid '!$N$82)</f>
        <v>2.5202688000000006</v>
      </c>
      <c r="K193" s="899">
        <f>('A. Dades de partida'!$D$10*D193+(120*(E193-D193)/'A. Dades de partida'!$D$10))/'A. Dades de partida'!$D$10</f>
        <v>2.0205280000000001</v>
      </c>
    </row>
    <row r="194" spans="1:11">
      <c r="A194" s="835">
        <v>8193</v>
      </c>
      <c r="B194" s="826" t="s">
        <v>1421</v>
      </c>
      <c r="C194" s="835">
        <v>1</v>
      </c>
      <c r="D194" s="835">
        <v>2.262</v>
      </c>
      <c r="E194" s="884">
        <f>D194+D194*'3. Aigua-Resid '!$N$72</f>
        <v>2.8953600000000002</v>
      </c>
      <c r="F194" s="884">
        <f t="shared" si="6"/>
        <v>1.6214016000000002</v>
      </c>
      <c r="G194" s="884">
        <f t="shared" si="7"/>
        <v>1.2739583999999999</v>
      </c>
      <c r="H194" s="893">
        <f>('A. Dades de partida'!$D$10*E194+(120*(I194-E194)/'A. Dades de partida'!$D$10))/'A. Dades de partida'!$D$10</f>
        <v>4.7761858560000006</v>
      </c>
      <c r="I194" s="884">
        <f t="shared" si="8"/>
        <v>6.4219084799999999</v>
      </c>
      <c r="J194" s="884">
        <f>IF(C194=1,F194*'3. Aigua-Resid '!$N$80,F194*'3. Aigua-Resid '!$N$82)</f>
        <v>5.1479500800000002</v>
      </c>
      <c r="K194" s="899">
        <f>('A. Dades de partida'!$D$10*D194+(120*(E194-D194)/'A. Dades de partida'!$D$10))/'A. Dades de partida'!$D$10</f>
        <v>2.5997920000000003</v>
      </c>
    </row>
    <row r="195" spans="1:11">
      <c r="A195" s="835">
        <v>8194</v>
      </c>
      <c r="B195" s="826" t="s">
        <v>350</v>
      </c>
      <c r="C195" s="835">
        <v>1</v>
      </c>
      <c r="D195" s="835">
        <v>2.4809999999999999</v>
      </c>
      <c r="E195" s="884">
        <f>D195+D195*'3. Aigua-Resid '!$N$72</f>
        <v>3.1756799999999998</v>
      </c>
      <c r="F195" s="884">
        <f t="shared" si="6"/>
        <v>1.7783808000000001</v>
      </c>
      <c r="G195" s="884">
        <f t="shared" si="7"/>
        <v>1.3972991999999997</v>
      </c>
      <c r="H195" s="893">
        <f>('A. Dades de partida'!$D$10*E195+(120*(I195-E195)/'A. Dades de partida'!$D$10))/'A. Dades de partida'!$D$10</f>
        <v>5.2386017279999999</v>
      </c>
      <c r="I195" s="884">
        <f t="shared" si="8"/>
        <v>7.0436582400000001</v>
      </c>
      <c r="J195" s="884">
        <f>IF(C195=1,F195*'3. Aigua-Resid '!$N$80,F195*'3. Aigua-Resid '!$N$82)</f>
        <v>5.6463590400000001</v>
      </c>
      <c r="K195" s="899">
        <f>('A. Dades de partida'!$D$10*D195+(120*(E195-D195)/'A. Dades de partida'!$D$10))/'A. Dades de partida'!$D$10</f>
        <v>2.8514959999999996</v>
      </c>
    </row>
    <row r="196" spans="1:11">
      <c r="A196" s="835">
        <v>8195</v>
      </c>
      <c r="B196" s="826" t="s">
        <v>1424</v>
      </c>
      <c r="C196" s="835">
        <v>0</v>
      </c>
      <c r="D196" s="835">
        <v>1.726</v>
      </c>
      <c r="E196" s="884">
        <f>D196+D196*'3. Aigua-Resid '!$N$72</f>
        <v>2.2092800000000001</v>
      </c>
      <c r="F196" s="884">
        <f t="shared" si="6"/>
        <v>1.2371968000000002</v>
      </c>
      <c r="G196" s="884">
        <f t="shared" si="7"/>
        <v>0.97208319999999993</v>
      </c>
      <c r="H196" s="893">
        <f>('A. Dades de partida'!$D$10*E196+(120*(I196-E196)/'A. Dades de partida'!$D$10))/'A. Dades de partida'!$D$10</f>
        <v>2.8691182933333335</v>
      </c>
      <c r="I196" s="884">
        <f t="shared" si="8"/>
        <v>3.4464768000000001</v>
      </c>
      <c r="J196" s="884">
        <f>IF(C196=1,F196*'3. Aigua-Resid '!$N$80,F196*'3. Aigua-Resid '!$N$82)</f>
        <v>2.4743936000000004</v>
      </c>
      <c r="K196" s="899">
        <f>('A. Dades de partida'!$D$10*D196+(120*(E196-D196)/'A. Dades de partida'!$D$10))/'A. Dades de partida'!$D$10</f>
        <v>1.9837493333333334</v>
      </c>
    </row>
    <row r="197" spans="1:11">
      <c r="A197" s="835">
        <v>8196</v>
      </c>
      <c r="B197" s="826" t="s">
        <v>1426</v>
      </c>
      <c r="C197" s="835">
        <v>1</v>
      </c>
      <c r="D197" s="835">
        <v>1.7370000000000001</v>
      </c>
      <c r="E197" s="884">
        <f>D197+D197*'3. Aigua-Resid '!$N$72</f>
        <v>2.22336</v>
      </c>
      <c r="F197" s="884">
        <f t="shared" ref="F197:F260" si="9">0.56*E197</f>
        <v>1.2450816</v>
      </c>
      <c r="G197" s="884">
        <f t="shared" ref="G197:G260" si="10">E197-F197</f>
        <v>0.97827839999999999</v>
      </c>
      <c r="H197" s="893">
        <f>('A. Dades de partida'!$D$10*E197+(120*(I197-E197)/'A. Dades de partida'!$D$10))/'A. Dades de partida'!$D$10</f>
        <v>3.6676546560000003</v>
      </c>
      <c r="I197" s="884">
        <f t="shared" ref="I197:I260" si="11">G197+J197</f>
        <v>4.9314124799999997</v>
      </c>
      <c r="J197" s="884">
        <f>IF(C197=1,F197*'3. Aigua-Resid '!$N$80,F197*'3. Aigua-Resid '!$N$82)</f>
        <v>3.9531340799999999</v>
      </c>
      <c r="K197" s="899">
        <f>('A. Dades de partida'!$D$10*D197+(120*(E197-D197)/'A. Dades de partida'!$D$10))/'A. Dades de partida'!$D$10</f>
        <v>1.9963919999999999</v>
      </c>
    </row>
    <row r="198" spans="1:11" ht="30">
      <c r="A198" s="835">
        <v>8197</v>
      </c>
      <c r="B198" s="826" t="s">
        <v>351</v>
      </c>
      <c r="C198" s="835">
        <v>1</v>
      </c>
      <c r="D198" s="835">
        <v>1.976</v>
      </c>
      <c r="E198" s="884">
        <f>D198+D198*'3. Aigua-Resid '!$N$72</f>
        <v>2.52928</v>
      </c>
      <c r="F198" s="884">
        <f t="shared" si="9"/>
        <v>1.4163968</v>
      </c>
      <c r="G198" s="884">
        <f t="shared" si="10"/>
        <v>1.1128832</v>
      </c>
      <c r="H198" s="893">
        <f>('A. Dades de partida'!$D$10*E198+(120*(I198-E198)/'A. Dades de partida'!$D$10))/'A. Dades de partida'!$D$10</f>
        <v>4.1723002879999997</v>
      </c>
      <c r="I198" s="884">
        <f t="shared" si="11"/>
        <v>5.6099430399999992</v>
      </c>
      <c r="J198" s="884">
        <f>IF(C198=1,F198*'3. Aigua-Resid '!$N$80,F198*'3. Aigua-Resid '!$N$82)</f>
        <v>4.4970598399999995</v>
      </c>
      <c r="K198" s="899">
        <f>('A. Dades de partida'!$D$10*D198+(120*(E198-D198)/'A. Dades de partida'!$D$10))/'A. Dades de partida'!$D$10</f>
        <v>2.2710826666666666</v>
      </c>
    </row>
    <row r="199" spans="1:11">
      <c r="A199" s="835">
        <v>8198</v>
      </c>
      <c r="B199" s="826" t="s">
        <v>1429</v>
      </c>
      <c r="C199" s="835">
        <v>1</v>
      </c>
      <c r="D199" s="835">
        <v>2.0859999999999999</v>
      </c>
      <c r="E199" s="884">
        <f>D199+D199*'3. Aigua-Resid '!$N$72</f>
        <v>2.67008</v>
      </c>
      <c r="F199" s="884">
        <f t="shared" si="9"/>
        <v>1.4952448</v>
      </c>
      <c r="G199" s="884">
        <f t="shared" si="10"/>
        <v>1.1748352</v>
      </c>
      <c r="H199" s="893">
        <f>('A. Dades de partida'!$D$10*E199+(120*(I199-E199)/'A. Dades de partida'!$D$10))/'A. Dades de partida'!$D$10</f>
        <v>4.4045639680000006</v>
      </c>
      <c r="I199" s="884">
        <f t="shared" si="11"/>
        <v>5.92223744</v>
      </c>
      <c r="J199" s="884">
        <f>IF(C199=1,F199*'3. Aigua-Resid '!$N$80,F199*'3. Aigua-Resid '!$N$82)</f>
        <v>4.7474022399999996</v>
      </c>
      <c r="K199" s="899">
        <f>('A. Dades de partida'!$D$10*D199+(120*(E199-D199)/'A. Dades de partida'!$D$10))/'A. Dades de partida'!$D$10</f>
        <v>2.3975093333333333</v>
      </c>
    </row>
    <row r="200" spans="1:11">
      <c r="A200" s="835">
        <v>8199</v>
      </c>
      <c r="B200" s="826" t="s">
        <v>1431</v>
      </c>
      <c r="C200" s="835">
        <v>0</v>
      </c>
      <c r="D200" s="835">
        <v>2.4409999999999998</v>
      </c>
      <c r="E200" s="884">
        <f>D200+D200*'3. Aigua-Resid '!$N$72</f>
        <v>3.1244799999999997</v>
      </c>
      <c r="F200" s="884">
        <f t="shared" si="9"/>
        <v>1.7497088000000001</v>
      </c>
      <c r="G200" s="884">
        <f t="shared" si="10"/>
        <v>1.3747711999999996</v>
      </c>
      <c r="H200" s="893">
        <f>('A. Dades de partida'!$D$10*E200+(120*(I200-E200)/'A. Dades de partida'!$D$10))/'A. Dades de partida'!$D$10</f>
        <v>4.0576580266666671</v>
      </c>
      <c r="I200" s="884">
        <f t="shared" si="11"/>
        <v>4.8741887999999998</v>
      </c>
      <c r="J200" s="884">
        <f>IF(C200=1,F200*'3. Aigua-Resid '!$N$80,F200*'3. Aigua-Resid '!$N$82)</f>
        <v>3.4994176000000001</v>
      </c>
      <c r="K200" s="899">
        <f>('A. Dades de partida'!$D$10*D200+(120*(E200-D200)/'A. Dades de partida'!$D$10))/'A. Dades de partida'!$D$10</f>
        <v>2.8055226666666662</v>
      </c>
    </row>
    <row r="201" spans="1:11">
      <c r="A201" s="835">
        <v>8200</v>
      </c>
      <c r="B201" s="826" t="s">
        <v>1094</v>
      </c>
      <c r="C201" s="835">
        <v>1</v>
      </c>
      <c r="D201" s="835">
        <v>2.4809999999999999</v>
      </c>
      <c r="E201" s="884">
        <f>D201+D201*'3. Aigua-Resid '!$N$72</f>
        <v>3.1756799999999998</v>
      </c>
      <c r="F201" s="884">
        <f t="shared" si="9"/>
        <v>1.7783808000000001</v>
      </c>
      <c r="G201" s="884">
        <f t="shared" si="10"/>
        <v>1.3972991999999997</v>
      </c>
      <c r="H201" s="893">
        <f>('A. Dades de partida'!$D$10*E201+(120*(I201-E201)/'A. Dades de partida'!$D$10))/'A. Dades de partida'!$D$10</f>
        <v>5.2386017279999999</v>
      </c>
      <c r="I201" s="884">
        <f t="shared" si="11"/>
        <v>7.0436582400000001</v>
      </c>
      <c r="J201" s="884">
        <f>IF(C201=1,F201*'3. Aigua-Resid '!$N$80,F201*'3. Aigua-Resid '!$N$82)</f>
        <v>5.6463590400000001</v>
      </c>
      <c r="K201" s="899">
        <f>('A. Dades de partida'!$D$10*D201+(120*(E201-D201)/'A. Dades de partida'!$D$10))/'A. Dades de partida'!$D$10</f>
        <v>2.8514959999999996</v>
      </c>
    </row>
    <row r="202" spans="1:11">
      <c r="A202" s="835">
        <v>8201</v>
      </c>
      <c r="B202" s="826" t="s">
        <v>1435</v>
      </c>
      <c r="C202" s="835">
        <v>0</v>
      </c>
      <c r="D202" s="835">
        <v>2.2000000000000002</v>
      </c>
      <c r="E202" s="884">
        <f>D202+D202*'3. Aigua-Resid '!$N$72</f>
        <v>2.8160000000000003</v>
      </c>
      <c r="F202" s="884">
        <f t="shared" si="9"/>
        <v>1.5769600000000004</v>
      </c>
      <c r="G202" s="884">
        <f t="shared" si="10"/>
        <v>1.2390399999999999</v>
      </c>
      <c r="H202" s="893">
        <f>('A. Dades de partida'!$D$10*E202+(120*(I202-E202)/'A. Dades de partida'!$D$10))/'A. Dades de partida'!$D$10</f>
        <v>3.6570453333333339</v>
      </c>
      <c r="I202" s="884">
        <f t="shared" si="11"/>
        <v>4.3929600000000004</v>
      </c>
      <c r="J202" s="884">
        <f>IF(C202=1,F202*'3. Aigua-Resid '!$N$80,F202*'3. Aigua-Resid '!$N$82)</f>
        <v>3.1539200000000007</v>
      </c>
      <c r="K202" s="899">
        <f>('A. Dades de partida'!$D$10*D202+(120*(E202-D202)/'A. Dades de partida'!$D$10))/'A. Dades de partida'!$D$10</f>
        <v>2.5285333333333333</v>
      </c>
    </row>
    <row r="203" spans="1:11">
      <c r="A203" s="835">
        <v>8202</v>
      </c>
      <c r="B203" s="826" t="s">
        <v>1437</v>
      </c>
      <c r="C203" s="835">
        <v>0</v>
      </c>
      <c r="D203" s="835">
        <v>1.33</v>
      </c>
      <c r="E203" s="884">
        <f>D203+D203*'3. Aigua-Resid '!$N$72</f>
        <v>1.7024000000000001</v>
      </c>
      <c r="F203" s="884">
        <f t="shared" si="9"/>
        <v>0.95334400000000019</v>
      </c>
      <c r="G203" s="884">
        <f t="shared" si="10"/>
        <v>0.74905599999999994</v>
      </c>
      <c r="H203" s="893">
        <f>('A. Dades de partida'!$D$10*E203+(120*(I203-E203)/'A. Dades de partida'!$D$10))/'A. Dades de partida'!$D$10</f>
        <v>2.2108501333333335</v>
      </c>
      <c r="I203" s="884">
        <f t="shared" si="11"/>
        <v>2.6557440000000003</v>
      </c>
      <c r="J203" s="884">
        <f>IF(C203=1,F203*'3. Aigua-Resid '!$N$80,F203*'3. Aigua-Resid '!$N$82)</f>
        <v>1.9066880000000004</v>
      </c>
      <c r="K203" s="899">
        <f>('A. Dades de partida'!$D$10*D203+(120*(E203-D203)/'A. Dades de partida'!$D$10))/'A. Dades de partida'!$D$10</f>
        <v>1.5286133333333334</v>
      </c>
    </row>
    <row r="204" spans="1:11">
      <c r="A204" s="835">
        <v>8203</v>
      </c>
      <c r="B204" s="826" t="s">
        <v>1443</v>
      </c>
      <c r="C204" s="835">
        <v>1</v>
      </c>
      <c r="D204" s="835">
        <v>2.8010000000000002</v>
      </c>
      <c r="E204" s="884">
        <f>D204+D204*'3. Aigua-Resid '!$N$72</f>
        <v>3.58528</v>
      </c>
      <c r="F204" s="884">
        <f t="shared" si="9"/>
        <v>2.0077568000000001</v>
      </c>
      <c r="G204" s="884">
        <f t="shared" si="10"/>
        <v>1.5775231999999999</v>
      </c>
      <c r="H204" s="893">
        <f>('A. Dades de partida'!$D$10*E204+(120*(I204-E204)/'A. Dades de partida'!$D$10))/'A. Dades de partida'!$D$10</f>
        <v>5.914277888</v>
      </c>
      <c r="I204" s="884">
        <f t="shared" si="11"/>
        <v>7.9521510399999995</v>
      </c>
      <c r="J204" s="884">
        <f>IF(C204=1,F204*'3. Aigua-Resid '!$N$80,F204*'3. Aigua-Resid '!$N$82)</f>
        <v>6.3746278399999996</v>
      </c>
      <c r="K204" s="899">
        <f>('A. Dades de partida'!$D$10*D204+(120*(E204-D204)/'A. Dades de partida'!$D$10))/'A. Dades de partida'!$D$10</f>
        <v>3.2192826666666665</v>
      </c>
    </row>
    <row r="205" spans="1:11">
      <c r="A205" s="835">
        <v>8204</v>
      </c>
      <c r="B205" s="826" t="s">
        <v>1446</v>
      </c>
      <c r="C205" s="835">
        <v>1</v>
      </c>
      <c r="D205" s="835">
        <v>2.7349999999999999</v>
      </c>
      <c r="E205" s="884">
        <f>D205+D205*'3. Aigua-Resid '!$N$72</f>
        <v>3.5007999999999999</v>
      </c>
      <c r="F205" s="884">
        <f t="shared" si="9"/>
        <v>1.9604480000000002</v>
      </c>
      <c r="G205" s="884">
        <f t="shared" si="10"/>
        <v>1.5403519999999997</v>
      </c>
      <c r="H205" s="893">
        <f>('A. Dades de partida'!$D$10*E205+(120*(I205-E205)/'A. Dades de partida'!$D$10))/'A. Dades de partida'!$D$10</f>
        <v>5.7749196799999991</v>
      </c>
      <c r="I205" s="884">
        <f t="shared" si="11"/>
        <v>7.7647743999999994</v>
      </c>
      <c r="J205" s="884">
        <f>IF(C205=1,F205*'3. Aigua-Resid '!$N$80,F205*'3. Aigua-Resid '!$N$82)</f>
        <v>6.2244223999999999</v>
      </c>
      <c r="K205" s="899">
        <f>('A. Dades de partida'!$D$10*D205+(120*(E205-D205)/'A. Dades de partida'!$D$10))/'A. Dades de partida'!$D$10</f>
        <v>3.1434266666666661</v>
      </c>
    </row>
    <row r="206" spans="1:11">
      <c r="A206" s="835">
        <v>8205</v>
      </c>
      <c r="B206" s="826" t="s">
        <v>1450</v>
      </c>
      <c r="C206" s="835">
        <v>1</v>
      </c>
      <c r="D206" s="835">
        <v>2.4729999999999999</v>
      </c>
      <c r="E206" s="884">
        <f>D206+D206*'3. Aigua-Resid '!$N$72</f>
        <v>3.1654399999999998</v>
      </c>
      <c r="F206" s="884">
        <f t="shared" si="9"/>
        <v>1.7726464</v>
      </c>
      <c r="G206" s="884">
        <f t="shared" si="10"/>
        <v>1.3927935999999999</v>
      </c>
      <c r="H206" s="893">
        <f>('A. Dades de partida'!$D$10*E206+(120*(I206-E206)/'A. Dades de partida'!$D$10))/'A. Dades de partida'!$D$10</f>
        <v>5.2217098240000004</v>
      </c>
      <c r="I206" s="884">
        <f t="shared" si="11"/>
        <v>7.02094592</v>
      </c>
      <c r="J206" s="884">
        <f>IF(C206=1,F206*'3. Aigua-Resid '!$N$80,F206*'3. Aigua-Resid '!$N$82)</f>
        <v>5.6281523199999999</v>
      </c>
      <c r="K206" s="899">
        <f>('A. Dades de partida'!$D$10*D206+(120*(E206-D206)/'A. Dades de partida'!$D$10))/'A. Dades de partida'!$D$10</f>
        <v>2.8423013333333329</v>
      </c>
    </row>
    <row r="207" spans="1:11">
      <c r="A207" s="835">
        <v>8206</v>
      </c>
      <c r="B207" s="826" t="s">
        <v>1457</v>
      </c>
      <c r="C207" s="835">
        <v>1</v>
      </c>
      <c r="D207" s="835">
        <v>2.8069999999999999</v>
      </c>
      <c r="E207" s="884">
        <f>D207+D207*'3. Aigua-Resid '!$N$72</f>
        <v>3.5929600000000002</v>
      </c>
      <c r="F207" s="884">
        <f t="shared" si="9"/>
        <v>2.0120576000000003</v>
      </c>
      <c r="G207" s="884">
        <f t="shared" si="10"/>
        <v>1.5809023999999998</v>
      </c>
      <c r="H207" s="893">
        <f>('A. Dades de partida'!$D$10*E207+(120*(I207-E207)/'A. Dades de partida'!$D$10))/'A. Dades de partida'!$D$10</f>
        <v>5.926946816000001</v>
      </c>
      <c r="I207" s="884">
        <f t="shared" si="11"/>
        <v>7.9691852800000014</v>
      </c>
      <c r="J207" s="884">
        <f>IF(C207=1,F207*'3. Aigua-Resid '!$N$80,F207*'3. Aigua-Resid '!$N$82)</f>
        <v>6.3882828800000011</v>
      </c>
      <c r="K207" s="899">
        <f>('A. Dades de partida'!$D$10*D207+(120*(E207-D207)/'A. Dades de partida'!$D$10))/'A. Dades de partida'!$D$10</f>
        <v>3.2261786666666668</v>
      </c>
    </row>
    <row r="208" spans="1:11" ht="30">
      <c r="A208" s="835">
        <v>8207</v>
      </c>
      <c r="B208" s="826" t="s">
        <v>1458</v>
      </c>
      <c r="C208" s="835">
        <v>0</v>
      </c>
      <c r="D208" s="835">
        <v>1.879</v>
      </c>
      <c r="E208" s="884">
        <f>D208+D208*'3. Aigua-Resid '!$N$72</f>
        <v>2.4051200000000001</v>
      </c>
      <c r="F208" s="884">
        <f t="shared" si="9"/>
        <v>1.3468672000000002</v>
      </c>
      <c r="G208" s="884">
        <f t="shared" si="10"/>
        <v>1.0582528</v>
      </c>
      <c r="H208" s="893">
        <f>('A. Dades de partida'!$D$10*E208+(120*(I208-E208)/'A. Dades de partida'!$D$10))/'A. Dades de partida'!$D$10</f>
        <v>3.1234491733333338</v>
      </c>
      <c r="I208" s="884">
        <f t="shared" si="11"/>
        <v>3.7519872000000003</v>
      </c>
      <c r="J208" s="884">
        <f>IF(C208=1,F208*'3. Aigua-Resid '!$N$80,F208*'3. Aigua-Resid '!$N$82)</f>
        <v>2.6937344000000003</v>
      </c>
      <c r="K208" s="899">
        <f>('A. Dades de partida'!$D$10*D208+(120*(E208-D208)/'A. Dades de partida'!$D$10))/'A. Dades de partida'!$D$10</f>
        <v>2.1595973333333331</v>
      </c>
    </row>
    <row r="209" spans="1:11">
      <c r="A209" s="835">
        <v>8208</v>
      </c>
      <c r="B209" s="826" t="s">
        <v>1463</v>
      </c>
      <c r="C209" s="835">
        <v>1</v>
      </c>
      <c r="D209" s="835">
        <v>2.2959999999999998</v>
      </c>
      <c r="E209" s="884">
        <f>D209+D209*'3. Aigua-Resid '!$N$72</f>
        <v>2.9388799999999997</v>
      </c>
      <c r="F209" s="884">
        <f t="shared" si="9"/>
        <v>1.6457728</v>
      </c>
      <c r="G209" s="884">
        <f t="shared" si="10"/>
        <v>1.2931071999999997</v>
      </c>
      <c r="H209" s="893">
        <f>('A. Dades de partida'!$D$10*E209+(120*(I209-E209)/'A. Dades de partida'!$D$10))/'A. Dades de partida'!$D$10</f>
        <v>4.8479764479999998</v>
      </c>
      <c r="I209" s="884">
        <f t="shared" si="11"/>
        <v>6.5184358399999995</v>
      </c>
      <c r="J209" s="884">
        <f>IF(C209=1,F209*'3. Aigua-Resid '!$N$80,F209*'3. Aigua-Resid '!$N$82)</f>
        <v>5.2253286399999999</v>
      </c>
      <c r="K209" s="899">
        <f>('A. Dades de partida'!$D$10*D209+(120*(E209-D209)/'A. Dades de partida'!$D$10))/'A. Dades de partida'!$D$10</f>
        <v>2.6388693333333331</v>
      </c>
    </row>
    <row r="210" spans="1:11" ht="30">
      <c r="A210" s="835">
        <v>8209</v>
      </c>
      <c r="B210" s="826" t="s">
        <v>1464</v>
      </c>
      <c r="C210" s="835">
        <v>1</v>
      </c>
      <c r="D210" s="835">
        <v>2.806</v>
      </c>
      <c r="E210" s="884">
        <f>D210+D210*'3. Aigua-Resid '!$N$72</f>
        <v>3.5916800000000002</v>
      </c>
      <c r="F210" s="884">
        <f t="shared" si="9"/>
        <v>2.0113408000000002</v>
      </c>
      <c r="G210" s="884">
        <f t="shared" si="10"/>
        <v>1.5803392000000001</v>
      </c>
      <c r="H210" s="893">
        <f>('A. Dades de partida'!$D$10*E210+(120*(I210-E210)/'A. Dades de partida'!$D$10))/'A. Dades de partida'!$D$10</f>
        <v>5.9248353280000003</v>
      </c>
      <c r="I210" s="884">
        <f t="shared" si="11"/>
        <v>7.96634624</v>
      </c>
      <c r="J210" s="884">
        <f>IF(C210=1,F210*'3. Aigua-Resid '!$N$80,F210*'3. Aigua-Resid '!$N$82)</f>
        <v>6.38600704</v>
      </c>
      <c r="K210" s="899">
        <f>('A. Dades de partida'!$D$10*D210+(120*(E210-D210)/'A. Dades de partida'!$D$10))/'A. Dades de partida'!$D$10</f>
        <v>3.2250293333333335</v>
      </c>
    </row>
    <row r="211" spans="1:11">
      <c r="A211" s="835">
        <v>8210</v>
      </c>
      <c r="B211" s="826" t="s">
        <v>1466</v>
      </c>
      <c r="C211" s="835">
        <v>0</v>
      </c>
      <c r="D211" s="835">
        <v>2.0830000000000002</v>
      </c>
      <c r="E211" s="884">
        <f>D211+D211*'3. Aigua-Resid '!$N$72</f>
        <v>2.6662400000000002</v>
      </c>
      <c r="F211" s="884">
        <f t="shared" si="9"/>
        <v>1.4930944000000002</v>
      </c>
      <c r="G211" s="884">
        <f t="shared" si="10"/>
        <v>1.1731456</v>
      </c>
      <c r="H211" s="893">
        <f>('A. Dades de partida'!$D$10*E211+(120*(I211-E211)/'A. Dades de partida'!$D$10))/'A. Dades de partida'!$D$10</f>
        <v>3.4625570133333334</v>
      </c>
      <c r="I211" s="884">
        <f t="shared" si="11"/>
        <v>4.1593344000000005</v>
      </c>
      <c r="J211" s="884">
        <f>IF(C211=1,F211*'3. Aigua-Resid '!$N$80,F211*'3. Aigua-Resid '!$N$82)</f>
        <v>2.9861888000000003</v>
      </c>
      <c r="K211" s="899">
        <f>('A. Dades de partida'!$D$10*D211+(120*(E211-D211)/'A. Dades de partida'!$D$10))/'A. Dades de partida'!$D$10</f>
        <v>2.3940613333333336</v>
      </c>
    </row>
    <row r="212" spans="1:11">
      <c r="A212" s="835">
        <v>8211</v>
      </c>
      <c r="B212" s="826" t="s">
        <v>1028</v>
      </c>
      <c r="C212" s="835">
        <v>1</v>
      </c>
      <c r="D212" s="835">
        <v>2.4809999999999999</v>
      </c>
      <c r="E212" s="884">
        <f>D212+D212*'3. Aigua-Resid '!$N$72</f>
        <v>3.1756799999999998</v>
      </c>
      <c r="F212" s="884">
        <f t="shared" si="9"/>
        <v>1.7783808000000001</v>
      </c>
      <c r="G212" s="884">
        <f t="shared" si="10"/>
        <v>1.3972991999999997</v>
      </c>
      <c r="H212" s="893">
        <f>('A. Dades de partida'!$D$10*E212+(120*(I212-E212)/'A. Dades de partida'!$D$10))/'A. Dades de partida'!$D$10</f>
        <v>5.2386017279999999</v>
      </c>
      <c r="I212" s="884">
        <f t="shared" si="11"/>
        <v>7.0436582400000001</v>
      </c>
      <c r="J212" s="884">
        <f>IF(C212=1,F212*'3. Aigua-Resid '!$N$80,F212*'3. Aigua-Resid '!$N$82)</f>
        <v>5.6463590400000001</v>
      </c>
      <c r="K212" s="899">
        <f>('A. Dades de partida'!$D$10*D212+(120*(E212-D212)/'A. Dades de partida'!$D$10))/'A. Dades de partida'!$D$10</f>
        <v>2.8514959999999996</v>
      </c>
    </row>
    <row r="213" spans="1:11">
      <c r="A213" s="835">
        <v>8212</v>
      </c>
      <c r="B213" s="826" t="s">
        <v>1470</v>
      </c>
      <c r="C213" s="835">
        <v>0</v>
      </c>
      <c r="D213" s="835">
        <v>2.1629999999999998</v>
      </c>
      <c r="E213" s="884">
        <f>D213+D213*'3. Aigua-Resid '!$N$72</f>
        <v>2.7686399999999995</v>
      </c>
      <c r="F213" s="884">
        <f t="shared" si="9"/>
        <v>1.5504384</v>
      </c>
      <c r="G213" s="884">
        <f t="shared" si="10"/>
        <v>1.2182015999999996</v>
      </c>
      <c r="H213" s="893">
        <f>('A. Dades de partida'!$D$10*E213+(120*(I213-E213)/'A. Dades de partida'!$D$10))/'A. Dades de partida'!$D$10</f>
        <v>3.5955404799999995</v>
      </c>
      <c r="I213" s="884">
        <f t="shared" si="11"/>
        <v>4.3190783999999995</v>
      </c>
      <c r="J213" s="884">
        <f>IF(C213=1,F213*'3. Aigua-Resid '!$N$80,F213*'3. Aigua-Resid '!$N$82)</f>
        <v>3.1008768</v>
      </c>
      <c r="K213" s="899">
        <f>('A. Dades de partida'!$D$10*D213+(120*(E213-D213)/'A. Dades de partida'!$D$10))/'A. Dades de partida'!$D$10</f>
        <v>2.486008</v>
      </c>
    </row>
    <row r="214" spans="1:11">
      <c r="A214" s="835">
        <v>8213</v>
      </c>
      <c r="B214" s="826" t="s">
        <v>1473</v>
      </c>
      <c r="C214" s="835">
        <v>0</v>
      </c>
      <c r="D214" s="835">
        <v>1.51</v>
      </c>
      <c r="E214" s="884">
        <f>D214+D214*'3. Aigua-Resid '!$N$72</f>
        <v>1.9328000000000001</v>
      </c>
      <c r="F214" s="884">
        <f t="shared" si="9"/>
        <v>1.0823680000000002</v>
      </c>
      <c r="G214" s="884">
        <f t="shared" si="10"/>
        <v>0.85043199999999985</v>
      </c>
      <c r="H214" s="893">
        <f>('A. Dades de partida'!$D$10*E214+(120*(I214-E214)/'A. Dades de partida'!$D$10))/'A. Dades de partida'!$D$10</f>
        <v>2.5100629333333333</v>
      </c>
      <c r="I214" s="884">
        <f t="shared" si="11"/>
        <v>3.0151680000000001</v>
      </c>
      <c r="J214" s="884">
        <f>IF(C214=1,F214*'3. Aigua-Resid '!$N$80,F214*'3. Aigua-Resid '!$N$82)</f>
        <v>2.1647360000000004</v>
      </c>
      <c r="K214" s="899">
        <f>('A. Dades de partida'!$D$10*D214+(120*(E214-D214)/'A. Dades de partida'!$D$10))/'A. Dades de partida'!$D$10</f>
        <v>1.7354933333333333</v>
      </c>
    </row>
    <row r="215" spans="1:11">
      <c r="A215" s="835">
        <v>8214</v>
      </c>
      <c r="B215" s="826" t="s">
        <v>1474</v>
      </c>
      <c r="C215" s="835">
        <v>1</v>
      </c>
      <c r="D215" s="835">
        <v>1.8839999999999999</v>
      </c>
      <c r="E215" s="884">
        <f>D215+D215*'3. Aigua-Resid '!$N$72</f>
        <v>2.4115199999999999</v>
      </c>
      <c r="F215" s="884">
        <f t="shared" si="9"/>
        <v>1.3504512</v>
      </c>
      <c r="G215" s="884">
        <f t="shared" si="10"/>
        <v>1.0610687999999999</v>
      </c>
      <c r="H215" s="893">
        <f>('A. Dades de partida'!$D$10*E215+(120*(I215-E215)/'A. Dades de partida'!$D$10))/'A. Dades de partida'!$D$10</f>
        <v>3.9780433919999996</v>
      </c>
      <c r="I215" s="884">
        <f t="shared" si="11"/>
        <v>5.3487513599999996</v>
      </c>
      <c r="J215" s="884">
        <f>IF(C215=1,F215*'3. Aigua-Resid '!$N$80,F215*'3. Aigua-Resid '!$N$82)</f>
        <v>4.2876825599999995</v>
      </c>
      <c r="K215" s="899">
        <f>('A. Dades de partida'!$D$10*D215+(120*(E215-D215)/'A. Dades de partida'!$D$10))/'A. Dades de partida'!$D$10</f>
        <v>2.1653439999999997</v>
      </c>
    </row>
    <row r="216" spans="1:11">
      <c r="A216" s="835">
        <v>8215</v>
      </c>
      <c r="B216" s="826" t="s">
        <v>1477</v>
      </c>
      <c r="C216" s="835">
        <v>0</v>
      </c>
      <c r="D216" s="835">
        <v>1.986</v>
      </c>
      <c r="E216" s="884">
        <f>D216+D216*'3. Aigua-Resid '!$N$72</f>
        <v>2.5420799999999999</v>
      </c>
      <c r="F216" s="884">
        <f t="shared" si="9"/>
        <v>1.4235648000000001</v>
      </c>
      <c r="G216" s="884">
        <f t="shared" si="10"/>
        <v>1.1185151999999998</v>
      </c>
      <c r="H216" s="893">
        <f>('A. Dades de partida'!$D$10*E216+(120*(I216-E216)/'A. Dades de partida'!$D$10))/'A. Dades de partida'!$D$10</f>
        <v>3.3013145600000002</v>
      </c>
      <c r="I216" s="884">
        <f t="shared" si="11"/>
        <v>3.9656447999999997</v>
      </c>
      <c r="J216" s="884">
        <f>IF(C216=1,F216*'3. Aigua-Resid '!$N$80,F216*'3. Aigua-Resid '!$N$82)</f>
        <v>2.8471296000000001</v>
      </c>
      <c r="K216" s="899">
        <f>('A. Dades de partida'!$D$10*D216+(120*(E216-D216)/'A. Dades de partida'!$D$10))/'A. Dades de partida'!$D$10</f>
        <v>2.2825759999999997</v>
      </c>
    </row>
    <row r="217" spans="1:11">
      <c r="A217" s="835">
        <v>8216</v>
      </c>
      <c r="B217" s="826" t="s">
        <v>1479</v>
      </c>
      <c r="C217" s="835">
        <v>0</v>
      </c>
      <c r="D217" s="835">
        <v>0.90500000000000003</v>
      </c>
      <c r="E217" s="884">
        <f>D217+D217*'3. Aigua-Resid '!$N$72</f>
        <v>1.1584000000000001</v>
      </c>
      <c r="F217" s="884">
        <f t="shared" si="9"/>
        <v>0.64870400000000017</v>
      </c>
      <c r="G217" s="884">
        <f t="shared" si="10"/>
        <v>0.50969599999999993</v>
      </c>
      <c r="H217" s="893">
        <f>('A. Dades de partida'!$D$10*E217+(120*(I217-E217)/'A. Dades de partida'!$D$10))/'A. Dades de partida'!$D$10</f>
        <v>1.5043754666666667</v>
      </c>
      <c r="I217" s="884">
        <f t="shared" si="11"/>
        <v>1.8071040000000003</v>
      </c>
      <c r="J217" s="884">
        <f>IF(C217=1,F217*'3. Aigua-Resid '!$N$80,F217*'3. Aigua-Resid '!$N$82)</f>
        <v>1.2974080000000003</v>
      </c>
      <c r="K217" s="899">
        <f>('A. Dades de partida'!$D$10*D217+(120*(E217-D217)/'A. Dades de partida'!$D$10))/'A. Dades de partida'!$D$10</f>
        <v>1.0401466666666668</v>
      </c>
    </row>
    <row r="218" spans="1:11">
      <c r="A218" s="835">
        <v>8217</v>
      </c>
      <c r="B218" s="826" t="s">
        <v>1481</v>
      </c>
      <c r="C218" s="835">
        <v>1</v>
      </c>
      <c r="D218" s="835">
        <v>2.4809999999999999</v>
      </c>
      <c r="E218" s="884">
        <f>D218+D218*'3. Aigua-Resid '!$N$72</f>
        <v>3.1756799999999998</v>
      </c>
      <c r="F218" s="884">
        <f t="shared" si="9"/>
        <v>1.7783808000000001</v>
      </c>
      <c r="G218" s="884">
        <f t="shared" si="10"/>
        <v>1.3972991999999997</v>
      </c>
      <c r="H218" s="893">
        <f>('A. Dades de partida'!$D$10*E218+(120*(I218-E218)/'A. Dades de partida'!$D$10))/'A. Dades de partida'!$D$10</f>
        <v>5.2386017279999999</v>
      </c>
      <c r="I218" s="884">
        <f t="shared" si="11"/>
        <v>7.0436582400000001</v>
      </c>
      <c r="J218" s="884">
        <f>IF(C218=1,F218*'3. Aigua-Resid '!$N$80,F218*'3. Aigua-Resid '!$N$82)</f>
        <v>5.6463590400000001</v>
      </c>
      <c r="K218" s="899">
        <f>('A. Dades de partida'!$D$10*D218+(120*(E218-D218)/'A. Dades de partida'!$D$10))/'A. Dades de partida'!$D$10</f>
        <v>2.8514959999999996</v>
      </c>
    </row>
    <row r="219" spans="1:11">
      <c r="A219" s="835">
        <v>8218</v>
      </c>
      <c r="B219" s="826" t="s">
        <v>1482</v>
      </c>
      <c r="C219" s="835">
        <v>0</v>
      </c>
      <c r="D219" s="835">
        <v>1.641</v>
      </c>
      <c r="E219" s="884">
        <f>D219+D219*'3. Aigua-Resid '!$N$72</f>
        <v>2.1004800000000001</v>
      </c>
      <c r="F219" s="884">
        <f t="shared" si="9"/>
        <v>1.1762688000000001</v>
      </c>
      <c r="G219" s="884">
        <f t="shared" si="10"/>
        <v>0.92421120000000001</v>
      </c>
      <c r="H219" s="893">
        <f>('A. Dades de partida'!$D$10*E219+(120*(I219-E219)/'A. Dades de partida'!$D$10))/'A. Dades de partida'!$D$10</f>
        <v>2.7278233600000004</v>
      </c>
      <c r="I219" s="884">
        <f t="shared" si="11"/>
        <v>3.2767488</v>
      </c>
      <c r="J219" s="884">
        <f>IF(C219=1,F219*'3. Aigua-Resid '!$N$80,F219*'3. Aigua-Resid '!$N$82)</f>
        <v>2.3525376000000002</v>
      </c>
      <c r="K219" s="899">
        <f>('A. Dades de partida'!$D$10*D219+(120*(E219-D219)/'A. Dades de partida'!$D$10))/'A. Dades de partida'!$D$10</f>
        <v>1.8860560000000002</v>
      </c>
    </row>
    <row r="220" spans="1:11">
      <c r="A220" s="835">
        <v>8219</v>
      </c>
      <c r="B220" s="826" t="s">
        <v>352</v>
      </c>
      <c r="C220" s="835">
        <v>1</v>
      </c>
      <c r="D220" s="835">
        <v>1.91</v>
      </c>
      <c r="E220" s="884">
        <f>D220+D220*'3. Aigua-Resid '!$N$72</f>
        <v>2.4447999999999999</v>
      </c>
      <c r="F220" s="884">
        <f t="shared" si="9"/>
        <v>1.3690880000000001</v>
      </c>
      <c r="G220" s="884">
        <f t="shared" si="10"/>
        <v>1.0757119999999998</v>
      </c>
      <c r="H220" s="893">
        <f>('A. Dades de partida'!$D$10*E220+(120*(I220-E220)/'A. Dades de partida'!$D$10))/'A. Dades de partida'!$D$10</f>
        <v>4.0329420799999998</v>
      </c>
      <c r="I220" s="884">
        <f t="shared" si="11"/>
        <v>5.4225663999999991</v>
      </c>
      <c r="J220" s="884">
        <f>IF(C220=1,F220*'3. Aigua-Resid '!$N$80,F220*'3. Aigua-Resid '!$N$82)</f>
        <v>4.3468543999999998</v>
      </c>
      <c r="K220" s="899">
        <f>('A. Dades de partida'!$D$10*D220+(120*(E220-D220)/'A. Dades de partida'!$D$10))/'A. Dades de partida'!$D$10</f>
        <v>2.1952266666666662</v>
      </c>
    </row>
    <row r="221" spans="1:11">
      <c r="A221" s="835">
        <v>8220</v>
      </c>
      <c r="B221" s="826" t="s">
        <v>1485</v>
      </c>
      <c r="C221" s="835">
        <v>0</v>
      </c>
      <c r="D221" s="835">
        <v>1.5589999999999999</v>
      </c>
      <c r="E221" s="884">
        <f>D221+D221*'3. Aigua-Resid '!$N$72</f>
        <v>1.99552</v>
      </c>
      <c r="F221" s="884">
        <f t="shared" si="9"/>
        <v>1.1174912000000001</v>
      </c>
      <c r="G221" s="884">
        <f t="shared" si="10"/>
        <v>0.87802879999999983</v>
      </c>
      <c r="H221" s="893">
        <f>('A. Dades de partida'!$D$10*E221+(120*(I221-E221)/'A. Dades de partida'!$D$10))/'A. Dades de partida'!$D$10</f>
        <v>2.5915153066666665</v>
      </c>
      <c r="I221" s="884">
        <f t="shared" si="11"/>
        <v>3.1130111999999999</v>
      </c>
      <c r="J221" s="884">
        <f>IF(C221=1,F221*'3. Aigua-Resid '!$N$80,F221*'3. Aigua-Resid '!$N$82)</f>
        <v>2.2349824000000003</v>
      </c>
      <c r="K221" s="899">
        <f>('A. Dades de partida'!$D$10*D221+(120*(E221-D221)/'A. Dades de partida'!$D$10))/'A. Dades de partida'!$D$10</f>
        <v>1.7918106666666664</v>
      </c>
    </row>
    <row r="222" spans="1:11">
      <c r="A222" s="835">
        <v>8221</v>
      </c>
      <c r="B222" s="826" t="s">
        <v>1489</v>
      </c>
      <c r="C222" s="835">
        <v>1</v>
      </c>
      <c r="D222" s="835">
        <v>2.4809999999999999</v>
      </c>
      <c r="E222" s="884">
        <f>D222+D222*'3. Aigua-Resid '!$N$72</f>
        <v>3.1756799999999998</v>
      </c>
      <c r="F222" s="884">
        <f t="shared" si="9"/>
        <v>1.7783808000000001</v>
      </c>
      <c r="G222" s="884">
        <f t="shared" si="10"/>
        <v>1.3972991999999997</v>
      </c>
      <c r="H222" s="893">
        <f>('A. Dades de partida'!$D$10*E222+(120*(I222-E222)/'A. Dades de partida'!$D$10))/'A. Dades de partida'!$D$10</f>
        <v>5.2386017279999999</v>
      </c>
      <c r="I222" s="884">
        <f t="shared" si="11"/>
        <v>7.0436582400000001</v>
      </c>
      <c r="J222" s="884">
        <f>IF(C222=1,F222*'3. Aigua-Resid '!$N$80,F222*'3. Aigua-Resid '!$N$82)</f>
        <v>5.6463590400000001</v>
      </c>
      <c r="K222" s="899">
        <f>('A. Dades de partida'!$D$10*D222+(120*(E222-D222)/'A. Dades de partida'!$D$10))/'A. Dades de partida'!$D$10</f>
        <v>2.8514959999999996</v>
      </c>
    </row>
    <row r="223" spans="1:11">
      <c r="A223" s="835">
        <v>8222</v>
      </c>
      <c r="B223" s="826" t="s">
        <v>1490</v>
      </c>
      <c r="C223" s="835">
        <v>0</v>
      </c>
      <c r="D223" s="835">
        <v>1.9</v>
      </c>
      <c r="E223" s="884">
        <f>D223+D223*'3. Aigua-Resid '!$N$72</f>
        <v>2.4319999999999999</v>
      </c>
      <c r="F223" s="884">
        <f t="shared" si="9"/>
        <v>1.36192</v>
      </c>
      <c r="G223" s="884">
        <f t="shared" si="10"/>
        <v>1.0700799999999999</v>
      </c>
      <c r="H223" s="893">
        <f>('A. Dades de partida'!$D$10*E223+(120*(I223-E223)/'A. Dades de partida'!$D$10))/'A. Dades de partida'!$D$10</f>
        <v>3.1583573333333335</v>
      </c>
      <c r="I223" s="884">
        <f t="shared" si="11"/>
        <v>3.79392</v>
      </c>
      <c r="J223" s="884">
        <f>IF(C223=1,F223*'3. Aigua-Resid '!$N$80,F223*'3. Aigua-Resid '!$N$82)</f>
        <v>2.72384</v>
      </c>
      <c r="K223" s="899">
        <f>('A. Dades de partida'!$D$10*D223+(120*(E223-D223)/'A. Dades de partida'!$D$10))/'A. Dades de partida'!$D$10</f>
        <v>2.1837333333333335</v>
      </c>
    </row>
    <row r="224" spans="1:11">
      <c r="A224" s="835">
        <v>8223</v>
      </c>
      <c r="B224" s="826" t="s">
        <v>1494</v>
      </c>
      <c r="C224" s="835">
        <v>0</v>
      </c>
      <c r="D224" s="835">
        <v>1.673</v>
      </c>
      <c r="E224" s="884">
        <f>D224+D224*'3. Aigua-Resid '!$N$72</f>
        <v>2.1414400000000002</v>
      </c>
      <c r="F224" s="884">
        <f t="shared" si="9"/>
        <v>1.1992064000000002</v>
      </c>
      <c r="G224" s="884">
        <f t="shared" si="10"/>
        <v>0.9422336</v>
      </c>
      <c r="H224" s="893">
        <f>('A. Dades de partida'!$D$10*E224+(120*(I224-E224)/'A. Dades de partida'!$D$10))/'A. Dades de partida'!$D$10</f>
        <v>2.7810167466666669</v>
      </c>
      <c r="I224" s="884">
        <f t="shared" si="11"/>
        <v>3.3406464000000007</v>
      </c>
      <c r="J224" s="884">
        <f>IF(C224=1,F224*'3. Aigua-Resid '!$N$80,F224*'3. Aigua-Resid '!$N$82)</f>
        <v>2.3984128000000005</v>
      </c>
      <c r="K224" s="899">
        <f>('A. Dades de partida'!$D$10*D224+(120*(E224-D224)/'A. Dades de partida'!$D$10))/'A. Dades de partida'!$D$10</f>
        <v>1.9228346666666667</v>
      </c>
    </row>
    <row r="225" spans="1:11">
      <c r="A225" s="835">
        <v>8224</v>
      </c>
      <c r="B225" s="826" t="s">
        <v>1496</v>
      </c>
      <c r="C225" s="835">
        <v>0</v>
      </c>
      <c r="D225" s="835">
        <v>1.7350000000000001</v>
      </c>
      <c r="E225" s="884">
        <f>D225+D225*'3. Aigua-Resid '!$N$72</f>
        <v>2.2208000000000001</v>
      </c>
      <c r="F225" s="884">
        <f t="shared" si="9"/>
        <v>1.2436480000000001</v>
      </c>
      <c r="G225" s="884">
        <f t="shared" si="10"/>
        <v>0.97715200000000002</v>
      </c>
      <c r="H225" s="893">
        <f>('A. Dades de partida'!$D$10*E225+(120*(I225-E225)/'A. Dades de partida'!$D$10))/'A. Dades de partida'!$D$10</f>
        <v>2.8840789333333334</v>
      </c>
      <c r="I225" s="884">
        <f t="shared" si="11"/>
        <v>3.464448</v>
      </c>
      <c r="J225" s="884">
        <f>IF(C225=1,F225*'3. Aigua-Resid '!$N$80,F225*'3. Aigua-Resid '!$N$82)</f>
        <v>2.4872960000000002</v>
      </c>
      <c r="K225" s="899">
        <f>('A. Dades de partida'!$D$10*D225+(120*(E225-D225)/'A. Dades de partida'!$D$10))/'A. Dades de partida'!$D$10</f>
        <v>1.9940933333333333</v>
      </c>
    </row>
    <row r="226" spans="1:11">
      <c r="A226" s="835">
        <v>8225</v>
      </c>
      <c r="B226" s="826" t="s">
        <v>1499</v>
      </c>
      <c r="C226" s="835">
        <v>0</v>
      </c>
      <c r="D226" s="835">
        <v>1.98</v>
      </c>
      <c r="E226" s="884">
        <f>D226+D226*'3. Aigua-Resid '!$N$72</f>
        <v>2.5343999999999998</v>
      </c>
      <c r="F226" s="884">
        <f t="shared" si="9"/>
        <v>1.4192640000000001</v>
      </c>
      <c r="G226" s="884">
        <f t="shared" si="10"/>
        <v>1.1151359999999997</v>
      </c>
      <c r="H226" s="893">
        <f>('A. Dades de partida'!$D$10*E226+(120*(I226-E226)/'A. Dades de partida'!$D$10))/'A. Dades de partida'!$D$10</f>
        <v>3.2913408</v>
      </c>
      <c r="I226" s="884">
        <f t="shared" si="11"/>
        <v>3.9536639999999998</v>
      </c>
      <c r="J226" s="884">
        <f>IF(C226=1,F226*'3. Aigua-Resid '!$N$80,F226*'3. Aigua-Resid '!$N$82)</f>
        <v>2.8385280000000002</v>
      </c>
      <c r="K226" s="899">
        <f>('A. Dades de partida'!$D$10*D226+(120*(E226-D226)/'A. Dades de partida'!$D$10))/'A. Dades de partida'!$D$10</f>
        <v>2.2756799999999999</v>
      </c>
    </row>
    <row r="227" spans="1:11">
      <c r="A227" s="835">
        <v>8226</v>
      </c>
      <c r="B227" s="826" t="s">
        <v>1501</v>
      </c>
      <c r="C227" s="835">
        <v>0</v>
      </c>
      <c r="D227" s="835">
        <v>1.2030000000000001</v>
      </c>
      <c r="E227" s="884">
        <f>D227+D227*'3. Aigua-Resid '!$N$72</f>
        <v>1.5398400000000001</v>
      </c>
      <c r="F227" s="884">
        <f t="shared" si="9"/>
        <v>0.86231040000000014</v>
      </c>
      <c r="G227" s="884">
        <f t="shared" si="10"/>
        <v>0.67752959999999995</v>
      </c>
      <c r="H227" s="893">
        <f>('A. Dades de partida'!$D$10*E227+(120*(I227-E227)/'A. Dades de partida'!$D$10))/'A. Dades de partida'!$D$10</f>
        <v>1.99973888</v>
      </c>
      <c r="I227" s="884">
        <f t="shared" si="11"/>
        <v>2.4021504</v>
      </c>
      <c r="J227" s="884">
        <f>IF(C227=1,F227*'3. Aigua-Resid '!$N$80,F227*'3. Aigua-Resid '!$N$82)</f>
        <v>1.7246208000000003</v>
      </c>
      <c r="K227" s="899">
        <f>('A. Dades de partida'!$D$10*D227+(120*(E227-D227)/'A. Dades de partida'!$D$10))/'A. Dades de partida'!$D$10</f>
        <v>1.3826480000000001</v>
      </c>
    </row>
    <row r="228" spans="1:11">
      <c r="A228" s="835">
        <v>8227</v>
      </c>
      <c r="B228" s="826" t="s">
        <v>1506</v>
      </c>
      <c r="C228" s="835">
        <v>1</v>
      </c>
      <c r="D228" s="835">
        <v>2.0230000000000001</v>
      </c>
      <c r="E228" s="884">
        <f>D228+D228*'3. Aigua-Resid '!$N$72</f>
        <v>2.5894400000000002</v>
      </c>
      <c r="F228" s="884">
        <f t="shared" si="9"/>
        <v>1.4500864000000002</v>
      </c>
      <c r="G228" s="884">
        <f t="shared" si="10"/>
        <v>1.1393536</v>
      </c>
      <c r="H228" s="893">
        <f>('A. Dades de partida'!$D$10*E228+(120*(I228-E228)/'A. Dades de partida'!$D$10))/'A. Dades de partida'!$D$10</f>
        <v>4.2715402240000007</v>
      </c>
      <c r="I228" s="884">
        <f t="shared" si="11"/>
        <v>5.7433779200000004</v>
      </c>
      <c r="J228" s="884">
        <f>IF(C228=1,F228*'3. Aigua-Resid '!$N$80,F228*'3. Aigua-Resid '!$N$82)</f>
        <v>4.6040243200000006</v>
      </c>
      <c r="K228" s="899">
        <f>('A. Dades de partida'!$D$10*D228+(120*(E228-D228)/'A. Dades de partida'!$D$10))/'A. Dades de partida'!$D$10</f>
        <v>2.3251013333333335</v>
      </c>
    </row>
    <row r="229" spans="1:11">
      <c r="A229" s="835">
        <v>8228</v>
      </c>
      <c r="B229" s="826" t="s">
        <v>1510</v>
      </c>
      <c r="C229" s="835">
        <v>0</v>
      </c>
      <c r="D229" s="835">
        <v>1.409</v>
      </c>
      <c r="E229" s="884">
        <f>D229+D229*'3. Aigua-Resid '!$N$72</f>
        <v>1.80352</v>
      </c>
      <c r="F229" s="884">
        <f t="shared" si="9"/>
        <v>1.0099712000000001</v>
      </c>
      <c r="G229" s="884">
        <f t="shared" si="10"/>
        <v>0.79354879999999994</v>
      </c>
      <c r="H229" s="893">
        <f>('A. Dades de partida'!$D$10*E229+(120*(I229-E229)/'A. Dades de partida'!$D$10))/'A. Dades de partida'!$D$10</f>
        <v>2.3421713066666667</v>
      </c>
      <c r="I229" s="884">
        <f t="shared" si="11"/>
        <v>2.8134912000000001</v>
      </c>
      <c r="J229" s="884">
        <f>IF(C229=1,F229*'3. Aigua-Resid '!$N$80,F229*'3. Aigua-Resid '!$N$82)</f>
        <v>2.0199424000000001</v>
      </c>
      <c r="K229" s="899">
        <f>('A. Dades de partida'!$D$10*D229+(120*(E229-D229)/'A. Dades de partida'!$D$10))/'A. Dades de partida'!$D$10</f>
        <v>1.6194106666666668</v>
      </c>
    </row>
    <row r="230" spans="1:11">
      <c r="A230" s="835">
        <v>8229</v>
      </c>
      <c r="B230" s="826" t="s">
        <v>1511</v>
      </c>
      <c r="C230" s="835">
        <v>0</v>
      </c>
      <c r="D230" s="835">
        <v>1.4490000000000001</v>
      </c>
      <c r="E230" s="884">
        <f>D230+D230*'3. Aigua-Resid '!$N$72</f>
        <v>1.8547200000000001</v>
      </c>
      <c r="F230" s="884">
        <f t="shared" si="9"/>
        <v>1.0386432000000001</v>
      </c>
      <c r="G230" s="884">
        <f t="shared" si="10"/>
        <v>0.81607680000000005</v>
      </c>
      <c r="H230" s="893">
        <f>('A. Dades de partida'!$D$10*E230+(120*(I230-E230)/'A. Dades de partida'!$D$10))/'A. Dades de partida'!$D$10</f>
        <v>2.4086630400000004</v>
      </c>
      <c r="I230" s="884">
        <f t="shared" si="11"/>
        <v>2.8933632000000005</v>
      </c>
      <c r="J230" s="884">
        <f>IF(C230=1,F230*'3. Aigua-Resid '!$N$80,F230*'3. Aigua-Resid '!$N$82)</f>
        <v>2.0772864000000002</v>
      </c>
      <c r="K230" s="899">
        <f>('A. Dades de partida'!$D$10*D230+(120*(E230-D230)/'A. Dades de partida'!$D$10))/'A. Dades de partida'!$D$10</f>
        <v>1.665384</v>
      </c>
    </row>
    <row r="231" spans="1:11">
      <c r="A231" s="835">
        <v>8230</v>
      </c>
      <c r="B231" s="826" t="s">
        <v>1513</v>
      </c>
      <c r="C231" s="835">
        <v>1</v>
      </c>
      <c r="D231" s="835">
        <v>1.89</v>
      </c>
      <c r="E231" s="884">
        <f>D231+D231*'3. Aigua-Resid '!$N$72</f>
        <v>2.4192</v>
      </c>
      <c r="F231" s="884">
        <f t="shared" si="9"/>
        <v>1.3547520000000002</v>
      </c>
      <c r="G231" s="884">
        <f t="shared" si="10"/>
        <v>1.0644479999999998</v>
      </c>
      <c r="H231" s="893">
        <f>('A. Dades de partida'!$D$10*E231+(120*(I231-E231)/'A. Dades de partida'!$D$10))/'A. Dades de partida'!$D$10</f>
        <v>3.9907123199999996</v>
      </c>
      <c r="I231" s="884">
        <f t="shared" si="11"/>
        <v>5.3657855999999997</v>
      </c>
      <c r="J231" s="884">
        <f>IF(C231=1,F231*'3. Aigua-Resid '!$N$80,F231*'3. Aigua-Resid '!$N$82)</f>
        <v>4.3013376000000001</v>
      </c>
      <c r="K231" s="899">
        <f>('A. Dades de partida'!$D$10*D231+(120*(E231-D231)/'A. Dades de partida'!$D$10))/'A. Dades de partida'!$D$10</f>
        <v>2.1722399999999999</v>
      </c>
    </row>
    <row r="232" spans="1:11">
      <c r="A232" s="835">
        <v>8231</v>
      </c>
      <c r="B232" s="826" t="s">
        <v>1518</v>
      </c>
      <c r="C232" s="835">
        <v>1</v>
      </c>
      <c r="D232" s="835">
        <v>2.3929999999999998</v>
      </c>
      <c r="E232" s="884">
        <f>D232+D232*'3. Aigua-Resid '!$N$72</f>
        <v>3.06304</v>
      </c>
      <c r="F232" s="884">
        <f t="shared" si="9"/>
        <v>1.7153024000000001</v>
      </c>
      <c r="G232" s="884">
        <f t="shared" si="10"/>
        <v>1.3477375999999999</v>
      </c>
      <c r="H232" s="893">
        <f>('A. Dades de partida'!$D$10*E232+(120*(I232-E232)/'A. Dades de partida'!$D$10))/'A. Dades de partida'!$D$10</f>
        <v>5.052790783999999</v>
      </c>
      <c r="I232" s="884">
        <f t="shared" si="11"/>
        <v>6.7938227199999996</v>
      </c>
      <c r="J232" s="884">
        <f>IF(C232=1,F232*'3. Aigua-Resid '!$N$80,F232*'3. Aigua-Resid '!$N$82)</f>
        <v>5.4460851200000002</v>
      </c>
      <c r="K232" s="899">
        <f>('A. Dades de partida'!$D$10*D232+(120*(E232-D232)/'A. Dades de partida'!$D$10))/'A. Dades de partida'!$D$10</f>
        <v>2.7503546666666665</v>
      </c>
    </row>
    <row r="233" spans="1:11">
      <c r="A233" s="835">
        <v>8232</v>
      </c>
      <c r="B233" s="826" t="s">
        <v>1523</v>
      </c>
      <c r="C233" s="835">
        <v>0</v>
      </c>
      <c r="D233" s="835">
        <v>1.349</v>
      </c>
      <c r="E233" s="884">
        <f>D233+D233*'3. Aigua-Resid '!$N$72</f>
        <v>1.72672</v>
      </c>
      <c r="F233" s="884">
        <f t="shared" si="9"/>
        <v>0.96696320000000013</v>
      </c>
      <c r="G233" s="884">
        <f t="shared" si="10"/>
        <v>0.7597567999999999</v>
      </c>
      <c r="H233" s="893">
        <f>('A. Dades de partida'!$D$10*E233+(120*(I233-E233)/'A. Dades de partida'!$D$10))/'A. Dades de partida'!$D$10</f>
        <v>2.2424337066666666</v>
      </c>
      <c r="I233" s="884">
        <f t="shared" si="11"/>
        <v>2.6936832000000002</v>
      </c>
      <c r="J233" s="884">
        <f>IF(C233=1,F233*'3. Aigua-Resid '!$N$80,F233*'3. Aigua-Resid '!$N$82)</f>
        <v>1.9339264000000003</v>
      </c>
      <c r="K233" s="899">
        <f>('A. Dades de partida'!$D$10*D233+(120*(E233-D233)/'A. Dades de partida'!$D$10))/'A. Dades de partida'!$D$10</f>
        <v>1.5504506666666666</v>
      </c>
    </row>
    <row r="234" spans="1:11">
      <c r="A234" s="835">
        <v>8233</v>
      </c>
      <c r="B234" s="826" t="s">
        <v>1524</v>
      </c>
      <c r="C234" s="835">
        <v>0</v>
      </c>
      <c r="D234" s="835">
        <v>1.627</v>
      </c>
      <c r="E234" s="884">
        <f>D234+D234*'3. Aigua-Resid '!$N$72</f>
        <v>2.08256</v>
      </c>
      <c r="F234" s="884">
        <f t="shared" si="9"/>
        <v>1.1662336</v>
      </c>
      <c r="G234" s="884">
        <f t="shared" si="10"/>
        <v>0.91632639999999999</v>
      </c>
      <c r="H234" s="893">
        <f>('A. Dades de partida'!$D$10*E234+(120*(I234-E234)/'A. Dades de partida'!$D$10))/'A. Dades de partida'!$D$10</f>
        <v>2.7045512533333333</v>
      </c>
      <c r="I234" s="884">
        <f t="shared" si="11"/>
        <v>3.2487935999999999</v>
      </c>
      <c r="J234" s="884">
        <f>IF(C234=1,F234*'3. Aigua-Resid '!$N$80,F234*'3. Aigua-Resid '!$N$82)</f>
        <v>2.3324672</v>
      </c>
      <c r="K234" s="899">
        <f>('A. Dades de partida'!$D$10*D234+(120*(E234-D234)/'A. Dades de partida'!$D$10))/'A. Dades de partida'!$D$10</f>
        <v>1.8699653333333335</v>
      </c>
    </row>
    <row r="235" spans="1:11">
      <c r="A235" s="835">
        <v>8234</v>
      </c>
      <c r="B235" s="826" t="s">
        <v>1530</v>
      </c>
      <c r="C235" s="835">
        <v>1</v>
      </c>
      <c r="D235" s="835">
        <v>2.1789999999999998</v>
      </c>
      <c r="E235" s="884">
        <f>D235+D235*'3. Aigua-Resid '!$N$72</f>
        <v>2.7891199999999996</v>
      </c>
      <c r="F235" s="884">
        <f t="shared" si="9"/>
        <v>1.5619071999999998</v>
      </c>
      <c r="G235" s="884">
        <f t="shared" si="10"/>
        <v>1.2272127999999998</v>
      </c>
      <c r="H235" s="893">
        <f>('A. Dades de partida'!$D$10*E235+(120*(I235-E235)/'A. Dades de partida'!$D$10))/'A. Dades de partida'!$D$10</f>
        <v>4.6009323519999992</v>
      </c>
      <c r="I235" s="884">
        <f t="shared" si="11"/>
        <v>6.1862681599999991</v>
      </c>
      <c r="J235" s="884">
        <f>IF(C235=1,F235*'3. Aigua-Resid '!$N$80,F235*'3. Aigua-Resid '!$N$82)</f>
        <v>4.9590553599999989</v>
      </c>
      <c r="K235" s="899">
        <f>('A. Dades de partida'!$D$10*D235+(120*(E235-D235)/'A. Dades de partida'!$D$10))/'A. Dades de partida'!$D$10</f>
        <v>2.5043973333333325</v>
      </c>
    </row>
    <row r="236" spans="1:11">
      <c r="A236" s="835">
        <v>8235</v>
      </c>
      <c r="B236" s="826" t="s">
        <v>353</v>
      </c>
      <c r="C236" s="835">
        <v>1</v>
      </c>
      <c r="D236" s="835">
        <v>1.8460000000000001</v>
      </c>
      <c r="E236" s="884">
        <f>D236+D236*'3. Aigua-Resid '!$N$72</f>
        <v>2.3628800000000001</v>
      </c>
      <c r="F236" s="884">
        <f t="shared" si="9"/>
        <v>1.3232128000000001</v>
      </c>
      <c r="G236" s="884">
        <f t="shared" si="10"/>
        <v>1.0396672</v>
      </c>
      <c r="H236" s="893">
        <f>('A. Dades de partida'!$D$10*E236+(120*(I236-E236)/'A. Dades de partida'!$D$10))/'A. Dades de partida'!$D$10</f>
        <v>3.8978068480000001</v>
      </c>
      <c r="I236" s="884">
        <f t="shared" si="11"/>
        <v>5.2408678399999999</v>
      </c>
      <c r="J236" s="884">
        <f>IF(C236=1,F236*'3. Aigua-Resid '!$N$80,F236*'3. Aigua-Resid '!$N$82)</f>
        <v>4.2012006399999997</v>
      </c>
      <c r="K236" s="899">
        <f>('A. Dades de partida'!$D$10*D236+(120*(E236-D236)/'A. Dades de partida'!$D$10))/'A. Dades de partida'!$D$10</f>
        <v>2.1216693333333336</v>
      </c>
    </row>
    <row r="237" spans="1:11">
      <c r="A237" s="835">
        <v>8236</v>
      </c>
      <c r="B237" s="826" t="s">
        <v>1532</v>
      </c>
      <c r="C237" s="835">
        <v>0</v>
      </c>
      <c r="D237" s="835">
        <v>1.4450000000000001</v>
      </c>
      <c r="E237" s="884">
        <f>D237+D237*'3. Aigua-Resid '!$N$72</f>
        <v>1.8496000000000001</v>
      </c>
      <c r="F237" s="884">
        <f t="shared" si="9"/>
        <v>1.0357760000000003</v>
      </c>
      <c r="G237" s="884">
        <f t="shared" si="10"/>
        <v>0.81382399999999988</v>
      </c>
      <c r="H237" s="893">
        <f>('A. Dades de partida'!$D$10*E237+(120*(I237-E237)/'A. Dades de partida'!$D$10))/'A. Dades de partida'!$D$10</f>
        <v>2.4020138666666666</v>
      </c>
      <c r="I237" s="884">
        <f t="shared" si="11"/>
        <v>2.8853760000000004</v>
      </c>
      <c r="J237" s="884">
        <f>IF(C237=1,F237*'3. Aigua-Resid '!$N$80,F237*'3. Aigua-Resid '!$N$82)</f>
        <v>2.0715520000000005</v>
      </c>
      <c r="K237" s="899">
        <f>('A. Dades de partida'!$D$10*D237+(120*(E237-D237)/'A. Dades de partida'!$D$10))/'A. Dades de partida'!$D$10</f>
        <v>1.6607866666666666</v>
      </c>
    </row>
    <row r="238" spans="1:11">
      <c r="A238" s="835">
        <v>8237</v>
      </c>
      <c r="B238" s="826" t="s">
        <v>1536</v>
      </c>
      <c r="C238" s="835">
        <v>0</v>
      </c>
      <c r="D238" s="835">
        <v>1.375</v>
      </c>
      <c r="E238" s="884">
        <f>D238+D238*'3. Aigua-Resid '!$N$72</f>
        <v>1.76</v>
      </c>
      <c r="F238" s="884">
        <f t="shared" si="9"/>
        <v>0.98560000000000014</v>
      </c>
      <c r="G238" s="884">
        <f t="shared" si="10"/>
        <v>0.77439999999999987</v>
      </c>
      <c r="H238" s="893">
        <f>('A. Dades de partida'!$D$10*E238+(120*(I238-E238)/'A. Dades de partida'!$D$10))/'A. Dades de partida'!$D$10</f>
        <v>2.2856533333333333</v>
      </c>
      <c r="I238" s="884">
        <f t="shared" si="11"/>
        <v>2.7456</v>
      </c>
      <c r="J238" s="884">
        <f>IF(C238=1,F238*'3. Aigua-Resid '!$N$80,F238*'3. Aigua-Resid '!$N$82)</f>
        <v>1.9712000000000003</v>
      </c>
      <c r="K238" s="899">
        <f>('A. Dades de partida'!$D$10*D238+(120*(E238-D238)/'A. Dades de partida'!$D$10))/'A. Dades de partida'!$D$10</f>
        <v>1.5803333333333331</v>
      </c>
    </row>
    <row r="239" spans="1:11">
      <c r="A239" s="835">
        <v>8238</v>
      </c>
      <c r="B239" s="826" t="s">
        <v>1538</v>
      </c>
      <c r="C239" s="835">
        <v>1</v>
      </c>
      <c r="D239" s="835">
        <v>1.462</v>
      </c>
      <c r="E239" s="884">
        <f>D239+D239*'3. Aigua-Resid '!$N$72</f>
        <v>1.8713600000000001</v>
      </c>
      <c r="F239" s="884">
        <f t="shared" si="9"/>
        <v>1.0479616000000003</v>
      </c>
      <c r="G239" s="884">
        <f t="shared" si="10"/>
        <v>0.82339839999999986</v>
      </c>
      <c r="H239" s="893">
        <f>('A. Dades de partida'!$D$10*E239+(120*(I239-E239)/'A. Dades de partida'!$D$10))/'A. Dades de partida'!$D$10</f>
        <v>3.0869954560000008</v>
      </c>
      <c r="I239" s="884">
        <f t="shared" si="11"/>
        <v>4.1506764800000004</v>
      </c>
      <c r="J239" s="884">
        <f>IF(C239=1,F239*'3. Aigua-Resid '!$N$80,F239*'3. Aigua-Resid '!$N$82)</f>
        <v>3.3272780800000006</v>
      </c>
      <c r="K239" s="899">
        <f>('A. Dades de partida'!$D$10*D239+(120*(E239-D239)/'A. Dades de partida'!$D$10))/'A. Dades de partida'!$D$10</f>
        <v>1.6803253333333334</v>
      </c>
    </row>
    <row r="240" spans="1:11">
      <c r="A240" s="835">
        <v>8239</v>
      </c>
      <c r="B240" s="826" t="s">
        <v>1542</v>
      </c>
      <c r="C240" s="835">
        <v>0</v>
      </c>
      <c r="D240" s="835">
        <v>2.3740000000000001</v>
      </c>
      <c r="E240" s="884">
        <f>D240+D240*'3. Aigua-Resid '!$N$72</f>
        <v>3.0387200000000001</v>
      </c>
      <c r="F240" s="884">
        <f t="shared" si="9"/>
        <v>1.7016832000000002</v>
      </c>
      <c r="G240" s="884">
        <f t="shared" si="10"/>
        <v>1.3370367999999999</v>
      </c>
      <c r="H240" s="893">
        <f>('A. Dades de partida'!$D$10*E240+(120*(I240-E240)/'A. Dades de partida'!$D$10))/'A. Dades de partida'!$D$10</f>
        <v>3.9462843733333339</v>
      </c>
      <c r="I240" s="884">
        <f t="shared" si="11"/>
        <v>4.7404032000000003</v>
      </c>
      <c r="J240" s="884">
        <f>IF(C240=1,F240*'3. Aigua-Resid '!$N$80,F240*'3. Aigua-Resid '!$N$82)</f>
        <v>3.4033664000000003</v>
      </c>
      <c r="K240" s="899">
        <f>('A. Dades de partida'!$D$10*D240+(120*(E240-D240)/'A. Dades de partida'!$D$10))/'A. Dades de partida'!$D$10</f>
        <v>2.7285173333333335</v>
      </c>
    </row>
    <row r="241" spans="1:11">
      <c r="A241" s="835">
        <v>8240</v>
      </c>
      <c r="B241" s="826" t="s">
        <v>1544</v>
      </c>
      <c r="C241" s="835">
        <v>1</v>
      </c>
      <c r="D241" s="835">
        <v>1.516</v>
      </c>
      <c r="E241" s="884">
        <f>D241+D241*'3. Aigua-Resid '!$N$72</f>
        <v>1.94048</v>
      </c>
      <c r="F241" s="884">
        <f t="shared" si="9"/>
        <v>1.0866688</v>
      </c>
      <c r="G241" s="884">
        <f t="shared" si="10"/>
        <v>0.85381119999999999</v>
      </c>
      <c r="H241" s="893">
        <f>('A. Dades de partida'!$D$10*E241+(120*(I241-E241)/'A. Dades de partida'!$D$10))/'A. Dades de partida'!$D$10</f>
        <v>3.2010158079999997</v>
      </c>
      <c r="I241" s="884">
        <f t="shared" si="11"/>
        <v>4.3039846399999995</v>
      </c>
      <c r="J241" s="884">
        <f>IF(C241=1,F241*'3. Aigua-Resid '!$N$80,F241*'3. Aigua-Resid '!$N$82)</f>
        <v>3.4501734399999999</v>
      </c>
      <c r="K241" s="899">
        <f>('A. Dades de partida'!$D$10*D241+(120*(E241-D241)/'A. Dades de partida'!$D$10))/'A. Dades de partida'!$D$10</f>
        <v>1.7423893333333333</v>
      </c>
    </row>
    <row r="242" spans="1:11">
      <c r="A242" s="835">
        <v>8241</v>
      </c>
      <c r="B242" s="826" t="s">
        <v>1549</v>
      </c>
      <c r="C242" s="835">
        <v>0</v>
      </c>
      <c r="D242" s="835">
        <v>0.433</v>
      </c>
      <c r="E242" s="884">
        <f>D242+D242*'3. Aigua-Resid '!$N$72</f>
        <v>0.55424000000000007</v>
      </c>
      <c r="F242" s="884">
        <f t="shared" si="9"/>
        <v>0.31037440000000005</v>
      </c>
      <c r="G242" s="884">
        <f t="shared" si="10"/>
        <v>0.24386560000000002</v>
      </c>
      <c r="H242" s="893">
        <f>('A. Dades de partida'!$D$10*E242+(120*(I242-E242)/'A. Dades de partida'!$D$10))/'A. Dades de partida'!$D$10</f>
        <v>0.71977301333333343</v>
      </c>
      <c r="I242" s="884">
        <f t="shared" si="11"/>
        <v>0.86461440000000012</v>
      </c>
      <c r="J242" s="884">
        <f>IF(C242=1,F242*'3. Aigua-Resid '!$N$80,F242*'3. Aigua-Resid '!$N$82)</f>
        <v>0.6207488000000001</v>
      </c>
      <c r="K242" s="899">
        <f>('A. Dades de partida'!$D$10*D242+(120*(E242-D242)/'A. Dades de partida'!$D$10))/'A. Dades de partida'!$D$10</f>
        <v>0.4976613333333334</v>
      </c>
    </row>
    <row r="243" spans="1:11">
      <c r="A243" s="835">
        <v>8242</v>
      </c>
      <c r="B243" s="826" t="s">
        <v>1555</v>
      </c>
      <c r="C243" s="835">
        <v>0</v>
      </c>
      <c r="D243" s="835">
        <v>1.871</v>
      </c>
      <c r="E243" s="884">
        <f>D243+D243*'3. Aigua-Resid '!$N$72</f>
        <v>2.3948800000000001</v>
      </c>
      <c r="F243" s="884">
        <f t="shared" si="9"/>
        <v>1.3411328000000002</v>
      </c>
      <c r="G243" s="884">
        <f t="shared" si="10"/>
        <v>1.0537471999999999</v>
      </c>
      <c r="H243" s="893">
        <f>('A. Dades de partida'!$D$10*E243+(120*(I243-E243)/'A. Dades de partida'!$D$10))/'A. Dades de partida'!$D$10</f>
        <v>3.1101508266666666</v>
      </c>
      <c r="I243" s="884">
        <f t="shared" si="11"/>
        <v>3.7360128000000001</v>
      </c>
      <c r="J243" s="884">
        <f>IF(C243=1,F243*'3. Aigua-Resid '!$N$80,F243*'3. Aigua-Resid '!$N$82)</f>
        <v>2.6822656000000005</v>
      </c>
      <c r="K243" s="899">
        <f>('A. Dades de partida'!$D$10*D243+(120*(E243-D243)/'A. Dades de partida'!$D$10))/'A. Dades de partida'!$D$10</f>
        <v>2.1504026666666665</v>
      </c>
    </row>
    <row r="244" spans="1:11">
      <c r="A244" s="835">
        <v>8243</v>
      </c>
      <c r="B244" s="826" t="s">
        <v>1556</v>
      </c>
      <c r="C244" s="835">
        <v>0</v>
      </c>
      <c r="D244" s="835">
        <v>1.163</v>
      </c>
      <c r="E244" s="884">
        <f>D244+D244*'3. Aigua-Resid '!$N$72</f>
        <v>1.4886400000000002</v>
      </c>
      <c r="F244" s="884">
        <f t="shared" si="9"/>
        <v>0.83363840000000022</v>
      </c>
      <c r="G244" s="884">
        <f t="shared" si="10"/>
        <v>0.65500159999999996</v>
      </c>
      <c r="H244" s="893">
        <f>('A. Dades de partida'!$D$10*E244+(120*(I244-E244)/'A. Dades de partida'!$D$10))/'A. Dades de partida'!$D$10</f>
        <v>1.933247146666667</v>
      </c>
      <c r="I244" s="884">
        <f t="shared" si="11"/>
        <v>2.3222784000000005</v>
      </c>
      <c r="J244" s="884">
        <f>IF(C244=1,F244*'3. Aigua-Resid '!$N$80,F244*'3. Aigua-Resid '!$N$82)</f>
        <v>1.6672768000000004</v>
      </c>
      <c r="K244" s="899">
        <f>('A. Dades de partida'!$D$10*D244+(120*(E244-D244)/'A. Dades de partida'!$D$10))/'A. Dades de partida'!$D$10</f>
        <v>1.3366746666666667</v>
      </c>
    </row>
    <row r="245" spans="1:11">
      <c r="A245" s="835">
        <v>8244</v>
      </c>
      <c r="B245" s="826" t="s">
        <v>1558</v>
      </c>
      <c r="C245" s="835">
        <v>1</v>
      </c>
      <c r="D245" s="835">
        <v>2.4809999999999999</v>
      </c>
      <c r="E245" s="884">
        <f>D245+D245*'3. Aigua-Resid '!$N$72</f>
        <v>3.1756799999999998</v>
      </c>
      <c r="F245" s="884">
        <f t="shared" si="9"/>
        <v>1.7783808000000001</v>
      </c>
      <c r="G245" s="884">
        <f t="shared" si="10"/>
        <v>1.3972991999999997</v>
      </c>
      <c r="H245" s="893">
        <f>('A. Dades de partida'!$D$10*E245+(120*(I245-E245)/'A. Dades de partida'!$D$10))/'A. Dades de partida'!$D$10</f>
        <v>5.2386017279999999</v>
      </c>
      <c r="I245" s="884">
        <f t="shared" si="11"/>
        <v>7.0436582400000001</v>
      </c>
      <c r="J245" s="884">
        <f>IF(C245=1,F245*'3. Aigua-Resid '!$N$80,F245*'3. Aigua-Resid '!$N$82)</f>
        <v>5.6463590400000001</v>
      </c>
      <c r="K245" s="899">
        <f>('A. Dades de partida'!$D$10*D245+(120*(E245-D245)/'A. Dades de partida'!$D$10))/'A. Dades de partida'!$D$10</f>
        <v>2.8514959999999996</v>
      </c>
    </row>
    <row r="246" spans="1:11" ht="30">
      <c r="A246" s="835">
        <v>8245</v>
      </c>
      <c r="B246" s="826" t="s">
        <v>1559</v>
      </c>
      <c r="C246" s="835">
        <v>1</v>
      </c>
      <c r="D246" s="835">
        <v>2.4809999999999999</v>
      </c>
      <c r="E246" s="884">
        <f>D246+D246*'3. Aigua-Resid '!$N$72</f>
        <v>3.1756799999999998</v>
      </c>
      <c r="F246" s="884">
        <f t="shared" si="9"/>
        <v>1.7783808000000001</v>
      </c>
      <c r="G246" s="884">
        <f t="shared" si="10"/>
        <v>1.3972991999999997</v>
      </c>
      <c r="H246" s="893">
        <f>('A. Dades de partida'!$D$10*E246+(120*(I246-E246)/'A. Dades de partida'!$D$10))/'A. Dades de partida'!$D$10</f>
        <v>5.2386017279999999</v>
      </c>
      <c r="I246" s="884">
        <f t="shared" si="11"/>
        <v>7.0436582400000001</v>
      </c>
      <c r="J246" s="884">
        <f>IF(C246=1,F246*'3. Aigua-Resid '!$N$80,F246*'3. Aigua-Resid '!$N$82)</f>
        <v>5.6463590400000001</v>
      </c>
      <c r="K246" s="899">
        <f>('A. Dades de partida'!$D$10*D246+(120*(E246-D246)/'A. Dades de partida'!$D$10))/'A. Dades de partida'!$D$10</f>
        <v>2.8514959999999996</v>
      </c>
    </row>
    <row r="247" spans="1:11">
      <c r="A247" s="835">
        <v>8246</v>
      </c>
      <c r="B247" s="826" t="s">
        <v>1561</v>
      </c>
      <c r="C247" s="835">
        <v>0</v>
      </c>
      <c r="D247" s="835">
        <v>1.5920000000000001</v>
      </c>
      <c r="E247" s="884">
        <f>D247+D247*'3. Aigua-Resid '!$N$72</f>
        <v>2.03776</v>
      </c>
      <c r="F247" s="884">
        <f t="shared" si="9"/>
        <v>1.1411456000000002</v>
      </c>
      <c r="G247" s="884">
        <f t="shared" si="10"/>
        <v>0.89661439999999981</v>
      </c>
      <c r="H247" s="893">
        <f>('A. Dades de partida'!$D$10*E247+(120*(I247-E247)/'A. Dades de partida'!$D$10))/'A. Dades de partida'!$D$10</f>
        <v>2.6463709866666667</v>
      </c>
      <c r="I247" s="884">
        <f t="shared" si="11"/>
        <v>3.1789056000000002</v>
      </c>
      <c r="J247" s="884">
        <f>IF(C247=1,F247*'3. Aigua-Resid '!$N$80,F247*'3. Aigua-Resid '!$N$82)</f>
        <v>2.2822912000000004</v>
      </c>
      <c r="K247" s="899">
        <f>('A. Dades de partida'!$D$10*D247+(120*(E247-D247)/'A. Dades de partida'!$D$10))/'A. Dades de partida'!$D$10</f>
        <v>1.8297386666666668</v>
      </c>
    </row>
    <row r="248" spans="1:11" ht="30">
      <c r="A248" s="835">
        <v>8247</v>
      </c>
      <c r="B248" s="826" t="s">
        <v>1562</v>
      </c>
      <c r="C248" s="835">
        <v>0</v>
      </c>
      <c r="D248" s="835">
        <v>1.8560000000000001</v>
      </c>
      <c r="E248" s="884">
        <f>D248+D248*'3. Aigua-Resid '!$N$72</f>
        <v>2.37568</v>
      </c>
      <c r="F248" s="884">
        <f t="shared" si="9"/>
        <v>1.3303808000000001</v>
      </c>
      <c r="G248" s="884">
        <f t="shared" si="10"/>
        <v>1.0452991999999999</v>
      </c>
      <c r="H248" s="893">
        <f>('A. Dades de partida'!$D$10*E248+(120*(I248-E248)/'A. Dades de partida'!$D$10))/'A. Dades de partida'!$D$10</f>
        <v>3.0852164266666668</v>
      </c>
      <c r="I248" s="884">
        <f t="shared" si="11"/>
        <v>3.7060608000000004</v>
      </c>
      <c r="J248" s="884">
        <f>IF(C248=1,F248*'3. Aigua-Resid '!$N$80,F248*'3. Aigua-Resid '!$N$82)</f>
        <v>2.6607616000000003</v>
      </c>
      <c r="K248" s="899">
        <f>('A. Dades de partida'!$D$10*D248+(120*(E248-D248)/'A. Dades de partida'!$D$10))/'A. Dades de partida'!$D$10</f>
        <v>2.1331626666666663</v>
      </c>
    </row>
    <row r="249" spans="1:11">
      <c r="A249" s="835">
        <v>8248</v>
      </c>
      <c r="B249" s="826" t="s">
        <v>1564</v>
      </c>
      <c r="C249" s="835">
        <v>1</v>
      </c>
      <c r="D249" s="835">
        <v>1.5209999999999999</v>
      </c>
      <c r="E249" s="884">
        <f>D249+D249*'3. Aigua-Resid '!$N$72</f>
        <v>1.9468799999999999</v>
      </c>
      <c r="F249" s="884">
        <f t="shared" si="9"/>
        <v>1.0902528</v>
      </c>
      <c r="G249" s="884">
        <f t="shared" si="10"/>
        <v>0.85662719999999992</v>
      </c>
      <c r="H249" s="893">
        <f>('A. Dades de partida'!$D$10*E249+(120*(I249-E249)/'A. Dades de partida'!$D$10))/'A. Dades de partida'!$D$10</f>
        <v>3.2115732480000001</v>
      </c>
      <c r="I249" s="884">
        <f t="shared" si="11"/>
        <v>4.31817984</v>
      </c>
      <c r="J249" s="884">
        <f>IF(C249=1,F249*'3. Aigua-Resid '!$N$80,F249*'3. Aigua-Resid '!$N$82)</f>
        <v>3.4615526399999998</v>
      </c>
      <c r="K249" s="899">
        <f>('A. Dades de partida'!$D$10*D249+(120*(E249-D249)/'A. Dades de partida'!$D$10))/'A. Dades de partida'!$D$10</f>
        <v>1.7481359999999999</v>
      </c>
    </row>
    <row r="250" spans="1:11">
      <c r="A250" s="835">
        <v>8249</v>
      </c>
      <c r="B250" s="826" t="s">
        <v>1566</v>
      </c>
      <c r="C250" s="835">
        <v>1</v>
      </c>
      <c r="D250" s="835">
        <v>2.0539999999999998</v>
      </c>
      <c r="E250" s="884">
        <f>D250+D250*'3. Aigua-Resid '!$N$72</f>
        <v>2.6291199999999999</v>
      </c>
      <c r="F250" s="884">
        <f t="shared" si="9"/>
        <v>1.4723072000000001</v>
      </c>
      <c r="G250" s="884">
        <f t="shared" si="10"/>
        <v>1.1568127999999998</v>
      </c>
      <c r="H250" s="893">
        <f>('A. Dades de partida'!$D$10*E250+(120*(I250-E250)/'A. Dades de partida'!$D$10))/'A. Dades de partida'!$D$10</f>
        <v>4.3369963519999999</v>
      </c>
      <c r="I250" s="884">
        <f t="shared" si="11"/>
        <v>5.8313881600000004</v>
      </c>
      <c r="J250" s="884">
        <f>IF(C250=1,F250*'3. Aigua-Resid '!$N$80,F250*'3. Aigua-Resid '!$N$82)</f>
        <v>4.6745753600000004</v>
      </c>
      <c r="K250" s="899">
        <f>('A. Dades de partida'!$D$10*D250+(120*(E250-D250)/'A. Dades de partida'!$D$10))/'A. Dades de partida'!$D$10</f>
        <v>2.360730666666667</v>
      </c>
    </row>
    <row r="251" spans="1:11" ht="30">
      <c r="A251" s="835">
        <v>8250</v>
      </c>
      <c r="B251" s="826" t="s">
        <v>1567</v>
      </c>
      <c r="C251" s="835">
        <v>0</v>
      </c>
      <c r="D251" s="835">
        <v>1.734</v>
      </c>
      <c r="E251" s="884">
        <f>D251+D251*'3. Aigua-Resid '!$N$72</f>
        <v>2.2195200000000002</v>
      </c>
      <c r="F251" s="884">
        <f t="shared" si="9"/>
        <v>1.2429312000000001</v>
      </c>
      <c r="G251" s="884">
        <f t="shared" si="10"/>
        <v>0.97658880000000003</v>
      </c>
      <c r="H251" s="893">
        <f>('A. Dades de partida'!$D$10*E251+(120*(I251-E251)/'A. Dades de partida'!$D$10))/'A. Dades de partida'!$D$10</f>
        <v>2.8824166400000002</v>
      </c>
      <c r="I251" s="884">
        <f t="shared" si="11"/>
        <v>3.4624512000000003</v>
      </c>
      <c r="J251" s="884">
        <f>IF(C251=1,F251*'3. Aigua-Resid '!$N$80,F251*'3. Aigua-Resid '!$N$82)</f>
        <v>2.4858624000000002</v>
      </c>
      <c r="K251" s="899">
        <f>('A. Dades de partida'!$D$10*D251+(120*(E251-D251)/'A. Dades de partida'!$D$10))/'A. Dades de partida'!$D$10</f>
        <v>1.992944</v>
      </c>
    </row>
    <row r="252" spans="1:11" ht="30">
      <c r="A252" s="835">
        <v>8251</v>
      </c>
      <c r="B252" s="826" t="s">
        <v>1571</v>
      </c>
      <c r="C252" s="835">
        <v>1</v>
      </c>
      <c r="D252" s="835">
        <v>1.847</v>
      </c>
      <c r="E252" s="884">
        <f>D252+D252*'3. Aigua-Resid '!$N$72</f>
        <v>2.36416</v>
      </c>
      <c r="F252" s="884">
        <f t="shared" si="9"/>
        <v>1.3239296</v>
      </c>
      <c r="G252" s="884">
        <f t="shared" si="10"/>
        <v>1.0402304</v>
      </c>
      <c r="H252" s="893">
        <f>('A. Dades de partida'!$D$10*E252+(120*(I252-E252)/'A. Dades de partida'!$D$10))/'A. Dades de partida'!$D$10</f>
        <v>3.8999183359999998</v>
      </c>
      <c r="I252" s="884">
        <f t="shared" si="11"/>
        <v>5.2437068799999995</v>
      </c>
      <c r="J252" s="884">
        <f>IF(C252=1,F252*'3. Aigua-Resid '!$N$80,F252*'3. Aigua-Resid '!$N$82)</f>
        <v>4.20347648</v>
      </c>
      <c r="K252" s="899">
        <f>('A. Dades de partida'!$D$10*D252+(120*(E252-D252)/'A. Dades de partida'!$D$10))/'A. Dades de partida'!$D$10</f>
        <v>2.1228186666666664</v>
      </c>
    </row>
    <row r="253" spans="1:11">
      <c r="A253" s="835">
        <v>8252</v>
      </c>
      <c r="B253" s="826" t="s">
        <v>1572</v>
      </c>
      <c r="C253" s="835">
        <v>1</v>
      </c>
      <c r="D253" s="835">
        <v>1.8220000000000001</v>
      </c>
      <c r="E253" s="884">
        <f>D253+D253*'3. Aigua-Resid '!$N$72</f>
        <v>2.33216</v>
      </c>
      <c r="F253" s="884">
        <f t="shared" si="9"/>
        <v>1.3060096000000001</v>
      </c>
      <c r="G253" s="884">
        <f t="shared" si="10"/>
        <v>1.0261503999999999</v>
      </c>
      <c r="H253" s="893">
        <f>('A. Dades de partida'!$D$10*E253+(120*(I253-E253)/'A. Dades de partida'!$D$10))/'A. Dades de partida'!$D$10</f>
        <v>3.8471311359999998</v>
      </c>
      <c r="I253" s="884">
        <f t="shared" si="11"/>
        <v>5.1727308799999996</v>
      </c>
      <c r="J253" s="884">
        <f>IF(C253=1,F253*'3. Aigua-Resid '!$N$80,F253*'3. Aigua-Resid '!$N$82)</f>
        <v>4.1465804799999999</v>
      </c>
      <c r="K253" s="899">
        <f>('A. Dades de partida'!$D$10*D253+(120*(E253-D253)/'A. Dades de partida'!$D$10))/'A. Dades de partida'!$D$10</f>
        <v>2.0940853333333336</v>
      </c>
    </row>
    <row r="254" spans="1:11">
      <c r="A254" s="835">
        <v>8253</v>
      </c>
      <c r="B254" s="826" t="s">
        <v>1574</v>
      </c>
      <c r="C254" s="835">
        <v>0</v>
      </c>
      <c r="D254" s="835">
        <v>1.476</v>
      </c>
      <c r="E254" s="884">
        <f>D254+D254*'3. Aigua-Resid '!$N$72</f>
        <v>1.8892800000000001</v>
      </c>
      <c r="F254" s="884">
        <f t="shared" si="9"/>
        <v>1.0579968000000002</v>
      </c>
      <c r="G254" s="884">
        <f t="shared" si="10"/>
        <v>0.83128319999999989</v>
      </c>
      <c r="H254" s="893">
        <f>('A. Dades de partida'!$D$10*E254+(120*(I254-E254)/'A. Dades de partida'!$D$10))/'A. Dades de partida'!$D$10</f>
        <v>2.4535449600000003</v>
      </c>
      <c r="I254" s="884">
        <f t="shared" si="11"/>
        <v>2.9472768</v>
      </c>
      <c r="J254" s="884">
        <f>IF(C254=1,F254*'3. Aigua-Resid '!$N$80,F254*'3. Aigua-Resid '!$N$82)</f>
        <v>2.1159936000000004</v>
      </c>
      <c r="K254" s="899">
        <f>('A. Dades de partida'!$D$10*D254+(120*(E254-D254)/'A. Dades de partida'!$D$10))/'A. Dades de partida'!$D$10</f>
        <v>1.6964160000000001</v>
      </c>
    </row>
    <row r="255" spans="1:11">
      <c r="A255" s="835">
        <v>8254</v>
      </c>
      <c r="B255" s="826" t="s">
        <v>1578</v>
      </c>
      <c r="C255" s="835">
        <v>0</v>
      </c>
      <c r="D255" s="835">
        <v>1.696</v>
      </c>
      <c r="E255" s="884">
        <f>D255+D255*'3. Aigua-Resid '!$N$72</f>
        <v>2.1708799999999999</v>
      </c>
      <c r="F255" s="884">
        <f t="shared" si="9"/>
        <v>1.2156928</v>
      </c>
      <c r="G255" s="884">
        <f t="shared" si="10"/>
        <v>0.9551871999999999</v>
      </c>
      <c r="H255" s="893">
        <f>('A. Dades de partida'!$D$10*E255+(120*(I255-E255)/'A. Dades de partida'!$D$10))/'A. Dades de partida'!$D$10</f>
        <v>2.8192494933333334</v>
      </c>
      <c r="I255" s="884">
        <f t="shared" si="11"/>
        <v>3.3865727999999997</v>
      </c>
      <c r="J255" s="884">
        <f>IF(C255=1,F255*'3. Aigua-Resid '!$N$80,F255*'3. Aigua-Resid '!$N$82)</f>
        <v>2.4313856</v>
      </c>
      <c r="K255" s="899">
        <f>('A. Dades de partida'!$D$10*D255+(120*(E255-D255)/'A. Dades de partida'!$D$10))/'A. Dades de partida'!$D$10</f>
        <v>1.9492693333333331</v>
      </c>
    </row>
    <row r="256" spans="1:11">
      <c r="A256" s="835">
        <v>8255</v>
      </c>
      <c r="B256" s="826" t="s">
        <v>1580</v>
      </c>
      <c r="C256" s="835">
        <v>0</v>
      </c>
      <c r="D256" s="835">
        <v>2.67</v>
      </c>
      <c r="E256" s="884">
        <f>D256+D256*'3. Aigua-Resid '!$N$72</f>
        <v>3.4176000000000002</v>
      </c>
      <c r="F256" s="884">
        <f t="shared" si="9"/>
        <v>1.9138560000000002</v>
      </c>
      <c r="G256" s="884">
        <f t="shared" si="10"/>
        <v>1.503744</v>
      </c>
      <c r="H256" s="893">
        <f>('A. Dades de partida'!$D$10*E256+(120*(I256-E256)/'A. Dades de partida'!$D$10))/'A. Dades de partida'!$D$10</f>
        <v>4.4383232000000001</v>
      </c>
      <c r="I256" s="884">
        <f t="shared" si="11"/>
        <v>5.3314560000000002</v>
      </c>
      <c r="J256" s="884">
        <f>IF(C256=1,F256*'3. Aigua-Resid '!$N$80,F256*'3. Aigua-Resid '!$N$82)</f>
        <v>3.8277120000000004</v>
      </c>
      <c r="K256" s="899">
        <f>('A. Dades de partida'!$D$10*D256+(120*(E256-D256)/'A. Dades de partida'!$D$10))/'A. Dades de partida'!$D$10</f>
        <v>3.0687199999999999</v>
      </c>
    </row>
    <row r="257" spans="1:11" ht="30">
      <c r="A257" s="835">
        <v>8256</v>
      </c>
      <c r="B257" s="826" t="s">
        <v>1584</v>
      </c>
      <c r="C257" s="835">
        <v>1</v>
      </c>
      <c r="D257" s="835">
        <v>1.9350000000000001</v>
      </c>
      <c r="E257" s="884">
        <f>D257+D257*'3. Aigua-Resid '!$N$72</f>
        <v>2.4767999999999999</v>
      </c>
      <c r="F257" s="884">
        <f t="shared" si="9"/>
        <v>1.387008</v>
      </c>
      <c r="G257" s="884">
        <f t="shared" si="10"/>
        <v>1.0897919999999999</v>
      </c>
      <c r="H257" s="893">
        <f>('A. Dades de partida'!$D$10*E257+(120*(I257-E257)/'A. Dades de partida'!$D$10))/'A. Dades de partida'!$D$10</f>
        <v>4.0857292799999998</v>
      </c>
      <c r="I257" s="884">
        <f t="shared" si="11"/>
        <v>5.4935423999999999</v>
      </c>
      <c r="J257" s="884">
        <f>IF(C257=1,F257*'3. Aigua-Resid '!$N$80,F257*'3. Aigua-Resid '!$N$82)</f>
        <v>4.4037503999999998</v>
      </c>
      <c r="K257" s="899">
        <f>('A. Dades de partida'!$D$10*D257+(120*(E257-D257)/'A. Dades de partida'!$D$10))/'A. Dades de partida'!$D$10</f>
        <v>2.2239599999999999</v>
      </c>
    </row>
    <row r="258" spans="1:11">
      <c r="A258" s="835">
        <v>8257</v>
      </c>
      <c r="B258" s="826" t="s">
        <v>1587</v>
      </c>
      <c r="C258" s="835">
        <v>0</v>
      </c>
      <c r="D258" s="835">
        <v>2.2610000000000001</v>
      </c>
      <c r="E258" s="884">
        <f>D258+D258*'3. Aigua-Resid '!$N$72</f>
        <v>2.8940800000000002</v>
      </c>
      <c r="F258" s="884">
        <f t="shared" si="9"/>
        <v>1.6206848000000003</v>
      </c>
      <c r="G258" s="884">
        <f t="shared" si="10"/>
        <v>1.2733951999999999</v>
      </c>
      <c r="H258" s="893">
        <f>('A. Dades de partida'!$D$10*E258+(120*(I258-E258)/'A. Dades de partida'!$D$10))/'A. Dades de partida'!$D$10</f>
        <v>3.7584452266666668</v>
      </c>
      <c r="I258" s="884">
        <f t="shared" si="11"/>
        <v>4.5147648</v>
      </c>
      <c r="J258" s="884">
        <f>IF(C258=1,F258*'3. Aigua-Resid '!$N$80,F258*'3. Aigua-Resid '!$N$82)</f>
        <v>3.2413696000000005</v>
      </c>
      <c r="K258" s="899">
        <f>('A. Dades de partida'!$D$10*D258+(120*(E258-D258)/'A. Dades de partida'!$D$10))/'A. Dades de partida'!$D$10</f>
        <v>2.5986426666666671</v>
      </c>
    </row>
    <row r="259" spans="1:11">
      <c r="A259" s="835">
        <v>8258</v>
      </c>
      <c r="B259" s="826" t="s">
        <v>1591</v>
      </c>
      <c r="C259" s="835">
        <v>0</v>
      </c>
      <c r="D259" s="835">
        <v>1.117</v>
      </c>
      <c r="E259" s="884">
        <f>D259+D259*'3. Aigua-Resid '!$N$72</f>
        <v>1.4297599999999999</v>
      </c>
      <c r="F259" s="884">
        <f t="shared" si="9"/>
        <v>0.80066559999999998</v>
      </c>
      <c r="G259" s="884">
        <f t="shared" si="10"/>
        <v>0.62909439999999994</v>
      </c>
      <c r="H259" s="893">
        <f>('A. Dades de partida'!$D$10*E259+(120*(I259-E259)/'A. Dades de partida'!$D$10))/'A. Dades de partida'!$D$10</f>
        <v>1.856781653333333</v>
      </c>
      <c r="I259" s="884">
        <f t="shared" si="11"/>
        <v>2.2304255999999998</v>
      </c>
      <c r="J259" s="884">
        <f>IF(C259=1,F259*'3. Aigua-Resid '!$N$80,F259*'3. Aigua-Resid '!$N$82)</f>
        <v>1.6013312</v>
      </c>
      <c r="K259" s="899">
        <f>('A. Dades de partida'!$D$10*D259+(120*(E259-D259)/'A. Dades de partida'!$D$10))/'A. Dades de partida'!$D$10</f>
        <v>1.2838053333333332</v>
      </c>
    </row>
    <row r="260" spans="1:11" ht="30">
      <c r="A260" s="835">
        <v>8259</v>
      </c>
      <c r="B260" s="826" t="s">
        <v>1594</v>
      </c>
      <c r="C260" s="835">
        <v>1</v>
      </c>
      <c r="D260" s="835">
        <v>1.427</v>
      </c>
      <c r="E260" s="884">
        <f>D260+D260*'3. Aigua-Resid '!$N$72</f>
        <v>1.8265600000000002</v>
      </c>
      <c r="F260" s="884">
        <f t="shared" si="9"/>
        <v>1.0228736000000003</v>
      </c>
      <c r="G260" s="884">
        <f t="shared" si="10"/>
        <v>0.80368639999999991</v>
      </c>
      <c r="H260" s="893">
        <f>('A. Dades de partida'!$D$10*E260+(120*(I260-E260)/'A. Dades de partida'!$D$10))/'A. Dades de partida'!$D$10</f>
        <v>3.0130933760000005</v>
      </c>
      <c r="I260" s="884">
        <f t="shared" si="11"/>
        <v>4.0513100800000004</v>
      </c>
      <c r="J260" s="884">
        <f>IF(C260=1,F260*'3. Aigua-Resid '!$N$80,F260*'3. Aigua-Resid '!$N$82)</f>
        <v>3.2476236800000007</v>
      </c>
      <c r="K260" s="899">
        <f>('A. Dades de partida'!$D$10*D260+(120*(E260-D260)/'A. Dades de partida'!$D$10))/'A. Dades de partida'!$D$10</f>
        <v>1.6400986666666668</v>
      </c>
    </row>
    <row r="261" spans="1:11" ht="30">
      <c r="A261" s="835">
        <v>8260</v>
      </c>
      <c r="B261" s="826" t="s">
        <v>1598</v>
      </c>
      <c r="C261" s="835">
        <v>1</v>
      </c>
      <c r="D261" s="835">
        <v>1.39</v>
      </c>
      <c r="E261" s="884">
        <f>D261+D261*'3. Aigua-Resid '!$N$72</f>
        <v>1.7791999999999999</v>
      </c>
      <c r="F261" s="884">
        <f t="shared" ref="F261:F314" si="12">0.56*E261</f>
        <v>0.99635200000000002</v>
      </c>
      <c r="G261" s="884">
        <f t="shared" ref="G261:G314" si="13">E261-F261</f>
        <v>0.78284799999999988</v>
      </c>
      <c r="H261" s="893">
        <f>('A. Dades de partida'!$D$10*E261+(120*(I261-E261)/'A. Dades de partida'!$D$10))/'A. Dades de partida'!$D$10</f>
        <v>2.9349683199999999</v>
      </c>
      <c r="I261" s="884">
        <f t="shared" ref="I261:I314" si="14">G261+J261</f>
        <v>3.9462655999999998</v>
      </c>
      <c r="J261" s="884">
        <f>IF(C261=1,F261*'3. Aigua-Resid '!$N$80,F261*'3. Aigua-Resid '!$N$82)</f>
        <v>3.1634175999999998</v>
      </c>
      <c r="K261" s="899">
        <f>('A. Dades de partida'!$D$10*D261+(120*(E261-D261)/'A. Dades de partida'!$D$10))/'A. Dades de partida'!$D$10</f>
        <v>1.5975733333333333</v>
      </c>
    </row>
    <row r="262" spans="1:11">
      <c r="A262" s="835">
        <v>8261</v>
      </c>
      <c r="B262" s="826" t="s">
        <v>354</v>
      </c>
      <c r="C262" s="835">
        <v>1</v>
      </c>
      <c r="D262" s="835">
        <v>1.9970000000000001</v>
      </c>
      <c r="E262" s="884">
        <f>D262+D262*'3. Aigua-Resid '!$N$72</f>
        <v>2.5561600000000002</v>
      </c>
      <c r="F262" s="884">
        <f t="shared" si="12"/>
        <v>1.4314496000000003</v>
      </c>
      <c r="G262" s="884">
        <f t="shared" si="13"/>
        <v>1.1247103999999999</v>
      </c>
      <c r="H262" s="893">
        <f>('A. Dades de partida'!$D$10*E262+(120*(I262-E262)/'A. Dades de partida'!$D$10))/'A. Dades de partida'!$D$10</f>
        <v>4.2166415360000009</v>
      </c>
      <c r="I262" s="884">
        <f t="shared" si="14"/>
        <v>5.6695628800000009</v>
      </c>
      <c r="J262" s="884">
        <f>IF(C262=1,F262*'3. Aigua-Resid '!$N$80,F262*'3. Aigua-Resid '!$N$82)</f>
        <v>4.5448524800000012</v>
      </c>
      <c r="K262" s="899">
        <f>('A. Dades de partida'!$D$10*D262+(120*(E262-D262)/'A. Dades de partida'!$D$10))/'A. Dades de partida'!$D$10</f>
        <v>2.2952186666666665</v>
      </c>
    </row>
    <row r="263" spans="1:11">
      <c r="A263" s="835">
        <v>8262</v>
      </c>
      <c r="B263" s="826" t="s">
        <v>1600</v>
      </c>
      <c r="C263" s="835">
        <v>0</v>
      </c>
      <c r="D263" s="835">
        <v>1.6419999999999999</v>
      </c>
      <c r="E263" s="884">
        <f>D263+D263*'3. Aigua-Resid '!$N$72</f>
        <v>2.1017600000000001</v>
      </c>
      <c r="F263" s="884">
        <f t="shared" si="12"/>
        <v>1.1769856000000001</v>
      </c>
      <c r="G263" s="884">
        <f t="shared" si="13"/>
        <v>0.9247744</v>
      </c>
      <c r="H263" s="893">
        <f>('A. Dades de partida'!$D$10*E263+(120*(I263-E263)/'A. Dades de partida'!$D$10))/'A. Dades de partida'!$D$10</f>
        <v>2.7294856533333336</v>
      </c>
      <c r="I263" s="884">
        <f t="shared" si="14"/>
        <v>3.2787456000000001</v>
      </c>
      <c r="J263" s="884">
        <f>IF(C263=1,F263*'3. Aigua-Resid '!$N$80,F263*'3. Aigua-Resid '!$N$82)</f>
        <v>2.3539712000000002</v>
      </c>
      <c r="K263" s="899">
        <f>('A. Dades de partida'!$D$10*D263+(120*(E263-D263)/'A. Dades de partida'!$D$10))/'A. Dades de partida'!$D$10</f>
        <v>1.8872053333333334</v>
      </c>
    </row>
    <row r="264" spans="1:11">
      <c r="A264" s="835">
        <v>8263</v>
      </c>
      <c r="B264" s="826" t="s">
        <v>1602</v>
      </c>
      <c r="C264" s="835">
        <v>1</v>
      </c>
      <c r="D264" s="835">
        <v>1.494</v>
      </c>
      <c r="E264" s="884">
        <f>D264+D264*'3. Aigua-Resid '!$N$72</f>
        <v>1.91232</v>
      </c>
      <c r="F264" s="884">
        <f t="shared" si="12"/>
        <v>1.0708992000000002</v>
      </c>
      <c r="G264" s="884">
        <f t="shared" si="13"/>
        <v>0.84142079999999986</v>
      </c>
      <c r="H264" s="893">
        <f>('A. Dades de partida'!$D$10*E264+(120*(I264-E264)/'A. Dades de partida'!$D$10))/'A. Dades de partida'!$D$10</f>
        <v>3.1545630720000002</v>
      </c>
      <c r="I264" s="884">
        <f t="shared" si="14"/>
        <v>4.24152576</v>
      </c>
      <c r="J264" s="884">
        <f>IF(C264=1,F264*'3. Aigua-Resid '!$N$80,F264*'3. Aigua-Resid '!$N$82)</f>
        <v>3.4001049600000002</v>
      </c>
      <c r="K264" s="899">
        <f>('A. Dades de partida'!$D$10*D264+(120*(E264-D264)/'A. Dades de partida'!$D$10))/'A. Dades de partida'!$D$10</f>
        <v>1.717104</v>
      </c>
    </row>
    <row r="265" spans="1:11">
      <c r="A265" s="835">
        <v>8264</v>
      </c>
      <c r="B265" s="826" t="s">
        <v>355</v>
      </c>
      <c r="C265" s="835">
        <v>1</v>
      </c>
      <c r="D265" s="835">
        <v>2.1949999999999998</v>
      </c>
      <c r="E265" s="884">
        <f>D265+D265*'3. Aigua-Resid '!$N$72</f>
        <v>2.8095999999999997</v>
      </c>
      <c r="F265" s="884">
        <f t="shared" si="12"/>
        <v>1.5733759999999999</v>
      </c>
      <c r="G265" s="884">
        <f t="shared" si="13"/>
        <v>1.2362239999999998</v>
      </c>
      <c r="H265" s="893">
        <f>('A. Dades de partida'!$D$10*E265+(120*(I265-E265)/'A. Dades de partida'!$D$10))/'A. Dades de partida'!$D$10</f>
        <v>4.6347161599999991</v>
      </c>
      <c r="I265" s="884">
        <f t="shared" si="14"/>
        <v>6.2316927999999994</v>
      </c>
      <c r="J265" s="884">
        <f>IF(C265=1,F265*'3. Aigua-Resid '!$N$80,F265*'3. Aigua-Resid '!$N$82)</f>
        <v>4.9954687999999994</v>
      </c>
      <c r="K265" s="899">
        <f>('A. Dades de partida'!$D$10*D265+(120*(E265-D265)/'A. Dades de partida'!$D$10))/'A. Dades de partida'!$D$10</f>
        <v>2.5227866666666663</v>
      </c>
    </row>
    <row r="266" spans="1:11">
      <c r="A266" s="835">
        <v>8265</v>
      </c>
      <c r="B266" s="826" t="s">
        <v>1604</v>
      </c>
      <c r="C266" s="835">
        <v>0</v>
      </c>
      <c r="D266" s="835">
        <v>1.3340000000000001</v>
      </c>
      <c r="E266" s="884">
        <f>D266+D266*'3. Aigua-Resid '!$N$72</f>
        <v>1.7075200000000001</v>
      </c>
      <c r="F266" s="884">
        <f t="shared" si="12"/>
        <v>0.95621120000000015</v>
      </c>
      <c r="G266" s="884">
        <f t="shared" si="13"/>
        <v>0.7513088</v>
      </c>
      <c r="H266" s="893">
        <f>('A. Dades de partida'!$D$10*E266+(120*(I266-E266)/'A. Dades de partida'!$D$10))/'A. Dades de partida'!$D$10</f>
        <v>2.2174993066666673</v>
      </c>
      <c r="I266" s="884">
        <f t="shared" si="14"/>
        <v>2.6637312000000004</v>
      </c>
      <c r="J266" s="884">
        <f>IF(C266=1,F266*'3. Aigua-Resid '!$N$80,F266*'3. Aigua-Resid '!$N$82)</f>
        <v>1.9124224000000003</v>
      </c>
      <c r="K266" s="899">
        <f>('A. Dades de partida'!$D$10*D266+(120*(E266-D266)/'A. Dades de partida'!$D$10))/'A. Dades de partida'!$D$10</f>
        <v>1.5332106666666667</v>
      </c>
    </row>
    <row r="267" spans="1:11">
      <c r="A267" s="835">
        <v>8266</v>
      </c>
      <c r="B267" s="826" t="s">
        <v>1605</v>
      </c>
      <c r="C267" s="835">
        <v>1</v>
      </c>
      <c r="D267" s="835">
        <v>2.4809999999999999</v>
      </c>
      <c r="E267" s="884">
        <f>D267+D267*'3. Aigua-Resid '!$N$72</f>
        <v>3.1756799999999998</v>
      </c>
      <c r="F267" s="884">
        <f t="shared" si="12"/>
        <v>1.7783808000000001</v>
      </c>
      <c r="G267" s="884">
        <f t="shared" si="13"/>
        <v>1.3972991999999997</v>
      </c>
      <c r="H267" s="893">
        <f>('A. Dades de partida'!$D$10*E267+(120*(I267-E267)/'A. Dades de partida'!$D$10))/'A. Dades de partida'!$D$10</f>
        <v>5.2386017279999999</v>
      </c>
      <c r="I267" s="884">
        <f t="shared" si="14"/>
        <v>7.0436582400000001</v>
      </c>
      <c r="J267" s="884">
        <f>IF(C267=1,F267*'3. Aigua-Resid '!$N$80,F267*'3. Aigua-Resid '!$N$82)</f>
        <v>5.6463590400000001</v>
      </c>
      <c r="K267" s="899">
        <f>('A. Dades de partida'!$D$10*D267+(120*(E267-D267)/'A. Dades de partida'!$D$10))/'A. Dades de partida'!$D$10</f>
        <v>2.8514959999999996</v>
      </c>
    </row>
    <row r="268" spans="1:11">
      <c r="A268" s="835">
        <v>8267</v>
      </c>
      <c r="B268" s="826" t="s">
        <v>1608</v>
      </c>
      <c r="C268" s="835">
        <v>1</v>
      </c>
      <c r="D268" s="835">
        <v>2.7120000000000002</v>
      </c>
      <c r="E268" s="884">
        <f>D268+D268*'3. Aigua-Resid '!$N$72</f>
        <v>3.4713600000000002</v>
      </c>
      <c r="F268" s="884">
        <f t="shared" si="12"/>
        <v>1.9439616000000004</v>
      </c>
      <c r="G268" s="884">
        <f t="shared" si="13"/>
        <v>1.5273983999999998</v>
      </c>
      <c r="H268" s="893">
        <f>('A. Dades de partida'!$D$10*E268+(120*(I268-E268)/'A. Dades de partida'!$D$10))/'A. Dades de partida'!$D$10</f>
        <v>5.7263554560000012</v>
      </c>
      <c r="I268" s="884">
        <f t="shared" si="14"/>
        <v>7.6994764800000013</v>
      </c>
      <c r="J268" s="884">
        <f>IF(C268=1,F268*'3. Aigua-Resid '!$N$80,F268*'3. Aigua-Resid '!$N$82)</f>
        <v>6.1720780800000012</v>
      </c>
      <c r="K268" s="899">
        <f>('A. Dades de partida'!$D$10*D268+(120*(E268-D268)/'A. Dades de partida'!$D$10))/'A. Dades de partida'!$D$10</f>
        <v>3.1169920000000002</v>
      </c>
    </row>
    <row r="269" spans="1:11">
      <c r="A269" s="835">
        <v>8268</v>
      </c>
      <c r="B269" s="826" t="s">
        <v>1610</v>
      </c>
      <c r="C269" s="835">
        <v>0</v>
      </c>
      <c r="D269" s="835">
        <v>1.4450000000000001</v>
      </c>
      <c r="E269" s="884">
        <f>D269+D269*'3. Aigua-Resid '!$N$72</f>
        <v>1.8496000000000001</v>
      </c>
      <c r="F269" s="884">
        <f t="shared" si="12"/>
        <v>1.0357760000000003</v>
      </c>
      <c r="G269" s="884">
        <f t="shared" si="13"/>
        <v>0.81382399999999988</v>
      </c>
      <c r="H269" s="893">
        <f>('A. Dades de partida'!$D$10*E269+(120*(I269-E269)/'A. Dades de partida'!$D$10))/'A. Dades de partida'!$D$10</f>
        <v>2.4020138666666666</v>
      </c>
      <c r="I269" s="884">
        <f t="shared" si="14"/>
        <v>2.8853760000000004</v>
      </c>
      <c r="J269" s="884">
        <f>IF(C269=1,F269*'3. Aigua-Resid '!$N$80,F269*'3. Aigua-Resid '!$N$82)</f>
        <v>2.0715520000000005</v>
      </c>
      <c r="K269" s="899">
        <f>('A. Dades de partida'!$D$10*D269+(120*(E269-D269)/'A. Dades de partida'!$D$10))/'A. Dades de partida'!$D$10</f>
        <v>1.6607866666666666</v>
      </c>
    </row>
    <row r="270" spans="1:11">
      <c r="A270" s="835">
        <v>8269</v>
      </c>
      <c r="B270" s="826" t="s">
        <v>1614</v>
      </c>
      <c r="C270" s="835">
        <v>0</v>
      </c>
      <c r="D270" s="835">
        <v>1.6</v>
      </c>
      <c r="E270" s="884">
        <f>D270+D270*'3. Aigua-Resid '!$N$72</f>
        <v>2.048</v>
      </c>
      <c r="F270" s="884">
        <f t="shared" si="12"/>
        <v>1.1468800000000001</v>
      </c>
      <c r="G270" s="884">
        <f t="shared" si="13"/>
        <v>0.90111999999999992</v>
      </c>
      <c r="H270" s="893">
        <f>('A. Dades de partida'!$D$10*E270+(120*(I270-E270)/'A. Dades de partida'!$D$10))/'A. Dades de partida'!$D$10</f>
        <v>2.6596693333333334</v>
      </c>
      <c r="I270" s="884">
        <f t="shared" si="14"/>
        <v>3.1948800000000004</v>
      </c>
      <c r="J270" s="884">
        <f>IF(C270=1,F270*'3. Aigua-Resid '!$N$80,F270*'3. Aigua-Resid '!$N$82)</f>
        <v>2.2937600000000002</v>
      </c>
      <c r="K270" s="899">
        <f>('A. Dades de partida'!$D$10*D270+(120*(E270-D270)/'A. Dades de partida'!$D$10))/'A. Dades de partida'!$D$10</f>
        <v>1.8389333333333333</v>
      </c>
    </row>
    <row r="271" spans="1:11">
      <c r="A271" s="835">
        <v>8270</v>
      </c>
      <c r="B271" s="826" t="s">
        <v>356</v>
      </c>
      <c r="C271" s="835">
        <v>1</v>
      </c>
      <c r="D271" s="835">
        <v>2.653</v>
      </c>
      <c r="E271" s="884">
        <f>D271+D271*'3. Aigua-Resid '!$N$72</f>
        <v>3.3958400000000002</v>
      </c>
      <c r="F271" s="884">
        <f t="shared" si="12"/>
        <v>1.9016704000000002</v>
      </c>
      <c r="G271" s="884">
        <f t="shared" si="13"/>
        <v>1.4941696</v>
      </c>
      <c r="H271" s="893">
        <f>('A. Dades de partida'!$D$10*E271+(120*(I271-E271)/'A. Dades de partida'!$D$10))/'A. Dades de partida'!$D$10</f>
        <v>5.6017776640000001</v>
      </c>
      <c r="I271" s="884">
        <f t="shared" si="14"/>
        <v>7.5319731200000009</v>
      </c>
      <c r="J271" s="884">
        <f>IF(C271=1,F271*'3. Aigua-Resid '!$N$80,F271*'3. Aigua-Resid '!$N$82)</f>
        <v>6.0378035200000006</v>
      </c>
      <c r="K271" s="899">
        <f>('A. Dades de partida'!$D$10*D271+(120*(E271-D271)/'A. Dades de partida'!$D$10))/'A. Dades de partida'!$D$10</f>
        <v>3.0491813333333337</v>
      </c>
    </row>
    <row r="272" spans="1:11">
      <c r="A272" s="835">
        <v>8271</v>
      </c>
      <c r="B272" s="826" t="s">
        <v>1621</v>
      </c>
      <c r="C272" s="835">
        <v>0</v>
      </c>
      <c r="D272" s="835">
        <v>1.954</v>
      </c>
      <c r="E272" s="884">
        <f>D272+D272*'3. Aigua-Resid '!$N$72</f>
        <v>2.5011200000000002</v>
      </c>
      <c r="F272" s="884">
        <f t="shared" si="12"/>
        <v>1.4006272000000002</v>
      </c>
      <c r="G272" s="884">
        <f t="shared" si="13"/>
        <v>1.1004928</v>
      </c>
      <c r="H272" s="893">
        <f>('A. Dades de partida'!$D$10*E272+(120*(I272-E272)/'A. Dades de partida'!$D$10))/'A. Dades de partida'!$D$10</f>
        <v>3.2481211733333337</v>
      </c>
      <c r="I272" s="884">
        <f t="shared" si="14"/>
        <v>3.9017472000000004</v>
      </c>
      <c r="J272" s="884">
        <f>IF(C272=1,F272*'3. Aigua-Resid '!$N$80,F272*'3. Aigua-Resid '!$N$82)</f>
        <v>2.8012544000000004</v>
      </c>
      <c r="K272" s="899">
        <f>('A. Dades de partida'!$D$10*D272+(120*(E272-D272)/'A. Dades de partida'!$D$10))/'A. Dades de partida'!$D$10</f>
        <v>2.2457973333333334</v>
      </c>
    </row>
    <row r="273" spans="1:11">
      <c r="A273" s="835">
        <v>8272</v>
      </c>
      <c r="B273" s="826" t="s">
        <v>1625</v>
      </c>
      <c r="C273" s="835">
        <v>0</v>
      </c>
      <c r="D273" s="835">
        <v>1.181</v>
      </c>
      <c r="E273" s="884">
        <f>D273+D273*'3. Aigua-Resid '!$N$72</f>
        <v>1.5116800000000001</v>
      </c>
      <c r="F273" s="884">
        <f t="shared" si="12"/>
        <v>0.8465408000000002</v>
      </c>
      <c r="G273" s="884">
        <f t="shared" si="13"/>
        <v>0.66513919999999993</v>
      </c>
      <c r="H273" s="893">
        <f>('A. Dades de partida'!$D$10*E273+(120*(I273-E273)/'A. Dades de partida'!$D$10))/'A. Dades de partida'!$D$10</f>
        <v>1.9631684266666669</v>
      </c>
      <c r="I273" s="884">
        <f t="shared" si="14"/>
        <v>2.3582208000000002</v>
      </c>
      <c r="J273" s="884">
        <f>IF(C273=1,F273*'3. Aigua-Resid '!$N$80,F273*'3. Aigua-Resid '!$N$82)</f>
        <v>1.6930816000000004</v>
      </c>
      <c r="K273" s="899">
        <f>('A. Dades de partida'!$D$10*D273+(120*(E273-D273)/'A. Dades de partida'!$D$10))/'A. Dades de partida'!$D$10</f>
        <v>1.3573626666666667</v>
      </c>
    </row>
    <row r="274" spans="1:11">
      <c r="A274" s="835">
        <v>8273</v>
      </c>
      <c r="B274" s="826" t="s">
        <v>1627</v>
      </c>
      <c r="C274" s="835">
        <v>1</v>
      </c>
      <c r="D274" s="835">
        <v>2.7280000000000002</v>
      </c>
      <c r="E274" s="884">
        <f>D274+D274*'3. Aigua-Resid '!$N$72</f>
        <v>3.4918400000000003</v>
      </c>
      <c r="F274" s="884">
        <f t="shared" si="12"/>
        <v>1.9554304000000002</v>
      </c>
      <c r="G274" s="884">
        <f t="shared" si="13"/>
        <v>1.5364096</v>
      </c>
      <c r="H274" s="893">
        <f>('A. Dades de partida'!$D$10*E274+(120*(I274-E274)/'A. Dades de partida'!$D$10))/'A. Dades de partida'!$D$10</f>
        <v>5.7601392640000002</v>
      </c>
      <c r="I274" s="884">
        <f t="shared" si="14"/>
        <v>7.7449011200000006</v>
      </c>
      <c r="J274" s="884">
        <f>IF(C274=1,F274*'3. Aigua-Resid '!$N$80,F274*'3. Aigua-Resid '!$N$82)</f>
        <v>6.2084915200000008</v>
      </c>
      <c r="K274" s="899">
        <f>('A. Dades de partida'!$D$10*D274+(120*(E274-D274)/'A. Dades de partida'!$D$10))/'A. Dades de partida'!$D$10</f>
        <v>3.1353813333333336</v>
      </c>
    </row>
    <row r="275" spans="1:11">
      <c r="A275" s="835">
        <v>8274</v>
      </c>
      <c r="B275" s="826" t="s">
        <v>1631</v>
      </c>
      <c r="C275" s="835">
        <v>0</v>
      </c>
      <c r="D275" s="835">
        <v>2.044</v>
      </c>
      <c r="E275" s="884">
        <f>D275+D275*'3. Aigua-Resid '!$N$72</f>
        <v>2.61632</v>
      </c>
      <c r="F275" s="884">
        <f t="shared" si="12"/>
        <v>1.4651392000000001</v>
      </c>
      <c r="G275" s="884">
        <f t="shared" si="13"/>
        <v>1.1511807999999999</v>
      </c>
      <c r="H275" s="893">
        <f>('A. Dades de partida'!$D$10*E275+(120*(I275-E275)/'A. Dades de partida'!$D$10))/'A. Dades de partida'!$D$10</f>
        <v>3.3977275733333334</v>
      </c>
      <c r="I275" s="884">
        <f t="shared" si="14"/>
        <v>4.0814592000000003</v>
      </c>
      <c r="J275" s="884">
        <f>IF(C275=1,F275*'3. Aigua-Resid '!$N$80,F275*'3. Aigua-Resid '!$N$82)</f>
        <v>2.9302784000000002</v>
      </c>
      <c r="K275" s="899">
        <f>('A. Dades de partida'!$D$10*D275+(120*(E275-D275)/'A. Dades de partida'!$D$10))/'A. Dades de partida'!$D$10</f>
        <v>2.3492373333333334</v>
      </c>
    </row>
    <row r="276" spans="1:11">
      <c r="A276" s="835">
        <v>8275</v>
      </c>
      <c r="B276" s="826" t="s">
        <v>1634</v>
      </c>
      <c r="C276" s="835">
        <v>0</v>
      </c>
      <c r="D276" s="835">
        <v>2.8109999999999999</v>
      </c>
      <c r="E276" s="884">
        <f>D276+D276*'3. Aigua-Resid '!$N$72</f>
        <v>3.5980799999999999</v>
      </c>
      <c r="F276" s="884">
        <f t="shared" si="12"/>
        <v>2.0149248000000002</v>
      </c>
      <c r="G276" s="884">
        <f t="shared" si="13"/>
        <v>1.5831551999999998</v>
      </c>
      <c r="H276" s="893">
        <f>('A. Dades de partida'!$D$10*E276+(120*(I276-E276)/'A. Dades de partida'!$D$10))/'A. Dades de partida'!$D$10</f>
        <v>4.67270656</v>
      </c>
      <c r="I276" s="884">
        <f t="shared" si="14"/>
        <v>5.6130048000000006</v>
      </c>
      <c r="J276" s="884">
        <f>IF(C276=1,F276*'3. Aigua-Resid '!$N$80,F276*'3. Aigua-Resid '!$N$82)</f>
        <v>4.0298496000000004</v>
      </c>
      <c r="K276" s="899">
        <f>('A. Dades de partida'!$D$10*D276+(120*(E276-D276)/'A. Dades de partida'!$D$10))/'A. Dades de partida'!$D$10</f>
        <v>3.2307760000000001</v>
      </c>
    </row>
    <row r="277" spans="1:11">
      <c r="A277" s="835">
        <v>8276</v>
      </c>
      <c r="B277" s="826" t="s">
        <v>1636</v>
      </c>
      <c r="C277" s="835">
        <v>0</v>
      </c>
      <c r="D277" s="835">
        <v>2.8460000000000001</v>
      </c>
      <c r="E277" s="884">
        <f>D277+D277*'3. Aigua-Resid '!$N$72</f>
        <v>3.6428800000000003</v>
      </c>
      <c r="F277" s="884">
        <f t="shared" si="12"/>
        <v>2.0400128000000004</v>
      </c>
      <c r="G277" s="884">
        <f t="shared" si="13"/>
        <v>1.6028671999999999</v>
      </c>
      <c r="H277" s="893">
        <f>('A. Dades de partida'!$D$10*E277+(120*(I277-E277)/'A. Dades de partida'!$D$10))/'A. Dades de partida'!$D$10</f>
        <v>4.7308868266666675</v>
      </c>
      <c r="I277" s="884">
        <f t="shared" si="14"/>
        <v>5.6828928000000012</v>
      </c>
      <c r="J277" s="884">
        <f>IF(C277=1,F277*'3. Aigua-Resid '!$N$80,F277*'3. Aigua-Resid '!$N$82)</f>
        <v>4.0800256000000008</v>
      </c>
      <c r="K277" s="899">
        <f>('A. Dades de partida'!$D$10*D277+(120*(E277-D277)/'A. Dades de partida'!$D$10))/'A. Dades de partida'!$D$10</f>
        <v>3.2710026666666665</v>
      </c>
    </row>
    <row r="278" spans="1:11">
      <c r="A278" s="835">
        <v>8277</v>
      </c>
      <c r="B278" s="826" t="s">
        <v>1639</v>
      </c>
      <c r="C278" s="835">
        <v>0</v>
      </c>
      <c r="D278" s="835">
        <v>1.962</v>
      </c>
      <c r="E278" s="884">
        <f>D278+D278*'3. Aigua-Resid '!$N$72</f>
        <v>2.5113599999999998</v>
      </c>
      <c r="F278" s="884">
        <f t="shared" si="12"/>
        <v>1.4063616000000001</v>
      </c>
      <c r="G278" s="884">
        <f t="shared" si="13"/>
        <v>1.1049983999999997</v>
      </c>
      <c r="H278" s="893">
        <f>('A. Dades de partida'!$D$10*E278+(120*(I278-E278)/'A. Dades de partida'!$D$10))/'A. Dades de partida'!$D$10</f>
        <v>3.26141952</v>
      </c>
      <c r="I278" s="884">
        <f t="shared" si="14"/>
        <v>3.9177216000000001</v>
      </c>
      <c r="J278" s="884">
        <f>IF(C278=1,F278*'3. Aigua-Resid '!$N$80,F278*'3. Aigua-Resid '!$N$82)</f>
        <v>2.8127232000000002</v>
      </c>
      <c r="K278" s="899">
        <f>('A. Dades de partida'!$D$10*D278+(120*(E278-D278)/'A. Dades de partida'!$D$10))/'A. Dades de partida'!$D$10</f>
        <v>2.2549920000000001</v>
      </c>
    </row>
    <row r="279" spans="1:11">
      <c r="A279" s="835">
        <v>8278</v>
      </c>
      <c r="B279" s="826" t="s">
        <v>1641</v>
      </c>
      <c r="C279" s="835">
        <v>0</v>
      </c>
      <c r="D279" s="835">
        <v>1.8360000000000001</v>
      </c>
      <c r="E279" s="884">
        <f>D279+D279*'3. Aigua-Resid '!$N$72</f>
        <v>2.3500800000000002</v>
      </c>
      <c r="F279" s="884">
        <f t="shared" si="12"/>
        <v>1.3160448000000002</v>
      </c>
      <c r="G279" s="884">
        <f t="shared" si="13"/>
        <v>1.0340351999999999</v>
      </c>
      <c r="H279" s="893">
        <f>('A. Dades de partida'!$D$10*E279+(120*(I279-E279)/'A. Dades de partida'!$D$10))/'A. Dades de partida'!$D$10</f>
        <v>3.0519705600000004</v>
      </c>
      <c r="I279" s="884">
        <f t="shared" si="14"/>
        <v>3.6661248000000004</v>
      </c>
      <c r="J279" s="884">
        <f>IF(C279=1,F279*'3. Aigua-Resid '!$N$80,F279*'3. Aigua-Resid '!$N$82)</f>
        <v>2.6320896000000005</v>
      </c>
      <c r="K279" s="899">
        <f>('A. Dades de partida'!$D$10*D279+(120*(E279-D279)/'A. Dades de partida'!$D$10))/'A. Dades de partida'!$D$10</f>
        <v>2.1101760000000005</v>
      </c>
    </row>
    <row r="280" spans="1:11">
      <c r="A280" s="835">
        <v>8279</v>
      </c>
      <c r="B280" s="826" t="s">
        <v>967</v>
      </c>
      <c r="C280" s="835">
        <v>0</v>
      </c>
      <c r="D280" s="835">
        <v>1.944</v>
      </c>
      <c r="E280" s="884">
        <f>D280+D280*'3. Aigua-Resid '!$N$72</f>
        <v>2.4883199999999999</v>
      </c>
      <c r="F280" s="884">
        <f t="shared" si="12"/>
        <v>1.3934592000000001</v>
      </c>
      <c r="G280" s="884">
        <f t="shared" si="13"/>
        <v>1.0948607999999997</v>
      </c>
      <c r="H280" s="893">
        <f>('A. Dades de partida'!$D$10*E280+(120*(I280-E280)/'A. Dades de partida'!$D$10))/'A. Dades de partida'!$D$10</f>
        <v>3.2314982400000001</v>
      </c>
      <c r="I280" s="884">
        <f t="shared" si="14"/>
        <v>3.8817792</v>
      </c>
      <c r="J280" s="884">
        <f>IF(C280=1,F280*'3. Aigua-Resid '!$N$80,F280*'3. Aigua-Resid '!$N$82)</f>
        <v>2.7869184000000002</v>
      </c>
      <c r="K280" s="899">
        <f>('A. Dades de partida'!$D$10*D280+(120*(E280-D280)/'A. Dades de partida'!$D$10))/'A. Dades de partida'!$D$10</f>
        <v>2.2343040000000003</v>
      </c>
    </row>
    <row r="281" spans="1:11">
      <c r="A281" s="835">
        <v>8280</v>
      </c>
      <c r="B281" s="826" t="s">
        <v>1650</v>
      </c>
      <c r="C281" s="835">
        <v>0</v>
      </c>
      <c r="D281" s="835">
        <v>1.069</v>
      </c>
      <c r="E281" s="884">
        <f>D281+D281*'3. Aigua-Resid '!$N$72</f>
        <v>1.36832</v>
      </c>
      <c r="F281" s="884">
        <f t="shared" si="12"/>
        <v>0.76625920000000003</v>
      </c>
      <c r="G281" s="884">
        <f t="shared" si="13"/>
        <v>0.60206079999999995</v>
      </c>
      <c r="H281" s="893">
        <f>('A. Dades de partida'!$D$10*E281+(120*(I281-E281)/'A. Dades de partida'!$D$10))/'A. Dades de partida'!$D$10</f>
        <v>1.7769915733333335</v>
      </c>
      <c r="I281" s="884">
        <f t="shared" si="14"/>
        <v>2.1345792000000001</v>
      </c>
      <c r="J281" s="884">
        <f>IF(C281=1,F281*'3. Aigua-Resid '!$N$80,F281*'3. Aigua-Resid '!$N$82)</f>
        <v>1.5325184000000001</v>
      </c>
      <c r="K281" s="899">
        <f>('A. Dades de partida'!$D$10*D281+(120*(E281-D281)/'A. Dades de partida'!$D$10))/'A. Dades de partida'!$D$10</f>
        <v>1.2286373333333336</v>
      </c>
    </row>
    <row r="282" spans="1:11">
      <c r="A282" s="835">
        <v>8281</v>
      </c>
      <c r="B282" s="826" t="s">
        <v>1652</v>
      </c>
      <c r="C282" s="835">
        <v>1</v>
      </c>
      <c r="D282" s="835">
        <v>1.929</v>
      </c>
      <c r="E282" s="884">
        <f>D282+D282*'3. Aigua-Resid '!$N$72</f>
        <v>2.4691200000000002</v>
      </c>
      <c r="F282" s="884">
        <f t="shared" si="12"/>
        <v>1.3827072000000002</v>
      </c>
      <c r="G282" s="884">
        <f t="shared" si="13"/>
        <v>1.0864128</v>
      </c>
      <c r="H282" s="893">
        <f>('A. Dades de partida'!$D$10*E282+(120*(I282-E282)/'A. Dades de partida'!$D$10))/'A. Dades de partida'!$D$10</f>
        <v>4.0730603519999997</v>
      </c>
      <c r="I282" s="884">
        <f t="shared" si="14"/>
        <v>5.4765081599999998</v>
      </c>
      <c r="J282" s="884">
        <f>IF(C282=1,F282*'3. Aigua-Resid '!$N$80,F282*'3. Aigua-Resid '!$N$82)</f>
        <v>4.3900953600000001</v>
      </c>
      <c r="K282" s="899">
        <f>('A. Dades de partida'!$D$10*D282+(120*(E282-D282)/'A. Dades de partida'!$D$10))/'A. Dades de partida'!$D$10</f>
        <v>2.2170640000000001</v>
      </c>
    </row>
    <row r="283" spans="1:11">
      <c r="A283" s="835">
        <v>8282</v>
      </c>
      <c r="B283" s="826" t="s">
        <v>1655</v>
      </c>
      <c r="C283" s="835">
        <v>1</v>
      </c>
      <c r="D283" s="835">
        <v>2.1389999999999998</v>
      </c>
      <c r="E283" s="884">
        <f>D283+D283*'3. Aigua-Resid '!$N$72</f>
        <v>2.7379199999999999</v>
      </c>
      <c r="F283" s="884">
        <f t="shared" si="12"/>
        <v>1.5332352</v>
      </c>
      <c r="G283" s="884">
        <f t="shared" si="13"/>
        <v>1.2046847999999999</v>
      </c>
      <c r="H283" s="893">
        <f>('A. Dades de partida'!$D$10*E283+(120*(I283-E283)/'A. Dades de partida'!$D$10))/'A. Dades de partida'!$D$10</f>
        <v>4.5164728319999998</v>
      </c>
      <c r="I283" s="884">
        <f t="shared" si="14"/>
        <v>6.0727065599999994</v>
      </c>
      <c r="J283" s="884">
        <f>IF(C283=1,F283*'3. Aigua-Resid '!$N$80,F283*'3. Aigua-Resid '!$N$82)</f>
        <v>4.8680217599999995</v>
      </c>
      <c r="K283" s="899">
        <f>('A. Dades de partida'!$D$10*D283+(120*(E283-D283)/'A. Dades de partida'!$D$10))/'A. Dades de partida'!$D$10</f>
        <v>2.4584239999999995</v>
      </c>
    </row>
    <row r="284" spans="1:11">
      <c r="A284" s="835">
        <v>8283</v>
      </c>
      <c r="B284" s="826" t="s">
        <v>1658</v>
      </c>
      <c r="C284" s="835">
        <v>0</v>
      </c>
      <c r="D284" s="835">
        <v>1.877</v>
      </c>
      <c r="E284" s="884">
        <f>D284+D284*'3. Aigua-Resid '!$N$72</f>
        <v>2.4025600000000003</v>
      </c>
      <c r="F284" s="884">
        <f t="shared" si="12"/>
        <v>1.3454336000000002</v>
      </c>
      <c r="G284" s="884">
        <f t="shared" si="13"/>
        <v>1.0571264</v>
      </c>
      <c r="H284" s="893">
        <f>('A. Dades de partida'!$D$10*E284+(120*(I284-E284)/'A. Dades de partida'!$D$10))/'A. Dades de partida'!$D$10</f>
        <v>3.1201245866666674</v>
      </c>
      <c r="I284" s="884">
        <f t="shared" si="14"/>
        <v>3.7479936000000005</v>
      </c>
      <c r="J284" s="884">
        <f>IF(C284=1,F284*'3. Aigua-Resid '!$N$80,F284*'3. Aigua-Resid '!$N$82)</f>
        <v>2.6908672000000005</v>
      </c>
      <c r="K284" s="899">
        <f>('A. Dades de partida'!$D$10*D284+(120*(E284-D284)/'A. Dades de partida'!$D$10))/'A. Dades de partida'!$D$10</f>
        <v>2.1572986666666671</v>
      </c>
    </row>
    <row r="285" spans="1:11">
      <c r="A285" s="835">
        <v>8284</v>
      </c>
      <c r="B285" s="826" t="s">
        <v>1660</v>
      </c>
      <c r="C285" s="835">
        <v>0</v>
      </c>
      <c r="D285" s="835">
        <v>1.8520000000000001</v>
      </c>
      <c r="E285" s="884">
        <f>D285+D285*'3. Aigua-Resid '!$N$72</f>
        <v>2.3705600000000002</v>
      </c>
      <c r="F285" s="884">
        <f t="shared" si="12"/>
        <v>1.3275136000000003</v>
      </c>
      <c r="G285" s="884">
        <f t="shared" si="13"/>
        <v>1.0430463999999999</v>
      </c>
      <c r="H285" s="893">
        <f>('A. Dades de partida'!$D$10*E285+(120*(I285-E285)/'A. Dades de partida'!$D$10))/'A. Dades de partida'!$D$10</f>
        <v>3.0785672533333339</v>
      </c>
      <c r="I285" s="884">
        <f t="shared" si="14"/>
        <v>3.6980736000000007</v>
      </c>
      <c r="J285" s="884">
        <f>IF(C285=1,F285*'3. Aigua-Resid '!$N$80,F285*'3. Aigua-Resid '!$N$82)</f>
        <v>2.6550272000000006</v>
      </c>
      <c r="K285" s="899">
        <f>('A. Dades de partida'!$D$10*D285+(120*(E285-D285)/'A. Dades de partida'!$D$10))/'A. Dades de partida'!$D$10</f>
        <v>2.1285653333333334</v>
      </c>
    </row>
    <row r="286" spans="1:11">
      <c r="A286" s="835">
        <v>8285</v>
      </c>
      <c r="B286" s="826" t="s">
        <v>1667</v>
      </c>
      <c r="C286" s="835">
        <v>0</v>
      </c>
      <c r="D286" s="835">
        <v>1.819</v>
      </c>
      <c r="E286" s="884">
        <f>D286+D286*'3. Aigua-Resid '!$N$72</f>
        <v>2.3283199999999997</v>
      </c>
      <c r="F286" s="884">
        <f t="shared" si="12"/>
        <v>1.3038592</v>
      </c>
      <c r="G286" s="884">
        <f t="shared" si="13"/>
        <v>1.0244607999999997</v>
      </c>
      <c r="H286" s="893">
        <f>('A. Dades de partida'!$D$10*E286+(120*(I286-E286)/'A. Dades de partida'!$D$10))/'A. Dades de partida'!$D$10</f>
        <v>3.0237115733333328</v>
      </c>
      <c r="I286" s="884">
        <f t="shared" si="14"/>
        <v>3.6321791999999995</v>
      </c>
      <c r="J286" s="884">
        <f>IF(C286=1,F286*'3. Aigua-Resid '!$N$80,F286*'3. Aigua-Resid '!$N$82)</f>
        <v>2.6077184</v>
      </c>
      <c r="K286" s="899">
        <f>('A. Dades de partida'!$D$10*D286+(120*(E286-D286)/'A. Dades de partida'!$D$10))/'A. Dades de partida'!$D$10</f>
        <v>2.090637333333333</v>
      </c>
    </row>
    <row r="287" spans="1:11">
      <c r="A287" s="835">
        <v>8286</v>
      </c>
      <c r="B287" s="826" t="s">
        <v>1670</v>
      </c>
      <c r="C287" s="835">
        <v>0</v>
      </c>
      <c r="D287" s="835">
        <v>2.0529999999999999</v>
      </c>
      <c r="E287" s="884">
        <f>D287+D287*'3. Aigua-Resid '!$N$72</f>
        <v>2.62784</v>
      </c>
      <c r="F287" s="884">
        <f t="shared" si="12"/>
        <v>1.4715904000000002</v>
      </c>
      <c r="G287" s="884">
        <f t="shared" si="13"/>
        <v>1.1562495999999998</v>
      </c>
      <c r="H287" s="893">
        <f>('A. Dades de partida'!$D$10*E287+(120*(I287-E287)/'A. Dades de partida'!$D$10))/'A. Dades de partida'!$D$10</f>
        <v>3.4126882133333334</v>
      </c>
      <c r="I287" s="884">
        <f t="shared" si="14"/>
        <v>4.0994304000000001</v>
      </c>
      <c r="J287" s="884">
        <f>IF(C287=1,F287*'3. Aigua-Resid '!$N$80,F287*'3. Aigua-Resid '!$N$82)</f>
        <v>2.9431808000000004</v>
      </c>
      <c r="K287" s="899">
        <f>('A. Dades de partida'!$D$10*D287+(120*(E287-D287)/'A. Dades de partida'!$D$10))/'A. Dades de partida'!$D$10</f>
        <v>2.3595813333333333</v>
      </c>
    </row>
    <row r="288" spans="1:11">
      <c r="A288" s="835">
        <v>8287</v>
      </c>
      <c r="B288" s="826" t="s">
        <v>1673</v>
      </c>
      <c r="C288" s="835">
        <v>0</v>
      </c>
      <c r="D288" s="835">
        <v>1.5089999999999999</v>
      </c>
      <c r="E288" s="884">
        <f>D288+D288*'3. Aigua-Resid '!$N$72</f>
        <v>1.9315199999999999</v>
      </c>
      <c r="F288" s="884">
        <f t="shared" si="12"/>
        <v>1.0816512</v>
      </c>
      <c r="G288" s="884">
        <f t="shared" si="13"/>
        <v>0.84986879999999987</v>
      </c>
      <c r="H288" s="893">
        <f>('A. Dades de partida'!$D$10*E288+(120*(I288-E288)/'A. Dades de partida'!$D$10))/'A. Dades de partida'!$D$10</f>
        <v>2.5084006400000001</v>
      </c>
      <c r="I288" s="884">
        <f t="shared" si="14"/>
        <v>3.0131711999999999</v>
      </c>
      <c r="J288" s="884">
        <f>IF(C288=1,F288*'3. Aigua-Resid '!$N$80,F288*'3. Aigua-Resid '!$N$82)</f>
        <v>2.1633024000000001</v>
      </c>
      <c r="K288" s="899">
        <f>('A. Dades de partida'!$D$10*D288+(120*(E288-D288)/'A. Dades de partida'!$D$10))/'A. Dades de partida'!$D$10</f>
        <v>1.7343439999999999</v>
      </c>
    </row>
    <row r="289" spans="1:11">
      <c r="A289" s="835">
        <v>8288</v>
      </c>
      <c r="B289" s="826" t="s">
        <v>1677</v>
      </c>
      <c r="C289" s="835">
        <v>1</v>
      </c>
      <c r="D289" s="835">
        <v>2.556</v>
      </c>
      <c r="E289" s="884">
        <f>D289+D289*'3. Aigua-Resid '!$N$72</f>
        <v>3.2716799999999999</v>
      </c>
      <c r="F289" s="884">
        <f t="shared" si="12"/>
        <v>1.8321408000000001</v>
      </c>
      <c r="G289" s="884">
        <f t="shared" si="13"/>
        <v>1.4395391999999998</v>
      </c>
      <c r="H289" s="893">
        <f>('A. Dades de partida'!$D$10*E289+(120*(I289-E289)/'A. Dades de partida'!$D$10))/'A. Dades de partida'!$D$10</f>
        <v>5.396963328</v>
      </c>
      <c r="I289" s="884">
        <f t="shared" si="14"/>
        <v>7.2565862399999999</v>
      </c>
      <c r="J289" s="884">
        <f>IF(C289=1,F289*'3. Aigua-Resid '!$N$80,F289*'3. Aigua-Resid '!$N$82)</f>
        <v>5.8170470400000003</v>
      </c>
      <c r="K289" s="899">
        <f>('A. Dades de partida'!$D$10*D289+(120*(E289-D289)/'A. Dades de partida'!$D$10))/'A. Dades de partida'!$D$10</f>
        <v>2.9376960000000003</v>
      </c>
    </row>
    <row r="290" spans="1:11">
      <c r="A290" s="835">
        <v>8289</v>
      </c>
      <c r="B290" s="826" t="s">
        <v>1681</v>
      </c>
      <c r="C290" s="835">
        <v>1</v>
      </c>
      <c r="D290" s="835">
        <v>2.8149999999999999</v>
      </c>
      <c r="E290" s="884">
        <f>D290+D290*'3. Aigua-Resid '!$N$72</f>
        <v>3.6032000000000002</v>
      </c>
      <c r="F290" s="884">
        <f t="shared" si="12"/>
        <v>2.0177920000000005</v>
      </c>
      <c r="G290" s="884">
        <f t="shared" si="13"/>
        <v>1.5854079999999997</v>
      </c>
      <c r="H290" s="893">
        <f>('A. Dades de partida'!$D$10*E290+(120*(I290-E290)/'A. Dades de partida'!$D$10))/'A. Dades de partida'!$D$10</f>
        <v>5.9438387200000005</v>
      </c>
      <c r="I290" s="884">
        <f t="shared" si="14"/>
        <v>7.9918976000000015</v>
      </c>
      <c r="J290" s="884">
        <f>IF(C290=1,F290*'3. Aigua-Resid '!$N$80,F290*'3. Aigua-Resid '!$N$82)</f>
        <v>6.4064896000000013</v>
      </c>
      <c r="K290" s="899">
        <f>('A. Dades de partida'!$D$10*D290+(120*(E290-D290)/'A. Dades de partida'!$D$10))/'A. Dades de partida'!$D$10</f>
        <v>3.2353733333333339</v>
      </c>
    </row>
    <row r="291" spans="1:11">
      <c r="A291" s="835">
        <v>8290</v>
      </c>
      <c r="B291" s="826" t="s">
        <v>1682</v>
      </c>
      <c r="C291" s="835">
        <v>1</v>
      </c>
      <c r="D291" s="835">
        <v>2.3769999999999998</v>
      </c>
      <c r="E291" s="884">
        <f>D291+D291*'3. Aigua-Resid '!$N$72</f>
        <v>3.0425599999999999</v>
      </c>
      <c r="F291" s="884">
        <f t="shared" si="12"/>
        <v>1.7038336000000001</v>
      </c>
      <c r="G291" s="884">
        <f t="shared" si="13"/>
        <v>1.3387263999999999</v>
      </c>
      <c r="H291" s="893">
        <f>('A. Dades de partida'!$D$10*E291+(120*(I291-E291)/'A. Dades de partida'!$D$10))/'A. Dades de partida'!$D$10</f>
        <v>5.0190069759999991</v>
      </c>
      <c r="I291" s="884">
        <f t="shared" si="14"/>
        <v>6.7483980799999994</v>
      </c>
      <c r="J291" s="884">
        <f>IF(C291=1,F291*'3. Aigua-Resid '!$N$80,F291*'3. Aigua-Resid '!$N$82)</f>
        <v>5.4096716799999998</v>
      </c>
      <c r="K291" s="899">
        <f>('A. Dades de partida'!$D$10*D291+(120*(E291-D291)/'A. Dades de partida'!$D$10))/'A. Dades de partida'!$D$10</f>
        <v>2.7319653333333331</v>
      </c>
    </row>
    <row r="292" spans="1:11">
      <c r="A292" s="835">
        <v>8291</v>
      </c>
      <c r="B292" s="826" t="s">
        <v>1684</v>
      </c>
      <c r="C292" s="835">
        <v>0</v>
      </c>
      <c r="D292" s="835">
        <v>1.4590000000000001</v>
      </c>
      <c r="E292" s="884">
        <f>D292+D292*'3. Aigua-Resid '!$N$72</f>
        <v>1.8675200000000001</v>
      </c>
      <c r="F292" s="884">
        <f t="shared" si="12"/>
        <v>1.0458112000000002</v>
      </c>
      <c r="G292" s="884">
        <f t="shared" si="13"/>
        <v>0.82170879999999991</v>
      </c>
      <c r="H292" s="893">
        <f>('A. Dades de partida'!$D$10*E292+(120*(I292-E292)/'A. Dades de partida'!$D$10))/'A. Dades de partida'!$D$10</f>
        <v>2.4252859733333332</v>
      </c>
      <c r="I292" s="884">
        <f t="shared" si="14"/>
        <v>2.9133312</v>
      </c>
      <c r="J292" s="884">
        <f>IF(C292=1,F292*'3. Aigua-Resid '!$N$80,F292*'3. Aigua-Resid '!$N$82)</f>
        <v>2.0916224000000003</v>
      </c>
      <c r="K292" s="899">
        <f>('A. Dades de partida'!$D$10*D292+(120*(E292-D292)/'A. Dades de partida'!$D$10))/'A. Dades de partida'!$D$10</f>
        <v>1.6768773333333333</v>
      </c>
    </row>
    <row r="293" spans="1:11">
      <c r="A293" s="835">
        <v>8292</v>
      </c>
      <c r="B293" s="826" t="s">
        <v>1686</v>
      </c>
      <c r="C293" s="835">
        <v>0</v>
      </c>
      <c r="D293" s="835">
        <v>2.3660000000000001</v>
      </c>
      <c r="E293" s="884">
        <f>D293+D293*'3. Aigua-Resid '!$N$72</f>
        <v>3.0284800000000001</v>
      </c>
      <c r="F293" s="884">
        <f t="shared" si="12"/>
        <v>1.6959488000000003</v>
      </c>
      <c r="G293" s="884">
        <f t="shared" si="13"/>
        <v>1.3325311999999998</v>
      </c>
      <c r="H293" s="893">
        <f>('A. Dades de partida'!$D$10*E293+(120*(I293-E293)/'A. Dades de partida'!$D$10))/'A. Dades de partida'!$D$10</f>
        <v>3.9329860266666667</v>
      </c>
      <c r="I293" s="884">
        <f t="shared" si="14"/>
        <v>4.7244288000000001</v>
      </c>
      <c r="J293" s="884">
        <f>IF(C293=1,F293*'3. Aigua-Resid '!$N$80,F293*'3. Aigua-Resid '!$N$82)</f>
        <v>3.3918976000000005</v>
      </c>
      <c r="K293" s="899">
        <f>('A. Dades de partida'!$D$10*D293+(120*(E293-D293)/'A. Dades de partida'!$D$10))/'A. Dades de partida'!$D$10</f>
        <v>2.7193226666666663</v>
      </c>
    </row>
    <row r="294" spans="1:11">
      <c r="A294" s="835">
        <v>8293</v>
      </c>
      <c r="B294" s="826" t="s">
        <v>1690</v>
      </c>
      <c r="C294" s="835">
        <v>0</v>
      </c>
      <c r="D294" s="835">
        <v>0.58499999999999996</v>
      </c>
      <c r="E294" s="884">
        <f>D294+D294*'3. Aigua-Resid '!$N$72</f>
        <v>0.74879999999999991</v>
      </c>
      <c r="F294" s="884">
        <f t="shared" si="12"/>
        <v>0.41932799999999998</v>
      </c>
      <c r="G294" s="884">
        <f t="shared" si="13"/>
        <v>0.32947199999999993</v>
      </c>
      <c r="H294" s="893">
        <f>('A. Dades de partida'!$D$10*E294+(120*(I294-E294)/'A. Dades de partida'!$D$10))/'A. Dades de partida'!$D$10</f>
        <v>0.97244159999999991</v>
      </c>
      <c r="I294" s="884">
        <f t="shared" si="14"/>
        <v>1.1681279999999998</v>
      </c>
      <c r="J294" s="884">
        <f>IF(C294=1,F294*'3. Aigua-Resid '!$N$80,F294*'3. Aigua-Resid '!$N$82)</f>
        <v>0.83865599999999996</v>
      </c>
      <c r="K294" s="899">
        <f>('A. Dades de partida'!$D$10*D294+(120*(E294-D294)/'A. Dades de partida'!$D$10))/'A. Dades de partida'!$D$10</f>
        <v>0.67235999999999985</v>
      </c>
    </row>
    <row r="295" spans="1:11">
      <c r="A295" s="835">
        <v>8294</v>
      </c>
      <c r="B295" s="826" t="s">
        <v>1692</v>
      </c>
      <c r="C295" s="835">
        <v>1</v>
      </c>
      <c r="D295" s="835">
        <v>1.952</v>
      </c>
      <c r="E295" s="884">
        <f>D295+D295*'3. Aigua-Resid '!$N$72</f>
        <v>2.4985599999999999</v>
      </c>
      <c r="F295" s="884">
        <f t="shared" si="12"/>
        <v>1.3991936</v>
      </c>
      <c r="G295" s="884">
        <f t="shared" si="13"/>
        <v>1.0993663999999999</v>
      </c>
      <c r="H295" s="893">
        <f>('A. Dades de partida'!$D$10*E295+(120*(I295-E295)/'A. Dades de partida'!$D$10))/'A. Dades de partida'!$D$10</f>
        <v>4.1216245760000003</v>
      </c>
      <c r="I295" s="884">
        <f t="shared" si="14"/>
        <v>5.5418060799999997</v>
      </c>
      <c r="J295" s="884">
        <f>IF(C295=1,F295*'3. Aigua-Resid '!$N$80,F295*'3. Aigua-Resid '!$N$82)</f>
        <v>4.4424396799999997</v>
      </c>
      <c r="K295" s="899">
        <f>('A. Dades de partida'!$D$10*D295+(120*(E295-D295)/'A. Dades de partida'!$D$10))/'A. Dades de partida'!$D$10</f>
        <v>2.2434986666666665</v>
      </c>
    </row>
    <row r="296" spans="1:11">
      <c r="A296" s="835">
        <v>8295</v>
      </c>
      <c r="B296" s="826" t="s">
        <v>1697</v>
      </c>
      <c r="C296" s="835">
        <v>1</v>
      </c>
      <c r="D296" s="835">
        <v>2.1869999999999998</v>
      </c>
      <c r="E296" s="884">
        <f>D296+D296*'3. Aigua-Resid '!$N$72</f>
        <v>2.7993600000000001</v>
      </c>
      <c r="F296" s="884">
        <f t="shared" si="12"/>
        <v>1.5676416000000002</v>
      </c>
      <c r="G296" s="884">
        <f t="shared" si="13"/>
        <v>1.2317183999999999</v>
      </c>
      <c r="H296" s="893">
        <f>('A. Dades de partida'!$D$10*E296+(120*(I296-E296)/'A. Dades de partida'!$D$10))/'A. Dades de partida'!$D$10</f>
        <v>4.6178242560000005</v>
      </c>
      <c r="I296" s="884">
        <f t="shared" si="14"/>
        <v>6.2089804800000001</v>
      </c>
      <c r="J296" s="884">
        <f>IF(C296=1,F296*'3. Aigua-Resid '!$N$80,F296*'3. Aigua-Resid '!$N$82)</f>
        <v>4.97726208</v>
      </c>
      <c r="K296" s="899">
        <f>('A. Dades de partida'!$D$10*D296+(120*(E296-D296)/'A. Dades de partida'!$D$10))/'A. Dades de partida'!$D$10</f>
        <v>2.513592</v>
      </c>
    </row>
    <row r="297" spans="1:11">
      <c r="A297" s="835">
        <v>8296</v>
      </c>
      <c r="B297" s="826" t="s">
        <v>1700</v>
      </c>
      <c r="C297" s="835">
        <v>1</v>
      </c>
      <c r="D297" s="835">
        <v>1.762</v>
      </c>
      <c r="E297" s="884">
        <f>D297+D297*'3. Aigua-Resid '!$N$72</f>
        <v>2.25536</v>
      </c>
      <c r="F297" s="884">
        <f t="shared" si="12"/>
        <v>1.2630016000000002</v>
      </c>
      <c r="G297" s="884">
        <f t="shared" si="13"/>
        <v>0.99235839999999986</v>
      </c>
      <c r="H297" s="893">
        <f>('A. Dades de partida'!$D$10*E297+(120*(I297-E297)/'A. Dades de partida'!$D$10))/'A. Dades de partida'!$D$10</f>
        <v>3.7204418559999994</v>
      </c>
      <c r="I297" s="884">
        <f t="shared" si="14"/>
        <v>5.0023884799999996</v>
      </c>
      <c r="J297" s="884">
        <f>IF(C297=1,F297*'3. Aigua-Resid '!$N$80,F297*'3. Aigua-Resid '!$N$82)</f>
        <v>4.0100300799999999</v>
      </c>
      <c r="K297" s="899">
        <f>('A. Dades de partida'!$D$10*D297+(120*(E297-D297)/'A. Dades de partida'!$D$10))/'A. Dades de partida'!$D$10</f>
        <v>2.0251253333333334</v>
      </c>
    </row>
    <row r="298" spans="1:11">
      <c r="A298" s="835">
        <v>8297</v>
      </c>
      <c r="B298" s="826" t="s">
        <v>1702</v>
      </c>
      <c r="C298" s="835">
        <v>0</v>
      </c>
      <c r="D298" s="835">
        <v>1.651</v>
      </c>
      <c r="E298" s="884">
        <f>D298+D298*'3. Aigua-Resid '!$N$72</f>
        <v>2.11328</v>
      </c>
      <c r="F298" s="884">
        <f t="shared" si="12"/>
        <v>1.1834368000000002</v>
      </c>
      <c r="G298" s="884">
        <f t="shared" si="13"/>
        <v>0.92984319999999987</v>
      </c>
      <c r="H298" s="893">
        <f>('A. Dades de partida'!$D$10*E298+(120*(I298-E298)/'A. Dades de partida'!$D$10))/'A. Dades de partida'!$D$10</f>
        <v>2.7444462933333336</v>
      </c>
      <c r="I298" s="884">
        <f t="shared" si="14"/>
        <v>3.2967168000000004</v>
      </c>
      <c r="J298" s="884">
        <f>IF(C298=1,F298*'3. Aigua-Resid '!$N$80,F298*'3. Aigua-Resid '!$N$82)</f>
        <v>2.3668736000000004</v>
      </c>
      <c r="K298" s="899">
        <f>('A. Dades de partida'!$D$10*D298+(120*(E298-D298)/'A. Dades de partida'!$D$10))/'A. Dades de partida'!$D$10</f>
        <v>1.8975493333333333</v>
      </c>
    </row>
    <row r="299" spans="1:11">
      <c r="A299" s="835">
        <v>8298</v>
      </c>
      <c r="B299" s="826" t="s">
        <v>815</v>
      </c>
      <c r="C299" s="835">
        <v>0</v>
      </c>
      <c r="D299" s="835">
        <v>1.911</v>
      </c>
      <c r="E299" s="884">
        <f>D299+D299*'3. Aigua-Resid '!$N$72</f>
        <v>2.4460800000000003</v>
      </c>
      <c r="F299" s="884">
        <f t="shared" si="12"/>
        <v>1.3698048000000003</v>
      </c>
      <c r="G299" s="884">
        <f t="shared" si="13"/>
        <v>1.0762752</v>
      </c>
      <c r="H299" s="893">
        <f>('A. Dades de partida'!$D$10*E299+(120*(I299-E299)/'A. Dades de partida'!$D$10))/'A. Dades de partida'!$D$10</f>
        <v>3.1766425599999999</v>
      </c>
      <c r="I299" s="884">
        <f t="shared" si="14"/>
        <v>3.8158848000000005</v>
      </c>
      <c r="J299" s="884">
        <f>IF(C299=1,F299*'3. Aigua-Resid '!$N$80,F299*'3. Aigua-Resid '!$N$82)</f>
        <v>2.7396096000000005</v>
      </c>
      <c r="K299" s="899">
        <f>('A. Dades de partida'!$D$10*D299+(120*(E299-D299)/'A. Dades de partida'!$D$10))/'A. Dades de partida'!$D$10</f>
        <v>2.1963759999999999</v>
      </c>
    </row>
    <row r="300" spans="1:11">
      <c r="A300" s="835">
        <v>8299</v>
      </c>
      <c r="B300" s="826" t="s">
        <v>1708</v>
      </c>
      <c r="C300" s="835">
        <v>0</v>
      </c>
      <c r="D300" s="835">
        <v>1.089</v>
      </c>
      <c r="E300" s="884">
        <f>D300+D300*'3. Aigua-Resid '!$N$72</f>
        <v>1.39392</v>
      </c>
      <c r="F300" s="884">
        <f t="shared" si="12"/>
        <v>0.78059520000000016</v>
      </c>
      <c r="G300" s="884">
        <f t="shared" si="13"/>
        <v>0.61332479999999989</v>
      </c>
      <c r="H300" s="893">
        <f>('A. Dades de partida'!$D$10*E300+(120*(I300-E300)/'A. Dades de partida'!$D$10))/'A. Dades de partida'!$D$10</f>
        <v>1.8102374400000001</v>
      </c>
      <c r="I300" s="884">
        <f t="shared" si="14"/>
        <v>2.1745152000000001</v>
      </c>
      <c r="J300" s="884">
        <f>IF(C300=1,F300*'3. Aigua-Resid '!$N$80,F300*'3. Aigua-Resid '!$N$82)</f>
        <v>1.5611904000000003</v>
      </c>
      <c r="K300" s="899">
        <f>('A. Dades de partida'!$D$10*D300+(120*(E300-D300)/'A. Dades de partida'!$D$10))/'A. Dades de partida'!$D$10</f>
        <v>1.2516240000000001</v>
      </c>
    </row>
    <row r="301" spans="1:11">
      <c r="A301" s="835">
        <v>8300</v>
      </c>
      <c r="B301" s="826" t="s">
        <v>1710</v>
      </c>
      <c r="C301" s="835">
        <v>0</v>
      </c>
      <c r="D301" s="835">
        <v>1.837</v>
      </c>
      <c r="E301" s="884">
        <f>D301+D301*'3. Aigua-Resid '!$N$72</f>
        <v>2.3513600000000001</v>
      </c>
      <c r="F301" s="884">
        <f t="shared" si="12"/>
        <v>1.3167616000000002</v>
      </c>
      <c r="G301" s="884">
        <f t="shared" si="13"/>
        <v>1.0345983999999999</v>
      </c>
      <c r="H301" s="893">
        <f>('A. Dades de partida'!$D$10*E301+(120*(I301-E301)/'A. Dades de partida'!$D$10))/'A. Dades de partida'!$D$10</f>
        <v>3.0536328533333337</v>
      </c>
      <c r="I301" s="884">
        <f t="shared" si="14"/>
        <v>3.6681216000000001</v>
      </c>
      <c r="J301" s="884">
        <f>IF(C301=1,F301*'3. Aigua-Resid '!$N$80,F301*'3. Aigua-Resid '!$N$82)</f>
        <v>2.6335232000000004</v>
      </c>
      <c r="K301" s="899">
        <f>('A. Dades de partida'!$D$10*D301+(120*(E301-D301)/'A. Dades de partida'!$D$10))/'A. Dades de partida'!$D$10</f>
        <v>2.1113253333333333</v>
      </c>
    </row>
    <row r="302" spans="1:11">
      <c r="A302" s="835">
        <v>8301</v>
      </c>
      <c r="B302" s="826" t="s">
        <v>357</v>
      </c>
      <c r="C302" s="835">
        <v>1</v>
      </c>
      <c r="D302" s="835">
        <v>2.4809999999999999</v>
      </c>
      <c r="E302" s="884">
        <f>D302+D302*'3. Aigua-Resid '!$N$72</f>
        <v>3.1756799999999998</v>
      </c>
      <c r="F302" s="884">
        <f t="shared" si="12"/>
        <v>1.7783808000000001</v>
      </c>
      <c r="G302" s="884">
        <f t="shared" si="13"/>
        <v>1.3972991999999997</v>
      </c>
      <c r="H302" s="893">
        <f>('A. Dades de partida'!$D$10*E302+(120*(I302-E302)/'A. Dades de partida'!$D$10))/'A. Dades de partida'!$D$10</f>
        <v>5.2386017279999999</v>
      </c>
      <c r="I302" s="884">
        <f t="shared" si="14"/>
        <v>7.0436582400000001</v>
      </c>
      <c r="J302" s="884">
        <f>IF(C302=1,F302*'3. Aigua-Resid '!$N$80,F302*'3. Aigua-Resid '!$N$82)</f>
        <v>5.6463590400000001</v>
      </c>
      <c r="K302" s="899">
        <f>('A. Dades de partida'!$D$10*D302+(120*(E302-D302)/'A. Dades de partida'!$D$10))/'A. Dades de partida'!$D$10</f>
        <v>2.8514959999999996</v>
      </c>
    </row>
    <row r="303" spans="1:11">
      <c r="A303" s="835">
        <v>8302</v>
      </c>
      <c r="B303" s="826" t="s">
        <v>1718</v>
      </c>
      <c r="C303" s="835">
        <v>0</v>
      </c>
      <c r="D303" s="835">
        <v>2.0179999999999998</v>
      </c>
      <c r="E303" s="884">
        <f>D303+D303*'3. Aigua-Resid '!$N$72</f>
        <v>2.5830399999999996</v>
      </c>
      <c r="F303" s="884">
        <f t="shared" si="12"/>
        <v>1.4465024</v>
      </c>
      <c r="G303" s="884">
        <f t="shared" si="13"/>
        <v>1.1365375999999996</v>
      </c>
      <c r="H303" s="893">
        <f>('A. Dades de partida'!$D$10*E303+(120*(I303-E303)/'A. Dades de partida'!$D$10))/'A. Dades de partida'!$D$10</f>
        <v>3.3545079466666663</v>
      </c>
      <c r="I303" s="884">
        <f t="shared" si="14"/>
        <v>4.0295423999999995</v>
      </c>
      <c r="J303" s="884">
        <f>IF(C303=1,F303*'3. Aigua-Resid '!$N$80,F303*'3. Aigua-Resid '!$N$82)</f>
        <v>2.8930047999999999</v>
      </c>
      <c r="K303" s="899">
        <f>('A. Dades de partida'!$D$10*D303+(120*(E303-D303)/'A. Dades de partida'!$D$10))/'A. Dades de partida'!$D$10</f>
        <v>2.3193546666666665</v>
      </c>
    </row>
    <row r="304" spans="1:11">
      <c r="A304" s="835">
        <v>8303</v>
      </c>
      <c r="B304" s="826" t="s">
        <v>1722</v>
      </c>
      <c r="C304" s="835">
        <v>0</v>
      </c>
      <c r="D304" s="835">
        <v>0.76300000000000001</v>
      </c>
      <c r="E304" s="884">
        <f>D304+D304*'3. Aigua-Resid '!$N$72</f>
        <v>0.97664000000000006</v>
      </c>
      <c r="F304" s="884">
        <f t="shared" si="12"/>
        <v>0.54691840000000014</v>
      </c>
      <c r="G304" s="884">
        <f t="shared" si="13"/>
        <v>0.42972159999999993</v>
      </c>
      <c r="H304" s="893">
        <f>('A. Dades de partida'!$D$10*E304+(120*(I304-E304)/'A. Dades de partida'!$D$10))/'A. Dades de partida'!$D$10</f>
        <v>1.2683298133333336</v>
      </c>
      <c r="I304" s="884">
        <f t="shared" si="14"/>
        <v>1.5235584000000002</v>
      </c>
      <c r="J304" s="884">
        <f>IF(C304=1,F304*'3. Aigua-Resid '!$N$80,F304*'3. Aigua-Resid '!$N$82)</f>
        <v>1.0938368000000003</v>
      </c>
      <c r="K304" s="899">
        <f>('A. Dades de partida'!$D$10*D304+(120*(E304-D304)/'A. Dades de partida'!$D$10))/'A. Dades de partida'!$D$10</f>
        <v>0.87694133333333335</v>
      </c>
    </row>
    <row r="305" spans="1:11">
      <c r="A305" s="835">
        <v>8304</v>
      </c>
      <c r="B305" s="826" t="s">
        <v>1728</v>
      </c>
      <c r="C305" s="835">
        <v>1</v>
      </c>
      <c r="D305" s="835">
        <v>2.1989999999999998</v>
      </c>
      <c r="E305" s="884">
        <f>D305+D305*'3. Aigua-Resid '!$N$72</f>
        <v>2.8147199999999999</v>
      </c>
      <c r="F305" s="884">
        <f t="shared" si="12"/>
        <v>1.5762432000000002</v>
      </c>
      <c r="G305" s="884">
        <f t="shared" si="13"/>
        <v>1.2384767999999997</v>
      </c>
      <c r="H305" s="893">
        <f>('A. Dades de partida'!$D$10*E305+(120*(I305-E305)/'A. Dades de partida'!$D$10))/'A. Dades de partida'!$D$10</f>
        <v>4.6431621119999997</v>
      </c>
      <c r="I305" s="884">
        <f t="shared" si="14"/>
        <v>6.2430489600000003</v>
      </c>
      <c r="J305" s="884">
        <f>IF(C305=1,F305*'3. Aigua-Resid '!$N$80,F305*'3. Aigua-Resid '!$N$82)</f>
        <v>5.0045721600000004</v>
      </c>
      <c r="K305" s="899">
        <f>('A. Dades de partida'!$D$10*D305+(120*(E305-D305)/'A. Dades de partida'!$D$10))/'A. Dades de partida'!$D$10</f>
        <v>2.5273839999999996</v>
      </c>
    </row>
    <row r="306" spans="1:11">
      <c r="A306" s="835">
        <v>8305</v>
      </c>
      <c r="B306" s="826" t="s">
        <v>1729</v>
      </c>
      <c r="C306" s="835">
        <v>1</v>
      </c>
      <c r="D306" s="835">
        <v>2.105</v>
      </c>
      <c r="E306" s="884">
        <f>D306+D306*'3. Aigua-Resid '!$N$72</f>
        <v>2.6943999999999999</v>
      </c>
      <c r="F306" s="884">
        <f t="shared" si="12"/>
        <v>1.508864</v>
      </c>
      <c r="G306" s="884">
        <f t="shared" si="13"/>
        <v>1.1855359999999999</v>
      </c>
      <c r="H306" s="893">
        <f>('A. Dades de partida'!$D$10*E306+(120*(I306-E306)/'A. Dades de partida'!$D$10))/'A. Dades de partida'!$D$10</f>
        <v>4.4446822399999997</v>
      </c>
      <c r="I306" s="884">
        <f t="shared" si="14"/>
        <v>5.9761791999999998</v>
      </c>
      <c r="J306" s="884">
        <f>IF(C306=1,F306*'3. Aigua-Resid '!$N$80,F306*'3. Aigua-Resid '!$N$82)</f>
        <v>4.7906431999999999</v>
      </c>
      <c r="K306" s="899">
        <f>('A. Dades de partida'!$D$10*D306+(120*(E306-D306)/'A. Dades de partida'!$D$10))/'A. Dades de partida'!$D$10</f>
        <v>2.4193466666666668</v>
      </c>
    </row>
    <row r="307" spans="1:11">
      <c r="A307" s="835">
        <v>8306</v>
      </c>
      <c r="B307" s="826" t="s">
        <v>1730</v>
      </c>
      <c r="C307" s="835">
        <v>0</v>
      </c>
      <c r="D307" s="835">
        <v>2.0150000000000001</v>
      </c>
      <c r="E307" s="884">
        <f>D307+D307*'3. Aigua-Resid '!$N$72</f>
        <v>2.5792000000000002</v>
      </c>
      <c r="F307" s="884">
        <f t="shared" si="12"/>
        <v>1.4443520000000003</v>
      </c>
      <c r="G307" s="884">
        <f t="shared" si="13"/>
        <v>1.1348479999999999</v>
      </c>
      <c r="H307" s="893">
        <f>('A. Dades de partida'!$D$10*E307+(120*(I307-E307)/'A. Dades de partida'!$D$10))/'A. Dades de partida'!$D$10</f>
        <v>3.349521066666667</v>
      </c>
      <c r="I307" s="884">
        <f t="shared" si="14"/>
        <v>4.0235520000000005</v>
      </c>
      <c r="J307" s="884">
        <f>IF(C307=1,F307*'3. Aigua-Resid '!$N$80,F307*'3. Aigua-Resid '!$N$82)</f>
        <v>2.8887040000000006</v>
      </c>
      <c r="K307" s="899">
        <f>('A. Dades de partida'!$D$10*D307+(120*(E307-D307)/'A. Dades de partida'!$D$10))/'A. Dades de partida'!$D$10</f>
        <v>2.3159066666666672</v>
      </c>
    </row>
    <row r="308" spans="1:11">
      <c r="A308" s="835">
        <v>8307</v>
      </c>
      <c r="B308" s="826" t="s">
        <v>358</v>
      </c>
      <c r="C308" s="835">
        <v>1</v>
      </c>
      <c r="D308" s="835">
        <v>2.1429999999999998</v>
      </c>
      <c r="E308" s="884">
        <f>D308+D308*'3. Aigua-Resid '!$N$72</f>
        <v>2.7430399999999997</v>
      </c>
      <c r="F308" s="884">
        <f t="shared" si="12"/>
        <v>1.5361023999999999</v>
      </c>
      <c r="G308" s="884">
        <f t="shared" si="13"/>
        <v>1.2069375999999998</v>
      </c>
      <c r="H308" s="893">
        <f>('A. Dades de partida'!$D$10*E308+(120*(I308-E308)/'A. Dades de partida'!$D$10))/'A. Dades de partida'!$D$10</f>
        <v>4.5249187839999987</v>
      </c>
      <c r="I308" s="884">
        <f t="shared" si="14"/>
        <v>6.0840627199999995</v>
      </c>
      <c r="J308" s="884">
        <f>IF(C308=1,F308*'3. Aigua-Resid '!$N$80,F308*'3. Aigua-Resid '!$N$82)</f>
        <v>4.8771251199999996</v>
      </c>
      <c r="K308" s="899">
        <f>('A. Dades de partida'!$D$10*D308+(120*(E308-D308)/'A. Dades de partida'!$D$10))/'A. Dades de partida'!$D$10</f>
        <v>2.4630213333333328</v>
      </c>
    </row>
    <row r="309" spans="1:11">
      <c r="A309" s="835">
        <v>8308</v>
      </c>
      <c r="B309" s="826" t="s">
        <v>1737</v>
      </c>
      <c r="C309" s="835">
        <v>0</v>
      </c>
      <c r="D309" s="835">
        <v>2.2050000000000001</v>
      </c>
      <c r="E309" s="884">
        <f>D309+D309*'3. Aigua-Resid '!$N$72</f>
        <v>2.8224</v>
      </c>
      <c r="F309" s="884">
        <f t="shared" si="12"/>
        <v>1.5805440000000002</v>
      </c>
      <c r="G309" s="884">
        <f t="shared" si="13"/>
        <v>1.2418559999999998</v>
      </c>
      <c r="H309" s="893">
        <f>('A. Dades de partida'!$D$10*E309+(120*(I309-E309)/'A. Dades de partida'!$D$10))/'A. Dades de partida'!$D$10</f>
        <v>3.6653567999999996</v>
      </c>
      <c r="I309" s="884">
        <f t="shared" si="14"/>
        <v>4.4029439999999997</v>
      </c>
      <c r="J309" s="884">
        <f>IF(C309=1,F309*'3. Aigua-Resid '!$N$80,F309*'3. Aigua-Resid '!$N$82)</f>
        <v>3.1610880000000003</v>
      </c>
      <c r="K309" s="899">
        <f>('A. Dades de partida'!$D$10*D309+(120*(E309-D309)/'A. Dades de partida'!$D$10))/'A. Dades de partida'!$D$10</f>
        <v>2.5342800000000003</v>
      </c>
    </row>
    <row r="310" spans="1:11">
      <c r="A310" s="835">
        <v>8901</v>
      </c>
      <c r="B310" s="826" t="s">
        <v>1742</v>
      </c>
      <c r="C310" s="835">
        <v>0</v>
      </c>
      <c r="D310" s="835">
        <v>0.91600000000000004</v>
      </c>
      <c r="E310" s="884">
        <f>D310+D310*'3. Aigua-Resid '!$N$72</f>
        <v>1.1724800000000002</v>
      </c>
      <c r="F310" s="884">
        <f t="shared" si="12"/>
        <v>0.65658880000000019</v>
      </c>
      <c r="G310" s="884">
        <f t="shared" si="13"/>
        <v>0.51589119999999999</v>
      </c>
      <c r="H310" s="893">
        <f>('A. Dades de partida'!$D$10*E310+(120*(I310-E310)/'A. Dades de partida'!$D$10))/'A. Dades de partida'!$D$10</f>
        <v>1.5226606933333335</v>
      </c>
      <c r="I310" s="884">
        <f t="shared" si="14"/>
        <v>1.8290688000000004</v>
      </c>
      <c r="J310" s="884">
        <f>IF(C310=1,F310*'3. Aigua-Resid '!$N$80,F310*'3. Aigua-Resid '!$N$82)</f>
        <v>1.3131776000000004</v>
      </c>
      <c r="K310" s="899">
        <f>('A. Dades de partida'!$D$10*D310+(120*(E310-D310)/'A. Dades de partida'!$D$10))/'A. Dades de partida'!$D$10</f>
        <v>1.0527893333333334</v>
      </c>
    </row>
    <row r="311" spans="1:11">
      <c r="A311" s="835">
        <v>8902</v>
      </c>
      <c r="B311" s="826" t="s">
        <v>1743</v>
      </c>
      <c r="C311" s="835">
        <v>1</v>
      </c>
      <c r="D311" s="835">
        <v>1.6240000000000001</v>
      </c>
      <c r="E311" s="884">
        <f>D311+D311*'3. Aigua-Resid '!$N$72</f>
        <v>2.0787200000000001</v>
      </c>
      <c r="F311" s="884">
        <f t="shared" si="12"/>
        <v>1.1640832000000001</v>
      </c>
      <c r="G311" s="884">
        <f t="shared" si="13"/>
        <v>0.91463680000000003</v>
      </c>
      <c r="H311" s="893">
        <f>('A. Dades de partida'!$D$10*E311+(120*(I311-E311)/'A. Dades de partida'!$D$10))/'A. Dades de partida'!$D$10</f>
        <v>3.4290565120000003</v>
      </c>
      <c r="I311" s="884">
        <f t="shared" si="14"/>
        <v>4.6106009600000002</v>
      </c>
      <c r="J311" s="884">
        <f>IF(C311=1,F311*'3. Aigua-Resid '!$N$80,F311*'3. Aigua-Resid '!$N$82)</f>
        <v>3.6959641599999999</v>
      </c>
      <c r="K311" s="899">
        <f>('A. Dades de partida'!$D$10*D311+(120*(E311-D311)/'A. Dades de partida'!$D$10))/'A. Dades de partida'!$D$10</f>
        <v>1.8665173333333336</v>
      </c>
    </row>
    <row r="312" spans="1:11">
      <c r="A312" s="835">
        <v>8903</v>
      </c>
      <c r="B312" s="826" t="s">
        <v>1746</v>
      </c>
      <c r="C312" s="835">
        <v>0</v>
      </c>
      <c r="D312" s="835">
        <v>0.70099999999999996</v>
      </c>
      <c r="E312" s="884">
        <f>D312+D312*'3. Aigua-Resid '!$N$72</f>
        <v>0.89727999999999997</v>
      </c>
      <c r="F312" s="884">
        <f t="shared" si="12"/>
        <v>0.50247680000000006</v>
      </c>
      <c r="G312" s="884">
        <f t="shared" si="13"/>
        <v>0.39480319999999991</v>
      </c>
      <c r="H312" s="893">
        <f>('A. Dades de partida'!$D$10*E312+(120*(I312-E312)/'A. Dades de partida'!$D$10))/'A. Dades de partida'!$D$10</f>
        <v>1.1652676266666666</v>
      </c>
      <c r="I312" s="884">
        <f t="shared" si="14"/>
        <v>1.3997568</v>
      </c>
      <c r="J312" s="884">
        <f>IF(C312=1,F312*'3. Aigua-Resid '!$N$80,F312*'3. Aigua-Resid '!$N$82)</f>
        <v>1.0049536000000001</v>
      </c>
      <c r="K312" s="899">
        <f>('A. Dades de partida'!$D$10*D312+(120*(E312-D312)/'A. Dades de partida'!$D$10))/'A. Dades de partida'!$D$10</f>
        <v>0.80568266666666655</v>
      </c>
    </row>
    <row r="313" spans="1:11">
      <c r="A313" s="835">
        <v>8904</v>
      </c>
      <c r="B313" s="826" t="s">
        <v>1748</v>
      </c>
      <c r="C313" s="835">
        <v>1</v>
      </c>
      <c r="D313" s="835">
        <v>1.841</v>
      </c>
      <c r="E313" s="884">
        <f>D313+D313*'3. Aigua-Resid '!$N$72</f>
        <v>2.3564799999999999</v>
      </c>
      <c r="F313" s="884">
        <f t="shared" si="12"/>
        <v>1.3196288</v>
      </c>
      <c r="G313" s="884">
        <f t="shared" si="13"/>
        <v>1.0368511999999999</v>
      </c>
      <c r="H313" s="893">
        <f>('A. Dades de partida'!$D$10*E313+(120*(I313-E313)/'A. Dades de partida'!$D$10))/'A. Dades de partida'!$D$10</f>
        <v>3.8872494080000006</v>
      </c>
      <c r="I313" s="884">
        <f t="shared" si="14"/>
        <v>5.2266726400000003</v>
      </c>
      <c r="J313" s="884">
        <f>IF(C313=1,F313*'3. Aigua-Resid '!$N$80,F313*'3. Aigua-Resid '!$N$82)</f>
        <v>4.1898214400000002</v>
      </c>
      <c r="K313" s="899">
        <f>('A. Dades de partida'!$D$10*D313+(120*(E313-D313)/'A. Dades de partida'!$D$10))/'A. Dades de partida'!$D$10</f>
        <v>2.1159226666666666</v>
      </c>
    </row>
    <row r="314" spans="1:11" ht="15.75" thickBot="1">
      <c r="A314" s="836">
        <v>8905</v>
      </c>
      <c r="B314" s="827" t="s">
        <v>1749</v>
      </c>
      <c r="C314" s="836">
        <v>1</v>
      </c>
      <c r="D314" s="836">
        <v>2.073</v>
      </c>
      <c r="E314" s="885">
        <f>D314+D314*'3. Aigua-Resid '!$N$72</f>
        <v>2.6534399999999998</v>
      </c>
      <c r="F314" s="885">
        <f t="shared" si="12"/>
        <v>1.4859264000000001</v>
      </c>
      <c r="G314" s="885">
        <f t="shared" si="13"/>
        <v>1.1675135999999997</v>
      </c>
      <c r="H314" s="894">
        <f>('A. Dades de partida'!$D$10*E314+(120*(I314-E314)/'A. Dades de partida'!$D$10))/'A. Dades de partida'!$D$10</f>
        <v>4.377114623999999</v>
      </c>
      <c r="I314" s="885">
        <f t="shared" si="14"/>
        <v>5.8853299199999993</v>
      </c>
      <c r="J314" s="885">
        <f>IF(C314=1,F314*'3. Aigua-Resid '!$N$80,F314*'3. Aigua-Resid '!$N$82)</f>
        <v>4.7178163199999998</v>
      </c>
      <c r="K314" s="900">
        <f>('A. Dades de partida'!$D$10*D314+(120*(E314-D314)/'A. Dades de partida'!$D$10))/'A. Dades de partida'!$D$10</f>
        <v>2.3825679999999996</v>
      </c>
    </row>
  </sheetData>
  <mergeCells count="2">
    <mergeCell ref="E2:G2"/>
    <mergeCell ref="H2:J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U308"/>
  <sheetViews>
    <sheetView topLeftCell="U1" workbookViewId="0">
      <selection activeCell="AT6" sqref="AT6"/>
    </sheetView>
  </sheetViews>
  <sheetFormatPr defaultRowHeight="15"/>
  <cols>
    <col min="1" max="1" width="26.7109375" customWidth="1"/>
    <col min="2" max="17" width="8.5703125" style="860" customWidth="1"/>
    <col min="20" max="20" width="34.5703125" style="2" customWidth="1"/>
    <col min="21" max="38" width="9.140625" style="860"/>
    <col min="39" max="39" width="10.140625" style="1055" bestFit="1" customWidth="1"/>
    <col min="40" max="40" width="9.28515625" style="1055" bestFit="1" customWidth="1"/>
    <col min="41" max="41" width="10.140625" style="1055" bestFit="1" customWidth="1"/>
  </cols>
  <sheetData>
    <row r="3" spans="1:47">
      <c r="B3" s="975" t="s">
        <v>4342</v>
      </c>
      <c r="AM3" s="1192" t="s">
        <v>4529</v>
      </c>
      <c r="AN3" s="1192"/>
      <c r="AO3" s="1192"/>
      <c r="AQ3" s="1154" t="s">
        <v>4529</v>
      </c>
      <c r="AR3" s="1154"/>
      <c r="AS3" s="1154"/>
      <c r="AT3" s="1154"/>
      <c r="AU3" s="1154"/>
    </row>
    <row r="4" spans="1:47" s="821" customFormat="1" ht="55.5" customHeight="1">
      <c r="B4" s="822" t="s">
        <v>2805</v>
      </c>
      <c r="C4" s="822"/>
      <c r="D4" s="822" t="s">
        <v>2810</v>
      </c>
      <c r="E4" s="822"/>
      <c r="F4" s="822" t="s">
        <v>2816</v>
      </c>
      <c r="G4" s="822"/>
      <c r="H4" s="822" t="s">
        <v>2841</v>
      </c>
      <c r="I4" s="822"/>
      <c r="J4" s="822" t="s">
        <v>2826</v>
      </c>
      <c r="K4" s="822"/>
      <c r="L4" s="822" t="s">
        <v>2817</v>
      </c>
      <c r="M4" s="822"/>
      <c r="N4" s="822" t="s">
        <v>2820</v>
      </c>
      <c r="O4" s="822"/>
      <c r="P4" s="822" t="s">
        <v>4343</v>
      </c>
      <c r="Q4" s="822" t="s">
        <v>4344</v>
      </c>
      <c r="T4" s="823"/>
      <c r="U4" s="1191" t="s">
        <v>2805</v>
      </c>
      <c r="V4" s="1191"/>
      <c r="W4" s="1191" t="s">
        <v>2810</v>
      </c>
      <c r="X4" s="1191"/>
      <c r="Y4" s="1191" t="s">
        <v>2816</v>
      </c>
      <c r="Z4" s="1191"/>
      <c r="AA4" s="1191" t="s">
        <v>2841</v>
      </c>
      <c r="AB4" s="1191"/>
      <c r="AC4" s="1191" t="s">
        <v>2826</v>
      </c>
      <c r="AD4" s="1191"/>
      <c r="AE4" s="1191" t="s">
        <v>2817</v>
      </c>
      <c r="AF4" s="1191"/>
      <c r="AG4" s="1191" t="s">
        <v>2820</v>
      </c>
      <c r="AH4" s="1191"/>
      <c r="AI4" s="1191" t="s">
        <v>4345</v>
      </c>
      <c r="AJ4" s="1191"/>
      <c r="AK4" s="890" t="s">
        <v>4343</v>
      </c>
      <c r="AL4" s="890" t="s">
        <v>4344</v>
      </c>
      <c r="AM4" s="1056" t="s">
        <v>4343</v>
      </c>
      <c r="AN4" s="1056" t="s">
        <v>4344</v>
      </c>
      <c r="AO4" s="1057" t="s">
        <v>38</v>
      </c>
      <c r="AP4" s="821" t="s">
        <v>4526</v>
      </c>
      <c r="AQ4" s="821" t="s">
        <v>4527</v>
      </c>
      <c r="AR4" s="821" t="s">
        <v>4528</v>
      </c>
      <c r="AS4" s="821" t="s">
        <v>4530</v>
      </c>
      <c r="AT4" s="821" t="s">
        <v>4531</v>
      </c>
      <c r="AU4" s="821" t="s">
        <v>4534</v>
      </c>
    </row>
    <row r="5" spans="1:47" ht="15.75" thickBot="1">
      <c r="A5" s="973" t="s">
        <v>4340</v>
      </c>
      <c r="B5" s="860" t="s">
        <v>1821</v>
      </c>
      <c r="C5" s="860" t="s">
        <v>2203</v>
      </c>
      <c r="D5" s="860" t="s">
        <v>1821</v>
      </c>
      <c r="E5" s="860" t="s">
        <v>2203</v>
      </c>
      <c r="F5" s="860" t="s">
        <v>1821</v>
      </c>
      <c r="G5" s="860" t="s">
        <v>2203</v>
      </c>
      <c r="H5" s="860" t="s">
        <v>1821</v>
      </c>
      <c r="I5" s="860" t="s">
        <v>2203</v>
      </c>
      <c r="J5" s="860" t="s">
        <v>1821</v>
      </c>
      <c r="K5" s="860" t="s">
        <v>2203</v>
      </c>
      <c r="L5" s="860" t="s">
        <v>1821</v>
      </c>
      <c r="M5" s="860" t="s">
        <v>2203</v>
      </c>
      <c r="N5" s="860" t="s">
        <v>1821</v>
      </c>
      <c r="O5" s="860" t="s">
        <v>2203</v>
      </c>
      <c r="T5" s="979"/>
      <c r="U5" s="980" t="s">
        <v>1821</v>
      </c>
      <c r="V5" s="980" t="s">
        <v>2203</v>
      </c>
      <c r="W5" s="980" t="s">
        <v>1821</v>
      </c>
      <c r="X5" s="980" t="s">
        <v>2203</v>
      </c>
      <c r="Y5" s="980" t="s">
        <v>1821</v>
      </c>
      <c r="Z5" s="980" t="s">
        <v>2203</v>
      </c>
      <c r="AA5" s="980" t="s">
        <v>1821</v>
      </c>
      <c r="AB5" s="980" t="s">
        <v>2203</v>
      </c>
      <c r="AC5" s="980" t="s">
        <v>1821</v>
      </c>
      <c r="AD5" s="980" t="s">
        <v>2203</v>
      </c>
      <c r="AE5" s="980" t="s">
        <v>1821</v>
      </c>
      <c r="AF5" s="980" t="s">
        <v>2203</v>
      </c>
      <c r="AG5" s="980" t="s">
        <v>1821</v>
      </c>
      <c r="AH5" s="980" t="s">
        <v>2203</v>
      </c>
      <c r="AI5" s="980" t="s">
        <v>1821</v>
      </c>
      <c r="AJ5" s="980" t="s">
        <v>2203</v>
      </c>
      <c r="AK5" s="980"/>
      <c r="AL5" s="980"/>
      <c r="AM5" s="1058" t="s">
        <v>4511</v>
      </c>
      <c r="AN5" s="1058" t="s">
        <v>4511</v>
      </c>
    </row>
    <row r="6" spans="1:47">
      <c r="A6" s="974" t="s">
        <v>672</v>
      </c>
      <c r="B6" s="976">
        <v>119</v>
      </c>
      <c r="C6" s="976">
        <v>24</v>
      </c>
      <c r="D6" s="976">
        <v>2</v>
      </c>
      <c r="E6" s="976">
        <v>47</v>
      </c>
      <c r="F6" s="976"/>
      <c r="G6" s="976"/>
      <c r="H6" s="976"/>
      <c r="I6" s="976"/>
      <c r="J6" s="976"/>
      <c r="K6" s="976"/>
      <c r="L6" s="976">
        <v>12</v>
      </c>
      <c r="M6" s="976">
        <v>0</v>
      </c>
      <c r="N6" s="976"/>
      <c r="O6" s="976"/>
      <c r="P6" s="976">
        <v>133</v>
      </c>
      <c r="Q6" s="977">
        <v>71</v>
      </c>
      <c r="T6" s="981" t="s">
        <v>672</v>
      </c>
      <c r="U6" s="982">
        <v>119</v>
      </c>
      <c r="V6" s="982">
        <v>24</v>
      </c>
      <c r="W6" s="982">
        <v>2</v>
      </c>
      <c r="X6" s="982">
        <v>47</v>
      </c>
      <c r="Y6" s="982"/>
      <c r="Z6" s="982"/>
      <c r="AA6" s="982"/>
      <c r="AB6" s="982"/>
      <c r="AC6" s="982"/>
      <c r="AD6" s="982"/>
      <c r="AE6" s="982">
        <v>12</v>
      </c>
      <c r="AF6" s="982">
        <v>0</v>
      </c>
      <c r="AG6" s="982"/>
      <c r="AH6" s="982"/>
      <c r="AI6" s="982">
        <v>52</v>
      </c>
      <c r="AJ6" s="982">
        <v>17</v>
      </c>
      <c r="AK6" s="982">
        <f>U6+W6+Y6+AA6+AC6+AE6+AG6</f>
        <v>133</v>
      </c>
      <c r="AL6" s="982">
        <f>V6+X6+Z6+AB6+AD6+AF6+AH6+AJ6</f>
        <v>88</v>
      </c>
      <c r="AM6" s="1055">
        <f>AK6*'tecnicecon agric'!$J$57</f>
        <v>63219.333333333328</v>
      </c>
      <c r="AN6" s="1055">
        <f>AL6*'tecnicecon agric'!$J$56</f>
        <v>99407</v>
      </c>
      <c r="AO6" s="1055">
        <f>AM6+AN6</f>
        <v>162626.33333333331</v>
      </c>
      <c r="AP6">
        <f>AL6*'tecnicecon agric'!$J$65+'cultius resum'!AK6</f>
        <v>502.6</v>
      </c>
      <c r="AQ6" s="779">
        <f>AM6</f>
        <v>63219.333333333328</v>
      </c>
      <c r="AR6">
        <f>AN6+AL6*'tecnicecon agric'!$L$58</f>
        <v>116409.20342857143</v>
      </c>
      <c r="AS6">
        <f>AP6*'4. Agricultura PIB'!$K$31</f>
        <v>1429426.7797560298</v>
      </c>
      <c r="AT6">
        <f>AS6*'4. Agricultura PIB'!$D$71</f>
        <v>420251.47324827273</v>
      </c>
      <c r="AU6" s="779">
        <f>SUM(AQ6:AT6)</f>
        <v>2029306.7897662073</v>
      </c>
    </row>
    <row r="7" spans="1:47">
      <c r="A7" s="974" t="s">
        <v>694</v>
      </c>
      <c r="B7" s="976">
        <v>845</v>
      </c>
      <c r="C7" s="976">
        <v>0</v>
      </c>
      <c r="D7" s="976">
        <v>102</v>
      </c>
      <c r="E7" s="976">
        <v>0</v>
      </c>
      <c r="F7" s="976">
        <v>125</v>
      </c>
      <c r="G7" s="976">
        <v>0</v>
      </c>
      <c r="H7" s="976"/>
      <c r="I7" s="976"/>
      <c r="J7" s="976">
        <v>0</v>
      </c>
      <c r="K7" s="976">
        <v>2</v>
      </c>
      <c r="L7" s="976">
        <v>48</v>
      </c>
      <c r="M7" s="976">
        <v>0</v>
      </c>
      <c r="N7" s="976"/>
      <c r="O7" s="976"/>
      <c r="P7" s="976">
        <v>1120</v>
      </c>
      <c r="Q7" s="977">
        <v>2</v>
      </c>
      <c r="T7" s="983" t="s">
        <v>694</v>
      </c>
      <c r="U7" s="984">
        <v>845</v>
      </c>
      <c r="V7" s="984">
        <v>0</v>
      </c>
      <c r="W7" s="984">
        <v>102</v>
      </c>
      <c r="X7" s="984">
        <v>0</v>
      </c>
      <c r="Y7" s="984">
        <v>125</v>
      </c>
      <c r="Z7" s="984">
        <v>0</v>
      </c>
      <c r="AA7" s="984"/>
      <c r="AB7" s="984"/>
      <c r="AC7" s="984">
        <v>0</v>
      </c>
      <c r="AD7" s="984">
        <v>2</v>
      </c>
      <c r="AE7" s="984">
        <v>48</v>
      </c>
      <c r="AF7" s="984">
        <v>0</v>
      </c>
      <c r="AG7" s="984"/>
      <c r="AH7" s="984"/>
      <c r="AI7" s="984">
        <v>21</v>
      </c>
      <c r="AJ7" s="984">
        <v>0</v>
      </c>
      <c r="AK7" s="984">
        <f>U7+W7+Y7+AA7+AC7+AE7+AG7</f>
        <v>1120</v>
      </c>
      <c r="AL7" s="984">
        <f>V7+X7+Z7+AB7+AD7+AF7+AH7+AJ7</f>
        <v>2</v>
      </c>
      <c r="AM7" s="1055">
        <f>AK7*'tecnicecon agric'!$J$57</f>
        <v>532373.33333333326</v>
      </c>
      <c r="AN7" s="1055">
        <f>AL7*'tecnicecon agric'!$J$56</f>
        <v>2259.25</v>
      </c>
      <c r="AO7" s="1055">
        <f t="shared" ref="AO7:AO70" si="0">AM7+AN7</f>
        <v>534632.58333333326</v>
      </c>
      <c r="AP7">
        <f>AL7*'tecnicecon agric'!$J$65+'cultius resum'!AK7</f>
        <v>1128.4000000000001</v>
      </c>
      <c r="AQ7" s="779">
        <f t="shared" ref="AQ7:AQ70" si="1">AM7</f>
        <v>532373.33333333326</v>
      </c>
      <c r="AR7">
        <f>AN7+AL7*'tecnicecon agric'!$L$58</f>
        <v>2645.6637142857144</v>
      </c>
      <c r="AS7">
        <f>AP7*'4. Agricultura PIB'!$K$31</f>
        <v>3209242.2966110311</v>
      </c>
      <c r="AT7">
        <f>AS7*'4. Agricultura PIB'!$D$71</f>
        <v>943517.2352036431</v>
      </c>
      <c r="AU7" s="779">
        <f t="shared" ref="AU7:AU70" si="2">SUM(AQ7:AT7)</f>
        <v>4687778.5288622929</v>
      </c>
    </row>
    <row r="8" spans="1:47">
      <c r="A8" s="974" t="s">
        <v>797</v>
      </c>
      <c r="B8" s="976">
        <v>4</v>
      </c>
      <c r="C8" s="976">
        <v>0</v>
      </c>
      <c r="D8" s="976">
        <v>0</v>
      </c>
      <c r="E8" s="976">
        <v>1</v>
      </c>
      <c r="F8" s="976"/>
      <c r="G8" s="976"/>
      <c r="H8" s="976"/>
      <c r="I8" s="976"/>
      <c r="J8" s="976"/>
      <c r="K8" s="976"/>
      <c r="L8" s="976">
        <v>0</v>
      </c>
      <c r="M8" s="976">
        <v>1</v>
      </c>
      <c r="N8" s="976"/>
      <c r="O8" s="976"/>
      <c r="P8" s="976">
        <v>4</v>
      </c>
      <c r="Q8" s="977">
        <v>2</v>
      </c>
      <c r="T8" s="983" t="s">
        <v>797</v>
      </c>
      <c r="U8" s="984">
        <v>4</v>
      </c>
      <c r="V8" s="984">
        <v>0</v>
      </c>
      <c r="W8" s="984">
        <v>0</v>
      </c>
      <c r="X8" s="984">
        <v>1</v>
      </c>
      <c r="Y8" s="984"/>
      <c r="Z8" s="984"/>
      <c r="AA8" s="984"/>
      <c r="AB8" s="984"/>
      <c r="AC8" s="984"/>
      <c r="AD8" s="984"/>
      <c r="AE8" s="984">
        <v>0</v>
      </c>
      <c r="AF8" s="984">
        <v>1</v>
      </c>
      <c r="AG8" s="984"/>
      <c r="AH8" s="984"/>
      <c r="AI8" s="984" t="s">
        <v>752</v>
      </c>
      <c r="AJ8" s="984" t="s">
        <v>752</v>
      </c>
      <c r="AK8" s="984">
        <v>4</v>
      </c>
      <c r="AL8" s="984">
        <v>2</v>
      </c>
      <c r="AM8" s="1055">
        <f>AK8*'tecnicecon agric'!$J$57</f>
        <v>1901.3333333333333</v>
      </c>
      <c r="AN8" s="1055">
        <f>AL8*'tecnicecon agric'!$J$56</f>
        <v>2259.25</v>
      </c>
      <c r="AO8" s="1055">
        <f t="shared" si="0"/>
        <v>4160.583333333333</v>
      </c>
      <c r="AP8">
        <f>AL8*'tecnicecon agric'!$J$65+'cultius resum'!AK8</f>
        <v>12.4</v>
      </c>
      <c r="AQ8" s="779">
        <f t="shared" si="1"/>
        <v>1901.3333333333333</v>
      </c>
      <c r="AR8">
        <f>AN8+AL8*'tecnicecon agric'!$L$58</f>
        <v>2645.6637142857144</v>
      </c>
      <c r="AS8">
        <f>AP8*'4. Agricultura PIB'!$K$31</f>
        <v>35266.398863857481</v>
      </c>
      <c r="AT8">
        <f>AS8*'4. Agricultura PIB'!$D$71</f>
        <v>10368.321265974098</v>
      </c>
      <c r="AU8" s="779">
        <f t="shared" si="2"/>
        <v>50181.717177450628</v>
      </c>
    </row>
    <row r="9" spans="1:47">
      <c r="A9" s="974" t="s">
        <v>707</v>
      </c>
      <c r="B9" s="976"/>
      <c r="C9" s="976"/>
      <c r="D9" s="976"/>
      <c r="E9" s="976"/>
      <c r="F9" s="976"/>
      <c r="G9" s="976"/>
      <c r="H9" s="976">
        <v>0</v>
      </c>
      <c r="I9" s="976">
        <v>4</v>
      </c>
      <c r="J9" s="976">
        <v>0</v>
      </c>
      <c r="K9" s="976">
        <v>17</v>
      </c>
      <c r="L9" s="976"/>
      <c r="M9" s="976"/>
      <c r="N9" s="976">
        <v>0</v>
      </c>
      <c r="O9" s="976">
        <v>2</v>
      </c>
      <c r="P9" s="976">
        <v>0</v>
      </c>
      <c r="Q9" s="977">
        <v>23</v>
      </c>
      <c r="T9" s="983" t="s">
        <v>707</v>
      </c>
      <c r="U9" s="984"/>
      <c r="V9" s="984"/>
      <c r="W9" s="984"/>
      <c r="X9" s="984"/>
      <c r="Y9" s="984"/>
      <c r="Z9" s="984"/>
      <c r="AA9" s="984">
        <v>0</v>
      </c>
      <c r="AB9" s="984">
        <v>4</v>
      </c>
      <c r="AC9" s="984">
        <v>0</v>
      </c>
      <c r="AD9" s="984">
        <v>17</v>
      </c>
      <c r="AE9" s="984"/>
      <c r="AF9" s="984"/>
      <c r="AG9" s="984">
        <v>0</v>
      </c>
      <c r="AH9" s="984">
        <v>2</v>
      </c>
      <c r="AI9" s="984">
        <v>68</v>
      </c>
      <c r="AJ9" s="984">
        <v>22</v>
      </c>
      <c r="AK9" s="984">
        <v>0</v>
      </c>
      <c r="AL9" s="984">
        <v>23</v>
      </c>
      <c r="AM9" s="1055">
        <f>AK9*'tecnicecon agric'!$J$57</f>
        <v>0</v>
      </c>
      <c r="AN9" s="1055">
        <f>AL9*'tecnicecon agric'!$J$56</f>
        <v>25981.375</v>
      </c>
      <c r="AO9" s="1055">
        <f t="shared" si="0"/>
        <v>25981.375</v>
      </c>
      <c r="AP9">
        <f>AL9*'tecnicecon agric'!$J$65+'cultius resum'!AK9</f>
        <v>96.600000000000009</v>
      </c>
      <c r="AQ9" s="779">
        <f t="shared" si="1"/>
        <v>0</v>
      </c>
      <c r="AR9">
        <f>AN9+AL9*'tecnicecon agric'!$L$58</f>
        <v>30425.132714285715</v>
      </c>
      <c r="AS9">
        <f>AP9*'4. Agricultura PIB'!$K$31</f>
        <v>274736.62340714782</v>
      </c>
      <c r="AT9">
        <f>AS9*'4. Agricultura PIB'!$D$71</f>
        <v>80772.567281701457</v>
      </c>
      <c r="AU9" s="779">
        <f t="shared" si="2"/>
        <v>385934.32340313494</v>
      </c>
    </row>
    <row r="10" spans="1:47">
      <c r="A10" s="974" t="s">
        <v>716</v>
      </c>
      <c r="B10" s="976">
        <v>24</v>
      </c>
      <c r="C10" s="976">
        <v>0</v>
      </c>
      <c r="D10" s="976">
        <v>129</v>
      </c>
      <c r="E10" s="976">
        <v>0</v>
      </c>
      <c r="F10" s="976"/>
      <c r="G10" s="976"/>
      <c r="H10" s="976"/>
      <c r="I10" s="976"/>
      <c r="J10" s="976"/>
      <c r="K10" s="976"/>
      <c r="L10" s="976"/>
      <c r="M10" s="976"/>
      <c r="N10" s="976"/>
      <c r="O10" s="976"/>
      <c r="P10" s="976">
        <v>153</v>
      </c>
      <c r="Q10" s="977">
        <v>0</v>
      </c>
      <c r="T10" s="983" t="s">
        <v>716</v>
      </c>
      <c r="U10" s="984">
        <v>24</v>
      </c>
      <c r="V10" s="984">
        <v>0</v>
      </c>
      <c r="W10" s="984">
        <v>129</v>
      </c>
      <c r="X10" s="984">
        <v>0</v>
      </c>
      <c r="Y10" s="984"/>
      <c r="Z10" s="984"/>
      <c r="AA10" s="984"/>
      <c r="AB10" s="984"/>
      <c r="AC10" s="984"/>
      <c r="AD10" s="984"/>
      <c r="AE10" s="984"/>
      <c r="AF10" s="984"/>
      <c r="AG10" s="984"/>
      <c r="AH10" s="984"/>
      <c r="AI10" s="984" t="s">
        <v>752</v>
      </c>
      <c r="AJ10" s="984" t="s">
        <v>752</v>
      </c>
      <c r="AK10" s="984">
        <v>153</v>
      </c>
      <c r="AL10" s="984">
        <v>0</v>
      </c>
      <c r="AM10" s="1055">
        <f>AK10*'tecnicecon agric'!$J$57</f>
        <v>72726</v>
      </c>
      <c r="AN10" s="1055">
        <f>AL10*'tecnicecon agric'!$J$56</f>
        <v>0</v>
      </c>
      <c r="AO10" s="1055">
        <f t="shared" si="0"/>
        <v>72726</v>
      </c>
      <c r="AP10">
        <f>AL10*'tecnicecon agric'!$J$65+'cultius resum'!AK10</f>
        <v>153</v>
      </c>
      <c r="AQ10" s="779">
        <f t="shared" si="1"/>
        <v>72726</v>
      </c>
      <c r="AR10">
        <f>AN10+AL10*'tecnicecon agric'!$L$58</f>
        <v>0</v>
      </c>
      <c r="AS10">
        <f>AP10*'4. Agricultura PIB'!$K$31</f>
        <v>435141.85694920924</v>
      </c>
      <c r="AT10">
        <f>AS10*'4. Agricultura PIB'!$D$71</f>
        <v>127931.70594306751</v>
      </c>
      <c r="AU10" s="779">
        <f t="shared" si="2"/>
        <v>635799.56289227679</v>
      </c>
    </row>
    <row r="11" spans="1:47">
      <c r="A11" s="974" t="s">
        <v>2958</v>
      </c>
      <c r="B11" s="976">
        <v>192</v>
      </c>
      <c r="C11" s="976">
        <v>22</v>
      </c>
      <c r="D11" s="976">
        <v>45</v>
      </c>
      <c r="E11" s="976">
        <v>17</v>
      </c>
      <c r="F11" s="976">
        <v>23</v>
      </c>
      <c r="G11" s="976">
        <v>0</v>
      </c>
      <c r="H11" s="976"/>
      <c r="I11" s="976"/>
      <c r="J11" s="976"/>
      <c r="K11" s="976"/>
      <c r="L11" s="976">
        <v>8</v>
      </c>
      <c r="M11" s="976">
        <v>0</v>
      </c>
      <c r="N11" s="976"/>
      <c r="O11" s="976"/>
      <c r="P11" s="976">
        <v>268</v>
      </c>
      <c r="Q11" s="977">
        <v>39</v>
      </c>
      <c r="T11" s="983" t="s">
        <v>725</v>
      </c>
      <c r="U11" s="984">
        <v>192</v>
      </c>
      <c r="V11" s="984">
        <v>22</v>
      </c>
      <c r="W11" s="984">
        <v>45</v>
      </c>
      <c r="X11" s="984">
        <v>17</v>
      </c>
      <c r="Y11" s="984">
        <v>23</v>
      </c>
      <c r="Z11" s="984">
        <v>0</v>
      </c>
      <c r="AA11" s="984"/>
      <c r="AB11" s="984"/>
      <c r="AC11" s="984"/>
      <c r="AD11" s="984"/>
      <c r="AE11" s="984">
        <v>8</v>
      </c>
      <c r="AF11" s="984">
        <v>0</v>
      </c>
      <c r="AG11" s="984"/>
      <c r="AH11" s="984"/>
      <c r="AI11" s="984">
        <v>6</v>
      </c>
      <c r="AJ11" s="984">
        <v>4</v>
      </c>
      <c r="AK11" s="984">
        <v>268</v>
      </c>
      <c r="AL11" s="984">
        <v>39</v>
      </c>
      <c r="AM11" s="1055">
        <f>AK11*'tecnicecon agric'!$J$57</f>
        <v>127389.33333333333</v>
      </c>
      <c r="AN11" s="1055">
        <f>AL11*'tecnicecon agric'!$J$56</f>
        <v>44055.375</v>
      </c>
      <c r="AO11" s="1055">
        <f t="shared" si="0"/>
        <v>171444.70833333331</v>
      </c>
      <c r="AP11">
        <f>AL11*'tecnicecon agric'!$J$65+'cultius resum'!AK11</f>
        <v>431.8</v>
      </c>
      <c r="AQ11" s="779">
        <f t="shared" si="1"/>
        <v>127389.33333333333</v>
      </c>
      <c r="AR11">
        <f>AN11+AL11*'tecnicecon agric'!$L$58</f>
        <v>51590.442428571427</v>
      </c>
      <c r="AS11">
        <f>AP11*'4. Agricultura PIB'!$K$31</f>
        <v>1228067.0185011018</v>
      </c>
      <c r="AT11">
        <f>AS11*'4. Agricultura PIB'!$D$71</f>
        <v>361051.70343932387</v>
      </c>
      <c r="AU11" s="779">
        <f t="shared" si="2"/>
        <v>1768098.4977023304</v>
      </c>
    </row>
    <row r="12" spans="1:47">
      <c r="A12" s="974" t="s">
        <v>334</v>
      </c>
      <c r="B12" s="976"/>
      <c r="C12" s="976"/>
      <c r="D12" s="976">
        <v>0</v>
      </c>
      <c r="E12" s="976">
        <v>1</v>
      </c>
      <c r="F12" s="976"/>
      <c r="G12" s="976"/>
      <c r="H12" s="976"/>
      <c r="I12" s="976"/>
      <c r="J12" s="976">
        <v>0</v>
      </c>
      <c r="K12" s="976">
        <v>24</v>
      </c>
      <c r="L12" s="976">
        <v>0</v>
      </c>
      <c r="M12" s="976">
        <v>1</v>
      </c>
      <c r="N12" s="976">
        <v>0</v>
      </c>
      <c r="O12" s="976">
        <v>4</v>
      </c>
      <c r="P12" s="976">
        <v>0</v>
      </c>
      <c r="Q12" s="977">
        <v>30</v>
      </c>
      <c r="T12" s="983" t="s">
        <v>334</v>
      </c>
      <c r="U12" s="984"/>
      <c r="V12" s="984"/>
      <c r="W12" s="984">
        <v>0</v>
      </c>
      <c r="X12" s="984">
        <v>1</v>
      </c>
      <c r="Y12" s="984"/>
      <c r="Z12" s="984"/>
      <c r="AA12" s="984"/>
      <c r="AB12" s="984"/>
      <c r="AC12" s="984">
        <v>0</v>
      </c>
      <c r="AD12" s="984">
        <v>24</v>
      </c>
      <c r="AE12" s="984">
        <v>0</v>
      </c>
      <c r="AF12" s="984">
        <v>1</v>
      </c>
      <c r="AG12" s="984">
        <v>0</v>
      </c>
      <c r="AH12" s="984">
        <v>4</v>
      </c>
      <c r="AI12" s="984">
        <v>2</v>
      </c>
      <c r="AJ12" s="984">
        <v>1</v>
      </c>
      <c r="AK12" s="984">
        <v>0</v>
      </c>
      <c r="AL12" s="984">
        <v>30</v>
      </c>
      <c r="AM12" s="1055">
        <f>AK12*'tecnicecon agric'!$J$57</f>
        <v>0</v>
      </c>
      <c r="AN12" s="1055">
        <f>AL12*'tecnicecon agric'!$J$56</f>
        <v>33888.75</v>
      </c>
      <c r="AO12" s="1055">
        <f t="shared" si="0"/>
        <v>33888.75</v>
      </c>
      <c r="AP12">
        <f>AL12*'tecnicecon agric'!$J$65+'cultius resum'!AK12</f>
        <v>126</v>
      </c>
      <c r="AQ12" s="779">
        <f t="shared" si="1"/>
        <v>0</v>
      </c>
      <c r="AR12">
        <f>AN12+AL12*'tecnicecon agric'!$L$58</f>
        <v>39684.955714285716</v>
      </c>
      <c r="AS12">
        <f>AP12*'4. Agricultura PIB'!$K$31</f>
        <v>358352.11748758407</v>
      </c>
      <c r="AT12">
        <f>AS12*'4. Agricultura PIB'!$D$71</f>
        <v>105355.52254134971</v>
      </c>
      <c r="AU12" s="779">
        <f t="shared" si="2"/>
        <v>503392.59574321948</v>
      </c>
    </row>
    <row r="13" spans="1:47">
      <c r="A13" s="974" t="s">
        <v>742</v>
      </c>
      <c r="B13" s="976">
        <v>2</v>
      </c>
      <c r="C13" s="976">
        <v>0</v>
      </c>
      <c r="D13" s="976">
        <v>9</v>
      </c>
      <c r="E13" s="976">
        <v>0</v>
      </c>
      <c r="F13" s="976"/>
      <c r="G13" s="976"/>
      <c r="H13" s="976">
        <v>0</v>
      </c>
      <c r="I13" s="976">
        <v>1</v>
      </c>
      <c r="J13" s="976">
        <v>0</v>
      </c>
      <c r="K13" s="976">
        <v>43</v>
      </c>
      <c r="L13" s="976">
        <v>0</v>
      </c>
      <c r="M13" s="976">
        <v>2</v>
      </c>
      <c r="N13" s="976">
        <v>0</v>
      </c>
      <c r="O13" s="976">
        <v>3</v>
      </c>
      <c r="P13" s="976">
        <v>11</v>
      </c>
      <c r="Q13" s="977">
        <v>49</v>
      </c>
      <c r="T13" s="983" t="s">
        <v>742</v>
      </c>
      <c r="U13" s="984">
        <v>2</v>
      </c>
      <c r="V13" s="984">
        <v>0</v>
      </c>
      <c r="W13" s="984">
        <v>9</v>
      </c>
      <c r="X13" s="984">
        <v>0</v>
      </c>
      <c r="Y13" s="984"/>
      <c r="Z13" s="984"/>
      <c r="AA13" s="984">
        <v>0</v>
      </c>
      <c r="AB13" s="984">
        <v>1</v>
      </c>
      <c r="AC13" s="984">
        <v>0</v>
      </c>
      <c r="AD13" s="984">
        <v>43</v>
      </c>
      <c r="AE13" s="984">
        <v>0</v>
      </c>
      <c r="AF13" s="984">
        <v>2</v>
      </c>
      <c r="AG13" s="984">
        <v>0</v>
      </c>
      <c r="AH13" s="984">
        <v>3</v>
      </c>
      <c r="AI13" s="984">
        <v>13</v>
      </c>
      <c r="AJ13" s="984">
        <v>5</v>
      </c>
      <c r="AK13" s="984">
        <v>11</v>
      </c>
      <c r="AL13" s="984">
        <v>49</v>
      </c>
      <c r="AM13" s="1055">
        <f>AK13*'tecnicecon agric'!$J$57</f>
        <v>5228.6666666666661</v>
      </c>
      <c r="AN13" s="1055">
        <f>AL13*'tecnicecon agric'!$J$56</f>
        <v>55351.625</v>
      </c>
      <c r="AO13" s="1055">
        <f t="shared" si="0"/>
        <v>60580.291666666664</v>
      </c>
      <c r="AP13">
        <f>AL13*'tecnicecon agric'!$J$65+'cultius resum'!AK13</f>
        <v>216.8</v>
      </c>
      <c r="AQ13" s="779">
        <f t="shared" si="1"/>
        <v>5228.6666666666661</v>
      </c>
      <c r="AR13">
        <f>AN13+AL13*'tecnicecon agric'!$L$58</f>
        <v>64818.760999999999</v>
      </c>
      <c r="AS13">
        <f>AP13*'4. Agricultura PIB'!$K$31</f>
        <v>616593.16723260505</v>
      </c>
      <c r="AT13">
        <f>AS13*'4. Agricultura PIB'!$D$71</f>
        <v>181278.39116638587</v>
      </c>
      <c r="AU13" s="779">
        <f t="shared" si="2"/>
        <v>867918.98606565758</v>
      </c>
    </row>
    <row r="14" spans="1:47">
      <c r="A14" s="974" t="s">
        <v>751</v>
      </c>
      <c r="B14" s="976">
        <v>1169</v>
      </c>
      <c r="C14" s="976">
        <v>0</v>
      </c>
      <c r="D14" s="976">
        <v>53</v>
      </c>
      <c r="E14" s="976">
        <v>0</v>
      </c>
      <c r="F14" s="976">
        <v>35</v>
      </c>
      <c r="G14" s="976">
        <v>0</v>
      </c>
      <c r="H14" s="976"/>
      <c r="I14" s="976"/>
      <c r="J14" s="976"/>
      <c r="K14" s="976"/>
      <c r="L14" s="976">
        <v>155</v>
      </c>
      <c r="M14" s="976">
        <v>0</v>
      </c>
      <c r="N14" s="976"/>
      <c r="O14" s="976"/>
      <c r="P14" s="976">
        <v>1412</v>
      </c>
      <c r="Q14" s="977">
        <v>0</v>
      </c>
      <c r="T14" s="983" t="s">
        <v>751</v>
      </c>
      <c r="U14" s="984">
        <v>1169</v>
      </c>
      <c r="V14" s="984">
        <v>0</v>
      </c>
      <c r="W14" s="984">
        <v>53</v>
      </c>
      <c r="X14" s="984">
        <v>0</v>
      </c>
      <c r="Y14" s="984">
        <v>35</v>
      </c>
      <c r="Z14" s="984">
        <v>0</v>
      </c>
      <c r="AA14" s="984"/>
      <c r="AB14" s="984"/>
      <c r="AC14" s="984"/>
      <c r="AD14" s="984"/>
      <c r="AE14" s="984">
        <v>155</v>
      </c>
      <c r="AF14" s="984">
        <v>0</v>
      </c>
      <c r="AG14" s="984"/>
      <c r="AH14" s="984"/>
      <c r="AI14" s="984">
        <v>6</v>
      </c>
      <c r="AJ14" s="984">
        <v>8</v>
      </c>
      <c r="AK14" s="984">
        <v>1412</v>
      </c>
      <c r="AL14" s="984">
        <v>0</v>
      </c>
      <c r="AM14" s="1055">
        <f>AK14*'tecnicecon agric'!$J$57</f>
        <v>671170.66666666663</v>
      </c>
      <c r="AN14" s="1055">
        <f>AL14*'tecnicecon agric'!$J$56</f>
        <v>0</v>
      </c>
      <c r="AO14" s="1055">
        <f t="shared" si="0"/>
        <v>671170.66666666663</v>
      </c>
      <c r="AP14">
        <f>AL14*'tecnicecon agric'!$J$65+'cultius resum'!AK14</f>
        <v>1412</v>
      </c>
      <c r="AQ14" s="779">
        <f t="shared" si="1"/>
        <v>671170.66666666663</v>
      </c>
      <c r="AR14">
        <f>AN14+AL14*'tecnicecon agric'!$L$58</f>
        <v>0</v>
      </c>
      <c r="AS14">
        <f>AP14*'4. Agricultura PIB'!$K$31</f>
        <v>4015818.9674005453</v>
      </c>
      <c r="AT14">
        <f>AS14*'4. Agricultura PIB'!$D$71</f>
        <v>1180650.7764157602</v>
      </c>
      <c r="AU14" s="779">
        <f t="shared" si="2"/>
        <v>5867640.4104829729</v>
      </c>
    </row>
    <row r="15" spans="1:47">
      <c r="A15" s="974" t="s">
        <v>761</v>
      </c>
      <c r="B15" s="976">
        <v>6</v>
      </c>
      <c r="C15" s="976">
        <v>8</v>
      </c>
      <c r="D15" s="976">
        <v>11</v>
      </c>
      <c r="E15" s="976">
        <v>0</v>
      </c>
      <c r="F15" s="976">
        <v>4</v>
      </c>
      <c r="G15" s="976">
        <v>1</v>
      </c>
      <c r="H15" s="976">
        <v>0</v>
      </c>
      <c r="I15" s="976">
        <v>12</v>
      </c>
      <c r="J15" s="976">
        <v>0</v>
      </c>
      <c r="K15" s="976">
        <v>58</v>
      </c>
      <c r="L15" s="976">
        <v>0</v>
      </c>
      <c r="M15" s="976">
        <v>6</v>
      </c>
      <c r="N15" s="976">
        <v>0</v>
      </c>
      <c r="O15" s="976">
        <v>16</v>
      </c>
      <c r="P15" s="976">
        <v>21</v>
      </c>
      <c r="Q15" s="977">
        <v>101</v>
      </c>
      <c r="T15" s="983" t="s">
        <v>761</v>
      </c>
      <c r="U15" s="984">
        <v>6</v>
      </c>
      <c r="V15" s="984">
        <v>8</v>
      </c>
      <c r="W15" s="984">
        <v>11</v>
      </c>
      <c r="X15" s="984">
        <v>0</v>
      </c>
      <c r="Y15" s="984">
        <v>4</v>
      </c>
      <c r="Z15" s="984">
        <v>1</v>
      </c>
      <c r="AA15" s="984">
        <v>0</v>
      </c>
      <c r="AB15" s="984">
        <v>12</v>
      </c>
      <c r="AC15" s="984">
        <v>0</v>
      </c>
      <c r="AD15" s="984">
        <v>58</v>
      </c>
      <c r="AE15" s="984">
        <v>0</v>
      </c>
      <c r="AF15" s="984">
        <v>6</v>
      </c>
      <c r="AG15" s="984">
        <v>0</v>
      </c>
      <c r="AH15" s="984">
        <v>16</v>
      </c>
      <c r="AI15" s="984">
        <v>1</v>
      </c>
      <c r="AJ15" s="984">
        <v>4</v>
      </c>
      <c r="AK15" s="984">
        <v>21</v>
      </c>
      <c r="AL15" s="984">
        <v>101</v>
      </c>
      <c r="AM15" s="1055">
        <f>AK15*'tecnicecon agric'!$J$57</f>
        <v>9982</v>
      </c>
      <c r="AN15" s="1055">
        <f>AL15*'tecnicecon agric'!$J$56</f>
        <v>114092.125</v>
      </c>
      <c r="AO15" s="1055">
        <f t="shared" si="0"/>
        <v>124074.125</v>
      </c>
      <c r="AP15">
        <f>AL15*'tecnicecon agric'!$J$65+'cultius resum'!AK15</f>
        <v>445.20000000000005</v>
      </c>
      <c r="AQ15" s="779">
        <f t="shared" si="1"/>
        <v>9982</v>
      </c>
      <c r="AR15">
        <f>AN15+AL15*'tecnicecon agric'!$L$58</f>
        <v>133606.01757142856</v>
      </c>
      <c r="AS15">
        <f>AP15*'4. Agricultura PIB'!$K$31</f>
        <v>1266177.4817894639</v>
      </c>
      <c r="AT15">
        <f>AS15*'4. Agricultura PIB'!$D$71</f>
        <v>372256.17964610236</v>
      </c>
      <c r="AU15" s="779">
        <f t="shared" si="2"/>
        <v>1782021.6790069947</v>
      </c>
    </row>
    <row r="16" spans="1:47">
      <c r="A16" s="974" t="s">
        <v>767</v>
      </c>
      <c r="B16" s="976">
        <v>434</v>
      </c>
      <c r="C16" s="976">
        <v>46</v>
      </c>
      <c r="D16" s="976">
        <v>75</v>
      </c>
      <c r="E16" s="976">
        <v>10</v>
      </c>
      <c r="F16" s="976">
        <v>23</v>
      </c>
      <c r="G16" s="976">
        <v>0</v>
      </c>
      <c r="H16" s="976"/>
      <c r="I16" s="976"/>
      <c r="J16" s="976">
        <v>0</v>
      </c>
      <c r="K16" s="976">
        <v>1</v>
      </c>
      <c r="L16" s="976">
        <v>6</v>
      </c>
      <c r="M16" s="976">
        <v>0</v>
      </c>
      <c r="N16" s="976"/>
      <c r="O16" s="976"/>
      <c r="P16" s="976">
        <v>538</v>
      </c>
      <c r="Q16" s="977">
        <v>57</v>
      </c>
      <c r="T16" s="983" t="s">
        <v>767</v>
      </c>
      <c r="U16" s="984">
        <v>434</v>
      </c>
      <c r="V16" s="984">
        <v>46</v>
      </c>
      <c r="W16" s="984">
        <v>75</v>
      </c>
      <c r="X16" s="984">
        <v>10</v>
      </c>
      <c r="Y16" s="984">
        <v>23</v>
      </c>
      <c r="Z16" s="984">
        <v>0</v>
      </c>
      <c r="AA16" s="984"/>
      <c r="AB16" s="984"/>
      <c r="AC16" s="984">
        <v>0</v>
      </c>
      <c r="AD16" s="984">
        <v>1</v>
      </c>
      <c r="AE16" s="984">
        <v>6</v>
      </c>
      <c r="AF16" s="984">
        <v>0</v>
      </c>
      <c r="AG16" s="984"/>
      <c r="AH16" s="984"/>
      <c r="AI16" s="984">
        <v>56</v>
      </c>
      <c r="AJ16" s="984">
        <v>2</v>
      </c>
      <c r="AK16" s="984">
        <v>538</v>
      </c>
      <c r="AL16" s="984">
        <v>57</v>
      </c>
      <c r="AM16" s="1055">
        <f>AK16*'tecnicecon agric'!$J$57</f>
        <v>255729.33333333331</v>
      </c>
      <c r="AN16" s="1055">
        <f>AL16*'tecnicecon agric'!$J$56</f>
        <v>64388.625</v>
      </c>
      <c r="AO16" s="1055">
        <f t="shared" si="0"/>
        <v>320117.95833333331</v>
      </c>
      <c r="AP16">
        <f>AL16*'tecnicecon agric'!$J$65+'cultius resum'!AK16</f>
        <v>777.4</v>
      </c>
      <c r="AQ16" s="779">
        <f t="shared" si="1"/>
        <v>255729.33333333331</v>
      </c>
      <c r="AR16">
        <f>AN16+AL16*'tecnicecon agric'!$L$58</f>
        <v>75401.415857142856</v>
      </c>
      <c r="AS16">
        <f>AP16*'4. Agricultura PIB'!$K$31</f>
        <v>2210975.6836099038</v>
      </c>
      <c r="AT16">
        <f>AS16*'4. Agricultura PIB'!$D$71</f>
        <v>650026.85098131164</v>
      </c>
      <c r="AU16" s="779">
        <f t="shared" si="2"/>
        <v>3192133.2837816915</v>
      </c>
    </row>
    <row r="17" spans="1:47">
      <c r="A17" s="974" t="s">
        <v>774</v>
      </c>
      <c r="B17" s="976">
        <v>940</v>
      </c>
      <c r="C17" s="976">
        <v>1</v>
      </c>
      <c r="D17" s="976">
        <v>311</v>
      </c>
      <c r="E17" s="976">
        <v>0</v>
      </c>
      <c r="F17" s="976">
        <v>14</v>
      </c>
      <c r="G17" s="976">
        <v>0</v>
      </c>
      <c r="H17" s="976"/>
      <c r="I17" s="976"/>
      <c r="J17" s="976"/>
      <c r="K17" s="976"/>
      <c r="L17" s="976">
        <v>8</v>
      </c>
      <c r="M17" s="976">
        <v>0</v>
      </c>
      <c r="N17" s="976"/>
      <c r="O17" s="976"/>
      <c r="P17" s="976">
        <v>1273</v>
      </c>
      <c r="Q17" s="977">
        <v>1</v>
      </c>
      <c r="T17" s="983" t="s">
        <v>774</v>
      </c>
      <c r="U17" s="984">
        <v>940</v>
      </c>
      <c r="V17" s="984">
        <v>1</v>
      </c>
      <c r="W17" s="984">
        <v>311</v>
      </c>
      <c r="X17" s="984">
        <v>0</v>
      </c>
      <c r="Y17" s="984">
        <v>14</v>
      </c>
      <c r="Z17" s="984">
        <v>0</v>
      </c>
      <c r="AA17" s="984"/>
      <c r="AB17" s="984"/>
      <c r="AC17" s="984"/>
      <c r="AD17" s="984"/>
      <c r="AE17" s="984">
        <v>8</v>
      </c>
      <c r="AF17" s="984">
        <v>0</v>
      </c>
      <c r="AG17" s="984"/>
      <c r="AH17" s="984"/>
      <c r="AI17" s="984" t="s">
        <v>752</v>
      </c>
      <c r="AJ17" s="984" t="s">
        <v>752</v>
      </c>
      <c r="AK17" s="984">
        <v>1273</v>
      </c>
      <c r="AL17" s="984">
        <v>1</v>
      </c>
      <c r="AM17" s="1055">
        <f>AK17*'tecnicecon agric'!$J$57</f>
        <v>605099.33333333326</v>
      </c>
      <c r="AN17" s="1055">
        <f>AL17*'tecnicecon agric'!$J$56</f>
        <v>1129.625</v>
      </c>
      <c r="AO17" s="1055">
        <f t="shared" si="0"/>
        <v>606228.95833333326</v>
      </c>
      <c r="AP17">
        <f>AL17*'tecnicecon agric'!$J$65+'cultius resum'!AK17</f>
        <v>1277.2</v>
      </c>
      <c r="AQ17" s="779">
        <f t="shared" si="1"/>
        <v>605099.33333333326</v>
      </c>
      <c r="AR17">
        <f>AN17+AL17*'tecnicecon agric'!$L$58</f>
        <v>1322.8318571428572</v>
      </c>
      <c r="AS17">
        <f>AP17*'4. Agricultura PIB'!$K$31</f>
        <v>3632439.0829773205</v>
      </c>
      <c r="AT17">
        <f>AS17*'4. Agricultura PIB'!$D$71</f>
        <v>1067937.0903953321</v>
      </c>
      <c r="AU17" s="779">
        <f t="shared" si="2"/>
        <v>5306798.3385631293</v>
      </c>
    </row>
    <row r="18" spans="1:47">
      <c r="A18" s="974" t="s">
        <v>781</v>
      </c>
      <c r="B18" s="976">
        <v>908</v>
      </c>
      <c r="C18" s="976">
        <v>5</v>
      </c>
      <c r="D18" s="976">
        <v>236</v>
      </c>
      <c r="E18" s="976">
        <v>4</v>
      </c>
      <c r="F18" s="976">
        <v>39</v>
      </c>
      <c r="G18" s="976">
        <v>0</v>
      </c>
      <c r="H18" s="976"/>
      <c r="I18" s="976"/>
      <c r="J18" s="976">
        <v>0</v>
      </c>
      <c r="K18" s="976">
        <v>3</v>
      </c>
      <c r="L18" s="976">
        <v>17</v>
      </c>
      <c r="M18" s="976">
        <v>0</v>
      </c>
      <c r="N18" s="976"/>
      <c r="O18" s="976"/>
      <c r="P18" s="976">
        <v>1200</v>
      </c>
      <c r="Q18" s="977">
        <v>12</v>
      </c>
      <c r="T18" s="983" t="s">
        <v>781</v>
      </c>
      <c r="U18" s="984">
        <v>908</v>
      </c>
      <c r="V18" s="984">
        <v>5</v>
      </c>
      <c r="W18" s="984">
        <v>236</v>
      </c>
      <c r="X18" s="984">
        <v>4</v>
      </c>
      <c r="Y18" s="984">
        <v>39</v>
      </c>
      <c r="Z18" s="984">
        <v>0</v>
      </c>
      <c r="AA18" s="984"/>
      <c r="AB18" s="984"/>
      <c r="AC18" s="984">
        <v>0</v>
      </c>
      <c r="AD18" s="984">
        <v>3</v>
      </c>
      <c r="AE18" s="984">
        <v>17</v>
      </c>
      <c r="AF18" s="984">
        <v>0</v>
      </c>
      <c r="AG18" s="984"/>
      <c r="AH18" s="984"/>
      <c r="AI18" s="984">
        <v>33</v>
      </c>
      <c r="AJ18" s="984">
        <v>7</v>
      </c>
      <c r="AK18" s="984">
        <v>1200</v>
      </c>
      <c r="AL18" s="984">
        <v>12</v>
      </c>
      <c r="AM18" s="1055">
        <f>AK18*'tecnicecon agric'!$J$57</f>
        <v>570400</v>
      </c>
      <c r="AN18" s="1055">
        <f>AL18*'tecnicecon agric'!$J$56</f>
        <v>13555.5</v>
      </c>
      <c r="AO18" s="1055">
        <f t="shared" si="0"/>
        <v>583955.5</v>
      </c>
      <c r="AP18">
        <f>AL18*'tecnicecon agric'!$J$65+'cultius resum'!AK18</f>
        <v>1250.4000000000001</v>
      </c>
      <c r="AQ18" s="779">
        <f t="shared" si="1"/>
        <v>570400</v>
      </c>
      <c r="AR18">
        <f>AN18+AL18*'tecnicecon agric'!$L$58</f>
        <v>15873.982285714286</v>
      </c>
      <c r="AS18">
        <f>AP18*'4. Agricultura PIB'!$K$31</f>
        <v>3556218.1564005967</v>
      </c>
      <c r="AT18">
        <f>AS18*'4. Agricultura PIB'!$D$71</f>
        <v>1045528.1379817753</v>
      </c>
      <c r="AU18" s="779">
        <f t="shared" si="2"/>
        <v>5188020.2766680866</v>
      </c>
    </row>
    <row r="19" spans="1:47">
      <c r="A19" s="974" t="s">
        <v>787</v>
      </c>
      <c r="B19" s="976">
        <v>36</v>
      </c>
      <c r="C19" s="976">
        <v>0</v>
      </c>
      <c r="D19" s="976">
        <v>5</v>
      </c>
      <c r="E19" s="976">
        <v>0</v>
      </c>
      <c r="F19" s="976"/>
      <c r="G19" s="976"/>
      <c r="H19" s="976"/>
      <c r="I19" s="976"/>
      <c r="J19" s="976">
        <v>16</v>
      </c>
      <c r="K19" s="976">
        <v>2</v>
      </c>
      <c r="L19" s="976">
        <v>1</v>
      </c>
      <c r="M19" s="976">
        <v>0</v>
      </c>
      <c r="N19" s="976">
        <v>3</v>
      </c>
      <c r="O19" s="976">
        <v>0</v>
      </c>
      <c r="P19" s="976">
        <v>61</v>
      </c>
      <c r="Q19" s="977">
        <v>2</v>
      </c>
      <c r="T19" s="983" t="s">
        <v>787</v>
      </c>
      <c r="U19" s="984">
        <v>36</v>
      </c>
      <c r="V19" s="984">
        <v>0</v>
      </c>
      <c r="W19" s="984">
        <v>5</v>
      </c>
      <c r="X19" s="984">
        <v>0</v>
      </c>
      <c r="Y19" s="984"/>
      <c r="Z19" s="984"/>
      <c r="AA19" s="984"/>
      <c r="AB19" s="984"/>
      <c r="AC19" s="984">
        <v>16</v>
      </c>
      <c r="AD19" s="984">
        <v>2</v>
      </c>
      <c r="AE19" s="984">
        <v>1</v>
      </c>
      <c r="AF19" s="984">
        <v>0</v>
      </c>
      <c r="AG19" s="984">
        <v>3</v>
      </c>
      <c r="AH19" s="984">
        <v>0</v>
      </c>
      <c r="AI19" s="984">
        <v>961</v>
      </c>
      <c r="AJ19" s="984">
        <v>87</v>
      </c>
      <c r="AK19" s="984">
        <v>61</v>
      </c>
      <c r="AL19" s="984">
        <v>2</v>
      </c>
      <c r="AM19" s="1055">
        <f>AK19*'tecnicecon agric'!$J$57</f>
        <v>28995.333333333332</v>
      </c>
      <c r="AN19" s="1055">
        <f>AL19*'tecnicecon agric'!$J$56</f>
        <v>2259.25</v>
      </c>
      <c r="AO19" s="1055">
        <f t="shared" si="0"/>
        <v>31254.583333333332</v>
      </c>
      <c r="AP19">
        <f>AL19*'tecnicecon agric'!$J$65+'cultius resum'!AK19</f>
        <v>69.400000000000006</v>
      </c>
      <c r="AQ19" s="779">
        <f t="shared" si="1"/>
        <v>28995.333333333332</v>
      </c>
      <c r="AR19">
        <f>AN19+AL19*'tecnicecon agric'!$L$58</f>
        <v>2645.6637142857144</v>
      </c>
      <c r="AS19">
        <f>AP19*'4. Agricultura PIB'!$K$31</f>
        <v>197378.07106062173</v>
      </c>
      <c r="AT19">
        <f>AS19*'4. Agricultura PIB'!$D$71</f>
        <v>58029.152891822785</v>
      </c>
      <c r="AU19" s="779">
        <f t="shared" si="2"/>
        <v>287048.22100006358</v>
      </c>
    </row>
    <row r="20" spans="1:47">
      <c r="A20" s="974" t="s">
        <v>335</v>
      </c>
      <c r="B20" s="976"/>
      <c r="C20" s="976"/>
      <c r="D20" s="976"/>
      <c r="E20" s="976"/>
      <c r="F20" s="976"/>
      <c r="G20" s="976"/>
      <c r="H20" s="976"/>
      <c r="I20" s="976"/>
      <c r="J20" s="976">
        <v>0</v>
      </c>
      <c r="K20" s="976">
        <v>3</v>
      </c>
      <c r="L20" s="976">
        <v>1</v>
      </c>
      <c r="M20" s="976">
        <v>0</v>
      </c>
      <c r="N20" s="976"/>
      <c r="O20" s="976"/>
      <c r="P20" s="976">
        <v>1</v>
      </c>
      <c r="Q20" s="977">
        <v>3</v>
      </c>
      <c r="T20" s="983" t="s">
        <v>335</v>
      </c>
      <c r="U20" s="984"/>
      <c r="V20" s="984"/>
      <c r="W20" s="984"/>
      <c r="X20" s="984"/>
      <c r="Y20" s="984"/>
      <c r="Z20" s="984"/>
      <c r="AA20" s="984"/>
      <c r="AB20" s="984"/>
      <c r="AC20" s="984">
        <v>0</v>
      </c>
      <c r="AD20" s="984">
        <v>3</v>
      </c>
      <c r="AE20" s="984">
        <v>1</v>
      </c>
      <c r="AF20" s="984">
        <v>0</v>
      </c>
      <c r="AG20" s="984"/>
      <c r="AH20" s="984"/>
      <c r="AI20" s="984">
        <v>1</v>
      </c>
      <c r="AJ20" s="984">
        <v>0</v>
      </c>
      <c r="AK20" s="984">
        <v>1</v>
      </c>
      <c r="AL20" s="984">
        <v>3</v>
      </c>
      <c r="AM20" s="1055">
        <f>AK20*'tecnicecon agric'!$J$57</f>
        <v>475.33333333333331</v>
      </c>
      <c r="AN20" s="1055">
        <f>AL20*'tecnicecon agric'!$J$56</f>
        <v>3388.875</v>
      </c>
      <c r="AO20" s="1055">
        <f t="shared" si="0"/>
        <v>3864.2083333333335</v>
      </c>
      <c r="AP20">
        <f>AL20*'tecnicecon agric'!$J$65+'cultius resum'!AK20</f>
        <v>13.600000000000001</v>
      </c>
      <c r="AQ20" s="779">
        <f t="shared" si="1"/>
        <v>475.33333333333331</v>
      </c>
      <c r="AR20">
        <f>AN20+AL20*'tecnicecon agric'!$L$58</f>
        <v>3968.4955714285716</v>
      </c>
      <c r="AS20">
        <f>AP20*'4. Agricultura PIB'!$K$31</f>
        <v>38679.276173263046</v>
      </c>
      <c r="AT20">
        <f>AS20*'4. Agricultura PIB'!$D$71</f>
        <v>11371.707194939336</v>
      </c>
      <c r="AU20" s="779">
        <f t="shared" si="2"/>
        <v>54494.812272964286</v>
      </c>
    </row>
    <row r="21" spans="1:47">
      <c r="A21" s="974" t="s">
        <v>807</v>
      </c>
      <c r="B21" s="976">
        <v>4</v>
      </c>
      <c r="C21" s="976">
        <v>3</v>
      </c>
      <c r="D21" s="976">
        <v>78</v>
      </c>
      <c r="E21" s="976">
        <v>12</v>
      </c>
      <c r="F21" s="976"/>
      <c r="G21" s="976"/>
      <c r="H21" s="976"/>
      <c r="I21" s="976"/>
      <c r="J21" s="976"/>
      <c r="K21" s="976"/>
      <c r="L21" s="976"/>
      <c r="M21" s="976"/>
      <c r="N21" s="976"/>
      <c r="O21" s="976"/>
      <c r="P21" s="976">
        <v>82</v>
      </c>
      <c r="Q21" s="977">
        <v>15</v>
      </c>
      <c r="T21" s="983" t="s">
        <v>807</v>
      </c>
      <c r="U21" s="984">
        <v>4</v>
      </c>
      <c r="V21" s="984">
        <v>3</v>
      </c>
      <c r="W21" s="984">
        <v>78</v>
      </c>
      <c r="X21" s="984">
        <v>12</v>
      </c>
      <c r="Y21" s="984"/>
      <c r="Z21" s="984"/>
      <c r="AA21" s="984"/>
      <c r="AB21" s="984"/>
      <c r="AC21" s="984"/>
      <c r="AD21" s="984"/>
      <c r="AE21" s="984"/>
      <c r="AF21" s="984"/>
      <c r="AG21" s="984"/>
      <c r="AH21" s="984"/>
      <c r="AI21" s="984" t="s">
        <v>752</v>
      </c>
      <c r="AJ21" s="984" t="s">
        <v>752</v>
      </c>
      <c r="AK21" s="984">
        <v>82</v>
      </c>
      <c r="AL21" s="984">
        <v>15</v>
      </c>
      <c r="AM21" s="1055">
        <f>AK21*'tecnicecon agric'!$J$57</f>
        <v>38977.333333333328</v>
      </c>
      <c r="AN21" s="1055">
        <f>AL21*'tecnicecon agric'!$J$56</f>
        <v>16944.375</v>
      </c>
      <c r="AO21" s="1055">
        <f t="shared" si="0"/>
        <v>55921.708333333328</v>
      </c>
      <c r="AP21">
        <f>AL21*'tecnicecon agric'!$J$65+'cultius resum'!AK21</f>
        <v>145</v>
      </c>
      <c r="AQ21" s="779">
        <f t="shared" si="1"/>
        <v>38977.333333333328</v>
      </c>
      <c r="AR21">
        <f>AN21+AL21*'tecnicecon agric'!$L$58</f>
        <v>19842.477857142858</v>
      </c>
      <c r="AS21">
        <f>AP21*'4. Agricultura PIB'!$K$31</f>
        <v>412389.34155317215</v>
      </c>
      <c r="AT21">
        <f>AS21*'4. Agricultura PIB'!$D$71</f>
        <v>121242.46641663261</v>
      </c>
      <c r="AU21" s="779">
        <f t="shared" si="2"/>
        <v>592451.61916028091</v>
      </c>
    </row>
    <row r="22" spans="1:47">
      <c r="A22" s="974" t="s">
        <v>812</v>
      </c>
      <c r="B22" s="976">
        <v>374</v>
      </c>
      <c r="C22" s="976">
        <v>1</v>
      </c>
      <c r="D22" s="976">
        <v>119</v>
      </c>
      <c r="E22" s="976">
        <v>5</v>
      </c>
      <c r="F22" s="976">
        <v>49</v>
      </c>
      <c r="G22" s="976">
        <v>2</v>
      </c>
      <c r="H22" s="976"/>
      <c r="I22" s="976"/>
      <c r="J22" s="976">
        <v>0</v>
      </c>
      <c r="K22" s="976">
        <v>3</v>
      </c>
      <c r="L22" s="976">
        <v>8</v>
      </c>
      <c r="M22" s="976">
        <v>0</v>
      </c>
      <c r="N22" s="976">
        <v>1</v>
      </c>
      <c r="O22" s="976">
        <v>0</v>
      </c>
      <c r="P22" s="976">
        <v>551</v>
      </c>
      <c r="Q22" s="977">
        <v>11</v>
      </c>
      <c r="T22" s="983" t="s">
        <v>812</v>
      </c>
      <c r="U22" s="984">
        <v>374</v>
      </c>
      <c r="V22" s="984">
        <v>1</v>
      </c>
      <c r="W22" s="984">
        <v>119</v>
      </c>
      <c r="X22" s="984">
        <v>5</v>
      </c>
      <c r="Y22" s="984">
        <v>49</v>
      </c>
      <c r="Z22" s="984">
        <v>2</v>
      </c>
      <c r="AA22" s="984"/>
      <c r="AB22" s="984"/>
      <c r="AC22" s="984">
        <v>0</v>
      </c>
      <c r="AD22" s="984">
        <v>3</v>
      </c>
      <c r="AE22" s="984">
        <v>8</v>
      </c>
      <c r="AF22" s="984">
        <v>0</v>
      </c>
      <c r="AG22" s="984">
        <v>1</v>
      </c>
      <c r="AH22" s="984">
        <v>0</v>
      </c>
      <c r="AI22" s="984">
        <v>1</v>
      </c>
      <c r="AJ22" s="984">
        <v>0</v>
      </c>
      <c r="AK22" s="984">
        <v>551</v>
      </c>
      <c r="AL22" s="984">
        <v>11</v>
      </c>
      <c r="AM22" s="1055">
        <f>AK22*'tecnicecon agric'!$J$57</f>
        <v>261908.66666666666</v>
      </c>
      <c r="AN22" s="1055">
        <f>AL22*'tecnicecon agric'!$J$56</f>
        <v>12425.875</v>
      </c>
      <c r="AO22" s="1055">
        <f t="shared" si="0"/>
        <v>274334.54166666663</v>
      </c>
      <c r="AP22">
        <f>AL22*'tecnicecon agric'!$J$65+'cultius resum'!AK22</f>
        <v>597.20000000000005</v>
      </c>
      <c r="AQ22" s="779">
        <f t="shared" si="1"/>
        <v>261908.66666666666</v>
      </c>
      <c r="AR22">
        <f>AN22+AL22*'tecnicecon agric'!$L$58</f>
        <v>14551.150428571429</v>
      </c>
      <c r="AS22">
        <f>AP22*'4. Agricultura PIB'!$K$31</f>
        <v>1698475.2743141684</v>
      </c>
      <c r="AT22">
        <f>AS22*'4. Agricultura PIB'!$D$71</f>
        <v>499351.73064836545</v>
      </c>
      <c r="AU22" s="779">
        <f t="shared" si="2"/>
        <v>2474286.822057772</v>
      </c>
    </row>
    <row r="23" spans="1:47">
      <c r="A23" s="974" t="s">
        <v>817</v>
      </c>
      <c r="B23" s="976">
        <v>627</v>
      </c>
      <c r="C23" s="976">
        <v>0</v>
      </c>
      <c r="D23" s="976">
        <v>117</v>
      </c>
      <c r="E23" s="976">
        <v>0</v>
      </c>
      <c r="F23" s="976">
        <v>25</v>
      </c>
      <c r="G23" s="976">
        <v>0</v>
      </c>
      <c r="H23" s="976"/>
      <c r="I23" s="976"/>
      <c r="J23" s="976">
        <v>0</v>
      </c>
      <c r="K23" s="976">
        <v>1</v>
      </c>
      <c r="L23" s="976">
        <v>2</v>
      </c>
      <c r="M23" s="976">
        <v>0</v>
      </c>
      <c r="N23" s="976"/>
      <c r="O23" s="976"/>
      <c r="P23" s="976">
        <v>771</v>
      </c>
      <c r="Q23" s="977">
        <v>1</v>
      </c>
      <c r="T23" s="983" t="s">
        <v>817</v>
      </c>
      <c r="U23" s="984">
        <v>627</v>
      </c>
      <c r="V23" s="984">
        <v>0</v>
      </c>
      <c r="W23" s="984">
        <v>117</v>
      </c>
      <c r="X23" s="984">
        <v>0</v>
      </c>
      <c r="Y23" s="984">
        <v>25</v>
      </c>
      <c r="Z23" s="984">
        <v>0</v>
      </c>
      <c r="AA23" s="984"/>
      <c r="AB23" s="984"/>
      <c r="AC23" s="984">
        <v>0</v>
      </c>
      <c r="AD23" s="984">
        <v>1</v>
      </c>
      <c r="AE23" s="984">
        <v>2</v>
      </c>
      <c r="AF23" s="984">
        <v>0</v>
      </c>
      <c r="AG23" s="984"/>
      <c r="AH23" s="984"/>
      <c r="AI23" s="984">
        <v>4</v>
      </c>
      <c r="AJ23" s="984">
        <v>0</v>
      </c>
      <c r="AK23" s="984">
        <v>771</v>
      </c>
      <c r="AL23" s="984">
        <v>1</v>
      </c>
      <c r="AM23" s="1055">
        <f>AK23*'tecnicecon agric'!$J$57</f>
        <v>366482</v>
      </c>
      <c r="AN23" s="1055">
        <f>AL23*'tecnicecon agric'!$J$56</f>
        <v>1129.625</v>
      </c>
      <c r="AO23" s="1055">
        <f t="shared" si="0"/>
        <v>367611.625</v>
      </c>
      <c r="AP23">
        <f>AL23*'tecnicecon agric'!$J$65+'cultius resum'!AK23</f>
        <v>775.2</v>
      </c>
      <c r="AQ23" s="779">
        <f t="shared" si="1"/>
        <v>366482</v>
      </c>
      <c r="AR23">
        <f>AN23+AL23*'tecnicecon agric'!$L$58</f>
        <v>1322.8318571428572</v>
      </c>
      <c r="AS23">
        <f>AP23*'4. Agricultura PIB'!$K$31</f>
        <v>2204718.7418759936</v>
      </c>
      <c r="AT23">
        <f>AS23*'4. Agricultura PIB'!$D$71</f>
        <v>648187.31011154212</v>
      </c>
      <c r="AU23" s="779">
        <f t="shared" si="2"/>
        <v>3220710.8838446788</v>
      </c>
    </row>
    <row r="24" spans="1:47">
      <c r="A24" s="974" t="s">
        <v>1572</v>
      </c>
      <c r="B24" s="976">
        <v>20</v>
      </c>
      <c r="C24" s="976">
        <v>0</v>
      </c>
      <c r="D24" s="976">
        <v>11</v>
      </c>
      <c r="E24" s="976">
        <v>0</v>
      </c>
      <c r="F24" s="976"/>
      <c r="G24" s="976"/>
      <c r="H24" s="976"/>
      <c r="I24" s="976"/>
      <c r="J24" s="976"/>
      <c r="K24" s="976"/>
      <c r="L24" s="976"/>
      <c r="M24" s="976"/>
      <c r="N24" s="976"/>
      <c r="O24" s="976"/>
      <c r="P24" s="976">
        <v>31</v>
      </c>
      <c r="Q24" s="977">
        <v>0</v>
      </c>
      <c r="T24" s="983" t="s">
        <v>1572</v>
      </c>
      <c r="U24" s="984">
        <v>20</v>
      </c>
      <c r="V24" s="984">
        <v>0</v>
      </c>
      <c r="W24" s="984">
        <v>11</v>
      </c>
      <c r="X24" s="984">
        <v>0</v>
      </c>
      <c r="Y24" s="984"/>
      <c r="Z24" s="984"/>
      <c r="AA24" s="984"/>
      <c r="AB24" s="984"/>
      <c r="AC24" s="984"/>
      <c r="AD24" s="984"/>
      <c r="AE24" s="984"/>
      <c r="AF24" s="984"/>
      <c r="AG24" s="984"/>
      <c r="AH24" s="984"/>
      <c r="AI24" s="984">
        <v>1</v>
      </c>
      <c r="AJ24" s="984">
        <v>0</v>
      </c>
      <c r="AK24" s="984">
        <v>31</v>
      </c>
      <c r="AL24" s="984">
        <v>0</v>
      </c>
      <c r="AM24" s="1055">
        <f>AK24*'tecnicecon agric'!$J$57</f>
        <v>14735.333333333332</v>
      </c>
      <c r="AN24" s="1055">
        <f>AL24*'tecnicecon agric'!$J$56</f>
        <v>0</v>
      </c>
      <c r="AO24" s="1055">
        <f t="shared" si="0"/>
        <v>14735.333333333332</v>
      </c>
      <c r="AP24">
        <f>AL24*'tecnicecon agric'!$J$65+'cultius resum'!AK24</f>
        <v>31</v>
      </c>
      <c r="AQ24" s="779">
        <f t="shared" si="1"/>
        <v>14735.333333333332</v>
      </c>
      <c r="AR24">
        <f>AN24+AL24*'tecnicecon agric'!$L$58</f>
        <v>0</v>
      </c>
      <c r="AS24">
        <f>AP24*'4. Agricultura PIB'!$K$31</f>
        <v>88165.997159643695</v>
      </c>
      <c r="AT24">
        <f>AS24*'4. Agricultura PIB'!$D$71</f>
        <v>25920.803164935245</v>
      </c>
      <c r="AU24" s="779">
        <f t="shared" si="2"/>
        <v>128822.13365791227</v>
      </c>
    </row>
    <row r="25" spans="1:47">
      <c r="A25" s="974" t="s">
        <v>331</v>
      </c>
      <c r="B25" s="976"/>
      <c r="C25" s="976"/>
      <c r="D25" s="976"/>
      <c r="E25" s="976"/>
      <c r="F25" s="976"/>
      <c r="G25" s="976"/>
      <c r="H25" s="976"/>
      <c r="I25" s="976"/>
      <c r="J25" s="976">
        <v>0</v>
      </c>
      <c r="K25" s="976">
        <v>12</v>
      </c>
      <c r="L25" s="976"/>
      <c r="M25" s="976"/>
      <c r="N25" s="976">
        <v>0</v>
      </c>
      <c r="O25" s="976">
        <v>1</v>
      </c>
      <c r="P25" s="976">
        <v>0</v>
      </c>
      <c r="Q25" s="977">
        <v>13</v>
      </c>
      <c r="T25" s="983" t="s">
        <v>331</v>
      </c>
      <c r="U25" s="984"/>
      <c r="V25" s="984"/>
      <c r="W25" s="984"/>
      <c r="X25" s="984"/>
      <c r="Y25" s="984"/>
      <c r="Z25" s="984"/>
      <c r="AA25" s="984"/>
      <c r="AB25" s="984"/>
      <c r="AC25" s="984">
        <v>0</v>
      </c>
      <c r="AD25" s="984">
        <v>12</v>
      </c>
      <c r="AE25" s="984"/>
      <c r="AF25" s="984"/>
      <c r="AG25" s="984">
        <v>0</v>
      </c>
      <c r="AH25" s="984">
        <v>1</v>
      </c>
      <c r="AI25" s="984">
        <v>2</v>
      </c>
      <c r="AJ25" s="984">
        <v>2</v>
      </c>
      <c r="AK25" s="984">
        <v>0</v>
      </c>
      <c r="AL25" s="984">
        <v>13</v>
      </c>
      <c r="AM25" s="1055">
        <f>AK25*'tecnicecon agric'!$J$57</f>
        <v>0</v>
      </c>
      <c r="AN25" s="1055">
        <f>AL25*'tecnicecon agric'!$J$56</f>
        <v>14685.125</v>
      </c>
      <c r="AO25" s="1055">
        <f t="shared" si="0"/>
        <v>14685.125</v>
      </c>
      <c r="AP25">
        <f>AL25*'tecnicecon agric'!$J$65+'cultius resum'!AK25</f>
        <v>54.6</v>
      </c>
      <c r="AQ25" s="779">
        <f t="shared" si="1"/>
        <v>0</v>
      </c>
      <c r="AR25">
        <f>AN25+AL25*'tecnicecon agric'!$L$58</f>
        <v>17196.814142857143</v>
      </c>
      <c r="AS25">
        <f>AP25*'4. Agricultura PIB'!$K$31</f>
        <v>155285.91757795311</v>
      </c>
      <c r="AT25">
        <f>AS25*'4. Agricultura PIB'!$D$71</f>
        <v>45654.05976791821</v>
      </c>
      <c r="AU25" s="779">
        <f t="shared" si="2"/>
        <v>218136.79148872849</v>
      </c>
    </row>
    <row r="26" spans="1:47">
      <c r="A26" s="974" t="s">
        <v>825</v>
      </c>
      <c r="B26" s="976">
        <v>47</v>
      </c>
      <c r="C26" s="976">
        <v>1</v>
      </c>
      <c r="D26" s="976">
        <v>21</v>
      </c>
      <c r="E26" s="976">
        <v>0</v>
      </c>
      <c r="F26" s="976">
        <v>6</v>
      </c>
      <c r="G26" s="976">
        <v>0</v>
      </c>
      <c r="H26" s="976"/>
      <c r="I26" s="976"/>
      <c r="J26" s="976">
        <v>0</v>
      </c>
      <c r="K26" s="976">
        <v>3</v>
      </c>
      <c r="L26" s="976"/>
      <c r="M26" s="976"/>
      <c r="N26" s="976"/>
      <c r="O26" s="976"/>
      <c r="P26" s="976">
        <v>74</v>
      </c>
      <c r="Q26" s="977">
        <v>4</v>
      </c>
      <c r="T26" s="983" t="s">
        <v>825</v>
      </c>
      <c r="U26" s="984">
        <v>47</v>
      </c>
      <c r="V26" s="984">
        <v>1</v>
      </c>
      <c r="W26" s="984">
        <v>21</v>
      </c>
      <c r="X26" s="984">
        <v>0</v>
      </c>
      <c r="Y26" s="984">
        <v>6</v>
      </c>
      <c r="Z26" s="984">
        <v>0</v>
      </c>
      <c r="AA26" s="984"/>
      <c r="AB26" s="984"/>
      <c r="AC26" s="984">
        <v>0</v>
      </c>
      <c r="AD26" s="984">
        <v>3</v>
      </c>
      <c r="AE26" s="984"/>
      <c r="AF26" s="984"/>
      <c r="AG26" s="984"/>
      <c r="AH26" s="984"/>
      <c r="AI26" s="984">
        <v>43</v>
      </c>
      <c r="AJ26" s="984">
        <v>17</v>
      </c>
      <c r="AK26" s="984">
        <v>74</v>
      </c>
      <c r="AL26" s="984">
        <v>4</v>
      </c>
      <c r="AM26" s="1055">
        <f>AK26*'tecnicecon agric'!$J$57</f>
        <v>35174.666666666664</v>
      </c>
      <c r="AN26" s="1055">
        <f>AL26*'tecnicecon agric'!$J$56</f>
        <v>4518.5</v>
      </c>
      <c r="AO26" s="1055">
        <f t="shared" si="0"/>
        <v>39693.166666666664</v>
      </c>
      <c r="AP26">
        <f>AL26*'tecnicecon agric'!$J$65+'cultius resum'!AK26</f>
        <v>90.8</v>
      </c>
      <c r="AQ26" s="779">
        <f t="shared" si="1"/>
        <v>35174.666666666664</v>
      </c>
      <c r="AR26">
        <f>AN26+AL26*'tecnicecon agric'!$L$58</f>
        <v>5291.3274285714288</v>
      </c>
      <c r="AS26">
        <f>AP26*'4. Agricultura PIB'!$K$31</f>
        <v>258241.04974502089</v>
      </c>
      <c r="AT26">
        <f>AS26*'4. Agricultura PIB'!$D$71</f>
        <v>75922.868625036135</v>
      </c>
      <c r="AU26" s="779">
        <f t="shared" si="2"/>
        <v>374629.91246529511</v>
      </c>
    </row>
    <row r="27" spans="1:47">
      <c r="A27" s="974" t="s">
        <v>829</v>
      </c>
      <c r="B27" s="976">
        <v>836</v>
      </c>
      <c r="C27" s="976">
        <v>0</v>
      </c>
      <c r="D27" s="976">
        <v>34</v>
      </c>
      <c r="E27" s="976">
        <v>0</v>
      </c>
      <c r="F27" s="976">
        <v>42</v>
      </c>
      <c r="G27" s="976">
        <v>0</v>
      </c>
      <c r="H27" s="976"/>
      <c r="I27" s="976"/>
      <c r="J27" s="976"/>
      <c r="K27" s="976"/>
      <c r="L27" s="976">
        <v>31</v>
      </c>
      <c r="M27" s="976">
        <v>0</v>
      </c>
      <c r="N27" s="976"/>
      <c r="O27" s="976"/>
      <c r="P27" s="976">
        <v>943</v>
      </c>
      <c r="Q27" s="977">
        <v>0</v>
      </c>
      <c r="T27" s="983" t="s">
        <v>829</v>
      </c>
      <c r="U27" s="984">
        <v>836</v>
      </c>
      <c r="V27" s="984">
        <v>0</v>
      </c>
      <c r="W27" s="984">
        <v>34</v>
      </c>
      <c r="X27" s="984">
        <v>0</v>
      </c>
      <c r="Y27" s="984">
        <v>42</v>
      </c>
      <c r="Z27" s="984">
        <v>0</v>
      </c>
      <c r="AA27" s="984"/>
      <c r="AB27" s="984"/>
      <c r="AC27" s="984"/>
      <c r="AD27" s="984"/>
      <c r="AE27" s="984">
        <v>31</v>
      </c>
      <c r="AF27" s="984">
        <v>0</v>
      </c>
      <c r="AG27" s="984"/>
      <c r="AH27" s="984"/>
      <c r="AI27" s="984">
        <v>2</v>
      </c>
      <c r="AJ27" s="984">
        <v>0</v>
      </c>
      <c r="AK27" s="984">
        <v>943</v>
      </c>
      <c r="AL27" s="984">
        <v>0</v>
      </c>
      <c r="AM27" s="1055">
        <f>AK27*'tecnicecon agric'!$J$57</f>
        <v>448239.33333333331</v>
      </c>
      <c r="AN27" s="1055">
        <f>AL27*'tecnicecon agric'!$J$56</f>
        <v>0</v>
      </c>
      <c r="AO27" s="1055">
        <f t="shared" si="0"/>
        <v>448239.33333333331</v>
      </c>
      <c r="AP27">
        <f>AL27*'tecnicecon agric'!$J$65+'cultius resum'!AK27</f>
        <v>943</v>
      </c>
      <c r="AQ27" s="779">
        <f t="shared" si="1"/>
        <v>448239.33333333331</v>
      </c>
      <c r="AR27">
        <f>AN27+AL27*'tecnicecon agric'!$L$58</f>
        <v>0</v>
      </c>
      <c r="AS27">
        <f>AP27*'4. Agricultura PIB'!$K$31</f>
        <v>2681952.7523078714</v>
      </c>
      <c r="AT27">
        <f>AS27*'4. Agricultura PIB'!$D$71</f>
        <v>788494.1091785141</v>
      </c>
      <c r="AU27" s="779">
        <f t="shared" si="2"/>
        <v>3918686.1948197191</v>
      </c>
    </row>
    <row r="28" spans="1:47">
      <c r="A28" s="974" t="s">
        <v>777</v>
      </c>
      <c r="B28" s="976">
        <v>136</v>
      </c>
      <c r="C28" s="976">
        <v>2</v>
      </c>
      <c r="D28" s="976">
        <v>64</v>
      </c>
      <c r="E28" s="976">
        <v>10</v>
      </c>
      <c r="F28" s="976">
        <v>14</v>
      </c>
      <c r="G28" s="976">
        <v>0</v>
      </c>
      <c r="H28" s="976"/>
      <c r="I28" s="976"/>
      <c r="J28" s="976"/>
      <c r="K28" s="976"/>
      <c r="L28" s="976">
        <v>2</v>
      </c>
      <c r="M28" s="976">
        <v>0</v>
      </c>
      <c r="N28" s="976"/>
      <c r="O28" s="976"/>
      <c r="P28" s="976">
        <v>216</v>
      </c>
      <c r="Q28" s="977">
        <v>12</v>
      </c>
      <c r="T28" s="983" t="s">
        <v>777</v>
      </c>
      <c r="U28" s="984">
        <v>136</v>
      </c>
      <c r="V28" s="984">
        <v>2</v>
      </c>
      <c r="W28" s="984">
        <v>64</v>
      </c>
      <c r="X28" s="984">
        <v>10</v>
      </c>
      <c r="Y28" s="984">
        <v>14</v>
      </c>
      <c r="Z28" s="984">
        <v>0</v>
      </c>
      <c r="AA28" s="984"/>
      <c r="AB28" s="984"/>
      <c r="AC28" s="984"/>
      <c r="AD28" s="984"/>
      <c r="AE28" s="984">
        <v>2</v>
      </c>
      <c r="AF28" s="984">
        <v>0</v>
      </c>
      <c r="AG28" s="984"/>
      <c r="AH28" s="984"/>
      <c r="AI28" s="984" t="s">
        <v>752</v>
      </c>
      <c r="AJ28" s="984" t="s">
        <v>752</v>
      </c>
      <c r="AK28" s="984">
        <v>216</v>
      </c>
      <c r="AL28" s="984">
        <v>12</v>
      </c>
      <c r="AM28" s="1055">
        <f>AK28*'tecnicecon agric'!$J$57</f>
        <v>102672</v>
      </c>
      <c r="AN28" s="1055">
        <f>AL28*'tecnicecon agric'!$J$56</f>
        <v>13555.5</v>
      </c>
      <c r="AO28" s="1055">
        <f t="shared" si="0"/>
        <v>116227.5</v>
      </c>
      <c r="AP28">
        <f>AL28*'tecnicecon agric'!$J$65+'cultius resum'!AK28</f>
        <v>266.39999999999998</v>
      </c>
      <c r="AQ28" s="779">
        <f t="shared" si="1"/>
        <v>102672</v>
      </c>
      <c r="AR28">
        <f>AN28+AL28*'tecnicecon agric'!$L$58</f>
        <v>15873.982285714286</v>
      </c>
      <c r="AS28">
        <f>AP28*'4. Agricultura PIB'!$K$31</f>
        <v>757658.7626880348</v>
      </c>
      <c r="AT28">
        <f>AS28*'4. Agricultura PIB'!$D$71</f>
        <v>222751.67623028223</v>
      </c>
      <c r="AU28" s="779">
        <f t="shared" si="2"/>
        <v>1098956.4212040312</v>
      </c>
    </row>
    <row r="29" spans="1:47">
      <c r="A29" s="974" t="s">
        <v>838</v>
      </c>
      <c r="B29" s="976">
        <v>30</v>
      </c>
      <c r="C29" s="976">
        <v>28</v>
      </c>
      <c r="D29" s="976">
        <v>54</v>
      </c>
      <c r="E29" s="976">
        <v>10</v>
      </c>
      <c r="F29" s="976"/>
      <c r="G29" s="976"/>
      <c r="H29" s="976"/>
      <c r="I29" s="976"/>
      <c r="J29" s="976"/>
      <c r="K29" s="976"/>
      <c r="L29" s="976">
        <v>0</v>
      </c>
      <c r="M29" s="976">
        <v>3</v>
      </c>
      <c r="N29" s="976"/>
      <c r="O29" s="976"/>
      <c r="P29" s="976">
        <v>84</v>
      </c>
      <c r="Q29" s="977">
        <v>41</v>
      </c>
      <c r="T29" s="983" t="s">
        <v>838</v>
      </c>
      <c r="U29" s="984">
        <v>30</v>
      </c>
      <c r="V29" s="984">
        <v>28</v>
      </c>
      <c r="W29" s="984">
        <v>54</v>
      </c>
      <c r="X29" s="984">
        <v>10</v>
      </c>
      <c r="Y29" s="984"/>
      <c r="Z29" s="984"/>
      <c r="AA29" s="984"/>
      <c r="AB29" s="984"/>
      <c r="AC29" s="984"/>
      <c r="AD29" s="984"/>
      <c r="AE29" s="984">
        <v>0</v>
      </c>
      <c r="AF29" s="984">
        <v>3</v>
      </c>
      <c r="AG29" s="984"/>
      <c r="AH29" s="984"/>
      <c r="AI29" s="984">
        <v>52</v>
      </c>
      <c r="AJ29" s="984">
        <v>2</v>
      </c>
      <c r="AK29" s="984">
        <v>84</v>
      </c>
      <c r="AL29" s="984">
        <v>41</v>
      </c>
      <c r="AM29" s="1055">
        <f>AK29*'tecnicecon agric'!$J$57</f>
        <v>39928</v>
      </c>
      <c r="AN29" s="1055">
        <f>AL29*'tecnicecon agric'!$J$56</f>
        <v>46314.625</v>
      </c>
      <c r="AO29" s="1055">
        <f t="shared" si="0"/>
        <v>86242.625</v>
      </c>
      <c r="AP29">
        <f>AL29*'tecnicecon agric'!$J$65+'cultius resum'!AK29</f>
        <v>256.20000000000005</v>
      </c>
      <c r="AQ29" s="779">
        <f t="shared" si="1"/>
        <v>39928</v>
      </c>
      <c r="AR29">
        <f>AN29+AL29*'tecnicecon agric'!$L$58</f>
        <v>54236.106142857141</v>
      </c>
      <c r="AS29">
        <f>AP29*'4. Agricultura PIB'!$K$31</f>
        <v>728649.30555808777</v>
      </c>
      <c r="AT29">
        <f>AS29*'4. Agricultura PIB'!$D$71</f>
        <v>214222.89583407779</v>
      </c>
      <c r="AU29" s="779">
        <f t="shared" si="2"/>
        <v>1037036.3075350227</v>
      </c>
    </row>
    <row r="30" spans="1:47">
      <c r="A30" s="974" t="s">
        <v>843</v>
      </c>
      <c r="B30" s="976">
        <v>15</v>
      </c>
      <c r="C30" s="976">
        <v>0</v>
      </c>
      <c r="D30" s="976">
        <v>165</v>
      </c>
      <c r="E30" s="976">
        <v>0</v>
      </c>
      <c r="F30" s="976"/>
      <c r="G30" s="976"/>
      <c r="H30" s="976"/>
      <c r="I30" s="976"/>
      <c r="J30" s="976"/>
      <c r="K30" s="976"/>
      <c r="L30" s="976"/>
      <c r="M30" s="976"/>
      <c r="N30" s="976"/>
      <c r="O30" s="976"/>
      <c r="P30" s="976">
        <v>180</v>
      </c>
      <c r="Q30" s="977">
        <v>0</v>
      </c>
      <c r="T30" s="983" t="s">
        <v>843</v>
      </c>
      <c r="U30" s="984">
        <v>15</v>
      </c>
      <c r="V30" s="984">
        <v>0</v>
      </c>
      <c r="W30" s="984">
        <v>165</v>
      </c>
      <c r="X30" s="984">
        <v>0</v>
      </c>
      <c r="Y30" s="984"/>
      <c r="Z30" s="984"/>
      <c r="AA30" s="984"/>
      <c r="AB30" s="984"/>
      <c r="AC30" s="984"/>
      <c r="AD30" s="984"/>
      <c r="AE30" s="984"/>
      <c r="AF30" s="984"/>
      <c r="AG30" s="984"/>
      <c r="AH30" s="984"/>
      <c r="AI30" s="984" t="s">
        <v>752</v>
      </c>
      <c r="AJ30" s="984" t="s">
        <v>752</v>
      </c>
      <c r="AK30" s="984">
        <v>180</v>
      </c>
      <c r="AL30" s="984">
        <v>0</v>
      </c>
      <c r="AM30" s="1055">
        <f>AK30*'tecnicecon agric'!$J$57</f>
        <v>85560</v>
      </c>
      <c r="AN30" s="1055">
        <f>AL30*'tecnicecon agric'!$J$56</f>
        <v>0</v>
      </c>
      <c r="AO30" s="1055">
        <f t="shared" si="0"/>
        <v>85560</v>
      </c>
      <c r="AP30">
        <f>AL30*'tecnicecon agric'!$J$65+'cultius resum'!AK30</f>
        <v>180</v>
      </c>
      <c r="AQ30" s="779">
        <f t="shared" si="1"/>
        <v>85560</v>
      </c>
      <c r="AR30">
        <f>AN30+AL30*'tecnicecon agric'!$L$58</f>
        <v>0</v>
      </c>
      <c r="AS30">
        <f>AP30*'4. Agricultura PIB'!$K$31</f>
        <v>511931.59641083441</v>
      </c>
      <c r="AT30">
        <f>AS30*'4. Agricultura PIB'!$D$71</f>
        <v>150507.8893447853</v>
      </c>
      <c r="AU30" s="779">
        <f t="shared" si="2"/>
        <v>747999.48575561983</v>
      </c>
    </row>
    <row r="31" spans="1:47">
      <c r="A31" s="974" t="s">
        <v>3096</v>
      </c>
      <c r="B31" s="976">
        <v>130</v>
      </c>
      <c r="C31" s="976">
        <v>0</v>
      </c>
      <c r="D31" s="976">
        <v>32</v>
      </c>
      <c r="E31" s="976">
        <v>0</v>
      </c>
      <c r="F31" s="976"/>
      <c r="G31" s="976"/>
      <c r="H31" s="976"/>
      <c r="I31" s="976"/>
      <c r="J31" s="976">
        <v>0</v>
      </c>
      <c r="K31" s="976">
        <v>2</v>
      </c>
      <c r="L31" s="976">
        <v>1</v>
      </c>
      <c r="M31" s="976">
        <v>0</v>
      </c>
      <c r="N31" s="976"/>
      <c r="O31" s="976"/>
      <c r="P31" s="976">
        <v>163</v>
      </c>
      <c r="Q31" s="977">
        <v>2</v>
      </c>
      <c r="T31" s="983" t="s">
        <v>846</v>
      </c>
      <c r="U31" s="984">
        <v>130</v>
      </c>
      <c r="V31" s="984">
        <v>0</v>
      </c>
      <c r="W31" s="984">
        <v>32</v>
      </c>
      <c r="X31" s="984">
        <v>0</v>
      </c>
      <c r="Y31" s="984"/>
      <c r="Z31" s="984"/>
      <c r="AA31" s="984"/>
      <c r="AB31" s="984"/>
      <c r="AC31" s="984">
        <v>0</v>
      </c>
      <c r="AD31" s="984">
        <v>2</v>
      </c>
      <c r="AE31" s="984">
        <v>1</v>
      </c>
      <c r="AF31" s="984">
        <v>0</v>
      </c>
      <c r="AG31" s="984"/>
      <c r="AH31" s="984"/>
      <c r="AI31" s="984">
        <v>130</v>
      </c>
      <c r="AJ31" s="984">
        <v>4</v>
      </c>
      <c r="AK31" s="984">
        <v>163</v>
      </c>
      <c r="AL31" s="984">
        <v>2</v>
      </c>
      <c r="AM31" s="1055">
        <f>AK31*'tecnicecon agric'!$J$57</f>
        <v>77479.333333333328</v>
      </c>
      <c r="AN31" s="1055">
        <f>AL31*'tecnicecon agric'!$J$56</f>
        <v>2259.25</v>
      </c>
      <c r="AO31" s="1055">
        <f t="shared" si="0"/>
        <v>79738.583333333328</v>
      </c>
      <c r="AP31">
        <f>AL31*'tecnicecon agric'!$J$65+'cultius resum'!AK31</f>
        <v>171.4</v>
      </c>
      <c r="AQ31" s="779">
        <f t="shared" si="1"/>
        <v>77479.333333333328</v>
      </c>
      <c r="AR31">
        <f>AN31+AL31*'tecnicecon agric'!$L$58</f>
        <v>2645.6637142857144</v>
      </c>
      <c r="AS31">
        <f>AP31*'4. Agricultura PIB'!$K$31</f>
        <v>487472.64236009453</v>
      </c>
      <c r="AT31">
        <f>AS31*'4. Agricultura PIB'!$D$71</f>
        <v>143316.95685386777</v>
      </c>
      <c r="AU31" s="779">
        <f t="shared" si="2"/>
        <v>710914.59626158129</v>
      </c>
    </row>
    <row r="32" spans="1:47">
      <c r="A32" s="974" t="s">
        <v>3098</v>
      </c>
      <c r="B32" s="976">
        <v>104</v>
      </c>
      <c r="C32" s="976">
        <v>0</v>
      </c>
      <c r="D32" s="976">
        <v>189</v>
      </c>
      <c r="E32" s="976">
        <v>0</v>
      </c>
      <c r="F32" s="976"/>
      <c r="G32" s="976"/>
      <c r="H32" s="976"/>
      <c r="I32" s="976"/>
      <c r="J32" s="976"/>
      <c r="K32" s="976"/>
      <c r="L32" s="976">
        <v>10</v>
      </c>
      <c r="M32" s="976">
        <v>0</v>
      </c>
      <c r="N32" s="976">
        <v>1</v>
      </c>
      <c r="O32" s="976">
        <v>0</v>
      </c>
      <c r="P32" s="976">
        <v>304</v>
      </c>
      <c r="Q32" s="977">
        <v>0</v>
      </c>
      <c r="T32" s="983" t="s">
        <v>850</v>
      </c>
      <c r="U32" s="984">
        <v>104</v>
      </c>
      <c r="V32" s="984">
        <v>0</v>
      </c>
      <c r="W32" s="984">
        <v>189</v>
      </c>
      <c r="X32" s="984">
        <v>0</v>
      </c>
      <c r="Y32" s="984"/>
      <c r="Z32" s="984"/>
      <c r="AA32" s="984"/>
      <c r="AB32" s="984"/>
      <c r="AC32" s="984"/>
      <c r="AD32" s="984"/>
      <c r="AE32" s="984">
        <v>10</v>
      </c>
      <c r="AF32" s="984">
        <v>0</v>
      </c>
      <c r="AG32" s="984">
        <v>1</v>
      </c>
      <c r="AH32" s="984">
        <v>0</v>
      </c>
      <c r="AI32" s="984">
        <v>4</v>
      </c>
      <c r="AJ32" s="984">
        <v>0</v>
      </c>
      <c r="AK32" s="984">
        <v>304</v>
      </c>
      <c r="AL32" s="984">
        <v>0</v>
      </c>
      <c r="AM32" s="1055">
        <f>AK32*'tecnicecon agric'!$J$57</f>
        <v>144501.33333333331</v>
      </c>
      <c r="AN32" s="1055">
        <f>AL32*'tecnicecon agric'!$J$56</f>
        <v>0</v>
      </c>
      <c r="AO32" s="1055">
        <f t="shared" si="0"/>
        <v>144501.33333333331</v>
      </c>
      <c r="AP32">
        <f>AL32*'tecnicecon agric'!$J$65+'cultius resum'!AK32</f>
        <v>304</v>
      </c>
      <c r="AQ32" s="779">
        <f t="shared" si="1"/>
        <v>144501.33333333331</v>
      </c>
      <c r="AR32">
        <f>AN32+AL32*'tecnicecon agric'!$L$58</f>
        <v>0</v>
      </c>
      <c r="AS32">
        <f>AP32*'4. Agricultura PIB'!$K$31</f>
        <v>864595.58504940919</v>
      </c>
      <c r="AT32">
        <f>AS32*'4. Agricultura PIB'!$D$71</f>
        <v>254191.1020045263</v>
      </c>
      <c r="AU32" s="779">
        <f t="shared" si="2"/>
        <v>1263288.0203872686</v>
      </c>
    </row>
    <row r="33" spans="1:47">
      <c r="A33" s="974" t="s">
        <v>3110</v>
      </c>
      <c r="B33" s="976">
        <v>7</v>
      </c>
      <c r="C33" s="976">
        <v>0</v>
      </c>
      <c r="D33" s="976"/>
      <c r="E33" s="976"/>
      <c r="F33" s="976"/>
      <c r="G33" s="976"/>
      <c r="H33" s="976"/>
      <c r="I33" s="976"/>
      <c r="J33" s="976"/>
      <c r="K33" s="976"/>
      <c r="L33" s="976"/>
      <c r="M33" s="976"/>
      <c r="N33" s="976"/>
      <c r="O33" s="976"/>
      <c r="P33" s="976">
        <v>7</v>
      </c>
      <c r="Q33" s="977">
        <v>0</v>
      </c>
      <c r="T33" s="983" t="s">
        <v>854</v>
      </c>
      <c r="U33" s="984">
        <v>7</v>
      </c>
      <c r="V33" s="984">
        <v>0</v>
      </c>
      <c r="W33" s="984"/>
      <c r="X33" s="984"/>
      <c r="Y33" s="984"/>
      <c r="Z33" s="984"/>
      <c r="AA33" s="984"/>
      <c r="AB33" s="984"/>
      <c r="AC33" s="984"/>
      <c r="AD33" s="984"/>
      <c r="AE33" s="984"/>
      <c r="AF33" s="984"/>
      <c r="AG33" s="984"/>
      <c r="AH33" s="984"/>
      <c r="AI33" s="984">
        <v>66</v>
      </c>
      <c r="AJ33" s="984">
        <v>0</v>
      </c>
      <c r="AK33" s="984">
        <v>7</v>
      </c>
      <c r="AL33" s="984">
        <v>0</v>
      </c>
      <c r="AM33" s="1055">
        <f>AK33*'tecnicecon agric'!$J$57</f>
        <v>3327.333333333333</v>
      </c>
      <c r="AN33" s="1055">
        <f>AL33*'tecnicecon agric'!$J$56</f>
        <v>0</v>
      </c>
      <c r="AO33" s="1055">
        <f t="shared" si="0"/>
        <v>3327.333333333333</v>
      </c>
      <c r="AP33">
        <f>AL33*'tecnicecon agric'!$J$65+'cultius resum'!AK33</f>
        <v>7</v>
      </c>
      <c r="AQ33" s="779">
        <f t="shared" si="1"/>
        <v>3327.333333333333</v>
      </c>
      <c r="AR33">
        <f>AN33+AL33*'tecnicecon agric'!$L$58</f>
        <v>0</v>
      </c>
      <c r="AS33">
        <f>AP33*'4. Agricultura PIB'!$K$31</f>
        <v>19908.450971532449</v>
      </c>
      <c r="AT33">
        <f>AS33*'4. Agricultura PIB'!$D$71</f>
        <v>5853.0845856305396</v>
      </c>
      <c r="AU33" s="779">
        <f t="shared" si="2"/>
        <v>29088.86889049632</v>
      </c>
    </row>
    <row r="34" spans="1:47">
      <c r="A34" s="974" t="s">
        <v>336</v>
      </c>
      <c r="B34" s="976"/>
      <c r="C34" s="976"/>
      <c r="D34" s="976"/>
      <c r="E34" s="976"/>
      <c r="F34" s="976"/>
      <c r="G34" s="976"/>
      <c r="H34" s="976">
        <v>0</v>
      </c>
      <c r="I34" s="976">
        <v>45</v>
      </c>
      <c r="J34" s="976">
        <v>0</v>
      </c>
      <c r="K34" s="976">
        <v>96</v>
      </c>
      <c r="L34" s="976">
        <v>0</v>
      </c>
      <c r="M34" s="976">
        <v>4</v>
      </c>
      <c r="N34" s="976">
        <v>0</v>
      </c>
      <c r="O34" s="976">
        <v>17</v>
      </c>
      <c r="P34" s="976">
        <v>0</v>
      </c>
      <c r="Q34" s="977">
        <v>162</v>
      </c>
      <c r="T34" s="983" t="s">
        <v>336</v>
      </c>
      <c r="U34" s="984"/>
      <c r="V34" s="984"/>
      <c r="W34" s="984"/>
      <c r="X34" s="984"/>
      <c r="Y34" s="984"/>
      <c r="Z34" s="984"/>
      <c r="AA34" s="984">
        <v>0</v>
      </c>
      <c r="AB34" s="984">
        <v>45</v>
      </c>
      <c r="AC34" s="984">
        <v>0</v>
      </c>
      <c r="AD34" s="984">
        <v>96</v>
      </c>
      <c r="AE34" s="984">
        <v>0</v>
      </c>
      <c r="AF34" s="984">
        <v>4</v>
      </c>
      <c r="AG34" s="984">
        <v>0</v>
      </c>
      <c r="AH34" s="984">
        <v>17</v>
      </c>
      <c r="AI34" s="984">
        <v>4</v>
      </c>
      <c r="AJ34" s="984">
        <v>0</v>
      </c>
      <c r="AK34" s="984">
        <v>0</v>
      </c>
      <c r="AL34" s="984">
        <v>162</v>
      </c>
      <c r="AM34" s="1055">
        <f>AK34*'tecnicecon agric'!$J$57</f>
        <v>0</v>
      </c>
      <c r="AN34" s="1055">
        <f>AL34*'tecnicecon agric'!$J$56</f>
        <v>182999.25</v>
      </c>
      <c r="AO34" s="1055">
        <f t="shared" si="0"/>
        <v>182999.25</v>
      </c>
      <c r="AP34">
        <f>AL34*'tecnicecon agric'!$J$65+'cultius resum'!AK34</f>
        <v>680.4</v>
      </c>
      <c r="AQ34" s="779">
        <f t="shared" si="1"/>
        <v>0</v>
      </c>
      <c r="AR34">
        <f>AN34+AL34*'tecnicecon agric'!$L$58</f>
        <v>214298.76085714286</v>
      </c>
      <c r="AS34">
        <f>AP34*'4. Agricultura PIB'!$K$31</f>
        <v>1935101.4344329541</v>
      </c>
      <c r="AT34">
        <f>AS34*'4. Agricultura PIB'!$D$71</f>
        <v>568919.82172328851</v>
      </c>
      <c r="AU34" s="779">
        <f t="shared" si="2"/>
        <v>2718320.0170133854</v>
      </c>
    </row>
    <row r="35" spans="1:47">
      <c r="A35" s="974" t="s">
        <v>3119</v>
      </c>
      <c r="B35" s="976">
        <v>53</v>
      </c>
      <c r="C35" s="976">
        <v>0</v>
      </c>
      <c r="D35" s="976">
        <v>42</v>
      </c>
      <c r="E35" s="976">
        <v>0</v>
      </c>
      <c r="F35" s="976">
        <v>2</v>
      </c>
      <c r="G35" s="976">
        <v>0</v>
      </c>
      <c r="H35" s="976"/>
      <c r="I35" s="976"/>
      <c r="J35" s="976"/>
      <c r="K35" s="976"/>
      <c r="L35" s="976">
        <v>9</v>
      </c>
      <c r="M35" s="976">
        <v>0</v>
      </c>
      <c r="N35" s="976"/>
      <c r="O35" s="976"/>
      <c r="P35" s="976">
        <v>106</v>
      </c>
      <c r="Q35" s="977">
        <v>0</v>
      </c>
      <c r="T35" s="983" t="s">
        <v>856</v>
      </c>
      <c r="U35" s="984">
        <v>53</v>
      </c>
      <c r="V35" s="984">
        <v>0</v>
      </c>
      <c r="W35" s="984">
        <v>42</v>
      </c>
      <c r="X35" s="984">
        <v>0</v>
      </c>
      <c r="Y35" s="984">
        <v>2</v>
      </c>
      <c r="Z35" s="984">
        <v>0</v>
      </c>
      <c r="AA35" s="984"/>
      <c r="AB35" s="984"/>
      <c r="AC35" s="984"/>
      <c r="AD35" s="984"/>
      <c r="AE35" s="984">
        <v>9</v>
      </c>
      <c r="AF35" s="984">
        <v>0</v>
      </c>
      <c r="AG35" s="984"/>
      <c r="AH35" s="984"/>
      <c r="AI35" s="984">
        <v>167</v>
      </c>
      <c r="AJ35" s="984">
        <v>6</v>
      </c>
      <c r="AK35" s="984">
        <v>106</v>
      </c>
      <c r="AL35" s="984">
        <v>0</v>
      </c>
      <c r="AM35" s="1055">
        <f>AK35*'tecnicecon agric'!$J$57</f>
        <v>50385.333333333328</v>
      </c>
      <c r="AN35" s="1055">
        <f>AL35*'tecnicecon agric'!$J$56</f>
        <v>0</v>
      </c>
      <c r="AO35" s="1055">
        <f t="shared" si="0"/>
        <v>50385.333333333328</v>
      </c>
      <c r="AP35">
        <f>AL35*'tecnicecon agric'!$J$65+'cultius resum'!AK35</f>
        <v>106</v>
      </c>
      <c r="AQ35" s="779">
        <f t="shared" si="1"/>
        <v>50385.333333333328</v>
      </c>
      <c r="AR35">
        <f>AN35+AL35*'tecnicecon agric'!$L$58</f>
        <v>0</v>
      </c>
      <c r="AS35">
        <f>AP35*'4. Agricultura PIB'!$K$31</f>
        <v>301470.82899749139</v>
      </c>
      <c r="AT35">
        <f>AS35*'4. Agricultura PIB'!$D$71</f>
        <v>88632.423725262459</v>
      </c>
      <c r="AU35" s="779">
        <f t="shared" si="2"/>
        <v>440488.58605608717</v>
      </c>
    </row>
    <row r="36" spans="1:47">
      <c r="A36" s="974" t="s">
        <v>864</v>
      </c>
      <c r="B36" s="976">
        <v>1</v>
      </c>
      <c r="C36" s="976">
        <v>0</v>
      </c>
      <c r="D36" s="976">
        <v>1</v>
      </c>
      <c r="E36" s="976">
        <v>0</v>
      </c>
      <c r="F36" s="976"/>
      <c r="G36" s="976"/>
      <c r="H36" s="976">
        <v>0</v>
      </c>
      <c r="I36" s="976">
        <v>7</v>
      </c>
      <c r="J36" s="976">
        <v>0</v>
      </c>
      <c r="K36" s="976">
        <v>12</v>
      </c>
      <c r="L36" s="976"/>
      <c r="M36" s="976"/>
      <c r="N36" s="976">
        <v>0</v>
      </c>
      <c r="O36" s="976">
        <v>1</v>
      </c>
      <c r="P36" s="976">
        <v>2</v>
      </c>
      <c r="Q36" s="977">
        <v>20</v>
      </c>
      <c r="T36" s="983" t="s">
        <v>864</v>
      </c>
      <c r="U36" s="984">
        <v>1</v>
      </c>
      <c r="V36" s="984">
        <v>0</v>
      </c>
      <c r="W36" s="984">
        <v>1</v>
      </c>
      <c r="X36" s="984">
        <v>0</v>
      </c>
      <c r="Y36" s="984"/>
      <c r="Z36" s="984"/>
      <c r="AA36" s="984">
        <v>0</v>
      </c>
      <c r="AB36" s="984">
        <v>7</v>
      </c>
      <c r="AC36" s="984">
        <v>0</v>
      </c>
      <c r="AD36" s="984">
        <v>12</v>
      </c>
      <c r="AE36" s="984"/>
      <c r="AF36" s="984"/>
      <c r="AG36" s="984">
        <v>0</v>
      </c>
      <c r="AH36" s="984">
        <v>1</v>
      </c>
      <c r="AI36" s="984">
        <v>1</v>
      </c>
      <c r="AJ36" s="984">
        <v>0</v>
      </c>
      <c r="AK36" s="984">
        <v>2</v>
      </c>
      <c r="AL36" s="984">
        <v>20</v>
      </c>
      <c r="AM36" s="1055">
        <f>AK36*'tecnicecon agric'!$J$57</f>
        <v>950.66666666666663</v>
      </c>
      <c r="AN36" s="1055">
        <f>AL36*'tecnicecon agric'!$J$56</f>
        <v>22592.5</v>
      </c>
      <c r="AO36" s="1055">
        <f t="shared" si="0"/>
        <v>23543.166666666668</v>
      </c>
      <c r="AP36">
        <f>AL36*'tecnicecon agric'!$J$65+'cultius resum'!AK36</f>
        <v>86</v>
      </c>
      <c r="AQ36" s="779">
        <f t="shared" si="1"/>
        <v>950.66666666666663</v>
      </c>
      <c r="AR36">
        <f>AN36+AL36*'tecnicecon agric'!$L$58</f>
        <v>26456.637142857144</v>
      </c>
      <c r="AS36">
        <f>AP36*'4. Agricultura PIB'!$K$31</f>
        <v>244589.54050739866</v>
      </c>
      <c r="AT36">
        <f>AS36*'4. Agricultura PIB'!$D$71</f>
        <v>71909.324909175208</v>
      </c>
      <c r="AU36" s="779">
        <f t="shared" si="2"/>
        <v>343906.1692260977</v>
      </c>
    </row>
    <row r="37" spans="1:47">
      <c r="A37" s="974" t="s">
        <v>865</v>
      </c>
      <c r="B37" s="976">
        <v>437</v>
      </c>
      <c r="C37" s="976">
        <v>0</v>
      </c>
      <c r="D37" s="976">
        <v>16</v>
      </c>
      <c r="E37" s="976">
        <v>0</v>
      </c>
      <c r="F37" s="976">
        <v>37</v>
      </c>
      <c r="G37" s="976">
        <v>0</v>
      </c>
      <c r="H37" s="976"/>
      <c r="I37" s="976"/>
      <c r="J37" s="976"/>
      <c r="K37" s="976"/>
      <c r="L37" s="976">
        <v>53</v>
      </c>
      <c r="M37" s="976">
        <v>0</v>
      </c>
      <c r="N37" s="976"/>
      <c r="O37" s="976"/>
      <c r="P37" s="976">
        <v>543</v>
      </c>
      <c r="Q37" s="977">
        <v>0</v>
      </c>
      <c r="T37" s="983" t="s">
        <v>865</v>
      </c>
      <c r="U37" s="984">
        <v>437</v>
      </c>
      <c r="V37" s="984">
        <v>0</v>
      </c>
      <c r="W37" s="984">
        <v>16</v>
      </c>
      <c r="X37" s="984">
        <v>0</v>
      </c>
      <c r="Y37" s="984">
        <v>37</v>
      </c>
      <c r="Z37" s="984">
        <v>0</v>
      </c>
      <c r="AA37" s="984"/>
      <c r="AB37" s="984"/>
      <c r="AC37" s="984"/>
      <c r="AD37" s="984"/>
      <c r="AE37" s="984">
        <v>53</v>
      </c>
      <c r="AF37" s="984">
        <v>0</v>
      </c>
      <c r="AG37" s="984"/>
      <c r="AH37" s="984"/>
      <c r="AI37" s="984" t="s">
        <v>752</v>
      </c>
      <c r="AJ37" s="984" t="s">
        <v>752</v>
      </c>
      <c r="AK37" s="984">
        <v>543</v>
      </c>
      <c r="AL37" s="984">
        <v>0</v>
      </c>
      <c r="AM37" s="1055">
        <f>AK37*'tecnicecon agric'!$J$57</f>
        <v>258106</v>
      </c>
      <c r="AN37" s="1055">
        <f>AL37*'tecnicecon agric'!$J$56</f>
        <v>0</v>
      </c>
      <c r="AO37" s="1055">
        <f t="shared" si="0"/>
        <v>258106</v>
      </c>
      <c r="AP37">
        <f>AL37*'tecnicecon agric'!$J$65+'cultius resum'!AK37</f>
        <v>543</v>
      </c>
      <c r="AQ37" s="779">
        <f t="shared" si="1"/>
        <v>258106</v>
      </c>
      <c r="AR37">
        <f>AN37+AL37*'tecnicecon agric'!$L$58</f>
        <v>0</v>
      </c>
      <c r="AS37">
        <f>AP37*'4. Agricultura PIB'!$K$31</f>
        <v>1544326.9825060172</v>
      </c>
      <c r="AT37">
        <f>AS37*'4. Agricultura PIB'!$D$71</f>
        <v>454032.13285676902</v>
      </c>
      <c r="AU37" s="779">
        <f t="shared" si="2"/>
        <v>2256465.1153627862</v>
      </c>
    </row>
    <row r="38" spans="1:47">
      <c r="A38" s="974" t="s">
        <v>875</v>
      </c>
      <c r="B38" s="976">
        <v>434</v>
      </c>
      <c r="C38" s="976">
        <v>4</v>
      </c>
      <c r="D38" s="976">
        <v>113</v>
      </c>
      <c r="E38" s="976">
        <v>0</v>
      </c>
      <c r="F38" s="976">
        <v>14</v>
      </c>
      <c r="G38" s="976">
        <v>0</v>
      </c>
      <c r="H38" s="976"/>
      <c r="I38" s="976"/>
      <c r="J38" s="976"/>
      <c r="K38" s="976"/>
      <c r="L38" s="976">
        <v>8</v>
      </c>
      <c r="M38" s="976">
        <v>0</v>
      </c>
      <c r="N38" s="976"/>
      <c r="O38" s="976"/>
      <c r="P38" s="976">
        <v>569</v>
      </c>
      <c r="Q38" s="977">
        <v>4</v>
      </c>
      <c r="T38" s="983" t="s">
        <v>875</v>
      </c>
      <c r="U38" s="984">
        <v>434</v>
      </c>
      <c r="V38" s="984">
        <v>4</v>
      </c>
      <c r="W38" s="984">
        <v>113</v>
      </c>
      <c r="X38" s="984">
        <v>0</v>
      </c>
      <c r="Y38" s="984">
        <v>14</v>
      </c>
      <c r="Z38" s="984">
        <v>0</v>
      </c>
      <c r="AA38" s="984"/>
      <c r="AB38" s="984"/>
      <c r="AC38" s="984"/>
      <c r="AD38" s="984"/>
      <c r="AE38" s="984">
        <v>8</v>
      </c>
      <c r="AF38" s="984">
        <v>0</v>
      </c>
      <c r="AG38" s="984"/>
      <c r="AH38" s="984"/>
      <c r="AI38" s="984">
        <v>17</v>
      </c>
      <c r="AJ38" s="984">
        <v>5</v>
      </c>
      <c r="AK38" s="984">
        <v>569</v>
      </c>
      <c r="AL38" s="984">
        <v>4</v>
      </c>
      <c r="AM38" s="1055">
        <f>AK38*'tecnicecon agric'!$J$57</f>
        <v>270464.66666666663</v>
      </c>
      <c r="AN38" s="1055">
        <f>AL38*'tecnicecon agric'!$J$56</f>
        <v>4518.5</v>
      </c>
      <c r="AO38" s="1055">
        <f t="shared" si="0"/>
        <v>274983.16666666663</v>
      </c>
      <c r="AP38">
        <f>AL38*'tecnicecon agric'!$J$65+'cultius resum'!AK38</f>
        <v>585.79999999999995</v>
      </c>
      <c r="AQ38" s="779">
        <f t="shared" si="1"/>
        <v>270464.66666666663</v>
      </c>
      <c r="AR38">
        <f>AN38+AL38*'tecnicecon agric'!$L$58</f>
        <v>5291.3274285714288</v>
      </c>
      <c r="AS38">
        <f>AP38*'4. Agricultura PIB'!$K$31</f>
        <v>1666052.9398748153</v>
      </c>
      <c r="AT38">
        <f>AS38*'4. Agricultura PIB'!$D$71</f>
        <v>489819.56432319566</v>
      </c>
      <c r="AU38" s="779">
        <f t="shared" si="2"/>
        <v>2431628.4982932489</v>
      </c>
    </row>
    <row r="39" spans="1:47">
      <c r="A39" s="974" t="s">
        <v>867</v>
      </c>
      <c r="B39" s="976">
        <v>107</v>
      </c>
      <c r="C39" s="976">
        <v>23</v>
      </c>
      <c r="D39" s="976">
        <v>196</v>
      </c>
      <c r="E39" s="976">
        <v>39</v>
      </c>
      <c r="F39" s="976">
        <v>5</v>
      </c>
      <c r="G39" s="976">
        <v>5</v>
      </c>
      <c r="H39" s="976"/>
      <c r="I39" s="976"/>
      <c r="J39" s="976">
        <v>0</v>
      </c>
      <c r="K39" s="976">
        <v>9</v>
      </c>
      <c r="L39" s="976">
        <v>3</v>
      </c>
      <c r="M39" s="976">
        <v>0</v>
      </c>
      <c r="N39" s="976">
        <v>2</v>
      </c>
      <c r="O39" s="976">
        <v>2</v>
      </c>
      <c r="P39" s="976">
        <v>313</v>
      </c>
      <c r="Q39" s="977">
        <v>78</v>
      </c>
      <c r="T39" s="983" t="s">
        <v>867</v>
      </c>
      <c r="U39" s="984">
        <v>107</v>
      </c>
      <c r="V39" s="984">
        <v>23</v>
      </c>
      <c r="W39" s="984">
        <v>196</v>
      </c>
      <c r="X39" s="984">
        <v>39</v>
      </c>
      <c r="Y39" s="984">
        <v>5</v>
      </c>
      <c r="Z39" s="984">
        <v>5</v>
      </c>
      <c r="AA39" s="984"/>
      <c r="AB39" s="984"/>
      <c r="AC39" s="984">
        <v>0</v>
      </c>
      <c r="AD39" s="984">
        <v>9</v>
      </c>
      <c r="AE39" s="984">
        <v>3</v>
      </c>
      <c r="AF39" s="984">
        <v>0</v>
      </c>
      <c r="AG39" s="984">
        <v>2</v>
      </c>
      <c r="AH39" s="984">
        <v>2</v>
      </c>
      <c r="AI39" s="984">
        <v>41</v>
      </c>
      <c r="AJ39" s="984">
        <v>10</v>
      </c>
      <c r="AK39" s="984">
        <v>313</v>
      </c>
      <c r="AL39" s="984">
        <v>78</v>
      </c>
      <c r="AM39" s="1055">
        <f>AK39*'tecnicecon agric'!$J$57</f>
        <v>148779.33333333331</v>
      </c>
      <c r="AN39" s="1055">
        <f>AL39*'tecnicecon agric'!$J$56</f>
        <v>88110.75</v>
      </c>
      <c r="AO39" s="1055">
        <f t="shared" si="0"/>
        <v>236890.08333333331</v>
      </c>
      <c r="AP39">
        <f>AL39*'tecnicecon agric'!$J$65+'cultius resum'!AK39</f>
        <v>640.6</v>
      </c>
      <c r="AQ39" s="779">
        <f t="shared" si="1"/>
        <v>148779.33333333331</v>
      </c>
      <c r="AR39">
        <f>AN39+AL39*'tecnicecon agric'!$L$58</f>
        <v>103180.88485714285</v>
      </c>
      <c r="AS39">
        <f>AP39*'4. Agricultura PIB'!$K$31</f>
        <v>1821907.6703376696</v>
      </c>
      <c r="AT39">
        <f>AS39*'4. Agricultura PIB'!$D$71</f>
        <v>535640.85507927486</v>
      </c>
      <c r="AU39" s="779">
        <f t="shared" si="2"/>
        <v>2609508.7436074205</v>
      </c>
    </row>
    <row r="40" spans="1:47">
      <c r="A40" s="974" t="s">
        <v>338</v>
      </c>
      <c r="B40" s="976"/>
      <c r="C40" s="976"/>
      <c r="D40" s="976"/>
      <c r="E40" s="976"/>
      <c r="F40" s="976"/>
      <c r="G40" s="976"/>
      <c r="H40" s="976"/>
      <c r="I40" s="976"/>
      <c r="J40" s="976">
        <v>0</v>
      </c>
      <c r="K40" s="976">
        <v>43</v>
      </c>
      <c r="L40" s="976">
        <v>0</v>
      </c>
      <c r="M40" s="976">
        <v>2</v>
      </c>
      <c r="N40" s="976">
        <v>0</v>
      </c>
      <c r="O40" s="976">
        <v>3</v>
      </c>
      <c r="P40" s="976">
        <v>0</v>
      </c>
      <c r="Q40" s="977">
        <v>48</v>
      </c>
      <c r="T40" s="983" t="s">
        <v>338</v>
      </c>
      <c r="U40" s="984"/>
      <c r="V40" s="984"/>
      <c r="W40" s="984"/>
      <c r="X40" s="984"/>
      <c r="Y40" s="984"/>
      <c r="Z40" s="984"/>
      <c r="AA40" s="984"/>
      <c r="AB40" s="984"/>
      <c r="AC40" s="984">
        <v>0</v>
      </c>
      <c r="AD40" s="984">
        <v>43</v>
      </c>
      <c r="AE40" s="984">
        <v>0</v>
      </c>
      <c r="AF40" s="984">
        <v>2</v>
      </c>
      <c r="AG40" s="984">
        <v>0</v>
      </c>
      <c r="AH40" s="984">
        <v>3</v>
      </c>
      <c r="AI40" s="984">
        <v>2</v>
      </c>
      <c r="AJ40" s="984">
        <v>1</v>
      </c>
      <c r="AK40" s="984">
        <v>0</v>
      </c>
      <c r="AL40" s="984">
        <v>48</v>
      </c>
      <c r="AM40" s="1055">
        <f>AK40*'tecnicecon agric'!$J$57</f>
        <v>0</v>
      </c>
      <c r="AN40" s="1055">
        <f>AL40*'tecnicecon agric'!$J$56</f>
        <v>54222</v>
      </c>
      <c r="AO40" s="1055">
        <f t="shared" si="0"/>
        <v>54222</v>
      </c>
      <c r="AP40">
        <f>AL40*'tecnicecon agric'!$J$65+'cultius resum'!AK40</f>
        <v>201.60000000000002</v>
      </c>
      <c r="AQ40" s="779">
        <f t="shared" si="1"/>
        <v>0</v>
      </c>
      <c r="AR40">
        <f>AN40+AL40*'tecnicecon agric'!$L$58</f>
        <v>63495.929142857145</v>
      </c>
      <c r="AS40">
        <f>AP40*'4. Agricultura PIB'!$K$31</f>
        <v>573363.38798013458</v>
      </c>
      <c r="AT40">
        <f>AS40*'4. Agricultura PIB'!$D$71</f>
        <v>168568.83606615957</v>
      </c>
      <c r="AU40" s="779">
        <f t="shared" si="2"/>
        <v>805428.1531891512</v>
      </c>
    </row>
    <row r="41" spans="1:47">
      <c r="A41" s="974" t="s">
        <v>886</v>
      </c>
      <c r="B41" s="976">
        <v>154</v>
      </c>
      <c r="C41" s="976">
        <v>1</v>
      </c>
      <c r="D41" s="976">
        <v>124</v>
      </c>
      <c r="E41" s="976">
        <v>23</v>
      </c>
      <c r="F41" s="976">
        <v>18</v>
      </c>
      <c r="G41" s="976">
        <v>0</v>
      </c>
      <c r="H41" s="976"/>
      <c r="I41" s="976"/>
      <c r="J41" s="976">
        <v>0</v>
      </c>
      <c r="K41" s="976">
        <v>3</v>
      </c>
      <c r="L41" s="976">
        <v>6</v>
      </c>
      <c r="M41" s="976">
        <v>0</v>
      </c>
      <c r="N41" s="976"/>
      <c r="O41" s="976"/>
      <c r="P41" s="976">
        <v>302</v>
      </c>
      <c r="Q41" s="977">
        <v>27</v>
      </c>
      <c r="T41" s="983" t="s">
        <v>886</v>
      </c>
      <c r="U41" s="984">
        <v>154</v>
      </c>
      <c r="V41" s="984">
        <v>1</v>
      </c>
      <c r="W41" s="984">
        <v>124</v>
      </c>
      <c r="X41" s="984">
        <v>23</v>
      </c>
      <c r="Y41" s="984">
        <v>18</v>
      </c>
      <c r="Z41" s="984">
        <v>0</v>
      </c>
      <c r="AA41" s="984"/>
      <c r="AB41" s="984"/>
      <c r="AC41" s="984">
        <v>0</v>
      </c>
      <c r="AD41" s="984">
        <v>3</v>
      </c>
      <c r="AE41" s="984">
        <v>6</v>
      </c>
      <c r="AF41" s="984">
        <v>0</v>
      </c>
      <c r="AG41" s="984"/>
      <c r="AH41" s="984"/>
      <c r="AI41" s="984" t="s">
        <v>752</v>
      </c>
      <c r="AJ41" s="984" t="s">
        <v>752</v>
      </c>
      <c r="AK41" s="984">
        <v>302</v>
      </c>
      <c r="AL41" s="984">
        <v>27</v>
      </c>
      <c r="AM41" s="1055">
        <f>AK41*'tecnicecon agric'!$J$57</f>
        <v>143550.66666666666</v>
      </c>
      <c r="AN41" s="1055">
        <f>AL41*'tecnicecon agric'!$J$56</f>
        <v>30499.875</v>
      </c>
      <c r="AO41" s="1055">
        <f t="shared" si="0"/>
        <v>174050.54166666666</v>
      </c>
      <c r="AP41">
        <f>AL41*'tecnicecon agric'!$J$65+'cultius resum'!AK41</f>
        <v>415.4</v>
      </c>
      <c r="AQ41" s="779">
        <f t="shared" si="1"/>
        <v>143550.66666666666</v>
      </c>
      <c r="AR41">
        <f>AN41+AL41*'tecnicecon agric'!$L$58</f>
        <v>35716.46014285714</v>
      </c>
      <c r="AS41">
        <f>AP41*'4. Agricultura PIB'!$K$31</f>
        <v>1181424.3619392256</v>
      </c>
      <c r="AT41">
        <f>AS41*'4. Agricultura PIB'!$D$71</f>
        <v>347338.76241013227</v>
      </c>
      <c r="AU41" s="779">
        <f t="shared" si="2"/>
        <v>1708030.2511588815</v>
      </c>
    </row>
    <row r="42" spans="1:47">
      <c r="A42" s="974" t="s">
        <v>890</v>
      </c>
      <c r="B42" s="976">
        <v>245</v>
      </c>
      <c r="C42" s="976">
        <v>0</v>
      </c>
      <c r="D42" s="976">
        <v>40</v>
      </c>
      <c r="E42" s="976">
        <v>0</v>
      </c>
      <c r="F42" s="976">
        <v>12</v>
      </c>
      <c r="G42" s="976">
        <v>0</v>
      </c>
      <c r="H42" s="976"/>
      <c r="I42" s="976"/>
      <c r="J42" s="976"/>
      <c r="K42" s="976"/>
      <c r="L42" s="976">
        <v>8</v>
      </c>
      <c r="M42" s="976">
        <v>0</v>
      </c>
      <c r="N42" s="976"/>
      <c r="O42" s="976"/>
      <c r="P42" s="976">
        <v>305</v>
      </c>
      <c r="Q42" s="977">
        <v>0</v>
      </c>
      <c r="T42" s="983" t="s">
        <v>890</v>
      </c>
      <c r="U42" s="984">
        <v>245</v>
      </c>
      <c r="V42" s="984">
        <v>0</v>
      </c>
      <c r="W42" s="984">
        <v>40</v>
      </c>
      <c r="X42" s="984">
        <v>0</v>
      </c>
      <c r="Y42" s="984">
        <v>12</v>
      </c>
      <c r="Z42" s="984">
        <v>0</v>
      </c>
      <c r="AA42" s="984"/>
      <c r="AB42" s="984"/>
      <c r="AC42" s="984"/>
      <c r="AD42" s="984"/>
      <c r="AE42" s="984">
        <v>8</v>
      </c>
      <c r="AF42" s="984">
        <v>0</v>
      </c>
      <c r="AG42" s="984"/>
      <c r="AH42" s="984"/>
      <c r="AI42" s="984">
        <v>18</v>
      </c>
      <c r="AJ42" s="984">
        <v>0</v>
      </c>
      <c r="AK42" s="984">
        <v>305</v>
      </c>
      <c r="AL42" s="984">
        <v>0</v>
      </c>
      <c r="AM42" s="1055">
        <f>AK42*'tecnicecon agric'!$J$57</f>
        <v>144976.66666666666</v>
      </c>
      <c r="AN42" s="1055">
        <f>AL42*'tecnicecon agric'!$J$56</f>
        <v>0</v>
      </c>
      <c r="AO42" s="1055">
        <f t="shared" si="0"/>
        <v>144976.66666666666</v>
      </c>
      <c r="AP42">
        <f>AL42*'tecnicecon agric'!$J$65+'cultius resum'!AK42</f>
        <v>305</v>
      </c>
      <c r="AQ42" s="779">
        <f t="shared" si="1"/>
        <v>144976.66666666666</v>
      </c>
      <c r="AR42">
        <f>AN42+AL42*'tecnicecon agric'!$L$58</f>
        <v>0</v>
      </c>
      <c r="AS42">
        <f>AP42*'4. Agricultura PIB'!$K$31</f>
        <v>867439.64947391383</v>
      </c>
      <c r="AT42">
        <f>AS42*'4. Agricultura PIB'!$D$71</f>
        <v>255027.25694533065</v>
      </c>
      <c r="AU42" s="779">
        <f t="shared" si="2"/>
        <v>1267443.5730859111</v>
      </c>
    </row>
    <row r="43" spans="1:47">
      <c r="A43" s="974" t="s">
        <v>881</v>
      </c>
      <c r="B43" s="976">
        <v>1336</v>
      </c>
      <c r="C43" s="976">
        <v>0</v>
      </c>
      <c r="D43" s="976">
        <v>54</v>
      </c>
      <c r="E43" s="976">
        <v>0</v>
      </c>
      <c r="F43" s="976">
        <v>134</v>
      </c>
      <c r="G43" s="976">
        <v>0</v>
      </c>
      <c r="H43" s="976"/>
      <c r="I43" s="976"/>
      <c r="J43" s="976"/>
      <c r="K43" s="976"/>
      <c r="L43" s="976">
        <v>161</v>
      </c>
      <c r="M43" s="976">
        <v>0</v>
      </c>
      <c r="N43" s="976"/>
      <c r="O43" s="976"/>
      <c r="P43" s="976">
        <v>1685</v>
      </c>
      <c r="Q43" s="977">
        <v>0</v>
      </c>
      <c r="T43" s="983" t="s">
        <v>881</v>
      </c>
      <c r="U43" s="984">
        <v>1336</v>
      </c>
      <c r="V43" s="984">
        <v>0</v>
      </c>
      <c r="W43" s="984">
        <v>54</v>
      </c>
      <c r="X43" s="984">
        <v>0</v>
      </c>
      <c r="Y43" s="984">
        <v>134</v>
      </c>
      <c r="Z43" s="984">
        <v>0</v>
      </c>
      <c r="AA43" s="984"/>
      <c r="AB43" s="984"/>
      <c r="AC43" s="984"/>
      <c r="AD43" s="984"/>
      <c r="AE43" s="984">
        <v>161</v>
      </c>
      <c r="AF43" s="984">
        <v>0</v>
      </c>
      <c r="AG43" s="984"/>
      <c r="AH43" s="984"/>
      <c r="AI43" s="984">
        <v>2</v>
      </c>
      <c r="AJ43" s="984">
        <v>0</v>
      </c>
      <c r="AK43" s="984">
        <v>1685</v>
      </c>
      <c r="AL43" s="984">
        <v>0</v>
      </c>
      <c r="AM43" s="1055">
        <f>AK43*'tecnicecon agric'!$J$57</f>
        <v>800936.66666666663</v>
      </c>
      <c r="AN43" s="1055">
        <f>AL43*'tecnicecon agric'!$J$56</f>
        <v>0</v>
      </c>
      <c r="AO43" s="1055">
        <f t="shared" si="0"/>
        <v>800936.66666666663</v>
      </c>
      <c r="AP43">
        <f>AL43*'tecnicecon agric'!$J$65+'cultius resum'!AK43</f>
        <v>1685</v>
      </c>
      <c r="AQ43" s="779">
        <f t="shared" si="1"/>
        <v>800936.66666666663</v>
      </c>
      <c r="AR43">
        <f>AN43+AL43*'tecnicecon agric'!$L$58</f>
        <v>0</v>
      </c>
      <c r="AS43">
        <f>AP43*'4. Agricultura PIB'!$K$31</f>
        <v>4792248.5552903106</v>
      </c>
      <c r="AT43">
        <f>AS43*'4. Agricultura PIB'!$D$71</f>
        <v>1408921.0752553511</v>
      </c>
      <c r="AU43" s="779">
        <f t="shared" si="2"/>
        <v>7002106.2972123288</v>
      </c>
    </row>
    <row r="44" spans="1:47">
      <c r="A44" s="974" t="s">
        <v>894</v>
      </c>
      <c r="B44" s="976">
        <v>4</v>
      </c>
      <c r="C44" s="976">
        <v>0</v>
      </c>
      <c r="D44" s="976">
        <v>31</v>
      </c>
      <c r="E44" s="976">
        <v>5</v>
      </c>
      <c r="F44" s="976"/>
      <c r="G44" s="976"/>
      <c r="H44" s="976"/>
      <c r="I44" s="976"/>
      <c r="J44" s="976"/>
      <c r="K44" s="976"/>
      <c r="L44" s="976">
        <v>0</v>
      </c>
      <c r="M44" s="976">
        <v>1</v>
      </c>
      <c r="N44" s="976">
        <v>1</v>
      </c>
      <c r="O44" s="976">
        <v>0</v>
      </c>
      <c r="P44" s="976">
        <v>36</v>
      </c>
      <c r="Q44" s="977">
        <v>6</v>
      </c>
      <c r="T44" s="983" t="s">
        <v>894</v>
      </c>
      <c r="U44" s="984">
        <v>4</v>
      </c>
      <c r="V44" s="984">
        <v>0</v>
      </c>
      <c r="W44" s="984">
        <v>31</v>
      </c>
      <c r="X44" s="984">
        <v>5</v>
      </c>
      <c r="Y44" s="984"/>
      <c r="Z44" s="984"/>
      <c r="AA44" s="984"/>
      <c r="AB44" s="984"/>
      <c r="AC44" s="984"/>
      <c r="AD44" s="984"/>
      <c r="AE44" s="984">
        <v>0</v>
      </c>
      <c r="AF44" s="984">
        <v>1</v>
      </c>
      <c r="AG44" s="984">
        <v>1</v>
      </c>
      <c r="AH44" s="984">
        <v>0</v>
      </c>
      <c r="AI44" s="984" t="s">
        <v>752</v>
      </c>
      <c r="AJ44" s="984" t="s">
        <v>752</v>
      </c>
      <c r="AK44" s="984">
        <v>36</v>
      </c>
      <c r="AL44" s="984">
        <v>6</v>
      </c>
      <c r="AM44" s="1055">
        <f>AK44*'tecnicecon agric'!$J$57</f>
        <v>17112</v>
      </c>
      <c r="AN44" s="1055">
        <f>AL44*'tecnicecon agric'!$J$56</f>
        <v>6777.75</v>
      </c>
      <c r="AO44" s="1055">
        <f t="shared" si="0"/>
        <v>23889.75</v>
      </c>
      <c r="AP44">
        <f>AL44*'tecnicecon agric'!$J$65+'cultius resum'!AK44</f>
        <v>61.2</v>
      </c>
      <c r="AQ44" s="779">
        <f t="shared" si="1"/>
        <v>17112</v>
      </c>
      <c r="AR44">
        <f>AN44+AL44*'tecnicecon agric'!$L$58</f>
        <v>7936.9911428571431</v>
      </c>
      <c r="AS44">
        <f>AP44*'4. Agricultura PIB'!$K$31</f>
        <v>174056.7427796837</v>
      </c>
      <c r="AT44">
        <f>AS44*'4. Agricultura PIB'!$D$71</f>
        <v>51172.682377227007</v>
      </c>
      <c r="AU44" s="779">
        <f t="shared" si="2"/>
        <v>250278.41629976785</v>
      </c>
    </row>
    <row r="45" spans="1:47">
      <c r="A45" s="974" t="s">
        <v>339</v>
      </c>
      <c r="B45" s="976"/>
      <c r="C45" s="976"/>
      <c r="D45" s="976"/>
      <c r="E45" s="976"/>
      <c r="F45" s="976"/>
      <c r="G45" s="976"/>
      <c r="H45" s="976">
        <v>0</v>
      </c>
      <c r="I45" s="976">
        <v>5</v>
      </c>
      <c r="J45" s="976">
        <v>0</v>
      </c>
      <c r="K45" s="976">
        <v>27</v>
      </c>
      <c r="L45" s="976">
        <v>0</v>
      </c>
      <c r="M45" s="976">
        <v>3</v>
      </c>
      <c r="N45" s="976">
        <v>0</v>
      </c>
      <c r="O45" s="976">
        <v>2</v>
      </c>
      <c r="P45" s="976">
        <v>0</v>
      </c>
      <c r="Q45" s="977">
        <v>37</v>
      </c>
      <c r="T45" s="983" t="s">
        <v>339</v>
      </c>
      <c r="U45" s="984"/>
      <c r="V45" s="984"/>
      <c r="W45" s="984"/>
      <c r="X45" s="984"/>
      <c r="Y45" s="984"/>
      <c r="Z45" s="984"/>
      <c r="AA45" s="984">
        <v>0</v>
      </c>
      <c r="AB45" s="984">
        <v>5</v>
      </c>
      <c r="AC45" s="984">
        <v>0</v>
      </c>
      <c r="AD45" s="984">
        <v>27</v>
      </c>
      <c r="AE45" s="984">
        <v>0</v>
      </c>
      <c r="AF45" s="984">
        <v>3</v>
      </c>
      <c r="AG45" s="984">
        <v>0</v>
      </c>
      <c r="AH45" s="984">
        <v>2</v>
      </c>
      <c r="AI45" s="984">
        <v>0</v>
      </c>
      <c r="AJ45" s="984">
        <v>3</v>
      </c>
      <c r="AK45" s="984">
        <v>0</v>
      </c>
      <c r="AL45" s="984">
        <v>37</v>
      </c>
      <c r="AM45" s="1055">
        <f>AK45*'tecnicecon agric'!$J$57</f>
        <v>0</v>
      </c>
      <c r="AN45" s="1055">
        <f>AL45*'tecnicecon agric'!$J$56</f>
        <v>41796.125</v>
      </c>
      <c r="AO45" s="1055">
        <f t="shared" si="0"/>
        <v>41796.125</v>
      </c>
      <c r="AP45">
        <f>AL45*'tecnicecon agric'!$J$65+'cultius resum'!AK45</f>
        <v>155.4</v>
      </c>
      <c r="AQ45" s="779">
        <f t="shared" si="1"/>
        <v>0</v>
      </c>
      <c r="AR45">
        <f>AN45+AL45*'tecnicecon agric'!$L$58</f>
        <v>48944.778714285712</v>
      </c>
      <c r="AS45">
        <f>AP45*'4. Agricultura PIB'!$K$31</f>
        <v>441967.61156802037</v>
      </c>
      <c r="AT45">
        <f>AS45*'4. Agricultura PIB'!$D$71</f>
        <v>129938.47780099798</v>
      </c>
      <c r="AU45" s="779">
        <f t="shared" si="2"/>
        <v>620850.86808330403</v>
      </c>
    </row>
    <row r="46" spans="1:47">
      <c r="A46" s="974" t="s">
        <v>900</v>
      </c>
      <c r="B46" s="976">
        <v>47</v>
      </c>
      <c r="C46" s="976">
        <v>9</v>
      </c>
      <c r="D46" s="976">
        <v>92</v>
      </c>
      <c r="E46" s="976">
        <v>2</v>
      </c>
      <c r="F46" s="976">
        <v>2</v>
      </c>
      <c r="G46" s="976">
        <v>5</v>
      </c>
      <c r="H46" s="976"/>
      <c r="I46" s="976"/>
      <c r="J46" s="976">
        <v>3</v>
      </c>
      <c r="K46" s="976">
        <v>1</v>
      </c>
      <c r="L46" s="976">
        <v>0</v>
      </c>
      <c r="M46" s="976">
        <v>1</v>
      </c>
      <c r="N46" s="976">
        <v>0</v>
      </c>
      <c r="O46" s="976">
        <v>4</v>
      </c>
      <c r="P46" s="976">
        <v>144</v>
      </c>
      <c r="Q46" s="977">
        <v>22</v>
      </c>
      <c r="T46" s="983" t="s">
        <v>900</v>
      </c>
      <c r="U46" s="984">
        <v>47</v>
      </c>
      <c r="V46" s="984">
        <v>9</v>
      </c>
      <c r="W46" s="984">
        <v>92</v>
      </c>
      <c r="X46" s="984">
        <v>2</v>
      </c>
      <c r="Y46" s="984">
        <v>2</v>
      </c>
      <c r="Z46" s="984">
        <v>5</v>
      </c>
      <c r="AA46" s="984"/>
      <c r="AB46" s="984"/>
      <c r="AC46" s="984">
        <v>3</v>
      </c>
      <c r="AD46" s="984">
        <v>1</v>
      </c>
      <c r="AE46" s="984">
        <v>0</v>
      </c>
      <c r="AF46" s="984">
        <v>1</v>
      </c>
      <c r="AG46" s="984">
        <v>0</v>
      </c>
      <c r="AH46" s="984">
        <v>4</v>
      </c>
      <c r="AI46" s="984">
        <v>1</v>
      </c>
      <c r="AJ46" s="984">
        <v>0</v>
      </c>
      <c r="AK46" s="984">
        <v>144</v>
      </c>
      <c r="AL46" s="984">
        <v>22</v>
      </c>
      <c r="AM46" s="1055">
        <f>AK46*'tecnicecon agric'!$J$57</f>
        <v>68448</v>
      </c>
      <c r="AN46" s="1055">
        <f>AL46*'tecnicecon agric'!$J$56</f>
        <v>24851.75</v>
      </c>
      <c r="AO46" s="1055">
        <f t="shared" si="0"/>
        <v>93299.75</v>
      </c>
      <c r="AP46">
        <f>AL46*'tecnicecon agric'!$J$65+'cultius resum'!AK46</f>
        <v>236.4</v>
      </c>
      <c r="AQ46" s="779">
        <f t="shared" si="1"/>
        <v>68448</v>
      </c>
      <c r="AR46">
        <f>AN46+AL46*'tecnicecon agric'!$L$58</f>
        <v>29102.300857142858</v>
      </c>
      <c r="AS46">
        <f>AP46*'4. Agricultura PIB'!$K$31</f>
        <v>672336.82995289587</v>
      </c>
      <c r="AT46">
        <f>AS46*'4. Agricultura PIB'!$D$71</f>
        <v>197667.02800615138</v>
      </c>
      <c r="AU46" s="779">
        <f t="shared" si="2"/>
        <v>967554.1588161902</v>
      </c>
    </row>
    <row r="47" spans="1:47">
      <c r="A47" s="974" t="s">
        <v>901</v>
      </c>
      <c r="B47" s="976">
        <v>63</v>
      </c>
      <c r="C47" s="976">
        <v>33</v>
      </c>
      <c r="D47" s="976">
        <v>98</v>
      </c>
      <c r="E47" s="976">
        <v>38</v>
      </c>
      <c r="F47" s="976">
        <v>5</v>
      </c>
      <c r="G47" s="976">
        <v>0</v>
      </c>
      <c r="H47" s="976"/>
      <c r="I47" s="976"/>
      <c r="J47" s="976"/>
      <c r="K47" s="976"/>
      <c r="L47" s="976"/>
      <c r="M47" s="976"/>
      <c r="N47" s="976"/>
      <c r="O47" s="976"/>
      <c r="P47" s="976">
        <v>166</v>
      </c>
      <c r="Q47" s="977">
        <v>71</v>
      </c>
      <c r="T47" s="983" t="s">
        <v>901</v>
      </c>
      <c r="U47" s="984">
        <v>63</v>
      </c>
      <c r="V47" s="984">
        <v>33</v>
      </c>
      <c r="W47" s="984">
        <v>98</v>
      </c>
      <c r="X47" s="984">
        <v>38</v>
      </c>
      <c r="Y47" s="984">
        <v>5</v>
      </c>
      <c r="Z47" s="984">
        <v>0</v>
      </c>
      <c r="AA47" s="984"/>
      <c r="AB47" s="984"/>
      <c r="AC47" s="984"/>
      <c r="AD47" s="984"/>
      <c r="AE47" s="984"/>
      <c r="AF47" s="984"/>
      <c r="AG47" s="984"/>
      <c r="AH47" s="984"/>
      <c r="AI47" s="984">
        <v>46</v>
      </c>
      <c r="AJ47" s="984">
        <v>0</v>
      </c>
      <c r="AK47" s="984">
        <v>166</v>
      </c>
      <c r="AL47" s="984">
        <v>71</v>
      </c>
      <c r="AM47" s="1055">
        <f>AK47*'tecnicecon agric'!$J$57</f>
        <v>78905.333333333328</v>
      </c>
      <c r="AN47" s="1055">
        <f>AL47*'tecnicecon agric'!$J$56</f>
        <v>80203.375</v>
      </c>
      <c r="AO47" s="1055">
        <f t="shared" si="0"/>
        <v>159108.70833333331</v>
      </c>
      <c r="AP47">
        <f>AL47*'tecnicecon agric'!$J$65+'cultius resum'!AK47</f>
        <v>464.2</v>
      </c>
      <c r="AQ47" s="779">
        <f t="shared" si="1"/>
        <v>78905.333333333328</v>
      </c>
      <c r="AR47">
        <f>AN47+AL47*'tecnicecon agric'!$L$58</f>
        <v>93921.061857142864</v>
      </c>
      <c r="AS47">
        <f>AP47*'4. Agricultura PIB'!$K$31</f>
        <v>1320214.7058550518</v>
      </c>
      <c r="AT47">
        <f>AS47*'4. Agricultura PIB'!$D$71</f>
        <v>388143.12352138519</v>
      </c>
      <c r="AU47" s="779">
        <f t="shared" si="2"/>
        <v>1881184.2245669132</v>
      </c>
    </row>
    <row r="48" spans="1:47">
      <c r="A48" s="974" t="s">
        <v>906</v>
      </c>
      <c r="B48" s="976">
        <v>10</v>
      </c>
      <c r="C48" s="976">
        <v>0</v>
      </c>
      <c r="D48" s="976">
        <v>4</v>
      </c>
      <c r="E48" s="976">
        <v>0</v>
      </c>
      <c r="F48" s="976"/>
      <c r="G48" s="976"/>
      <c r="H48" s="976"/>
      <c r="I48" s="976"/>
      <c r="J48" s="976"/>
      <c r="K48" s="976"/>
      <c r="L48" s="976"/>
      <c r="M48" s="976"/>
      <c r="N48" s="976">
        <v>1</v>
      </c>
      <c r="O48" s="976">
        <v>0</v>
      </c>
      <c r="P48" s="976">
        <v>15</v>
      </c>
      <c r="Q48" s="977">
        <v>0</v>
      </c>
      <c r="T48" s="983" t="s">
        <v>906</v>
      </c>
      <c r="U48" s="984">
        <v>10</v>
      </c>
      <c r="V48" s="984">
        <v>0</v>
      </c>
      <c r="W48" s="984">
        <v>4</v>
      </c>
      <c r="X48" s="984">
        <v>0</v>
      </c>
      <c r="Y48" s="984"/>
      <c r="Z48" s="984"/>
      <c r="AA48" s="984"/>
      <c r="AB48" s="984"/>
      <c r="AC48" s="984"/>
      <c r="AD48" s="984"/>
      <c r="AE48" s="984"/>
      <c r="AF48" s="984"/>
      <c r="AG48" s="984">
        <v>1</v>
      </c>
      <c r="AH48" s="984">
        <v>0</v>
      </c>
      <c r="AI48" s="984">
        <v>36</v>
      </c>
      <c r="AJ48" s="984">
        <v>3</v>
      </c>
      <c r="AK48" s="984">
        <v>15</v>
      </c>
      <c r="AL48" s="984">
        <v>0</v>
      </c>
      <c r="AM48" s="1055">
        <f>AK48*'tecnicecon agric'!$J$57</f>
        <v>7130</v>
      </c>
      <c r="AN48" s="1055">
        <f>AL48*'tecnicecon agric'!$J$56</f>
        <v>0</v>
      </c>
      <c r="AO48" s="1055">
        <f t="shared" si="0"/>
        <v>7130</v>
      </c>
      <c r="AP48">
        <f>AL48*'tecnicecon agric'!$J$65+'cultius resum'!AK48</f>
        <v>15</v>
      </c>
      <c r="AQ48" s="779">
        <f t="shared" si="1"/>
        <v>7130</v>
      </c>
      <c r="AR48">
        <f>AN48+AL48*'tecnicecon agric'!$L$58</f>
        <v>0</v>
      </c>
      <c r="AS48">
        <f>AP48*'4. Agricultura PIB'!$K$31</f>
        <v>42660.966367569534</v>
      </c>
      <c r="AT48">
        <f>AS48*'4. Agricultura PIB'!$D$71</f>
        <v>12542.324112065442</v>
      </c>
      <c r="AU48" s="779">
        <f t="shared" si="2"/>
        <v>62333.290479634976</v>
      </c>
    </row>
    <row r="49" spans="1:47">
      <c r="A49" s="974" t="s">
        <v>912</v>
      </c>
      <c r="B49" s="976">
        <v>4</v>
      </c>
      <c r="C49" s="976">
        <v>0</v>
      </c>
      <c r="D49" s="976"/>
      <c r="E49" s="976"/>
      <c r="F49" s="976"/>
      <c r="G49" s="976"/>
      <c r="H49" s="976"/>
      <c r="I49" s="976"/>
      <c r="J49" s="976">
        <v>0</v>
      </c>
      <c r="K49" s="976">
        <v>3</v>
      </c>
      <c r="L49" s="976">
        <v>2</v>
      </c>
      <c r="M49" s="976">
        <v>0</v>
      </c>
      <c r="N49" s="976"/>
      <c r="O49" s="976"/>
      <c r="P49" s="976">
        <v>6</v>
      </c>
      <c r="Q49" s="977">
        <v>3</v>
      </c>
      <c r="T49" s="983" t="s">
        <v>912</v>
      </c>
      <c r="U49" s="984">
        <v>4</v>
      </c>
      <c r="V49" s="984">
        <v>0</v>
      </c>
      <c r="W49" s="984"/>
      <c r="X49" s="984"/>
      <c r="Y49" s="984"/>
      <c r="Z49" s="984"/>
      <c r="AA49" s="984"/>
      <c r="AB49" s="984"/>
      <c r="AC49" s="984">
        <v>0</v>
      </c>
      <c r="AD49" s="984">
        <v>3</v>
      </c>
      <c r="AE49" s="984">
        <v>2</v>
      </c>
      <c r="AF49" s="984">
        <v>0</v>
      </c>
      <c r="AG49" s="984"/>
      <c r="AH49" s="984"/>
      <c r="AI49" s="984" t="s">
        <v>752</v>
      </c>
      <c r="AJ49" s="984" t="s">
        <v>752</v>
      </c>
      <c r="AK49" s="984">
        <v>6</v>
      </c>
      <c r="AL49" s="984">
        <v>3</v>
      </c>
      <c r="AM49" s="1055">
        <f>AK49*'tecnicecon agric'!$J$57</f>
        <v>2852</v>
      </c>
      <c r="AN49" s="1055">
        <f>AL49*'tecnicecon agric'!$J$56</f>
        <v>3388.875</v>
      </c>
      <c r="AO49" s="1055">
        <f t="shared" si="0"/>
        <v>6240.875</v>
      </c>
      <c r="AP49">
        <f>AL49*'tecnicecon agric'!$J$65+'cultius resum'!AK49</f>
        <v>18.600000000000001</v>
      </c>
      <c r="AQ49" s="779">
        <f t="shared" si="1"/>
        <v>2852</v>
      </c>
      <c r="AR49">
        <f>AN49+AL49*'tecnicecon agric'!$L$58</f>
        <v>3968.4955714285716</v>
      </c>
      <c r="AS49">
        <f>AP49*'4. Agricultura PIB'!$K$31</f>
        <v>52899.598295786229</v>
      </c>
      <c r="AT49">
        <f>AS49*'4. Agricultura PIB'!$D$71</f>
        <v>15552.48189896115</v>
      </c>
      <c r="AU49" s="779">
        <f t="shared" si="2"/>
        <v>75272.575766175956</v>
      </c>
    </row>
    <row r="50" spans="1:47">
      <c r="A50" s="974" t="s">
        <v>916</v>
      </c>
      <c r="B50" s="976">
        <v>26</v>
      </c>
      <c r="C50" s="976">
        <v>0</v>
      </c>
      <c r="D50" s="976">
        <v>138</v>
      </c>
      <c r="E50" s="976">
        <v>0</v>
      </c>
      <c r="F50" s="976"/>
      <c r="G50" s="976"/>
      <c r="H50" s="976"/>
      <c r="I50" s="976"/>
      <c r="J50" s="976"/>
      <c r="K50" s="976"/>
      <c r="L50" s="976"/>
      <c r="M50" s="976"/>
      <c r="N50" s="976"/>
      <c r="O50" s="976"/>
      <c r="P50" s="976">
        <v>164</v>
      </c>
      <c r="Q50" s="977">
        <v>0</v>
      </c>
      <c r="T50" s="983" t="s">
        <v>916</v>
      </c>
      <c r="U50" s="984">
        <v>26</v>
      </c>
      <c r="V50" s="984">
        <v>0</v>
      </c>
      <c r="W50" s="984">
        <v>138</v>
      </c>
      <c r="X50" s="984">
        <v>0</v>
      </c>
      <c r="Y50" s="984"/>
      <c r="Z50" s="984"/>
      <c r="AA50" s="984"/>
      <c r="AB50" s="984"/>
      <c r="AC50" s="984"/>
      <c r="AD50" s="984"/>
      <c r="AE50" s="984"/>
      <c r="AF50" s="984"/>
      <c r="AG50" s="984"/>
      <c r="AH50" s="984"/>
      <c r="AI50" s="984">
        <v>0</v>
      </c>
      <c r="AJ50" s="984">
        <v>1</v>
      </c>
      <c r="AK50" s="984">
        <v>164</v>
      </c>
      <c r="AL50" s="984">
        <v>0</v>
      </c>
      <c r="AM50" s="1055">
        <f>AK50*'tecnicecon agric'!$J$57</f>
        <v>77954.666666666657</v>
      </c>
      <c r="AN50" s="1055">
        <f>AL50*'tecnicecon agric'!$J$56</f>
        <v>0</v>
      </c>
      <c r="AO50" s="1055">
        <f t="shared" si="0"/>
        <v>77954.666666666657</v>
      </c>
      <c r="AP50">
        <f>AL50*'tecnicecon agric'!$J$65+'cultius resum'!AK50</f>
        <v>164</v>
      </c>
      <c r="AQ50" s="779">
        <f t="shared" si="1"/>
        <v>77954.666666666657</v>
      </c>
      <c r="AR50">
        <f>AN50+AL50*'tecnicecon agric'!$L$58</f>
        <v>0</v>
      </c>
      <c r="AS50">
        <f>AP50*'4. Agricultura PIB'!$K$31</f>
        <v>466426.56561876024</v>
      </c>
      <c r="AT50">
        <f>AS50*'4. Agricultura PIB'!$D$71</f>
        <v>137129.4102919155</v>
      </c>
      <c r="AU50" s="779">
        <f t="shared" si="2"/>
        <v>681510.64257734246</v>
      </c>
    </row>
    <row r="51" spans="1:47">
      <c r="A51" s="974" t="s">
        <v>920</v>
      </c>
      <c r="B51" s="976">
        <v>112</v>
      </c>
      <c r="C51" s="976">
        <v>115</v>
      </c>
      <c r="D51" s="976">
        <v>97</v>
      </c>
      <c r="E51" s="976">
        <v>90</v>
      </c>
      <c r="F51" s="976"/>
      <c r="G51" s="976"/>
      <c r="H51" s="976">
        <v>0</v>
      </c>
      <c r="I51" s="976">
        <v>15</v>
      </c>
      <c r="J51" s="976">
        <v>0</v>
      </c>
      <c r="K51" s="976">
        <v>5</v>
      </c>
      <c r="L51" s="976">
        <v>5</v>
      </c>
      <c r="M51" s="976">
        <v>3</v>
      </c>
      <c r="N51" s="976">
        <v>0</v>
      </c>
      <c r="O51" s="976">
        <v>1</v>
      </c>
      <c r="P51" s="976">
        <v>214</v>
      </c>
      <c r="Q51" s="977">
        <v>229</v>
      </c>
      <c r="T51" s="983" t="s">
        <v>920</v>
      </c>
      <c r="U51" s="984">
        <v>112</v>
      </c>
      <c r="V51" s="984">
        <v>115</v>
      </c>
      <c r="W51" s="984">
        <v>97</v>
      </c>
      <c r="X51" s="984">
        <v>90</v>
      </c>
      <c r="Y51" s="984"/>
      <c r="Z51" s="984"/>
      <c r="AA51" s="984">
        <v>0</v>
      </c>
      <c r="AB51" s="984">
        <v>15</v>
      </c>
      <c r="AC51" s="984">
        <v>0</v>
      </c>
      <c r="AD51" s="984">
        <v>5</v>
      </c>
      <c r="AE51" s="984">
        <v>5</v>
      </c>
      <c r="AF51" s="984">
        <v>3</v>
      </c>
      <c r="AG51" s="984">
        <v>0</v>
      </c>
      <c r="AH51" s="984">
        <v>1</v>
      </c>
      <c r="AI51" s="984">
        <v>3</v>
      </c>
      <c r="AJ51" s="984">
        <v>16</v>
      </c>
      <c r="AK51" s="984">
        <v>214</v>
      </c>
      <c r="AL51" s="984">
        <v>229</v>
      </c>
      <c r="AM51" s="1055">
        <f>AK51*'tecnicecon agric'!$J$57</f>
        <v>101721.33333333333</v>
      </c>
      <c r="AN51" s="1055">
        <f>AL51*'tecnicecon agric'!$J$56</f>
        <v>258684.125</v>
      </c>
      <c r="AO51" s="1055">
        <f t="shared" si="0"/>
        <v>360405.45833333331</v>
      </c>
      <c r="AP51">
        <f>AL51*'tecnicecon agric'!$J$65+'cultius resum'!AK51</f>
        <v>1175.8000000000002</v>
      </c>
      <c r="AQ51" s="779">
        <f t="shared" si="1"/>
        <v>101721.33333333333</v>
      </c>
      <c r="AR51">
        <f>AN51+AL51*'tecnicecon agric'!$L$58</f>
        <v>302928.49528571428</v>
      </c>
      <c r="AS51">
        <f>AP51*'4. Agricultura PIB'!$K$31</f>
        <v>3344050.9503325508</v>
      </c>
      <c r="AT51">
        <f>AS51*'4. Agricultura PIB'!$D$71</f>
        <v>983150.9793977699</v>
      </c>
      <c r="AU51" s="779">
        <f t="shared" si="2"/>
        <v>4731851.7583493683</v>
      </c>
    </row>
    <row r="52" spans="1:47">
      <c r="A52" s="974" t="s">
        <v>924</v>
      </c>
      <c r="B52" s="976">
        <v>1280</v>
      </c>
      <c r="C52" s="976">
        <v>53</v>
      </c>
      <c r="D52" s="976">
        <v>208</v>
      </c>
      <c r="E52" s="976">
        <v>7</v>
      </c>
      <c r="F52" s="976">
        <v>41</v>
      </c>
      <c r="G52" s="976">
        <v>5</v>
      </c>
      <c r="H52" s="976"/>
      <c r="I52" s="976"/>
      <c r="J52" s="976">
        <v>0</v>
      </c>
      <c r="K52" s="976">
        <v>4</v>
      </c>
      <c r="L52" s="976">
        <v>72</v>
      </c>
      <c r="M52" s="976">
        <v>1</v>
      </c>
      <c r="N52" s="976"/>
      <c r="O52" s="976"/>
      <c r="P52" s="976">
        <v>1601</v>
      </c>
      <c r="Q52" s="977">
        <v>70</v>
      </c>
      <c r="T52" s="983" t="s">
        <v>924</v>
      </c>
      <c r="U52" s="984">
        <v>1280</v>
      </c>
      <c r="V52" s="984">
        <v>53</v>
      </c>
      <c r="W52" s="984">
        <v>208</v>
      </c>
      <c r="X52" s="984">
        <v>7</v>
      </c>
      <c r="Y52" s="984">
        <v>41</v>
      </c>
      <c r="Z52" s="984">
        <v>5</v>
      </c>
      <c r="AA52" s="984"/>
      <c r="AB52" s="984"/>
      <c r="AC52" s="984">
        <v>0</v>
      </c>
      <c r="AD52" s="984">
        <v>4</v>
      </c>
      <c r="AE52" s="984">
        <v>72</v>
      </c>
      <c r="AF52" s="984">
        <v>1</v>
      </c>
      <c r="AG52" s="984"/>
      <c r="AH52" s="984"/>
      <c r="AI52" s="984">
        <v>24</v>
      </c>
      <c r="AJ52" s="984">
        <v>8</v>
      </c>
      <c r="AK52" s="984">
        <v>1601</v>
      </c>
      <c r="AL52" s="984">
        <v>70</v>
      </c>
      <c r="AM52" s="1055">
        <f>AK52*'tecnicecon agric'!$J$57</f>
        <v>761008.66666666663</v>
      </c>
      <c r="AN52" s="1055">
        <f>AL52*'tecnicecon agric'!$J$56</f>
        <v>79073.75</v>
      </c>
      <c r="AO52" s="1055">
        <f t="shared" si="0"/>
        <v>840082.41666666663</v>
      </c>
      <c r="AP52">
        <f>AL52*'tecnicecon agric'!$J$65+'cultius resum'!AK52</f>
        <v>1895</v>
      </c>
      <c r="AQ52" s="779">
        <f t="shared" si="1"/>
        <v>761008.66666666663</v>
      </c>
      <c r="AR52">
        <f>AN52+AL52*'tecnicecon agric'!$L$58</f>
        <v>92598.23</v>
      </c>
      <c r="AS52">
        <f>AP52*'4. Agricultura PIB'!$K$31</f>
        <v>5389502.0844362844</v>
      </c>
      <c r="AT52">
        <f>AS52*'4. Agricultura PIB'!$D$71</f>
        <v>1584513.6128242675</v>
      </c>
      <c r="AU52" s="779">
        <f t="shared" si="2"/>
        <v>7827622.5939272186</v>
      </c>
    </row>
    <row r="53" spans="1:47">
      <c r="A53" s="974" t="s">
        <v>929</v>
      </c>
      <c r="B53" s="976">
        <v>156</v>
      </c>
      <c r="C53" s="976">
        <v>0</v>
      </c>
      <c r="D53" s="976">
        <v>35</v>
      </c>
      <c r="E53" s="976">
        <v>0</v>
      </c>
      <c r="F53" s="976">
        <v>14</v>
      </c>
      <c r="G53" s="976">
        <v>0</v>
      </c>
      <c r="H53" s="976"/>
      <c r="I53" s="976"/>
      <c r="J53" s="976"/>
      <c r="K53" s="976"/>
      <c r="L53" s="976"/>
      <c r="M53" s="976"/>
      <c r="N53" s="976"/>
      <c r="O53" s="976"/>
      <c r="P53" s="976">
        <v>205</v>
      </c>
      <c r="Q53" s="977">
        <v>0</v>
      </c>
      <c r="T53" s="983" t="s">
        <v>929</v>
      </c>
      <c r="U53" s="984">
        <v>156</v>
      </c>
      <c r="V53" s="984">
        <v>0</v>
      </c>
      <c r="W53" s="984">
        <v>35</v>
      </c>
      <c r="X53" s="984">
        <v>0</v>
      </c>
      <c r="Y53" s="984">
        <v>14</v>
      </c>
      <c r="Z53" s="984">
        <v>0</v>
      </c>
      <c r="AA53" s="984"/>
      <c r="AB53" s="984"/>
      <c r="AC53" s="984"/>
      <c r="AD53" s="984"/>
      <c r="AE53" s="984"/>
      <c r="AF53" s="984"/>
      <c r="AG53" s="984"/>
      <c r="AH53" s="984"/>
      <c r="AI53" s="984">
        <v>42</v>
      </c>
      <c r="AJ53" s="984">
        <v>3</v>
      </c>
      <c r="AK53" s="984">
        <v>205</v>
      </c>
      <c r="AL53" s="984">
        <v>0</v>
      </c>
      <c r="AM53" s="1055">
        <f>AK53*'tecnicecon agric'!$J$57</f>
        <v>97443.333333333328</v>
      </c>
      <c r="AN53" s="1055">
        <f>AL53*'tecnicecon agric'!$J$56</f>
        <v>0</v>
      </c>
      <c r="AO53" s="1055">
        <f t="shared" si="0"/>
        <v>97443.333333333328</v>
      </c>
      <c r="AP53">
        <f>AL53*'tecnicecon agric'!$J$65+'cultius resum'!AK53</f>
        <v>205</v>
      </c>
      <c r="AQ53" s="779">
        <f t="shared" si="1"/>
        <v>97443.333333333328</v>
      </c>
      <c r="AR53">
        <f>AN53+AL53*'tecnicecon agric'!$L$58</f>
        <v>0</v>
      </c>
      <c r="AS53">
        <f>AP53*'4. Agricultura PIB'!$K$31</f>
        <v>583033.20702345029</v>
      </c>
      <c r="AT53">
        <f>AS53*'4. Agricultura PIB'!$D$71</f>
        <v>171411.76286489438</v>
      </c>
      <c r="AU53" s="779">
        <f t="shared" si="2"/>
        <v>851888.30322167801</v>
      </c>
    </row>
    <row r="54" spans="1:47">
      <c r="A54" s="974" t="s">
        <v>934</v>
      </c>
      <c r="B54" s="976">
        <v>588</v>
      </c>
      <c r="C54" s="976">
        <v>0</v>
      </c>
      <c r="D54" s="976">
        <v>198</v>
      </c>
      <c r="E54" s="976">
        <v>0</v>
      </c>
      <c r="F54" s="976">
        <v>42</v>
      </c>
      <c r="G54" s="976">
        <v>0</v>
      </c>
      <c r="H54" s="976"/>
      <c r="I54" s="976"/>
      <c r="J54" s="976"/>
      <c r="K54" s="976"/>
      <c r="L54" s="976">
        <v>15</v>
      </c>
      <c r="M54" s="976">
        <v>0</v>
      </c>
      <c r="N54" s="976"/>
      <c r="O54" s="976"/>
      <c r="P54" s="976">
        <v>843</v>
      </c>
      <c r="Q54" s="977">
        <v>0</v>
      </c>
      <c r="T54" s="983" t="s">
        <v>934</v>
      </c>
      <c r="U54" s="984">
        <v>588</v>
      </c>
      <c r="V54" s="984">
        <v>0</v>
      </c>
      <c r="W54" s="984">
        <v>198</v>
      </c>
      <c r="X54" s="984">
        <v>0</v>
      </c>
      <c r="Y54" s="984">
        <v>42</v>
      </c>
      <c r="Z54" s="984">
        <v>0</v>
      </c>
      <c r="AA54" s="984"/>
      <c r="AB54" s="984"/>
      <c r="AC54" s="984"/>
      <c r="AD54" s="984"/>
      <c r="AE54" s="984">
        <v>15</v>
      </c>
      <c r="AF54" s="984">
        <v>0</v>
      </c>
      <c r="AG54" s="984"/>
      <c r="AH54" s="984"/>
      <c r="AI54" s="984" t="s">
        <v>752</v>
      </c>
      <c r="AJ54" s="984" t="s">
        <v>752</v>
      </c>
      <c r="AK54" s="984">
        <v>843</v>
      </c>
      <c r="AL54" s="984">
        <v>0</v>
      </c>
      <c r="AM54" s="1055">
        <f>AK54*'tecnicecon agric'!$J$57</f>
        <v>400706</v>
      </c>
      <c r="AN54" s="1055">
        <f>AL54*'tecnicecon agric'!$J$56</f>
        <v>0</v>
      </c>
      <c r="AO54" s="1055">
        <f t="shared" si="0"/>
        <v>400706</v>
      </c>
      <c r="AP54">
        <f>AL54*'tecnicecon agric'!$J$65+'cultius resum'!AK54</f>
        <v>843</v>
      </c>
      <c r="AQ54" s="779">
        <f t="shared" si="1"/>
        <v>400706</v>
      </c>
      <c r="AR54">
        <f>AN54+AL54*'tecnicecon agric'!$L$58</f>
        <v>0</v>
      </c>
      <c r="AS54">
        <f>AP54*'4. Agricultura PIB'!$K$31</f>
        <v>2397546.3098574076</v>
      </c>
      <c r="AT54">
        <f>AS54*'4. Agricultura PIB'!$D$71</f>
        <v>704878.6150980778</v>
      </c>
      <c r="AU54" s="779">
        <f t="shared" si="2"/>
        <v>3503130.9249554854</v>
      </c>
    </row>
    <row r="55" spans="1:47">
      <c r="A55" s="974" t="s">
        <v>980</v>
      </c>
      <c r="B55" s="976"/>
      <c r="C55" s="976"/>
      <c r="D55" s="976">
        <v>28</v>
      </c>
      <c r="E55" s="976">
        <v>0</v>
      </c>
      <c r="F55" s="976"/>
      <c r="G55" s="976"/>
      <c r="H55" s="976"/>
      <c r="I55" s="976"/>
      <c r="J55" s="976"/>
      <c r="K55" s="976"/>
      <c r="L55" s="976"/>
      <c r="M55" s="976"/>
      <c r="N55" s="976"/>
      <c r="O55" s="976"/>
      <c r="P55" s="976">
        <v>28</v>
      </c>
      <c r="Q55" s="977">
        <v>0</v>
      </c>
      <c r="T55" s="983" t="s">
        <v>980</v>
      </c>
      <c r="U55" s="984"/>
      <c r="V55" s="984"/>
      <c r="W55" s="984">
        <v>28</v>
      </c>
      <c r="X55" s="984">
        <v>0</v>
      </c>
      <c r="Y55" s="984"/>
      <c r="Z55" s="984"/>
      <c r="AA55" s="984"/>
      <c r="AB55" s="984"/>
      <c r="AC55" s="984"/>
      <c r="AD55" s="984"/>
      <c r="AE55" s="984"/>
      <c r="AF55" s="984"/>
      <c r="AG55" s="984"/>
      <c r="AH55" s="984"/>
      <c r="AI55" s="984" t="s">
        <v>752</v>
      </c>
      <c r="AJ55" s="984" t="s">
        <v>752</v>
      </c>
      <c r="AK55" s="984">
        <v>28</v>
      </c>
      <c r="AL55" s="984">
        <v>0</v>
      </c>
      <c r="AM55" s="1055">
        <f>AK55*'tecnicecon agric'!$J$57</f>
        <v>13309.333333333332</v>
      </c>
      <c r="AN55" s="1055">
        <f>AL55*'tecnicecon agric'!$J$56</f>
        <v>0</v>
      </c>
      <c r="AO55" s="1055">
        <f t="shared" si="0"/>
        <v>13309.333333333332</v>
      </c>
      <c r="AP55">
        <f>AL55*'tecnicecon agric'!$J$65+'cultius resum'!AK55</f>
        <v>28</v>
      </c>
      <c r="AQ55" s="779">
        <f t="shared" si="1"/>
        <v>13309.333333333332</v>
      </c>
      <c r="AR55">
        <f>AN55+AL55*'tecnicecon agric'!$L$58</f>
        <v>0</v>
      </c>
      <c r="AS55">
        <f>AP55*'4. Agricultura PIB'!$K$31</f>
        <v>79633.803886129797</v>
      </c>
      <c r="AT55">
        <f>AS55*'4. Agricultura PIB'!$D$71</f>
        <v>23412.338342522158</v>
      </c>
      <c r="AU55" s="779">
        <f t="shared" si="2"/>
        <v>116355.47556198528</v>
      </c>
    </row>
    <row r="56" spans="1:47">
      <c r="A56" s="974" t="s">
        <v>942</v>
      </c>
      <c r="B56" s="976"/>
      <c r="C56" s="976"/>
      <c r="D56" s="976">
        <v>4</v>
      </c>
      <c r="E56" s="976">
        <v>0</v>
      </c>
      <c r="F56" s="976"/>
      <c r="G56" s="976"/>
      <c r="H56" s="976"/>
      <c r="I56" s="976"/>
      <c r="J56" s="976"/>
      <c r="K56" s="976"/>
      <c r="L56" s="976"/>
      <c r="M56" s="976"/>
      <c r="N56" s="976"/>
      <c r="O56" s="976"/>
      <c r="P56" s="976">
        <v>4</v>
      </c>
      <c r="Q56" s="977">
        <v>0</v>
      </c>
      <c r="T56" s="983" t="s">
        <v>942</v>
      </c>
      <c r="U56" s="984"/>
      <c r="V56" s="984"/>
      <c r="W56" s="984">
        <v>4</v>
      </c>
      <c r="X56" s="984">
        <v>0</v>
      </c>
      <c r="Y56" s="984"/>
      <c r="Z56" s="984"/>
      <c r="AA56" s="984"/>
      <c r="AB56" s="984"/>
      <c r="AC56" s="984"/>
      <c r="AD56" s="984"/>
      <c r="AE56" s="984"/>
      <c r="AF56" s="984"/>
      <c r="AG56" s="984"/>
      <c r="AH56" s="984"/>
      <c r="AI56" s="984" t="s">
        <v>752</v>
      </c>
      <c r="AJ56" s="984" t="s">
        <v>752</v>
      </c>
      <c r="AK56" s="984">
        <v>4</v>
      </c>
      <c r="AL56" s="984">
        <v>0</v>
      </c>
      <c r="AM56" s="1055">
        <f>AK56*'tecnicecon agric'!$J$57</f>
        <v>1901.3333333333333</v>
      </c>
      <c r="AN56" s="1055">
        <f>AL56*'tecnicecon agric'!$J$56</f>
        <v>0</v>
      </c>
      <c r="AO56" s="1055">
        <f t="shared" si="0"/>
        <v>1901.3333333333333</v>
      </c>
      <c r="AP56">
        <f>AL56*'tecnicecon agric'!$J$65+'cultius resum'!AK56</f>
        <v>4</v>
      </c>
      <c r="AQ56" s="779">
        <f t="shared" si="1"/>
        <v>1901.3333333333333</v>
      </c>
      <c r="AR56">
        <f>AN56+AL56*'tecnicecon agric'!$L$58</f>
        <v>0</v>
      </c>
      <c r="AS56">
        <f>AP56*'4. Agricultura PIB'!$K$31</f>
        <v>11376.257698018542</v>
      </c>
      <c r="AT56">
        <f>AS56*'4. Agricultura PIB'!$D$71</f>
        <v>3344.6197632174512</v>
      </c>
      <c r="AU56" s="779">
        <f t="shared" si="2"/>
        <v>16622.210794569328</v>
      </c>
    </row>
    <row r="57" spans="1:47">
      <c r="A57" s="974" t="s">
        <v>944</v>
      </c>
      <c r="B57" s="976">
        <v>85</v>
      </c>
      <c r="C57" s="976">
        <v>1</v>
      </c>
      <c r="D57" s="976">
        <v>15</v>
      </c>
      <c r="E57" s="976">
        <v>2</v>
      </c>
      <c r="F57" s="976">
        <v>11</v>
      </c>
      <c r="G57" s="976">
        <v>0</v>
      </c>
      <c r="H57" s="976"/>
      <c r="I57" s="976"/>
      <c r="J57" s="976">
        <v>0</v>
      </c>
      <c r="K57" s="976">
        <v>4</v>
      </c>
      <c r="L57" s="976">
        <v>7</v>
      </c>
      <c r="M57" s="976">
        <v>5</v>
      </c>
      <c r="N57" s="976"/>
      <c r="O57" s="976"/>
      <c r="P57" s="976">
        <v>118</v>
      </c>
      <c r="Q57" s="977">
        <v>12</v>
      </c>
      <c r="T57" s="983" t="s">
        <v>944</v>
      </c>
      <c r="U57" s="984">
        <v>85</v>
      </c>
      <c r="V57" s="984">
        <v>1</v>
      </c>
      <c r="W57" s="984">
        <v>15</v>
      </c>
      <c r="X57" s="984">
        <v>2</v>
      </c>
      <c r="Y57" s="984">
        <v>11</v>
      </c>
      <c r="Z57" s="984">
        <v>0</v>
      </c>
      <c r="AA57" s="984"/>
      <c r="AB57" s="984"/>
      <c r="AC57" s="984">
        <v>0</v>
      </c>
      <c r="AD57" s="984">
        <v>4</v>
      </c>
      <c r="AE57" s="984">
        <v>7</v>
      </c>
      <c r="AF57" s="984">
        <v>5</v>
      </c>
      <c r="AG57" s="984"/>
      <c r="AH57" s="984"/>
      <c r="AI57" s="984">
        <v>49</v>
      </c>
      <c r="AJ57" s="984">
        <v>5</v>
      </c>
      <c r="AK57" s="984">
        <v>118</v>
      </c>
      <c r="AL57" s="984">
        <v>12</v>
      </c>
      <c r="AM57" s="1055">
        <f>AK57*'tecnicecon agric'!$J$57</f>
        <v>56089.333333333328</v>
      </c>
      <c r="AN57" s="1055">
        <f>AL57*'tecnicecon agric'!$J$56</f>
        <v>13555.5</v>
      </c>
      <c r="AO57" s="1055">
        <f t="shared" si="0"/>
        <v>69644.833333333328</v>
      </c>
      <c r="AP57">
        <f>AL57*'tecnicecon agric'!$J$65+'cultius resum'!AK57</f>
        <v>168.4</v>
      </c>
      <c r="AQ57" s="779">
        <f t="shared" si="1"/>
        <v>56089.333333333328</v>
      </c>
      <c r="AR57">
        <f>AN57+AL57*'tecnicecon agric'!$L$58</f>
        <v>15873.982285714286</v>
      </c>
      <c r="AS57">
        <f>AP57*'4. Agricultura PIB'!$K$31</f>
        <v>478940.44908658066</v>
      </c>
      <c r="AT57">
        <f>AS57*'4. Agricultura PIB'!$D$71</f>
        <v>140808.49203145472</v>
      </c>
      <c r="AU57" s="779">
        <f t="shared" si="2"/>
        <v>691712.25673708296</v>
      </c>
    </row>
    <row r="58" spans="1:47">
      <c r="A58" s="974" t="s">
        <v>958</v>
      </c>
      <c r="B58" s="976">
        <v>70</v>
      </c>
      <c r="C58" s="976">
        <v>1</v>
      </c>
      <c r="D58" s="976">
        <v>42</v>
      </c>
      <c r="E58" s="976">
        <v>1</v>
      </c>
      <c r="F58" s="976"/>
      <c r="G58" s="976"/>
      <c r="H58" s="976"/>
      <c r="I58" s="976"/>
      <c r="J58" s="976">
        <v>0</v>
      </c>
      <c r="K58" s="976">
        <v>3</v>
      </c>
      <c r="L58" s="976">
        <v>6</v>
      </c>
      <c r="M58" s="976">
        <v>2</v>
      </c>
      <c r="N58" s="976">
        <v>0</v>
      </c>
      <c r="O58" s="976">
        <v>1</v>
      </c>
      <c r="P58" s="976">
        <v>118</v>
      </c>
      <c r="Q58" s="977">
        <v>8</v>
      </c>
      <c r="T58" s="983" t="s">
        <v>958</v>
      </c>
      <c r="U58" s="984">
        <v>70</v>
      </c>
      <c r="V58" s="984">
        <v>1</v>
      </c>
      <c r="W58" s="984">
        <v>42</v>
      </c>
      <c r="X58" s="984">
        <v>1</v>
      </c>
      <c r="Y58" s="984"/>
      <c r="Z58" s="984"/>
      <c r="AA58" s="984"/>
      <c r="AB58" s="984"/>
      <c r="AC58" s="984">
        <v>0</v>
      </c>
      <c r="AD58" s="984">
        <v>3</v>
      </c>
      <c r="AE58" s="984">
        <v>6</v>
      </c>
      <c r="AF58" s="984">
        <v>2</v>
      </c>
      <c r="AG58" s="984">
        <v>0</v>
      </c>
      <c r="AH58" s="984">
        <v>1</v>
      </c>
      <c r="AI58" s="984">
        <v>12</v>
      </c>
      <c r="AJ58" s="984">
        <v>0</v>
      </c>
      <c r="AK58" s="984">
        <v>118</v>
      </c>
      <c r="AL58" s="984">
        <v>8</v>
      </c>
      <c r="AM58" s="1055">
        <f>AK58*'tecnicecon agric'!$J$57</f>
        <v>56089.333333333328</v>
      </c>
      <c r="AN58" s="1055">
        <f>AL58*'tecnicecon agric'!$J$56</f>
        <v>9037</v>
      </c>
      <c r="AO58" s="1055">
        <f t="shared" si="0"/>
        <v>65126.333333333328</v>
      </c>
      <c r="AP58">
        <f>AL58*'tecnicecon agric'!$J$65+'cultius resum'!AK58</f>
        <v>151.6</v>
      </c>
      <c r="AQ58" s="779">
        <f t="shared" si="1"/>
        <v>56089.333333333328</v>
      </c>
      <c r="AR58">
        <f>AN58+AL58*'tecnicecon agric'!$L$58</f>
        <v>10582.654857142858</v>
      </c>
      <c r="AS58">
        <f>AP58*'4. Agricultura PIB'!$K$31</f>
        <v>431160.16675490275</v>
      </c>
      <c r="AT58">
        <f>AS58*'4. Agricultura PIB'!$D$71</f>
        <v>126761.0890259414</v>
      </c>
      <c r="AU58" s="779">
        <f t="shared" si="2"/>
        <v>624593.24397132033</v>
      </c>
    </row>
    <row r="59" spans="1:47">
      <c r="A59" s="974" t="s">
        <v>964</v>
      </c>
      <c r="B59" s="976">
        <v>55</v>
      </c>
      <c r="C59" s="976">
        <v>0</v>
      </c>
      <c r="D59" s="976">
        <v>11</v>
      </c>
      <c r="E59" s="976">
        <v>0</v>
      </c>
      <c r="F59" s="976"/>
      <c r="G59" s="976"/>
      <c r="H59" s="976"/>
      <c r="I59" s="976"/>
      <c r="J59" s="976">
        <v>0</v>
      </c>
      <c r="K59" s="976">
        <v>26</v>
      </c>
      <c r="L59" s="976"/>
      <c r="M59" s="976"/>
      <c r="N59" s="976"/>
      <c r="O59" s="976"/>
      <c r="P59" s="976">
        <v>66</v>
      </c>
      <c r="Q59" s="977">
        <v>26</v>
      </c>
      <c r="T59" s="983" t="s">
        <v>964</v>
      </c>
      <c r="U59" s="984">
        <v>55</v>
      </c>
      <c r="V59" s="984">
        <v>0</v>
      </c>
      <c r="W59" s="984">
        <v>11</v>
      </c>
      <c r="X59" s="984">
        <v>0</v>
      </c>
      <c r="Y59" s="984"/>
      <c r="Z59" s="984"/>
      <c r="AA59" s="984"/>
      <c r="AB59" s="984"/>
      <c r="AC59" s="984">
        <v>0</v>
      </c>
      <c r="AD59" s="984">
        <v>26</v>
      </c>
      <c r="AE59" s="984"/>
      <c r="AF59" s="984"/>
      <c r="AG59" s="984"/>
      <c r="AH59" s="984"/>
      <c r="AI59" s="984">
        <v>50</v>
      </c>
      <c r="AJ59" s="984">
        <v>23</v>
      </c>
      <c r="AK59" s="984">
        <v>66</v>
      </c>
      <c r="AL59" s="984">
        <v>26</v>
      </c>
      <c r="AM59" s="1055">
        <f>AK59*'tecnicecon agric'!$J$57</f>
        <v>31372</v>
      </c>
      <c r="AN59" s="1055">
        <f>AL59*'tecnicecon agric'!$J$56</f>
        <v>29370.25</v>
      </c>
      <c r="AO59" s="1055">
        <f t="shared" si="0"/>
        <v>60742.25</v>
      </c>
      <c r="AP59">
        <f>AL59*'tecnicecon agric'!$J$65+'cultius resum'!AK59</f>
        <v>175.2</v>
      </c>
      <c r="AQ59" s="779">
        <f t="shared" si="1"/>
        <v>31372</v>
      </c>
      <c r="AR59">
        <f>AN59+AL59*'tecnicecon agric'!$L$58</f>
        <v>34393.628285714287</v>
      </c>
      <c r="AS59">
        <f>AP59*'4. Agricultura PIB'!$K$31</f>
        <v>498280.08717321214</v>
      </c>
      <c r="AT59">
        <f>AS59*'4. Agricultura PIB'!$D$71</f>
        <v>146494.34562892438</v>
      </c>
      <c r="AU59" s="779">
        <f t="shared" si="2"/>
        <v>710540.06108785071</v>
      </c>
    </row>
    <row r="60" spans="1:47">
      <c r="A60" s="974" t="s">
        <v>970</v>
      </c>
      <c r="B60" s="976">
        <v>68</v>
      </c>
      <c r="C60" s="976">
        <v>0</v>
      </c>
      <c r="D60" s="976">
        <v>204</v>
      </c>
      <c r="E60" s="976">
        <v>5</v>
      </c>
      <c r="F60" s="976"/>
      <c r="G60" s="976"/>
      <c r="H60" s="976"/>
      <c r="I60" s="976"/>
      <c r="J60" s="976"/>
      <c r="K60" s="976"/>
      <c r="L60" s="976"/>
      <c r="M60" s="976"/>
      <c r="N60" s="976"/>
      <c r="O60" s="976"/>
      <c r="P60" s="976">
        <v>272</v>
      </c>
      <c r="Q60" s="977">
        <v>5</v>
      </c>
      <c r="T60" s="983" t="s">
        <v>970</v>
      </c>
      <c r="U60" s="984">
        <v>68</v>
      </c>
      <c r="V60" s="984">
        <v>0</v>
      </c>
      <c r="W60" s="984">
        <v>204</v>
      </c>
      <c r="X60" s="984">
        <v>5</v>
      </c>
      <c r="Y60" s="984"/>
      <c r="Z60" s="984"/>
      <c r="AA60" s="984"/>
      <c r="AB60" s="984"/>
      <c r="AC60" s="984"/>
      <c r="AD60" s="984"/>
      <c r="AE60" s="984"/>
      <c r="AF60" s="984"/>
      <c r="AG60" s="984"/>
      <c r="AH60" s="984"/>
      <c r="AI60" s="984">
        <v>1</v>
      </c>
      <c r="AJ60" s="984">
        <v>0</v>
      </c>
      <c r="AK60" s="984">
        <v>272</v>
      </c>
      <c r="AL60" s="984">
        <v>5</v>
      </c>
      <c r="AM60" s="1055">
        <f>AK60*'tecnicecon agric'!$J$57</f>
        <v>129290.66666666666</v>
      </c>
      <c r="AN60" s="1055">
        <f>AL60*'tecnicecon agric'!$J$56</f>
        <v>5648.125</v>
      </c>
      <c r="AO60" s="1055">
        <f t="shared" si="0"/>
        <v>134938.79166666666</v>
      </c>
      <c r="AP60">
        <f>AL60*'tecnicecon agric'!$J$65+'cultius resum'!AK60</f>
        <v>293</v>
      </c>
      <c r="AQ60" s="779">
        <f t="shared" si="1"/>
        <v>129290.66666666666</v>
      </c>
      <c r="AR60">
        <f>AN60+AL60*'tecnicecon agric'!$L$58</f>
        <v>6614.1592857142859</v>
      </c>
      <c r="AS60">
        <f>AP60*'4. Agricultura PIB'!$K$31</f>
        <v>833310.87637985824</v>
      </c>
      <c r="AT60">
        <f>AS60*'4. Agricultura PIB'!$D$71</f>
        <v>244993.3976556783</v>
      </c>
      <c r="AU60" s="779">
        <f t="shared" si="2"/>
        <v>1214209.0999879173</v>
      </c>
    </row>
    <row r="61" spans="1:47">
      <c r="A61" s="974" t="s">
        <v>340</v>
      </c>
      <c r="B61" s="976"/>
      <c r="C61" s="976"/>
      <c r="D61" s="976"/>
      <c r="E61" s="976"/>
      <c r="F61" s="976"/>
      <c r="G61" s="976"/>
      <c r="H61" s="976">
        <v>0</v>
      </c>
      <c r="I61" s="976">
        <v>3</v>
      </c>
      <c r="J61" s="976"/>
      <c r="K61" s="976"/>
      <c r="L61" s="976"/>
      <c r="M61" s="976"/>
      <c r="N61" s="976"/>
      <c r="O61" s="976"/>
      <c r="P61" s="976">
        <v>0</v>
      </c>
      <c r="Q61" s="977">
        <v>3</v>
      </c>
      <c r="T61" s="983" t="s">
        <v>340</v>
      </c>
      <c r="U61" s="984"/>
      <c r="V61" s="984"/>
      <c r="W61" s="984"/>
      <c r="X61" s="984"/>
      <c r="Y61" s="984"/>
      <c r="Z61" s="984"/>
      <c r="AA61" s="984">
        <v>0</v>
      </c>
      <c r="AB61" s="984">
        <v>3</v>
      </c>
      <c r="AC61" s="984"/>
      <c r="AD61" s="984"/>
      <c r="AE61" s="984"/>
      <c r="AF61" s="984"/>
      <c r="AG61" s="984"/>
      <c r="AH61" s="984"/>
      <c r="AI61" s="984" t="s">
        <v>752</v>
      </c>
      <c r="AJ61" s="984" t="s">
        <v>752</v>
      </c>
      <c r="AK61" s="984">
        <v>0</v>
      </c>
      <c r="AL61" s="984">
        <v>3</v>
      </c>
      <c r="AM61" s="1055">
        <f>AK61*'tecnicecon agric'!$J$57</f>
        <v>0</v>
      </c>
      <c r="AN61" s="1055">
        <f>AL61*'tecnicecon agric'!$J$56</f>
        <v>3388.875</v>
      </c>
      <c r="AO61" s="1055">
        <f t="shared" si="0"/>
        <v>3388.875</v>
      </c>
      <c r="AP61">
        <f>AL61*'tecnicecon agric'!$J$65+'cultius resum'!AK61</f>
        <v>12.600000000000001</v>
      </c>
      <c r="AQ61" s="779">
        <f t="shared" si="1"/>
        <v>0</v>
      </c>
      <c r="AR61">
        <f>AN61+AL61*'tecnicecon agric'!$L$58</f>
        <v>3968.4955714285716</v>
      </c>
      <c r="AS61">
        <f>AP61*'4. Agricultura PIB'!$K$31</f>
        <v>35835.211748758411</v>
      </c>
      <c r="AT61">
        <f>AS61*'4. Agricultura PIB'!$D$71</f>
        <v>10535.552254134973</v>
      </c>
      <c r="AU61" s="779">
        <f t="shared" si="2"/>
        <v>50339.25957432195</v>
      </c>
    </row>
    <row r="62" spans="1:47">
      <c r="A62" s="974" t="s">
        <v>984</v>
      </c>
      <c r="B62" s="976">
        <v>81</v>
      </c>
      <c r="C62" s="976">
        <v>0</v>
      </c>
      <c r="D62" s="976">
        <v>22</v>
      </c>
      <c r="E62" s="976">
        <v>2</v>
      </c>
      <c r="F62" s="976"/>
      <c r="G62" s="976"/>
      <c r="H62" s="976"/>
      <c r="I62" s="976"/>
      <c r="J62" s="976">
        <v>0</v>
      </c>
      <c r="K62" s="976">
        <v>8</v>
      </c>
      <c r="L62" s="976">
        <v>10</v>
      </c>
      <c r="M62" s="976">
        <v>0</v>
      </c>
      <c r="N62" s="976">
        <v>5</v>
      </c>
      <c r="O62" s="976">
        <v>0</v>
      </c>
      <c r="P62" s="976">
        <v>118</v>
      </c>
      <c r="Q62" s="977">
        <v>10</v>
      </c>
      <c r="T62" s="983" t="s">
        <v>984</v>
      </c>
      <c r="U62" s="984">
        <v>81</v>
      </c>
      <c r="V62" s="984">
        <v>0</v>
      </c>
      <c r="W62" s="984">
        <v>22</v>
      </c>
      <c r="X62" s="984">
        <v>2</v>
      </c>
      <c r="Y62" s="984"/>
      <c r="Z62" s="984"/>
      <c r="AA62" s="984"/>
      <c r="AB62" s="984"/>
      <c r="AC62" s="984">
        <v>0</v>
      </c>
      <c r="AD62" s="984">
        <v>8</v>
      </c>
      <c r="AE62" s="984">
        <v>10</v>
      </c>
      <c r="AF62" s="984">
        <v>0</v>
      </c>
      <c r="AG62" s="984">
        <v>5</v>
      </c>
      <c r="AH62" s="984">
        <v>0</v>
      </c>
      <c r="AI62" s="984">
        <v>1246</v>
      </c>
      <c r="AJ62" s="984">
        <v>18</v>
      </c>
      <c r="AK62" s="984">
        <v>118</v>
      </c>
      <c r="AL62" s="984">
        <v>10</v>
      </c>
      <c r="AM62" s="1055">
        <f>AK62*'tecnicecon agric'!$J$57</f>
        <v>56089.333333333328</v>
      </c>
      <c r="AN62" s="1055">
        <f>AL62*'tecnicecon agric'!$J$56</f>
        <v>11296.25</v>
      </c>
      <c r="AO62" s="1055">
        <f t="shared" si="0"/>
        <v>67385.583333333328</v>
      </c>
      <c r="AP62">
        <f>AL62*'tecnicecon agric'!$J$65+'cultius resum'!AK62</f>
        <v>160</v>
      </c>
      <c r="AQ62" s="779">
        <f t="shared" si="1"/>
        <v>56089.333333333328</v>
      </c>
      <c r="AR62">
        <f>AN62+AL62*'tecnicecon agric'!$L$58</f>
        <v>13228.318571428572</v>
      </c>
      <c r="AS62">
        <f>AP62*'4. Agricultura PIB'!$K$31</f>
        <v>455050.30792074167</v>
      </c>
      <c r="AT62">
        <f>AS62*'4. Agricultura PIB'!$D$71</f>
        <v>133784.79052869804</v>
      </c>
      <c r="AU62" s="779">
        <f t="shared" si="2"/>
        <v>658152.75035420165</v>
      </c>
    </row>
    <row r="63" spans="1:47">
      <c r="A63" s="974" t="s">
        <v>997</v>
      </c>
      <c r="B63" s="976">
        <v>770</v>
      </c>
      <c r="C63" s="976">
        <v>0</v>
      </c>
      <c r="D63" s="976">
        <v>27</v>
      </c>
      <c r="E63" s="976">
        <v>0</v>
      </c>
      <c r="F63" s="976">
        <v>99</v>
      </c>
      <c r="G63" s="976">
        <v>0</v>
      </c>
      <c r="H63" s="976"/>
      <c r="I63" s="976"/>
      <c r="J63" s="976"/>
      <c r="K63" s="976"/>
      <c r="L63" s="976">
        <v>121</v>
      </c>
      <c r="M63" s="976">
        <v>0</v>
      </c>
      <c r="N63" s="976"/>
      <c r="O63" s="976"/>
      <c r="P63" s="976">
        <v>1017</v>
      </c>
      <c r="Q63" s="977">
        <v>0</v>
      </c>
      <c r="T63" s="983" t="s">
        <v>997</v>
      </c>
      <c r="U63" s="984">
        <v>770</v>
      </c>
      <c r="V63" s="984">
        <v>0</v>
      </c>
      <c r="W63" s="984">
        <v>27</v>
      </c>
      <c r="X63" s="984">
        <v>0</v>
      </c>
      <c r="Y63" s="984">
        <v>99</v>
      </c>
      <c r="Z63" s="984">
        <v>0</v>
      </c>
      <c r="AA63" s="984"/>
      <c r="AB63" s="984"/>
      <c r="AC63" s="984"/>
      <c r="AD63" s="984"/>
      <c r="AE63" s="984">
        <v>121</v>
      </c>
      <c r="AF63" s="984">
        <v>0</v>
      </c>
      <c r="AG63" s="984"/>
      <c r="AH63" s="984"/>
      <c r="AI63" s="984">
        <v>7</v>
      </c>
      <c r="AJ63" s="984">
        <v>0</v>
      </c>
      <c r="AK63" s="984">
        <v>1017</v>
      </c>
      <c r="AL63" s="984">
        <v>0</v>
      </c>
      <c r="AM63" s="1055">
        <f>AK63*'tecnicecon agric'!$J$57</f>
        <v>483414</v>
      </c>
      <c r="AN63" s="1055">
        <f>AL63*'tecnicecon agric'!$J$56</f>
        <v>0</v>
      </c>
      <c r="AO63" s="1055">
        <f t="shared" si="0"/>
        <v>483414</v>
      </c>
      <c r="AP63">
        <f>AL63*'tecnicecon agric'!$J$65+'cultius resum'!AK63</f>
        <v>1017</v>
      </c>
      <c r="AQ63" s="779">
        <f t="shared" si="1"/>
        <v>483414</v>
      </c>
      <c r="AR63">
        <f>AN63+AL63*'tecnicecon agric'!$L$58</f>
        <v>0</v>
      </c>
      <c r="AS63">
        <f>AP63*'4. Agricultura PIB'!$K$31</f>
        <v>2892413.5197212142</v>
      </c>
      <c r="AT63">
        <f>AS63*'4. Agricultura PIB'!$D$71</f>
        <v>850369.57479803695</v>
      </c>
      <c r="AU63" s="779">
        <f t="shared" si="2"/>
        <v>4226197.094519251</v>
      </c>
    </row>
    <row r="64" spans="1:47">
      <c r="A64" s="974" t="s">
        <v>993</v>
      </c>
      <c r="B64" s="976">
        <v>814</v>
      </c>
      <c r="C64" s="976">
        <v>1</v>
      </c>
      <c r="D64" s="976">
        <v>123</v>
      </c>
      <c r="E64" s="976">
        <v>0</v>
      </c>
      <c r="F64" s="976">
        <v>4</v>
      </c>
      <c r="G64" s="976">
        <v>0</v>
      </c>
      <c r="H64" s="976"/>
      <c r="I64" s="976"/>
      <c r="J64" s="976">
        <v>1</v>
      </c>
      <c r="K64" s="976">
        <v>3</v>
      </c>
      <c r="L64" s="976">
        <v>20</v>
      </c>
      <c r="M64" s="976">
        <v>2</v>
      </c>
      <c r="N64" s="976">
        <v>2</v>
      </c>
      <c r="O64" s="976">
        <v>0</v>
      </c>
      <c r="P64" s="976">
        <v>964</v>
      </c>
      <c r="Q64" s="977">
        <v>6</v>
      </c>
      <c r="T64" s="983" t="s">
        <v>993</v>
      </c>
      <c r="U64" s="984">
        <v>814</v>
      </c>
      <c r="V64" s="984">
        <v>1</v>
      </c>
      <c r="W64" s="984">
        <v>123</v>
      </c>
      <c r="X64" s="984">
        <v>0</v>
      </c>
      <c r="Y64" s="984">
        <v>4</v>
      </c>
      <c r="Z64" s="984">
        <v>0</v>
      </c>
      <c r="AA64" s="984"/>
      <c r="AB64" s="984"/>
      <c r="AC64" s="984">
        <v>1</v>
      </c>
      <c r="AD64" s="984">
        <v>3</v>
      </c>
      <c r="AE64" s="984">
        <v>20</v>
      </c>
      <c r="AF64" s="984">
        <v>2</v>
      </c>
      <c r="AG64" s="984">
        <v>2</v>
      </c>
      <c r="AH64" s="984">
        <v>0</v>
      </c>
      <c r="AI64" s="984">
        <v>91</v>
      </c>
      <c r="AJ64" s="984">
        <v>3</v>
      </c>
      <c r="AK64" s="984">
        <v>964</v>
      </c>
      <c r="AL64" s="984">
        <v>6</v>
      </c>
      <c r="AM64" s="1055">
        <f>AK64*'tecnicecon agric'!$J$57</f>
        <v>458221.33333333331</v>
      </c>
      <c r="AN64" s="1055">
        <f>AL64*'tecnicecon agric'!$J$56</f>
        <v>6777.75</v>
      </c>
      <c r="AO64" s="1055">
        <f t="shared" si="0"/>
        <v>464999.08333333331</v>
      </c>
      <c r="AP64">
        <f>AL64*'tecnicecon agric'!$J$65+'cultius resum'!AK64</f>
        <v>989.2</v>
      </c>
      <c r="AQ64" s="779">
        <f t="shared" si="1"/>
        <v>458221.33333333331</v>
      </c>
      <c r="AR64">
        <f>AN64+AL64*'tecnicecon agric'!$L$58</f>
        <v>7936.9911428571431</v>
      </c>
      <c r="AS64">
        <f>AP64*'4. Agricultura PIB'!$K$31</f>
        <v>2813348.5287199854</v>
      </c>
      <c r="AT64">
        <f>AS64*'4. Agricultura PIB'!$D$71</f>
        <v>827124.46744367562</v>
      </c>
      <c r="AU64" s="779">
        <f t="shared" si="2"/>
        <v>4106631.3206398515</v>
      </c>
    </row>
    <row r="65" spans="1:47">
      <c r="A65" s="974" t="s">
        <v>1002</v>
      </c>
      <c r="B65" s="976">
        <v>117</v>
      </c>
      <c r="C65" s="976">
        <v>9</v>
      </c>
      <c r="D65" s="976">
        <v>49</v>
      </c>
      <c r="E65" s="976">
        <v>0</v>
      </c>
      <c r="F65" s="976">
        <v>11</v>
      </c>
      <c r="G65" s="976">
        <v>0</v>
      </c>
      <c r="H65" s="976"/>
      <c r="I65" s="976"/>
      <c r="J65" s="976">
        <v>0</v>
      </c>
      <c r="K65" s="976">
        <v>3</v>
      </c>
      <c r="L65" s="976">
        <v>3</v>
      </c>
      <c r="M65" s="976">
        <v>0</v>
      </c>
      <c r="N65" s="976"/>
      <c r="O65" s="976"/>
      <c r="P65" s="976">
        <v>180</v>
      </c>
      <c r="Q65" s="977">
        <v>12</v>
      </c>
      <c r="T65" s="983" t="s">
        <v>1002</v>
      </c>
      <c r="U65" s="984">
        <v>117</v>
      </c>
      <c r="V65" s="984">
        <v>9</v>
      </c>
      <c r="W65" s="984">
        <v>49</v>
      </c>
      <c r="X65" s="984">
        <v>0</v>
      </c>
      <c r="Y65" s="984">
        <v>11</v>
      </c>
      <c r="Z65" s="984">
        <v>0</v>
      </c>
      <c r="AA65" s="984"/>
      <c r="AB65" s="984"/>
      <c r="AC65" s="984">
        <v>0</v>
      </c>
      <c r="AD65" s="984">
        <v>3</v>
      </c>
      <c r="AE65" s="984">
        <v>3</v>
      </c>
      <c r="AF65" s="984">
        <v>0</v>
      </c>
      <c r="AG65" s="984"/>
      <c r="AH65" s="984"/>
      <c r="AI65" s="984">
        <v>7</v>
      </c>
      <c r="AJ65" s="984">
        <v>9</v>
      </c>
      <c r="AK65" s="984">
        <v>180</v>
      </c>
      <c r="AL65" s="984">
        <v>12</v>
      </c>
      <c r="AM65" s="1055">
        <f>AK65*'tecnicecon agric'!$J$57</f>
        <v>85560</v>
      </c>
      <c r="AN65" s="1055">
        <f>AL65*'tecnicecon agric'!$J$56</f>
        <v>13555.5</v>
      </c>
      <c r="AO65" s="1055">
        <f t="shared" si="0"/>
        <v>99115.5</v>
      </c>
      <c r="AP65">
        <f>AL65*'tecnicecon agric'!$J$65+'cultius resum'!AK65</f>
        <v>230.4</v>
      </c>
      <c r="AQ65" s="779">
        <f t="shared" si="1"/>
        <v>85560</v>
      </c>
      <c r="AR65">
        <f>AN65+AL65*'tecnicecon agric'!$L$58</f>
        <v>15873.982285714286</v>
      </c>
      <c r="AS65">
        <f>AP65*'4. Agricultura PIB'!$K$31</f>
        <v>655272.44340586802</v>
      </c>
      <c r="AT65">
        <f>AS65*'4. Agricultura PIB'!$D$71</f>
        <v>192650.09836132519</v>
      </c>
      <c r="AU65" s="779">
        <f t="shared" si="2"/>
        <v>949356.52405290748</v>
      </c>
    </row>
    <row r="66" spans="1:47">
      <c r="A66" s="974" t="s">
        <v>1004</v>
      </c>
      <c r="B66" s="976">
        <v>302</v>
      </c>
      <c r="C66" s="976">
        <v>0</v>
      </c>
      <c r="D66" s="976">
        <v>151</v>
      </c>
      <c r="E66" s="976">
        <v>2</v>
      </c>
      <c r="F66" s="976"/>
      <c r="G66" s="976"/>
      <c r="H66" s="976"/>
      <c r="I66" s="976"/>
      <c r="J66" s="976">
        <v>0</v>
      </c>
      <c r="K66" s="976">
        <v>2</v>
      </c>
      <c r="L66" s="976">
        <v>4</v>
      </c>
      <c r="M66" s="976">
        <v>0</v>
      </c>
      <c r="N66" s="976">
        <v>1</v>
      </c>
      <c r="O66" s="976">
        <v>0</v>
      </c>
      <c r="P66" s="976">
        <v>458</v>
      </c>
      <c r="Q66" s="977">
        <v>4</v>
      </c>
      <c r="T66" s="983" t="s">
        <v>1004</v>
      </c>
      <c r="U66" s="984">
        <v>302</v>
      </c>
      <c r="V66" s="984">
        <v>0</v>
      </c>
      <c r="W66" s="984">
        <v>151</v>
      </c>
      <c r="X66" s="984">
        <v>2</v>
      </c>
      <c r="Y66" s="984"/>
      <c r="Z66" s="984"/>
      <c r="AA66" s="984"/>
      <c r="AB66" s="984"/>
      <c r="AC66" s="984">
        <v>0</v>
      </c>
      <c r="AD66" s="984">
        <v>2</v>
      </c>
      <c r="AE66" s="984">
        <v>4</v>
      </c>
      <c r="AF66" s="984">
        <v>0</v>
      </c>
      <c r="AG66" s="984">
        <v>1</v>
      </c>
      <c r="AH66" s="984">
        <v>0</v>
      </c>
      <c r="AI66" s="984">
        <v>2</v>
      </c>
      <c r="AJ66" s="984">
        <v>0</v>
      </c>
      <c r="AK66" s="984">
        <v>458</v>
      </c>
      <c r="AL66" s="984">
        <v>4</v>
      </c>
      <c r="AM66" s="1055">
        <f>AK66*'tecnicecon agric'!$J$57</f>
        <v>217702.66666666666</v>
      </c>
      <c r="AN66" s="1055">
        <f>AL66*'tecnicecon agric'!$J$56</f>
        <v>4518.5</v>
      </c>
      <c r="AO66" s="1055">
        <f t="shared" si="0"/>
        <v>222221.16666666666</v>
      </c>
      <c r="AP66">
        <f>AL66*'tecnicecon agric'!$J$65+'cultius resum'!AK66</f>
        <v>474.8</v>
      </c>
      <c r="AQ66" s="779">
        <f t="shared" si="1"/>
        <v>217702.66666666666</v>
      </c>
      <c r="AR66">
        <f>AN66+AL66*'tecnicecon agric'!$L$58</f>
        <v>5291.3274285714288</v>
      </c>
      <c r="AS66">
        <f>AP66*'4. Agricultura PIB'!$K$31</f>
        <v>1350361.788754801</v>
      </c>
      <c r="AT66">
        <f>AS66*'4. Agricultura PIB'!$D$71</f>
        <v>397006.36589391145</v>
      </c>
      <c r="AU66" s="779">
        <f t="shared" si="2"/>
        <v>1970362.1487439508</v>
      </c>
    </row>
    <row r="67" spans="1:47">
      <c r="A67" s="974" t="s">
        <v>1008</v>
      </c>
      <c r="B67" s="976">
        <v>193</v>
      </c>
      <c r="C67" s="976">
        <v>0</v>
      </c>
      <c r="D67" s="976">
        <v>57</v>
      </c>
      <c r="E67" s="976">
        <v>0</v>
      </c>
      <c r="F67" s="976">
        <v>8</v>
      </c>
      <c r="G67" s="976">
        <v>0</v>
      </c>
      <c r="H67" s="976"/>
      <c r="I67" s="976"/>
      <c r="J67" s="976">
        <v>0</v>
      </c>
      <c r="K67" s="976">
        <v>3</v>
      </c>
      <c r="L67" s="976">
        <v>16</v>
      </c>
      <c r="M67" s="976">
        <v>0</v>
      </c>
      <c r="N67" s="976"/>
      <c r="O67" s="976"/>
      <c r="P67" s="976">
        <v>274</v>
      </c>
      <c r="Q67" s="977">
        <v>3</v>
      </c>
      <c r="T67" s="983" t="s">
        <v>1008</v>
      </c>
      <c r="U67" s="984">
        <v>193</v>
      </c>
      <c r="V67" s="984">
        <v>0</v>
      </c>
      <c r="W67" s="984">
        <v>57</v>
      </c>
      <c r="X67" s="984">
        <v>0</v>
      </c>
      <c r="Y67" s="984">
        <v>8</v>
      </c>
      <c r="Z67" s="984">
        <v>0</v>
      </c>
      <c r="AA67" s="984"/>
      <c r="AB67" s="984"/>
      <c r="AC67" s="984">
        <v>0</v>
      </c>
      <c r="AD67" s="984">
        <v>3</v>
      </c>
      <c r="AE67" s="984">
        <v>16</v>
      </c>
      <c r="AF67" s="984">
        <v>0</v>
      </c>
      <c r="AG67" s="984"/>
      <c r="AH67" s="984"/>
      <c r="AI67" s="984">
        <v>20</v>
      </c>
      <c r="AJ67" s="984">
        <v>5</v>
      </c>
      <c r="AK67" s="984">
        <v>274</v>
      </c>
      <c r="AL67" s="984">
        <v>3</v>
      </c>
      <c r="AM67" s="1055">
        <f>AK67*'tecnicecon agric'!$J$57</f>
        <v>130241.33333333333</v>
      </c>
      <c r="AN67" s="1055">
        <f>AL67*'tecnicecon agric'!$J$56</f>
        <v>3388.875</v>
      </c>
      <c r="AO67" s="1055">
        <f t="shared" si="0"/>
        <v>133630.20833333331</v>
      </c>
      <c r="AP67">
        <f>AL67*'tecnicecon agric'!$J$65+'cultius resum'!AK67</f>
        <v>286.60000000000002</v>
      </c>
      <c r="AQ67" s="779">
        <f t="shared" si="1"/>
        <v>130241.33333333333</v>
      </c>
      <c r="AR67">
        <f>AN67+AL67*'tecnicecon agric'!$L$58</f>
        <v>3968.4955714285716</v>
      </c>
      <c r="AS67">
        <f>AP67*'4. Agricultura PIB'!$K$31</f>
        <v>815108.8640630286</v>
      </c>
      <c r="AT67">
        <f>AS67*'4. Agricultura PIB'!$D$71</f>
        <v>239642.00603453041</v>
      </c>
      <c r="AU67" s="779">
        <f t="shared" si="2"/>
        <v>1188960.6990023209</v>
      </c>
    </row>
    <row r="68" spans="1:47">
      <c r="A68" s="974" t="s">
        <v>1012</v>
      </c>
      <c r="B68" s="976">
        <v>134</v>
      </c>
      <c r="C68" s="976">
        <v>2</v>
      </c>
      <c r="D68" s="976">
        <v>138</v>
      </c>
      <c r="E68" s="976">
        <v>3</v>
      </c>
      <c r="F68" s="976">
        <v>0</v>
      </c>
      <c r="G68" s="976">
        <v>1</v>
      </c>
      <c r="H68" s="976">
        <v>0</v>
      </c>
      <c r="I68" s="976">
        <v>3</v>
      </c>
      <c r="J68" s="976"/>
      <c r="K68" s="976"/>
      <c r="L68" s="976"/>
      <c r="M68" s="976"/>
      <c r="N68" s="976"/>
      <c r="O68" s="976"/>
      <c r="P68" s="976">
        <v>272</v>
      </c>
      <c r="Q68" s="977">
        <v>9</v>
      </c>
      <c r="T68" s="983" t="s">
        <v>1012</v>
      </c>
      <c r="U68" s="984">
        <v>134</v>
      </c>
      <c r="V68" s="984">
        <v>2</v>
      </c>
      <c r="W68" s="984">
        <v>138</v>
      </c>
      <c r="X68" s="984">
        <v>3</v>
      </c>
      <c r="Y68" s="984">
        <v>0</v>
      </c>
      <c r="Z68" s="984">
        <v>1</v>
      </c>
      <c r="AA68" s="984">
        <v>0</v>
      </c>
      <c r="AB68" s="984">
        <v>3</v>
      </c>
      <c r="AC68" s="984"/>
      <c r="AD68" s="984"/>
      <c r="AE68" s="984"/>
      <c r="AF68" s="984"/>
      <c r="AG68" s="984"/>
      <c r="AH68" s="984"/>
      <c r="AI68" s="984" t="s">
        <v>752</v>
      </c>
      <c r="AJ68" s="984" t="s">
        <v>752</v>
      </c>
      <c r="AK68" s="984">
        <v>272</v>
      </c>
      <c r="AL68" s="984">
        <v>9</v>
      </c>
      <c r="AM68" s="1055">
        <f>AK68*'tecnicecon agric'!$J$57</f>
        <v>129290.66666666666</v>
      </c>
      <c r="AN68" s="1055">
        <f>AL68*'tecnicecon agric'!$J$56</f>
        <v>10166.625</v>
      </c>
      <c r="AO68" s="1055">
        <f t="shared" si="0"/>
        <v>139457.29166666666</v>
      </c>
      <c r="AP68">
        <f>AL68*'tecnicecon agric'!$J$65+'cultius resum'!AK68</f>
        <v>309.8</v>
      </c>
      <c r="AQ68" s="779">
        <f t="shared" si="1"/>
        <v>129290.66666666666</v>
      </c>
      <c r="AR68">
        <f>AN68+AL68*'tecnicecon agric'!$L$58</f>
        <v>11905.486714285715</v>
      </c>
      <c r="AS68">
        <f>AP68*'4. Agricultura PIB'!$K$31</f>
        <v>881091.15871153609</v>
      </c>
      <c r="AT68">
        <f>AS68*'4. Agricultura PIB'!$D$71</f>
        <v>259040.80066119161</v>
      </c>
      <c r="AU68" s="779">
        <f t="shared" si="2"/>
        <v>1281328.11275368</v>
      </c>
    </row>
    <row r="69" spans="1:47">
      <c r="A69" s="974" t="s">
        <v>1014</v>
      </c>
      <c r="B69" s="976">
        <v>67</v>
      </c>
      <c r="C69" s="976">
        <v>3</v>
      </c>
      <c r="D69" s="976">
        <v>7</v>
      </c>
      <c r="E69" s="976">
        <v>0</v>
      </c>
      <c r="F69" s="976"/>
      <c r="G69" s="976"/>
      <c r="H69" s="976"/>
      <c r="I69" s="976"/>
      <c r="J69" s="976">
        <v>7</v>
      </c>
      <c r="K69" s="976">
        <v>0</v>
      </c>
      <c r="L69" s="976">
        <v>4</v>
      </c>
      <c r="M69" s="976">
        <v>0</v>
      </c>
      <c r="N69" s="976">
        <v>5</v>
      </c>
      <c r="O69" s="976">
        <v>1</v>
      </c>
      <c r="P69" s="976">
        <v>90</v>
      </c>
      <c r="Q69" s="977">
        <v>4</v>
      </c>
      <c r="T69" s="983" t="s">
        <v>1014</v>
      </c>
      <c r="U69" s="984">
        <v>67</v>
      </c>
      <c r="V69" s="984">
        <v>3</v>
      </c>
      <c r="W69" s="984">
        <v>7</v>
      </c>
      <c r="X69" s="984">
        <v>0</v>
      </c>
      <c r="Y69" s="984"/>
      <c r="Z69" s="984"/>
      <c r="AA69" s="984"/>
      <c r="AB69" s="984"/>
      <c r="AC69" s="984">
        <v>7</v>
      </c>
      <c r="AD69" s="984">
        <v>0</v>
      </c>
      <c r="AE69" s="984">
        <v>4</v>
      </c>
      <c r="AF69" s="984">
        <v>0</v>
      </c>
      <c r="AG69" s="984">
        <v>5</v>
      </c>
      <c r="AH69" s="984">
        <v>1</v>
      </c>
      <c r="AI69" s="984">
        <v>1311</v>
      </c>
      <c r="AJ69" s="984">
        <v>6</v>
      </c>
      <c r="AK69" s="984">
        <v>90</v>
      </c>
      <c r="AL69" s="984">
        <v>4</v>
      </c>
      <c r="AM69" s="1055">
        <f>AK69*'tecnicecon agric'!$J$57</f>
        <v>42780</v>
      </c>
      <c r="AN69" s="1055">
        <f>AL69*'tecnicecon agric'!$J$56</f>
        <v>4518.5</v>
      </c>
      <c r="AO69" s="1055">
        <f t="shared" si="0"/>
        <v>47298.5</v>
      </c>
      <c r="AP69">
        <f>AL69*'tecnicecon agric'!$J$65+'cultius resum'!AK69</f>
        <v>106.8</v>
      </c>
      <c r="AQ69" s="779">
        <f t="shared" si="1"/>
        <v>42780</v>
      </c>
      <c r="AR69">
        <f>AN69+AL69*'tecnicecon agric'!$L$58</f>
        <v>5291.3274285714288</v>
      </c>
      <c r="AS69">
        <f>AP69*'4. Agricultura PIB'!$K$31</f>
        <v>303746.08053709508</v>
      </c>
      <c r="AT69">
        <f>AS69*'4. Agricultura PIB'!$D$71</f>
        <v>89301.347677905957</v>
      </c>
      <c r="AU69" s="779">
        <f t="shared" si="2"/>
        <v>441118.75564357243</v>
      </c>
    </row>
    <row r="70" spans="1:47">
      <c r="A70" s="974" t="s">
        <v>1021</v>
      </c>
      <c r="B70" s="976">
        <v>5</v>
      </c>
      <c r="C70" s="976">
        <v>0</v>
      </c>
      <c r="D70" s="976"/>
      <c r="E70" s="976"/>
      <c r="F70" s="976"/>
      <c r="G70" s="976"/>
      <c r="H70" s="976"/>
      <c r="I70" s="976"/>
      <c r="J70" s="976">
        <v>0</v>
      </c>
      <c r="K70" s="976">
        <v>1</v>
      </c>
      <c r="L70" s="976"/>
      <c r="M70" s="976"/>
      <c r="N70" s="976"/>
      <c r="O70" s="976"/>
      <c r="P70" s="976">
        <v>5</v>
      </c>
      <c r="Q70" s="977">
        <v>1</v>
      </c>
      <c r="T70" s="983" t="s">
        <v>1021</v>
      </c>
      <c r="U70" s="984">
        <v>5</v>
      </c>
      <c r="V70" s="984">
        <v>0</v>
      </c>
      <c r="W70" s="984"/>
      <c r="X70" s="984"/>
      <c r="Y70" s="984"/>
      <c r="Z70" s="984"/>
      <c r="AA70" s="984"/>
      <c r="AB70" s="984"/>
      <c r="AC70" s="984">
        <v>0</v>
      </c>
      <c r="AD70" s="984">
        <v>1</v>
      </c>
      <c r="AE70" s="984"/>
      <c r="AF70" s="984"/>
      <c r="AG70" s="984"/>
      <c r="AH70" s="984"/>
      <c r="AI70" s="984">
        <v>49</v>
      </c>
      <c r="AJ70" s="984">
        <v>18</v>
      </c>
      <c r="AK70" s="984">
        <v>5</v>
      </c>
      <c r="AL70" s="984">
        <v>1</v>
      </c>
      <c r="AM70" s="1055">
        <f>AK70*'tecnicecon agric'!$J$57</f>
        <v>2376.6666666666665</v>
      </c>
      <c r="AN70" s="1055">
        <f>AL70*'tecnicecon agric'!$J$56</f>
        <v>1129.625</v>
      </c>
      <c r="AO70" s="1055">
        <f t="shared" si="0"/>
        <v>3506.2916666666665</v>
      </c>
      <c r="AP70">
        <f>AL70*'tecnicecon agric'!$J$65+'cultius resum'!AK70</f>
        <v>9.1999999999999993</v>
      </c>
      <c r="AQ70" s="779">
        <f t="shared" si="1"/>
        <v>2376.6666666666665</v>
      </c>
      <c r="AR70">
        <f>AN70+AL70*'tecnicecon agric'!$L$58</f>
        <v>1322.8318571428572</v>
      </c>
      <c r="AS70">
        <f>AP70*'4. Agricultura PIB'!$K$31</f>
        <v>26165.392705442646</v>
      </c>
      <c r="AT70">
        <f>AS70*'4. Agricultura PIB'!$D$71</f>
        <v>7692.6254554001371</v>
      </c>
      <c r="AU70" s="779">
        <f t="shared" si="2"/>
        <v>37557.516684652306</v>
      </c>
    </row>
    <row r="71" spans="1:47">
      <c r="A71" s="974" t="s">
        <v>1025</v>
      </c>
      <c r="B71" s="976">
        <v>203</v>
      </c>
      <c r="C71" s="976">
        <v>2</v>
      </c>
      <c r="D71" s="976">
        <v>140</v>
      </c>
      <c r="E71" s="976">
        <v>0</v>
      </c>
      <c r="F71" s="976">
        <v>29</v>
      </c>
      <c r="G71" s="976">
        <v>0</v>
      </c>
      <c r="H71" s="976"/>
      <c r="I71" s="976"/>
      <c r="J71" s="976"/>
      <c r="K71" s="976"/>
      <c r="L71" s="976">
        <v>1</v>
      </c>
      <c r="M71" s="976">
        <v>0</v>
      </c>
      <c r="N71" s="976">
        <v>3</v>
      </c>
      <c r="O71" s="976">
        <v>0</v>
      </c>
      <c r="P71" s="976">
        <v>376</v>
      </c>
      <c r="Q71" s="977">
        <v>2</v>
      </c>
      <c r="T71" s="983" t="s">
        <v>1025</v>
      </c>
      <c r="U71" s="984">
        <v>203</v>
      </c>
      <c r="V71" s="984">
        <v>2</v>
      </c>
      <c r="W71" s="984">
        <v>140</v>
      </c>
      <c r="X71" s="984">
        <v>0</v>
      </c>
      <c r="Y71" s="984">
        <v>29</v>
      </c>
      <c r="Z71" s="984">
        <v>0</v>
      </c>
      <c r="AA71" s="984"/>
      <c r="AB71" s="984"/>
      <c r="AC71" s="984"/>
      <c r="AD71" s="984"/>
      <c r="AE71" s="984">
        <v>1</v>
      </c>
      <c r="AF71" s="984">
        <v>0</v>
      </c>
      <c r="AG71" s="984">
        <v>3</v>
      </c>
      <c r="AH71" s="984">
        <v>0</v>
      </c>
      <c r="AI71" s="984" t="s">
        <v>752</v>
      </c>
      <c r="AJ71" s="984" t="s">
        <v>752</v>
      </c>
      <c r="AK71" s="984">
        <v>376</v>
      </c>
      <c r="AL71" s="984">
        <v>2</v>
      </c>
      <c r="AM71" s="1055">
        <f>AK71*'tecnicecon agric'!$J$57</f>
        <v>178725.33333333331</v>
      </c>
      <c r="AN71" s="1055">
        <f>AL71*'tecnicecon agric'!$J$56</f>
        <v>2259.25</v>
      </c>
      <c r="AO71" s="1055">
        <f t="shared" ref="AO71:AO134" si="3">AM71+AN71</f>
        <v>180984.58333333331</v>
      </c>
      <c r="AP71">
        <f>AL71*'tecnicecon agric'!$J$65+'cultius resum'!AK71</f>
        <v>384.4</v>
      </c>
      <c r="AQ71" s="779">
        <f t="shared" ref="AQ71:AQ134" si="4">AM71</f>
        <v>178725.33333333331</v>
      </c>
      <c r="AR71">
        <f>AN71+AL71*'tecnicecon agric'!$L$58</f>
        <v>2645.6637142857144</v>
      </c>
      <c r="AS71">
        <f>AP71*'4. Agricultura PIB'!$K$31</f>
        <v>1093258.3647795818</v>
      </c>
      <c r="AT71">
        <f>AS71*'4. Agricultura PIB'!$D$71</f>
        <v>321417.95924519701</v>
      </c>
      <c r="AU71" s="779">
        <f t="shared" ref="AU71:AU134" si="5">SUM(AQ71:AT71)</f>
        <v>1596047.3210723978</v>
      </c>
    </row>
    <row r="72" spans="1:47">
      <c r="A72" s="974" t="s">
        <v>1610</v>
      </c>
      <c r="B72" s="976"/>
      <c r="C72" s="976"/>
      <c r="D72" s="976">
        <v>20</v>
      </c>
      <c r="E72" s="976">
        <v>0</v>
      </c>
      <c r="F72" s="976"/>
      <c r="G72" s="976"/>
      <c r="H72" s="976"/>
      <c r="I72" s="976"/>
      <c r="J72" s="976"/>
      <c r="K72" s="976"/>
      <c r="L72" s="976"/>
      <c r="M72" s="976"/>
      <c r="N72" s="976"/>
      <c r="O72" s="976"/>
      <c r="P72" s="976">
        <v>20</v>
      </c>
      <c r="Q72" s="977">
        <v>0</v>
      </c>
      <c r="T72" s="983" t="s">
        <v>1610</v>
      </c>
      <c r="U72" s="984"/>
      <c r="V72" s="984"/>
      <c r="W72" s="984">
        <v>20</v>
      </c>
      <c r="X72" s="984">
        <v>0</v>
      </c>
      <c r="Y72" s="984"/>
      <c r="Z72" s="984"/>
      <c r="AA72" s="984"/>
      <c r="AB72" s="984"/>
      <c r="AC72" s="984"/>
      <c r="AD72" s="984"/>
      <c r="AE72" s="984"/>
      <c r="AF72" s="984"/>
      <c r="AG72" s="984"/>
      <c r="AH72" s="984"/>
      <c r="AI72" s="984" t="s">
        <v>752</v>
      </c>
      <c r="AJ72" s="984" t="s">
        <v>752</v>
      </c>
      <c r="AK72" s="984">
        <v>20</v>
      </c>
      <c r="AL72" s="984">
        <v>0</v>
      </c>
      <c r="AM72" s="1055">
        <f>AK72*'tecnicecon agric'!$J$57</f>
        <v>9506.6666666666661</v>
      </c>
      <c r="AN72" s="1055">
        <f>AL72*'tecnicecon agric'!$J$56</f>
        <v>0</v>
      </c>
      <c r="AO72" s="1055">
        <f t="shared" si="3"/>
        <v>9506.6666666666661</v>
      </c>
      <c r="AP72">
        <f>AL72*'tecnicecon agric'!$J$65+'cultius resum'!AK72</f>
        <v>20</v>
      </c>
      <c r="AQ72" s="779">
        <f t="shared" si="4"/>
        <v>9506.6666666666661</v>
      </c>
      <c r="AR72">
        <f>AN72+AL72*'tecnicecon agric'!$L$58</f>
        <v>0</v>
      </c>
      <c r="AS72">
        <f>AP72*'4. Agricultura PIB'!$K$31</f>
        <v>56881.288490092709</v>
      </c>
      <c r="AT72">
        <f>AS72*'4. Agricultura PIB'!$D$71</f>
        <v>16723.098816087255</v>
      </c>
      <c r="AU72" s="779">
        <f t="shared" si="5"/>
        <v>83111.053972846625</v>
      </c>
    </row>
    <row r="73" spans="1:47">
      <c r="A73" s="974" t="s">
        <v>1605</v>
      </c>
      <c r="B73" s="976">
        <v>152</v>
      </c>
      <c r="C73" s="976">
        <v>0</v>
      </c>
      <c r="D73" s="976">
        <v>24</v>
      </c>
      <c r="E73" s="976">
        <v>3</v>
      </c>
      <c r="F73" s="976"/>
      <c r="G73" s="976"/>
      <c r="H73" s="976"/>
      <c r="I73" s="976"/>
      <c r="J73" s="976">
        <v>0</v>
      </c>
      <c r="K73" s="976">
        <v>2</v>
      </c>
      <c r="L73" s="976"/>
      <c r="M73" s="976"/>
      <c r="N73" s="976"/>
      <c r="O73" s="976"/>
      <c r="P73" s="976">
        <v>176</v>
      </c>
      <c r="Q73" s="977">
        <v>5</v>
      </c>
      <c r="T73" s="983" t="s">
        <v>1605</v>
      </c>
      <c r="U73" s="984">
        <v>152</v>
      </c>
      <c r="V73" s="984">
        <v>0</v>
      </c>
      <c r="W73" s="984">
        <v>24</v>
      </c>
      <c r="X73" s="984">
        <v>3</v>
      </c>
      <c r="Y73" s="984"/>
      <c r="Z73" s="984"/>
      <c r="AA73" s="984"/>
      <c r="AB73" s="984"/>
      <c r="AC73" s="984">
        <v>0</v>
      </c>
      <c r="AD73" s="984">
        <v>2</v>
      </c>
      <c r="AE73" s="984"/>
      <c r="AF73" s="984"/>
      <c r="AG73" s="984"/>
      <c r="AH73" s="984"/>
      <c r="AI73" s="984">
        <v>4</v>
      </c>
      <c r="AJ73" s="984">
        <v>0</v>
      </c>
      <c r="AK73" s="984">
        <v>176</v>
      </c>
      <c r="AL73" s="984">
        <v>5</v>
      </c>
      <c r="AM73" s="1055">
        <f>AK73*'tecnicecon agric'!$J$57</f>
        <v>83658.666666666657</v>
      </c>
      <c r="AN73" s="1055">
        <f>AL73*'tecnicecon agric'!$J$56</f>
        <v>5648.125</v>
      </c>
      <c r="AO73" s="1055">
        <f t="shared" si="3"/>
        <v>89306.791666666657</v>
      </c>
      <c r="AP73">
        <f>AL73*'tecnicecon agric'!$J$65+'cultius resum'!AK73</f>
        <v>197</v>
      </c>
      <c r="AQ73" s="779">
        <f t="shared" si="4"/>
        <v>83658.666666666657</v>
      </c>
      <c r="AR73">
        <f>AN73+AL73*'tecnicecon agric'!$L$58</f>
        <v>6614.1592857142859</v>
      </c>
      <c r="AS73">
        <f>AP73*'4. Agricultura PIB'!$K$31</f>
        <v>560280.69162741315</v>
      </c>
      <c r="AT73">
        <f>AS73*'4. Agricultura PIB'!$D$71</f>
        <v>164722.52333845946</v>
      </c>
      <c r="AU73" s="779">
        <f t="shared" si="5"/>
        <v>815276.04091825348</v>
      </c>
    </row>
    <row r="74" spans="1:47">
      <c r="A74" s="974" t="s">
        <v>1027</v>
      </c>
      <c r="B74" s="976"/>
      <c r="C74" s="976"/>
      <c r="D74" s="976"/>
      <c r="E74" s="976"/>
      <c r="F74" s="976"/>
      <c r="G74" s="976"/>
      <c r="H74" s="976"/>
      <c r="I74" s="976"/>
      <c r="J74" s="976">
        <v>0</v>
      </c>
      <c r="K74" s="976">
        <v>2</v>
      </c>
      <c r="L74" s="976"/>
      <c r="M74" s="976"/>
      <c r="N74" s="976"/>
      <c r="O74" s="976"/>
      <c r="P74" s="976">
        <v>0</v>
      </c>
      <c r="Q74" s="977">
        <v>2</v>
      </c>
      <c r="T74" s="983" t="s">
        <v>1027</v>
      </c>
      <c r="U74" s="984"/>
      <c r="V74" s="984"/>
      <c r="W74" s="984"/>
      <c r="X74" s="984"/>
      <c r="Y74" s="984"/>
      <c r="Z74" s="984"/>
      <c r="AA74" s="984"/>
      <c r="AB74" s="984"/>
      <c r="AC74" s="984">
        <v>0</v>
      </c>
      <c r="AD74" s="984">
        <v>2</v>
      </c>
      <c r="AE74" s="984"/>
      <c r="AF74" s="984"/>
      <c r="AG74" s="984"/>
      <c r="AH74" s="984"/>
      <c r="AI74" s="984">
        <v>6</v>
      </c>
      <c r="AJ74" s="984">
        <v>15</v>
      </c>
      <c r="AK74" s="984">
        <v>0</v>
      </c>
      <c r="AL74" s="984">
        <v>2</v>
      </c>
      <c r="AM74" s="1055">
        <f>AK74*'tecnicecon agric'!$J$57</f>
        <v>0</v>
      </c>
      <c r="AN74" s="1055">
        <f>AL74*'tecnicecon agric'!$J$56</f>
        <v>2259.25</v>
      </c>
      <c r="AO74" s="1055">
        <f t="shared" si="3"/>
        <v>2259.25</v>
      </c>
      <c r="AP74">
        <f>AL74*'tecnicecon agric'!$J$65+'cultius resum'!AK74</f>
        <v>8.4</v>
      </c>
      <c r="AQ74" s="779">
        <f t="shared" si="4"/>
        <v>0</v>
      </c>
      <c r="AR74">
        <f>AN74+AL74*'tecnicecon agric'!$L$58</f>
        <v>2645.6637142857144</v>
      </c>
      <c r="AS74">
        <f>AP74*'4. Agricultura PIB'!$K$31</f>
        <v>23890.141165838941</v>
      </c>
      <c r="AT74">
        <f>AS74*'4. Agricultura PIB'!$D$71</f>
        <v>7023.7015027566486</v>
      </c>
      <c r="AU74" s="779">
        <f t="shared" si="5"/>
        <v>33559.5063828813</v>
      </c>
    </row>
    <row r="75" spans="1:47">
      <c r="A75" s="974" t="s">
        <v>1030</v>
      </c>
      <c r="B75" s="976">
        <v>42</v>
      </c>
      <c r="C75" s="976">
        <v>0</v>
      </c>
      <c r="D75" s="976">
        <v>1</v>
      </c>
      <c r="E75" s="976">
        <v>0</v>
      </c>
      <c r="F75" s="976"/>
      <c r="G75" s="976"/>
      <c r="H75" s="976"/>
      <c r="I75" s="976"/>
      <c r="J75" s="976">
        <v>0</v>
      </c>
      <c r="K75" s="976">
        <v>2</v>
      </c>
      <c r="L75" s="976"/>
      <c r="M75" s="976"/>
      <c r="N75" s="976"/>
      <c r="O75" s="976"/>
      <c r="P75" s="976">
        <v>43</v>
      </c>
      <c r="Q75" s="977">
        <v>2</v>
      </c>
      <c r="T75" s="983" t="s">
        <v>1030</v>
      </c>
      <c r="U75" s="984">
        <v>42</v>
      </c>
      <c r="V75" s="984">
        <v>0</v>
      </c>
      <c r="W75" s="984">
        <v>1</v>
      </c>
      <c r="X75" s="984">
        <v>0</v>
      </c>
      <c r="Y75" s="984"/>
      <c r="Z75" s="984"/>
      <c r="AA75" s="984"/>
      <c r="AB75" s="984"/>
      <c r="AC75" s="984">
        <v>0</v>
      </c>
      <c r="AD75" s="984">
        <v>2</v>
      </c>
      <c r="AE75" s="984"/>
      <c r="AF75" s="984"/>
      <c r="AG75" s="984"/>
      <c r="AH75" s="984"/>
      <c r="AI75" s="984">
        <v>71</v>
      </c>
      <c r="AJ75" s="984">
        <v>5</v>
      </c>
      <c r="AK75" s="984">
        <v>43</v>
      </c>
      <c r="AL75" s="984">
        <v>2</v>
      </c>
      <c r="AM75" s="1055">
        <f>AK75*'tecnicecon agric'!$J$57</f>
        <v>20439.333333333332</v>
      </c>
      <c r="AN75" s="1055">
        <f>AL75*'tecnicecon agric'!$J$56</f>
        <v>2259.25</v>
      </c>
      <c r="AO75" s="1055">
        <f t="shared" si="3"/>
        <v>22698.583333333332</v>
      </c>
      <c r="AP75">
        <f>AL75*'tecnicecon agric'!$J$65+'cultius resum'!AK75</f>
        <v>51.4</v>
      </c>
      <c r="AQ75" s="779">
        <f t="shared" si="4"/>
        <v>20439.333333333332</v>
      </c>
      <c r="AR75">
        <f>AN75+AL75*'tecnicecon agric'!$L$58</f>
        <v>2645.6637142857144</v>
      </c>
      <c r="AS75">
        <f>AP75*'4. Agricultura PIB'!$K$31</f>
        <v>146184.91141953826</v>
      </c>
      <c r="AT75">
        <f>AS75*'4. Agricultura PIB'!$D$71</f>
        <v>42978.363957344249</v>
      </c>
      <c r="AU75" s="779">
        <f t="shared" si="5"/>
        <v>212248.27242450154</v>
      </c>
    </row>
    <row r="76" spans="1:47">
      <c r="A76" s="974" t="s">
        <v>1034</v>
      </c>
      <c r="B76" s="976">
        <v>176</v>
      </c>
      <c r="C76" s="976">
        <v>0</v>
      </c>
      <c r="D76" s="976">
        <v>196</v>
      </c>
      <c r="E76" s="976">
        <v>0</v>
      </c>
      <c r="F76" s="976"/>
      <c r="G76" s="976"/>
      <c r="H76" s="976"/>
      <c r="I76" s="976"/>
      <c r="J76" s="976"/>
      <c r="K76" s="976"/>
      <c r="L76" s="976">
        <v>2</v>
      </c>
      <c r="M76" s="976">
        <v>0</v>
      </c>
      <c r="N76" s="976">
        <v>1</v>
      </c>
      <c r="O76" s="976">
        <v>0</v>
      </c>
      <c r="P76" s="976">
        <v>375</v>
      </c>
      <c r="Q76" s="977">
        <v>0</v>
      </c>
      <c r="T76" s="983" t="s">
        <v>1034</v>
      </c>
      <c r="U76" s="984">
        <v>176</v>
      </c>
      <c r="V76" s="984">
        <v>0</v>
      </c>
      <c r="W76" s="984">
        <v>196</v>
      </c>
      <c r="X76" s="984">
        <v>0</v>
      </c>
      <c r="Y76" s="984"/>
      <c r="Z76" s="984"/>
      <c r="AA76" s="984"/>
      <c r="AB76" s="984"/>
      <c r="AC76" s="984"/>
      <c r="AD76" s="984"/>
      <c r="AE76" s="984">
        <v>2</v>
      </c>
      <c r="AF76" s="984">
        <v>0</v>
      </c>
      <c r="AG76" s="984">
        <v>1</v>
      </c>
      <c r="AH76" s="984">
        <v>0</v>
      </c>
      <c r="AI76" s="984" t="s">
        <v>752</v>
      </c>
      <c r="AJ76" s="984" t="s">
        <v>752</v>
      </c>
      <c r="AK76" s="984">
        <v>375</v>
      </c>
      <c r="AL76" s="984">
        <v>0</v>
      </c>
      <c r="AM76" s="1055">
        <f>AK76*'tecnicecon agric'!$J$57</f>
        <v>178250</v>
      </c>
      <c r="AN76" s="1055">
        <f>AL76*'tecnicecon agric'!$J$56</f>
        <v>0</v>
      </c>
      <c r="AO76" s="1055">
        <f t="shared" si="3"/>
        <v>178250</v>
      </c>
      <c r="AP76">
        <f>AL76*'tecnicecon agric'!$J$65+'cultius resum'!AK76</f>
        <v>375</v>
      </c>
      <c r="AQ76" s="779">
        <f t="shared" si="4"/>
        <v>178250</v>
      </c>
      <c r="AR76">
        <f>AN76+AL76*'tecnicecon agric'!$L$58</f>
        <v>0</v>
      </c>
      <c r="AS76">
        <f>AP76*'4. Agricultura PIB'!$K$31</f>
        <v>1066524.1591892384</v>
      </c>
      <c r="AT76">
        <f>AS76*'4. Agricultura PIB'!$D$71</f>
        <v>313558.10280163609</v>
      </c>
      <c r="AU76" s="779">
        <f t="shared" si="5"/>
        <v>1558332.2619908745</v>
      </c>
    </row>
    <row r="77" spans="1:47">
      <c r="A77" s="974" t="s">
        <v>1037</v>
      </c>
      <c r="B77" s="976">
        <v>373</v>
      </c>
      <c r="C77" s="976">
        <v>0</v>
      </c>
      <c r="D77" s="976">
        <v>33</v>
      </c>
      <c r="E77" s="976">
        <v>0</v>
      </c>
      <c r="F77" s="976">
        <v>28</v>
      </c>
      <c r="G77" s="976">
        <v>0</v>
      </c>
      <c r="H77" s="976"/>
      <c r="I77" s="976"/>
      <c r="J77" s="976">
        <v>0</v>
      </c>
      <c r="K77" s="976">
        <v>1</v>
      </c>
      <c r="L77" s="976">
        <v>23</v>
      </c>
      <c r="M77" s="976">
        <v>0</v>
      </c>
      <c r="N77" s="976"/>
      <c r="O77" s="976"/>
      <c r="P77" s="976">
        <v>457</v>
      </c>
      <c r="Q77" s="977">
        <v>1</v>
      </c>
      <c r="T77" s="983" t="s">
        <v>1037</v>
      </c>
      <c r="U77" s="984">
        <v>373</v>
      </c>
      <c r="V77" s="984">
        <v>0</v>
      </c>
      <c r="W77" s="984">
        <v>33</v>
      </c>
      <c r="X77" s="984">
        <v>0</v>
      </c>
      <c r="Y77" s="984">
        <v>28</v>
      </c>
      <c r="Z77" s="984">
        <v>0</v>
      </c>
      <c r="AA77" s="984"/>
      <c r="AB77" s="984"/>
      <c r="AC77" s="984">
        <v>0</v>
      </c>
      <c r="AD77" s="984">
        <v>1</v>
      </c>
      <c r="AE77" s="984">
        <v>23</v>
      </c>
      <c r="AF77" s="984">
        <v>0</v>
      </c>
      <c r="AG77" s="984"/>
      <c r="AH77" s="984"/>
      <c r="AI77" s="984">
        <v>13</v>
      </c>
      <c r="AJ77" s="984">
        <v>3</v>
      </c>
      <c r="AK77" s="984">
        <v>457</v>
      </c>
      <c r="AL77" s="984">
        <v>1</v>
      </c>
      <c r="AM77" s="1055">
        <f>AK77*'tecnicecon agric'!$J$57</f>
        <v>217227.33333333331</v>
      </c>
      <c r="AN77" s="1055">
        <f>AL77*'tecnicecon agric'!$J$56</f>
        <v>1129.625</v>
      </c>
      <c r="AO77" s="1055">
        <f t="shared" si="3"/>
        <v>218356.95833333331</v>
      </c>
      <c r="AP77">
        <f>AL77*'tecnicecon agric'!$J$65+'cultius resum'!AK77</f>
        <v>461.2</v>
      </c>
      <c r="AQ77" s="779">
        <f t="shared" si="4"/>
        <v>217227.33333333331</v>
      </c>
      <c r="AR77">
        <f>AN77+AL77*'tecnicecon agric'!$L$58</f>
        <v>1322.8318571428572</v>
      </c>
      <c r="AS77">
        <f>AP77*'4. Agricultura PIB'!$K$31</f>
        <v>1311682.5125815379</v>
      </c>
      <c r="AT77">
        <f>AS77*'4. Agricultura PIB'!$D$71</f>
        <v>385634.65869897214</v>
      </c>
      <c r="AU77" s="779">
        <f t="shared" si="5"/>
        <v>1915867.3364709863</v>
      </c>
    </row>
    <row r="78" spans="1:47">
      <c r="A78" s="974" t="s">
        <v>1046</v>
      </c>
      <c r="B78" s="976"/>
      <c r="C78" s="976"/>
      <c r="D78" s="976"/>
      <c r="E78" s="976"/>
      <c r="F78" s="976"/>
      <c r="G78" s="976"/>
      <c r="H78" s="976">
        <v>0</v>
      </c>
      <c r="I78" s="976">
        <v>4</v>
      </c>
      <c r="J78" s="976">
        <v>0</v>
      </c>
      <c r="K78" s="976">
        <v>9</v>
      </c>
      <c r="L78" s="976"/>
      <c r="M78" s="976"/>
      <c r="N78" s="976"/>
      <c r="O78" s="976"/>
      <c r="P78" s="976">
        <v>0</v>
      </c>
      <c r="Q78" s="977">
        <v>13</v>
      </c>
      <c r="T78" s="983" t="s">
        <v>1043</v>
      </c>
      <c r="U78" s="984"/>
      <c r="V78" s="984"/>
      <c r="W78" s="984"/>
      <c r="X78" s="984"/>
      <c r="Y78" s="984"/>
      <c r="Z78" s="984"/>
      <c r="AA78" s="984"/>
      <c r="AB78" s="984"/>
      <c r="AC78" s="984"/>
      <c r="AD78" s="984"/>
      <c r="AE78" s="984"/>
      <c r="AF78" s="984"/>
      <c r="AG78" s="984"/>
      <c r="AH78" s="984"/>
      <c r="AI78" s="984">
        <v>12</v>
      </c>
      <c r="AJ78" s="984">
        <v>0</v>
      </c>
      <c r="AK78" s="984">
        <v>12</v>
      </c>
      <c r="AL78" s="984">
        <v>0</v>
      </c>
      <c r="AM78" s="1055">
        <f>AK78*'tecnicecon agric'!$J$57</f>
        <v>5704</v>
      </c>
      <c r="AN78" s="1055">
        <f>AL78*'tecnicecon agric'!$J$56</f>
        <v>0</v>
      </c>
      <c r="AO78" s="1055">
        <f t="shared" si="3"/>
        <v>5704</v>
      </c>
      <c r="AP78">
        <f>AL78*'tecnicecon agric'!$J$65+'cultius resum'!AK78</f>
        <v>12</v>
      </c>
      <c r="AQ78" s="779">
        <f t="shared" si="4"/>
        <v>5704</v>
      </c>
      <c r="AR78">
        <f>AN78+AL78*'tecnicecon agric'!$L$58</f>
        <v>0</v>
      </c>
      <c r="AS78">
        <f>AP78*'4. Agricultura PIB'!$K$31</f>
        <v>34128.773094055628</v>
      </c>
      <c r="AT78">
        <f>AS78*'4. Agricultura PIB'!$D$71</f>
        <v>10033.859289652355</v>
      </c>
      <c r="AU78" s="779">
        <f t="shared" si="5"/>
        <v>49866.632383707984</v>
      </c>
    </row>
    <row r="79" spans="1:47">
      <c r="A79" s="974" t="s">
        <v>341</v>
      </c>
      <c r="B79" s="976">
        <v>27</v>
      </c>
      <c r="C79" s="976">
        <v>0</v>
      </c>
      <c r="D79" s="976">
        <v>9</v>
      </c>
      <c r="E79" s="976">
        <v>2</v>
      </c>
      <c r="F79" s="976"/>
      <c r="G79" s="976"/>
      <c r="H79" s="976"/>
      <c r="I79" s="976"/>
      <c r="J79" s="976">
        <v>0</v>
      </c>
      <c r="K79" s="976">
        <v>3</v>
      </c>
      <c r="L79" s="976">
        <v>4</v>
      </c>
      <c r="M79" s="976">
        <v>0</v>
      </c>
      <c r="N79" s="976">
        <v>0</v>
      </c>
      <c r="O79" s="976">
        <v>3</v>
      </c>
      <c r="P79" s="976">
        <v>40</v>
      </c>
      <c r="Q79" s="977">
        <v>8</v>
      </c>
      <c r="T79" s="983" t="s">
        <v>1046</v>
      </c>
      <c r="U79" s="984"/>
      <c r="V79" s="984"/>
      <c r="W79" s="984"/>
      <c r="X79" s="984"/>
      <c r="Y79" s="984"/>
      <c r="Z79" s="984"/>
      <c r="AA79" s="984">
        <v>0</v>
      </c>
      <c r="AB79" s="984">
        <v>4</v>
      </c>
      <c r="AC79" s="984">
        <v>0</v>
      </c>
      <c r="AD79" s="984">
        <v>9</v>
      </c>
      <c r="AE79" s="984"/>
      <c r="AF79" s="984"/>
      <c r="AG79" s="984"/>
      <c r="AH79" s="984"/>
      <c r="AI79" s="984">
        <v>0</v>
      </c>
      <c r="AJ79" s="984">
        <v>2</v>
      </c>
      <c r="AK79" s="984">
        <v>0</v>
      </c>
      <c r="AL79" s="984">
        <v>13</v>
      </c>
      <c r="AM79" s="1055">
        <f>AK79*'tecnicecon agric'!$J$57</f>
        <v>0</v>
      </c>
      <c r="AN79" s="1055">
        <f>AL79*'tecnicecon agric'!$J$56</f>
        <v>14685.125</v>
      </c>
      <c r="AO79" s="1055">
        <f t="shared" si="3"/>
        <v>14685.125</v>
      </c>
      <c r="AP79">
        <f>AL79*'tecnicecon agric'!$J$65+'cultius resum'!AK79</f>
        <v>54.6</v>
      </c>
      <c r="AQ79" s="779">
        <f t="shared" si="4"/>
        <v>0</v>
      </c>
      <c r="AR79">
        <f>AN79+AL79*'tecnicecon agric'!$L$58</f>
        <v>17196.814142857143</v>
      </c>
      <c r="AS79">
        <f>AP79*'4. Agricultura PIB'!$K$31</f>
        <v>155285.91757795311</v>
      </c>
      <c r="AT79">
        <f>AS79*'4. Agricultura PIB'!$D$71</f>
        <v>45654.05976791821</v>
      </c>
      <c r="AU79" s="779">
        <f t="shared" si="5"/>
        <v>218136.79148872849</v>
      </c>
    </row>
    <row r="80" spans="1:47">
      <c r="A80" s="974" t="s">
        <v>1050</v>
      </c>
      <c r="B80" s="976">
        <v>14</v>
      </c>
      <c r="C80" s="976">
        <v>2</v>
      </c>
      <c r="D80" s="976">
        <v>35</v>
      </c>
      <c r="E80" s="976">
        <v>26</v>
      </c>
      <c r="F80" s="976"/>
      <c r="G80" s="976"/>
      <c r="H80" s="976">
        <v>0</v>
      </c>
      <c r="I80" s="976">
        <v>4</v>
      </c>
      <c r="J80" s="976">
        <v>0</v>
      </c>
      <c r="K80" s="976">
        <v>13</v>
      </c>
      <c r="L80" s="976">
        <v>2</v>
      </c>
      <c r="M80" s="976">
        <v>0</v>
      </c>
      <c r="N80" s="976">
        <v>0</v>
      </c>
      <c r="O80" s="976">
        <v>3</v>
      </c>
      <c r="P80" s="976">
        <v>51</v>
      </c>
      <c r="Q80" s="977">
        <v>48</v>
      </c>
      <c r="T80" s="983" t="s">
        <v>341</v>
      </c>
      <c r="U80" s="984">
        <v>27</v>
      </c>
      <c r="V80" s="984">
        <v>0</v>
      </c>
      <c r="W80" s="984">
        <v>9</v>
      </c>
      <c r="X80" s="984">
        <v>2</v>
      </c>
      <c r="Y80" s="984"/>
      <c r="Z80" s="984"/>
      <c r="AA80" s="984"/>
      <c r="AB80" s="984"/>
      <c r="AC80" s="984">
        <v>0</v>
      </c>
      <c r="AD80" s="984">
        <v>3</v>
      </c>
      <c r="AE80" s="984">
        <v>4</v>
      </c>
      <c r="AF80" s="984">
        <v>0</v>
      </c>
      <c r="AG80" s="984">
        <v>0</v>
      </c>
      <c r="AH80" s="984">
        <v>3</v>
      </c>
      <c r="AI80" s="984">
        <v>70</v>
      </c>
      <c r="AJ80" s="984">
        <v>11</v>
      </c>
      <c r="AK80" s="984">
        <v>40</v>
      </c>
      <c r="AL80" s="984">
        <v>8</v>
      </c>
      <c r="AM80" s="1055">
        <f>AK80*'tecnicecon agric'!$J$57</f>
        <v>19013.333333333332</v>
      </c>
      <c r="AN80" s="1055">
        <f>AL80*'tecnicecon agric'!$J$56</f>
        <v>9037</v>
      </c>
      <c r="AO80" s="1055">
        <f t="shared" si="3"/>
        <v>28050.333333333332</v>
      </c>
      <c r="AP80">
        <f>AL80*'tecnicecon agric'!$J$65+'cultius resum'!AK80</f>
        <v>73.599999999999994</v>
      </c>
      <c r="AQ80" s="779">
        <f t="shared" si="4"/>
        <v>19013.333333333332</v>
      </c>
      <c r="AR80">
        <f>AN80+AL80*'tecnicecon agric'!$L$58</f>
        <v>10582.654857142858</v>
      </c>
      <c r="AS80">
        <f>AP80*'4. Agricultura PIB'!$K$31</f>
        <v>209323.14164354117</v>
      </c>
      <c r="AT80">
        <f>AS80*'4. Agricultura PIB'!$D$71</f>
        <v>61541.003643201097</v>
      </c>
      <c r="AU80" s="779">
        <f t="shared" si="5"/>
        <v>300460.13347721845</v>
      </c>
    </row>
    <row r="81" spans="1:47">
      <c r="A81" s="974" t="s">
        <v>1053</v>
      </c>
      <c r="B81" s="976">
        <v>67</v>
      </c>
      <c r="C81" s="976">
        <v>0</v>
      </c>
      <c r="D81" s="976">
        <v>1</v>
      </c>
      <c r="E81" s="976">
        <v>0</v>
      </c>
      <c r="F81" s="976"/>
      <c r="G81" s="976"/>
      <c r="H81" s="976"/>
      <c r="I81" s="976"/>
      <c r="J81" s="976">
        <v>0</v>
      </c>
      <c r="K81" s="976">
        <v>3</v>
      </c>
      <c r="L81" s="976"/>
      <c r="M81" s="976"/>
      <c r="N81" s="976"/>
      <c r="O81" s="976"/>
      <c r="P81" s="976">
        <v>68</v>
      </c>
      <c r="Q81" s="977">
        <v>3</v>
      </c>
      <c r="T81" s="983" t="s">
        <v>1050</v>
      </c>
      <c r="U81" s="984">
        <v>14</v>
      </c>
      <c r="V81" s="984">
        <v>2</v>
      </c>
      <c r="W81" s="984">
        <v>35</v>
      </c>
      <c r="X81" s="984">
        <v>26</v>
      </c>
      <c r="Y81" s="984"/>
      <c r="Z81" s="984"/>
      <c r="AA81" s="984">
        <v>0</v>
      </c>
      <c r="AB81" s="984">
        <v>4</v>
      </c>
      <c r="AC81" s="984">
        <v>0</v>
      </c>
      <c r="AD81" s="984">
        <v>13</v>
      </c>
      <c r="AE81" s="984">
        <v>2</v>
      </c>
      <c r="AF81" s="984">
        <v>0</v>
      </c>
      <c r="AG81" s="984">
        <v>0</v>
      </c>
      <c r="AH81" s="984">
        <v>3</v>
      </c>
      <c r="AI81" s="984">
        <v>3</v>
      </c>
      <c r="AJ81" s="984">
        <v>6</v>
      </c>
      <c r="AK81" s="984">
        <v>51</v>
      </c>
      <c r="AL81" s="984">
        <v>48</v>
      </c>
      <c r="AM81" s="1055">
        <f>AK81*'tecnicecon agric'!$J$57</f>
        <v>24242</v>
      </c>
      <c r="AN81" s="1055">
        <f>AL81*'tecnicecon agric'!$J$56</f>
        <v>54222</v>
      </c>
      <c r="AO81" s="1055">
        <f t="shared" si="3"/>
        <v>78464</v>
      </c>
      <c r="AP81">
        <f>AL81*'tecnicecon agric'!$J$65+'cultius resum'!AK81</f>
        <v>252.60000000000002</v>
      </c>
      <c r="AQ81" s="779">
        <f t="shared" si="4"/>
        <v>24242</v>
      </c>
      <c r="AR81">
        <f>AN81+AL81*'tecnicecon agric'!$L$58</f>
        <v>63495.929142857145</v>
      </c>
      <c r="AS81">
        <f>AP81*'4. Agricultura PIB'!$K$31</f>
        <v>718410.67362987099</v>
      </c>
      <c r="AT81">
        <f>AS81*'4. Agricultura PIB'!$D$71</f>
        <v>211212.73804718207</v>
      </c>
      <c r="AU81" s="779">
        <f t="shared" si="5"/>
        <v>1017361.3408199102</v>
      </c>
    </row>
    <row r="82" spans="1:47">
      <c r="A82" s="974" t="s">
        <v>3282</v>
      </c>
      <c r="B82" s="976">
        <v>534</v>
      </c>
      <c r="C82" s="976">
        <v>0</v>
      </c>
      <c r="D82" s="976">
        <v>391</v>
      </c>
      <c r="E82" s="976">
        <v>0</v>
      </c>
      <c r="F82" s="976">
        <v>12</v>
      </c>
      <c r="G82" s="976">
        <v>0</v>
      </c>
      <c r="H82" s="976"/>
      <c r="I82" s="976"/>
      <c r="J82" s="976"/>
      <c r="K82" s="976"/>
      <c r="L82" s="976">
        <v>12</v>
      </c>
      <c r="M82" s="976">
        <v>0</v>
      </c>
      <c r="N82" s="976"/>
      <c r="O82" s="976"/>
      <c r="P82" s="976">
        <v>949</v>
      </c>
      <c r="Q82" s="977">
        <v>0</v>
      </c>
      <c r="T82" s="983" t="s">
        <v>1053</v>
      </c>
      <c r="U82" s="984">
        <v>67</v>
      </c>
      <c r="V82" s="984">
        <v>0</v>
      </c>
      <c r="W82" s="984">
        <v>1</v>
      </c>
      <c r="X82" s="984">
        <v>0</v>
      </c>
      <c r="Y82" s="984"/>
      <c r="Z82" s="984"/>
      <c r="AA82" s="984"/>
      <c r="AB82" s="984"/>
      <c r="AC82" s="984">
        <v>0</v>
      </c>
      <c r="AD82" s="984">
        <v>3</v>
      </c>
      <c r="AE82" s="984"/>
      <c r="AF82" s="984"/>
      <c r="AG82" s="984"/>
      <c r="AH82" s="984"/>
      <c r="AI82" s="984">
        <v>199</v>
      </c>
      <c r="AJ82" s="984">
        <v>14</v>
      </c>
      <c r="AK82" s="984">
        <v>68</v>
      </c>
      <c r="AL82" s="984">
        <v>3</v>
      </c>
      <c r="AM82" s="1055">
        <f>AK82*'tecnicecon agric'!$J$57</f>
        <v>32322.666666666664</v>
      </c>
      <c r="AN82" s="1055">
        <f>AL82*'tecnicecon agric'!$J$56</f>
        <v>3388.875</v>
      </c>
      <c r="AO82" s="1055">
        <f t="shared" si="3"/>
        <v>35711.541666666664</v>
      </c>
      <c r="AP82">
        <f>AL82*'tecnicecon agric'!$J$65+'cultius resum'!AK82</f>
        <v>80.599999999999994</v>
      </c>
      <c r="AQ82" s="779">
        <f t="shared" si="4"/>
        <v>32322.666666666664</v>
      </c>
      <c r="AR82">
        <f>AN82+AL82*'tecnicecon agric'!$L$58</f>
        <v>3968.4955714285716</v>
      </c>
      <c r="AS82">
        <f>AP82*'4. Agricultura PIB'!$K$31</f>
        <v>229231.5926150736</v>
      </c>
      <c r="AT82">
        <f>AS82*'4. Agricultura PIB'!$D$71</f>
        <v>67394.088228831635</v>
      </c>
      <c r="AU82" s="779">
        <f t="shared" si="5"/>
        <v>332916.8430820005</v>
      </c>
    </row>
    <row r="83" spans="1:47">
      <c r="A83" s="974" t="s">
        <v>3284</v>
      </c>
      <c r="B83" s="976">
        <v>41</v>
      </c>
      <c r="C83" s="976">
        <v>0</v>
      </c>
      <c r="D83" s="976">
        <v>47</v>
      </c>
      <c r="E83" s="976">
        <v>0</v>
      </c>
      <c r="F83" s="976">
        <v>8</v>
      </c>
      <c r="G83" s="976">
        <v>0</v>
      </c>
      <c r="H83" s="976"/>
      <c r="I83" s="976"/>
      <c r="J83" s="976"/>
      <c r="K83" s="976"/>
      <c r="L83" s="976"/>
      <c r="M83" s="976"/>
      <c r="N83" s="976"/>
      <c r="O83" s="976"/>
      <c r="P83" s="976">
        <v>96</v>
      </c>
      <c r="Q83" s="977">
        <v>0</v>
      </c>
      <c r="T83" s="983" t="s">
        <v>1062</v>
      </c>
      <c r="U83" s="984">
        <v>534</v>
      </c>
      <c r="V83" s="984">
        <v>0</v>
      </c>
      <c r="W83" s="984">
        <v>391</v>
      </c>
      <c r="X83" s="984">
        <v>0</v>
      </c>
      <c r="Y83" s="984">
        <v>12</v>
      </c>
      <c r="Z83" s="984">
        <v>0</v>
      </c>
      <c r="AA83" s="984"/>
      <c r="AB83" s="984"/>
      <c r="AC83" s="984"/>
      <c r="AD83" s="984"/>
      <c r="AE83" s="984">
        <v>12</v>
      </c>
      <c r="AF83" s="984">
        <v>0</v>
      </c>
      <c r="AG83" s="984"/>
      <c r="AH83" s="984"/>
      <c r="AI83" s="984" t="s">
        <v>752</v>
      </c>
      <c r="AJ83" s="984" t="s">
        <v>752</v>
      </c>
      <c r="AK83" s="984">
        <v>949</v>
      </c>
      <c r="AL83" s="984">
        <v>0</v>
      </c>
      <c r="AM83" s="1055">
        <f>AK83*'tecnicecon agric'!$J$57</f>
        <v>451091.33333333331</v>
      </c>
      <c r="AN83" s="1055">
        <f>AL83*'tecnicecon agric'!$J$56</f>
        <v>0</v>
      </c>
      <c r="AO83" s="1055">
        <f t="shared" si="3"/>
        <v>451091.33333333331</v>
      </c>
      <c r="AP83">
        <f>AL83*'tecnicecon agric'!$J$65+'cultius resum'!AK83</f>
        <v>949</v>
      </c>
      <c r="AQ83" s="779">
        <f t="shared" si="4"/>
        <v>451091.33333333331</v>
      </c>
      <c r="AR83">
        <f>AN83+AL83*'tecnicecon agric'!$L$58</f>
        <v>0</v>
      </c>
      <c r="AS83">
        <f>AP83*'4. Agricultura PIB'!$K$31</f>
        <v>2699017.138854899</v>
      </c>
      <c r="AT83">
        <f>AS83*'4. Agricultura PIB'!$D$71</f>
        <v>793511.0388233402</v>
      </c>
      <c r="AU83" s="779">
        <f t="shared" si="5"/>
        <v>3943619.5110115726</v>
      </c>
    </row>
    <row r="84" spans="1:47">
      <c r="A84" s="974" t="s">
        <v>3296</v>
      </c>
      <c r="B84" s="976">
        <v>3</v>
      </c>
      <c r="C84" s="976">
        <v>0</v>
      </c>
      <c r="D84" s="976">
        <v>19</v>
      </c>
      <c r="E84" s="976">
        <v>0</v>
      </c>
      <c r="F84" s="976"/>
      <c r="G84" s="976"/>
      <c r="H84" s="976"/>
      <c r="I84" s="976"/>
      <c r="J84" s="976"/>
      <c r="K84" s="976"/>
      <c r="L84" s="976"/>
      <c r="M84" s="976"/>
      <c r="N84" s="976"/>
      <c r="O84" s="976"/>
      <c r="P84" s="976">
        <v>22</v>
      </c>
      <c r="Q84" s="977">
        <v>0</v>
      </c>
      <c r="T84" s="983" t="s">
        <v>1063</v>
      </c>
      <c r="U84" s="984">
        <v>41</v>
      </c>
      <c r="V84" s="984">
        <v>0</v>
      </c>
      <c r="W84" s="984">
        <v>47</v>
      </c>
      <c r="X84" s="984">
        <v>0</v>
      </c>
      <c r="Y84" s="984">
        <v>8</v>
      </c>
      <c r="Z84" s="984">
        <v>0</v>
      </c>
      <c r="AA84" s="984"/>
      <c r="AB84" s="984"/>
      <c r="AC84" s="984"/>
      <c r="AD84" s="984"/>
      <c r="AE84" s="984"/>
      <c r="AF84" s="984"/>
      <c r="AG84" s="984"/>
      <c r="AH84" s="984"/>
      <c r="AI84" s="984" t="s">
        <v>752</v>
      </c>
      <c r="AJ84" s="984" t="s">
        <v>752</v>
      </c>
      <c r="AK84" s="984">
        <v>96</v>
      </c>
      <c r="AL84" s="984">
        <v>0</v>
      </c>
      <c r="AM84" s="1055">
        <f>AK84*'tecnicecon agric'!$J$57</f>
        <v>45632</v>
      </c>
      <c r="AN84" s="1055">
        <f>AL84*'tecnicecon agric'!$J$56</f>
        <v>0</v>
      </c>
      <c r="AO84" s="1055">
        <f t="shared" si="3"/>
        <v>45632</v>
      </c>
      <c r="AP84">
        <f>AL84*'tecnicecon agric'!$J$65+'cultius resum'!AK84</f>
        <v>96</v>
      </c>
      <c r="AQ84" s="779">
        <f t="shared" si="4"/>
        <v>45632</v>
      </c>
      <c r="AR84">
        <f>AN84+AL84*'tecnicecon agric'!$L$58</f>
        <v>0</v>
      </c>
      <c r="AS84">
        <f>AP84*'4. Agricultura PIB'!$K$31</f>
        <v>273030.18475244503</v>
      </c>
      <c r="AT84">
        <f>AS84*'4. Agricultura PIB'!$D$71</f>
        <v>80270.874317218841</v>
      </c>
      <c r="AU84" s="779">
        <f t="shared" si="5"/>
        <v>398933.05906966387</v>
      </c>
    </row>
    <row r="85" spans="1:47">
      <c r="A85" s="974" t="s">
        <v>1071</v>
      </c>
      <c r="B85" s="976">
        <v>36</v>
      </c>
      <c r="C85" s="976">
        <v>22</v>
      </c>
      <c r="D85" s="976">
        <v>61</v>
      </c>
      <c r="E85" s="976">
        <v>20</v>
      </c>
      <c r="F85" s="976">
        <v>13</v>
      </c>
      <c r="G85" s="976">
        <v>4</v>
      </c>
      <c r="H85" s="976">
        <v>0</v>
      </c>
      <c r="I85" s="976">
        <v>1</v>
      </c>
      <c r="J85" s="976"/>
      <c r="K85" s="976"/>
      <c r="L85" s="976">
        <v>4</v>
      </c>
      <c r="M85" s="976">
        <v>8</v>
      </c>
      <c r="N85" s="976">
        <v>0</v>
      </c>
      <c r="O85" s="976">
        <v>4</v>
      </c>
      <c r="P85" s="976">
        <v>114</v>
      </c>
      <c r="Q85" s="977">
        <v>59</v>
      </c>
      <c r="T85" s="983" t="s">
        <v>1253</v>
      </c>
      <c r="U85" s="984">
        <v>3</v>
      </c>
      <c r="V85" s="984">
        <v>0</v>
      </c>
      <c r="W85" s="984">
        <v>19</v>
      </c>
      <c r="X85" s="984">
        <v>0</v>
      </c>
      <c r="Y85" s="984"/>
      <c r="Z85" s="984"/>
      <c r="AA85" s="984"/>
      <c r="AB85" s="984"/>
      <c r="AC85" s="984"/>
      <c r="AD85" s="984"/>
      <c r="AE85" s="984"/>
      <c r="AF85" s="984"/>
      <c r="AG85" s="984"/>
      <c r="AH85" s="984"/>
      <c r="AI85" s="984" t="s">
        <v>752</v>
      </c>
      <c r="AJ85" s="984" t="s">
        <v>752</v>
      </c>
      <c r="AK85" s="984">
        <v>22</v>
      </c>
      <c r="AL85" s="984">
        <v>0</v>
      </c>
      <c r="AM85" s="1055">
        <f>AK85*'tecnicecon agric'!$J$57</f>
        <v>10457.333333333332</v>
      </c>
      <c r="AN85" s="1055">
        <f>AL85*'tecnicecon agric'!$J$56</f>
        <v>0</v>
      </c>
      <c r="AO85" s="1055">
        <f t="shared" si="3"/>
        <v>10457.333333333332</v>
      </c>
      <c r="AP85">
        <f>AL85*'tecnicecon agric'!$J$65+'cultius resum'!AK85</f>
        <v>22</v>
      </c>
      <c r="AQ85" s="779">
        <f t="shared" si="4"/>
        <v>10457.333333333332</v>
      </c>
      <c r="AR85">
        <f>AN85+AL85*'tecnicecon agric'!$L$58</f>
        <v>0</v>
      </c>
      <c r="AS85">
        <f>AP85*'4. Agricultura PIB'!$K$31</f>
        <v>62569.417339101979</v>
      </c>
      <c r="AT85">
        <f>AS85*'4. Agricultura PIB'!$D$71</f>
        <v>18395.408697695981</v>
      </c>
      <c r="AU85" s="779">
        <f t="shared" si="5"/>
        <v>91422.159370131296</v>
      </c>
    </row>
    <row r="86" spans="1:47">
      <c r="A86" s="974" t="s">
        <v>1068</v>
      </c>
      <c r="B86" s="976">
        <v>14</v>
      </c>
      <c r="C86" s="976">
        <v>5</v>
      </c>
      <c r="D86" s="976">
        <v>12</v>
      </c>
      <c r="E86" s="976">
        <v>13</v>
      </c>
      <c r="F86" s="976"/>
      <c r="G86" s="976"/>
      <c r="H86" s="976">
        <v>0</v>
      </c>
      <c r="I86" s="976">
        <v>2</v>
      </c>
      <c r="J86" s="976"/>
      <c r="K86" s="976"/>
      <c r="L86" s="976"/>
      <c r="M86" s="976"/>
      <c r="N86" s="976"/>
      <c r="O86" s="976"/>
      <c r="P86" s="976">
        <v>26</v>
      </c>
      <c r="Q86" s="977">
        <v>20</v>
      </c>
      <c r="T86" s="983" t="s">
        <v>1071</v>
      </c>
      <c r="U86" s="984">
        <v>36</v>
      </c>
      <c r="V86" s="984">
        <v>22</v>
      </c>
      <c r="W86" s="984">
        <v>61</v>
      </c>
      <c r="X86" s="984">
        <v>20</v>
      </c>
      <c r="Y86" s="984">
        <v>13</v>
      </c>
      <c r="Z86" s="984">
        <v>4</v>
      </c>
      <c r="AA86" s="984">
        <v>0</v>
      </c>
      <c r="AB86" s="984">
        <v>1</v>
      </c>
      <c r="AC86" s="984"/>
      <c r="AD86" s="984"/>
      <c r="AE86" s="984">
        <v>4</v>
      </c>
      <c r="AF86" s="984">
        <v>8</v>
      </c>
      <c r="AG86" s="984">
        <v>0</v>
      </c>
      <c r="AH86" s="984">
        <v>4</v>
      </c>
      <c r="AI86" s="984">
        <v>2</v>
      </c>
      <c r="AJ86" s="984">
        <v>4</v>
      </c>
      <c r="AK86" s="984">
        <v>114</v>
      </c>
      <c r="AL86" s="984">
        <v>59</v>
      </c>
      <c r="AM86" s="1055">
        <f>AK86*'tecnicecon agric'!$J$57</f>
        <v>54188</v>
      </c>
      <c r="AN86" s="1055">
        <f>AL86*'tecnicecon agric'!$J$56</f>
        <v>66647.875</v>
      </c>
      <c r="AO86" s="1055">
        <f t="shared" si="3"/>
        <v>120835.875</v>
      </c>
      <c r="AP86">
        <f>AL86*'tecnicecon agric'!$J$65+'cultius resum'!AK86</f>
        <v>361.8</v>
      </c>
      <c r="AQ86" s="779">
        <f t="shared" si="4"/>
        <v>54188</v>
      </c>
      <c r="AR86">
        <f>AN86+AL86*'tecnicecon agric'!$L$58</f>
        <v>78047.079571428578</v>
      </c>
      <c r="AS86">
        <f>AP86*'4. Agricultura PIB'!$K$31</f>
        <v>1028982.5087857771</v>
      </c>
      <c r="AT86">
        <f>AS86*'4. Agricultura PIB'!$D$71</f>
        <v>302520.85758301849</v>
      </c>
      <c r="AU86" s="779">
        <f t="shared" si="5"/>
        <v>1463738.4459402242</v>
      </c>
    </row>
    <row r="87" spans="1:47">
      <c r="A87" s="974" t="s">
        <v>1077</v>
      </c>
      <c r="B87" s="976">
        <v>379</v>
      </c>
      <c r="C87" s="976">
        <v>11</v>
      </c>
      <c r="D87" s="976">
        <v>171</v>
      </c>
      <c r="E87" s="976">
        <v>0</v>
      </c>
      <c r="F87" s="976">
        <v>15</v>
      </c>
      <c r="G87" s="976">
        <v>0</v>
      </c>
      <c r="H87" s="976"/>
      <c r="I87" s="976"/>
      <c r="J87" s="976">
        <v>0</v>
      </c>
      <c r="K87" s="976">
        <v>1</v>
      </c>
      <c r="L87" s="976">
        <v>18</v>
      </c>
      <c r="M87" s="976">
        <v>0</v>
      </c>
      <c r="N87" s="976">
        <v>1</v>
      </c>
      <c r="O87" s="976">
        <v>0</v>
      </c>
      <c r="P87" s="976">
        <v>584</v>
      </c>
      <c r="Q87" s="977">
        <v>12</v>
      </c>
      <c r="T87" s="983" t="s">
        <v>1068</v>
      </c>
      <c r="U87" s="984">
        <v>14</v>
      </c>
      <c r="V87" s="984">
        <v>5</v>
      </c>
      <c r="W87" s="984">
        <v>12</v>
      </c>
      <c r="X87" s="984">
        <v>13</v>
      </c>
      <c r="Y87" s="984"/>
      <c r="Z87" s="984"/>
      <c r="AA87" s="984">
        <v>0</v>
      </c>
      <c r="AB87" s="984">
        <v>2</v>
      </c>
      <c r="AC87" s="984"/>
      <c r="AD87" s="984"/>
      <c r="AE87" s="984"/>
      <c r="AF87" s="984"/>
      <c r="AG87" s="984"/>
      <c r="AH87" s="984"/>
      <c r="AI87" s="984">
        <v>33</v>
      </c>
      <c r="AJ87" s="984">
        <v>0</v>
      </c>
      <c r="AK87" s="984">
        <v>26</v>
      </c>
      <c r="AL87" s="984">
        <v>20</v>
      </c>
      <c r="AM87" s="1055">
        <f>AK87*'tecnicecon agric'!$J$57</f>
        <v>12358.666666666666</v>
      </c>
      <c r="AN87" s="1055">
        <f>AL87*'tecnicecon agric'!$J$56</f>
        <v>22592.5</v>
      </c>
      <c r="AO87" s="1055">
        <f t="shared" si="3"/>
        <v>34951.166666666664</v>
      </c>
      <c r="AP87">
        <f>AL87*'tecnicecon agric'!$J$65+'cultius resum'!AK87</f>
        <v>110</v>
      </c>
      <c r="AQ87" s="779">
        <f t="shared" si="4"/>
        <v>12358.666666666666</v>
      </c>
      <c r="AR87">
        <f>AN87+AL87*'tecnicecon agric'!$L$58</f>
        <v>26456.637142857144</v>
      </c>
      <c r="AS87">
        <f>AP87*'4. Agricultura PIB'!$K$31</f>
        <v>312847.0866955099</v>
      </c>
      <c r="AT87">
        <f>AS87*'4. Agricultura PIB'!$D$71</f>
        <v>91977.043488479903</v>
      </c>
      <c r="AU87" s="779">
        <f t="shared" si="5"/>
        <v>443639.43399351364</v>
      </c>
    </row>
    <row r="88" spans="1:47">
      <c r="A88" s="974" t="s">
        <v>1078</v>
      </c>
      <c r="B88" s="976">
        <v>1197</v>
      </c>
      <c r="C88" s="976">
        <v>4</v>
      </c>
      <c r="D88" s="976">
        <v>169</v>
      </c>
      <c r="E88" s="976">
        <v>15</v>
      </c>
      <c r="F88" s="976">
        <v>71</v>
      </c>
      <c r="G88" s="976">
        <v>0</v>
      </c>
      <c r="H88" s="976"/>
      <c r="I88" s="976"/>
      <c r="J88" s="976">
        <v>0</v>
      </c>
      <c r="K88" s="976">
        <v>2</v>
      </c>
      <c r="L88" s="976">
        <v>49</v>
      </c>
      <c r="M88" s="976">
        <v>0</v>
      </c>
      <c r="N88" s="976"/>
      <c r="O88" s="976"/>
      <c r="P88" s="976">
        <v>1486</v>
      </c>
      <c r="Q88" s="977">
        <v>21</v>
      </c>
      <c r="T88" s="983" t="s">
        <v>1077</v>
      </c>
      <c r="U88" s="984">
        <v>379</v>
      </c>
      <c r="V88" s="984">
        <v>11</v>
      </c>
      <c r="W88" s="984">
        <v>171</v>
      </c>
      <c r="X88" s="984">
        <v>0</v>
      </c>
      <c r="Y88" s="984">
        <v>15</v>
      </c>
      <c r="Z88" s="984">
        <v>0</v>
      </c>
      <c r="AA88" s="984"/>
      <c r="AB88" s="984"/>
      <c r="AC88" s="984">
        <v>0</v>
      </c>
      <c r="AD88" s="984">
        <v>1</v>
      </c>
      <c r="AE88" s="984">
        <v>18</v>
      </c>
      <c r="AF88" s="984">
        <v>0</v>
      </c>
      <c r="AG88" s="984">
        <v>1</v>
      </c>
      <c r="AH88" s="984">
        <v>0</v>
      </c>
      <c r="AI88" s="984" t="s">
        <v>752</v>
      </c>
      <c r="AJ88" s="984" t="s">
        <v>752</v>
      </c>
      <c r="AK88" s="984">
        <v>584</v>
      </c>
      <c r="AL88" s="984">
        <v>12</v>
      </c>
      <c r="AM88" s="1055">
        <f>AK88*'tecnicecon agric'!$J$57</f>
        <v>277594.66666666663</v>
      </c>
      <c r="AN88" s="1055">
        <f>AL88*'tecnicecon agric'!$J$56</f>
        <v>13555.5</v>
      </c>
      <c r="AO88" s="1055">
        <f t="shared" si="3"/>
        <v>291150.16666666663</v>
      </c>
      <c r="AP88">
        <f>AL88*'tecnicecon agric'!$J$65+'cultius resum'!AK88</f>
        <v>634.4</v>
      </c>
      <c r="AQ88" s="779">
        <f t="shared" si="4"/>
        <v>277594.66666666663</v>
      </c>
      <c r="AR88">
        <f>AN88+AL88*'tecnicecon agric'!$L$58</f>
        <v>15873.982285714286</v>
      </c>
      <c r="AS88">
        <f>AP88*'4. Agricultura PIB'!$K$31</f>
        <v>1804274.4709057407</v>
      </c>
      <c r="AT88">
        <f>AS88*'4. Agricultura PIB'!$D$71</f>
        <v>530456.6944462877</v>
      </c>
      <c r="AU88" s="779">
        <f t="shared" si="5"/>
        <v>2628199.8143044091</v>
      </c>
    </row>
    <row r="89" spans="1:47">
      <c r="A89" s="974" t="s">
        <v>1080</v>
      </c>
      <c r="B89" s="976">
        <v>139</v>
      </c>
      <c r="C89" s="976">
        <v>0</v>
      </c>
      <c r="D89" s="976">
        <v>13</v>
      </c>
      <c r="E89" s="976">
        <v>0</v>
      </c>
      <c r="F89" s="976">
        <v>4</v>
      </c>
      <c r="G89" s="976">
        <v>0</v>
      </c>
      <c r="H89" s="976"/>
      <c r="I89" s="976"/>
      <c r="J89" s="976">
        <v>10</v>
      </c>
      <c r="K89" s="976">
        <v>0</v>
      </c>
      <c r="L89" s="976">
        <v>6</v>
      </c>
      <c r="M89" s="976">
        <v>0</v>
      </c>
      <c r="N89" s="976">
        <v>3</v>
      </c>
      <c r="O89" s="976">
        <v>0</v>
      </c>
      <c r="P89" s="976">
        <v>175</v>
      </c>
      <c r="Q89" s="977">
        <v>0</v>
      </c>
      <c r="T89" s="983" t="s">
        <v>1078</v>
      </c>
      <c r="U89" s="984">
        <v>1197</v>
      </c>
      <c r="V89" s="984">
        <v>4</v>
      </c>
      <c r="W89" s="984">
        <v>169</v>
      </c>
      <c r="X89" s="984">
        <v>15</v>
      </c>
      <c r="Y89" s="984">
        <v>71</v>
      </c>
      <c r="Z89" s="984">
        <v>0</v>
      </c>
      <c r="AA89" s="984"/>
      <c r="AB89" s="984"/>
      <c r="AC89" s="984">
        <v>0</v>
      </c>
      <c r="AD89" s="984">
        <v>2</v>
      </c>
      <c r="AE89" s="984">
        <v>49</v>
      </c>
      <c r="AF89" s="984">
        <v>0</v>
      </c>
      <c r="AG89" s="984"/>
      <c r="AH89" s="984"/>
      <c r="AI89" s="984">
        <v>75</v>
      </c>
      <c r="AJ89" s="984">
        <v>11</v>
      </c>
      <c r="AK89" s="984">
        <v>1486</v>
      </c>
      <c r="AL89" s="984">
        <v>21</v>
      </c>
      <c r="AM89" s="1055">
        <f>AK89*'tecnicecon agric'!$J$57</f>
        <v>706345.33333333326</v>
      </c>
      <c r="AN89" s="1055">
        <f>AL89*'tecnicecon agric'!$J$56</f>
        <v>23722.125</v>
      </c>
      <c r="AO89" s="1055">
        <f t="shared" si="3"/>
        <v>730067.45833333326</v>
      </c>
      <c r="AP89">
        <f>AL89*'tecnicecon agric'!$J$65+'cultius resum'!AK89</f>
        <v>1574.2</v>
      </c>
      <c r="AQ89" s="779">
        <f t="shared" si="4"/>
        <v>706345.33333333326</v>
      </c>
      <c r="AR89">
        <f>AN89+AL89*'tecnicecon agric'!$L$58</f>
        <v>27779.469000000001</v>
      </c>
      <c r="AS89">
        <f>AP89*'4. Agricultura PIB'!$K$31</f>
        <v>4477126.2170551978</v>
      </c>
      <c r="AT89">
        <f>AS89*'4. Agricultura PIB'!$D$71</f>
        <v>1316275.1078142282</v>
      </c>
      <c r="AU89" s="779">
        <f t="shared" si="5"/>
        <v>6527526.1272027595</v>
      </c>
    </row>
    <row r="90" spans="1:47">
      <c r="A90" s="974" t="s">
        <v>3331</v>
      </c>
      <c r="B90" s="976">
        <v>475</v>
      </c>
      <c r="C90" s="976">
        <v>177</v>
      </c>
      <c r="D90" s="976">
        <v>257</v>
      </c>
      <c r="E90" s="976">
        <v>96</v>
      </c>
      <c r="F90" s="976">
        <v>15</v>
      </c>
      <c r="G90" s="976">
        <v>14</v>
      </c>
      <c r="H90" s="976"/>
      <c r="I90" s="976"/>
      <c r="J90" s="976">
        <v>0</v>
      </c>
      <c r="K90" s="976">
        <v>6</v>
      </c>
      <c r="L90" s="976">
        <v>11</v>
      </c>
      <c r="M90" s="976">
        <v>7</v>
      </c>
      <c r="N90" s="976"/>
      <c r="O90" s="976"/>
      <c r="P90" s="976">
        <v>758</v>
      </c>
      <c r="Q90" s="977">
        <v>300</v>
      </c>
      <c r="T90" s="983" t="s">
        <v>1080</v>
      </c>
      <c r="U90" s="984">
        <v>139</v>
      </c>
      <c r="V90" s="984">
        <v>0</v>
      </c>
      <c r="W90" s="984">
        <v>13</v>
      </c>
      <c r="X90" s="984">
        <v>0</v>
      </c>
      <c r="Y90" s="984">
        <v>4</v>
      </c>
      <c r="Z90" s="984">
        <v>0</v>
      </c>
      <c r="AA90" s="984"/>
      <c r="AB90" s="984"/>
      <c r="AC90" s="984">
        <v>10</v>
      </c>
      <c r="AD90" s="984">
        <v>0</v>
      </c>
      <c r="AE90" s="984">
        <v>6</v>
      </c>
      <c r="AF90" s="984">
        <v>0</v>
      </c>
      <c r="AG90" s="984">
        <v>3</v>
      </c>
      <c r="AH90" s="984">
        <v>0</v>
      </c>
      <c r="AI90" s="984">
        <v>1634</v>
      </c>
      <c r="AJ90" s="984">
        <v>8</v>
      </c>
      <c r="AK90" s="984">
        <v>175</v>
      </c>
      <c r="AL90" s="984">
        <v>0</v>
      </c>
      <c r="AM90" s="1055">
        <f>AK90*'tecnicecon agric'!$J$57</f>
        <v>83183.333333333328</v>
      </c>
      <c r="AN90" s="1055">
        <f>AL90*'tecnicecon agric'!$J$56</f>
        <v>0</v>
      </c>
      <c r="AO90" s="1055">
        <f t="shared" si="3"/>
        <v>83183.333333333328</v>
      </c>
      <c r="AP90">
        <f>AL90*'tecnicecon agric'!$J$65+'cultius resum'!AK90</f>
        <v>175</v>
      </c>
      <c r="AQ90" s="779">
        <f t="shared" si="4"/>
        <v>83183.333333333328</v>
      </c>
      <c r="AR90">
        <f>AN90+AL90*'tecnicecon agric'!$L$58</f>
        <v>0</v>
      </c>
      <c r="AS90">
        <f>AP90*'4. Agricultura PIB'!$K$31</f>
        <v>497711.27428831119</v>
      </c>
      <c r="AT90">
        <f>AS90*'4. Agricultura PIB'!$D$71</f>
        <v>146327.1146407635</v>
      </c>
      <c r="AU90" s="779">
        <f t="shared" si="5"/>
        <v>727221.722262408</v>
      </c>
    </row>
    <row r="91" spans="1:47">
      <c r="A91" s="974" t="s">
        <v>1100</v>
      </c>
      <c r="B91" s="976">
        <v>425</v>
      </c>
      <c r="C91" s="976">
        <v>0</v>
      </c>
      <c r="D91" s="976">
        <v>94</v>
      </c>
      <c r="E91" s="976">
        <v>0</v>
      </c>
      <c r="F91" s="976">
        <v>17</v>
      </c>
      <c r="G91" s="976">
        <v>0</v>
      </c>
      <c r="H91" s="976"/>
      <c r="I91" s="976"/>
      <c r="J91" s="976">
        <v>0</v>
      </c>
      <c r="K91" s="976">
        <v>1</v>
      </c>
      <c r="L91" s="976">
        <v>4</v>
      </c>
      <c r="M91" s="976">
        <v>0</v>
      </c>
      <c r="N91" s="976"/>
      <c r="O91" s="976"/>
      <c r="P91" s="976">
        <v>540</v>
      </c>
      <c r="Q91" s="977">
        <v>1</v>
      </c>
      <c r="T91" s="983" t="s">
        <v>1084</v>
      </c>
      <c r="U91" s="984">
        <v>475</v>
      </c>
      <c r="V91" s="984">
        <v>177</v>
      </c>
      <c r="W91" s="984">
        <v>257</v>
      </c>
      <c r="X91" s="984">
        <v>96</v>
      </c>
      <c r="Y91" s="984">
        <v>15</v>
      </c>
      <c r="Z91" s="984">
        <v>14</v>
      </c>
      <c r="AA91" s="984"/>
      <c r="AB91" s="984"/>
      <c r="AC91" s="984">
        <v>0</v>
      </c>
      <c r="AD91" s="984">
        <v>6</v>
      </c>
      <c r="AE91" s="984">
        <v>11</v>
      </c>
      <c r="AF91" s="984">
        <v>7</v>
      </c>
      <c r="AG91" s="984"/>
      <c r="AH91" s="984"/>
      <c r="AI91" s="984">
        <v>38</v>
      </c>
      <c r="AJ91" s="984">
        <v>3</v>
      </c>
      <c r="AK91" s="984">
        <v>758</v>
      </c>
      <c r="AL91" s="984">
        <v>300</v>
      </c>
      <c r="AM91" s="1055">
        <f>AK91*'tecnicecon agric'!$J$57</f>
        <v>360302.66666666663</v>
      </c>
      <c r="AN91" s="1055">
        <f>AL91*'tecnicecon agric'!$J$56</f>
        <v>338887.5</v>
      </c>
      <c r="AO91" s="1055">
        <f t="shared" si="3"/>
        <v>699190.16666666663</v>
      </c>
      <c r="AP91">
        <f>AL91*'tecnicecon agric'!$J$65+'cultius resum'!AK91</f>
        <v>2018</v>
      </c>
      <c r="AQ91" s="779">
        <f t="shared" si="4"/>
        <v>360302.66666666663</v>
      </c>
      <c r="AR91">
        <f>AN91+AL91*'tecnicecon agric'!$L$58</f>
        <v>396849.55714285717</v>
      </c>
      <c r="AS91">
        <f>AP91*'4. Agricultura PIB'!$K$31</f>
        <v>5739322.0086503541</v>
      </c>
      <c r="AT91">
        <f>AS91*'4. Agricultura PIB'!$D$71</f>
        <v>1687360.6705432041</v>
      </c>
      <c r="AU91" s="779">
        <f t="shared" si="5"/>
        <v>8183834.9030030817</v>
      </c>
    </row>
    <row r="92" spans="1:47">
      <c r="A92" s="974" t="s">
        <v>1087</v>
      </c>
      <c r="B92" s="976">
        <v>26</v>
      </c>
      <c r="C92" s="976">
        <v>1</v>
      </c>
      <c r="D92" s="976">
        <v>6</v>
      </c>
      <c r="E92" s="976">
        <v>1</v>
      </c>
      <c r="F92" s="976">
        <v>7</v>
      </c>
      <c r="G92" s="976">
        <v>0</v>
      </c>
      <c r="H92" s="976"/>
      <c r="I92" s="976"/>
      <c r="J92" s="976">
        <v>0</v>
      </c>
      <c r="K92" s="976">
        <v>2</v>
      </c>
      <c r="L92" s="976"/>
      <c r="M92" s="976"/>
      <c r="N92" s="976"/>
      <c r="O92" s="976"/>
      <c r="P92" s="976">
        <v>39</v>
      </c>
      <c r="Q92" s="977">
        <v>4</v>
      </c>
      <c r="T92" s="983" t="s">
        <v>1100</v>
      </c>
      <c r="U92" s="984">
        <v>425</v>
      </c>
      <c r="V92" s="984">
        <v>0</v>
      </c>
      <c r="W92" s="984">
        <v>94</v>
      </c>
      <c r="X92" s="984">
        <v>0</v>
      </c>
      <c r="Y92" s="984">
        <v>17</v>
      </c>
      <c r="Z92" s="984">
        <v>0</v>
      </c>
      <c r="AA92" s="984"/>
      <c r="AB92" s="984"/>
      <c r="AC92" s="984">
        <v>0</v>
      </c>
      <c r="AD92" s="984">
        <v>1</v>
      </c>
      <c r="AE92" s="984">
        <v>4</v>
      </c>
      <c r="AF92" s="984">
        <v>0</v>
      </c>
      <c r="AG92" s="984"/>
      <c r="AH92" s="984"/>
      <c r="AI92" s="984">
        <v>3</v>
      </c>
      <c r="AJ92" s="984">
        <v>0</v>
      </c>
      <c r="AK92" s="984">
        <v>540</v>
      </c>
      <c r="AL92" s="984">
        <v>1</v>
      </c>
      <c r="AM92" s="1055">
        <f>AK92*'tecnicecon agric'!$J$57</f>
        <v>256680</v>
      </c>
      <c r="AN92" s="1055">
        <f>AL92*'tecnicecon agric'!$J$56</f>
        <v>1129.625</v>
      </c>
      <c r="AO92" s="1055">
        <f t="shared" si="3"/>
        <v>257809.625</v>
      </c>
      <c r="AP92">
        <f>AL92*'tecnicecon agric'!$J$65+'cultius resum'!AK92</f>
        <v>544.20000000000005</v>
      </c>
      <c r="AQ92" s="779">
        <f t="shared" si="4"/>
        <v>256680</v>
      </c>
      <c r="AR92">
        <f>AN92+AL92*'tecnicecon agric'!$L$58</f>
        <v>1322.8318571428572</v>
      </c>
      <c r="AS92">
        <f>AP92*'4. Agricultura PIB'!$K$31</f>
        <v>1547739.8598154229</v>
      </c>
      <c r="AT92">
        <f>AS92*'4. Agricultura PIB'!$D$71</f>
        <v>455035.51878573431</v>
      </c>
      <c r="AU92" s="779">
        <f t="shared" si="5"/>
        <v>2260778.2104583001</v>
      </c>
    </row>
    <row r="93" spans="1:47">
      <c r="A93" s="974" t="s">
        <v>3350</v>
      </c>
      <c r="B93" s="976">
        <v>58</v>
      </c>
      <c r="C93" s="976">
        <v>28</v>
      </c>
      <c r="D93" s="976">
        <v>34</v>
      </c>
      <c r="E93" s="976">
        <v>3</v>
      </c>
      <c r="F93" s="976">
        <v>11</v>
      </c>
      <c r="G93" s="976">
        <v>0</v>
      </c>
      <c r="H93" s="976"/>
      <c r="I93" s="976"/>
      <c r="J93" s="976">
        <v>1</v>
      </c>
      <c r="K93" s="976">
        <v>1</v>
      </c>
      <c r="L93" s="976">
        <v>1</v>
      </c>
      <c r="M93" s="976">
        <v>1</v>
      </c>
      <c r="N93" s="976"/>
      <c r="O93" s="976"/>
      <c r="P93" s="976">
        <v>105</v>
      </c>
      <c r="Q93" s="977">
        <v>33</v>
      </c>
      <c r="T93" s="983" t="s">
        <v>1087</v>
      </c>
      <c r="U93" s="984">
        <v>26</v>
      </c>
      <c r="V93" s="984">
        <v>1</v>
      </c>
      <c r="W93" s="984">
        <v>6</v>
      </c>
      <c r="X93" s="984">
        <v>1</v>
      </c>
      <c r="Y93" s="984">
        <v>7</v>
      </c>
      <c r="Z93" s="984">
        <v>0</v>
      </c>
      <c r="AA93" s="984"/>
      <c r="AB93" s="984"/>
      <c r="AC93" s="984">
        <v>0</v>
      </c>
      <c r="AD93" s="984">
        <v>2</v>
      </c>
      <c r="AE93" s="984"/>
      <c r="AF93" s="984"/>
      <c r="AG93" s="984"/>
      <c r="AH93" s="984"/>
      <c r="AI93" s="984" t="s">
        <v>752</v>
      </c>
      <c r="AJ93" s="984" t="s">
        <v>752</v>
      </c>
      <c r="AK93" s="984">
        <v>39</v>
      </c>
      <c r="AL93" s="984">
        <v>4</v>
      </c>
      <c r="AM93" s="1055">
        <f>AK93*'tecnicecon agric'!$J$57</f>
        <v>18538</v>
      </c>
      <c r="AN93" s="1055">
        <f>AL93*'tecnicecon agric'!$J$56</f>
        <v>4518.5</v>
      </c>
      <c r="AO93" s="1055">
        <f t="shared" si="3"/>
        <v>23056.5</v>
      </c>
      <c r="AP93">
        <f>AL93*'tecnicecon agric'!$J$65+'cultius resum'!AK93</f>
        <v>55.8</v>
      </c>
      <c r="AQ93" s="779">
        <f t="shared" si="4"/>
        <v>18538</v>
      </c>
      <c r="AR93">
        <f>AN93+AL93*'tecnicecon agric'!$L$58</f>
        <v>5291.3274285714288</v>
      </c>
      <c r="AS93">
        <f>AP93*'4. Agricultura PIB'!$K$31</f>
        <v>158698.79488735864</v>
      </c>
      <c r="AT93">
        <f>AS93*'4. Agricultura PIB'!$D$71</f>
        <v>46657.445696883442</v>
      </c>
      <c r="AU93" s="779">
        <f t="shared" si="5"/>
        <v>229185.56801281351</v>
      </c>
    </row>
    <row r="94" spans="1:47">
      <c r="A94" s="974" t="s">
        <v>342</v>
      </c>
      <c r="B94" s="976">
        <v>0</v>
      </c>
      <c r="C94" s="976">
        <v>5</v>
      </c>
      <c r="D94" s="976">
        <v>0</v>
      </c>
      <c r="E94" s="976">
        <v>1</v>
      </c>
      <c r="F94" s="976"/>
      <c r="G94" s="976"/>
      <c r="H94" s="976"/>
      <c r="I94" s="976"/>
      <c r="J94" s="976">
        <v>0</v>
      </c>
      <c r="K94" s="976">
        <v>234</v>
      </c>
      <c r="L94" s="976"/>
      <c r="M94" s="976"/>
      <c r="N94" s="976">
        <v>0</v>
      </c>
      <c r="O94" s="976">
        <v>8</v>
      </c>
      <c r="P94" s="976">
        <v>0</v>
      </c>
      <c r="Q94" s="977">
        <v>248</v>
      </c>
      <c r="T94" s="983" t="s">
        <v>1091</v>
      </c>
      <c r="U94" s="984">
        <v>58</v>
      </c>
      <c r="V94" s="984">
        <v>28</v>
      </c>
      <c r="W94" s="984">
        <v>34</v>
      </c>
      <c r="X94" s="984">
        <v>3</v>
      </c>
      <c r="Y94" s="984">
        <v>11</v>
      </c>
      <c r="Z94" s="984">
        <v>0</v>
      </c>
      <c r="AA94" s="984"/>
      <c r="AB94" s="984"/>
      <c r="AC94" s="984">
        <v>1</v>
      </c>
      <c r="AD94" s="984">
        <v>1</v>
      </c>
      <c r="AE94" s="984">
        <v>1</v>
      </c>
      <c r="AF94" s="984">
        <v>1</v>
      </c>
      <c r="AG94" s="984"/>
      <c r="AH94" s="984"/>
      <c r="AI94" s="984">
        <v>67</v>
      </c>
      <c r="AJ94" s="984">
        <v>1</v>
      </c>
      <c r="AK94" s="984">
        <v>105</v>
      </c>
      <c r="AL94" s="984">
        <v>33</v>
      </c>
      <c r="AM94" s="1055">
        <f>AK94*'tecnicecon agric'!$J$57</f>
        <v>49910</v>
      </c>
      <c r="AN94" s="1055">
        <f>AL94*'tecnicecon agric'!$J$56</f>
        <v>37277.625</v>
      </c>
      <c r="AO94" s="1055">
        <f t="shared" si="3"/>
        <v>87187.625</v>
      </c>
      <c r="AP94">
        <f>AL94*'tecnicecon agric'!$J$65+'cultius resum'!AK94</f>
        <v>243.6</v>
      </c>
      <c r="AQ94" s="779">
        <f t="shared" si="4"/>
        <v>49910</v>
      </c>
      <c r="AR94">
        <f>AN94+AL94*'tecnicecon agric'!$L$58</f>
        <v>43653.451285714284</v>
      </c>
      <c r="AS94">
        <f>AP94*'4. Agricultura PIB'!$K$31</f>
        <v>692814.09380932921</v>
      </c>
      <c r="AT94">
        <f>AS94*'4. Agricultura PIB'!$D$71</f>
        <v>203687.34357994277</v>
      </c>
      <c r="AU94" s="779">
        <f t="shared" si="5"/>
        <v>990064.88867498632</v>
      </c>
    </row>
    <row r="95" spans="1:47">
      <c r="A95" s="974" t="s">
        <v>1102</v>
      </c>
      <c r="B95" s="976">
        <v>26</v>
      </c>
      <c r="C95" s="976">
        <v>1</v>
      </c>
      <c r="D95" s="976">
        <v>13</v>
      </c>
      <c r="E95" s="976">
        <v>0</v>
      </c>
      <c r="F95" s="976"/>
      <c r="G95" s="976"/>
      <c r="H95" s="976"/>
      <c r="I95" s="976"/>
      <c r="J95" s="976">
        <v>8</v>
      </c>
      <c r="K95" s="976">
        <v>0</v>
      </c>
      <c r="L95" s="976"/>
      <c r="M95" s="976"/>
      <c r="N95" s="976">
        <v>2</v>
      </c>
      <c r="O95" s="976">
        <v>0</v>
      </c>
      <c r="P95" s="976">
        <v>49</v>
      </c>
      <c r="Q95" s="977">
        <v>1</v>
      </c>
      <c r="T95" s="983" t="s">
        <v>342</v>
      </c>
      <c r="U95" s="984">
        <v>0</v>
      </c>
      <c r="V95" s="984">
        <v>5</v>
      </c>
      <c r="W95" s="984">
        <v>0</v>
      </c>
      <c r="X95" s="984">
        <v>1</v>
      </c>
      <c r="Y95" s="984"/>
      <c r="Z95" s="984"/>
      <c r="AA95" s="984"/>
      <c r="AB95" s="984"/>
      <c r="AC95" s="984">
        <v>0</v>
      </c>
      <c r="AD95" s="984">
        <v>234</v>
      </c>
      <c r="AE95" s="984"/>
      <c r="AF95" s="984"/>
      <c r="AG95" s="984">
        <v>0</v>
      </c>
      <c r="AH95" s="984">
        <v>8</v>
      </c>
      <c r="AI95" s="984">
        <v>0</v>
      </c>
      <c r="AJ95" s="984">
        <v>4</v>
      </c>
      <c r="AK95" s="984">
        <v>0</v>
      </c>
      <c r="AL95" s="984">
        <v>248</v>
      </c>
      <c r="AM95" s="1055">
        <f>AK95*'tecnicecon agric'!$J$57</f>
        <v>0</v>
      </c>
      <c r="AN95" s="1055">
        <f>AL95*'tecnicecon agric'!$J$56</f>
        <v>280147</v>
      </c>
      <c r="AO95" s="1055">
        <f t="shared" si="3"/>
        <v>280147</v>
      </c>
      <c r="AP95">
        <f>AL95*'tecnicecon agric'!$J$65+'cultius resum'!AK95</f>
        <v>1041.6000000000001</v>
      </c>
      <c r="AQ95" s="779">
        <f t="shared" si="4"/>
        <v>0</v>
      </c>
      <c r="AR95">
        <f>AN95+AL95*'tecnicecon agric'!$L$58</f>
        <v>328062.30057142855</v>
      </c>
      <c r="AS95">
        <f>AP95*'4. Agricultura PIB'!$K$31</f>
        <v>2962377.5045640287</v>
      </c>
      <c r="AT95">
        <f>AS95*'4. Agricultura PIB'!$D$71</f>
        <v>870938.98634182441</v>
      </c>
      <c r="AU95" s="779">
        <f t="shared" si="5"/>
        <v>4161378.7914772816</v>
      </c>
    </row>
    <row r="96" spans="1:47">
      <c r="A96" s="974" t="s">
        <v>1104</v>
      </c>
      <c r="B96" s="976">
        <v>117</v>
      </c>
      <c r="C96" s="976">
        <v>0</v>
      </c>
      <c r="D96" s="976">
        <v>97</v>
      </c>
      <c r="E96" s="976">
        <v>0</v>
      </c>
      <c r="F96" s="976">
        <v>7</v>
      </c>
      <c r="G96" s="976">
        <v>0</v>
      </c>
      <c r="H96" s="976"/>
      <c r="I96" s="976"/>
      <c r="J96" s="976"/>
      <c r="K96" s="976"/>
      <c r="L96" s="976"/>
      <c r="M96" s="976"/>
      <c r="N96" s="976"/>
      <c r="O96" s="976"/>
      <c r="P96" s="976">
        <v>221</v>
      </c>
      <c r="Q96" s="977">
        <v>0</v>
      </c>
      <c r="T96" s="983" t="s">
        <v>1102</v>
      </c>
      <c r="U96" s="984">
        <v>26</v>
      </c>
      <c r="V96" s="984">
        <v>1</v>
      </c>
      <c r="W96" s="984">
        <v>13</v>
      </c>
      <c r="X96" s="984">
        <v>0</v>
      </c>
      <c r="Y96" s="984"/>
      <c r="Z96" s="984"/>
      <c r="AA96" s="984"/>
      <c r="AB96" s="984"/>
      <c r="AC96" s="984">
        <v>8</v>
      </c>
      <c r="AD96" s="984">
        <v>0</v>
      </c>
      <c r="AE96" s="984"/>
      <c r="AF96" s="984"/>
      <c r="AG96" s="984">
        <v>2</v>
      </c>
      <c r="AH96" s="984">
        <v>0</v>
      </c>
      <c r="AI96" s="984">
        <v>505</v>
      </c>
      <c r="AJ96" s="984">
        <v>8</v>
      </c>
      <c r="AK96" s="984">
        <v>49</v>
      </c>
      <c r="AL96" s="984">
        <v>1</v>
      </c>
      <c r="AM96" s="1055">
        <f>AK96*'tecnicecon agric'!$J$57</f>
        <v>23291.333333333332</v>
      </c>
      <c r="AN96" s="1055">
        <f>AL96*'tecnicecon agric'!$J$56</f>
        <v>1129.625</v>
      </c>
      <c r="AO96" s="1055">
        <f t="shared" si="3"/>
        <v>24420.958333333332</v>
      </c>
      <c r="AP96">
        <f>AL96*'tecnicecon agric'!$J$65+'cultius resum'!AK96</f>
        <v>53.2</v>
      </c>
      <c r="AQ96" s="779">
        <f t="shared" si="4"/>
        <v>23291.333333333332</v>
      </c>
      <c r="AR96">
        <f>AN96+AL96*'tecnicecon agric'!$L$58</f>
        <v>1322.8318571428572</v>
      </c>
      <c r="AS96">
        <f>AP96*'4. Agricultura PIB'!$K$31</f>
        <v>151304.22738364662</v>
      </c>
      <c r="AT96">
        <f>AS96*'4. Agricultura PIB'!$D$71</f>
        <v>44483.442850792104</v>
      </c>
      <c r="AU96" s="779">
        <f t="shared" si="5"/>
        <v>220401.83542491493</v>
      </c>
    </row>
    <row r="97" spans="1:47">
      <c r="A97" s="974" t="s">
        <v>3375</v>
      </c>
      <c r="B97" s="976">
        <v>25</v>
      </c>
      <c r="C97" s="976">
        <v>0</v>
      </c>
      <c r="D97" s="976">
        <v>17</v>
      </c>
      <c r="E97" s="976">
        <v>0</v>
      </c>
      <c r="F97" s="976">
        <v>1</v>
      </c>
      <c r="G97" s="976">
        <v>0</v>
      </c>
      <c r="H97" s="976"/>
      <c r="I97" s="976"/>
      <c r="J97" s="976">
        <v>5</v>
      </c>
      <c r="K97" s="976">
        <v>0</v>
      </c>
      <c r="L97" s="976">
        <v>1</v>
      </c>
      <c r="M97" s="976">
        <v>0</v>
      </c>
      <c r="N97" s="976"/>
      <c r="O97" s="976"/>
      <c r="P97" s="976">
        <v>49</v>
      </c>
      <c r="Q97" s="977">
        <v>0</v>
      </c>
      <c r="T97" s="983" t="s">
        <v>1104</v>
      </c>
      <c r="U97" s="984">
        <v>117</v>
      </c>
      <c r="V97" s="984">
        <v>0</v>
      </c>
      <c r="W97" s="984">
        <v>97</v>
      </c>
      <c r="X97" s="984">
        <v>0</v>
      </c>
      <c r="Y97" s="984">
        <v>7</v>
      </c>
      <c r="Z97" s="984">
        <v>0</v>
      </c>
      <c r="AA97" s="984"/>
      <c r="AB97" s="984"/>
      <c r="AC97" s="984"/>
      <c r="AD97" s="984"/>
      <c r="AE97" s="984"/>
      <c r="AF97" s="984"/>
      <c r="AG97" s="984"/>
      <c r="AH97" s="984"/>
      <c r="AI97" s="984" t="s">
        <v>752</v>
      </c>
      <c r="AJ97" s="984" t="s">
        <v>752</v>
      </c>
      <c r="AK97" s="984">
        <v>221</v>
      </c>
      <c r="AL97" s="984">
        <v>0</v>
      </c>
      <c r="AM97" s="1055">
        <f>AK97*'tecnicecon agric'!$J$57</f>
        <v>105048.66666666666</v>
      </c>
      <c r="AN97" s="1055">
        <f>AL97*'tecnicecon agric'!$J$56</f>
        <v>0</v>
      </c>
      <c r="AO97" s="1055">
        <f t="shared" si="3"/>
        <v>105048.66666666666</v>
      </c>
      <c r="AP97">
        <f>AL97*'tecnicecon agric'!$J$65+'cultius resum'!AK97</f>
        <v>221</v>
      </c>
      <c r="AQ97" s="779">
        <f t="shared" si="4"/>
        <v>105048.66666666666</v>
      </c>
      <c r="AR97">
        <f>AN97+AL97*'tecnicecon agric'!$L$58</f>
        <v>0</v>
      </c>
      <c r="AS97">
        <f>AP97*'4. Agricultura PIB'!$K$31</f>
        <v>628538.23781552445</v>
      </c>
      <c r="AT97">
        <f>AS97*'4. Agricultura PIB'!$D$71</f>
        <v>184790.24191776419</v>
      </c>
      <c r="AU97" s="779">
        <f t="shared" si="5"/>
        <v>918377.14639995527</v>
      </c>
    </row>
    <row r="98" spans="1:47">
      <c r="A98" s="974" t="s">
        <v>1110</v>
      </c>
      <c r="B98" s="976">
        <v>59</v>
      </c>
      <c r="C98" s="976">
        <v>0</v>
      </c>
      <c r="D98" s="976">
        <v>19</v>
      </c>
      <c r="E98" s="976">
        <v>0</v>
      </c>
      <c r="F98" s="976"/>
      <c r="G98" s="976"/>
      <c r="H98" s="976"/>
      <c r="I98" s="976"/>
      <c r="J98" s="976"/>
      <c r="K98" s="976"/>
      <c r="L98" s="976"/>
      <c r="M98" s="976"/>
      <c r="N98" s="976"/>
      <c r="O98" s="976"/>
      <c r="P98" s="976">
        <v>78</v>
      </c>
      <c r="Q98" s="977">
        <v>0</v>
      </c>
      <c r="T98" s="983" t="s">
        <v>1108</v>
      </c>
      <c r="U98" s="984">
        <v>25</v>
      </c>
      <c r="V98" s="984">
        <v>0</v>
      </c>
      <c r="W98" s="984">
        <v>17</v>
      </c>
      <c r="X98" s="984">
        <v>0</v>
      </c>
      <c r="Y98" s="984">
        <v>1</v>
      </c>
      <c r="Z98" s="984">
        <v>0</v>
      </c>
      <c r="AA98" s="984"/>
      <c r="AB98" s="984"/>
      <c r="AC98" s="984">
        <v>5</v>
      </c>
      <c r="AD98" s="984">
        <v>0</v>
      </c>
      <c r="AE98" s="984">
        <v>1</v>
      </c>
      <c r="AF98" s="984">
        <v>0</v>
      </c>
      <c r="AG98" s="984"/>
      <c r="AH98" s="984"/>
      <c r="AI98" s="984">
        <v>366</v>
      </c>
      <c r="AJ98" s="984">
        <v>1</v>
      </c>
      <c r="AK98" s="984">
        <v>49</v>
      </c>
      <c r="AL98" s="984">
        <v>0</v>
      </c>
      <c r="AM98" s="1055">
        <f>AK98*'tecnicecon agric'!$J$57</f>
        <v>23291.333333333332</v>
      </c>
      <c r="AN98" s="1055">
        <f>AL98*'tecnicecon agric'!$J$56</f>
        <v>0</v>
      </c>
      <c r="AO98" s="1055">
        <f t="shared" si="3"/>
        <v>23291.333333333332</v>
      </c>
      <c r="AP98">
        <f>AL98*'tecnicecon agric'!$J$65+'cultius resum'!AK98</f>
        <v>49</v>
      </c>
      <c r="AQ98" s="779">
        <f t="shared" si="4"/>
        <v>23291.333333333332</v>
      </c>
      <c r="AR98">
        <f>AN98+AL98*'tecnicecon agric'!$L$58</f>
        <v>0</v>
      </c>
      <c r="AS98">
        <f>AP98*'4. Agricultura PIB'!$K$31</f>
        <v>139359.15680072716</v>
      </c>
      <c r="AT98">
        <f>AS98*'4. Agricultura PIB'!$D$71</f>
        <v>40971.592099413785</v>
      </c>
      <c r="AU98" s="779">
        <f t="shared" si="5"/>
        <v>203622.0822334743</v>
      </c>
    </row>
    <row r="99" spans="1:47">
      <c r="A99" s="974" t="s">
        <v>1113</v>
      </c>
      <c r="B99" s="976">
        <v>136</v>
      </c>
      <c r="C99" s="976">
        <v>68</v>
      </c>
      <c r="D99" s="976">
        <v>32</v>
      </c>
      <c r="E99" s="976">
        <v>14</v>
      </c>
      <c r="F99" s="976">
        <v>6</v>
      </c>
      <c r="G99" s="976">
        <v>0</v>
      </c>
      <c r="H99" s="976"/>
      <c r="I99" s="976"/>
      <c r="J99" s="976">
        <v>0</v>
      </c>
      <c r="K99" s="976">
        <v>1</v>
      </c>
      <c r="L99" s="976">
        <v>12</v>
      </c>
      <c r="M99" s="976">
        <v>9</v>
      </c>
      <c r="N99" s="976"/>
      <c r="O99" s="976"/>
      <c r="P99" s="976">
        <v>186</v>
      </c>
      <c r="Q99" s="977">
        <v>92</v>
      </c>
      <c r="T99" s="983" t="s">
        <v>1110</v>
      </c>
      <c r="U99" s="984">
        <v>59</v>
      </c>
      <c r="V99" s="984">
        <v>0</v>
      </c>
      <c r="W99" s="984">
        <v>19</v>
      </c>
      <c r="X99" s="984">
        <v>0</v>
      </c>
      <c r="Y99" s="984"/>
      <c r="Z99" s="984"/>
      <c r="AA99" s="984"/>
      <c r="AB99" s="984"/>
      <c r="AC99" s="984"/>
      <c r="AD99" s="984"/>
      <c r="AE99" s="984"/>
      <c r="AF99" s="984"/>
      <c r="AG99" s="984"/>
      <c r="AH99" s="984"/>
      <c r="AI99" s="984" t="s">
        <v>752</v>
      </c>
      <c r="AJ99" s="984" t="s">
        <v>752</v>
      </c>
      <c r="AK99" s="984">
        <v>78</v>
      </c>
      <c r="AL99" s="984">
        <v>0</v>
      </c>
      <c r="AM99" s="1055">
        <f>AK99*'tecnicecon agric'!$J$57</f>
        <v>37076</v>
      </c>
      <c r="AN99" s="1055">
        <f>AL99*'tecnicecon agric'!$J$56</f>
        <v>0</v>
      </c>
      <c r="AO99" s="1055">
        <f t="shared" si="3"/>
        <v>37076</v>
      </c>
      <c r="AP99">
        <f>AL99*'tecnicecon agric'!$J$65+'cultius resum'!AK99</f>
        <v>78</v>
      </c>
      <c r="AQ99" s="779">
        <f t="shared" si="4"/>
        <v>37076</v>
      </c>
      <c r="AR99">
        <f>AN99+AL99*'tecnicecon agric'!$L$58</f>
        <v>0</v>
      </c>
      <c r="AS99">
        <f>AP99*'4. Agricultura PIB'!$K$31</f>
        <v>221837.02511136158</v>
      </c>
      <c r="AT99">
        <f>AS99*'4. Agricultura PIB'!$D$71</f>
        <v>65220.085382740304</v>
      </c>
      <c r="AU99" s="779">
        <f t="shared" si="5"/>
        <v>324133.11049410189</v>
      </c>
    </row>
    <row r="100" spans="1:47">
      <c r="A100" s="974" t="s">
        <v>1116</v>
      </c>
      <c r="B100" s="976">
        <v>6</v>
      </c>
      <c r="C100" s="976">
        <v>3</v>
      </c>
      <c r="D100" s="976">
        <v>17</v>
      </c>
      <c r="E100" s="976">
        <v>15</v>
      </c>
      <c r="F100" s="976"/>
      <c r="G100" s="976"/>
      <c r="H100" s="976"/>
      <c r="I100" s="976"/>
      <c r="J100" s="976"/>
      <c r="K100" s="976"/>
      <c r="L100" s="976"/>
      <c r="M100" s="976"/>
      <c r="N100" s="976"/>
      <c r="O100" s="976"/>
      <c r="P100" s="976">
        <v>23</v>
      </c>
      <c r="Q100" s="977">
        <v>18</v>
      </c>
      <c r="T100" s="983" t="s">
        <v>1113</v>
      </c>
      <c r="U100" s="984">
        <v>136</v>
      </c>
      <c r="V100" s="984">
        <v>68</v>
      </c>
      <c r="W100" s="984">
        <v>32</v>
      </c>
      <c r="X100" s="984">
        <v>14</v>
      </c>
      <c r="Y100" s="984">
        <v>6</v>
      </c>
      <c r="Z100" s="984">
        <v>0</v>
      </c>
      <c r="AA100" s="984"/>
      <c r="AB100" s="984"/>
      <c r="AC100" s="984">
        <v>0</v>
      </c>
      <c r="AD100" s="984">
        <v>1</v>
      </c>
      <c r="AE100" s="984">
        <v>12</v>
      </c>
      <c r="AF100" s="984">
        <v>9</v>
      </c>
      <c r="AG100" s="984"/>
      <c r="AH100" s="984"/>
      <c r="AI100" s="984">
        <v>1</v>
      </c>
      <c r="AJ100" s="984">
        <v>0</v>
      </c>
      <c r="AK100" s="984">
        <v>186</v>
      </c>
      <c r="AL100" s="984">
        <v>92</v>
      </c>
      <c r="AM100" s="1055">
        <f>AK100*'tecnicecon agric'!$J$57</f>
        <v>88412</v>
      </c>
      <c r="AN100" s="1055">
        <f>AL100*'tecnicecon agric'!$J$56</f>
        <v>103925.5</v>
      </c>
      <c r="AO100" s="1055">
        <f t="shared" si="3"/>
        <v>192337.5</v>
      </c>
      <c r="AP100">
        <f>AL100*'tecnicecon agric'!$J$65+'cultius resum'!AK100</f>
        <v>572.40000000000009</v>
      </c>
      <c r="AQ100" s="779">
        <f t="shared" si="4"/>
        <v>88412</v>
      </c>
      <c r="AR100">
        <f>AN100+AL100*'tecnicecon agric'!$L$58</f>
        <v>121700.53085714286</v>
      </c>
      <c r="AS100">
        <f>AP100*'4. Agricultura PIB'!$K$31</f>
        <v>1627942.4765864536</v>
      </c>
      <c r="AT100">
        <f>AS100*'4. Agricultura PIB'!$D$71</f>
        <v>478615.08811641735</v>
      </c>
      <c r="AU100" s="779">
        <f t="shared" si="5"/>
        <v>2316670.0955600138</v>
      </c>
    </row>
    <row r="101" spans="1:47">
      <c r="A101" s="974" t="s">
        <v>1125</v>
      </c>
      <c r="B101" s="976"/>
      <c r="C101" s="976"/>
      <c r="D101" s="976">
        <v>12</v>
      </c>
      <c r="E101" s="976">
        <v>0</v>
      </c>
      <c r="F101" s="976"/>
      <c r="G101" s="976"/>
      <c r="H101" s="976"/>
      <c r="I101" s="976"/>
      <c r="J101" s="976"/>
      <c r="K101" s="976"/>
      <c r="L101" s="976"/>
      <c r="M101" s="976"/>
      <c r="N101" s="976"/>
      <c r="O101" s="976"/>
      <c r="P101" s="976">
        <v>12</v>
      </c>
      <c r="Q101" s="977">
        <v>0</v>
      </c>
      <c r="T101" s="983" t="s">
        <v>1116</v>
      </c>
      <c r="U101" s="984">
        <v>6</v>
      </c>
      <c r="V101" s="984">
        <v>3</v>
      </c>
      <c r="W101" s="984">
        <v>17</v>
      </c>
      <c r="X101" s="984">
        <v>15</v>
      </c>
      <c r="Y101" s="984"/>
      <c r="Z101" s="984"/>
      <c r="AA101" s="984"/>
      <c r="AB101" s="984"/>
      <c r="AC101" s="984"/>
      <c r="AD101" s="984"/>
      <c r="AE101" s="984"/>
      <c r="AF101" s="984"/>
      <c r="AG101" s="984"/>
      <c r="AH101" s="984"/>
      <c r="AI101" s="984">
        <v>2</v>
      </c>
      <c r="AJ101" s="984">
        <v>0</v>
      </c>
      <c r="AK101" s="984">
        <v>23</v>
      </c>
      <c r="AL101" s="984">
        <v>18</v>
      </c>
      <c r="AM101" s="1055">
        <f>AK101*'tecnicecon agric'!$J$57</f>
        <v>10932.666666666666</v>
      </c>
      <c r="AN101" s="1055">
        <f>AL101*'tecnicecon agric'!$J$56</f>
        <v>20333.25</v>
      </c>
      <c r="AO101" s="1055">
        <f t="shared" si="3"/>
        <v>31265.916666666664</v>
      </c>
      <c r="AP101">
        <f>AL101*'tecnicecon agric'!$J$65+'cultius resum'!AK101</f>
        <v>98.600000000000009</v>
      </c>
      <c r="AQ101" s="779">
        <f t="shared" si="4"/>
        <v>10932.666666666666</v>
      </c>
      <c r="AR101">
        <f>AN101+AL101*'tecnicecon agric'!$L$58</f>
        <v>23810.973428571429</v>
      </c>
      <c r="AS101">
        <f>AP101*'4. Agricultura PIB'!$K$31</f>
        <v>280424.75225615711</v>
      </c>
      <c r="AT101">
        <f>AS101*'4. Agricultura PIB'!$D$71</f>
        <v>82444.877163310186</v>
      </c>
      <c r="AU101" s="779">
        <f t="shared" si="5"/>
        <v>397613.2695147054</v>
      </c>
    </row>
    <row r="102" spans="1:47">
      <c r="A102" s="974" t="s">
        <v>1127</v>
      </c>
      <c r="B102" s="976">
        <v>1514</v>
      </c>
      <c r="C102" s="976">
        <v>19</v>
      </c>
      <c r="D102" s="976">
        <v>837</v>
      </c>
      <c r="E102" s="976">
        <v>96</v>
      </c>
      <c r="F102" s="976">
        <v>92</v>
      </c>
      <c r="G102" s="976">
        <v>0</v>
      </c>
      <c r="H102" s="976"/>
      <c r="I102" s="976"/>
      <c r="J102" s="976"/>
      <c r="K102" s="976"/>
      <c r="L102" s="976">
        <v>69</v>
      </c>
      <c r="M102" s="976">
        <v>0</v>
      </c>
      <c r="N102" s="976">
        <v>3</v>
      </c>
      <c r="O102" s="976">
        <v>0</v>
      </c>
      <c r="P102" s="976">
        <v>2515</v>
      </c>
      <c r="Q102" s="977">
        <v>115</v>
      </c>
      <c r="T102" s="983" t="s">
        <v>1125</v>
      </c>
      <c r="U102" s="984"/>
      <c r="V102" s="984"/>
      <c r="W102" s="984">
        <v>12</v>
      </c>
      <c r="X102" s="984">
        <v>0</v>
      </c>
      <c r="Y102" s="984"/>
      <c r="Z102" s="984"/>
      <c r="AA102" s="984"/>
      <c r="AB102" s="984"/>
      <c r="AC102" s="984"/>
      <c r="AD102" s="984"/>
      <c r="AE102" s="984"/>
      <c r="AF102" s="984"/>
      <c r="AG102" s="984"/>
      <c r="AH102" s="984"/>
      <c r="AI102" s="984" t="s">
        <v>752</v>
      </c>
      <c r="AJ102" s="984" t="s">
        <v>752</v>
      </c>
      <c r="AK102" s="984">
        <v>12</v>
      </c>
      <c r="AL102" s="984">
        <v>0</v>
      </c>
      <c r="AM102" s="1055">
        <f>AK102*'tecnicecon agric'!$J$57</f>
        <v>5704</v>
      </c>
      <c r="AN102" s="1055">
        <f>AL102*'tecnicecon agric'!$J$56</f>
        <v>0</v>
      </c>
      <c r="AO102" s="1055">
        <f t="shared" si="3"/>
        <v>5704</v>
      </c>
      <c r="AP102">
        <f>AL102*'tecnicecon agric'!$J$65+'cultius resum'!AK102</f>
        <v>12</v>
      </c>
      <c r="AQ102" s="779">
        <f t="shared" si="4"/>
        <v>5704</v>
      </c>
      <c r="AR102">
        <f>AN102+AL102*'tecnicecon agric'!$L$58</f>
        <v>0</v>
      </c>
      <c r="AS102">
        <f>AP102*'4. Agricultura PIB'!$K$31</f>
        <v>34128.773094055628</v>
      </c>
      <c r="AT102">
        <f>AS102*'4. Agricultura PIB'!$D$71</f>
        <v>10033.859289652355</v>
      </c>
      <c r="AU102" s="779">
        <f t="shared" si="5"/>
        <v>49866.632383707984</v>
      </c>
    </row>
    <row r="103" spans="1:47">
      <c r="A103" s="974" t="s">
        <v>3404</v>
      </c>
      <c r="B103" s="976">
        <v>0</v>
      </c>
      <c r="C103" s="976">
        <v>12</v>
      </c>
      <c r="D103" s="976"/>
      <c r="E103" s="976"/>
      <c r="F103" s="976"/>
      <c r="G103" s="976"/>
      <c r="H103" s="976"/>
      <c r="I103" s="976"/>
      <c r="J103" s="976">
        <v>0</v>
      </c>
      <c r="K103" s="976">
        <v>8</v>
      </c>
      <c r="L103" s="976"/>
      <c r="M103" s="976"/>
      <c r="N103" s="976"/>
      <c r="O103" s="976"/>
      <c r="P103" s="976">
        <v>0</v>
      </c>
      <c r="Q103" s="977">
        <v>20</v>
      </c>
      <c r="T103" s="983" t="s">
        <v>1127</v>
      </c>
      <c r="U103" s="984">
        <v>1514</v>
      </c>
      <c r="V103" s="984">
        <v>19</v>
      </c>
      <c r="W103" s="984">
        <v>837</v>
      </c>
      <c r="X103" s="984">
        <v>96</v>
      </c>
      <c r="Y103" s="984">
        <v>92</v>
      </c>
      <c r="Z103" s="984">
        <v>0</v>
      </c>
      <c r="AA103" s="984"/>
      <c r="AB103" s="984"/>
      <c r="AC103" s="984"/>
      <c r="AD103" s="984"/>
      <c r="AE103" s="984">
        <v>69</v>
      </c>
      <c r="AF103" s="984">
        <v>0</v>
      </c>
      <c r="AG103" s="984">
        <v>3</v>
      </c>
      <c r="AH103" s="984">
        <v>0</v>
      </c>
      <c r="AI103" s="984" t="s">
        <v>752</v>
      </c>
      <c r="AJ103" s="984" t="s">
        <v>752</v>
      </c>
      <c r="AK103" s="984">
        <v>2515</v>
      </c>
      <c r="AL103" s="984">
        <v>115</v>
      </c>
      <c r="AM103" s="1055">
        <f>AK103*'tecnicecon agric'!$J$57</f>
        <v>1195463.3333333333</v>
      </c>
      <c r="AN103" s="1055">
        <f>AL103*'tecnicecon agric'!$J$56</f>
        <v>129906.875</v>
      </c>
      <c r="AO103" s="1055">
        <f t="shared" si="3"/>
        <v>1325370.2083333333</v>
      </c>
      <c r="AP103">
        <f>AL103*'tecnicecon agric'!$J$65+'cultius resum'!AK103</f>
        <v>2998</v>
      </c>
      <c r="AQ103" s="779">
        <f t="shared" si="4"/>
        <v>1195463.3333333333</v>
      </c>
      <c r="AR103">
        <f>AN103+AL103*'tecnicecon agric'!$L$58</f>
        <v>152125.66357142857</v>
      </c>
      <c r="AS103">
        <f>AP103*'4. Agricultura PIB'!$K$31</f>
        <v>8526505.1446648967</v>
      </c>
      <c r="AT103">
        <f>AS103*'4. Agricultura PIB'!$D$71</f>
        <v>2506792.5125314794</v>
      </c>
      <c r="AU103" s="779">
        <f t="shared" si="5"/>
        <v>12380886.654101139</v>
      </c>
    </row>
    <row r="104" spans="1:47">
      <c r="A104" s="974" t="s">
        <v>3406</v>
      </c>
      <c r="B104" s="976">
        <v>135</v>
      </c>
      <c r="C104" s="976">
        <v>0</v>
      </c>
      <c r="D104" s="976">
        <v>32</v>
      </c>
      <c r="E104" s="976">
        <v>0</v>
      </c>
      <c r="F104" s="976">
        <v>18</v>
      </c>
      <c r="G104" s="976">
        <v>0</v>
      </c>
      <c r="H104" s="976"/>
      <c r="I104" s="976"/>
      <c r="J104" s="976">
        <v>0</v>
      </c>
      <c r="K104" s="976">
        <v>1</v>
      </c>
      <c r="L104" s="976">
        <v>37</v>
      </c>
      <c r="M104" s="976">
        <v>0</v>
      </c>
      <c r="N104" s="976"/>
      <c r="O104" s="976"/>
      <c r="P104" s="976">
        <v>222</v>
      </c>
      <c r="Q104" s="977">
        <v>1</v>
      </c>
      <c r="T104" s="983" t="s">
        <v>1135</v>
      </c>
      <c r="U104" s="984">
        <v>0</v>
      </c>
      <c r="V104" s="984">
        <v>12</v>
      </c>
      <c r="W104" s="984"/>
      <c r="X104" s="984"/>
      <c r="Y104" s="984"/>
      <c r="Z104" s="984"/>
      <c r="AA104" s="984"/>
      <c r="AB104" s="984"/>
      <c r="AC104" s="984">
        <v>0</v>
      </c>
      <c r="AD104" s="984">
        <v>8</v>
      </c>
      <c r="AE104" s="984"/>
      <c r="AF104" s="984"/>
      <c r="AG104" s="984"/>
      <c r="AH104" s="984"/>
      <c r="AI104" s="984">
        <v>0</v>
      </c>
      <c r="AJ104" s="984">
        <v>1</v>
      </c>
      <c r="AK104" s="984">
        <v>0</v>
      </c>
      <c r="AL104" s="984">
        <v>20</v>
      </c>
      <c r="AM104" s="1055">
        <f>AK104*'tecnicecon agric'!$J$57</f>
        <v>0</v>
      </c>
      <c r="AN104" s="1055">
        <f>AL104*'tecnicecon agric'!$J$56</f>
        <v>22592.5</v>
      </c>
      <c r="AO104" s="1055">
        <f t="shared" si="3"/>
        <v>22592.5</v>
      </c>
      <c r="AP104">
        <f>AL104*'tecnicecon agric'!$J$65+'cultius resum'!AK104</f>
        <v>84</v>
      </c>
      <c r="AQ104" s="779">
        <f t="shared" si="4"/>
        <v>0</v>
      </c>
      <c r="AR104">
        <f>AN104+AL104*'tecnicecon agric'!$L$58</f>
        <v>26456.637142857144</v>
      </c>
      <c r="AS104">
        <f>AP104*'4. Agricultura PIB'!$K$31</f>
        <v>238901.41165838938</v>
      </c>
      <c r="AT104">
        <f>AS104*'4. Agricultura PIB'!$D$71</f>
        <v>70237.015027566478</v>
      </c>
      <c r="AU104" s="779">
        <f t="shared" si="5"/>
        <v>335595.06382881297</v>
      </c>
    </row>
    <row r="105" spans="1:47">
      <c r="A105" s="974" t="s">
        <v>1136</v>
      </c>
      <c r="B105" s="976">
        <v>53</v>
      </c>
      <c r="C105" s="976">
        <v>0</v>
      </c>
      <c r="D105" s="976">
        <v>6</v>
      </c>
      <c r="E105" s="976">
        <v>0</v>
      </c>
      <c r="F105" s="976"/>
      <c r="G105" s="976"/>
      <c r="H105" s="976"/>
      <c r="I105" s="976"/>
      <c r="J105" s="976"/>
      <c r="K105" s="976"/>
      <c r="L105" s="976"/>
      <c r="M105" s="976"/>
      <c r="N105" s="976"/>
      <c r="O105" s="976"/>
      <c r="P105" s="976">
        <v>59</v>
      </c>
      <c r="Q105" s="977">
        <v>0</v>
      </c>
      <c r="T105" s="983" t="s">
        <v>1334</v>
      </c>
      <c r="U105" s="984">
        <v>135</v>
      </c>
      <c r="V105" s="984">
        <v>0</v>
      </c>
      <c r="W105" s="984">
        <v>32</v>
      </c>
      <c r="X105" s="984">
        <v>0</v>
      </c>
      <c r="Y105" s="984">
        <v>18</v>
      </c>
      <c r="Z105" s="984">
        <v>0</v>
      </c>
      <c r="AA105" s="984"/>
      <c r="AB105" s="984"/>
      <c r="AC105" s="984">
        <v>0</v>
      </c>
      <c r="AD105" s="984">
        <v>1</v>
      </c>
      <c r="AE105" s="984">
        <v>37</v>
      </c>
      <c r="AF105" s="984">
        <v>0</v>
      </c>
      <c r="AG105" s="984"/>
      <c r="AH105" s="984"/>
      <c r="AI105" s="984">
        <v>287</v>
      </c>
      <c r="AJ105" s="984">
        <v>21</v>
      </c>
      <c r="AK105" s="984">
        <v>222</v>
      </c>
      <c r="AL105" s="984">
        <v>1</v>
      </c>
      <c r="AM105" s="1055">
        <f>AK105*'tecnicecon agric'!$J$57</f>
        <v>105524</v>
      </c>
      <c r="AN105" s="1055">
        <f>AL105*'tecnicecon agric'!$J$56</f>
        <v>1129.625</v>
      </c>
      <c r="AO105" s="1055">
        <f t="shared" si="3"/>
        <v>106653.625</v>
      </c>
      <c r="AP105">
        <f>AL105*'tecnicecon agric'!$J$65+'cultius resum'!AK105</f>
        <v>226.2</v>
      </c>
      <c r="AQ105" s="779">
        <f t="shared" si="4"/>
        <v>105524</v>
      </c>
      <c r="AR105">
        <f>AN105+AL105*'tecnicecon agric'!$L$58</f>
        <v>1322.8318571428572</v>
      </c>
      <c r="AS105">
        <f>AP105*'4. Agricultura PIB'!$K$31</f>
        <v>643327.3728229485</v>
      </c>
      <c r="AT105">
        <f>AS105*'4. Agricultura PIB'!$D$71</f>
        <v>189138.24760994685</v>
      </c>
      <c r="AU105" s="779">
        <f t="shared" si="5"/>
        <v>939312.45229003823</v>
      </c>
    </row>
    <row r="106" spans="1:47">
      <c r="A106" s="974" t="s">
        <v>1137</v>
      </c>
      <c r="B106" s="976">
        <v>468</v>
      </c>
      <c r="C106" s="976">
        <v>0</v>
      </c>
      <c r="D106" s="976">
        <v>34</v>
      </c>
      <c r="E106" s="976">
        <v>0</v>
      </c>
      <c r="F106" s="976">
        <v>87</v>
      </c>
      <c r="G106" s="976">
        <v>0</v>
      </c>
      <c r="H106" s="976"/>
      <c r="I106" s="976"/>
      <c r="J106" s="976"/>
      <c r="K106" s="976"/>
      <c r="L106" s="976">
        <v>49</v>
      </c>
      <c r="M106" s="976">
        <v>0</v>
      </c>
      <c r="N106" s="976"/>
      <c r="O106" s="976"/>
      <c r="P106" s="976">
        <v>638</v>
      </c>
      <c r="Q106" s="977">
        <v>0</v>
      </c>
      <c r="T106" s="983" t="s">
        <v>1136</v>
      </c>
      <c r="U106" s="984">
        <v>53</v>
      </c>
      <c r="V106" s="984">
        <v>0</v>
      </c>
      <c r="W106" s="984">
        <v>6</v>
      </c>
      <c r="X106" s="984">
        <v>0</v>
      </c>
      <c r="Y106" s="984"/>
      <c r="Z106" s="984"/>
      <c r="AA106" s="984"/>
      <c r="AB106" s="984"/>
      <c r="AC106" s="984"/>
      <c r="AD106" s="984"/>
      <c r="AE106" s="984"/>
      <c r="AF106" s="984"/>
      <c r="AG106" s="984"/>
      <c r="AH106" s="984"/>
      <c r="AI106" s="984">
        <v>2</v>
      </c>
      <c r="AJ106" s="984">
        <v>0</v>
      </c>
      <c r="AK106" s="984">
        <v>59</v>
      </c>
      <c r="AL106" s="984">
        <v>0</v>
      </c>
      <c r="AM106" s="1055">
        <f>AK106*'tecnicecon agric'!$J$57</f>
        <v>28044.666666666664</v>
      </c>
      <c r="AN106" s="1055">
        <f>AL106*'tecnicecon agric'!$J$56</f>
        <v>0</v>
      </c>
      <c r="AO106" s="1055">
        <f t="shared" si="3"/>
        <v>28044.666666666664</v>
      </c>
      <c r="AP106">
        <f>AL106*'tecnicecon agric'!$J$65+'cultius resum'!AK106</f>
        <v>59</v>
      </c>
      <c r="AQ106" s="779">
        <f t="shared" si="4"/>
        <v>28044.666666666664</v>
      </c>
      <c r="AR106">
        <f>AN106+AL106*'tecnicecon agric'!$L$58</f>
        <v>0</v>
      </c>
      <c r="AS106">
        <f>AP106*'4. Agricultura PIB'!$K$31</f>
        <v>167799.80104577349</v>
      </c>
      <c r="AT106">
        <f>AS106*'4. Agricultura PIB'!$D$71</f>
        <v>49333.141507457403</v>
      </c>
      <c r="AU106" s="779">
        <f t="shared" si="5"/>
        <v>245177.60921989754</v>
      </c>
    </row>
    <row r="107" spans="1:47">
      <c r="A107" s="974" t="s">
        <v>3434</v>
      </c>
      <c r="B107" s="976">
        <v>583</v>
      </c>
      <c r="C107" s="976">
        <v>0</v>
      </c>
      <c r="D107" s="976">
        <v>66</v>
      </c>
      <c r="E107" s="976">
        <v>0</v>
      </c>
      <c r="F107" s="976">
        <v>91</v>
      </c>
      <c r="G107" s="976">
        <v>0</v>
      </c>
      <c r="H107" s="976"/>
      <c r="I107" s="976"/>
      <c r="J107" s="976"/>
      <c r="K107" s="976"/>
      <c r="L107" s="976">
        <v>6</v>
      </c>
      <c r="M107" s="976">
        <v>0</v>
      </c>
      <c r="N107" s="976"/>
      <c r="O107" s="976"/>
      <c r="P107" s="976">
        <v>746</v>
      </c>
      <c r="Q107" s="977">
        <v>0</v>
      </c>
      <c r="T107" s="983" t="s">
        <v>1137</v>
      </c>
      <c r="U107" s="984">
        <v>468</v>
      </c>
      <c r="V107" s="984">
        <v>0</v>
      </c>
      <c r="W107" s="984">
        <v>34</v>
      </c>
      <c r="X107" s="984">
        <v>0</v>
      </c>
      <c r="Y107" s="984">
        <v>87</v>
      </c>
      <c r="Z107" s="984">
        <v>0</v>
      </c>
      <c r="AA107" s="984"/>
      <c r="AB107" s="984"/>
      <c r="AC107" s="984"/>
      <c r="AD107" s="984"/>
      <c r="AE107" s="984">
        <v>49</v>
      </c>
      <c r="AF107" s="984">
        <v>0</v>
      </c>
      <c r="AG107" s="984"/>
      <c r="AH107" s="984"/>
      <c r="AI107" s="984">
        <v>37</v>
      </c>
      <c r="AJ107" s="984">
        <v>0</v>
      </c>
      <c r="AK107" s="984">
        <v>638</v>
      </c>
      <c r="AL107" s="984">
        <v>0</v>
      </c>
      <c r="AM107" s="1055">
        <f>AK107*'tecnicecon agric'!$J$57</f>
        <v>303262.66666666663</v>
      </c>
      <c r="AN107" s="1055">
        <f>AL107*'tecnicecon agric'!$J$56</f>
        <v>0</v>
      </c>
      <c r="AO107" s="1055">
        <f t="shared" si="3"/>
        <v>303262.66666666663</v>
      </c>
      <c r="AP107">
        <f>AL107*'tecnicecon agric'!$J$65+'cultius resum'!AK107</f>
        <v>638</v>
      </c>
      <c r="AQ107" s="779">
        <f t="shared" si="4"/>
        <v>303262.66666666663</v>
      </c>
      <c r="AR107">
        <f>AN107+AL107*'tecnicecon agric'!$L$58</f>
        <v>0</v>
      </c>
      <c r="AS107">
        <f>AP107*'4. Agricultura PIB'!$K$31</f>
        <v>1814513.1028339574</v>
      </c>
      <c r="AT107">
        <f>AS107*'4. Agricultura PIB'!$D$71</f>
        <v>533466.85223318345</v>
      </c>
      <c r="AU107" s="779">
        <f t="shared" si="5"/>
        <v>2651242.6217338075</v>
      </c>
    </row>
    <row r="108" spans="1:47">
      <c r="A108" s="974" t="s">
        <v>1155</v>
      </c>
      <c r="B108" s="976">
        <v>139</v>
      </c>
      <c r="C108" s="976">
        <v>87</v>
      </c>
      <c r="D108" s="976">
        <v>142</v>
      </c>
      <c r="E108" s="976">
        <v>71</v>
      </c>
      <c r="F108" s="976"/>
      <c r="G108" s="976"/>
      <c r="H108" s="976">
        <v>0</v>
      </c>
      <c r="I108" s="976">
        <v>2</v>
      </c>
      <c r="J108" s="976">
        <v>2</v>
      </c>
      <c r="K108" s="976">
        <v>3</v>
      </c>
      <c r="L108" s="976">
        <v>18</v>
      </c>
      <c r="M108" s="976">
        <v>38</v>
      </c>
      <c r="N108" s="976">
        <v>0</v>
      </c>
      <c r="O108" s="976">
        <v>3</v>
      </c>
      <c r="P108" s="976">
        <v>301</v>
      </c>
      <c r="Q108" s="977">
        <v>204</v>
      </c>
      <c r="T108" s="983" t="s">
        <v>1142</v>
      </c>
      <c r="U108" s="984">
        <v>583</v>
      </c>
      <c r="V108" s="984">
        <v>0</v>
      </c>
      <c r="W108" s="984">
        <v>66</v>
      </c>
      <c r="X108" s="984">
        <v>0</v>
      </c>
      <c r="Y108" s="984">
        <v>91</v>
      </c>
      <c r="Z108" s="984">
        <v>0</v>
      </c>
      <c r="AA108" s="984"/>
      <c r="AB108" s="984"/>
      <c r="AC108" s="984"/>
      <c r="AD108" s="984"/>
      <c r="AE108" s="984">
        <v>6</v>
      </c>
      <c r="AF108" s="984">
        <v>0</v>
      </c>
      <c r="AG108" s="984"/>
      <c r="AH108" s="984"/>
      <c r="AI108" s="984">
        <v>270</v>
      </c>
      <c r="AJ108" s="984">
        <v>0</v>
      </c>
      <c r="AK108" s="984">
        <v>746</v>
      </c>
      <c r="AL108" s="984">
        <v>0</v>
      </c>
      <c r="AM108" s="1055">
        <f>AK108*'tecnicecon agric'!$J$57</f>
        <v>354598.66666666663</v>
      </c>
      <c r="AN108" s="1055">
        <f>AL108*'tecnicecon agric'!$J$56</f>
        <v>0</v>
      </c>
      <c r="AO108" s="1055">
        <f t="shared" si="3"/>
        <v>354598.66666666663</v>
      </c>
      <c r="AP108">
        <f>AL108*'tecnicecon agric'!$J$65+'cultius resum'!AK108</f>
        <v>746</v>
      </c>
      <c r="AQ108" s="779">
        <f t="shared" si="4"/>
        <v>354598.66666666663</v>
      </c>
      <c r="AR108">
        <f>AN108+AL108*'tecnicecon agric'!$L$58</f>
        <v>0</v>
      </c>
      <c r="AS108">
        <f>AP108*'4. Agricultura PIB'!$K$31</f>
        <v>2121672.0606804583</v>
      </c>
      <c r="AT108">
        <f>AS108*'4. Agricultura PIB'!$D$71</f>
        <v>623771.58584005467</v>
      </c>
      <c r="AU108" s="779">
        <f t="shared" si="5"/>
        <v>3100042.3131871796</v>
      </c>
    </row>
    <row r="109" spans="1:47">
      <c r="A109" s="974" t="s">
        <v>1158</v>
      </c>
      <c r="B109" s="976">
        <v>57</v>
      </c>
      <c r="C109" s="976">
        <v>39</v>
      </c>
      <c r="D109" s="976">
        <v>80</v>
      </c>
      <c r="E109" s="976">
        <v>12</v>
      </c>
      <c r="F109" s="976"/>
      <c r="G109" s="976"/>
      <c r="H109" s="976"/>
      <c r="I109" s="976"/>
      <c r="J109" s="976"/>
      <c r="K109" s="976"/>
      <c r="L109" s="976">
        <v>1</v>
      </c>
      <c r="M109" s="976">
        <v>9</v>
      </c>
      <c r="N109" s="976">
        <v>0</v>
      </c>
      <c r="O109" s="976">
        <v>4</v>
      </c>
      <c r="P109" s="976">
        <v>138</v>
      </c>
      <c r="Q109" s="977">
        <v>64</v>
      </c>
      <c r="T109" s="983" t="s">
        <v>1155</v>
      </c>
      <c r="U109" s="984">
        <v>139</v>
      </c>
      <c r="V109" s="984">
        <v>87</v>
      </c>
      <c r="W109" s="984">
        <v>142</v>
      </c>
      <c r="X109" s="984">
        <v>71</v>
      </c>
      <c r="Y109" s="984"/>
      <c r="Z109" s="984"/>
      <c r="AA109" s="984">
        <v>0</v>
      </c>
      <c r="AB109" s="984">
        <v>2</v>
      </c>
      <c r="AC109" s="984">
        <v>2</v>
      </c>
      <c r="AD109" s="984">
        <v>3</v>
      </c>
      <c r="AE109" s="984">
        <v>18</v>
      </c>
      <c r="AF109" s="984">
        <v>38</v>
      </c>
      <c r="AG109" s="984">
        <v>0</v>
      </c>
      <c r="AH109" s="984">
        <v>3</v>
      </c>
      <c r="AI109" s="984">
        <v>5</v>
      </c>
      <c r="AJ109" s="984">
        <v>1</v>
      </c>
      <c r="AK109" s="984">
        <v>301</v>
      </c>
      <c r="AL109" s="984">
        <v>204</v>
      </c>
      <c r="AM109" s="1055">
        <f>AK109*'tecnicecon agric'!$J$57</f>
        <v>143075.33333333331</v>
      </c>
      <c r="AN109" s="1055">
        <f>AL109*'tecnicecon agric'!$J$56</f>
        <v>230443.5</v>
      </c>
      <c r="AO109" s="1055">
        <f t="shared" si="3"/>
        <v>373518.83333333331</v>
      </c>
      <c r="AP109">
        <f>AL109*'tecnicecon agric'!$J$65+'cultius resum'!AK109</f>
        <v>1157.8000000000002</v>
      </c>
      <c r="AQ109" s="779">
        <f t="shared" si="4"/>
        <v>143075.33333333331</v>
      </c>
      <c r="AR109">
        <f>AN109+AL109*'tecnicecon agric'!$L$58</f>
        <v>269857.69885714288</v>
      </c>
      <c r="AS109">
        <f>AP109*'4. Agricultura PIB'!$K$31</f>
        <v>3292857.7906914675</v>
      </c>
      <c r="AT109">
        <f>AS109*'4. Agricultura PIB'!$D$71</f>
        <v>968100.19046329136</v>
      </c>
      <c r="AU109" s="779">
        <f t="shared" si="5"/>
        <v>4673891.013345235</v>
      </c>
    </row>
    <row r="110" spans="1:47">
      <c r="A110" s="974" t="s">
        <v>1149</v>
      </c>
      <c r="B110" s="976">
        <v>75</v>
      </c>
      <c r="C110" s="976">
        <v>38</v>
      </c>
      <c r="D110" s="976">
        <v>119</v>
      </c>
      <c r="E110" s="976">
        <v>45</v>
      </c>
      <c r="F110" s="976"/>
      <c r="G110" s="976"/>
      <c r="H110" s="976">
        <v>0</v>
      </c>
      <c r="I110" s="976">
        <v>3</v>
      </c>
      <c r="J110" s="976"/>
      <c r="K110" s="976"/>
      <c r="L110" s="976">
        <v>2</v>
      </c>
      <c r="M110" s="976">
        <v>0</v>
      </c>
      <c r="N110" s="976"/>
      <c r="O110" s="976"/>
      <c r="P110" s="976">
        <v>196</v>
      </c>
      <c r="Q110" s="977">
        <v>86</v>
      </c>
      <c r="T110" s="983" t="s">
        <v>1158</v>
      </c>
      <c r="U110" s="984">
        <v>57</v>
      </c>
      <c r="V110" s="984">
        <v>39</v>
      </c>
      <c r="W110" s="984">
        <v>80</v>
      </c>
      <c r="X110" s="984">
        <v>12</v>
      </c>
      <c r="Y110" s="984"/>
      <c r="Z110" s="984"/>
      <c r="AA110" s="984"/>
      <c r="AB110" s="984"/>
      <c r="AC110" s="984"/>
      <c r="AD110" s="984"/>
      <c r="AE110" s="984">
        <v>1</v>
      </c>
      <c r="AF110" s="984">
        <v>9</v>
      </c>
      <c r="AG110" s="984">
        <v>0</v>
      </c>
      <c r="AH110" s="984">
        <v>4</v>
      </c>
      <c r="AI110" s="984" t="s">
        <v>752</v>
      </c>
      <c r="AJ110" s="984" t="s">
        <v>752</v>
      </c>
      <c r="AK110" s="984">
        <v>138</v>
      </c>
      <c r="AL110" s="984">
        <v>64</v>
      </c>
      <c r="AM110" s="1055">
        <f>AK110*'tecnicecon agric'!$J$57</f>
        <v>65596</v>
      </c>
      <c r="AN110" s="1055">
        <f>AL110*'tecnicecon agric'!$J$56</f>
        <v>72296</v>
      </c>
      <c r="AO110" s="1055">
        <f t="shared" si="3"/>
        <v>137892</v>
      </c>
      <c r="AP110">
        <f>AL110*'tecnicecon agric'!$J$65+'cultius resum'!AK110</f>
        <v>406.8</v>
      </c>
      <c r="AQ110" s="779">
        <f t="shared" si="4"/>
        <v>65596</v>
      </c>
      <c r="AR110">
        <f>AN110+AL110*'tecnicecon agric'!$L$58</f>
        <v>84661.23885714286</v>
      </c>
      <c r="AS110">
        <f>AP110*'4. Agricultura PIB'!$K$31</f>
        <v>1156965.4078884858</v>
      </c>
      <c r="AT110">
        <f>AS110*'4. Agricultura PIB'!$D$71</f>
        <v>340147.82991921483</v>
      </c>
      <c r="AU110" s="779">
        <f t="shared" si="5"/>
        <v>1647370.4766648435</v>
      </c>
    </row>
    <row r="111" spans="1:47">
      <c r="A111" s="974" t="s">
        <v>1160</v>
      </c>
      <c r="B111" s="976">
        <v>265</v>
      </c>
      <c r="C111" s="976">
        <v>0</v>
      </c>
      <c r="D111" s="976">
        <v>578</v>
      </c>
      <c r="E111" s="976">
        <v>0</v>
      </c>
      <c r="F111" s="976">
        <v>38</v>
      </c>
      <c r="G111" s="976">
        <v>0</v>
      </c>
      <c r="H111" s="976"/>
      <c r="I111" s="976"/>
      <c r="J111" s="976"/>
      <c r="K111" s="976"/>
      <c r="L111" s="976">
        <v>11</v>
      </c>
      <c r="M111" s="976">
        <v>0</v>
      </c>
      <c r="N111" s="976"/>
      <c r="O111" s="976"/>
      <c r="P111" s="976">
        <v>892</v>
      </c>
      <c r="Q111" s="977">
        <v>0</v>
      </c>
      <c r="T111" s="983" t="s">
        <v>1149</v>
      </c>
      <c r="U111" s="984">
        <v>75</v>
      </c>
      <c r="V111" s="984">
        <v>38</v>
      </c>
      <c r="W111" s="984">
        <v>119</v>
      </c>
      <c r="X111" s="984">
        <v>45</v>
      </c>
      <c r="Y111" s="984"/>
      <c r="Z111" s="984"/>
      <c r="AA111" s="984">
        <v>0</v>
      </c>
      <c r="AB111" s="984">
        <v>3</v>
      </c>
      <c r="AC111" s="984"/>
      <c r="AD111" s="984"/>
      <c r="AE111" s="984">
        <v>2</v>
      </c>
      <c r="AF111" s="984">
        <v>0</v>
      </c>
      <c r="AG111" s="984"/>
      <c r="AH111" s="984"/>
      <c r="AI111" s="984">
        <v>1</v>
      </c>
      <c r="AJ111" s="984">
        <v>3</v>
      </c>
      <c r="AK111" s="984">
        <v>196</v>
      </c>
      <c r="AL111" s="984">
        <v>86</v>
      </c>
      <c r="AM111" s="1055">
        <f>AK111*'tecnicecon agric'!$J$57</f>
        <v>93165.333333333328</v>
      </c>
      <c r="AN111" s="1055">
        <f>AL111*'tecnicecon agric'!$J$56</f>
        <v>97147.75</v>
      </c>
      <c r="AO111" s="1055">
        <f t="shared" si="3"/>
        <v>190313.08333333331</v>
      </c>
      <c r="AP111">
        <f>AL111*'tecnicecon agric'!$J$65+'cultius resum'!AK111</f>
        <v>557.20000000000005</v>
      </c>
      <c r="AQ111" s="779">
        <f t="shared" si="4"/>
        <v>93165.333333333328</v>
      </c>
      <c r="AR111">
        <f>AN111+AL111*'tecnicecon agric'!$L$58</f>
        <v>113763.53971428571</v>
      </c>
      <c r="AS111">
        <f>AP111*'4. Agricultura PIB'!$K$31</f>
        <v>1584712.6973339831</v>
      </c>
      <c r="AT111">
        <f>AS111*'4. Agricultura PIB'!$D$71</f>
        <v>465905.53301619104</v>
      </c>
      <c r="AU111" s="779">
        <f t="shared" si="5"/>
        <v>2257547.1033977931</v>
      </c>
    </row>
    <row r="112" spans="1:47">
      <c r="A112" s="974" t="s">
        <v>343</v>
      </c>
      <c r="B112" s="976">
        <v>1</v>
      </c>
      <c r="C112" s="976">
        <v>4</v>
      </c>
      <c r="D112" s="976">
        <v>1</v>
      </c>
      <c r="E112" s="976">
        <v>7</v>
      </c>
      <c r="F112" s="976"/>
      <c r="G112" s="976"/>
      <c r="H112" s="976"/>
      <c r="I112" s="976"/>
      <c r="J112" s="976">
        <v>0</v>
      </c>
      <c r="K112" s="976">
        <v>230</v>
      </c>
      <c r="L112" s="976">
        <v>0</v>
      </c>
      <c r="M112" s="976">
        <v>12</v>
      </c>
      <c r="N112" s="976">
        <v>0</v>
      </c>
      <c r="O112" s="976">
        <v>34</v>
      </c>
      <c r="P112" s="976">
        <v>2</v>
      </c>
      <c r="Q112" s="977">
        <v>287</v>
      </c>
      <c r="T112" s="983" t="s">
        <v>1160</v>
      </c>
      <c r="U112" s="984">
        <v>265</v>
      </c>
      <c r="V112" s="984">
        <v>0</v>
      </c>
      <c r="W112" s="984">
        <v>578</v>
      </c>
      <c r="X112" s="984">
        <v>0</v>
      </c>
      <c r="Y112" s="984">
        <v>38</v>
      </c>
      <c r="Z112" s="984">
        <v>0</v>
      </c>
      <c r="AA112" s="984"/>
      <c r="AB112" s="984"/>
      <c r="AC112" s="984"/>
      <c r="AD112" s="984"/>
      <c r="AE112" s="984">
        <v>11</v>
      </c>
      <c r="AF112" s="984">
        <v>0</v>
      </c>
      <c r="AG112" s="984"/>
      <c r="AH112" s="984"/>
      <c r="AI112" s="984" t="s">
        <v>752</v>
      </c>
      <c r="AJ112" s="984" t="s">
        <v>752</v>
      </c>
      <c r="AK112" s="984">
        <v>892</v>
      </c>
      <c r="AL112" s="984">
        <v>0</v>
      </c>
      <c r="AM112" s="1055">
        <f>AK112*'tecnicecon agric'!$J$57</f>
        <v>423997.33333333331</v>
      </c>
      <c r="AN112" s="1055">
        <f>AL112*'tecnicecon agric'!$J$56</f>
        <v>0</v>
      </c>
      <c r="AO112" s="1055">
        <f t="shared" si="3"/>
        <v>423997.33333333331</v>
      </c>
      <c r="AP112">
        <f>AL112*'tecnicecon agric'!$J$65+'cultius resum'!AK112</f>
        <v>892</v>
      </c>
      <c r="AQ112" s="779">
        <f t="shared" si="4"/>
        <v>423997.33333333331</v>
      </c>
      <c r="AR112">
        <f>AN112+AL112*'tecnicecon agric'!$L$58</f>
        <v>0</v>
      </c>
      <c r="AS112">
        <f>AP112*'4. Agricultura PIB'!$K$31</f>
        <v>2536905.4666581349</v>
      </c>
      <c r="AT112">
        <f>AS112*'4. Agricultura PIB'!$D$71</f>
        <v>745850.20719749166</v>
      </c>
      <c r="AU112" s="779">
        <f t="shared" si="5"/>
        <v>3706753.00718896</v>
      </c>
    </row>
    <row r="113" spans="1:47">
      <c r="A113" s="974" t="s">
        <v>1171</v>
      </c>
      <c r="B113" s="976">
        <v>481</v>
      </c>
      <c r="C113" s="976">
        <v>6</v>
      </c>
      <c r="D113" s="976">
        <v>206</v>
      </c>
      <c r="E113" s="976">
        <v>0</v>
      </c>
      <c r="F113" s="976">
        <v>26</v>
      </c>
      <c r="G113" s="976">
        <v>7</v>
      </c>
      <c r="H113" s="976"/>
      <c r="I113" s="976"/>
      <c r="J113" s="976">
        <v>1</v>
      </c>
      <c r="K113" s="976">
        <v>0</v>
      </c>
      <c r="L113" s="976">
        <v>30</v>
      </c>
      <c r="M113" s="976">
        <v>0</v>
      </c>
      <c r="N113" s="976"/>
      <c r="O113" s="976"/>
      <c r="P113" s="976">
        <v>744</v>
      </c>
      <c r="Q113" s="977">
        <v>13</v>
      </c>
      <c r="T113" s="983" t="s">
        <v>343</v>
      </c>
      <c r="U113" s="984">
        <v>1</v>
      </c>
      <c r="V113" s="984">
        <v>4</v>
      </c>
      <c r="W113" s="984">
        <v>1</v>
      </c>
      <c r="X113" s="984">
        <v>7</v>
      </c>
      <c r="Y113" s="984"/>
      <c r="Z113" s="984"/>
      <c r="AA113" s="984"/>
      <c r="AB113" s="984"/>
      <c r="AC113" s="984">
        <v>0</v>
      </c>
      <c r="AD113" s="984">
        <v>230</v>
      </c>
      <c r="AE113" s="984">
        <v>0</v>
      </c>
      <c r="AF113" s="984">
        <v>12</v>
      </c>
      <c r="AG113" s="984">
        <v>0</v>
      </c>
      <c r="AH113" s="984">
        <v>34</v>
      </c>
      <c r="AI113" s="984" t="s">
        <v>752</v>
      </c>
      <c r="AJ113" s="984" t="s">
        <v>752</v>
      </c>
      <c r="AK113" s="984">
        <v>2</v>
      </c>
      <c r="AL113" s="984">
        <v>287</v>
      </c>
      <c r="AM113" s="1055">
        <f>AK113*'tecnicecon agric'!$J$57</f>
        <v>950.66666666666663</v>
      </c>
      <c r="AN113" s="1055">
        <f>AL113*'tecnicecon agric'!$J$56</f>
        <v>324202.375</v>
      </c>
      <c r="AO113" s="1055">
        <f t="shared" si="3"/>
        <v>325153.04166666669</v>
      </c>
      <c r="AP113">
        <f>AL113*'tecnicecon agric'!$J$65+'cultius resum'!AK113</f>
        <v>1207.4000000000001</v>
      </c>
      <c r="AQ113" s="779">
        <f t="shared" si="4"/>
        <v>950.66666666666663</v>
      </c>
      <c r="AR113">
        <f>AN113+AL113*'tecnicecon agric'!$L$58</f>
        <v>379652.74300000002</v>
      </c>
      <c r="AS113">
        <f>AP113*'4. Agricultura PIB'!$K$31</f>
        <v>3433923.3861468975</v>
      </c>
      <c r="AT113">
        <f>AS113*'4. Agricultura PIB'!$D$71</f>
        <v>1009573.4755271878</v>
      </c>
      <c r="AU113" s="779">
        <f t="shared" si="5"/>
        <v>4824100.271340752</v>
      </c>
    </row>
    <row r="114" spans="1:47">
      <c r="A114" s="974" t="s">
        <v>721</v>
      </c>
      <c r="B114" s="976">
        <v>443</v>
      </c>
      <c r="C114" s="976">
        <v>40</v>
      </c>
      <c r="D114" s="976">
        <v>401</v>
      </c>
      <c r="E114" s="976">
        <v>50</v>
      </c>
      <c r="F114" s="976">
        <v>16</v>
      </c>
      <c r="G114" s="976">
        <v>0</v>
      </c>
      <c r="H114" s="976"/>
      <c r="I114" s="976"/>
      <c r="J114" s="976"/>
      <c r="K114" s="976"/>
      <c r="L114" s="976">
        <v>14</v>
      </c>
      <c r="M114" s="976">
        <v>0</v>
      </c>
      <c r="N114" s="976">
        <v>0</v>
      </c>
      <c r="O114" s="976">
        <v>1</v>
      </c>
      <c r="P114" s="976">
        <v>874</v>
      </c>
      <c r="Q114" s="977">
        <v>91</v>
      </c>
      <c r="T114" s="983" t="s">
        <v>1171</v>
      </c>
      <c r="U114" s="984">
        <v>481</v>
      </c>
      <c r="V114" s="984">
        <v>6</v>
      </c>
      <c r="W114" s="984">
        <v>206</v>
      </c>
      <c r="X114" s="984">
        <v>0</v>
      </c>
      <c r="Y114" s="984">
        <v>26</v>
      </c>
      <c r="Z114" s="984">
        <v>7</v>
      </c>
      <c r="AA114" s="984"/>
      <c r="AB114" s="984"/>
      <c r="AC114" s="984">
        <v>1</v>
      </c>
      <c r="AD114" s="984">
        <v>0</v>
      </c>
      <c r="AE114" s="984">
        <v>30</v>
      </c>
      <c r="AF114" s="984">
        <v>0</v>
      </c>
      <c r="AG114" s="984"/>
      <c r="AH114" s="984"/>
      <c r="AI114" s="984" t="s">
        <v>752</v>
      </c>
      <c r="AJ114" s="984" t="s">
        <v>752</v>
      </c>
      <c r="AK114" s="984">
        <v>744</v>
      </c>
      <c r="AL114" s="984">
        <v>13</v>
      </c>
      <c r="AM114" s="1055">
        <f>AK114*'tecnicecon agric'!$J$57</f>
        <v>353648</v>
      </c>
      <c r="AN114" s="1055">
        <f>AL114*'tecnicecon agric'!$J$56</f>
        <v>14685.125</v>
      </c>
      <c r="AO114" s="1055">
        <f t="shared" si="3"/>
        <v>368333.125</v>
      </c>
      <c r="AP114">
        <f>AL114*'tecnicecon agric'!$J$65+'cultius resum'!AK114</f>
        <v>798.6</v>
      </c>
      <c r="AQ114" s="779">
        <f t="shared" si="4"/>
        <v>353648</v>
      </c>
      <c r="AR114">
        <f>AN114+AL114*'tecnicecon agric'!$L$58</f>
        <v>17196.814142857143</v>
      </c>
      <c r="AS114">
        <f>AP114*'4. Agricultura PIB'!$K$31</f>
        <v>2271269.8494094019</v>
      </c>
      <c r="AT114">
        <f>AS114*'4. Agricultura PIB'!$D$71</f>
        <v>667753.33572636417</v>
      </c>
      <c r="AU114" s="779">
        <f t="shared" si="5"/>
        <v>3309867.9992786231</v>
      </c>
    </row>
    <row r="115" spans="1:47">
      <c r="A115" s="974" t="s">
        <v>699</v>
      </c>
      <c r="B115" s="976">
        <v>506</v>
      </c>
      <c r="C115" s="976">
        <v>152</v>
      </c>
      <c r="D115" s="976">
        <v>146</v>
      </c>
      <c r="E115" s="976">
        <v>28</v>
      </c>
      <c r="F115" s="976">
        <v>24</v>
      </c>
      <c r="G115" s="976">
        <v>1</v>
      </c>
      <c r="H115" s="976"/>
      <c r="I115" s="976"/>
      <c r="J115" s="976">
        <v>1</v>
      </c>
      <c r="K115" s="976">
        <v>34</v>
      </c>
      <c r="L115" s="976">
        <v>18</v>
      </c>
      <c r="M115" s="976">
        <v>11</v>
      </c>
      <c r="N115" s="976">
        <v>0</v>
      </c>
      <c r="O115" s="976">
        <v>3</v>
      </c>
      <c r="P115" s="976">
        <v>695</v>
      </c>
      <c r="Q115" s="977">
        <v>229</v>
      </c>
      <c r="T115" s="983" t="s">
        <v>721</v>
      </c>
      <c r="U115" s="984">
        <v>443</v>
      </c>
      <c r="V115" s="984">
        <v>40</v>
      </c>
      <c r="W115" s="984">
        <v>401</v>
      </c>
      <c r="X115" s="984">
        <v>50</v>
      </c>
      <c r="Y115" s="984">
        <v>16</v>
      </c>
      <c r="Z115" s="984">
        <v>0</v>
      </c>
      <c r="AA115" s="984"/>
      <c r="AB115" s="984"/>
      <c r="AC115" s="984"/>
      <c r="AD115" s="984"/>
      <c r="AE115" s="984">
        <v>14</v>
      </c>
      <c r="AF115" s="984">
        <v>0</v>
      </c>
      <c r="AG115" s="984">
        <v>0</v>
      </c>
      <c r="AH115" s="984">
        <v>1</v>
      </c>
      <c r="AI115" s="984" t="s">
        <v>752</v>
      </c>
      <c r="AJ115" s="984" t="s">
        <v>752</v>
      </c>
      <c r="AK115" s="984">
        <v>874</v>
      </c>
      <c r="AL115" s="984">
        <v>91</v>
      </c>
      <c r="AM115" s="1055">
        <f>AK115*'tecnicecon agric'!$J$57</f>
        <v>415441.33333333331</v>
      </c>
      <c r="AN115" s="1055">
        <f>AL115*'tecnicecon agric'!$J$56</f>
        <v>102795.875</v>
      </c>
      <c r="AO115" s="1055">
        <f t="shared" si="3"/>
        <v>518237.20833333331</v>
      </c>
      <c r="AP115">
        <f>AL115*'tecnicecon agric'!$J$65+'cultius resum'!AK115</f>
        <v>1256.2</v>
      </c>
      <c r="AQ115" s="779">
        <f t="shared" si="4"/>
        <v>415441.33333333331</v>
      </c>
      <c r="AR115">
        <f>AN115+AL115*'tecnicecon agric'!$L$58</f>
        <v>120377.69899999999</v>
      </c>
      <c r="AS115">
        <f>AP115*'4. Agricultura PIB'!$K$31</f>
        <v>3572713.7300627232</v>
      </c>
      <c r="AT115">
        <f>AS115*'4. Agricultura PIB'!$D$71</f>
        <v>1050377.8366384406</v>
      </c>
      <c r="AU115" s="779">
        <f t="shared" si="5"/>
        <v>5158910.5990344966</v>
      </c>
    </row>
    <row r="116" spans="1:47">
      <c r="A116" s="974" t="s">
        <v>1555</v>
      </c>
      <c r="B116" s="976">
        <v>39</v>
      </c>
      <c r="C116" s="976">
        <v>0</v>
      </c>
      <c r="D116" s="976">
        <v>5</v>
      </c>
      <c r="E116" s="976">
        <v>0</v>
      </c>
      <c r="F116" s="976">
        <v>9</v>
      </c>
      <c r="G116" s="976">
        <v>0</v>
      </c>
      <c r="H116" s="976"/>
      <c r="I116" s="976"/>
      <c r="J116" s="976"/>
      <c r="K116" s="976"/>
      <c r="L116" s="976"/>
      <c r="M116" s="976"/>
      <c r="N116" s="976"/>
      <c r="O116" s="976"/>
      <c r="P116" s="976">
        <v>53</v>
      </c>
      <c r="Q116" s="977">
        <v>0</v>
      </c>
      <c r="T116" s="983" t="s">
        <v>699</v>
      </c>
      <c r="U116" s="984">
        <v>506</v>
      </c>
      <c r="V116" s="984">
        <v>152</v>
      </c>
      <c r="W116" s="984">
        <v>146</v>
      </c>
      <c r="X116" s="984">
        <v>28</v>
      </c>
      <c r="Y116" s="984">
        <v>24</v>
      </c>
      <c r="Z116" s="984">
        <v>1</v>
      </c>
      <c r="AA116" s="984"/>
      <c r="AB116" s="984"/>
      <c r="AC116" s="984">
        <v>1</v>
      </c>
      <c r="AD116" s="984">
        <v>34</v>
      </c>
      <c r="AE116" s="984">
        <v>18</v>
      </c>
      <c r="AF116" s="984">
        <v>11</v>
      </c>
      <c r="AG116" s="984">
        <v>0</v>
      </c>
      <c r="AH116" s="984">
        <v>3</v>
      </c>
      <c r="AI116" s="984">
        <v>103</v>
      </c>
      <c r="AJ116" s="984">
        <v>19</v>
      </c>
      <c r="AK116" s="984">
        <v>695</v>
      </c>
      <c r="AL116" s="984">
        <v>229</v>
      </c>
      <c r="AM116" s="1055">
        <f>AK116*'tecnicecon agric'!$J$57</f>
        <v>330356.66666666663</v>
      </c>
      <c r="AN116" s="1055">
        <f>AL116*'tecnicecon agric'!$J$56</f>
        <v>258684.125</v>
      </c>
      <c r="AO116" s="1055">
        <f t="shared" si="3"/>
        <v>589040.79166666663</v>
      </c>
      <c r="AP116">
        <f>AL116*'tecnicecon agric'!$J$65+'cultius resum'!AK116</f>
        <v>1656.8000000000002</v>
      </c>
      <c r="AQ116" s="779">
        <f t="shared" si="4"/>
        <v>330356.66666666663</v>
      </c>
      <c r="AR116">
        <f>AN116+AL116*'tecnicecon agric'!$L$58</f>
        <v>302928.49528571428</v>
      </c>
      <c r="AS116">
        <f>AP116*'4. Agricultura PIB'!$K$31</f>
        <v>4712045.9385192804</v>
      </c>
      <c r="AT116">
        <f>AS116*'4. Agricultura PIB'!$D$71</f>
        <v>1385341.5059246684</v>
      </c>
      <c r="AU116" s="779">
        <f t="shared" si="5"/>
        <v>6730672.6063963296</v>
      </c>
    </row>
    <row r="117" spans="1:47">
      <c r="A117" s="974" t="s">
        <v>677</v>
      </c>
      <c r="B117" s="976">
        <v>12</v>
      </c>
      <c r="C117" s="976">
        <v>0</v>
      </c>
      <c r="D117" s="976">
        <v>5</v>
      </c>
      <c r="E117" s="976">
        <v>1</v>
      </c>
      <c r="F117" s="976"/>
      <c r="G117" s="976"/>
      <c r="H117" s="976"/>
      <c r="I117" s="976"/>
      <c r="J117" s="976">
        <v>0</v>
      </c>
      <c r="K117" s="976">
        <v>9</v>
      </c>
      <c r="L117" s="976"/>
      <c r="M117" s="976"/>
      <c r="N117" s="976"/>
      <c r="O117" s="976"/>
      <c r="P117" s="976">
        <v>17</v>
      </c>
      <c r="Q117" s="977">
        <v>10</v>
      </c>
      <c r="T117" s="983" t="s">
        <v>1555</v>
      </c>
      <c r="U117" s="984">
        <v>39</v>
      </c>
      <c r="V117" s="984">
        <v>0</v>
      </c>
      <c r="W117" s="984">
        <v>5</v>
      </c>
      <c r="X117" s="984">
        <v>0</v>
      </c>
      <c r="Y117" s="984">
        <v>9</v>
      </c>
      <c r="Z117" s="984">
        <v>0</v>
      </c>
      <c r="AA117" s="984"/>
      <c r="AB117" s="984"/>
      <c r="AC117" s="984"/>
      <c r="AD117" s="984"/>
      <c r="AE117" s="984"/>
      <c r="AF117" s="984"/>
      <c r="AG117" s="984"/>
      <c r="AH117" s="984"/>
      <c r="AI117" s="984">
        <v>10</v>
      </c>
      <c r="AJ117" s="984">
        <v>1</v>
      </c>
      <c r="AK117" s="984">
        <v>53</v>
      </c>
      <c r="AL117" s="984">
        <v>0</v>
      </c>
      <c r="AM117" s="1055">
        <f>AK117*'tecnicecon agric'!$J$57</f>
        <v>25192.666666666664</v>
      </c>
      <c r="AN117" s="1055">
        <f>AL117*'tecnicecon agric'!$J$56</f>
        <v>0</v>
      </c>
      <c r="AO117" s="1055">
        <f t="shared" si="3"/>
        <v>25192.666666666664</v>
      </c>
      <c r="AP117">
        <f>AL117*'tecnicecon agric'!$J$65+'cultius resum'!AK117</f>
        <v>53</v>
      </c>
      <c r="AQ117" s="779">
        <f t="shared" si="4"/>
        <v>25192.666666666664</v>
      </c>
      <c r="AR117">
        <f>AN117+AL117*'tecnicecon agric'!$L$58</f>
        <v>0</v>
      </c>
      <c r="AS117">
        <f>AP117*'4. Agricultura PIB'!$K$31</f>
        <v>150735.4144987457</v>
      </c>
      <c r="AT117">
        <f>AS117*'4. Agricultura PIB'!$D$71</f>
        <v>44316.211862631229</v>
      </c>
      <c r="AU117" s="779">
        <f t="shared" si="5"/>
        <v>220244.29302804358</v>
      </c>
    </row>
    <row r="118" spans="1:47">
      <c r="A118" s="974" t="s">
        <v>3490</v>
      </c>
      <c r="B118" s="976">
        <v>210</v>
      </c>
      <c r="C118" s="976">
        <v>38</v>
      </c>
      <c r="D118" s="976">
        <v>196</v>
      </c>
      <c r="E118" s="976">
        <v>33</v>
      </c>
      <c r="F118" s="976">
        <v>9</v>
      </c>
      <c r="G118" s="976">
        <v>0</v>
      </c>
      <c r="H118" s="976"/>
      <c r="I118" s="976"/>
      <c r="J118" s="976">
        <v>0</v>
      </c>
      <c r="K118" s="976">
        <v>1</v>
      </c>
      <c r="L118" s="976">
        <v>23</v>
      </c>
      <c r="M118" s="976">
        <v>0</v>
      </c>
      <c r="N118" s="976">
        <v>1</v>
      </c>
      <c r="O118" s="976">
        <v>0</v>
      </c>
      <c r="P118" s="976">
        <v>439</v>
      </c>
      <c r="Q118" s="977">
        <v>72</v>
      </c>
      <c r="T118" s="983" t="s">
        <v>677</v>
      </c>
      <c r="U118" s="984">
        <v>12</v>
      </c>
      <c r="V118" s="984">
        <v>0</v>
      </c>
      <c r="W118" s="984">
        <v>5</v>
      </c>
      <c r="X118" s="984">
        <v>1</v>
      </c>
      <c r="Y118" s="984"/>
      <c r="Z118" s="984"/>
      <c r="AA118" s="984"/>
      <c r="AB118" s="984"/>
      <c r="AC118" s="984">
        <v>0</v>
      </c>
      <c r="AD118" s="984">
        <v>9</v>
      </c>
      <c r="AE118" s="984"/>
      <c r="AF118" s="984"/>
      <c r="AG118" s="984"/>
      <c r="AH118" s="984"/>
      <c r="AI118" s="984">
        <v>11</v>
      </c>
      <c r="AJ118" s="984">
        <v>12</v>
      </c>
      <c r="AK118" s="984">
        <v>17</v>
      </c>
      <c r="AL118" s="984">
        <v>10</v>
      </c>
      <c r="AM118" s="1055">
        <f>AK118*'tecnicecon agric'!$J$57</f>
        <v>8080.6666666666661</v>
      </c>
      <c r="AN118" s="1055">
        <f>AL118*'tecnicecon agric'!$J$56</f>
        <v>11296.25</v>
      </c>
      <c r="AO118" s="1055">
        <f t="shared" si="3"/>
        <v>19376.916666666664</v>
      </c>
      <c r="AP118">
        <f>AL118*'tecnicecon agric'!$J$65+'cultius resum'!AK118</f>
        <v>59</v>
      </c>
      <c r="AQ118" s="779">
        <f t="shared" si="4"/>
        <v>8080.6666666666661</v>
      </c>
      <c r="AR118">
        <f>AN118+AL118*'tecnicecon agric'!$L$58</f>
        <v>13228.318571428572</v>
      </c>
      <c r="AS118">
        <f>AP118*'4. Agricultura PIB'!$K$31</f>
        <v>167799.80104577349</v>
      </c>
      <c r="AT118">
        <f>AS118*'4. Agricultura PIB'!$D$71</f>
        <v>49333.141507457403</v>
      </c>
      <c r="AU118" s="779">
        <f t="shared" si="5"/>
        <v>238441.92779132613</v>
      </c>
    </row>
    <row r="119" spans="1:47">
      <c r="A119" s="974" t="s">
        <v>3492</v>
      </c>
      <c r="B119" s="976">
        <v>230</v>
      </c>
      <c r="C119" s="976">
        <v>45</v>
      </c>
      <c r="D119" s="976">
        <v>403</v>
      </c>
      <c r="E119" s="976">
        <v>46</v>
      </c>
      <c r="F119" s="976">
        <v>15</v>
      </c>
      <c r="G119" s="976">
        <v>1</v>
      </c>
      <c r="H119" s="976"/>
      <c r="I119" s="976"/>
      <c r="J119" s="976">
        <v>0</v>
      </c>
      <c r="K119" s="976">
        <v>2</v>
      </c>
      <c r="L119" s="976">
        <v>8</v>
      </c>
      <c r="M119" s="976">
        <v>0</v>
      </c>
      <c r="N119" s="976">
        <v>1</v>
      </c>
      <c r="O119" s="976">
        <v>0</v>
      </c>
      <c r="P119" s="976">
        <v>657</v>
      </c>
      <c r="Q119" s="977">
        <v>94</v>
      </c>
      <c r="T119" s="983" t="s">
        <v>1183</v>
      </c>
      <c r="U119" s="984"/>
      <c r="V119" s="984"/>
      <c r="W119" s="984"/>
      <c r="X119" s="984"/>
      <c r="Y119" s="984"/>
      <c r="Z119" s="984"/>
      <c r="AA119" s="984"/>
      <c r="AB119" s="984"/>
      <c r="AC119" s="984"/>
      <c r="AD119" s="984"/>
      <c r="AE119" s="984"/>
      <c r="AF119" s="984"/>
      <c r="AG119" s="984"/>
      <c r="AH119" s="984"/>
      <c r="AI119" s="984">
        <v>11</v>
      </c>
      <c r="AJ119" s="984">
        <v>0</v>
      </c>
      <c r="AK119" s="984">
        <v>11</v>
      </c>
      <c r="AL119" s="984">
        <v>0</v>
      </c>
      <c r="AM119" s="1055">
        <f>AK119*'tecnicecon agric'!$J$57</f>
        <v>5228.6666666666661</v>
      </c>
      <c r="AN119" s="1055">
        <f>AL119*'tecnicecon agric'!$J$56</f>
        <v>0</v>
      </c>
      <c r="AO119" s="1055">
        <f t="shared" si="3"/>
        <v>5228.6666666666661</v>
      </c>
      <c r="AP119">
        <f>AL119*'tecnicecon agric'!$J$65+'cultius resum'!AK119</f>
        <v>11</v>
      </c>
      <c r="AQ119" s="779">
        <f t="shared" si="4"/>
        <v>5228.6666666666661</v>
      </c>
      <c r="AR119">
        <f>AN119+AL119*'tecnicecon agric'!$L$58</f>
        <v>0</v>
      </c>
      <c r="AS119">
        <f>AP119*'4. Agricultura PIB'!$K$31</f>
        <v>31284.70866955099</v>
      </c>
      <c r="AT119">
        <f>AS119*'4. Agricultura PIB'!$D$71</f>
        <v>9197.7043488479903</v>
      </c>
      <c r="AU119" s="779">
        <f t="shared" si="5"/>
        <v>45711.079685065648</v>
      </c>
    </row>
    <row r="120" spans="1:47">
      <c r="A120" s="974" t="s">
        <v>3496</v>
      </c>
      <c r="B120" s="976"/>
      <c r="C120" s="976"/>
      <c r="D120" s="976"/>
      <c r="E120" s="976"/>
      <c r="F120" s="976"/>
      <c r="G120" s="976"/>
      <c r="H120" s="976">
        <v>0</v>
      </c>
      <c r="I120" s="976">
        <v>7</v>
      </c>
      <c r="J120" s="976">
        <v>0</v>
      </c>
      <c r="K120" s="976">
        <v>9</v>
      </c>
      <c r="L120" s="976">
        <v>0</v>
      </c>
      <c r="M120" s="976">
        <v>1</v>
      </c>
      <c r="N120" s="976"/>
      <c r="O120" s="976"/>
      <c r="P120" s="976">
        <v>0</v>
      </c>
      <c r="Q120" s="977">
        <v>17</v>
      </c>
      <c r="T120" s="983" t="s">
        <v>1184</v>
      </c>
      <c r="U120" s="984">
        <v>210</v>
      </c>
      <c r="V120" s="984">
        <v>38</v>
      </c>
      <c r="W120" s="984">
        <v>196</v>
      </c>
      <c r="X120" s="984">
        <v>33</v>
      </c>
      <c r="Y120" s="984">
        <v>9</v>
      </c>
      <c r="Z120" s="984">
        <v>0</v>
      </c>
      <c r="AA120" s="984"/>
      <c r="AB120" s="984"/>
      <c r="AC120" s="984">
        <v>0</v>
      </c>
      <c r="AD120" s="984">
        <v>1</v>
      </c>
      <c r="AE120" s="984">
        <v>23</v>
      </c>
      <c r="AF120" s="984">
        <v>0</v>
      </c>
      <c r="AG120" s="984">
        <v>1</v>
      </c>
      <c r="AH120" s="984">
        <v>0</v>
      </c>
      <c r="AI120" s="984" t="s">
        <v>752</v>
      </c>
      <c r="AJ120" s="984" t="s">
        <v>752</v>
      </c>
      <c r="AK120" s="984">
        <v>439</v>
      </c>
      <c r="AL120" s="984">
        <v>72</v>
      </c>
      <c r="AM120" s="1055">
        <f>AK120*'tecnicecon agric'!$J$57</f>
        <v>208671.33333333331</v>
      </c>
      <c r="AN120" s="1055">
        <f>AL120*'tecnicecon agric'!$J$56</f>
        <v>81333</v>
      </c>
      <c r="AO120" s="1055">
        <f t="shared" si="3"/>
        <v>290004.33333333331</v>
      </c>
      <c r="AP120">
        <f>AL120*'tecnicecon agric'!$J$65+'cultius resum'!AK120</f>
        <v>741.40000000000009</v>
      </c>
      <c r="AQ120" s="779">
        <f t="shared" si="4"/>
        <v>208671.33333333331</v>
      </c>
      <c r="AR120">
        <f>AN120+AL120*'tecnicecon agric'!$L$58</f>
        <v>95243.893714285718</v>
      </c>
      <c r="AS120">
        <f>AP120*'4. Agricultura PIB'!$K$31</f>
        <v>2108589.3643277371</v>
      </c>
      <c r="AT120">
        <f>AS120*'4. Agricultura PIB'!$D$71</f>
        <v>619925.27311235468</v>
      </c>
      <c r="AU120" s="779">
        <f t="shared" si="5"/>
        <v>3032429.8644877109</v>
      </c>
    </row>
    <row r="121" spans="1:47">
      <c r="A121" s="974" t="s">
        <v>1194</v>
      </c>
      <c r="B121" s="976">
        <v>64</v>
      </c>
      <c r="C121" s="976">
        <v>0</v>
      </c>
      <c r="D121" s="976">
        <v>13</v>
      </c>
      <c r="E121" s="976">
        <v>0</v>
      </c>
      <c r="F121" s="976"/>
      <c r="G121" s="976"/>
      <c r="H121" s="976"/>
      <c r="I121" s="976"/>
      <c r="J121" s="976">
        <v>0</v>
      </c>
      <c r="K121" s="976">
        <v>9</v>
      </c>
      <c r="L121" s="976">
        <v>63</v>
      </c>
      <c r="M121" s="976">
        <v>1</v>
      </c>
      <c r="N121" s="976"/>
      <c r="O121" s="976"/>
      <c r="P121" s="976">
        <v>140</v>
      </c>
      <c r="Q121" s="977">
        <v>10</v>
      </c>
      <c r="T121" s="983" t="s">
        <v>1187</v>
      </c>
      <c r="U121" s="984">
        <v>230</v>
      </c>
      <c r="V121" s="984">
        <v>45</v>
      </c>
      <c r="W121" s="984">
        <v>403</v>
      </c>
      <c r="X121" s="984">
        <v>46</v>
      </c>
      <c r="Y121" s="984">
        <v>15</v>
      </c>
      <c r="Z121" s="984">
        <v>1</v>
      </c>
      <c r="AA121" s="984"/>
      <c r="AB121" s="984"/>
      <c r="AC121" s="984">
        <v>0</v>
      </c>
      <c r="AD121" s="984">
        <v>2</v>
      </c>
      <c r="AE121" s="984">
        <v>8</v>
      </c>
      <c r="AF121" s="984">
        <v>0</v>
      </c>
      <c r="AG121" s="984">
        <v>1</v>
      </c>
      <c r="AH121" s="984">
        <v>0</v>
      </c>
      <c r="AI121" s="984" t="s">
        <v>752</v>
      </c>
      <c r="AJ121" s="984" t="s">
        <v>752</v>
      </c>
      <c r="AK121" s="984">
        <v>657</v>
      </c>
      <c r="AL121" s="984">
        <v>94</v>
      </c>
      <c r="AM121" s="1055">
        <f>AK121*'tecnicecon agric'!$J$57</f>
        <v>312294</v>
      </c>
      <c r="AN121" s="1055">
        <f>AL121*'tecnicecon agric'!$J$56</f>
        <v>106184.75</v>
      </c>
      <c r="AO121" s="1055">
        <f t="shared" si="3"/>
        <v>418478.75</v>
      </c>
      <c r="AP121">
        <f>AL121*'tecnicecon agric'!$J$65+'cultius resum'!AK121</f>
        <v>1051.8</v>
      </c>
      <c r="AQ121" s="779">
        <f t="shared" si="4"/>
        <v>312294</v>
      </c>
      <c r="AR121">
        <f>AN121+AL121*'tecnicecon agric'!$L$58</f>
        <v>124346.19457142857</v>
      </c>
      <c r="AS121">
        <f>AP121*'4. Agricultura PIB'!$K$31</f>
        <v>2991386.9616939756</v>
      </c>
      <c r="AT121">
        <f>AS121*'4. Agricultura PIB'!$D$71</f>
        <v>879467.76673802873</v>
      </c>
      <c r="AU121" s="779">
        <f t="shared" si="5"/>
        <v>4307494.9230034333</v>
      </c>
    </row>
    <row r="122" spans="1:47">
      <c r="A122" s="974" t="s">
        <v>1197</v>
      </c>
      <c r="B122" s="976">
        <v>10</v>
      </c>
      <c r="C122" s="976">
        <v>0</v>
      </c>
      <c r="D122" s="976"/>
      <c r="E122" s="976"/>
      <c r="F122" s="976"/>
      <c r="G122" s="976"/>
      <c r="H122" s="976"/>
      <c r="I122" s="976"/>
      <c r="J122" s="976"/>
      <c r="K122" s="976"/>
      <c r="L122" s="976"/>
      <c r="M122" s="976"/>
      <c r="N122" s="976"/>
      <c r="O122" s="976"/>
      <c r="P122" s="976">
        <v>10</v>
      </c>
      <c r="Q122" s="977">
        <v>0</v>
      </c>
      <c r="T122" s="983" t="s">
        <v>344</v>
      </c>
      <c r="U122" s="984"/>
      <c r="V122" s="984"/>
      <c r="W122" s="984"/>
      <c r="X122" s="984"/>
      <c r="Y122" s="984"/>
      <c r="Z122" s="984"/>
      <c r="AA122" s="984">
        <v>0</v>
      </c>
      <c r="AB122" s="984">
        <v>7</v>
      </c>
      <c r="AC122" s="984">
        <v>0</v>
      </c>
      <c r="AD122" s="984">
        <v>9</v>
      </c>
      <c r="AE122" s="984">
        <v>0</v>
      </c>
      <c r="AF122" s="984">
        <v>1</v>
      </c>
      <c r="AG122" s="984"/>
      <c r="AH122" s="984"/>
      <c r="AI122" s="984" t="s">
        <v>752</v>
      </c>
      <c r="AJ122" s="984" t="s">
        <v>752</v>
      </c>
      <c r="AK122" s="984">
        <v>0</v>
      </c>
      <c r="AL122" s="984">
        <v>17</v>
      </c>
      <c r="AM122" s="1055">
        <f>AK122*'tecnicecon agric'!$J$57</f>
        <v>0</v>
      </c>
      <c r="AN122" s="1055">
        <f>AL122*'tecnicecon agric'!$J$56</f>
        <v>19203.625</v>
      </c>
      <c r="AO122" s="1055">
        <f t="shared" si="3"/>
        <v>19203.625</v>
      </c>
      <c r="AP122">
        <f>AL122*'tecnicecon agric'!$J$65+'cultius resum'!AK122</f>
        <v>71.400000000000006</v>
      </c>
      <c r="AQ122" s="779">
        <f t="shared" si="4"/>
        <v>0</v>
      </c>
      <c r="AR122">
        <f>AN122+AL122*'tecnicecon agric'!$L$58</f>
        <v>22488.141571428572</v>
      </c>
      <c r="AS122">
        <f>AP122*'4. Agricultura PIB'!$K$31</f>
        <v>203066.19990963099</v>
      </c>
      <c r="AT122">
        <f>AS122*'4. Agricultura PIB'!$D$71</f>
        <v>59701.462773431507</v>
      </c>
      <c r="AU122" s="779">
        <f t="shared" si="5"/>
        <v>285255.80425449106</v>
      </c>
    </row>
    <row r="123" spans="1:47">
      <c r="A123" s="974" t="s">
        <v>345</v>
      </c>
      <c r="B123" s="976"/>
      <c r="C123" s="976"/>
      <c r="D123" s="976">
        <v>1</v>
      </c>
      <c r="E123" s="976">
        <v>0</v>
      </c>
      <c r="F123" s="976"/>
      <c r="G123" s="976"/>
      <c r="H123" s="976">
        <v>0</v>
      </c>
      <c r="I123" s="976">
        <v>18</v>
      </c>
      <c r="J123" s="976">
        <v>0</v>
      </c>
      <c r="K123" s="976">
        <v>146</v>
      </c>
      <c r="L123" s="976">
        <v>0</v>
      </c>
      <c r="M123" s="976">
        <v>2</v>
      </c>
      <c r="N123" s="976">
        <v>0</v>
      </c>
      <c r="O123" s="976">
        <v>15</v>
      </c>
      <c r="P123" s="976">
        <v>1</v>
      </c>
      <c r="Q123" s="977">
        <v>181</v>
      </c>
      <c r="T123" s="983" t="s">
        <v>1194</v>
      </c>
      <c r="U123" s="984">
        <v>64</v>
      </c>
      <c r="V123" s="984">
        <v>0</v>
      </c>
      <c r="W123" s="984">
        <v>13</v>
      </c>
      <c r="X123" s="984">
        <v>0</v>
      </c>
      <c r="Y123" s="984"/>
      <c r="Z123" s="984"/>
      <c r="AA123" s="984"/>
      <c r="AB123" s="984"/>
      <c r="AC123" s="984">
        <v>0</v>
      </c>
      <c r="AD123" s="984">
        <v>9</v>
      </c>
      <c r="AE123" s="984">
        <v>63</v>
      </c>
      <c r="AF123" s="984">
        <v>1</v>
      </c>
      <c r="AG123" s="984"/>
      <c r="AH123" s="984"/>
      <c r="AI123" s="984">
        <v>342</v>
      </c>
      <c r="AJ123" s="984">
        <v>2</v>
      </c>
      <c r="AK123" s="984">
        <v>140</v>
      </c>
      <c r="AL123" s="984">
        <v>10</v>
      </c>
      <c r="AM123" s="1055">
        <f>AK123*'tecnicecon agric'!$J$57</f>
        <v>66546.666666666657</v>
      </c>
      <c r="AN123" s="1055">
        <f>AL123*'tecnicecon agric'!$J$56</f>
        <v>11296.25</v>
      </c>
      <c r="AO123" s="1055">
        <f t="shared" si="3"/>
        <v>77842.916666666657</v>
      </c>
      <c r="AP123">
        <f>AL123*'tecnicecon agric'!$J$65+'cultius resum'!AK123</f>
        <v>182</v>
      </c>
      <c r="AQ123" s="779">
        <f t="shared" si="4"/>
        <v>66546.666666666657</v>
      </c>
      <c r="AR123">
        <f>AN123+AL123*'tecnicecon agric'!$L$58</f>
        <v>13228.318571428572</v>
      </c>
      <c r="AS123">
        <f>AP123*'4. Agricultura PIB'!$K$31</f>
        <v>517619.72525984369</v>
      </c>
      <c r="AT123">
        <f>AS123*'4. Agricultura PIB'!$D$71</f>
        <v>152180.19922639403</v>
      </c>
      <c r="AU123" s="779">
        <f t="shared" si="5"/>
        <v>749574.90972433297</v>
      </c>
    </row>
    <row r="124" spans="1:47">
      <c r="A124" s="974" t="s">
        <v>1204</v>
      </c>
      <c r="B124" s="976">
        <v>266</v>
      </c>
      <c r="C124" s="976">
        <v>0</v>
      </c>
      <c r="D124" s="976">
        <v>28</v>
      </c>
      <c r="E124" s="976">
        <v>0</v>
      </c>
      <c r="F124" s="976">
        <v>77</v>
      </c>
      <c r="G124" s="976">
        <v>0</v>
      </c>
      <c r="H124" s="976"/>
      <c r="I124" s="976"/>
      <c r="J124" s="976">
        <v>6</v>
      </c>
      <c r="K124" s="976">
        <v>0</v>
      </c>
      <c r="L124" s="976">
        <v>4</v>
      </c>
      <c r="M124" s="976">
        <v>0</v>
      </c>
      <c r="N124" s="976"/>
      <c r="O124" s="976"/>
      <c r="P124" s="976">
        <v>381</v>
      </c>
      <c r="Q124" s="977">
        <v>0</v>
      </c>
      <c r="T124" s="983" t="s">
        <v>1197</v>
      </c>
      <c r="U124" s="984">
        <v>10</v>
      </c>
      <c r="V124" s="984">
        <v>0</v>
      </c>
      <c r="W124" s="984"/>
      <c r="X124" s="984"/>
      <c r="Y124" s="984"/>
      <c r="Z124" s="984"/>
      <c r="AA124" s="984"/>
      <c r="AB124" s="984"/>
      <c r="AC124" s="984"/>
      <c r="AD124" s="984"/>
      <c r="AE124" s="984"/>
      <c r="AF124" s="984"/>
      <c r="AG124" s="984"/>
      <c r="AH124" s="984"/>
      <c r="AI124" s="984">
        <v>3</v>
      </c>
      <c r="AJ124" s="984">
        <v>0</v>
      </c>
      <c r="AK124" s="984">
        <v>10</v>
      </c>
      <c r="AL124" s="984">
        <v>0</v>
      </c>
      <c r="AM124" s="1055">
        <f>AK124*'tecnicecon agric'!$J$57</f>
        <v>4753.333333333333</v>
      </c>
      <c r="AN124" s="1055">
        <f>AL124*'tecnicecon agric'!$J$56</f>
        <v>0</v>
      </c>
      <c r="AO124" s="1055">
        <f t="shared" si="3"/>
        <v>4753.333333333333</v>
      </c>
      <c r="AP124">
        <f>AL124*'tecnicecon agric'!$J$65+'cultius resum'!AK124</f>
        <v>10</v>
      </c>
      <c r="AQ124" s="779">
        <f t="shared" si="4"/>
        <v>4753.333333333333</v>
      </c>
      <c r="AR124">
        <f>AN124+AL124*'tecnicecon agric'!$L$58</f>
        <v>0</v>
      </c>
      <c r="AS124">
        <f>AP124*'4. Agricultura PIB'!$K$31</f>
        <v>28440.644245046355</v>
      </c>
      <c r="AT124">
        <f>AS124*'4. Agricultura PIB'!$D$71</f>
        <v>8361.5494080436274</v>
      </c>
      <c r="AU124" s="779">
        <f t="shared" si="5"/>
        <v>41555.526986423312</v>
      </c>
    </row>
    <row r="125" spans="1:47">
      <c r="A125" s="974" t="s">
        <v>1260</v>
      </c>
      <c r="B125" s="976">
        <v>848</v>
      </c>
      <c r="C125" s="976">
        <v>4</v>
      </c>
      <c r="D125" s="976">
        <v>615</v>
      </c>
      <c r="E125" s="976">
        <v>1</v>
      </c>
      <c r="F125" s="976">
        <v>2</v>
      </c>
      <c r="G125" s="976">
        <v>0</v>
      </c>
      <c r="H125" s="976"/>
      <c r="I125" s="976"/>
      <c r="J125" s="976">
        <v>0</v>
      </c>
      <c r="K125" s="976">
        <v>2</v>
      </c>
      <c r="L125" s="976">
        <v>47</v>
      </c>
      <c r="M125" s="976">
        <v>0</v>
      </c>
      <c r="N125" s="976"/>
      <c r="O125" s="976"/>
      <c r="P125" s="976">
        <v>1512</v>
      </c>
      <c r="Q125" s="977">
        <v>7</v>
      </c>
      <c r="T125" s="983" t="s">
        <v>345</v>
      </c>
      <c r="U125" s="984"/>
      <c r="V125" s="984"/>
      <c r="W125" s="984">
        <v>1</v>
      </c>
      <c r="X125" s="984">
        <v>0</v>
      </c>
      <c r="Y125" s="984"/>
      <c r="Z125" s="984"/>
      <c r="AA125" s="984">
        <v>0</v>
      </c>
      <c r="AB125" s="984">
        <v>18</v>
      </c>
      <c r="AC125" s="984">
        <v>0</v>
      </c>
      <c r="AD125" s="984">
        <v>146</v>
      </c>
      <c r="AE125" s="984">
        <v>0</v>
      </c>
      <c r="AF125" s="984">
        <v>2</v>
      </c>
      <c r="AG125" s="984">
        <v>0</v>
      </c>
      <c r="AH125" s="984">
        <v>15</v>
      </c>
      <c r="AI125" s="984">
        <v>10</v>
      </c>
      <c r="AJ125" s="984">
        <v>1</v>
      </c>
      <c r="AK125" s="984">
        <v>1</v>
      </c>
      <c r="AL125" s="984">
        <v>181</v>
      </c>
      <c r="AM125" s="1055">
        <f>AK125*'tecnicecon agric'!$J$57</f>
        <v>475.33333333333331</v>
      </c>
      <c r="AN125" s="1055">
        <f>AL125*'tecnicecon agric'!$J$56</f>
        <v>204462.125</v>
      </c>
      <c r="AO125" s="1055">
        <f t="shared" si="3"/>
        <v>204937.45833333334</v>
      </c>
      <c r="AP125">
        <f>AL125*'tecnicecon agric'!$J$65+'cultius resum'!AK125</f>
        <v>761.2</v>
      </c>
      <c r="AQ125" s="779">
        <f t="shared" si="4"/>
        <v>475.33333333333331</v>
      </c>
      <c r="AR125">
        <f>AN125+AL125*'tecnicecon agric'!$L$58</f>
        <v>239432.56614285713</v>
      </c>
      <c r="AS125">
        <f>AP125*'4. Agricultura PIB'!$K$31</f>
        <v>2164901.8399329288</v>
      </c>
      <c r="AT125">
        <f>AS125*'4. Agricultura PIB'!$D$71</f>
        <v>636481.14094028098</v>
      </c>
      <c r="AU125" s="779">
        <f t="shared" si="5"/>
        <v>3041290.8803494005</v>
      </c>
    </row>
    <row r="126" spans="1:47">
      <c r="A126" s="974" t="s">
        <v>1208</v>
      </c>
      <c r="B126" s="976"/>
      <c r="C126" s="976"/>
      <c r="D126" s="976"/>
      <c r="E126" s="976"/>
      <c r="F126" s="976"/>
      <c r="G126" s="976"/>
      <c r="H126" s="976"/>
      <c r="I126" s="976"/>
      <c r="J126" s="976">
        <v>0</v>
      </c>
      <c r="K126" s="976">
        <v>31</v>
      </c>
      <c r="L126" s="976"/>
      <c r="M126" s="976"/>
      <c r="N126" s="976"/>
      <c r="O126" s="976"/>
      <c r="P126" s="976">
        <v>0</v>
      </c>
      <c r="Q126" s="977">
        <v>31</v>
      </c>
      <c r="T126" s="983" t="s">
        <v>1204</v>
      </c>
      <c r="U126" s="984">
        <v>266</v>
      </c>
      <c r="V126" s="984">
        <v>0</v>
      </c>
      <c r="W126" s="984">
        <v>28</v>
      </c>
      <c r="X126" s="984">
        <v>0</v>
      </c>
      <c r="Y126" s="984">
        <v>77</v>
      </c>
      <c r="Z126" s="984">
        <v>0</v>
      </c>
      <c r="AA126" s="984"/>
      <c r="AB126" s="984"/>
      <c r="AC126" s="984">
        <v>6</v>
      </c>
      <c r="AD126" s="984">
        <v>0</v>
      </c>
      <c r="AE126" s="984">
        <v>4</v>
      </c>
      <c r="AF126" s="984">
        <v>0</v>
      </c>
      <c r="AG126" s="984"/>
      <c r="AH126" s="984"/>
      <c r="AI126" s="984">
        <v>664</v>
      </c>
      <c r="AJ126" s="984">
        <v>2</v>
      </c>
      <c r="AK126" s="984">
        <v>381</v>
      </c>
      <c r="AL126" s="984">
        <v>0</v>
      </c>
      <c r="AM126" s="1055">
        <f>AK126*'tecnicecon agric'!$J$57</f>
        <v>181102</v>
      </c>
      <c r="AN126" s="1055">
        <f>AL126*'tecnicecon agric'!$J$56</f>
        <v>0</v>
      </c>
      <c r="AO126" s="1055">
        <f t="shared" si="3"/>
        <v>181102</v>
      </c>
      <c r="AP126">
        <f>AL126*'tecnicecon agric'!$J$65+'cultius resum'!AK126</f>
        <v>381</v>
      </c>
      <c r="AQ126" s="779">
        <f t="shared" si="4"/>
        <v>181102</v>
      </c>
      <c r="AR126">
        <f>AN126+AL126*'tecnicecon agric'!$L$58</f>
        <v>0</v>
      </c>
      <c r="AS126">
        <f>AP126*'4. Agricultura PIB'!$K$31</f>
        <v>1083588.5457362661</v>
      </c>
      <c r="AT126">
        <f>AS126*'4. Agricultura PIB'!$D$71</f>
        <v>318575.0324464622</v>
      </c>
      <c r="AU126" s="779">
        <f t="shared" si="5"/>
        <v>1583265.5781827283</v>
      </c>
    </row>
    <row r="127" spans="1:47">
      <c r="A127" s="974" t="s">
        <v>1214</v>
      </c>
      <c r="B127" s="976">
        <v>181</v>
      </c>
      <c r="C127" s="976">
        <v>12</v>
      </c>
      <c r="D127" s="976">
        <v>35</v>
      </c>
      <c r="E127" s="976">
        <v>19</v>
      </c>
      <c r="F127" s="976"/>
      <c r="G127" s="976"/>
      <c r="H127" s="976"/>
      <c r="I127" s="976"/>
      <c r="J127" s="976">
        <v>1</v>
      </c>
      <c r="K127" s="976">
        <v>8</v>
      </c>
      <c r="L127" s="976">
        <v>54</v>
      </c>
      <c r="M127" s="976">
        <v>9</v>
      </c>
      <c r="N127" s="976">
        <v>0</v>
      </c>
      <c r="O127" s="976">
        <v>1</v>
      </c>
      <c r="P127" s="976">
        <v>271</v>
      </c>
      <c r="Q127" s="977">
        <v>49</v>
      </c>
      <c r="T127" s="983" t="s">
        <v>1260</v>
      </c>
      <c r="U127" s="984">
        <v>848</v>
      </c>
      <c r="V127" s="984">
        <v>4</v>
      </c>
      <c r="W127" s="984">
        <v>615</v>
      </c>
      <c r="X127" s="984">
        <v>1</v>
      </c>
      <c r="Y127" s="984">
        <v>2</v>
      </c>
      <c r="Z127" s="984">
        <v>0</v>
      </c>
      <c r="AA127" s="984"/>
      <c r="AB127" s="984"/>
      <c r="AC127" s="984">
        <v>0</v>
      </c>
      <c r="AD127" s="984">
        <v>2</v>
      </c>
      <c r="AE127" s="984">
        <v>47</v>
      </c>
      <c r="AF127" s="984">
        <v>0</v>
      </c>
      <c r="AG127" s="984"/>
      <c r="AH127" s="984"/>
      <c r="AI127" s="984" t="s">
        <v>752</v>
      </c>
      <c r="AJ127" s="984" t="s">
        <v>752</v>
      </c>
      <c r="AK127" s="984">
        <v>1512</v>
      </c>
      <c r="AL127" s="984">
        <v>7</v>
      </c>
      <c r="AM127" s="1055">
        <f>AK127*'tecnicecon agric'!$J$57</f>
        <v>718704</v>
      </c>
      <c r="AN127" s="1055">
        <f>AL127*'tecnicecon agric'!$J$56</f>
        <v>7907.375</v>
      </c>
      <c r="AO127" s="1055">
        <f t="shared" si="3"/>
        <v>726611.375</v>
      </c>
      <c r="AP127">
        <f>AL127*'tecnicecon agric'!$J$65+'cultius resum'!AK127</f>
        <v>1541.4</v>
      </c>
      <c r="AQ127" s="779">
        <f t="shared" si="4"/>
        <v>718704</v>
      </c>
      <c r="AR127">
        <f>AN127+AL127*'tecnicecon agric'!$L$58</f>
        <v>9259.8230000000003</v>
      </c>
      <c r="AS127">
        <f>AP127*'4. Agricultura PIB'!$K$31</f>
        <v>4383840.9039314454</v>
      </c>
      <c r="AT127">
        <f>AS127*'4. Agricultura PIB'!$D$71</f>
        <v>1288849.225755845</v>
      </c>
      <c r="AU127" s="779">
        <f t="shared" si="5"/>
        <v>6400653.9526872905</v>
      </c>
    </row>
    <row r="128" spans="1:47">
      <c r="A128" s="974" t="s">
        <v>1230</v>
      </c>
      <c r="B128" s="976">
        <v>23</v>
      </c>
      <c r="C128" s="976">
        <v>1</v>
      </c>
      <c r="D128" s="976">
        <v>16</v>
      </c>
      <c r="E128" s="976">
        <v>0</v>
      </c>
      <c r="F128" s="976">
        <v>10</v>
      </c>
      <c r="G128" s="976">
        <v>0</v>
      </c>
      <c r="H128" s="976"/>
      <c r="I128" s="976"/>
      <c r="J128" s="976">
        <v>0</v>
      </c>
      <c r="K128" s="976">
        <v>1</v>
      </c>
      <c r="L128" s="976"/>
      <c r="M128" s="976"/>
      <c r="N128" s="976"/>
      <c r="O128" s="976"/>
      <c r="P128" s="976">
        <v>49</v>
      </c>
      <c r="Q128" s="977">
        <v>2</v>
      </c>
      <c r="T128" s="983" t="s">
        <v>1208</v>
      </c>
      <c r="U128" s="984"/>
      <c r="V128" s="984"/>
      <c r="W128" s="984"/>
      <c r="X128" s="984"/>
      <c r="Y128" s="984"/>
      <c r="Z128" s="984"/>
      <c r="AA128" s="984"/>
      <c r="AB128" s="984"/>
      <c r="AC128" s="984">
        <v>0</v>
      </c>
      <c r="AD128" s="984">
        <v>31</v>
      </c>
      <c r="AE128" s="984"/>
      <c r="AF128" s="984"/>
      <c r="AG128" s="984"/>
      <c r="AH128" s="984"/>
      <c r="AI128" s="984">
        <v>2</v>
      </c>
      <c r="AJ128" s="984">
        <v>15</v>
      </c>
      <c r="AK128" s="984">
        <v>0</v>
      </c>
      <c r="AL128" s="984">
        <v>31</v>
      </c>
      <c r="AM128" s="1055">
        <f>AK128*'tecnicecon agric'!$J$57</f>
        <v>0</v>
      </c>
      <c r="AN128" s="1055">
        <f>AL128*'tecnicecon agric'!$J$56</f>
        <v>35018.375</v>
      </c>
      <c r="AO128" s="1055">
        <f t="shared" si="3"/>
        <v>35018.375</v>
      </c>
      <c r="AP128">
        <f>AL128*'tecnicecon agric'!$J$65+'cultius resum'!AK128</f>
        <v>130.20000000000002</v>
      </c>
      <c r="AQ128" s="779">
        <f t="shared" si="4"/>
        <v>0</v>
      </c>
      <c r="AR128">
        <f>AN128+AL128*'tecnicecon agric'!$L$58</f>
        <v>41007.787571428569</v>
      </c>
      <c r="AS128">
        <f>AP128*'4. Agricultura PIB'!$K$31</f>
        <v>370297.18807050359</v>
      </c>
      <c r="AT128">
        <f>AS128*'4. Agricultura PIB'!$D$71</f>
        <v>108867.37329272805</v>
      </c>
      <c r="AU128" s="779">
        <f t="shared" si="5"/>
        <v>520172.3489346602</v>
      </c>
    </row>
    <row r="129" spans="1:47">
      <c r="A129" s="974" t="s">
        <v>1227</v>
      </c>
      <c r="B129" s="976">
        <v>17</v>
      </c>
      <c r="C129" s="976">
        <v>1</v>
      </c>
      <c r="D129" s="976">
        <v>2</v>
      </c>
      <c r="E129" s="976">
        <v>0</v>
      </c>
      <c r="F129" s="976"/>
      <c r="G129" s="976"/>
      <c r="H129" s="976"/>
      <c r="I129" s="976"/>
      <c r="J129" s="976"/>
      <c r="K129" s="976"/>
      <c r="L129" s="976"/>
      <c r="M129" s="976"/>
      <c r="N129" s="976"/>
      <c r="O129" s="976"/>
      <c r="P129" s="976">
        <v>19</v>
      </c>
      <c r="Q129" s="977">
        <v>1</v>
      </c>
      <c r="T129" s="983" t="s">
        <v>1214</v>
      </c>
      <c r="U129" s="984">
        <v>181</v>
      </c>
      <c r="V129" s="984">
        <v>12</v>
      </c>
      <c r="W129" s="984">
        <v>35</v>
      </c>
      <c r="X129" s="984">
        <v>19</v>
      </c>
      <c r="Y129" s="984"/>
      <c r="Z129" s="984"/>
      <c r="AA129" s="984"/>
      <c r="AB129" s="984"/>
      <c r="AC129" s="984">
        <v>1</v>
      </c>
      <c r="AD129" s="984">
        <v>8</v>
      </c>
      <c r="AE129" s="984">
        <v>54</v>
      </c>
      <c r="AF129" s="984">
        <v>9</v>
      </c>
      <c r="AG129" s="984">
        <v>0</v>
      </c>
      <c r="AH129" s="984">
        <v>1</v>
      </c>
      <c r="AI129" s="984">
        <v>2</v>
      </c>
      <c r="AJ129" s="984">
        <v>0</v>
      </c>
      <c r="AK129" s="984">
        <v>271</v>
      </c>
      <c r="AL129" s="984">
        <v>49</v>
      </c>
      <c r="AM129" s="1055">
        <f>AK129*'tecnicecon agric'!$J$57</f>
        <v>128815.33333333333</v>
      </c>
      <c r="AN129" s="1055">
        <f>AL129*'tecnicecon agric'!$J$56</f>
        <v>55351.625</v>
      </c>
      <c r="AO129" s="1055">
        <f t="shared" si="3"/>
        <v>184166.95833333331</v>
      </c>
      <c r="AP129">
        <f>AL129*'tecnicecon agric'!$J$65+'cultius resum'!AK129</f>
        <v>476.8</v>
      </c>
      <c r="AQ129" s="779">
        <f t="shared" si="4"/>
        <v>128815.33333333333</v>
      </c>
      <c r="AR129">
        <f>AN129+AL129*'tecnicecon agric'!$L$58</f>
        <v>64818.760999999999</v>
      </c>
      <c r="AS129">
        <f>AP129*'4. Agricultura PIB'!$K$31</f>
        <v>1356049.9176038103</v>
      </c>
      <c r="AT129">
        <f>AS129*'4. Agricultura PIB'!$D$71</f>
        <v>398678.67577552021</v>
      </c>
      <c r="AU129" s="779">
        <f t="shared" si="5"/>
        <v>1948362.687712664</v>
      </c>
    </row>
    <row r="130" spans="1:47">
      <c r="A130" s="974" t="s">
        <v>1220</v>
      </c>
      <c r="B130" s="976">
        <v>115</v>
      </c>
      <c r="C130" s="976">
        <v>0</v>
      </c>
      <c r="D130" s="976">
        <v>20</v>
      </c>
      <c r="E130" s="976">
        <v>0</v>
      </c>
      <c r="F130" s="976">
        <v>0</v>
      </c>
      <c r="G130" s="976">
        <v>6</v>
      </c>
      <c r="H130" s="976"/>
      <c r="I130" s="976"/>
      <c r="J130" s="976"/>
      <c r="K130" s="976"/>
      <c r="L130" s="976">
        <v>47</v>
      </c>
      <c r="M130" s="976">
        <v>0</v>
      </c>
      <c r="N130" s="976"/>
      <c r="O130" s="976"/>
      <c r="P130" s="976">
        <v>182</v>
      </c>
      <c r="Q130" s="977">
        <v>6</v>
      </c>
      <c r="T130" s="983" t="s">
        <v>1230</v>
      </c>
      <c r="U130" s="984">
        <v>23</v>
      </c>
      <c r="V130" s="984">
        <v>1</v>
      </c>
      <c r="W130" s="984">
        <v>16</v>
      </c>
      <c r="X130" s="984">
        <v>0</v>
      </c>
      <c r="Y130" s="984">
        <v>10</v>
      </c>
      <c r="Z130" s="984">
        <v>0</v>
      </c>
      <c r="AA130" s="984"/>
      <c r="AB130" s="984"/>
      <c r="AC130" s="984">
        <v>0</v>
      </c>
      <c r="AD130" s="984">
        <v>1</v>
      </c>
      <c r="AE130" s="984"/>
      <c r="AF130" s="984"/>
      <c r="AG130" s="984"/>
      <c r="AH130" s="984"/>
      <c r="AI130" s="984">
        <v>1</v>
      </c>
      <c r="AJ130" s="984">
        <v>0</v>
      </c>
      <c r="AK130" s="984">
        <v>49</v>
      </c>
      <c r="AL130" s="984">
        <v>2</v>
      </c>
      <c r="AM130" s="1055">
        <f>AK130*'tecnicecon agric'!$J$57</f>
        <v>23291.333333333332</v>
      </c>
      <c r="AN130" s="1055">
        <f>AL130*'tecnicecon agric'!$J$56</f>
        <v>2259.25</v>
      </c>
      <c r="AO130" s="1055">
        <f t="shared" si="3"/>
        <v>25550.583333333332</v>
      </c>
      <c r="AP130">
        <f>AL130*'tecnicecon agric'!$J$65+'cultius resum'!AK130</f>
        <v>57.4</v>
      </c>
      <c r="AQ130" s="779">
        <f t="shared" si="4"/>
        <v>23291.333333333332</v>
      </c>
      <c r="AR130">
        <f>AN130+AL130*'tecnicecon agric'!$L$58</f>
        <v>2645.6637142857144</v>
      </c>
      <c r="AS130">
        <f>AP130*'4. Agricultura PIB'!$K$31</f>
        <v>163249.29796656608</v>
      </c>
      <c r="AT130">
        <f>AS130*'4. Agricultura PIB'!$D$71</f>
        <v>47995.293602170423</v>
      </c>
      <c r="AU130" s="779">
        <f t="shared" si="5"/>
        <v>237181.58861635556</v>
      </c>
    </row>
    <row r="131" spans="1:47">
      <c r="A131" s="974" t="s">
        <v>1237</v>
      </c>
      <c r="B131" s="976">
        <v>493</v>
      </c>
      <c r="C131" s="976">
        <v>0</v>
      </c>
      <c r="D131" s="976">
        <v>103</v>
      </c>
      <c r="E131" s="976">
        <v>0</v>
      </c>
      <c r="F131" s="976">
        <v>11</v>
      </c>
      <c r="G131" s="976">
        <v>0</v>
      </c>
      <c r="H131" s="976"/>
      <c r="I131" s="976"/>
      <c r="J131" s="976"/>
      <c r="K131" s="976"/>
      <c r="L131" s="976">
        <v>13</v>
      </c>
      <c r="M131" s="976">
        <v>0</v>
      </c>
      <c r="N131" s="976"/>
      <c r="O131" s="976"/>
      <c r="P131" s="976">
        <v>620</v>
      </c>
      <c r="Q131" s="977">
        <v>0</v>
      </c>
      <c r="T131" s="983" t="s">
        <v>1227</v>
      </c>
      <c r="U131" s="984">
        <v>17</v>
      </c>
      <c r="V131" s="984">
        <v>1</v>
      </c>
      <c r="W131" s="984">
        <v>2</v>
      </c>
      <c r="X131" s="984">
        <v>0</v>
      </c>
      <c r="Y131" s="984"/>
      <c r="Z131" s="984"/>
      <c r="AA131" s="984"/>
      <c r="AB131" s="984"/>
      <c r="AC131" s="984"/>
      <c r="AD131" s="984"/>
      <c r="AE131" s="984"/>
      <c r="AF131" s="984"/>
      <c r="AG131" s="984"/>
      <c r="AH131" s="984"/>
      <c r="AI131" s="984">
        <v>5</v>
      </c>
      <c r="AJ131" s="984">
        <v>3</v>
      </c>
      <c r="AK131" s="984">
        <v>19</v>
      </c>
      <c r="AL131" s="984">
        <v>1</v>
      </c>
      <c r="AM131" s="1055">
        <f>AK131*'tecnicecon agric'!$J$57</f>
        <v>9031.3333333333321</v>
      </c>
      <c r="AN131" s="1055">
        <f>AL131*'tecnicecon agric'!$J$56</f>
        <v>1129.625</v>
      </c>
      <c r="AO131" s="1055">
        <f t="shared" si="3"/>
        <v>10160.958333333332</v>
      </c>
      <c r="AP131">
        <f>AL131*'tecnicecon agric'!$J$65+'cultius resum'!AK131</f>
        <v>23.2</v>
      </c>
      <c r="AQ131" s="779">
        <f t="shared" si="4"/>
        <v>9031.3333333333321</v>
      </c>
      <c r="AR131">
        <f>AN131+AL131*'tecnicecon agric'!$L$58</f>
        <v>1322.8318571428572</v>
      </c>
      <c r="AS131">
        <f>AP131*'4. Agricultura PIB'!$K$31</f>
        <v>65982.294648507537</v>
      </c>
      <c r="AT131">
        <f>AS131*'4. Agricultura PIB'!$D$71</f>
        <v>19398.794626661216</v>
      </c>
      <c r="AU131" s="779">
        <f t="shared" si="5"/>
        <v>95735.254465644932</v>
      </c>
    </row>
    <row r="132" spans="1:47">
      <c r="A132" s="974" t="s">
        <v>1240</v>
      </c>
      <c r="B132" s="976"/>
      <c r="C132" s="976"/>
      <c r="D132" s="976">
        <v>34</v>
      </c>
      <c r="E132" s="976">
        <v>0</v>
      </c>
      <c r="F132" s="976"/>
      <c r="G132" s="976"/>
      <c r="H132" s="976"/>
      <c r="I132" s="976"/>
      <c r="J132" s="976"/>
      <c r="K132" s="976"/>
      <c r="L132" s="976"/>
      <c r="M132" s="976"/>
      <c r="N132" s="976"/>
      <c r="O132" s="976"/>
      <c r="P132" s="976">
        <v>34</v>
      </c>
      <c r="Q132" s="977">
        <v>0</v>
      </c>
      <c r="T132" s="983" t="s">
        <v>1220</v>
      </c>
      <c r="U132" s="984">
        <v>115</v>
      </c>
      <c r="V132" s="984">
        <v>0</v>
      </c>
      <c r="W132" s="984">
        <v>20</v>
      </c>
      <c r="X132" s="984">
        <v>0</v>
      </c>
      <c r="Y132" s="984">
        <v>0</v>
      </c>
      <c r="Z132" s="984">
        <v>6</v>
      </c>
      <c r="AA132" s="984"/>
      <c r="AB132" s="984"/>
      <c r="AC132" s="984"/>
      <c r="AD132" s="984"/>
      <c r="AE132" s="984">
        <v>47</v>
      </c>
      <c r="AF132" s="984">
        <v>0</v>
      </c>
      <c r="AG132" s="984"/>
      <c r="AH132" s="984"/>
      <c r="AI132" s="984">
        <v>4</v>
      </c>
      <c r="AJ132" s="984">
        <v>0</v>
      </c>
      <c r="AK132" s="984">
        <v>182</v>
      </c>
      <c r="AL132" s="984">
        <v>6</v>
      </c>
      <c r="AM132" s="1055">
        <f>AK132*'tecnicecon agric'!$J$57</f>
        <v>86510.666666666657</v>
      </c>
      <c r="AN132" s="1055">
        <f>AL132*'tecnicecon agric'!$J$56</f>
        <v>6777.75</v>
      </c>
      <c r="AO132" s="1055">
        <f t="shared" si="3"/>
        <v>93288.416666666657</v>
      </c>
      <c r="AP132">
        <f>AL132*'tecnicecon agric'!$J$65+'cultius resum'!AK132</f>
        <v>207.2</v>
      </c>
      <c r="AQ132" s="779">
        <f t="shared" si="4"/>
        <v>86510.666666666657</v>
      </c>
      <c r="AR132">
        <f>AN132+AL132*'tecnicecon agric'!$L$58</f>
        <v>7936.9911428571431</v>
      </c>
      <c r="AS132">
        <f>AP132*'4. Agricultura PIB'!$K$31</f>
        <v>589290.14875736041</v>
      </c>
      <c r="AT132">
        <f>AS132*'4. Agricultura PIB'!$D$71</f>
        <v>173251.30373466396</v>
      </c>
      <c r="AU132" s="779">
        <f t="shared" si="5"/>
        <v>856989.11030154827</v>
      </c>
    </row>
    <row r="133" spans="1:47">
      <c r="A133" s="974" t="s">
        <v>346</v>
      </c>
      <c r="B133" s="976"/>
      <c r="C133" s="976"/>
      <c r="D133" s="976"/>
      <c r="E133" s="976"/>
      <c r="F133" s="976"/>
      <c r="G133" s="976"/>
      <c r="H133" s="976">
        <v>0</v>
      </c>
      <c r="I133" s="976">
        <v>1</v>
      </c>
      <c r="J133" s="976">
        <v>0</v>
      </c>
      <c r="K133" s="976">
        <v>5</v>
      </c>
      <c r="L133" s="976"/>
      <c r="M133" s="976"/>
      <c r="N133" s="976">
        <v>0</v>
      </c>
      <c r="O133" s="976">
        <v>1</v>
      </c>
      <c r="P133" s="976">
        <v>0</v>
      </c>
      <c r="Q133" s="977">
        <v>7</v>
      </c>
      <c r="T133" s="983" t="s">
        <v>1237</v>
      </c>
      <c r="U133" s="984">
        <v>493</v>
      </c>
      <c r="V133" s="984">
        <v>0</v>
      </c>
      <c r="W133" s="984">
        <v>103</v>
      </c>
      <c r="X133" s="984">
        <v>0</v>
      </c>
      <c r="Y133" s="984">
        <v>11</v>
      </c>
      <c r="Z133" s="984">
        <v>0</v>
      </c>
      <c r="AA133" s="984"/>
      <c r="AB133" s="984"/>
      <c r="AC133" s="984"/>
      <c r="AD133" s="984"/>
      <c r="AE133" s="984">
        <v>13</v>
      </c>
      <c r="AF133" s="984">
        <v>0</v>
      </c>
      <c r="AG133" s="984"/>
      <c r="AH133" s="984"/>
      <c r="AI133" s="984" t="s">
        <v>752</v>
      </c>
      <c r="AJ133" s="984" t="s">
        <v>752</v>
      </c>
      <c r="AK133" s="984">
        <v>620</v>
      </c>
      <c r="AL133" s="984">
        <v>0</v>
      </c>
      <c r="AM133" s="1055">
        <f>AK133*'tecnicecon agric'!$J$57</f>
        <v>294706.66666666663</v>
      </c>
      <c r="AN133" s="1055">
        <f>AL133*'tecnicecon agric'!$J$56</f>
        <v>0</v>
      </c>
      <c r="AO133" s="1055">
        <f t="shared" si="3"/>
        <v>294706.66666666663</v>
      </c>
      <c r="AP133">
        <f>AL133*'tecnicecon agric'!$J$65+'cultius resum'!AK133</f>
        <v>620</v>
      </c>
      <c r="AQ133" s="779">
        <f t="shared" si="4"/>
        <v>294706.66666666663</v>
      </c>
      <c r="AR133">
        <f>AN133+AL133*'tecnicecon agric'!$L$58</f>
        <v>0</v>
      </c>
      <c r="AS133">
        <f>AP133*'4. Agricultura PIB'!$K$31</f>
        <v>1763319.9431928741</v>
      </c>
      <c r="AT133">
        <f>AS133*'4. Agricultura PIB'!$D$71</f>
        <v>518416.06329870498</v>
      </c>
      <c r="AU133" s="779">
        <f t="shared" si="5"/>
        <v>2576442.6731582456</v>
      </c>
    </row>
    <row r="134" spans="1:47">
      <c r="A134" s="974" t="s">
        <v>1245</v>
      </c>
      <c r="B134" s="976">
        <v>1176</v>
      </c>
      <c r="C134" s="976">
        <v>11</v>
      </c>
      <c r="D134" s="976">
        <v>256</v>
      </c>
      <c r="E134" s="976">
        <v>0</v>
      </c>
      <c r="F134" s="976">
        <v>90</v>
      </c>
      <c r="G134" s="976">
        <v>0</v>
      </c>
      <c r="H134" s="976"/>
      <c r="I134" s="976"/>
      <c r="J134" s="976"/>
      <c r="K134" s="976"/>
      <c r="L134" s="976">
        <v>55</v>
      </c>
      <c r="M134" s="976">
        <v>0</v>
      </c>
      <c r="N134" s="976"/>
      <c r="O134" s="976"/>
      <c r="P134" s="976">
        <v>1577</v>
      </c>
      <c r="Q134" s="977">
        <v>11</v>
      </c>
      <c r="T134" s="983" t="s">
        <v>1240</v>
      </c>
      <c r="U134" s="984"/>
      <c r="V134" s="984"/>
      <c r="W134" s="984">
        <v>34</v>
      </c>
      <c r="X134" s="984">
        <v>0</v>
      </c>
      <c r="Y134" s="984"/>
      <c r="Z134" s="984"/>
      <c r="AA134" s="984"/>
      <c r="AB134" s="984"/>
      <c r="AC134" s="984"/>
      <c r="AD134" s="984"/>
      <c r="AE134" s="984"/>
      <c r="AF134" s="984"/>
      <c r="AG134" s="984"/>
      <c r="AH134" s="984"/>
      <c r="AI134" s="984" t="s">
        <v>752</v>
      </c>
      <c r="AJ134" s="984" t="s">
        <v>752</v>
      </c>
      <c r="AK134" s="984">
        <v>34</v>
      </c>
      <c r="AL134" s="984">
        <v>0</v>
      </c>
      <c r="AM134" s="1055">
        <f>AK134*'tecnicecon agric'!$J$57</f>
        <v>16161.333333333332</v>
      </c>
      <c r="AN134" s="1055">
        <f>AL134*'tecnicecon agric'!$J$56</f>
        <v>0</v>
      </c>
      <c r="AO134" s="1055">
        <f t="shared" si="3"/>
        <v>16161.333333333332</v>
      </c>
      <c r="AP134">
        <f>AL134*'tecnicecon agric'!$J$65+'cultius resum'!AK134</f>
        <v>34</v>
      </c>
      <c r="AQ134" s="779">
        <f t="shared" si="4"/>
        <v>16161.333333333332</v>
      </c>
      <c r="AR134">
        <f>AN134+AL134*'tecnicecon agric'!$L$58</f>
        <v>0</v>
      </c>
      <c r="AS134">
        <f>AP134*'4. Agricultura PIB'!$K$31</f>
        <v>96698.190433157608</v>
      </c>
      <c r="AT134">
        <f>AS134*'4. Agricultura PIB'!$D$71</f>
        <v>28429.267987348336</v>
      </c>
      <c r="AU134" s="779">
        <f t="shared" si="5"/>
        <v>141288.79175383926</v>
      </c>
    </row>
    <row r="135" spans="1:47">
      <c r="A135" s="974" t="s">
        <v>1249</v>
      </c>
      <c r="B135" s="976">
        <v>699</v>
      </c>
      <c r="C135" s="976">
        <v>0</v>
      </c>
      <c r="D135" s="976">
        <v>11</v>
      </c>
      <c r="E135" s="976">
        <v>0</v>
      </c>
      <c r="F135" s="976">
        <v>6</v>
      </c>
      <c r="G135" s="976">
        <v>0</v>
      </c>
      <c r="H135" s="976"/>
      <c r="I135" s="976"/>
      <c r="J135" s="976"/>
      <c r="K135" s="976"/>
      <c r="L135" s="976">
        <v>58</v>
      </c>
      <c r="M135" s="976">
        <v>0</v>
      </c>
      <c r="N135" s="976"/>
      <c r="O135" s="976"/>
      <c r="P135" s="976">
        <v>774</v>
      </c>
      <c r="Q135" s="977">
        <v>0</v>
      </c>
      <c r="T135" s="983" t="s">
        <v>346</v>
      </c>
      <c r="U135" s="984"/>
      <c r="V135" s="984"/>
      <c r="W135" s="984"/>
      <c r="X135" s="984"/>
      <c r="Y135" s="984"/>
      <c r="Z135" s="984"/>
      <c r="AA135" s="984">
        <v>0</v>
      </c>
      <c r="AB135" s="984">
        <v>1</v>
      </c>
      <c r="AC135" s="984">
        <v>0</v>
      </c>
      <c r="AD135" s="984">
        <v>5</v>
      </c>
      <c r="AE135" s="984"/>
      <c r="AF135" s="984"/>
      <c r="AG135" s="984">
        <v>0</v>
      </c>
      <c r="AH135" s="984">
        <v>1</v>
      </c>
      <c r="AI135" s="984">
        <v>2</v>
      </c>
      <c r="AJ135" s="984">
        <v>0</v>
      </c>
      <c r="AK135" s="984">
        <v>0</v>
      </c>
      <c r="AL135" s="984">
        <v>7</v>
      </c>
      <c r="AM135" s="1055">
        <f>AK135*'tecnicecon agric'!$J$57</f>
        <v>0</v>
      </c>
      <c r="AN135" s="1055">
        <f>AL135*'tecnicecon agric'!$J$56</f>
        <v>7907.375</v>
      </c>
      <c r="AO135" s="1055">
        <f t="shared" ref="AO135:AO198" si="6">AM135+AN135</f>
        <v>7907.375</v>
      </c>
      <c r="AP135">
        <f>AL135*'tecnicecon agric'!$J$65+'cultius resum'!AK135</f>
        <v>29.400000000000002</v>
      </c>
      <c r="AQ135" s="779">
        <f t="shared" ref="AQ135:AQ198" si="7">AM135</f>
        <v>0</v>
      </c>
      <c r="AR135">
        <f>AN135+AL135*'tecnicecon agric'!$L$58</f>
        <v>9259.8230000000003</v>
      </c>
      <c r="AS135">
        <f>AP135*'4. Agricultura PIB'!$K$31</f>
        <v>83615.494080436285</v>
      </c>
      <c r="AT135">
        <f>AS135*'4. Agricultura PIB'!$D$71</f>
        <v>24582.955259648268</v>
      </c>
      <c r="AU135" s="779">
        <f t="shared" ref="AU135:AU198" si="8">SUM(AQ135:AT135)</f>
        <v>117458.27234008456</v>
      </c>
    </row>
    <row r="136" spans="1:47">
      <c r="A136" s="974" t="s">
        <v>1255</v>
      </c>
      <c r="B136" s="976">
        <v>13</v>
      </c>
      <c r="C136" s="976">
        <v>8</v>
      </c>
      <c r="D136" s="976">
        <v>0</v>
      </c>
      <c r="E136" s="976">
        <v>2</v>
      </c>
      <c r="F136" s="976"/>
      <c r="G136" s="976"/>
      <c r="H136" s="976"/>
      <c r="I136" s="976"/>
      <c r="J136" s="976"/>
      <c r="K136" s="976"/>
      <c r="L136" s="976"/>
      <c r="M136" s="976"/>
      <c r="N136" s="976"/>
      <c r="O136" s="976"/>
      <c r="P136" s="976">
        <v>13</v>
      </c>
      <c r="Q136" s="977">
        <v>10</v>
      </c>
      <c r="T136" s="983" t="s">
        <v>1245</v>
      </c>
      <c r="U136" s="984">
        <v>1176</v>
      </c>
      <c r="V136" s="984">
        <v>11</v>
      </c>
      <c r="W136" s="984">
        <v>256</v>
      </c>
      <c r="X136" s="984">
        <v>0</v>
      </c>
      <c r="Y136" s="984">
        <v>90</v>
      </c>
      <c r="Z136" s="984">
        <v>0</v>
      </c>
      <c r="AA136" s="984"/>
      <c r="AB136" s="984"/>
      <c r="AC136" s="984"/>
      <c r="AD136" s="984"/>
      <c r="AE136" s="984">
        <v>55</v>
      </c>
      <c r="AF136" s="984">
        <v>0</v>
      </c>
      <c r="AG136" s="984"/>
      <c r="AH136" s="984"/>
      <c r="AI136" s="984" t="s">
        <v>752</v>
      </c>
      <c r="AJ136" s="984" t="s">
        <v>752</v>
      </c>
      <c r="AK136" s="984">
        <v>1577</v>
      </c>
      <c r="AL136" s="984">
        <v>11</v>
      </c>
      <c r="AM136" s="1055">
        <f>AK136*'tecnicecon agric'!$J$57</f>
        <v>749600.66666666663</v>
      </c>
      <c r="AN136" s="1055">
        <f>AL136*'tecnicecon agric'!$J$56</f>
        <v>12425.875</v>
      </c>
      <c r="AO136" s="1055">
        <f t="shared" si="6"/>
        <v>762026.54166666663</v>
      </c>
      <c r="AP136">
        <f>AL136*'tecnicecon agric'!$J$65+'cultius resum'!AK136</f>
        <v>1623.2</v>
      </c>
      <c r="AQ136" s="779">
        <f t="shared" si="7"/>
        <v>749600.66666666663</v>
      </c>
      <c r="AR136">
        <f>AN136+AL136*'tecnicecon agric'!$L$58</f>
        <v>14551.150428571429</v>
      </c>
      <c r="AS136">
        <f>AP136*'4. Agricultura PIB'!$K$31</f>
        <v>4616485.3738559242</v>
      </c>
      <c r="AT136">
        <f>AS136*'4. Agricultura PIB'!$D$71</f>
        <v>1357246.6999136417</v>
      </c>
      <c r="AU136" s="779">
        <f t="shared" si="8"/>
        <v>6737883.8908648035</v>
      </c>
    </row>
    <row r="137" spans="1:47">
      <c r="A137" s="974" t="s">
        <v>1256</v>
      </c>
      <c r="B137" s="976">
        <v>9</v>
      </c>
      <c r="C137" s="976">
        <v>34</v>
      </c>
      <c r="D137" s="976">
        <v>0</v>
      </c>
      <c r="E137" s="976">
        <v>5</v>
      </c>
      <c r="F137" s="976"/>
      <c r="G137" s="976"/>
      <c r="H137" s="976">
        <v>0</v>
      </c>
      <c r="I137" s="976">
        <v>8</v>
      </c>
      <c r="J137" s="976"/>
      <c r="K137" s="976"/>
      <c r="L137" s="976">
        <v>0</v>
      </c>
      <c r="M137" s="976">
        <v>1</v>
      </c>
      <c r="N137" s="976">
        <v>3</v>
      </c>
      <c r="O137" s="976">
        <v>0</v>
      </c>
      <c r="P137" s="976">
        <v>12</v>
      </c>
      <c r="Q137" s="977">
        <v>48</v>
      </c>
      <c r="T137" s="983" t="s">
        <v>1249</v>
      </c>
      <c r="U137" s="984">
        <v>699</v>
      </c>
      <c r="V137" s="984">
        <v>0</v>
      </c>
      <c r="W137" s="984">
        <v>11</v>
      </c>
      <c r="X137" s="984">
        <v>0</v>
      </c>
      <c r="Y137" s="984">
        <v>6</v>
      </c>
      <c r="Z137" s="984">
        <v>0</v>
      </c>
      <c r="AA137" s="984"/>
      <c r="AB137" s="984"/>
      <c r="AC137" s="984"/>
      <c r="AD137" s="984"/>
      <c r="AE137" s="984">
        <v>58</v>
      </c>
      <c r="AF137" s="984">
        <v>0</v>
      </c>
      <c r="AG137" s="984"/>
      <c r="AH137" s="984"/>
      <c r="AI137" s="984">
        <v>1</v>
      </c>
      <c r="AJ137" s="984">
        <v>0</v>
      </c>
      <c r="AK137" s="984">
        <v>774</v>
      </c>
      <c r="AL137" s="984">
        <v>0</v>
      </c>
      <c r="AM137" s="1055">
        <f>AK137*'tecnicecon agric'!$J$57</f>
        <v>367908</v>
      </c>
      <c r="AN137" s="1055">
        <f>AL137*'tecnicecon agric'!$J$56</f>
        <v>0</v>
      </c>
      <c r="AO137" s="1055">
        <f t="shared" si="6"/>
        <v>367908</v>
      </c>
      <c r="AP137">
        <f>AL137*'tecnicecon agric'!$J$65+'cultius resum'!AK137</f>
        <v>774</v>
      </c>
      <c r="AQ137" s="779">
        <f t="shared" si="7"/>
        <v>367908</v>
      </c>
      <c r="AR137">
        <f>AN137+AL137*'tecnicecon agric'!$L$58</f>
        <v>0</v>
      </c>
      <c r="AS137">
        <f>AP137*'4. Agricultura PIB'!$K$31</f>
        <v>2201305.8645665878</v>
      </c>
      <c r="AT137">
        <f>AS137*'4. Agricultura PIB'!$D$71</f>
        <v>647183.92418257683</v>
      </c>
      <c r="AU137" s="779">
        <f t="shared" si="8"/>
        <v>3216397.7887491649</v>
      </c>
    </row>
    <row r="138" spans="1:47">
      <c r="A138" s="974" t="s">
        <v>1258</v>
      </c>
      <c r="B138" s="976">
        <v>6</v>
      </c>
      <c r="C138" s="976">
        <v>3</v>
      </c>
      <c r="D138" s="976">
        <v>15</v>
      </c>
      <c r="E138" s="976">
        <v>6</v>
      </c>
      <c r="F138" s="976"/>
      <c r="G138" s="976"/>
      <c r="H138" s="976"/>
      <c r="I138" s="976"/>
      <c r="J138" s="976"/>
      <c r="K138" s="976"/>
      <c r="L138" s="976">
        <v>0</v>
      </c>
      <c r="M138" s="976">
        <v>1</v>
      </c>
      <c r="N138" s="976"/>
      <c r="O138" s="976"/>
      <c r="P138" s="976">
        <v>21</v>
      </c>
      <c r="Q138" s="977">
        <v>10</v>
      </c>
      <c r="T138" s="983" t="s">
        <v>1255</v>
      </c>
      <c r="U138" s="984">
        <v>13</v>
      </c>
      <c r="V138" s="984">
        <v>8</v>
      </c>
      <c r="W138" s="984">
        <v>0</v>
      </c>
      <c r="X138" s="984">
        <v>2</v>
      </c>
      <c r="Y138" s="984"/>
      <c r="Z138" s="984"/>
      <c r="AA138" s="984"/>
      <c r="AB138" s="984"/>
      <c r="AC138" s="984"/>
      <c r="AD138" s="984"/>
      <c r="AE138" s="984"/>
      <c r="AF138" s="984"/>
      <c r="AG138" s="984"/>
      <c r="AH138" s="984"/>
      <c r="AI138" s="984" t="s">
        <v>752</v>
      </c>
      <c r="AJ138" s="984" t="s">
        <v>752</v>
      </c>
      <c r="AK138" s="984">
        <v>13</v>
      </c>
      <c r="AL138" s="984">
        <v>10</v>
      </c>
      <c r="AM138" s="1055">
        <f>AK138*'tecnicecon agric'!$J$57</f>
        <v>6179.333333333333</v>
      </c>
      <c r="AN138" s="1055">
        <f>AL138*'tecnicecon agric'!$J$56</f>
        <v>11296.25</v>
      </c>
      <c r="AO138" s="1055">
        <f t="shared" si="6"/>
        <v>17475.583333333332</v>
      </c>
      <c r="AP138">
        <f>AL138*'tecnicecon agric'!$J$65+'cultius resum'!AK138</f>
        <v>55</v>
      </c>
      <c r="AQ138" s="779">
        <f t="shared" si="7"/>
        <v>6179.333333333333</v>
      </c>
      <c r="AR138">
        <f>AN138+AL138*'tecnicecon agric'!$L$58</f>
        <v>13228.318571428572</v>
      </c>
      <c r="AS138">
        <f>AP138*'4. Agricultura PIB'!$K$31</f>
        <v>156423.54334775495</v>
      </c>
      <c r="AT138">
        <f>AS138*'4. Agricultura PIB'!$D$71</f>
        <v>45988.521744239952</v>
      </c>
      <c r="AU138" s="779">
        <f t="shared" si="8"/>
        <v>221819.71699675682</v>
      </c>
    </row>
    <row r="139" spans="1:47">
      <c r="A139" s="974" t="s">
        <v>1233</v>
      </c>
      <c r="B139" s="976">
        <v>168</v>
      </c>
      <c r="C139" s="976">
        <v>0</v>
      </c>
      <c r="D139" s="976">
        <v>270</v>
      </c>
      <c r="E139" s="976">
        <v>5</v>
      </c>
      <c r="F139" s="976">
        <v>14</v>
      </c>
      <c r="G139" s="976">
        <v>0</v>
      </c>
      <c r="H139" s="976"/>
      <c r="I139" s="976"/>
      <c r="J139" s="976"/>
      <c r="K139" s="976"/>
      <c r="L139" s="976">
        <v>6</v>
      </c>
      <c r="M139" s="976">
        <v>0</v>
      </c>
      <c r="N139" s="976"/>
      <c r="O139" s="976"/>
      <c r="P139" s="976">
        <v>458</v>
      </c>
      <c r="Q139" s="977">
        <v>5</v>
      </c>
      <c r="T139" s="983" t="s">
        <v>1256</v>
      </c>
      <c r="U139" s="984">
        <v>9</v>
      </c>
      <c r="V139" s="984">
        <v>34</v>
      </c>
      <c r="W139" s="984">
        <v>0</v>
      </c>
      <c r="X139" s="984">
        <v>5</v>
      </c>
      <c r="Y139" s="984"/>
      <c r="Z139" s="984"/>
      <c r="AA139" s="984">
        <v>0</v>
      </c>
      <c r="AB139" s="984">
        <v>8</v>
      </c>
      <c r="AC139" s="984"/>
      <c r="AD139" s="984"/>
      <c r="AE139" s="984">
        <v>0</v>
      </c>
      <c r="AF139" s="984">
        <v>1</v>
      </c>
      <c r="AG139" s="984">
        <v>3</v>
      </c>
      <c r="AH139" s="984">
        <v>0</v>
      </c>
      <c r="AI139" s="984">
        <v>19</v>
      </c>
      <c r="AJ139" s="984">
        <v>0</v>
      </c>
      <c r="AK139" s="984">
        <v>12</v>
      </c>
      <c r="AL139" s="984">
        <v>48</v>
      </c>
      <c r="AM139" s="1055">
        <f>AK139*'tecnicecon agric'!$J$57</f>
        <v>5704</v>
      </c>
      <c r="AN139" s="1055">
        <f>AL139*'tecnicecon agric'!$J$56</f>
        <v>54222</v>
      </c>
      <c r="AO139" s="1055">
        <f t="shared" si="6"/>
        <v>59926</v>
      </c>
      <c r="AP139">
        <f>AL139*'tecnicecon agric'!$J$65+'cultius resum'!AK139</f>
        <v>213.60000000000002</v>
      </c>
      <c r="AQ139" s="779">
        <f t="shared" si="7"/>
        <v>5704</v>
      </c>
      <c r="AR139">
        <f>AN139+AL139*'tecnicecon agric'!$L$58</f>
        <v>63495.929142857145</v>
      </c>
      <c r="AS139">
        <f>AP139*'4. Agricultura PIB'!$K$31</f>
        <v>607492.16107419017</v>
      </c>
      <c r="AT139">
        <f>AS139*'4. Agricultura PIB'!$D$71</f>
        <v>178602.69535581191</v>
      </c>
      <c r="AU139" s="779">
        <f t="shared" si="8"/>
        <v>855294.78557285923</v>
      </c>
    </row>
    <row r="140" spans="1:47">
      <c r="A140" s="974" t="s">
        <v>1263</v>
      </c>
      <c r="B140" s="976"/>
      <c r="C140" s="976"/>
      <c r="D140" s="976">
        <v>10</v>
      </c>
      <c r="E140" s="976">
        <v>0</v>
      </c>
      <c r="F140" s="976"/>
      <c r="G140" s="976"/>
      <c r="H140" s="976"/>
      <c r="I140" s="976"/>
      <c r="J140" s="976">
        <v>0</v>
      </c>
      <c r="K140" s="976">
        <v>2</v>
      </c>
      <c r="L140" s="976"/>
      <c r="M140" s="976"/>
      <c r="N140" s="976"/>
      <c r="O140" s="976"/>
      <c r="P140" s="976">
        <v>10</v>
      </c>
      <c r="Q140" s="977">
        <v>2</v>
      </c>
      <c r="T140" s="983" t="s">
        <v>1258</v>
      </c>
      <c r="U140" s="984">
        <v>6</v>
      </c>
      <c r="V140" s="984">
        <v>3</v>
      </c>
      <c r="W140" s="984">
        <v>15</v>
      </c>
      <c r="X140" s="984">
        <v>6</v>
      </c>
      <c r="Y140" s="984"/>
      <c r="Z140" s="984"/>
      <c r="AA140" s="984"/>
      <c r="AB140" s="984"/>
      <c r="AC140" s="984"/>
      <c r="AD140" s="984"/>
      <c r="AE140" s="984">
        <v>0</v>
      </c>
      <c r="AF140" s="984">
        <v>1</v>
      </c>
      <c r="AG140" s="984"/>
      <c r="AH140" s="984"/>
      <c r="AI140" s="984" t="s">
        <v>752</v>
      </c>
      <c r="AJ140" s="984" t="s">
        <v>752</v>
      </c>
      <c r="AK140" s="984">
        <v>21</v>
      </c>
      <c r="AL140" s="984">
        <v>10</v>
      </c>
      <c r="AM140" s="1055">
        <f>AK140*'tecnicecon agric'!$J$57</f>
        <v>9982</v>
      </c>
      <c r="AN140" s="1055">
        <f>AL140*'tecnicecon agric'!$J$56</f>
        <v>11296.25</v>
      </c>
      <c r="AO140" s="1055">
        <f t="shared" si="6"/>
        <v>21278.25</v>
      </c>
      <c r="AP140">
        <f>AL140*'tecnicecon agric'!$J$65+'cultius resum'!AK140</f>
        <v>63</v>
      </c>
      <c r="AQ140" s="779">
        <f t="shared" si="7"/>
        <v>9982</v>
      </c>
      <c r="AR140">
        <f>AN140+AL140*'tecnicecon agric'!$L$58</f>
        <v>13228.318571428572</v>
      </c>
      <c r="AS140">
        <f>AP140*'4. Agricultura PIB'!$K$31</f>
        <v>179176.05874379203</v>
      </c>
      <c r="AT140">
        <f>AS140*'4. Agricultura PIB'!$D$71</f>
        <v>52677.761270674855</v>
      </c>
      <c r="AU140" s="779">
        <f t="shared" si="8"/>
        <v>255064.13858589545</v>
      </c>
    </row>
    <row r="141" spans="1:47">
      <c r="A141" s="974" t="s">
        <v>1268</v>
      </c>
      <c r="B141" s="976">
        <v>74</v>
      </c>
      <c r="C141" s="976">
        <v>2</v>
      </c>
      <c r="D141" s="976">
        <v>7</v>
      </c>
      <c r="E141" s="976">
        <v>0</v>
      </c>
      <c r="F141" s="976">
        <v>1</v>
      </c>
      <c r="G141" s="976">
        <v>0</v>
      </c>
      <c r="H141" s="976"/>
      <c r="I141" s="976"/>
      <c r="J141" s="976">
        <v>0</v>
      </c>
      <c r="K141" s="976">
        <v>5</v>
      </c>
      <c r="L141" s="976"/>
      <c r="M141" s="976"/>
      <c r="N141" s="976"/>
      <c r="O141" s="976"/>
      <c r="P141" s="976">
        <v>82</v>
      </c>
      <c r="Q141" s="977">
        <v>7</v>
      </c>
      <c r="T141" s="983" t="s">
        <v>1233</v>
      </c>
      <c r="U141" s="984">
        <v>168</v>
      </c>
      <c r="V141" s="984">
        <v>0</v>
      </c>
      <c r="W141" s="984">
        <v>270</v>
      </c>
      <c r="X141" s="984">
        <v>5</v>
      </c>
      <c r="Y141" s="984">
        <v>14</v>
      </c>
      <c r="Z141" s="984">
        <v>0</v>
      </c>
      <c r="AA141" s="984"/>
      <c r="AB141" s="984"/>
      <c r="AC141" s="984"/>
      <c r="AD141" s="984"/>
      <c r="AE141" s="984">
        <v>6</v>
      </c>
      <c r="AF141" s="984">
        <v>0</v>
      </c>
      <c r="AG141" s="984"/>
      <c r="AH141" s="984"/>
      <c r="AI141" s="984" t="s">
        <v>752</v>
      </c>
      <c r="AJ141" s="984" t="s">
        <v>752</v>
      </c>
      <c r="AK141" s="984">
        <v>458</v>
      </c>
      <c r="AL141" s="984">
        <v>5</v>
      </c>
      <c r="AM141" s="1055">
        <f>AK141*'tecnicecon agric'!$J$57</f>
        <v>217702.66666666666</v>
      </c>
      <c r="AN141" s="1055">
        <f>AL141*'tecnicecon agric'!$J$56</f>
        <v>5648.125</v>
      </c>
      <c r="AO141" s="1055">
        <f t="shared" si="6"/>
        <v>223350.79166666666</v>
      </c>
      <c r="AP141">
        <f>AL141*'tecnicecon agric'!$J$65+'cultius resum'!AK141</f>
        <v>479</v>
      </c>
      <c r="AQ141" s="779">
        <f t="shared" si="7"/>
        <v>217702.66666666666</v>
      </c>
      <c r="AR141">
        <f>AN141+AL141*'tecnicecon agric'!$L$58</f>
        <v>6614.1592857142859</v>
      </c>
      <c r="AS141">
        <f>AP141*'4. Agricultura PIB'!$K$31</f>
        <v>1362306.8593377203</v>
      </c>
      <c r="AT141">
        <f>AS141*'4. Agricultura PIB'!$D$71</f>
        <v>400518.21664528974</v>
      </c>
      <c r="AU141" s="779">
        <f t="shared" si="8"/>
        <v>1987141.9019353909</v>
      </c>
    </row>
    <row r="142" spans="1:47">
      <c r="A142" s="974" t="s">
        <v>1269</v>
      </c>
      <c r="B142" s="976">
        <v>1104</v>
      </c>
      <c r="C142" s="976">
        <v>6</v>
      </c>
      <c r="D142" s="976">
        <v>139</v>
      </c>
      <c r="E142" s="976">
        <v>1</v>
      </c>
      <c r="F142" s="976">
        <v>6</v>
      </c>
      <c r="G142" s="976">
        <v>0</v>
      </c>
      <c r="H142" s="976"/>
      <c r="I142" s="976"/>
      <c r="J142" s="976">
        <v>0</v>
      </c>
      <c r="K142" s="976">
        <v>2</v>
      </c>
      <c r="L142" s="976">
        <v>7</v>
      </c>
      <c r="M142" s="976">
        <v>0</v>
      </c>
      <c r="N142" s="976"/>
      <c r="O142" s="976"/>
      <c r="P142" s="976">
        <v>1256</v>
      </c>
      <c r="Q142" s="977">
        <v>9</v>
      </c>
      <c r="T142" s="983" t="s">
        <v>1263</v>
      </c>
      <c r="U142" s="984"/>
      <c r="V142" s="984"/>
      <c r="W142" s="984">
        <v>10</v>
      </c>
      <c r="X142" s="984">
        <v>0</v>
      </c>
      <c r="Y142" s="984"/>
      <c r="Z142" s="984"/>
      <c r="AA142" s="984"/>
      <c r="AB142" s="984"/>
      <c r="AC142" s="984">
        <v>0</v>
      </c>
      <c r="AD142" s="984">
        <v>2</v>
      </c>
      <c r="AE142" s="984"/>
      <c r="AF142" s="984"/>
      <c r="AG142" s="984"/>
      <c r="AH142" s="984"/>
      <c r="AI142" s="984">
        <v>12</v>
      </c>
      <c r="AJ142" s="984">
        <v>0</v>
      </c>
      <c r="AK142" s="984">
        <v>10</v>
      </c>
      <c r="AL142" s="984">
        <v>2</v>
      </c>
      <c r="AM142" s="1055">
        <f>AK142*'tecnicecon agric'!$J$57</f>
        <v>4753.333333333333</v>
      </c>
      <c r="AN142" s="1055">
        <f>AL142*'tecnicecon agric'!$J$56</f>
        <v>2259.25</v>
      </c>
      <c r="AO142" s="1055">
        <f t="shared" si="6"/>
        <v>7012.583333333333</v>
      </c>
      <c r="AP142">
        <f>AL142*'tecnicecon agric'!$J$65+'cultius resum'!AK142</f>
        <v>18.399999999999999</v>
      </c>
      <c r="AQ142" s="779">
        <f t="shared" si="7"/>
        <v>4753.333333333333</v>
      </c>
      <c r="AR142">
        <f>AN142+AL142*'tecnicecon agric'!$L$58</f>
        <v>2645.6637142857144</v>
      </c>
      <c r="AS142">
        <f>AP142*'4. Agricultura PIB'!$K$31</f>
        <v>52330.785410885292</v>
      </c>
      <c r="AT142">
        <f>AS142*'4. Agricultura PIB'!$D$71</f>
        <v>15385.250910800274</v>
      </c>
      <c r="AU142" s="779">
        <f t="shared" si="8"/>
        <v>75115.033369304612</v>
      </c>
    </row>
    <row r="143" spans="1:47">
      <c r="A143" s="974" t="s">
        <v>3583</v>
      </c>
      <c r="B143" s="976"/>
      <c r="C143" s="976"/>
      <c r="D143" s="976">
        <v>31</v>
      </c>
      <c r="E143" s="976">
        <v>0</v>
      </c>
      <c r="F143" s="976"/>
      <c r="G143" s="976"/>
      <c r="H143" s="976"/>
      <c r="I143" s="976"/>
      <c r="J143" s="976"/>
      <c r="K143" s="976"/>
      <c r="L143" s="976"/>
      <c r="M143" s="976"/>
      <c r="N143" s="976"/>
      <c r="O143" s="976"/>
      <c r="P143" s="976">
        <v>31</v>
      </c>
      <c r="Q143" s="977">
        <v>0</v>
      </c>
      <c r="T143" s="983" t="s">
        <v>1268</v>
      </c>
      <c r="U143" s="984">
        <v>74</v>
      </c>
      <c r="V143" s="984">
        <v>2</v>
      </c>
      <c r="W143" s="984">
        <v>7</v>
      </c>
      <c r="X143" s="984">
        <v>0</v>
      </c>
      <c r="Y143" s="984">
        <v>1</v>
      </c>
      <c r="Z143" s="984">
        <v>0</v>
      </c>
      <c r="AA143" s="984"/>
      <c r="AB143" s="984"/>
      <c r="AC143" s="984">
        <v>0</v>
      </c>
      <c r="AD143" s="984">
        <v>5</v>
      </c>
      <c r="AE143" s="984"/>
      <c r="AF143" s="984"/>
      <c r="AG143" s="984"/>
      <c r="AH143" s="984"/>
      <c r="AI143" s="984">
        <v>1</v>
      </c>
      <c r="AJ143" s="984">
        <v>0</v>
      </c>
      <c r="AK143" s="984">
        <v>82</v>
      </c>
      <c r="AL143" s="984">
        <v>7</v>
      </c>
      <c r="AM143" s="1055">
        <f>AK143*'tecnicecon agric'!$J$57</f>
        <v>38977.333333333328</v>
      </c>
      <c r="AN143" s="1055">
        <f>AL143*'tecnicecon agric'!$J$56</f>
        <v>7907.375</v>
      </c>
      <c r="AO143" s="1055">
        <f t="shared" si="6"/>
        <v>46884.708333333328</v>
      </c>
      <c r="AP143">
        <f>AL143*'tecnicecon agric'!$J$65+'cultius resum'!AK143</f>
        <v>111.4</v>
      </c>
      <c r="AQ143" s="779">
        <f t="shared" si="7"/>
        <v>38977.333333333328</v>
      </c>
      <c r="AR143">
        <f>AN143+AL143*'tecnicecon agric'!$L$58</f>
        <v>9259.8230000000003</v>
      </c>
      <c r="AS143">
        <f>AP143*'4. Agricultura PIB'!$K$31</f>
        <v>316828.77688981639</v>
      </c>
      <c r="AT143">
        <f>AS143*'4. Agricultura PIB'!$D$71</f>
        <v>93147.660405606017</v>
      </c>
      <c r="AU143" s="779">
        <f t="shared" si="8"/>
        <v>458213.59362875577</v>
      </c>
    </row>
    <row r="144" spans="1:47">
      <c r="A144" s="974" t="s">
        <v>1274</v>
      </c>
      <c r="B144" s="976">
        <v>1272</v>
      </c>
      <c r="C144" s="976">
        <v>0</v>
      </c>
      <c r="D144" s="976">
        <v>153</v>
      </c>
      <c r="E144" s="976">
        <v>0</v>
      </c>
      <c r="F144" s="976">
        <v>113</v>
      </c>
      <c r="G144" s="976">
        <v>0</v>
      </c>
      <c r="H144" s="976"/>
      <c r="I144" s="976"/>
      <c r="J144" s="976">
        <v>1</v>
      </c>
      <c r="K144" s="976">
        <v>4</v>
      </c>
      <c r="L144" s="976">
        <v>95</v>
      </c>
      <c r="M144" s="976">
        <v>0</v>
      </c>
      <c r="N144" s="976"/>
      <c r="O144" s="976"/>
      <c r="P144" s="976">
        <v>1634</v>
      </c>
      <c r="Q144" s="977">
        <v>4</v>
      </c>
      <c r="T144" s="983" t="s">
        <v>1269</v>
      </c>
      <c r="U144" s="984">
        <v>1104</v>
      </c>
      <c r="V144" s="984">
        <v>6</v>
      </c>
      <c r="W144" s="984">
        <v>139</v>
      </c>
      <c r="X144" s="984">
        <v>1</v>
      </c>
      <c r="Y144" s="984">
        <v>6</v>
      </c>
      <c r="Z144" s="984">
        <v>0</v>
      </c>
      <c r="AA144" s="984"/>
      <c r="AB144" s="984"/>
      <c r="AC144" s="984">
        <v>0</v>
      </c>
      <c r="AD144" s="984">
        <v>2</v>
      </c>
      <c r="AE144" s="984">
        <v>7</v>
      </c>
      <c r="AF144" s="984">
        <v>0</v>
      </c>
      <c r="AG144" s="984"/>
      <c r="AH144" s="984"/>
      <c r="AI144" s="984">
        <v>24</v>
      </c>
      <c r="AJ144" s="984">
        <v>14</v>
      </c>
      <c r="AK144" s="984">
        <v>1256</v>
      </c>
      <c r="AL144" s="984">
        <v>9</v>
      </c>
      <c r="AM144" s="1055">
        <f>AK144*'tecnicecon agric'!$J$57</f>
        <v>597018.66666666663</v>
      </c>
      <c r="AN144" s="1055">
        <f>AL144*'tecnicecon agric'!$J$56</f>
        <v>10166.625</v>
      </c>
      <c r="AO144" s="1055">
        <f t="shared" si="6"/>
        <v>607185.29166666663</v>
      </c>
      <c r="AP144">
        <f>AL144*'tecnicecon agric'!$J$65+'cultius resum'!AK144</f>
        <v>1293.8</v>
      </c>
      <c r="AQ144" s="779">
        <f t="shared" si="7"/>
        <v>597018.66666666663</v>
      </c>
      <c r="AR144">
        <f>AN144+AL144*'tecnicecon agric'!$L$58</f>
        <v>11905.486714285715</v>
      </c>
      <c r="AS144">
        <f>AP144*'4. Agricultura PIB'!$K$31</f>
        <v>3679650.5524240974</v>
      </c>
      <c r="AT144">
        <f>AS144*'4. Agricultura PIB'!$D$71</f>
        <v>1081817.2624126845</v>
      </c>
      <c r="AU144" s="779">
        <f t="shared" si="8"/>
        <v>5370391.9682177342</v>
      </c>
    </row>
    <row r="145" spans="1:47">
      <c r="A145" s="974" t="s">
        <v>1281</v>
      </c>
      <c r="B145" s="976">
        <v>31</v>
      </c>
      <c r="C145" s="976">
        <v>0</v>
      </c>
      <c r="D145" s="976">
        <v>22</v>
      </c>
      <c r="E145" s="976">
        <v>0</v>
      </c>
      <c r="F145" s="976">
        <v>3</v>
      </c>
      <c r="G145" s="976">
        <v>0</v>
      </c>
      <c r="H145" s="976"/>
      <c r="I145" s="976"/>
      <c r="J145" s="976">
        <v>13</v>
      </c>
      <c r="K145" s="976">
        <v>0</v>
      </c>
      <c r="L145" s="976">
        <v>6</v>
      </c>
      <c r="M145" s="976">
        <v>0</v>
      </c>
      <c r="N145" s="976">
        <v>1</v>
      </c>
      <c r="O145" s="976">
        <v>0</v>
      </c>
      <c r="P145" s="976">
        <v>76</v>
      </c>
      <c r="Q145" s="977">
        <v>0</v>
      </c>
      <c r="T145" s="983" t="s">
        <v>1272</v>
      </c>
      <c r="U145" s="984"/>
      <c r="V145" s="984"/>
      <c r="W145" s="984">
        <v>31</v>
      </c>
      <c r="X145" s="984">
        <v>0</v>
      </c>
      <c r="Y145" s="984"/>
      <c r="Z145" s="984"/>
      <c r="AA145" s="984"/>
      <c r="AB145" s="984"/>
      <c r="AC145" s="984"/>
      <c r="AD145" s="984"/>
      <c r="AE145" s="984"/>
      <c r="AF145" s="984"/>
      <c r="AG145" s="984"/>
      <c r="AH145" s="984"/>
      <c r="AI145" s="984" t="s">
        <v>752</v>
      </c>
      <c r="AJ145" s="984" t="s">
        <v>752</v>
      </c>
      <c r="AK145" s="984">
        <v>31</v>
      </c>
      <c r="AL145" s="984">
        <v>0</v>
      </c>
      <c r="AM145" s="1055">
        <f>AK145*'tecnicecon agric'!$J$57</f>
        <v>14735.333333333332</v>
      </c>
      <c r="AN145" s="1055">
        <f>AL145*'tecnicecon agric'!$J$56</f>
        <v>0</v>
      </c>
      <c r="AO145" s="1055">
        <f t="shared" si="6"/>
        <v>14735.333333333332</v>
      </c>
      <c r="AP145">
        <f>AL145*'tecnicecon agric'!$J$65+'cultius resum'!AK145</f>
        <v>31</v>
      </c>
      <c r="AQ145" s="779">
        <f t="shared" si="7"/>
        <v>14735.333333333332</v>
      </c>
      <c r="AR145">
        <f>AN145+AL145*'tecnicecon agric'!$L$58</f>
        <v>0</v>
      </c>
      <c r="AS145">
        <f>AP145*'4. Agricultura PIB'!$K$31</f>
        <v>88165.997159643695</v>
      </c>
      <c r="AT145">
        <f>AS145*'4. Agricultura PIB'!$D$71</f>
        <v>25920.803164935245</v>
      </c>
      <c r="AU145" s="779">
        <f t="shared" si="8"/>
        <v>128822.13365791227</v>
      </c>
    </row>
    <row r="146" spans="1:47">
      <c r="A146" s="974" t="s">
        <v>1286</v>
      </c>
      <c r="B146" s="976">
        <v>4</v>
      </c>
      <c r="C146" s="976">
        <v>0</v>
      </c>
      <c r="D146" s="976"/>
      <c r="E146" s="976"/>
      <c r="F146" s="976"/>
      <c r="G146" s="976"/>
      <c r="H146" s="976"/>
      <c r="I146" s="976"/>
      <c r="J146" s="976"/>
      <c r="K146" s="976"/>
      <c r="L146" s="976"/>
      <c r="M146" s="976"/>
      <c r="N146" s="976"/>
      <c r="O146" s="976"/>
      <c r="P146" s="976">
        <v>4</v>
      </c>
      <c r="Q146" s="977">
        <v>0</v>
      </c>
      <c r="T146" s="983" t="s">
        <v>1274</v>
      </c>
      <c r="U146" s="984">
        <v>1272</v>
      </c>
      <c r="V146" s="984">
        <v>0</v>
      </c>
      <c r="W146" s="984">
        <v>153</v>
      </c>
      <c r="X146" s="984">
        <v>0</v>
      </c>
      <c r="Y146" s="984">
        <v>113</v>
      </c>
      <c r="Z146" s="984">
        <v>0</v>
      </c>
      <c r="AA146" s="984"/>
      <c r="AB146" s="984"/>
      <c r="AC146" s="984">
        <v>1</v>
      </c>
      <c r="AD146" s="984">
        <v>4</v>
      </c>
      <c r="AE146" s="984">
        <v>95</v>
      </c>
      <c r="AF146" s="984">
        <v>0</v>
      </c>
      <c r="AG146" s="984"/>
      <c r="AH146" s="984"/>
      <c r="AI146" s="984">
        <v>230</v>
      </c>
      <c r="AJ146" s="984">
        <v>9</v>
      </c>
      <c r="AK146" s="984">
        <v>1634</v>
      </c>
      <c r="AL146" s="984">
        <v>4</v>
      </c>
      <c r="AM146" s="1055">
        <f>AK146*'tecnicecon agric'!$J$57</f>
        <v>776694.66666666663</v>
      </c>
      <c r="AN146" s="1055">
        <f>AL146*'tecnicecon agric'!$J$56</f>
        <v>4518.5</v>
      </c>
      <c r="AO146" s="1055">
        <f t="shared" si="6"/>
        <v>781213.16666666663</v>
      </c>
      <c r="AP146">
        <f>AL146*'tecnicecon agric'!$J$65+'cultius resum'!AK146</f>
        <v>1650.8</v>
      </c>
      <c r="AQ146" s="779">
        <f t="shared" si="7"/>
        <v>776694.66666666663</v>
      </c>
      <c r="AR146">
        <f>AN146+AL146*'tecnicecon agric'!$L$58</f>
        <v>5291.3274285714288</v>
      </c>
      <c r="AS146">
        <f>AP146*'4. Agricultura PIB'!$K$31</f>
        <v>4694981.5519722523</v>
      </c>
      <c r="AT146">
        <f>AS146*'4. Agricultura PIB'!$D$71</f>
        <v>1380324.5762798421</v>
      </c>
      <c r="AU146" s="779">
        <f t="shared" si="8"/>
        <v>6857292.1223473325</v>
      </c>
    </row>
    <row r="147" spans="1:47">
      <c r="A147" s="974" t="s">
        <v>1291</v>
      </c>
      <c r="B147" s="976"/>
      <c r="C147" s="976"/>
      <c r="D147" s="976"/>
      <c r="E147" s="976"/>
      <c r="F147" s="976"/>
      <c r="G147" s="976"/>
      <c r="H147" s="976"/>
      <c r="I147" s="976"/>
      <c r="J147" s="976">
        <v>0</v>
      </c>
      <c r="K147" s="976">
        <v>5</v>
      </c>
      <c r="L147" s="976"/>
      <c r="M147" s="976"/>
      <c r="N147" s="976"/>
      <c r="O147" s="976"/>
      <c r="P147" s="976">
        <v>0</v>
      </c>
      <c r="Q147" s="977">
        <v>5</v>
      </c>
      <c r="T147" s="983" t="s">
        <v>1281</v>
      </c>
      <c r="U147" s="984">
        <v>31</v>
      </c>
      <c r="V147" s="984">
        <v>0</v>
      </c>
      <c r="W147" s="984">
        <v>22</v>
      </c>
      <c r="X147" s="984">
        <v>0</v>
      </c>
      <c r="Y147" s="984">
        <v>3</v>
      </c>
      <c r="Z147" s="984">
        <v>0</v>
      </c>
      <c r="AA147" s="984"/>
      <c r="AB147" s="984"/>
      <c r="AC147" s="984">
        <v>13</v>
      </c>
      <c r="AD147" s="984">
        <v>0</v>
      </c>
      <c r="AE147" s="984">
        <v>6</v>
      </c>
      <c r="AF147" s="984">
        <v>0</v>
      </c>
      <c r="AG147" s="984">
        <v>1</v>
      </c>
      <c r="AH147" s="984">
        <v>0</v>
      </c>
      <c r="AI147" s="984">
        <v>661</v>
      </c>
      <c r="AJ147" s="984">
        <v>0</v>
      </c>
      <c r="AK147" s="984">
        <v>76</v>
      </c>
      <c r="AL147" s="984">
        <v>0</v>
      </c>
      <c r="AM147" s="1055">
        <f>AK147*'tecnicecon agric'!$J$57</f>
        <v>36125.333333333328</v>
      </c>
      <c r="AN147" s="1055">
        <f>AL147*'tecnicecon agric'!$J$56</f>
        <v>0</v>
      </c>
      <c r="AO147" s="1055">
        <f t="shared" si="6"/>
        <v>36125.333333333328</v>
      </c>
      <c r="AP147">
        <f>AL147*'tecnicecon agric'!$J$65+'cultius resum'!AK147</f>
        <v>76</v>
      </c>
      <c r="AQ147" s="779">
        <f t="shared" si="7"/>
        <v>36125.333333333328</v>
      </c>
      <c r="AR147">
        <f>AN147+AL147*'tecnicecon agric'!$L$58</f>
        <v>0</v>
      </c>
      <c r="AS147">
        <f>AP147*'4. Agricultura PIB'!$K$31</f>
        <v>216148.8962623523</v>
      </c>
      <c r="AT147">
        <f>AS147*'4. Agricultura PIB'!$D$71</f>
        <v>63547.775501131575</v>
      </c>
      <c r="AU147" s="779">
        <f t="shared" si="8"/>
        <v>315822.00509681716</v>
      </c>
    </row>
    <row r="148" spans="1:47">
      <c r="A148" s="974" t="s">
        <v>1294</v>
      </c>
      <c r="B148" s="976">
        <v>3</v>
      </c>
      <c r="C148" s="976">
        <v>0</v>
      </c>
      <c r="D148" s="976">
        <v>3</v>
      </c>
      <c r="E148" s="976">
        <v>0</v>
      </c>
      <c r="F148" s="976"/>
      <c r="G148" s="976"/>
      <c r="H148" s="976"/>
      <c r="I148" s="976"/>
      <c r="J148" s="976"/>
      <c r="K148" s="976"/>
      <c r="L148" s="976"/>
      <c r="M148" s="976"/>
      <c r="N148" s="976"/>
      <c r="O148" s="976"/>
      <c r="P148" s="976">
        <v>6</v>
      </c>
      <c r="Q148" s="977">
        <v>0</v>
      </c>
      <c r="T148" s="983" t="s">
        <v>1286</v>
      </c>
      <c r="U148" s="984">
        <v>4</v>
      </c>
      <c r="V148" s="984">
        <v>0</v>
      </c>
      <c r="W148" s="984"/>
      <c r="X148" s="984"/>
      <c r="Y148" s="984"/>
      <c r="Z148" s="984"/>
      <c r="AA148" s="984"/>
      <c r="AB148" s="984"/>
      <c r="AC148" s="984"/>
      <c r="AD148" s="984"/>
      <c r="AE148" s="984"/>
      <c r="AF148" s="984"/>
      <c r="AG148" s="984"/>
      <c r="AH148" s="984"/>
      <c r="AI148" s="984">
        <v>97</v>
      </c>
      <c r="AJ148" s="984">
        <v>0</v>
      </c>
      <c r="AK148" s="984">
        <v>4</v>
      </c>
      <c r="AL148" s="984">
        <v>0</v>
      </c>
      <c r="AM148" s="1055">
        <f>AK148*'tecnicecon agric'!$J$57</f>
        <v>1901.3333333333333</v>
      </c>
      <c r="AN148" s="1055">
        <f>AL148*'tecnicecon agric'!$J$56</f>
        <v>0</v>
      </c>
      <c r="AO148" s="1055">
        <f t="shared" si="6"/>
        <v>1901.3333333333333</v>
      </c>
      <c r="AP148">
        <f>AL148*'tecnicecon agric'!$J$65+'cultius resum'!AK148</f>
        <v>4</v>
      </c>
      <c r="AQ148" s="779">
        <f t="shared" si="7"/>
        <v>1901.3333333333333</v>
      </c>
      <c r="AR148">
        <f>AN148+AL148*'tecnicecon agric'!$L$58</f>
        <v>0</v>
      </c>
      <c r="AS148">
        <f>AP148*'4. Agricultura PIB'!$K$31</f>
        <v>11376.257698018542</v>
      </c>
      <c r="AT148">
        <f>AS148*'4. Agricultura PIB'!$D$71</f>
        <v>3344.6197632174512</v>
      </c>
      <c r="AU148" s="779">
        <f t="shared" si="8"/>
        <v>16622.210794569328</v>
      </c>
    </row>
    <row r="149" spans="1:47">
      <c r="A149" s="974" t="s">
        <v>1298</v>
      </c>
      <c r="B149" s="976">
        <v>510</v>
      </c>
      <c r="C149" s="976">
        <v>0</v>
      </c>
      <c r="D149" s="976">
        <v>439</v>
      </c>
      <c r="E149" s="976">
        <v>0</v>
      </c>
      <c r="F149" s="976">
        <v>100</v>
      </c>
      <c r="G149" s="976">
        <v>0</v>
      </c>
      <c r="H149" s="976"/>
      <c r="I149" s="976"/>
      <c r="J149" s="976"/>
      <c r="K149" s="976"/>
      <c r="L149" s="976">
        <v>8</v>
      </c>
      <c r="M149" s="976">
        <v>0</v>
      </c>
      <c r="N149" s="976"/>
      <c r="O149" s="976"/>
      <c r="P149" s="976">
        <v>1057</v>
      </c>
      <c r="Q149" s="977">
        <v>0</v>
      </c>
      <c r="T149" s="983" t="s">
        <v>1291</v>
      </c>
      <c r="U149" s="984"/>
      <c r="V149" s="984"/>
      <c r="W149" s="984"/>
      <c r="X149" s="984"/>
      <c r="Y149" s="984"/>
      <c r="Z149" s="984"/>
      <c r="AA149" s="984"/>
      <c r="AB149" s="984"/>
      <c r="AC149" s="984">
        <v>0</v>
      </c>
      <c r="AD149" s="984">
        <v>5</v>
      </c>
      <c r="AE149" s="984"/>
      <c r="AF149" s="984"/>
      <c r="AG149" s="984"/>
      <c r="AH149" s="984"/>
      <c r="AI149" s="984">
        <v>202</v>
      </c>
      <c r="AJ149" s="984">
        <v>19</v>
      </c>
      <c r="AK149" s="984">
        <v>0</v>
      </c>
      <c r="AL149" s="984">
        <v>5</v>
      </c>
      <c r="AM149" s="1055">
        <f>AK149*'tecnicecon agric'!$J$57</f>
        <v>0</v>
      </c>
      <c r="AN149" s="1055">
        <f>AL149*'tecnicecon agric'!$J$56</f>
        <v>5648.125</v>
      </c>
      <c r="AO149" s="1055">
        <f t="shared" si="6"/>
        <v>5648.125</v>
      </c>
      <c r="AP149">
        <f>AL149*'tecnicecon agric'!$J$65+'cultius resum'!AK149</f>
        <v>21</v>
      </c>
      <c r="AQ149" s="779">
        <f t="shared" si="7"/>
        <v>0</v>
      </c>
      <c r="AR149">
        <f>AN149+AL149*'tecnicecon agric'!$L$58</f>
        <v>6614.1592857142859</v>
      </c>
      <c r="AS149">
        <f>AP149*'4. Agricultura PIB'!$K$31</f>
        <v>59725.352914597344</v>
      </c>
      <c r="AT149">
        <f>AS149*'4. Agricultura PIB'!$D$71</f>
        <v>17559.25375689162</v>
      </c>
      <c r="AU149" s="779">
        <f t="shared" si="8"/>
        <v>83898.765957203243</v>
      </c>
    </row>
    <row r="150" spans="1:47">
      <c r="A150" s="974" t="s">
        <v>1278</v>
      </c>
      <c r="B150" s="976">
        <v>218</v>
      </c>
      <c r="C150" s="976">
        <v>0</v>
      </c>
      <c r="D150" s="976">
        <v>307</v>
      </c>
      <c r="E150" s="976">
        <v>0</v>
      </c>
      <c r="F150" s="976">
        <v>33</v>
      </c>
      <c r="G150" s="976">
        <v>0</v>
      </c>
      <c r="H150" s="976"/>
      <c r="I150" s="976"/>
      <c r="J150" s="976"/>
      <c r="K150" s="976"/>
      <c r="L150" s="976">
        <v>2</v>
      </c>
      <c r="M150" s="976">
        <v>0</v>
      </c>
      <c r="N150" s="976"/>
      <c r="O150" s="976"/>
      <c r="P150" s="976">
        <v>560</v>
      </c>
      <c r="Q150" s="977">
        <v>0</v>
      </c>
      <c r="T150" s="983" t="s">
        <v>1294</v>
      </c>
      <c r="U150" s="984">
        <v>3</v>
      </c>
      <c r="V150" s="984">
        <v>0</v>
      </c>
      <c r="W150" s="984">
        <v>3</v>
      </c>
      <c r="X150" s="984">
        <v>0</v>
      </c>
      <c r="Y150" s="984"/>
      <c r="Z150" s="984"/>
      <c r="AA150" s="984"/>
      <c r="AB150" s="984"/>
      <c r="AC150" s="984"/>
      <c r="AD150" s="984"/>
      <c r="AE150" s="984"/>
      <c r="AF150" s="984"/>
      <c r="AG150" s="984"/>
      <c r="AH150" s="984"/>
      <c r="AI150" s="984">
        <v>89</v>
      </c>
      <c r="AJ150" s="984">
        <v>2</v>
      </c>
      <c r="AK150" s="984">
        <v>6</v>
      </c>
      <c r="AL150" s="984">
        <v>0</v>
      </c>
      <c r="AM150" s="1055">
        <f>AK150*'tecnicecon agric'!$J$57</f>
        <v>2852</v>
      </c>
      <c r="AN150" s="1055">
        <f>AL150*'tecnicecon agric'!$J$56</f>
        <v>0</v>
      </c>
      <c r="AO150" s="1055">
        <f t="shared" si="6"/>
        <v>2852</v>
      </c>
      <c r="AP150">
        <f>AL150*'tecnicecon agric'!$J$65+'cultius resum'!AK150</f>
        <v>6</v>
      </c>
      <c r="AQ150" s="779">
        <f t="shared" si="7"/>
        <v>2852</v>
      </c>
      <c r="AR150">
        <f>AN150+AL150*'tecnicecon agric'!$L$58</f>
        <v>0</v>
      </c>
      <c r="AS150">
        <f>AP150*'4. Agricultura PIB'!$K$31</f>
        <v>17064.386547027814</v>
      </c>
      <c r="AT150">
        <f>AS150*'4. Agricultura PIB'!$D$71</f>
        <v>5016.9296448261775</v>
      </c>
      <c r="AU150" s="779">
        <f t="shared" si="8"/>
        <v>24933.316191853992</v>
      </c>
    </row>
    <row r="151" spans="1:47">
      <c r="A151" s="974" t="s">
        <v>1301</v>
      </c>
      <c r="B151" s="976">
        <v>151</v>
      </c>
      <c r="C151" s="976">
        <v>19</v>
      </c>
      <c r="D151" s="976">
        <v>297</v>
      </c>
      <c r="E151" s="976">
        <v>13</v>
      </c>
      <c r="F151" s="976">
        <v>8</v>
      </c>
      <c r="G151" s="976">
        <v>0</v>
      </c>
      <c r="H151" s="976"/>
      <c r="I151" s="976"/>
      <c r="J151" s="976">
        <v>0</v>
      </c>
      <c r="K151" s="976">
        <v>1</v>
      </c>
      <c r="L151" s="976"/>
      <c r="M151" s="976"/>
      <c r="N151" s="976">
        <v>2</v>
      </c>
      <c r="O151" s="976">
        <v>0</v>
      </c>
      <c r="P151" s="976">
        <v>458</v>
      </c>
      <c r="Q151" s="977">
        <v>33</v>
      </c>
      <c r="T151" s="983" t="s">
        <v>1298</v>
      </c>
      <c r="U151" s="984">
        <v>510</v>
      </c>
      <c r="V151" s="984">
        <v>0</v>
      </c>
      <c r="W151" s="984">
        <v>439</v>
      </c>
      <c r="X151" s="984">
        <v>0</v>
      </c>
      <c r="Y151" s="984">
        <v>100</v>
      </c>
      <c r="Z151" s="984">
        <v>0</v>
      </c>
      <c r="AA151" s="984"/>
      <c r="AB151" s="984"/>
      <c r="AC151" s="984"/>
      <c r="AD151" s="984"/>
      <c r="AE151" s="984">
        <v>8</v>
      </c>
      <c r="AF151" s="984">
        <v>0</v>
      </c>
      <c r="AG151" s="984"/>
      <c r="AH151" s="984"/>
      <c r="AI151" s="984" t="s">
        <v>752</v>
      </c>
      <c r="AJ151" s="984" t="s">
        <v>752</v>
      </c>
      <c r="AK151" s="984">
        <v>1057</v>
      </c>
      <c r="AL151" s="984">
        <v>0</v>
      </c>
      <c r="AM151" s="1055">
        <f>AK151*'tecnicecon agric'!$J$57</f>
        <v>502427.33333333331</v>
      </c>
      <c r="AN151" s="1055">
        <f>AL151*'tecnicecon agric'!$J$56</f>
        <v>0</v>
      </c>
      <c r="AO151" s="1055">
        <f t="shared" si="6"/>
        <v>502427.33333333331</v>
      </c>
      <c r="AP151">
        <f>AL151*'tecnicecon agric'!$J$65+'cultius resum'!AK151</f>
        <v>1057</v>
      </c>
      <c r="AQ151" s="779">
        <f t="shared" si="7"/>
        <v>502427.33333333331</v>
      </c>
      <c r="AR151">
        <f>AN151+AL151*'tecnicecon agric'!$L$58</f>
        <v>0</v>
      </c>
      <c r="AS151">
        <f>AP151*'4. Agricultura PIB'!$K$31</f>
        <v>3006176.0967013999</v>
      </c>
      <c r="AT151">
        <f>AS151*'4. Agricultura PIB'!$D$71</f>
        <v>883815.77243021154</v>
      </c>
      <c r="AU151" s="779">
        <f t="shared" si="8"/>
        <v>4392419.2024649447</v>
      </c>
    </row>
    <row r="152" spans="1:47">
      <c r="A152" s="974" t="s">
        <v>1304</v>
      </c>
      <c r="B152" s="976">
        <v>1260</v>
      </c>
      <c r="C152" s="976">
        <v>0</v>
      </c>
      <c r="D152" s="976">
        <v>386</v>
      </c>
      <c r="E152" s="976">
        <v>0</v>
      </c>
      <c r="F152" s="976">
        <v>222</v>
      </c>
      <c r="G152" s="976">
        <v>0</v>
      </c>
      <c r="H152" s="976"/>
      <c r="I152" s="976"/>
      <c r="J152" s="976">
        <v>0</v>
      </c>
      <c r="K152" s="976">
        <v>3</v>
      </c>
      <c r="L152" s="976">
        <v>46</v>
      </c>
      <c r="M152" s="976">
        <v>0</v>
      </c>
      <c r="N152" s="976">
        <v>1</v>
      </c>
      <c r="O152" s="976">
        <v>0</v>
      </c>
      <c r="P152" s="976">
        <v>1915</v>
      </c>
      <c r="Q152" s="977">
        <v>3</v>
      </c>
      <c r="T152" s="983" t="s">
        <v>1278</v>
      </c>
      <c r="U152" s="984">
        <v>218</v>
      </c>
      <c r="V152" s="984">
        <v>0</v>
      </c>
      <c r="W152" s="984">
        <v>307</v>
      </c>
      <c r="X152" s="984">
        <v>0</v>
      </c>
      <c r="Y152" s="984">
        <v>33</v>
      </c>
      <c r="Z152" s="984">
        <v>0</v>
      </c>
      <c r="AA152" s="984"/>
      <c r="AB152" s="984"/>
      <c r="AC152" s="984"/>
      <c r="AD152" s="984"/>
      <c r="AE152" s="984">
        <v>2</v>
      </c>
      <c r="AF152" s="984">
        <v>0</v>
      </c>
      <c r="AG152" s="984"/>
      <c r="AH152" s="984"/>
      <c r="AI152" s="984" t="s">
        <v>752</v>
      </c>
      <c r="AJ152" s="984" t="s">
        <v>752</v>
      </c>
      <c r="AK152" s="984">
        <v>560</v>
      </c>
      <c r="AL152" s="984">
        <v>0</v>
      </c>
      <c r="AM152" s="1055">
        <f>AK152*'tecnicecon agric'!$J$57</f>
        <v>266186.66666666663</v>
      </c>
      <c r="AN152" s="1055">
        <f>AL152*'tecnicecon agric'!$J$56</f>
        <v>0</v>
      </c>
      <c r="AO152" s="1055">
        <f t="shared" si="6"/>
        <v>266186.66666666663</v>
      </c>
      <c r="AP152">
        <f>AL152*'tecnicecon agric'!$J$65+'cultius resum'!AK152</f>
        <v>560</v>
      </c>
      <c r="AQ152" s="779">
        <f t="shared" si="7"/>
        <v>266186.66666666663</v>
      </c>
      <c r="AR152">
        <f>AN152+AL152*'tecnicecon agric'!$L$58</f>
        <v>0</v>
      </c>
      <c r="AS152">
        <f>AP152*'4. Agricultura PIB'!$K$31</f>
        <v>1592676.077722596</v>
      </c>
      <c r="AT152">
        <f>AS152*'4. Agricultura PIB'!$D$71</f>
        <v>468246.76685044321</v>
      </c>
      <c r="AU152" s="779">
        <f t="shared" si="8"/>
        <v>2327109.5112397056</v>
      </c>
    </row>
    <row r="153" spans="1:47">
      <c r="A153" s="974" t="s">
        <v>1306</v>
      </c>
      <c r="B153" s="976">
        <v>181</v>
      </c>
      <c r="C153" s="976">
        <v>0</v>
      </c>
      <c r="D153" s="976">
        <v>32</v>
      </c>
      <c r="E153" s="976">
        <v>0</v>
      </c>
      <c r="F153" s="976">
        <v>63</v>
      </c>
      <c r="G153" s="976">
        <v>0</v>
      </c>
      <c r="H153" s="976"/>
      <c r="I153" s="976"/>
      <c r="J153" s="976">
        <v>0</v>
      </c>
      <c r="K153" s="976">
        <v>1</v>
      </c>
      <c r="L153" s="976">
        <v>8</v>
      </c>
      <c r="M153" s="976">
        <v>0</v>
      </c>
      <c r="N153" s="976"/>
      <c r="O153" s="976"/>
      <c r="P153" s="976">
        <v>284</v>
      </c>
      <c r="Q153" s="977">
        <v>1</v>
      </c>
      <c r="T153" s="983" t="s">
        <v>1301</v>
      </c>
      <c r="U153" s="984">
        <v>151</v>
      </c>
      <c r="V153" s="984">
        <v>19</v>
      </c>
      <c r="W153" s="984">
        <v>297</v>
      </c>
      <c r="X153" s="984">
        <v>13</v>
      </c>
      <c r="Y153" s="984">
        <v>8</v>
      </c>
      <c r="Z153" s="984">
        <v>0</v>
      </c>
      <c r="AA153" s="984"/>
      <c r="AB153" s="984"/>
      <c r="AC153" s="984">
        <v>0</v>
      </c>
      <c r="AD153" s="984">
        <v>1</v>
      </c>
      <c r="AE153" s="984"/>
      <c r="AF153" s="984"/>
      <c r="AG153" s="984">
        <v>2</v>
      </c>
      <c r="AH153" s="984">
        <v>0</v>
      </c>
      <c r="AI153" s="984" t="s">
        <v>752</v>
      </c>
      <c r="AJ153" s="984" t="s">
        <v>752</v>
      </c>
      <c r="AK153" s="984">
        <v>458</v>
      </c>
      <c r="AL153" s="984">
        <v>33</v>
      </c>
      <c r="AM153" s="1055">
        <f>AK153*'tecnicecon agric'!$J$57</f>
        <v>217702.66666666666</v>
      </c>
      <c r="AN153" s="1055">
        <f>AL153*'tecnicecon agric'!$J$56</f>
        <v>37277.625</v>
      </c>
      <c r="AO153" s="1055">
        <f t="shared" si="6"/>
        <v>254980.29166666666</v>
      </c>
      <c r="AP153">
        <f>AL153*'tecnicecon agric'!$J$65+'cultius resum'!AK153</f>
        <v>596.6</v>
      </c>
      <c r="AQ153" s="779">
        <f t="shared" si="7"/>
        <v>217702.66666666666</v>
      </c>
      <c r="AR153">
        <f>AN153+AL153*'tecnicecon agric'!$L$58</f>
        <v>43653.451285714284</v>
      </c>
      <c r="AS153">
        <f>AP153*'4. Agricultura PIB'!$K$31</f>
        <v>1696768.8356594655</v>
      </c>
      <c r="AT153">
        <f>AS153*'4. Agricultura PIB'!$D$71</f>
        <v>498850.03768388281</v>
      </c>
      <c r="AU153" s="779">
        <f t="shared" si="8"/>
        <v>2456974.9912957293</v>
      </c>
    </row>
    <row r="154" spans="1:47">
      <c r="A154" s="974" t="s">
        <v>1309</v>
      </c>
      <c r="B154" s="976"/>
      <c r="C154" s="976"/>
      <c r="D154" s="976">
        <v>2</v>
      </c>
      <c r="E154" s="976">
        <v>0</v>
      </c>
      <c r="F154" s="976"/>
      <c r="G154" s="976"/>
      <c r="H154" s="976"/>
      <c r="I154" s="976"/>
      <c r="J154" s="976">
        <v>0</v>
      </c>
      <c r="K154" s="976">
        <v>4</v>
      </c>
      <c r="L154" s="976"/>
      <c r="M154" s="976"/>
      <c r="N154" s="976"/>
      <c r="O154" s="976"/>
      <c r="P154" s="976">
        <v>2</v>
      </c>
      <c r="Q154" s="977">
        <v>4</v>
      </c>
      <c r="T154" s="983" t="s">
        <v>1304</v>
      </c>
      <c r="U154" s="984">
        <v>1260</v>
      </c>
      <c r="V154" s="984">
        <v>0</v>
      </c>
      <c r="W154" s="984">
        <v>386</v>
      </c>
      <c r="X154" s="984">
        <v>0</v>
      </c>
      <c r="Y154" s="984">
        <v>222</v>
      </c>
      <c r="Z154" s="984">
        <v>0</v>
      </c>
      <c r="AA154" s="984"/>
      <c r="AB154" s="984"/>
      <c r="AC154" s="984">
        <v>0</v>
      </c>
      <c r="AD154" s="984">
        <v>3</v>
      </c>
      <c r="AE154" s="984">
        <v>46</v>
      </c>
      <c r="AF154" s="984">
        <v>0</v>
      </c>
      <c r="AG154" s="984">
        <v>1</v>
      </c>
      <c r="AH154" s="984">
        <v>0</v>
      </c>
      <c r="AI154" s="984" t="s">
        <v>752</v>
      </c>
      <c r="AJ154" s="984" t="s">
        <v>752</v>
      </c>
      <c r="AK154" s="984">
        <v>1915</v>
      </c>
      <c r="AL154" s="984">
        <v>3</v>
      </c>
      <c r="AM154" s="1055">
        <f>AK154*'tecnicecon agric'!$J$57</f>
        <v>910263.33333333326</v>
      </c>
      <c r="AN154" s="1055">
        <f>AL154*'tecnicecon agric'!$J$56</f>
        <v>3388.875</v>
      </c>
      <c r="AO154" s="1055">
        <f t="shared" si="6"/>
        <v>913652.20833333326</v>
      </c>
      <c r="AP154">
        <f>AL154*'tecnicecon agric'!$J$65+'cultius resum'!AK154</f>
        <v>1927.6</v>
      </c>
      <c r="AQ154" s="779">
        <f t="shared" si="7"/>
        <v>910263.33333333326</v>
      </c>
      <c r="AR154">
        <f>AN154+AL154*'tecnicecon agric'!$L$58</f>
        <v>3968.4955714285716</v>
      </c>
      <c r="AS154">
        <f>AP154*'4. Agricultura PIB'!$K$31</f>
        <v>5482218.5846751351</v>
      </c>
      <c r="AT154">
        <f>AS154*'4. Agricultura PIB'!$D$71</f>
        <v>1611772.2638944897</v>
      </c>
      <c r="AU154" s="779">
        <f t="shared" si="8"/>
        <v>8008222.677474387</v>
      </c>
    </row>
    <row r="155" spans="1:47">
      <c r="A155" s="974" t="s">
        <v>1310</v>
      </c>
      <c r="B155" s="976">
        <v>18</v>
      </c>
      <c r="C155" s="976">
        <v>0</v>
      </c>
      <c r="D155" s="976"/>
      <c r="E155" s="976"/>
      <c r="F155" s="976"/>
      <c r="G155" s="976"/>
      <c r="H155" s="976"/>
      <c r="I155" s="976"/>
      <c r="J155" s="976">
        <v>1</v>
      </c>
      <c r="K155" s="976">
        <v>0</v>
      </c>
      <c r="L155" s="976">
        <v>2</v>
      </c>
      <c r="M155" s="976">
        <v>0</v>
      </c>
      <c r="N155" s="976">
        <v>1</v>
      </c>
      <c r="O155" s="976">
        <v>0</v>
      </c>
      <c r="P155" s="976">
        <v>22</v>
      </c>
      <c r="Q155" s="977">
        <v>0</v>
      </c>
      <c r="T155" s="983" t="s">
        <v>1306</v>
      </c>
      <c r="U155" s="984">
        <v>181</v>
      </c>
      <c r="V155" s="984">
        <v>0</v>
      </c>
      <c r="W155" s="984">
        <v>32</v>
      </c>
      <c r="X155" s="984">
        <v>0</v>
      </c>
      <c r="Y155" s="984">
        <v>63</v>
      </c>
      <c r="Z155" s="984">
        <v>0</v>
      </c>
      <c r="AA155" s="984"/>
      <c r="AB155" s="984"/>
      <c r="AC155" s="984">
        <v>0</v>
      </c>
      <c r="AD155" s="984">
        <v>1</v>
      </c>
      <c r="AE155" s="984">
        <v>8</v>
      </c>
      <c r="AF155" s="984">
        <v>0</v>
      </c>
      <c r="AG155" s="984"/>
      <c r="AH155" s="984"/>
      <c r="AI155" s="984">
        <v>15</v>
      </c>
      <c r="AJ155" s="984">
        <v>1</v>
      </c>
      <c r="AK155" s="984">
        <v>284</v>
      </c>
      <c r="AL155" s="984">
        <v>1</v>
      </c>
      <c r="AM155" s="1055">
        <f>AK155*'tecnicecon agric'!$J$57</f>
        <v>134994.66666666666</v>
      </c>
      <c r="AN155" s="1055">
        <f>AL155*'tecnicecon agric'!$J$56</f>
        <v>1129.625</v>
      </c>
      <c r="AO155" s="1055">
        <f t="shared" si="6"/>
        <v>136124.29166666666</v>
      </c>
      <c r="AP155">
        <f>AL155*'tecnicecon agric'!$J$65+'cultius resum'!AK155</f>
        <v>288.2</v>
      </c>
      <c r="AQ155" s="779">
        <f t="shared" si="7"/>
        <v>134994.66666666666</v>
      </c>
      <c r="AR155">
        <f>AN155+AL155*'tecnicecon agric'!$L$58</f>
        <v>1322.8318571428572</v>
      </c>
      <c r="AS155">
        <f>AP155*'4. Agricultura PIB'!$K$31</f>
        <v>819659.36714223598</v>
      </c>
      <c r="AT155">
        <f>AS155*'4. Agricultura PIB'!$D$71</f>
        <v>240979.85393981737</v>
      </c>
      <c r="AU155" s="779">
        <f t="shared" si="8"/>
        <v>1196956.7196058629</v>
      </c>
    </row>
    <row r="156" spans="1:47">
      <c r="A156" s="974" t="s">
        <v>1311</v>
      </c>
      <c r="B156" s="976">
        <v>34</v>
      </c>
      <c r="C156" s="976">
        <v>35</v>
      </c>
      <c r="D156" s="976">
        <v>19</v>
      </c>
      <c r="E156" s="976">
        <v>20</v>
      </c>
      <c r="F156" s="976">
        <v>2</v>
      </c>
      <c r="G156" s="976">
        <v>1</v>
      </c>
      <c r="H156" s="976">
        <v>0</v>
      </c>
      <c r="I156" s="976">
        <v>12</v>
      </c>
      <c r="J156" s="976">
        <v>0</v>
      </c>
      <c r="K156" s="976">
        <v>137</v>
      </c>
      <c r="L156" s="976">
        <v>5</v>
      </c>
      <c r="M156" s="976">
        <v>8</v>
      </c>
      <c r="N156" s="976">
        <v>0</v>
      </c>
      <c r="O156" s="976">
        <v>14</v>
      </c>
      <c r="P156" s="976">
        <v>60</v>
      </c>
      <c r="Q156" s="977">
        <v>227</v>
      </c>
      <c r="T156" s="983" t="s">
        <v>1309</v>
      </c>
      <c r="U156" s="984"/>
      <c r="V156" s="984"/>
      <c r="W156" s="984">
        <v>2</v>
      </c>
      <c r="X156" s="984">
        <v>0</v>
      </c>
      <c r="Y156" s="984"/>
      <c r="Z156" s="984"/>
      <c r="AA156" s="984"/>
      <c r="AB156" s="984"/>
      <c r="AC156" s="984">
        <v>0</v>
      </c>
      <c r="AD156" s="984">
        <v>4</v>
      </c>
      <c r="AE156" s="984"/>
      <c r="AF156" s="984"/>
      <c r="AG156" s="984"/>
      <c r="AH156" s="984"/>
      <c r="AI156" s="984" t="s">
        <v>752</v>
      </c>
      <c r="AJ156" s="984" t="s">
        <v>752</v>
      </c>
      <c r="AK156" s="984">
        <v>2</v>
      </c>
      <c r="AL156" s="984">
        <v>4</v>
      </c>
      <c r="AM156" s="1055">
        <f>AK156*'tecnicecon agric'!$J$57</f>
        <v>950.66666666666663</v>
      </c>
      <c r="AN156" s="1055">
        <f>AL156*'tecnicecon agric'!$J$56</f>
        <v>4518.5</v>
      </c>
      <c r="AO156" s="1055">
        <f t="shared" si="6"/>
        <v>5469.166666666667</v>
      </c>
      <c r="AP156">
        <f>AL156*'tecnicecon agric'!$J$65+'cultius resum'!AK156</f>
        <v>18.8</v>
      </c>
      <c r="AQ156" s="779">
        <f t="shared" si="7"/>
        <v>950.66666666666663</v>
      </c>
      <c r="AR156">
        <f>AN156+AL156*'tecnicecon agric'!$L$58</f>
        <v>5291.3274285714288</v>
      </c>
      <c r="AS156">
        <f>AP156*'4. Agricultura PIB'!$K$31</f>
        <v>53468.411180687152</v>
      </c>
      <c r="AT156">
        <f>AS156*'4. Agricultura PIB'!$D$71</f>
        <v>15719.712887122021</v>
      </c>
      <c r="AU156" s="779">
        <f t="shared" si="8"/>
        <v>75430.118163047271</v>
      </c>
    </row>
    <row r="157" spans="1:47">
      <c r="A157" s="974" t="s">
        <v>1316</v>
      </c>
      <c r="B157" s="976">
        <v>313</v>
      </c>
      <c r="C157" s="976">
        <v>0</v>
      </c>
      <c r="D157" s="976">
        <v>61</v>
      </c>
      <c r="E157" s="976">
        <v>10</v>
      </c>
      <c r="F157" s="976">
        <v>7</v>
      </c>
      <c r="G157" s="976">
        <v>0</v>
      </c>
      <c r="H157" s="976"/>
      <c r="I157" s="976"/>
      <c r="J157" s="976">
        <v>4</v>
      </c>
      <c r="K157" s="976">
        <v>0</v>
      </c>
      <c r="L157" s="976">
        <v>9</v>
      </c>
      <c r="M157" s="976">
        <v>2</v>
      </c>
      <c r="N157" s="976"/>
      <c r="O157" s="976"/>
      <c r="P157" s="976">
        <v>394</v>
      </c>
      <c r="Q157" s="977">
        <v>12</v>
      </c>
      <c r="T157" s="983" t="s">
        <v>1310</v>
      </c>
      <c r="U157" s="984">
        <v>18</v>
      </c>
      <c r="V157" s="984">
        <v>0</v>
      </c>
      <c r="W157" s="984"/>
      <c r="X157" s="984"/>
      <c r="Y157" s="984"/>
      <c r="Z157" s="984"/>
      <c r="AA157" s="984"/>
      <c r="AB157" s="984"/>
      <c r="AC157" s="984">
        <v>1</v>
      </c>
      <c r="AD157" s="984">
        <v>0</v>
      </c>
      <c r="AE157" s="984">
        <v>2</v>
      </c>
      <c r="AF157" s="984">
        <v>0</v>
      </c>
      <c r="AG157" s="984">
        <v>1</v>
      </c>
      <c r="AH157" s="984">
        <v>0</v>
      </c>
      <c r="AI157" s="984">
        <v>310</v>
      </c>
      <c r="AJ157" s="984">
        <v>0</v>
      </c>
      <c r="AK157" s="984">
        <v>22</v>
      </c>
      <c r="AL157" s="984">
        <v>0</v>
      </c>
      <c r="AM157" s="1055">
        <f>AK157*'tecnicecon agric'!$J$57</f>
        <v>10457.333333333332</v>
      </c>
      <c r="AN157" s="1055">
        <f>AL157*'tecnicecon agric'!$J$56</f>
        <v>0</v>
      </c>
      <c r="AO157" s="1055">
        <f t="shared" si="6"/>
        <v>10457.333333333332</v>
      </c>
      <c r="AP157">
        <f>AL157*'tecnicecon agric'!$J$65+'cultius resum'!AK157</f>
        <v>22</v>
      </c>
      <c r="AQ157" s="779">
        <f t="shared" si="7"/>
        <v>10457.333333333332</v>
      </c>
      <c r="AR157">
        <f>AN157+AL157*'tecnicecon agric'!$L$58</f>
        <v>0</v>
      </c>
      <c r="AS157">
        <f>AP157*'4. Agricultura PIB'!$K$31</f>
        <v>62569.417339101979</v>
      </c>
      <c r="AT157">
        <f>AS157*'4. Agricultura PIB'!$D$71</f>
        <v>18395.408697695981</v>
      </c>
      <c r="AU157" s="779">
        <f t="shared" si="8"/>
        <v>91422.159370131296</v>
      </c>
    </row>
    <row r="158" spans="1:47">
      <c r="A158" s="974" t="s">
        <v>1320</v>
      </c>
      <c r="B158" s="976"/>
      <c r="C158" s="976"/>
      <c r="D158" s="976"/>
      <c r="E158" s="976"/>
      <c r="F158" s="976"/>
      <c r="G158" s="976"/>
      <c r="H158" s="976"/>
      <c r="I158" s="976"/>
      <c r="J158" s="976">
        <v>0</v>
      </c>
      <c r="K158" s="976">
        <v>3</v>
      </c>
      <c r="L158" s="976"/>
      <c r="M158" s="976"/>
      <c r="N158" s="976"/>
      <c r="O158" s="976"/>
      <c r="P158" s="976">
        <v>0</v>
      </c>
      <c r="Q158" s="977">
        <v>3</v>
      </c>
      <c r="T158" s="983" t="s">
        <v>1311</v>
      </c>
      <c r="U158" s="984">
        <v>34</v>
      </c>
      <c r="V158" s="984">
        <v>35</v>
      </c>
      <c r="W158" s="984">
        <v>19</v>
      </c>
      <c r="X158" s="984">
        <v>20</v>
      </c>
      <c r="Y158" s="984">
        <v>2</v>
      </c>
      <c r="Z158" s="984">
        <v>1</v>
      </c>
      <c r="AA158" s="984">
        <v>0</v>
      </c>
      <c r="AB158" s="984">
        <v>12</v>
      </c>
      <c r="AC158" s="984">
        <v>0</v>
      </c>
      <c r="AD158" s="984">
        <v>137</v>
      </c>
      <c r="AE158" s="984">
        <v>5</v>
      </c>
      <c r="AF158" s="984">
        <v>8</v>
      </c>
      <c r="AG158" s="984">
        <v>0</v>
      </c>
      <c r="AH158" s="984">
        <v>14</v>
      </c>
      <c r="AI158" s="984">
        <v>7</v>
      </c>
      <c r="AJ158" s="984">
        <v>0</v>
      </c>
      <c r="AK158" s="984">
        <v>60</v>
      </c>
      <c r="AL158" s="984">
        <v>227</v>
      </c>
      <c r="AM158" s="1055">
        <f>AK158*'tecnicecon agric'!$J$57</f>
        <v>28520</v>
      </c>
      <c r="AN158" s="1055">
        <f>AL158*'tecnicecon agric'!$J$56</f>
        <v>256424.875</v>
      </c>
      <c r="AO158" s="1055">
        <f t="shared" si="6"/>
        <v>284944.875</v>
      </c>
      <c r="AP158">
        <f>AL158*'tecnicecon agric'!$J$65+'cultius resum'!AK158</f>
        <v>1013.4000000000001</v>
      </c>
      <c r="AQ158" s="779">
        <f t="shared" si="7"/>
        <v>28520</v>
      </c>
      <c r="AR158">
        <f>AN158+AL158*'tecnicecon agric'!$L$58</f>
        <v>300282.83157142857</v>
      </c>
      <c r="AS158">
        <f>AP158*'4. Agricultura PIB'!$K$31</f>
        <v>2882174.887792998</v>
      </c>
      <c r="AT158">
        <f>AS158*'4. Agricultura PIB'!$D$71</f>
        <v>847359.41701114131</v>
      </c>
      <c r="AU158" s="779">
        <f t="shared" si="8"/>
        <v>4058337.1363755679</v>
      </c>
    </row>
    <row r="159" spans="1:47">
      <c r="A159" s="974" t="s">
        <v>3640</v>
      </c>
      <c r="B159" s="976"/>
      <c r="C159" s="976"/>
      <c r="D159" s="976"/>
      <c r="E159" s="976"/>
      <c r="F159" s="976"/>
      <c r="G159" s="976"/>
      <c r="H159" s="976">
        <v>0</v>
      </c>
      <c r="I159" s="976">
        <v>2</v>
      </c>
      <c r="J159" s="976">
        <v>0</v>
      </c>
      <c r="K159" s="976">
        <v>3</v>
      </c>
      <c r="L159" s="976"/>
      <c r="M159" s="976"/>
      <c r="N159" s="976"/>
      <c r="O159" s="976"/>
      <c r="P159" s="976">
        <v>0</v>
      </c>
      <c r="Q159" s="977">
        <v>5</v>
      </c>
      <c r="T159" s="983" t="s">
        <v>1316</v>
      </c>
      <c r="U159" s="984">
        <v>313</v>
      </c>
      <c r="V159" s="984">
        <v>0</v>
      </c>
      <c r="W159" s="984">
        <v>61</v>
      </c>
      <c r="X159" s="984">
        <v>10</v>
      </c>
      <c r="Y159" s="984">
        <v>7</v>
      </c>
      <c r="Z159" s="984">
        <v>0</v>
      </c>
      <c r="AA159" s="984"/>
      <c r="AB159" s="984"/>
      <c r="AC159" s="984">
        <v>4</v>
      </c>
      <c r="AD159" s="984">
        <v>0</v>
      </c>
      <c r="AE159" s="984">
        <v>9</v>
      </c>
      <c r="AF159" s="984">
        <v>2</v>
      </c>
      <c r="AG159" s="984"/>
      <c r="AH159" s="984"/>
      <c r="AI159" s="984">
        <v>1</v>
      </c>
      <c r="AJ159" s="984">
        <v>0</v>
      </c>
      <c r="AK159" s="984">
        <v>394</v>
      </c>
      <c r="AL159" s="984">
        <v>12</v>
      </c>
      <c r="AM159" s="1055">
        <f>AK159*'tecnicecon agric'!$J$57</f>
        <v>187281.33333333331</v>
      </c>
      <c r="AN159" s="1055">
        <f>AL159*'tecnicecon agric'!$J$56</f>
        <v>13555.5</v>
      </c>
      <c r="AO159" s="1055">
        <f t="shared" si="6"/>
        <v>200836.83333333331</v>
      </c>
      <c r="AP159">
        <f>AL159*'tecnicecon agric'!$J$65+'cultius resum'!AK159</f>
        <v>444.4</v>
      </c>
      <c r="AQ159" s="779">
        <f t="shared" si="7"/>
        <v>187281.33333333331</v>
      </c>
      <c r="AR159">
        <f>AN159+AL159*'tecnicecon agric'!$L$58</f>
        <v>15873.982285714286</v>
      </c>
      <c r="AS159">
        <f>AP159*'4. Agricultura PIB'!$K$31</f>
        <v>1263902.2302498601</v>
      </c>
      <c r="AT159">
        <f>AS159*'4. Agricultura PIB'!$D$71</f>
        <v>371587.25569345884</v>
      </c>
      <c r="AU159" s="779">
        <f t="shared" si="8"/>
        <v>1838644.8015623665</v>
      </c>
    </row>
    <row r="160" spans="1:47">
      <c r="A160" s="974" t="s">
        <v>3646</v>
      </c>
      <c r="B160" s="976"/>
      <c r="C160" s="976"/>
      <c r="D160" s="976">
        <v>6</v>
      </c>
      <c r="E160" s="976">
        <v>1</v>
      </c>
      <c r="F160" s="976"/>
      <c r="G160" s="976"/>
      <c r="H160" s="976"/>
      <c r="I160" s="976"/>
      <c r="J160" s="976">
        <v>0</v>
      </c>
      <c r="K160" s="976">
        <v>10</v>
      </c>
      <c r="L160" s="976"/>
      <c r="M160" s="976"/>
      <c r="N160" s="976"/>
      <c r="O160" s="976"/>
      <c r="P160" s="976">
        <v>6</v>
      </c>
      <c r="Q160" s="977">
        <v>11</v>
      </c>
      <c r="T160" s="983" t="s">
        <v>1320</v>
      </c>
      <c r="U160" s="984"/>
      <c r="V160" s="984"/>
      <c r="W160" s="984"/>
      <c r="X160" s="984"/>
      <c r="Y160" s="984"/>
      <c r="Z160" s="984"/>
      <c r="AA160" s="984"/>
      <c r="AB160" s="984"/>
      <c r="AC160" s="984">
        <v>0</v>
      </c>
      <c r="AD160" s="984">
        <v>3</v>
      </c>
      <c r="AE160" s="984"/>
      <c r="AF160" s="984"/>
      <c r="AG160" s="984"/>
      <c r="AH160" s="984"/>
      <c r="AI160" s="984">
        <v>0</v>
      </c>
      <c r="AJ160" s="984">
        <v>5</v>
      </c>
      <c r="AK160" s="984">
        <v>0</v>
      </c>
      <c r="AL160" s="984">
        <v>3</v>
      </c>
      <c r="AM160" s="1055">
        <f>AK160*'tecnicecon agric'!$J$57</f>
        <v>0</v>
      </c>
      <c r="AN160" s="1055">
        <f>AL160*'tecnicecon agric'!$J$56</f>
        <v>3388.875</v>
      </c>
      <c r="AO160" s="1055">
        <f t="shared" si="6"/>
        <v>3388.875</v>
      </c>
      <c r="AP160">
        <f>AL160*'tecnicecon agric'!$J$65+'cultius resum'!AK160</f>
        <v>12.600000000000001</v>
      </c>
      <c r="AQ160" s="779">
        <f t="shared" si="7"/>
        <v>0</v>
      </c>
      <c r="AR160">
        <f>AN160+AL160*'tecnicecon agric'!$L$58</f>
        <v>3968.4955714285716</v>
      </c>
      <c r="AS160">
        <f>AP160*'4. Agricultura PIB'!$K$31</f>
        <v>35835.211748758411</v>
      </c>
      <c r="AT160">
        <f>AS160*'4. Agricultura PIB'!$D$71</f>
        <v>10535.552254134973</v>
      </c>
      <c r="AU160" s="779">
        <f t="shared" si="8"/>
        <v>50339.25957432195</v>
      </c>
    </row>
    <row r="161" spans="1:47">
      <c r="A161" s="974" t="s">
        <v>1325</v>
      </c>
      <c r="B161" s="976">
        <v>55</v>
      </c>
      <c r="C161" s="976">
        <v>88</v>
      </c>
      <c r="D161" s="976">
        <v>8</v>
      </c>
      <c r="E161" s="976">
        <v>18</v>
      </c>
      <c r="F161" s="976"/>
      <c r="G161" s="976"/>
      <c r="H161" s="976"/>
      <c r="I161" s="976"/>
      <c r="J161" s="976">
        <v>0</v>
      </c>
      <c r="K161" s="976">
        <v>1</v>
      </c>
      <c r="L161" s="976">
        <v>0</v>
      </c>
      <c r="M161" s="976">
        <v>13</v>
      </c>
      <c r="N161" s="976"/>
      <c r="O161" s="976"/>
      <c r="P161" s="976">
        <v>63</v>
      </c>
      <c r="Q161" s="977">
        <v>120</v>
      </c>
      <c r="T161" s="983" t="s">
        <v>1749</v>
      </c>
      <c r="U161" s="984"/>
      <c r="V161" s="984"/>
      <c r="W161" s="984"/>
      <c r="X161" s="984"/>
      <c r="Y161" s="984"/>
      <c r="Z161" s="984"/>
      <c r="AA161" s="984">
        <v>0</v>
      </c>
      <c r="AB161" s="984">
        <v>2</v>
      </c>
      <c r="AC161" s="984">
        <v>0</v>
      </c>
      <c r="AD161" s="984">
        <v>3</v>
      </c>
      <c r="AE161" s="984"/>
      <c r="AF161" s="984"/>
      <c r="AG161" s="984"/>
      <c r="AH161" s="984"/>
      <c r="AI161" s="984">
        <v>4</v>
      </c>
      <c r="AJ161" s="984">
        <v>2</v>
      </c>
      <c r="AK161" s="984">
        <v>0</v>
      </c>
      <c r="AL161" s="984">
        <v>5</v>
      </c>
      <c r="AM161" s="1055">
        <f>AK161*'tecnicecon agric'!$J$57</f>
        <v>0</v>
      </c>
      <c r="AN161" s="1055">
        <f>AL161*'tecnicecon agric'!$J$56</f>
        <v>5648.125</v>
      </c>
      <c r="AO161" s="1055">
        <f t="shared" si="6"/>
        <v>5648.125</v>
      </c>
      <c r="AP161">
        <f>AL161*'tecnicecon agric'!$J$65+'cultius resum'!AK161</f>
        <v>21</v>
      </c>
      <c r="AQ161" s="779">
        <f t="shared" si="7"/>
        <v>0</v>
      </c>
      <c r="AR161">
        <f>AN161+AL161*'tecnicecon agric'!$L$58</f>
        <v>6614.1592857142859</v>
      </c>
      <c r="AS161">
        <f>AP161*'4. Agricultura PIB'!$K$31</f>
        <v>59725.352914597344</v>
      </c>
      <c r="AT161">
        <f>AS161*'4. Agricultura PIB'!$D$71</f>
        <v>17559.25375689162</v>
      </c>
      <c r="AU161" s="779">
        <f t="shared" si="8"/>
        <v>83898.765957203243</v>
      </c>
    </row>
    <row r="162" spans="1:47">
      <c r="A162" s="974" t="s">
        <v>1326</v>
      </c>
      <c r="B162" s="976">
        <v>123</v>
      </c>
      <c r="C162" s="976">
        <v>0</v>
      </c>
      <c r="D162" s="976">
        <v>270</v>
      </c>
      <c r="E162" s="976">
        <v>11</v>
      </c>
      <c r="F162" s="976">
        <v>15</v>
      </c>
      <c r="G162" s="976">
        <v>0</v>
      </c>
      <c r="H162" s="976"/>
      <c r="I162" s="976"/>
      <c r="J162" s="976"/>
      <c r="K162" s="976"/>
      <c r="L162" s="976"/>
      <c r="M162" s="976"/>
      <c r="N162" s="976"/>
      <c r="O162" s="976"/>
      <c r="P162" s="976">
        <v>408</v>
      </c>
      <c r="Q162" s="977">
        <v>11</v>
      </c>
      <c r="T162" s="983" t="s">
        <v>1324</v>
      </c>
      <c r="U162" s="984"/>
      <c r="V162" s="984"/>
      <c r="W162" s="984">
        <v>6</v>
      </c>
      <c r="X162" s="984">
        <v>1</v>
      </c>
      <c r="Y162" s="984"/>
      <c r="Z162" s="984"/>
      <c r="AA162" s="984"/>
      <c r="AB162" s="984"/>
      <c r="AC162" s="984">
        <v>0</v>
      </c>
      <c r="AD162" s="984">
        <v>10</v>
      </c>
      <c r="AE162" s="984"/>
      <c r="AF162" s="984"/>
      <c r="AG162" s="984"/>
      <c r="AH162" s="984"/>
      <c r="AI162" s="984">
        <v>6</v>
      </c>
      <c r="AJ162" s="984">
        <v>23</v>
      </c>
      <c r="AK162" s="984">
        <v>6</v>
      </c>
      <c r="AL162" s="984">
        <v>11</v>
      </c>
      <c r="AM162" s="1055">
        <f>AK162*'tecnicecon agric'!$J$57</f>
        <v>2852</v>
      </c>
      <c r="AN162" s="1055">
        <f>AL162*'tecnicecon agric'!$J$56</f>
        <v>12425.875</v>
      </c>
      <c r="AO162" s="1055">
        <f t="shared" si="6"/>
        <v>15277.875</v>
      </c>
      <c r="AP162">
        <f>AL162*'tecnicecon agric'!$J$65+'cultius resum'!AK162</f>
        <v>52.2</v>
      </c>
      <c r="AQ162" s="779">
        <f t="shared" si="7"/>
        <v>2852</v>
      </c>
      <c r="AR162">
        <f>AN162+AL162*'tecnicecon agric'!$L$58</f>
        <v>14551.150428571429</v>
      </c>
      <c r="AS162">
        <f>AP162*'4. Agricultura PIB'!$K$31</f>
        <v>148460.16295914198</v>
      </c>
      <c r="AT162">
        <f>AS162*'4. Agricultura PIB'!$D$71</f>
        <v>43647.287909987739</v>
      </c>
      <c r="AU162" s="779">
        <f t="shared" si="8"/>
        <v>209510.60129770113</v>
      </c>
    </row>
    <row r="163" spans="1:47">
      <c r="A163" s="974" t="s">
        <v>1330</v>
      </c>
      <c r="B163" s="976">
        <v>345</v>
      </c>
      <c r="C163" s="976">
        <v>1</v>
      </c>
      <c r="D163" s="976">
        <v>24</v>
      </c>
      <c r="E163" s="976">
        <v>2</v>
      </c>
      <c r="F163" s="976">
        <v>14</v>
      </c>
      <c r="G163" s="976">
        <v>0</v>
      </c>
      <c r="H163" s="976"/>
      <c r="I163" s="976"/>
      <c r="J163" s="976">
        <v>0</v>
      </c>
      <c r="K163" s="976">
        <v>10</v>
      </c>
      <c r="L163" s="976"/>
      <c r="M163" s="976"/>
      <c r="N163" s="976"/>
      <c r="O163" s="976"/>
      <c r="P163" s="976">
        <v>383</v>
      </c>
      <c r="Q163" s="977">
        <v>13</v>
      </c>
      <c r="T163" s="983" t="s">
        <v>1325</v>
      </c>
      <c r="U163" s="984">
        <v>55</v>
      </c>
      <c r="V163" s="984">
        <v>88</v>
      </c>
      <c r="W163" s="984">
        <v>8</v>
      </c>
      <c r="X163" s="984">
        <v>18</v>
      </c>
      <c r="Y163" s="984"/>
      <c r="Z163" s="984"/>
      <c r="AA163" s="984"/>
      <c r="AB163" s="984"/>
      <c r="AC163" s="984">
        <v>0</v>
      </c>
      <c r="AD163" s="984">
        <v>1</v>
      </c>
      <c r="AE163" s="984">
        <v>0</v>
      </c>
      <c r="AF163" s="984">
        <v>13</v>
      </c>
      <c r="AG163" s="984"/>
      <c r="AH163" s="984"/>
      <c r="AI163" s="984">
        <v>0</v>
      </c>
      <c r="AJ163" s="984">
        <v>1</v>
      </c>
      <c r="AK163" s="984">
        <v>63</v>
      </c>
      <c r="AL163" s="984">
        <v>120</v>
      </c>
      <c r="AM163" s="1055">
        <f>AK163*'tecnicecon agric'!$J$57</f>
        <v>29946</v>
      </c>
      <c r="AN163" s="1055">
        <f>AL163*'tecnicecon agric'!$J$56</f>
        <v>135555</v>
      </c>
      <c r="AO163" s="1055">
        <f t="shared" si="6"/>
        <v>165501</v>
      </c>
      <c r="AP163">
        <f>AL163*'tecnicecon agric'!$J$65+'cultius resum'!AK163</f>
        <v>567</v>
      </c>
      <c r="AQ163" s="779">
        <f t="shared" si="7"/>
        <v>29946</v>
      </c>
      <c r="AR163">
        <f>AN163+AL163*'tecnicecon agric'!$L$58</f>
        <v>158739.82285714286</v>
      </c>
      <c r="AS163">
        <f>AP163*'4. Agricultura PIB'!$K$31</f>
        <v>1612584.5286941284</v>
      </c>
      <c r="AT163">
        <f>AS163*'4. Agricultura PIB'!$D$71</f>
        <v>474099.85143607372</v>
      </c>
      <c r="AU163" s="779">
        <f t="shared" si="8"/>
        <v>2275370.2029873449</v>
      </c>
    </row>
    <row r="164" spans="1:47">
      <c r="A164" s="974" t="s">
        <v>347</v>
      </c>
      <c r="B164" s="976">
        <v>0</v>
      </c>
      <c r="C164" s="976">
        <v>1</v>
      </c>
      <c r="D164" s="976">
        <v>0</v>
      </c>
      <c r="E164" s="976">
        <v>1</v>
      </c>
      <c r="F164" s="976"/>
      <c r="G164" s="976"/>
      <c r="H164" s="976">
        <v>0</v>
      </c>
      <c r="I164" s="976">
        <v>2</v>
      </c>
      <c r="J164" s="976">
        <v>0</v>
      </c>
      <c r="K164" s="976">
        <v>101</v>
      </c>
      <c r="L164" s="976">
        <v>0</v>
      </c>
      <c r="M164" s="976">
        <v>3</v>
      </c>
      <c r="N164" s="976">
        <v>0</v>
      </c>
      <c r="O164" s="976">
        <v>10</v>
      </c>
      <c r="P164" s="976">
        <v>0</v>
      </c>
      <c r="Q164" s="977">
        <v>118</v>
      </c>
      <c r="T164" s="983" t="s">
        <v>1326</v>
      </c>
      <c r="U164" s="984">
        <v>123</v>
      </c>
      <c r="V164" s="984">
        <v>0</v>
      </c>
      <c r="W164" s="984">
        <v>270</v>
      </c>
      <c r="X164" s="984">
        <v>11</v>
      </c>
      <c r="Y164" s="984">
        <v>15</v>
      </c>
      <c r="Z164" s="984">
        <v>0</v>
      </c>
      <c r="AA164" s="984"/>
      <c r="AB164" s="984"/>
      <c r="AC164" s="984"/>
      <c r="AD164" s="984"/>
      <c r="AE164" s="984"/>
      <c r="AF164" s="984"/>
      <c r="AG164" s="984"/>
      <c r="AH164" s="984"/>
      <c r="AI164" s="984" t="s">
        <v>752</v>
      </c>
      <c r="AJ164" s="984" t="s">
        <v>752</v>
      </c>
      <c r="AK164" s="984">
        <v>408</v>
      </c>
      <c r="AL164" s="984">
        <v>11</v>
      </c>
      <c r="AM164" s="1055">
        <f>AK164*'tecnicecon agric'!$J$57</f>
        <v>193936</v>
      </c>
      <c r="AN164" s="1055">
        <f>AL164*'tecnicecon agric'!$J$56</f>
        <v>12425.875</v>
      </c>
      <c r="AO164" s="1055">
        <f t="shared" si="6"/>
        <v>206361.875</v>
      </c>
      <c r="AP164">
        <f>AL164*'tecnicecon agric'!$J$65+'cultius resum'!AK164</f>
        <v>454.2</v>
      </c>
      <c r="AQ164" s="779">
        <f t="shared" si="7"/>
        <v>193936</v>
      </c>
      <c r="AR164">
        <f>AN164+AL164*'tecnicecon agric'!$L$58</f>
        <v>14551.150428571429</v>
      </c>
      <c r="AS164">
        <f>AP164*'4. Agricultura PIB'!$K$31</f>
        <v>1291774.0616100053</v>
      </c>
      <c r="AT164">
        <f>AS164*'4. Agricultura PIB'!$D$71</f>
        <v>379781.57411334157</v>
      </c>
      <c r="AU164" s="779">
        <f t="shared" si="8"/>
        <v>1880042.7861519183</v>
      </c>
    </row>
    <row r="165" spans="1:47">
      <c r="A165" s="974" t="s">
        <v>3684</v>
      </c>
      <c r="B165" s="976">
        <v>17</v>
      </c>
      <c r="C165" s="976">
        <v>0</v>
      </c>
      <c r="D165" s="976">
        <v>10</v>
      </c>
      <c r="E165" s="976">
        <v>0</v>
      </c>
      <c r="F165" s="976"/>
      <c r="G165" s="976"/>
      <c r="H165" s="976"/>
      <c r="I165" s="976"/>
      <c r="J165" s="976">
        <v>4</v>
      </c>
      <c r="K165" s="976">
        <v>0</v>
      </c>
      <c r="L165" s="976"/>
      <c r="M165" s="976"/>
      <c r="N165" s="976">
        <v>1</v>
      </c>
      <c r="O165" s="976">
        <v>0</v>
      </c>
      <c r="P165" s="976">
        <v>32</v>
      </c>
      <c r="Q165" s="977">
        <v>0</v>
      </c>
      <c r="T165" s="983" t="s">
        <v>1330</v>
      </c>
      <c r="U165" s="984">
        <v>345</v>
      </c>
      <c r="V165" s="984">
        <v>1</v>
      </c>
      <c r="W165" s="984">
        <v>24</v>
      </c>
      <c r="X165" s="984">
        <v>2</v>
      </c>
      <c r="Y165" s="984">
        <v>14</v>
      </c>
      <c r="Z165" s="984">
        <v>0</v>
      </c>
      <c r="AA165" s="984"/>
      <c r="AB165" s="984"/>
      <c r="AC165" s="984">
        <v>0</v>
      </c>
      <c r="AD165" s="984">
        <v>10</v>
      </c>
      <c r="AE165" s="984"/>
      <c r="AF165" s="984"/>
      <c r="AG165" s="984"/>
      <c r="AH165" s="984"/>
      <c r="AI165" s="984">
        <v>1093</v>
      </c>
      <c r="AJ165" s="984">
        <v>97</v>
      </c>
      <c r="AK165" s="984">
        <v>383</v>
      </c>
      <c r="AL165" s="984">
        <v>13</v>
      </c>
      <c r="AM165" s="1055">
        <f>AK165*'tecnicecon agric'!$J$57</f>
        <v>182052.66666666666</v>
      </c>
      <c r="AN165" s="1055">
        <f>AL165*'tecnicecon agric'!$J$56</f>
        <v>14685.125</v>
      </c>
      <c r="AO165" s="1055">
        <f t="shared" si="6"/>
        <v>196737.79166666666</v>
      </c>
      <c r="AP165">
        <f>AL165*'tecnicecon agric'!$J$65+'cultius resum'!AK165</f>
        <v>437.6</v>
      </c>
      <c r="AQ165" s="779">
        <f t="shared" si="7"/>
        <v>182052.66666666666</v>
      </c>
      <c r="AR165">
        <f>AN165+AL165*'tecnicecon agric'!$L$58</f>
        <v>17196.814142857143</v>
      </c>
      <c r="AS165">
        <f>AP165*'4. Agricultura PIB'!$K$31</f>
        <v>1244562.5921632287</v>
      </c>
      <c r="AT165">
        <f>AS165*'4. Agricultura PIB'!$D$71</f>
        <v>365901.40209598921</v>
      </c>
      <c r="AU165" s="779">
        <f t="shared" si="8"/>
        <v>1809713.4750687415</v>
      </c>
    </row>
    <row r="166" spans="1:47">
      <c r="A166" s="974" t="s">
        <v>3694</v>
      </c>
      <c r="B166" s="976">
        <v>71</v>
      </c>
      <c r="C166" s="976">
        <v>0</v>
      </c>
      <c r="D166" s="976">
        <v>25</v>
      </c>
      <c r="E166" s="976">
        <v>0</v>
      </c>
      <c r="F166" s="976">
        <v>18</v>
      </c>
      <c r="G166" s="976">
        <v>1</v>
      </c>
      <c r="H166" s="976"/>
      <c r="I166" s="976"/>
      <c r="J166" s="976"/>
      <c r="K166" s="976"/>
      <c r="L166" s="976">
        <v>13</v>
      </c>
      <c r="M166" s="976">
        <v>0</v>
      </c>
      <c r="N166" s="976"/>
      <c r="O166" s="976"/>
      <c r="P166" s="976">
        <v>127</v>
      </c>
      <c r="Q166" s="977">
        <v>1</v>
      </c>
      <c r="T166" s="983" t="s">
        <v>347</v>
      </c>
      <c r="U166" s="984">
        <v>0</v>
      </c>
      <c r="V166" s="984">
        <v>1</v>
      </c>
      <c r="W166" s="984">
        <v>0</v>
      </c>
      <c r="X166" s="984">
        <v>1</v>
      </c>
      <c r="Y166" s="984"/>
      <c r="Z166" s="984"/>
      <c r="AA166" s="984">
        <v>0</v>
      </c>
      <c r="AB166" s="984">
        <v>2</v>
      </c>
      <c r="AC166" s="984">
        <v>0</v>
      </c>
      <c r="AD166" s="984">
        <v>101</v>
      </c>
      <c r="AE166" s="984">
        <v>0</v>
      </c>
      <c r="AF166" s="984">
        <v>3</v>
      </c>
      <c r="AG166" s="984">
        <v>0</v>
      </c>
      <c r="AH166" s="984">
        <v>10</v>
      </c>
      <c r="AI166" s="984" t="s">
        <v>752</v>
      </c>
      <c r="AJ166" s="984" t="s">
        <v>752</v>
      </c>
      <c r="AK166" s="984">
        <v>0</v>
      </c>
      <c r="AL166" s="984">
        <v>118</v>
      </c>
      <c r="AM166" s="1055">
        <f>AK166*'tecnicecon agric'!$J$57</f>
        <v>0</v>
      </c>
      <c r="AN166" s="1055">
        <f>AL166*'tecnicecon agric'!$J$56</f>
        <v>133295.75</v>
      </c>
      <c r="AO166" s="1055">
        <f t="shared" si="6"/>
        <v>133295.75</v>
      </c>
      <c r="AP166">
        <f>AL166*'tecnicecon agric'!$J$65+'cultius resum'!AK166</f>
        <v>495.6</v>
      </c>
      <c r="AQ166" s="779">
        <f t="shared" si="7"/>
        <v>0</v>
      </c>
      <c r="AR166">
        <f>AN166+AL166*'tecnicecon agric'!$L$58</f>
        <v>156094.15914285716</v>
      </c>
      <c r="AS166">
        <f>AP166*'4. Agricultura PIB'!$K$31</f>
        <v>1409518.3287844975</v>
      </c>
      <c r="AT166">
        <f>AS166*'4. Agricultura PIB'!$D$71</f>
        <v>414398.38866264222</v>
      </c>
      <c r="AU166" s="779">
        <f t="shared" si="8"/>
        <v>1980010.8765899967</v>
      </c>
    </row>
    <row r="167" spans="1:47">
      <c r="A167" s="974" t="s">
        <v>3696</v>
      </c>
      <c r="B167" s="976">
        <v>5</v>
      </c>
      <c r="C167" s="976">
        <v>1</v>
      </c>
      <c r="D167" s="976">
        <v>51</v>
      </c>
      <c r="E167" s="976">
        <v>1</v>
      </c>
      <c r="F167" s="976"/>
      <c r="G167" s="976"/>
      <c r="H167" s="976"/>
      <c r="I167" s="976"/>
      <c r="J167" s="976">
        <v>0</v>
      </c>
      <c r="K167" s="976">
        <v>8</v>
      </c>
      <c r="L167" s="976">
        <v>0</v>
      </c>
      <c r="M167" s="976">
        <v>8</v>
      </c>
      <c r="N167" s="976"/>
      <c r="O167" s="976"/>
      <c r="P167" s="976">
        <v>56</v>
      </c>
      <c r="Q167" s="977">
        <v>18</v>
      </c>
      <c r="T167" s="983" t="s">
        <v>1339</v>
      </c>
      <c r="U167" s="984">
        <v>17</v>
      </c>
      <c r="V167" s="984">
        <v>0</v>
      </c>
      <c r="W167" s="984">
        <v>10</v>
      </c>
      <c r="X167" s="984">
        <v>0</v>
      </c>
      <c r="Y167" s="984"/>
      <c r="Z167" s="984"/>
      <c r="AA167" s="984"/>
      <c r="AB167" s="984"/>
      <c r="AC167" s="984">
        <v>4</v>
      </c>
      <c r="AD167" s="984">
        <v>0</v>
      </c>
      <c r="AE167" s="984"/>
      <c r="AF167" s="984"/>
      <c r="AG167" s="984">
        <v>1</v>
      </c>
      <c r="AH167" s="984">
        <v>0</v>
      </c>
      <c r="AI167" s="984">
        <v>598</v>
      </c>
      <c r="AJ167" s="984">
        <v>2</v>
      </c>
      <c r="AK167" s="984">
        <v>32</v>
      </c>
      <c r="AL167" s="984">
        <v>0</v>
      </c>
      <c r="AM167" s="1055">
        <f>AK167*'tecnicecon agric'!$J$57</f>
        <v>15210.666666666666</v>
      </c>
      <c r="AN167" s="1055">
        <f>AL167*'tecnicecon agric'!$J$56</f>
        <v>0</v>
      </c>
      <c r="AO167" s="1055">
        <f t="shared" si="6"/>
        <v>15210.666666666666</v>
      </c>
      <c r="AP167">
        <f>AL167*'tecnicecon agric'!$J$65+'cultius resum'!AK167</f>
        <v>32</v>
      </c>
      <c r="AQ167" s="779">
        <f t="shared" si="7"/>
        <v>15210.666666666666</v>
      </c>
      <c r="AR167">
        <f>AN167+AL167*'tecnicecon agric'!$L$58</f>
        <v>0</v>
      </c>
      <c r="AS167">
        <f>AP167*'4. Agricultura PIB'!$K$31</f>
        <v>91010.061584148338</v>
      </c>
      <c r="AT167">
        <f>AS167*'4. Agricultura PIB'!$D$71</f>
        <v>26756.95810573961</v>
      </c>
      <c r="AU167" s="779">
        <f t="shared" si="8"/>
        <v>132977.68635655462</v>
      </c>
    </row>
    <row r="168" spans="1:47">
      <c r="A168" s="974" t="s">
        <v>1349</v>
      </c>
      <c r="B168" s="976">
        <v>151</v>
      </c>
      <c r="C168" s="976">
        <v>4</v>
      </c>
      <c r="D168" s="976">
        <v>86</v>
      </c>
      <c r="E168" s="976">
        <v>9</v>
      </c>
      <c r="F168" s="976"/>
      <c r="G168" s="976"/>
      <c r="H168" s="976"/>
      <c r="I168" s="976"/>
      <c r="J168" s="976"/>
      <c r="K168" s="976"/>
      <c r="L168" s="976"/>
      <c r="M168" s="976"/>
      <c r="N168" s="976"/>
      <c r="O168" s="976"/>
      <c r="P168" s="976">
        <v>237</v>
      </c>
      <c r="Q168" s="977">
        <v>13</v>
      </c>
      <c r="T168" s="983" t="s">
        <v>1340</v>
      </c>
      <c r="U168" s="984">
        <v>71</v>
      </c>
      <c r="V168" s="984">
        <v>0</v>
      </c>
      <c r="W168" s="984">
        <v>25</v>
      </c>
      <c r="X168" s="984">
        <v>0</v>
      </c>
      <c r="Y168" s="984">
        <v>18</v>
      </c>
      <c r="Z168" s="984">
        <v>1</v>
      </c>
      <c r="AA168" s="984"/>
      <c r="AB168" s="984"/>
      <c r="AC168" s="984"/>
      <c r="AD168" s="984"/>
      <c r="AE168" s="984">
        <v>13</v>
      </c>
      <c r="AF168" s="984">
        <v>0</v>
      </c>
      <c r="AG168" s="984"/>
      <c r="AH168" s="984"/>
      <c r="AI168" s="984">
        <v>48</v>
      </c>
      <c r="AJ168" s="984">
        <v>4</v>
      </c>
      <c r="AK168" s="984">
        <v>127</v>
      </c>
      <c r="AL168" s="984">
        <v>1</v>
      </c>
      <c r="AM168" s="1055">
        <f>AK168*'tecnicecon agric'!$J$57</f>
        <v>60367.333333333328</v>
      </c>
      <c r="AN168" s="1055">
        <f>AL168*'tecnicecon agric'!$J$56</f>
        <v>1129.625</v>
      </c>
      <c r="AO168" s="1055">
        <f t="shared" si="6"/>
        <v>61496.958333333328</v>
      </c>
      <c r="AP168">
        <f>AL168*'tecnicecon agric'!$J$65+'cultius resum'!AK168</f>
        <v>131.19999999999999</v>
      </c>
      <c r="AQ168" s="779">
        <f t="shared" si="7"/>
        <v>60367.333333333328</v>
      </c>
      <c r="AR168">
        <f>AN168+AL168*'tecnicecon agric'!$L$58</f>
        <v>1322.8318571428572</v>
      </c>
      <c r="AS168">
        <f>AP168*'4. Agricultura PIB'!$K$31</f>
        <v>373141.25249500817</v>
      </c>
      <c r="AT168">
        <f>AS168*'4. Agricultura PIB'!$D$71</f>
        <v>109703.5282335324</v>
      </c>
      <c r="AU168" s="779">
        <f t="shared" si="8"/>
        <v>544534.94591901673</v>
      </c>
    </row>
    <row r="169" spans="1:47">
      <c r="A169" s="974" t="s">
        <v>3717</v>
      </c>
      <c r="B169" s="976">
        <v>21</v>
      </c>
      <c r="C169" s="976">
        <v>0</v>
      </c>
      <c r="D169" s="976">
        <v>30</v>
      </c>
      <c r="E169" s="976">
        <v>0</v>
      </c>
      <c r="F169" s="976"/>
      <c r="G169" s="976"/>
      <c r="H169" s="976"/>
      <c r="I169" s="976"/>
      <c r="J169" s="976">
        <v>0</v>
      </c>
      <c r="K169" s="976">
        <v>1</v>
      </c>
      <c r="L169" s="976"/>
      <c r="M169" s="976"/>
      <c r="N169" s="976"/>
      <c r="O169" s="976"/>
      <c r="P169" s="976">
        <v>51</v>
      </c>
      <c r="Q169" s="977">
        <v>1</v>
      </c>
      <c r="T169" s="983" t="s">
        <v>1343</v>
      </c>
      <c r="U169" s="984">
        <v>5</v>
      </c>
      <c r="V169" s="984">
        <v>1</v>
      </c>
      <c r="W169" s="984">
        <v>51</v>
      </c>
      <c r="X169" s="984">
        <v>1</v>
      </c>
      <c r="Y169" s="984"/>
      <c r="Z169" s="984"/>
      <c r="AA169" s="984"/>
      <c r="AB169" s="984"/>
      <c r="AC169" s="984">
        <v>0</v>
      </c>
      <c r="AD169" s="984">
        <v>8</v>
      </c>
      <c r="AE169" s="984">
        <v>0</v>
      </c>
      <c r="AF169" s="984">
        <v>8</v>
      </c>
      <c r="AG169" s="984"/>
      <c r="AH169" s="984"/>
      <c r="AI169" s="984" t="s">
        <v>752</v>
      </c>
      <c r="AJ169" s="984" t="s">
        <v>752</v>
      </c>
      <c r="AK169" s="984">
        <v>56</v>
      </c>
      <c r="AL169" s="984">
        <v>18</v>
      </c>
      <c r="AM169" s="1055">
        <f>AK169*'tecnicecon agric'!$J$57</f>
        <v>26618.666666666664</v>
      </c>
      <c r="AN169" s="1055">
        <f>AL169*'tecnicecon agric'!$J$56</f>
        <v>20333.25</v>
      </c>
      <c r="AO169" s="1055">
        <f t="shared" si="6"/>
        <v>46951.916666666664</v>
      </c>
      <c r="AP169">
        <f>AL169*'tecnicecon agric'!$J$65+'cultius resum'!AK169</f>
        <v>131.60000000000002</v>
      </c>
      <c r="AQ169" s="779">
        <f t="shared" si="7"/>
        <v>26618.666666666664</v>
      </c>
      <c r="AR169">
        <f>AN169+AL169*'tecnicecon agric'!$L$58</f>
        <v>23810.973428571429</v>
      </c>
      <c r="AS169">
        <f>AP169*'4. Agricultura PIB'!$K$31</f>
        <v>374278.87826481008</v>
      </c>
      <c r="AT169">
        <f>AS169*'4. Agricultura PIB'!$D$71</f>
        <v>110037.99020985415</v>
      </c>
      <c r="AU169" s="779">
        <f t="shared" si="8"/>
        <v>534746.50856990227</v>
      </c>
    </row>
    <row r="170" spans="1:47">
      <c r="A170" s="974" t="s">
        <v>1352</v>
      </c>
      <c r="B170" s="976">
        <v>87</v>
      </c>
      <c r="C170" s="976">
        <v>0</v>
      </c>
      <c r="D170" s="976">
        <v>7</v>
      </c>
      <c r="E170" s="976">
        <v>0</v>
      </c>
      <c r="F170" s="976">
        <v>22</v>
      </c>
      <c r="G170" s="976">
        <v>0</v>
      </c>
      <c r="H170" s="976"/>
      <c r="I170" s="976"/>
      <c r="J170" s="976">
        <v>1</v>
      </c>
      <c r="K170" s="976">
        <v>0</v>
      </c>
      <c r="L170" s="976">
        <v>1</v>
      </c>
      <c r="M170" s="976">
        <v>0</v>
      </c>
      <c r="N170" s="976">
        <v>1</v>
      </c>
      <c r="O170" s="976">
        <v>1</v>
      </c>
      <c r="P170" s="976">
        <v>119</v>
      </c>
      <c r="Q170" s="977">
        <v>1</v>
      </c>
      <c r="T170" s="983" t="s">
        <v>1349</v>
      </c>
      <c r="U170" s="984">
        <v>151</v>
      </c>
      <c r="V170" s="984">
        <v>4</v>
      </c>
      <c r="W170" s="984">
        <v>86</v>
      </c>
      <c r="X170" s="984">
        <v>9</v>
      </c>
      <c r="Y170" s="984"/>
      <c r="Z170" s="984"/>
      <c r="AA170" s="984"/>
      <c r="AB170" s="984"/>
      <c r="AC170" s="984"/>
      <c r="AD170" s="984"/>
      <c r="AE170" s="984"/>
      <c r="AF170" s="984"/>
      <c r="AG170" s="984"/>
      <c r="AH170" s="984"/>
      <c r="AI170" s="984">
        <v>9</v>
      </c>
      <c r="AJ170" s="984">
        <v>0</v>
      </c>
      <c r="AK170" s="984">
        <v>237</v>
      </c>
      <c r="AL170" s="984">
        <v>13</v>
      </c>
      <c r="AM170" s="1055">
        <f>AK170*'tecnicecon agric'!$J$57</f>
        <v>112654</v>
      </c>
      <c r="AN170" s="1055">
        <f>AL170*'tecnicecon agric'!$J$56</f>
        <v>14685.125</v>
      </c>
      <c r="AO170" s="1055">
        <f t="shared" si="6"/>
        <v>127339.125</v>
      </c>
      <c r="AP170">
        <f>AL170*'tecnicecon agric'!$J$65+'cultius resum'!AK170</f>
        <v>291.60000000000002</v>
      </c>
      <c r="AQ170" s="779">
        <f t="shared" si="7"/>
        <v>112654</v>
      </c>
      <c r="AR170">
        <f>AN170+AL170*'tecnicecon agric'!$L$58</f>
        <v>17196.814142857143</v>
      </c>
      <c r="AS170">
        <f>AP170*'4. Agricultura PIB'!$K$31</f>
        <v>829329.18618555181</v>
      </c>
      <c r="AT170">
        <f>AS170*'4. Agricultura PIB'!$D$71</f>
        <v>243822.78073855222</v>
      </c>
      <c r="AU170" s="779">
        <f t="shared" si="8"/>
        <v>1203002.7810669611</v>
      </c>
    </row>
    <row r="171" spans="1:47">
      <c r="A171" s="974" t="s">
        <v>3736</v>
      </c>
      <c r="B171" s="976">
        <v>3</v>
      </c>
      <c r="C171" s="976">
        <v>16</v>
      </c>
      <c r="D171" s="976">
        <v>4</v>
      </c>
      <c r="E171" s="976">
        <v>3</v>
      </c>
      <c r="F171" s="976"/>
      <c r="G171" s="976"/>
      <c r="H171" s="976"/>
      <c r="I171" s="976"/>
      <c r="J171" s="976">
        <v>0</v>
      </c>
      <c r="K171" s="976">
        <v>233</v>
      </c>
      <c r="L171" s="976"/>
      <c r="M171" s="976"/>
      <c r="N171" s="976"/>
      <c r="O171" s="976"/>
      <c r="P171" s="976">
        <v>7</v>
      </c>
      <c r="Q171" s="977">
        <v>252</v>
      </c>
      <c r="T171" s="983" t="s">
        <v>1387</v>
      </c>
      <c r="U171" s="984">
        <v>21</v>
      </c>
      <c r="V171" s="984">
        <v>0</v>
      </c>
      <c r="W171" s="984">
        <v>30</v>
      </c>
      <c r="X171" s="984">
        <v>0</v>
      </c>
      <c r="Y171" s="984"/>
      <c r="Z171" s="984"/>
      <c r="AA171" s="984"/>
      <c r="AB171" s="984"/>
      <c r="AC171" s="984">
        <v>0</v>
      </c>
      <c r="AD171" s="984">
        <v>1</v>
      </c>
      <c r="AE171" s="984"/>
      <c r="AF171" s="984"/>
      <c r="AG171" s="984"/>
      <c r="AH171" s="984"/>
      <c r="AI171" s="984">
        <v>8</v>
      </c>
      <c r="AJ171" s="984">
        <v>1</v>
      </c>
      <c r="AK171" s="984">
        <v>51</v>
      </c>
      <c r="AL171" s="984">
        <v>1</v>
      </c>
      <c r="AM171" s="1055">
        <f>AK171*'tecnicecon agric'!$J$57</f>
        <v>24242</v>
      </c>
      <c r="AN171" s="1055">
        <f>AL171*'tecnicecon agric'!$J$56</f>
        <v>1129.625</v>
      </c>
      <c r="AO171" s="1055">
        <f t="shared" si="6"/>
        <v>25371.625</v>
      </c>
      <c r="AP171">
        <f>AL171*'tecnicecon agric'!$J$65+'cultius resum'!AK171</f>
        <v>55.2</v>
      </c>
      <c r="AQ171" s="779">
        <f t="shared" si="7"/>
        <v>24242</v>
      </c>
      <c r="AR171">
        <f>AN171+AL171*'tecnicecon agric'!$L$58</f>
        <v>1322.8318571428572</v>
      </c>
      <c r="AS171">
        <f>AP171*'4. Agricultura PIB'!$K$31</f>
        <v>156992.3562326559</v>
      </c>
      <c r="AT171">
        <f>AS171*'4. Agricultura PIB'!$D$71</f>
        <v>46155.752732400833</v>
      </c>
      <c r="AU171" s="779">
        <f t="shared" si="8"/>
        <v>228712.9408221996</v>
      </c>
    </row>
    <row r="172" spans="1:47">
      <c r="A172" s="974" t="s">
        <v>1363</v>
      </c>
      <c r="B172" s="976">
        <v>210</v>
      </c>
      <c r="C172" s="976">
        <v>0</v>
      </c>
      <c r="D172" s="976">
        <v>151</v>
      </c>
      <c r="E172" s="976">
        <v>0</v>
      </c>
      <c r="F172" s="976">
        <v>34</v>
      </c>
      <c r="G172" s="976">
        <v>0</v>
      </c>
      <c r="H172" s="976"/>
      <c r="I172" s="976"/>
      <c r="J172" s="976">
        <v>0</v>
      </c>
      <c r="K172" s="976">
        <v>2</v>
      </c>
      <c r="L172" s="976">
        <v>13</v>
      </c>
      <c r="M172" s="976">
        <v>0</v>
      </c>
      <c r="N172" s="976"/>
      <c r="O172" s="976"/>
      <c r="P172" s="976">
        <v>408</v>
      </c>
      <c r="Q172" s="977">
        <v>2</v>
      </c>
      <c r="T172" s="983" t="s">
        <v>1352</v>
      </c>
      <c r="U172" s="984">
        <v>87</v>
      </c>
      <c r="V172" s="984">
        <v>0</v>
      </c>
      <c r="W172" s="984">
        <v>7</v>
      </c>
      <c r="X172" s="984">
        <v>0</v>
      </c>
      <c r="Y172" s="984">
        <v>22</v>
      </c>
      <c r="Z172" s="984">
        <v>0</v>
      </c>
      <c r="AA172" s="984"/>
      <c r="AB172" s="984"/>
      <c r="AC172" s="984">
        <v>1</v>
      </c>
      <c r="AD172" s="984">
        <v>0</v>
      </c>
      <c r="AE172" s="984">
        <v>1</v>
      </c>
      <c r="AF172" s="984">
        <v>0</v>
      </c>
      <c r="AG172" s="984">
        <v>1</v>
      </c>
      <c r="AH172" s="984">
        <v>1</v>
      </c>
      <c r="AI172" s="984">
        <v>226</v>
      </c>
      <c r="AJ172" s="984">
        <v>8</v>
      </c>
      <c r="AK172" s="984">
        <v>119</v>
      </c>
      <c r="AL172" s="984">
        <v>1</v>
      </c>
      <c r="AM172" s="1055">
        <f>AK172*'tecnicecon agric'!$J$57</f>
        <v>56564.666666666664</v>
      </c>
      <c r="AN172" s="1055">
        <f>AL172*'tecnicecon agric'!$J$56</f>
        <v>1129.625</v>
      </c>
      <c r="AO172" s="1055">
        <f t="shared" si="6"/>
        <v>57694.291666666664</v>
      </c>
      <c r="AP172">
        <f>AL172*'tecnicecon agric'!$J$65+'cultius resum'!AK172</f>
        <v>123.2</v>
      </c>
      <c r="AQ172" s="779">
        <f t="shared" si="7"/>
        <v>56564.666666666664</v>
      </c>
      <c r="AR172">
        <f>AN172+AL172*'tecnicecon agric'!$L$58</f>
        <v>1322.8318571428572</v>
      </c>
      <c r="AS172">
        <f>AP172*'4. Agricultura PIB'!$K$31</f>
        <v>350388.73709897109</v>
      </c>
      <c r="AT172">
        <f>AS172*'4. Agricultura PIB'!$D$71</f>
        <v>103014.2887070975</v>
      </c>
      <c r="AU172" s="779">
        <f t="shared" si="8"/>
        <v>511290.52432987816</v>
      </c>
    </row>
    <row r="173" spans="1:47">
      <c r="A173" s="974" t="s">
        <v>3741</v>
      </c>
      <c r="B173" s="976">
        <v>1347</v>
      </c>
      <c r="C173" s="976">
        <v>0</v>
      </c>
      <c r="D173" s="976">
        <v>88</v>
      </c>
      <c r="E173" s="976">
        <v>0</v>
      </c>
      <c r="F173" s="976">
        <v>76</v>
      </c>
      <c r="G173" s="976">
        <v>0</v>
      </c>
      <c r="H173" s="976"/>
      <c r="I173" s="976"/>
      <c r="J173" s="976"/>
      <c r="K173" s="976"/>
      <c r="L173" s="976">
        <v>101</v>
      </c>
      <c r="M173" s="976">
        <v>0</v>
      </c>
      <c r="N173" s="976"/>
      <c r="O173" s="976"/>
      <c r="P173" s="976">
        <v>1612</v>
      </c>
      <c r="Q173" s="977">
        <v>0</v>
      </c>
      <c r="T173" s="983" t="s">
        <v>348</v>
      </c>
      <c r="U173" s="984">
        <v>3</v>
      </c>
      <c r="V173" s="984">
        <v>16</v>
      </c>
      <c r="W173" s="984">
        <v>4</v>
      </c>
      <c r="X173" s="984">
        <v>3</v>
      </c>
      <c r="Y173" s="984"/>
      <c r="Z173" s="984"/>
      <c r="AA173" s="984"/>
      <c r="AB173" s="984"/>
      <c r="AC173" s="984">
        <v>0</v>
      </c>
      <c r="AD173" s="984">
        <v>233</v>
      </c>
      <c r="AE173" s="984"/>
      <c r="AF173" s="984"/>
      <c r="AG173" s="984"/>
      <c r="AH173" s="984"/>
      <c r="AI173" s="984">
        <v>0</v>
      </c>
      <c r="AJ173" s="984">
        <v>9</v>
      </c>
      <c r="AK173" s="984">
        <v>7</v>
      </c>
      <c r="AL173" s="984">
        <v>252</v>
      </c>
      <c r="AM173" s="1055">
        <f>AK173*'tecnicecon agric'!$J$57</f>
        <v>3327.333333333333</v>
      </c>
      <c r="AN173" s="1055">
        <f>AL173*'tecnicecon agric'!$J$56</f>
        <v>284665.5</v>
      </c>
      <c r="AO173" s="1055">
        <f t="shared" si="6"/>
        <v>287992.83333333331</v>
      </c>
      <c r="AP173">
        <f>AL173*'tecnicecon agric'!$J$65+'cultius resum'!AK173</f>
        <v>1065.4000000000001</v>
      </c>
      <c r="AQ173" s="779">
        <f t="shared" si="7"/>
        <v>3327.333333333333</v>
      </c>
      <c r="AR173">
        <f>AN173+AL173*'tecnicecon agric'!$L$58</f>
        <v>333353.62800000003</v>
      </c>
      <c r="AS173">
        <f>AP173*'4. Agricultura PIB'!$K$31</f>
        <v>3030066.2378672389</v>
      </c>
      <c r="AT173">
        <f>AS173*'4. Agricultura PIB'!$D$71</f>
        <v>890839.47393296822</v>
      </c>
      <c r="AU173" s="779">
        <f t="shared" si="8"/>
        <v>4257586.6731335409</v>
      </c>
    </row>
    <row r="174" spans="1:47">
      <c r="A174" s="974" t="s">
        <v>1513</v>
      </c>
      <c r="B174" s="976"/>
      <c r="C174" s="976"/>
      <c r="D174" s="976">
        <v>3</v>
      </c>
      <c r="E174" s="976">
        <v>0</v>
      </c>
      <c r="F174" s="976"/>
      <c r="G174" s="976"/>
      <c r="H174" s="976">
        <v>0</v>
      </c>
      <c r="I174" s="976">
        <v>16</v>
      </c>
      <c r="J174" s="976">
        <v>0</v>
      </c>
      <c r="K174" s="976">
        <v>15</v>
      </c>
      <c r="L174" s="976"/>
      <c r="M174" s="976"/>
      <c r="N174" s="976">
        <v>0</v>
      </c>
      <c r="O174" s="976">
        <v>1</v>
      </c>
      <c r="P174" s="976">
        <v>3</v>
      </c>
      <c r="Q174" s="977">
        <v>32</v>
      </c>
      <c r="T174" s="983" t="s">
        <v>1363</v>
      </c>
      <c r="U174" s="984">
        <v>210</v>
      </c>
      <c r="V174" s="984">
        <v>0</v>
      </c>
      <c r="W174" s="984">
        <v>151</v>
      </c>
      <c r="X174" s="984">
        <v>0</v>
      </c>
      <c r="Y174" s="984">
        <v>34</v>
      </c>
      <c r="Z174" s="984">
        <v>0</v>
      </c>
      <c r="AA174" s="984"/>
      <c r="AB174" s="984"/>
      <c r="AC174" s="984">
        <v>0</v>
      </c>
      <c r="AD174" s="984">
        <v>2</v>
      </c>
      <c r="AE174" s="984">
        <v>13</v>
      </c>
      <c r="AF174" s="984">
        <v>0</v>
      </c>
      <c r="AG174" s="984"/>
      <c r="AH174" s="984"/>
      <c r="AI174" s="984" t="s">
        <v>752</v>
      </c>
      <c r="AJ174" s="984" t="s">
        <v>752</v>
      </c>
      <c r="AK174" s="984">
        <v>408</v>
      </c>
      <c r="AL174" s="984">
        <v>2</v>
      </c>
      <c r="AM174" s="1055">
        <f>AK174*'tecnicecon agric'!$J$57</f>
        <v>193936</v>
      </c>
      <c r="AN174" s="1055">
        <f>AL174*'tecnicecon agric'!$J$56</f>
        <v>2259.25</v>
      </c>
      <c r="AO174" s="1055">
        <f t="shared" si="6"/>
        <v>196195.25</v>
      </c>
      <c r="AP174">
        <f>AL174*'tecnicecon agric'!$J$65+'cultius resum'!AK174</f>
        <v>416.4</v>
      </c>
      <c r="AQ174" s="779">
        <f t="shared" si="7"/>
        <v>193936</v>
      </c>
      <c r="AR174">
        <f>AN174+AL174*'tecnicecon agric'!$L$58</f>
        <v>2645.6637142857144</v>
      </c>
      <c r="AS174">
        <f>AP174*'4. Agricultura PIB'!$K$31</f>
        <v>1184268.4263637301</v>
      </c>
      <c r="AT174">
        <f>AS174*'4. Agricultura PIB'!$D$71</f>
        <v>348174.91735093662</v>
      </c>
      <c r="AU174" s="779">
        <f t="shared" si="8"/>
        <v>1729025.0074289525</v>
      </c>
    </row>
    <row r="175" spans="1:47">
      <c r="A175" s="974" t="s">
        <v>349</v>
      </c>
      <c r="B175" s="976"/>
      <c r="C175" s="976"/>
      <c r="D175" s="976"/>
      <c r="E175" s="976"/>
      <c r="F175" s="976"/>
      <c r="G175" s="976"/>
      <c r="H175" s="976">
        <v>0</v>
      </c>
      <c r="I175" s="976">
        <v>2</v>
      </c>
      <c r="J175" s="976">
        <v>0</v>
      </c>
      <c r="K175" s="976">
        <v>7</v>
      </c>
      <c r="L175" s="976"/>
      <c r="M175" s="976"/>
      <c r="N175" s="976">
        <v>0</v>
      </c>
      <c r="O175" s="976">
        <v>1</v>
      </c>
      <c r="P175" s="976">
        <v>0</v>
      </c>
      <c r="Q175" s="977">
        <v>10</v>
      </c>
      <c r="T175" s="983" t="s">
        <v>1359</v>
      </c>
      <c r="U175" s="984">
        <v>1347</v>
      </c>
      <c r="V175" s="984">
        <v>0</v>
      </c>
      <c r="W175" s="984">
        <v>88</v>
      </c>
      <c r="X175" s="984">
        <v>0</v>
      </c>
      <c r="Y175" s="984">
        <v>76</v>
      </c>
      <c r="Z175" s="984">
        <v>0</v>
      </c>
      <c r="AA175" s="984"/>
      <c r="AB175" s="984"/>
      <c r="AC175" s="984"/>
      <c r="AD175" s="984"/>
      <c r="AE175" s="984">
        <v>101</v>
      </c>
      <c r="AF175" s="984">
        <v>0</v>
      </c>
      <c r="AG175" s="984"/>
      <c r="AH175" s="984"/>
      <c r="AI175" s="984">
        <v>2</v>
      </c>
      <c r="AJ175" s="984">
        <v>0</v>
      </c>
      <c r="AK175" s="984">
        <v>1612</v>
      </c>
      <c r="AL175" s="984">
        <v>0</v>
      </c>
      <c r="AM175" s="1055">
        <f>AK175*'tecnicecon agric'!$J$57</f>
        <v>766237.33333333326</v>
      </c>
      <c r="AN175" s="1055">
        <f>AL175*'tecnicecon agric'!$J$56</f>
        <v>0</v>
      </c>
      <c r="AO175" s="1055">
        <f t="shared" si="6"/>
        <v>766237.33333333326</v>
      </c>
      <c r="AP175">
        <f>AL175*'tecnicecon agric'!$J$65+'cultius resum'!AK175</f>
        <v>1612</v>
      </c>
      <c r="AQ175" s="779">
        <f t="shared" si="7"/>
        <v>766237.33333333326</v>
      </c>
      <c r="AR175">
        <f>AN175+AL175*'tecnicecon agric'!$L$58</f>
        <v>0</v>
      </c>
      <c r="AS175">
        <f>AP175*'4. Agricultura PIB'!$K$31</f>
        <v>4584631.8523014728</v>
      </c>
      <c r="AT175">
        <f>AS175*'4. Agricultura PIB'!$D$71</f>
        <v>1347881.764576633</v>
      </c>
      <c r="AU175" s="779">
        <f t="shared" si="8"/>
        <v>6698750.9502114393</v>
      </c>
    </row>
    <row r="176" spans="1:47">
      <c r="A176" s="974" t="s">
        <v>1365</v>
      </c>
      <c r="B176" s="976">
        <v>1</v>
      </c>
      <c r="C176" s="976">
        <v>0</v>
      </c>
      <c r="D176" s="976"/>
      <c r="E176" s="976"/>
      <c r="F176" s="976"/>
      <c r="G176" s="976"/>
      <c r="H176" s="976"/>
      <c r="I176" s="976"/>
      <c r="J176" s="976"/>
      <c r="K176" s="976"/>
      <c r="L176" s="976"/>
      <c r="M176" s="976"/>
      <c r="N176" s="976"/>
      <c r="O176" s="976"/>
      <c r="P176" s="976">
        <v>1</v>
      </c>
      <c r="Q176" s="977">
        <v>0</v>
      </c>
      <c r="T176" s="983" t="s">
        <v>1513</v>
      </c>
      <c r="U176" s="984"/>
      <c r="V176" s="984"/>
      <c r="W176" s="984">
        <v>3</v>
      </c>
      <c r="X176" s="984">
        <v>0</v>
      </c>
      <c r="Y176" s="984"/>
      <c r="Z176" s="984"/>
      <c r="AA176" s="984">
        <v>0</v>
      </c>
      <c r="AB176" s="984">
        <v>16</v>
      </c>
      <c r="AC176" s="984">
        <v>0</v>
      </c>
      <c r="AD176" s="984">
        <v>15</v>
      </c>
      <c r="AE176" s="984"/>
      <c r="AF176" s="984"/>
      <c r="AG176" s="984">
        <v>0</v>
      </c>
      <c r="AH176" s="984">
        <v>1</v>
      </c>
      <c r="AI176" s="984" t="s">
        <v>752</v>
      </c>
      <c r="AJ176" s="984" t="s">
        <v>752</v>
      </c>
      <c r="AK176" s="984">
        <v>3</v>
      </c>
      <c r="AL176" s="984">
        <v>32</v>
      </c>
      <c r="AM176" s="1055">
        <f>AK176*'tecnicecon agric'!$J$57</f>
        <v>1426</v>
      </c>
      <c r="AN176" s="1055">
        <f>AL176*'tecnicecon agric'!$J$56</f>
        <v>36148</v>
      </c>
      <c r="AO176" s="1055">
        <f t="shared" si="6"/>
        <v>37574</v>
      </c>
      <c r="AP176">
        <f>AL176*'tecnicecon agric'!$J$65+'cultius resum'!AK176</f>
        <v>137.4</v>
      </c>
      <c r="AQ176" s="779">
        <f t="shared" si="7"/>
        <v>1426</v>
      </c>
      <c r="AR176">
        <f>AN176+AL176*'tecnicecon agric'!$L$58</f>
        <v>42330.61942857143</v>
      </c>
      <c r="AS176">
        <f>AP176*'4. Agricultura PIB'!$K$31</f>
        <v>390774.45192693692</v>
      </c>
      <c r="AT176">
        <f>AS176*'4. Agricultura PIB'!$D$71</f>
        <v>114887.68886651944</v>
      </c>
      <c r="AU176" s="779">
        <f t="shared" si="8"/>
        <v>549418.76022202778</v>
      </c>
    </row>
    <row r="177" spans="1:47">
      <c r="A177" s="974" t="s">
        <v>1366</v>
      </c>
      <c r="B177" s="976">
        <v>503</v>
      </c>
      <c r="C177" s="976">
        <v>0</v>
      </c>
      <c r="D177" s="976">
        <v>102</v>
      </c>
      <c r="E177" s="976">
        <v>0</v>
      </c>
      <c r="F177" s="976">
        <v>51</v>
      </c>
      <c r="G177" s="976">
        <v>0</v>
      </c>
      <c r="H177" s="976"/>
      <c r="I177" s="976"/>
      <c r="J177" s="976"/>
      <c r="K177" s="976"/>
      <c r="L177" s="976">
        <v>10</v>
      </c>
      <c r="M177" s="976">
        <v>0</v>
      </c>
      <c r="N177" s="976"/>
      <c r="O177" s="976"/>
      <c r="P177" s="976">
        <v>666</v>
      </c>
      <c r="Q177" s="977">
        <v>0</v>
      </c>
      <c r="T177" s="983" t="s">
        <v>349</v>
      </c>
      <c r="U177" s="984"/>
      <c r="V177" s="984"/>
      <c r="W177" s="984"/>
      <c r="X177" s="984"/>
      <c r="Y177" s="984"/>
      <c r="Z177" s="984"/>
      <c r="AA177" s="984">
        <v>0</v>
      </c>
      <c r="AB177" s="984">
        <v>2</v>
      </c>
      <c r="AC177" s="984">
        <v>0</v>
      </c>
      <c r="AD177" s="984">
        <v>7</v>
      </c>
      <c r="AE177" s="984"/>
      <c r="AF177" s="984"/>
      <c r="AG177" s="984">
        <v>0</v>
      </c>
      <c r="AH177" s="984">
        <v>1</v>
      </c>
      <c r="AI177" s="984" t="s">
        <v>752</v>
      </c>
      <c r="AJ177" s="984" t="s">
        <v>752</v>
      </c>
      <c r="AK177" s="984">
        <v>0</v>
      </c>
      <c r="AL177" s="984">
        <v>10</v>
      </c>
      <c r="AM177" s="1055">
        <f>AK177*'tecnicecon agric'!$J$57</f>
        <v>0</v>
      </c>
      <c r="AN177" s="1055">
        <f>AL177*'tecnicecon agric'!$J$56</f>
        <v>11296.25</v>
      </c>
      <c r="AO177" s="1055">
        <f t="shared" si="6"/>
        <v>11296.25</v>
      </c>
      <c r="AP177">
        <f>AL177*'tecnicecon agric'!$J$65+'cultius resum'!AK177</f>
        <v>42</v>
      </c>
      <c r="AQ177" s="779">
        <f t="shared" si="7"/>
        <v>0</v>
      </c>
      <c r="AR177">
        <f>AN177+AL177*'tecnicecon agric'!$L$58</f>
        <v>13228.318571428572</v>
      </c>
      <c r="AS177">
        <f>AP177*'4. Agricultura PIB'!$K$31</f>
        <v>119450.70582919469</v>
      </c>
      <c r="AT177">
        <f>AS177*'4. Agricultura PIB'!$D$71</f>
        <v>35118.507513783239</v>
      </c>
      <c r="AU177" s="779">
        <f t="shared" si="8"/>
        <v>167797.53191440649</v>
      </c>
    </row>
    <row r="178" spans="1:47">
      <c r="A178" s="974" t="s">
        <v>1368</v>
      </c>
      <c r="B178" s="976">
        <v>1396</v>
      </c>
      <c r="C178" s="976">
        <v>0</v>
      </c>
      <c r="D178" s="976">
        <v>57</v>
      </c>
      <c r="E178" s="976">
        <v>0</v>
      </c>
      <c r="F178" s="976">
        <v>296</v>
      </c>
      <c r="G178" s="976">
        <v>0</v>
      </c>
      <c r="H178" s="976"/>
      <c r="I178" s="976"/>
      <c r="J178" s="976"/>
      <c r="K178" s="976"/>
      <c r="L178" s="976">
        <v>216</v>
      </c>
      <c r="M178" s="976">
        <v>0</v>
      </c>
      <c r="N178" s="976"/>
      <c r="O178" s="976"/>
      <c r="P178" s="976">
        <v>1965</v>
      </c>
      <c r="Q178" s="977">
        <v>0</v>
      </c>
      <c r="T178" s="983" t="s">
        <v>1365</v>
      </c>
      <c r="U178" s="984">
        <v>1</v>
      </c>
      <c r="V178" s="984">
        <v>0</v>
      </c>
      <c r="W178" s="984"/>
      <c r="X178" s="984"/>
      <c r="Y178" s="984"/>
      <c r="Z178" s="984"/>
      <c r="AA178" s="984"/>
      <c r="AB178" s="984"/>
      <c r="AC178" s="984"/>
      <c r="AD178" s="984"/>
      <c r="AE178" s="984"/>
      <c r="AF178" s="984"/>
      <c r="AG178" s="984"/>
      <c r="AH178" s="984"/>
      <c r="AI178" s="984">
        <v>23</v>
      </c>
      <c r="AJ178" s="984">
        <v>3</v>
      </c>
      <c r="AK178" s="984">
        <v>1</v>
      </c>
      <c r="AL178" s="984">
        <v>0</v>
      </c>
      <c r="AM178" s="1055">
        <f>AK178*'tecnicecon agric'!$J$57</f>
        <v>475.33333333333331</v>
      </c>
      <c r="AN178" s="1055">
        <f>AL178*'tecnicecon agric'!$J$56</f>
        <v>0</v>
      </c>
      <c r="AO178" s="1055">
        <f t="shared" si="6"/>
        <v>475.33333333333331</v>
      </c>
      <c r="AP178">
        <f>AL178*'tecnicecon agric'!$J$65+'cultius resum'!AK178</f>
        <v>1</v>
      </c>
      <c r="AQ178" s="779">
        <f t="shared" si="7"/>
        <v>475.33333333333331</v>
      </c>
      <c r="AR178">
        <f>AN178+AL178*'tecnicecon agric'!$L$58</f>
        <v>0</v>
      </c>
      <c r="AS178">
        <f>AP178*'4. Agricultura PIB'!$K$31</f>
        <v>2844.0644245046356</v>
      </c>
      <c r="AT178">
        <f>AS178*'4. Agricultura PIB'!$D$71</f>
        <v>836.15494080436281</v>
      </c>
      <c r="AU178" s="779">
        <f t="shared" si="8"/>
        <v>4155.552698642332</v>
      </c>
    </row>
    <row r="179" spans="1:47">
      <c r="A179" s="974" t="s">
        <v>3760</v>
      </c>
      <c r="B179" s="976">
        <v>32</v>
      </c>
      <c r="C179" s="976">
        <v>0</v>
      </c>
      <c r="D179" s="976">
        <v>52</v>
      </c>
      <c r="E179" s="976">
        <v>0</v>
      </c>
      <c r="F179" s="976">
        <v>3</v>
      </c>
      <c r="G179" s="976">
        <v>0</v>
      </c>
      <c r="H179" s="976"/>
      <c r="I179" s="976"/>
      <c r="J179" s="976"/>
      <c r="K179" s="976"/>
      <c r="L179" s="976"/>
      <c r="M179" s="976"/>
      <c r="N179" s="976"/>
      <c r="O179" s="976"/>
      <c r="P179" s="976">
        <v>87</v>
      </c>
      <c r="Q179" s="977">
        <v>0</v>
      </c>
      <c r="T179" s="983" t="s">
        <v>1366</v>
      </c>
      <c r="U179" s="984">
        <v>503</v>
      </c>
      <c r="V179" s="984">
        <v>0</v>
      </c>
      <c r="W179" s="984">
        <v>102</v>
      </c>
      <c r="X179" s="984">
        <v>0</v>
      </c>
      <c r="Y179" s="984">
        <v>51</v>
      </c>
      <c r="Z179" s="984">
        <v>0</v>
      </c>
      <c r="AA179" s="984"/>
      <c r="AB179" s="984"/>
      <c r="AC179" s="984"/>
      <c r="AD179" s="984"/>
      <c r="AE179" s="984">
        <v>10</v>
      </c>
      <c r="AF179" s="984">
        <v>0</v>
      </c>
      <c r="AG179" s="984"/>
      <c r="AH179" s="984"/>
      <c r="AI179" s="984">
        <v>5</v>
      </c>
      <c r="AJ179" s="984">
        <v>0</v>
      </c>
      <c r="AK179" s="984">
        <v>666</v>
      </c>
      <c r="AL179" s="984">
        <v>0</v>
      </c>
      <c r="AM179" s="1055">
        <f>AK179*'tecnicecon agric'!$J$57</f>
        <v>316572</v>
      </c>
      <c r="AN179" s="1055">
        <f>AL179*'tecnicecon agric'!$J$56</f>
        <v>0</v>
      </c>
      <c r="AO179" s="1055">
        <f t="shared" si="6"/>
        <v>316572</v>
      </c>
      <c r="AP179">
        <f>AL179*'tecnicecon agric'!$J$65+'cultius resum'!AK179</f>
        <v>666</v>
      </c>
      <c r="AQ179" s="779">
        <f t="shared" si="7"/>
        <v>316572</v>
      </c>
      <c r="AR179">
        <f>AN179+AL179*'tecnicecon agric'!$L$58</f>
        <v>0</v>
      </c>
      <c r="AS179">
        <f>AP179*'4. Agricultura PIB'!$K$31</f>
        <v>1894146.9067200872</v>
      </c>
      <c r="AT179">
        <f>AS179*'4. Agricultura PIB'!$D$71</f>
        <v>556879.19057570561</v>
      </c>
      <c r="AU179" s="779">
        <f t="shared" si="8"/>
        <v>2767598.0972957928</v>
      </c>
    </row>
    <row r="180" spans="1:47">
      <c r="A180" s="974" t="s">
        <v>1375</v>
      </c>
      <c r="B180" s="976">
        <v>662</v>
      </c>
      <c r="C180" s="976">
        <v>0</v>
      </c>
      <c r="D180" s="976">
        <v>70</v>
      </c>
      <c r="E180" s="976">
        <v>0</v>
      </c>
      <c r="F180" s="976">
        <v>64</v>
      </c>
      <c r="G180" s="976">
        <v>0</v>
      </c>
      <c r="H180" s="976"/>
      <c r="I180" s="976"/>
      <c r="J180" s="976">
        <v>0</v>
      </c>
      <c r="K180" s="976">
        <v>1</v>
      </c>
      <c r="L180" s="976"/>
      <c r="M180" s="976"/>
      <c r="N180" s="976"/>
      <c r="O180" s="976"/>
      <c r="P180" s="976">
        <v>796</v>
      </c>
      <c r="Q180" s="977">
        <v>1</v>
      </c>
      <c r="T180" s="983" t="s">
        <v>1368</v>
      </c>
      <c r="U180" s="984">
        <v>1396</v>
      </c>
      <c r="V180" s="984">
        <v>0</v>
      </c>
      <c r="W180" s="984">
        <v>57</v>
      </c>
      <c r="X180" s="984">
        <v>0</v>
      </c>
      <c r="Y180" s="984">
        <v>296</v>
      </c>
      <c r="Z180" s="984">
        <v>0</v>
      </c>
      <c r="AA180" s="984"/>
      <c r="AB180" s="984"/>
      <c r="AC180" s="984"/>
      <c r="AD180" s="984"/>
      <c r="AE180" s="984">
        <v>216</v>
      </c>
      <c r="AF180" s="984">
        <v>0</v>
      </c>
      <c r="AG180" s="984"/>
      <c r="AH180" s="984"/>
      <c r="AI180" s="984" t="s">
        <v>752</v>
      </c>
      <c r="AJ180" s="984" t="s">
        <v>752</v>
      </c>
      <c r="AK180" s="984">
        <v>1965</v>
      </c>
      <c r="AL180" s="984">
        <v>0</v>
      </c>
      <c r="AM180" s="1055">
        <f>AK180*'tecnicecon agric'!$J$57</f>
        <v>934030</v>
      </c>
      <c r="AN180" s="1055">
        <f>AL180*'tecnicecon agric'!$J$56</f>
        <v>0</v>
      </c>
      <c r="AO180" s="1055">
        <f t="shared" si="6"/>
        <v>934030</v>
      </c>
      <c r="AP180">
        <f>AL180*'tecnicecon agric'!$J$65+'cultius resum'!AK180</f>
        <v>1965</v>
      </c>
      <c r="AQ180" s="779">
        <f t="shared" si="7"/>
        <v>934030</v>
      </c>
      <c r="AR180">
        <f>AN180+AL180*'tecnicecon agric'!$L$58</f>
        <v>0</v>
      </c>
      <c r="AS180">
        <f>AP180*'4. Agricultura PIB'!$K$31</f>
        <v>5588586.5941516086</v>
      </c>
      <c r="AT180">
        <f>AS180*'4. Agricultura PIB'!$D$71</f>
        <v>1643044.4586805729</v>
      </c>
      <c r="AU180" s="779">
        <f t="shared" si="8"/>
        <v>8165661.0528321816</v>
      </c>
    </row>
    <row r="181" spans="1:47">
      <c r="A181" s="974" t="s">
        <v>1377</v>
      </c>
      <c r="B181" s="976">
        <v>2</v>
      </c>
      <c r="C181" s="976">
        <v>0</v>
      </c>
      <c r="D181" s="976"/>
      <c r="E181" s="976"/>
      <c r="F181" s="976"/>
      <c r="G181" s="976"/>
      <c r="H181" s="976"/>
      <c r="I181" s="976"/>
      <c r="J181" s="976">
        <v>0</v>
      </c>
      <c r="K181" s="976">
        <v>1</v>
      </c>
      <c r="L181" s="976"/>
      <c r="M181" s="976"/>
      <c r="N181" s="976"/>
      <c r="O181" s="976"/>
      <c r="P181" s="976">
        <v>2</v>
      </c>
      <c r="Q181" s="977">
        <v>1</v>
      </c>
      <c r="T181" s="983" t="s">
        <v>1372</v>
      </c>
      <c r="U181" s="984">
        <v>32</v>
      </c>
      <c r="V181" s="984">
        <v>0</v>
      </c>
      <c r="W181" s="984">
        <v>52</v>
      </c>
      <c r="X181" s="984">
        <v>0</v>
      </c>
      <c r="Y181" s="984">
        <v>3</v>
      </c>
      <c r="Z181" s="984">
        <v>0</v>
      </c>
      <c r="AA181" s="984"/>
      <c r="AB181" s="984"/>
      <c r="AC181" s="984"/>
      <c r="AD181" s="984"/>
      <c r="AE181" s="984"/>
      <c r="AF181" s="984"/>
      <c r="AG181" s="984"/>
      <c r="AH181" s="984"/>
      <c r="AI181" s="984" t="s">
        <v>752</v>
      </c>
      <c r="AJ181" s="984" t="s">
        <v>752</v>
      </c>
      <c r="AK181" s="984">
        <v>87</v>
      </c>
      <c r="AL181" s="984">
        <v>0</v>
      </c>
      <c r="AM181" s="1055">
        <f>AK181*'tecnicecon agric'!$J$57</f>
        <v>41354</v>
      </c>
      <c r="AN181" s="1055">
        <f>AL181*'tecnicecon agric'!$J$56</f>
        <v>0</v>
      </c>
      <c r="AO181" s="1055">
        <f t="shared" si="6"/>
        <v>41354</v>
      </c>
      <c r="AP181">
        <f>AL181*'tecnicecon agric'!$J$65+'cultius resum'!AK181</f>
        <v>87</v>
      </c>
      <c r="AQ181" s="779">
        <f t="shared" si="7"/>
        <v>41354</v>
      </c>
      <c r="AR181">
        <f>AN181+AL181*'tecnicecon agric'!$L$58</f>
        <v>0</v>
      </c>
      <c r="AS181">
        <f>AP181*'4. Agricultura PIB'!$K$31</f>
        <v>247433.6049319033</v>
      </c>
      <c r="AT181">
        <f>AS181*'4. Agricultura PIB'!$D$71</f>
        <v>72745.479849979572</v>
      </c>
      <c r="AU181" s="779">
        <f t="shared" si="8"/>
        <v>361533.08478188288</v>
      </c>
    </row>
    <row r="182" spans="1:47">
      <c r="A182" s="974" t="s">
        <v>1383</v>
      </c>
      <c r="B182" s="976">
        <v>4</v>
      </c>
      <c r="C182" s="976">
        <v>0</v>
      </c>
      <c r="D182" s="976">
        <v>1</v>
      </c>
      <c r="E182" s="976">
        <v>0</v>
      </c>
      <c r="F182" s="976"/>
      <c r="G182" s="976"/>
      <c r="H182" s="976"/>
      <c r="I182" s="976"/>
      <c r="J182" s="976"/>
      <c r="K182" s="976"/>
      <c r="L182" s="976"/>
      <c r="M182" s="976"/>
      <c r="N182" s="976"/>
      <c r="O182" s="976"/>
      <c r="P182" s="976">
        <v>5</v>
      </c>
      <c r="Q182" s="977">
        <v>0</v>
      </c>
      <c r="T182" s="983" t="s">
        <v>1375</v>
      </c>
      <c r="U182" s="984">
        <v>662</v>
      </c>
      <c r="V182" s="984">
        <v>0</v>
      </c>
      <c r="W182" s="984">
        <v>70</v>
      </c>
      <c r="X182" s="984">
        <v>0</v>
      </c>
      <c r="Y182" s="984">
        <v>64</v>
      </c>
      <c r="Z182" s="984">
        <v>0</v>
      </c>
      <c r="AA182" s="984"/>
      <c r="AB182" s="984"/>
      <c r="AC182" s="984">
        <v>0</v>
      </c>
      <c r="AD182" s="984">
        <v>1</v>
      </c>
      <c r="AE182" s="984"/>
      <c r="AF182" s="984"/>
      <c r="AG182" s="984"/>
      <c r="AH182" s="984"/>
      <c r="AI182" s="984">
        <v>41</v>
      </c>
      <c r="AJ182" s="984">
        <v>8</v>
      </c>
      <c r="AK182" s="984">
        <v>796</v>
      </c>
      <c r="AL182" s="984">
        <v>1</v>
      </c>
      <c r="AM182" s="1055">
        <f>AK182*'tecnicecon agric'!$J$57</f>
        <v>378365.33333333331</v>
      </c>
      <c r="AN182" s="1055">
        <f>AL182*'tecnicecon agric'!$J$56</f>
        <v>1129.625</v>
      </c>
      <c r="AO182" s="1055">
        <f t="shared" si="6"/>
        <v>379494.95833333331</v>
      </c>
      <c r="AP182">
        <f>AL182*'tecnicecon agric'!$J$65+'cultius resum'!AK182</f>
        <v>800.2</v>
      </c>
      <c r="AQ182" s="779">
        <f t="shared" si="7"/>
        <v>378365.33333333331</v>
      </c>
      <c r="AR182">
        <f>AN182+AL182*'tecnicecon agric'!$L$58</f>
        <v>1322.8318571428572</v>
      </c>
      <c r="AS182">
        <f>AP182*'4. Agricultura PIB'!$K$31</f>
        <v>2275820.3524886095</v>
      </c>
      <c r="AT182">
        <f>AS182*'4. Agricultura PIB'!$D$71</f>
        <v>669091.1836316511</v>
      </c>
      <c r="AU182" s="779">
        <f t="shared" si="8"/>
        <v>3324599.7013107366</v>
      </c>
    </row>
    <row r="183" spans="1:47">
      <c r="A183" s="974" t="s">
        <v>3809</v>
      </c>
      <c r="B183" s="976">
        <v>235</v>
      </c>
      <c r="C183" s="976">
        <v>65</v>
      </c>
      <c r="D183" s="976">
        <v>237</v>
      </c>
      <c r="E183" s="976">
        <v>79</v>
      </c>
      <c r="F183" s="976">
        <v>6</v>
      </c>
      <c r="G183" s="976">
        <v>9</v>
      </c>
      <c r="H183" s="976">
        <v>0</v>
      </c>
      <c r="I183" s="976">
        <v>36</v>
      </c>
      <c r="J183" s="976">
        <v>2</v>
      </c>
      <c r="K183" s="976">
        <v>6</v>
      </c>
      <c r="L183" s="976">
        <v>30</v>
      </c>
      <c r="M183" s="976">
        <v>21</v>
      </c>
      <c r="N183" s="976">
        <v>0</v>
      </c>
      <c r="O183" s="976">
        <v>3</v>
      </c>
      <c r="P183" s="976">
        <v>510</v>
      </c>
      <c r="Q183" s="977">
        <v>219</v>
      </c>
      <c r="T183" s="983" t="s">
        <v>1377</v>
      </c>
      <c r="U183" s="984">
        <v>2</v>
      </c>
      <c r="V183" s="984">
        <v>0</v>
      </c>
      <c r="W183" s="984"/>
      <c r="X183" s="984"/>
      <c r="Y183" s="984"/>
      <c r="Z183" s="984"/>
      <c r="AA183" s="984"/>
      <c r="AB183" s="984"/>
      <c r="AC183" s="984">
        <v>0</v>
      </c>
      <c r="AD183" s="984">
        <v>1</v>
      </c>
      <c r="AE183" s="984"/>
      <c r="AF183" s="984"/>
      <c r="AG183" s="984"/>
      <c r="AH183" s="984"/>
      <c r="AI183" s="984">
        <v>1</v>
      </c>
      <c r="AJ183" s="984">
        <v>0</v>
      </c>
      <c r="AK183" s="984">
        <v>2</v>
      </c>
      <c r="AL183" s="984">
        <v>1</v>
      </c>
      <c r="AM183" s="1055">
        <f>AK183*'tecnicecon agric'!$J$57</f>
        <v>950.66666666666663</v>
      </c>
      <c r="AN183" s="1055">
        <f>AL183*'tecnicecon agric'!$J$56</f>
        <v>1129.625</v>
      </c>
      <c r="AO183" s="1055">
        <f t="shared" si="6"/>
        <v>2080.2916666666665</v>
      </c>
      <c r="AP183">
        <f>AL183*'tecnicecon agric'!$J$65+'cultius resum'!AK183</f>
        <v>6.2</v>
      </c>
      <c r="AQ183" s="779">
        <f t="shared" si="7"/>
        <v>950.66666666666663</v>
      </c>
      <c r="AR183">
        <f>AN183+AL183*'tecnicecon agric'!$L$58</f>
        <v>1322.8318571428572</v>
      </c>
      <c r="AS183">
        <f>AP183*'4. Agricultura PIB'!$K$31</f>
        <v>17633.199431928741</v>
      </c>
      <c r="AT183">
        <f>AS183*'4. Agricultura PIB'!$D$71</f>
        <v>5184.1606329870492</v>
      </c>
      <c r="AU183" s="779">
        <f t="shared" si="8"/>
        <v>25090.858588725314</v>
      </c>
    </row>
    <row r="184" spans="1:47">
      <c r="A184" s="974" t="s">
        <v>1390</v>
      </c>
      <c r="B184" s="976">
        <v>19</v>
      </c>
      <c r="C184" s="976">
        <v>0</v>
      </c>
      <c r="D184" s="976">
        <v>27</v>
      </c>
      <c r="E184" s="976">
        <v>0</v>
      </c>
      <c r="F184" s="976">
        <v>2</v>
      </c>
      <c r="G184" s="976">
        <v>0</v>
      </c>
      <c r="H184" s="976"/>
      <c r="I184" s="976"/>
      <c r="J184" s="976"/>
      <c r="K184" s="976"/>
      <c r="L184" s="976"/>
      <c r="M184" s="976"/>
      <c r="N184" s="976"/>
      <c r="O184" s="976"/>
      <c r="P184" s="976">
        <v>48</v>
      </c>
      <c r="Q184" s="977">
        <v>0</v>
      </c>
      <c r="T184" s="983" t="s">
        <v>1383</v>
      </c>
      <c r="U184" s="984">
        <v>4</v>
      </c>
      <c r="V184" s="984">
        <v>0</v>
      </c>
      <c r="W184" s="984">
        <v>1</v>
      </c>
      <c r="X184" s="984">
        <v>0</v>
      </c>
      <c r="Y184" s="984"/>
      <c r="Z184" s="984"/>
      <c r="AA184" s="984"/>
      <c r="AB184" s="984"/>
      <c r="AC184" s="984"/>
      <c r="AD184" s="984"/>
      <c r="AE184" s="984"/>
      <c r="AF184" s="984"/>
      <c r="AG184" s="984"/>
      <c r="AH184" s="984"/>
      <c r="AI184" s="984" t="s">
        <v>752</v>
      </c>
      <c r="AJ184" s="984" t="s">
        <v>752</v>
      </c>
      <c r="AK184" s="984">
        <v>5</v>
      </c>
      <c r="AL184" s="984">
        <v>0</v>
      </c>
      <c r="AM184" s="1055">
        <f>AK184*'tecnicecon agric'!$J$57</f>
        <v>2376.6666666666665</v>
      </c>
      <c r="AN184" s="1055">
        <f>AL184*'tecnicecon agric'!$J$56</f>
        <v>0</v>
      </c>
      <c r="AO184" s="1055">
        <f t="shared" si="6"/>
        <v>2376.6666666666665</v>
      </c>
      <c r="AP184">
        <f>AL184*'tecnicecon agric'!$J$65+'cultius resum'!AK184</f>
        <v>5</v>
      </c>
      <c r="AQ184" s="779">
        <f t="shared" si="7"/>
        <v>2376.6666666666665</v>
      </c>
      <c r="AR184">
        <f>AN184+AL184*'tecnicecon agric'!$L$58</f>
        <v>0</v>
      </c>
      <c r="AS184">
        <f>AP184*'4. Agricultura PIB'!$K$31</f>
        <v>14220.322122523177</v>
      </c>
      <c r="AT184">
        <f>AS184*'4. Agricultura PIB'!$D$71</f>
        <v>4180.7747040218137</v>
      </c>
      <c r="AU184" s="779">
        <f t="shared" si="8"/>
        <v>20777.763493211656</v>
      </c>
    </row>
    <row r="185" spans="1:47">
      <c r="A185" s="974" t="s">
        <v>1394</v>
      </c>
      <c r="B185" s="976">
        <v>170</v>
      </c>
      <c r="C185" s="976">
        <v>1</v>
      </c>
      <c r="D185" s="976">
        <v>45</v>
      </c>
      <c r="E185" s="976">
        <v>1</v>
      </c>
      <c r="F185" s="976"/>
      <c r="G185" s="976"/>
      <c r="H185" s="976">
        <v>0</v>
      </c>
      <c r="I185" s="976">
        <v>1</v>
      </c>
      <c r="J185" s="976"/>
      <c r="K185" s="976"/>
      <c r="L185" s="976">
        <v>16</v>
      </c>
      <c r="M185" s="976">
        <v>0</v>
      </c>
      <c r="N185" s="976"/>
      <c r="O185" s="976"/>
      <c r="P185" s="976">
        <v>231</v>
      </c>
      <c r="Q185" s="977">
        <v>3</v>
      </c>
      <c r="T185" s="983" t="s">
        <v>1384</v>
      </c>
      <c r="U185" s="984">
        <v>235</v>
      </c>
      <c r="V185" s="984">
        <v>65</v>
      </c>
      <c r="W185" s="984">
        <v>237</v>
      </c>
      <c r="X185" s="984">
        <v>79</v>
      </c>
      <c r="Y185" s="984">
        <v>6</v>
      </c>
      <c r="Z185" s="984">
        <v>9</v>
      </c>
      <c r="AA185" s="984">
        <v>0</v>
      </c>
      <c r="AB185" s="984">
        <v>36</v>
      </c>
      <c r="AC185" s="984">
        <v>2</v>
      </c>
      <c r="AD185" s="984">
        <v>6</v>
      </c>
      <c r="AE185" s="984">
        <v>30</v>
      </c>
      <c r="AF185" s="984">
        <v>21</v>
      </c>
      <c r="AG185" s="984">
        <v>0</v>
      </c>
      <c r="AH185" s="984">
        <v>3</v>
      </c>
      <c r="AI185" s="984">
        <v>41</v>
      </c>
      <c r="AJ185" s="984">
        <v>1</v>
      </c>
      <c r="AK185" s="984">
        <v>510</v>
      </c>
      <c r="AL185" s="984">
        <v>219</v>
      </c>
      <c r="AM185" s="1055">
        <f>AK185*'tecnicecon agric'!$J$57</f>
        <v>242420</v>
      </c>
      <c r="AN185" s="1055">
        <f>AL185*'tecnicecon agric'!$J$56</f>
        <v>247387.875</v>
      </c>
      <c r="AO185" s="1055">
        <f t="shared" si="6"/>
        <v>489807.875</v>
      </c>
      <c r="AP185">
        <f>AL185*'tecnicecon agric'!$J$65+'cultius resum'!AK185</f>
        <v>1429.8000000000002</v>
      </c>
      <c r="AQ185" s="779">
        <f t="shared" si="7"/>
        <v>242420</v>
      </c>
      <c r="AR185">
        <f>AN185+AL185*'tecnicecon agric'!$L$58</f>
        <v>289700.17671428574</v>
      </c>
      <c r="AS185">
        <f>AP185*'4. Agricultura PIB'!$K$31</f>
        <v>4066443.3141567283</v>
      </c>
      <c r="AT185">
        <f>AS185*'4. Agricultura PIB'!$D$71</f>
        <v>1195534.334362078</v>
      </c>
      <c r="AU185" s="779">
        <f t="shared" si="8"/>
        <v>5794097.8252330925</v>
      </c>
    </row>
    <row r="186" spans="1:47">
      <c r="A186" s="974" t="s">
        <v>1399</v>
      </c>
      <c r="B186" s="976">
        <v>610</v>
      </c>
      <c r="C186" s="976">
        <v>12</v>
      </c>
      <c r="D186" s="976">
        <v>105</v>
      </c>
      <c r="E186" s="976">
        <v>0</v>
      </c>
      <c r="F186" s="976">
        <v>83</v>
      </c>
      <c r="G186" s="976">
        <v>0</v>
      </c>
      <c r="H186" s="976"/>
      <c r="I186" s="976"/>
      <c r="J186" s="976">
        <v>0</v>
      </c>
      <c r="K186" s="976">
        <v>5</v>
      </c>
      <c r="L186" s="976">
        <v>45</v>
      </c>
      <c r="M186" s="976">
        <v>0</v>
      </c>
      <c r="N186" s="976">
        <v>1</v>
      </c>
      <c r="O186" s="976">
        <v>0</v>
      </c>
      <c r="P186" s="976">
        <v>844</v>
      </c>
      <c r="Q186" s="977">
        <v>17</v>
      </c>
      <c r="T186" s="983" t="s">
        <v>1390</v>
      </c>
      <c r="U186" s="984">
        <v>19</v>
      </c>
      <c r="V186" s="984">
        <v>0</v>
      </c>
      <c r="W186" s="984">
        <v>27</v>
      </c>
      <c r="X186" s="984">
        <v>0</v>
      </c>
      <c r="Y186" s="984">
        <v>2</v>
      </c>
      <c r="Z186" s="984">
        <v>0</v>
      </c>
      <c r="AA186" s="984"/>
      <c r="AB186" s="984"/>
      <c r="AC186" s="984"/>
      <c r="AD186" s="984"/>
      <c r="AE186" s="984"/>
      <c r="AF186" s="984"/>
      <c r="AG186" s="984"/>
      <c r="AH186" s="984"/>
      <c r="AI186" s="984" t="s">
        <v>752</v>
      </c>
      <c r="AJ186" s="984" t="s">
        <v>752</v>
      </c>
      <c r="AK186" s="984">
        <v>48</v>
      </c>
      <c r="AL186" s="984">
        <v>0</v>
      </c>
      <c r="AM186" s="1055">
        <f>AK186*'tecnicecon agric'!$J$57</f>
        <v>22816</v>
      </c>
      <c r="AN186" s="1055">
        <f>AL186*'tecnicecon agric'!$J$56</f>
        <v>0</v>
      </c>
      <c r="AO186" s="1055">
        <f t="shared" si="6"/>
        <v>22816</v>
      </c>
      <c r="AP186">
        <f>AL186*'tecnicecon agric'!$J$65+'cultius resum'!AK186</f>
        <v>48</v>
      </c>
      <c r="AQ186" s="779">
        <f t="shared" si="7"/>
        <v>22816</v>
      </c>
      <c r="AR186">
        <f>AN186+AL186*'tecnicecon agric'!$L$58</f>
        <v>0</v>
      </c>
      <c r="AS186">
        <f>AP186*'4. Agricultura PIB'!$K$31</f>
        <v>136515.09237622251</v>
      </c>
      <c r="AT186">
        <f>AS186*'4. Agricultura PIB'!$D$71</f>
        <v>40135.43715860942</v>
      </c>
      <c r="AU186" s="779">
        <f t="shared" si="8"/>
        <v>199466.52953483193</v>
      </c>
    </row>
    <row r="187" spans="1:47">
      <c r="A187" s="974" t="s">
        <v>1742</v>
      </c>
      <c r="B187" s="976">
        <v>1</v>
      </c>
      <c r="C187" s="976">
        <v>0</v>
      </c>
      <c r="D187" s="976">
        <v>265</v>
      </c>
      <c r="E187" s="976">
        <v>0</v>
      </c>
      <c r="F187" s="976"/>
      <c r="G187" s="976"/>
      <c r="H187" s="976"/>
      <c r="I187" s="976"/>
      <c r="J187" s="976"/>
      <c r="K187" s="976"/>
      <c r="L187" s="976"/>
      <c r="M187" s="976"/>
      <c r="N187" s="976"/>
      <c r="O187" s="976"/>
      <c r="P187" s="976">
        <v>266</v>
      </c>
      <c r="Q187" s="977">
        <v>0</v>
      </c>
      <c r="T187" s="983" t="s">
        <v>1394</v>
      </c>
      <c r="U187" s="984">
        <v>170</v>
      </c>
      <c r="V187" s="984">
        <v>1</v>
      </c>
      <c r="W187" s="984">
        <v>45</v>
      </c>
      <c r="X187" s="984">
        <v>1</v>
      </c>
      <c r="Y187" s="984"/>
      <c r="Z187" s="984"/>
      <c r="AA187" s="984">
        <v>0</v>
      </c>
      <c r="AB187" s="984">
        <v>1</v>
      </c>
      <c r="AC187" s="984"/>
      <c r="AD187" s="984"/>
      <c r="AE187" s="984">
        <v>16</v>
      </c>
      <c r="AF187" s="984">
        <v>0</v>
      </c>
      <c r="AG187" s="984"/>
      <c r="AH187" s="984"/>
      <c r="AI187" s="984">
        <v>30</v>
      </c>
      <c r="AJ187" s="984">
        <v>3</v>
      </c>
      <c r="AK187" s="984">
        <v>231</v>
      </c>
      <c r="AL187" s="984">
        <v>3</v>
      </c>
      <c r="AM187" s="1055">
        <f>AK187*'tecnicecon agric'!$J$57</f>
        <v>109802</v>
      </c>
      <c r="AN187" s="1055">
        <f>AL187*'tecnicecon agric'!$J$56</f>
        <v>3388.875</v>
      </c>
      <c r="AO187" s="1055">
        <f t="shared" si="6"/>
        <v>113190.875</v>
      </c>
      <c r="AP187">
        <f>AL187*'tecnicecon agric'!$J$65+'cultius resum'!AK187</f>
        <v>243.6</v>
      </c>
      <c r="AQ187" s="779">
        <f t="shared" si="7"/>
        <v>109802</v>
      </c>
      <c r="AR187">
        <f>AN187+AL187*'tecnicecon agric'!$L$58</f>
        <v>3968.4955714285716</v>
      </c>
      <c r="AS187">
        <f>AP187*'4. Agricultura PIB'!$K$31</f>
        <v>692814.09380932921</v>
      </c>
      <c r="AT187">
        <f>AS187*'4. Agricultura PIB'!$D$71</f>
        <v>203687.34357994277</v>
      </c>
      <c r="AU187" s="779">
        <f t="shared" si="8"/>
        <v>1010271.9329607005</v>
      </c>
    </row>
    <row r="188" spans="1:47">
      <c r="A188" s="974" t="s">
        <v>947</v>
      </c>
      <c r="B188" s="976">
        <v>339</v>
      </c>
      <c r="C188" s="976">
        <v>5</v>
      </c>
      <c r="D188" s="976">
        <v>91</v>
      </c>
      <c r="E188" s="976">
        <v>3</v>
      </c>
      <c r="F188" s="976">
        <v>28</v>
      </c>
      <c r="G188" s="976">
        <v>0</v>
      </c>
      <c r="H188" s="976"/>
      <c r="I188" s="976"/>
      <c r="J188" s="976">
        <v>0</v>
      </c>
      <c r="K188" s="976">
        <v>7</v>
      </c>
      <c r="L188" s="976">
        <v>4</v>
      </c>
      <c r="M188" s="976">
        <v>0</v>
      </c>
      <c r="N188" s="976"/>
      <c r="O188" s="976"/>
      <c r="P188" s="976">
        <v>462</v>
      </c>
      <c r="Q188" s="977">
        <v>15</v>
      </c>
      <c r="T188" s="983" t="s">
        <v>1399</v>
      </c>
      <c r="U188" s="984">
        <v>610</v>
      </c>
      <c r="V188" s="984">
        <v>12</v>
      </c>
      <c r="W188" s="984">
        <v>105</v>
      </c>
      <c r="X188" s="984">
        <v>0</v>
      </c>
      <c r="Y188" s="984">
        <v>83</v>
      </c>
      <c r="Z188" s="984">
        <v>0</v>
      </c>
      <c r="AA188" s="984"/>
      <c r="AB188" s="984"/>
      <c r="AC188" s="984">
        <v>0</v>
      </c>
      <c r="AD188" s="984">
        <v>5</v>
      </c>
      <c r="AE188" s="984">
        <v>45</v>
      </c>
      <c r="AF188" s="984">
        <v>0</v>
      </c>
      <c r="AG188" s="984">
        <v>1</v>
      </c>
      <c r="AH188" s="984">
        <v>0</v>
      </c>
      <c r="AI188" s="984">
        <v>18</v>
      </c>
      <c r="AJ188" s="984">
        <v>0</v>
      </c>
      <c r="AK188" s="984">
        <v>844</v>
      </c>
      <c r="AL188" s="984">
        <v>17</v>
      </c>
      <c r="AM188" s="1055">
        <f>AK188*'tecnicecon agric'!$J$57</f>
        <v>401181.33333333331</v>
      </c>
      <c r="AN188" s="1055">
        <f>AL188*'tecnicecon agric'!$J$56</f>
        <v>19203.625</v>
      </c>
      <c r="AO188" s="1055">
        <f t="shared" si="6"/>
        <v>420384.95833333331</v>
      </c>
      <c r="AP188">
        <f>AL188*'tecnicecon agric'!$J$65+'cultius resum'!AK188</f>
        <v>915.4</v>
      </c>
      <c r="AQ188" s="779">
        <f t="shared" si="7"/>
        <v>401181.33333333331</v>
      </c>
      <c r="AR188">
        <f>AN188+AL188*'tecnicecon agric'!$L$58</f>
        <v>22488.141571428572</v>
      </c>
      <c r="AS188">
        <f>AP188*'4. Agricultura PIB'!$K$31</f>
        <v>2603456.5741915433</v>
      </c>
      <c r="AT188">
        <f>AS188*'4. Agricultura PIB'!$D$71</f>
        <v>765416.23281231371</v>
      </c>
      <c r="AU188" s="779">
        <f t="shared" si="8"/>
        <v>3792542.2819086188</v>
      </c>
    </row>
    <row r="189" spans="1:47">
      <c r="A189" s="974" t="s">
        <v>1409</v>
      </c>
      <c r="B189" s="976">
        <v>570</v>
      </c>
      <c r="C189" s="976">
        <v>0</v>
      </c>
      <c r="D189" s="976">
        <v>280</v>
      </c>
      <c r="E189" s="976">
        <v>0</v>
      </c>
      <c r="F189" s="976">
        <v>72</v>
      </c>
      <c r="G189" s="976">
        <v>0</v>
      </c>
      <c r="H189" s="976"/>
      <c r="I189" s="976"/>
      <c r="J189" s="976"/>
      <c r="K189" s="976"/>
      <c r="L189" s="976">
        <v>6</v>
      </c>
      <c r="M189" s="976">
        <v>0</v>
      </c>
      <c r="N189" s="976"/>
      <c r="O189" s="976"/>
      <c r="P189" s="976">
        <v>928</v>
      </c>
      <c r="Q189" s="977">
        <v>0</v>
      </c>
      <c r="T189" s="983" t="s">
        <v>1742</v>
      </c>
      <c r="U189" s="984">
        <v>1</v>
      </c>
      <c r="V189" s="984">
        <v>0</v>
      </c>
      <c r="W189" s="984">
        <v>265</v>
      </c>
      <c r="X189" s="984">
        <v>0</v>
      </c>
      <c r="Y189" s="984"/>
      <c r="Z189" s="984"/>
      <c r="AA189" s="984"/>
      <c r="AB189" s="984"/>
      <c r="AC189" s="984"/>
      <c r="AD189" s="984"/>
      <c r="AE189" s="984"/>
      <c r="AF189" s="984"/>
      <c r="AG189" s="984"/>
      <c r="AH189" s="984"/>
      <c r="AI189" s="984" t="s">
        <v>752</v>
      </c>
      <c r="AJ189" s="984" t="s">
        <v>752</v>
      </c>
      <c r="AK189" s="984">
        <v>266</v>
      </c>
      <c r="AL189" s="984">
        <v>0</v>
      </c>
      <c r="AM189" s="1055">
        <f>AK189*'tecnicecon agric'!$J$57</f>
        <v>126438.66666666666</v>
      </c>
      <c r="AN189" s="1055">
        <f>AL189*'tecnicecon agric'!$J$56</f>
        <v>0</v>
      </c>
      <c r="AO189" s="1055">
        <f t="shared" si="6"/>
        <v>126438.66666666666</v>
      </c>
      <c r="AP189">
        <f>AL189*'tecnicecon agric'!$J$65+'cultius resum'!AK189</f>
        <v>266</v>
      </c>
      <c r="AQ189" s="779">
        <f t="shared" si="7"/>
        <v>126438.66666666666</v>
      </c>
      <c r="AR189">
        <f>AN189+AL189*'tecnicecon agric'!$L$58</f>
        <v>0</v>
      </c>
      <c r="AS189">
        <f>AP189*'4. Agricultura PIB'!$K$31</f>
        <v>756521.13691823301</v>
      </c>
      <c r="AT189">
        <f>AS189*'4. Agricultura PIB'!$D$71</f>
        <v>222417.2142539605</v>
      </c>
      <c r="AU189" s="779">
        <f t="shared" si="8"/>
        <v>1105377.0178388602</v>
      </c>
    </row>
    <row r="190" spans="1:47">
      <c r="A190" s="974" t="s">
        <v>1413</v>
      </c>
      <c r="B190" s="976"/>
      <c r="C190" s="976"/>
      <c r="D190" s="976">
        <v>10</v>
      </c>
      <c r="E190" s="976">
        <v>0</v>
      </c>
      <c r="F190" s="976"/>
      <c r="G190" s="976"/>
      <c r="H190" s="976"/>
      <c r="I190" s="976"/>
      <c r="J190" s="976"/>
      <c r="K190" s="976"/>
      <c r="L190" s="976"/>
      <c r="M190" s="976"/>
      <c r="N190" s="976"/>
      <c r="O190" s="976"/>
      <c r="P190" s="976">
        <v>10</v>
      </c>
      <c r="Q190" s="977">
        <v>0</v>
      </c>
      <c r="T190" s="983" t="s">
        <v>947</v>
      </c>
      <c r="U190" s="984">
        <v>339</v>
      </c>
      <c r="V190" s="984">
        <v>5</v>
      </c>
      <c r="W190" s="984">
        <v>91</v>
      </c>
      <c r="X190" s="984">
        <v>3</v>
      </c>
      <c r="Y190" s="984">
        <v>28</v>
      </c>
      <c r="Z190" s="984">
        <v>0</v>
      </c>
      <c r="AA190" s="984"/>
      <c r="AB190" s="984"/>
      <c r="AC190" s="984">
        <v>0</v>
      </c>
      <c r="AD190" s="984">
        <v>7</v>
      </c>
      <c r="AE190" s="984">
        <v>4</v>
      </c>
      <c r="AF190" s="984">
        <v>0</v>
      </c>
      <c r="AG190" s="984"/>
      <c r="AH190" s="984"/>
      <c r="AI190" s="984">
        <v>7</v>
      </c>
      <c r="AJ190" s="984">
        <v>0</v>
      </c>
      <c r="AK190" s="984">
        <v>462</v>
      </c>
      <c r="AL190" s="984">
        <v>15</v>
      </c>
      <c r="AM190" s="1055">
        <f>AK190*'tecnicecon agric'!$J$57</f>
        <v>219604</v>
      </c>
      <c r="AN190" s="1055">
        <f>AL190*'tecnicecon agric'!$J$56</f>
        <v>16944.375</v>
      </c>
      <c r="AO190" s="1055">
        <f t="shared" si="6"/>
        <v>236548.375</v>
      </c>
      <c r="AP190">
        <f>AL190*'tecnicecon agric'!$J$65+'cultius resum'!AK190</f>
        <v>525</v>
      </c>
      <c r="AQ190" s="779">
        <f t="shared" si="7"/>
        <v>219604</v>
      </c>
      <c r="AR190">
        <f>AN190+AL190*'tecnicecon agric'!$L$58</f>
        <v>19842.477857142858</v>
      </c>
      <c r="AS190">
        <f>AP190*'4. Agricultura PIB'!$K$31</f>
        <v>1493133.8228649336</v>
      </c>
      <c r="AT190">
        <f>AS190*'4. Agricultura PIB'!$D$71</f>
        <v>438981.34392229049</v>
      </c>
      <c r="AU190" s="779">
        <f t="shared" si="8"/>
        <v>2171561.644644367</v>
      </c>
    </row>
    <row r="191" spans="1:47">
      <c r="A191" s="974" t="s">
        <v>1416</v>
      </c>
      <c r="B191" s="976">
        <v>1430</v>
      </c>
      <c r="C191" s="976">
        <v>5</v>
      </c>
      <c r="D191" s="976">
        <v>192</v>
      </c>
      <c r="E191" s="976">
        <v>9</v>
      </c>
      <c r="F191" s="976">
        <v>43</v>
      </c>
      <c r="G191" s="976">
        <v>0</v>
      </c>
      <c r="H191" s="976"/>
      <c r="I191" s="976"/>
      <c r="J191" s="976">
        <v>0</v>
      </c>
      <c r="K191" s="976">
        <v>9</v>
      </c>
      <c r="L191" s="976">
        <v>30</v>
      </c>
      <c r="M191" s="976">
        <v>1</v>
      </c>
      <c r="N191" s="976">
        <v>0</v>
      </c>
      <c r="O191" s="976">
        <v>1</v>
      </c>
      <c r="P191" s="976">
        <v>1695</v>
      </c>
      <c r="Q191" s="977">
        <v>25</v>
      </c>
      <c r="T191" s="983" t="s">
        <v>1409</v>
      </c>
      <c r="U191" s="984">
        <v>570</v>
      </c>
      <c r="V191" s="984">
        <v>0</v>
      </c>
      <c r="W191" s="984">
        <v>280</v>
      </c>
      <c r="X191" s="984">
        <v>0</v>
      </c>
      <c r="Y191" s="984">
        <v>72</v>
      </c>
      <c r="Z191" s="984">
        <v>0</v>
      </c>
      <c r="AA191" s="984"/>
      <c r="AB191" s="984"/>
      <c r="AC191" s="984"/>
      <c r="AD191" s="984"/>
      <c r="AE191" s="984">
        <v>6</v>
      </c>
      <c r="AF191" s="984">
        <v>0</v>
      </c>
      <c r="AG191" s="984"/>
      <c r="AH191" s="984"/>
      <c r="AI191" s="984" t="s">
        <v>752</v>
      </c>
      <c r="AJ191" s="984" t="s">
        <v>752</v>
      </c>
      <c r="AK191" s="984">
        <v>928</v>
      </c>
      <c r="AL191" s="984">
        <v>0</v>
      </c>
      <c r="AM191" s="1055">
        <f>AK191*'tecnicecon agric'!$J$57</f>
        <v>441109.33333333331</v>
      </c>
      <c r="AN191" s="1055">
        <f>AL191*'tecnicecon agric'!$J$56</f>
        <v>0</v>
      </c>
      <c r="AO191" s="1055">
        <f t="shared" si="6"/>
        <v>441109.33333333331</v>
      </c>
      <c r="AP191">
        <f>AL191*'tecnicecon agric'!$J$65+'cultius resum'!AK191</f>
        <v>928</v>
      </c>
      <c r="AQ191" s="779">
        <f t="shared" si="7"/>
        <v>441109.33333333331</v>
      </c>
      <c r="AR191">
        <f>AN191+AL191*'tecnicecon agric'!$L$58</f>
        <v>0</v>
      </c>
      <c r="AS191">
        <f>AP191*'4. Agricultura PIB'!$K$31</f>
        <v>2639291.7859403016</v>
      </c>
      <c r="AT191">
        <f>AS191*'4. Agricultura PIB'!$D$71</f>
        <v>775951.78506644862</v>
      </c>
      <c r="AU191" s="779">
        <f t="shared" si="8"/>
        <v>3856352.9043400837</v>
      </c>
    </row>
    <row r="192" spans="1:47">
      <c r="A192" s="974" t="s">
        <v>1424</v>
      </c>
      <c r="B192" s="976">
        <v>122</v>
      </c>
      <c r="C192" s="976">
        <v>0</v>
      </c>
      <c r="D192" s="976">
        <v>143</v>
      </c>
      <c r="E192" s="976">
        <v>0</v>
      </c>
      <c r="F192" s="976">
        <v>14</v>
      </c>
      <c r="G192" s="976">
        <v>0</v>
      </c>
      <c r="H192" s="976"/>
      <c r="I192" s="976"/>
      <c r="J192" s="976"/>
      <c r="K192" s="976"/>
      <c r="L192" s="976"/>
      <c r="M192" s="976"/>
      <c r="N192" s="976"/>
      <c r="O192" s="976"/>
      <c r="P192" s="976">
        <v>279</v>
      </c>
      <c r="Q192" s="977">
        <v>0</v>
      </c>
      <c r="T192" s="983" t="s">
        <v>1413</v>
      </c>
      <c r="U192" s="984"/>
      <c r="V192" s="984"/>
      <c r="W192" s="984">
        <v>10</v>
      </c>
      <c r="X192" s="984">
        <v>0</v>
      </c>
      <c r="Y192" s="984"/>
      <c r="Z192" s="984"/>
      <c r="AA192" s="984"/>
      <c r="AB192" s="984"/>
      <c r="AC192" s="984"/>
      <c r="AD192" s="984"/>
      <c r="AE192" s="984"/>
      <c r="AF192" s="984"/>
      <c r="AG192" s="984"/>
      <c r="AH192" s="984"/>
      <c r="AI192" s="984" t="s">
        <v>752</v>
      </c>
      <c r="AJ192" s="984" t="s">
        <v>752</v>
      </c>
      <c r="AK192" s="984">
        <v>10</v>
      </c>
      <c r="AL192" s="984">
        <v>0</v>
      </c>
      <c r="AM192" s="1055">
        <f>AK192*'tecnicecon agric'!$J$57</f>
        <v>4753.333333333333</v>
      </c>
      <c r="AN192" s="1055">
        <f>AL192*'tecnicecon agric'!$J$56</f>
        <v>0</v>
      </c>
      <c r="AO192" s="1055">
        <f t="shared" si="6"/>
        <v>4753.333333333333</v>
      </c>
      <c r="AP192">
        <f>AL192*'tecnicecon agric'!$J$65+'cultius resum'!AK192</f>
        <v>10</v>
      </c>
      <c r="AQ192" s="779">
        <f t="shared" si="7"/>
        <v>4753.333333333333</v>
      </c>
      <c r="AR192">
        <f>AN192+AL192*'tecnicecon agric'!$L$58</f>
        <v>0</v>
      </c>
      <c r="AS192">
        <f>AP192*'4. Agricultura PIB'!$K$31</f>
        <v>28440.644245046355</v>
      </c>
      <c r="AT192">
        <f>AS192*'4. Agricultura PIB'!$D$71</f>
        <v>8361.5494080436274</v>
      </c>
      <c r="AU192" s="779">
        <f t="shared" si="8"/>
        <v>41555.526986423312</v>
      </c>
    </row>
    <row r="193" spans="1:47">
      <c r="A193" s="974" t="s">
        <v>351</v>
      </c>
      <c r="B193" s="976"/>
      <c r="C193" s="976"/>
      <c r="D193" s="976"/>
      <c r="E193" s="976"/>
      <c r="F193" s="976"/>
      <c r="G193" s="976"/>
      <c r="H193" s="976">
        <v>0</v>
      </c>
      <c r="I193" s="976">
        <v>24</v>
      </c>
      <c r="J193" s="976">
        <v>0</v>
      </c>
      <c r="K193" s="976">
        <v>31</v>
      </c>
      <c r="L193" s="976">
        <v>0</v>
      </c>
      <c r="M193" s="976">
        <v>2</v>
      </c>
      <c r="N193" s="976">
        <v>0</v>
      </c>
      <c r="O193" s="976">
        <v>2</v>
      </c>
      <c r="P193" s="976">
        <v>0</v>
      </c>
      <c r="Q193" s="977">
        <v>59</v>
      </c>
      <c r="T193" s="983" t="s">
        <v>1416</v>
      </c>
      <c r="U193" s="984">
        <v>1430</v>
      </c>
      <c r="V193" s="984">
        <v>5</v>
      </c>
      <c r="W193" s="984">
        <v>192</v>
      </c>
      <c r="X193" s="984">
        <v>9</v>
      </c>
      <c r="Y193" s="984">
        <v>43</v>
      </c>
      <c r="Z193" s="984">
        <v>0</v>
      </c>
      <c r="AA193" s="984"/>
      <c r="AB193" s="984"/>
      <c r="AC193" s="984">
        <v>0</v>
      </c>
      <c r="AD193" s="984">
        <v>9</v>
      </c>
      <c r="AE193" s="984">
        <v>30</v>
      </c>
      <c r="AF193" s="984">
        <v>1</v>
      </c>
      <c r="AG193" s="984">
        <v>0</v>
      </c>
      <c r="AH193" s="984">
        <v>1</v>
      </c>
      <c r="AI193" s="984">
        <v>17</v>
      </c>
      <c r="AJ193" s="984">
        <v>2</v>
      </c>
      <c r="AK193" s="984">
        <v>1695</v>
      </c>
      <c r="AL193" s="984">
        <v>25</v>
      </c>
      <c r="AM193" s="1055">
        <f>AK193*'tecnicecon agric'!$J$57</f>
        <v>805690</v>
      </c>
      <c r="AN193" s="1055">
        <f>AL193*'tecnicecon agric'!$J$56</f>
        <v>28240.625</v>
      </c>
      <c r="AO193" s="1055">
        <f t="shared" si="6"/>
        <v>833930.625</v>
      </c>
      <c r="AP193">
        <f>AL193*'tecnicecon agric'!$J$65+'cultius resum'!AK193</f>
        <v>1800</v>
      </c>
      <c r="AQ193" s="779">
        <f t="shared" si="7"/>
        <v>805690</v>
      </c>
      <c r="AR193">
        <f>AN193+AL193*'tecnicecon agric'!$L$58</f>
        <v>33070.796428571426</v>
      </c>
      <c r="AS193">
        <f>AP193*'4. Agricultura PIB'!$K$31</f>
        <v>5119315.9641083442</v>
      </c>
      <c r="AT193">
        <f>AS193*'4. Agricultura PIB'!$D$71</f>
        <v>1505078.8934478532</v>
      </c>
      <c r="AU193" s="779">
        <f t="shared" si="8"/>
        <v>7463155.6539847683</v>
      </c>
    </row>
    <row r="194" spans="1:47">
      <c r="A194" s="974" t="s">
        <v>1429</v>
      </c>
      <c r="B194" s="976">
        <v>234</v>
      </c>
      <c r="C194" s="976">
        <v>56</v>
      </c>
      <c r="D194" s="976">
        <v>170</v>
      </c>
      <c r="E194" s="976">
        <v>48</v>
      </c>
      <c r="F194" s="976">
        <v>8</v>
      </c>
      <c r="G194" s="976">
        <v>6</v>
      </c>
      <c r="H194" s="976"/>
      <c r="I194" s="976"/>
      <c r="J194" s="976">
        <v>0</v>
      </c>
      <c r="K194" s="976">
        <v>1</v>
      </c>
      <c r="L194" s="976">
        <v>4</v>
      </c>
      <c r="M194" s="976">
        <v>0</v>
      </c>
      <c r="N194" s="976"/>
      <c r="O194" s="976"/>
      <c r="P194" s="976">
        <v>416</v>
      </c>
      <c r="Q194" s="977">
        <v>111</v>
      </c>
      <c r="T194" s="983" t="s">
        <v>1424</v>
      </c>
      <c r="U194" s="984">
        <v>122</v>
      </c>
      <c r="V194" s="984">
        <v>0</v>
      </c>
      <c r="W194" s="984">
        <v>143</v>
      </c>
      <c r="X194" s="984">
        <v>0</v>
      </c>
      <c r="Y194" s="984">
        <v>14</v>
      </c>
      <c r="Z194" s="984">
        <v>0</v>
      </c>
      <c r="AA194" s="984"/>
      <c r="AB194" s="984"/>
      <c r="AC194" s="984"/>
      <c r="AD194" s="984"/>
      <c r="AE194" s="984"/>
      <c r="AF194" s="984"/>
      <c r="AG194" s="984"/>
      <c r="AH194" s="984"/>
      <c r="AI194" s="984" t="s">
        <v>752</v>
      </c>
      <c r="AJ194" s="984" t="s">
        <v>752</v>
      </c>
      <c r="AK194" s="984">
        <v>279</v>
      </c>
      <c r="AL194" s="984">
        <v>0</v>
      </c>
      <c r="AM194" s="1055">
        <f>AK194*'tecnicecon agric'!$J$57</f>
        <v>132618</v>
      </c>
      <c r="AN194" s="1055">
        <f>AL194*'tecnicecon agric'!$J$56</f>
        <v>0</v>
      </c>
      <c r="AO194" s="1055">
        <f t="shared" si="6"/>
        <v>132618</v>
      </c>
      <c r="AP194">
        <f>AL194*'tecnicecon agric'!$J$65+'cultius resum'!AK194</f>
        <v>279</v>
      </c>
      <c r="AQ194" s="779">
        <f t="shared" si="7"/>
        <v>132618</v>
      </c>
      <c r="AR194">
        <f>AN194+AL194*'tecnicecon agric'!$L$58</f>
        <v>0</v>
      </c>
      <c r="AS194">
        <f>AP194*'4. Agricultura PIB'!$K$31</f>
        <v>793493.97443679336</v>
      </c>
      <c r="AT194">
        <f>AS194*'4. Agricultura PIB'!$D$71</f>
        <v>233287.22848441722</v>
      </c>
      <c r="AU194" s="779">
        <f t="shared" si="8"/>
        <v>1159399.2029212106</v>
      </c>
    </row>
    <row r="195" spans="1:47">
      <c r="A195" s="974" t="s">
        <v>1431</v>
      </c>
      <c r="B195" s="976">
        <v>364</v>
      </c>
      <c r="C195" s="976">
        <v>11</v>
      </c>
      <c r="D195" s="976">
        <v>430</v>
      </c>
      <c r="E195" s="976">
        <v>15</v>
      </c>
      <c r="F195" s="976"/>
      <c r="G195" s="976"/>
      <c r="H195" s="976"/>
      <c r="I195" s="976"/>
      <c r="J195" s="976"/>
      <c r="K195" s="976"/>
      <c r="L195" s="976">
        <v>18</v>
      </c>
      <c r="M195" s="976">
        <v>0</v>
      </c>
      <c r="N195" s="976"/>
      <c r="O195" s="976"/>
      <c r="P195" s="976">
        <v>812</v>
      </c>
      <c r="Q195" s="977">
        <v>26</v>
      </c>
      <c r="T195" s="983" t="s">
        <v>351</v>
      </c>
      <c r="U195" s="984"/>
      <c r="V195" s="984"/>
      <c r="W195" s="984"/>
      <c r="X195" s="984"/>
      <c r="Y195" s="984"/>
      <c r="Z195" s="984"/>
      <c r="AA195" s="984">
        <v>0</v>
      </c>
      <c r="AB195" s="984">
        <v>24</v>
      </c>
      <c r="AC195" s="984">
        <v>0</v>
      </c>
      <c r="AD195" s="984">
        <v>31</v>
      </c>
      <c r="AE195" s="984">
        <v>0</v>
      </c>
      <c r="AF195" s="984">
        <v>2</v>
      </c>
      <c r="AG195" s="984">
        <v>0</v>
      </c>
      <c r="AH195" s="984">
        <v>2</v>
      </c>
      <c r="AI195" s="984">
        <v>2</v>
      </c>
      <c r="AJ195" s="984">
        <v>2</v>
      </c>
      <c r="AK195" s="984">
        <v>0</v>
      </c>
      <c r="AL195" s="984">
        <v>59</v>
      </c>
      <c r="AM195" s="1055">
        <f>AK195*'tecnicecon agric'!$J$57</f>
        <v>0</v>
      </c>
      <c r="AN195" s="1055">
        <f>AL195*'tecnicecon agric'!$J$56</f>
        <v>66647.875</v>
      </c>
      <c r="AO195" s="1055">
        <f t="shared" si="6"/>
        <v>66647.875</v>
      </c>
      <c r="AP195">
        <f>AL195*'tecnicecon agric'!$J$65+'cultius resum'!AK195</f>
        <v>247.8</v>
      </c>
      <c r="AQ195" s="779">
        <f t="shared" si="7"/>
        <v>0</v>
      </c>
      <c r="AR195">
        <f>AN195+AL195*'tecnicecon agric'!$L$58</f>
        <v>78047.079571428578</v>
      </c>
      <c r="AS195">
        <f>AP195*'4. Agricultura PIB'!$K$31</f>
        <v>704759.16439224873</v>
      </c>
      <c r="AT195">
        <f>AS195*'4. Agricultura PIB'!$D$71</f>
        <v>207199.19433132111</v>
      </c>
      <c r="AU195" s="779">
        <f t="shared" si="8"/>
        <v>990005.43829499837</v>
      </c>
    </row>
    <row r="196" spans="1:47">
      <c r="A196" s="974" t="s">
        <v>1094</v>
      </c>
      <c r="B196" s="976">
        <v>0</v>
      </c>
      <c r="C196" s="976">
        <v>16</v>
      </c>
      <c r="D196" s="976">
        <v>0</v>
      </c>
      <c r="E196" s="976">
        <v>35</v>
      </c>
      <c r="F196" s="976"/>
      <c r="G196" s="976"/>
      <c r="H196" s="976"/>
      <c r="I196" s="976"/>
      <c r="J196" s="976">
        <v>2</v>
      </c>
      <c r="K196" s="976">
        <v>487</v>
      </c>
      <c r="L196" s="976">
        <v>0</v>
      </c>
      <c r="M196" s="976">
        <v>2</v>
      </c>
      <c r="N196" s="976">
        <v>0</v>
      </c>
      <c r="O196" s="976">
        <v>5</v>
      </c>
      <c r="P196" s="976">
        <v>2</v>
      </c>
      <c r="Q196" s="977">
        <v>545</v>
      </c>
      <c r="T196" s="983" t="s">
        <v>1429</v>
      </c>
      <c r="U196" s="984">
        <v>234</v>
      </c>
      <c r="V196" s="984">
        <v>56</v>
      </c>
      <c r="W196" s="984">
        <v>170</v>
      </c>
      <c r="X196" s="984">
        <v>48</v>
      </c>
      <c r="Y196" s="984">
        <v>8</v>
      </c>
      <c r="Z196" s="984">
        <v>6</v>
      </c>
      <c r="AA196" s="984"/>
      <c r="AB196" s="984"/>
      <c r="AC196" s="984">
        <v>0</v>
      </c>
      <c r="AD196" s="984">
        <v>1</v>
      </c>
      <c r="AE196" s="984">
        <v>4</v>
      </c>
      <c r="AF196" s="984">
        <v>0</v>
      </c>
      <c r="AG196" s="984"/>
      <c r="AH196" s="984"/>
      <c r="AI196" s="984">
        <v>2</v>
      </c>
      <c r="AJ196" s="984">
        <v>0</v>
      </c>
      <c r="AK196" s="984">
        <v>416</v>
      </c>
      <c r="AL196" s="984">
        <v>111</v>
      </c>
      <c r="AM196" s="1055">
        <f>AK196*'tecnicecon agric'!$J$57</f>
        <v>197738.66666666666</v>
      </c>
      <c r="AN196" s="1055">
        <f>AL196*'tecnicecon agric'!$J$56</f>
        <v>125388.375</v>
      </c>
      <c r="AO196" s="1055">
        <f t="shared" si="6"/>
        <v>323127.04166666663</v>
      </c>
      <c r="AP196">
        <f>AL196*'tecnicecon agric'!$J$65+'cultius resum'!AK196</f>
        <v>882.2</v>
      </c>
      <c r="AQ196" s="779">
        <f t="shared" si="7"/>
        <v>197738.66666666666</v>
      </c>
      <c r="AR196">
        <f>AN196+AL196*'tecnicecon agric'!$L$58</f>
        <v>146834.33614285715</v>
      </c>
      <c r="AS196">
        <f>AP196*'4. Agricultura PIB'!$K$31</f>
        <v>2509033.6352979895</v>
      </c>
      <c r="AT196">
        <f>AS196*'4. Agricultura PIB'!$D$71</f>
        <v>737655.88877760887</v>
      </c>
      <c r="AU196" s="779">
        <f t="shared" si="8"/>
        <v>3591262.5268851221</v>
      </c>
    </row>
    <row r="197" spans="1:47">
      <c r="A197" s="974" t="s">
        <v>1435</v>
      </c>
      <c r="B197" s="976">
        <v>236</v>
      </c>
      <c r="C197" s="976">
        <v>0</v>
      </c>
      <c r="D197" s="976">
        <v>316</v>
      </c>
      <c r="E197" s="976">
        <v>0</v>
      </c>
      <c r="F197" s="976">
        <v>33</v>
      </c>
      <c r="G197" s="976">
        <v>0</v>
      </c>
      <c r="H197" s="976"/>
      <c r="I197" s="976"/>
      <c r="J197" s="976"/>
      <c r="K197" s="976"/>
      <c r="L197" s="976"/>
      <c r="M197" s="976"/>
      <c r="N197" s="976"/>
      <c r="O197" s="976"/>
      <c r="P197" s="976">
        <v>585</v>
      </c>
      <c r="Q197" s="977">
        <v>0</v>
      </c>
      <c r="T197" s="983" t="s">
        <v>1431</v>
      </c>
      <c r="U197" s="984">
        <v>364</v>
      </c>
      <c r="V197" s="984">
        <v>11</v>
      </c>
      <c r="W197" s="984">
        <v>430</v>
      </c>
      <c r="X197" s="984">
        <v>15</v>
      </c>
      <c r="Y197" s="984"/>
      <c r="Z197" s="984"/>
      <c r="AA197" s="984"/>
      <c r="AB197" s="984"/>
      <c r="AC197" s="984"/>
      <c r="AD197" s="984"/>
      <c r="AE197" s="984">
        <v>18</v>
      </c>
      <c r="AF197" s="984">
        <v>0</v>
      </c>
      <c r="AG197" s="984"/>
      <c r="AH197" s="984"/>
      <c r="AI197" s="984" t="s">
        <v>752</v>
      </c>
      <c r="AJ197" s="984" t="s">
        <v>752</v>
      </c>
      <c r="AK197" s="984">
        <v>812</v>
      </c>
      <c r="AL197" s="984">
        <v>26</v>
      </c>
      <c r="AM197" s="1055">
        <f>AK197*'tecnicecon agric'!$J$57</f>
        <v>385970.66666666663</v>
      </c>
      <c r="AN197" s="1055">
        <f>AL197*'tecnicecon agric'!$J$56</f>
        <v>29370.25</v>
      </c>
      <c r="AO197" s="1055">
        <f t="shared" si="6"/>
        <v>415340.91666666663</v>
      </c>
      <c r="AP197">
        <f>AL197*'tecnicecon agric'!$J$65+'cultius resum'!AK197</f>
        <v>921.2</v>
      </c>
      <c r="AQ197" s="779">
        <f t="shared" si="7"/>
        <v>385970.66666666663</v>
      </c>
      <c r="AR197">
        <f>AN197+AL197*'tecnicecon agric'!$L$58</f>
        <v>34393.628285714287</v>
      </c>
      <c r="AS197">
        <f>AP197*'4. Agricultura PIB'!$K$31</f>
        <v>2619952.1478536702</v>
      </c>
      <c r="AT197">
        <f>AS197*'4. Agricultura PIB'!$D$71</f>
        <v>770265.93146897899</v>
      </c>
      <c r="AU197" s="779">
        <f t="shared" si="8"/>
        <v>3810582.3742750301</v>
      </c>
    </row>
    <row r="198" spans="1:47">
      <c r="A198" s="974" t="s">
        <v>1443</v>
      </c>
      <c r="B198" s="976">
        <v>1</v>
      </c>
      <c r="C198" s="976">
        <v>0</v>
      </c>
      <c r="D198" s="976">
        <v>6</v>
      </c>
      <c r="E198" s="976">
        <v>0</v>
      </c>
      <c r="F198" s="976"/>
      <c r="G198" s="976"/>
      <c r="H198" s="976"/>
      <c r="I198" s="976"/>
      <c r="J198" s="976">
        <v>0</v>
      </c>
      <c r="K198" s="976">
        <v>41</v>
      </c>
      <c r="L198" s="976"/>
      <c r="M198" s="976"/>
      <c r="N198" s="976">
        <v>0</v>
      </c>
      <c r="O198" s="976">
        <v>8</v>
      </c>
      <c r="P198" s="976">
        <v>7</v>
      </c>
      <c r="Q198" s="977">
        <v>49</v>
      </c>
      <c r="T198" s="983" t="s">
        <v>1094</v>
      </c>
      <c r="U198" s="984">
        <v>0</v>
      </c>
      <c r="V198" s="984">
        <v>16</v>
      </c>
      <c r="W198" s="984">
        <v>0</v>
      </c>
      <c r="X198" s="984">
        <v>35</v>
      </c>
      <c r="Y198" s="984"/>
      <c r="Z198" s="984"/>
      <c r="AA198" s="984"/>
      <c r="AB198" s="984"/>
      <c r="AC198" s="984">
        <v>2</v>
      </c>
      <c r="AD198" s="984">
        <v>487</v>
      </c>
      <c r="AE198" s="984">
        <v>0</v>
      </c>
      <c r="AF198" s="984">
        <v>2</v>
      </c>
      <c r="AG198" s="984">
        <v>0</v>
      </c>
      <c r="AH198" s="984">
        <v>5</v>
      </c>
      <c r="AI198" s="984">
        <v>7</v>
      </c>
      <c r="AJ198" s="984">
        <v>18</v>
      </c>
      <c r="AK198" s="984">
        <v>2</v>
      </c>
      <c r="AL198" s="984">
        <v>545</v>
      </c>
      <c r="AM198" s="1055">
        <f>AK198*'tecnicecon agric'!$J$57</f>
        <v>950.66666666666663</v>
      </c>
      <c r="AN198" s="1055">
        <f>AL198*'tecnicecon agric'!$J$56</f>
        <v>615645.625</v>
      </c>
      <c r="AO198" s="1055">
        <f t="shared" si="6"/>
        <v>616596.29166666663</v>
      </c>
      <c r="AP198">
        <f>AL198*'tecnicecon agric'!$J$65+'cultius resum'!AK198</f>
        <v>2291</v>
      </c>
      <c r="AQ198" s="779">
        <f t="shared" si="7"/>
        <v>950.66666666666663</v>
      </c>
      <c r="AR198">
        <f>AN198+AL198*'tecnicecon agric'!$L$58</f>
        <v>720943.36214285716</v>
      </c>
      <c r="AS198">
        <f>AP198*'4. Agricultura PIB'!$K$31</f>
        <v>6515751.5965401204</v>
      </c>
      <c r="AT198">
        <f>AS198*'4. Agricultura PIB'!$D$71</f>
        <v>1915630.9693827953</v>
      </c>
      <c r="AU198" s="779">
        <f t="shared" si="8"/>
        <v>9153276.5947324391</v>
      </c>
    </row>
    <row r="199" spans="1:47">
      <c r="A199" s="974" t="s">
        <v>1437</v>
      </c>
      <c r="B199" s="976">
        <v>21</v>
      </c>
      <c r="C199" s="976">
        <v>28</v>
      </c>
      <c r="D199" s="976">
        <v>25</v>
      </c>
      <c r="E199" s="976">
        <v>11</v>
      </c>
      <c r="F199" s="976">
        <v>4</v>
      </c>
      <c r="G199" s="976">
        <v>0</v>
      </c>
      <c r="H199" s="976">
        <v>0</v>
      </c>
      <c r="I199" s="976">
        <v>17</v>
      </c>
      <c r="J199" s="976"/>
      <c r="K199" s="976"/>
      <c r="L199" s="976">
        <v>3</v>
      </c>
      <c r="M199" s="976">
        <v>3</v>
      </c>
      <c r="N199" s="976"/>
      <c r="O199" s="976"/>
      <c r="P199" s="976">
        <v>53</v>
      </c>
      <c r="Q199" s="977">
        <v>59</v>
      </c>
      <c r="T199" s="983" t="s">
        <v>1435</v>
      </c>
      <c r="U199" s="984">
        <v>236</v>
      </c>
      <c r="V199" s="984">
        <v>0</v>
      </c>
      <c r="W199" s="984">
        <v>316</v>
      </c>
      <c r="X199" s="984">
        <v>0</v>
      </c>
      <c r="Y199" s="984">
        <v>33</v>
      </c>
      <c r="Z199" s="984">
        <v>0</v>
      </c>
      <c r="AA199" s="984"/>
      <c r="AB199" s="984"/>
      <c r="AC199" s="984"/>
      <c r="AD199" s="984"/>
      <c r="AE199" s="984"/>
      <c r="AF199" s="984"/>
      <c r="AG199" s="984"/>
      <c r="AH199" s="984"/>
      <c r="AI199" s="984" t="s">
        <v>752</v>
      </c>
      <c r="AJ199" s="984" t="s">
        <v>752</v>
      </c>
      <c r="AK199" s="984">
        <v>585</v>
      </c>
      <c r="AL199" s="984">
        <v>0</v>
      </c>
      <c r="AM199" s="1055">
        <f>AK199*'tecnicecon agric'!$J$57</f>
        <v>278070</v>
      </c>
      <c r="AN199" s="1055">
        <f>AL199*'tecnicecon agric'!$J$56</f>
        <v>0</v>
      </c>
      <c r="AO199" s="1055">
        <f t="shared" ref="AO199:AO262" si="9">AM199+AN199</f>
        <v>278070</v>
      </c>
      <c r="AP199">
        <f>AL199*'tecnicecon agric'!$J$65+'cultius resum'!AK199</f>
        <v>585</v>
      </c>
      <c r="AQ199" s="779">
        <f t="shared" ref="AQ199:AQ262" si="10">AM199</f>
        <v>278070</v>
      </c>
      <c r="AR199">
        <f>AN199+AL199*'tecnicecon agric'!$L$58</f>
        <v>0</v>
      </c>
      <c r="AS199">
        <f>AP199*'4. Agricultura PIB'!$K$31</f>
        <v>1663777.6883352117</v>
      </c>
      <c r="AT199">
        <f>AS199*'4. Agricultura PIB'!$D$71</f>
        <v>489150.6403705522</v>
      </c>
      <c r="AU199" s="779">
        <f t="shared" ref="AU199:AU262" si="11">SUM(AQ199:AT199)</f>
        <v>2430998.3287057639</v>
      </c>
    </row>
    <row r="200" spans="1:47">
      <c r="A200" s="974" t="s">
        <v>1446</v>
      </c>
      <c r="B200" s="976"/>
      <c r="C200" s="976"/>
      <c r="D200" s="976">
        <v>1</v>
      </c>
      <c r="E200" s="976">
        <v>0</v>
      </c>
      <c r="F200" s="976"/>
      <c r="G200" s="976"/>
      <c r="H200" s="976"/>
      <c r="I200" s="976"/>
      <c r="J200" s="976">
        <v>0</v>
      </c>
      <c r="K200" s="976">
        <v>3</v>
      </c>
      <c r="L200" s="976">
        <v>0</v>
      </c>
      <c r="M200" s="976">
        <v>1</v>
      </c>
      <c r="N200" s="976"/>
      <c r="O200" s="976"/>
      <c r="P200" s="976">
        <v>1</v>
      </c>
      <c r="Q200" s="977">
        <v>4</v>
      </c>
      <c r="T200" s="983" t="s">
        <v>1443</v>
      </c>
      <c r="U200" s="984">
        <v>1</v>
      </c>
      <c r="V200" s="984">
        <v>0</v>
      </c>
      <c r="W200" s="984">
        <v>6</v>
      </c>
      <c r="X200" s="984">
        <v>0</v>
      </c>
      <c r="Y200" s="984"/>
      <c r="Z200" s="984"/>
      <c r="AA200" s="984"/>
      <c r="AB200" s="984"/>
      <c r="AC200" s="984">
        <v>0</v>
      </c>
      <c r="AD200" s="984">
        <v>41</v>
      </c>
      <c r="AE200" s="984"/>
      <c r="AF200" s="984"/>
      <c r="AG200" s="984">
        <v>0</v>
      </c>
      <c r="AH200" s="984">
        <v>8</v>
      </c>
      <c r="AI200" s="984">
        <v>5</v>
      </c>
      <c r="AJ200" s="984">
        <v>0</v>
      </c>
      <c r="AK200" s="984">
        <v>7</v>
      </c>
      <c r="AL200" s="984">
        <v>49</v>
      </c>
      <c r="AM200" s="1055">
        <f>AK200*'tecnicecon agric'!$J$57</f>
        <v>3327.333333333333</v>
      </c>
      <c r="AN200" s="1055">
        <f>AL200*'tecnicecon agric'!$J$56</f>
        <v>55351.625</v>
      </c>
      <c r="AO200" s="1055">
        <f t="shared" si="9"/>
        <v>58678.958333333336</v>
      </c>
      <c r="AP200">
        <f>AL200*'tecnicecon agric'!$J$65+'cultius resum'!AK200</f>
        <v>212.8</v>
      </c>
      <c r="AQ200" s="779">
        <f t="shared" si="10"/>
        <v>3327.333333333333</v>
      </c>
      <c r="AR200">
        <f>AN200+AL200*'tecnicecon agric'!$L$58</f>
        <v>64818.760999999999</v>
      </c>
      <c r="AS200">
        <f>AP200*'4. Agricultura PIB'!$K$31</f>
        <v>605216.90953458648</v>
      </c>
      <c r="AT200">
        <f>AS200*'4. Agricultura PIB'!$D$71</f>
        <v>177933.77140316842</v>
      </c>
      <c r="AU200" s="779">
        <f t="shared" si="11"/>
        <v>851296.77527108823</v>
      </c>
    </row>
    <row r="201" spans="1:47">
      <c r="A201" s="974" t="s">
        <v>1450</v>
      </c>
      <c r="B201" s="976">
        <v>10</v>
      </c>
      <c r="C201" s="976">
        <v>1</v>
      </c>
      <c r="D201" s="976">
        <v>33</v>
      </c>
      <c r="E201" s="976">
        <v>1</v>
      </c>
      <c r="F201" s="976"/>
      <c r="G201" s="976"/>
      <c r="H201" s="976"/>
      <c r="I201" s="976"/>
      <c r="J201" s="976">
        <v>0</v>
      </c>
      <c r="K201" s="976">
        <v>2</v>
      </c>
      <c r="L201" s="976">
        <v>11</v>
      </c>
      <c r="M201" s="976">
        <v>0</v>
      </c>
      <c r="N201" s="976"/>
      <c r="O201" s="976"/>
      <c r="P201" s="976">
        <v>54</v>
      </c>
      <c r="Q201" s="977">
        <v>4</v>
      </c>
      <c r="T201" s="983" t="s">
        <v>1437</v>
      </c>
      <c r="U201" s="984">
        <v>21</v>
      </c>
      <c r="V201" s="984">
        <v>28</v>
      </c>
      <c r="W201" s="984">
        <v>25</v>
      </c>
      <c r="X201" s="984">
        <v>11</v>
      </c>
      <c r="Y201" s="984">
        <v>4</v>
      </c>
      <c r="Z201" s="984">
        <v>0</v>
      </c>
      <c r="AA201" s="984">
        <v>0</v>
      </c>
      <c r="AB201" s="984">
        <v>17</v>
      </c>
      <c r="AC201" s="984"/>
      <c r="AD201" s="984"/>
      <c r="AE201" s="984">
        <v>3</v>
      </c>
      <c r="AF201" s="984">
        <v>3</v>
      </c>
      <c r="AG201" s="984"/>
      <c r="AH201" s="984"/>
      <c r="AI201" s="984" t="s">
        <v>752</v>
      </c>
      <c r="AJ201" s="984" t="s">
        <v>752</v>
      </c>
      <c r="AK201" s="984">
        <v>53</v>
      </c>
      <c r="AL201" s="984">
        <v>59</v>
      </c>
      <c r="AM201" s="1055">
        <f>AK201*'tecnicecon agric'!$J$57</f>
        <v>25192.666666666664</v>
      </c>
      <c r="AN201" s="1055">
        <f>AL201*'tecnicecon agric'!$J$56</f>
        <v>66647.875</v>
      </c>
      <c r="AO201" s="1055">
        <f t="shared" si="9"/>
        <v>91840.541666666657</v>
      </c>
      <c r="AP201">
        <f>AL201*'tecnicecon agric'!$J$65+'cultius resum'!AK201</f>
        <v>300.8</v>
      </c>
      <c r="AQ201" s="779">
        <f t="shared" si="10"/>
        <v>25192.666666666664</v>
      </c>
      <c r="AR201">
        <f>AN201+AL201*'tecnicecon agric'!$L$58</f>
        <v>78047.079571428578</v>
      </c>
      <c r="AS201">
        <f>AP201*'4. Agricultura PIB'!$K$31</f>
        <v>855494.57889099442</v>
      </c>
      <c r="AT201">
        <f>AS201*'4. Agricultura PIB'!$D$71</f>
        <v>251515.40619395234</v>
      </c>
      <c r="AU201" s="779">
        <f t="shared" si="11"/>
        <v>1210249.731323042</v>
      </c>
    </row>
    <row r="202" spans="1:47">
      <c r="A202" s="974" t="s">
        <v>1457</v>
      </c>
      <c r="B202" s="976">
        <v>12</v>
      </c>
      <c r="C202" s="976">
        <v>0</v>
      </c>
      <c r="D202" s="976">
        <v>11</v>
      </c>
      <c r="E202" s="976">
        <v>0</v>
      </c>
      <c r="F202" s="976">
        <v>2</v>
      </c>
      <c r="G202" s="976">
        <v>0</v>
      </c>
      <c r="H202" s="976"/>
      <c r="I202" s="976"/>
      <c r="J202" s="976">
        <v>4</v>
      </c>
      <c r="K202" s="976">
        <v>0</v>
      </c>
      <c r="L202" s="976">
        <v>2</v>
      </c>
      <c r="M202" s="976">
        <v>0</v>
      </c>
      <c r="N202" s="976"/>
      <c r="O202" s="976"/>
      <c r="P202" s="976">
        <v>31</v>
      </c>
      <c r="Q202" s="977">
        <v>0</v>
      </c>
      <c r="T202" s="983" t="s">
        <v>1446</v>
      </c>
      <c r="U202" s="984"/>
      <c r="V202" s="984"/>
      <c r="W202" s="984">
        <v>1</v>
      </c>
      <c r="X202" s="984">
        <v>0</v>
      </c>
      <c r="Y202" s="984"/>
      <c r="Z202" s="984"/>
      <c r="AA202" s="984"/>
      <c r="AB202" s="984"/>
      <c r="AC202" s="984">
        <v>0</v>
      </c>
      <c r="AD202" s="984">
        <v>3</v>
      </c>
      <c r="AE202" s="984">
        <v>0</v>
      </c>
      <c r="AF202" s="984">
        <v>1</v>
      </c>
      <c r="AG202" s="984"/>
      <c r="AH202" s="984"/>
      <c r="AI202" s="984">
        <v>9</v>
      </c>
      <c r="AJ202" s="984">
        <v>24</v>
      </c>
      <c r="AK202" s="984">
        <v>1</v>
      </c>
      <c r="AL202" s="984">
        <v>4</v>
      </c>
      <c r="AM202" s="1055">
        <f>AK202*'tecnicecon agric'!$J$57</f>
        <v>475.33333333333331</v>
      </c>
      <c r="AN202" s="1055">
        <f>AL202*'tecnicecon agric'!$J$56</f>
        <v>4518.5</v>
      </c>
      <c r="AO202" s="1055">
        <f t="shared" si="9"/>
        <v>4993.833333333333</v>
      </c>
      <c r="AP202">
        <f>AL202*'tecnicecon agric'!$J$65+'cultius resum'!AK202</f>
        <v>17.8</v>
      </c>
      <c r="AQ202" s="779">
        <f t="shared" si="10"/>
        <v>475.33333333333331</v>
      </c>
      <c r="AR202">
        <f>AN202+AL202*'tecnicecon agric'!$L$58</f>
        <v>5291.3274285714288</v>
      </c>
      <c r="AS202">
        <f>AP202*'4. Agricultura PIB'!$K$31</f>
        <v>50624.346756182516</v>
      </c>
      <c r="AT202">
        <f>AS202*'4. Agricultura PIB'!$D$71</f>
        <v>14883.557946317658</v>
      </c>
      <c r="AU202" s="779">
        <f t="shared" si="11"/>
        <v>71274.565464404935</v>
      </c>
    </row>
    <row r="203" spans="1:47">
      <c r="A203" s="974" t="s">
        <v>1458</v>
      </c>
      <c r="B203" s="976">
        <v>4</v>
      </c>
      <c r="C203" s="976">
        <v>39</v>
      </c>
      <c r="D203" s="976">
        <v>28</v>
      </c>
      <c r="E203" s="976">
        <v>35</v>
      </c>
      <c r="F203" s="976">
        <v>7</v>
      </c>
      <c r="G203" s="976">
        <v>9</v>
      </c>
      <c r="H203" s="976"/>
      <c r="I203" s="976"/>
      <c r="J203" s="976"/>
      <c r="K203" s="976"/>
      <c r="L203" s="976">
        <v>0</v>
      </c>
      <c r="M203" s="976">
        <v>1</v>
      </c>
      <c r="N203" s="976">
        <v>0</v>
      </c>
      <c r="O203" s="976">
        <v>1</v>
      </c>
      <c r="P203" s="976">
        <v>39</v>
      </c>
      <c r="Q203" s="977">
        <v>85</v>
      </c>
      <c r="T203" s="983" t="s">
        <v>1450</v>
      </c>
      <c r="U203" s="984">
        <v>10</v>
      </c>
      <c r="V203" s="984">
        <v>1</v>
      </c>
      <c r="W203" s="984">
        <v>33</v>
      </c>
      <c r="X203" s="984">
        <v>1</v>
      </c>
      <c r="Y203" s="984"/>
      <c r="Z203" s="984"/>
      <c r="AA203" s="984"/>
      <c r="AB203" s="984"/>
      <c r="AC203" s="984">
        <v>0</v>
      </c>
      <c r="AD203" s="984">
        <v>2</v>
      </c>
      <c r="AE203" s="984">
        <v>11</v>
      </c>
      <c r="AF203" s="984">
        <v>0</v>
      </c>
      <c r="AG203" s="984"/>
      <c r="AH203" s="984"/>
      <c r="AI203" s="984">
        <v>1</v>
      </c>
      <c r="AJ203" s="984">
        <v>1</v>
      </c>
      <c r="AK203" s="984">
        <v>54</v>
      </c>
      <c r="AL203" s="984">
        <v>4</v>
      </c>
      <c r="AM203" s="1055">
        <f>AK203*'tecnicecon agric'!$J$57</f>
        <v>25668</v>
      </c>
      <c r="AN203" s="1055">
        <f>AL203*'tecnicecon agric'!$J$56</f>
        <v>4518.5</v>
      </c>
      <c r="AO203" s="1055">
        <f t="shared" si="9"/>
        <v>30186.5</v>
      </c>
      <c r="AP203">
        <f>AL203*'tecnicecon agric'!$J$65+'cultius resum'!AK203</f>
        <v>70.8</v>
      </c>
      <c r="AQ203" s="779">
        <f t="shared" si="10"/>
        <v>25668</v>
      </c>
      <c r="AR203">
        <f>AN203+AL203*'tecnicecon agric'!$L$58</f>
        <v>5291.3274285714288</v>
      </c>
      <c r="AS203">
        <f>AP203*'4. Agricultura PIB'!$K$31</f>
        <v>201359.76125492819</v>
      </c>
      <c r="AT203">
        <f>AS203*'4. Agricultura PIB'!$D$71</f>
        <v>59199.769808948884</v>
      </c>
      <c r="AU203" s="779">
        <f t="shared" si="11"/>
        <v>291518.85849244846</v>
      </c>
    </row>
    <row r="204" spans="1:47">
      <c r="A204" s="974" t="s">
        <v>1463</v>
      </c>
      <c r="B204" s="976">
        <v>112</v>
      </c>
      <c r="C204" s="976">
        <v>0</v>
      </c>
      <c r="D204" s="976">
        <v>3</v>
      </c>
      <c r="E204" s="976">
        <v>1</v>
      </c>
      <c r="F204" s="976"/>
      <c r="G204" s="976"/>
      <c r="H204" s="976"/>
      <c r="I204" s="976"/>
      <c r="J204" s="976">
        <v>0</v>
      </c>
      <c r="K204" s="976">
        <v>9</v>
      </c>
      <c r="L204" s="976"/>
      <c r="M204" s="976"/>
      <c r="N204" s="976"/>
      <c r="O204" s="976"/>
      <c r="P204" s="976">
        <v>115</v>
      </c>
      <c r="Q204" s="977">
        <v>10</v>
      </c>
      <c r="T204" s="983" t="s">
        <v>1457</v>
      </c>
      <c r="U204" s="984">
        <v>12</v>
      </c>
      <c r="V204" s="984">
        <v>0</v>
      </c>
      <c r="W204" s="984">
        <v>11</v>
      </c>
      <c r="X204" s="984">
        <v>0</v>
      </c>
      <c r="Y204" s="984">
        <v>2</v>
      </c>
      <c r="Z204" s="984">
        <v>0</v>
      </c>
      <c r="AA204" s="984"/>
      <c r="AB204" s="984"/>
      <c r="AC204" s="984">
        <v>4</v>
      </c>
      <c r="AD204" s="984">
        <v>0</v>
      </c>
      <c r="AE204" s="984">
        <v>2</v>
      </c>
      <c r="AF204" s="984">
        <v>0</v>
      </c>
      <c r="AG204" s="984"/>
      <c r="AH204" s="984"/>
      <c r="AI204" s="984">
        <v>382</v>
      </c>
      <c r="AJ204" s="984">
        <v>2</v>
      </c>
      <c r="AK204" s="984">
        <v>31</v>
      </c>
      <c r="AL204" s="984">
        <v>0</v>
      </c>
      <c r="AM204" s="1055">
        <f>AK204*'tecnicecon agric'!$J$57</f>
        <v>14735.333333333332</v>
      </c>
      <c r="AN204" s="1055">
        <f>AL204*'tecnicecon agric'!$J$56</f>
        <v>0</v>
      </c>
      <c r="AO204" s="1055">
        <f t="shared" si="9"/>
        <v>14735.333333333332</v>
      </c>
      <c r="AP204">
        <f>AL204*'tecnicecon agric'!$J$65+'cultius resum'!AK204</f>
        <v>31</v>
      </c>
      <c r="AQ204" s="779">
        <f t="shared" si="10"/>
        <v>14735.333333333332</v>
      </c>
      <c r="AR204">
        <f>AN204+AL204*'tecnicecon agric'!$L$58</f>
        <v>0</v>
      </c>
      <c r="AS204">
        <f>AP204*'4. Agricultura PIB'!$K$31</f>
        <v>88165.997159643695</v>
      </c>
      <c r="AT204">
        <f>AS204*'4. Agricultura PIB'!$D$71</f>
        <v>25920.803164935245</v>
      </c>
      <c r="AU204" s="779">
        <f t="shared" si="11"/>
        <v>128822.13365791227</v>
      </c>
    </row>
    <row r="205" spans="1:47">
      <c r="A205" s="974" t="s">
        <v>1466</v>
      </c>
      <c r="B205" s="976">
        <v>12</v>
      </c>
      <c r="C205" s="976">
        <v>0</v>
      </c>
      <c r="D205" s="976">
        <v>39</v>
      </c>
      <c r="E205" s="976">
        <v>2</v>
      </c>
      <c r="F205" s="976"/>
      <c r="G205" s="976"/>
      <c r="H205" s="976"/>
      <c r="I205" s="976"/>
      <c r="J205" s="976"/>
      <c r="K205" s="976"/>
      <c r="L205" s="976"/>
      <c r="M205" s="976"/>
      <c r="N205" s="976"/>
      <c r="O205" s="976"/>
      <c r="P205" s="976">
        <v>51</v>
      </c>
      <c r="Q205" s="977">
        <v>2</v>
      </c>
      <c r="T205" s="983" t="s">
        <v>1458</v>
      </c>
      <c r="U205" s="984">
        <v>4</v>
      </c>
      <c r="V205" s="984">
        <v>39</v>
      </c>
      <c r="W205" s="984">
        <v>28</v>
      </c>
      <c r="X205" s="984">
        <v>35</v>
      </c>
      <c r="Y205" s="984">
        <v>7</v>
      </c>
      <c r="Z205" s="984">
        <v>9</v>
      </c>
      <c r="AA205" s="984"/>
      <c r="AB205" s="984"/>
      <c r="AC205" s="984"/>
      <c r="AD205" s="984"/>
      <c r="AE205" s="984">
        <v>0</v>
      </c>
      <c r="AF205" s="984">
        <v>1</v>
      </c>
      <c r="AG205" s="984">
        <v>0</v>
      </c>
      <c r="AH205" s="984">
        <v>1</v>
      </c>
      <c r="AI205" s="984">
        <v>1</v>
      </c>
      <c r="AJ205" s="984">
        <v>1</v>
      </c>
      <c r="AK205" s="984">
        <v>39</v>
      </c>
      <c r="AL205" s="984">
        <v>85</v>
      </c>
      <c r="AM205" s="1055">
        <f>AK205*'tecnicecon agric'!$J$57</f>
        <v>18538</v>
      </c>
      <c r="AN205" s="1055">
        <f>AL205*'tecnicecon agric'!$J$56</f>
        <v>96018.125</v>
      </c>
      <c r="AO205" s="1055">
        <f t="shared" si="9"/>
        <v>114556.125</v>
      </c>
      <c r="AP205">
        <f>AL205*'tecnicecon agric'!$J$65+'cultius resum'!AK205</f>
        <v>396</v>
      </c>
      <c r="AQ205" s="779">
        <f t="shared" si="10"/>
        <v>18538</v>
      </c>
      <c r="AR205">
        <f>AN205+AL205*'tecnicecon agric'!$L$58</f>
        <v>112440.70785714286</v>
      </c>
      <c r="AS205">
        <f>AP205*'4. Agricultura PIB'!$K$31</f>
        <v>1126249.5121038356</v>
      </c>
      <c r="AT205">
        <f>AS205*'4. Agricultura PIB'!$D$71</f>
        <v>331117.35655852762</v>
      </c>
      <c r="AU205" s="779">
        <f t="shared" si="11"/>
        <v>1588345.5765195061</v>
      </c>
    </row>
    <row r="206" spans="1:47">
      <c r="A206" s="974" t="s">
        <v>1028</v>
      </c>
      <c r="B206" s="976"/>
      <c r="C206" s="976"/>
      <c r="D206" s="976"/>
      <c r="E206" s="976"/>
      <c r="F206" s="976"/>
      <c r="G206" s="976"/>
      <c r="H206" s="976"/>
      <c r="I206" s="976"/>
      <c r="J206" s="976">
        <v>0</v>
      </c>
      <c r="K206" s="976">
        <v>43</v>
      </c>
      <c r="L206" s="976"/>
      <c r="M206" s="976"/>
      <c r="N206" s="976"/>
      <c r="O206" s="976"/>
      <c r="P206" s="976">
        <v>0</v>
      </c>
      <c r="Q206" s="977">
        <v>43</v>
      </c>
      <c r="T206" s="983" t="s">
        <v>1463</v>
      </c>
      <c r="U206" s="984">
        <v>112</v>
      </c>
      <c r="V206" s="984">
        <v>0</v>
      </c>
      <c r="W206" s="984">
        <v>3</v>
      </c>
      <c r="X206" s="984">
        <v>1</v>
      </c>
      <c r="Y206" s="984"/>
      <c r="Z206" s="984"/>
      <c r="AA206" s="984"/>
      <c r="AB206" s="984"/>
      <c r="AC206" s="984">
        <v>0</v>
      </c>
      <c r="AD206" s="984">
        <v>9</v>
      </c>
      <c r="AE206" s="984"/>
      <c r="AF206" s="984"/>
      <c r="AG206" s="984"/>
      <c r="AH206" s="984"/>
      <c r="AI206" s="984">
        <v>115</v>
      </c>
      <c r="AJ206" s="984">
        <v>28</v>
      </c>
      <c r="AK206" s="984">
        <v>115</v>
      </c>
      <c r="AL206" s="984">
        <v>10</v>
      </c>
      <c r="AM206" s="1055">
        <f>AK206*'tecnicecon agric'!$J$57</f>
        <v>54663.333333333328</v>
      </c>
      <c r="AN206" s="1055">
        <f>AL206*'tecnicecon agric'!$J$56</f>
        <v>11296.25</v>
      </c>
      <c r="AO206" s="1055">
        <f t="shared" si="9"/>
        <v>65959.583333333328</v>
      </c>
      <c r="AP206">
        <f>AL206*'tecnicecon agric'!$J$65+'cultius resum'!AK206</f>
        <v>157</v>
      </c>
      <c r="AQ206" s="779">
        <f t="shared" si="10"/>
        <v>54663.333333333328</v>
      </c>
      <c r="AR206">
        <f>AN206+AL206*'tecnicecon agric'!$L$58</f>
        <v>13228.318571428572</v>
      </c>
      <c r="AS206">
        <f>AP206*'4. Agricultura PIB'!$K$31</f>
        <v>446518.11464722781</v>
      </c>
      <c r="AT206">
        <f>AS206*'4. Agricultura PIB'!$D$71</f>
        <v>131276.32570628496</v>
      </c>
      <c r="AU206" s="779">
        <f t="shared" si="11"/>
        <v>645686.09225827467</v>
      </c>
    </row>
    <row r="207" spans="1:47">
      <c r="A207" s="974" t="s">
        <v>1470</v>
      </c>
      <c r="B207" s="976">
        <v>369</v>
      </c>
      <c r="C207" s="976">
        <v>0</v>
      </c>
      <c r="D207" s="976">
        <v>169</v>
      </c>
      <c r="E207" s="976">
        <v>0</v>
      </c>
      <c r="F207" s="976">
        <v>3</v>
      </c>
      <c r="G207" s="976">
        <v>0</v>
      </c>
      <c r="H207" s="976"/>
      <c r="I207" s="976"/>
      <c r="J207" s="976">
        <v>0</v>
      </c>
      <c r="K207" s="976">
        <v>2</v>
      </c>
      <c r="L207" s="976">
        <v>4</v>
      </c>
      <c r="M207" s="976">
        <v>0</v>
      </c>
      <c r="N207" s="976"/>
      <c r="O207" s="976"/>
      <c r="P207" s="976">
        <v>545</v>
      </c>
      <c r="Q207" s="977">
        <v>2</v>
      </c>
      <c r="T207" s="983" t="s">
        <v>1466</v>
      </c>
      <c r="U207" s="984">
        <v>12</v>
      </c>
      <c r="V207" s="984">
        <v>0</v>
      </c>
      <c r="W207" s="984">
        <v>39</v>
      </c>
      <c r="X207" s="984">
        <v>2</v>
      </c>
      <c r="Y207" s="984"/>
      <c r="Z207" s="984"/>
      <c r="AA207" s="984"/>
      <c r="AB207" s="984"/>
      <c r="AC207" s="984"/>
      <c r="AD207" s="984"/>
      <c r="AE207" s="984"/>
      <c r="AF207" s="984"/>
      <c r="AG207" s="984"/>
      <c r="AH207" s="984"/>
      <c r="AI207" s="984">
        <v>10</v>
      </c>
      <c r="AJ207" s="984">
        <v>0</v>
      </c>
      <c r="AK207" s="984">
        <v>51</v>
      </c>
      <c r="AL207" s="984">
        <v>2</v>
      </c>
      <c r="AM207" s="1055">
        <f>AK207*'tecnicecon agric'!$J$57</f>
        <v>24242</v>
      </c>
      <c r="AN207" s="1055">
        <f>AL207*'tecnicecon agric'!$J$56</f>
        <v>2259.25</v>
      </c>
      <c r="AO207" s="1055">
        <f t="shared" si="9"/>
        <v>26501.25</v>
      </c>
      <c r="AP207">
        <f>AL207*'tecnicecon agric'!$J$65+'cultius resum'!AK207</f>
        <v>59.4</v>
      </c>
      <c r="AQ207" s="779">
        <f t="shared" si="10"/>
        <v>24242</v>
      </c>
      <c r="AR207">
        <f>AN207+AL207*'tecnicecon agric'!$L$58</f>
        <v>2645.6637142857144</v>
      </c>
      <c r="AS207">
        <f>AP207*'4. Agricultura PIB'!$K$31</f>
        <v>168937.42681557534</v>
      </c>
      <c r="AT207">
        <f>AS207*'4. Agricultura PIB'!$D$71</f>
        <v>49667.603483779145</v>
      </c>
      <c r="AU207" s="779">
        <f t="shared" si="11"/>
        <v>245492.6940136402</v>
      </c>
    </row>
    <row r="208" spans="1:47">
      <c r="A208" s="974" t="s">
        <v>1464</v>
      </c>
      <c r="B208" s="976"/>
      <c r="C208" s="976"/>
      <c r="D208" s="976">
        <v>0</v>
      </c>
      <c r="E208" s="976">
        <v>1</v>
      </c>
      <c r="F208" s="976"/>
      <c r="G208" s="976"/>
      <c r="H208" s="976"/>
      <c r="I208" s="976"/>
      <c r="J208" s="976"/>
      <c r="K208" s="976"/>
      <c r="L208" s="976"/>
      <c r="M208" s="976"/>
      <c r="N208" s="976"/>
      <c r="O208" s="976"/>
      <c r="P208" s="976">
        <v>0</v>
      </c>
      <c r="Q208" s="977">
        <v>1</v>
      </c>
      <c r="T208" s="983" t="s">
        <v>1028</v>
      </c>
      <c r="U208" s="984"/>
      <c r="V208" s="984"/>
      <c r="W208" s="984"/>
      <c r="X208" s="984"/>
      <c r="Y208" s="984"/>
      <c r="Z208" s="984"/>
      <c r="AA208" s="984"/>
      <c r="AB208" s="984"/>
      <c r="AC208" s="984">
        <v>0</v>
      </c>
      <c r="AD208" s="984">
        <v>43</v>
      </c>
      <c r="AE208" s="984"/>
      <c r="AF208" s="984"/>
      <c r="AG208" s="984"/>
      <c r="AH208" s="984"/>
      <c r="AI208" s="984">
        <v>6</v>
      </c>
      <c r="AJ208" s="984">
        <v>29</v>
      </c>
      <c r="AK208" s="984">
        <v>0</v>
      </c>
      <c r="AL208" s="984">
        <v>43</v>
      </c>
      <c r="AM208" s="1055">
        <f>AK208*'tecnicecon agric'!$J$57</f>
        <v>0</v>
      </c>
      <c r="AN208" s="1055">
        <f>AL208*'tecnicecon agric'!$J$56</f>
        <v>48573.875</v>
      </c>
      <c r="AO208" s="1055">
        <f t="shared" si="9"/>
        <v>48573.875</v>
      </c>
      <c r="AP208">
        <f>AL208*'tecnicecon agric'!$J$65+'cultius resum'!AK208</f>
        <v>180.6</v>
      </c>
      <c r="AQ208" s="779">
        <f t="shared" si="10"/>
        <v>0</v>
      </c>
      <c r="AR208">
        <f>AN208+AL208*'tecnicecon agric'!$L$58</f>
        <v>56881.769857142855</v>
      </c>
      <c r="AS208">
        <f>AP208*'4. Agricultura PIB'!$K$31</f>
        <v>513638.03506553714</v>
      </c>
      <c r="AT208">
        <f>AS208*'4. Agricultura PIB'!$D$71</f>
        <v>151009.58230926792</v>
      </c>
      <c r="AU208" s="779">
        <f t="shared" si="11"/>
        <v>721529.38723194797</v>
      </c>
    </row>
    <row r="209" spans="1:47">
      <c r="A209" s="974" t="s">
        <v>1473</v>
      </c>
      <c r="B209" s="976">
        <v>765</v>
      </c>
      <c r="C209" s="976">
        <v>7</v>
      </c>
      <c r="D209" s="976">
        <v>66</v>
      </c>
      <c r="E209" s="976">
        <v>5</v>
      </c>
      <c r="F209" s="976">
        <v>48</v>
      </c>
      <c r="G209" s="976">
        <v>4</v>
      </c>
      <c r="H209" s="976"/>
      <c r="I209" s="976"/>
      <c r="J209" s="976">
        <v>1</v>
      </c>
      <c r="K209" s="976">
        <v>4</v>
      </c>
      <c r="L209" s="976">
        <v>22</v>
      </c>
      <c r="M209" s="976">
        <v>0</v>
      </c>
      <c r="N209" s="976"/>
      <c r="O209" s="976"/>
      <c r="P209" s="976">
        <v>902</v>
      </c>
      <c r="Q209" s="977">
        <v>20</v>
      </c>
      <c r="T209" s="983" t="s">
        <v>1470</v>
      </c>
      <c r="U209" s="984">
        <v>369</v>
      </c>
      <c r="V209" s="984">
        <v>0</v>
      </c>
      <c r="W209" s="984">
        <v>169</v>
      </c>
      <c r="X209" s="984">
        <v>0</v>
      </c>
      <c r="Y209" s="984">
        <v>3</v>
      </c>
      <c r="Z209" s="984">
        <v>0</v>
      </c>
      <c r="AA209" s="984"/>
      <c r="AB209" s="984"/>
      <c r="AC209" s="984">
        <v>0</v>
      </c>
      <c r="AD209" s="984">
        <v>2</v>
      </c>
      <c r="AE209" s="984">
        <v>4</v>
      </c>
      <c r="AF209" s="984">
        <v>0</v>
      </c>
      <c r="AG209" s="984"/>
      <c r="AH209" s="984"/>
      <c r="AI209" s="984">
        <v>2</v>
      </c>
      <c r="AJ209" s="984">
        <v>0</v>
      </c>
      <c r="AK209" s="984">
        <v>545</v>
      </c>
      <c r="AL209" s="984">
        <v>2</v>
      </c>
      <c r="AM209" s="1055">
        <f>AK209*'tecnicecon agric'!$J$57</f>
        <v>259056.66666666666</v>
      </c>
      <c r="AN209" s="1055">
        <f>AL209*'tecnicecon agric'!$J$56</f>
        <v>2259.25</v>
      </c>
      <c r="AO209" s="1055">
        <f t="shared" si="9"/>
        <v>261315.91666666666</v>
      </c>
      <c r="AP209">
        <f>AL209*'tecnicecon agric'!$J$65+'cultius resum'!AK209</f>
        <v>553.4</v>
      </c>
      <c r="AQ209" s="779">
        <f t="shared" si="10"/>
        <v>259056.66666666666</v>
      </c>
      <c r="AR209">
        <f>AN209+AL209*'tecnicecon agric'!$L$58</f>
        <v>2645.6637142857144</v>
      </c>
      <c r="AS209">
        <f>AP209*'4. Agricultura PIB'!$K$31</f>
        <v>1573905.2525208653</v>
      </c>
      <c r="AT209">
        <f>AS209*'4. Agricultura PIB'!$D$71</f>
        <v>462728.14424113435</v>
      </c>
      <c r="AU209" s="779">
        <f t="shared" si="11"/>
        <v>2298335.7271429519</v>
      </c>
    </row>
    <row r="210" spans="1:47">
      <c r="A210" s="974" t="s">
        <v>1477</v>
      </c>
      <c r="B210" s="976">
        <v>6</v>
      </c>
      <c r="C210" s="976">
        <v>0</v>
      </c>
      <c r="D210" s="976">
        <v>8</v>
      </c>
      <c r="E210" s="976">
        <v>0</v>
      </c>
      <c r="F210" s="976"/>
      <c r="G210" s="976"/>
      <c r="H210" s="976"/>
      <c r="I210" s="976"/>
      <c r="J210" s="976"/>
      <c r="K210" s="976"/>
      <c r="L210" s="976"/>
      <c r="M210" s="976"/>
      <c r="N210" s="976"/>
      <c r="O210" s="976"/>
      <c r="P210" s="976">
        <v>14</v>
      </c>
      <c r="Q210" s="977">
        <v>0</v>
      </c>
      <c r="T210" s="983" t="s">
        <v>1464</v>
      </c>
      <c r="U210" s="984"/>
      <c r="V210" s="984"/>
      <c r="W210" s="984">
        <v>0</v>
      </c>
      <c r="X210" s="984">
        <v>1</v>
      </c>
      <c r="Y210" s="984"/>
      <c r="Z210" s="984"/>
      <c r="AA210" s="984"/>
      <c r="AB210" s="984"/>
      <c r="AC210" s="984"/>
      <c r="AD210" s="984"/>
      <c r="AE210" s="984"/>
      <c r="AF210" s="984"/>
      <c r="AG210" s="984"/>
      <c r="AH210" s="984"/>
      <c r="AI210" s="984">
        <v>24</v>
      </c>
      <c r="AJ210" s="984">
        <v>0</v>
      </c>
      <c r="AK210" s="984">
        <v>0</v>
      </c>
      <c r="AL210" s="984">
        <v>1</v>
      </c>
      <c r="AM210" s="1055">
        <f>AK210*'tecnicecon agric'!$J$57</f>
        <v>0</v>
      </c>
      <c r="AN210" s="1055">
        <f>AL210*'tecnicecon agric'!$J$56</f>
        <v>1129.625</v>
      </c>
      <c r="AO210" s="1055">
        <f t="shared" si="9"/>
        <v>1129.625</v>
      </c>
      <c r="AP210">
        <f>AL210*'tecnicecon agric'!$J$65+'cultius resum'!AK210</f>
        <v>4.2</v>
      </c>
      <c r="AQ210" s="779">
        <f t="shared" si="10"/>
        <v>0</v>
      </c>
      <c r="AR210">
        <f>AN210+AL210*'tecnicecon agric'!$L$58</f>
        <v>1322.8318571428572</v>
      </c>
      <c r="AS210">
        <f>AP210*'4. Agricultura PIB'!$K$31</f>
        <v>11945.07058291947</v>
      </c>
      <c r="AT210">
        <f>AS210*'4. Agricultura PIB'!$D$71</f>
        <v>3511.8507513783243</v>
      </c>
      <c r="AU210" s="779">
        <f t="shared" si="11"/>
        <v>16779.75319144065</v>
      </c>
    </row>
    <row r="211" spans="1:47">
      <c r="A211" s="974" t="s">
        <v>1421</v>
      </c>
      <c r="B211" s="976"/>
      <c r="C211" s="976"/>
      <c r="D211" s="976"/>
      <c r="E211" s="976"/>
      <c r="F211" s="976"/>
      <c r="G211" s="976"/>
      <c r="H211" s="976">
        <v>0</v>
      </c>
      <c r="I211" s="976">
        <v>3</v>
      </c>
      <c r="J211" s="976">
        <v>0</v>
      </c>
      <c r="K211" s="976">
        <v>31</v>
      </c>
      <c r="L211" s="976">
        <v>0</v>
      </c>
      <c r="M211" s="976">
        <v>1</v>
      </c>
      <c r="N211" s="976"/>
      <c r="O211" s="976"/>
      <c r="P211" s="976">
        <v>0</v>
      </c>
      <c r="Q211" s="977">
        <v>35</v>
      </c>
      <c r="T211" s="983" t="s">
        <v>1473</v>
      </c>
      <c r="U211" s="984">
        <v>765</v>
      </c>
      <c r="V211" s="984">
        <v>7</v>
      </c>
      <c r="W211" s="984">
        <v>66</v>
      </c>
      <c r="X211" s="984">
        <v>5</v>
      </c>
      <c r="Y211" s="984">
        <v>48</v>
      </c>
      <c r="Z211" s="984">
        <v>4</v>
      </c>
      <c r="AA211" s="984"/>
      <c r="AB211" s="984"/>
      <c r="AC211" s="984">
        <v>1</v>
      </c>
      <c r="AD211" s="984">
        <v>4</v>
      </c>
      <c r="AE211" s="984">
        <v>22</v>
      </c>
      <c r="AF211" s="984">
        <v>0</v>
      </c>
      <c r="AG211" s="984"/>
      <c r="AH211" s="984"/>
      <c r="AI211" s="984">
        <v>27</v>
      </c>
      <c r="AJ211" s="984">
        <v>0</v>
      </c>
      <c r="AK211" s="984">
        <v>902</v>
      </c>
      <c r="AL211" s="984">
        <v>20</v>
      </c>
      <c r="AM211" s="1055">
        <f>AK211*'tecnicecon agric'!$J$57</f>
        <v>428750.66666666663</v>
      </c>
      <c r="AN211" s="1055">
        <f>AL211*'tecnicecon agric'!$J$56</f>
        <v>22592.5</v>
      </c>
      <c r="AO211" s="1055">
        <f t="shared" si="9"/>
        <v>451343.16666666663</v>
      </c>
      <c r="AP211">
        <f>AL211*'tecnicecon agric'!$J$65+'cultius resum'!AK211</f>
        <v>986</v>
      </c>
      <c r="AQ211" s="779">
        <f t="shared" si="10"/>
        <v>428750.66666666663</v>
      </c>
      <c r="AR211">
        <f>AN211+AL211*'tecnicecon agric'!$L$58</f>
        <v>26456.637142857144</v>
      </c>
      <c r="AS211">
        <f>AP211*'4. Agricultura PIB'!$K$31</f>
        <v>2804247.5225615706</v>
      </c>
      <c r="AT211">
        <f>AS211*'4. Agricultura PIB'!$D$71</f>
        <v>824448.77163310174</v>
      </c>
      <c r="AU211" s="779">
        <f t="shared" si="11"/>
        <v>4083903.5980041958</v>
      </c>
    </row>
    <row r="212" spans="1:47">
      <c r="A212" s="974" t="s">
        <v>1479</v>
      </c>
      <c r="B212" s="976"/>
      <c r="C212" s="976"/>
      <c r="D212" s="976">
        <v>9</v>
      </c>
      <c r="E212" s="976">
        <v>0</v>
      </c>
      <c r="F212" s="976"/>
      <c r="G212" s="976"/>
      <c r="H212" s="976"/>
      <c r="I212" s="976"/>
      <c r="J212" s="976"/>
      <c r="K212" s="976"/>
      <c r="L212" s="976"/>
      <c r="M212" s="976"/>
      <c r="N212" s="976"/>
      <c r="O212" s="976"/>
      <c r="P212" s="976">
        <v>9</v>
      </c>
      <c r="Q212" s="977">
        <v>0</v>
      </c>
      <c r="T212" s="983" t="s">
        <v>1477</v>
      </c>
      <c r="U212" s="984">
        <v>6</v>
      </c>
      <c r="V212" s="984">
        <v>0</v>
      </c>
      <c r="W212" s="984">
        <v>8</v>
      </c>
      <c r="X212" s="984">
        <v>0</v>
      </c>
      <c r="Y212" s="984"/>
      <c r="Z212" s="984"/>
      <c r="AA212" s="984"/>
      <c r="AB212" s="984"/>
      <c r="AC212" s="984"/>
      <c r="AD212" s="984"/>
      <c r="AE212" s="984"/>
      <c r="AF212" s="984"/>
      <c r="AG212" s="984"/>
      <c r="AH212" s="984"/>
      <c r="AI212" s="984" t="s">
        <v>752</v>
      </c>
      <c r="AJ212" s="984" t="s">
        <v>752</v>
      </c>
      <c r="AK212" s="984">
        <v>14</v>
      </c>
      <c r="AL212" s="984">
        <v>0</v>
      </c>
      <c r="AM212" s="1055">
        <f>AK212*'tecnicecon agric'!$J$57</f>
        <v>6654.6666666666661</v>
      </c>
      <c r="AN212" s="1055">
        <f>AL212*'tecnicecon agric'!$J$56</f>
        <v>0</v>
      </c>
      <c r="AO212" s="1055">
        <f t="shared" si="9"/>
        <v>6654.6666666666661</v>
      </c>
      <c r="AP212">
        <f>AL212*'tecnicecon agric'!$J$65+'cultius resum'!AK212</f>
        <v>14</v>
      </c>
      <c r="AQ212" s="779">
        <f t="shared" si="10"/>
        <v>6654.6666666666661</v>
      </c>
      <c r="AR212">
        <f>AN212+AL212*'tecnicecon agric'!$L$58</f>
        <v>0</v>
      </c>
      <c r="AS212">
        <f>AP212*'4. Agricultura PIB'!$K$31</f>
        <v>39816.901943064899</v>
      </c>
      <c r="AT212">
        <f>AS212*'4. Agricultura PIB'!$D$71</f>
        <v>11706.169171261079</v>
      </c>
      <c r="AU212" s="779">
        <f t="shared" si="11"/>
        <v>58177.73778099264</v>
      </c>
    </row>
    <row r="213" spans="1:47">
      <c r="A213" s="974" t="s">
        <v>1482</v>
      </c>
      <c r="B213" s="976">
        <v>561</v>
      </c>
      <c r="C213" s="976">
        <v>0</v>
      </c>
      <c r="D213" s="976">
        <v>75</v>
      </c>
      <c r="E213" s="976">
        <v>1</v>
      </c>
      <c r="F213" s="976">
        <v>21</v>
      </c>
      <c r="G213" s="976">
        <v>0</v>
      </c>
      <c r="H213" s="976"/>
      <c r="I213" s="976"/>
      <c r="J213" s="976">
        <v>0</v>
      </c>
      <c r="K213" s="976">
        <v>2</v>
      </c>
      <c r="L213" s="976">
        <v>25</v>
      </c>
      <c r="M213" s="976">
        <v>0</v>
      </c>
      <c r="N213" s="976"/>
      <c r="O213" s="976"/>
      <c r="P213" s="976">
        <v>682</v>
      </c>
      <c r="Q213" s="977">
        <v>3</v>
      </c>
      <c r="T213" s="983" t="s">
        <v>1421</v>
      </c>
      <c r="U213" s="984"/>
      <c r="V213" s="984"/>
      <c r="W213" s="984"/>
      <c r="X213" s="984"/>
      <c r="Y213" s="984"/>
      <c r="Z213" s="984"/>
      <c r="AA213" s="984">
        <v>0</v>
      </c>
      <c r="AB213" s="984">
        <v>3</v>
      </c>
      <c r="AC213" s="984">
        <v>0</v>
      </c>
      <c r="AD213" s="984">
        <v>31</v>
      </c>
      <c r="AE213" s="984">
        <v>0</v>
      </c>
      <c r="AF213" s="984">
        <v>1</v>
      </c>
      <c r="AG213" s="984"/>
      <c r="AH213" s="984"/>
      <c r="AI213" s="984">
        <v>4</v>
      </c>
      <c r="AJ213" s="984">
        <v>0</v>
      </c>
      <c r="AK213" s="984">
        <v>0</v>
      </c>
      <c r="AL213" s="984">
        <v>35</v>
      </c>
      <c r="AM213" s="1055">
        <f>AK213*'tecnicecon agric'!$J$57</f>
        <v>0</v>
      </c>
      <c r="AN213" s="1055">
        <f>AL213*'tecnicecon agric'!$J$56</f>
        <v>39536.875</v>
      </c>
      <c r="AO213" s="1055">
        <f t="shared" si="9"/>
        <v>39536.875</v>
      </c>
      <c r="AP213">
        <f>AL213*'tecnicecon agric'!$J$65+'cultius resum'!AK213</f>
        <v>147</v>
      </c>
      <c r="AQ213" s="779">
        <f t="shared" si="10"/>
        <v>0</v>
      </c>
      <c r="AR213">
        <f>AN213+AL213*'tecnicecon agric'!$L$58</f>
        <v>46299.114999999998</v>
      </c>
      <c r="AS213">
        <f>AP213*'4. Agricultura PIB'!$K$31</f>
        <v>418077.47040218144</v>
      </c>
      <c r="AT213">
        <f>AS213*'4. Agricultura PIB'!$D$71</f>
        <v>122914.77629824134</v>
      </c>
      <c r="AU213" s="779">
        <f t="shared" si="11"/>
        <v>587291.36170042283</v>
      </c>
    </row>
    <row r="214" spans="1:47">
      <c r="A214" s="974" t="s">
        <v>1481</v>
      </c>
      <c r="B214" s="976"/>
      <c r="C214" s="976"/>
      <c r="D214" s="976">
        <v>0</v>
      </c>
      <c r="E214" s="976">
        <v>3</v>
      </c>
      <c r="F214" s="976"/>
      <c r="G214" s="976"/>
      <c r="H214" s="976"/>
      <c r="I214" s="976"/>
      <c r="J214" s="976">
        <v>0</v>
      </c>
      <c r="K214" s="976">
        <v>27</v>
      </c>
      <c r="L214" s="976"/>
      <c r="M214" s="976"/>
      <c r="N214" s="976"/>
      <c r="O214" s="976"/>
      <c r="P214" s="976">
        <v>0</v>
      </c>
      <c r="Q214" s="977">
        <v>30</v>
      </c>
      <c r="T214" s="983" t="s">
        <v>1479</v>
      </c>
      <c r="U214" s="984"/>
      <c r="V214" s="984"/>
      <c r="W214" s="984">
        <v>9</v>
      </c>
      <c r="X214" s="984">
        <v>0</v>
      </c>
      <c r="Y214" s="984"/>
      <c r="Z214" s="984"/>
      <c r="AA214" s="984"/>
      <c r="AB214" s="984"/>
      <c r="AC214" s="984"/>
      <c r="AD214" s="984"/>
      <c r="AE214" s="984"/>
      <c r="AF214" s="984"/>
      <c r="AG214" s="984"/>
      <c r="AH214" s="984"/>
      <c r="AI214" s="984" t="s">
        <v>752</v>
      </c>
      <c r="AJ214" s="984" t="s">
        <v>752</v>
      </c>
      <c r="AK214" s="984">
        <v>9</v>
      </c>
      <c r="AL214" s="984">
        <v>0</v>
      </c>
      <c r="AM214" s="1055">
        <f>AK214*'tecnicecon agric'!$J$57</f>
        <v>4278</v>
      </c>
      <c r="AN214" s="1055">
        <f>AL214*'tecnicecon agric'!$J$56</f>
        <v>0</v>
      </c>
      <c r="AO214" s="1055">
        <f t="shared" si="9"/>
        <v>4278</v>
      </c>
      <c r="AP214">
        <f>AL214*'tecnicecon agric'!$J$65+'cultius resum'!AK214</f>
        <v>9</v>
      </c>
      <c r="AQ214" s="779">
        <f t="shared" si="10"/>
        <v>4278</v>
      </c>
      <c r="AR214">
        <f>AN214+AL214*'tecnicecon agric'!$L$58</f>
        <v>0</v>
      </c>
      <c r="AS214">
        <f>AP214*'4. Agricultura PIB'!$K$31</f>
        <v>25596.57982054172</v>
      </c>
      <c r="AT214">
        <f>AS214*'4. Agricultura PIB'!$D$71</f>
        <v>7525.3944672392654</v>
      </c>
      <c r="AU214" s="779">
        <f t="shared" si="11"/>
        <v>37399.974287780984</v>
      </c>
    </row>
    <row r="215" spans="1:47">
      <c r="A215" s="974" t="s">
        <v>1746</v>
      </c>
      <c r="B215" s="976"/>
      <c r="C215" s="976"/>
      <c r="D215" s="976">
        <v>3</v>
      </c>
      <c r="E215" s="976">
        <v>0</v>
      </c>
      <c r="F215" s="976"/>
      <c r="G215" s="976"/>
      <c r="H215" s="976"/>
      <c r="I215" s="976"/>
      <c r="J215" s="976"/>
      <c r="K215" s="976"/>
      <c r="L215" s="976"/>
      <c r="M215" s="976"/>
      <c r="N215" s="976"/>
      <c r="O215" s="976"/>
      <c r="P215" s="976">
        <v>3</v>
      </c>
      <c r="Q215" s="977">
        <v>0</v>
      </c>
      <c r="T215" s="983" t="s">
        <v>1482</v>
      </c>
      <c r="U215" s="984">
        <v>561</v>
      </c>
      <c r="V215" s="984">
        <v>0</v>
      </c>
      <c r="W215" s="984">
        <v>75</v>
      </c>
      <c r="X215" s="984">
        <v>1</v>
      </c>
      <c r="Y215" s="984">
        <v>21</v>
      </c>
      <c r="Z215" s="984">
        <v>0</v>
      </c>
      <c r="AA215" s="984"/>
      <c r="AB215" s="984"/>
      <c r="AC215" s="984">
        <v>0</v>
      </c>
      <c r="AD215" s="984">
        <v>2</v>
      </c>
      <c r="AE215" s="984">
        <v>25</v>
      </c>
      <c r="AF215" s="984">
        <v>0</v>
      </c>
      <c r="AG215" s="984"/>
      <c r="AH215" s="984"/>
      <c r="AI215" s="984">
        <v>6</v>
      </c>
      <c r="AJ215" s="984">
        <v>0</v>
      </c>
      <c r="AK215" s="984">
        <v>682</v>
      </c>
      <c r="AL215" s="984">
        <v>3</v>
      </c>
      <c r="AM215" s="1055">
        <f>AK215*'tecnicecon agric'!$J$57</f>
        <v>324177.33333333331</v>
      </c>
      <c r="AN215" s="1055">
        <f>AL215*'tecnicecon agric'!$J$56</f>
        <v>3388.875</v>
      </c>
      <c r="AO215" s="1055">
        <f t="shared" si="9"/>
        <v>327566.20833333331</v>
      </c>
      <c r="AP215">
        <f>AL215*'tecnicecon agric'!$J$65+'cultius resum'!AK215</f>
        <v>694.6</v>
      </c>
      <c r="AQ215" s="779">
        <f t="shared" si="10"/>
        <v>324177.33333333331</v>
      </c>
      <c r="AR215">
        <f>AN215+AL215*'tecnicecon agric'!$L$58</f>
        <v>3968.4955714285716</v>
      </c>
      <c r="AS215">
        <f>AP215*'4. Agricultura PIB'!$K$31</f>
        <v>1975487.14926092</v>
      </c>
      <c r="AT215">
        <f>AS215*'4. Agricultura PIB'!$D$71</f>
        <v>580793.22188271047</v>
      </c>
      <c r="AU215" s="779">
        <f t="shared" si="11"/>
        <v>2884426.2000483926</v>
      </c>
    </row>
    <row r="216" spans="1:47">
      <c r="A216" s="974" t="s">
        <v>1485</v>
      </c>
      <c r="B216" s="976">
        <v>127</v>
      </c>
      <c r="C216" s="976">
        <v>1</v>
      </c>
      <c r="D216" s="976">
        <v>209</v>
      </c>
      <c r="E216" s="976">
        <v>38</v>
      </c>
      <c r="F216" s="976">
        <v>3</v>
      </c>
      <c r="G216" s="976">
        <v>0</v>
      </c>
      <c r="H216" s="976"/>
      <c r="I216" s="976"/>
      <c r="J216" s="976"/>
      <c r="K216" s="976"/>
      <c r="L216" s="976">
        <v>5</v>
      </c>
      <c r="M216" s="976">
        <v>0</v>
      </c>
      <c r="N216" s="976"/>
      <c r="O216" s="976"/>
      <c r="P216" s="976">
        <v>344</v>
      </c>
      <c r="Q216" s="977">
        <v>39</v>
      </c>
      <c r="T216" s="983" t="s">
        <v>1481</v>
      </c>
      <c r="U216" s="984"/>
      <c r="V216" s="984"/>
      <c r="W216" s="984">
        <v>0</v>
      </c>
      <c r="X216" s="984">
        <v>3</v>
      </c>
      <c r="Y216" s="984"/>
      <c r="Z216" s="984"/>
      <c r="AA216" s="984"/>
      <c r="AB216" s="984"/>
      <c r="AC216" s="984">
        <v>0</v>
      </c>
      <c r="AD216" s="984">
        <v>27</v>
      </c>
      <c r="AE216" s="984"/>
      <c r="AF216" s="984"/>
      <c r="AG216" s="984"/>
      <c r="AH216" s="984"/>
      <c r="AI216" s="984">
        <v>0</v>
      </c>
      <c r="AJ216" s="984">
        <v>11</v>
      </c>
      <c r="AK216" s="984">
        <v>0</v>
      </c>
      <c r="AL216" s="984">
        <v>30</v>
      </c>
      <c r="AM216" s="1055">
        <f>AK216*'tecnicecon agric'!$J$57</f>
        <v>0</v>
      </c>
      <c r="AN216" s="1055">
        <f>AL216*'tecnicecon agric'!$J$56</f>
        <v>33888.75</v>
      </c>
      <c r="AO216" s="1055">
        <f t="shared" si="9"/>
        <v>33888.75</v>
      </c>
      <c r="AP216">
        <f>AL216*'tecnicecon agric'!$J$65+'cultius resum'!AK216</f>
        <v>126</v>
      </c>
      <c r="AQ216" s="779">
        <f t="shared" si="10"/>
        <v>0</v>
      </c>
      <c r="AR216">
        <f>AN216+AL216*'tecnicecon agric'!$L$58</f>
        <v>39684.955714285716</v>
      </c>
      <c r="AS216">
        <f>AP216*'4. Agricultura PIB'!$K$31</f>
        <v>358352.11748758407</v>
      </c>
      <c r="AT216">
        <f>AS216*'4. Agricultura PIB'!$D$71</f>
        <v>105355.52254134971</v>
      </c>
      <c r="AU216" s="779">
        <f t="shared" si="11"/>
        <v>503392.59574321948</v>
      </c>
    </row>
    <row r="217" spans="1:47">
      <c r="A217" s="974" t="s">
        <v>1489</v>
      </c>
      <c r="B217" s="976"/>
      <c r="C217" s="976"/>
      <c r="D217" s="976"/>
      <c r="E217" s="976"/>
      <c r="F217" s="976"/>
      <c r="G217" s="976"/>
      <c r="H217" s="976"/>
      <c r="I217" s="976"/>
      <c r="J217" s="976">
        <v>0</v>
      </c>
      <c r="K217" s="976">
        <v>7</v>
      </c>
      <c r="L217" s="976"/>
      <c r="M217" s="976"/>
      <c r="N217" s="976"/>
      <c r="O217" s="976"/>
      <c r="P217" s="976">
        <v>0</v>
      </c>
      <c r="Q217" s="977">
        <v>7</v>
      </c>
      <c r="T217" s="983" t="s">
        <v>1746</v>
      </c>
      <c r="U217" s="984"/>
      <c r="V217" s="984"/>
      <c r="W217" s="984">
        <v>3</v>
      </c>
      <c r="X217" s="984">
        <v>0</v>
      </c>
      <c r="Y217" s="984"/>
      <c r="Z217" s="984"/>
      <c r="AA217" s="984"/>
      <c r="AB217" s="984"/>
      <c r="AC217" s="984"/>
      <c r="AD217" s="984"/>
      <c r="AE217" s="984"/>
      <c r="AF217" s="984"/>
      <c r="AG217" s="984"/>
      <c r="AH217" s="984"/>
      <c r="AI217" s="984" t="s">
        <v>752</v>
      </c>
      <c r="AJ217" s="984" t="s">
        <v>752</v>
      </c>
      <c r="AK217" s="984">
        <v>3</v>
      </c>
      <c r="AL217" s="984">
        <v>0</v>
      </c>
      <c r="AM217" s="1055">
        <f>AK217*'tecnicecon agric'!$J$57</f>
        <v>1426</v>
      </c>
      <c r="AN217" s="1055">
        <f>AL217*'tecnicecon agric'!$J$56</f>
        <v>0</v>
      </c>
      <c r="AO217" s="1055">
        <f t="shared" si="9"/>
        <v>1426</v>
      </c>
      <c r="AP217">
        <f>AL217*'tecnicecon agric'!$J$65+'cultius resum'!AK217</f>
        <v>3</v>
      </c>
      <c r="AQ217" s="779">
        <f t="shared" si="10"/>
        <v>1426</v>
      </c>
      <c r="AR217">
        <f>AN217+AL217*'tecnicecon agric'!$L$58</f>
        <v>0</v>
      </c>
      <c r="AS217">
        <f>AP217*'4. Agricultura PIB'!$K$31</f>
        <v>8532.1932735139071</v>
      </c>
      <c r="AT217">
        <f>AS217*'4. Agricultura PIB'!$D$71</f>
        <v>2508.4648224130888</v>
      </c>
      <c r="AU217" s="779">
        <f t="shared" si="11"/>
        <v>12466.658095926996</v>
      </c>
    </row>
    <row r="218" spans="1:47">
      <c r="A218" s="974" t="s">
        <v>1490</v>
      </c>
      <c r="B218" s="976">
        <v>100</v>
      </c>
      <c r="C218" s="976">
        <v>0</v>
      </c>
      <c r="D218" s="976">
        <v>7</v>
      </c>
      <c r="E218" s="976">
        <v>0</v>
      </c>
      <c r="F218" s="976"/>
      <c r="G218" s="976"/>
      <c r="H218" s="976"/>
      <c r="I218" s="976"/>
      <c r="J218" s="976">
        <v>4</v>
      </c>
      <c r="K218" s="976">
        <v>0</v>
      </c>
      <c r="L218" s="976">
        <v>2</v>
      </c>
      <c r="M218" s="976">
        <v>1</v>
      </c>
      <c r="N218" s="976">
        <v>1</v>
      </c>
      <c r="O218" s="976">
        <v>0</v>
      </c>
      <c r="P218" s="976">
        <v>114</v>
      </c>
      <c r="Q218" s="977">
        <v>1</v>
      </c>
      <c r="T218" s="983" t="s">
        <v>1485</v>
      </c>
      <c r="U218" s="984">
        <v>127</v>
      </c>
      <c r="V218" s="984">
        <v>1</v>
      </c>
      <c r="W218" s="984">
        <v>209</v>
      </c>
      <c r="X218" s="984">
        <v>38</v>
      </c>
      <c r="Y218" s="984">
        <v>3</v>
      </c>
      <c r="Z218" s="984">
        <v>0</v>
      </c>
      <c r="AA218" s="984"/>
      <c r="AB218" s="984"/>
      <c r="AC218" s="984"/>
      <c r="AD218" s="984"/>
      <c r="AE218" s="984">
        <v>5</v>
      </c>
      <c r="AF218" s="984">
        <v>0</v>
      </c>
      <c r="AG218" s="984"/>
      <c r="AH218" s="984"/>
      <c r="AI218" s="984" t="s">
        <v>752</v>
      </c>
      <c r="AJ218" s="984" t="s">
        <v>752</v>
      </c>
      <c r="AK218" s="984">
        <v>344</v>
      </c>
      <c r="AL218" s="984">
        <v>39</v>
      </c>
      <c r="AM218" s="1055">
        <f>AK218*'tecnicecon agric'!$J$57</f>
        <v>163514.66666666666</v>
      </c>
      <c r="AN218" s="1055">
        <f>AL218*'tecnicecon agric'!$J$56</f>
        <v>44055.375</v>
      </c>
      <c r="AO218" s="1055">
        <f t="shared" si="9"/>
        <v>207570.04166666666</v>
      </c>
      <c r="AP218">
        <f>AL218*'tecnicecon agric'!$J$65+'cultius resum'!AK218</f>
        <v>507.8</v>
      </c>
      <c r="AQ218" s="779">
        <f t="shared" si="10"/>
        <v>163514.66666666666</v>
      </c>
      <c r="AR218">
        <f>AN218+AL218*'tecnicecon agric'!$L$58</f>
        <v>51590.442428571427</v>
      </c>
      <c r="AS218">
        <f>AP218*'4. Agricultura PIB'!$K$31</f>
        <v>1444215.9147634539</v>
      </c>
      <c r="AT218">
        <f>AS218*'4. Agricultura PIB'!$D$71</f>
        <v>424599.47894045542</v>
      </c>
      <c r="AU218" s="779">
        <f t="shared" si="11"/>
        <v>2083920.5027991475</v>
      </c>
    </row>
    <row r="219" spans="1:47">
      <c r="A219" s="974" t="s">
        <v>1494</v>
      </c>
      <c r="B219" s="976">
        <v>34</v>
      </c>
      <c r="C219" s="976">
        <v>0</v>
      </c>
      <c r="D219" s="976">
        <v>24</v>
      </c>
      <c r="E219" s="976">
        <v>0</v>
      </c>
      <c r="F219" s="976">
        <v>1</v>
      </c>
      <c r="G219" s="976">
        <v>0</v>
      </c>
      <c r="H219" s="976"/>
      <c r="I219" s="976"/>
      <c r="J219" s="976"/>
      <c r="K219" s="976"/>
      <c r="L219" s="976">
        <v>4</v>
      </c>
      <c r="M219" s="976">
        <v>0</v>
      </c>
      <c r="N219" s="976"/>
      <c r="O219" s="976"/>
      <c r="P219" s="976">
        <v>63</v>
      </c>
      <c r="Q219" s="977">
        <v>0</v>
      </c>
      <c r="T219" s="983" t="s">
        <v>1489</v>
      </c>
      <c r="U219" s="984"/>
      <c r="V219" s="984"/>
      <c r="W219" s="984"/>
      <c r="X219" s="984"/>
      <c r="Y219" s="984"/>
      <c r="Z219" s="984"/>
      <c r="AA219" s="984"/>
      <c r="AB219" s="984"/>
      <c r="AC219" s="984">
        <v>0</v>
      </c>
      <c r="AD219" s="984">
        <v>7</v>
      </c>
      <c r="AE219" s="984"/>
      <c r="AF219" s="984"/>
      <c r="AG219" s="984"/>
      <c r="AH219" s="984"/>
      <c r="AI219" s="984">
        <v>3</v>
      </c>
      <c r="AJ219" s="984">
        <v>2</v>
      </c>
      <c r="AK219" s="984">
        <v>0</v>
      </c>
      <c r="AL219" s="984">
        <v>7</v>
      </c>
      <c r="AM219" s="1055">
        <f>AK219*'tecnicecon agric'!$J$57</f>
        <v>0</v>
      </c>
      <c r="AN219" s="1055">
        <f>AL219*'tecnicecon agric'!$J$56</f>
        <v>7907.375</v>
      </c>
      <c r="AO219" s="1055">
        <f t="shared" si="9"/>
        <v>7907.375</v>
      </c>
      <c r="AP219">
        <f>AL219*'tecnicecon agric'!$J$65+'cultius resum'!AK219</f>
        <v>29.400000000000002</v>
      </c>
      <c r="AQ219" s="779">
        <f t="shared" si="10"/>
        <v>0</v>
      </c>
      <c r="AR219">
        <f>AN219+AL219*'tecnicecon agric'!$L$58</f>
        <v>9259.8230000000003</v>
      </c>
      <c r="AS219">
        <f>AP219*'4. Agricultura PIB'!$K$31</f>
        <v>83615.494080436285</v>
      </c>
      <c r="AT219">
        <f>AS219*'4. Agricultura PIB'!$D$71</f>
        <v>24582.955259648268</v>
      </c>
      <c r="AU219" s="779">
        <f t="shared" si="11"/>
        <v>117458.27234008456</v>
      </c>
    </row>
    <row r="220" spans="1:47">
      <c r="A220" s="974" t="s">
        <v>1499</v>
      </c>
      <c r="B220" s="976">
        <v>238</v>
      </c>
      <c r="C220" s="976">
        <v>0</v>
      </c>
      <c r="D220" s="976">
        <v>233</v>
      </c>
      <c r="E220" s="976">
        <v>0</v>
      </c>
      <c r="F220" s="976">
        <v>50</v>
      </c>
      <c r="G220" s="976">
        <v>0</v>
      </c>
      <c r="H220" s="976"/>
      <c r="I220" s="976"/>
      <c r="J220" s="976"/>
      <c r="K220" s="976"/>
      <c r="L220" s="976">
        <v>3</v>
      </c>
      <c r="M220" s="976">
        <v>0</v>
      </c>
      <c r="N220" s="976"/>
      <c r="O220" s="976"/>
      <c r="P220" s="976">
        <v>524</v>
      </c>
      <c r="Q220" s="977">
        <v>0</v>
      </c>
      <c r="T220" s="983" t="s">
        <v>1490</v>
      </c>
      <c r="U220" s="984">
        <v>100</v>
      </c>
      <c r="V220" s="984">
        <v>0</v>
      </c>
      <c r="W220" s="984">
        <v>7</v>
      </c>
      <c r="X220" s="984">
        <v>0</v>
      </c>
      <c r="Y220" s="984"/>
      <c r="Z220" s="984"/>
      <c r="AA220" s="984"/>
      <c r="AB220" s="984"/>
      <c r="AC220" s="984">
        <v>4</v>
      </c>
      <c r="AD220" s="984">
        <v>0</v>
      </c>
      <c r="AE220" s="984">
        <v>2</v>
      </c>
      <c r="AF220" s="984">
        <v>1</v>
      </c>
      <c r="AG220" s="984">
        <v>1</v>
      </c>
      <c r="AH220" s="984">
        <v>0</v>
      </c>
      <c r="AI220" s="984">
        <v>746</v>
      </c>
      <c r="AJ220" s="984">
        <v>26</v>
      </c>
      <c r="AK220" s="984">
        <v>114</v>
      </c>
      <c r="AL220" s="984">
        <v>1</v>
      </c>
      <c r="AM220" s="1055">
        <f>AK220*'tecnicecon agric'!$J$57</f>
        <v>54188</v>
      </c>
      <c r="AN220" s="1055">
        <f>AL220*'tecnicecon agric'!$J$56</f>
        <v>1129.625</v>
      </c>
      <c r="AO220" s="1055">
        <f t="shared" si="9"/>
        <v>55317.625</v>
      </c>
      <c r="AP220">
        <f>AL220*'tecnicecon agric'!$J$65+'cultius resum'!AK220</f>
        <v>118.2</v>
      </c>
      <c r="AQ220" s="779">
        <f t="shared" si="10"/>
        <v>54188</v>
      </c>
      <c r="AR220">
        <f>AN220+AL220*'tecnicecon agric'!$L$58</f>
        <v>1322.8318571428572</v>
      </c>
      <c r="AS220">
        <f>AP220*'4. Agricultura PIB'!$K$31</f>
        <v>336168.41497644794</v>
      </c>
      <c r="AT220">
        <f>AS220*'4. Agricultura PIB'!$D$71</f>
        <v>98833.514003075688</v>
      </c>
      <c r="AU220" s="779">
        <f t="shared" si="11"/>
        <v>490512.76083666645</v>
      </c>
    </row>
    <row r="221" spans="1:47">
      <c r="A221" s="974" t="s">
        <v>1496</v>
      </c>
      <c r="B221" s="976">
        <v>139</v>
      </c>
      <c r="C221" s="976">
        <v>19</v>
      </c>
      <c r="D221" s="976">
        <v>172</v>
      </c>
      <c r="E221" s="976">
        <v>3</v>
      </c>
      <c r="F221" s="976">
        <v>1</v>
      </c>
      <c r="G221" s="976">
        <v>5</v>
      </c>
      <c r="H221" s="976"/>
      <c r="I221" s="976"/>
      <c r="J221" s="976">
        <v>0</v>
      </c>
      <c r="K221" s="976">
        <v>1</v>
      </c>
      <c r="L221" s="976">
        <v>8</v>
      </c>
      <c r="M221" s="976">
        <v>0</v>
      </c>
      <c r="N221" s="976"/>
      <c r="O221" s="976"/>
      <c r="P221" s="976">
        <v>320</v>
      </c>
      <c r="Q221" s="977">
        <v>28</v>
      </c>
      <c r="T221" s="983" t="s">
        <v>1494</v>
      </c>
      <c r="U221" s="984">
        <v>34</v>
      </c>
      <c r="V221" s="984">
        <v>0</v>
      </c>
      <c r="W221" s="984">
        <v>24</v>
      </c>
      <c r="X221" s="984">
        <v>0</v>
      </c>
      <c r="Y221" s="984">
        <v>1</v>
      </c>
      <c r="Z221" s="984">
        <v>0</v>
      </c>
      <c r="AA221" s="984"/>
      <c r="AB221" s="984"/>
      <c r="AC221" s="984"/>
      <c r="AD221" s="984"/>
      <c r="AE221" s="984">
        <v>4</v>
      </c>
      <c r="AF221" s="984">
        <v>0</v>
      </c>
      <c r="AG221" s="984"/>
      <c r="AH221" s="984"/>
      <c r="AI221" s="984">
        <v>3</v>
      </c>
      <c r="AJ221" s="984">
        <v>0</v>
      </c>
      <c r="AK221" s="984">
        <v>63</v>
      </c>
      <c r="AL221" s="984">
        <v>0</v>
      </c>
      <c r="AM221" s="1055">
        <f>AK221*'tecnicecon agric'!$J$57</f>
        <v>29946</v>
      </c>
      <c r="AN221" s="1055">
        <f>AL221*'tecnicecon agric'!$J$56</f>
        <v>0</v>
      </c>
      <c r="AO221" s="1055">
        <f t="shared" si="9"/>
        <v>29946</v>
      </c>
      <c r="AP221">
        <f>AL221*'tecnicecon agric'!$J$65+'cultius resum'!AK221</f>
        <v>63</v>
      </c>
      <c r="AQ221" s="779">
        <f t="shared" si="10"/>
        <v>29946</v>
      </c>
      <c r="AR221">
        <f>AN221+AL221*'tecnicecon agric'!$L$58</f>
        <v>0</v>
      </c>
      <c r="AS221">
        <f>AP221*'4. Agricultura PIB'!$K$31</f>
        <v>179176.05874379203</v>
      </c>
      <c r="AT221">
        <f>AS221*'4. Agricultura PIB'!$D$71</f>
        <v>52677.761270674855</v>
      </c>
      <c r="AU221" s="779">
        <f t="shared" si="11"/>
        <v>261799.82001446688</v>
      </c>
    </row>
    <row r="222" spans="1:47">
      <c r="A222" s="974" t="s">
        <v>1501</v>
      </c>
      <c r="B222" s="976">
        <v>954</v>
      </c>
      <c r="C222" s="976">
        <v>5</v>
      </c>
      <c r="D222" s="976">
        <v>25</v>
      </c>
      <c r="E222" s="976">
        <v>0</v>
      </c>
      <c r="F222" s="976">
        <v>20</v>
      </c>
      <c r="G222" s="976">
        <v>0</v>
      </c>
      <c r="H222" s="976"/>
      <c r="I222" s="976"/>
      <c r="J222" s="976">
        <v>6</v>
      </c>
      <c r="K222" s="976">
        <v>6</v>
      </c>
      <c r="L222" s="976">
        <v>69</v>
      </c>
      <c r="M222" s="976">
        <v>0</v>
      </c>
      <c r="N222" s="976"/>
      <c r="O222" s="976"/>
      <c r="P222" s="976">
        <v>1074</v>
      </c>
      <c r="Q222" s="977">
        <v>11</v>
      </c>
      <c r="T222" s="983" t="s">
        <v>1499</v>
      </c>
      <c r="U222" s="984">
        <v>238</v>
      </c>
      <c r="V222" s="984">
        <v>0</v>
      </c>
      <c r="W222" s="984">
        <v>233</v>
      </c>
      <c r="X222" s="984">
        <v>0</v>
      </c>
      <c r="Y222" s="984">
        <v>50</v>
      </c>
      <c r="Z222" s="984">
        <v>0</v>
      </c>
      <c r="AA222" s="984"/>
      <c r="AB222" s="984"/>
      <c r="AC222" s="984"/>
      <c r="AD222" s="984"/>
      <c r="AE222" s="984">
        <v>3</v>
      </c>
      <c r="AF222" s="984">
        <v>0</v>
      </c>
      <c r="AG222" s="984"/>
      <c r="AH222" s="984"/>
      <c r="AI222" s="984" t="s">
        <v>752</v>
      </c>
      <c r="AJ222" s="984" t="s">
        <v>752</v>
      </c>
      <c r="AK222" s="984">
        <v>524</v>
      </c>
      <c r="AL222" s="984">
        <v>0</v>
      </c>
      <c r="AM222" s="1055">
        <f>AK222*'tecnicecon agric'!$J$57</f>
        <v>249074.66666666666</v>
      </c>
      <c r="AN222" s="1055">
        <f>AL222*'tecnicecon agric'!$J$56</f>
        <v>0</v>
      </c>
      <c r="AO222" s="1055">
        <f t="shared" si="9"/>
        <v>249074.66666666666</v>
      </c>
      <c r="AP222">
        <f>AL222*'tecnicecon agric'!$J$65+'cultius resum'!AK222</f>
        <v>524</v>
      </c>
      <c r="AQ222" s="779">
        <f t="shared" si="10"/>
        <v>249074.66666666666</v>
      </c>
      <c r="AR222">
        <f>AN222+AL222*'tecnicecon agric'!$L$58</f>
        <v>0</v>
      </c>
      <c r="AS222">
        <f>AP222*'4. Agricultura PIB'!$K$31</f>
        <v>1490289.7584404291</v>
      </c>
      <c r="AT222">
        <f>AS222*'4. Agricultura PIB'!$D$71</f>
        <v>438145.18898148614</v>
      </c>
      <c r="AU222" s="779">
        <f t="shared" si="11"/>
        <v>2177509.6140885819</v>
      </c>
    </row>
    <row r="223" spans="1:47">
      <c r="A223" s="974" t="s">
        <v>1506</v>
      </c>
      <c r="B223" s="976">
        <v>75</v>
      </c>
      <c r="C223" s="976">
        <v>2</v>
      </c>
      <c r="D223" s="976">
        <v>19</v>
      </c>
      <c r="E223" s="976">
        <v>0</v>
      </c>
      <c r="F223" s="976"/>
      <c r="G223" s="976"/>
      <c r="H223" s="976"/>
      <c r="I223" s="976"/>
      <c r="J223" s="976">
        <v>12</v>
      </c>
      <c r="K223" s="976">
        <v>7</v>
      </c>
      <c r="L223" s="976"/>
      <c r="M223" s="976"/>
      <c r="N223" s="976">
        <v>4</v>
      </c>
      <c r="O223" s="976">
        <v>0</v>
      </c>
      <c r="P223" s="976">
        <v>110</v>
      </c>
      <c r="Q223" s="977">
        <v>9</v>
      </c>
      <c r="T223" s="983" t="s">
        <v>1496</v>
      </c>
      <c r="U223" s="984">
        <v>139</v>
      </c>
      <c r="V223" s="984">
        <v>19</v>
      </c>
      <c r="W223" s="984">
        <v>172</v>
      </c>
      <c r="X223" s="984">
        <v>3</v>
      </c>
      <c r="Y223" s="984">
        <v>1</v>
      </c>
      <c r="Z223" s="984">
        <v>5</v>
      </c>
      <c r="AA223" s="984"/>
      <c r="AB223" s="984"/>
      <c r="AC223" s="984">
        <v>0</v>
      </c>
      <c r="AD223" s="984">
        <v>1</v>
      </c>
      <c r="AE223" s="984">
        <v>8</v>
      </c>
      <c r="AF223" s="984">
        <v>0</v>
      </c>
      <c r="AG223" s="984"/>
      <c r="AH223" s="984"/>
      <c r="AI223" s="984">
        <v>1</v>
      </c>
      <c r="AJ223" s="984">
        <v>0</v>
      </c>
      <c r="AK223" s="984">
        <v>320</v>
      </c>
      <c r="AL223" s="984">
        <v>28</v>
      </c>
      <c r="AM223" s="1055">
        <f>AK223*'tecnicecon agric'!$J$57</f>
        <v>152106.66666666666</v>
      </c>
      <c r="AN223" s="1055">
        <f>AL223*'tecnicecon agric'!$J$56</f>
        <v>31629.5</v>
      </c>
      <c r="AO223" s="1055">
        <f t="shared" si="9"/>
        <v>183736.16666666666</v>
      </c>
      <c r="AP223">
        <f>AL223*'tecnicecon agric'!$J$65+'cultius resum'!AK223</f>
        <v>437.6</v>
      </c>
      <c r="AQ223" s="779">
        <f t="shared" si="10"/>
        <v>152106.66666666666</v>
      </c>
      <c r="AR223">
        <f>AN223+AL223*'tecnicecon agric'!$L$58</f>
        <v>37039.292000000001</v>
      </c>
      <c r="AS223">
        <f>AP223*'4. Agricultura PIB'!$K$31</f>
        <v>1244562.5921632287</v>
      </c>
      <c r="AT223">
        <f>AS223*'4. Agricultura PIB'!$D$71</f>
        <v>365901.40209598921</v>
      </c>
      <c r="AU223" s="779">
        <f t="shared" si="11"/>
        <v>1799609.9529258846</v>
      </c>
    </row>
    <row r="224" spans="1:47">
      <c r="A224" s="974" t="s">
        <v>1510</v>
      </c>
      <c r="B224" s="976">
        <v>178</v>
      </c>
      <c r="C224" s="976">
        <v>0</v>
      </c>
      <c r="D224" s="976">
        <v>5</v>
      </c>
      <c r="E224" s="976">
        <v>0</v>
      </c>
      <c r="F224" s="976">
        <v>4</v>
      </c>
      <c r="G224" s="976">
        <v>0</v>
      </c>
      <c r="H224" s="976"/>
      <c r="I224" s="976"/>
      <c r="J224" s="976"/>
      <c r="K224" s="976"/>
      <c r="L224" s="976">
        <v>65</v>
      </c>
      <c r="M224" s="976">
        <v>0</v>
      </c>
      <c r="N224" s="976"/>
      <c r="O224" s="976"/>
      <c r="P224" s="976">
        <v>252</v>
      </c>
      <c r="Q224" s="977">
        <v>0</v>
      </c>
      <c r="T224" s="983" t="s">
        <v>1501</v>
      </c>
      <c r="U224" s="984">
        <v>954</v>
      </c>
      <c r="V224" s="984">
        <v>5</v>
      </c>
      <c r="W224" s="984">
        <v>25</v>
      </c>
      <c r="X224" s="984">
        <v>0</v>
      </c>
      <c r="Y224" s="984">
        <v>20</v>
      </c>
      <c r="Z224" s="984">
        <v>0</v>
      </c>
      <c r="AA224" s="984"/>
      <c r="AB224" s="984"/>
      <c r="AC224" s="984">
        <v>6</v>
      </c>
      <c r="AD224" s="984">
        <v>6</v>
      </c>
      <c r="AE224" s="984">
        <v>69</v>
      </c>
      <c r="AF224" s="984">
        <v>0</v>
      </c>
      <c r="AG224" s="984"/>
      <c r="AH224" s="984"/>
      <c r="AI224" s="984">
        <v>173</v>
      </c>
      <c r="AJ224" s="984">
        <v>8</v>
      </c>
      <c r="AK224" s="984">
        <v>1074</v>
      </c>
      <c r="AL224" s="984">
        <v>11</v>
      </c>
      <c r="AM224" s="1055">
        <f>AK224*'tecnicecon agric'!$J$57</f>
        <v>510508</v>
      </c>
      <c r="AN224" s="1055">
        <f>AL224*'tecnicecon agric'!$J$56</f>
        <v>12425.875</v>
      </c>
      <c r="AO224" s="1055">
        <f t="shared" si="9"/>
        <v>522933.875</v>
      </c>
      <c r="AP224">
        <f>AL224*'tecnicecon agric'!$J$65+'cultius resum'!AK224</f>
        <v>1120.2</v>
      </c>
      <c r="AQ224" s="779">
        <f t="shared" si="10"/>
        <v>510508</v>
      </c>
      <c r="AR224">
        <f>AN224+AL224*'tecnicecon agric'!$L$58</f>
        <v>14551.150428571429</v>
      </c>
      <c r="AS224">
        <f>AP224*'4. Agricultura PIB'!$K$31</f>
        <v>3185920.9683300927</v>
      </c>
      <c r="AT224">
        <f>AS224*'4. Agricultura PIB'!$D$71</f>
        <v>936660.76468904724</v>
      </c>
      <c r="AU224" s="779">
        <f t="shared" si="11"/>
        <v>4647640.8834477114</v>
      </c>
    </row>
    <row r="225" spans="1:47">
      <c r="A225" s="974" t="s">
        <v>1511</v>
      </c>
      <c r="B225" s="976">
        <v>1003</v>
      </c>
      <c r="C225" s="976">
        <v>0</v>
      </c>
      <c r="D225" s="976">
        <v>124</v>
      </c>
      <c r="E225" s="976">
        <v>0</v>
      </c>
      <c r="F225" s="976">
        <v>107</v>
      </c>
      <c r="G225" s="976">
        <v>0</v>
      </c>
      <c r="H225" s="976"/>
      <c r="I225" s="976"/>
      <c r="J225" s="976">
        <v>0</v>
      </c>
      <c r="K225" s="976">
        <v>2</v>
      </c>
      <c r="L225" s="976">
        <v>66</v>
      </c>
      <c r="M225" s="976">
        <v>0</v>
      </c>
      <c r="N225" s="976"/>
      <c r="O225" s="976"/>
      <c r="P225" s="976">
        <v>1300</v>
      </c>
      <c r="Q225" s="977">
        <v>2</v>
      </c>
      <c r="T225" s="983" t="s">
        <v>1506</v>
      </c>
      <c r="U225" s="984">
        <v>75</v>
      </c>
      <c r="V225" s="984">
        <v>2</v>
      </c>
      <c r="W225" s="984">
        <v>19</v>
      </c>
      <c r="X225" s="984">
        <v>0</v>
      </c>
      <c r="Y225" s="984"/>
      <c r="Z225" s="984"/>
      <c r="AA225" s="984"/>
      <c r="AB225" s="984"/>
      <c r="AC225" s="984">
        <v>12</v>
      </c>
      <c r="AD225" s="984">
        <v>7</v>
      </c>
      <c r="AE225" s="984"/>
      <c r="AF225" s="984"/>
      <c r="AG225" s="984">
        <v>4</v>
      </c>
      <c r="AH225" s="984">
        <v>0</v>
      </c>
      <c r="AI225" s="984">
        <v>1579</v>
      </c>
      <c r="AJ225" s="984">
        <v>71</v>
      </c>
      <c r="AK225" s="984">
        <v>110</v>
      </c>
      <c r="AL225" s="984">
        <v>9</v>
      </c>
      <c r="AM225" s="1055">
        <f>AK225*'tecnicecon agric'!$J$57</f>
        <v>52286.666666666664</v>
      </c>
      <c r="AN225" s="1055">
        <f>AL225*'tecnicecon agric'!$J$56</f>
        <v>10166.625</v>
      </c>
      <c r="AO225" s="1055">
        <f t="shared" si="9"/>
        <v>62453.291666666664</v>
      </c>
      <c r="AP225">
        <f>AL225*'tecnicecon agric'!$J$65+'cultius resum'!AK225</f>
        <v>147.80000000000001</v>
      </c>
      <c r="AQ225" s="779">
        <f t="shared" si="10"/>
        <v>52286.666666666664</v>
      </c>
      <c r="AR225">
        <f>AN225+AL225*'tecnicecon agric'!$L$58</f>
        <v>11905.486714285715</v>
      </c>
      <c r="AS225">
        <f>AP225*'4. Agricultura PIB'!$K$31</f>
        <v>420352.72194178519</v>
      </c>
      <c r="AT225">
        <f>AS225*'4. Agricultura PIB'!$D$71</f>
        <v>123583.70025088484</v>
      </c>
      <c r="AU225" s="779">
        <f t="shared" si="11"/>
        <v>608128.57557362237</v>
      </c>
    </row>
    <row r="226" spans="1:47">
      <c r="A226" s="974" t="s">
        <v>1518</v>
      </c>
      <c r="B226" s="976">
        <v>49</v>
      </c>
      <c r="C226" s="976">
        <v>0</v>
      </c>
      <c r="D226" s="976">
        <v>65</v>
      </c>
      <c r="E226" s="976">
        <v>0</v>
      </c>
      <c r="F226" s="976"/>
      <c r="G226" s="976"/>
      <c r="H226" s="976"/>
      <c r="I226" s="976"/>
      <c r="J226" s="976">
        <v>1</v>
      </c>
      <c r="K226" s="976">
        <v>6</v>
      </c>
      <c r="L226" s="976"/>
      <c r="M226" s="976"/>
      <c r="N226" s="976"/>
      <c r="O226" s="976"/>
      <c r="P226" s="976">
        <v>115</v>
      </c>
      <c r="Q226" s="977">
        <v>6</v>
      </c>
      <c r="T226" s="983" t="s">
        <v>1510</v>
      </c>
      <c r="U226" s="984">
        <v>178</v>
      </c>
      <c r="V226" s="984">
        <v>0</v>
      </c>
      <c r="W226" s="984">
        <v>5</v>
      </c>
      <c r="X226" s="984">
        <v>0</v>
      </c>
      <c r="Y226" s="984">
        <v>4</v>
      </c>
      <c r="Z226" s="984">
        <v>0</v>
      </c>
      <c r="AA226" s="984"/>
      <c r="AB226" s="984"/>
      <c r="AC226" s="984"/>
      <c r="AD226" s="984"/>
      <c r="AE226" s="984">
        <v>65</v>
      </c>
      <c r="AF226" s="984">
        <v>0</v>
      </c>
      <c r="AG226" s="984"/>
      <c r="AH226" s="984"/>
      <c r="AI226" s="984">
        <v>1</v>
      </c>
      <c r="AJ226" s="984">
        <v>0</v>
      </c>
      <c r="AK226" s="984">
        <v>252</v>
      </c>
      <c r="AL226" s="984">
        <v>0</v>
      </c>
      <c r="AM226" s="1055">
        <f>AK226*'tecnicecon agric'!$J$57</f>
        <v>119784</v>
      </c>
      <c r="AN226" s="1055">
        <f>AL226*'tecnicecon agric'!$J$56</f>
        <v>0</v>
      </c>
      <c r="AO226" s="1055">
        <f t="shared" si="9"/>
        <v>119784</v>
      </c>
      <c r="AP226">
        <f>AL226*'tecnicecon agric'!$J$65+'cultius resum'!AK226</f>
        <v>252</v>
      </c>
      <c r="AQ226" s="779">
        <f t="shared" si="10"/>
        <v>119784</v>
      </c>
      <c r="AR226">
        <f>AN226+AL226*'tecnicecon agric'!$L$58</f>
        <v>0</v>
      </c>
      <c r="AS226">
        <f>AP226*'4. Agricultura PIB'!$K$31</f>
        <v>716704.23497516813</v>
      </c>
      <c r="AT226">
        <f>AS226*'4. Agricultura PIB'!$D$71</f>
        <v>210711.04508269942</v>
      </c>
      <c r="AU226" s="779">
        <f t="shared" si="11"/>
        <v>1047199.2800578675</v>
      </c>
    </row>
    <row r="227" spans="1:47">
      <c r="A227" s="974" t="s">
        <v>1523</v>
      </c>
      <c r="B227" s="976">
        <v>24</v>
      </c>
      <c r="C227" s="976">
        <v>0</v>
      </c>
      <c r="D227" s="976">
        <v>4</v>
      </c>
      <c r="E227" s="976">
        <v>2</v>
      </c>
      <c r="F227" s="976"/>
      <c r="G227" s="976"/>
      <c r="H227" s="976"/>
      <c r="I227" s="976"/>
      <c r="J227" s="976">
        <v>2</v>
      </c>
      <c r="K227" s="976">
        <v>2</v>
      </c>
      <c r="L227" s="976">
        <v>1</v>
      </c>
      <c r="M227" s="976">
        <v>0</v>
      </c>
      <c r="N227" s="976">
        <v>2</v>
      </c>
      <c r="O227" s="976">
        <v>0</v>
      </c>
      <c r="P227" s="976">
        <v>33</v>
      </c>
      <c r="Q227" s="977">
        <v>4</v>
      </c>
      <c r="T227" s="983" t="s">
        <v>1511</v>
      </c>
      <c r="U227" s="984">
        <v>1003</v>
      </c>
      <c r="V227" s="984">
        <v>0</v>
      </c>
      <c r="W227" s="984">
        <v>124</v>
      </c>
      <c r="X227" s="984">
        <v>0</v>
      </c>
      <c r="Y227" s="984">
        <v>107</v>
      </c>
      <c r="Z227" s="984">
        <v>0</v>
      </c>
      <c r="AA227" s="984"/>
      <c r="AB227" s="984"/>
      <c r="AC227" s="984">
        <v>0</v>
      </c>
      <c r="AD227" s="984">
        <v>2</v>
      </c>
      <c r="AE227" s="984">
        <v>66</v>
      </c>
      <c r="AF227" s="984">
        <v>0</v>
      </c>
      <c r="AG227" s="984"/>
      <c r="AH227" s="984"/>
      <c r="AI227" s="984">
        <v>18</v>
      </c>
      <c r="AJ227" s="984">
        <v>1</v>
      </c>
      <c r="AK227" s="984">
        <v>1300</v>
      </c>
      <c r="AL227" s="984">
        <v>2</v>
      </c>
      <c r="AM227" s="1055">
        <f>AK227*'tecnicecon agric'!$J$57</f>
        <v>617933.33333333326</v>
      </c>
      <c r="AN227" s="1055">
        <f>AL227*'tecnicecon agric'!$J$56</f>
        <v>2259.25</v>
      </c>
      <c r="AO227" s="1055">
        <f t="shared" si="9"/>
        <v>620192.58333333326</v>
      </c>
      <c r="AP227">
        <f>AL227*'tecnicecon agric'!$J$65+'cultius resum'!AK227</f>
        <v>1308.4000000000001</v>
      </c>
      <c r="AQ227" s="779">
        <f t="shared" si="10"/>
        <v>617933.33333333326</v>
      </c>
      <c r="AR227">
        <f>AN227+AL227*'tecnicecon agric'!$L$58</f>
        <v>2645.6637142857144</v>
      </c>
      <c r="AS227">
        <f>AP227*'4. Agricultura PIB'!$K$31</f>
        <v>3721173.8930218653</v>
      </c>
      <c r="AT227">
        <f>AS227*'4. Agricultura PIB'!$D$71</f>
        <v>1094025.1245484282</v>
      </c>
      <c r="AU227" s="779">
        <f t="shared" si="11"/>
        <v>5435778.0146179125</v>
      </c>
    </row>
    <row r="228" spans="1:47">
      <c r="A228" s="974" t="s">
        <v>1524</v>
      </c>
      <c r="B228" s="976">
        <v>88</v>
      </c>
      <c r="C228" s="976">
        <v>11</v>
      </c>
      <c r="D228" s="976">
        <v>349</v>
      </c>
      <c r="E228" s="976">
        <v>19</v>
      </c>
      <c r="F228" s="976">
        <v>2</v>
      </c>
      <c r="G228" s="976">
        <v>0</v>
      </c>
      <c r="H228" s="976"/>
      <c r="I228" s="976"/>
      <c r="J228" s="976"/>
      <c r="K228" s="976"/>
      <c r="L228" s="976">
        <v>2</v>
      </c>
      <c r="M228" s="976">
        <v>0</v>
      </c>
      <c r="N228" s="976">
        <v>2</v>
      </c>
      <c r="O228" s="976">
        <v>0</v>
      </c>
      <c r="P228" s="976">
        <v>443</v>
      </c>
      <c r="Q228" s="977">
        <v>30</v>
      </c>
      <c r="T228" s="983" t="s">
        <v>1518</v>
      </c>
      <c r="U228" s="984">
        <v>49</v>
      </c>
      <c r="V228" s="984">
        <v>0</v>
      </c>
      <c r="W228" s="984">
        <v>65</v>
      </c>
      <c r="X228" s="984">
        <v>0</v>
      </c>
      <c r="Y228" s="984"/>
      <c r="Z228" s="984"/>
      <c r="AA228" s="984"/>
      <c r="AB228" s="984"/>
      <c r="AC228" s="984">
        <v>1</v>
      </c>
      <c r="AD228" s="984">
        <v>6</v>
      </c>
      <c r="AE228" s="984"/>
      <c r="AF228" s="984"/>
      <c r="AG228" s="984"/>
      <c r="AH228" s="984"/>
      <c r="AI228" s="984">
        <v>624</v>
      </c>
      <c r="AJ228" s="984">
        <v>8</v>
      </c>
      <c r="AK228" s="984">
        <v>115</v>
      </c>
      <c r="AL228" s="984">
        <v>6</v>
      </c>
      <c r="AM228" s="1055">
        <f>AK228*'tecnicecon agric'!$J$57</f>
        <v>54663.333333333328</v>
      </c>
      <c r="AN228" s="1055">
        <f>AL228*'tecnicecon agric'!$J$56</f>
        <v>6777.75</v>
      </c>
      <c r="AO228" s="1055">
        <f t="shared" si="9"/>
        <v>61441.083333333328</v>
      </c>
      <c r="AP228">
        <f>AL228*'tecnicecon agric'!$J$65+'cultius resum'!AK228</f>
        <v>140.19999999999999</v>
      </c>
      <c r="AQ228" s="779">
        <f t="shared" si="10"/>
        <v>54663.333333333328</v>
      </c>
      <c r="AR228">
        <f>AN228+AL228*'tecnicecon agric'!$L$58</f>
        <v>7936.9911428571431</v>
      </c>
      <c r="AS228">
        <f>AP228*'4. Agricultura PIB'!$K$31</f>
        <v>398737.83231554989</v>
      </c>
      <c r="AT228">
        <f>AS228*'4. Agricultura PIB'!$D$71</f>
        <v>117228.92270077167</v>
      </c>
      <c r="AU228" s="779">
        <f t="shared" si="11"/>
        <v>578567.07949251204</v>
      </c>
    </row>
    <row r="229" spans="1:47">
      <c r="A229" s="974" t="s">
        <v>1530</v>
      </c>
      <c r="B229" s="976">
        <v>83</v>
      </c>
      <c r="C229" s="976">
        <v>32</v>
      </c>
      <c r="D229" s="976">
        <v>111</v>
      </c>
      <c r="E229" s="976">
        <v>54</v>
      </c>
      <c r="F229" s="976">
        <v>0</v>
      </c>
      <c r="G229" s="976">
        <v>2</v>
      </c>
      <c r="H229" s="976"/>
      <c r="I229" s="976"/>
      <c r="J229" s="976">
        <v>1</v>
      </c>
      <c r="K229" s="976">
        <v>0</v>
      </c>
      <c r="L229" s="976">
        <v>2</v>
      </c>
      <c r="M229" s="976">
        <v>1</v>
      </c>
      <c r="N229" s="976"/>
      <c r="O229" s="976"/>
      <c r="P229" s="976">
        <v>197</v>
      </c>
      <c r="Q229" s="977">
        <v>89</v>
      </c>
      <c r="T229" s="983" t="s">
        <v>1523</v>
      </c>
      <c r="U229" s="984">
        <v>24</v>
      </c>
      <c r="V229" s="984">
        <v>0</v>
      </c>
      <c r="W229" s="984">
        <v>4</v>
      </c>
      <c r="X229" s="984">
        <v>2</v>
      </c>
      <c r="Y229" s="984"/>
      <c r="Z229" s="984"/>
      <c r="AA229" s="984"/>
      <c r="AB229" s="984"/>
      <c r="AC229" s="984">
        <v>2</v>
      </c>
      <c r="AD229" s="984">
        <v>2</v>
      </c>
      <c r="AE229" s="984">
        <v>1</v>
      </c>
      <c r="AF229" s="984">
        <v>0</v>
      </c>
      <c r="AG229" s="984">
        <v>2</v>
      </c>
      <c r="AH229" s="984">
        <v>0</v>
      </c>
      <c r="AI229" s="984">
        <v>131</v>
      </c>
      <c r="AJ229" s="984">
        <v>8</v>
      </c>
      <c r="AK229" s="984">
        <v>33</v>
      </c>
      <c r="AL229" s="984">
        <v>4</v>
      </c>
      <c r="AM229" s="1055">
        <f>AK229*'tecnicecon agric'!$J$57</f>
        <v>15686</v>
      </c>
      <c r="AN229" s="1055">
        <f>AL229*'tecnicecon agric'!$J$56</f>
        <v>4518.5</v>
      </c>
      <c r="AO229" s="1055">
        <f t="shared" si="9"/>
        <v>20204.5</v>
      </c>
      <c r="AP229">
        <f>AL229*'tecnicecon agric'!$J$65+'cultius resum'!AK229</f>
        <v>49.8</v>
      </c>
      <c r="AQ229" s="779">
        <f t="shared" si="10"/>
        <v>15686</v>
      </c>
      <c r="AR229">
        <f>AN229+AL229*'tecnicecon agric'!$L$58</f>
        <v>5291.3274285714288</v>
      </c>
      <c r="AS229">
        <f>AP229*'4. Agricultura PIB'!$K$31</f>
        <v>141634.40834033085</v>
      </c>
      <c r="AT229">
        <f>AS229*'4. Agricultura PIB'!$D$71</f>
        <v>41640.516052057268</v>
      </c>
      <c r="AU229" s="779">
        <f t="shared" si="11"/>
        <v>204252.25182095956</v>
      </c>
    </row>
    <row r="230" spans="1:47">
      <c r="A230" s="974" t="s">
        <v>1411</v>
      </c>
      <c r="B230" s="976">
        <v>748</v>
      </c>
      <c r="C230" s="976">
        <v>0</v>
      </c>
      <c r="D230" s="976">
        <v>23</v>
      </c>
      <c r="E230" s="976">
        <v>0</v>
      </c>
      <c r="F230" s="976">
        <v>63</v>
      </c>
      <c r="G230" s="976">
        <v>0</v>
      </c>
      <c r="H230" s="976"/>
      <c r="I230" s="976"/>
      <c r="J230" s="976"/>
      <c r="K230" s="976"/>
      <c r="L230" s="976">
        <v>76</v>
      </c>
      <c r="M230" s="976">
        <v>0</v>
      </c>
      <c r="N230" s="976"/>
      <c r="O230" s="976"/>
      <c r="P230" s="976">
        <v>910</v>
      </c>
      <c r="Q230" s="977">
        <v>0</v>
      </c>
      <c r="T230" s="983" t="s">
        <v>1524</v>
      </c>
      <c r="U230" s="984">
        <v>88</v>
      </c>
      <c r="V230" s="984">
        <v>11</v>
      </c>
      <c r="W230" s="984">
        <v>349</v>
      </c>
      <c r="X230" s="984">
        <v>19</v>
      </c>
      <c r="Y230" s="984">
        <v>2</v>
      </c>
      <c r="Z230" s="984">
        <v>0</v>
      </c>
      <c r="AA230" s="984"/>
      <c r="AB230" s="984"/>
      <c r="AC230" s="984"/>
      <c r="AD230" s="984"/>
      <c r="AE230" s="984">
        <v>2</v>
      </c>
      <c r="AF230" s="984">
        <v>0</v>
      </c>
      <c r="AG230" s="984">
        <v>2</v>
      </c>
      <c r="AH230" s="984">
        <v>0</v>
      </c>
      <c r="AI230" s="984" t="s">
        <v>752</v>
      </c>
      <c r="AJ230" s="984" t="s">
        <v>752</v>
      </c>
      <c r="AK230" s="984">
        <v>443</v>
      </c>
      <c r="AL230" s="984">
        <v>30</v>
      </c>
      <c r="AM230" s="1055">
        <f>AK230*'tecnicecon agric'!$J$57</f>
        <v>210572.66666666666</v>
      </c>
      <c r="AN230" s="1055">
        <f>AL230*'tecnicecon agric'!$J$56</f>
        <v>33888.75</v>
      </c>
      <c r="AO230" s="1055">
        <f t="shared" si="9"/>
        <v>244461.41666666666</v>
      </c>
      <c r="AP230">
        <f>AL230*'tecnicecon agric'!$J$65+'cultius resum'!AK230</f>
        <v>569</v>
      </c>
      <c r="AQ230" s="779">
        <f t="shared" si="10"/>
        <v>210572.66666666666</v>
      </c>
      <c r="AR230">
        <f>AN230+AL230*'tecnicecon agric'!$L$58</f>
        <v>39684.955714285716</v>
      </c>
      <c r="AS230">
        <f>AP230*'4. Agricultura PIB'!$K$31</f>
        <v>1618272.6575431377</v>
      </c>
      <c r="AT230">
        <f>AS230*'4. Agricultura PIB'!$D$71</f>
        <v>475772.16131768248</v>
      </c>
      <c r="AU230" s="779">
        <f t="shared" si="11"/>
        <v>2344302.4412417724</v>
      </c>
    </row>
    <row r="231" spans="1:47">
      <c r="A231" s="974" t="s">
        <v>353</v>
      </c>
      <c r="B231" s="976"/>
      <c r="C231" s="976"/>
      <c r="D231" s="976"/>
      <c r="E231" s="976"/>
      <c r="F231" s="976"/>
      <c r="G231" s="976"/>
      <c r="H231" s="976"/>
      <c r="I231" s="976"/>
      <c r="J231" s="976">
        <v>0</v>
      </c>
      <c r="K231" s="976">
        <v>50</v>
      </c>
      <c r="L231" s="976">
        <v>0</v>
      </c>
      <c r="M231" s="976">
        <v>1</v>
      </c>
      <c r="N231" s="976">
        <v>0</v>
      </c>
      <c r="O231" s="976">
        <v>5</v>
      </c>
      <c r="P231" s="976">
        <v>0</v>
      </c>
      <c r="Q231" s="977">
        <v>56</v>
      </c>
      <c r="T231" s="983" t="s">
        <v>1530</v>
      </c>
      <c r="U231" s="984">
        <v>83</v>
      </c>
      <c r="V231" s="984">
        <v>32</v>
      </c>
      <c r="W231" s="984">
        <v>111</v>
      </c>
      <c r="X231" s="984">
        <v>54</v>
      </c>
      <c r="Y231" s="984">
        <v>0</v>
      </c>
      <c r="Z231" s="984">
        <v>2</v>
      </c>
      <c r="AA231" s="984"/>
      <c r="AB231" s="984"/>
      <c r="AC231" s="984">
        <v>1</v>
      </c>
      <c r="AD231" s="984">
        <v>0</v>
      </c>
      <c r="AE231" s="984">
        <v>2</v>
      </c>
      <c r="AF231" s="984">
        <v>1</v>
      </c>
      <c r="AG231" s="984"/>
      <c r="AH231" s="984"/>
      <c r="AI231" s="984" t="s">
        <v>752</v>
      </c>
      <c r="AJ231" s="984" t="s">
        <v>752</v>
      </c>
      <c r="AK231" s="984">
        <v>197</v>
      </c>
      <c r="AL231" s="984">
        <v>89</v>
      </c>
      <c r="AM231" s="1055">
        <f>AK231*'tecnicecon agric'!$J$57</f>
        <v>93640.666666666657</v>
      </c>
      <c r="AN231" s="1055">
        <f>AL231*'tecnicecon agric'!$J$56</f>
        <v>100536.625</v>
      </c>
      <c r="AO231" s="1055">
        <f t="shared" si="9"/>
        <v>194177.29166666666</v>
      </c>
      <c r="AP231">
        <f>AL231*'tecnicecon agric'!$J$65+'cultius resum'!AK231</f>
        <v>570.79999999999995</v>
      </c>
      <c r="AQ231" s="779">
        <f t="shared" si="10"/>
        <v>93640.666666666657</v>
      </c>
      <c r="AR231">
        <f>AN231+AL231*'tecnicecon agric'!$L$58</f>
        <v>117732.03528571429</v>
      </c>
      <c r="AS231">
        <f>AP231*'4. Agricultura PIB'!$K$31</f>
        <v>1623391.9735072458</v>
      </c>
      <c r="AT231">
        <f>AS231*'4. Agricultura PIB'!$D$71</f>
        <v>477277.24021113024</v>
      </c>
      <c r="AU231" s="779">
        <f t="shared" si="11"/>
        <v>2312041.9156707567</v>
      </c>
    </row>
    <row r="232" spans="1:47">
      <c r="A232" s="974" t="s">
        <v>1532</v>
      </c>
      <c r="B232" s="976">
        <v>51</v>
      </c>
      <c r="C232" s="976">
        <v>1</v>
      </c>
      <c r="D232" s="976">
        <v>3</v>
      </c>
      <c r="E232" s="976">
        <v>0</v>
      </c>
      <c r="F232" s="976"/>
      <c r="G232" s="976"/>
      <c r="H232" s="976"/>
      <c r="I232" s="976"/>
      <c r="J232" s="976">
        <v>4</v>
      </c>
      <c r="K232" s="976">
        <v>0</v>
      </c>
      <c r="L232" s="976">
        <v>2</v>
      </c>
      <c r="M232" s="976">
        <v>0</v>
      </c>
      <c r="N232" s="976">
        <v>1</v>
      </c>
      <c r="O232" s="976">
        <v>0</v>
      </c>
      <c r="P232" s="976">
        <v>61</v>
      </c>
      <c r="Q232" s="977">
        <v>1</v>
      </c>
      <c r="T232" s="983" t="s">
        <v>1411</v>
      </c>
      <c r="U232" s="984">
        <v>748</v>
      </c>
      <c r="V232" s="984">
        <v>0</v>
      </c>
      <c r="W232" s="984">
        <v>23</v>
      </c>
      <c r="X232" s="984">
        <v>0</v>
      </c>
      <c r="Y232" s="984">
        <v>63</v>
      </c>
      <c r="Z232" s="984">
        <v>0</v>
      </c>
      <c r="AA232" s="984"/>
      <c r="AB232" s="984"/>
      <c r="AC232" s="984"/>
      <c r="AD232" s="984"/>
      <c r="AE232" s="984">
        <v>76</v>
      </c>
      <c r="AF232" s="984">
        <v>0</v>
      </c>
      <c r="AG232" s="984"/>
      <c r="AH232" s="984"/>
      <c r="AI232" s="984" t="s">
        <v>752</v>
      </c>
      <c r="AJ232" s="984" t="s">
        <v>752</v>
      </c>
      <c r="AK232" s="984">
        <v>910</v>
      </c>
      <c r="AL232" s="984">
        <v>0</v>
      </c>
      <c r="AM232" s="1055">
        <f>AK232*'tecnicecon agric'!$J$57</f>
        <v>432553.33333333331</v>
      </c>
      <c r="AN232" s="1055">
        <f>AL232*'tecnicecon agric'!$J$56</f>
        <v>0</v>
      </c>
      <c r="AO232" s="1055">
        <f t="shared" si="9"/>
        <v>432553.33333333331</v>
      </c>
      <c r="AP232">
        <f>AL232*'tecnicecon agric'!$J$65+'cultius resum'!AK232</f>
        <v>910</v>
      </c>
      <c r="AQ232" s="779">
        <f t="shared" si="10"/>
        <v>432553.33333333331</v>
      </c>
      <c r="AR232">
        <f>AN232+AL232*'tecnicecon agric'!$L$58</f>
        <v>0</v>
      </c>
      <c r="AS232">
        <f>AP232*'4. Agricultura PIB'!$K$31</f>
        <v>2588098.6262992183</v>
      </c>
      <c r="AT232">
        <f>AS232*'4. Agricultura PIB'!$D$71</f>
        <v>760900.99613197008</v>
      </c>
      <c r="AU232" s="779">
        <f t="shared" si="11"/>
        <v>3781552.9557645218</v>
      </c>
    </row>
    <row r="233" spans="1:47">
      <c r="A233" s="974" t="s">
        <v>1536</v>
      </c>
      <c r="B233" s="976">
        <v>9</v>
      </c>
      <c r="C233" s="976">
        <v>1</v>
      </c>
      <c r="D233" s="976">
        <v>33</v>
      </c>
      <c r="E233" s="976">
        <v>21</v>
      </c>
      <c r="F233" s="976"/>
      <c r="G233" s="976"/>
      <c r="H233" s="976"/>
      <c r="I233" s="976"/>
      <c r="J233" s="976"/>
      <c r="K233" s="976"/>
      <c r="L233" s="976"/>
      <c r="M233" s="976"/>
      <c r="N233" s="976"/>
      <c r="O233" s="976"/>
      <c r="P233" s="976">
        <v>42</v>
      </c>
      <c r="Q233" s="977">
        <v>22</v>
      </c>
      <c r="T233" s="983" t="s">
        <v>353</v>
      </c>
      <c r="U233" s="984"/>
      <c r="V233" s="984"/>
      <c r="W233" s="984"/>
      <c r="X233" s="984"/>
      <c r="Y233" s="984"/>
      <c r="Z233" s="984"/>
      <c r="AA233" s="984"/>
      <c r="AB233" s="984"/>
      <c r="AC233" s="984">
        <v>0</v>
      </c>
      <c r="AD233" s="984">
        <v>50</v>
      </c>
      <c r="AE233" s="984">
        <v>0</v>
      </c>
      <c r="AF233" s="984">
        <v>1</v>
      </c>
      <c r="AG233" s="984">
        <v>0</v>
      </c>
      <c r="AH233" s="984">
        <v>5</v>
      </c>
      <c r="AI233" s="984">
        <v>3</v>
      </c>
      <c r="AJ233" s="984">
        <v>0</v>
      </c>
      <c r="AK233" s="984">
        <v>0</v>
      </c>
      <c r="AL233" s="984">
        <v>56</v>
      </c>
      <c r="AM233" s="1055">
        <f>AK233*'tecnicecon agric'!$J$57</f>
        <v>0</v>
      </c>
      <c r="AN233" s="1055">
        <f>AL233*'tecnicecon agric'!$J$56</f>
        <v>63259</v>
      </c>
      <c r="AO233" s="1055">
        <f t="shared" si="9"/>
        <v>63259</v>
      </c>
      <c r="AP233">
        <f>AL233*'tecnicecon agric'!$J$65+'cultius resum'!AK233</f>
        <v>235.20000000000002</v>
      </c>
      <c r="AQ233" s="779">
        <f t="shared" si="10"/>
        <v>0</v>
      </c>
      <c r="AR233">
        <f>AN233+AL233*'tecnicecon agric'!$L$58</f>
        <v>74078.584000000003</v>
      </c>
      <c r="AS233">
        <f>AP233*'4. Agricultura PIB'!$K$31</f>
        <v>668923.95264349028</v>
      </c>
      <c r="AT233">
        <f>AS233*'4. Agricultura PIB'!$D$71</f>
        <v>196663.64207718614</v>
      </c>
      <c r="AU233" s="779">
        <f t="shared" si="11"/>
        <v>939666.17872067646</v>
      </c>
    </row>
    <row r="234" spans="1:47">
      <c r="A234" s="974" t="s">
        <v>1538</v>
      </c>
      <c r="B234" s="976">
        <v>49</v>
      </c>
      <c r="C234" s="976">
        <v>0</v>
      </c>
      <c r="D234" s="976">
        <v>33</v>
      </c>
      <c r="E234" s="976">
        <v>0</v>
      </c>
      <c r="F234" s="976"/>
      <c r="G234" s="976"/>
      <c r="H234" s="976"/>
      <c r="I234" s="976"/>
      <c r="J234" s="976"/>
      <c r="K234" s="976"/>
      <c r="L234" s="976"/>
      <c r="M234" s="976"/>
      <c r="N234" s="976"/>
      <c r="O234" s="976"/>
      <c r="P234" s="976">
        <v>82</v>
      </c>
      <c r="Q234" s="977">
        <v>0</v>
      </c>
      <c r="T234" s="983" t="s">
        <v>1532</v>
      </c>
      <c r="U234" s="984">
        <v>51</v>
      </c>
      <c r="V234" s="984">
        <v>1</v>
      </c>
      <c r="W234" s="984">
        <v>3</v>
      </c>
      <c r="X234" s="984">
        <v>0</v>
      </c>
      <c r="Y234" s="984"/>
      <c r="Z234" s="984"/>
      <c r="AA234" s="984"/>
      <c r="AB234" s="984"/>
      <c r="AC234" s="984">
        <v>4</v>
      </c>
      <c r="AD234" s="984">
        <v>0</v>
      </c>
      <c r="AE234" s="984">
        <v>2</v>
      </c>
      <c r="AF234" s="984">
        <v>0</v>
      </c>
      <c r="AG234" s="984">
        <v>1</v>
      </c>
      <c r="AH234" s="984">
        <v>0</v>
      </c>
      <c r="AI234" s="984">
        <v>314</v>
      </c>
      <c r="AJ234" s="984">
        <v>3</v>
      </c>
      <c r="AK234" s="984">
        <v>61</v>
      </c>
      <c r="AL234" s="984">
        <v>1</v>
      </c>
      <c r="AM234" s="1055">
        <f>AK234*'tecnicecon agric'!$J$57</f>
        <v>28995.333333333332</v>
      </c>
      <c r="AN234" s="1055">
        <f>AL234*'tecnicecon agric'!$J$56</f>
        <v>1129.625</v>
      </c>
      <c r="AO234" s="1055">
        <f t="shared" si="9"/>
        <v>30124.958333333332</v>
      </c>
      <c r="AP234">
        <f>AL234*'tecnicecon agric'!$J$65+'cultius resum'!AK234</f>
        <v>65.2</v>
      </c>
      <c r="AQ234" s="779">
        <f t="shared" si="10"/>
        <v>28995.333333333332</v>
      </c>
      <c r="AR234">
        <f>AN234+AL234*'tecnicecon agric'!$L$58</f>
        <v>1322.8318571428572</v>
      </c>
      <c r="AS234">
        <f>AP234*'4. Agricultura PIB'!$K$31</f>
        <v>185433.00047770224</v>
      </c>
      <c r="AT234">
        <f>AS234*'4. Agricultura PIB'!$D$71</f>
        <v>54517.302140444459</v>
      </c>
      <c r="AU234" s="779">
        <f t="shared" si="11"/>
        <v>270268.46780862287</v>
      </c>
    </row>
    <row r="235" spans="1:47">
      <c r="A235" s="974" t="s">
        <v>1542</v>
      </c>
      <c r="B235" s="976">
        <v>54</v>
      </c>
      <c r="C235" s="976">
        <v>0</v>
      </c>
      <c r="D235" s="976">
        <v>41</v>
      </c>
      <c r="E235" s="976">
        <v>0</v>
      </c>
      <c r="F235" s="976">
        <v>9</v>
      </c>
      <c r="G235" s="976">
        <v>0</v>
      </c>
      <c r="H235" s="976"/>
      <c r="I235" s="976"/>
      <c r="J235" s="976"/>
      <c r="K235" s="976"/>
      <c r="L235" s="976">
        <v>2</v>
      </c>
      <c r="M235" s="976">
        <v>0</v>
      </c>
      <c r="N235" s="976"/>
      <c r="O235" s="976"/>
      <c r="P235" s="976">
        <v>106</v>
      </c>
      <c r="Q235" s="977">
        <v>0</v>
      </c>
      <c r="T235" s="983" t="s">
        <v>1536</v>
      </c>
      <c r="U235" s="984">
        <v>9</v>
      </c>
      <c r="V235" s="984">
        <v>1</v>
      </c>
      <c r="W235" s="984">
        <v>33</v>
      </c>
      <c r="X235" s="984">
        <v>21</v>
      </c>
      <c r="Y235" s="984"/>
      <c r="Z235" s="984"/>
      <c r="AA235" s="984"/>
      <c r="AB235" s="984"/>
      <c r="AC235" s="984"/>
      <c r="AD235" s="984"/>
      <c r="AE235" s="984"/>
      <c r="AF235" s="984"/>
      <c r="AG235" s="984"/>
      <c r="AH235" s="984"/>
      <c r="AI235" s="984" t="s">
        <v>752</v>
      </c>
      <c r="AJ235" s="984" t="s">
        <v>752</v>
      </c>
      <c r="AK235" s="984">
        <v>42</v>
      </c>
      <c r="AL235" s="984">
        <v>22</v>
      </c>
      <c r="AM235" s="1055">
        <f>AK235*'tecnicecon agric'!$J$57</f>
        <v>19964</v>
      </c>
      <c r="AN235" s="1055">
        <f>AL235*'tecnicecon agric'!$J$56</f>
        <v>24851.75</v>
      </c>
      <c r="AO235" s="1055">
        <f t="shared" si="9"/>
        <v>44815.75</v>
      </c>
      <c r="AP235">
        <f>AL235*'tecnicecon agric'!$J$65+'cultius resum'!AK235</f>
        <v>134.4</v>
      </c>
      <c r="AQ235" s="779">
        <f t="shared" si="10"/>
        <v>19964</v>
      </c>
      <c r="AR235">
        <f>AN235+AL235*'tecnicecon agric'!$L$58</f>
        <v>29102.300857142858</v>
      </c>
      <c r="AS235">
        <f>AP235*'4. Agricultura PIB'!$K$31</f>
        <v>382242.25865342305</v>
      </c>
      <c r="AT235">
        <f>AS235*'4. Agricultura PIB'!$D$71</f>
        <v>112379.22404410638</v>
      </c>
      <c r="AU235" s="779">
        <f t="shared" si="11"/>
        <v>543687.78355467226</v>
      </c>
    </row>
    <row r="236" spans="1:47">
      <c r="A236" s="974" t="s">
        <v>1544</v>
      </c>
      <c r="B236" s="976">
        <v>56</v>
      </c>
      <c r="C236" s="976">
        <v>0</v>
      </c>
      <c r="D236" s="976">
        <v>2</v>
      </c>
      <c r="E236" s="976">
        <v>0</v>
      </c>
      <c r="F236" s="976"/>
      <c r="G236" s="976"/>
      <c r="H236" s="976"/>
      <c r="I236" s="976"/>
      <c r="J236" s="976">
        <v>4</v>
      </c>
      <c r="K236" s="976">
        <v>2</v>
      </c>
      <c r="L236" s="976">
        <v>1</v>
      </c>
      <c r="M236" s="976">
        <v>0</v>
      </c>
      <c r="N236" s="976">
        <v>1</v>
      </c>
      <c r="O236" s="976">
        <v>0</v>
      </c>
      <c r="P236" s="976">
        <v>64</v>
      </c>
      <c r="Q236" s="977">
        <v>2</v>
      </c>
      <c r="T236" s="983" t="s">
        <v>1538</v>
      </c>
      <c r="U236" s="984">
        <v>49</v>
      </c>
      <c r="V236" s="984">
        <v>0</v>
      </c>
      <c r="W236" s="984">
        <v>33</v>
      </c>
      <c r="X236" s="984">
        <v>0</v>
      </c>
      <c r="Y236" s="984"/>
      <c r="Z236" s="984"/>
      <c r="AA236" s="984"/>
      <c r="AB236" s="984"/>
      <c r="AC236" s="984"/>
      <c r="AD236" s="984"/>
      <c r="AE236" s="984"/>
      <c r="AF236" s="984"/>
      <c r="AG236" s="984"/>
      <c r="AH236" s="984"/>
      <c r="AI236" s="984">
        <v>2</v>
      </c>
      <c r="AJ236" s="984">
        <v>0</v>
      </c>
      <c r="AK236" s="984">
        <v>82</v>
      </c>
      <c r="AL236" s="984">
        <v>0</v>
      </c>
      <c r="AM236" s="1055">
        <f>AK236*'tecnicecon agric'!$J$57</f>
        <v>38977.333333333328</v>
      </c>
      <c r="AN236" s="1055">
        <f>AL236*'tecnicecon agric'!$J$56</f>
        <v>0</v>
      </c>
      <c r="AO236" s="1055">
        <f t="shared" si="9"/>
        <v>38977.333333333328</v>
      </c>
      <c r="AP236">
        <f>AL236*'tecnicecon agric'!$J$65+'cultius resum'!AK236</f>
        <v>82</v>
      </c>
      <c r="AQ236" s="779">
        <f t="shared" si="10"/>
        <v>38977.333333333328</v>
      </c>
      <c r="AR236">
        <f>AN236+AL236*'tecnicecon agric'!$L$58</f>
        <v>0</v>
      </c>
      <c r="AS236">
        <f>AP236*'4. Agricultura PIB'!$K$31</f>
        <v>233213.28280938012</v>
      </c>
      <c r="AT236">
        <f>AS236*'4. Agricultura PIB'!$D$71</f>
        <v>68564.705145957749</v>
      </c>
      <c r="AU236" s="779">
        <f t="shared" si="11"/>
        <v>340755.32128867123</v>
      </c>
    </row>
    <row r="237" spans="1:47">
      <c r="A237" s="974" t="s">
        <v>1549</v>
      </c>
      <c r="B237" s="976">
        <v>14</v>
      </c>
      <c r="C237" s="976">
        <v>0</v>
      </c>
      <c r="D237" s="976">
        <v>113</v>
      </c>
      <c r="E237" s="976">
        <v>0</v>
      </c>
      <c r="F237" s="976"/>
      <c r="G237" s="976"/>
      <c r="H237" s="976"/>
      <c r="I237" s="976"/>
      <c r="J237" s="976"/>
      <c r="K237" s="976"/>
      <c r="L237" s="976"/>
      <c r="M237" s="976"/>
      <c r="N237" s="976"/>
      <c r="O237" s="976"/>
      <c r="P237" s="976">
        <v>127</v>
      </c>
      <c r="Q237" s="977">
        <v>0</v>
      </c>
      <c r="T237" s="983" t="s">
        <v>1542</v>
      </c>
      <c r="U237" s="984">
        <v>54</v>
      </c>
      <c r="V237" s="984">
        <v>0</v>
      </c>
      <c r="W237" s="984">
        <v>41</v>
      </c>
      <c r="X237" s="984">
        <v>0</v>
      </c>
      <c r="Y237" s="984">
        <v>9</v>
      </c>
      <c r="Z237" s="984">
        <v>0</v>
      </c>
      <c r="AA237" s="984"/>
      <c r="AB237" s="984"/>
      <c r="AC237" s="984"/>
      <c r="AD237" s="984"/>
      <c r="AE237" s="984">
        <v>2</v>
      </c>
      <c r="AF237" s="984">
        <v>0</v>
      </c>
      <c r="AG237" s="984"/>
      <c r="AH237" s="984"/>
      <c r="AI237" s="984" t="s">
        <v>752</v>
      </c>
      <c r="AJ237" s="984" t="s">
        <v>752</v>
      </c>
      <c r="AK237" s="984">
        <v>106</v>
      </c>
      <c r="AL237" s="984">
        <v>0</v>
      </c>
      <c r="AM237" s="1055">
        <f>AK237*'tecnicecon agric'!$J$57</f>
        <v>50385.333333333328</v>
      </c>
      <c r="AN237" s="1055">
        <f>AL237*'tecnicecon agric'!$J$56</f>
        <v>0</v>
      </c>
      <c r="AO237" s="1055">
        <f t="shared" si="9"/>
        <v>50385.333333333328</v>
      </c>
      <c r="AP237">
        <f>AL237*'tecnicecon agric'!$J$65+'cultius resum'!AK237</f>
        <v>106</v>
      </c>
      <c r="AQ237" s="779">
        <f t="shared" si="10"/>
        <v>50385.333333333328</v>
      </c>
      <c r="AR237">
        <f>AN237+AL237*'tecnicecon agric'!$L$58</f>
        <v>0</v>
      </c>
      <c r="AS237">
        <f>AP237*'4. Agricultura PIB'!$K$31</f>
        <v>301470.82899749139</v>
      </c>
      <c r="AT237">
        <f>AS237*'4. Agricultura PIB'!$D$71</f>
        <v>88632.423725262459</v>
      </c>
      <c r="AU237" s="779">
        <f t="shared" si="11"/>
        <v>440488.58605608717</v>
      </c>
    </row>
    <row r="238" spans="1:47">
      <c r="A238" s="974" t="s">
        <v>1121</v>
      </c>
      <c r="B238" s="976">
        <v>304</v>
      </c>
      <c r="C238" s="976">
        <v>0</v>
      </c>
      <c r="D238" s="976">
        <v>107</v>
      </c>
      <c r="E238" s="976">
        <v>2</v>
      </c>
      <c r="F238" s="976">
        <v>23</v>
      </c>
      <c r="G238" s="976">
        <v>0</v>
      </c>
      <c r="H238" s="976"/>
      <c r="I238" s="976"/>
      <c r="J238" s="976">
        <v>0</v>
      </c>
      <c r="K238" s="976">
        <v>4</v>
      </c>
      <c r="L238" s="976">
        <v>17</v>
      </c>
      <c r="M238" s="976">
        <v>0</v>
      </c>
      <c r="N238" s="976"/>
      <c r="O238" s="976"/>
      <c r="P238" s="976">
        <v>451</v>
      </c>
      <c r="Q238" s="977">
        <v>6</v>
      </c>
      <c r="T238" s="983" t="s">
        <v>1544</v>
      </c>
      <c r="U238" s="984">
        <v>56</v>
      </c>
      <c r="V238" s="984">
        <v>0</v>
      </c>
      <c r="W238" s="984">
        <v>2</v>
      </c>
      <c r="X238" s="984">
        <v>0</v>
      </c>
      <c r="Y238" s="984"/>
      <c r="Z238" s="984"/>
      <c r="AA238" s="984"/>
      <c r="AB238" s="984"/>
      <c r="AC238" s="984">
        <v>4</v>
      </c>
      <c r="AD238" s="984">
        <v>2</v>
      </c>
      <c r="AE238" s="984">
        <v>1</v>
      </c>
      <c r="AF238" s="984">
        <v>0</v>
      </c>
      <c r="AG238" s="984">
        <v>1</v>
      </c>
      <c r="AH238" s="984">
        <v>0</v>
      </c>
      <c r="AI238" s="984">
        <v>639</v>
      </c>
      <c r="AJ238" s="984">
        <v>39</v>
      </c>
      <c r="AK238" s="984">
        <v>64</v>
      </c>
      <c r="AL238" s="984">
        <v>2</v>
      </c>
      <c r="AM238" s="1055">
        <f>AK238*'tecnicecon agric'!$J$57</f>
        <v>30421.333333333332</v>
      </c>
      <c r="AN238" s="1055">
        <f>AL238*'tecnicecon agric'!$J$56</f>
        <v>2259.25</v>
      </c>
      <c r="AO238" s="1055">
        <f t="shared" si="9"/>
        <v>32680.583333333332</v>
      </c>
      <c r="AP238">
        <f>AL238*'tecnicecon agric'!$J$65+'cultius resum'!AK238</f>
        <v>72.400000000000006</v>
      </c>
      <c r="AQ238" s="779">
        <f t="shared" si="10"/>
        <v>30421.333333333332</v>
      </c>
      <c r="AR238">
        <f>AN238+AL238*'tecnicecon agric'!$L$58</f>
        <v>2645.6637142857144</v>
      </c>
      <c r="AS238">
        <f>AP238*'4. Agricultura PIB'!$K$31</f>
        <v>205910.26433413563</v>
      </c>
      <c r="AT238">
        <f>AS238*'4. Agricultura PIB'!$D$71</f>
        <v>60537.617714235872</v>
      </c>
      <c r="AU238" s="779">
        <f t="shared" si="11"/>
        <v>299514.87909599056</v>
      </c>
    </row>
    <row r="239" spans="1:47">
      <c r="A239" s="974" t="s">
        <v>1600</v>
      </c>
      <c r="B239" s="976">
        <v>48</v>
      </c>
      <c r="C239" s="976">
        <v>0</v>
      </c>
      <c r="D239" s="976">
        <v>51</v>
      </c>
      <c r="E239" s="976">
        <v>0</v>
      </c>
      <c r="F239" s="976"/>
      <c r="G239" s="976"/>
      <c r="H239" s="976"/>
      <c r="I239" s="976"/>
      <c r="J239" s="976">
        <v>0</v>
      </c>
      <c r="K239" s="976">
        <v>4</v>
      </c>
      <c r="L239" s="976">
        <v>3</v>
      </c>
      <c r="M239" s="976">
        <v>0</v>
      </c>
      <c r="N239" s="976"/>
      <c r="O239" s="976"/>
      <c r="P239" s="976">
        <v>102</v>
      </c>
      <c r="Q239" s="977">
        <v>4</v>
      </c>
      <c r="T239" s="983" t="s">
        <v>1549</v>
      </c>
      <c r="U239" s="984">
        <v>14</v>
      </c>
      <c r="V239" s="984">
        <v>0</v>
      </c>
      <c r="W239" s="984">
        <v>113</v>
      </c>
      <c r="X239" s="984">
        <v>0</v>
      </c>
      <c r="Y239" s="984"/>
      <c r="Z239" s="984"/>
      <c r="AA239" s="984"/>
      <c r="AB239" s="984"/>
      <c r="AC239" s="984"/>
      <c r="AD239" s="984"/>
      <c r="AE239" s="984"/>
      <c r="AF239" s="984"/>
      <c r="AG239" s="984"/>
      <c r="AH239" s="984"/>
      <c r="AI239" s="984" t="s">
        <v>752</v>
      </c>
      <c r="AJ239" s="984" t="s">
        <v>752</v>
      </c>
      <c r="AK239" s="984">
        <v>127</v>
      </c>
      <c r="AL239" s="984">
        <v>0</v>
      </c>
      <c r="AM239" s="1055">
        <f>AK239*'tecnicecon agric'!$J$57</f>
        <v>60367.333333333328</v>
      </c>
      <c r="AN239" s="1055">
        <f>AL239*'tecnicecon agric'!$J$56</f>
        <v>0</v>
      </c>
      <c r="AO239" s="1055">
        <f t="shared" si="9"/>
        <v>60367.333333333328</v>
      </c>
      <c r="AP239">
        <f>AL239*'tecnicecon agric'!$J$65+'cultius resum'!AK239</f>
        <v>127</v>
      </c>
      <c r="AQ239" s="779">
        <f t="shared" si="10"/>
        <v>60367.333333333328</v>
      </c>
      <c r="AR239">
        <f>AN239+AL239*'tecnicecon agric'!$L$58</f>
        <v>0</v>
      </c>
      <c r="AS239">
        <f>AP239*'4. Agricultura PIB'!$K$31</f>
        <v>361196.18191208871</v>
      </c>
      <c r="AT239">
        <f>AS239*'4. Agricultura PIB'!$D$71</f>
        <v>106191.67748215407</v>
      </c>
      <c r="AU239" s="779">
        <f t="shared" si="11"/>
        <v>527755.19272757613</v>
      </c>
    </row>
    <row r="240" spans="1:47">
      <c r="A240" s="974" t="s">
        <v>355</v>
      </c>
      <c r="B240" s="976"/>
      <c r="C240" s="976"/>
      <c r="D240" s="976"/>
      <c r="E240" s="976"/>
      <c r="F240" s="976"/>
      <c r="G240" s="976"/>
      <c r="H240" s="976">
        <v>0</v>
      </c>
      <c r="I240" s="976">
        <v>14</v>
      </c>
      <c r="J240" s="976">
        <v>0</v>
      </c>
      <c r="K240" s="976">
        <v>6</v>
      </c>
      <c r="L240" s="976"/>
      <c r="M240" s="976"/>
      <c r="N240" s="976"/>
      <c r="O240" s="976"/>
      <c r="P240" s="976">
        <v>0</v>
      </c>
      <c r="Q240" s="977">
        <v>20</v>
      </c>
      <c r="T240" s="983" t="s">
        <v>1121</v>
      </c>
      <c r="U240" s="984">
        <v>304</v>
      </c>
      <c r="V240" s="984">
        <v>0</v>
      </c>
      <c r="W240" s="984">
        <v>107</v>
      </c>
      <c r="X240" s="984">
        <v>2</v>
      </c>
      <c r="Y240" s="984">
        <v>23</v>
      </c>
      <c r="Z240" s="984">
        <v>0</v>
      </c>
      <c r="AA240" s="984"/>
      <c r="AB240" s="984"/>
      <c r="AC240" s="984">
        <v>0</v>
      </c>
      <c r="AD240" s="984">
        <v>4</v>
      </c>
      <c r="AE240" s="984">
        <v>17</v>
      </c>
      <c r="AF240" s="984">
        <v>0</v>
      </c>
      <c r="AG240" s="984"/>
      <c r="AH240" s="984"/>
      <c r="AI240" s="984">
        <v>25</v>
      </c>
      <c r="AJ240" s="984">
        <v>1</v>
      </c>
      <c r="AK240" s="984">
        <v>451</v>
      </c>
      <c r="AL240" s="984">
        <v>6</v>
      </c>
      <c r="AM240" s="1055">
        <f>AK240*'tecnicecon agric'!$J$57</f>
        <v>214375.33333333331</v>
      </c>
      <c r="AN240" s="1055">
        <f>AL240*'tecnicecon agric'!$J$56</f>
        <v>6777.75</v>
      </c>
      <c r="AO240" s="1055">
        <f t="shared" si="9"/>
        <v>221153.08333333331</v>
      </c>
      <c r="AP240">
        <f>AL240*'tecnicecon agric'!$J$65+'cultius resum'!AK240</f>
        <v>476.2</v>
      </c>
      <c r="AQ240" s="779">
        <f t="shared" si="10"/>
        <v>214375.33333333331</v>
      </c>
      <c r="AR240">
        <f>AN240+AL240*'tecnicecon agric'!$L$58</f>
        <v>7936.9911428571431</v>
      </c>
      <c r="AS240">
        <f>AP240*'4. Agricultura PIB'!$K$31</f>
        <v>1354343.4789491075</v>
      </c>
      <c r="AT240">
        <f>AS240*'4. Agricultura PIB'!$D$71</f>
        <v>398176.98281103757</v>
      </c>
      <c r="AU240" s="779">
        <f t="shared" si="11"/>
        <v>1974832.7862363355</v>
      </c>
    </row>
    <row r="241" spans="1:47">
      <c r="A241" s="974" t="s">
        <v>1604</v>
      </c>
      <c r="B241" s="976">
        <v>84</v>
      </c>
      <c r="C241" s="976">
        <v>0</v>
      </c>
      <c r="D241" s="976">
        <v>136</v>
      </c>
      <c r="E241" s="976">
        <v>0</v>
      </c>
      <c r="F241" s="976"/>
      <c r="G241" s="976"/>
      <c r="H241" s="976"/>
      <c r="I241" s="976"/>
      <c r="J241" s="976"/>
      <c r="K241" s="976"/>
      <c r="L241" s="976"/>
      <c r="M241" s="976"/>
      <c r="N241" s="976">
        <v>3</v>
      </c>
      <c r="O241" s="976">
        <v>0</v>
      </c>
      <c r="P241" s="976">
        <v>223</v>
      </c>
      <c r="Q241" s="977">
        <v>0</v>
      </c>
      <c r="T241" s="983" t="s">
        <v>1600</v>
      </c>
      <c r="U241" s="984">
        <v>48</v>
      </c>
      <c r="V241" s="984">
        <v>0</v>
      </c>
      <c r="W241" s="984">
        <v>51</v>
      </c>
      <c r="X241" s="984">
        <v>0</v>
      </c>
      <c r="Y241" s="984"/>
      <c r="Z241" s="984"/>
      <c r="AA241" s="984"/>
      <c r="AB241" s="984"/>
      <c r="AC241" s="984">
        <v>0</v>
      </c>
      <c r="AD241" s="984">
        <v>4</v>
      </c>
      <c r="AE241" s="984">
        <v>3</v>
      </c>
      <c r="AF241" s="984">
        <v>0</v>
      </c>
      <c r="AG241" s="984"/>
      <c r="AH241" s="984"/>
      <c r="AI241" s="984">
        <v>7</v>
      </c>
      <c r="AJ241" s="984">
        <v>2</v>
      </c>
      <c r="AK241" s="984">
        <v>102</v>
      </c>
      <c r="AL241" s="984">
        <v>4</v>
      </c>
      <c r="AM241" s="1055">
        <f>AK241*'tecnicecon agric'!$J$57</f>
        <v>48484</v>
      </c>
      <c r="AN241" s="1055">
        <f>AL241*'tecnicecon agric'!$J$56</f>
        <v>4518.5</v>
      </c>
      <c r="AO241" s="1055">
        <f t="shared" si="9"/>
        <v>53002.5</v>
      </c>
      <c r="AP241">
        <f>AL241*'tecnicecon agric'!$J$65+'cultius resum'!AK241</f>
        <v>118.8</v>
      </c>
      <c r="AQ241" s="779">
        <f t="shared" si="10"/>
        <v>48484</v>
      </c>
      <c r="AR241">
        <f>AN241+AL241*'tecnicecon agric'!$L$58</f>
        <v>5291.3274285714288</v>
      </c>
      <c r="AS241">
        <f>AP241*'4. Agricultura PIB'!$K$31</f>
        <v>337874.85363115068</v>
      </c>
      <c r="AT241">
        <f>AS241*'4. Agricultura PIB'!$D$71</f>
        <v>99335.20696755829</v>
      </c>
      <c r="AU241" s="779">
        <f t="shared" si="11"/>
        <v>490985.38802728039</v>
      </c>
    </row>
    <row r="242" spans="1:47">
      <c r="A242" s="974" t="s">
        <v>1602</v>
      </c>
      <c r="B242" s="976"/>
      <c r="C242" s="976"/>
      <c r="D242" s="976"/>
      <c r="E242" s="976"/>
      <c r="F242" s="976"/>
      <c r="G242" s="976"/>
      <c r="H242" s="976">
        <v>0</v>
      </c>
      <c r="I242" s="976">
        <v>3</v>
      </c>
      <c r="J242" s="976">
        <v>0</v>
      </c>
      <c r="K242" s="976">
        <v>34</v>
      </c>
      <c r="L242" s="976"/>
      <c r="M242" s="976"/>
      <c r="N242" s="976"/>
      <c r="O242" s="976"/>
      <c r="P242" s="976">
        <v>0</v>
      </c>
      <c r="Q242" s="977">
        <v>37</v>
      </c>
      <c r="T242" s="983" t="s">
        <v>355</v>
      </c>
      <c r="U242" s="984"/>
      <c r="V242" s="984"/>
      <c r="W242" s="984"/>
      <c r="X242" s="984"/>
      <c r="Y242" s="984"/>
      <c r="Z242" s="984"/>
      <c r="AA242" s="984">
        <v>0</v>
      </c>
      <c r="AB242" s="984">
        <v>14</v>
      </c>
      <c r="AC242" s="984">
        <v>0</v>
      </c>
      <c r="AD242" s="984">
        <v>6</v>
      </c>
      <c r="AE242" s="984"/>
      <c r="AF242" s="984"/>
      <c r="AG242" s="984"/>
      <c r="AH242" s="984"/>
      <c r="AI242" s="984" t="s">
        <v>752</v>
      </c>
      <c r="AJ242" s="984" t="s">
        <v>752</v>
      </c>
      <c r="AK242" s="984">
        <v>0</v>
      </c>
      <c r="AL242" s="984">
        <v>20</v>
      </c>
      <c r="AM242" s="1055">
        <f>AK242*'tecnicecon agric'!$J$57</f>
        <v>0</v>
      </c>
      <c r="AN242" s="1055">
        <f>AL242*'tecnicecon agric'!$J$56</f>
        <v>22592.5</v>
      </c>
      <c r="AO242" s="1055">
        <f t="shared" si="9"/>
        <v>22592.5</v>
      </c>
      <c r="AP242">
        <f>AL242*'tecnicecon agric'!$J$65+'cultius resum'!AK242</f>
        <v>84</v>
      </c>
      <c r="AQ242" s="779">
        <f t="shared" si="10"/>
        <v>0</v>
      </c>
      <c r="AR242">
        <f>AN242+AL242*'tecnicecon agric'!$L$58</f>
        <v>26456.637142857144</v>
      </c>
      <c r="AS242">
        <f>AP242*'4. Agricultura PIB'!$K$31</f>
        <v>238901.41165838938</v>
      </c>
      <c r="AT242">
        <f>AS242*'4. Agricultura PIB'!$D$71</f>
        <v>70237.015027566478</v>
      </c>
      <c r="AU242" s="779">
        <f t="shared" si="11"/>
        <v>335595.06382881297</v>
      </c>
    </row>
    <row r="243" spans="1:47">
      <c r="A243" s="974" t="s">
        <v>1556</v>
      </c>
      <c r="B243" s="976">
        <v>212</v>
      </c>
      <c r="C243" s="976">
        <v>4</v>
      </c>
      <c r="D243" s="976">
        <v>152</v>
      </c>
      <c r="E243" s="976">
        <v>0</v>
      </c>
      <c r="F243" s="976"/>
      <c r="G243" s="976"/>
      <c r="H243" s="976"/>
      <c r="I243" s="976"/>
      <c r="J243" s="976"/>
      <c r="K243" s="976"/>
      <c r="L243" s="976">
        <v>10</v>
      </c>
      <c r="M243" s="976">
        <v>0</v>
      </c>
      <c r="N243" s="976"/>
      <c r="O243" s="976"/>
      <c r="P243" s="976">
        <v>374</v>
      </c>
      <c r="Q243" s="977">
        <v>4</v>
      </c>
      <c r="T243" s="983" t="s">
        <v>1604</v>
      </c>
      <c r="U243" s="984">
        <v>84</v>
      </c>
      <c r="V243" s="984">
        <v>0</v>
      </c>
      <c r="W243" s="984">
        <v>136</v>
      </c>
      <c r="X243" s="984">
        <v>0</v>
      </c>
      <c r="Y243" s="984"/>
      <c r="Z243" s="984"/>
      <c r="AA243" s="984"/>
      <c r="AB243" s="984"/>
      <c r="AC243" s="984"/>
      <c r="AD243" s="984"/>
      <c r="AE243" s="984"/>
      <c r="AF243" s="984"/>
      <c r="AG243" s="984">
        <v>3</v>
      </c>
      <c r="AH243" s="984">
        <v>0</v>
      </c>
      <c r="AI243" s="984" t="s">
        <v>752</v>
      </c>
      <c r="AJ243" s="984" t="s">
        <v>752</v>
      </c>
      <c r="AK243" s="984">
        <v>223</v>
      </c>
      <c r="AL243" s="984">
        <v>0</v>
      </c>
      <c r="AM243" s="1055">
        <f>AK243*'tecnicecon agric'!$J$57</f>
        <v>105999.33333333333</v>
      </c>
      <c r="AN243" s="1055">
        <f>AL243*'tecnicecon agric'!$J$56</f>
        <v>0</v>
      </c>
      <c r="AO243" s="1055">
        <f t="shared" si="9"/>
        <v>105999.33333333333</v>
      </c>
      <c r="AP243">
        <f>AL243*'tecnicecon agric'!$J$65+'cultius resum'!AK243</f>
        <v>223</v>
      </c>
      <c r="AQ243" s="779">
        <f t="shared" si="10"/>
        <v>105999.33333333333</v>
      </c>
      <c r="AR243">
        <f>AN243+AL243*'tecnicecon agric'!$L$58</f>
        <v>0</v>
      </c>
      <c r="AS243">
        <f>AP243*'4. Agricultura PIB'!$K$31</f>
        <v>634226.36666453374</v>
      </c>
      <c r="AT243">
        <f>AS243*'4. Agricultura PIB'!$D$71</f>
        <v>186462.55179937292</v>
      </c>
      <c r="AU243" s="779">
        <f t="shared" si="11"/>
        <v>926688.25179723999</v>
      </c>
    </row>
    <row r="244" spans="1:47">
      <c r="A244" s="974" t="s">
        <v>1558</v>
      </c>
      <c r="B244" s="976">
        <v>14</v>
      </c>
      <c r="C244" s="976">
        <v>0</v>
      </c>
      <c r="D244" s="976">
        <v>3</v>
      </c>
      <c r="E244" s="976">
        <v>0</v>
      </c>
      <c r="F244" s="976"/>
      <c r="G244" s="976"/>
      <c r="H244" s="976"/>
      <c r="I244" s="976"/>
      <c r="J244" s="976">
        <v>0</v>
      </c>
      <c r="K244" s="976">
        <v>62</v>
      </c>
      <c r="L244" s="976"/>
      <c r="M244" s="976"/>
      <c r="N244" s="976"/>
      <c r="O244" s="976"/>
      <c r="P244" s="976">
        <v>17</v>
      </c>
      <c r="Q244" s="977">
        <v>62</v>
      </c>
      <c r="T244" s="983" t="s">
        <v>1602</v>
      </c>
      <c r="U244" s="984"/>
      <c r="V244" s="984"/>
      <c r="W244" s="984"/>
      <c r="X244" s="984"/>
      <c r="Y244" s="984"/>
      <c r="Z244" s="984"/>
      <c r="AA244" s="984">
        <v>0</v>
      </c>
      <c r="AB244" s="984">
        <v>3</v>
      </c>
      <c r="AC244" s="984">
        <v>0</v>
      </c>
      <c r="AD244" s="984">
        <v>34</v>
      </c>
      <c r="AE244" s="984"/>
      <c r="AF244" s="984"/>
      <c r="AG244" s="984"/>
      <c r="AH244" s="984"/>
      <c r="AI244" s="984">
        <v>1</v>
      </c>
      <c r="AJ244" s="984">
        <v>23</v>
      </c>
      <c r="AK244" s="984">
        <v>0</v>
      </c>
      <c r="AL244" s="984">
        <v>37</v>
      </c>
      <c r="AM244" s="1055">
        <f>AK244*'tecnicecon agric'!$J$57</f>
        <v>0</v>
      </c>
      <c r="AN244" s="1055">
        <f>AL244*'tecnicecon agric'!$J$56</f>
        <v>41796.125</v>
      </c>
      <c r="AO244" s="1055">
        <f t="shared" si="9"/>
        <v>41796.125</v>
      </c>
      <c r="AP244">
        <f>AL244*'tecnicecon agric'!$J$65+'cultius resum'!AK244</f>
        <v>155.4</v>
      </c>
      <c r="AQ244" s="779">
        <f t="shared" si="10"/>
        <v>0</v>
      </c>
      <c r="AR244">
        <f>AN244+AL244*'tecnicecon agric'!$L$58</f>
        <v>48944.778714285712</v>
      </c>
      <c r="AS244">
        <f>AP244*'4. Agricultura PIB'!$K$31</f>
        <v>441967.61156802037</v>
      </c>
      <c r="AT244">
        <f>AS244*'4. Agricultura PIB'!$D$71</f>
        <v>129938.47780099798</v>
      </c>
      <c r="AU244" s="779">
        <f t="shared" si="11"/>
        <v>620850.86808330403</v>
      </c>
    </row>
    <row r="245" spans="1:47">
      <c r="A245" s="974" t="s">
        <v>1561</v>
      </c>
      <c r="B245" s="976">
        <v>227</v>
      </c>
      <c r="C245" s="976">
        <v>0</v>
      </c>
      <c r="D245" s="976">
        <v>248</v>
      </c>
      <c r="E245" s="976">
        <v>0</v>
      </c>
      <c r="F245" s="976">
        <v>2</v>
      </c>
      <c r="G245" s="976">
        <v>0</v>
      </c>
      <c r="H245" s="976"/>
      <c r="I245" s="976"/>
      <c r="J245" s="976"/>
      <c r="K245" s="976"/>
      <c r="L245" s="976">
        <v>1</v>
      </c>
      <c r="M245" s="976">
        <v>0</v>
      </c>
      <c r="N245" s="976"/>
      <c r="O245" s="976"/>
      <c r="P245" s="976">
        <v>478</v>
      </c>
      <c r="Q245" s="977">
        <v>0</v>
      </c>
      <c r="T245" s="983" t="s">
        <v>1556</v>
      </c>
      <c r="U245" s="984">
        <v>212</v>
      </c>
      <c r="V245" s="984">
        <v>4</v>
      </c>
      <c r="W245" s="984">
        <v>152</v>
      </c>
      <c r="X245" s="984">
        <v>0</v>
      </c>
      <c r="Y245" s="984"/>
      <c r="Z245" s="984"/>
      <c r="AA245" s="984"/>
      <c r="AB245" s="984"/>
      <c r="AC245" s="984"/>
      <c r="AD245" s="984"/>
      <c r="AE245" s="984">
        <v>10</v>
      </c>
      <c r="AF245" s="984">
        <v>0</v>
      </c>
      <c r="AG245" s="984"/>
      <c r="AH245" s="984"/>
      <c r="AI245" s="984" t="s">
        <v>752</v>
      </c>
      <c r="AJ245" s="984" t="s">
        <v>752</v>
      </c>
      <c r="AK245" s="984">
        <v>374</v>
      </c>
      <c r="AL245" s="984">
        <v>4</v>
      </c>
      <c r="AM245" s="1055">
        <f>AK245*'tecnicecon agric'!$J$57</f>
        <v>177774.66666666666</v>
      </c>
      <c r="AN245" s="1055">
        <f>AL245*'tecnicecon agric'!$J$56</f>
        <v>4518.5</v>
      </c>
      <c r="AO245" s="1055">
        <f t="shared" si="9"/>
        <v>182293.16666666666</v>
      </c>
      <c r="AP245">
        <f>AL245*'tecnicecon agric'!$J$65+'cultius resum'!AK245</f>
        <v>390.8</v>
      </c>
      <c r="AQ245" s="779">
        <f t="shared" si="10"/>
        <v>177774.66666666666</v>
      </c>
      <c r="AR245">
        <f>AN245+AL245*'tecnicecon agric'!$L$58</f>
        <v>5291.3274285714288</v>
      </c>
      <c r="AS245">
        <f>AP245*'4. Agricultura PIB'!$K$31</f>
        <v>1111460.3770964115</v>
      </c>
      <c r="AT245">
        <f>AS245*'4. Agricultura PIB'!$D$71</f>
        <v>326769.35086634499</v>
      </c>
      <c r="AU245" s="779">
        <f t="shared" si="11"/>
        <v>1621295.7220579947</v>
      </c>
    </row>
    <row r="246" spans="1:47">
      <c r="A246" s="974" t="s">
        <v>1562</v>
      </c>
      <c r="B246" s="976">
        <v>133</v>
      </c>
      <c r="C246" s="976">
        <v>0</v>
      </c>
      <c r="D246" s="976">
        <v>190</v>
      </c>
      <c r="E246" s="976">
        <v>27</v>
      </c>
      <c r="F246" s="976">
        <v>14</v>
      </c>
      <c r="G246" s="976">
        <v>0</v>
      </c>
      <c r="H246" s="976"/>
      <c r="I246" s="976"/>
      <c r="J246" s="976"/>
      <c r="K246" s="976"/>
      <c r="L246" s="976">
        <v>8</v>
      </c>
      <c r="M246" s="976">
        <v>0</v>
      </c>
      <c r="N246" s="976"/>
      <c r="O246" s="976"/>
      <c r="P246" s="976">
        <v>345</v>
      </c>
      <c r="Q246" s="977">
        <v>27</v>
      </c>
      <c r="T246" s="983" t="s">
        <v>1558</v>
      </c>
      <c r="U246" s="984">
        <v>14</v>
      </c>
      <c r="V246" s="984">
        <v>0</v>
      </c>
      <c r="W246" s="984">
        <v>3</v>
      </c>
      <c r="X246" s="984">
        <v>0</v>
      </c>
      <c r="Y246" s="984"/>
      <c r="Z246" s="984"/>
      <c r="AA246" s="984"/>
      <c r="AB246" s="984"/>
      <c r="AC246" s="984">
        <v>0</v>
      </c>
      <c r="AD246" s="984">
        <v>62</v>
      </c>
      <c r="AE246" s="984"/>
      <c r="AF246" s="984"/>
      <c r="AG246" s="984"/>
      <c r="AH246" s="984"/>
      <c r="AI246" s="984">
        <v>16</v>
      </c>
      <c r="AJ246" s="984">
        <v>46</v>
      </c>
      <c r="AK246" s="984">
        <v>17</v>
      </c>
      <c r="AL246" s="984">
        <v>62</v>
      </c>
      <c r="AM246" s="1055">
        <f>AK246*'tecnicecon agric'!$J$57</f>
        <v>8080.6666666666661</v>
      </c>
      <c r="AN246" s="1055">
        <f>AL246*'tecnicecon agric'!$J$56</f>
        <v>70036.75</v>
      </c>
      <c r="AO246" s="1055">
        <f t="shared" si="9"/>
        <v>78117.416666666672</v>
      </c>
      <c r="AP246">
        <f>AL246*'tecnicecon agric'!$J$65+'cultius resum'!AK246</f>
        <v>277.40000000000003</v>
      </c>
      <c r="AQ246" s="779">
        <f t="shared" si="10"/>
        <v>8080.6666666666661</v>
      </c>
      <c r="AR246">
        <f>AN246+AL246*'tecnicecon agric'!$L$58</f>
        <v>82015.575142857138</v>
      </c>
      <c r="AS246">
        <f>AP246*'4. Agricultura PIB'!$K$31</f>
        <v>788943.47135758598</v>
      </c>
      <c r="AT246">
        <f>AS246*'4. Agricultura PIB'!$D$71</f>
        <v>231949.38057913026</v>
      </c>
      <c r="AU246" s="779">
        <f t="shared" si="11"/>
        <v>1110989.09374624</v>
      </c>
    </row>
    <row r="247" spans="1:47">
      <c r="A247" s="974" t="s">
        <v>1564</v>
      </c>
      <c r="B247" s="976">
        <v>70</v>
      </c>
      <c r="C247" s="976">
        <v>67</v>
      </c>
      <c r="D247" s="976">
        <v>89</v>
      </c>
      <c r="E247" s="976">
        <v>22</v>
      </c>
      <c r="F247" s="976">
        <v>0</v>
      </c>
      <c r="G247" s="976">
        <v>2</v>
      </c>
      <c r="H247" s="976">
        <v>0</v>
      </c>
      <c r="I247" s="976">
        <v>6</v>
      </c>
      <c r="J247" s="976">
        <v>1</v>
      </c>
      <c r="K247" s="976">
        <v>7</v>
      </c>
      <c r="L247" s="976">
        <v>1</v>
      </c>
      <c r="M247" s="976">
        <v>0</v>
      </c>
      <c r="N247" s="976">
        <v>0</v>
      </c>
      <c r="O247" s="976">
        <v>1</v>
      </c>
      <c r="P247" s="976">
        <v>161</v>
      </c>
      <c r="Q247" s="977">
        <v>105</v>
      </c>
      <c r="T247" s="983" t="s">
        <v>1561</v>
      </c>
      <c r="U247" s="984">
        <v>227</v>
      </c>
      <c r="V247" s="984">
        <v>0</v>
      </c>
      <c r="W247" s="984">
        <v>248</v>
      </c>
      <c r="X247" s="984">
        <v>0</v>
      </c>
      <c r="Y247" s="984">
        <v>2</v>
      </c>
      <c r="Z247" s="984">
        <v>0</v>
      </c>
      <c r="AA247" s="984"/>
      <c r="AB247" s="984"/>
      <c r="AC247" s="984"/>
      <c r="AD247" s="984"/>
      <c r="AE247" s="984">
        <v>1</v>
      </c>
      <c r="AF247" s="984">
        <v>0</v>
      </c>
      <c r="AG247" s="984"/>
      <c r="AH247" s="984"/>
      <c r="AI247" s="984">
        <v>0</v>
      </c>
      <c r="AJ247" s="984">
        <v>1</v>
      </c>
      <c r="AK247" s="984">
        <v>478</v>
      </c>
      <c r="AL247" s="984">
        <v>0</v>
      </c>
      <c r="AM247" s="1055">
        <f>AK247*'tecnicecon agric'!$J$57</f>
        <v>227209.33333333331</v>
      </c>
      <c r="AN247" s="1055">
        <f>AL247*'tecnicecon agric'!$J$56</f>
        <v>0</v>
      </c>
      <c r="AO247" s="1055">
        <f t="shared" si="9"/>
        <v>227209.33333333331</v>
      </c>
      <c r="AP247">
        <f>AL247*'tecnicecon agric'!$J$65+'cultius resum'!AK247</f>
        <v>478</v>
      </c>
      <c r="AQ247" s="779">
        <f t="shared" si="10"/>
        <v>227209.33333333331</v>
      </c>
      <c r="AR247">
        <f>AN247+AL247*'tecnicecon agric'!$L$58</f>
        <v>0</v>
      </c>
      <c r="AS247">
        <f>AP247*'4. Agricultura PIB'!$K$31</f>
        <v>1359462.7949132158</v>
      </c>
      <c r="AT247">
        <f>AS247*'4. Agricultura PIB'!$D$71</f>
        <v>399682.06170448544</v>
      </c>
      <c r="AU247" s="779">
        <f t="shared" si="11"/>
        <v>1986354.1899510345</v>
      </c>
    </row>
    <row r="248" spans="1:47">
      <c r="A248" s="974" t="s">
        <v>1566</v>
      </c>
      <c r="B248" s="976">
        <v>13</v>
      </c>
      <c r="C248" s="976">
        <v>0</v>
      </c>
      <c r="D248" s="976">
        <v>2</v>
      </c>
      <c r="E248" s="976">
        <v>0</v>
      </c>
      <c r="F248" s="976"/>
      <c r="G248" s="976"/>
      <c r="H248" s="976"/>
      <c r="I248" s="976"/>
      <c r="J248" s="976">
        <v>1</v>
      </c>
      <c r="K248" s="976">
        <v>0</v>
      </c>
      <c r="L248" s="976">
        <v>5</v>
      </c>
      <c r="M248" s="976">
        <v>0</v>
      </c>
      <c r="N248" s="976">
        <v>1</v>
      </c>
      <c r="O248" s="976">
        <v>0</v>
      </c>
      <c r="P248" s="976">
        <v>22</v>
      </c>
      <c r="Q248" s="977">
        <v>0</v>
      </c>
      <c r="T248" s="983" t="s">
        <v>1562</v>
      </c>
      <c r="U248" s="984">
        <v>133</v>
      </c>
      <c r="V248" s="984">
        <v>0</v>
      </c>
      <c r="W248" s="984">
        <v>190</v>
      </c>
      <c r="X248" s="984">
        <v>27</v>
      </c>
      <c r="Y248" s="984">
        <v>14</v>
      </c>
      <c r="Z248" s="984">
        <v>0</v>
      </c>
      <c r="AA248" s="984"/>
      <c r="AB248" s="984"/>
      <c r="AC248" s="984"/>
      <c r="AD248" s="984"/>
      <c r="AE248" s="984">
        <v>8</v>
      </c>
      <c r="AF248" s="984">
        <v>0</v>
      </c>
      <c r="AG248" s="984"/>
      <c r="AH248" s="984"/>
      <c r="AI248" s="984" t="s">
        <v>752</v>
      </c>
      <c r="AJ248" s="984" t="s">
        <v>752</v>
      </c>
      <c r="AK248" s="984">
        <v>345</v>
      </c>
      <c r="AL248" s="984">
        <v>27</v>
      </c>
      <c r="AM248" s="1055">
        <f>AK248*'tecnicecon agric'!$J$57</f>
        <v>163990</v>
      </c>
      <c r="AN248" s="1055">
        <f>AL248*'tecnicecon agric'!$J$56</f>
        <v>30499.875</v>
      </c>
      <c r="AO248" s="1055">
        <f t="shared" si="9"/>
        <v>194489.875</v>
      </c>
      <c r="AP248">
        <f>AL248*'tecnicecon agric'!$J$65+'cultius resum'!AK248</f>
        <v>458.4</v>
      </c>
      <c r="AQ248" s="779">
        <f t="shared" si="10"/>
        <v>163990</v>
      </c>
      <c r="AR248">
        <f>AN248+AL248*'tecnicecon agric'!$L$58</f>
        <v>35716.46014285714</v>
      </c>
      <c r="AS248">
        <f>AP248*'4. Agricultura PIB'!$K$31</f>
        <v>1303719.1321929249</v>
      </c>
      <c r="AT248">
        <f>AS248*'4. Agricultura PIB'!$D$71</f>
        <v>383293.42486471991</v>
      </c>
      <c r="AU248" s="779">
        <f t="shared" si="11"/>
        <v>1886719.0172005019</v>
      </c>
    </row>
    <row r="249" spans="1:47">
      <c r="A249" s="974" t="s">
        <v>1567</v>
      </c>
      <c r="B249" s="976">
        <v>682</v>
      </c>
      <c r="C249" s="976">
        <v>4</v>
      </c>
      <c r="D249" s="976">
        <v>46</v>
      </c>
      <c r="E249" s="976">
        <v>0</v>
      </c>
      <c r="F249" s="976">
        <v>156</v>
      </c>
      <c r="G249" s="976">
        <v>0</v>
      </c>
      <c r="H249" s="976"/>
      <c r="I249" s="976"/>
      <c r="J249" s="976"/>
      <c r="K249" s="976"/>
      <c r="L249" s="976">
        <v>32</v>
      </c>
      <c r="M249" s="976">
        <v>0</v>
      </c>
      <c r="N249" s="976"/>
      <c r="O249" s="976"/>
      <c r="P249" s="976">
        <v>916</v>
      </c>
      <c r="Q249" s="977">
        <v>4</v>
      </c>
      <c r="T249" s="983" t="s">
        <v>1564</v>
      </c>
      <c r="U249" s="984">
        <v>70</v>
      </c>
      <c r="V249" s="984">
        <v>67</v>
      </c>
      <c r="W249" s="984">
        <v>89</v>
      </c>
      <c r="X249" s="984">
        <v>22</v>
      </c>
      <c r="Y249" s="984">
        <v>0</v>
      </c>
      <c r="Z249" s="984">
        <v>2</v>
      </c>
      <c r="AA249" s="984">
        <v>0</v>
      </c>
      <c r="AB249" s="984">
        <v>6</v>
      </c>
      <c r="AC249" s="984">
        <v>1</v>
      </c>
      <c r="AD249" s="984">
        <v>7</v>
      </c>
      <c r="AE249" s="984">
        <v>1</v>
      </c>
      <c r="AF249" s="984">
        <v>0</v>
      </c>
      <c r="AG249" s="984">
        <v>0</v>
      </c>
      <c r="AH249" s="984">
        <v>1</v>
      </c>
      <c r="AI249" s="984">
        <v>43</v>
      </c>
      <c r="AJ249" s="984">
        <v>31</v>
      </c>
      <c r="AK249" s="984">
        <v>161</v>
      </c>
      <c r="AL249" s="984">
        <v>105</v>
      </c>
      <c r="AM249" s="1055">
        <f>AK249*'tecnicecon agric'!$J$57</f>
        <v>76528.666666666657</v>
      </c>
      <c r="AN249" s="1055">
        <f>AL249*'tecnicecon agric'!$J$56</f>
        <v>118610.625</v>
      </c>
      <c r="AO249" s="1055">
        <f t="shared" si="9"/>
        <v>195139.29166666666</v>
      </c>
      <c r="AP249">
        <f>AL249*'tecnicecon agric'!$J$65+'cultius resum'!AK249</f>
        <v>602</v>
      </c>
      <c r="AQ249" s="779">
        <f t="shared" si="10"/>
        <v>76528.666666666657</v>
      </c>
      <c r="AR249">
        <f>AN249+AL249*'tecnicecon agric'!$L$58</f>
        <v>138897.345</v>
      </c>
      <c r="AS249">
        <f>AP249*'4. Agricultura PIB'!$K$31</f>
        <v>1712126.7835517905</v>
      </c>
      <c r="AT249">
        <f>AS249*'4. Agricultura PIB'!$D$71</f>
        <v>503365.27436422638</v>
      </c>
      <c r="AU249" s="779">
        <f t="shared" si="11"/>
        <v>2430918.0695826835</v>
      </c>
    </row>
    <row r="250" spans="1:47">
      <c r="A250" s="974" t="s">
        <v>1571</v>
      </c>
      <c r="B250" s="976">
        <v>34</v>
      </c>
      <c r="C250" s="976">
        <v>0</v>
      </c>
      <c r="D250" s="976">
        <v>13</v>
      </c>
      <c r="E250" s="976">
        <v>0</v>
      </c>
      <c r="F250" s="976"/>
      <c r="G250" s="976"/>
      <c r="H250" s="976"/>
      <c r="I250" s="976"/>
      <c r="J250" s="976">
        <v>5</v>
      </c>
      <c r="K250" s="976">
        <v>3</v>
      </c>
      <c r="L250" s="976"/>
      <c r="M250" s="976"/>
      <c r="N250" s="976"/>
      <c r="O250" s="976"/>
      <c r="P250" s="976">
        <v>52</v>
      </c>
      <c r="Q250" s="977">
        <v>3</v>
      </c>
      <c r="T250" s="983" t="s">
        <v>1566</v>
      </c>
      <c r="U250" s="984">
        <v>13</v>
      </c>
      <c r="V250" s="984">
        <v>0</v>
      </c>
      <c r="W250" s="984">
        <v>2</v>
      </c>
      <c r="X250" s="984">
        <v>0</v>
      </c>
      <c r="Y250" s="984"/>
      <c r="Z250" s="984"/>
      <c r="AA250" s="984"/>
      <c r="AB250" s="984"/>
      <c r="AC250" s="984">
        <v>1</v>
      </c>
      <c r="AD250" s="984">
        <v>0</v>
      </c>
      <c r="AE250" s="984">
        <v>5</v>
      </c>
      <c r="AF250" s="984">
        <v>0</v>
      </c>
      <c r="AG250" s="984">
        <v>1</v>
      </c>
      <c r="AH250" s="984">
        <v>0</v>
      </c>
      <c r="AI250" s="984">
        <v>196</v>
      </c>
      <c r="AJ250" s="984">
        <v>0</v>
      </c>
      <c r="AK250" s="984">
        <v>22</v>
      </c>
      <c r="AL250" s="984">
        <v>0</v>
      </c>
      <c r="AM250" s="1055">
        <f>AK250*'tecnicecon agric'!$J$57</f>
        <v>10457.333333333332</v>
      </c>
      <c r="AN250" s="1055">
        <f>AL250*'tecnicecon agric'!$J$56</f>
        <v>0</v>
      </c>
      <c r="AO250" s="1055">
        <f t="shared" si="9"/>
        <v>10457.333333333332</v>
      </c>
      <c r="AP250">
        <f>AL250*'tecnicecon agric'!$J$65+'cultius resum'!AK250</f>
        <v>22</v>
      </c>
      <c r="AQ250" s="779">
        <f t="shared" si="10"/>
        <v>10457.333333333332</v>
      </c>
      <c r="AR250">
        <f>AN250+AL250*'tecnicecon agric'!$L$58</f>
        <v>0</v>
      </c>
      <c r="AS250">
        <f>AP250*'4. Agricultura PIB'!$K$31</f>
        <v>62569.417339101979</v>
      </c>
      <c r="AT250">
        <f>AS250*'4. Agricultura PIB'!$D$71</f>
        <v>18395.408697695981</v>
      </c>
      <c r="AU250" s="779">
        <f t="shared" si="11"/>
        <v>91422.159370131296</v>
      </c>
    </row>
    <row r="251" spans="1:47">
      <c r="A251" s="974" t="s">
        <v>1574</v>
      </c>
      <c r="B251" s="976"/>
      <c r="C251" s="976"/>
      <c r="D251" s="976">
        <v>134</v>
      </c>
      <c r="E251" s="976">
        <v>0</v>
      </c>
      <c r="F251" s="976"/>
      <c r="G251" s="976"/>
      <c r="H251" s="976"/>
      <c r="I251" s="976"/>
      <c r="J251" s="976"/>
      <c r="K251" s="976"/>
      <c r="L251" s="976"/>
      <c r="M251" s="976"/>
      <c r="N251" s="976"/>
      <c r="O251" s="976"/>
      <c r="P251" s="976">
        <v>134</v>
      </c>
      <c r="Q251" s="977">
        <v>0</v>
      </c>
      <c r="T251" s="983" t="s">
        <v>1567</v>
      </c>
      <c r="U251" s="984">
        <v>682</v>
      </c>
      <c r="V251" s="984">
        <v>4</v>
      </c>
      <c r="W251" s="984">
        <v>46</v>
      </c>
      <c r="X251" s="984">
        <v>0</v>
      </c>
      <c r="Y251" s="984">
        <v>156</v>
      </c>
      <c r="Z251" s="984">
        <v>0</v>
      </c>
      <c r="AA251" s="984"/>
      <c r="AB251" s="984"/>
      <c r="AC251" s="984"/>
      <c r="AD251" s="984"/>
      <c r="AE251" s="984">
        <v>32</v>
      </c>
      <c r="AF251" s="984">
        <v>0</v>
      </c>
      <c r="AG251" s="984"/>
      <c r="AH251" s="984"/>
      <c r="AI251" s="984">
        <v>84</v>
      </c>
      <c r="AJ251" s="984">
        <v>1</v>
      </c>
      <c r="AK251" s="984">
        <v>916</v>
      </c>
      <c r="AL251" s="984">
        <v>4</v>
      </c>
      <c r="AM251" s="1055">
        <f>AK251*'tecnicecon agric'!$J$57</f>
        <v>435405.33333333331</v>
      </c>
      <c r="AN251" s="1055">
        <f>AL251*'tecnicecon agric'!$J$56</f>
        <v>4518.5</v>
      </c>
      <c r="AO251" s="1055">
        <f t="shared" si="9"/>
        <v>439923.83333333331</v>
      </c>
      <c r="AP251">
        <f>AL251*'tecnicecon agric'!$J$65+'cultius resum'!AK251</f>
        <v>932.8</v>
      </c>
      <c r="AQ251" s="779">
        <f t="shared" si="10"/>
        <v>435405.33333333331</v>
      </c>
      <c r="AR251">
        <f>AN251+AL251*'tecnicecon agric'!$L$58</f>
        <v>5291.3274285714288</v>
      </c>
      <c r="AS251">
        <f>AP251*'4. Agricultura PIB'!$K$31</f>
        <v>2652943.295177924</v>
      </c>
      <c r="AT251">
        <f>AS251*'4. Agricultura PIB'!$D$71</f>
        <v>779965.32878230966</v>
      </c>
      <c r="AU251" s="779">
        <f t="shared" si="11"/>
        <v>3873605.2847221387</v>
      </c>
    </row>
    <row r="252" spans="1:47">
      <c r="A252" s="974" t="s">
        <v>3972</v>
      </c>
      <c r="B252" s="976">
        <v>408</v>
      </c>
      <c r="C252" s="976">
        <v>0</v>
      </c>
      <c r="D252" s="976">
        <v>1124</v>
      </c>
      <c r="E252" s="976">
        <v>0</v>
      </c>
      <c r="F252" s="976">
        <v>3</v>
      </c>
      <c r="G252" s="976">
        <v>0</v>
      </c>
      <c r="H252" s="976"/>
      <c r="I252" s="976"/>
      <c r="J252" s="976">
        <v>1</v>
      </c>
      <c r="K252" s="976">
        <v>1</v>
      </c>
      <c r="L252" s="976">
        <v>11</v>
      </c>
      <c r="M252" s="976">
        <v>0</v>
      </c>
      <c r="N252" s="976"/>
      <c r="O252" s="976"/>
      <c r="P252" s="976">
        <v>1547</v>
      </c>
      <c r="Q252" s="977">
        <v>1</v>
      </c>
      <c r="T252" s="983" t="s">
        <v>1571</v>
      </c>
      <c r="U252" s="984">
        <v>34</v>
      </c>
      <c r="V252" s="984">
        <v>0</v>
      </c>
      <c r="W252" s="984">
        <v>13</v>
      </c>
      <c r="X252" s="984">
        <v>0</v>
      </c>
      <c r="Y252" s="984"/>
      <c r="Z252" s="984"/>
      <c r="AA252" s="984"/>
      <c r="AB252" s="984"/>
      <c r="AC252" s="984">
        <v>5</v>
      </c>
      <c r="AD252" s="984">
        <v>3</v>
      </c>
      <c r="AE252" s="984"/>
      <c r="AF252" s="984"/>
      <c r="AG252" s="984"/>
      <c r="AH252" s="984"/>
      <c r="AI252" s="984">
        <v>509</v>
      </c>
      <c r="AJ252" s="984">
        <v>0</v>
      </c>
      <c r="AK252" s="984">
        <v>52</v>
      </c>
      <c r="AL252" s="984">
        <v>3</v>
      </c>
      <c r="AM252" s="1055">
        <f>AK252*'tecnicecon agric'!$J$57</f>
        <v>24717.333333333332</v>
      </c>
      <c r="AN252" s="1055">
        <f>AL252*'tecnicecon agric'!$J$56</f>
        <v>3388.875</v>
      </c>
      <c r="AO252" s="1055">
        <f t="shared" si="9"/>
        <v>28106.208333333332</v>
      </c>
      <c r="AP252">
        <f>AL252*'tecnicecon agric'!$J$65+'cultius resum'!AK252</f>
        <v>64.599999999999994</v>
      </c>
      <c r="AQ252" s="779">
        <f t="shared" si="10"/>
        <v>24717.333333333332</v>
      </c>
      <c r="AR252">
        <f>AN252+AL252*'tecnicecon agric'!$L$58</f>
        <v>3968.4955714285716</v>
      </c>
      <c r="AS252">
        <f>AP252*'4. Agricultura PIB'!$K$31</f>
        <v>183726.56182299944</v>
      </c>
      <c r="AT252">
        <f>AS252*'4. Agricultura PIB'!$D$71</f>
        <v>54015.609175961836</v>
      </c>
      <c r="AU252" s="779">
        <f t="shared" si="11"/>
        <v>266427.99990372319</v>
      </c>
    </row>
    <row r="253" spans="1:47">
      <c r="A253" s="974" t="s">
        <v>1580</v>
      </c>
      <c r="B253" s="976">
        <v>548</v>
      </c>
      <c r="C253" s="976">
        <v>0</v>
      </c>
      <c r="D253" s="976">
        <v>208</v>
      </c>
      <c r="E253" s="976">
        <v>0</v>
      </c>
      <c r="F253" s="976">
        <v>45</v>
      </c>
      <c r="G253" s="976">
        <v>0</v>
      </c>
      <c r="H253" s="976"/>
      <c r="I253" s="976"/>
      <c r="J253" s="976"/>
      <c r="K253" s="976"/>
      <c r="L253" s="976">
        <v>13</v>
      </c>
      <c r="M253" s="976">
        <v>0</v>
      </c>
      <c r="N253" s="976">
        <v>1</v>
      </c>
      <c r="O253" s="976">
        <v>0</v>
      </c>
      <c r="P253" s="976">
        <v>815</v>
      </c>
      <c r="Q253" s="977">
        <v>0</v>
      </c>
      <c r="T253" s="983" t="s">
        <v>1574</v>
      </c>
      <c r="U253" s="984"/>
      <c r="V253" s="984"/>
      <c r="W253" s="984">
        <v>134</v>
      </c>
      <c r="X253" s="984">
        <v>0</v>
      </c>
      <c r="Y253" s="984"/>
      <c r="Z253" s="984"/>
      <c r="AA253" s="984"/>
      <c r="AB253" s="984"/>
      <c r="AC253" s="984"/>
      <c r="AD253" s="984"/>
      <c r="AE253" s="984"/>
      <c r="AF253" s="984"/>
      <c r="AG253" s="984"/>
      <c r="AH253" s="984"/>
      <c r="AI253" s="984">
        <v>0</v>
      </c>
      <c r="AJ253" s="984">
        <v>0</v>
      </c>
      <c r="AK253" s="984">
        <v>134</v>
      </c>
      <c r="AL253" s="984">
        <v>0</v>
      </c>
      <c r="AM253" s="1055">
        <f>AK253*'tecnicecon agric'!$J$57</f>
        <v>63694.666666666664</v>
      </c>
      <c r="AN253" s="1055">
        <f>AL253*'tecnicecon agric'!$J$56</f>
        <v>0</v>
      </c>
      <c r="AO253" s="1055">
        <f t="shared" si="9"/>
        <v>63694.666666666664</v>
      </c>
      <c r="AP253">
        <f>AL253*'tecnicecon agric'!$J$65+'cultius resum'!AK253</f>
        <v>134</v>
      </c>
      <c r="AQ253" s="779">
        <f t="shared" si="10"/>
        <v>63694.666666666664</v>
      </c>
      <c r="AR253">
        <f>AN253+AL253*'tecnicecon agric'!$L$58</f>
        <v>0</v>
      </c>
      <c r="AS253">
        <f>AP253*'4. Agricultura PIB'!$K$31</f>
        <v>381104.63288362115</v>
      </c>
      <c r="AT253">
        <f>AS253*'4. Agricultura PIB'!$D$71</f>
        <v>112044.76206778461</v>
      </c>
      <c r="AU253" s="779">
        <f t="shared" si="11"/>
        <v>556844.06161807245</v>
      </c>
    </row>
    <row r="254" spans="1:47">
      <c r="A254" s="974" t="s">
        <v>1587</v>
      </c>
      <c r="B254" s="976">
        <v>306</v>
      </c>
      <c r="C254" s="976">
        <v>0</v>
      </c>
      <c r="D254" s="976">
        <v>54</v>
      </c>
      <c r="E254" s="976">
        <v>0</v>
      </c>
      <c r="F254" s="976">
        <v>34</v>
      </c>
      <c r="G254" s="976">
        <v>0</v>
      </c>
      <c r="H254" s="976"/>
      <c r="I254" s="976"/>
      <c r="J254" s="976"/>
      <c r="K254" s="976"/>
      <c r="L254" s="976">
        <v>16</v>
      </c>
      <c r="M254" s="976">
        <v>0</v>
      </c>
      <c r="N254" s="976"/>
      <c r="O254" s="976"/>
      <c r="P254" s="976">
        <v>410</v>
      </c>
      <c r="Q254" s="977">
        <v>0</v>
      </c>
      <c r="T254" s="983" t="s">
        <v>1578</v>
      </c>
      <c r="U254" s="984">
        <v>408</v>
      </c>
      <c r="V254" s="984">
        <v>0</v>
      </c>
      <c r="W254" s="984">
        <v>1124</v>
      </c>
      <c r="X254" s="984">
        <v>0</v>
      </c>
      <c r="Y254" s="984">
        <v>3</v>
      </c>
      <c r="Z254" s="984">
        <v>0</v>
      </c>
      <c r="AA254" s="984"/>
      <c r="AB254" s="984"/>
      <c r="AC254" s="984">
        <v>1</v>
      </c>
      <c r="AD254" s="984">
        <v>1</v>
      </c>
      <c r="AE254" s="984">
        <v>11</v>
      </c>
      <c r="AF254" s="984">
        <v>0</v>
      </c>
      <c r="AG254" s="984"/>
      <c r="AH254" s="984"/>
      <c r="AI254" s="984" t="s">
        <v>752</v>
      </c>
      <c r="AJ254" s="984" t="s">
        <v>752</v>
      </c>
      <c r="AK254" s="984">
        <v>1547</v>
      </c>
      <c r="AL254" s="984">
        <v>1</v>
      </c>
      <c r="AM254" s="1055">
        <f>AK254*'tecnicecon agric'!$J$57</f>
        <v>735340.66666666663</v>
      </c>
      <c r="AN254" s="1055">
        <f>AL254*'tecnicecon agric'!$J$56</f>
        <v>1129.625</v>
      </c>
      <c r="AO254" s="1055">
        <f t="shared" si="9"/>
        <v>736470.29166666663</v>
      </c>
      <c r="AP254">
        <f>AL254*'tecnicecon agric'!$J$65+'cultius resum'!AK254</f>
        <v>1551.2</v>
      </c>
      <c r="AQ254" s="779">
        <f t="shared" si="10"/>
        <v>735340.66666666663</v>
      </c>
      <c r="AR254">
        <f>AN254+AL254*'tecnicecon agric'!$L$58</f>
        <v>1322.8318571428572</v>
      </c>
      <c r="AS254">
        <f>AP254*'4. Agricultura PIB'!$K$31</f>
        <v>4411712.7352915909</v>
      </c>
      <c r="AT254">
        <f>AS254*'4. Agricultura PIB'!$D$71</f>
        <v>1297043.5441757278</v>
      </c>
      <c r="AU254" s="779">
        <f t="shared" si="11"/>
        <v>6445419.7779911272</v>
      </c>
    </row>
    <row r="255" spans="1:47">
      <c r="A255" s="974" t="s">
        <v>1594</v>
      </c>
      <c r="B255" s="976">
        <v>64</v>
      </c>
      <c r="C255" s="976">
        <v>42</v>
      </c>
      <c r="D255" s="976">
        <v>110</v>
      </c>
      <c r="E255" s="976">
        <v>76</v>
      </c>
      <c r="F255" s="976"/>
      <c r="G255" s="976"/>
      <c r="H255" s="976"/>
      <c r="I255" s="976"/>
      <c r="J255" s="976"/>
      <c r="K255" s="976"/>
      <c r="L255" s="976">
        <v>17</v>
      </c>
      <c r="M255" s="976">
        <v>3</v>
      </c>
      <c r="N255" s="976"/>
      <c r="O255" s="976"/>
      <c r="P255" s="976">
        <v>191</v>
      </c>
      <c r="Q255" s="977">
        <v>121</v>
      </c>
      <c r="T255" s="983" t="s">
        <v>1584</v>
      </c>
      <c r="U255" s="984"/>
      <c r="V255" s="984"/>
      <c r="W255" s="984"/>
      <c r="X255" s="984"/>
      <c r="Y255" s="984"/>
      <c r="Z255" s="984"/>
      <c r="AA255" s="984"/>
      <c r="AB255" s="984"/>
      <c r="AC255" s="984"/>
      <c r="AD255" s="984"/>
      <c r="AE255" s="984"/>
      <c r="AF255" s="984"/>
      <c r="AG255" s="984"/>
      <c r="AH255" s="984"/>
      <c r="AI255" s="984">
        <v>15</v>
      </c>
      <c r="AJ255" s="984">
        <v>2</v>
      </c>
      <c r="AK255" s="984">
        <v>15</v>
      </c>
      <c r="AL255" s="984">
        <v>2</v>
      </c>
      <c r="AM255" s="1055">
        <f>AK255*'tecnicecon agric'!$J$57</f>
        <v>7130</v>
      </c>
      <c r="AN255" s="1055">
        <f>AL255*'tecnicecon agric'!$J$56</f>
        <v>2259.25</v>
      </c>
      <c r="AO255" s="1055">
        <f t="shared" si="9"/>
        <v>9389.25</v>
      </c>
      <c r="AP255">
        <f>AL255*'tecnicecon agric'!$J$65+'cultius resum'!AK255</f>
        <v>23.4</v>
      </c>
      <c r="AQ255" s="779">
        <f t="shared" si="10"/>
        <v>7130</v>
      </c>
      <c r="AR255">
        <f>AN255+AL255*'tecnicecon agric'!$L$58</f>
        <v>2645.6637142857144</v>
      </c>
      <c r="AS255">
        <f>AP255*'4. Agricultura PIB'!$K$31</f>
        <v>66551.107533408474</v>
      </c>
      <c r="AT255">
        <f>AS255*'4. Agricultura PIB'!$D$71</f>
        <v>19566.025614822091</v>
      </c>
      <c r="AU255" s="779">
        <f t="shared" si="11"/>
        <v>95892.796862516276</v>
      </c>
    </row>
    <row r="256" spans="1:47">
      <c r="A256" s="974" t="s">
        <v>1591</v>
      </c>
      <c r="B256" s="976">
        <v>538</v>
      </c>
      <c r="C256" s="976">
        <v>6</v>
      </c>
      <c r="D256" s="976">
        <v>245</v>
      </c>
      <c r="E256" s="976">
        <v>1</v>
      </c>
      <c r="F256" s="976">
        <v>36</v>
      </c>
      <c r="G256" s="976">
        <v>0</v>
      </c>
      <c r="H256" s="976"/>
      <c r="I256" s="976"/>
      <c r="J256" s="976">
        <v>0</v>
      </c>
      <c r="K256" s="976">
        <v>2</v>
      </c>
      <c r="L256" s="976">
        <v>14</v>
      </c>
      <c r="M256" s="976">
        <v>0</v>
      </c>
      <c r="N256" s="976">
        <v>0</v>
      </c>
      <c r="O256" s="976">
        <v>1</v>
      </c>
      <c r="P256" s="976">
        <v>833</v>
      </c>
      <c r="Q256" s="977">
        <v>10</v>
      </c>
      <c r="T256" s="983" t="s">
        <v>1580</v>
      </c>
      <c r="U256" s="984">
        <v>548</v>
      </c>
      <c r="V256" s="984">
        <v>0</v>
      </c>
      <c r="W256" s="984">
        <v>208</v>
      </c>
      <c r="X256" s="984">
        <v>0</v>
      </c>
      <c r="Y256" s="984">
        <v>45</v>
      </c>
      <c r="Z256" s="984">
        <v>0</v>
      </c>
      <c r="AA256" s="984"/>
      <c r="AB256" s="984"/>
      <c r="AC256" s="984"/>
      <c r="AD256" s="984"/>
      <c r="AE256" s="984">
        <v>13</v>
      </c>
      <c r="AF256" s="984">
        <v>0</v>
      </c>
      <c r="AG256" s="984">
        <v>1</v>
      </c>
      <c r="AH256" s="984">
        <v>0</v>
      </c>
      <c r="AI256" s="984" t="s">
        <v>752</v>
      </c>
      <c r="AJ256" s="984" t="s">
        <v>752</v>
      </c>
      <c r="AK256" s="984">
        <v>815</v>
      </c>
      <c r="AL256" s="984">
        <v>0</v>
      </c>
      <c r="AM256" s="1055">
        <f>AK256*'tecnicecon agric'!$J$57</f>
        <v>387396.66666666663</v>
      </c>
      <c r="AN256" s="1055">
        <f>AL256*'tecnicecon agric'!$J$56</f>
        <v>0</v>
      </c>
      <c r="AO256" s="1055">
        <f t="shared" si="9"/>
        <v>387396.66666666663</v>
      </c>
      <c r="AP256">
        <f>AL256*'tecnicecon agric'!$J$65+'cultius resum'!AK256</f>
        <v>815</v>
      </c>
      <c r="AQ256" s="779">
        <f t="shared" si="10"/>
        <v>387396.66666666663</v>
      </c>
      <c r="AR256">
        <f>AN256+AL256*'tecnicecon agric'!$L$58</f>
        <v>0</v>
      </c>
      <c r="AS256">
        <f>AP256*'4. Agricultura PIB'!$K$31</f>
        <v>2317912.5059712781</v>
      </c>
      <c r="AT256">
        <f>AS256*'4. Agricultura PIB'!$D$71</f>
        <v>681466.27675555577</v>
      </c>
      <c r="AU256" s="779">
        <f t="shared" si="11"/>
        <v>3386775.4493935006</v>
      </c>
    </row>
    <row r="257" spans="1:47">
      <c r="A257" s="974" t="s">
        <v>1598</v>
      </c>
      <c r="B257" s="976">
        <v>335</v>
      </c>
      <c r="C257" s="976">
        <v>2</v>
      </c>
      <c r="D257" s="976">
        <v>65</v>
      </c>
      <c r="E257" s="976">
        <v>3</v>
      </c>
      <c r="F257" s="976"/>
      <c r="G257" s="976"/>
      <c r="H257" s="976"/>
      <c r="I257" s="976"/>
      <c r="J257" s="976">
        <v>0</v>
      </c>
      <c r="K257" s="976">
        <v>4</v>
      </c>
      <c r="L257" s="976">
        <v>30</v>
      </c>
      <c r="M257" s="976">
        <v>3</v>
      </c>
      <c r="N257" s="976"/>
      <c r="O257" s="976"/>
      <c r="P257" s="976">
        <v>430</v>
      </c>
      <c r="Q257" s="977">
        <v>12</v>
      </c>
      <c r="T257" s="983" t="s">
        <v>1587</v>
      </c>
      <c r="U257" s="984">
        <v>306</v>
      </c>
      <c r="V257" s="984">
        <v>0</v>
      </c>
      <c r="W257" s="984">
        <v>54</v>
      </c>
      <c r="X257" s="984">
        <v>0</v>
      </c>
      <c r="Y257" s="984">
        <v>34</v>
      </c>
      <c r="Z257" s="984">
        <v>0</v>
      </c>
      <c r="AA257" s="984"/>
      <c r="AB257" s="984"/>
      <c r="AC257" s="984"/>
      <c r="AD257" s="984"/>
      <c r="AE257" s="984">
        <v>16</v>
      </c>
      <c r="AF257" s="984">
        <v>0</v>
      </c>
      <c r="AG257" s="984"/>
      <c r="AH257" s="984"/>
      <c r="AI257" s="984">
        <v>227</v>
      </c>
      <c r="AJ257" s="984">
        <v>1</v>
      </c>
      <c r="AK257" s="984">
        <v>410</v>
      </c>
      <c r="AL257" s="984">
        <v>0</v>
      </c>
      <c r="AM257" s="1055">
        <f>AK257*'tecnicecon agric'!$J$57</f>
        <v>194886.66666666666</v>
      </c>
      <c r="AN257" s="1055">
        <f>AL257*'tecnicecon agric'!$J$56</f>
        <v>0</v>
      </c>
      <c r="AO257" s="1055">
        <f t="shared" si="9"/>
        <v>194886.66666666666</v>
      </c>
      <c r="AP257">
        <f>AL257*'tecnicecon agric'!$J$65+'cultius resum'!AK257</f>
        <v>410</v>
      </c>
      <c r="AQ257" s="779">
        <f t="shared" si="10"/>
        <v>194886.66666666666</v>
      </c>
      <c r="AR257">
        <f>AN257+AL257*'tecnicecon agric'!$L$58</f>
        <v>0</v>
      </c>
      <c r="AS257">
        <f>AP257*'4. Agricultura PIB'!$K$31</f>
        <v>1166066.4140469006</v>
      </c>
      <c r="AT257">
        <f>AS257*'4. Agricultura PIB'!$D$71</f>
        <v>342823.52572978876</v>
      </c>
      <c r="AU257" s="779">
        <f t="shared" si="11"/>
        <v>1703776.606443356</v>
      </c>
    </row>
    <row r="258" spans="1:47">
      <c r="A258" s="974" t="s">
        <v>354</v>
      </c>
      <c r="B258" s="976">
        <v>1</v>
      </c>
      <c r="C258" s="976">
        <v>1</v>
      </c>
      <c r="D258" s="976">
        <v>2</v>
      </c>
      <c r="E258" s="976">
        <v>1</v>
      </c>
      <c r="F258" s="976"/>
      <c r="G258" s="976"/>
      <c r="H258" s="976">
        <v>0</v>
      </c>
      <c r="I258" s="976">
        <v>4</v>
      </c>
      <c r="J258" s="976">
        <v>0</v>
      </c>
      <c r="K258" s="976">
        <v>52</v>
      </c>
      <c r="L258" s="976">
        <v>0</v>
      </c>
      <c r="M258" s="976">
        <v>3</v>
      </c>
      <c r="N258" s="976">
        <v>0</v>
      </c>
      <c r="O258" s="976">
        <v>11</v>
      </c>
      <c r="P258" s="976">
        <v>3</v>
      </c>
      <c r="Q258" s="977">
        <v>72</v>
      </c>
      <c r="T258" s="983" t="s">
        <v>1594</v>
      </c>
      <c r="U258" s="984">
        <v>64</v>
      </c>
      <c r="V258" s="984">
        <v>42</v>
      </c>
      <c r="W258" s="984">
        <v>110</v>
      </c>
      <c r="X258" s="984">
        <v>76</v>
      </c>
      <c r="Y258" s="984"/>
      <c r="Z258" s="984"/>
      <c r="AA258" s="984"/>
      <c r="AB258" s="984"/>
      <c r="AC258" s="984"/>
      <c r="AD258" s="984"/>
      <c r="AE258" s="984">
        <v>17</v>
      </c>
      <c r="AF258" s="984">
        <v>3</v>
      </c>
      <c r="AG258" s="984"/>
      <c r="AH258" s="984"/>
      <c r="AI258" s="984">
        <v>1</v>
      </c>
      <c r="AJ258" s="984">
        <v>0</v>
      </c>
      <c r="AK258" s="984">
        <v>191</v>
      </c>
      <c r="AL258" s="984">
        <v>121</v>
      </c>
      <c r="AM258" s="1055">
        <f>AK258*'tecnicecon agric'!$J$57</f>
        <v>90788.666666666657</v>
      </c>
      <c r="AN258" s="1055">
        <f>AL258*'tecnicecon agric'!$J$56</f>
        <v>136684.625</v>
      </c>
      <c r="AO258" s="1055">
        <f t="shared" si="9"/>
        <v>227473.29166666666</v>
      </c>
      <c r="AP258">
        <f>AL258*'tecnicecon agric'!$J$65+'cultius resum'!AK258</f>
        <v>699.2</v>
      </c>
      <c r="AQ258" s="779">
        <f t="shared" si="10"/>
        <v>90788.666666666657</v>
      </c>
      <c r="AR258">
        <f>AN258+AL258*'tecnicecon agric'!$L$58</f>
        <v>160062.65471428572</v>
      </c>
      <c r="AS258">
        <f>AP258*'4. Agricultura PIB'!$K$31</f>
        <v>1988569.8456136412</v>
      </c>
      <c r="AT258">
        <f>AS258*'4. Agricultura PIB'!$D$71</f>
        <v>584639.53461041045</v>
      </c>
      <c r="AU258" s="779">
        <f t="shared" si="11"/>
        <v>2824060.7016050043</v>
      </c>
    </row>
    <row r="259" spans="1:47">
      <c r="A259" s="974" t="s">
        <v>1418</v>
      </c>
      <c r="B259" s="976">
        <v>662</v>
      </c>
      <c r="C259" s="976">
        <v>2</v>
      </c>
      <c r="D259" s="976">
        <v>77</v>
      </c>
      <c r="E259" s="976">
        <v>0</v>
      </c>
      <c r="F259" s="976">
        <v>44</v>
      </c>
      <c r="G259" s="976">
        <v>0</v>
      </c>
      <c r="H259" s="976"/>
      <c r="I259" s="976"/>
      <c r="J259" s="976">
        <v>0</v>
      </c>
      <c r="K259" s="976">
        <v>5</v>
      </c>
      <c r="L259" s="976">
        <v>26</v>
      </c>
      <c r="M259" s="976">
        <v>0</v>
      </c>
      <c r="N259" s="976"/>
      <c r="O259" s="976"/>
      <c r="P259" s="976">
        <v>809</v>
      </c>
      <c r="Q259" s="977">
        <v>7</v>
      </c>
      <c r="T259" s="983" t="s">
        <v>1591</v>
      </c>
      <c r="U259" s="984">
        <v>538</v>
      </c>
      <c r="V259" s="984">
        <v>6</v>
      </c>
      <c r="W259" s="984">
        <v>245</v>
      </c>
      <c r="X259" s="984">
        <v>1</v>
      </c>
      <c r="Y259" s="984">
        <v>36</v>
      </c>
      <c r="Z259" s="984">
        <v>0</v>
      </c>
      <c r="AA259" s="984"/>
      <c r="AB259" s="984"/>
      <c r="AC259" s="984">
        <v>0</v>
      </c>
      <c r="AD259" s="984">
        <v>2</v>
      </c>
      <c r="AE259" s="984">
        <v>14</v>
      </c>
      <c r="AF259" s="984">
        <v>0</v>
      </c>
      <c r="AG259" s="984">
        <v>0</v>
      </c>
      <c r="AH259" s="984">
        <v>1</v>
      </c>
      <c r="AI259" s="984">
        <v>7</v>
      </c>
      <c r="AJ259" s="984">
        <v>0</v>
      </c>
      <c r="AK259" s="984">
        <v>833</v>
      </c>
      <c r="AL259" s="984">
        <v>10</v>
      </c>
      <c r="AM259" s="1055">
        <f>AK259*'tecnicecon agric'!$J$57</f>
        <v>395952.66666666663</v>
      </c>
      <c r="AN259" s="1055">
        <f>AL259*'tecnicecon agric'!$J$56</f>
        <v>11296.25</v>
      </c>
      <c r="AO259" s="1055">
        <f t="shared" si="9"/>
        <v>407248.91666666663</v>
      </c>
      <c r="AP259">
        <f>AL259*'tecnicecon agric'!$J$65+'cultius resum'!AK259</f>
        <v>875</v>
      </c>
      <c r="AQ259" s="779">
        <f t="shared" si="10"/>
        <v>395952.66666666663</v>
      </c>
      <c r="AR259">
        <f>AN259+AL259*'tecnicecon agric'!$L$58</f>
        <v>13228.318571428572</v>
      </c>
      <c r="AS259">
        <f>AP259*'4. Agricultura PIB'!$K$31</f>
        <v>2488556.3714415561</v>
      </c>
      <c r="AT259">
        <f>AS259*'4. Agricultura PIB'!$D$71</f>
        <v>731635.57320381748</v>
      </c>
      <c r="AU259" s="779">
        <f t="shared" si="11"/>
        <v>3629372.9298834689</v>
      </c>
    </row>
    <row r="260" spans="1:47">
      <c r="A260" s="974" t="s">
        <v>1608</v>
      </c>
      <c r="B260" s="976">
        <v>282</v>
      </c>
      <c r="C260" s="976">
        <v>2</v>
      </c>
      <c r="D260" s="976">
        <v>147</v>
      </c>
      <c r="E260" s="976">
        <v>5</v>
      </c>
      <c r="F260" s="976">
        <v>15</v>
      </c>
      <c r="G260" s="976">
        <v>0</v>
      </c>
      <c r="H260" s="976"/>
      <c r="I260" s="976"/>
      <c r="J260" s="976">
        <v>2</v>
      </c>
      <c r="K260" s="976">
        <v>0</v>
      </c>
      <c r="L260" s="976">
        <v>7</v>
      </c>
      <c r="M260" s="976">
        <v>3</v>
      </c>
      <c r="N260" s="976"/>
      <c r="O260" s="976"/>
      <c r="P260" s="976">
        <v>453</v>
      </c>
      <c r="Q260" s="977">
        <v>10</v>
      </c>
      <c r="T260" s="983" t="s">
        <v>1598</v>
      </c>
      <c r="U260" s="984">
        <v>335</v>
      </c>
      <c r="V260" s="984">
        <v>2</v>
      </c>
      <c r="W260" s="984">
        <v>65</v>
      </c>
      <c r="X260" s="984">
        <v>3</v>
      </c>
      <c r="Y260" s="984"/>
      <c r="Z260" s="984"/>
      <c r="AA260" s="984"/>
      <c r="AB260" s="984"/>
      <c r="AC260" s="984">
        <v>0</v>
      </c>
      <c r="AD260" s="984">
        <v>4</v>
      </c>
      <c r="AE260" s="984">
        <v>30</v>
      </c>
      <c r="AF260" s="984">
        <v>3</v>
      </c>
      <c r="AG260" s="984"/>
      <c r="AH260" s="984"/>
      <c r="AI260" s="984">
        <v>2</v>
      </c>
      <c r="AJ260" s="984">
        <v>2</v>
      </c>
      <c r="AK260" s="984">
        <v>430</v>
      </c>
      <c r="AL260" s="984">
        <v>12</v>
      </c>
      <c r="AM260" s="1055">
        <f>AK260*'tecnicecon agric'!$J$57</f>
        <v>204393.33333333331</v>
      </c>
      <c r="AN260" s="1055">
        <f>AL260*'tecnicecon agric'!$J$56</f>
        <v>13555.5</v>
      </c>
      <c r="AO260" s="1055">
        <f t="shared" si="9"/>
        <v>217948.83333333331</v>
      </c>
      <c r="AP260">
        <f>AL260*'tecnicecon agric'!$J$65+'cultius resum'!AK260</f>
        <v>480.4</v>
      </c>
      <c r="AQ260" s="779">
        <f t="shared" si="10"/>
        <v>204393.33333333331</v>
      </c>
      <c r="AR260">
        <f>AN260+AL260*'tecnicecon agric'!$L$58</f>
        <v>15873.982285714286</v>
      </c>
      <c r="AS260">
        <f>AP260*'4. Agricultura PIB'!$K$31</f>
        <v>1366288.5495320268</v>
      </c>
      <c r="AT260">
        <f>AS260*'4. Agricultura PIB'!$D$71</f>
        <v>401688.83356241585</v>
      </c>
      <c r="AU260" s="779">
        <f t="shared" si="11"/>
        <v>1988244.69871349</v>
      </c>
    </row>
    <row r="261" spans="1:47">
      <c r="A261" s="974" t="s">
        <v>1614</v>
      </c>
      <c r="B261" s="976">
        <v>256</v>
      </c>
      <c r="C261" s="976">
        <v>14</v>
      </c>
      <c r="D261" s="976">
        <v>267</v>
      </c>
      <c r="E261" s="976">
        <v>12</v>
      </c>
      <c r="F261" s="976">
        <v>7</v>
      </c>
      <c r="G261" s="976">
        <v>0</v>
      </c>
      <c r="H261" s="976"/>
      <c r="I261" s="976"/>
      <c r="J261" s="976"/>
      <c r="K261" s="976"/>
      <c r="L261" s="976">
        <v>15</v>
      </c>
      <c r="M261" s="976">
        <v>1</v>
      </c>
      <c r="N261" s="976">
        <v>1</v>
      </c>
      <c r="O261" s="976">
        <v>0</v>
      </c>
      <c r="P261" s="976">
        <v>546</v>
      </c>
      <c r="Q261" s="977">
        <v>27</v>
      </c>
      <c r="T261" s="983" t="s">
        <v>354</v>
      </c>
      <c r="U261" s="984">
        <v>1</v>
      </c>
      <c r="V261" s="984">
        <v>1</v>
      </c>
      <c r="W261" s="984">
        <v>2</v>
      </c>
      <c r="X261" s="984">
        <v>1</v>
      </c>
      <c r="Y261" s="984"/>
      <c r="Z261" s="984"/>
      <c r="AA261" s="984">
        <v>0</v>
      </c>
      <c r="AB261" s="984">
        <v>4</v>
      </c>
      <c r="AC261" s="984">
        <v>0</v>
      </c>
      <c r="AD261" s="984">
        <v>52</v>
      </c>
      <c r="AE261" s="984">
        <v>0</v>
      </c>
      <c r="AF261" s="984">
        <v>3</v>
      </c>
      <c r="AG261" s="984">
        <v>0</v>
      </c>
      <c r="AH261" s="984">
        <v>11</v>
      </c>
      <c r="AI261" s="984" t="s">
        <v>752</v>
      </c>
      <c r="AJ261" s="984" t="s">
        <v>752</v>
      </c>
      <c r="AK261" s="984">
        <v>3</v>
      </c>
      <c r="AL261" s="984">
        <v>72</v>
      </c>
      <c r="AM261" s="1055">
        <f>AK261*'tecnicecon agric'!$J$57</f>
        <v>1426</v>
      </c>
      <c r="AN261" s="1055">
        <f>AL261*'tecnicecon agric'!$J$56</f>
        <v>81333</v>
      </c>
      <c r="AO261" s="1055">
        <f t="shared" si="9"/>
        <v>82759</v>
      </c>
      <c r="AP261">
        <f>AL261*'tecnicecon agric'!$J$65+'cultius resum'!AK261</f>
        <v>305.40000000000003</v>
      </c>
      <c r="AQ261" s="779">
        <f t="shared" si="10"/>
        <v>1426</v>
      </c>
      <c r="AR261">
        <f>AN261+AL261*'tecnicecon agric'!$L$58</f>
        <v>95243.893714285718</v>
      </c>
      <c r="AS261">
        <f>AP261*'4. Agricultura PIB'!$K$31</f>
        <v>868577.27524371585</v>
      </c>
      <c r="AT261">
        <f>AS261*'4. Agricultura PIB'!$D$71</f>
        <v>255361.71892165244</v>
      </c>
      <c r="AU261" s="779">
        <f t="shared" si="11"/>
        <v>1220608.8878796541</v>
      </c>
    </row>
    <row r="262" spans="1:47">
      <c r="A262" s="974" t="s">
        <v>356</v>
      </c>
      <c r="B262" s="976">
        <v>24</v>
      </c>
      <c r="C262" s="976">
        <v>0</v>
      </c>
      <c r="D262" s="976">
        <v>11</v>
      </c>
      <c r="E262" s="976">
        <v>0</v>
      </c>
      <c r="F262" s="976"/>
      <c r="G262" s="976"/>
      <c r="H262" s="976">
        <v>0</v>
      </c>
      <c r="I262" s="976">
        <v>1</v>
      </c>
      <c r="J262" s="976"/>
      <c r="K262" s="976"/>
      <c r="L262" s="976"/>
      <c r="M262" s="976"/>
      <c r="N262" s="976"/>
      <c r="O262" s="976"/>
      <c r="P262" s="976">
        <v>35</v>
      </c>
      <c r="Q262" s="977">
        <v>1</v>
      </c>
      <c r="T262" s="983" t="s">
        <v>1418</v>
      </c>
      <c r="U262" s="984">
        <v>662</v>
      </c>
      <c r="V262" s="984">
        <v>2</v>
      </c>
      <c r="W262" s="984">
        <v>77</v>
      </c>
      <c r="X262" s="984">
        <v>0</v>
      </c>
      <c r="Y262" s="984">
        <v>44</v>
      </c>
      <c r="Z262" s="984">
        <v>0</v>
      </c>
      <c r="AA262" s="984"/>
      <c r="AB262" s="984"/>
      <c r="AC262" s="984">
        <v>0</v>
      </c>
      <c r="AD262" s="984">
        <v>5</v>
      </c>
      <c r="AE262" s="984">
        <v>26</v>
      </c>
      <c r="AF262" s="984">
        <v>0</v>
      </c>
      <c r="AG262" s="984"/>
      <c r="AH262" s="984"/>
      <c r="AI262" s="984">
        <v>1</v>
      </c>
      <c r="AJ262" s="984">
        <v>0</v>
      </c>
      <c r="AK262" s="984">
        <v>809</v>
      </c>
      <c r="AL262" s="984">
        <v>7</v>
      </c>
      <c r="AM262" s="1055">
        <f>AK262*'tecnicecon agric'!$J$57</f>
        <v>384544.66666666663</v>
      </c>
      <c r="AN262" s="1055">
        <f>AL262*'tecnicecon agric'!$J$56</f>
        <v>7907.375</v>
      </c>
      <c r="AO262" s="1055">
        <f t="shared" si="9"/>
        <v>392452.04166666663</v>
      </c>
      <c r="AP262">
        <f>AL262*'tecnicecon agric'!$J$65+'cultius resum'!AK262</f>
        <v>838.4</v>
      </c>
      <c r="AQ262" s="779">
        <f t="shared" si="10"/>
        <v>384544.66666666663</v>
      </c>
      <c r="AR262">
        <f>AN262+AL262*'tecnicecon agric'!$L$58</f>
        <v>9259.8230000000003</v>
      </c>
      <c r="AS262">
        <f>AP262*'4. Agricultura PIB'!$K$31</f>
        <v>2384463.6135046864</v>
      </c>
      <c r="AT262">
        <f>AS262*'4. Agricultura PIB'!$D$71</f>
        <v>701032.30237037782</v>
      </c>
      <c r="AU262" s="779">
        <f t="shared" si="11"/>
        <v>3479300.405541731</v>
      </c>
    </row>
    <row r="263" spans="1:47">
      <c r="A263" s="974" t="s">
        <v>1621</v>
      </c>
      <c r="B263" s="976">
        <v>12</v>
      </c>
      <c r="C263" s="976">
        <v>0</v>
      </c>
      <c r="D263" s="976">
        <v>104</v>
      </c>
      <c r="E263" s="976">
        <v>0</v>
      </c>
      <c r="F263" s="976"/>
      <c r="G263" s="976"/>
      <c r="H263" s="976"/>
      <c r="I263" s="976"/>
      <c r="J263" s="976"/>
      <c r="K263" s="976"/>
      <c r="L263" s="976"/>
      <c r="M263" s="976"/>
      <c r="N263" s="976"/>
      <c r="O263" s="976"/>
      <c r="P263" s="976">
        <v>116</v>
      </c>
      <c r="Q263" s="977">
        <v>0</v>
      </c>
      <c r="T263" s="983" t="s">
        <v>1608</v>
      </c>
      <c r="U263" s="984">
        <v>282</v>
      </c>
      <c r="V263" s="984">
        <v>2</v>
      </c>
      <c r="W263" s="984">
        <v>147</v>
      </c>
      <c r="X263" s="984">
        <v>5</v>
      </c>
      <c r="Y263" s="984">
        <v>15</v>
      </c>
      <c r="Z263" s="984">
        <v>0</v>
      </c>
      <c r="AA263" s="984"/>
      <c r="AB263" s="984"/>
      <c r="AC263" s="984">
        <v>2</v>
      </c>
      <c r="AD263" s="984">
        <v>0</v>
      </c>
      <c r="AE263" s="984">
        <v>7</v>
      </c>
      <c r="AF263" s="984">
        <v>3</v>
      </c>
      <c r="AG263" s="984"/>
      <c r="AH263" s="984"/>
      <c r="AI263" s="984">
        <v>39</v>
      </c>
      <c r="AJ263" s="984">
        <v>4</v>
      </c>
      <c r="AK263" s="984">
        <v>453</v>
      </c>
      <c r="AL263" s="984">
        <v>10</v>
      </c>
      <c r="AM263" s="1055">
        <f>AK263*'tecnicecon agric'!$J$57</f>
        <v>215326</v>
      </c>
      <c r="AN263" s="1055">
        <f>AL263*'tecnicecon agric'!$J$56</f>
        <v>11296.25</v>
      </c>
      <c r="AO263" s="1055">
        <f t="shared" ref="AO263:AO307" si="12">AM263+AN263</f>
        <v>226622.25</v>
      </c>
      <c r="AP263">
        <f>AL263*'tecnicecon agric'!$J$65+'cultius resum'!AK263</f>
        <v>495</v>
      </c>
      <c r="AQ263" s="779">
        <f t="shared" ref="AQ263:AQ307" si="13">AM263</f>
        <v>215326</v>
      </c>
      <c r="AR263">
        <f>AN263+AL263*'tecnicecon agric'!$L$58</f>
        <v>13228.318571428572</v>
      </c>
      <c r="AS263">
        <f>AP263*'4. Agricultura PIB'!$K$31</f>
        <v>1407811.8901297946</v>
      </c>
      <c r="AT263">
        <f>AS263*'4. Agricultura PIB'!$D$71</f>
        <v>413896.69569815957</v>
      </c>
      <c r="AU263" s="779">
        <f t="shared" ref="AU263:AU307" si="14">SUM(AQ263:AT263)</f>
        <v>2050262.9043993826</v>
      </c>
    </row>
    <row r="264" spans="1:47">
      <c r="A264" s="974" t="s">
        <v>1625</v>
      </c>
      <c r="B264" s="976">
        <v>8</v>
      </c>
      <c r="C264" s="976">
        <v>0</v>
      </c>
      <c r="D264" s="976">
        <v>428</v>
      </c>
      <c r="E264" s="976">
        <v>0</v>
      </c>
      <c r="F264" s="976"/>
      <c r="G264" s="976"/>
      <c r="H264" s="976"/>
      <c r="I264" s="976"/>
      <c r="J264" s="976"/>
      <c r="K264" s="976"/>
      <c r="L264" s="976"/>
      <c r="M264" s="976"/>
      <c r="N264" s="976"/>
      <c r="O264" s="976"/>
      <c r="P264" s="976">
        <v>436</v>
      </c>
      <c r="Q264" s="977">
        <v>0</v>
      </c>
      <c r="T264" s="983" t="s">
        <v>1614</v>
      </c>
      <c r="U264" s="984">
        <v>256</v>
      </c>
      <c r="V264" s="984">
        <v>14</v>
      </c>
      <c r="W264" s="984">
        <v>267</v>
      </c>
      <c r="X264" s="984">
        <v>12</v>
      </c>
      <c r="Y264" s="984">
        <v>7</v>
      </c>
      <c r="Z264" s="984">
        <v>0</v>
      </c>
      <c r="AA264" s="984"/>
      <c r="AB264" s="984"/>
      <c r="AC264" s="984"/>
      <c r="AD264" s="984"/>
      <c r="AE264" s="984">
        <v>15</v>
      </c>
      <c r="AF264" s="984">
        <v>1</v>
      </c>
      <c r="AG264" s="984">
        <v>1</v>
      </c>
      <c r="AH264" s="984">
        <v>0</v>
      </c>
      <c r="AI264" s="984">
        <v>17</v>
      </c>
      <c r="AJ264" s="984">
        <v>9</v>
      </c>
      <c r="AK264" s="984">
        <v>546</v>
      </c>
      <c r="AL264" s="984">
        <v>27</v>
      </c>
      <c r="AM264" s="1055">
        <f>AK264*'tecnicecon agric'!$J$57</f>
        <v>259532</v>
      </c>
      <c r="AN264" s="1055">
        <f>AL264*'tecnicecon agric'!$J$56</f>
        <v>30499.875</v>
      </c>
      <c r="AO264" s="1055">
        <f t="shared" si="12"/>
        <v>290031.875</v>
      </c>
      <c r="AP264">
        <f>AL264*'tecnicecon agric'!$J$65+'cultius resum'!AK264</f>
        <v>659.4</v>
      </c>
      <c r="AQ264" s="779">
        <f t="shared" si="13"/>
        <v>259532</v>
      </c>
      <c r="AR264">
        <f>AN264+AL264*'tecnicecon agric'!$L$58</f>
        <v>35716.46014285714</v>
      </c>
      <c r="AS264">
        <f>AP264*'4. Agricultura PIB'!$K$31</f>
        <v>1875376.0815183567</v>
      </c>
      <c r="AT264">
        <f>AS264*'4. Agricultura PIB'!$D$71</f>
        <v>551360.5679663968</v>
      </c>
      <c r="AU264" s="779">
        <f t="shared" si="14"/>
        <v>2721985.109627611</v>
      </c>
    </row>
    <row r="265" spans="1:47">
      <c r="A265" s="974" t="s">
        <v>1627</v>
      </c>
      <c r="B265" s="976">
        <v>47</v>
      </c>
      <c r="C265" s="976">
        <v>0</v>
      </c>
      <c r="D265" s="976">
        <v>45</v>
      </c>
      <c r="E265" s="976">
        <v>0</v>
      </c>
      <c r="F265" s="976"/>
      <c r="G265" s="976"/>
      <c r="H265" s="976"/>
      <c r="I265" s="976"/>
      <c r="J265" s="976">
        <v>5</v>
      </c>
      <c r="K265" s="976">
        <v>4</v>
      </c>
      <c r="L265" s="976">
        <v>1</v>
      </c>
      <c r="M265" s="976">
        <v>0</v>
      </c>
      <c r="N265" s="976">
        <v>1</v>
      </c>
      <c r="O265" s="976">
        <v>0</v>
      </c>
      <c r="P265" s="976">
        <v>99</v>
      </c>
      <c r="Q265" s="977">
        <v>4</v>
      </c>
      <c r="T265" s="983" t="s">
        <v>356</v>
      </c>
      <c r="U265" s="984">
        <v>24</v>
      </c>
      <c r="V265" s="984">
        <v>0</v>
      </c>
      <c r="W265" s="984">
        <v>11</v>
      </c>
      <c r="X265" s="984">
        <v>0</v>
      </c>
      <c r="Y265" s="984"/>
      <c r="Z265" s="984"/>
      <c r="AA265" s="984">
        <v>0</v>
      </c>
      <c r="AB265" s="984">
        <v>1</v>
      </c>
      <c r="AC265" s="984"/>
      <c r="AD265" s="984"/>
      <c r="AE265" s="984"/>
      <c r="AF265" s="984"/>
      <c r="AG265" s="984"/>
      <c r="AH265" s="984"/>
      <c r="AI265" s="984">
        <v>67</v>
      </c>
      <c r="AJ265" s="984">
        <v>3</v>
      </c>
      <c r="AK265" s="984">
        <v>35</v>
      </c>
      <c r="AL265" s="984">
        <v>1</v>
      </c>
      <c r="AM265" s="1055">
        <f>AK265*'tecnicecon agric'!$J$57</f>
        <v>16636.666666666664</v>
      </c>
      <c r="AN265" s="1055">
        <f>AL265*'tecnicecon agric'!$J$56</f>
        <v>1129.625</v>
      </c>
      <c r="AO265" s="1055">
        <f t="shared" si="12"/>
        <v>17766.291666666664</v>
      </c>
      <c r="AP265">
        <f>AL265*'tecnicecon agric'!$J$65+'cultius resum'!AK265</f>
        <v>39.200000000000003</v>
      </c>
      <c r="AQ265" s="779">
        <f t="shared" si="13"/>
        <v>16636.666666666664</v>
      </c>
      <c r="AR265">
        <f>AN265+AL265*'tecnicecon agric'!$L$58</f>
        <v>1322.8318571428572</v>
      </c>
      <c r="AS265">
        <f>AP265*'4. Agricultura PIB'!$K$31</f>
        <v>111487.32544058173</v>
      </c>
      <c r="AT265">
        <f>AS265*'4. Agricultura PIB'!$D$71</f>
        <v>32777.273679531027</v>
      </c>
      <c r="AU265" s="779">
        <f t="shared" si="14"/>
        <v>162224.09764392229</v>
      </c>
    </row>
    <row r="266" spans="1:47">
      <c r="A266" s="974" t="s">
        <v>1631</v>
      </c>
      <c r="B266" s="976">
        <v>127</v>
      </c>
      <c r="C266" s="976">
        <v>5</v>
      </c>
      <c r="D266" s="976">
        <v>49</v>
      </c>
      <c r="E266" s="976">
        <v>1</v>
      </c>
      <c r="F266" s="976">
        <v>3</v>
      </c>
      <c r="G266" s="976">
        <v>0</v>
      </c>
      <c r="H266" s="976"/>
      <c r="I266" s="976"/>
      <c r="J266" s="976">
        <v>0</v>
      </c>
      <c r="K266" s="976">
        <v>13</v>
      </c>
      <c r="L266" s="976"/>
      <c r="M266" s="976"/>
      <c r="N266" s="976"/>
      <c r="O266" s="976"/>
      <c r="P266" s="976">
        <v>179</v>
      </c>
      <c r="Q266" s="977">
        <v>19</v>
      </c>
      <c r="T266" s="983" t="s">
        <v>1621</v>
      </c>
      <c r="U266" s="984">
        <v>12</v>
      </c>
      <c r="V266" s="984">
        <v>0</v>
      </c>
      <c r="W266" s="984">
        <v>104</v>
      </c>
      <c r="X266" s="984">
        <v>0</v>
      </c>
      <c r="Y266" s="984"/>
      <c r="Z266" s="984"/>
      <c r="AA266" s="984"/>
      <c r="AB266" s="984"/>
      <c r="AC266" s="984"/>
      <c r="AD266" s="984"/>
      <c r="AE266" s="984"/>
      <c r="AF266" s="984"/>
      <c r="AG266" s="984"/>
      <c r="AH266" s="984"/>
      <c r="AI266" s="984" t="s">
        <v>752</v>
      </c>
      <c r="AJ266" s="984" t="s">
        <v>752</v>
      </c>
      <c r="AK266" s="984">
        <v>116</v>
      </c>
      <c r="AL266" s="984">
        <v>0</v>
      </c>
      <c r="AM266" s="1055">
        <f>AK266*'tecnicecon agric'!$J$57</f>
        <v>55138.666666666664</v>
      </c>
      <c r="AN266" s="1055">
        <f>AL266*'tecnicecon agric'!$J$56</f>
        <v>0</v>
      </c>
      <c r="AO266" s="1055">
        <f t="shared" si="12"/>
        <v>55138.666666666664</v>
      </c>
      <c r="AP266">
        <f>AL266*'tecnicecon agric'!$J$65+'cultius resum'!AK266</f>
        <v>116</v>
      </c>
      <c r="AQ266" s="779">
        <f t="shared" si="13"/>
        <v>55138.666666666664</v>
      </c>
      <c r="AR266">
        <f>AN266+AL266*'tecnicecon agric'!$L$58</f>
        <v>0</v>
      </c>
      <c r="AS266">
        <f>AP266*'4. Agricultura PIB'!$K$31</f>
        <v>329911.4732425377</v>
      </c>
      <c r="AT266">
        <f>AS266*'4. Agricultura PIB'!$D$71</f>
        <v>96993.973133306077</v>
      </c>
      <c r="AU266" s="779">
        <f t="shared" si="14"/>
        <v>482044.11304251046</v>
      </c>
    </row>
    <row r="267" spans="1:47">
      <c r="A267" s="974" t="s">
        <v>1636</v>
      </c>
      <c r="B267" s="976"/>
      <c r="C267" s="976"/>
      <c r="D267" s="976">
        <v>3</v>
      </c>
      <c r="E267" s="976">
        <v>0</v>
      </c>
      <c r="F267" s="976"/>
      <c r="G267" s="976"/>
      <c r="H267" s="976"/>
      <c r="I267" s="976"/>
      <c r="J267" s="976"/>
      <c r="K267" s="976"/>
      <c r="L267" s="976"/>
      <c r="M267" s="976"/>
      <c r="N267" s="976"/>
      <c r="O267" s="976"/>
      <c r="P267" s="976">
        <v>3</v>
      </c>
      <c r="Q267" s="977">
        <v>0</v>
      </c>
      <c r="T267" s="983" t="s">
        <v>1625</v>
      </c>
      <c r="U267" s="984">
        <v>8</v>
      </c>
      <c r="V267" s="984">
        <v>0</v>
      </c>
      <c r="W267" s="984">
        <v>428</v>
      </c>
      <c r="X267" s="984">
        <v>0</v>
      </c>
      <c r="Y267" s="984"/>
      <c r="Z267" s="984"/>
      <c r="AA267" s="984"/>
      <c r="AB267" s="984"/>
      <c r="AC267" s="984"/>
      <c r="AD267" s="984"/>
      <c r="AE267" s="984"/>
      <c r="AF267" s="984"/>
      <c r="AG267" s="984"/>
      <c r="AH267" s="984"/>
      <c r="AI267" s="984" t="s">
        <v>752</v>
      </c>
      <c r="AJ267" s="984" t="s">
        <v>752</v>
      </c>
      <c r="AK267" s="984">
        <v>436</v>
      </c>
      <c r="AL267" s="984">
        <v>0</v>
      </c>
      <c r="AM267" s="1055">
        <f>AK267*'tecnicecon agric'!$J$57</f>
        <v>207245.33333333331</v>
      </c>
      <c r="AN267" s="1055">
        <f>AL267*'tecnicecon agric'!$J$56</f>
        <v>0</v>
      </c>
      <c r="AO267" s="1055">
        <f t="shared" si="12"/>
        <v>207245.33333333331</v>
      </c>
      <c r="AP267">
        <f>AL267*'tecnicecon agric'!$J$65+'cultius resum'!AK267</f>
        <v>436</v>
      </c>
      <c r="AQ267" s="779">
        <f t="shared" si="13"/>
        <v>207245.33333333331</v>
      </c>
      <c r="AR267">
        <f>AN267+AL267*'tecnicecon agric'!$L$58</f>
        <v>0</v>
      </c>
      <c r="AS267">
        <f>AP267*'4. Agricultura PIB'!$K$31</f>
        <v>1240012.089084021</v>
      </c>
      <c r="AT267">
        <f>AS267*'4. Agricultura PIB'!$D$71</f>
        <v>364563.55419070215</v>
      </c>
      <c r="AU267" s="779">
        <f t="shared" si="14"/>
        <v>1811820.9766080566</v>
      </c>
    </row>
    <row r="268" spans="1:47">
      <c r="A268" s="974" t="s">
        <v>1639</v>
      </c>
      <c r="B268" s="976">
        <v>70</v>
      </c>
      <c r="C268" s="976">
        <v>0</v>
      </c>
      <c r="D268" s="976">
        <v>4</v>
      </c>
      <c r="E268" s="976">
        <v>0</v>
      </c>
      <c r="F268" s="976">
        <v>15</v>
      </c>
      <c r="G268" s="976">
        <v>0</v>
      </c>
      <c r="H268" s="976"/>
      <c r="I268" s="976"/>
      <c r="J268" s="976"/>
      <c r="K268" s="976"/>
      <c r="L268" s="976"/>
      <c r="M268" s="976"/>
      <c r="N268" s="976"/>
      <c r="O268" s="976"/>
      <c r="P268" s="976">
        <v>89</v>
      </c>
      <c r="Q268" s="977">
        <v>0</v>
      </c>
      <c r="T268" s="983" t="s">
        <v>1627</v>
      </c>
      <c r="U268" s="984">
        <v>47</v>
      </c>
      <c r="V268" s="984">
        <v>0</v>
      </c>
      <c r="W268" s="984">
        <v>45</v>
      </c>
      <c r="X268" s="984">
        <v>0</v>
      </c>
      <c r="Y268" s="984"/>
      <c r="Z268" s="984"/>
      <c r="AA268" s="984"/>
      <c r="AB268" s="984"/>
      <c r="AC268" s="984">
        <v>5</v>
      </c>
      <c r="AD268" s="984">
        <v>4</v>
      </c>
      <c r="AE268" s="984">
        <v>1</v>
      </c>
      <c r="AF268" s="984">
        <v>0</v>
      </c>
      <c r="AG268" s="984">
        <v>1</v>
      </c>
      <c r="AH268" s="984">
        <v>0</v>
      </c>
      <c r="AI268" s="984">
        <v>1571</v>
      </c>
      <c r="AJ268" s="984">
        <v>86</v>
      </c>
      <c r="AK268" s="984">
        <v>99</v>
      </c>
      <c r="AL268" s="984">
        <v>4</v>
      </c>
      <c r="AM268" s="1055">
        <f>AK268*'tecnicecon agric'!$J$57</f>
        <v>47058</v>
      </c>
      <c r="AN268" s="1055">
        <f>AL268*'tecnicecon agric'!$J$56</f>
        <v>4518.5</v>
      </c>
      <c r="AO268" s="1055">
        <f t="shared" si="12"/>
        <v>51576.5</v>
      </c>
      <c r="AP268">
        <f>AL268*'tecnicecon agric'!$J$65+'cultius resum'!AK268</f>
        <v>115.8</v>
      </c>
      <c r="AQ268" s="779">
        <f t="shared" si="13"/>
        <v>47058</v>
      </c>
      <c r="AR268">
        <f>AN268+AL268*'tecnicecon agric'!$L$58</f>
        <v>5291.3274285714288</v>
      </c>
      <c r="AS268">
        <f>AP268*'4. Agricultura PIB'!$K$31</f>
        <v>329342.66035763681</v>
      </c>
      <c r="AT268">
        <f>AS268*'4. Agricultura PIB'!$D$71</f>
        <v>96826.74214514521</v>
      </c>
      <c r="AU268" s="779">
        <f t="shared" si="14"/>
        <v>478518.72993135342</v>
      </c>
    </row>
    <row r="269" spans="1:47">
      <c r="A269" s="974" t="s">
        <v>1641</v>
      </c>
      <c r="B269" s="976">
        <v>467</v>
      </c>
      <c r="C269" s="976">
        <v>0</v>
      </c>
      <c r="D269" s="976">
        <v>360</v>
      </c>
      <c r="E269" s="976">
        <v>0</v>
      </c>
      <c r="F269" s="976">
        <v>0</v>
      </c>
      <c r="G269" s="976">
        <v>1</v>
      </c>
      <c r="H269" s="976"/>
      <c r="I269" s="976"/>
      <c r="J269" s="976">
        <v>0</v>
      </c>
      <c r="K269" s="976">
        <v>3</v>
      </c>
      <c r="L269" s="976">
        <v>17</v>
      </c>
      <c r="M269" s="976">
        <v>0</v>
      </c>
      <c r="N269" s="976"/>
      <c r="O269" s="976"/>
      <c r="P269" s="976">
        <v>844</v>
      </c>
      <c r="Q269" s="977">
        <v>4</v>
      </c>
      <c r="T269" s="983" t="s">
        <v>1631</v>
      </c>
      <c r="U269" s="984">
        <v>127</v>
      </c>
      <c r="V269" s="984">
        <v>5</v>
      </c>
      <c r="W269" s="984">
        <v>49</v>
      </c>
      <c r="X269" s="984">
        <v>1</v>
      </c>
      <c r="Y269" s="984">
        <v>3</v>
      </c>
      <c r="Z269" s="984">
        <v>0</v>
      </c>
      <c r="AA269" s="984"/>
      <c r="AB269" s="984"/>
      <c r="AC269" s="984">
        <v>0</v>
      </c>
      <c r="AD269" s="984">
        <v>13</v>
      </c>
      <c r="AE269" s="984"/>
      <c r="AF269" s="984"/>
      <c r="AG269" s="984"/>
      <c r="AH269" s="984"/>
      <c r="AI269" s="984">
        <v>9</v>
      </c>
      <c r="AJ269" s="984">
        <v>0</v>
      </c>
      <c r="AK269" s="984">
        <v>179</v>
      </c>
      <c r="AL269" s="984">
        <v>19</v>
      </c>
      <c r="AM269" s="1055">
        <f>AK269*'tecnicecon agric'!$J$57</f>
        <v>85084.666666666657</v>
      </c>
      <c r="AN269" s="1055">
        <f>AL269*'tecnicecon agric'!$J$56</f>
        <v>21462.875</v>
      </c>
      <c r="AO269" s="1055">
        <f t="shared" si="12"/>
        <v>106547.54166666666</v>
      </c>
      <c r="AP269">
        <f>AL269*'tecnicecon agric'!$J$65+'cultius resum'!AK269</f>
        <v>258.8</v>
      </c>
      <c r="AQ269" s="779">
        <f t="shared" si="13"/>
        <v>85084.666666666657</v>
      </c>
      <c r="AR269">
        <f>AN269+AL269*'tecnicecon agric'!$L$58</f>
        <v>25133.805285714287</v>
      </c>
      <c r="AS269">
        <f>AP269*'4. Agricultura PIB'!$K$31</f>
        <v>736043.87306179968</v>
      </c>
      <c r="AT269">
        <f>AS269*'4. Agricultura PIB'!$D$71</f>
        <v>216396.89868016911</v>
      </c>
      <c r="AU269" s="779">
        <f t="shared" si="14"/>
        <v>1062659.2436943497</v>
      </c>
    </row>
    <row r="270" spans="1:47">
      <c r="A270" s="974" t="s">
        <v>1634</v>
      </c>
      <c r="B270" s="976">
        <v>124</v>
      </c>
      <c r="C270" s="976">
        <v>3</v>
      </c>
      <c r="D270" s="976">
        <v>156</v>
      </c>
      <c r="E270" s="976">
        <v>3</v>
      </c>
      <c r="F270" s="976">
        <v>34</v>
      </c>
      <c r="G270" s="976">
        <v>0</v>
      </c>
      <c r="H270" s="976"/>
      <c r="I270" s="976"/>
      <c r="J270" s="976"/>
      <c r="K270" s="976"/>
      <c r="L270" s="976">
        <v>2</v>
      </c>
      <c r="M270" s="976">
        <v>0</v>
      </c>
      <c r="N270" s="976">
        <v>2</v>
      </c>
      <c r="O270" s="976">
        <v>0</v>
      </c>
      <c r="P270" s="976">
        <v>318</v>
      </c>
      <c r="Q270" s="977">
        <v>6</v>
      </c>
      <c r="T270" s="983" t="s">
        <v>1636</v>
      </c>
      <c r="U270" s="984"/>
      <c r="V270" s="984"/>
      <c r="W270" s="984">
        <v>3</v>
      </c>
      <c r="X270" s="984">
        <v>0</v>
      </c>
      <c r="Y270" s="984"/>
      <c r="Z270" s="984"/>
      <c r="AA270" s="984"/>
      <c r="AB270" s="984"/>
      <c r="AC270" s="984"/>
      <c r="AD270" s="984"/>
      <c r="AE270" s="984"/>
      <c r="AF270" s="984"/>
      <c r="AG270" s="984"/>
      <c r="AH270" s="984"/>
      <c r="AI270" s="984">
        <v>0</v>
      </c>
      <c r="AJ270" s="984">
        <v>1</v>
      </c>
      <c r="AK270" s="984">
        <v>3</v>
      </c>
      <c r="AL270" s="984">
        <v>0</v>
      </c>
      <c r="AM270" s="1055">
        <f>AK270*'tecnicecon agric'!$J$57</f>
        <v>1426</v>
      </c>
      <c r="AN270" s="1055">
        <f>AL270*'tecnicecon agric'!$J$56</f>
        <v>0</v>
      </c>
      <c r="AO270" s="1055">
        <f t="shared" si="12"/>
        <v>1426</v>
      </c>
      <c r="AP270">
        <f>AL270*'tecnicecon agric'!$J$65+'cultius resum'!AK270</f>
        <v>3</v>
      </c>
      <c r="AQ270" s="779">
        <f t="shared" si="13"/>
        <v>1426</v>
      </c>
      <c r="AR270">
        <f>AN270+AL270*'tecnicecon agric'!$L$58</f>
        <v>0</v>
      </c>
      <c r="AS270">
        <f>AP270*'4. Agricultura PIB'!$K$31</f>
        <v>8532.1932735139071</v>
      </c>
      <c r="AT270">
        <f>AS270*'4. Agricultura PIB'!$D$71</f>
        <v>2508.4648224130888</v>
      </c>
      <c r="AU270" s="779">
        <f t="shared" si="14"/>
        <v>12466.658095926996</v>
      </c>
    </row>
    <row r="271" spans="1:47">
      <c r="A271" s="974" t="s">
        <v>1650</v>
      </c>
      <c r="B271" s="976">
        <v>1</v>
      </c>
      <c r="C271" s="976">
        <v>0</v>
      </c>
      <c r="D271" s="976">
        <v>148</v>
      </c>
      <c r="E271" s="976">
        <v>0</v>
      </c>
      <c r="F271" s="976"/>
      <c r="G271" s="976"/>
      <c r="H271" s="976"/>
      <c r="I271" s="976"/>
      <c r="J271" s="976"/>
      <c r="K271" s="976"/>
      <c r="L271" s="976"/>
      <c r="M271" s="976"/>
      <c r="N271" s="976"/>
      <c r="O271" s="976"/>
      <c r="P271" s="976">
        <v>149</v>
      </c>
      <c r="Q271" s="977">
        <v>0</v>
      </c>
      <c r="T271" s="983" t="s">
        <v>1639</v>
      </c>
      <c r="U271" s="984">
        <v>70</v>
      </c>
      <c r="V271" s="984">
        <v>0</v>
      </c>
      <c r="W271" s="984">
        <v>4</v>
      </c>
      <c r="X271" s="984">
        <v>0</v>
      </c>
      <c r="Y271" s="984">
        <v>15</v>
      </c>
      <c r="Z271" s="984">
        <v>0</v>
      </c>
      <c r="AA271" s="984"/>
      <c r="AB271" s="984"/>
      <c r="AC271" s="984"/>
      <c r="AD271" s="984"/>
      <c r="AE271" s="984"/>
      <c r="AF271" s="984"/>
      <c r="AG271" s="984"/>
      <c r="AH271" s="984"/>
      <c r="AI271" s="984">
        <v>2</v>
      </c>
      <c r="AJ271" s="984">
        <v>0</v>
      </c>
      <c r="AK271" s="984">
        <v>89</v>
      </c>
      <c r="AL271" s="984">
        <v>0</v>
      </c>
      <c r="AM271" s="1055">
        <f>AK271*'tecnicecon agric'!$J$57</f>
        <v>42304.666666666664</v>
      </c>
      <c r="AN271" s="1055">
        <f>AL271*'tecnicecon agric'!$J$56</f>
        <v>0</v>
      </c>
      <c r="AO271" s="1055">
        <f t="shared" si="12"/>
        <v>42304.666666666664</v>
      </c>
      <c r="AP271">
        <f>AL271*'tecnicecon agric'!$J$65+'cultius resum'!AK271</f>
        <v>89</v>
      </c>
      <c r="AQ271" s="779">
        <f t="shared" si="13"/>
        <v>42304.666666666664</v>
      </c>
      <c r="AR271">
        <f>AN271+AL271*'tecnicecon agric'!$L$58</f>
        <v>0</v>
      </c>
      <c r="AS271">
        <f>AP271*'4. Agricultura PIB'!$K$31</f>
        <v>253121.73378091256</v>
      </c>
      <c r="AT271">
        <f>AS271*'4. Agricultura PIB'!$D$71</f>
        <v>74417.789731588287</v>
      </c>
      <c r="AU271" s="779">
        <f t="shared" si="14"/>
        <v>369844.19017916749</v>
      </c>
    </row>
    <row r="272" spans="1:47">
      <c r="A272" s="974" t="s">
        <v>1652</v>
      </c>
      <c r="B272" s="976"/>
      <c r="C272" s="976"/>
      <c r="D272" s="976"/>
      <c r="E272" s="976"/>
      <c r="F272" s="976"/>
      <c r="G272" s="976"/>
      <c r="H272" s="976">
        <v>0</v>
      </c>
      <c r="I272" s="976">
        <v>6</v>
      </c>
      <c r="J272" s="976">
        <v>0</v>
      </c>
      <c r="K272" s="976">
        <v>13</v>
      </c>
      <c r="L272" s="976"/>
      <c r="M272" s="976"/>
      <c r="N272" s="976">
        <v>0</v>
      </c>
      <c r="O272" s="976">
        <v>3</v>
      </c>
      <c r="P272" s="976">
        <v>0</v>
      </c>
      <c r="Q272" s="977">
        <v>22</v>
      </c>
      <c r="T272" s="983" t="s">
        <v>1641</v>
      </c>
      <c r="U272" s="984">
        <v>467</v>
      </c>
      <c r="V272" s="984">
        <v>0</v>
      </c>
      <c r="W272" s="984">
        <v>360</v>
      </c>
      <c r="X272" s="984">
        <v>0</v>
      </c>
      <c r="Y272" s="984">
        <v>0</v>
      </c>
      <c r="Z272" s="984">
        <v>1</v>
      </c>
      <c r="AA272" s="984"/>
      <c r="AB272" s="984"/>
      <c r="AC272" s="984">
        <v>0</v>
      </c>
      <c r="AD272" s="984">
        <v>3</v>
      </c>
      <c r="AE272" s="984">
        <v>17</v>
      </c>
      <c r="AF272" s="984">
        <v>0</v>
      </c>
      <c r="AG272" s="984"/>
      <c r="AH272" s="984"/>
      <c r="AI272" s="984">
        <v>2</v>
      </c>
      <c r="AJ272" s="984">
        <v>0</v>
      </c>
      <c r="AK272" s="984">
        <v>844</v>
      </c>
      <c r="AL272" s="984">
        <v>4</v>
      </c>
      <c r="AM272" s="1055">
        <f>AK272*'tecnicecon agric'!$J$57</f>
        <v>401181.33333333331</v>
      </c>
      <c r="AN272" s="1055">
        <f>AL272*'tecnicecon agric'!$J$56</f>
        <v>4518.5</v>
      </c>
      <c r="AO272" s="1055">
        <f t="shared" si="12"/>
        <v>405699.83333333331</v>
      </c>
      <c r="AP272">
        <f>AL272*'tecnicecon agric'!$J$65+'cultius resum'!AK272</f>
        <v>860.8</v>
      </c>
      <c r="AQ272" s="779">
        <f t="shared" si="13"/>
        <v>401181.33333333331</v>
      </c>
      <c r="AR272">
        <f>AN272+AL272*'tecnicecon agric'!$L$58</f>
        <v>5291.3274285714288</v>
      </c>
      <c r="AS272">
        <f>AP272*'4. Agricultura PIB'!$K$31</f>
        <v>2448170.6566135902</v>
      </c>
      <c r="AT272">
        <f>AS272*'4. Agricultura PIB'!$D$71</f>
        <v>719762.17304439552</v>
      </c>
      <c r="AU272" s="779">
        <f t="shared" si="14"/>
        <v>3574405.4904198907</v>
      </c>
    </row>
    <row r="273" spans="1:47">
      <c r="A273" s="974" t="s">
        <v>967</v>
      </c>
      <c r="B273" s="976">
        <v>336</v>
      </c>
      <c r="C273" s="976">
        <v>1</v>
      </c>
      <c r="D273" s="976">
        <v>90</v>
      </c>
      <c r="E273" s="976">
        <v>1</v>
      </c>
      <c r="F273" s="976">
        <v>24</v>
      </c>
      <c r="G273" s="976">
        <v>0</v>
      </c>
      <c r="H273" s="976"/>
      <c r="I273" s="976"/>
      <c r="J273" s="976"/>
      <c r="K273" s="976"/>
      <c r="L273" s="976">
        <v>19</v>
      </c>
      <c r="M273" s="976">
        <v>0</v>
      </c>
      <c r="N273" s="976"/>
      <c r="O273" s="976"/>
      <c r="P273" s="976">
        <v>469</v>
      </c>
      <c r="Q273" s="977">
        <v>2</v>
      </c>
      <c r="T273" s="983" t="s">
        <v>1634</v>
      </c>
      <c r="U273" s="984">
        <v>124</v>
      </c>
      <c r="V273" s="984">
        <v>3</v>
      </c>
      <c r="W273" s="984">
        <v>156</v>
      </c>
      <c r="X273" s="984">
        <v>3</v>
      </c>
      <c r="Y273" s="984">
        <v>34</v>
      </c>
      <c r="Z273" s="984">
        <v>0</v>
      </c>
      <c r="AA273" s="984"/>
      <c r="AB273" s="984"/>
      <c r="AC273" s="984"/>
      <c r="AD273" s="984"/>
      <c r="AE273" s="984">
        <v>2</v>
      </c>
      <c r="AF273" s="984">
        <v>0</v>
      </c>
      <c r="AG273" s="984">
        <v>2</v>
      </c>
      <c r="AH273" s="984">
        <v>0</v>
      </c>
      <c r="AI273" s="984" t="s">
        <v>752</v>
      </c>
      <c r="AJ273" s="984" t="s">
        <v>752</v>
      </c>
      <c r="AK273" s="984">
        <v>318</v>
      </c>
      <c r="AL273" s="984">
        <v>6</v>
      </c>
      <c r="AM273" s="1055">
        <f>AK273*'tecnicecon agric'!$J$57</f>
        <v>151156</v>
      </c>
      <c r="AN273" s="1055">
        <f>AL273*'tecnicecon agric'!$J$56</f>
        <v>6777.75</v>
      </c>
      <c r="AO273" s="1055">
        <f t="shared" si="12"/>
        <v>157933.75</v>
      </c>
      <c r="AP273">
        <f>AL273*'tecnicecon agric'!$J$65+'cultius resum'!AK273</f>
        <v>343.2</v>
      </c>
      <c r="AQ273" s="779">
        <f t="shared" si="13"/>
        <v>151156</v>
      </c>
      <c r="AR273">
        <f>AN273+AL273*'tecnicecon agric'!$L$58</f>
        <v>7936.9911428571431</v>
      </c>
      <c r="AS273">
        <f>AP273*'4. Agricultura PIB'!$K$31</f>
        <v>976082.91048999084</v>
      </c>
      <c r="AT273">
        <f>AS273*'4. Agricultura PIB'!$D$71</f>
        <v>286968.3756840573</v>
      </c>
      <c r="AU273" s="779">
        <f t="shared" si="14"/>
        <v>1422144.2773169053</v>
      </c>
    </row>
    <row r="274" spans="1:47">
      <c r="A274" s="974" t="s">
        <v>1655</v>
      </c>
      <c r="B274" s="976"/>
      <c r="C274" s="976"/>
      <c r="D274" s="976"/>
      <c r="E274" s="976"/>
      <c r="F274" s="976"/>
      <c r="G274" s="976"/>
      <c r="H274" s="976">
        <v>0</v>
      </c>
      <c r="I274" s="976">
        <v>8</v>
      </c>
      <c r="J274" s="976">
        <v>0</v>
      </c>
      <c r="K274" s="976">
        <v>21</v>
      </c>
      <c r="L274" s="976">
        <v>0</v>
      </c>
      <c r="M274" s="976">
        <v>1</v>
      </c>
      <c r="N274" s="976">
        <v>0</v>
      </c>
      <c r="O274" s="976">
        <v>1</v>
      </c>
      <c r="P274" s="976">
        <v>0</v>
      </c>
      <c r="Q274" s="977">
        <v>31</v>
      </c>
      <c r="T274" s="983" t="s">
        <v>1650</v>
      </c>
      <c r="U274" s="984">
        <v>1</v>
      </c>
      <c r="V274" s="984">
        <v>0</v>
      </c>
      <c r="W274" s="984">
        <v>148</v>
      </c>
      <c r="X274" s="984">
        <v>0</v>
      </c>
      <c r="Y274" s="984"/>
      <c r="Z274" s="984"/>
      <c r="AA274" s="984"/>
      <c r="AB274" s="984"/>
      <c r="AC274" s="984"/>
      <c r="AD274" s="984"/>
      <c r="AE274" s="984"/>
      <c r="AF274" s="984"/>
      <c r="AG274" s="984"/>
      <c r="AH274" s="984"/>
      <c r="AI274" s="984" t="s">
        <v>752</v>
      </c>
      <c r="AJ274" s="984" t="s">
        <v>752</v>
      </c>
      <c r="AK274" s="984">
        <v>149</v>
      </c>
      <c r="AL274" s="984">
        <v>0</v>
      </c>
      <c r="AM274" s="1055">
        <f>AK274*'tecnicecon agric'!$J$57</f>
        <v>70824.666666666657</v>
      </c>
      <c r="AN274" s="1055">
        <f>AL274*'tecnicecon agric'!$J$56</f>
        <v>0</v>
      </c>
      <c r="AO274" s="1055">
        <f t="shared" si="12"/>
        <v>70824.666666666657</v>
      </c>
      <c r="AP274">
        <f>AL274*'tecnicecon agric'!$J$65+'cultius resum'!AK274</f>
        <v>149</v>
      </c>
      <c r="AQ274" s="779">
        <f t="shared" si="13"/>
        <v>70824.666666666657</v>
      </c>
      <c r="AR274">
        <f>AN274+AL274*'tecnicecon agric'!$L$58</f>
        <v>0</v>
      </c>
      <c r="AS274">
        <f>AP274*'4. Agricultura PIB'!$K$31</f>
        <v>423765.59925119072</v>
      </c>
      <c r="AT274">
        <f>AS274*'4. Agricultura PIB'!$D$71</f>
        <v>124587.08617985007</v>
      </c>
      <c r="AU274" s="779">
        <f t="shared" si="14"/>
        <v>619177.35209770745</v>
      </c>
    </row>
    <row r="275" spans="1:47">
      <c r="A275" s="974" t="s">
        <v>1658</v>
      </c>
      <c r="B275" s="976">
        <v>372</v>
      </c>
      <c r="C275" s="976">
        <v>4</v>
      </c>
      <c r="D275" s="976">
        <v>178</v>
      </c>
      <c r="E275" s="976">
        <v>20</v>
      </c>
      <c r="F275" s="976"/>
      <c r="G275" s="976"/>
      <c r="H275" s="976">
        <v>0</v>
      </c>
      <c r="I275" s="976">
        <v>5</v>
      </c>
      <c r="J275" s="976"/>
      <c r="K275" s="976"/>
      <c r="L275" s="976">
        <v>20</v>
      </c>
      <c r="M275" s="976">
        <v>3</v>
      </c>
      <c r="N275" s="976">
        <v>2</v>
      </c>
      <c r="O275" s="976">
        <v>0</v>
      </c>
      <c r="P275" s="976">
        <v>572</v>
      </c>
      <c r="Q275" s="977">
        <v>32</v>
      </c>
      <c r="T275" s="983" t="s">
        <v>1652</v>
      </c>
      <c r="U275" s="984"/>
      <c r="V275" s="984"/>
      <c r="W275" s="984"/>
      <c r="X275" s="984"/>
      <c r="Y275" s="984"/>
      <c r="Z275" s="984"/>
      <c r="AA275" s="984">
        <v>0</v>
      </c>
      <c r="AB275" s="984">
        <v>6</v>
      </c>
      <c r="AC275" s="984">
        <v>0</v>
      </c>
      <c r="AD275" s="984">
        <v>13</v>
      </c>
      <c r="AE275" s="984"/>
      <c r="AF275" s="984"/>
      <c r="AG275" s="984">
        <v>0</v>
      </c>
      <c r="AH275" s="984">
        <v>3</v>
      </c>
      <c r="AI275" s="984">
        <v>19</v>
      </c>
      <c r="AJ275" s="984">
        <v>9</v>
      </c>
      <c r="AK275" s="984">
        <v>0</v>
      </c>
      <c r="AL275" s="984">
        <v>22</v>
      </c>
      <c r="AM275" s="1055">
        <f>AK275*'tecnicecon agric'!$J$57</f>
        <v>0</v>
      </c>
      <c r="AN275" s="1055">
        <f>AL275*'tecnicecon agric'!$J$56</f>
        <v>24851.75</v>
      </c>
      <c r="AO275" s="1055">
        <f t="shared" si="12"/>
        <v>24851.75</v>
      </c>
      <c r="AP275">
        <f>AL275*'tecnicecon agric'!$J$65+'cultius resum'!AK275</f>
        <v>92.4</v>
      </c>
      <c r="AQ275" s="779">
        <f t="shared" si="13"/>
        <v>0</v>
      </c>
      <c r="AR275">
        <f>AN275+AL275*'tecnicecon agric'!$L$58</f>
        <v>29102.300857142858</v>
      </c>
      <c r="AS275">
        <f>AP275*'4. Agricultura PIB'!$K$31</f>
        <v>262791.55282422836</v>
      </c>
      <c r="AT275">
        <f>AS275*'4. Agricultura PIB'!$D$71</f>
        <v>77260.71653032313</v>
      </c>
      <c r="AU275" s="779">
        <f t="shared" si="14"/>
        <v>369154.57021169434</v>
      </c>
    </row>
    <row r="276" spans="1:47">
      <c r="A276" s="974" t="s">
        <v>1660</v>
      </c>
      <c r="B276" s="976">
        <v>56</v>
      </c>
      <c r="C276" s="976">
        <v>227</v>
      </c>
      <c r="D276" s="976">
        <v>101</v>
      </c>
      <c r="E276" s="976">
        <v>292</v>
      </c>
      <c r="F276" s="976">
        <v>16</v>
      </c>
      <c r="G276" s="976">
        <v>32</v>
      </c>
      <c r="H276" s="976">
        <v>0</v>
      </c>
      <c r="I276" s="976">
        <v>3</v>
      </c>
      <c r="J276" s="976">
        <v>0</v>
      </c>
      <c r="K276" s="976">
        <v>80</v>
      </c>
      <c r="L276" s="976">
        <v>0</v>
      </c>
      <c r="M276" s="976">
        <v>9</v>
      </c>
      <c r="N276" s="976">
        <v>0</v>
      </c>
      <c r="O276" s="976">
        <v>22</v>
      </c>
      <c r="P276" s="976">
        <v>173</v>
      </c>
      <c r="Q276" s="977">
        <v>665</v>
      </c>
      <c r="T276" s="983" t="s">
        <v>967</v>
      </c>
      <c r="U276" s="984">
        <v>336</v>
      </c>
      <c r="V276" s="984">
        <v>1</v>
      </c>
      <c r="W276" s="984">
        <v>90</v>
      </c>
      <c r="X276" s="984">
        <v>1</v>
      </c>
      <c r="Y276" s="984">
        <v>24</v>
      </c>
      <c r="Z276" s="984">
        <v>0</v>
      </c>
      <c r="AA276" s="984"/>
      <c r="AB276" s="984"/>
      <c r="AC276" s="984"/>
      <c r="AD276" s="984"/>
      <c r="AE276" s="984">
        <v>19</v>
      </c>
      <c r="AF276" s="984">
        <v>0</v>
      </c>
      <c r="AG276" s="984"/>
      <c r="AH276" s="984"/>
      <c r="AI276" s="984">
        <v>65</v>
      </c>
      <c r="AJ276" s="984">
        <v>2</v>
      </c>
      <c r="AK276" s="984">
        <v>469</v>
      </c>
      <c r="AL276" s="984">
        <v>2</v>
      </c>
      <c r="AM276" s="1055">
        <f>AK276*'tecnicecon agric'!$J$57</f>
        <v>222931.33333333331</v>
      </c>
      <c r="AN276" s="1055">
        <f>AL276*'tecnicecon agric'!$J$56</f>
        <v>2259.25</v>
      </c>
      <c r="AO276" s="1055">
        <f t="shared" si="12"/>
        <v>225190.58333333331</v>
      </c>
      <c r="AP276">
        <f>AL276*'tecnicecon agric'!$J$65+'cultius resum'!AK276</f>
        <v>477.4</v>
      </c>
      <c r="AQ276" s="779">
        <f t="shared" si="13"/>
        <v>222931.33333333331</v>
      </c>
      <c r="AR276">
        <f>AN276+AL276*'tecnicecon agric'!$L$58</f>
        <v>2645.6637142857144</v>
      </c>
      <c r="AS276">
        <f>AP276*'4. Agricultura PIB'!$K$31</f>
        <v>1357756.3562585129</v>
      </c>
      <c r="AT276">
        <f>AS276*'4. Agricultura PIB'!$D$71</f>
        <v>399180.3687400028</v>
      </c>
      <c r="AU276" s="779">
        <f t="shared" si="14"/>
        <v>1982513.7220461348</v>
      </c>
    </row>
    <row r="277" spans="1:47">
      <c r="A277" s="974" t="s">
        <v>1667</v>
      </c>
      <c r="B277" s="976">
        <v>238</v>
      </c>
      <c r="C277" s="976">
        <v>12</v>
      </c>
      <c r="D277" s="976">
        <v>330</v>
      </c>
      <c r="E277" s="976">
        <v>95</v>
      </c>
      <c r="F277" s="976"/>
      <c r="G277" s="976"/>
      <c r="H277" s="976"/>
      <c r="I277" s="976"/>
      <c r="J277" s="976">
        <v>0</v>
      </c>
      <c r="K277" s="976">
        <v>2</v>
      </c>
      <c r="L277" s="976">
        <v>8</v>
      </c>
      <c r="M277" s="976">
        <v>0</v>
      </c>
      <c r="N277" s="976">
        <v>2</v>
      </c>
      <c r="O277" s="976">
        <v>0</v>
      </c>
      <c r="P277" s="976">
        <v>578</v>
      </c>
      <c r="Q277" s="977">
        <v>109</v>
      </c>
      <c r="T277" s="983" t="s">
        <v>1655</v>
      </c>
      <c r="U277" s="984"/>
      <c r="V277" s="984"/>
      <c r="W277" s="984"/>
      <c r="X277" s="984"/>
      <c r="Y277" s="984"/>
      <c r="Z277" s="984"/>
      <c r="AA277" s="984">
        <v>0</v>
      </c>
      <c r="AB277" s="984">
        <v>8</v>
      </c>
      <c r="AC277" s="984">
        <v>0</v>
      </c>
      <c r="AD277" s="984">
        <v>21</v>
      </c>
      <c r="AE277" s="984">
        <v>0</v>
      </c>
      <c r="AF277" s="984">
        <v>1</v>
      </c>
      <c r="AG277" s="984">
        <v>0</v>
      </c>
      <c r="AH277" s="984">
        <v>1</v>
      </c>
      <c r="AI277" s="984">
        <v>24</v>
      </c>
      <c r="AJ277" s="984">
        <v>8</v>
      </c>
      <c r="AK277" s="984">
        <v>0</v>
      </c>
      <c r="AL277" s="984">
        <v>31</v>
      </c>
      <c r="AM277" s="1055">
        <f>AK277*'tecnicecon agric'!$J$57</f>
        <v>0</v>
      </c>
      <c r="AN277" s="1055">
        <f>AL277*'tecnicecon agric'!$J$56</f>
        <v>35018.375</v>
      </c>
      <c r="AO277" s="1055">
        <f t="shared" si="12"/>
        <v>35018.375</v>
      </c>
      <c r="AP277">
        <f>AL277*'tecnicecon agric'!$J$65+'cultius resum'!AK277</f>
        <v>130.20000000000002</v>
      </c>
      <c r="AQ277" s="779">
        <f t="shared" si="13"/>
        <v>0</v>
      </c>
      <c r="AR277">
        <f>AN277+AL277*'tecnicecon agric'!$L$58</f>
        <v>41007.787571428569</v>
      </c>
      <c r="AS277">
        <f>AP277*'4. Agricultura PIB'!$K$31</f>
        <v>370297.18807050359</v>
      </c>
      <c r="AT277">
        <f>AS277*'4. Agricultura PIB'!$D$71</f>
        <v>108867.37329272805</v>
      </c>
      <c r="AU277" s="779">
        <f t="shared" si="14"/>
        <v>520172.3489346602</v>
      </c>
    </row>
    <row r="278" spans="1:47">
      <c r="A278" s="974" t="s">
        <v>4079</v>
      </c>
      <c r="B278" s="976">
        <v>182</v>
      </c>
      <c r="C278" s="976">
        <v>0</v>
      </c>
      <c r="D278" s="976">
        <v>49</v>
      </c>
      <c r="E278" s="976">
        <v>0</v>
      </c>
      <c r="F278" s="976"/>
      <c r="G278" s="976"/>
      <c r="H278" s="976"/>
      <c r="I278" s="976"/>
      <c r="J278" s="976"/>
      <c r="K278" s="976"/>
      <c r="L278" s="976">
        <v>4</v>
      </c>
      <c r="M278" s="976">
        <v>0</v>
      </c>
      <c r="N278" s="976"/>
      <c r="O278" s="976"/>
      <c r="P278" s="976">
        <v>235</v>
      </c>
      <c r="Q278" s="977">
        <v>0</v>
      </c>
      <c r="T278" s="983" t="s">
        <v>1658</v>
      </c>
      <c r="U278" s="984">
        <v>372</v>
      </c>
      <c r="V278" s="984">
        <v>4</v>
      </c>
      <c r="W278" s="984">
        <v>178</v>
      </c>
      <c r="X278" s="984">
        <v>20</v>
      </c>
      <c r="Y278" s="984"/>
      <c r="Z278" s="984"/>
      <c r="AA278" s="984">
        <v>0</v>
      </c>
      <c r="AB278" s="984">
        <v>5</v>
      </c>
      <c r="AC278" s="984"/>
      <c r="AD278" s="984"/>
      <c r="AE278" s="984">
        <v>20</v>
      </c>
      <c r="AF278" s="984">
        <v>3</v>
      </c>
      <c r="AG278" s="984">
        <v>2</v>
      </c>
      <c r="AH278" s="984">
        <v>0</v>
      </c>
      <c r="AI278" s="984" t="s">
        <v>752</v>
      </c>
      <c r="AJ278" s="984" t="s">
        <v>752</v>
      </c>
      <c r="AK278" s="984">
        <v>572</v>
      </c>
      <c r="AL278" s="984">
        <v>32</v>
      </c>
      <c r="AM278" s="1055">
        <f>AK278*'tecnicecon agric'!$J$57</f>
        <v>271890.66666666663</v>
      </c>
      <c r="AN278" s="1055">
        <f>AL278*'tecnicecon agric'!$J$56</f>
        <v>36148</v>
      </c>
      <c r="AO278" s="1055">
        <f t="shared" si="12"/>
        <v>308038.66666666663</v>
      </c>
      <c r="AP278">
        <f>AL278*'tecnicecon agric'!$J$65+'cultius resum'!AK278</f>
        <v>706.4</v>
      </c>
      <c r="AQ278" s="779">
        <f t="shared" si="13"/>
        <v>271890.66666666663</v>
      </c>
      <c r="AR278">
        <f>AN278+AL278*'tecnicecon agric'!$L$58</f>
        <v>42330.61942857143</v>
      </c>
      <c r="AS278">
        <f>AP278*'4. Agricultura PIB'!$K$31</f>
        <v>2009047.1094700745</v>
      </c>
      <c r="AT278">
        <f>AS278*'4. Agricultura PIB'!$D$71</f>
        <v>590659.85018420184</v>
      </c>
      <c r="AU278" s="779">
        <f t="shared" si="14"/>
        <v>2913928.2457495141</v>
      </c>
    </row>
    <row r="279" spans="1:47">
      <c r="A279" s="974" t="s">
        <v>1673</v>
      </c>
      <c r="B279" s="976">
        <v>81</v>
      </c>
      <c r="C279" s="976">
        <v>0</v>
      </c>
      <c r="D279" s="976">
        <v>13</v>
      </c>
      <c r="E279" s="976">
        <v>0</v>
      </c>
      <c r="F279" s="976">
        <v>12</v>
      </c>
      <c r="G279" s="976">
        <v>0</v>
      </c>
      <c r="H279" s="976">
        <v>0</v>
      </c>
      <c r="I279" s="976">
        <v>18</v>
      </c>
      <c r="J279" s="976">
        <v>3</v>
      </c>
      <c r="K279" s="976">
        <v>3</v>
      </c>
      <c r="L279" s="976">
        <v>2</v>
      </c>
      <c r="M279" s="976">
        <v>1</v>
      </c>
      <c r="N279" s="976">
        <v>1</v>
      </c>
      <c r="O279" s="976">
        <v>0</v>
      </c>
      <c r="P279" s="976">
        <v>112</v>
      </c>
      <c r="Q279" s="977">
        <v>22</v>
      </c>
      <c r="T279" s="983" t="s">
        <v>1660</v>
      </c>
      <c r="U279" s="984">
        <v>56</v>
      </c>
      <c r="V279" s="984">
        <v>227</v>
      </c>
      <c r="W279" s="984">
        <v>101</v>
      </c>
      <c r="X279" s="984">
        <v>292</v>
      </c>
      <c r="Y279" s="984">
        <v>16</v>
      </c>
      <c r="Z279" s="984">
        <v>32</v>
      </c>
      <c r="AA279" s="984">
        <v>0</v>
      </c>
      <c r="AB279" s="984">
        <v>3</v>
      </c>
      <c r="AC279" s="984">
        <v>0</v>
      </c>
      <c r="AD279" s="984">
        <v>80</v>
      </c>
      <c r="AE279" s="984">
        <v>0</v>
      </c>
      <c r="AF279" s="984">
        <v>9</v>
      </c>
      <c r="AG279" s="984">
        <v>0</v>
      </c>
      <c r="AH279" s="984">
        <v>22</v>
      </c>
      <c r="AI279" s="984">
        <v>22</v>
      </c>
      <c r="AJ279" s="984">
        <v>25</v>
      </c>
      <c r="AK279" s="984">
        <v>173</v>
      </c>
      <c r="AL279" s="984">
        <v>665</v>
      </c>
      <c r="AM279" s="1055">
        <f>AK279*'tecnicecon agric'!$J$57</f>
        <v>82232.666666666657</v>
      </c>
      <c r="AN279" s="1055">
        <f>AL279*'tecnicecon agric'!$J$56</f>
        <v>751200.625</v>
      </c>
      <c r="AO279" s="1055">
        <f t="shared" si="12"/>
        <v>833433.29166666663</v>
      </c>
      <c r="AP279">
        <f>AL279*'tecnicecon agric'!$J$65+'cultius resum'!AK279</f>
        <v>2966</v>
      </c>
      <c r="AQ279" s="779">
        <f t="shared" si="13"/>
        <v>82232.666666666657</v>
      </c>
      <c r="AR279">
        <f>AN279+AL279*'tecnicecon agric'!$L$58</f>
        <v>879683.18500000006</v>
      </c>
      <c r="AS279">
        <f>AP279*'4. Agricultura PIB'!$K$31</f>
        <v>8435495.08308075</v>
      </c>
      <c r="AT279">
        <f>AS279*'4. Agricultura PIB'!$D$71</f>
        <v>2480035.5544257401</v>
      </c>
      <c r="AU279" s="779">
        <f t="shared" si="14"/>
        <v>11877446.489173157</v>
      </c>
    </row>
    <row r="280" spans="1:47">
      <c r="A280" s="974" t="s">
        <v>1677</v>
      </c>
      <c r="B280" s="976">
        <v>115</v>
      </c>
      <c r="C280" s="976">
        <v>0</v>
      </c>
      <c r="D280" s="976">
        <v>36</v>
      </c>
      <c r="E280" s="976">
        <v>0</v>
      </c>
      <c r="F280" s="976"/>
      <c r="G280" s="976"/>
      <c r="H280" s="976"/>
      <c r="I280" s="976"/>
      <c r="J280" s="976">
        <v>2</v>
      </c>
      <c r="K280" s="976">
        <v>4</v>
      </c>
      <c r="L280" s="976">
        <v>0</v>
      </c>
      <c r="M280" s="976">
        <v>1</v>
      </c>
      <c r="N280" s="976">
        <v>1</v>
      </c>
      <c r="O280" s="976">
        <v>0</v>
      </c>
      <c r="P280" s="976">
        <v>154</v>
      </c>
      <c r="Q280" s="977">
        <v>5</v>
      </c>
      <c r="T280" s="983" t="s">
        <v>1667</v>
      </c>
      <c r="U280" s="984">
        <v>238</v>
      </c>
      <c r="V280" s="984">
        <v>12</v>
      </c>
      <c r="W280" s="984">
        <v>330</v>
      </c>
      <c r="X280" s="984">
        <v>95</v>
      </c>
      <c r="Y280" s="984"/>
      <c r="Z280" s="984"/>
      <c r="AA280" s="984"/>
      <c r="AB280" s="984"/>
      <c r="AC280" s="984">
        <v>0</v>
      </c>
      <c r="AD280" s="984">
        <v>2</v>
      </c>
      <c r="AE280" s="984">
        <v>8</v>
      </c>
      <c r="AF280" s="984">
        <v>0</v>
      </c>
      <c r="AG280" s="984">
        <v>2</v>
      </c>
      <c r="AH280" s="984">
        <v>0</v>
      </c>
      <c r="AI280" s="984" t="s">
        <v>752</v>
      </c>
      <c r="AJ280" s="984" t="s">
        <v>752</v>
      </c>
      <c r="AK280" s="984">
        <v>578</v>
      </c>
      <c r="AL280" s="984">
        <v>109</v>
      </c>
      <c r="AM280" s="1055">
        <f>AK280*'tecnicecon agric'!$J$57</f>
        <v>274742.66666666663</v>
      </c>
      <c r="AN280" s="1055">
        <f>AL280*'tecnicecon agric'!$J$56</f>
        <v>123129.125</v>
      </c>
      <c r="AO280" s="1055">
        <f t="shared" si="12"/>
        <v>397871.79166666663</v>
      </c>
      <c r="AP280">
        <f>AL280*'tecnicecon agric'!$J$65+'cultius resum'!AK280</f>
        <v>1035.8</v>
      </c>
      <c r="AQ280" s="779">
        <f t="shared" si="13"/>
        <v>274742.66666666663</v>
      </c>
      <c r="AR280">
        <f>AN280+AL280*'tecnicecon agric'!$L$58</f>
        <v>144188.67242857144</v>
      </c>
      <c r="AS280">
        <f>AP280*'4. Agricultura PIB'!$K$31</f>
        <v>2945881.9309019013</v>
      </c>
      <c r="AT280">
        <f>AS280*'4. Agricultura PIB'!$D$71</f>
        <v>866089.2876851589</v>
      </c>
      <c r="AU280" s="779">
        <f t="shared" si="14"/>
        <v>4230902.5576822981</v>
      </c>
    </row>
    <row r="281" spans="1:47">
      <c r="A281" s="974" t="s">
        <v>1681</v>
      </c>
      <c r="B281" s="976"/>
      <c r="C281" s="976"/>
      <c r="D281" s="976"/>
      <c r="E281" s="976"/>
      <c r="F281" s="976"/>
      <c r="G281" s="976"/>
      <c r="H281" s="976"/>
      <c r="I281" s="976"/>
      <c r="J281" s="976">
        <v>0</v>
      </c>
      <c r="K281" s="976">
        <v>16</v>
      </c>
      <c r="L281" s="976"/>
      <c r="M281" s="976"/>
      <c r="N281" s="976"/>
      <c r="O281" s="976"/>
      <c r="P281" s="976">
        <v>0</v>
      </c>
      <c r="Q281" s="977">
        <v>16</v>
      </c>
      <c r="T281" s="983" t="s">
        <v>1670</v>
      </c>
      <c r="U281" s="984">
        <v>182</v>
      </c>
      <c r="V281" s="984">
        <v>0</v>
      </c>
      <c r="W281" s="984">
        <v>49</v>
      </c>
      <c r="X281" s="984">
        <v>0</v>
      </c>
      <c r="Y281" s="984"/>
      <c r="Z281" s="984"/>
      <c r="AA281" s="984"/>
      <c r="AB281" s="984"/>
      <c r="AC281" s="984"/>
      <c r="AD281" s="984"/>
      <c r="AE281" s="984">
        <v>4</v>
      </c>
      <c r="AF281" s="984">
        <v>0</v>
      </c>
      <c r="AG281" s="984"/>
      <c r="AH281" s="984"/>
      <c r="AI281" s="984">
        <v>81</v>
      </c>
      <c r="AJ281" s="984">
        <v>0</v>
      </c>
      <c r="AK281" s="984">
        <v>235</v>
      </c>
      <c r="AL281" s="984">
        <v>0</v>
      </c>
      <c r="AM281" s="1055">
        <f>AK281*'tecnicecon agric'!$J$57</f>
        <v>111703.33333333333</v>
      </c>
      <c r="AN281" s="1055">
        <f>AL281*'tecnicecon agric'!$J$56</f>
        <v>0</v>
      </c>
      <c r="AO281" s="1055">
        <f t="shared" si="12"/>
        <v>111703.33333333333</v>
      </c>
      <c r="AP281">
        <f>AL281*'tecnicecon agric'!$J$65+'cultius resum'!AK281</f>
        <v>235</v>
      </c>
      <c r="AQ281" s="779">
        <f t="shared" si="13"/>
        <v>111703.33333333333</v>
      </c>
      <c r="AR281">
        <f>AN281+AL281*'tecnicecon agric'!$L$58</f>
        <v>0</v>
      </c>
      <c r="AS281">
        <f>AP281*'4. Agricultura PIB'!$K$31</f>
        <v>668355.13975858933</v>
      </c>
      <c r="AT281">
        <f>AS281*'4. Agricultura PIB'!$D$71</f>
        <v>196496.41108902526</v>
      </c>
      <c r="AU281" s="779">
        <f t="shared" si="14"/>
        <v>976554.88418094791</v>
      </c>
    </row>
    <row r="282" spans="1:47">
      <c r="A282" s="974" t="s">
        <v>1682</v>
      </c>
      <c r="B282" s="976">
        <v>10</v>
      </c>
      <c r="C282" s="976">
        <v>0</v>
      </c>
      <c r="D282" s="976"/>
      <c r="E282" s="976"/>
      <c r="F282" s="976"/>
      <c r="G282" s="976"/>
      <c r="H282" s="976">
        <v>2</v>
      </c>
      <c r="I282" s="976">
        <v>0</v>
      </c>
      <c r="J282" s="976">
        <v>0</v>
      </c>
      <c r="K282" s="976">
        <v>3</v>
      </c>
      <c r="L282" s="976"/>
      <c r="M282" s="976"/>
      <c r="N282" s="976"/>
      <c r="O282" s="976"/>
      <c r="P282" s="976">
        <v>12</v>
      </c>
      <c r="Q282" s="977">
        <v>3</v>
      </c>
      <c r="T282" s="983" t="s">
        <v>1673</v>
      </c>
      <c r="U282" s="984">
        <v>81</v>
      </c>
      <c r="V282" s="984">
        <v>0</v>
      </c>
      <c r="W282" s="984">
        <v>13</v>
      </c>
      <c r="X282" s="984">
        <v>0</v>
      </c>
      <c r="Y282" s="984">
        <v>12</v>
      </c>
      <c r="Z282" s="984">
        <v>0</v>
      </c>
      <c r="AA282" s="984">
        <v>0</v>
      </c>
      <c r="AB282" s="984">
        <v>18</v>
      </c>
      <c r="AC282" s="984">
        <v>3</v>
      </c>
      <c r="AD282" s="984">
        <v>3</v>
      </c>
      <c r="AE282" s="984">
        <v>2</v>
      </c>
      <c r="AF282" s="984">
        <v>1</v>
      </c>
      <c r="AG282" s="984">
        <v>1</v>
      </c>
      <c r="AH282" s="984">
        <v>0</v>
      </c>
      <c r="AI282" s="984">
        <v>941</v>
      </c>
      <c r="AJ282" s="984">
        <v>31</v>
      </c>
      <c r="AK282" s="984">
        <v>112</v>
      </c>
      <c r="AL282" s="984">
        <v>22</v>
      </c>
      <c r="AM282" s="1055">
        <f>AK282*'tecnicecon agric'!$J$57</f>
        <v>53237.333333333328</v>
      </c>
      <c r="AN282" s="1055">
        <f>AL282*'tecnicecon agric'!$J$56</f>
        <v>24851.75</v>
      </c>
      <c r="AO282" s="1055">
        <f t="shared" si="12"/>
        <v>78089.083333333328</v>
      </c>
      <c r="AP282">
        <f>AL282*'tecnicecon agric'!$J$65+'cultius resum'!AK282</f>
        <v>204.4</v>
      </c>
      <c r="AQ282" s="779">
        <f t="shared" si="13"/>
        <v>53237.333333333328</v>
      </c>
      <c r="AR282">
        <f>AN282+AL282*'tecnicecon agric'!$L$58</f>
        <v>29102.300857142858</v>
      </c>
      <c r="AS282">
        <f>AP282*'4. Agricultura PIB'!$K$31</f>
        <v>581326.76836874755</v>
      </c>
      <c r="AT282">
        <f>AS282*'4. Agricultura PIB'!$D$71</f>
        <v>170910.06990041176</v>
      </c>
      <c r="AU282" s="779">
        <f t="shared" si="14"/>
        <v>834576.47245963546</v>
      </c>
    </row>
    <row r="283" spans="1:47">
      <c r="A283" s="974" t="s">
        <v>1684</v>
      </c>
      <c r="B283" s="976">
        <v>85</v>
      </c>
      <c r="C283" s="976">
        <v>0</v>
      </c>
      <c r="D283" s="976">
        <v>14</v>
      </c>
      <c r="E283" s="976">
        <v>0</v>
      </c>
      <c r="F283" s="976"/>
      <c r="G283" s="976"/>
      <c r="H283" s="976"/>
      <c r="I283" s="976"/>
      <c r="J283" s="976"/>
      <c r="K283" s="976"/>
      <c r="L283" s="976"/>
      <c r="M283" s="976"/>
      <c r="N283" s="976"/>
      <c r="O283" s="976"/>
      <c r="P283" s="976">
        <v>99</v>
      </c>
      <c r="Q283" s="977">
        <v>0</v>
      </c>
      <c r="T283" s="983" t="s">
        <v>1677</v>
      </c>
      <c r="U283" s="984">
        <v>115</v>
      </c>
      <c r="V283" s="984">
        <v>0</v>
      </c>
      <c r="W283" s="984">
        <v>36</v>
      </c>
      <c r="X283" s="984">
        <v>0</v>
      </c>
      <c r="Y283" s="984"/>
      <c r="Z283" s="984"/>
      <c r="AA283" s="984"/>
      <c r="AB283" s="984"/>
      <c r="AC283" s="984">
        <v>2</v>
      </c>
      <c r="AD283" s="984">
        <v>4</v>
      </c>
      <c r="AE283" s="984">
        <v>0</v>
      </c>
      <c r="AF283" s="984">
        <v>1</v>
      </c>
      <c r="AG283" s="984">
        <v>1</v>
      </c>
      <c r="AH283" s="984">
        <v>0</v>
      </c>
      <c r="AI283" s="984">
        <v>710</v>
      </c>
      <c r="AJ283" s="984">
        <v>12</v>
      </c>
      <c r="AK283" s="984">
        <v>154</v>
      </c>
      <c r="AL283" s="984">
        <v>5</v>
      </c>
      <c r="AM283" s="1055">
        <f>AK283*'tecnicecon agric'!$J$57</f>
        <v>73201.333333333328</v>
      </c>
      <c r="AN283" s="1055">
        <f>AL283*'tecnicecon agric'!$J$56</f>
        <v>5648.125</v>
      </c>
      <c r="AO283" s="1055">
        <f t="shared" si="12"/>
        <v>78849.458333333328</v>
      </c>
      <c r="AP283">
        <f>AL283*'tecnicecon agric'!$J$65+'cultius resum'!AK283</f>
        <v>175</v>
      </c>
      <c r="AQ283" s="779">
        <f t="shared" si="13"/>
        <v>73201.333333333328</v>
      </c>
      <c r="AR283">
        <f>AN283+AL283*'tecnicecon agric'!$L$58</f>
        <v>6614.1592857142859</v>
      </c>
      <c r="AS283">
        <f>AP283*'4. Agricultura PIB'!$K$31</f>
        <v>497711.27428831119</v>
      </c>
      <c r="AT283">
        <f>AS283*'4. Agricultura PIB'!$D$71</f>
        <v>146327.1146407635</v>
      </c>
      <c r="AU283" s="779">
        <f t="shared" si="14"/>
        <v>723853.88154812227</v>
      </c>
    </row>
    <row r="284" spans="1:47">
      <c r="A284" s="974" t="s">
        <v>1686</v>
      </c>
      <c r="B284" s="976">
        <v>6</v>
      </c>
      <c r="C284" s="976">
        <v>0</v>
      </c>
      <c r="D284" s="976">
        <v>15</v>
      </c>
      <c r="E284" s="976">
        <v>0</v>
      </c>
      <c r="F284" s="976"/>
      <c r="G284" s="976"/>
      <c r="H284" s="976"/>
      <c r="I284" s="976"/>
      <c r="J284" s="976"/>
      <c r="K284" s="976"/>
      <c r="L284" s="976"/>
      <c r="M284" s="976"/>
      <c r="N284" s="976"/>
      <c r="O284" s="976"/>
      <c r="P284" s="976">
        <v>21</v>
      </c>
      <c r="Q284" s="977">
        <v>0</v>
      </c>
      <c r="T284" s="983" t="s">
        <v>1681</v>
      </c>
      <c r="U284" s="984"/>
      <c r="V284" s="984"/>
      <c r="W284" s="984"/>
      <c r="X284" s="984"/>
      <c r="Y284" s="984"/>
      <c r="Z284" s="984"/>
      <c r="AA284" s="984"/>
      <c r="AB284" s="984"/>
      <c r="AC284" s="984">
        <v>0</v>
      </c>
      <c r="AD284" s="984">
        <v>16</v>
      </c>
      <c r="AE284" s="984"/>
      <c r="AF284" s="984"/>
      <c r="AG284" s="984"/>
      <c r="AH284" s="984"/>
      <c r="AI284" s="984">
        <v>11</v>
      </c>
      <c r="AJ284" s="984">
        <v>40</v>
      </c>
      <c r="AK284" s="984">
        <v>0</v>
      </c>
      <c r="AL284" s="984">
        <v>16</v>
      </c>
      <c r="AM284" s="1055">
        <f>AK284*'tecnicecon agric'!$J$57</f>
        <v>0</v>
      </c>
      <c r="AN284" s="1055">
        <f>AL284*'tecnicecon agric'!$J$56</f>
        <v>18074</v>
      </c>
      <c r="AO284" s="1055">
        <f t="shared" si="12"/>
        <v>18074</v>
      </c>
      <c r="AP284">
        <f>AL284*'tecnicecon agric'!$J$65+'cultius resum'!AK284</f>
        <v>67.2</v>
      </c>
      <c r="AQ284" s="779">
        <f t="shared" si="13"/>
        <v>0</v>
      </c>
      <c r="AR284">
        <f>AN284+AL284*'tecnicecon agric'!$L$58</f>
        <v>21165.309714285715</v>
      </c>
      <c r="AS284">
        <f>AP284*'4. Agricultura PIB'!$K$31</f>
        <v>191121.12932671153</v>
      </c>
      <c r="AT284">
        <f>AS284*'4. Agricultura PIB'!$D$71</f>
        <v>56189.612022053188</v>
      </c>
      <c r="AU284" s="779">
        <f t="shared" si="14"/>
        <v>268476.0510630504</v>
      </c>
    </row>
    <row r="285" spans="1:47">
      <c r="A285" s="974" t="s">
        <v>1690</v>
      </c>
      <c r="B285" s="976"/>
      <c r="C285" s="976"/>
      <c r="D285" s="976">
        <v>11</v>
      </c>
      <c r="E285" s="976">
        <v>0</v>
      </c>
      <c r="F285" s="976"/>
      <c r="G285" s="976"/>
      <c r="H285" s="976"/>
      <c r="I285" s="976"/>
      <c r="J285" s="976"/>
      <c r="K285" s="976"/>
      <c r="L285" s="976"/>
      <c r="M285" s="976"/>
      <c r="N285" s="976"/>
      <c r="O285" s="976"/>
      <c r="P285" s="976">
        <v>11</v>
      </c>
      <c r="Q285" s="977">
        <v>0</v>
      </c>
      <c r="T285" s="983" t="s">
        <v>1682</v>
      </c>
      <c r="U285" s="984">
        <v>10</v>
      </c>
      <c r="V285" s="984">
        <v>0</v>
      </c>
      <c r="W285" s="984"/>
      <c r="X285" s="984"/>
      <c r="Y285" s="984"/>
      <c r="Z285" s="984"/>
      <c r="AA285" s="984">
        <v>2</v>
      </c>
      <c r="AB285" s="984">
        <v>0</v>
      </c>
      <c r="AC285" s="984">
        <v>0</v>
      </c>
      <c r="AD285" s="984">
        <v>3</v>
      </c>
      <c r="AE285" s="984"/>
      <c r="AF285" s="984"/>
      <c r="AG285" s="984"/>
      <c r="AH285" s="984"/>
      <c r="AI285" s="984">
        <v>24</v>
      </c>
      <c r="AJ285" s="984">
        <v>8</v>
      </c>
      <c r="AK285" s="984">
        <v>12</v>
      </c>
      <c r="AL285" s="984">
        <v>3</v>
      </c>
      <c r="AM285" s="1055">
        <f>AK285*'tecnicecon agric'!$J$57</f>
        <v>5704</v>
      </c>
      <c r="AN285" s="1055">
        <f>AL285*'tecnicecon agric'!$J$56</f>
        <v>3388.875</v>
      </c>
      <c r="AO285" s="1055">
        <f t="shared" si="12"/>
        <v>9092.875</v>
      </c>
      <c r="AP285">
        <f>AL285*'tecnicecon agric'!$J$65+'cultius resum'!AK285</f>
        <v>24.6</v>
      </c>
      <c r="AQ285" s="779">
        <f t="shared" si="13"/>
        <v>5704</v>
      </c>
      <c r="AR285">
        <f>AN285+AL285*'tecnicecon agric'!$L$58</f>
        <v>3968.4955714285716</v>
      </c>
      <c r="AS285">
        <f>AP285*'4. Agricultura PIB'!$K$31</f>
        <v>69963.984842814039</v>
      </c>
      <c r="AT285">
        <f>AS285*'4. Agricultura PIB'!$D$71</f>
        <v>20569.411543787326</v>
      </c>
      <c r="AU285" s="779">
        <f t="shared" si="14"/>
        <v>100205.89195802994</v>
      </c>
    </row>
    <row r="286" spans="1:47">
      <c r="A286" s="974" t="s">
        <v>1692</v>
      </c>
      <c r="B286" s="976">
        <v>2</v>
      </c>
      <c r="C286" s="976">
        <v>2</v>
      </c>
      <c r="D286" s="976">
        <v>12</v>
      </c>
      <c r="E286" s="976">
        <v>0</v>
      </c>
      <c r="F286" s="976"/>
      <c r="G286" s="976"/>
      <c r="H286" s="976"/>
      <c r="I286" s="976"/>
      <c r="J286" s="976"/>
      <c r="K286" s="976"/>
      <c r="L286" s="976"/>
      <c r="M286" s="976"/>
      <c r="N286" s="976"/>
      <c r="O286" s="976"/>
      <c r="P286" s="976">
        <v>14</v>
      </c>
      <c r="Q286" s="977">
        <v>2</v>
      </c>
      <c r="T286" s="983" t="s">
        <v>1684</v>
      </c>
      <c r="U286" s="984">
        <v>85</v>
      </c>
      <c r="V286" s="984">
        <v>0</v>
      </c>
      <c r="W286" s="984">
        <v>14</v>
      </c>
      <c r="X286" s="984">
        <v>0</v>
      </c>
      <c r="Y286" s="984"/>
      <c r="Z286" s="984"/>
      <c r="AA286" s="984"/>
      <c r="AB286" s="984"/>
      <c r="AC286" s="984"/>
      <c r="AD286" s="984"/>
      <c r="AE286" s="984"/>
      <c r="AF286" s="984"/>
      <c r="AG286" s="984"/>
      <c r="AH286" s="984"/>
      <c r="AI286" s="984">
        <v>2</v>
      </c>
      <c r="AJ286" s="984">
        <v>0</v>
      </c>
      <c r="AK286" s="984">
        <v>99</v>
      </c>
      <c r="AL286" s="984">
        <v>0</v>
      </c>
      <c r="AM286" s="1055">
        <f>AK286*'tecnicecon agric'!$J$57</f>
        <v>47058</v>
      </c>
      <c r="AN286" s="1055">
        <f>AL286*'tecnicecon agric'!$J$56</f>
        <v>0</v>
      </c>
      <c r="AO286" s="1055">
        <f t="shared" si="12"/>
        <v>47058</v>
      </c>
      <c r="AP286">
        <f>AL286*'tecnicecon agric'!$J$65+'cultius resum'!AK286</f>
        <v>99</v>
      </c>
      <c r="AQ286" s="779">
        <f t="shared" si="13"/>
        <v>47058</v>
      </c>
      <c r="AR286">
        <f>AN286+AL286*'tecnicecon agric'!$L$58</f>
        <v>0</v>
      </c>
      <c r="AS286">
        <f>AP286*'4. Agricultura PIB'!$K$31</f>
        <v>281562.3780259589</v>
      </c>
      <c r="AT286">
        <f>AS286*'4. Agricultura PIB'!$D$71</f>
        <v>82779.339139631906</v>
      </c>
      <c r="AU286" s="779">
        <f t="shared" si="14"/>
        <v>411399.71716559079</v>
      </c>
    </row>
    <row r="287" spans="1:47">
      <c r="A287" s="974" t="s">
        <v>1700</v>
      </c>
      <c r="B287" s="976"/>
      <c r="C287" s="976"/>
      <c r="D287" s="976">
        <v>3</v>
      </c>
      <c r="E287" s="976">
        <v>1</v>
      </c>
      <c r="F287" s="976"/>
      <c r="G287" s="976"/>
      <c r="H287" s="976"/>
      <c r="I287" s="976"/>
      <c r="J287" s="976"/>
      <c r="K287" s="976"/>
      <c r="L287" s="976"/>
      <c r="M287" s="976"/>
      <c r="N287" s="976"/>
      <c r="O287" s="976"/>
      <c r="P287" s="976">
        <v>3</v>
      </c>
      <c r="Q287" s="977">
        <v>1</v>
      </c>
      <c r="T287" s="983" t="s">
        <v>1686</v>
      </c>
      <c r="U287" s="984">
        <v>6</v>
      </c>
      <c r="V287" s="984">
        <v>0</v>
      </c>
      <c r="W287" s="984">
        <v>15</v>
      </c>
      <c r="X287" s="984">
        <v>0</v>
      </c>
      <c r="Y287" s="984"/>
      <c r="Z287" s="984"/>
      <c r="AA287" s="984"/>
      <c r="AB287" s="984"/>
      <c r="AC287" s="984"/>
      <c r="AD287" s="984"/>
      <c r="AE287" s="984"/>
      <c r="AF287" s="984"/>
      <c r="AG287" s="984"/>
      <c r="AH287" s="984"/>
      <c r="AI287" s="984">
        <v>37</v>
      </c>
      <c r="AJ287" s="984">
        <v>0</v>
      </c>
      <c r="AK287" s="984">
        <v>21</v>
      </c>
      <c r="AL287" s="984">
        <v>0</v>
      </c>
      <c r="AM287" s="1055">
        <f>AK287*'tecnicecon agric'!$J$57</f>
        <v>9982</v>
      </c>
      <c r="AN287" s="1055">
        <f>AL287*'tecnicecon agric'!$J$56</f>
        <v>0</v>
      </c>
      <c r="AO287" s="1055">
        <f t="shared" si="12"/>
        <v>9982</v>
      </c>
      <c r="AP287">
        <f>AL287*'tecnicecon agric'!$J$65+'cultius resum'!AK287</f>
        <v>21</v>
      </c>
      <c r="AQ287" s="779">
        <f t="shared" si="13"/>
        <v>9982</v>
      </c>
      <c r="AR287">
        <f>AN287+AL287*'tecnicecon agric'!$L$58</f>
        <v>0</v>
      </c>
      <c r="AS287">
        <f>AP287*'4. Agricultura PIB'!$K$31</f>
        <v>59725.352914597344</v>
      </c>
      <c r="AT287">
        <f>AS287*'4. Agricultura PIB'!$D$71</f>
        <v>17559.25375689162</v>
      </c>
      <c r="AU287" s="779">
        <f t="shared" si="14"/>
        <v>87266.60667148896</v>
      </c>
    </row>
    <row r="288" spans="1:47">
      <c r="A288" s="974" t="s">
        <v>1702</v>
      </c>
      <c r="B288" s="976">
        <v>1282</v>
      </c>
      <c r="C288" s="976">
        <v>0</v>
      </c>
      <c r="D288" s="976">
        <v>69</v>
      </c>
      <c r="E288" s="976">
        <v>0</v>
      </c>
      <c r="F288" s="976">
        <v>45</v>
      </c>
      <c r="G288" s="976">
        <v>0</v>
      </c>
      <c r="H288" s="976"/>
      <c r="I288" s="976"/>
      <c r="J288" s="976"/>
      <c r="K288" s="976"/>
      <c r="L288" s="976">
        <v>124</v>
      </c>
      <c r="M288" s="976">
        <v>0</v>
      </c>
      <c r="N288" s="976"/>
      <c r="O288" s="976"/>
      <c r="P288" s="976">
        <v>1520</v>
      </c>
      <c r="Q288" s="977">
        <v>0</v>
      </c>
      <c r="T288" s="983" t="s">
        <v>1690</v>
      </c>
      <c r="U288" s="984"/>
      <c r="V288" s="984"/>
      <c r="W288" s="984">
        <v>11</v>
      </c>
      <c r="X288" s="984">
        <v>0</v>
      </c>
      <c r="Y288" s="984"/>
      <c r="Z288" s="984"/>
      <c r="AA288" s="984"/>
      <c r="AB288" s="984"/>
      <c r="AC288" s="984"/>
      <c r="AD288" s="984"/>
      <c r="AE288" s="984"/>
      <c r="AF288" s="984"/>
      <c r="AG288" s="984"/>
      <c r="AH288" s="984"/>
      <c r="AI288" s="984" t="s">
        <v>752</v>
      </c>
      <c r="AJ288" s="984" t="s">
        <v>752</v>
      </c>
      <c r="AK288" s="984">
        <v>11</v>
      </c>
      <c r="AL288" s="984">
        <v>0</v>
      </c>
      <c r="AM288" s="1055">
        <f>AK288*'tecnicecon agric'!$J$57</f>
        <v>5228.6666666666661</v>
      </c>
      <c r="AN288" s="1055">
        <f>AL288*'tecnicecon agric'!$J$56</f>
        <v>0</v>
      </c>
      <c r="AO288" s="1055">
        <f t="shared" si="12"/>
        <v>5228.6666666666661</v>
      </c>
      <c r="AP288">
        <f>AL288*'tecnicecon agric'!$J$65+'cultius resum'!AK288</f>
        <v>11</v>
      </c>
      <c r="AQ288" s="779">
        <f t="shared" si="13"/>
        <v>5228.6666666666661</v>
      </c>
      <c r="AR288">
        <f>AN288+AL288*'tecnicecon agric'!$L$58</f>
        <v>0</v>
      </c>
      <c r="AS288">
        <f>AP288*'4. Agricultura PIB'!$K$31</f>
        <v>31284.70866955099</v>
      </c>
      <c r="AT288">
        <f>AS288*'4. Agricultura PIB'!$D$71</f>
        <v>9197.7043488479903</v>
      </c>
      <c r="AU288" s="779">
        <f t="shared" si="14"/>
        <v>45711.079685065648</v>
      </c>
    </row>
    <row r="289" spans="1:47">
      <c r="A289" s="974" t="s">
        <v>815</v>
      </c>
      <c r="B289" s="976">
        <v>868</v>
      </c>
      <c r="C289" s="976">
        <v>19</v>
      </c>
      <c r="D289" s="976">
        <v>453</v>
      </c>
      <c r="E289" s="976">
        <v>11</v>
      </c>
      <c r="F289" s="976">
        <v>36</v>
      </c>
      <c r="G289" s="976">
        <v>0</v>
      </c>
      <c r="H289" s="976"/>
      <c r="I289" s="976"/>
      <c r="J289" s="976"/>
      <c r="K289" s="976"/>
      <c r="L289" s="976">
        <v>33</v>
      </c>
      <c r="M289" s="976">
        <v>0</v>
      </c>
      <c r="N289" s="976">
        <v>3</v>
      </c>
      <c r="O289" s="976">
        <v>0</v>
      </c>
      <c r="P289" s="976">
        <v>1393</v>
      </c>
      <c r="Q289" s="977">
        <v>30</v>
      </c>
      <c r="T289" s="983" t="s">
        <v>1692</v>
      </c>
      <c r="U289" s="984">
        <v>2</v>
      </c>
      <c r="V289" s="984">
        <v>2</v>
      </c>
      <c r="W289" s="984">
        <v>12</v>
      </c>
      <c r="X289" s="984">
        <v>0</v>
      </c>
      <c r="Y289" s="984"/>
      <c r="Z289" s="984"/>
      <c r="AA289" s="984"/>
      <c r="AB289" s="984"/>
      <c r="AC289" s="984"/>
      <c r="AD289" s="984"/>
      <c r="AE289" s="984"/>
      <c r="AF289" s="984"/>
      <c r="AG289" s="984"/>
      <c r="AH289" s="984"/>
      <c r="AI289" s="984">
        <v>1</v>
      </c>
      <c r="AJ289" s="984">
        <v>1</v>
      </c>
      <c r="AK289" s="984">
        <v>14</v>
      </c>
      <c r="AL289" s="984">
        <v>2</v>
      </c>
      <c r="AM289" s="1055">
        <f>AK289*'tecnicecon agric'!$J$57</f>
        <v>6654.6666666666661</v>
      </c>
      <c r="AN289" s="1055">
        <f>AL289*'tecnicecon agric'!$J$56</f>
        <v>2259.25</v>
      </c>
      <c r="AO289" s="1055">
        <f t="shared" si="12"/>
        <v>8913.9166666666661</v>
      </c>
      <c r="AP289">
        <f>AL289*'tecnicecon agric'!$J$65+'cultius resum'!AK289</f>
        <v>22.4</v>
      </c>
      <c r="AQ289" s="779">
        <f t="shared" si="13"/>
        <v>6654.6666666666661</v>
      </c>
      <c r="AR289">
        <f>AN289+AL289*'tecnicecon agric'!$L$58</f>
        <v>2645.6637142857144</v>
      </c>
      <c r="AS289">
        <f>AP289*'4. Agricultura PIB'!$K$31</f>
        <v>63707.043108903832</v>
      </c>
      <c r="AT289">
        <f>AS289*'4. Agricultura PIB'!$D$71</f>
        <v>18729.870674017726</v>
      </c>
      <c r="AU289" s="779">
        <f t="shared" si="14"/>
        <v>91737.24416387394</v>
      </c>
    </row>
    <row r="290" spans="1:47">
      <c r="A290" s="974" t="s">
        <v>1708</v>
      </c>
      <c r="B290" s="976">
        <v>9</v>
      </c>
      <c r="C290" s="976">
        <v>0</v>
      </c>
      <c r="D290" s="976">
        <v>18</v>
      </c>
      <c r="E290" s="976">
        <v>0</v>
      </c>
      <c r="F290" s="976"/>
      <c r="G290" s="976"/>
      <c r="H290" s="976"/>
      <c r="I290" s="976"/>
      <c r="J290" s="976"/>
      <c r="K290" s="976"/>
      <c r="L290" s="976"/>
      <c r="M290" s="976"/>
      <c r="N290" s="976"/>
      <c r="O290" s="976"/>
      <c r="P290" s="976">
        <v>27</v>
      </c>
      <c r="Q290" s="977">
        <v>0</v>
      </c>
      <c r="T290" s="983" t="s">
        <v>1697</v>
      </c>
      <c r="U290" s="984"/>
      <c r="V290" s="984"/>
      <c r="W290" s="984"/>
      <c r="X290" s="984"/>
      <c r="Y290" s="984"/>
      <c r="Z290" s="984"/>
      <c r="AA290" s="984"/>
      <c r="AB290" s="984"/>
      <c r="AC290" s="984"/>
      <c r="AD290" s="984"/>
      <c r="AE290" s="984"/>
      <c r="AF290" s="984"/>
      <c r="AG290" s="984"/>
      <c r="AH290" s="984"/>
      <c r="AI290" s="984">
        <v>7</v>
      </c>
      <c r="AJ290" s="984">
        <v>3</v>
      </c>
      <c r="AK290" s="984">
        <v>7</v>
      </c>
      <c r="AL290" s="984">
        <v>3</v>
      </c>
      <c r="AM290" s="1055">
        <f>AK290*'tecnicecon agric'!$J$57</f>
        <v>3327.333333333333</v>
      </c>
      <c r="AN290" s="1055">
        <f>AL290*'tecnicecon agric'!$J$56</f>
        <v>3388.875</v>
      </c>
      <c r="AO290" s="1055">
        <f t="shared" si="12"/>
        <v>6716.208333333333</v>
      </c>
      <c r="AP290">
        <f>AL290*'tecnicecon agric'!$J$65+'cultius resum'!AK290</f>
        <v>19.600000000000001</v>
      </c>
      <c r="AQ290" s="779">
        <f t="shared" si="13"/>
        <v>3327.333333333333</v>
      </c>
      <c r="AR290">
        <f>AN290+AL290*'tecnicecon agric'!$L$58</f>
        <v>3968.4955714285716</v>
      </c>
      <c r="AS290">
        <f>AP290*'4. Agricultura PIB'!$K$31</f>
        <v>55743.662720290864</v>
      </c>
      <c r="AT290">
        <f>AS290*'4. Agricultura PIB'!$D$71</f>
        <v>16388.636839765513</v>
      </c>
      <c r="AU290" s="779">
        <f t="shared" si="14"/>
        <v>79428.128464818277</v>
      </c>
    </row>
    <row r="291" spans="1:47">
      <c r="A291" s="974" t="s">
        <v>357</v>
      </c>
      <c r="B291" s="976">
        <v>2</v>
      </c>
      <c r="C291" s="976">
        <v>16</v>
      </c>
      <c r="D291" s="976">
        <v>2</v>
      </c>
      <c r="E291" s="976">
        <v>6</v>
      </c>
      <c r="F291" s="976"/>
      <c r="G291" s="976"/>
      <c r="H291" s="976"/>
      <c r="I291" s="976"/>
      <c r="J291" s="976">
        <v>0</v>
      </c>
      <c r="K291" s="976">
        <v>188</v>
      </c>
      <c r="L291" s="976"/>
      <c r="M291" s="976"/>
      <c r="N291" s="976"/>
      <c r="O291" s="976"/>
      <c r="P291" s="976">
        <v>4</v>
      </c>
      <c r="Q291" s="977">
        <v>210</v>
      </c>
      <c r="T291" s="983" t="s">
        <v>1700</v>
      </c>
      <c r="U291" s="984"/>
      <c r="V291" s="984"/>
      <c r="W291" s="984">
        <v>3</v>
      </c>
      <c r="X291" s="984">
        <v>1</v>
      </c>
      <c r="Y291" s="984"/>
      <c r="Z291" s="984"/>
      <c r="AA291" s="984"/>
      <c r="AB291" s="984"/>
      <c r="AC291" s="984"/>
      <c r="AD291" s="984"/>
      <c r="AE291" s="984"/>
      <c r="AF291" s="984"/>
      <c r="AG291" s="984"/>
      <c r="AH291" s="984"/>
      <c r="AI291" s="984">
        <v>0</v>
      </c>
      <c r="AJ291" s="984">
        <v>1</v>
      </c>
      <c r="AK291" s="984">
        <v>3</v>
      </c>
      <c r="AL291" s="984">
        <v>1</v>
      </c>
      <c r="AM291" s="1055">
        <f>AK291*'tecnicecon agric'!$J$57</f>
        <v>1426</v>
      </c>
      <c r="AN291" s="1055">
        <f>AL291*'tecnicecon agric'!$J$56</f>
        <v>1129.625</v>
      </c>
      <c r="AO291" s="1055">
        <f t="shared" si="12"/>
        <v>2555.625</v>
      </c>
      <c r="AP291">
        <f>AL291*'tecnicecon agric'!$J$65+'cultius resum'!AK291</f>
        <v>7.2</v>
      </c>
      <c r="AQ291" s="779">
        <f t="shared" si="13"/>
        <v>1426</v>
      </c>
      <c r="AR291">
        <f>AN291+AL291*'tecnicecon agric'!$L$58</f>
        <v>1322.8318571428572</v>
      </c>
      <c r="AS291">
        <f>AP291*'4. Agricultura PIB'!$K$31</f>
        <v>20477.263856433376</v>
      </c>
      <c r="AT291">
        <f>AS291*'4. Agricultura PIB'!$D$71</f>
        <v>6020.3155737914121</v>
      </c>
      <c r="AU291" s="779">
        <f t="shared" si="14"/>
        <v>29246.411287367646</v>
      </c>
    </row>
    <row r="292" spans="1:47">
      <c r="A292" s="974" t="s">
        <v>1710</v>
      </c>
      <c r="B292" s="976">
        <v>13</v>
      </c>
      <c r="C292" s="976">
        <v>0</v>
      </c>
      <c r="D292" s="976">
        <v>2</v>
      </c>
      <c r="E292" s="976">
        <v>0</v>
      </c>
      <c r="F292" s="976"/>
      <c r="G292" s="976"/>
      <c r="H292" s="976"/>
      <c r="I292" s="976"/>
      <c r="J292" s="976"/>
      <c r="K292" s="976"/>
      <c r="L292" s="976"/>
      <c r="M292" s="976"/>
      <c r="N292" s="976"/>
      <c r="O292" s="976"/>
      <c r="P292" s="976">
        <v>15</v>
      </c>
      <c r="Q292" s="977">
        <v>0</v>
      </c>
      <c r="T292" s="983" t="s">
        <v>1702</v>
      </c>
      <c r="U292" s="984">
        <v>1282</v>
      </c>
      <c r="V292" s="984">
        <v>0</v>
      </c>
      <c r="W292" s="984">
        <v>69</v>
      </c>
      <c r="X292" s="984">
        <v>0</v>
      </c>
      <c r="Y292" s="984">
        <v>45</v>
      </c>
      <c r="Z292" s="984">
        <v>0</v>
      </c>
      <c r="AA292" s="984"/>
      <c r="AB292" s="984"/>
      <c r="AC292" s="984"/>
      <c r="AD292" s="984"/>
      <c r="AE292" s="984">
        <v>124</v>
      </c>
      <c r="AF292" s="984">
        <v>0</v>
      </c>
      <c r="AG292" s="984"/>
      <c r="AH292" s="984"/>
      <c r="AI292" s="984">
        <v>5</v>
      </c>
      <c r="AJ292" s="984">
        <v>0</v>
      </c>
      <c r="AK292" s="984">
        <v>1520</v>
      </c>
      <c r="AL292" s="984">
        <v>0</v>
      </c>
      <c r="AM292" s="1055">
        <f>AK292*'tecnicecon agric'!$J$57</f>
        <v>722506.66666666663</v>
      </c>
      <c r="AN292" s="1055">
        <f>AL292*'tecnicecon agric'!$J$56</f>
        <v>0</v>
      </c>
      <c r="AO292" s="1055">
        <f t="shared" si="12"/>
        <v>722506.66666666663</v>
      </c>
      <c r="AP292">
        <f>AL292*'tecnicecon agric'!$J$65+'cultius resum'!AK292</f>
        <v>1520</v>
      </c>
      <c r="AQ292" s="779">
        <f t="shared" si="13"/>
        <v>722506.66666666663</v>
      </c>
      <c r="AR292">
        <f>AN292+AL292*'tecnicecon agric'!$L$58</f>
        <v>0</v>
      </c>
      <c r="AS292">
        <f>AP292*'4. Agricultura PIB'!$K$31</f>
        <v>4322977.9252470462</v>
      </c>
      <c r="AT292">
        <f>AS292*'4. Agricultura PIB'!$D$71</f>
        <v>1270955.5100226316</v>
      </c>
      <c r="AU292" s="779">
        <f t="shared" si="14"/>
        <v>6316440.101936345</v>
      </c>
    </row>
    <row r="293" spans="1:47">
      <c r="A293" s="974" t="s">
        <v>1729</v>
      </c>
      <c r="B293" s="976">
        <v>106</v>
      </c>
      <c r="C293" s="976">
        <v>2</v>
      </c>
      <c r="D293" s="976">
        <v>29</v>
      </c>
      <c r="E293" s="976">
        <v>0</v>
      </c>
      <c r="F293" s="976"/>
      <c r="G293" s="976"/>
      <c r="H293" s="976"/>
      <c r="I293" s="976"/>
      <c r="J293" s="976">
        <v>8</v>
      </c>
      <c r="K293" s="976">
        <v>3</v>
      </c>
      <c r="L293" s="976">
        <v>7</v>
      </c>
      <c r="M293" s="976">
        <v>0</v>
      </c>
      <c r="N293" s="976">
        <v>2</v>
      </c>
      <c r="O293" s="976">
        <v>0</v>
      </c>
      <c r="P293" s="976">
        <v>152</v>
      </c>
      <c r="Q293" s="977">
        <v>5</v>
      </c>
      <c r="T293" s="983" t="s">
        <v>815</v>
      </c>
      <c r="U293" s="984">
        <v>868</v>
      </c>
      <c r="V293" s="984">
        <v>19</v>
      </c>
      <c r="W293" s="984">
        <v>453</v>
      </c>
      <c r="X293" s="984">
        <v>11</v>
      </c>
      <c r="Y293" s="984">
        <v>36</v>
      </c>
      <c r="Z293" s="984">
        <v>0</v>
      </c>
      <c r="AA293" s="984"/>
      <c r="AB293" s="984"/>
      <c r="AC293" s="984"/>
      <c r="AD293" s="984"/>
      <c r="AE293" s="984">
        <v>33</v>
      </c>
      <c r="AF293" s="984">
        <v>0</v>
      </c>
      <c r="AG293" s="984">
        <v>3</v>
      </c>
      <c r="AH293" s="984">
        <v>0</v>
      </c>
      <c r="AI293" s="984" t="s">
        <v>752</v>
      </c>
      <c r="AJ293" s="984" t="s">
        <v>752</v>
      </c>
      <c r="AK293" s="984">
        <v>1393</v>
      </c>
      <c r="AL293" s="984">
        <v>30</v>
      </c>
      <c r="AM293" s="1055">
        <f>AK293*'tecnicecon agric'!$J$57</f>
        <v>662139.33333333326</v>
      </c>
      <c r="AN293" s="1055">
        <f>AL293*'tecnicecon agric'!$J$56</f>
        <v>33888.75</v>
      </c>
      <c r="AO293" s="1055">
        <f t="shared" si="12"/>
        <v>696028.08333333326</v>
      </c>
      <c r="AP293">
        <f>AL293*'tecnicecon agric'!$J$65+'cultius resum'!AK293</f>
        <v>1519</v>
      </c>
      <c r="AQ293" s="779">
        <f t="shared" si="13"/>
        <v>662139.33333333326</v>
      </c>
      <c r="AR293">
        <f>AN293+AL293*'tecnicecon agric'!$L$58</f>
        <v>39684.955714285716</v>
      </c>
      <c r="AS293">
        <f>AP293*'4. Agricultura PIB'!$K$31</f>
        <v>4320133.8608225416</v>
      </c>
      <c r="AT293">
        <f>AS293*'4. Agricultura PIB'!$D$71</f>
        <v>1270119.3550818271</v>
      </c>
      <c r="AU293" s="779">
        <f t="shared" si="14"/>
        <v>6292077.5049519883</v>
      </c>
    </row>
    <row r="294" spans="1:47">
      <c r="A294" s="974" t="s">
        <v>1730</v>
      </c>
      <c r="B294" s="976">
        <v>16</v>
      </c>
      <c r="C294" s="976">
        <v>2</v>
      </c>
      <c r="D294" s="976">
        <v>11</v>
      </c>
      <c r="E294" s="976">
        <v>0</v>
      </c>
      <c r="F294" s="976"/>
      <c r="G294" s="976"/>
      <c r="H294" s="976"/>
      <c r="I294" s="976"/>
      <c r="J294" s="976"/>
      <c r="K294" s="976"/>
      <c r="L294" s="976"/>
      <c r="M294" s="976"/>
      <c r="N294" s="976"/>
      <c r="O294" s="976"/>
      <c r="P294" s="976">
        <v>27</v>
      </c>
      <c r="Q294" s="977">
        <v>2</v>
      </c>
      <c r="T294" s="983" t="s">
        <v>1708</v>
      </c>
      <c r="U294" s="984">
        <v>9</v>
      </c>
      <c r="V294" s="984">
        <v>0</v>
      </c>
      <c r="W294" s="984">
        <v>18</v>
      </c>
      <c r="X294" s="984">
        <v>0</v>
      </c>
      <c r="Y294" s="984"/>
      <c r="Z294" s="984"/>
      <c r="AA294" s="984"/>
      <c r="AB294" s="984"/>
      <c r="AC294" s="984"/>
      <c r="AD294" s="984"/>
      <c r="AE294" s="984"/>
      <c r="AF294" s="984"/>
      <c r="AG294" s="984"/>
      <c r="AH294" s="984"/>
      <c r="AI294" s="984" t="s">
        <v>752</v>
      </c>
      <c r="AJ294" s="984" t="s">
        <v>752</v>
      </c>
      <c r="AK294" s="984">
        <v>27</v>
      </c>
      <c r="AL294" s="984">
        <v>0</v>
      </c>
      <c r="AM294" s="1055">
        <f>AK294*'tecnicecon agric'!$J$57</f>
        <v>12834</v>
      </c>
      <c r="AN294" s="1055">
        <f>AL294*'tecnicecon agric'!$J$56</f>
        <v>0</v>
      </c>
      <c r="AO294" s="1055">
        <f t="shared" si="12"/>
        <v>12834</v>
      </c>
      <c r="AP294">
        <f>AL294*'tecnicecon agric'!$J$65+'cultius resum'!AK294</f>
        <v>27</v>
      </c>
      <c r="AQ294" s="779">
        <f t="shared" si="13"/>
        <v>12834</v>
      </c>
      <c r="AR294">
        <f>AN294+AL294*'tecnicecon agric'!$L$58</f>
        <v>0</v>
      </c>
      <c r="AS294">
        <f>AP294*'4. Agricultura PIB'!$K$31</f>
        <v>76789.739461625155</v>
      </c>
      <c r="AT294">
        <f>AS294*'4. Agricultura PIB'!$D$71</f>
        <v>22576.183401717793</v>
      </c>
      <c r="AU294" s="779">
        <f t="shared" si="14"/>
        <v>112199.92286334294</v>
      </c>
    </row>
    <row r="295" spans="1:47">
      <c r="A295" s="974" t="s">
        <v>1722</v>
      </c>
      <c r="B295" s="976">
        <v>19</v>
      </c>
      <c r="C295" s="976">
        <v>0</v>
      </c>
      <c r="D295" s="976">
        <v>58</v>
      </c>
      <c r="E295" s="976">
        <v>5</v>
      </c>
      <c r="F295" s="976"/>
      <c r="G295" s="976"/>
      <c r="H295" s="976"/>
      <c r="I295" s="976"/>
      <c r="J295" s="976"/>
      <c r="K295" s="976"/>
      <c r="L295" s="976"/>
      <c r="M295" s="976"/>
      <c r="N295" s="976"/>
      <c r="O295" s="976"/>
      <c r="P295" s="976">
        <v>77</v>
      </c>
      <c r="Q295" s="977">
        <v>5</v>
      </c>
      <c r="T295" s="983" t="s">
        <v>357</v>
      </c>
      <c r="U295" s="984">
        <v>2</v>
      </c>
      <c r="V295" s="984">
        <v>16</v>
      </c>
      <c r="W295" s="984">
        <v>2</v>
      </c>
      <c r="X295" s="984">
        <v>6</v>
      </c>
      <c r="Y295" s="984"/>
      <c r="Z295" s="984"/>
      <c r="AA295" s="984"/>
      <c r="AB295" s="984"/>
      <c r="AC295" s="984">
        <v>0</v>
      </c>
      <c r="AD295" s="984">
        <v>188</v>
      </c>
      <c r="AE295" s="984"/>
      <c r="AF295" s="984"/>
      <c r="AG295" s="984"/>
      <c r="AH295" s="984"/>
      <c r="AI295" s="984">
        <v>7</v>
      </c>
      <c r="AJ295" s="984">
        <v>14</v>
      </c>
      <c r="AK295" s="984">
        <v>4</v>
      </c>
      <c r="AL295" s="984">
        <v>210</v>
      </c>
      <c r="AM295" s="1055">
        <f>AK295*'tecnicecon agric'!$J$57</f>
        <v>1901.3333333333333</v>
      </c>
      <c r="AN295" s="1055">
        <f>AL295*'tecnicecon agric'!$J$56</f>
        <v>237221.25</v>
      </c>
      <c r="AO295" s="1055">
        <f t="shared" si="12"/>
        <v>239122.58333333334</v>
      </c>
      <c r="AP295">
        <f>AL295*'tecnicecon agric'!$J$65+'cultius resum'!AK295</f>
        <v>886</v>
      </c>
      <c r="AQ295" s="779">
        <f t="shared" si="13"/>
        <v>1901.3333333333333</v>
      </c>
      <c r="AR295">
        <f>AN295+AL295*'tecnicecon agric'!$L$58</f>
        <v>277794.69</v>
      </c>
      <c r="AS295">
        <f>AP295*'4. Agricultura PIB'!$K$31</f>
        <v>2519841.0801111073</v>
      </c>
      <c r="AT295">
        <f>AS295*'4. Agricultura PIB'!$D$71</f>
        <v>740833.27755266556</v>
      </c>
      <c r="AU295" s="779">
        <f t="shared" si="14"/>
        <v>3540370.3809971064</v>
      </c>
    </row>
    <row r="296" spans="1:47">
      <c r="A296" s="974" t="s">
        <v>1718</v>
      </c>
      <c r="B296" s="976">
        <v>180</v>
      </c>
      <c r="C296" s="976">
        <v>0</v>
      </c>
      <c r="D296" s="976">
        <v>19</v>
      </c>
      <c r="E296" s="976">
        <v>0</v>
      </c>
      <c r="F296" s="976">
        <v>3</v>
      </c>
      <c r="G296" s="976">
        <v>0</v>
      </c>
      <c r="H296" s="976"/>
      <c r="I296" s="976"/>
      <c r="J296" s="976">
        <v>0</v>
      </c>
      <c r="K296" s="976">
        <v>1</v>
      </c>
      <c r="L296" s="976">
        <v>3</v>
      </c>
      <c r="M296" s="976">
        <v>0</v>
      </c>
      <c r="N296" s="976"/>
      <c r="O296" s="976"/>
      <c r="P296" s="976">
        <v>205</v>
      </c>
      <c r="Q296" s="977">
        <v>1</v>
      </c>
      <c r="T296" s="983" t="s">
        <v>1710</v>
      </c>
      <c r="U296" s="984">
        <v>13</v>
      </c>
      <c r="V296" s="984">
        <v>0</v>
      </c>
      <c r="W296" s="984">
        <v>2</v>
      </c>
      <c r="X296" s="984">
        <v>0</v>
      </c>
      <c r="Y296" s="984"/>
      <c r="Z296" s="984"/>
      <c r="AA296" s="984"/>
      <c r="AB296" s="984"/>
      <c r="AC296" s="984"/>
      <c r="AD296" s="984"/>
      <c r="AE296" s="984"/>
      <c r="AF296" s="984"/>
      <c r="AG296" s="984"/>
      <c r="AH296" s="984"/>
      <c r="AI296" s="984">
        <v>14</v>
      </c>
      <c r="AJ296" s="984">
        <v>0</v>
      </c>
      <c r="AK296" s="984">
        <v>15</v>
      </c>
      <c r="AL296" s="984">
        <v>0</v>
      </c>
      <c r="AM296" s="1055">
        <f>AK296*'tecnicecon agric'!$J$57</f>
        <v>7130</v>
      </c>
      <c r="AN296" s="1055">
        <f>AL296*'tecnicecon agric'!$J$56</f>
        <v>0</v>
      </c>
      <c r="AO296" s="1055">
        <f t="shared" si="12"/>
        <v>7130</v>
      </c>
      <c r="AP296">
        <f>AL296*'tecnicecon agric'!$J$65+'cultius resum'!AK296</f>
        <v>15</v>
      </c>
      <c r="AQ296" s="779">
        <f t="shared" si="13"/>
        <v>7130</v>
      </c>
      <c r="AR296">
        <f>AN296+AL296*'tecnicecon agric'!$L$58</f>
        <v>0</v>
      </c>
      <c r="AS296">
        <f>AP296*'4. Agricultura PIB'!$K$31</f>
        <v>42660.966367569534</v>
      </c>
      <c r="AT296">
        <f>AS296*'4. Agricultura PIB'!$D$71</f>
        <v>12542.324112065442</v>
      </c>
      <c r="AU296" s="779">
        <f t="shared" si="14"/>
        <v>62333.290479634976</v>
      </c>
    </row>
    <row r="297" spans="1:47">
      <c r="A297" s="974" t="s">
        <v>1743</v>
      </c>
      <c r="B297" s="976">
        <v>98</v>
      </c>
      <c r="C297" s="976">
        <v>49</v>
      </c>
      <c r="D297" s="976">
        <v>27</v>
      </c>
      <c r="E297" s="976">
        <v>22</v>
      </c>
      <c r="F297" s="976">
        <v>3</v>
      </c>
      <c r="G297" s="976">
        <v>0</v>
      </c>
      <c r="H297" s="976"/>
      <c r="I297" s="976"/>
      <c r="J297" s="976">
        <v>0</v>
      </c>
      <c r="K297" s="976">
        <v>3</v>
      </c>
      <c r="L297" s="976">
        <v>10</v>
      </c>
      <c r="M297" s="976">
        <v>5</v>
      </c>
      <c r="N297" s="976">
        <v>0</v>
      </c>
      <c r="O297" s="976">
        <v>1</v>
      </c>
      <c r="P297" s="976">
        <v>138</v>
      </c>
      <c r="Q297" s="977">
        <v>80</v>
      </c>
      <c r="T297" s="983" t="s">
        <v>1729</v>
      </c>
      <c r="U297" s="984">
        <v>106</v>
      </c>
      <c r="V297" s="984">
        <v>2</v>
      </c>
      <c r="W297" s="984">
        <v>29</v>
      </c>
      <c r="X297" s="984">
        <v>0</v>
      </c>
      <c r="Y297" s="984"/>
      <c r="Z297" s="984"/>
      <c r="AA297" s="984"/>
      <c r="AB297" s="984"/>
      <c r="AC297" s="984">
        <v>8</v>
      </c>
      <c r="AD297" s="984">
        <v>3</v>
      </c>
      <c r="AE297" s="984">
        <v>7</v>
      </c>
      <c r="AF297" s="984">
        <v>0</v>
      </c>
      <c r="AG297" s="984">
        <v>2</v>
      </c>
      <c r="AH297" s="984">
        <v>0</v>
      </c>
      <c r="AI297" s="984">
        <v>804</v>
      </c>
      <c r="AJ297" s="984">
        <v>20</v>
      </c>
      <c r="AK297" s="984">
        <v>152</v>
      </c>
      <c r="AL297" s="984">
        <v>5</v>
      </c>
      <c r="AM297" s="1055">
        <f>AK297*'tecnicecon agric'!$J$57</f>
        <v>72250.666666666657</v>
      </c>
      <c r="AN297" s="1055">
        <f>AL297*'tecnicecon agric'!$J$56</f>
        <v>5648.125</v>
      </c>
      <c r="AO297" s="1055">
        <f t="shared" si="12"/>
        <v>77898.791666666657</v>
      </c>
      <c r="AP297">
        <f>AL297*'tecnicecon agric'!$J$65+'cultius resum'!AK297</f>
        <v>173</v>
      </c>
      <c r="AQ297" s="779">
        <f t="shared" si="13"/>
        <v>72250.666666666657</v>
      </c>
      <c r="AR297">
        <f>AN297+AL297*'tecnicecon agric'!$L$58</f>
        <v>6614.1592857142859</v>
      </c>
      <c r="AS297">
        <f>AP297*'4. Agricultura PIB'!$K$31</f>
        <v>492023.14543930197</v>
      </c>
      <c r="AT297">
        <f>AS297*'4. Agricultura PIB'!$D$71</f>
        <v>144654.80475915477</v>
      </c>
      <c r="AU297" s="779">
        <f t="shared" si="14"/>
        <v>715542.77615083766</v>
      </c>
    </row>
    <row r="298" spans="1:47">
      <c r="A298" s="974" t="s">
        <v>358</v>
      </c>
      <c r="B298" s="976">
        <v>103</v>
      </c>
      <c r="C298" s="976">
        <v>0</v>
      </c>
      <c r="D298" s="976">
        <v>25</v>
      </c>
      <c r="E298" s="976">
        <v>1</v>
      </c>
      <c r="F298" s="976"/>
      <c r="G298" s="976"/>
      <c r="H298" s="976"/>
      <c r="I298" s="976"/>
      <c r="J298" s="976">
        <v>6</v>
      </c>
      <c r="K298" s="976">
        <v>40</v>
      </c>
      <c r="L298" s="976"/>
      <c r="M298" s="976"/>
      <c r="N298" s="976">
        <v>1</v>
      </c>
      <c r="O298" s="976">
        <v>6</v>
      </c>
      <c r="P298" s="976">
        <v>135</v>
      </c>
      <c r="Q298" s="977">
        <v>47</v>
      </c>
      <c r="T298" s="983" t="s">
        <v>1730</v>
      </c>
      <c r="U298" s="984">
        <v>16</v>
      </c>
      <c r="V298" s="984">
        <v>2</v>
      </c>
      <c r="W298" s="984">
        <v>11</v>
      </c>
      <c r="X298" s="984">
        <v>0</v>
      </c>
      <c r="Y298" s="984"/>
      <c r="Z298" s="984"/>
      <c r="AA298" s="984"/>
      <c r="AB298" s="984"/>
      <c r="AC298" s="984"/>
      <c r="AD298" s="984"/>
      <c r="AE298" s="984"/>
      <c r="AF298" s="984"/>
      <c r="AG298" s="984"/>
      <c r="AH298" s="984"/>
      <c r="AI298" s="984" t="s">
        <v>752</v>
      </c>
      <c r="AJ298" s="984" t="s">
        <v>752</v>
      </c>
      <c r="AK298" s="984">
        <v>27</v>
      </c>
      <c r="AL298" s="984">
        <v>2</v>
      </c>
      <c r="AM298" s="1055">
        <f>AK298*'tecnicecon agric'!$J$57</f>
        <v>12834</v>
      </c>
      <c r="AN298" s="1055">
        <f>AL298*'tecnicecon agric'!$J$56</f>
        <v>2259.25</v>
      </c>
      <c r="AO298" s="1055">
        <f t="shared" si="12"/>
        <v>15093.25</v>
      </c>
      <c r="AP298">
        <f>AL298*'tecnicecon agric'!$J$65+'cultius resum'!AK298</f>
        <v>35.4</v>
      </c>
      <c r="AQ298" s="779">
        <f t="shared" si="13"/>
        <v>12834</v>
      </c>
      <c r="AR298">
        <f>AN298+AL298*'tecnicecon agric'!$L$58</f>
        <v>2645.6637142857144</v>
      </c>
      <c r="AS298">
        <f>AP298*'4. Agricultura PIB'!$K$31</f>
        <v>100679.8806274641</v>
      </c>
      <c r="AT298">
        <f>AS298*'4. Agricultura PIB'!$D$71</f>
        <v>29599.884904474442</v>
      </c>
      <c r="AU298" s="779">
        <f t="shared" si="14"/>
        <v>145759.42924622423</v>
      </c>
    </row>
    <row r="299" spans="1:47">
      <c r="A299" s="974" t="s">
        <v>1474</v>
      </c>
      <c r="B299" s="976"/>
      <c r="C299" s="976"/>
      <c r="D299" s="976">
        <v>2</v>
      </c>
      <c r="E299" s="976">
        <v>0</v>
      </c>
      <c r="F299" s="976"/>
      <c r="G299" s="976"/>
      <c r="H299" s="976">
        <v>0</v>
      </c>
      <c r="I299" s="976">
        <v>41</v>
      </c>
      <c r="J299" s="976">
        <v>0</v>
      </c>
      <c r="K299" s="976">
        <v>19</v>
      </c>
      <c r="L299" s="976">
        <v>0</v>
      </c>
      <c r="M299" s="976">
        <v>1</v>
      </c>
      <c r="N299" s="976">
        <v>0</v>
      </c>
      <c r="O299" s="976">
        <v>2</v>
      </c>
      <c r="P299" s="976">
        <v>2</v>
      </c>
      <c r="Q299" s="977">
        <v>63</v>
      </c>
      <c r="T299" s="983" t="s">
        <v>1722</v>
      </c>
      <c r="U299" s="984">
        <v>19</v>
      </c>
      <c r="V299" s="984">
        <v>0</v>
      </c>
      <c r="W299" s="984">
        <v>58</v>
      </c>
      <c r="X299" s="984">
        <v>5</v>
      </c>
      <c r="Y299" s="984"/>
      <c r="Z299" s="984"/>
      <c r="AA299" s="984"/>
      <c r="AB299" s="984"/>
      <c r="AC299" s="984"/>
      <c r="AD299" s="984"/>
      <c r="AE299" s="984"/>
      <c r="AF299" s="984"/>
      <c r="AG299" s="984"/>
      <c r="AH299" s="984"/>
      <c r="AI299" s="984">
        <v>0</v>
      </c>
      <c r="AJ299" s="984">
        <v>1</v>
      </c>
      <c r="AK299" s="984">
        <v>77</v>
      </c>
      <c r="AL299" s="984">
        <v>5</v>
      </c>
      <c r="AM299" s="1055">
        <f>AK299*'tecnicecon agric'!$J$57</f>
        <v>36600.666666666664</v>
      </c>
      <c r="AN299" s="1055">
        <f>AL299*'tecnicecon agric'!$J$56</f>
        <v>5648.125</v>
      </c>
      <c r="AO299" s="1055">
        <f t="shared" si="12"/>
        <v>42248.791666666664</v>
      </c>
      <c r="AP299">
        <f>AL299*'tecnicecon agric'!$J$65+'cultius resum'!AK299</f>
        <v>98</v>
      </c>
      <c r="AQ299" s="779">
        <f t="shared" si="13"/>
        <v>36600.666666666664</v>
      </c>
      <c r="AR299">
        <f>AN299+AL299*'tecnicecon agric'!$L$58</f>
        <v>6614.1592857142859</v>
      </c>
      <c r="AS299">
        <f>AP299*'4. Agricultura PIB'!$K$31</f>
        <v>278718.31360145431</v>
      </c>
      <c r="AT299">
        <f>AS299*'4. Agricultura PIB'!$D$71</f>
        <v>81943.18419882757</v>
      </c>
      <c r="AU299" s="779">
        <f t="shared" si="14"/>
        <v>403876.32375266287</v>
      </c>
    </row>
    <row r="300" spans="1:47">
      <c r="A300" s="974" t="s">
        <v>352</v>
      </c>
      <c r="B300" s="976"/>
      <c r="C300" s="976"/>
      <c r="D300" s="976"/>
      <c r="E300" s="976"/>
      <c r="F300" s="976"/>
      <c r="G300" s="976"/>
      <c r="H300" s="976">
        <v>0</v>
      </c>
      <c r="I300" s="976">
        <v>109</v>
      </c>
      <c r="J300" s="976">
        <v>0</v>
      </c>
      <c r="K300" s="976">
        <v>59</v>
      </c>
      <c r="L300" s="976">
        <v>0</v>
      </c>
      <c r="M300" s="976">
        <v>1</v>
      </c>
      <c r="N300" s="976">
        <v>0</v>
      </c>
      <c r="O300" s="976">
        <v>7</v>
      </c>
      <c r="P300" s="976">
        <v>0</v>
      </c>
      <c r="Q300" s="977">
        <v>176</v>
      </c>
      <c r="T300" s="983" t="s">
        <v>1718</v>
      </c>
      <c r="U300" s="984">
        <v>180</v>
      </c>
      <c r="V300" s="984">
        <v>0</v>
      </c>
      <c r="W300" s="984">
        <v>19</v>
      </c>
      <c r="X300" s="984">
        <v>0</v>
      </c>
      <c r="Y300" s="984">
        <v>3</v>
      </c>
      <c r="Z300" s="984">
        <v>0</v>
      </c>
      <c r="AA300" s="984"/>
      <c r="AB300" s="984"/>
      <c r="AC300" s="984">
        <v>0</v>
      </c>
      <c r="AD300" s="984">
        <v>1</v>
      </c>
      <c r="AE300" s="984">
        <v>3</v>
      </c>
      <c r="AF300" s="984">
        <v>0</v>
      </c>
      <c r="AG300" s="984"/>
      <c r="AH300" s="984"/>
      <c r="AI300" s="984">
        <v>7</v>
      </c>
      <c r="AJ300" s="984">
        <v>0</v>
      </c>
      <c r="AK300" s="984">
        <v>205</v>
      </c>
      <c r="AL300" s="984">
        <v>1</v>
      </c>
      <c r="AM300" s="1055">
        <f>AK300*'tecnicecon agric'!$J$57</f>
        <v>97443.333333333328</v>
      </c>
      <c r="AN300" s="1055">
        <f>AL300*'tecnicecon agric'!$J$56</f>
        <v>1129.625</v>
      </c>
      <c r="AO300" s="1055">
        <f t="shared" si="12"/>
        <v>98572.958333333328</v>
      </c>
      <c r="AP300">
        <f>AL300*'tecnicecon agric'!$J$65+'cultius resum'!AK300</f>
        <v>209.2</v>
      </c>
      <c r="AQ300" s="779">
        <f t="shared" si="13"/>
        <v>97443.333333333328</v>
      </c>
      <c r="AR300">
        <f>AN300+AL300*'tecnicecon agric'!$L$58</f>
        <v>1322.8318571428572</v>
      </c>
      <c r="AS300">
        <f>AP300*'4. Agricultura PIB'!$K$31</f>
        <v>594978.27760636969</v>
      </c>
      <c r="AT300">
        <f>AS300*'4. Agricultura PIB'!$D$71</f>
        <v>174923.61361627269</v>
      </c>
      <c r="AU300" s="779">
        <f t="shared" si="14"/>
        <v>868668.05641311861</v>
      </c>
    </row>
    <row r="301" spans="1:47">
      <c r="A301" s="974" t="s">
        <v>1728</v>
      </c>
      <c r="B301" s="976">
        <v>27</v>
      </c>
      <c r="C301" s="976">
        <v>1</v>
      </c>
      <c r="D301" s="976">
        <v>13</v>
      </c>
      <c r="E301" s="976">
        <v>0</v>
      </c>
      <c r="F301" s="976"/>
      <c r="G301" s="976"/>
      <c r="H301" s="976"/>
      <c r="I301" s="976"/>
      <c r="J301" s="976">
        <v>3</v>
      </c>
      <c r="K301" s="976">
        <v>0</v>
      </c>
      <c r="L301" s="976"/>
      <c r="M301" s="976"/>
      <c r="N301" s="976">
        <v>1</v>
      </c>
      <c r="O301" s="976">
        <v>0</v>
      </c>
      <c r="P301" s="976">
        <v>44</v>
      </c>
      <c r="Q301" s="977">
        <v>1</v>
      </c>
      <c r="T301" s="983" t="s">
        <v>1743</v>
      </c>
      <c r="U301" s="984">
        <v>98</v>
      </c>
      <c r="V301" s="984">
        <v>49</v>
      </c>
      <c r="W301" s="984">
        <v>27</v>
      </c>
      <c r="X301" s="984">
        <v>22</v>
      </c>
      <c r="Y301" s="984">
        <v>3</v>
      </c>
      <c r="Z301" s="984">
        <v>0</v>
      </c>
      <c r="AA301" s="984"/>
      <c r="AB301" s="984"/>
      <c r="AC301" s="984">
        <v>0</v>
      </c>
      <c r="AD301" s="984">
        <v>3</v>
      </c>
      <c r="AE301" s="984">
        <v>10</v>
      </c>
      <c r="AF301" s="984">
        <v>5</v>
      </c>
      <c r="AG301" s="984">
        <v>0</v>
      </c>
      <c r="AH301" s="984">
        <v>1</v>
      </c>
      <c r="AI301" s="984" t="s">
        <v>752</v>
      </c>
      <c r="AJ301" s="984" t="s">
        <v>752</v>
      </c>
      <c r="AK301" s="984">
        <v>138</v>
      </c>
      <c r="AL301" s="984">
        <v>80</v>
      </c>
      <c r="AM301" s="1055">
        <f>AK301*'tecnicecon agric'!$J$57</f>
        <v>65596</v>
      </c>
      <c r="AN301" s="1055">
        <f>AL301*'tecnicecon agric'!$J$56</f>
        <v>90370</v>
      </c>
      <c r="AO301" s="1055">
        <f t="shared" si="12"/>
        <v>155966</v>
      </c>
      <c r="AP301">
        <f>AL301*'tecnicecon agric'!$J$65+'cultius resum'!AK301</f>
        <v>474</v>
      </c>
      <c r="AQ301" s="779">
        <f t="shared" si="13"/>
        <v>65596</v>
      </c>
      <c r="AR301">
        <f>AN301+AL301*'tecnicecon agric'!$L$58</f>
        <v>105826.54857142858</v>
      </c>
      <c r="AS301">
        <f>AP301*'4. Agricultura PIB'!$K$31</f>
        <v>1348086.5372151972</v>
      </c>
      <c r="AT301">
        <f>AS301*'4. Agricultura PIB'!$D$71</f>
        <v>396337.44194126799</v>
      </c>
      <c r="AU301" s="779">
        <f t="shared" si="14"/>
        <v>1915846.5277278938</v>
      </c>
    </row>
    <row r="302" spans="1:47">
      <c r="A302" s="974" t="s">
        <v>1737</v>
      </c>
      <c r="B302" s="976">
        <v>714</v>
      </c>
      <c r="C302" s="976">
        <v>0</v>
      </c>
      <c r="D302" s="976">
        <v>94</v>
      </c>
      <c r="E302" s="976">
        <v>0</v>
      </c>
      <c r="F302" s="976">
        <v>6</v>
      </c>
      <c r="G302" s="976">
        <v>0</v>
      </c>
      <c r="H302" s="976"/>
      <c r="I302" s="976"/>
      <c r="J302" s="976"/>
      <c r="K302" s="976"/>
      <c r="L302" s="976">
        <v>33</v>
      </c>
      <c r="M302" s="976">
        <v>0</v>
      </c>
      <c r="N302" s="976"/>
      <c r="O302" s="976"/>
      <c r="P302" s="976">
        <v>847</v>
      </c>
      <c r="Q302" s="977">
        <v>0</v>
      </c>
      <c r="T302" s="983" t="s">
        <v>358</v>
      </c>
      <c r="U302" s="984">
        <v>103</v>
      </c>
      <c r="V302" s="984">
        <v>0</v>
      </c>
      <c r="W302" s="984">
        <v>25</v>
      </c>
      <c r="X302" s="984">
        <v>1</v>
      </c>
      <c r="Y302" s="984"/>
      <c r="Z302" s="984"/>
      <c r="AA302" s="984"/>
      <c r="AB302" s="984"/>
      <c r="AC302" s="984">
        <v>6</v>
      </c>
      <c r="AD302" s="984">
        <v>40</v>
      </c>
      <c r="AE302" s="984"/>
      <c r="AF302" s="984"/>
      <c r="AG302" s="984">
        <v>1</v>
      </c>
      <c r="AH302" s="984">
        <v>6</v>
      </c>
      <c r="AI302" s="984">
        <v>202</v>
      </c>
      <c r="AJ302" s="984">
        <v>7</v>
      </c>
      <c r="AK302" s="984">
        <v>135</v>
      </c>
      <c r="AL302" s="984">
        <v>47</v>
      </c>
      <c r="AM302" s="1055">
        <f>AK302*'tecnicecon agric'!$J$57</f>
        <v>64170</v>
      </c>
      <c r="AN302" s="1055">
        <f>AL302*'tecnicecon agric'!$J$56</f>
        <v>53092.375</v>
      </c>
      <c r="AO302" s="1055">
        <f t="shared" si="12"/>
        <v>117262.375</v>
      </c>
      <c r="AP302">
        <f>AL302*'tecnicecon agric'!$J$65+'cultius resum'!AK302</f>
        <v>332.4</v>
      </c>
      <c r="AQ302" s="779">
        <f t="shared" si="13"/>
        <v>64170</v>
      </c>
      <c r="AR302">
        <f>AN302+AL302*'tecnicecon agric'!$L$58</f>
        <v>62173.097285714284</v>
      </c>
      <c r="AS302">
        <f>AP302*'4. Agricultura PIB'!$K$31</f>
        <v>945367.01470534084</v>
      </c>
      <c r="AT302">
        <f>AS302*'4. Agricultura PIB'!$D$71</f>
        <v>277937.90232337022</v>
      </c>
      <c r="AU302" s="779">
        <f t="shared" si="14"/>
        <v>1349648.0143144252</v>
      </c>
    </row>
    <row r="303" spans="1:47">
      <c r="A303" s="51" t="s">
        <v>4341</v>
      </c>
      <c r="B303" s="978">
        <v>60381</v>
      </c>
      <c r="C303" s="978">
        <v>2257</v>
      </c>
      <c r="D303" s="978">
        <v>24630</v>
      </c>
      <c r="E303" s="978">
        <v>2056</v>
      </c>
      <c r="F303" s="978">
        <v>4098</v>
      </c>
      <c r="G303" s="978">
        <v>124</v>
      </c>
      <c r="H303" s="978">
        <v>2</v>
      </c>
      <c r="I303" s="978">
        <v>478</v>
      </c>
      <c r="J303" s="978">
        <v>166</v>
      </c>
      <c r="K303" s="978">
        <v>3224</v>
      </c>
      <c r="L303" s="978">
        <v>3205</v>
      </c>
      <c r="M303" s="978">
        <v>251</v>
      </c>
      <c r="N303" s="978">
        <v>81</v>
      </c>
      <c r="O303" s="978">
        <v>245</v>
      </c>
      <c r="P303" s="978">
        <v>92563</v>
      </c>
      <c r="Q303" s="978">
        <v>8635</v>
      </c>
      <c r="T303" s="983" t="s">
        <v>1474</v>
      </c>
      <c r="U303" s="984"/>
      <c r="V303" s="984"/>
      <c r="W303" s="984">
        <v>2</v>
      </c>
      <c r="X303" s="984">
        <v>0</v>
      </c>
      <c r="Y303" s="984"/>
      <c r="Z303" s="984"/>
      <c r="AA303" s="984">
        <v>0</v>
      </c>
      <c r="AB303" s="984">
        <v>41</v>
      </c>
      <c r="AC303" s="984">
        <v>0</v>
      </c>
      <c r="AD303" s="984">
        <v>19</v>
      </c>
      <c r="AE303" s="984">
        <v>0</v>
      </c>
      <c r="AF303" s="984">
        <v>1</v>
      </c>
      <c r="AG303" s="984">
        <v>0</v>
      </c>
      <c r="AH303" s="984">
        <v>2</v>
      </c>
      <c r="AI303" s="984">
        <v>5</v>
      </c>
      <c r="AJ303" s="984">
        <v>5</v>
      </c>
      <c r="AK303" s="984">
        <v>2</v>
      </c>
      <c r="AL303" s="984">
        <v>63</v>
      </c>
      <c r="AM303" s="1055">
        <f>AK303*'tecnicecon agric'!$J$57</f>
        <v>950.66666666666663</v>
      </c>
      <c r="AN303" s="1055">
        <f>AL303*'tecnicecon agric'!$J$56</f>
        <v>71166.375</v>
      </c>
      <c r="AO303" s="1055">
        <f t="shared" si="12"/>
        <v>72117.041666666672</v>
      </c>
      <c r="AP303">
        <f>AL303*'tecnicecon agric'!$J$65+'cultius resum'!AK303</f>
        <v>266.60000000000002</v>
      </c>
      <c r="AQ303" s="779">
        <f t="shared" si="13"/>
        <v>950.66666666666663</v>
      </c>
      <c r="AR303">
        <f>AN303+AL303*'tecnicecon agric'!$L$58</f>
        <v>83338.407000000007</v>
      </c>
      <c r="AS303">
        <f>AP303*'4. Agricultura PIB'!$K$31</f>
        <v>758227.57557293586</v>
      </c>
      <c r="AT303">
        <f>AS303*'4. Agricultura PIB'!$D$71</f>
        <v>222918.90721844314</v>
      </c>
      <c r="AU303" s="779">
        <f t="shared" si="14"/>
        <v>1065435.5564580457</v>
      </c>
    </row>
    <row r="304" spans="1:47">
      <c r="T304" s="983" t="s">
        <v>352</v>
      </c>
      <c r="U304" s="984"/>
      <c r="V304" s="984"/>
      <c r="W304" s="984"/>
      <c r="X304" s="984"/>
      <c r="Y304" s="984"/>
      <c r="Z304" s="984"/>
      <c r="AA304" s="984">
        <v>0</v>
      </c>
      <c r="AB304" s="984">
        <v>109</v>
      </c>
      <c r="AC304" s="984">
        <v>0</v>
      </c>
      <c r="AD304" s="984">
        <v>59</v>
      </c>
      <c r="AE304" s="984">
        <v>0</v>
      </c>
      <c r="AF304" s="984">
        <v>1</v>
      </c>
      <c r="AG304" s="984">
        <v>0</v>
      </c>
      <c r="AH304" s="984">
        <v>7</v>
      </c>
      <c r="AI304" s="984">
        <v>0</v>
      </c>
      <c r="AJ304" s="984">
        <v>1</v>
      </c>
      <c r="AK304" s="984">
        <v>0</v>
      </c>
      <c r="AL304" s="984">
        <v>176</v>
      </c>
      <c r="AM304" s="1055">
        <f>AK304*'tecnicecon agric'!$J$57</f>
        <v>0</v>
      </c>
      <c r="AN304" s="1055">
        <f>AL304*'tecnicecon agric'!$J$56</f>
        <v>198814</v>
      </c>
      <c r="AO304" s="1055">
        <f t="shared" si="12"/>
        <v>198814</v>
      </c>
      <c r="AP304">
        <f>AL304*'tecnicecon agric'!$J$65+'cultius resum'!AK304</f>
        <v>739.2</v>
      </c>
      <c r="AQ304" s="779">
        <f t="shared" si="13"/>
        <v>0</v>
      </c>
      <c r="AR304">
        <f>AN304+AL304*'tecnicecon agric'!$L$58</f>
        <v>232818.40685714287</v>
      </c>
      <c r="AS304">
        <f>AP304*'4. Agricultura PIB'!$K$31</f>
        <v>2102332.4225938269</v>
      </c>
      <c r="AT304">
        <f>AS304*'4. Agricultura PIB'!$D$71</f>
        <v>618085.73224258504</v>
      </c>
      <c r="AU304" s="779">
        <f t="shared" si="14"/>
        <v>2953236.5616935547</v>
      </c>
    </row>
    <row r="305" spans="20:47">
      <c r="T305" s="983" t="s">
        <v>1728</v>
      </c>
      <c r="U305" s="984">
        <v>27</v>
      </c>
      <c r="V305" s="984">
        <v>1</v>
      </c>
      <c r="W305" s="984">
        <v>13</v>
      </c>
      <c r="X305" s="984">
        <v>0</v>
      </c>
      <c r="Y305" s="984"/>
      <c r="Z305" s="984"/>
      <c r="AA305" s="984"/>
      <c r="AB305" s="984"/>
      <c r="AC305" s="984">
        <v>3</v>
      </c>
      <c r="AD305" s="984">
        <v>0</v>
      </c>
      <c r="AE305" s="984"/>
      <c r="AF305" s="984"/>
      <c r="AG305" s="984">
        <v>1</v>
      </c>
      <c r="AH305" s="984">
        <v>0</v>
      </c>
      <c r="AI305" s="984">
        <v>608</v>
      </c>
      <c r="AJ305" s="984">
        <v>1</v>
      </c>
      <c r="AK305" s="984">
        <v>44</v>
      </c>
      <c r="AL305" s="984">
        <v>1</v>
      </c>
      <c r="AM305" s="1055">
        <f>AK305*'tecnicecon agric'!$J$57</f>
        <v>20914.666666666664</v>
      </c>
      <c r="AN305" s="1055">
        <f>AL305*'tecnicecon agric'!$J$56</f>
        <v>1129.625</v>
      </c>
      <c r="AO305" s="1055">
        <f t="shared" si="12"/>
        <v>22044.291666666664</v>
      </c>
      <c r="AP305">
        <f>AL305*'tecnicecon agric'!$J$65+'cultius resum'!AK305</f>
        <v>48.2</v>
      </c>
      <c r="AQ305" s="779">
        <f t="shared" si="13"/>
        <v>20914.666666666664</v>
      </c>
      <c r="AR305">
        <f>AN305+AL305*'tecnicecon agric'!$L$58</f>
        <v>1322.8318571428572</v>
      </c>
      <c r="AS305">
        <f>AP305*'4. Agricultura PIB'!$K$31</f>
        <v>137083.90526112344</v>
      </c>
      <c r="AT305">
        <f>AS305*'4. Agricultura PIB'!$D$71</f>
        <v>40302.668146770287</v>
      </c>
      <c r="AU305" s="779">
        <f t="shared" si="14"/>
        <v>199624.07193170325</v>
      </c>
    </row>
    <row r="306" spans="20:47">
      <c r="T306" s="983" t="s">
        <v>1737</v>
      </c>
      <c r="U306" s="984">
        <v>714</v>
      </c>
      <c r="V306" s="984">
        <v>0</v>
      </c>
      <c r="W306" s="984">
        <v>94</v>
      </c>
      <c r="X306" s="984">
        <v>0</v>
      </c>
      <c r="Y306" s="984">
        <v>6</v>
      </c>
      <c r="Z306" s="984">
        <v>0</v>
      </c>
      <c r="AA306" s="984"/>
      <c r="AB306" s="984"/>
      <c r="AC306" s="984"/>
      <c r="AD306" s="984"/>
      <c r="AE306" s="984">
        <v>33</v>
      </c>
      <c r="AF306" s="984">
        <v>0</v>
      </c>
      <c r="AG306" s="984"/>
      <c r="AH306" s="984"/>
      <c r="AI306" s="984"/>
      <c r="AJ306" s="984"/>
      <c r="AK306" s="984">
        <v>847</v>
      </c>
      <c r="AL306" s="984">
        <v>0</v>
      </c>
      <c r="AM306" s="1055">
        <f>AK306*'tecnicecon agric'!$J$57</f>
        <v>402607.33333333331</v>
      </c>
      <c r="AN306" s="1055">
        <f>AL306*'tecnicecon agric'!$J$56</f>
        <v>0</v>
      </c>
      <c r="AO306" s="1055">
        <f t="shared" si="12"/>
        <v>402607.33333333331</v>
      </c>
      <c r="AP306">
        <f>AL306*'tecnicecon agric'!$J$65+'cultius resum'!AK306</f>
        <v>847</v>
      </c>
      <c r="AQ306" s="779">
        <f t="shared" si="13"/>
        <v>402607.33333333331</v>
      </c>
      <c r="AR306">
        <f>AN306+AL306*'tecnicecon agric'!$L$58</f>
        <v>0</v>
      </c>
      <c r="AS306">
        <f>AP306*'4. Agricultura PIB'!$K$31</f>
        <v>2408922.5675554262</v>
      </c>
      <c r="AT306">
        <f>AS306*'4. Agricultura PIB'!$D$71</f>
        <v>708223.2348612952</v>
      </c>
      <c r="AU306" s="779">
        <f t="shared" si="14"/>
        <v>3519753.1357500548</v>
      </c>
    </row>
    <row r="307" spans="20:47">
      <c r="T307" s="983" t="s">
        <v>4341</v>
      </c>
      <c r="U307" s="984">
        <v>60381</v>
      </c>
      <c r="V307" s="984">
        <v>2257</v>
      </c>
      <c r="W307" s="984">
        <v>24630</v>
      </c>
      <c r="X307" s="984">
        <v>2056</v>
      </c>
      <c r="Y307" s="984">
        <v>4098</v>
      </c>
      <c r="Z307" s="984">
        <v>124</v>
      </c>
      <c r="AA307" s="984">
        <v>2</v>
      </c>
      <c r="AB307" s="984">
        <v>478</v>
      </c>
      <c r="AC307" s="984">
        <v>166</v>
      </c>
      <c r="AD307" s="984">
        <v>3224</v>
      </c>
      <c r="AE307" s="984">
        <v>3205</v>
      </c>
      <c r="AF307" s="984">
        <v>251</v>
      </c>
      <c r="AG307" s="984">
        <v>81</v>
      </c>
      <c r="AH307" s="984">
        <v>245</v>
      </c>
      <c r="AI307" s="984">
        <v>24773</v>
      </c>
      <c r="AJ307" s="984">
        <v>1400</v>
      </c>
      <c r="AK307" s="984">
        <v>92563</v>
      </c>
      <c r="AL307" s="984">
        <v>8635</v>
      </c>
      <c r="AM307" s="1055">
        <f>AK307*'tecnicecon agric'!$J$57</f>
        <v>43998279.333333328</v>
      </c>
      <c r="AN307" s="1055">
        <f>AL307*'tecnicecon agric'!$J$56</f>
        <v>9754311.875</v>
      </c>
      <c r="AO307" s="1055">
        <f t="shared" si="12"/>
        <v>53752591.208333328</v>
      </c>
      <c r="AP307">
        <f>AL307*'tecnicecon agric'!$J$65+'cultius resum'!AK307</f>
        <v>128830</v>
      </c>
      <c r="AQ307" s="779">
        <f t="shared" si="13"/>
        <v>43998279.333333328</v>
      </c>
      <c r="AR307">
        <f>AN307+AL307*'tecnicecon agric'!$L$58</f>
        <v>11422653.086428571</v>
      </c>
      <c r="AS307">
        <f>AP307*'4. Agricultura PIB'!$K$31</f>
        <v>366400819.80893219</v>
      </c>
      <c r="AT307">
        <f>AS307*'4. Agricultura PIB'!$D$71</f>
        <v>107721841.02382606</v>
      </c>
      <c r="AU307" s="779">
        <f t="shared" si="14"/>
        <v>529543593.25252014</v>
      </c>
    </row>
    <row r="308" spans="20:47">
      <c r="T308" s="2" t="s">
        <v>1474</v>
      </c>
    </row>
  </sheetData>
  <mergeCells count="10">
    <mergeCell ref="AG4:AH4"/>
    <mergeCell ref="AI4:AJ4"/>
    <mergeCell ref="AM3:AO3"/>
    <mergeCell ref="AQ3:AU3"/>
    <mergeCell ref="U4:V4"/>
    <mergeCell ref="W4:X4"/>
    <mergeCell ref="Y4:Z4"/>
    <mergeCell ref="AA4:AB4"/>
    <mergeCell ref="AC4:AD4"/>
    <mergeCell ref="AE4:AF4"/>
  </mergeCells>
  <pageMargins left="0.7" right="0.7" top="0.75" bottom="0.75" header="0.3" footer="0.3"/>
  <pageSetup paperSize="9" orientation="portrait" verticalDpi="0"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60"/>
  <sheetViews>
    <sheetView workbookViewId="0">
      <selection activeCell="P9" sqref="P9"/>
    </sheetView>
  </sheetViews>
  <sheetFormatPr defaultRowHeight="15"/>
  <cols>
    <col min="1" max="1" width="9" bestFit="1" customWidth="1"/>
    <col min="2" max="2" width="19.85546875" customWidth="1"/>
    <col min="3" max="3" width="20.28515625" customWidth="1"/>
    <col min="4" max="4" width="27.7109375" customWidth="1"/>
    <col min="5" max="5" width="11.7109375" bestFit="1" customWidth="1"/>
    <col min="6" max="6" width="9.7109375" bestFit="1" customWidth="1"/>
    <col min="7" max="7" width="10.28515625" bestFit="1" customWidth="1"/>
    <col min="8" max="8" width="10.28515625" customWidth="1"/>
    <col min="9" max="9" width="12.140625" bestFit="1" customWidth="1"/>
    <col min="10" max="10" width="9.7109375" bestFit="1" customWidth="1"/>
    <col min="11" max="11" width="10.28515625" bestFit="1" customWidth="1"/>
  </cols>
  <sheetData>
    <row r="1" spans="1:12">
      <c r="A1" t="s">
        <v>4573</v>
      </c>
      <c r="E1" s="1193" t="s">
        <v>2795</v>
      </c>
      <c r="F1" s="1194"/>
      <c r="G1" s="1195"/>
      <c r="H1" s="971"/>
      <c r="I1" s="1193" t="s">
        <v>2796</v>
      </c>
      <c r="J1" s="1194"/>
      <c r="K1" s="1195"/>
    </row>
    <row r="2" spans="1:12" ht="33.75">
      <c r="A2" s="970" t="s">
        <v>2791</v>
      </c>
      <c r="B2" s="970" t="s">
        <v>2792</v>
      </c>
      <c r="C2" s="970" t="s">
        <v>2793</v>
      </c>
      <c r="D2" s="970" t="s">
        <v>2794</v>
      </c>
      <c r="E2" s="957" t="s">
        <v>2797</v>
      </c>
      <c r="F2" s="957" t="s">
        <v>2798</v>
      </c>
      <c r="G2" s="957" t="s">
        <v>2799</v>
      </c>
      <c r="H2" s="958" t="s">
        <v>4339</v>
      </c>
      <c r="I2" s="958" t="s">
        <v>2800</v>
      </c>
      <c r="J2" s="957" t="s">
        <v>2801</v>
      </c>
      <c r="K2" s="957" t="s">
        <v>2802</v>
      </c>
      <c r="L2" s="972" t="s">
        <v>4338</v>
      </c>
    </row>
    <row r="3" spans="1:12">
      <c r="A3" t="s">
        <v>2822</v>
      </c>
      <c r="B3" s="51" t="s">
        <v>672</v>
      </c>
      <c r="C3" s="51" t="s">
        <v>2805</v>
      </c>
      <c r="D3" t="s">
        <v>449</v>
      </c>
      <c r="E3">
        <v>109</v>
      </c>
      <c r="F3">
        <v>0</v>
      </c>
      <c r="G3">
        <v>0</v>
      </c>
      <c r="H3">
        <f>SUM(E3:G3)</f>
        <v>109</v>
      </c>
      <c r="I3">
        <v>2</v>
      </c>
      <c r="J3">
        <v>0</v>
      </c>
      <c r="K3">
        <v>0</v>
      </c>
      <c r="L3">
        <f>SUM(I3:K3)</f>
        <v>2</v>
      </c>
    </row>
    <row r="4" spans="1:12">
      <c r="A4" t="s">
        <v>2822</v>
      </c>
      <c r="B4" s="51" t="s">
        <v>672</v>
      </c>
      <c r="C4" s="51" t="s">
        <v>2805</v>
      </c>
      <c r="D4" t="s">
        <v>2807</v>
      </c>
      <c r="E4">
        <v>10</v>
      </c>
      <c r="F4">
        <v>0</v>
      </c>
      <c r="G4">
        <v>0</v>
      </c>
      <c r="H4">
        <f t="shared" ref="H4:H67" si="0">SUM(E4:G4)</f>
        <v>10</v>
      </c>
      <c r="I4">
        <v>19</v>
      </c>
      <c r="J4">
        <v>0</v>
      </c>
      <c r="K4">
        <v>0</v>
      </c>
      <c r="L4">
        <f t="shared" ref="L4:L67" si="1">SUM(I4:K4)</f>
        <v>19</v>
      </c>
    </row>
    <row r="5" spans="1:12">
      <c r="A5" t="s">
        <v>2822</v>
      </c>
      <c r="B5" s="51" t="s">
        <v>672</v>
      </c>
      <c r="C5" s="51" t="s">
        <v>2805</v>
      </c>
      <c r="D5" t="s">
        <v>442</v>
      </c>
      <c r="E5">
        <v>0</v>
      </c>
      <c r="F5">
        <v>0</v>
      </c>
      <c r="G5">
        <v>0</v>
      </c>
      <c r="H5">
        <f t="shared" si="0"/>
        <v>0</v>
      </c>
      <c r="I5">
        <v>3</v>
      </c>
      <c r="J5">
        <v>0</v>
      </c>
      <c r="K5">
        <v>0</v>
      </c>
      <c r="L5">
        <f t="shared" si="1"/>
        <v>3</v>
      </c>
    </row>
    <row r="6" spans="1:12">
      <c r="A6" t="s">
        <v>2822</v>
      </c>
      <c r="B6" s="51" t="s">
        <v>672</v>
      </c>
      <c r="C6" s="51" t="s">
        <v>2810</v>
      </c>
      <c r="D6" t="s">
        <v>2811</v>
      </c>
      <c r="E6">
        <v>2</v>
      </c>
      <c r="F6">
        <v>0</v>
      </c>
      <c r="G6">
        <v>0</v>
      </c>
      <c r="H6">
        <f t="shared" si="0"/>
        <v>2</v>
      </c>
      <c r="I6">
        <v>3</v>
      </c>
      <c r="J6">
        <v>0</v>
      </c>
      <c r="K6">
        <v>0</v>
      </c>
      <c r="L6">
        <f t="shared" si="1"/>
        <v>3</v>
      </c>
    </row>
    <row r="7" spans="1:12">
      <c r="A7" t="s">
        <v>2822</v>
      </c>
      <c r="B7" s="51" t="s">
        <v>672</v>
      </c>
      <c r="C7" s="51" t="s">
        <v>2810</v>
      </c>
      <c r="D7" t="s">
        <v>1892</v>
      </c>
      <c r="E7">
        <v>0</v>
      </c>
      <c r="F7">
        <v>0</v>
      </c>
      <c r="G7">
        <v>0</v>
      </c>
      <c r="H7">
        <f t="shared" si="0"/>
        <v>0</v>
      </c>
      <c r="I7">
        <v>24</v>
      </c>
      <c r="J7">
        <v>0</v>
      </c>
      <c r="K7">
        <v>0</v>
      </c>
      <c r="L7">
        <f t="shared" si="1"/>
        <v>24</v>
      </c>
    </row>
    <row r="8" spans="1:12">
      <c r="A8" t="s">
        <v>2822</v>
      </c>
      <c r="B8" s="51" t="s">
        <v>672</v>
      </c>
      <c r="C8" s="51" t="s">
        <v>2810</v>
      </c>
      <c r="D8" t="s">
        <v>2823</v>
      </c>
      <c r="E8">
        <v>0</v>
      </c>
      <c r="F8">
        <v>0</v>
      </c>
      <c r="G8">
        <v>0</v>
      </c>
      <c r="H8">
        <f t="shared" si="0"/>
        <v>0</v>
      </c>
      <c r="I8">
        <v>20</v>
      </c>
      <c r="J8">
        <v>0</v>
      </c>
      <c r="K8">
        <v>0</v>
      </c>
      <c r="L8">
        <f t="shared" si="1"/>
        <v>20</v>
      </c>
    </row>
    <row r="9" spans="1:12">
      <c r="A9" t="s">
        <v>2822</v>
      </c>
      <c r="B9" s="51" t="s">
        <v>672</v>
      </c>
      <c r="C9" s="51" t="s">
        <v>2817</v>
      </c>
      <c r="D9" t="s">
        <v>2818</v>
      </c>
      <c r="E9">
        <v>12</v>
      </c>
      <c r="F9">
        <v>0</v>
      </c>
      <c r="G9">
        <v>0</v>
      </c>
      <c r="H9">
        <f t="shared" si="0"/>
        <v>12</v>
      </c>
      <c r="I9">
        <v>0</v>
      </c>
      <c r="J9">
        <v>0</v>
      </c>
      <c r="K9">
        <v>0</v>
      </c>
      <c r="L9">
        <f t="shared" si="1"/>
        <v>0</v>
      </c>
    </row>
    <row r="10" spans="1:12">
      <c r="A10" t="s">
        <v>2845</v>
      </c>
      <c r="B10" s="51" t="s">
        <v>694</v>
      </c>
      <c r="C10" s="51" t="s">
        <v>2805</v>
      </c>
      <c r="D10" t="s">
        <v>2806</v>
      </c>
      <c r="E10">
        <v>310</v>
      </c>
      <c r="F10">
        <v>0</v>
      </c>
      <c r="G10">
        <v>0</v>
      </c>
      <c r="H10">
        <f t="shared" si="0"/>
        <v>310</v>
      </c>
      <c r="I10">
        <v>0</v>
      </c>
      <c r="J10">
        <v>0</v>
      </c>
      <c r="K10">
        <v>0</v>
      </c>
      <c r="L10">
        <f t="shared" si="1"/>
        <v>0</v>
      </c>
    </row>
    <row r="11" spans="1:12">
      <c r="A11" t="s">
        <v>2845</v>
      </c>
      <c r="B11" s="51" t="s">
        <v>694</v>
      </c>
      <c r="C11" s="51" t="s">
        <v>2805</v>
      </c>
      <c r="D11" t="s">
        <v>449</v>
      </c>
      <c r="E11">
        <v>518</v>
      </c>
      <c r="F11">
        <v>0</v>
      </c>
      <c r="G11">
        <v>0</v>
      </c>
      <c r="H11">
        <f t="shared" si="0"/>
        <v>518</v>
      </c>
      <c r="I11">
        <v>0</v>
      </c>
      <c r="J11">
        <v>0</v>
      </c>
      <c r="K11">
        <v>0</v>
      </c>
      <c r="L11">
        <f t="shared" si="1"/>
        <v>0</v>
      </c>
    </row>
    <row r="12" spans="1:12">
      <c r="A12" t="s">
        <v>2845</v>
      </c>
      <c r="B12" s="51" t="s">
        <v>694</v>
      </c>
      <c r="C12" s="51" t="s">
        <v>2805</v>
      </c>
      <c r="D12" t="s">
        <v>2807</v>
      </c>
      <c r="E12">
        <v>9</v>
      </c>
      <c r="F12">
        <v>0</v>
      </c>
      <c r="G12">
        <v>0</v>
      </c>
      <c r="H12">
        <f t="shared" si="0"/>
        <v>9</v>
      </c>
      <c r="I12">
        <v>0</v>
      </c>
      <c r="J12">
        <v>0</v>
      </c>
      <c r="K12">
        <v>0</v>
      </c>
      <c r="L12">
        <f t="shared" si="1"/>
        <v>0</v>
      </c>
    </row>
    <row r="13" spans="1:12">
      <c r="A13" t="s">
        <v>2845</v>
      </c>
      <c r="B13" s="51" t="s">
        <v>694</v>
      </c>
      <c r="C13" s="51" t="s">
        <v>2805</v>
      </c>
      <c r="D13" t="s">
        <v>2846</v>
      </c>
      <c r="E13">
        <v>8</v>
      </c>
      <c r="F13">
        <v>0</v>
      </c>
      <c r="G13">
        <v>0</v>
      </c>
      <c r="H13">
        <f t="shared" si="0"/>
        <v>8</v>
      </c>
      <c r="I13">
        <v>0</v>
      </c>
      <c r="J13">
        <v>0</v>
      </c>
      <c r="K13">
        <v>0</v>
      </c>
      <c r="L13">
        <f t="shared" si="1"/>
        <v>0</v>
      </c>
    </row>
    <row r="14" spans="1:12">
      <c r="A14" t="s">
        <v>2845</v>
      </c>
      <c r="B14" s="51" t="s">
        <v>694</v>
      </c>
      <c r="C14" s="51" t="s">
        <v>2810</v>
      </c>
      <c r="D14" t="s">
        <v>2811</v>
      </c>
      <c r="E14">
        <v>38</v>
      </c>
      <c r="F14">
        <v>0</v>
      </c>
      <c r="G14">
        <v>0</v>
      </c>
      <c r="H14">
        <f t="shared" si="0"/>
        <v>38</v>
      </c>
      <c r="I14">
        <v>0</v>
      </c>
      <c r="J14">
        <v>0</v>
      </c>
      <c r="K14">
        <v>0</v>
      </c>
      <c r="L14">
        <f t="shared" si="1"/>
        <v>0</v>
      </c>
    </row>
    <row r="15" spans="1:12">
      <c r="A15" t="s">
        <v>2845</v>
      </c>
      <c r="B15" s="51" t="s">
        <v>694</v>
      </c>
      <c r="C15" s="51" t="s">
        <v>2810</v>
      </c>
      <c r="D15" t="s">
        <v>2813</v>
      </c>
      <c r="E15">
        <v>14</v>
      </c>
      <c r="F15">
        <v>0</v>
      </c>
      <c r="G15">
        <v>0</v>
      </c>
      <c r="H15">
        <f t="shared" si="0"/>
        <v>14</v>
      </c>
      <c r="I15">
        <v>0</v>
      </c>
      <c r="J15">
        <v>0</v>
      </c>
      <c r="K15">
        <v>0</v>
      </c>
      <c r="L15">
        <f t="shared" si="1"/>
        <v>0</v>
      </c>
    </row>
    <row r="16" spans="1:12">
      <c r="A16" t="s">
        <v>2845</v>
      </c>
      <c r="B16" s="51" t="s">
        <v>694</v>
      </c>
      <c r="C16" s="51" t="s">
        <v>2810</v>
      </c>
      <c r="D16" t="s">
        <v>2814</v>
      </c>
      <c r="E16">
        <v>3</v>
      </c>
      <c r="F16">
        <v>0</v>
      </c>
      <c r="G16">
        <v>0</v>
      </c>
      <c r="H16">
        <f t="shared" si="0"/>
        <v>3</v>
      </c>
      <c r="I16">
        <v>0</v>
      </c>
      <c r="J16">
        <v>0</v>
      </c>
      <c r="K16">
        <v>0</v>
      </c>
      <c r="L16">
        <f t="shared" si="1"/>
        <v>0</v>
      </c>
    </row>
    <row r="17" spans="1:12">
      <c r="A17" t="s">
        <v>2845</v>
      </c>
      <c r="B17" t="s">
        <v>694</v>
      </c>
      <c r="C17" t="s">
        <v>2810</v>
      </c>
      <c r="D17" t="s">
        <v>2847</v>
      </c>
      <c r="E17">
        <v>13</v>
      </c>
      <c r="F17">
        <v>0</v>
      </c>
      <c r="G17">
        <v>0</v>
      </c>
      <c r="H17">
        <f t="shared" si="0"/>
        <v>13</v>
      </c>
      <c r="I17">
        <v>0</v>
      </c>
      <c r="J17">
        <v>0</v>
      </c>
      <c r="K17">
        <v>0</v>
      </c>
      <c r="L17">
        <f t="shared" si="1"/>
        <v>0</v>
      </c>
    </row>
    <row r="18" spans="1:12">
      <c r="A18" t="s">
        <v>2845</v>
      </c>
      <c r="B18" t="s">
        <v>694</v>
      </c>
      <c r="C18" t="s">
        <v>2810</v>
      </c>
      <c r="D18" t="s">
        <v>2815</v>
      </c>
      <c r="E18">
        <v>34</v>
      </c>
      <c r="F18">
        <v>0</v>
      </c>
      <c r="G18">
        <v>0</v>
      </c>
      <c r="H18">
        <f t="shared" si="0"/>
        <v>34</v>
      </c>
      <c r="I18">
        <v>0</v>
      </c>
      <c r="J18">
        <v>0</v>
      </c>
      <c r="K18">
        <v>0</v>
      </c>
      <c r="L18">
        <f t="shared" si="1"/>
        <v>0</v>
      </c>
    </row>
    <row r="19" spans="1:12">
      <c r="A19" t="s">
        <v>2845</v>
      </c>
      <c r="B19" t="s">
        <v>694</v>
      </c>
      <c r="C19" t="s">
        <v>2816</v>
      </c>
      <c r="D19" t="s">
        <v>1897</v>
      </c>
      <c r="E19">
        <v>108</v>
      </c>
      <c r="F19">
        <v>0</v>
      </c>
      <c r="G19">
        <v>0</v>
      </c>
      <c r="H19">
        <f t="shared" si="0"/>
        <v>108</v>
      </c>
      <c r="I19">
        <v>0</v>
      </c>
      <c r="J19">
        <v>0</v>
      </c>
      <c r="K19">
        <v>0</v>
      </c>
      <c r="L19">
        <f t="shared" si="1"/>
        <v>0</v>
      </c>
    </row>
    <row r="20" spans="1:12">
      <c r="A20" t="s">
        <v>2845</v>
      </c>
      <c r="B20" t="s">
        <v>694</v>
      </c>
      <c r="C20" t="s">
        <v>2816</v>
      </c>
      <c r="D20" t="s">
        <v>2848</v>
      </c>
      <c r="E20">
        <v>17</v>
      </c>
      <c r="F20">
        <v>0</v>
      </c>
      <c r="G20">
        <v>0</v>
      </c>
      <c r="H20">
        <f t="shared" si="0"/>
        <v>17</v>
      </c>
      <c r="I20">
        <v>0</v>
      </c>
      <c r="J20">
        <v>0</v>
      </c>
      <c r="K20">
        <v>0</v>
      </c>
      <c r="L20">
        <f t="shared" si="1"/>
        <v>0</v>
      </c>
    </row>
    <row r="21" spans="1:12">
      <c r="A21" t="s">
        <v>2845</v>
      </c>
      <c r="B21" t="s">
        <v>694</v>
      </c>
      <c r="C21" t="s">
        <v>2826</v>
      </c>
      <c r="D21" t="s">
        <v>2843</v>
      </c>
      <c r="E21">
        <v>0</v>
      </c>
      <c r="F21">
        <v>0</v>
      </c>
      <c r="G21">
        <v>0</v>
      </c>
      <c r="H21">
        <f t="shared" si="0"/>
        <v>0</v>
      </c>
      <c r="I21">
        <v>1</v>
      </c>
      <c r="J21">
        <v>0</v>
      </c>
      <c r="K21">
        <v>0</v>
      </c>
      <c r="L21">
        <f t="shared" si="1"/>
        <v>1</v>
      </c>
    </row>
    <row r="22" spans="1:12">
      <c r="A22" t="s">
        <v>2845</v>
      </c>
      <c r="B22" t="s">
        <v>694</v>
      </c>
      <c r="C22" t="s">
        <v>2826</v>
      </c>
      <c r="D22" t="s">
        <v>2849</v>
      </c>
      <c r="E22">
        <v>0</v>
      </c>
      <c r="F22">
        <v>0</v>
      </c>
      <c r="G22">
        <v>0</v>
      </c>
      <c r="H22">
        <f t="shared" si="0"/>
        <v>0</v>
      </c>
      <c r="I22">
        <v>1</v>
      </c>
      <c r="J22">
        <v>0</v>
      </c>
      <c r="K22">
        <v>0</v>
      </c>
      <c r="L22">
        <f t="shared" si="1"/>
        <v>1</v>
      </c>
    </row>
    <row r="23" spans="1:12">
      <c r="A23" t="s">
        <v>2845</v>
      </c>
      <c r="B23" t="s">
        <v>694</v>
      </c>
      <c r="C23" t="s">
        <v>2817</v>
      </c>
      <c r="D23" t="s">
        <v>2818</v>
      </c>
      <c r="E23">
        <v>21</v>
      </c>
      <c r="F23">
        <v>0</v>
      </c>
      <c r="G23">
        <v>0</v>
      </c>
      <c r="H23">
        <f t="shared" si="0"/>
        <v>21</v>
      </c>
      <c r="I23">
        <v>0</v>
      </c>
      <c r="J23">
        <v>0</v>
      </c>
      <c r="K23">
        <v>0</v>
      </c>
      <c r="L23">
        <f t="shared" si="1"/>
        <v>0</v>
      </c>
    </row>
    <row r="24" spans="1:12">
      <c r="A24" t="s">
        <v>2845</v>
      </c>
      <c r="B24" t="s">
        <v>694</v>
      </c>
      <c r="C24" t="s">
        <v>2817</v>
      </c>
      <c r="D24" t="s">
        <v>2837</v>
      </c>
      <c r="E24">
        <v>22</v>
      </c>
      <c r="F24">
        <v>0</v>
      </c>
      <c r="G24">
        <v>0</v>
      </c>
      <c r="H24">
        <f t="shared" si="0"/>
        <v>22</v>
      </c>
      <c r="I24">
        <v>0</v>
      </c>
      <c r="J24">
        <v>0</v>
      </c>
      <c r="K24">
        <v>0</v>
      </c>
      <c r="L24">
        <f t="shared" si="1"/>
        <v>0</v>
      </c>
    </row>
    <row r="25" spans="1:12">
      <c r="A25" t="s">
        <v>2845</v>
      </c>
      <c r="B25" t="s">
        <v>694</v>
      </c>
      <c r="C25" t="s">
        <v>2817</v>
      </c>
      <c r="D25" t="s">
        <v>2819</v>
      </c>
      <c r="E25">
        <v>5</v>
      </c>
      <c r="F25">
        <v>0</v>
      </c>
      <c r="G25">
        <v>0</v>
      </c>
      <c r="H25">
        <f t="shared" si="0"/>
        <v>5</v>
      </c>
      <c r="I25">
        <v>0</v>
      </c>
      <c r="J25">
        <v>0</v>
      </c>
      <c r="K25">
        <v>0</v>
      </c>
      <c r="L25">
        <f t="shared" si="1"/>
        <v>0</v>
      </c>
    </row>
    <row r="26" spans="1:12">
      <c r="A26" t="s">
        <v>2853</v>
      </c>
      <c r="B26" t="s">
        <v>797</v>
      </c>
      <c r="C26" t="s">
        <v>2805</v>
      </c>
      <c r="D26" t="s">
        <v>2806</v>
      </c>
      <c r="E26">
        <v>4</v>
      </c>
      <c r="F26">
        <v>0</v>
      </c>
      <c r="G26">
        <v>0</v>
      </c>
      <c r="H26">
        <f t="shared" si="0"/>
        <v>4</v>
      </c>
      <c r="I26">
        <v>0</v>
      </c>
      <c r="J26">
        <v>0</v>
      </c>
      <c r="K26">
        <v>0</v>
      </c>
      <c r="L26">
        <f t="shared" si="1"/>
        <v>0</v>
      </c>
    </row>
    <row r="27" spans="1:12">
      <c r="A27" t="s">
        <v>2853</v>
      </c>
      <c r="B27" t="s">
        <v>797</v>
      </c>
      <c r="C27" t="s">
        <v>2810</v>
      </c>
      <c r="D27" t="s">
        <v>2813</v>
      </c>
      <c r="E27">
        <v>0</v>
      </c>
      <c r="F27">
        <v>0</v>
      </c>
      <c r="G27">
        <v>0</v>
      </c>
      <c r="H27">
        <f t="shared" si="0"/>
        <v>0</v>
      </c>
      <c r="I27">
        <v>0</v>
      </c>
      <c r="J27">
        <v>1</v>
      </c>
      <c r="K27">
        <v>0</v>
      </c>
      <c r="L27">
        <f t="shared" si="1"/>
        <v>1</v>
      </c>
    </row>
    <row r="28" spans="1:12">
      <c r="A28" t="s">
        <v>2853</v>
      </c>
      <c r="B28" t="s">
        <v>797</v>
      </c>
      <c r="C28" t="s">
        <v>2817</v>
      </c>
      <c r="D28" t="s">
        <v>2818</v>
      </c>
      <c r="E28">
        <v>0</v>
      </c>
      <c r="F28">
        <v>0</v>
      </c>
      <c r="G28">
        <v>0</v>
      </c>
      <c r="H28">
        <f t="shared" si="0"/>
        <v>0</v>
      </c>
      <c r="I28">
        <v>1</v>
      </c>
      <c r="J28">
        <v>0</v>
      </c>
      <c r="K28">
        <v>0</v>
      </c>
      <c r="L28">
        <f t="shared" si="1"/>
        <v>1</v>
      </c>
    </row>
    <row r="29" spans="1:12">
      <c r="A29" t="s">
        <v>2915</v>
      </c>
      <c r="B29" t="s">
        <v>707</v>
      </c>
      <c r="C29" t="s">
        <v>2841</v>
      </c>
      <c r="D29" t="s">
        <v>2842</v>
      </c>
      <c r="E29">
        <v>0</v>
      </c>
      <c r="F29">
        <v>0</v>
      </c>
      <c r="G29">
        <v>0</v>
      </c>
      <c r="H29">
        <f t="shared" si="0"/>
        <v>0</v>
      </c>
      <c r="I29">
        <v>4</v>
      </c>
      <c r="J29">
        <v>0</v>
      </c>
      <c r="K29">
        <v>0</v>
      </c>
      <c r="L29">
        <f t="shared" si="1"/>
        <v>4</v>
      </c>
    </row>
    <row r="30" spans="1:12">
      <c r="A30" t="s">
        <v>2915</v>
      </c>
      <c r="B30" t="s">
        <v>707</v>
      </c>
      <c r="C30" t="s">
        <v>2826</v>
      </c>
      <c r="D30" t="s">
        <v>2871</v>
      </c>
      <c r="E30">
        <v>0</v>
      </c>
      <c r="F30">
        <v>0</v>
      </c>
      <c r="G30">
        <v>0</v>
      </c>
      <c r="H30">
        <f t="shared" si="0"/>
        <v>0</v>
      </c>
      <c r="I30">
        <v>1</v>
      </c>
      <c r="J30">
        <v>0</v>
      </c>
      <c r="K30">
        <v>0</v>
      </c>
      <c r="L30">
        <f t="shared" si="1"/>
        <v>1</v>
      </c>
    </row>
    <row r="31" spans="1:12">
      <c r="A31" t="s">
        <v>2915</v>
      </c>
      <c r="B31" t="s">
        <v>707</v>
      </c>
      <c r="C31" t="s">
        <v>2826</v>
      </c>
      <c r="D31" t="s">
        <v>2827</v>
      </c>
      <c r="E31">
        <v>0</v>
      </c>
      <c r="F31">
        <v>0</v>
      </c>
      <c r="G31">
        <v>0</v>
      </c>
      <c r="H31">
        <f t="shared" si="0"/>
        <v>0</v>
      </c>
      <c r="I31">
        <v>1</v>
      </c>
      <c r="J31">
        <v>0</v>
      </c>
      <c r="K31">
        <v>0</v>
      </c>
      <c r="L31">
        <f t="shared" si="1"/>
        <v>1</v>
      </c>
    </row>
    <row r="32" spans="1:12">
      <c r="A32" t="s">
        <v>2915</v>
      </c>
      <c r="B32" t="s">
        <v>707</v>
      </c>
      <c r="C32" t="s">
        <v>2826</v>
      </c>
      <c r="D32" t="s">
        <v>2828</v>
      </c>
      <c r="E32">
        <v>0</v>
      </c>
      <c r="F32">
        <v>0</v>
      </c>
      <c r="G32">
        <v>0</v>
      </c>
      <c r="H32">
        <f t="shared" si="0"/>
        <v>0</v>
      </c>
      <c r="I32">
        <v>0</v>
      </c>
      <c r="J32">
        <v>1</v>
      </c>
      <c r="K32">
        <v>0</v>
      </c>
      <c r="L32">
        <f t="shared" si="1"/>
        <v>1</v>
      </c>
    </row>
    <row r="33" spans="1:12">
      <c r="A33" t="s">
        <v>2915</v>
      </c>
      <c r="B33" t="s">
        <v>707</v>
      </c>
      <c r="C33" t="s">
        <v>2826</v>
      </c>
      <c r="D33" t="s">
        <v>2829</v>
      </c>
      <c r="E33">
        <v>0</v>
      </c>
      <c r="F33">
        <v>0</v>
      </c>
      <c r="G33">
        <v>0</v>
      </c>
      <c r="H33">
        <f t="shared" si="0"/>
        <v>0</v>
      </c>
      <c r="I33">
        <v>1</v>
      </c>
      <c r="J33">
        <v>0</v>
      </c>
      <c r="K33">
        <v>0</v>
      </c>
      <c r="L33">
        <f t="shared" si="1"/>
        <v>1</v>
      </c>
    </row>
    <row r="34" spans="1:12">
      <c r="A34" t="s">
        <v>2915</v>
      </c>
      <c r="B34" t="s">
        <v>707</v>
      </c>
      <c r="C34" t="s">
        <v>2826</v>
      </c>
      <c r="D34" t="s">
        <v>2864</v>
      </c>
      <c r="E34">
        <v>0</v>
      </c>
      <c r="F34">
        <v>0</v>
      </c>
      <c r="G34">
        <v>0</v>
      </c>
      <c r="H34">
        <f t="shared" si="0"/>
        <v>0</v>
      </c>
      <c r="I34">
        <v>1</v>
      </c>
      <c r="J34">
        <v>0</v>
      </c>
      <c r="K34">
        <v>0</v>
      </c>
      <c r="L34">
        <f t="shared" si="1"/>
        <v>1</v>
      </c>
    </row>
    <row r="35" spans="1:12">
      <c r="A35" t="s">
        <v>2915</v>
      </c>
      <c r="B35" t="s">
        <v>707</v>
      </c>
      <c r="C35" t="s">
        <v>2826</v>
      </c>
      <c r="D35" t="s">
        <v>2831</v>
      </c>
      <c r="E35">
        <v>0</v>
      </c>
      <c r="F35">
        <v>0</v>
      </c>
      <c r="G35">
        <v>0</v>
      </c>
      <c r="H35">
        <f t="shared" si="0"/>
        <v>0</v>
      </c>
      <c r="I35">
        <v>1</v>
      </c>
      <c r="J35">
        <v>0</v>
      </c>
      <c r="K35">
        <v>0</v>
      </c>
      <c r="L35">
        <f t="shared" si="1"/>
        <v>1</v>
      </c>
    </row>
    <row r="36" spans="1:12">
      <c r="A36" t="s">
        <v>2915</v>
      </c>
      <c r="B36" t="s">
        <v>707</v>
      </c>
      <c r="C36" t="s">
        <v>2826</v>
      </c>
      <c r="D36" t="s">
        <v>2843</v>
      </c>
      <c r="E36">
        <v>0</v>
      </c>
      <c r="F36">
        <v>0</v>
      </c>
      <c r="G36">
        <v>0</v>
      </c>
      <c r="H36">
        <f t="shared" si="0"/>
        <v>0</v>
      </c>
      <c r="I36">
        <v>3</v>
      </c>
      <c r="J36">
        <v>1</v>
      </c>
      <c r="K36">
        <v>0</v>
      </c>
      <c r="L36">
        <f t="shared" si="1"/>
        <v>4</v>
      </c>
    </row>
    <row r="37" spans="1:12">
      <c r="A37" t="s">
        <v>2915</v>
      </c>
      <c r="B37" t="s">
        <v>707</v>
      </c>
      <c r="C37" t="s">
        <v>2826</v>
      </c>
      <c r="D37" t="s">
        <v>2884</v>
      </c>
      <c r="E37">
        <v>0</v>
      </c>
      <c r="F37">
        <v>0</v>
      </c>
      <c r="G37">
        <v>0</v>
      </c>
      <c r="H37">
        <f t="shared" si="0"/>
        <v>0</v>
      </c>
      <c r="I37">
        <v>1</v>
      </c>
      <c r="J37">
        <v>0</v>
      </c>
      <c r="K37">
        <v>0</v>
      </c>
      <c r="L37">
        <f t="shared" si="1"/>
        <v>1</v>
      </c>
    </row>
    <row r="38" spans="1:12">
      <c r="A38" t="s">
        <v>2915</v>
      </c>
      <c r="B38" t="s">
        <v>707</v>
      </c>
      <c r="C38" t="s">
        <v>2826</v>
      </c>
      <c r="D38" t="s">
        <v>2885</v>
      </c>
      <c r="E38">
        <v>0</v>
      </c>
      <c r="F38">
        <v>0</v>
      </c>
      <c r="G38">
        <v>0</v>
      </c>
      <c r="H38">
        <f t="shared" si="0"/>
        <v>0</v>
      </c>
      <c r="I38">
        <v>1</v>
      </c>
      <c r="J38">
        <v>0</v>
      </c>
      <c r="K38">
        <v>0</v>
      </c>
      <c r="L38">
        <f t="shared" si="1"/>
        <v>1</v>
      </c>
    </row>
    <row r="39" spans="1:12">
      <c r="A39" t="s">
        <v>2915</v>
      </c>
      <c r="B39" t="s">
        <v>707</v>
      </c>
      <c r="C39" t="s">
        <v>2826</v>
      </c>
      <c r="D39" t="s">
        <v>2832</v>
      </c>
      <c r="E39">
        <v>0</v>
      </c>
      <c r="F39">
        <v>0</v>
      </c>
      <c r="G39">
        <v>0</v>
      </c>
      <c r="H39">
        <f t="shared" si="0"/>
        <v>0</v>
      </c>
      <c r="I39">
        <v>1</v>
      </c>
      <c r="J39">
        <v>0</v>
      </c>
      <c r="K39">
        <v>0</v>
      </c>
      <c r="L39">
        <f t="shared" si="1"/>
        <v>1</v>
      </c>
    </row>
    <row r="40" spans="1:12">
      <c r="A40" t="s">
        <v>2915</v>
      </c>
      <c r="B40" t="s">
        <v>707</v>
      </c>
      <c r="C40" t="s">
        <v>2826</v>
      </c>
      <c r="D40" t="s">
        <v>2834</v>
      </c>
      <c r="E40">
        <v>0</v>
      </c>
      <c r="F40">
        <v>0</v>
      </c>
      <c r="G40">
        <v>0</v>
      </c>
      <c r="H40">
        <f t="shared" si="0"/>
        <v>0</v>
      </c>
      <c r="I40">
        <v>2</v>
      </c>
      <c r="J40">
        <v>0</v>
      </c>
      <c r="K40">
        <v>0</v>
      </c>
      <c r="L40">
        <f t="shared" si="1"/>
        <v>2</v>
      </c>
    </row>
    <row r="41" spans="1:12">
      <c r="A41" t="s">
        <v>2915</v>
      </c>
      <c r="B41" t="s">
        <v>707</v>
      </c>
      <c r="C41" t="s">
        <v>2826</v>
      </c>
      <c r="D41" t="s">
        <v>2916</v>
      </c>
      <c r="E41">
        <v>0</v>
      </c>
      <c r="F41">
        <v>0</v>
      </c>
      <c r="G41">
        <v>0</v>
      </c>
      <c r="H41">
        <f t="shared" si="0"/>
        <v>0</v>
      </c>
      <c r="I41">
        <v>0</v>
      </c>
      <c r="J41">
        <v>1</v>
      </c>
      <c r="K41">
        <v>0</v>
      </c>
      <c r="L41">
        <f t="shared" si="1"/>
        <v>1</v>
      </c>
    </row>
    <row r="42" spans="1:12">
      <c r="A42" t="s">
        <v>2915</v>
      </c>
      <c r="B42" t="s">
        <v>707</v>
      </c>
      <c r="C42" t="s">
        <v>2826</v>
      </c>
      <c r="D42" t="s">
        <v>2917</v>
      </c>
      <c r="E42">
        <v>0</v>
      </c>
      <c r="F42">
        <v>0</v>
      </c>
      <c r="G42">
        <v>0</v>
      </c>
      <c r="H42">
        <f t="shared" si="0"/>
        <v>0</v>
      </c>
      <c r="I42">
        <v>1</v>
      </c>
      <c r="J42">
        <v>0</v>
      </c>
      <c r="K42">
        <v>0</v>
      </c>
      <c r="L42">
        <f t="shared" si="1"/>
        <v>1</v>
      </c>
    </row>
    <row r="43" spans="1:12">
      <c r="A43" t="s">
        <v>2915</v>
      </c>
      <c r="B43" t="s">
        <v>707</v>
      </c>
      <c r="C43" t="s">
        <v>2820</v>
      </c>
      <c r="D43" t="s">
        <v>2821</v>
      </c>
      <c r="E43">
        <v>0</v>
      </c>
      <c r="F43">
        <v>0</v>
      </c>
      <c r="G43">
        <v>0</v>
      </c>
      <c r="H43">
        <f t="shared" si="0"/>
        <v>0</v>
      </c>
      <c r="I43">
        <v>2</v>
      </c>
      <c r="J43">
        <v>0</v>
      </c>
      <c r="K43">
        <v>0</v>
      </c>
      <c r="L43">
        <f t="shared" si="1"/>
        <v>2</v>
      </c>
    </row>
    <row r="44" spans="1:12">
      <c r="A44" t="s">
        <v>2946</v>
      </c>
      <c r="B44" t="s">
        <v>716</v>
      </c>
      <c r="C44" t="s">
        <v>2805</v>
      </c>
      <c r="D44" t="s">
        <v>2806</v>
      </c>
      <c r="E44">
        <v>23</v>
      </c>
      <c r="F44">
        <v>0</v>
      </c>
      <c r="G44">
        <v>0</v>
      </c>
      <c r="H44">
        <f t="shared" si="0"/>
        <v>23</v>
      </c>
      <c r="I44">
        <v>0</v>
      </c>
      <c r="J44">
        <v>0</v>
      </c>
      <c r="K44">
        <v>0</v>
      </c>
      <c r="L44">
        <f t="shared" si="1"/>
        <v>0</v>
      </c>
    </row>
    <row r="45" spans="1:12">
      <c r="A45" t="s">
        <v>2946</v>
      </c>
      <c r="B45" t="s">
        <v>716</v>
      </c>
      <c r="C45" t="s">
        <v>2805</v>
      </c>
      <c r="D45" t="s">
        <v>2807</v>
      </c>
      <c r="E45">
        <v>1</v>
      </c>
      <c r="F45">
        <v>0</v>
      </c>
      <c r="G45">
        <v>0</v>
      </c>
      <c r="H45">
        <f t="shared" si="0"/>
        <v>1</v>
      </c>
      <c r="I45">
        <v>0</v>
      </c>
      <c r="J45">
        <v>0</v>
      </c>
      <c r="K45">
        <v>0</v>
      </c>
      <c r="L45">
        <f t="shared" si="1"/>
        <v>0</v>
      </c>
    </row>
    <row r="46" spans="1:12">
      <c r="A46" t="s">
        <v>2946</v>
      </c>
      <c r="B46" t="s">
        <v>716</v>
      </c>
      <c r="C46" t="s">
        <v>2810</v>
      </c>
      <c r="D46" t="s">
        <v>2811</v>
      </c>
      <c r="E46">
        <v>4</v>
      </c>
      <c r="F46">
        <v>0</v>
      </c>
      <c r="G46">
        <v>0</v>
      </c>
      <c r="H46">
        <f t="shared" si="0"/>
        <v>4</v>
      </c>
      <c r="I46">
        <v>0</v>
      </c>
      <c r="J46">
        <v>0</v>
      </c>
      <c r="K46">
        <v>0</v>
      </c>
      <c r="L46">
        <f t="shared" si="1"/>
        <v>0</v>
      </c>
    </row>
    <row r="47" spans="1:12">
      <c r="A47" t="s">
        <v>2946</v>
      </c>
      <c r="B47" t="s">
        <v>716</v>
      </c>
      <c r="C47" t="s">
        <v>2810</v>
      </c>
      <c r="D47" t="s">
        <v>2812</v>
      </c>
      <c r="E47">
        <v>64</v>
      </c>
      <c r="F47">
        <v>0</v>
      </c>
      <c r="G47">
        <v>0</v>
      </c>
      <c r="H47">
        <f t="shared" si="0"/>
        <v>64</v>
      </c>
      <c r="I47">
        <v>0</v>
      </c>
      <c r="J47">
        <v>0</v>
      </c>
      <c r="K47">
        <v>0</v>
      </c>
      <c r="L47">
        <f t="shared" si="1"/>
        <v>0</v>
      </c>
    </row>
    <row r="48" spans="1:12">
      <c r="A48" t="s">
        <v>2946</v>
      </c>
      <c r="B48" t="s">
        <v>716</v>
      </c>
      <c r="C48" t="s">
        <v>2810</v>
      </c>
      <c r="D48" t="s">
        <v>2813</v>
      </c>
      <c r="E48">
        <v>3</v>
      </c>
      <c r="F48">
        <v>0</v>
      </c>
      <c r="G48">
        <v>0</v>
      </c>
      <c r="H48">
        <f t="shared" si="0"/>
        <v>3</v>
      </c>
      <c r="I48">
        <v>0</v>
      </c>
      <c r="J48">
        <v>0</v>
      </c>
      <c r="K48">
        <v>0</v>
      </c>
      <c r="L48">
        <f t="shared" si="1"/>
        <v>0</v>
      </c>
    </row>
    <row r="49" spans="1:12">
      <c r="A49" t="s">
        <v>2946</v>
      </c>
      <c r="B49" t="s">
        <v>716</v>
      </c>
      <c r="C49" t="s">
        <v>2810</v>
      </c>
      <c r="D49" t="s">
        <v>2847</v>
      </c>
      <c r="E49">
        <v>58</v>
      </c>
      <c r="F49">
        <v>0</v>
      </c>
      <c r="G49">
        <v>0</v>
      </c>
      <c r="H49">
        <f t="shared" si="0"/>
        <v>58</v>
      </c>
      <c r="I49">
        <v>0</v>
      </c>
      <c r="J49">
        <v>0</v>
      </c>
      <c r="K49">
        <v>0</v>
      </c>
      <c r="L49">
        <f t="shared" si="1"/>
        <v>0</v>
      </c>
    </row>
    <row r="50" spans="1:12">
      <c r="A50" t="s">
        <v>2957</v>
      </c>
      <c r="B50" t="s">
        <v>2958</v>
      </c>
      <c r="C50" t="s">
        <v>2805</v>
      </c>
      <c r="D50" t="s">
        <v>2806</v>
      </c>
      <c r="E50">
        <v>61</v>
      </c>
      <c r="F50">
        <v>0</v>
      </c>
      <c r="G50">
        <v>0</v>
      </c>
      <c r="H50">
        <f t="shared" si="0"/>
        <v>61</v>
      </c>
      <c r="I50">
        <v>0</v>
      </c>
      <c r="J50">
        <v>0</v>
      </c>
      <c r="K50">
        <v>0</v>
      </c>
      <c r="L50">
        <f t="shared" si="1"/>
        <v>0</v>
      </c>
    </row>
    <row r="51" spans="1:12">
      <c r="A51" t="s">
        <v>2957</v>
      </c>
      <c r="B51" t="s">
        <v>2958</v>
      </c>
      <c r="C51" t="s">
        <v>2805</v>
      </c>
      <c r="D51" t="s">
        <v>449</v>
      </c>
      <c r="E51">
        <v>113</v>
      </c>
      <c r="F51">
        <v>0</v>
      </c>
      <c r="G51">
        <v>0</v>
      </c>
      <c r="H51">
        <f t="shared" si="0"/>
        <v>113</v>
      </c>
      <c r="I51">
        <v>11</v>
      </c>
      <c r="J51">
        <v>0</v>
      </c>
      <c r="K51">
        <v>0</v>
      </c>
      <c r="L51">
        <f t="shared" si="1"/>
        <v>11</v>
      </c>
    </row>
    <row r="52" spans="1:12">
      <c r="A52" t="s">
        <v>2957</v>
      </c>
      <c r="B52" t="s">
        <v>2958</v>
      </c>
      <c r="C52" t="s">
        <v>2805</v>
      </c>
      <c r="D52" t="s">
        <v>2807</v>
      </c>
      <c r="E52">
        <v>2</v>
      </c>
      <c r="F52">
        <v>0</v>
      </c>
      <c r="G52">
        <v>0</v>
      </c>
      <c r="H52">
        <f t="shared" si="0"/>
        <v>2</v>
      </c>
      <c r="I52">
        <v>0</v>
      </c>
      <c r="J52">
        <v>0</v>
      </c>
      <c r="K52">
        <v>0</v>
      </c>
      <c r="L52">
        <f t="shared" si="1"/>
        <v>0</v>
      </c>
    </row>
    <row r="53" spans="1:12">
      <c r="A53" t="s">
        <v>2957</v>
      </c>
      <c r="B53" t="s">
        <v>2958</v>
      </c>
      <c r="C53" t="s">
        <v>2805</v>
      </c>
      <c r="D53" t="s">
        <v>2809</v>
      </c>
      <c r="E53">
        <v>16</v>
      </c>
      <c r="F53">
        <v>0</v>
      </c>
      <c r="G53">
        <v>0</v>
      </c>
      <c r="H53">
        <f t="shared" si="0"/>
        <v>16</v>
      </c>
      <c r="I53">
        <v>11</v>
      </c>
      <c r="J53">
        <v>0</v>
      </c>
      <c r="K53">
        <v>0</v>
      </c>
      <c r="L53">
        <f t="shared" si="1"/>
        <v>11</v>
      </c>
    </row>
    <row r="54" spans="1:12">
      <c r="A54" t="s">
        <v>2957</v>
      </c>
      <c r="B54" t="s">
        <v>2958</v>
      </c>
      <c r="C54" t="s">
        <v>2810</v>
      </c>
      <c r="D54" t="s">
        <v>2811</v>
      </c>
      <c r="E54">
        <v>15</v>
      </c>
      <c r="F54">
        <v>0</v>
      </c>
      <c r="G54">
        <v>0</v>
      </c>
      <c r="H54">
        <f t="shared" si="0"/>
        <v>15</v>
      </c>
      <c r="I54">
        <v>1</v>
      </c>
      <c r="J54">
        <v>0</v>
      </c>
      <c r="K54">
        <v>0</v>
      </c>
      <c r="L54">
        <f t="shared" si="1"/>
        <v>1</v>
      </c>
    </row>
    <row r="55" spans="1:12">
      <c r="A55" t="s">
        <v>2957</v>
      </c>
      <c r="B55" t="s">
        <v>2958</v>
      </c>
      <c r="C55" t="s">
        <v>2810</v>
      </c>
      <c r="D55" t="s">
        <v>2823</v>
      </c>
      <c r="E55">
        <v>8</v>
      </c>
      <c r="F55">
        <v>11</v>
      </c>
      <c r="G55">
        <v>0</v>
      </c>
      <c r="H55">
        <f t="shared" si="0"/>
        <v>19</v>
      </c>
      <c r="I55">
        <v>0</v>
      </c>
      <c r="J55">
        <v>16</v>
      </c>
      <c r="K55">
        <v>0</v>
      </c>
      <c r="L55">
        <f t="shared" si="1"/>
        <v>16</v>
      </c>
    </row>
    <row r="56" spans="1:12">
      <c r="A56" t="s">
        <v>2957</v>
      </c>
      <c r="B56" t="s">
        <v>2958</v>
      </c>
      <c r="C56" t="s">
        <v>2810</v>
      </c>
      <c r="D56" t="s">
        <v>2812</v>
      </c>
      <c r="E56">
        <v>4</v>
      </c>
      <c r="F56">
        <v>0</v>
      </c>
      <c r="G56">
        <v>0</v>
      </c>
      <c r="H56">
        <f t="shared" si="0"/>
        <v>4</v>
      </c>
      <c r="I56">
        <v>0</v>
      </c>
      <c r="J56">
        <v>0</v>
      </c>
      <c r="K56">
        <v>0</v>
      </c>
      <c r="L56">
        <f t="shared" si="1"/>
        <v>0</v>
      </c>
    </row>
    <row r="57" spans="1:12">
      <c r="A57" t="s">
        <v>2957</v>
      </c>
      <c r="B57" t="s">
        <v>2958</v>
      </c>
      <c r="C57" t="s">
        <v>2810</v>
      </c>
      <c r="D57" t="s">
        <v>2813</v>
      </c>
      <c r="E57">
        <v>7</v>
      </c>
      <c r="F57">
        <v>0</v>
      </c>
      <c r="G57">
        <v>0</v>
      </c>
      <c r="H57">
        <f t="shared" si="0"/>
        <v>7</v>
      </c>
      <c r="I57">
        <v>0</v>
      </c>
      <c r="J57">
        <v>0</v>
      </c>
      <c r="K57">
        <v>0</v>
      </c>
      <c r="L57">
        <f t="shared" si="1"/>
        <v>0</v>
      </c>
    </row>
    <row r="58" spans="1:12">
      <c r="A58" t="s">
        <v>2957</v>
      </c>
      <c r="B58" t="s">
        <v>2958</v>
      </c>
      <c r="C58" t="s">
        <v>2816</v>
      </c>
      <c r="D58" t="s">
        <v>1897</v>
      </c>
      <c r="E58">
        <v>23</v>
      </c>
      <c r="F58">
        <v>0</v>
      </c>
      <c r="G58">
        <v>0</v>
      </c>
      <c r="H58">
        <f t="shared" si="0"/>
        <v>23</v>
      </c>
      <c r="I58">
        <v>0</v>
      </c>
      <c r="J58">
        <v>0</v>
      </c>
      <c r="K58">
        <v>0</v>
      </c>
      <c r="L58">
        <f t="shared" si="1"/>
        <v>0</v>
      </c>
    </row>
    <row r="59" spans="1:12">
      <c r="A59" t="s">
        <v>2957</v>
      </c>
      <c r="B59" t="s">
        <v>2958</v>
      </c>
      <c r="C59" t="s">
        <v>2817</v>
      </c>
      <c r="D59" t="s">
        <v>2818</v>
      </c>
      <c r="E59">
        <v>6</v>
      </c>
      <c r="F59">
        <v>0</v>
      </c>
      <c r="G59">
        <v>0</v>
      </c>
      <c r="H59">
        <f t="shared" si="0"/>
        <v>6</v>
      </c>
      <c r="I59">
        <v>0</v>
      </c>
      <c r="J59">
        <v>0</v>
      </c>
      <c r="K59">
        <v>0</v>
      </c>
      <c r="L59">
        <f t="shared" si="1"/>
        <v>0</v>
      </c>
    </row>
    <row r="60" spans="1:12">
      <c r="A60" t="s">
        <v>2957</v>
      </c>
      <c r="B60" t="s">
        <v>2958</v>
      </c>
      <c r="C60" t="s">
        <v>2817</v>
      </c>
      <c r="D60" t="s">
        <v>2909</v>
      </c>
      <c r="E60">
        <v>2</v>
      </c>
      <c r="F60">
        <v>0</v>
      </c>
      <c r="G60">
        <v>0</v>
      </c>
      <c r="H60">
        <f t="shared" si="0"/>
        <v>2</v>
      </c>
      <c r="I60">
        <v>0</v>
      </c>
      <c r="J60">
        <v>0</v>
      </c>
      <c r="K60">
        <v>0</v>
      </c>
      <c r="L60">
        <f t="shared" si="1"/>
        <v>0</v>
      </c>
    </row>
    <row r="61" spans="1:12">
      <c r="A61" t="s">
        <v>2976</v>
      </c>
      <c r="B61" t="s">
        <v>334</v>
      </c>
      <c r="C61" t="s">
        <v>2810</v>
      </c>
      <c r="D61" t="s">
        <v>2812</v>
      </c>
      <c r="E61">
        <v>0</v>
      </c>
      <c r="F61">
        <v>0</v>
      </c>
      <c r="G61">
        <v>0</v>
      </c>
      <c r="H61">
        <f t="shared" si="0"/>
        <v>0</v>
      </c>
      <c r="I61">
        <v>1</v>
      </c>
      <c r="J61">
        <v>0</v>
      </c>
      <c r="K61">
        <v>0</v>
      </c>
      <c r="L61">
        <f t="shared" si="1"/>
        <v>1</v>
      </c>
    </row>
    <row r="62" spans="1:12">
      <c r="A62" t="s">
        <v>2976</v>
      </c>
      <c r="B62" t="s">
        <v>334</v>
      </c>
      <c r="C62" t="s">
        <v>2826</v>
      </c>
      <c r="D62" t="s">
        <v>2871</v>
      </c>
      <c r="E62">
        <v>0</v>
      </c>
      <c r="F62">
        <v>0</v>
      </c>
      <c r="G62">
        <v>0</v>
      </c>
      <c r="H62">
        <f t="shared" si="0"/>
        <v>0</v>
      </c>
      <c r="I62">
        <v>0</v>
      </c>
      <c r="J62">
        <v>1</v>
      </c>
      <c r="K62">
        <v>0</v>
      </c>
      <c r="L62">
        <f t="shared" si="1"/>
        <v>1</v>
      </c>
    </row>
    <row r="63" spans="1:12">
      <c r="A63" t="s">
        <v>2976</v>
      </c>
      <c r="B63" t="s">
        <v>334</v>
      </c>
      <c r="C63" t="s">
        <v>2826</v>
      </c>
      <c r="D63" t="s">
        <v>2905</v>
      </c>
      <c r="E63">
        <v>0</v>
      </c>
      <c r="F63">
        <v>0</v>
      </c>
      <c r="G63">
        <v>0</v>
      </c>
      <c r="H63">
        <f t="shared" si="0"/>
        <v>0</v>
      </c>
      <c r="I63">
        <v>1</v>
      </c>
      <c r="J63">
        <v>0</v>
      </c>
      <c r="K63">
        <v>0</v>
      </c>
      <c r="L63">
        <f t="shared" si="1"/>
        <v>1</v>
      </c>
    </row>
    <row r="64" spans="1:12">
      <c r="A64" t="s">
        <v>2976</v>
      </c>
      <c r="B64" t="s">
        <v>334</v>
      </c>
      <c r="C64" t="s">
        <v>2826</v>
      </c>
      <c r="D64" t="s">
        <v>2827</v>
      </c>
      <c r="E64">
        <v>0</v>
      </c>
      <c r="F64">
        <v>0</v>
      </c>
      <c r="G64">
        <v>0</v>
      </c>
      <c r="H64">
        <f t="shared" si="0"/>
        <v>0</v>
      </c>
      <c r="I64">
        <v>2</v>
      </c>
      <c r="J64">
        <v>2</v>
      </c>
      <c r="K64">
        <v>0</v>
      </c>
      <c r="L64">
        <f t="shared" si="1"/>
        <v>4</v>
      </c>
    </row>
    <row r="65" spans="1:12">
      <c r="A65" t="s">
        <v>2976</v>
      </c>
      <c r="B65" t="s">
        <v>334</v>
      </c>
      <c r="C65" t="s">
        <v>2826</v>
      </c>
      <c r="D65" t="s">
        <v>2829</v>
      </c>
      <c r="E65">
        <v>0</v>
      </c>
      <c r="F65">
        <v>0</v>
      </c>
      <c r="G65">
        <v>0</v>
      </c>
      <c r="H65">
        <f t="shared" si="0"/>
        <v>0</v>
      </c>
      <c r="I65">
        <v>0</v>
      </c>
      <c r="J65">
        <v>2</v>
      </c>
      <c r="K65">
        <v>0</v>
      </c>
      <c r="L65">
        <f t="shared" si="1"/>
        <v>2</v>
      </c>
    </row>
    <row r="66" spans="1:12">
      <c r="A66" t="s">
        <v>2976</v>
      </c>
      <c r="B66" t="s">
        <v>334</v>
      </c>
      <c r="C66" t="s">
        <v>2826</v>
      </c>
      <c r="D66" t="s">
        <v>2891</v>
      </c>
      <c r="E66">
        <v>0</v>
      </c>
      <c r="F66">
        <v>0</v>
      </c>
      <c r="G66">
        <v>0</v>
      </c>
      <c r="H66">
        <f t="shared" si="0"/>
        <v>0</v>
      </c>
      <c r="I66">
        <v>0</v>
      </c>
      <c r="J66">
        <v>1</v>
      </c>
      <c r="K66">
        <v>0</v>
      </c>
      <c r="L66">
        <f t="shared" si="1"/>
        <v>1</v>
      </c>
    </row>
    <row r="67" spans="1:12">
      <c r="A67" t="s">
        <v>2976</v>
      </c>
      <c r="B67" t="s">
        <v>334</v>
      </c>
      <c r="C67" t="s">
        <v>2826</v>
      </c>
      <c r="D67" t="s">
        <v>2843</v>
      </c>
      <c r="E67">
        <v>0</v>
      </c>
      <c r="F67">
        <v>0</v>
      </c>
      <c r="G67">
        <v>0</v>
      </c>
      <c r="H67">
        <f t="shared" si="0"/>
        <v>0</v>
      </c>
      <c r="I67">
        <v>3</v>
      </c>
      <c r="J67">
        <v>0</v>
      </c>
      <c r="K67">
        <v>0</v>
      </c>
      <c r="L67">
        <f t="shared" si="1"/>
        <v>3</v>
      </c>
    </row>
    <row r="68" spans="1:12">
      <c r="A68" t="s">
        <v>2976</v>
      </c>
      <c r="B68" t="s">
        <v>334</v>
      </c>
      <c r="C68" t="s">
        <v>2826</v>
      </c>
      <c r="D68" t="s">
        <v>2975</v>
      </c>
      <c r="E68">
        <v>0</v>
      </c>
      <c r="F68">
        <v>0</v>
      </c>
      <c r="G68">
        <v>0</v>
      </c>
      <c r="H68">
        <f t="shared" ref="H68:H131" si="2">SUM(E68:G68)</f>
        <v>0</v>
      </c>
      <c r="I68">
        <v>1</v>
      </c>
      <c r="J68">
        <v>0</v>
      </c>
      <c r="K68">
        <v>0</v>
      </c>
      <c r="L68">
        <f t="shared" ref="L68:L131" si="3">SUM(I68:K68)</f>
        <v>1</v>
      </c>
    </row>
    <row r="69" spans="1:12">
      <c r="A69" t="s">
        <v>2976</v>
      </c>
      <c r="B69" t="s">
        <v>334</v>
      </c>
      <c r="C69" t="s">
        <v>2826</v>
      </c>
      <c r="D69" t="s">
        <v>2885</v>
      </c>
      <c r="E69">
        <v>0</v>
      </c>
      <c r="F69">
        <v>0</v>
      </c>
      <c r="G69">
        <v>0</v>
      </c>
      <c r="H69">
        <f t="shared" si="2"/>
        <v>0</v>
      </c>
      <c r="I69">
        <v>1</v>
      </c>
      <c r="J69">
        <v>0</v>
      </c>
      <c r="K69">
        <v>0</v>
      </c>
      <c r="L69">
        <f t="shared" si="3"/>
        <v>1</v>
      </c>
    </row>
    <row r="70" spans="1:12">
      <c r="A70" t="s">
        <v>2976</v>
      </c>
      <c r="B70" t="s">
        <v>334</v>
      </c>
      <c r="C70" t="s">
        <v>2826</v>
      </c>
      <c r="D70" t="s">
        <v>2832</v>
      </c>
      <c r="E70">
        <v>0</v>
      </c>
      <c r="F70">
        <v>0</v>
      </c>
      <c r="G70">
        <v>0</v>
      </c>
      <c r="H70">
        <f t="shared" si="2"/>
        <v>0</v>
      </c>
      <c r="I70">
        <v>0</v>
      </c>
      <c r="J70">
        <v>1</v>
      </c>
      <c r="K70">
        <v>0</v>
      </c>
      <c r="L70">
        <f t="shared" si="3"/>
        <v>1</v>
      </c>
    </row>
    <row r="71" spans="1:12">
      <c r="A71" t="s">
        <v>2976</v>
      </c>
      <c r="B71" t="s">
        <v>334</v>
      </c>
      <c r="C71" t="s">
        <v>2826</v>
      </c>
      <c r="D71" t="s">
        <v>2833</v>
      </c>
      <c r="E71">
        <v>0</v>
      </c>
      <c r="F71">
        <v>0</v>
      </c>
      <c r="G71">
        <v>0</v>
      </c>
      <c r="H71">
        <f t="shared" si="2"/>
        <v>0</v>
      </c>
      <c r="I71">
        <v>1</v>
      </c>
      <c r="J71">
        <v>1</v>
      </c>
      <c r="K71">
        <v>0</v>
      </c>
      <c r="L71">
        <f t="shared" si="3"/>
        <v>2</v>
      </c>
    </row>
    <row r="72" spans="1:12">
      <c r="A72" t="s">
        <v>2976</v>
      </c>
      <c r="B72" t="s">
        <v>334</v>
      </c>
      <c r="C72" t="s">
        <v>2826</v>
      </c>
      <c r="D72" t="s">
        <v>2834</v>
      </c>
      <c r="E72">
        <v>0</v>
      </c>
      <c r="F72">
        <v>0</v>
      </c>
      <c r="G72">
        <v>0</v>
      </c>
      <c r="H72">
        <f t="shared" si="2"/>
        <v>0</v>
      </c>
      <c r="I72">
        <v>0</v>
      </c>
      <c r="J72">
        <v>1</v>
      </c>
      <c r="K72">
        <v>0</v>
      </c>
      <c r="L72">
        <f t="shared" si="3"/>
        <v>1</v>
      </c>
    </row>
    <row r="73" spans="1:12">
      <c r="A73" t="s">
        <v>2976</v>
      </c>
      <c r="B73" t="s">
        <v>334</v>
      </c>
      <c r="C73" t="s">
        <v>2826</v>
      </c>
      <c r="D73" t="s">
        <v>2844</v>
      </c>
      <c r="E73">
        <v>0</v>
      </c>
      <c r="F73">
        <v>0</v>
      </c>
      <c r="G73">
        <v>0</v>
      </c>
      <c r="H73">
        <f t="shared" si="2"/>
        <v>0</v>
      </c>
      <c r="I73">
        <v>0</v>
      </c>
      <c r="J73">
        <v>1</v>
      </c>
      <c r="K73">
        <v>0</v>
      </c>
      <c r="L73">
        <f t="shared" si="3"/>
        <v>1</v>
      </c>
    </row>
    <row r="74" spans="1:12">
      <c r="A74" t="s">
        <v>2976</v>
      </c>
      <c r="B74" t="s">
        <v>334</v>
      </c>
      <c r="C74" t="s">
        <v>2826</v>
      </c>
      <c r="D74" t="s">
        <v>2835</v>
      </c>
      <c r="E74">
        <v>0</v>
      </c>
      <c r="F74">
        <v>0</v>
      </c>
      <c r="G74">
        <v>0</v>
      </c>
      <c r="H74">
        <f t="shared" si="2"/>
        <v>0</v>
      </c>
      <c r="I74">
        <v>1</v>
      </c>
      <c r="J74">
        <v>1</v>
      </c>
      <c r="K74">
        <v>0</v>
      </c>
      <c r="L74">
        <f t="shared" si="3"/>
        <v>2</v>
      </c>
    </row>
    <row r="75" spans="1:12">
      <c r="A75" t="s">
        <v>2976</v>
      </c>
      <c r="B75" t="s">
        <v>334</v>
      </c>
      <c r="C75" t="s">
        <v>2826</v>
      </c>
      <c r="D75" t="s">
        <v>2917</v>
      </c>
      <c r="E75">
        <v>0</v>
      </c>
      <c r="F75">
        <v>0</v>
      </c>
      <c r="G75">
        <v>0</v>
      </c>
      <c r="H75">
        <f t="shared" si="2"/>
        <v>0</v>
      </c>
      <c r="I75">
        <v>0</v>
      </c>
      <c r="J75">
        <v>2</v>
      </c>
      <c r="K75">
        <v>0</v>
      </c>
      <c r="L75">
        <f t="shared" si="3"/>
        <v>2</v>
      </c>
    </row>
    <row r="76" spans="1:12">
      <c r="A76" t="s">
        <v>2976</v>
      </c>
      <c r="B76" t="s">
        <v>334</v>
      </c>
      <c r="C76" t="s">
        <v>2826</v>
      </c>
      <c r="D76" t="s">
        <v>2849</v>
      </c>
      <c r="E76">
        <v>0</v>
      </c>
      <c r="F76">
        <v>0</v>
      </c>
      <c r="G76">
        <v>0</v>
      </c>
      <c r="H76">
        <f t="shared" si="2"/>
        <v>0</v>
      </c>
      <c r="I76">
        <v>1</v>
      </c>
      <c r="J76">
        <v>0</v>
      </c>
      <c r="K76">
        <v>0</v>
      </c>
      <c r="L76">
        <f t="shared" si="3"/>
        <v>1</v>
      </c>
    </row>
    <row r="77" spans="1:12">
      <c r="A77" t="s">
        <v>2976</v>
      </c>
      <c r="B77" t="s">
        <v>334</v>
      </c>
      <c r="C77" t="s">
        <v>2817</v>
      </c>
      <c r="D77" t="s">
        <v>2887</v>
      </c>
      <c r="E77">
        <v>0</v>
      </c>
      <c r="F77">
        <v>0</v>
      </c>
      <c r="G77">
        <v>0</v>
      </c>
      <c r="H77">
        <f t="shared" si="2"/>
        <v>0</v>
      </c>
      <c r="I77">
        <v>1</v>
      </c>
      <c r="J77">
        <v>0</v>
      </c>
      <c r="K77">
        <v>0</v>
      </c>
      <c r="L77">
        <f t="shared" si="3"/>
        <v>1</v>
      </c>
    </row>
    <row r="78" spans="1:12">
      <c r="A78" t="s">
        <v>2976</v>
      </c>
      <c r="B78" t="s">
        <v>334</v>
      </c>
      <c r="C78" t="s">
        <v>2820</v>
      </c>
      <c r="D78" t="s">
        <v>2952</v>
      </c>
      <c r="E78">
        <v>0</v>
      </c>
      <c r="F78">
        <v>0</v>
      </c>
      <c r="G78">
        <v>0</v>
      </c>
      <c r="H78">
        <f t="shared" si="2"/>
        <v>0</v>
      </c>
      <c r="I78">
        <v>2</v>
      </c>
      <c r="J78">
        <v>0</v>
      </c>
      <c r="K78">
        <v>0</v>
      </c>
      <c r="L78">
        <f t="shared" si="3"/>
        <v>2</v>
      </c>
    </row>
    <row r="79" spans="1:12">
      <c r="A79" t="s">
        <v>2976</v>
      </c>
      <c r="B79" t="s">
        <v>334</v>
      </c>
      <c r="C79" t="s">
        <v>2820</v>
      </c>
      <c r="D79" t="s">
        <v>2821</v>
      </c>
      <c r="E79">
        <v>0</v>
      </c>
      <c r="F79">
        <v>0</v>
      </c>
      <c r="G79">
        <v>0</v>
      </c>
      <c r="H79">
        <f t="shared" si="2"/>
        <v>0</v>
      </c>
      <c r="I79">
        <v>0</v>
      </c>
      <c r="J79">
        <v>1</v>
      </c>
      <c r="K79">
        <v>0</v>
      </c>
      <c r="L79">
        <f t="shared" si="3"/>
        <v>1</v>
      </c>
    </row>
    <row r="80" spans="1:12">
      <c r="A80" t="s">
        <v>2976</v>
      </c>
      <c r="B80" t="s">
        <v>334</v>
      </c>
      <c r="C80" t="s">
        <v>2820</v>
      </c>
      <c r="D80" t="s">
        <v>2949</v>
      </c>
      <c r="E80">
        <v>0</v>
      </c>
      <c r="F80">
        <v>0</v>
      </c>
      <c r="G80">
        <v>0</v>
      </c>
      <c r="H80">
        <f t="shared" si="2"/>
        <v>0</v>
      </c>
      <c r="I80">
        <v>1</v>
      </c>
      <c r="J80">
        <v>0</v>
      </c>
      <c r="K80">
        <v>0</v>
      </c>
      <c r="L80">
        <f t="shared" si="3"/>
        <v>1</v>
      </c>
    </row>
    <row r="81" spans="1:12">
      <c r="A81" t="s">
        <v>2977</v>
      </c>
      <c r="B81" t="s">
        <v>742</v>
      </c>
      <c r="C81" t="s">
        <v>2805</v>
      </c>
      <c r="D81" t="s">
        <v>2807</v>
      </c>
      <c r="E81">
        <v>2</v>
      </c>
      <c r="F81">
        <v>0</v>
      </c>
      <c r="G81">
        <v>0</v>
      </c>
      <c r="H81">
        <f t="shared" si="2"/>
        <v>2</v>
      </c>
      <c r="I81">
        <v>0</v>
      </c>
      <c r="J81">
        <v>0</v>
      </c>
      <c r="K81">
        <v>0</v>
      </c>
      <c r="L81">
        <f t="shared" si="3"/>
        <v>0</v>
      </c>
    </row>
    <row r="82" spans="1:12">
      <c r="A82" t="s">
        <v>2977</v>
      </c>
      <c r="B82" t="s">
        <v>742</v>
      </c>
      <c r="C82" t="s">
        <v>2810</v>
      </c>
      <c r="D82" t="s">
        <v>2811</v>
      </c>
      <c r="E82">
        <v>2</v>
      </c>
      <c r="F82">
        <v>0</v>
      </c>
      <c r="G82">
        <v>0</v>
      </c>
      <c r="H82">
        <f t="shared" si="2"/>
        <v>2</v>
      </c>
      <c r="I82">
        <v>0</v>
      </c>
      <c r="J82">
        <v>0</v>
      </c>
      <c r="K82">
        <v>0</v>
      </c>
      <c r="L82">
        <f t="shared" si="3"/>
        <v>0</v>
      </c>
    </row>
    <row r="83" spans="1:12">
      <c r="A83" t="s">
        <v>2977</v>
      </c>
      <c r="B83" t="s">
        <v>742</v>
      </c>
      <c r="C83" t="s">
        <v>2810</v>
      </c>
      <c r="D83" t="s">
        <v>2812</v>
      </c>
      <c r="E83">
        <v>1</v>
      </c>
      <c r="F83">
        <v>0</v>
      </c>
      <c r="G83">
        <v>0</v>
      </c>
      <c r="H83">
        <f t="shared" si="2"/>
        <v>1</v>
      </c>
      <c r="I83">
        <v>0</v>
      </c>
      <c r="J83">
        <v>0</v>
      </c>
      <c r="K83">
        <v>0</v>
      </c>
      <c r="L83">
        <f t="shared" si="3"/>
        <v>0</v>
      </c>
    </row>
    <row r="84" spans="1:12">
      <c r="A84" t="s">
        <v>2977</v>
      </c>
      <c r="B84" t="s">
        <v>742</v>
      </c>
      <c r="C84" t="s">
        <v>2810</v>
      </c>
      <c r="D84" t="s">
        <v>2813</v>
      </c>
      <c r="E84">
        <v>6</v>
      </c>
      <c r="F84">
        <v>0</v>
      </c>
      <c r="G84">
        <v>0</v>
      </c>
      <c r="H84">
        <f t="shared" si="2"/>
        <v>6</v>
      </c>
      <c r="I84">
        <v>0</v>
      </c>
      <c r="J84">
        <v>0</v>
      </c>
      <c r="K84">
        <v>0</v>
      </c>
      <c r="L84">
        <f t="shared" si="3"/>
        <v>0</v>
      </c>
    </row>
    <row r="85" spans="1:12">
      <c r="A85" t="s">
        <v>2977</v>
      </c>
      <c r="B85" t="s">
        <v>742</v>
      </c>
      <c r="C85" t="s">
        <v>2841</v>
      </c>
      <c r="D85" t="s">
        <v>2842</v>
      </c>
      <c r="E85">
        <v>0</v>
      </c>
      <c r="F85">
        <v>0</v>
      </c>
      <c r="G85">
        <v>0</v>
      </c>
      <c r="H85">
        <f t="shared" si="2"/>
        <v>0</v>
      </c>
      <c r="I85">
        <v>1</v>
      </c>
      <c r="J85">
        <v>0</v>
      </c>
      <c r="K85">
        <v>0</v>
      </c>
      <c r="L85">
        <f t="shared" si="3"/>
        <v>1</v>
      </c>
    </row>
    <row r="86" spans="1:12">
      <c r="A86" t="s">
        <v>2977</v>
      </c>
      <c r="B86" t="s">
        <v>742</v>
      </c>
      <c r="C86" t="s">
        <v>2826</v>
      </c>
      <c r="D86" t="s">
        <v>2871</v>
      </c>
      <c r="E86">
        <v>0</v>
      </c>
      <c r="F86">
        <v>0</v>
      </c>
      <c r="G86">
        <v>0</v>
      </c>
      <c r="H86">
        <f t="shared" si="2"/>
        <v>0</v>
      </c>
      <c r="I86">
        <v>1</v>
      </c>
      <c r="J86">
        <v>1</v>
      </c>
      <c r="K86">
        <v>0</v>
      </c>
      <c r="L86">
        <f t="shared" si="3"/>
        <v>2</v>
      </c>
    </row>
    <row r="87" spans="1:12">
      <c r="A87" t="s">
        <v>2977</v>
      </c>
      <c r="B87" t="s">
        <v>742</v>
      </c>
      <c r="C87" t="s">
        <v>2826</v>
      </c>
      <c r="D87" t="s">
        <v>2905</v>
      </c>
      <c r="E87">
        <v>0</v>
      </c>
      <c r="F87">
        <v>0</v>
      </c>
      <c r="G87">
        <v>0</v>
      </c>
      <c r="H87">
        <f t="shared" si="2"/>
        <v>0</v>
      </c>
      <c r="I87">
        <v>2</v>
      </c>
      <c r="J87">
        <v>0</v>
      </c>
      <c r="K87">
        <v>0</v>
      </c>
      <c r="L87">
        <f t="shared" si="3"/>
        <v>2</v>
      </c>
    </row>
    <row r="88" spans="1:12">
      <c r="A88" t="s">
        <v>2977</v>
      </c>
      <c r="B88" t="s">
        <v>742</v>
      </c>
      <c r="C88" t="s">
        <v>2826</v>
      </c>
      <c r="D88" t="s">
        <v>2827</v>
      </c>
      <c r="E88">
        <v>0</v>
      </c>
      <c r="F88">
        <v>0</v>
      </c>
      <c r="G88">
        <v>0</v>
      </c>
      <c r="H88">
        <f t="shared" si="2"/>
        <v>0</v>
      </c>
      <c r="I88">
        <v>3</v>
      </c>
      <c r="J88">
        <v>1</v>
      </c>
      <c r="K88">
        <v>0</v>
      </c>
      <c r="L88">
        <f t="shared" si="3"/>
        <v>4</v>
      </c>
    </row>
    <row r="89" spans="1:12">
      <c r="A89" t="s">
        <v>2977</v>
      </c>
      <c r="B89" t="s">
        <v>742</v>
      </c>
      <c r="C89" t="s">
        <v>2826</v>
      </c>
      <c r="D89" t="s">
        <v>2828</v>
      </c>
      <c r="E89">
        <v>0</v>
      </c>
      <c r="F89">
        <v>0</v>
      </c>
      <c r="G89">
        <v>0</v>
      </c>
      <c r="H89">
        <f t="shared" si="2"/>
        <v>0</v>
      </c>
      <c r="I89">
        <v>1</v>
      </c>
      <c r="J89">
        <v>2</v>
      </c>
      <c r="K89">
        <v>0</v>
      </c>
      <c r="L89">
        <f t="shared" si="3"/>
        <v>3</v>
      </c>
    </row>
    <row r="90" spans="1:12">
      <c r="A90" t="s">
        <v>2977</v>
      </c>
      <c r="B90" t="s">
        <v>742</v>
      </c>
      <c r="C90" t="s">
        <v>2826</v>
      </c>
      <c r="D90" t="s">
        <v>2829</v>
      </c>
      <c r="E90">
        <v>0</v>
      </c>
      <c r="F90">
        <v>0</v>
      </c>
      <c r="G90">
        <v>0</v>
      </c>
      <c r="H90">
        <f t="shared" si="2"/>
        <v>0</v>
      </c>
      <c r="I90">
        <v>0</v>
      </c>
      <c r="J90">
        <v>2</v>
      </c>
      <c r="K90">
        <v>0</v>
      </c>
      <c r="L90">
        <f t="shared" si="3"/>
        <v>2</v>
      </c>
    </row>
    <row r="91" spans="1:12">
      <c r="A91" t="s">
        <v>2977</v>
      </c>
      <c r="B91" t="s">
        <v>742</v>
      </c>
      <c r="C91" t="s">
        <v>2826</v>
      </c>
      <c r="D91" t="s">
        <v>2891</v>
      </c>
      <c r="E91">
        <v>0</v>
      </c>
      <c r="F91">
        <v>0</v>
      </c>
      <c r="G91">
        <v>0</v>
      </c>
      <c r="H91">
        <f t="shared" si="2"/>
        <v>0</v>
      </c>
      <c r="I91">
        <v>1</v>
      </c>
      <c r="J91">
        <v>2</v>
      </c>
      <c r="K91">
        <v>0</v>
      </c>
      <c r="L91">
        <f t="shared" si="3"/>
        <v>3</v>
      </c>
    </row>
    <row r="92" spans="1:12">
      <c r="A92" t="s">
        <v>2977</v>
      </c>
      <c r="B92" t="s">
        <v>742</v>
      </c>
      <c r="C92" t="s">
        <v>2826</v>
      </c>
      <c r="D92" t="s">
        <v>2830</v>
      </c>
      <c r="E92">
        <v>0</v>
      </c>
      <c r="F92">
        <v>0</v>
      </c>
      <c r="G92">
        <v>0</v>
      </c>
      <c r="H92">
        <f t="shared" si="2"/>
        <v>0</v>
      </c>
      <c r="I92">
        <v>1</v>
      </c>
      <c r="J92">
        <v>0</v>
      </c>
      <c r="K92">
        <v>0</v>
      </c>
      <c r="L92">
        <f t="shared" si="3"/>
        <v>1</v>
      </c>
    </row>
    <row r="93" spans="1:12">
      <c r="A93" t="s">
        <v>2977</v>
      </c>
      <c r="B93" t="s">
        <v>742</v>
      </c>
      <c r="C93" t="s">
        <v>2826</v>
      </c>
      <c r="D93" t="s">
        <v>2864</v>
      </c>
      <c r="E93">
        <v>0</v>
      </c>
      <c r="F93">
        <v>0</v>
      </c>
      <c r="G93">
        <v>0</v>
      </c>
      <c r="H93">
        <f t="shared" si="2"/>
        <v>0</v>
      </c>
      <c r="I93">
        <v>0</v>
      </c>
      <c r="J93">
        <v>5</v>
      </c>
      <c r="K93">
        <v>0</v>
      </c>
      <c r="L93">
        <f t="shared" si="3"/>
        <v>5</v>
      </c>
    </row>
    <row r="94" spans="1:12">
      <c r="A94" t="s">
        <v>2977</v>
      </c>
      <c r="B94" t="s">
        <v>742</v>
      </c>
      <c r="C94" t="s">
        <v>2826</v>
      </c>
      <c r="D94" t="s">
        <v>2831</v>
      </c>
      <c r="E94">
        <v>0</v>
      </c>
      <c r="F94">
        <v>0</v>
      </c>
      <c r="G94">
        <v>0</v>
      </c>
      <c r="H94">
        <f t="shared" si="2"/>
        <v>0</v>
      </c>
      <c r="I94">
        <v>1</v>
      </c>
      <c r="J94">
        <v>0</v>
      </c>
      <c r="K94">
        <v>0</v>
      </c>
      <c r="L94">
        <f t="shared" si="3"/>
        <v>1</v>
      </c>
    </row>
    <row r="95" spans="1:12">
      <c r="A95" t="s">
        <v>2977</v>
      </c>
      <c r="B95" t="s">
        <v>742</v>
      </c>
      <c r="C95" t="s">
        <v>2826</v>
      </c>
      <c r="D95" t="s">
        <v>2843</v>
      </c>
      <c r="E95">
        <v>0</v>
      </c>
      <c r="F95">
        <v>0</v>
      </c>
      <c r="G95">
        <v>0</v>
      </c>
      <c r="H95">
        <f t="shared" si="2"/>
        <v>0</v>
      </c>
      <c r="I95">
        <v>4</v>
      </c>
      <c r="J95">
        <v>1</v>
      </c>
      <c r="K95">
        <v>0</v>
      </c>
      <c r="L95">
        <f t="shared" si="3"/>
        <v>5</v>
      </c>
    </row>
    <row r="96" spans="1:12">
      <c r="A96" t="s">
        <v>2977</v>
      </c>
      <c r="B96" t="s">
        <v>742</v>
      </c>
      <c r="C96" t="s">
        <v>2826</v>
      </c>
      <c r="D96" t="s">
        <v>2975</v>
      </c>
      <c r="E96">
        <v>0</v>
      </c>
      <c r="F96">
        <v>0</v>
      </c>
      <c r="G96">
        <v>0</v>
      </c>
      <c r="H96">
        <f t="shared" si="2"/>
        <v>0</v>
      </c>
      <c r="I96">
        <v>4</v>
      </c>
      <c r="J96">
        <v>0</v>
      </c>
      <c r="K96">
        <v>0</v>
      </c>
      <c r="L96">
        <f t="shared" si="3"/>
        <v>4</v>
      </c>
    </row>
    <row r="97" spans="1:12">
      <c r="A97" t="s">
        <v>2977</v>
      </c>
      <c r="B97" t="s">
        <v>742</v>
      </c>
      <c r="C97" t="s">
        <v>2826</v>
      </c>
      <c r="D97" t="s">
        <v>2885</v>
      </c>
      <c r="E97">
        <v>0</v>
      </c>
      <c r="F97">
        <v>0</v>
      </c>
      <c r="G97">
        <v>0</v>
      </c>
      <c r="H97">
        <f t="shared" si="2"/>
        <v>0</v>
      </c>
      <c r="I97">
        <v>1</v>
      </c>
      <c r="J97">
        <v>0</v>
      </c>
      <c r="K97">
        <v>0</v>
      </c>
      <c r="L97">
        <f t="shared" si="3"/>
        <v>1</v>
      </c>
    </row>
    <row r="98" spans="1:12">
      <c r="A98" t="s">
        <v>2977</v>
      </c>
      <c r="B98" t="s">
        <v>742</v>
      </c>
      <c r="C98" t="s">
        <v>2826</v>
      </c>
      <c r="D98" t="s">
        <v>2832</v>
      </c>
      <c r="E98">
        <v>0</v>
      </c>
      <c r="F98">
        <v>0</v>
      </c>
      <c r="G98">
        <v>0</v>
      </c>
      <c r="H98">
        <f t="shared" si="2"/>
        <v>0</v>
      </c>
      <c r="I98">
        <v>1</v>
      </c>
      <c r="J98">
        <v>0</v>
      </c>
      <c r="K98">
        <v>0</v>
      </c>
      <c r="L98">
        <f t="shared" si="3"/>
        <v>1</v>
      </c>
    </row>
    <row r="99" spans="1:12">
      <c r="A99" t="s">
        <v>2977</v>
      </c>
      <c r="B99" t="s">
        <v>742</v>
      </c>
      <c r="C99" t="s">
        <v>2826</v>
      </c>
      <c r="D99" t="s">
        <v>2886</v>
      </c>
      <c r="E99">
        <v>0</v>
      </c>
      <c r="F99">
        <v>0</v>
      </c>
      <c r="G99">
        <v>0</v>
      </c>
      <c r="H99">
        <f t="shared" si="2"/>
        <v>0</v>
      </c>
      <c r="I99">
        <v>1</v>
      </c>
      <c r="J99">
        <v>1</v>
      </c>
      <c r="K99">
        <v>0</v>
      </c>
      <c r="L99">
        <f t="shared" si="3"/>
        <v>2</v>
      </c>
    </row>
    <row r="100" spans="1:12">
      <c r="A100" t="s">
        <v>2977</v>
      </c>
      <c r="B100" t="s">
        <v>742</v>
      </c>
      <c r="C100" t="s">
        <v>2826</v>
      </c>
      <c r="D100" t="s">
        <v>2844</v>
      </c>
      <c r="E100">
        <v>0</v>
      </c>
      <c r="F100">
        <v>0</v>
      </c>
      <c r="G100">
        <v>0</v>
      </c>
      <c r="H100">
        <f t="shared" si="2"/>
        <v>0</v>
      </c>
      <c r="I100">
        <v>0</v>
      </c>
      <c r="J100">
        <v>1</v>
      </c>
      <c r="K100">
        <v>0</v>
      </c>
      <c r="L100">
        <f t="shared" si="3"/>
        <v>1</v>
      </c>
    </row>
    <row r="101" spans="1:12">
      <c r="A101" t="s">
        <v>2977</v>
      </c>
      <c r="B101" t="s">
        <v>742</v>
      </c>
      <c r="C101" t="s">
        <v>2826</v>
      </c>
      <c r="D101" t="s">
        <v>2835</v>
      </c>
      <c r="E101">
        <v>0</v>
      </c>
      <c r="F101">
        <v>0</v>
      </c>
      <c r="G101">
        <v>0</v>
      </c>
      <c r="H101">
        <f t="shared" si="2"/>
        <v>0</v>
      </c>
      <c r="I101">
        <v>2</v>
      </c>
      <c r="J101">
        <v>0</v>
      </c>
      <c r="K101">
        <v>0</v>
      </c>
      <c r="L101">
        <f t="shared" si="3"/>
        <v>2</v>
      </c>
    </row>
    <row r="102" spans="1:12">
      <c r="A102" t="s">
        <v>2977</v>
      </c>
      <c r="B102" t="s">
        <v>742</v>
      </c>
      <c r="C102" t="s">
        <v>2826</v>
      </c>
      <c r="D102" t="s">
        <v>2917</v>
      </c>
      <c r="E102">
        <v>0</v>
      </c>
      <c r="F102">
        <v>0</v>
      </c>
      <c r="G102">
        <v>0</v>
      </c>
      <c r="H102">
        <f t="shared" si="2"/>
        <v>0</v>
      </c>
      <c r="I102">
        <v>2</v>
      </c>
      <c r="J102">
        <v>1</v>
      </c>
      <c r="K102">
        <v>0</v>
      </c>
      <c r="L102">
        <f t="shared" si="3"/>
        <v>3</v>
      </c>
    </row>
    <row r="103" spans="1:12">
      <c r="A103" t="s">
        <v>2977</v>
      </c>
      <c r="B103" t="s">
        <v>742</v>
      </c>
      <c r="C103" t="s">
        <v>2826</v>
      </c>
      <c r="D103" t="s">
        <v>2849</v>
      </c>
      <c r="E103">
        <v>0</v>
      </c>
      <c r="F103">
        <v>0</v>
      </c>
      <c r="G103">
        <v>0</v>
      </c>
      <c r="H103">
        <f t="shared" si="2"/>
        <v>0</v>
      </c>
      <c r="I103">
        <v>0</v>
      </c>
      <c r="J103">
        <v>1</v>
      </c>
      <c r="K103">
        <v>0</v>
      </c>
      <c r="L103">
        <f t="shared" si="3"/>
        <v>1</v>
      </c>
    </row>
    <row r="104" spans="1:12">
      <c r="A104" t="s">
        <v>2977</v>
      </c>
      <c r="B104" t="s">
        <v>742</v>
      </c>
      <c r="C104" t="s">
        <v>2817</v>
      </c>
      <c r="D104" t="s">
        <v>2887</v>
      </c>
      <c r="E104">
        <v>0</v>
      </c>
      <c r="F104">
        <v>0</v>
      </c>
      <c r="G104">
        <v>0</v>
      </c>
      <c r="H104">
        <f t="shared" si="2"/>
        <v>0</v>
      </c>
      <c r="I104">
        <v>0</v>
      </c>
      <c r="J104">
        <v>2</v>
      </c>
      <c r="K104">
        <v>0</v>
      </c>
      <c r="L104">
        <f t="shared" si="3"/>
        <v>2</v>
      </c>
    </row>
    <row r="105" spans="1:12">
      <c r="A105" t="s">
        <v>2977</v>
      </c>
      <c r="B105" t="s">
        <v>742</v>
      </c>
      <c r="C105" t="s">
        <v>2820</v>
      </c>
      <c r="D105" t="s">
        <v>2952</v>
      </c>
      <c r="E105">
        <v>0</v>
      </c>
      <c r="F105">
        <v>0</v>
      </c>
      <c r="G105">
        <v>0</v>
      </c>
      <c r="H105">
        <f t="shared" si="2"/>
        <v>0</v>
      </c>
      <c r="I105">
        <v>2</v>
      </c>
      <c r="J105">
        <v>0</v>
      </c>
      <c r="K105">
        <v>0</v>
      </c>
      <c r="L105">
        <f t="shared" si="3"/>
        <v>2</v>
      </c>
    </row>
    <row r="106" spans="1:12">
      <c r="A106" t="s">
        <v>2977</v>
      </c>
      <c r="B106" t="s">
        <v>742</v>
      </c>
      <c r="C106" t="s">
        <v>2820</v>
      </c>
      <c r="D106" t="s">
        <v>2821</v>
      </c>
      <c r="E106">
        <v>0</v>
      </c>
      <c r="F106">
        <v>0</v>
      </c>
      <c r="G106">
        <v>0</v>
      </c>
      <c r="H106">
        <f t="shared" si="2"/>
        <v>0</v>
      </c>
      <c r="I106">
        <v>0</v>
      </c>
      <c r="J106">
        <v>1</v>
      </c>
      <c r="K106">
        <v>0</v>
      </c>
      <c r="L106">
        <f t="shared" si="3"/>
        <v>1</v>
      </c>
    </row>
    <row r="107" spans="1:12">
      <c r="A107" t="s">
        <v>2978</v>
      </c>
      <c r="B107" t="s">
        <v>751</v>
      </c>
      <c r="C107" t="s">
        <v>2805</v>
      </c>
      <c r="D107" t="s">
        <v>2806</v>
      </c>
      <c r="E107">
        <v>462</v>
      </c>
      <c r="F107">
        <v>0</v>
      </c>
      <c r="G107">
        <v>0</v>
      </c>
      <c r="H107">
        <f t="shared" si="2"/>
        <v>462</v>
      </c>
      <c r="I107">
        <v>0</v>
      </c>
      <c r="J107">
        <v>0</v>
      </c>
      <c r="K107">
        <v>0</v>
      </c>
      <c r="L107">
        <f t="shared" si="3"/>
        <v>0</v>
      </c>
    </row>
    <row r="108" spans="1:12">
      <c r="A108" t="s">
        <v>2978</v>
      </c>
      <c r="B108" t="s">
        <v>751</v>
      </c>
      <c r="C108" t="s">
        <v>2805</v>
      </c>
      <c r="D108" t="s">
        <v>449</v>
      </c>
      <c r="E108">
        <v>681</v>
      </c>
      <c r="F108">
        <v>0</v>
      </c>
      <c r="G108">
        <v>0</v>
      </c>
      <c r="H108">
        <f t="shared" si="2"/>
        <v>681</v>
      </c>
      <c r="I108">
        <v>0</v>
      </c>
      <c r="J108">
        <v>0</v>
      </c>
      <c r="K108">
        <v>0</v>
      </c>
      <c r="L108">
        <f t="shared" si="3"/>
        <v>0</v>
      </c>
    </row>
    <row r="109" spans="1:12">
      <c r="A109" t="s">
        <v>2978</v>
      </c>
      <c r="B109" t="s">
        <v>751</v>
      </c>
      <c r="C109" t="s">
        <v>2805</v>
      </c>
      <c r="D109" t="s">
        <v>2807</v>
      </c>
      <c r="E109">
        <v>5</v>
      </c>
      <c r="F109">
        <v>0</v>
      </c>
      <c r="G109">
        <v>0</v>
      </c>
      <c r="H109">
        <f t="shared" si="2"/>
        <v>5</v>
      </c>
      <c r="I109">
        <v>0</v>
      </c>
      <c r="J109">
        <v>0</v>
      </c>
      <c r="K109">
        <v>0</v>
      </c>
      <c r="L109">
        <f t="shared" si="3"/>
        <v>0</v>
      </c>
    </row>
    <row r="110" spans="1:12">
      <c r="A110" t="s">
        <v>2978</v>
      </c>
      <c r="B110" t="s">
        <v>751</v>
      </c>
      <c r="C110" t="s">
        <v>2805</v>
      </c>
      <c r="D110" t="s">
        <v>2808</v>
      </c>
      <c r="E110">
        <v>5</v>
      </c>
      <c r="F110">
        <v>0</v>
      </c>
      <c r="G110">
        <v>0</v>
      </c>
      <c r="H110">
        <f t="shared" si="2"/>
        <v>5</v>
      </c>
      <c r="I110">
        <v>0</v>
      </c>
      <c r="J110">
        <v>0</v>
      </c>
      <c r="K110">
        <v>0</v>
      </c>
      <c r="L110">
        <f t="shared" si="3"/>
        <v>0</v>
      </c>
    </row>
    <row r="111" spans="1:12">
      <c r="A111" t="s">
        <v>2978</v>
      </c>
      <c r="B111" t="s">
        <v>751</v>
      </c>
      <c r="C111" t="s">
        <v>2805</v>
      </c>
      <c r="D111" t="s">
        <v>2846</v>
      </c>
      <c r="E111">
        <v>13</v>
      </c>
      <c r="F111">
        <v>0</v>
      </c>
      <c r="G111">
        <v>0</v>
      </c>
      <c r="H111">
        <f t="shared" si="2"/>
        <v>13</v>
      </c>
      <c r="I111">
        <v>0</v>
      </c>
      <c r="J111">
        <v>0</v>
      </c>
      <c r="K111">
        <v>0</v>
      </c>
      <c r="L111">
        <f t="shared" si="3"/>
        <v>0</v>
      </c>
    </row>
    <row r="112" spans="1:12">
      <c r="A112" t="s">
        <v>2978</v>
      </c>
      <c r="B112" t="s">
        <v>751</v>
      </c>
      <c r="C112" t="s">
        <v>2805</v>
      </c>
      <c r="D112" t="s">
        <v>2863</v>
      </c>
      <c r="E112">
        <v>3</v>
      </c>
      <c r="F112">
        <v>0</v>
      </c>
      <c r="G112">
        <v>0</v>
      </c>
      <c r="H112">
        <f t="shared" si="2"/>
        <v>3</v>
      </c>
      <c r="I112">
        <v>0</v>
      </c>
      <c r="J112">
        <v>0</v>
      </c>
      <c r="K112">
        <v>0</v>
      </c>
      <c r="L112">
        <f t="shared" si="3"/>
        <v>0</v>
      </c>
    </row>
    <row r="113" spans="1:12">
      <c r="A113" t="s">
        <v>2978</v>
      </c>
      <c r="B113" t="s">
        <v>751</v>
      </c>
      <c r="C113" t="s">
        <v>2810</v>
      </c>
      <c r="D113" t="s">
        <v>2811</v>
      </c>
      <c r="E113">
        <v>18</v>
      </c>
      <c r="F113">
        <v>0</v>
      </c>
      <c r="G113">
        <v>0</v>
      </c>
      <c r="H113">
        <f t="shared" si="2"/>
        <v>18</v>
      </c>
      <c r="I113">
        <v>0</v>
      </c>
      <c r="J113">
        <v>0</v>
      </c>
      <c r="K113">
        <v>0</v>
      </c>
      <c r="L113">
        <f t="shared" si="3"/>
        <v>0</v>
      </c>
    </row>
    <row r="114" spans="1:12">
      <c r="A114" t="s">
        <v>2978</v>
      </c>
      <c r="B114" t="s">
        <v>751</v>
      </c>
      <c r="C114" t="s">
        <v>2810</v>
      </c>
      <c r="D114" t="s">
        <v>2812</v>
      </c>
      <c r="E114">
        <v>8</v>
      </c>
      <c r="F114">
        <v>0</v>
      </c>
      <c r="G114">
        <v>0</v>
      </c>
      <c r="H114">
        <f t="shared" si="2"/>
        <v>8</v>
      </c>
      <c r="I114">
        <v>0</v>
      </c>
      <c r="J114">
        <v>0</v>
      </c>
      <c r="K114">
        <v>0</v>
      </c>
      <c r="L114">
        <f t="shared" si="3"/>
        <v>0</v>
      </c>
    </row>
    <row r="115" spans="1:12">
      <c r="A115" t="s">
        <v>2978</v>
      </c>
      <c r="B115" t="s">
        <v>751</v>
      </c>
      <c r="C115" t="s">
        <v>2810</v>
      </c>
      <c r="D115" t="s">
        <v>2813</v>
      </c>
      <c r="E115">
        <v>13</v>
      </c>
      <c r="F115">
        <v>0</v>
      </c>
      <c r="G115">
        <v>0</v>
      </c>
      <c r="H115">
        <f t="shared" si="2"/>
        <v>13</v>
      </c>
      <c r="I115">
        <v>0</v>
      </c>
      <c r="J115">
        <v>0</v>
      </c>
      <c r="K115">
        <v>0</v>
      </c>
      <c r="L115">
        <f t="shared" si="3"/>
        <v>0</v>
      </c>
    </row>
    <row r="116" spans="1:12">
      <c r="A116" t="s">
        <v>2978</v>
      </c>
      <c r="B116" t="s">
        <v>751</v>
      </c>
      <c r="C116" t="s">
        <v>2810</v>
      </c>
      <c r="D116" t="s">
        <v>2814</v>
      </c>
      <c r="E116">
        <v>10</v>
      </c>
      <c r="F116">
        <v>0</v>
      </c>
      <c r="G116">
        <v>0</v>
      </c>
      <c r="H116">
        <f t="shared" si="2"/>
        <v>10</v>
      </c>
      <c r="I116">
        <v>0</v>
      </c>
      <c r="J116">
        <v>0</v>
      </c>
      <c r="K116">
        <v>0</v>
      </c>
      <c r="L116">
        <f t="shared" si="3"/>
        <v>0</v>
      </c>
    </row>
    <row r="117" spans="1:12">
      <c r="A117" t="s">
        <v>2978</v>
      </c>
      <c r="B117" t="s">
        <v>751</v>
      </c>
      <c r="C117" t="s">
        <v>2810</v>
      </c>
      <c r="D117" t="s">
        <v>2840</v>
      </c>
      <c r="E117">
        <v>4</v>
      </c>
      <c r="F117">
        <v>0</v>
      </c>
      <c r="G117">
        <v>0</v>
      </c>
      <c r="H117">
        <f t="shared" si="2"/>
        <v>4</v>
      </c>
      <c r="I117">
        <v>0</v>
      </c>
      <c r="J117">
        <v>0</v>
      </c>
      <c r="K117">
        <v>0</v>
      </c>
      <c r="L117">
        <f t="shared" si="3"/>
        <v>0</v>
      </c>
    </row>
    <row r="118" spans="1:12">
      <c r="A118" t="s">
        <v>2978</v>
      </c>
      <c r="B118" t="s">
        <v>751</v>
      </c>
      <c r="C118" t="s">
        <v>2816</v>
      </c>
      <c r="D118" t="s">
        <v>1897</v>
      </c>
      <c r="E118">
        <v>33</v>
      </c>
      <c r="F118">
        <v>0</v>
      </c>
      <c r="G118">
        <v>0</v>
      </c>
      <c r="H118">
        <f t="shared" si="2"/>
        <v>33</v>
      </c>
      <c r="I118">
        <v>0</v>
      </c>
      <c r="J118">
        <v>0</v>
      </c>
      <c r="K118">
        <v>0</v>
      </c>
      <c r="L118">
        <f t="shared" si="3"/>
        <v>0</v>
      </c>
    </row>
    <row r="119" spans="1:12">
      <c r="A119" t="s">
        <v>2978</v>
      </c>
      <c r="B119" t="s">
        <v>751</v>
      </c>
      <c r="C119" t="s">
        <v>2816</v>
      </c>
      <c r="D119" t="s">
        <v>2848</v>
      </c>
      <c r="E119">
        <v>2</v>
      </c>
      <c r="F119">
        <v>0</v>
      </c>
      <c r="G119">
        <v>0</v>
      </c>
      <c r="H119">
        <f t="shared" si="2"/>
        <v>2</v>
      </c>
      <c r="I119">
        <v>0</v>
      </c>
      <c r="J119">
        <v>0</v>
      </c>
      <c r="K119">
        <v>0</v>
      </c>
      <c r="L119">
        <f t="shared" si="3"/>
        <v>0</v>
      </c>
    </row>
    <row r="120" spans="1:12">
      <c r="A120" t="s">
        <v>2978</v>
      </c>
      <c r="B120" t="s">
        <v>751</v>
      </c>
      <c r="C120" t="s">
        <v>2817</v>
      </c>
      <c r="D120" t="s">
        <v>2888</v>
      </c>
      <c r="E120">
        <v>3</v>
      </c>
      <c r="F120">
        <v>0</v>
      </c>
      <c r="G120">
        <v>0</v>
      </c>
      <c r="H120">
        <f t="shared" si="2"/>
        <v>3</v>
      </c>
      <c r="I120">
        <v>0</v>
      </c>
      <c r="J120">
        <v>0</v>
      </c>
      <c r="K120">
        <v>0</v>
      </c>
      <c r="L120">
        <f t="shared" si="3"/>
        <v>0</v>
      </c>
    </row>
    <row r="121" spans="1:12">
      <c r="A121" t="s">
        <v>2978</v>
      </c>
      <c r="B121" t="s">
        <v>751</v>
      </c>
      <c r="C121" t="s">
        <v>2817</v>
      </c>
      <c r="D121" t="s">
        <v>2930</v>
      </c>
      <c r="E121">
        <v>19</v>
      </c>
      <c r="F121">
        <v>0</v>
      </c>
      <c r="G121">
        <v>0</v>
      </c>
      <c r="H121">
        <f t="shared" si="2"/>
        <v>19</v>
      </c>
      <c r="I121">
        <v>0</v>
      </c>
      <c r="J121">
        <v>0</v>
      </c>
      <c r="K121">
        <v>0</v>
      </c>
      <c r="L121">
        <f t="shared" si="3"/>
        <v>0</v>
      </c>
    </row>
    <row r="122" spans="1:12">
      <c r="A122" t="s">
        <v>2978</v>
      </c>
      <c r="B122" t="s">
        <v>751</v>
      </c>
      <c r="C122" t="s">
        <v>2817</v>
      </c>
      <c r="D122" t="s">
        <v>2877</v>
      </c>
      <c r="E122">
        <v>8</v>
      </c>
      <c r="F122">
        <v>0</v>
      </c>
      <c r="G122">
        <v>0</v>
      </c>
      <c r="H122">
        <f t="shared" si="2"/>
        <v>8</v>
      </c>
      <c r="I122">
        <v>0</v>
      </c>
      <c r="J122">
        <v>0</v>
      </c>
      <c r="K122">
        <v>0</v>
      </c>
      <c r="L122">
        <f t="shared" si="3"/>
        <v>0</v>
      </c>
    </row>
    <row r="123" spans="1:12">
      <c r="A123" t="s">
        <v>2978</v>
      </c>
      <c r="B123" t="s">
        <v>751</v>
      </c>
      <c r="C123" t="s">
        <v>2817</v>
      </c>
      <c r="D123" t="s">
        <v>2818</v>
      </c>
      <c r="E123">
        <v>77</v>
      </c>
      <c r="F123">
        <v>0</v>
      </c>
      <c r="G123">
        <v>0</v>
      </c>
      <c r="H123">
        <f t="shared" si="2"/>
        <v>77</v>
      </c>
      <c r="I123">
        <v>0</v>
      </c>
      <c r="J123">
        <v>0</v>
      </c>
      <c r="K123">
        <v>0</v>
      </c>
      <c r="L123">
        <f t="shared" si="3"/>
        <v>0</v>
      </c>
    </row>
    <row r="124" spans="1:12">
      <c r="A124" t="s">
        <v>2978</v>
      </c>
      <c r="B124" t="s">
        <v>751</v>
      </c>
      <c r="C124" t="s">
        <v>2817</v>
      </c>
      <c r="D124" t="s">
        <v>2837</v>
      </c>
      <c r="E124">
        <v>35</v>
      </c>
      <c r="F124">
        <v>0</v>
      </c>
      <c r="G124">
        <v>0</v>
      </c>
      <c r="H124">
        <f t="shared" si="2"/>
        <v>35</v>
      </c>
      <c r="I124">
        <v>0</v>
      </c>
      <c r="J124">
        <v>0</v>
      </c>
      <c r="K124">
        <v>0</v>
      </c>
      <c r="L124">
        <f t="shared" si="3"/>
        <v>0</v>
      </c>
    </row>
    <row r="125" spans="1:12">
      <c r="A125" t="s">
        <v>2978</v>
      </c>
      <c r="B125" t="s">
        <v>751</v>
      </c>
      <c r="C125" t="s">
        <v>2817</v>
      </c>
      <c r="D125" t="s">
        <v>2979</v>
      </c>
      <c r="E125">
        <v>3</v>
      </c>
      <c r="F125">
        <v>0</v>
      </c>
      <c r="G125">
        <v>0</v>
      </c>
      <c r="H125">
        <f t="shared" si="2"/>
        <v>3</v>
      </c>
      <c r="I125">
        <v>0</v>
      </c>
      <c r="J125">
        <v>0</v>
      </c>
      <c r="K125">
        <v>0</v>
      </c>
      <c r="L125">
        <f t="shared" si="3"/>
        <v>0</v>
      </c>
    </row>
    <row r="126" spans="1:12">
      <c r="A126" t="s">
        <v>2978</v>
      </c>
      <c r="B126" t="s">
        <v>751</v>
      </c>
      <c r="C126" t="s">
        <v>2817</v>
      </c>
      <c r="D126" t="s">
        <v>2819</v>
      </c>
      <c r="E126">
        <v>10</v>
      </c>
      <c r="F126">
        <v>0</v>
      </c>
      <c r="G126">
        <v>0</v>
      </c>
      <c r="H126">
        <f t="shared" si="2"/>
        <v>10</v>
      </c>
      <c r="I126">
        <v>0</v>
      </c>
      <c r="J126">
        <v>0</v>
      </c>
      <c r="K126">
        <v>0</v>
      </c>
      <c r="L126">
        <f t="shared" si="3"/>
        <v>0</v>
      </c>
    </row>
    <row r="127" spans="1:12">
      <c r="A127" t="s">
        <v>2980</v>
      </c>
      <c r="B127" t="s">
        <v>761</v>
      </c>
      <c r="C127" t="s">
        <v>2805</v>
      </c>
      <c r="D127" t="s">
        <v>449</v>
      </c>
      <c r="E127">
        <v>3</v>
      </c>
      <c r="F127">
        <v>0</v>
      </c>
      <c r="G127">
        <v>0</v>
      </c>
      <c r="H127">
        <f t="shared" si="2"/>
        <v>3</v>
      </c>
      <c r="I127">
        <v>8</v>
      </c>
      <c r="J127">
        <v>0</v>
      </c>
      <c r="K127">
        <v>0</v>
      </c>
      <c r="L127">
        <f t="shared" si="3"/>
        <v>8</v>
      </c>
    </row>
    <row r="128" spans="1:12">
      <c r="A128" t="s">
        <v>2980</v>
      </c>
      <c r="B128" t="s">
        <v>761</v>
      </c>
      <c r="C128" t="s">
        <v>2805</v>
      </c>
      <c r="D128" t="s">
        <v>2807</v>
      </c>
      <c r="E128">
        <v>3</v>
      </c>
      <c r="F128">
        <v>0</v>
      </c>
      <c r="G128">
        <v>0</v>
      </c>
      <c r="H128">
        <f t="shared" si="2"/>
        <v>3</v>
      </c>
      <c r="I128">
        <v>0</v>
      </c>
      <c r="J128">
        <v>0</v>
      </c>
      <c r="K128">
        <v>0</v>
      </c>
      <c r="L128">
        <f t="shared" si="3"/>
        <v>0</v>
      </c>
    </row>
    <row r="129" spans="1:12">
      <c r="A129" t="s">
        <v>2980</v>
      </c>
      <c r="B129" t="s">
        <v>761</v>
      </c>
      <c r="C129" t="s">
        <v>2810</v>
      </c>
      <c r="D129" t="s">
        <v>2811</v>
      </c>
      <c r="E129">
        <v>1</v>
      </c>
      <c r="F129">
        <v>0</v>
      </c>
      <c r="G129">
        <v>0</v>
      </c>
      <c r="H129">
        <f t="shared" si="2"/>
        <v>1</v>
      </c>
      <c r="I129">
        <v>0</v>
      </c>
      <c r="J129">
        <v>0</v>
      </c>
      <c r="K129">
        <v>0</v>
      </c>
      <c r="L129">
        <f t="shared" si="3"/>
        <v>0</v>
      </c>
    </row>
    <row r="130" spans="1:12">
      <c r="A130" t="s">
        <v>2980</v>
      </c>
      <c r="B130" t="s">
        <v>761</v>
      </c>
      <c r="C130" t="s">
        <v>2810</v>
      </c>
      <c r="D130" t="s">
        <v>2812</v>
      </c>
      <c r="E130">
        <v>6</v>
      </c>
      <c r="F130">
        <v>0</v>
      </c>
      <c r="G130">
        <v>0</v>
      </c>
      <c r="H130">
        <f t="shared" si="2"/>
        <v>6</v>
      </c>
      <c r="I130">
        <v>0</v>
      </c>
      <c r="J130">
        <v>0</v>
      </c>
      <c r="K130">
        <v>0</v>
      </c>
      <c r="L130">
        <f t="shared" si="3"/>
        <v>0</v>
      </c>
    </row>
    <row r="131" spans="1:12">
      <c r="A131" t="s">
        <v>2980</v>
      </c>
      <c r="B131" t="s">
        <v>761</v>
      </c>
      <c r="C131" t="s">
        <v>2810</v>
      </c>
      <c r="D131" t="s">
        <v>2813</v>
      </c>
      <c r="E131">
        <v>4</v>
      </c>
      <c r="F131">
        <v>0</v>
      </c>
      <c r="G131">
        <v>0</v>
      </c>
      <c r="H131">
        <f t="shared" si="2"/>
        <v>4</v>
      </c>
      <c r="I131">
        <v>0</v>
      </c>
      <c r="J131">
        <v>0</v>
      </c>
      <c r="K131">
        <v>0</v>
      </c>
      <c r="L131">
        <f t="shared" si="3"/>
        <v>0</v>
      </c>
    </row>
    <row r="132" spans="1:12">
      <c r="A132" t="s">
        <v>2980</v>
      </c>
      <c r="B132" t="s">
        <v>761</v>
      </c>
      <c r="C132" t="s">
        <v>2816</v>
      </c>
      <c r="D132" t="s">
        <v>1897</v>
      </c>
      <c r="E132">
        <v>4</v>
      </c>
      <c r="F132">
        <v>0</v>
      </c>
      <c r="G132">
        <v>0</v>
      </c>
      <c r="H132">
        <f t="shared" ref="H132:H195" si="4">SUM(E132:G132)</f>
        <v>4</v>
      </c>
      <c r="I132">
        <v>1</v>
      </c>
      <c r="J132">
        <v>0</v>
      </c>
      <c r="K132">
        <v>0</v>
      </c>
      <c r="L132">
        <f t="shared" ref="L132:L195" si="5">SUM(I132:K132)</f>
        <v>1</v>
      </c>
    </row>
    <row r="133" spans="1:12">
      <c r="A133" t="s">
        <v>2980</v>
      </c>
      <c r="B133" t="s">
        <v>761</v>
      </c>
      <c r="C133" t="s">
        <v>2841</v>
      </c>
      <c r="D133" t="s">
        <v>2842</v>
      </c>
      <c r="E133">
        <v>0</v>
      </c>
      <c r="F133">
        <v>0</v>
      </c>
      <c r="G133">
        <v>0</v>
      </c>
      <c r="H133">
        <f t="shared" si="4"/>
        <v>0</v>
      </c>
      <c r="I133">
        <v>10</v>
      </c>
      <c r="J133">
        <v>2</v>
      </c>
      <c r="K133">
        <v>0</v>
      </c>
      <c r="L133">
        <f t="shared" si="5"/>
        <v>12</v>
      </c>
    </row>
    <row r="134" spans="1:12">
      <c r="A134" t="s">
        <v>2980</v>
      </c>
      <c r="B134" t="s">
        <v>761</v>
      </c>
      <c r="C134" t="s">
        <v>2826</v>
      </c>
      <c r="D134" t="s">
        <v>2871</v>
      </c>
      <c r="E134">
        <v>0</v>
      </c>
      <c r="F134">
        <v>0</v>
      </c>
      <c r="G134">
        <v>0</v>
      </c>
      <c r="H134">
        <f t="shared" si="4"/>
        <v>0</v>
      </c>
      <c r="I134">
        <v>2</v>
      </c>
      <c r="J134">
        <v>1</v>
      </c>
      <c r="K134">
        <v>0</v>
      </c>
      <c r="L134">
        <f t="shared" si="5"/>
        <v>3</v>
      </c>
    </row>
    <row r="135" spans="1:12">
      <c r="A135" t="s">
        <v>2980</v>
      </c>
      <c r="B135" t="s">
        <v>761</v>
      </c>
      <c r="C135" t="s">
        <v>2826</v>
      </c>
      <c r="D135" t="s">
        <v>2905</v>
      </c>
      <c r="E135">
        <v>0</v>
      </c>
      <c r="F135">
        <v>0</v>
      </c>
      <c r="G135">
        <v>0</v>
      </c>
      <c r="H135">
        <f t="shared" si="4"/>
        <v>0</v>
      </c>
      <c r="I135">
        <v>3</v>
      </c>
      <c r="J135">
        <v>2</v>
      </c>
      <c r="K135">
        <v>0</v>
      </c>
      <c r="L135">
        <f t="shared" si="5"/>
        <v>5</v>
      </c>
    </row>
    <row r="136" spans="1:12">
      <c r="A136" t="s">
        <v>2980</v>
      </c>
      <c r="B136" t="s">
        <v>761</v>
      </c>
      <c r="C136" t="s">
        <v>2826</v>
      </c>
      <c r="D136" t="s">
        <v>2827</v>
      </c>
      <c r="E136">
        <v>0</v>
      </c>
      <c r="F136">
        <v>0</v>
      </c>
      <c r="G136">
        <v>0</v>
      </c>
      <c r="H136">
        <f t="shared" si="4"/>
        <v>0</v>
      </c>
      <c r="I136">
        <v>3</v>
      </c>
      <c r="J136">
        <v>1</v>
      </c>
      <c r="K136">
        <v>0</v>
      </c>
      <c r="L136">
        <f t="shared" si="5"/>
        <v>4</v>
      </c>
    </row>
    <row r="137" spans="1:12">
      <c r="A137" t="s">
        <v>2980</v>
      </c>
      <c r="B137" t="s">
        <v>761</v>
      </c>
      <c r="C137" t="s">
        <v>2826</v>
      </c>
      <c r="D137" t="s">
        <v>2828</v>
      </c>
      <c r="E137">
        <v>0</v>
      </c>
      <c r="F137">
        <v>0</v>
      </c>
      <c r="G137">
        <v>0</v>
      </c>
      <c r="H137">
        <f t="shared" si="4"/>
        <v>0</v>
      </c>
      <c r="I137">
        <v>1</v>
      </c>
      <c r="J137">
        <v>2</v>
      </c>
      <c r="K137">
        <v>0</v>
      </c>
      <c r="L137">
        <f t="shared" si="5"/>
        <v>3</v>
      </c>
    </row>
    <row r="138" spans="1:12">
      <c r="A138" t="s">
        <v>2980</v>
      </c>
      <c r="B138" t="s">
        <v>761</v>
      </c>
      <c r="C138" t="s">
        <v>2826</v>
      </c>
      <c r="D138" t="s">
        <v>2829</v>
      </c>
      <c r="E138">
        <v>0</v>
      </c>
      <c r="F138">
        <v>0</v>
      </c>
      <c r="G138">
        <v>0</v>
      </c>
      <c r="H138">
        <f t="shared" si="4"/>
        <v>0</v>
      </c>
      <c r="I138">
        <v>0</v>
      </c>
      <c r="J138">
        <v>2</v>
      </c>
      <c r="K138">
        <v>0</v>
      </c>
      <c r="L138">
        <f t="shared" si="5"/>
        <v>2</v>
      </c>
    </row>
    <row r="139" spans="1:12">
      <c r="A139" t="s">
        <v>2980</v>
      </c>
      <c r="B139" t="s">
        <v>761</v>
      </c>
      <c r="C139" t="s">
        <v>2826</v>
      </c>
      <c r="D139" t="s">
        <v>2891</v>
      </c>
      <c r="E139">
        <v>0</v>
      </c>
      <c r="F139">
        <v>0</v>
      </c>
      <c r="G139">
        <v>0</v>
      </c>
      <c r="H139">
        <f t="shared" si="4"/>
        <v>0</v>
      </c>
      <c r="I139">
        <v>1</v>
      </c>
      <c r="J139">
        <v>2</v>
      </c>
      <c r="K139">
        <v>0</v>
      </c>
      <c r="L139">
        <f t="shared" si="5"/>
        <v>3</v>
      </c>
    </row>
    <row r="140" spans="1:12">
      <c r="A140" t="s">
        <v>2980</v>
      </c>
      <c r="B140" t="s">
        <v>761</v>
      </c>
      <c r="C140" t="s">
        <v>2826</v>
      </c>
      <c r="D140" t="s">
        <v>2830</v>
      </c>
      <c r="E140">
        <v>0</v>
      </c>
      <c r="F140">
        <v>0</v>
      </c>
      <c r="G140">
        <v>0</v>
      </c>
      <c r="H140">
        <f t="shared" si="4"/>
        <v>0</v>
      </c>
      <c r="I140">
        <v>1</v>
      </c>
      <c r="J140">
        <v>0</v>
      </c>
      <c r="K140">
        <v>0</v>
      </c>
      <c r="L140">
        <f t="shared" si="5"/>
        <v>1</v>
      </c>
    </row>
    <row r="141" spans="1:12">
      <c r="A141" t="s">
        <v>2980</v>
      </c>
      <c r="B141" t="s">
        <v>761</v>
      </c>
      <c r="C141" t="s">
        <v>2826</v>
      </c>
      <c r="D141" t="s">
        <v>2864</v>
      </c>
      <c r="E141">
        <v>0</v>
      </c>
      <c r="F141">
        <v>0</v>
      </c>
      <c r="G141">
        <v>0</v>
      </c>
      <c r="H141">
        <f t="shared" si="4"/>
        <v>0</v>
      </c>
      <c r="I141">
        <v>1</v>
      </c>
      <c r="J141">
        <v>2</v>
      </c>
      <c r="K141">
        <v>0</v>
      </c>
      <c r="L141">
        <f t="shared" si="5"/>
        <v>3</v>
      </c>
    </row>
    <row r="142" spans="1:12">
      <c r="A142" t="s">
        <v>2980</v>
      </c>
      <c r="B142" t="s">
        <v>761</v>
      </c>
      <c r="C142" t="s">
        <v>2826</v>
      </c>
      <c r="D142" t="s">
        <v>2831</v>
      </c>
      <c r="E142">
        <v>0</v>
      </c>
      <c r="F142">
        <v>0</v>
      </c>
      <c r="G142">
        <v>0</v>
      </c>
      <c r="H142">
        <f t="shared" si="4"/>
        <v>0</v>
      </c>
      <c r="I142">
        <v>2</v>
      </c>
      <c r="J142">
        <v>1</v>
      </c>
      <c r="K142">
        <v>0</v>
      </c>
      <c r="L142">
        <f t="shared" si="5"/>
        <v>3</v>
      </c>
    </row>
    <row r="143" spans="1:12">
      <c r="A143" t="s">
        <v>2980</v>
      </c>
      <c r="B143" t="s">
        <v>761</v>
      </c>
      <c r="C143" t="s">
        <v>2826</v>
      </c>
      <c r="D143" t="s">
        <v>2843</v>
      </c>
      <c r="E143">
        <v>0</v>
      </c>
      <c r="F143">
        <v>0</v>
      </c>
      <c r="G143">
        <v>0</v>
      </c>
      <c r="H143">
        <f t="shared" si="4"/>
        <v>0</v>
      </c>
      <c r="I143">
        <v>3</v>
      </c>
      <c r="J143">
        <v>1</v>
      </c>
      <c r="K143">
        <v>0</v>
      </c>
      <c r="L143">
        <f t="shared" si="5"/>
        <v>4</v>
      </c>
    </row>
    <row r="144" spans="1:12">
      <c r="A144" t="s">
        <v>2980</v>
      </c>
      <c r="B144" t="s">
        <v>761</v>
      </c>
      <c r="C144" t="s">
        <v>2826</v>
      </c>
      <c r="D144" t="s">
        <v>2884</v>
      </c>
      <c r="E144">
        <v>0</v>
      </c>
      <c r="F144">
        <v>0</v>
      </c>
      <c r="G144">
        <v>0</v>
      </c>
      <c r="H144">
        <f t="shared" si="4"/>
        <v>0</v>
      </c>
      <c r="I144">
        <v>2</v>
      </c>
      <c r="J144">
        <v>0</v>
      </c>
      <c r="K144">
        <v>0</v>
      </c>
      <c r="L144">
        <f t="shared" si="5"/>
        <v>2</v>
      </c>
    </row>
    <row r="145" spans="1:12">
      <c r="A145" t="s">
        <v>2980</v>
      </c>
      <c r="B145" t="s">
        <v>761</v>
      </c>
      <c r="C145" t="s">
        <v>2826</v>
      </c>
      <c r="D145" t="s">
        <v>2975</v>
      </c>
      <c r="E145">
        <v>0</v>
      </c>
      <c r="F145">
        <v>0</v>
      </c>
      <c r="G145">
        <v>0</v>
      </c>
      <c r="H145">
        <f t="shared" si="4"/>
        <v>0</v>
      </c>
      <c r="I145">
        <v>2</v>
      </c>
      <c r="J145">
        <v>0</v>
      </c>
      <c r="K145">
        <v>0</v>
      </c>
      <c r="L145">
        <f t="shared" si="5"/>
        <v>2</v>
      </c>
    </row>
    <row r="146" spans="1:12">
      <c r="A146" t="s">
        <v>2980</v>
      </c>
      <c r="B146" t="s">
        <v>761</v>
      </c>
      <c r="C146" t="s">
        <v>2826</v>
      </c>
      <c r="D146" t="s">
        <v>2832</v>
      </c>
      <c r="E146">
        <v>0</v>
      </c>
      <c r="F146">
        <v>0</v>
      </c>
      <c r="G146">
        <v>0</v>
      </c>
      <c r="H146">
        <f t="shared" si="4"/>
        <v>0</v>
      </c>
      <c r="I146">
        <v>3</v>
      </c>
      <c r="J146">
        <v>2</v>
      </c>
      <c r="K146">
        <v>0</v>
      </c>
      <c r="L146">
        <f t="shared" si="5"/>
        <v>5</v>
      </c>
    </row>
    <row r="147" spans="1:12">
      <c r="A147" t="s">
        <v>2980</v>
      </c>
      <c r="B147" t="s">
        <v>761</v>
      </c>
      <c r="C147" t="s">
        <v>2826</v>
      </c>
      <c r="D147" t="s">
        <v>2834</v>
      </c>
      <c r="E147">
        <v>0</v>
      </c>
      <c r="F147">
        <v>0</v>
      </c>
      <c r="G147">
        <v>0</v>
      </c>
      <c r="H147">
        <f t="shared" si="4"/>
        <v>0</v>
      </c>
      <c r="I147">
        <v>3</v>
      </c>
      <c r="J147">
        <v>2</v>
      </c>
      <c r="K147">
        <v>0</v>
      </c>
      <c r="L147">
        <f t="shared" si="5"/>
        <v>5</v>
      </c>
    </row>
    <row r="148" spans="1:12">
      <c r="A148" t="s">
        <v>2980</v>
      </c>
      <c r="B148" t="s">
        <v>761</v>
      </c>
      <c r="C148" t="s">
        <v>2826</v>
      </c>
      <c r="D148" t="s">
        <v>2886</v>
      </c>
      <c r="E148">
        <v>0</v>
      </c>
      <c r="F148">
        <v>0</v>
      </c>
      <c r="G148">
        <v>0</v>
      </c>
      <c r="H148">
        <f t="shared" si="4"/>
        <v>0</v>
      </c>
      <c r="I148">
        <v>2</v>
      </c>
      <c r="J148">
        <v>1</v>
      </c>
      <c r="K148">
        <v>0</v>
      </c>
      <c r="L148">
        <f t="shared" si="5"/>
        <v>3</v>
      </c>
    </row>
    <row r="149" spans="1:12">
      <c r="A149" t="s">
        <v>2980</v>
      </c>
      <c r="B149" t="s">
        <v>761</v>
      </c>
      <c r="C149" t="s">
        <v>2826</v>
      </c>
      <c r="D149" t="s">
        <v>2844</v>
      </c>
      <c r="E149">
        <v>0</v>
      </c>
      <c r="F149">
        <v>0</v>
      </c>
      <c r="G149">
        <v>0</v>
      </c>
      <c r="H149">
        <f t="shared" si="4"/>
        <v>0</v>
      </c>
      <c r="I149">
        <v>0</v>
      </c>
      <c r="J149">
        <v>2</v>
      </c>
      <c r="K149">
        <v>0</v>
      </c>
      <c r="L149">
        <f t="shared" si="5"/>
        <v>2</v>
      </c>
    </row>
    <row r="150" spans="1:12">
      <c r="A150" t="s">
        <v>2980</v>
      </c>
      <c r="B150" t="s">
        <v>761</v>
      </c>
      <c r="C150" t="s">
        <v>2826</v>
      </c>
      <c r="D150" t="s">
        <v>2835</v>
      </c>
      <c r="E150">
        <v>0</v>
      </c>
      <c r="F150">
        <v>0</v>
      </c>
      <c r="G150">
        <v>0</v>
      </c>
      <c r="H150">
        <f t="shared" si="4"/>
        <v>0</v>
      </c>
      <c r="I150">
        <v>2</v>
      </c>
      <c r="J150">
        <v>1</v>
      </c>
      <c r="K150">
        <v>0</v>
      </c>
      <c r="L150">
        <f t="shared" si="5"/>
        <v>3</v>
      </c>
    </row>
    <row r="151" spans="1:12">
      <c r="A151" t="s">
        <v>2980</v>
      </c>
      <c r="B151" t="s">
        <v>761</v>
      </c>
      <c r="C151" t="s">
        <v>2826</v>
      </c>
      <c r="D151" t="s">
        <v>2917</v>
      </c>
      <c r="E151">
        <v>0</v>
      </c>
      <c r="F151">
        <v>0</v>
      </c>
      <c r="G151">
        <v>0</v>
      </c>
      <c r="H151">
        <f t="shared" si="4"/>
        <v>0</v>
      </c>
      <c r="I151">
        <v>0</v>
      </c>
      <c r="J151">
        <v>1</v>
      </c>
      <c r="K151">
        <v>0</v>
      </c>
      <c r="L151">
        <f t="shared" si="5"/>
        <v>1</v>
      </c>
    </row>
    <row r="152" spans="1:12">
      <c r="A152" t="s">
        <v>2980</v>
      </c>
      <c r="B152" t="s">
        <v>761</v>
      </c>
      <c r="C152" t="s">
        <v>2826</v>
      </c>
      <c r="D152" t="s">
        <v>2849</v>
      </c>
      <c r="E152">
        <v>0</v>
      </c>
      <c r="F152">
        <v>0</v>
      </c>
      <c r="G152">
        <v>0</v>
      </c>
      <c r="H152">
        <f t="shared" si="4"/>
        <v>0</v>
      </c>
      <c r="I152">
        <v>0</v>
      </c>
      <c r="J152">
        <v>2</v>
      </c>
      <c r="K152">
        <v>0</v>
      </c>
      <c r="L152">
        <f t="shared" si="5"/>
        <v>2</v>
      </c>
    </row>
    <row r="153" spans="1:12">
      <c r="A153" t="s">
        <v>2980</v>
      </c>
      <c r="B153" t="s">
        <v>761</v>
      </c>
      <c r="C153" t="s">
        <v>2826</v>
      </c>
      <c r="D153" t="s">
        <v>2836</v>
      </c>
      <c r="E153">
        <v>0</v>
      </c>
      <c r="F153">
        <v>0</v>
      </c>
      <c r="G153">
        <v>0</v>
      </c>
      <c r="H153">
        <f t="shared" si="4"/>
        <v>0</v>
      </c>
      <c r="I153">
        <v>2</v>
      </c>
      <c r="J153">
        <v>0</v>
      </c>
      <c r="K153">
        <v>0</v>
      </c>
      <c r="L153">
        <f t="shared" si="5"/>
        <v>2</v>
      </c>
    </row>
    <row r="154" spans="1:12">
      <c r="A154" t="s">
        <v>2980</v>
      </c>
      <c r="B154" t="s">
        <v>761</v>
      </c>
      <c r="C154" t="s">
        <v>2817</v>
      </c>
      <c r="D154" t="s">
        <v>2887</v>
      </c>
      <c r="E154">
        <v>0</v>
      </c>
      <c r="F154">
        <v>0</v>
      </c>
      <c r="G154">
        <v>0</v>
      </c>
      <c r="H154">
        <f t="shared" si="4"/>
        <v>0</v>
      </c>
      <c r="I154">
        <v>4</v>
      </c>
      <c r="J154">
        <v>2</v>
      </c>
      <c r="K154">
        <v>0</v>
      </c>
      <c r="L154">
        <f t="shared" si="5"/>
        <v>6</v>
      </c>
    </row>
    <row r="155" spans="1:12">
      <c r="A155" t="s">
        <v>2980</v>
      </c>
      <c r="B155" t="s">
        <v>761</v>
      </c>
      <c r="C155" t="s">
        <v>2820</v>
      </c>
      <c r="D155" t="s">
        <v>2952</v>
      </c>
      <c r="E155">
        <v>0</v>
      </c>
      <c r="F155">
        <v>0</v>
      </c>
      <c r="G155">
        <v>0</v>
      </c>
      <c r="H155">
        <f t="shared" si="4"/>
        <v>0</v>
      </c>
      <c r="I155">
        <v>10</v>
      </c>
      <c r="J155">
        <v>0</v>
      </c>
      <c r="K155">
        <v>0</v>
      </c>
      <c r="L155">
        <f t="shared" si="5"/>
        <v>10</v>
      </c>
    </row>
    <row r="156" spans="1:12">
      <c r="A156" t="s">
        <v>2980</v>
      </c>
      <c r="B156" t="s">
        <v>761</v>
      </c>
      <c r="C156" t="s">
        <v>2820</v>
      </c>
      <c r="D156" t="s">
        <v>2821</v>
      </c>
      <c r="E156">
        <v>0</v>
      </c>
      <c r="F156">
        <v>0</v>
      </c>
      <c r="G156">
        <v>0</v>
      </c>
      <c r="H156">
        <f t="shared" si="4"/>
        <v>0</v>
      </c>
      <c r="I156">
        <v>2</v>
      </c>
      <c r="J156">
        <v>0</v>
      </c>
      <c r="K156">
        <v>0</v>
      </c>
      <c r="L156">
        <f t="shared" si="5"/>
        <v>2</v>
      </c>
    </row>
    <row r="157" spans="1:12">
      <c r="A157" t="s">
        <v>2980</v>
      </c>
      <c r="B157" t="s">
        <v>761</v>
      </c>
      <c r="C157" t="s">
        <v>2820</v>
      </c>
      <c r="D157" t="s">
        <v>2949</v>
      </c>
      <c r="E157">
        <v>0</v>
      </c>
      <c r="F157">
        <v>0</v>
      </c>
      <c r="G157">
        <v>0</v>
      </c>
      <c r="H157">
        <f t="shared" si="4"/>
        <v>0</v>
      </c>
      <c r="I157">
        <v>4</v>
      </c>
      <c r="J157">
        <v>0</v>
      </c>
      <c r="K157">
        <v>0</v>
      </c>
      <c r="L157">
        <f t="shared" si="5"/>
        <v>4</v>
      </c>
    </row>
    <row r="158" spans="1:12">
      <c r="A158" t="s">
        <v>2985</v>
      </c>
      <c r="B158" t="s">
        <v>767</v>
      </c>
      <c r="C158" t="s">
        <v>2805</v>
      </c>
      <c r="D158" t="s">
        <v>2806</v>
      </c>
      <c r="E158">
        <v>125</v>
      </c>
      <c r="F158">
        <v>0</v>
      </c>
      <c r="G158">
        <v>0</v>
      </c>
      <c r="H158">
        <f t="shared" si="4"/>
        <v>125</v>
      </c>
      <c r="I158">
        <v>18</v>
      </c>
      <c r="J158">
        <v>0</v>
      </c>
      <c r="K158">
        <v>0</v>
      </c>
      <c r="L158">
        <f t="shared" si="5"/>
        <v>18</v>
      </c>
    </row>
    <row r="159" spans="1:12">
      <c r="A159" t="s">
        <v>2985</v>
      </c>
      <c r="B159" t="s">
        <v>767</v>
      </c>
      <c r="C159" t="s">
        <v>2805</v>
      </c>
      <c r="D159" t="s">
        <v>449</v>
      </c>
      <c r="E159">
        <v>301</v>
      </c>
      <c r="F159">
        <v>0</v>
      </c>
      <c r="G159">
        <v>0</v>
      </c>
      <c r="H159">
        <f t="shared" si="4"/>
        <v>301</v>
      </c>
      <c r="I159">
        <v>25</v>
      </c>
      <c r="J159">
        <v>0</v>
      </c>
      <c r="K159">
        <v>0</v>
      </c>
      <c r="L159">
        <f t="shared" si="5"/>
        <v>25</v>
      </c>
    </row>
    <row r="160" spans="1:12">
      <c r="A160" t="s">
        <v>2985</v>
      </c>
      <c r="B160" t="s">
        <v>767</v>
      </c>
      <c r="C160" t="s">
        <v>2805</v>
      </c>
      <c r="D160" t="s">
        <v>2807</v>
      </c>
      <c r="E160">
        <v>4</v>
      </c>
      <c r="F160">
        <v>0</v>
      </c>
      <c r="G160">
        <v>0</v>
      </c>
      <c r="H160">
        <f t="shared" si="4"/>
        <v>4</v>
      </c>
      <c r="I160">
        <v>0</v>
      </c>
      <c r="J160">
        <v>0</v>
      </c>
      <c r="K160">
        <v>0</v>
      </c>
      <c r="L160">
        <f t="shared" si="5"/>
        <v>0</v>
      </c>
    </row>
    <row r="161" spans="1:12">
      <c r="A161" t="s">
        <v>2985</v>
      </c>
      <c r="B161" t="s">
        <v>767</v>
      </c>
      <c r="C161" t="s">
        <v>2805</v>
      </c>
      <c r="D161" t="s">
        <v>442</v>
      </c>
      <c r="E161">
        <v>0</v>
      </c>
      <c r="F161">
        <v>0</v>
      </c>
      <c r="G161">
        <v>0</v>
      </c>
      <c r="H161">
        <f t="shared" si="4"/>
        <v>0</v>
      </c>
      <c r="I161">
        <v>3</v>
      </c>
      <c r="J161">
        <v>0</v>
      </c>
      <c r="K161">
        <v>0</v>
      </c>
      <c r="L161">
        <f t="shared" si="5"/>
        <v>3</v>
      </c>
    </row>
    <row r="162" spans="1:12">
      <c r="A162" t="s">
        <v>2985</v>
      </c>
      <c r="B162" t="s">
        <v>767</v>
      </c>
      <c r="C162" t="s">
        <v>2805</v>
      </c>
      <c r="D162" t="s">
        <v>2846</v>
      </c>
      <c r="E162">
        <v>1</v>
      </c>
      <c r="F162">
        <v>0</v>
      </c>
      <c r="G162">
        <v>0</v>
      </c>
      <c r="H162">
        <f t="shared" si="4"/>
        <v>1</v>
      </c>
      <c r="I162">
        <v>0</v>
      </c>
      <c r="J162">
        <v>0</v>
      </c>
      <c r="K162">
        <v>0</v>
      </c>
      <c r="L162">
        <f t="shared" si="5"/>
        <v>0</v>
      </c>
    </row>
    <row r="163" spans="1:12">
      <c r="A163" t="s">
        <v>2985</v>
      </c>
      <c r="B163" t="s">
        <v>767</v>
      </c>
      <c r="C163" t="s">
        <v>2805</v>
      </c>
      <c r="D163" t="s">
        <v>2863</v>
      </c>
      <c r="E163">
        <v>3</v>
      </c>
      <c r="F163">
        <v>0</v>
      </c>
      <c r="G163">
        <v>0</v>
      </c>
      <c r="H163">
        <f t="shared" si="4"/>
        <v>3</v>
      </c>
      <c r="I163">
        <v>0</v>
      </c>
      <c r="J163">
        <v>0</v>
      </c>
      <c r="K163">
        <v>0</v>
      </c>
      <c r="L163">
        <f t="shared" si="5"/>
        <v>0</v>
      </c>
    </row>
    <row r="164" spans="1:12">
      <c r="A164" t="s">
        <v>2985</v>
      </c>
      <c r="B164" t="s">
        <v>767</v>
      </c>
      <c r="C164" t="s">
        <v>2810</v>
      </c>
      <c r="D164" t="s">
        <v>2811</v>
      </c>
      <c r="E164">
        <v>17</v>
      </c>
      <c r="F164">
        <v>0</v>
      </c>
      <c r="G164">
        <v>0</v>
      </c>
      <c r="H164">
        <f t="shared" si="4"/>
        <v>17</v>
      </c>
      <c r="I164">
        <v>0</v>
      </c>
      <c r="J164">
        <v>0</v>
      </c>
      <c r="K164">
        <v>0</v>
      </c>
      <c r="L164">
        <f t="shared" si="5"/>
        <v>0</v>
      </c>
    </row>
    <row r="165" spans="1:12">
      <c r="A165" t="s">
        <v>2985</v>
      </c>
      <c r="B165" t="s">
        <v>767</v>
      </c>
      <c r="C165" t="s">
        <v>2810</v>
      </c>
      <c r="D165" t="s">
        <v>1892</v>
      </c>
      <c r="E165">
        <v>0</v>
      </c>
      <c r="F165">
        <v>0</v>
      </c>
      <c r="G165">
        <v>0</v>
      </c>
      <c r="H165">
        <f t="shared" si="4"/>
        <v>0</v>
      </c>
      <c r="I165">
        <v>10</v>
      </c>
      <c r="J165">
        <v>0</v>
      </c>
      <c r="K165">
        <v>0</v>
      </c>
      <c r="L165">
        <f t="shared" si="5"/>
        <v>10</v>
      </c>
    </row>
    <row r="166" spans="1:12">
      <c r="A166" t="s">
        <v>2985</v>
      </c>
      <c r="B166" t="s">
        <v>767</v>
      </c>
      <c r="C166" t="s">
        <v>2810</v>
      </c>
      <c r="D166" t="s">
        <v>2823</v>
      </c>
      <c r="E166">
        <v>2</v>
      </c>
      <c r="F166">
        <v>7</v>
      </c>
      <c r="G166">
        <v>0</v>
      </c>
      <c r="H166">
        <f t="shared" si="4"/>
        <v>9</v>
      </c>
      <c r="I166">
        <v>0</v>
      </c>
      <c r="J166">
        <v>0</v>
      </c>
      <c r="K166">
        <v>0</v>
      </c>
      <c r="L166">
        <f t="shared" si="5"/>
        <v>0</v>
      </c>
    </row>
    <row r="167" spans="1:12">
      <c r="A167" t="s">
        <v>2985</v>
      </c>
      <c r="B167" t="s">
        <v>767</v>
      </c>
      <c r="C167" t="s">
        <v>2810</v>
      </c>
      <c r="D167" t="s">
        <v>2812</v>
      </c>
      <c r="E167">
        <v>12</v>
      </c>
      <c r="F167">
        <v>0</v>
      </c>
      <c r="G167">
        <v>0</v>
      </c>
      <c r="H167">
        <f t="shared" si="4"/>
        <v>12</v>
      </c>
      <c r="I167">
        <v>0</v>
      </c>
      <c r="J167">
        <v>0</v>
      </c>
      <c r="K167">
        <v>0</v>
      </c>
      <c r="L167">
        <f t="shared" si="5"/>
        <v>0</v>
      </c>
    </row>
    <row r="168" spans="1:12">
      <c r="A168" t="s">
        <v>2985</v>
      </c>
      <c r="B168" t="s">
        <v>767</v>
      </c>
      <c r="C168" t="s">
        <v>2810</v>
      </c>
      <c r="D168" t="s">
        <v>2813</v>
      </c>
      <c r="E168">
        <v>2</v>
      </c>
      <c r="F168">
        <v>0</v>
      </c>
      <c r="G168">
        <v>0</v>
      </c>
      <c r="H168">
        <f t="shared" si="4"/>
        <v>2</v>
      </c>
      <c r="I168">
        <v>0</v>
      </c>
      <c r="J168">
        <v>0</v>
      </c>
      <c r="K168">
        <v>0</v>
      </c>
      <c r="L168">
        <f t="shared" si="5"/>
        <v>0</v>
      </c>
    </row>
    <row r="169" spans="1:12">
      <c r="A169" t="s">
        <v>2985</v>
      </c>
      <c r="B169" t="s">
        <v>767</v>
      </c>
      <c r="C169" t="s">
        <v>2810</v>
      </c>
      <c r="D169" t="s">
        <v>2814</v>
      </c>
      <c r="E169">
        <v>8</v>
      </c>
      <c r="F169">
        <v>0</v>
      </c>
      <c r="G169">
        <v>0</v>
      </c>
      <c r="H169">
        <f t="shared" si="4"/>
        <v>8</v>
      </c>
      <c r="I169">
        <v>0</v>
      </c>
      <c r="J169">
        <v>0</v>
      </c>
      <c r="K169">
        <v>0</v>
      </c>
      <c r="L169">
        <f t="shared" si="5"/>
        <v>0</v>
      </c>
    </row>
    <row r="170" spans="1:12">
      <c r="A170" t="s">
        <v>2985</v>
      </c>
      <c r="B170" t="s">
        <v>767</v>
      </c>
      <c r="C170" t="s">
        <v>2810</v>
      </c>
      <c r="D170" t="s">
        <v>2847</v>
      </c>
      <c r="E170">
        <v>6</v>
      </c>
      <c r="F170">
        <v>0</v>
      </c>
      <c r="G170">
        <v>0</v>
      </c>
      <c r="H170">
        <f t="shared" si="4"/>
        <v>6</v>
      </c>
      <c r="I170">
        <v>0</v>
      </c>
      <c r="J170">
        <v>0</v>
      </c>
      <c r="K170">
        <v>0</v>
      </c>
      <c r="L170">
        <f t="shared" si="5"/>
        <v>0</v>
      </c>
    </row>
    <row r="171" spans="1:12">
      <c r="A171" t="s">
        <v>2985</v>
      </c>
      <c r="B171" t="s">
        <v>767</v>
      </c>
      <c r="C171" t="s">
        <v>2810</v>
      </c>
      <c r="D171" t="s">
        <v>2815</v>
      </c>
      <c r="E171">
        <v>21</v>
      </c>
      <c r="F171">
        <v>0</v>
      </c>
      <c r="G171">
        <v>0</v>
      </c>
      <c r="H171">
        <f t="shared" si="4"/>
        <v>21</v>
      </c>
      <c r="I171">
        <v>0</v>
      </c>
      <c r="J171">
        <v>0</v>
      </c>
      <c r="K171">
        <v>0</v>
      </c>
      <c r="L171">
        <f t="shared" si="5"/>
        <v>0</v>
      </c>
    </row>
    <row r="172" spans="1:12">
      <c r="A172" t="s">
        <v>2985</v>
      </c>
      <c r="B172" t="s">
        <v>767</v>
      </c>
      <c r="C172" t="s">
        <v>2816</v>
      </c>
      <c r="D172" t="s">
        <v>1897</v>
      </c>
      <c r="E172">
        <v>23</v>
      </c>
      <c r="F172">
        <v>0</v>
      </c>
      <c r="G172">
        <v>0</v>
      </c>
      <c r="H172">
        <f t="shared" si="4"/>
        <v>23</v>
      </c>
      <c r="I172">
        <v>0</v>
      </c>
      <c r="J172">
        <v>0</v>
      </c>
      <c r="K172">
        <v>0</v>
      </c>
      <c r="L172">
        <f t="shared" si="5"/>
        <v>0</v>
      </c>
    </row>
    <row r="173" spans="1:12">
      <c r="A173" t="s">
        <v>2985</v>
      </c>
      <c r="B173" t="s">
        <v>767</v>
      </c>
      <c r="C173" t="s">
        <v>2826</v>
      </c>
      <c r="D173" t="s">
        <v>2843</v>
      </c>
      <c r="E173">
        <v>0</v>
      </c>
      <c r="F173">
        <v>0</v>
      </c>
      <c r="G173">
        <v>0</v>
      </c>
      <c r="H173">
        <f t="shared" si="4"/>
        <v>0</v>
      </c>
      <c r="I173">
        <v>1</v>
      </c>
      <c r="J173">
        <v>0</v>
      </c>
      <c r="K173">
        <v>0</v>
      </c>
      <c r="L173">
        <f t="shared" si="5"/>
        <v>1</v>
      </c>
    </row>
    <row r="174" spans="1:12">
      <c r="A174" t="s">
        <v>2985</v>
      </c>
      <c r="B174" t="s">
        <v>767</v>
      </c>
      <c r="C174" t="s">
        <v>2817</v>
      </c>
      <c r="D174" t="s">
        <v>2837</v>
      </c>
      <c r="E174">
        <v>6</v>
      </c>
      <c r="F174">
        <v>0</v>
      </c>
      <c r="G174">
        <v>0</v>
      </c>
      <c r="H174">
        <f t="shared" si="4"/>
        <v>6</v>
      </c>
      <c r="I174">
        <v>0</v>
      </c>
      <c r="J174">
        <v>0</v>
      </c>
      <c r="K174">
        <v>0</v>
      </c>
      <c r="L174">
        <f t="shared" si="5"/>
        <v>0</v>
      </c>
    </row>
    <row r="175" spans="1:12">
      <c r="A175" t="s">
        <v>2996</v>
      </c>
      <c r="B175" t="s">
        <v>774</v>
      </c>
      <c r="C175" t="s">
        <v>2805</v>
      </c>
      <c r="D175" t="s">
        <v>2806</v>
      </c>
      <c r="E175">
        <v>298</v>
      </c>
      <c r="F175">
        <v>0</v>
      </c>
      <c r="G175">
        <v>0</v>
      </c>
      <c r="H175">
        <f t="shared" si="4"/>
        <v>298</v>
      </c>
      <c r="I175">
        <v>0</v>
      </c>
      <c r="J175">
        <v>0</v>
      </c>
      <c r="K175">
        <v>0</v>
      </c>
      <c r="L175">
        <f t="shared" si="5"/>
        <v>0</v>
      </c>
    </row>
    <row r="176" spans="1:12">
      <c r="A176" t="s">
        <v>2996</v>
      </c>
      <c r="B176" t="s">
        <v>774</v>
      </c>
      <c r="C176" t="s">
        <v>2805</v>
      </c>
      <c r="D176" t="s">
        <v>449</v>
      </c>
      <c r="E176">
        <v>615</v>
      </c>
      <c r="F176">
        <v>0</v>
      </c>
      <c r="G176">
        <v>0</v>
      </c>
      <c r="H176">
        <f t="shared" si="4"/>
        <v>615</v>
      </c>
      <c r="I176">
        <v>1</v>
      </c>
      <c r="J176">
        <v>0</v>
      </c>
      <c r="K176">
        <v>0</v>
      </c>
      <c r="L176">
        <f t="shared" si="5"/>
        <v>1</v>
      </c>
    </row>
    <row r="177" spans="1:12">
      <c r="A177" t="s">
        <v>2996</v>
      </c>
      <c r="B177" t="s">
        <v>774</v>
      </c>
      <c r="C177" t="s">
        <v>2805</v>
      </c>
      <c r="D177" t="s">
        <v>2807</v>
      </c>
      <c r="E177">
        <v>26</v>
      </c>
      <c r="F177">
        <v>0</v>
      </c>
      <c r="G177">
        <v>0</v>
      </c>
      <c r="H177">
        <f t="shared" si="4"/>
        <v>26</v>
      </c>
      <c r="I177">
        <v>0</v>
      </c>
      <c r="J177">
        <v>0</v>
      </c>
      <c r="K177">
        <v>0</v>
      </c>
      <c r="L177">
        <f t="shared" si="5"/>
        <v>0</v>
      </c>
    </row>
    <row r="178" spans="1:12">
      <c r="A178" t="s">
        <v>2996</v>
      </c>
      <c r="B178" t="s">
        <v>774</v>
      </c>
      <c r="C178" t="s">
        <v>2805</v>
      </c>
      <c r="D178" t="s">
        <v>2937</v>
      </c>
      <c r="E178">
        <v>1</v>
      </c>
      <c r="F178">
        <v>0</v>
      </c>
      <c r="G178">
        <v>0</v>
      </c>
      <c r="H178">
        <f t="shared" si="4"/>
        <v>1</v>
      </c>
      <c r="I178">
        <v>0</v>
      </c>
      <c r="J178">
        <v>0</v>
      </c>
      <c r="K178">
        <v>0</v>
      </c>
      <c r="L178">
        <f t="shared" si="5"/>
        <v>0</v>
      </c>
    </row>
    <row r="179" spans="1:12">
      <c r="A179" t="s">
        <v>2996</v>
      </c>
      <c r="B179" t="s">
        <v>774</v>
      </c>
      <c r="C179" t="s">
        <v>2810</v>
      </c>
      <c r="D179" t="s">
        <v>2811</v>
      </c>
      <c r="E179">
        <v>26</v>
      </c>
      <c r="F179">
        <v>0</v>
      </c>
      <c r="G179">
        <v>0</v>
      </c>
      <c r="H179">
        <f t="shared" si="4"/>
        <v>26</v>
      </c>
      <c r="I179">
        <v>0</v>
      </c>
      <c r="J179">
        <v>0</v>
      </c>
      <c r="K179">
        <v>0</v>
      </c>
      <c r="L179">
        <f t="shared" si="5"/>
        <v>0</v>
      </c>
    </row>
    <row r="180" spans="1:12">
      <c r="A180" t="s">
        <v>2996</v>
      </c>
      <c r="B180" t="s">
        <v>774</v>
      </c>
      <c r="C180" t="s">
        <v>2810</v>
      </c>
      <c r="D180" t="s">
        <v>2823</v>
      </c>
      <c r="E180">
        <v>23</v>
      </c>
      <c r="F180">
        <v>0</v>
      </c>
      <c r="G180">
        <v>0</v>
      </c>
      <c r="H180">
        <f t="shared" si="4"/>
        <v>23</v>
      </c>
      <c r="I180">
        <v>0</v>
      </c>
      <c r="J180">
        <v>0</v>
      </c>
      <c r="K180">
        <v>0</v>
      </c>
      <c r="L180">
        <f t="shared" si="5"/>
        <v>0</v>
      </c>
    </row>
    <row r="181" spans="1:12">
      <c r="A181" t="s">
        <v>2996</v>
      </c>
      <c r="B181" t="s">
        <v>774</v>
      </c>
      <c r="C181" t="s">
        <v>2810</v>
      </c>
      <c r="D181" t="s">
        <v>2812</v>
      </c>
      <c r="E181">
        <v>106</v>
      </c>
      <c r="F181">
        <v>0</v>
      </c>
      <c r="G181">
        <v>0</v>
      </c>
      <c r="H181">
        <f t="shared" si="4"/>
        <v>106</v>
      </c>
      <c r="I181">
        <v>0</v>
      </c>
      <c r="J181">
        <v>0</v>
      </c>
      <c r="K181">
        <v>0</v>
      </c>
      <c r="L181">
        <f t="shared" si="5"/>
        <v>0</v>
      </c>
    </row>
    <row r="182" spans="1:12">
      <c r="A182" t="s">
        <v>2996</v>
      </c>
      <c r="B182" t="s">
        <v>774</v>
      </c>
      <c r="C182" t="s">
        <v>2810</v>
      </c>
      <c r="D182" t="s">
        <v>2813</v>
      </c>
      <c r="E182">
        <v>141</v>
      </c>
      <c r="F182">
        <v>0</v>
      </c>
      <c r="G182">
        <v>0</v>
      </c>
      <c r="H182">
        <f t="shared" si="4"/>
        <v>141</v>
      </c>
      <c r="I182">
        <v>0</v>
      </c>
      <c r="J182">
        <v>0</v>
      </c>
      <c r="K182">
        <v>0</v>
      </c>
      <c r="L182">
        <f t="shared" si="5"/>
        <v>0</v>
      </c>
    </row>
    <row r="183" spans="1:12">
      <c r="A183" t="s">
        <v>2996</v>
      </c>
      <c r="B183" t="s">
        <v>774</v>
      </c>
      <c r="C183" t="s">
        <v>2810</v>
      </c>
      <c r="D183" t="s">
        <v>2814</v>
      </c>
      <c r="E183">
        <v>4</v>
      </c>
      <c r="F183">
        <v>0</v>
      </c>
      <c r="G183">
        <v>0</v>
      </c>
      <c r="H183">
        <f t="shared" si="4"/>
        <v>4</v>
      </c>
      <c r="I183">
        <v>0</v>
      </c>
      <c r="J183">
        <v>0</v>
      </c>
      <c r="K183">
        <v>0</v>
      </c>
      <c r="L183">
        <f t="shared" si="5"/>
        <v>0</v>
      </c>
    </row>
    <row r="184" spans="1:12">
      <c r="A184" t="s">
        <v>2996</v>
      </c>
      <c r="B184" t="s">
        <v>774</v>
      </c>
      <c r="C184" t="s">
        <v>2810</v>
      </c>
      <c r="D184" t="s">
        <v>2840</v>
      </c>
      <c r="E184">
        <v>5</v>
      </c>
      <c r="F184">
        <v>0</v>
      </c>
      <c r="G184">
        <v>0</v>
      </c>
      <c r="H184">
        <f t="shared" si="4"/>
        <v>5</v>
      </c>
      <c r="I184">
        <v>0</v>
      </c>
      <c r="J184">
        <v>0</v>
      </c>
      <c r="K184">
        <v>0</v>
      </c>
      <c r="L184">
        <f t="shared" si="5"/>
        <v>0</v>
      </c>
    </row>
    <row r="185" spans="1:12">
      <c r="A185" t="s">
        <v>2996</v>
      </c>
      <c r="B185" t="s">
        <v>774</v>
      </c>
      <c r="C185" t="s">
        <v>2810</v>
      </c>
      <c r="D185" t="s">
        <v>2815</v>
      </c>
      <c r="E185">
        <v>6</v>
      </c>
      <c r="F185">
        <v>0</v>
      </c>
      <c r="G185">
        <v>0</v>
      </c>
      <c r="H185">
        <f t="shared" si="4"/>
        <v>6</v>
      </c>
      <c r="I185">
        <v>0</v>
      </c>
      <c r="J185">
        <v>0</v>
      </c>
      <c r="K185">
        <v>0</v>
      </c>
      <c r="L185">
        <f t="shared" si="5"/>
        <v>0</v>
      </c>
    </row>
    <row r="186" spans="1:12">
      <c r="A186" t="s">
        <v>2996</v>
      </c>
      <c r="B186" t="s">
        <v>774</v>
      </c>
      <c r="C186" t="s">
        <v>2816</v>
      </c>
      <c r="D186" t="s">
        <v>1897</v>
      </c>
      <c r="E186">
        <v>14</v>
      </c>
      <c r="F186">
        <v>0</v>
      </c>
      <c r="G186">
        <v>0</v>
      </c>
      <c r="H186">
        <f t="shared" si="4"/>
        <v>14</v>
      </c>
      <c r="I186">
        <v>0</v>
      </c>
      <c r="J186">
        <v>0</v>
      </c>
      <c r="K186">
        <v>0</v>
      </c>
      <c r="L186">
        <f t="shared" si="5"/>
        <v>0</v>
      </c>
    </row>
    <row r="187" spans="1:12">
      <c r="A187" t="s">
        <v>2996</v>
      </c>
      <c r="B187" t="s">
        <v>774</v>
      </c>
      <c r="C187" t="s">
        <v>2817</v>
      </c>
      <c r="D187" t="s">
        <v>2818</v>
      </c>
      <c r="E187">
        <v>6</v>
      </c>
      <c r="F187">
        <v>0</v>
      </c>
      <c r="G187">
        <v>0</v>
      </c>
      <c r="H187">
        <f t="shared" si="4"/>
        <v>6</v>
      </c>
      <c r="I187">
        <v>0</v>
      </c>
      <c r="J187">
        <v>0</v>
      </c>
      <c r="K187">
        <v>0</v>
      </c>
      <c r="L187">
        <f t="shared" si="5"/>
        <v>0</v>
      </c>
    </row>
    <row r="188" spans="1:12">
      <c r="A188" t="s">
        <v>2996</v>
      </c>
      <c r="B188" t="s">
        <v>774</v>
      </c>
      <c r="C188" t="s">
        <v>2817</v>
      </c>
      <c r="D188" t="s">
        <v>2837</v>
      </c>
      <c r="E188">
        <v>2</v>
      </c>
      <c r="F188">
        <v>0</v>
      </c>
      <c r="G188">
        <v>0</v>
      </c>
      <c r="H188">
        <f t="shared" si="4"/>
        <v>2</v>
      </c>
      <c r="I188">
        <v>0</v>
      </c>
      <c r="J188">
        <v>0</v>
      </c>
      <c r="K188">
        <v>0</v>
      </c>
      <c r="L188">
        <f t="shared" si="5"/>
        <v>0</v>
      </c>
    </row>
    <row r="189" spans="1:12">
      <c r="A189" t="s">
        <v>2997</v>
      </c>
      <c r="B189" t="s">
        <v>781</v>
      </c>
      <c r="C189" t="s">
        <v>2805</v>
      </c>
      <c r="D189" t="s">
        <v>2806</v>
      </c>
      <c r="E189">
        <v>312</v>
      </c>
      <c r="F189">
        <v>0</v>
      </c>
      <c r="G189">
        <v>0</v>
      </c>
      <c r="H189">
        <f t="shared" si="4"/>
        <v>312</v>
      </c>
      <c r="I189">
        <v>0</v>
      </c>
      <c r="J189">
        <v>0</v>
      </c>
      <c r="K189">
        <v>0</v>
      </c>
      <c r="L189">
        <f t="shared" si="5"/>
        <v>0</v>
      </c>
    </row>
    <row r="190" spans="1:12">
      <c r="A190" t="s">
        <v>2997</v>
      </c>
      <c r="B190" t="s">
        <v>781</v>
      </c>
      <c r="C190" t="s">
        <v>2805</v>
      </c>
      <c r="D190" t="s">
        <v>449</v>
      </c>
      <c r="E190">
        <v>579</v>
      </c>
      <c r="F190">
        <v>1</v>
      </c>
      <c r="G190">
        <v>0</v>
      </c>
      <c r="H190">
        <f t="shared" si="4"/>
        <v>580</v>
      </c>
      <c r="I190">
        <v>4</v>
      </c>
      <c r="J190">
        <v>0</v>
      </c>
      <c r="K190">
        <v>0</v>
      </c>
      <c r="L190">
        <f t="shared" si="5"/>
        <v>4</v>
      </c>
    </row>
    <row r="191" spans="1:12">
      <c r="A191" t="s">
        <v>2997</v>
      </c>
      <c r="B191" t="s">
        <v>781</v>
      </c>
      <c r="C191" t="s">
        <v>2805</v>
      </c>
      <c r="D191" t="s">
        <v>2807</v>
      </c>
      <c r="E191">
        <v>14</v>
      </c>
      <c r="F191">
        <v>0</v>
      </c>
      <c r="G191">
        <v>0</v>
      </c>
      <c r="H191">
        <f t="shared" si="4"/>
        <v>14</v>
      </c>
      <c r="I191">
        <v>1</v>
      </c>
      <c r="J191">
        <v>0</v>
      </c>
      <c r="K191">
        <v>0</v>
      </c>
      <c r="L191">
        <f t="shared" si="5"/>
        <v>1</v>
      </c>
    </row>
    <row r="192" spans="1:12">
      <c r="A192" t="s">
        <v>2997</v>
      </c>
      <c r="B192" t="s">
        <v>781</v>
      </c>
      <c r="C192" t="s">
        <v>2805</v>
      </c>
      <c r="D192" t="s">
        <v>2937</v>
      </c>
      <c r="E192">
        <v>0</v>
      </c>
      <c r="F192">
        <v>2</v>
      </c>
      <c r="G192">
        <v>0</v>
      </c>
      <c r="H192">
        <f t="shared" si="4"/>
        <v>2</v>
      </c>
      <c r="I192">
        <v>0</v>
      </c>
      <c r="J192">
        <v>0</v>
      </c>
      <c r="K192">
        <v>0</v>
      </c>
      <c r="L192">
        <f t="shared" si="5"/>
        <v>0</v>
      </c>
    </row>
    <row r="193" spans="1:12">
      <c r="A193" t="s">
        <v>2997</v>
      </c>
      <c r="B193" t="s">
        <v>781</v>
      </c>
      <c r="C193" t="s">
        <v>2810</v>
      </c>
      <c r="D193" t="s">
        <v>2811</v>
      </c>
      <c r="E193">
        <v>55</v>
      </c>
      <c r="F193">
        <v>0</v>
      </c>
      <c r="G193">
        <v>0</v>
      </c>
      <c r="H193">
        <f t="shared" si="4"/>
        <v>55</v>
      </c>
      <c r="I193">
        <v>4</v>
      </c>
      <c r="J193">
        <v>0</v>
      </c>
      <c r="K193">
        <v>0</v>
      </c>
      <c r="L193">
        <f t="shared" si="5"/>
        <v>4</v>
      </c>
    </row>
    <row r="194" spans="1:12">
      <c r="A194" t="s">
        <v>2997</v>
      </c>
      <c r="B194" t="s">
        <v>781</v>
      </c>
      <c r="C194" t="s">
        <v>2810</v>
      </c>
      <c r="D194" t="s">
        <v>2823</v>
      </c>
      <c r="E194">
        <v>3</v>
      </c>
      <c r="F194">
        <v>19</v>
      </c>
      <c r="G194">
        <v>0</v>
      </c>
      <c r="H194">
        <f t="shared" si="4"/>
        <v>22</v>
      </c>
      <c r="I194">
        <v>0</v>
      </c>
      <c r="J194">
        <v>0</v>
      </c>
      <c r="K194">
        <v>0</v>
      </c>
      <c r="L194">
        <f t="shared" si="5"/>
        <v>0</v>
      </c>
    </row>
    <row r="195" spans="1:12">
      <c r="A195" t="s">
        <v>2997</v>
      </c>
      <c r="B195" t="s">
        <v>781</v>
      </c>
      <c r="C195" t="s">
        <v>2810</v>
      </c>
      <c r="D195" t="s">
        <v>2812</v>
      </c>
      <c r="E195">
        <v>117</v>
      </c>
      <c r="F195">
        <v>0</v>
      </c>
      <c r="G195">
        <v>0</v>
      </c>
      <c r="H195">
        <f t="shared" si="4"/>
        <v>117</v>
      </c>
      <c r="I195">
        <v>0</v>
      </c>
      <c r="J195">
        <v>0</v>
      </c>
      <c r="K195">
        <v>0</v>
      </c>
      <c r="L195">
        <f t="shared" si="5"/>
        <v>0</v>
      </c>
    </row>
    <row r="196" spans="1:12">
      <c r="A196" t="s">
        <v>2997</v>
      </c>
      <c r="B196" t="s">
        <v>781</v>
      </c>
      <c r="C196" t="s">
        <v>2810</v>
      </c>
      <c r="D196" t="s">
        <v>2813</v>
      </c>
      <c r="E196">
        <v>11</v>
      </c>
      <c r="F196">
        <v>0</v>
      </c>
      <c r="G196">
        <v>0</v>
      </c>
      <c r="H196">
        <f t="shared" ref="H196:H259" si="6">SUM(E196:G196)</f>
        <v>11</v>
      </c>
      <c r="I196">
        <v>0</v>
      </c>
      <c r="J196">
        <v>0</v>
      </c>
      <c r="K196">
        <v>0</v>
      </c>
      <c r="L196">
        <f t="shared" ref="L196:L259" si="7">SUM(I196:K196)</f>
        <v>0</v>
      </c>
    </row>
    <row r="197" spans="1:12">
      <c r="A197" t="s">
        <v>2997</v>
      </c>
      <c r="B197" t="s">
        <v>781</v>
      </c>
      <c r="C197" t="s">
        <v>2810</v>
      </c>
      <c r="D197" t="s">
        <v>2814</v>
      </c>
      <c r="E197">
        <v>5</v>
      </c>
      <c r="F197">
        <v>0</v>
      </c>
      <c r="G197">
        <v>0</v>
      </c>
      <c r="H197">
        <f t="shared" si="6"/>
        <v>5</v>
      </c>
      <c r="I197">
        <v>0</v>
      </c>
      <c r="J197">
        <v>0</v>
      </c>
      <c r="K197">
        <v>0</v>
      </c>
      <c r="L197">
        <f t="shared" si="7"/>
        <v>0</v>
      </c>
    </row>
    <row r="198" spans="1:12">
      <c r="A198" t="s">
        <v>2997</v>
      </c>
      <c r="B198" t="s">
        <v>781</v>
      </c>
      <c r="C198" t="s">
        <v>2810</v>
      </c>
      <c r="D198" t="s">
        <v>2847</v>
      </c>
      <c r="E198">
        <v>22</v>
      </c>
      <c r="F198">
        <v>0</v>
      </c>
      <c r="G198">
        <v>0</v>
      </c>
      <c r="H198">
        <f t="shared" si="6"/>
        <v>22</v>
      </c>
      <c r="I198">
        <v>0</v>
      </c>
      <c r="J198">
        <v>0</v>
      </c>
      <c r="K198">
        <v>0</v>
      </c>
      <c r="L198">
        <f t="shared" si="7"/>
        <v>0</v>
      </c>
    </row>
    <row r="199" spans="1:12">
      <c r="A199" t="s">
        <v>2997</v>
      </c>
      <c r="B199" t="s">
        <v>781</v>
      </c>
      <c r="C199" t="s">
        <v>2810</v>
      </c>
      <c r="D199" t="s">
        <v>2840</v>
      </c>
      <c r="E199">
        <v>1</v>
      </c>
      <c r="F199">
        <v>0</v>
      </c>
      <c r="G199">
        <v>0</v>
      </c>
      <c r="H199">
        <f t="shared" si="6"/>
        <v>1</v>
      </c>
      <c r="I199">
        <v>0</v>
      </c>
      <c r="J199">
        <v>0</v>
      </c>
      <c r="K199">
        <v>0</v>
      </c>
      <c r="L199">
        <f t="shared" si="7"/>
        <v>0</v>
      </c>
    </row>
    <row r="200" spans="1:12">
      <c r="A200" t="s">
        <v>2997</v>
      </c>
      <c r="B200" t="s">
        <v>781</v>
      </c>
      <c r="C200" t="s">
        <v>2810</v>
      </c>
      <c r="D200" t="s">
        <v>2815</v>
      </c>
      <c r="E200">
        <v>3</v>
      </c>
      <c r="F200">
        <v>0</v>
      </c>
      <c r="G200">
        <v>0</v>
      </c>
      <c r="H200">
        <f t="shared" si="6"/>
        <v>3</v>
      </c>
      <c r="I200">
        <v>0</v>
      </c>
      <c r="J200">
        <v>0</v>
      </c>
      <c r="K200">
        <v>0</v>
      </c>
      <c r="L200">
        <f t="shared" si="7"/>
        <v>0</v>
      </c>
    </row>
    <row r="201" spans="1:12">
      <c r="A201" t="s">
        <v>2997</v>
      </c>
      <c r="B201" t="s">
        <v>781</v>
      </c>
      <c r="C201" t="s">
        <v>2816</v>
      </c>
      <c r="D201" t="s">
        <v>1896</v>
      </c>
      <c r="E201">
        <v>10</v>
      </c>
      <c r="F201">
        <v>0</v>
      </c>
      <c r="G201">
        <v>0</v>
      </c>
      <c r="H201">
        <f t="shared" si="6"/>
        <v>10</v>
      </c>
      <c r="I201">
        <v>0</v>
      </c>
      <c r="J201">
        <v>0</v>
      </c>
      <c r="K201">
        <v>0</v>
      </c>
      <c r="L201">
        <f t="shared" si="7"/>
        <v>0</v>
      </c>
    </row>
    <row r="202" spans="1:12">
      <c r="A202" t="s">
        <v>2997</v>
      </c>
      <c r="B202" t="s">
        <v>781</v>
      </c>
      <c r="C202" t="s">
        <v>2816</v>
      </c>
      <c r="D202" t="s">
        <v>1897</v>
      </c>
      <c r="E202">
        <v>29</v>
      </c>
      <c r="F202">
        <v>0</v>
      </c>
      <c r="G202">
        <v>0</v>
      </c>
      <c r="H202">
        <f t="shared" si="6"/>
        <v>29</v>
      </c>
      <c r="I202">
        <v>0</v>
      </c>
      <c r="J202">
        <v>0</v>
      </c>
      <c r="K202">
        <v>0</v>
      </c>
      <c r="L202">
        <f t="shared" si="7"/>
        <v>0</v>
      </c>
    </row>
    <row r="203" spans="1:12">
      <c r="A203" t="s">
        <v>2997</v>
      </c>
      <c r="B203" t="s">
        <v>781</v>
      </c>
      <c r="C203" t="s">
        <v>2826</v>
      </c>
      <c r="D203" t="s">
        <v>2827</v>
      </c>
      <c r="E203">
        <v>0</v>
      </c>
      <c r="F203">
        <v>0</v>
      </c>
      <c r="G203">
        <v>0</v>
      </c>
      <c r="H203">
        <f t="shared" si="6"/>
        <v>0</v>
      </c>
      <c r="I203">
        <v>1</v>
      </c>
      <c r="J203">
        <v>0</v>
      </c>
      <c r="K203">
        <v>0</v>
      </c>
      <c r="L203">
        <f t="shared" si="7"/>
        <v>1</v>
      </c>
    </row>
    <row r="204" spans="1:12">
      <c r="A204" t="s">
        <v>2997</v>
      </c>
      <c r="B204" t="s">
        <v>781</v>
      </c>
      <c r="C204" t="s">
        <v>2826</v>
      </c>
      <c r="D204" t="s">
        <v>2830</v>
      </c>
      <c r="E204">
        <v>0</v>
      </c>
      <c r="F204">
        <v>0</v>
      </c>
      <c r="G204">
        <v>0</v>
      </c>
      <c r="H204">
        <f t="shared" si="6"/>
        <v>0</v>
      </c>
      <c r="I204">
        <v>1</v>
      </c>
      <c r="J204">
        <v>0</v>
      </c>
      <c r="K204">
        <v>0</v>
      </c>
      <c r="L204">
        <f t="shared" si="7"/>
        <v>1</v>
      </c>
    </row>
    <row r="205" spans="1:12">
      <c r="A205" t="s">
        <v>2997</v>
      </c>
      <c r="B205" t="s">
        <v>781</v>
      </c>
      <c r="C205" t="s">
        <v>2826</v>
      </c>
      <c r="D205" t="s">
        <v>2843</v>
      </c>
      <c r="E205">
        <v>0</v>
      </c>
      <c r="F205">
        <v>0</v>
      </c>
      <c r="G205">
        <v>0</v>
      </c>
      <c r="H205">
        <f t="shared" si="6"/>
        <v>0</v>
      </c>
      <c r="I205">
        <v>1</v>
      </c>
      <c r="J205">
        <v>0</v>
      </c>
      <c r="K205">
        <v>0</v>
      </c>
      <c r="L205">
        <f t="shared" si="7"/>
        <v>1</v>
      </c>
    </row>
    <row r="206" spans="1:12">
      <c r="A206" t="s">
        <v>2997</v>
      </c>
      <c r="B206" t="s">
        <v>781</v>
      </c>
      <c r="C206" t="s">
        <v>2817</v>
      </c>
      <c r="D206" t="s">
        <v>2818</v>
      </c>
      <c r="E206">
        <v>5</v>
      </c>
      <c r="F206">
        <v>0</v>
      </c>
      <c r="G206">
        <v>0</v>
      </c>
      <c r="H206">
        <f t="shared" si="6"/>
        <v>5</v>
      </c>
      <c r="I206">
        <v>0</v>
      </c>
      <c r="J206">
        <v>0</v>
      </c>
      <c r="K206">
        <v>0</v>
      </c>
      <c r="L206">
        <f t="shared" si="7"/>
        <v>0</v>
      </c>
    </row>
    <row r="207" spans="1:12">
      <c r="A207" t="s">
        <v>2997</v>
      </c>
      <c r="B207" t="s">
        <v>781</v>
      </c>
      <c r="C207" t="s">
        <v>2817</v>
      </c>
      <c r="D207" t="s">
        <v>2837</v>
      </c>
      <c r="E207">
        <v>12</v>
      </c>
      <c r="F207">
        <v>0</v>
      </c>
      <c r="G207">
        <v>0</v>
      </c>
      <c r="H207">
        <f t="shared" si="6"/>
        <v>12</v>
      </c>
      <c r="I207">
        <v>0</v>
      </c>
      <c r="J207">
        <v>0</v>
      </c>
      <c r="K207">
        <v>0</v>
      </c>
      <c r="L207">
        <f t="shared" si="7"/>
        <v>0</v>
      </c>
    </row>
    <row r="208" spans="1:12">
      <c r="A208" t="s">
        <v>3000</v>
      </c>
      <c r="B208" t="s">
        <v>787</v>
      </c>
      <c r="C208" t="s">
        <v>2805</v>
      </c>
      <c r="D208" t="s">
        <v>2806</v>
      </c>
      <c r="E208">
        <v>4</v>
      </c>
      <c r="F208">
        <v>0</v>
      </c>
      <c r="G208">
        <v>0</v>
      </c>
      <c r="H208">
        <f t="shared" si="6"/>
        <v>4</v>
      </c>
      <c r="I208">
        <v>0</v>
      </c>
      <c r="J208">
        <v>0</v>
      </c>
      <c r="K208">
        <v>0</v>
      </c>
      <c r="L208">
        <f t="shared" si="7"/>
        <v>0</v>
      </c>
    </row>
    <row r="209" spans="1:12">
      <c r="A209" t="s">
        <v>3000</v>
      </c>
      <c r="B209" t="s">
        <v>787</v>
      </c>
      <c r="C209" t="s">
        <v>2805</v>
      </c>
      <c r="D209" t="s">
        <v>449</v>
      </c>
      <c r="E209">
        <v>27</v>
      </c>
      <c r="F209">
        <v>0</v>
      </c>
      <c r="G209">
        <v>0</v>
      </c>
      <c r="H209">
        <f t="shared" si="6"/>
        <v>27</v>
      </c>
      <c r="I209">
        <v>0</v>
      </c>
      <c r="J209">
        <v>0</v>
      </c>
      <c r="K209">
        <v>0</v>
      </c>
      <c r="L209">
        <f t="shared" si="7"/>
        <v>0</v>
      </c>
    </row>
    <row r="210" spans="1:12">
      <c r="A210" t="s">
        <v>3000</v>
      </c>
      <c r="B210" t="s">
        <v>787</v>
      </c>
      <c r="C210" t="s">
        <v>2805</v>
      </c>
      <c r="D210" t="s">
        <v>2807</v>
      </c>
      <c r="E210">
        <v>5</v>
      </c>
      <c r="F210">
        <v>0</v>
      </c>
      <c r="G210">
        <v>0</v>
      </c>
      <c r="H210">
        <f t="shared" si="6"/>
        <v>5</v>
      </c>
      <c r="I210">
        <v>0</v>
      </c>
      <c r="J210">
        <v>0</v>
      </c>
      <c r="K210">
        <v>0</v>
      </c>
      <c r="L210">
        <f t="shared" si="7"/>
        <v>0</v>
      </c>
    </row>
    <row r="211" spans="1:12">
      <c r="A211" t="s">
        <v>3000</v>
      </c>
      <c r="B211" t="s">
        <v>787</v>
      </c>
      <c r="C211" t="s">
        <v>2810</v>
      </c>
      <c r="D211" t="s">
        <v>2813</v>
      </c>
      <c r="E211">
        <v>2</v>
      </c>
      <c r="F211">
        <v>0</v>
      </c>
      <c r="G211">
        <v>0</v>
      </c>
      <c r="H211">
        <f t="shared" si="6"/>
        <v>2</v>
      </c>
      <c r="I211">
        <v>0</v>
      </c>
      <c r="J211">
        <v>0</v>
      </c>
      <c r="K211">
        <v>0</v>
      </c>
      <c r="L211">
        <f t="shared" si="7"/>
        <v>0</v>
      </c>
    </row>
    <row r="212" spans="1:12">
      <c r="A212" t="s">
        <v>3000</v>
      </c>
      <c r="B212" t="s">
        <v>787</v>
      </c>
      <c r="C212" t="s">
        <v>2810</v>
      </c>
      <c r="D212" t="s">
        <v>2814</v>
      </c>
      <c r="E212">
        <v>2</v>
      </c>
      <c r="F212">
        <v>0</v>
      </c>
      <c r="G212">
        <v>0</v>
      </c>
      <c r="H212">
        <f t="shared" si="6"/>
        <v>2</v>
      </c>
      <c r="I212">
        <v>0</v>
      </c>
      <c r="J212">
        <v>0</v>
      </c>
      <c r="K212">
        <v>0</v>
      </c>
      <c r="L212">
        <f t="shared" si="7"/>
        <v>0</v>
      </c>
    </row>
    <row r="213" spans="1:12">
      <c r="A213" t="s">
        <v>3000</v>
      </c>
      <c r="B213" t="s">
        <v>787</v>
      </c>
      <c r="C213" t="s">
        <v>2810</v>
      </c>
      <c r="D213" t="s">
        <v>2815</v>
      </c>
      <c r="E213">
        <v>1</v>
      </c>
      <c r="F213">
        <v>0</v>
      </c>
      <c r="G213">
        <v>0</v>
      </c>
      <c r="H213">
        <f t="shared" si="6"/>
        <v>1</v>
      </c>
      <c r="I213">
        <v>0</v>
      </c>
      <c r="J213">
        <v>0</v>
      </c>
      <c r="K213">
        <v>0</v>
      </c>
      <c r="L213">
        <f t="shared" si="7"/>
        <v>0</v>
      </c>
    </row>
    <row r="214" spans="1:12">
      <c r="A214" t="s">
        <v>3000</v>
      </c>
      <c r="B214" t="s">
        <v>787</v>
      </c>
      <c r="C214" t="s">
        <v>2826</v>
      </c>
      <c r="D214" t="s">
        <v>2872</v>
      </c>
      <c r="E214">
        <v>1</v>
      </c>
      <c r="F214">
        <v>0</v>
      </c>
      <c r="G214">
        <v>0</v>
      </c>
      <c r="H214">
        <f t="shared" si="6"/>
        <v>1</v>
      </c>
      <c r="I214">
        <v>1</v>
      </c>
      <c r="J214">
        <v>0</v>
      </c>
      <c r="K214">
        <v>0</v>
      </c>
      <c r="L214">
        <f t="shared" si="7"/>
        <v>1</v>
      </c>
    </row>
    <row r="215" spans="1:12">
      <c r="A215" t="s">
        <v>3000</v>
      </c>
      <c r="B215" t="s">
        <v>787</v>
      </c>
      <c r="C215" t="s">
        <v>2826</v>
      </c>
      <c r="D215" t="s">
        <v>2858</v>
      </c>
      <c r="E215">
        <v>5</v>
      </c>
      <c r="F215">
        <v>0</v>
      </c>
      <c r="G215">
        <v>0</v>
      </c>
      <c r="H215">
        <f t="shared" si="6"/>
        <v>5</v>
      </c>
      <c r="I215">
        <v>1</v>
      </c>
      <c r="J215">
        <v>0</v>
      </c>
      <c r="K215">
        <v>0</v>
      </c>
      <c r="L215">
        <f t="shared" si="7"/>
        <v>1</v>
      </c>
    </row>
    <row r="216" spans="1:12">
      <c r="A216" t="s">
        <v>3000</v>
      </c>
      <c r="B216" t="s">
        <v>787</v>
      </c>
      <c r="C216" t="s">
        <v>2826</v>
      </c>
      <c r="D216" t="s">
        <v>2843</v>
      </c>
      <c r="E216">
        <v>4</v>
      </c>
      <c r="F216">
        <v>0</v>
      </c>
      <c r="G216">
        <v>0</v>
      </c>
      <c r="H216">
        <f t="shared" si="6"/>
        <v>4</v>
      </c>
      <c r="I216">
        <v>0</v>
      </c>
      <c r="J216">
        <v>0</v>
      </c>
      <c r="K216">
        <v>0</v>
      </c>
      <c r="L216">
        <f t="shared" si="7"/>
        <v>0</v>
      </c>
    </row>
    <row r="217" spans="1:12">
      <c r="A217" t="s">
        <v>3000</v>
      </c>
      <c r="B217" t="s">
        <v>787</v>
      </c>
      <c r="C217" t="s">
        <v>2826</v>
      </c>
      <c r="D217" t="s">
        <v>2834</v>
      </c>
      <c r="E217">
        <v>6</v>
      </c>
      <c r="F217">
        <v>0</v>
      </c>
      <c r="G217">
        <v>0</v>
      </c>
      <c r="H217">
        <f t="shared" si="6"/>
        <v>6</v>
      </c>
      <c r="I217">
        <v>0</v>
      </c>
      <c r="J217">
        <v>0</v>
      </c>
      <c r="K217">
        <v>0</v>
      </c>
      <c r="L217">
        <f t="shared" si="7"/>
        <v>0</v>
      </c>
    </row>
    <row r="218" spans="1:12">
      <c r="A218" t="s">
        <v>3000</v>
      </c>
      <c r="B218" t="s">
        <v>787</v>
      </c>
      <c r="C218" t="s">
        <v>2817</v>
      </c>
      <c r="D218" t="s">
        <v>2877</v>
      </c>
      <c r="E218">
        <v>1</v>
      </c>
      <c r="F218">
        <v>0</v>
      </c>
      <c r="G218">
        <v>0</v>
      </c>
      <c r="H218">
        <f t="shared" si="6"/>
        <v>1</v>
      </c>
      <c r="I218">
        <v>0</v>
      </c>
      <c r="J218">
        <v>0</v>
      </c>
      <c r="K218">
        <v>0</v>
      </c>
      <c r="L218">
        <f t="shared" si="7"/>
        <v>0</v>
      </c>
    </row>
    <row r="219" spans="1:12">
      <c r="A219" t="s">
        <v>3000</v>
      </c>
      <c r="B219" t="s">
        <v>787</v>
      </c>
      <c r="C219" t="s">
        <v>2820</v>
      </c>
      <c r="D219" t="s">
        <v>2821</v>
      </c>
      <c r="E219">
        <v>3</v>
      </c>
      <c r="F219">
        <v>0</v>
      </c>
      <c r="G219">
        <v>0</v>
      </c>
      <c r="H219">
        <f t="shared" si="6"/>
        <v>3</v>
      </c>
      <c r="I219">
        <v>0</v>
      </c>
      <c r="J219">
        <v>0</v>
      </c>
      <c r="K219">
        <v>0</v>
      </c>
      <c r="L219">
        <f t="shared" si="7"/>
        <v>0</v>
      </c>
    </row>
    <row r="220" spans="1:12">
      <c r="A220" t="s">
        <v>3001</v>
      </c>
      <c r="B220" t="s">
        <v>335</v>
      </c>
      <c r="C220" t="s">
        <v>2826</v>
      </c>
      <c r="D220" t="s">
        <v>2891</v>
      </c>
      <c r="E220">
        <v>0</v>
      </c>
      <c r="F220">
        <v>0</v>
      </c>
      <c r="G220">
        <v>0</v>
      </c>
      <c r="H220">
        <f t="shared" si="6"/>
        <v>0</v>
      </c>
      <c r="I220">
        <v>1</v>
      </c>
      <c r="J220">
        <v>0</v>
      </c>
      <c r="K220">
        <v>0</v>
      </c>
      <c r="L220">
        <f t="shared" si="7"/>
        <v>1</v>
      </c>
    </row>
    <row r="221" spans="1:12">
      <c r="A221" t="s">
        <v>3001</v>
      </c>
      <c r="B221" t="s">
        <v>335</v>
      </c>
      <c r="C221" t="s">
        <v>2826</v>
      </c>
      <c r="D221" t="s">
        <v>2843</v>
      </c>
      <c r="E221">
        <v>0</v>
      </c>
      <c r="F221">
        <v>0</v>
      </c>
      <c r="G221">
        <v>0</v>
      </c>
      <c r="H221">
        <f t="shared" si="6"/>
        <v>0</v>
      </c>
      <c r="I221">
        <v>1</v>
      </c>
      <c r="J221">
        <v>0</v>
      </c>
      <c r="K221">
        <v>0</v>
      </c>
      <c r="L221">
        <f t="shared" si="7"/>
        <v>1</v>
      </c>
    </row>
    <row r="222" spans="1:12">
      <c r="A222" t="s">
        <v>3001</v>
      </c>
      <c r="B222" t="s">
        <v>335</v>
      </c>
      <c r="C222" t="s">
        <v>2826</v>
      </c>
      <c r="D222" t="s">
        <v>2849</v>
      </c>
      <c r="E222">
        <v>0</v>
      </c>
      <c r="F222">
        <v>0</v>
      </c>
      <c r="G222">
        <v>0</v>
      </c>
      <c r="H222">
        <f t="shared" si="6"/>
        <v>0</v>
      </c>
      <c r="I222">
        <v>1</v>
      </c>
      <c r="J222">
        <v>0</v>
      </c>
      <c r="K222">
        <v>0</v>
      </c>
      <c r="L222">
        <f t="shared" si="7"/>
        <v>1</v>
      </c>
    </row>
    <row r="223" spans="1:12">
      <c r="A223" t="s">
        <v>3001</v>
      </c>
      <c r="B223" t="s">
        <v>335</v>
      </c>
      <c r="C223" t="s">
        <v>2817</v>
      </c>
      <c r="D223" t="s">
        <v>2837</v>
      </c>
      <c r="E223">
        <v>1</v>
      </c>
      <c r="F223">
        <v>0</v>
      </c>
      <c r="G223">
        <v>0</v>
      </c>
      <c r="H223">
        <f t="shared" si="6"/>
        <v>1</v>
      </c>
      <c r="I223">
        <v>0</v>
      </c>
      <c r="J223">
        <v>0</v>
      </c>
      <c r="K223">
        <v>0</v>
      </c>
      <c r="L223">
        <f t="shared" si="7"/>
        <v>0</v>
      </c>
    </row>
    <row r="224" spans="1:12">
      <c r="A224" t="s">
        <v>3002</v>
      </c>
      <c r="B224" t="s">
        <v>807</v>
      </c>
      <c r="C224" t="s">
        <v>2805</v>
      </c>
      <c r="D224" t="s">
        <v>449</v>
      </c>
      <c r="E224">
        <v>4</v>
      </c>
      <c r="F224">
        <v>0</v>
      </c>
      <c r="G224">
        <v>0</v>
      </c>
      <c r="H224">
        <f t="shared" si="6"/>
        <v>4</v>
      </c>
      <c r="I224">
        <v>3</v>
      </c>
      <c r="J224">
        <v>0</v>
      </c>
      <c r="K224">
        <v>0</v>
      </c>
      <c r="L224">
        <f t="shared" si="7"/>
        <v>3</v>
      </c>
    </row>
    <row r="225" spans="1:12">
      <c r="A225" t="s">
        <v>3002</v>
      </c>
      <c r="B225" t="s">
        <v>807</v>
      </c>
      <c r="C225" t="s">
        <v>2810</v>
      </c>
      <c r="D225" t="s">
        <v>2813</v>
      </c>
      <c r="E225">
        <v>2</v>
      </c>
      <c r="F225">
        <v>0</v>
      </c>
      <c r="G225">
        <v>0</v>
      </c>
      <c r="H225">
        <f t="shared" si="6"/>
        <v>2</v>
      </c>
      <c r="I225">
        <v>6</v>
      </c>
      <c r="J225">
        <v>0</v>
      </c>
      <c r="K225">
        <v>0</v>
      </c>
      <c r="L225">
        <f t="shared" si="7"/>
        <v>6</v>
      </c>
    </row>
    <row r="226" spans="1:12">
      <c r="A226" t="s">
        <v>3002</v>
      </c>
      <c r="B226" t="s">
        <v>807</v>
      </c>
      <c r="C226" t="s">
        <v>2810</v>
      </c>
      <c r="D226" t="s">
        <v>2847</v>
      </c>
      <c r="E226">
        <v>76</v>
      </c>
      <c r="F226">
        <v>0</v>
      </c>
      <c r="G226">
        <v>0</v>
      </c>
      <c r="H226">
        <f t="shared" si="6"/>
        <v>76</v>
      </c>
      <c r="I226">
        <v>6</v>
      </c>
      <c r="J226">
        <v>0</v>
      </c>
      <c r="K226">
        <v>0</v>
      </c>
      <c r="L226">
        <f t="shared" si="7"/>
        <v>6</v>
      </c>
    </row>
    <row r="227" spans="1:12">
      <c r="A227" t="s">
        <v>3006</v>
      </c>
      <c r="B227" t="s">
        <v>812</v>
      </c>
      <c r="C227" t="s">
        <v>2805</v>
      </c>
      <c r="D227" t="s">
        <v>2806</v>
      </c>
      <c r="E227">
        <v>203</v>
      </c>
      <c r="F227">
        <v>0</v>
      </c>
      <c r="G227">
        <v>0</v>
      </c>
      <c r="H227">
        <f t="shared" si="6"/>
        <v>203</v>
      </c>
      <c r="I227">
        <v>0</v>
      </c>
      <c r="J227">
        <v>0</v>
      </c>
      <c r="K227">
        <v>0</v>
      </c>
      <c r="L227">
        <f t="shared" si="7"/>
        <v>0</v>
      </c>
    </row>
    <row r="228" spans="1:12">
      <c r="A228" t="s">
        <v>3006</v>
      </c>
      <c r="B228" t="s">
        <v>812</v>
      </c>
      <c r="C228" t="s">
        <v>2805</v>
      </c>
      <c r="D228" t="s">
        <v>449</v>
      </c>
      <c r="E228">
        <v>168</v>
      </c>
      <c r="F228">
        <v>0</v>
      </c>
      <c r="G228">
        <v>0</v>
      </c>
      <c r="H228">
        <f t="shared" si="6"/>
        <v>168</v>
      </c>
      <c r="I228">
        <v>0</v>
      </c>
      <c r="J228">
        <v>0</v>
      </c>
      <c r="K228">
        <v>0</v>
      </c>
      <c r="L228">
        <f t="shared" si="7"/>
        <v>0</v>
      </c>
    </row>
    <row r="229" spans="1:12">
      <c r="A229" t="s">
        <v>3006</v>
      </c>
      <c r="B229" t="s">
        <v>812</v>
      </c>
      <c r="C229" t="s">
        <v>2805</v>
      </c>
      <c r="D229" t="s">
        <v>2807</v>
      </c>
      <c r="E229">
        <v>2</v>
      </c>
      <c r="F229">
        <v>0</v>
      </c>
      <c r="G229">
        <v>0</v>
      </c>
      <c r="H229">
        <f t="shared" si="6"/>
        <v>2</v>
      </c>
      <c r="I229">
        <v>0</v>
      </c>
      <c r="J229">
        <v>0</v>
      </c>
      <c r="K229">
        <v>0</v>
      </c>
      <c r="L229">
        <f t="shared" si="7"/>
        <v>0</v>
      </c>
    </row>
    <row r="230" spans="1:12">
      <c r="A230" t="s">
        <v>3006</v>
      </c>
      <c r="B230" t="s">
        <v>812</v>
      </c>
      <c r="C230" t="s">
        <v>2805</v>
      </c>
      <c r="D230" t="s">
        <v>2809</v>
      </c>
      <c r="E230">
        <v>0</v>
      </c>
      <c r="F230">
        <v>0</v>
      </c>
      <c r="G230">
        <v>0</v>
      </c>
      <c r="H230">
        <f t="shared" si="6"/>
        <v>0</v>
      </c>
      <c r="I230">
        <v>1</v>
      </c>
      <c r="J230">
        <v>0</v>
      </c>
      <c r="K230">
        <v>0</v>
      </c>
      <c r="L230">
        <f t="shared" si="7"/>
        <v>1</v>
      </c>
    </row>
    <row r="231" spans="1:12">
      <c r="A231" t="s">
        <v>3006</v>
      </c>
      <c r="B231" t="s">
        <v>812</v>
      </c>
      <c r="C231" t="s">
        <v>2805</v>
      </c>
      <c r="D231" t="s">
        <v>2937</v>
      </c>
      <c r="E231">
        <v>1</v>
      </c>
      <c r="F231">
        <v>0</v>
      </c>
      <c r="G231">
        <v>0</v>
      </c>
      <c r="H231">
        <f t="shared" si="6"/>
        <v>1</v>
      </c>
      <c r="I231">
        <v>0</v>
      </c>
      <c r="J231">
        <v>0</v>
      </c>
      <c r="K231">
        <v>0</v>
      </c>
      <c r="L231">
        <f t="shared" si="7"/>
        <v>0</v>
      </c>
    </row>
    <row r="232" spans="1:12">
      <c r="A232" t="s">
        <v>3006</v>
      </c>
      <c r="B232" t="s">
        <v>812</v>
      </c>
      <c r="C232" t="s">
        <v>2810</v>
      </c>
      <c r="D232" t="s">
        <v>2811</v>
      </c>
      <c r="E232">
        <v>7</v>
      </c>
      <c r="F232">
        <v>0</v>
      </c>
      <c r="G232">
        <v>0</v>
      </c>
      <c r="H232">
        <f t="shared" si="6"/>
        <v>7</v>
      </c>
      <c r="I232">
        <v>5</v>
      </c>
      <c r="J232">
        <v>0</v>
      </c>
      <c r="K232">
        <v>0</v>
      </c>
      <c r="L232">
        <f t="shared" si="7"/>
        <v>5</v>
      </c>
    </row>
    <row r="233" spans="1:12">
      <c r="A233" t="s">
        <v>3006</v>
      </c>
      <c r="B233" t="s">
        <v>812</v>
      </c>
      <c r="C233" t="s">
        <v>2810</v>
      </c>
      <c r="D233" t="s">
        <v>2823</v>
      </c>
      <c r="E233">
        <v>0</v>
      </c>
      <c r="F233">
        <v>2</v>
      </c>
      <c r="G233">
        <v>0</v>
      </c>
      <c r="H233">
        <f t="shared" si="6"/>
        <v>2</v>
      </c>
      <c r="I233">
        <v>0</v>
      </c>
      <c r="J233">
        <v>0</v>
      </c>
      <c r="K233">
        <v>0</v>
      </c>
      <c r="L233">
        <f t="shared" si="7"/>
        <v>0</v>
      </c>
    </row>
    <row r="234" spans="1:12">
      <c r="A234" t="s">
        <v>3006</v>
      </c>
      <c r="B234" t="s">
        <v>812</v>
      </c>
      <c r="C234" t="s">
        <v>2810</v>
      </c>
      <c r="D234" t="s">
        <v>2812</v>
      </c>
      <c r="E234">
        <v>43</v>
      </c>
      <c r="F234">
        <v>0</v>
      </c>
      <c r="G234">
        <v>0</v>
      </c>
      <c r="H234">
        <f t="shared" si="6"/>
        <v>43</v>
      </c>
      <c r="I234">
        <v>0</v>
      </c>
      <c r="J234">
        <v>0</v>
      </c>
      <c r="K234">
        <v>0</v>
      </c>
      <c r="L234">
        <f t="shared" si="7"/>
        <v>0</v>
      </c>
    </row>
    <row r="235" spans="1:12">
      <c r="A235" t="s">
        <v>3006</v>
      </c>
      <c r="B235" t="s">
        <v>812</v>
      </c>
      <c r="C235" t="s">
        <v>2810</v>
      </c>
      <c r="D235" t="s">
        <v>2813</v>
      </c>
      <c r="E235">
        <v>27</v>
      </c>
      <c r="F235">
        <v>0</v>
      </c>
      <c r="G235">
        <v>0</v>
      </c>
      <c r="H235">
        <f t="shared" si="6"/>
        <v>27</v>
      </c>
      <c r="I235">
        <v>0</v>
      </c>
      <c r="J235">
        <v>0</v>
      </c>
      <c r="K235">
        <v>0</v>
      </c>
      <c r="L235">
        <f t="shared" si="7"/>
        <v>0</v>
      </c>
    </row>
    <row r="236" spans="1:12">
      <c r="A236" t="s">
        <v>3006</v>
      </c>
      <c r="B236" t="s">
        <v>812</v>
      </c>
      <c r="C236" t="s">
        <v>2810</v>
      </c>
      <c r="D236" t="s">
        <v>2814</v>
      </c>
      <c r="E236">
        <v>1</v>
      </c>
      <c r="F236">
        <v>0</v>
      </c>
      <c r="G236">
        <v>0</v>
      </c>
      <c r="H236">
        <f t="shared" si="6"/>
        <v>1</v>
      </c>
      <c r="I236">
        <v>0</v>
      </c>
      <c r="J236">
        <v>0</v>
      </c>
      <c r="K236">
        <v>0</v>
      </c>
      <c r="L236">
        <f t="shared" si="7"/>
        <v>0</v>
      </c>
    </row>
    <row r="237" spans="1:12">
      <c r="A237" t="s">
        <v>3006</v>
      </c>
      <c r="B237" t="s">
        <v>812</v>
      </c>
      <c r="C237" t="s">
        <v>2810</v>
      </c>
      <c r="D237" t="s">
        <v>2847</v>
      </c>
      <c r="E237">
        <v>22</v>
      </c>
      <c r="F237">
        <v>0</v>
      </c>
      <c r="G237">
        <v>0</v>
      </c>
      <c r="H237">
        <f t="shared" si="6"/>
        <v>22</v>
      </c>
      <c r="I237">
        <v>0</v>
      </c>
      <c r="J237">
        <v>0</v>
      </c>
      <c r="K237">
        <v>0</v>
      </c>
      <c r="L237">
        <f t="shared" si="7"/>
        <v>0</v>
      </c>
    </row>
    <row r="238" spans="1:12">
      <c r="A238" t="s">
        <v>3006</v>
      </c>
      <c r="B238" t="s">
        <v>812</v>
      </c>
      <c r="C238" t="s">
        <v>2810</v>
      </c>
      <c r="D238" t="s">
        <v>2815</v>
      </c>
      <c r="E238">
        <v>17</v>
      </c>
      <c r="F238">
        <v>0</v>
      </c>
      <c r="G238">
        <v>0</v>
      </c>
      <c r="H238">
        <f t="shared" si="6"/>
        <v>17</v>
      </c>
      <c r="I238">
        <v>0</v>
      </c>
      <c r="J238">
        <v>0</v>
      </c>
      <c r="K238">
        <v>0</v>
      </c>
      <c r="L238">
        <f t="shared" si="7"/>
        <v>0</v>
      </c>
    </row>
    <row r="239" spans="1:12">
      <c r="A239" t="s">
        <v>3006</v>
      </c>
      <c r="B239" t="s">
        <v>812</v>
      </c>
      <c r="C239" t="s">
        <v>2816</v>
      </c>
      <c r="D239" t="s">
        <v>2912</v>
      </c>
      <c r="E239">
        <v>0</v>
      </c>
      <c r="F239">
        <v>0</v>
      </c>
      <c r="G239">
        <v>0</v>
      </c>
      <c r="H239">
        <f t="shared" si="6"/>
        <v>0</v>
      </c>
      <c r="I239">
        <v>2</v>
      </c>
      <c r="J239">
        <v>0</v>
      </c>
      <c r="K239">
        <v>0</v>
      </c>
      <c r="L239">
        <f t="shared" si="7"/>
        <v>2</v>
      </c>
    </row>
    <row r="240" spans="1:12">
      <c r="A240" t="s">
        <v>3006</v>
      </c>
      <c r="B240" t="s">
        <v>812</v>
      </c>
      <c r="C240" t="s">
        <v>2816</v>
      </c>
      <c r="D240" t="s">
        <v>1897</v>
      </c>
      <c r="E240">
        <v>49</v>
      </c>
      <c r="F240">
        <v>0</v>
      </c>
      <c r="G240">
        <v>0</v>
      </c>
      <c r="H240">
        <f t="shared" si="6"/>
        <v>49</v>
      </c>
      <c r="I240">
        <v>0</v>
      </c>
      <c r="J240">
        <v>0</v>
      </c>
      <c r="K240">
        <v>0</v>
      </c>
      <c r="L240">
        <f t="shared" si="7"/>
        <v>0</v>
      </c>
    </row>
    <row r="241" spans="1:12">
      <c r="A241" t="s">
        <v>3006</v>
      </c>
      <c r="B241" t="s">
        <v>812</v>
      </c>
      <c r="C241" t="s">
        <v>2826</v>
      </c>
      <c r="D241" t="s">
        <v>2871</v>
      </c>
      <c r="E241">
        <v>0</v>
      </c>
      <c r="F241">
        <v>0</v>
      </c>
      <c r="G241">
        <v>0</v>
      </c>
      <c r="H241">
        <f t="shared" si="6"/>
        <v>0</v>
      </c>
      <c r="I241">
        <v>1</v>
      </c>
      <c r="J241">
        <v>0</v>
      </c>
      <c r="K241">
        <v>0</v>
      </c>
      <c r="L241">
        <f t="shared" si="7"/>
        <v>1</v>
      </c>
    </row>
    <row r="242" spans="1:12">
      <c r="A242" t="s">
        <v>3006</v>
      </c>
      <c r="B242" t="s">
        <v>812</v>
      </c>
      <c r="C242" t="s">
        <v>2826</v>
      </c>
      <c r="D242" t="s">
        <v>2834</v>
      </c>
      <c r="E242">
        <v>0</v>
      </c>
      <c r="F242">
        <v>0</v>
      </c>
      <c r="G242">
        <v>0</v>
      </c>
      <c r="H242">
        <f t="shared" si="6"/>
        <v>0</v>
      </c>
      <c r="I242">
        <v>1</v>
      </c>
      <c r="J242">
        <v>0</v>
      </c>
      <c r="K242">
        <v>0</v>
      </c>
      <c r="L242">
        <f t="shared" si="7"/>
        <v>1</v>
      </c>
    </row>
    <row r="243" spans="1:12">
      <c r="A243" t="s">
        <v>3006</v>
      </c>
      <c r="B243" t="s">
        <v>812</v>
      </c>
      <c r="C243" t="s">
        <v>2826</v>
      </c>
      <c r="D243" t="s">
        <v>2849</v>
      </c>
      <c r="E243">
        <v>0</v>
      </c>
      <c r="F243">
        <v>0</v>
      </c>
      <c r="G243">
        <v>0</v>
      </c>
      <c r="H243">
        <f t="shared" si="6"/>
        <v>0</v>
      </c>
      <c r="I243">
        <v>1</v>
      </c>
      <c r="J243">
        <v>0</v>
      </c>
      <c r="K243">
        <v>0</v>
      </c>
      <c r="L243">
        <f t="shared" si="7"/>
        <v>1</v>
      </c>
    </row>
    <row r="244" spans="1:12">
      <c r="A244" t="s">
        <v>3006</v>
      </c>
      <c r="B244" t="s">
        <v>812</v>
      </c>
      <c r="C244" t="s">
        <v>2817</v>
      </c>
      <c r="D244" t="s">
        <v>2818</v>
      </c>
      <c r="E244">
        <v>8</v>
      </c>
      <c r="F244">
        <v>0</v>
      </c>
      <c r="G244">
        <v>0</v>
      </c>
      <c r="H244">
        <f t="shared" si="6"/>
        <v>8</v>
      </c>
      <c r="I244">
        <v>0</v>
      </c>
      <c r="J244">
        <v>0</v>
      </c>
      <c r="K244">
        <v>0</v>
      </c>
      <c r="L244">
        <f t="shared" si="7"/>
        <v>0</v>
      </c>
    </row>
    <row r="245" spans="1:12">
      <c r="A245" t="s">
        <v>3006</v>
      </c>
      <c r="B245" t="s">
        <v>812</v>
      </c>
      <c r="C245" t="s">
        <v>2820</v>
      </c>
      <c r="D245" t="s">
        <v>2821</v>
      </c>
      <c r="E245">
        <v>1</v>
      </c>
      <c r="F245">
        <v>0</v>
      </c>
      <c r="G245">
        <v>0</v>
      </c>
      <c r="H245">
        <f t="shared" si="6"/>
        <v>1</v>
      </c>
      <c r="I245">
        <v>0</v>
      </c>
      <c r="J245">
        <v>0</v>
      </c>
      <c r="K245">
        <v>0</v>
      </c>
      <c r="L245">
        <f t="shared" si="7"/>
        <v>0</v>
      </c>
    </row>
    <row r="246" spans="1:12">
      <c r="A246" t="s">
        <v>3007</v>
      </c>
      <c r="B246" t="s">
        <v>817</v>
      </c>
      <c r="C246" t="s">
        <v>2805</v>
      </c>
      <c r="D246" t="s">
        <v>2806</v>
      </c>
      <c r="E246">
        <v>212</v>
      </c>
      <c r="F246">
        <v>0</v>
      </c>
      <c r="G246">
        <v>0</v>
      </c>
      <c r="H246">
        <f t="shared" si="6"/>
        <v>212</v>
      </c>
      <c r="I246">
        <v>0</v>
      </c>
      <c r="J246">
        <v>0</v>
      </c>
      <c r="K246">
        <v>0</v>
      </c>
      <c r="L246">
        <f t="shared" si="7"/>
        <v>0</v>
      </c>
    </row>
    <row r="247" spans="1:12">
      <c r="A247" t="s">
        <v>3007</v>
      </c>
      <c r="B247" t="s">
        <v>817</v>
      </c>
      <c r="C247" t="s">
        <v>2805</v>
      </c>
      <c r="D247" t="s">
        <v>449</v>
      </c>
      <c r="E247">
        <v>405</v>
      </c>
      <c r="F247">
        <v>0</v>
      </c>
      <c r="G247">
        <v>0</v>
      </c>
      <c r="H247">
        <f t="shared" si="6"/>
        <v>405</v>
      </c>
      <c r="I247">
        <v>0</v>
      </c>
      <c r="J247">
        <v>0</v>
      </c>
      <c r="K247">
        <v>0</v>
      </c>
      <c r="L247">
        <f t="shared" si="7"/>
        <v>0</v>
      </c>
    </row>
    <row r="248" spans="1:12">
      <c r="A248" t="s">
        <v>3007</v>
      </c>
      <c r="B248" t="s">
        <v>817</v>
      </c>
      <c r="C248" t="s">
        <v>2805</v>
      </c>
      <c r="D248" t="s">
        <v>2807</v>
      </c>
      <c r="E248">
        <v>10</v>
      </c>
      <c r="F248">
        <v>0</v>
      </c>
      <c r="G248">
        <v>0</v>
      </c>
      <c r="H248">
        <f t="shared" si="6"/>
        <v>10</v>
      </c>
      <c r="I248">
        <v>0</v>
      </c>
      <c r="J248">
        <v>0</v>
      </c>
      <c r="K248">
        <v>0</v>
      </c>
      <c r="L248">
        <f t="shared" si="7"/>
        <v>0</v>
      </c>
    </row>
    <row r="249" spans="1:12">
      <c r="A249" t="s">
        <v>3007</v>
      </c>
      <c r="B249" t="s">
        <v>817</v>
      </c>
      <c r="C249" t="s">
        <v>2810</v>
      </c>
      <c r="D249" t="s">
        <v>2811</v>
      </c>
      <c r="E249">
        <v>41</v>
      </c>
      <c r="F249">
        <v>0</v>
      </c>
      <c r="G249">
        <v>0</v>
      </c>
      <c r="H249">
        <f t="shared" si="6"/>
        <v>41</v>
      </c>
      <c r="I249">
        <v>0</v>
      </c>
      <c r="J249">
        <v>0</v>
      </c>
      <c r="K249">
        <v>0</v>
      </c>
      <c r="L249">
        <f t="shared" si="7"/>
        <v>0</v>
      </c>
    </row>
    <row r="250" spans="1:12">
      <c r="A250" t="s">
        <v>3007</v>
      </c>
      <c r="B250" t="s">
        <v>817</v>
      </c>
      <c r="C250" t="s">
        <v>2810</v>
      </c>
      <c r="D250" t="s">
        <v>2823</v>
      </c>
      <c r="E250">
        <v>0</v>
      </c>
      <c r="F250">
        <v>3</v>
      </c>
      <c r="G250">
        <v>0</v>
      </c>
      <c r="H250">
        <f t="shared" si="6"/>
        <v>3</v>
      </c>
      <c r="I250">
        <v>0</v>
      </c>
      <c r="J250">
        <v>0</v>
      </c>
      <c r="K250">
        <v>0</v>
      </c>
      <c r="L250">
        <f t="shared" si="7"/>
        <v>0</v>
      </c>
    </row>
    <row r="251" spans="1:12">
      <c r="A251" t="s">
        <v>3007</v>
      </c>
      <c r="B251" t="s">
        <v>817</v>
      </c>
      <c r="C251" t="s">
        <v>2810</v>
      </c>
      <c r="D251" t="s">
        <v>2812</v>
      </c>
      <c r="E251">
        <v>47</v>
      </c>
      <c r="F251">
        <v>0</v>
      </c>
      <c r="G251">
        <v>0</v>
      </c>
      <c r="H251">
        <f t="shared" si="6"/>
        <v>47</v>
      </c>
      <c r="I251">
        <v>0</v>
      </c>
      <c r="J251">
        <v>0</v>
      </c>
      <c r="K251">
        <v>0</v>
      </c>
      <c r="L251">
        <f t="shared" si="7"/>
        <v>0</v>
      </c>
    </row>
    <row r="252" spans="1:12">
      <c r="A252" t="s">
        <v>3007</v>
      </c>
      <c r="B252" t="s">
        <v>817</v>
      </c>
      <c r="C252" t="s">
        <v>2810</v>
      </c>
      <c r="D252" t="s">
        <v>2813</v>
      </c>
      <c r="E252">
        <v>7</v>
      </c>
      <c r="F252">
        <v>0</v>
      </c>
      <c r="G252">
        <v>0</v>
      </c>
      <c r="H252">
        <f t="shared" si="6"/>
        <v>7</v>
      </c>
      <c r="I252">
        <v>0</v>
      </c>
      <c r="J252">
        <v>0</v>
      </c>
      <c r="K252">
        <v>0</v>
      </c>
      <c r="L252">
        <f t="shared" si="7"/>
        <v>0</v>
      </c>
    </row>
    <row r="253" spans="1:12">
      <c r="A253" t="s">
        <v>3007</v>
      </c>
      <c r="B253" t="s">
        <v>817</v>
      </c>
      <c r="C253" t="s">
        <v>2810</v>
      </c>
      <c r="D253" t="s">
        <v>2814</v>
      </c>
      <c r="E253">
        <v>2</v>
      </c>
      <c r="F253">
        <v>0</v>
      </c>
      <c r="G253">
        <v>0</v>
      </c>
      <c r="H253">
        <f t="shared" si="6"/>
        <v>2</v>
      </c>
      <c r="I253">
        <v>0</v>
      </c>
      <c r="J253">
        <v>0</v>
      </c>
      <c r="K253">
        <v>0</v>
      </c>
      <c r="L253">
        <f t="shared" si="7"/>
        <v>0</v>
      </c>
    </row>
    <row r="254" spans="1:12">
      <c r="A254" t="s">
        <v>3007</v>
      </c>
      <c r="B254" t="s">
        <v>817</v>
      </c>
      <c r="C254" t="s">
        <v>2810</v>
      </c>
      <c r="D254" t="s">
        <v>2847</v>
      </c>
      <c r="E254">
        <v>12</v>
      </c>
      <c r="F254">
        <v>0</v>
      </c>
      <c r="G254">
        <v>0</v>
      </c>
      <c r="H254">
        <f t="shared" si="6"/>
        <v>12</v>
      </c>
      <c r="I254">
        <v>0</v>
      </c>
      <c r="J254">
        <v>0</v>
      </c>
      <c r="K254">
        <v>0</v>
      </c>
      <c r="L254">
        <f t="shared" si="7"/>
        <v>0</v>
      </c>
    </row>
    <row r="255" spans="1:12">
      <c r="A255" t="s">
        <v>3007</v>
      </c>
      <c r="B255" t="s">
        <v>817</v>
      </c>
      <c r="C255" t="s">
        <v>2810</v>
      </c>
      <c r="D255" t="s">
        <v>2815</v>
      </c>
      <c r="E255">
        <v>5</v>
      </c>
      <c r="F255">
        <v>0</v>
      </c>
      <c r="G255">
        <v>0</v>
      </c>
      <c r="H255">
        <f t="shared" si="6"/>
        <v>5</v>
      </c>
      <c r="I255">
        <v>0</v>
      </c>
      <c r="J255">
        <v>0</v>
      </c>
      <c r="K255">
        <v>0</v>
      </c>
      <c r="L255">
        <f t="shared" si="7"/>
        <v>0</v>
      </c>
    </row>
    <row r="256" spans="1:12">
      <c r="A256" t="s">
        <v>3007</v>
      </c>
      <c r="B256" t="s">
        <v>817</v>
      </c>
      <c r="C256" t="s">
        <v>2816</v>
      </c>
      <c r="D256" t="s">
        <v>1897</v>
      </c>
      <c r="E256">
        <v>25</v>
      </c>
      <c r="F256">
        <v>0</v>
      </c>
      <c r="G256">
        <v>0</v>
      </c>
      <c r="H256">
        <f t="shared" si="6"/>
        <v>25</v>
      </c>
      <c r="I256">
        <v>0</v>
      </c>
      <c r="J256">
        <v>0</v>
      </c>
      <c r="K256">
        <v>0</v>
      </c>
      <c r="L256">
        <f t="shared" si="7"/>
        <v>0</v>
      </c>
    </row>
    <row r="257" spans="1:12">
      <c r="A257" t="s">
        <v>3007</v>
      </c>
      <c r="B257" t="s">
        <v>817</v>
      </c>
      <c r="C257" t="s">
        <v>2826</v>
      </c>
      <c r="D257" t="s">
        <v>2886</v>
      </c>
      <c r="E257">
        <v>0</v>
      </c>
      <c r="F257">
        <v>0</v>
      </c>
      <c r="G257">
        <v>0</v>
      </c>
      <c r="H257">
        <f t="shared" si="6"/>
        <v>0</v>
      </c>
      <c r="I257">
        <v>1</v>
      </c>
      <c r="J257">
        <v>0</v>
      </c>
      <c r="K257">
        <v>0</v>
      </c>
      <c r="L257">
        <f t="shared" si="7"/>
        <v>1</v>
      </c>
    </row>
    <row r="258" spans="1:12">
      <c r="A258" t="s">
        <v>3007</v>
      </c>
      <c r="B258" t="s">
        <v>817</v>
      </c>
      <c r="C258" t="s">
        <v>2817</v>
      </c>
      <c r="D258" t="s">
        <v>2837</v>
      </c>
      <c r="E258">
        <v>2</v>
      </c>
      <c r="F258">
        <v>0</v>
      </c>
      <c r="G258">
        <v>0</v>
      </c>
      <c r="H258">
        <f t="shared" si="6"/>
        <v>2</v>
      </c>
      <c r="I258">
        <v>0</v>
      </c>
      <c r="J258">
        <v>0</v>
      </c>
      <c r="K258">
        <v>0</v>
      </c>
      <c r="L258">
        <f t="shared" si="7"/>
        <v>0</v>
      </c>
    </row>
    <row r="259" spans="1:12">
      <c r="A259" t="s">
        <v>3016</v>
      </c>
      <c r="B259" t="s">
        <v>1572</v>
      </c>
      <c r="C259" t="s">
        <v>2805</v>
      </c>
      <c r="D259" t="s">
        <v>449</v>
      </c>
      <c r="E259">
        <v>13</v>
      </c>
      <c r="F259">
        <v>0</v>
      </c>
      <c r="G259">
        <v>0</v>
      </c>
      <c r="H259">
        <f t="shared" si="6"/>
        <v>13</v>
      </c>
      <c r="I259">
        <v>0</v>
      </c>
      <c r="J259">
        <v>0</v>
      </c>
      <c r="K259">
        <v>0</v>
      </c>
      <c r="L259">
        <f t="shared" si="7"/>
        <v>0</v>
      </c>
    </row>
    <row r="260" spans="1:12">
      <c r="A260" t="s">
        <v>3016</v>
      </c>
      <c r="B260" t="s">
        <v>1572</v>
      </c>
      <c r="C260" t="s">
        <v>2805</v>
      </c>
      <c r="D260" t="s">
        <v>2807</v>
      </c>
      <c r="E260">
        <v>7</v>
      </c>
      <c r="F260">
        <v>0</v>
      </c>
      <c r="G260">
        <v>0</v>
      </c>
      <c r="H260">
        <f t="shared" ref="H260:H323" si="8">SUM(E260:G260)</f>
        <v>7</v>
      </c>
      <c r="I260">
        <v>0</v>
      </c>
      <c r="J260">
        <v>0</v>
      </c>
      <c r="K260">
        <v>0</v>
      </c>
      <c r="L260">
        <f t="shared" ref="L260:L323" si="9">SUM(I260:K260)</f>
        <v>0</v>
      </c>
    </row>
    <row r="261" spans="1:12">
      <c r="A261" t="s">
        <v>3016</v>
      </c>
      <c r="B261" t="s">
        <v>1572</v>
      </c>
      <c r="C261" t="s">
        <v>2810</v>
      </c>
      <c r="D261" t="s">
        <v>2811</v>
      </c>
      <c r="E261">
        <v>7</v>
      </c>
      <c r="F261">
        <v>0</v>
      </c>
      <c r="G261">
        <v>0</v>
      </c>
      <c r="H261">
        <f t="shared" si="8"/>
        <v>7</v>
      </c>
      <c r="I261">
        <v>0</v>
      </c>
      <c r="J261">
        <v>0</v>
      </c>
      <c r="K261">
        <v>0</v>
      </c>
      <c r="L261">
        <f t="shared" si="9"/>
        <v>0</v>
      </c>
    </row>
    <row r="262" spans="1:12">
      <c r="A262" t="s">
        <v>3016</v>
      </c>
      <c r="B262" t="s">
        <v>1572</v>
      </c>
      <c r="C262" t="s">
        <v>2810</v>
      </c>
      <c r="D262" t="s">
        <v>2813</v>
      </c>
      <c r="E262">
        <v>4</v>
      </c>
      <c r="F262">
        <v>0</v>
      </c>
      <c r="G262">
        <v>0</v>
      </c>
      <c r="H262">
        <f t="shared" si="8"/>
        <v>4</v>
      </c>
      <c r="I262">
        <v>0</v>
      </c>
      <c r="J262">
        <v>0</v>
      </c>
      <c r="K262">
        <v>0</v>
      </c>
      <c r="L262">
        <f t="shared" si="9"/>
        <v>0</v>
      </c>
    </row>
    <row r="263" spans="1:12">
      <c r="A263" t="s">
        <v>3017</v>
      </c>
      <c r="B263" t="s">
        <v>331</v>
      </c>
      <c r="C263" t="s">
        <v>2826</v>
      </c>
      <c r="D263" t="s">
        <v>2871</v>
      </c>
      <c r="E263">
        <v>0</v>
      </c>
      <c r="F263">
        <v>0</v>
      </c>
      <c r="G263">
        <v>0</v>
      </c>
      <c r="H263">
        <f t="shared" si="8"/>
        <v>0</v>
      </c>
      <c r="I263">
        <v>0</v>
      </c>
      <c r="J263">
        <v>1</v>
      </c>
      <c r="K263">
        <v>0</v>
      </c>
      <c r="L263">
        <f t="shared" si="9"/>
        <v>1</v>
      </c>
    </row>
    <row r="264" spans="1:12">
      <c r="A264" t="s">
        <v>3017</v>
      </c>
      <c r="B264" t="s">
        <v>331</v>
      </c>
      <c r="C264" t="s">
        <v>2826</v>
      </c>
      <c r="D264" t="s">
        <v>2905</v>
      </c>
      <c r="E264">
        <v>0</v>
      </c>
      <c r="F264">
        <v>0</v>
      </c>
      <c r="G264">
        <v>0</v>
      </c>
      <c r="H264">
        <f t="shared" si="8"/>
        <v>0</v>
      </c>
      <c r="I264">
        <v>1</v>
      </c>
      <c r="J264">
        <v>0</v>
      </c>
      <c r="K264">
        <v>0</v>
      </c>
      <c r="L264">
        <f t="shared" si="9"/>
        <v>1</v>
      </c>
    </row>
    <row r="265" spans="1:12">
      <c r="A265" t="s">
        <v>3017</v>
      </c>
      <c r="B265" t="s">
        <v>331</v>
      </c>
      <c r="C265" t="s">
        <v>2826</v>
      </c>
      <c r="D265" t="s">
        <v>2827</v>
      </c>
      <c r="E265">
        <v>0</v>
      </c>
      <c r="F265">
        <v>0</v>
      </c>
      <c r="G265">
        <v>0</v>
      </c>
      <c r="H265">
        <f t="shared" si="8"/>
        <v>0</v>
      </c>
      <c r="I265">
        <v>1</v>
      </c>
      <c r="J265">
        <v>0</v>
      </c>
      <c r="K265">
        <v>0</v>
      </c>
      <c r="L265">
        <f t="shared" si="9"/>
        <v>1</v>
      </c>
    </row>
    <row r="266" spans="1:12">
      <c r="A266" t="s">
        <v>3017</v>
      </c>
      <c r="B266" t="s">
        <v>331</v>
      </c>
      <c r="C266" t="s">
        <v>2826</v>
      </c>
      <c r="D266" t="s">
        <v>2829</v>
      </c>
      <c r="E266">
        <v>0</v>
      </c>
      <c r="F266">
        <v>0</v>
      </c>
      <c r="G266">
        <v>0</v>
      </c>
      <c r="H266">
        <f t="shared" si="8"/>
        <v>0</v>
      </c>
      <c r="I266">
        <v>0</v>
      </c>
      <c r="J266">
        <v>1</v>
      </c>
      <c r="K266">
        <v>0</v>
      </c>
      <c r="L266">
        <f t="shared" si="9"/>
        <v>1</v>
      </c>
    </row>
    <row r="267" spans="1:12">
      <c r="A267" t="s">
        <v>3017</v>
      </c>
      <c r="B267" t="s">
        <v>331</v>
      </c>
      <c r="C267" t="s">
        <v>2826</v>
      </c>
      <c r="D267" t="s">
        <v>2831</v>
      </c>
      <c r="E267">
        <v>0</v>
      </c>
      <c r="F267">
        <v>0</v>
      </c>
      <c r="G267">
        <v>0</v>
      </c>
      <c r="H267">
        <f t="shared" si="8"/>
        <v>0</v>
      </c>
      <c r="I267">
        <v>0</v>
      </c>
      <c r="J267">
        <v>1</v>
      </c>
      <c r="K267">
        <v>0</v>
      </c>
      <c r="L267">
        <f t="shared" si="9"/>
        <v>1</v>
      </c>
    </row>
    <row r="268" spans="1:12">
      <c r="A268" t="s">
        <v>3017</v>
      </c>
      <c r="B268" t="s">
        <v>331</v>
      </c>
      <c r="C268" t="s">
        <v>2826</v>
      </c>
      <c r="D268" t="s">
        <v>2843</v>
      </c>
      <c r="E268">
        <v>0</v>
      </c>
      <c r="F268">
        <v>0</v>
      </c>
      <c r="G268">
        <v>0</v>
      </c>
      <c r="H268">
        <f t="shared" si="8"/>
        <v>0</v>
      </c>
      <c r="I268">
        <v>1</v>
      </c>
      <c r="J268">
        <v>0</v>
      </c>
      <c r="K268">
        <v>0</v>
      </c>
      <c r="L268">
        <f t="shared" si="9"/>
        <v>1</v>
      </c>
    </row>
    <row r="269" spans="1:12">
      <c r="A269" t="s">
        <v>3017</v>
      </c>
      <c r="B269" t="s">
        <v>331</v>
      </c>
      <c r="C269" t="s">
        <v>2826</v>
      </c>
      <c r="D269" t="s">
        <v>2834</v>
      </c>
      <c r="E269">
        <v>0</v>
      </c>
      <c r="F269">
        <v>0</v>
      </c>
      <c r="G269">
        <v>0</v>
      </c>
      <c r="H269">
        <f t="shared" si="8"/>
        <v>0</v>
      </c>
      <c r="I269">
        <v>1</v>
      </c>
      <c r="J269">
        <v>0</v>
      </c>
      <c r="K269">
        <v>0</v>
      </c>
      <c r="L269">
        <f t="shared" si="9"/>
        <v>1</v>
      </c>
    </row>
    <row r="270" spans="1:12">
      <c r="A270" t="s">
        <v>3017</v>
      </c>
      <c r="B270" t="s">
        <v>331</v>
      </c>
      <c r="C270" t="s">
        <v>2826</v>
      </c>
      <c r="D270" t="s">
        <v>2886</v>
      </c>
      <c r="E270">
        <v>0</v>
      </c>
      <c r="F270">
        <v>0</v>
      </c>
      <c r="G270">
        <v>0</v>
      </c>
      <c r="H270">
        <f t="shared" si="8"/>
        <v>0</v>
      </c>
      <c r="I270">
        <v>1</v>
      </c>
      <c r="J270">
        <v>0</v>
      </c>
      <c r="K270">
        <v>0</v>
      </c>
      <c r="L270">
        <f t="shared" si="9"/>
        <v>1</v>
      </c>
    </row>
    <row r="271" spans="1:12">
      <c r="A271" t="s">
        <v>3017</v>
      </c>
      <c r="B271" t="s">
        <v>331</v>
      </c>
      <c r="C271" t="s">
        <v>2826</v>
      </c>
      <c r="D271" t="s">
        <v>2835</v>
      </c>
      <c r="E271">
        <v>0</v>
      </c>
      <c r="F271">
        <v>0</v>
      </c>
      <c r="G271">
        <v>0</v>
      </c>
      <c r="H271">
        <f t="shared" si="8"/>
        <v>0</v>
      </c>
      <c r="I271">
        <v>0</v>
      </c>
      <c r="J271">
        <v>1</v>
      </c>
      <c r="K271">
        <v>0</v>
      </c>
      <c r="L271">
        <f t="shared" si="9"/>
        <v>1</v>
      </c>
    </row>
    <row r="272" spans="1:12">
      <c r="A272" t="s">
        <v>3017</v>
      </c>
      <c r="B272" t="s">
        <v>331</v>
      </c>
      <c r="C272" t="s">
        <v>2826</v>
      </c>
      <c r="D272" t="s">
        <v>2917</v>
      </c>
      <c r="E272">
        <v>0</v>
      </c>
      <c r="F272">
        <v>0</v>
      </c>
      <c r="G272">
        <v>0</v>
      </c>
      <c r="H272">
        <f t="shared" si="8"/>
        <v>0</v>
      </c>
      <c r="I272">
        <v>0</v>
      </c>
      <c r="J272">
        <v>1</v>
      </c>
      <c r="K272">
        <v>0</v>
      </c>
      <c r="L272">
        <f t="shared" si="9"/>
        <v>1</v>
      </c>
    </row>
    <row r="273" spans="1:12">
      <c r="A273" t="s">
        <v>3017</v>
      </c>
      <c r="B273" t="s">
        <v>331</v>
      </c>
      <c r="C273" t="s">
        <v>2826</v>
      </c>
      <c r="D273" t="s">
        <v>2849</v>
      </c>
      <c r="E273">
        <v>0</v>
      </c>
      <c r="F273">
        <v>0</v>
      </c>
      <c r="G273">
        <v>0</v>
      </c>
      <c r="H273">
        <f t="shared" si="8"/>
        <v>0</v>
      </c>
      <c r="I273">
        <v>0</v>
      </c>
      <c r="J273">
        <v>1</v>
      </c>
      <c r="K273">
        <v>0</v>
      </c>
      <c r="L273">
        <f t="shared" si="9"/>
        <v>1</v>
      </c>
    </row>
    <row r="274" spans="1:12">
      <c r="A274" t="s">
        <v>3017</v>
      </c>
      <c r="B274" t="s">
        <v>331</v>
      </c>
      <c r="C274" t="s">
        <v>2826</v>
      </c>
      <c r="D274" t="s">
        <v>2908</v>
      </c>
      <c r="E274">
        <v>0</v>
      </c>
      <c r="F274">
        <v>0</v>
      </c>
      <c r="G274">
        <v>0</v>
      </c>
      <c r="H274">
        <f t="shared" si="8"/>
        <v>0</v>
      </c>
      <c r="I274">
        <v>0</v>
      </c>
      <c r="J274">
        <v>1</v>
      </c>
      <c r="K274">
        <v>0</v>
      </c>
      <c r="L274">
        <f t="shared" si="9"/>
        <v>1</v>
      </c>
    </row>
    <row r="275" spans="1:12">
      <c r="A275" t="s">
        <v>3017</v>
      </c>
      <c r="B275" t="s">
        <v>331</v>
      </c>
      <c r="C275" t="s">
        <v>2820</v>
      </c>
      <c r="D275" t="s">
        <v>2821</v>
      </c>
      <c r="E275">
        <v>0</v>
      </c>
      <c r="F275">
        <v>0</v>
      </c>
      <c r="G275">
        <v>0</v>
      </c>
      <c r="H275">
        <f t="shared" si="8"/>
        <v>0</v>
      </c>
      <c r="I275">
        <v>1</v>
      </c>
      <c r="J275">
        <v>0</v>
      </c>
      <c r="K275">
        <v>0</v>
      </c>
      <c r="L275">
        <f t="shared" si="9"/>
        <v>1</v>
      </c>
    </row>
    <row r="276" spans="1:12">
      <c r="A276" t="s">
        <v>3026</v>
      </c>
      <c r="B276" t="s">
        <v>825</v>
      </c>
      <c r="C276" t="s">
        <v>2805</v>
      </c>
      <c r="D276" t="s">
        <v>449</v>
      </c>
      <c r="E276">
        <v>33</v>
      </c>
      <c r="F276">
        <v>0</v>
      </c>
      <c r="G276">
        <v>0</v>
      </c>
      <c r="H276">
        <f t="shared" si="8"/>
        <v>33</v>
      </c>
      <c r="I276">
        <v>1</v>
      </c>
      <c r="J276">
        <v>0</v>
      </c>
      <c r="K276">
        <v>0</v>
      </c>
      <c r="L276">
        <f t="shared" si="9"/>
        <v>1</v>
      </c>
    </row>
    <row r="277" spans="1:12">
      <c r="A277" t="s">
        <v>3026</v>
      </c>
      <c r="B277" t="s">
        <v>825</v>
      </c>
      <c r="C277" t="s">
        <v>2805</v>
      </c>
      <c r="D277" t="s">
        <v>2807</v>
      </c>
      <c r="E277">
        <v>14</v>
      </c>
      <c r="F277">
        <v>0</v>
      </c>
      <c r="G277">
        <v>0</v>
      </c>
      <c r="H277">
        <f t="shared" si="8"/>
        <v>14</v>
      </c>
      <c r="I277">
        <v>0</v>
      </c>
      <c r="J277">
        <v>0</v>
      </c>
      <c r="K277">
        <v>0</v>
      </c>
      <c r="L277">
        <f t="shared" si="9"/>
        <v>0</v>
      </c>
    </row>
    <row r="278" spans="1:12">
      <c r="A278" t="s">
        <v>3026</v>
      </c>
      <c r="B278" t="s">
        <v>825</v>
      </c>
      <c r="C278" t="s">
        <v>2810</v>
      </c>
      <c r="D278" t="s">
        <v>2811</v>
      </c>
      <c r="E278">
        <v>2</v>
      </c>
      <c r="F278">
        <v>0</v>
      </c>
      <c r="G278">
        <v>0</v>
      </c>
      <c r="H278">
        <f t="shared" si="8"/>
        <v>2</v>
      </c>
      <c r="I278">
        <v>0</v>
      </c>
      <c r="J278">
        <v>0</v>
      </c>
      <c r="K278">
        <v>0</v>
      </c>
      <c r="L278">
        <f t="shared" si="9"/>
        <v>0</v>
      </c>
    </row>
    <row r="279" spans="1:12">
      <c r="A279" t="s">
        <v>3026</v>
      </c>
      <c r="B279" t="s">
        <v>825</v>
      </c>
      <c r="C279" t="s">
        <v>2810</v>
      </c>
      <c r="D279" t="s">
        <v>2812</v>
      </c>
      <c r="E279">
        <v>8</v>
      </c>
      <c r="F279">
        <v>0</v>
      </c>
      <c r="G279">
        <v>0</v>
      </c>
      <c r="H279">
        <f t="shared" si="8"/>
        <v>8</v>
      </c>
      <c r="I279">
        <v>0</v>
      </c>
      <c r="J279">
        <v>0</v>
      </c>
      <c r="K279">
        <v>0</v>
      </c>
      <c r="L279">
        <f t="shared" si="9"/>
        <v>0</v>
      </c>
    </row>
    <row r="280" spans="1:12">
      <c r="A280" t="s">
        <v>3026</v>
      </c>
      <c r="B280" t="s">
        <v>825</v>
      </c>
      <c r="C280" t="s">
        <v>2810</v>
      </c>
      <c r="D280" t="s">
        <v>2813</v>
      </c>
      <c r="E280">
        <v>7</v>
      </c>
      <c r="F280">
        <v>0</v>
      </c>
      <c r="G280">
        <v>0</v>
      </c>
      <c r="H280">
        <f t="shared" si="8"/>
        <v>7</v>
      </c>
      <c r="I280">
        <v>0</v>
      </c>
      <c r="J280">
        <v>0</v>
      </c>
      <c r="K280">
        <v>0</v>
      </c>
      <c r="L280">
        <f t="shared" si="9"/>
        <v>0</v>
      </c>
    </row>
    <row r="281" spans="1:12">
      <c r="A281" t="s">
        <v>3026</v>
      </c>
      <c r="B281" t="s">
        <v>825</v>
      </c>
      <c r="C281" t="s">
        <v>2810</v>
      </c>
      <c r="D281" t="s">
        <v>2814</v>
      </c>
      <c r="E281">
        <v>4</v>
      </c>
      <c r="F281">
        <v>0</v>
      </c>
      <c r="G281">
        <v>0</v>
      </c>
      <c r="H281">
        <f t="shared" si="8"/>
        <v>4</v>
      </c>
      <c r="I281">
        <v>0</v>
      </c>
      <c r="J281">
        <v>0</v>
      </c>
      <c r="K281">
        <v>0</v>
      </c>
      <c r="L281">
        <f t="shared" si="9"/>
        <v>0</v>
      </c>
    </row>
    <row r="282" spans="1:12">
      <c r="A282" t="s">
        <v>3026</v>
      </c>
      <c r="B282" t="s">
        <v>825</v>
      </c>
      <c r="C282" t="s">
        <v>2816</v>
      </c>
      <c r="D282" t="s">
        <v>1897</v>
      </c>
      <c r="E282">
        <v>6</v>
      </c>
      <c r="F282">
        <v>0</v>
      </c>
      <c r="G282">
        <v>0</v>
      </c>
      <c r="H282">
        <f t="shared" si="8"/>
        <v>6</v>
      </c>
      <c r="I282">
        <v>0</v>
      </c>
      <c r="J282">
        <v>0</v>
      </c>
      <c r="K282">
        <v>0</v>
      </c>
      <c r="L282">
        <f t="shared" si="9"/>
        <v>0</v>
      </c>
    </row>
    <row r="283" spans="1:12">
      <c r="A283" t="s">
        <v>3026</v>
      </c>
      <c r="B283" t="s">
        <v>825</v>
      </c>
      <c r="C283" t="s">
        <v>2826</v>
      </c>
      <c r="D283" t="s">
        <v>2871</v>
      </c>
      <c r="E283">
        <v>0</v>
      </c>
      <c r="F283">
        <v>0</v>
      </c>
      <c r="G283">
        <v>0</v>
      </c>
      <c r="H283">
        <f t="shared" si="8"/>
        <v>0</v>
      </c>
      <c r="I283">
        <v>1</v>
      </c>
      <c r="J283">
        <v>0</v>
      </c>
      <c r="K283">
        <v>0</v>
      </c>
      <c r="L283">
        <f t="shared" si="9"/>
        <v>1</v>
      </c>
    </row>
    <row r="284" spans="1:12">
      <c r="A284" t="s">
        <v>3026</v>
      </c>
      <c r="B284" t="s">
        <v>825</v>
      </c>
      <c r="C284" t="s">
        <v>2826</v>
      </c>
      <c r="D284" t="s">
        <v>2843</v>
      </c>
      <c r="E284">
        <v>0</v>
      </c>
      <c r="F284">
        <v>0</v>
      </c>
      <c r="G284">
        <v>0</v>
      </c>
      <c r="H284">
        <f t="shared" si="8"/>
        <v>0</v>
      </c>
      <c r="I284">
        <v>1</v>
      </c>
      <c r="J284">
        <v>0</v>
      </c>
      <c r="K284">
        <v>0</v>
      </c>
      <c r="L284">
        <f t="shared" si="9"/>
        <v>1</v>
      </c>
    </row>
    <row r="285" spans="1:12">
      <c r="A285" t="s">
        <v>3026</v>
      </c>
      <c r="B285" t="s">
        <v>825</v>
      </c>
      <c r="C285" t="s">
        <v>2826</v>
      </c>
      <c r="D285" t="s">
        <v>2834</v>
      </c>
      <c r="E285">
        <v>0</v>
      </c>
      <c r="F285">
        <v>0</v>
      </c>
      <c r="G285">
        <v>0</v>
      </c>
      <c r="H285">
        <f t="shared" si="8"/>
        <v>0</v>
      </c>
      <c r="I285">
        <v>1</v>
      </c>
      <c r="J285">
        <v>0</v>
      </c>
      <c r="K285">
        <v>0</v>
      </c>
      <c r="L285">
        <f t="shared" si="9"/>
        <v>1</v>
      </c>
    </row>
    <row r="286" spans="1:12">
      <c r="A286" t="s">
        <v>3042</v>
      </c>
      <c r="B286" t="s">
        <v>829</v>
      </c>
      <c r="C286" t="s">
        <v>2805</v>
      </c>
      <c r="D286" t="s">
        <v>2806</v>
      </c>
      <c r="E286">
        <v>295</v>
      </c>
      <c r="F286">
        <v>0</v>
      </c>
      <c r="G286">
        <v>0</v>
      </c>
      <c r="H286">
        <f t="shared" si="8"/>
        <v>295</v>
      </c>
      <c r="I286">
        <v>0</v>
      </c>
      <c r="J286">
        <v>0</v>
      </c>
      <c r="K286">
        <v>0</v>
      </c>
      <c r="L286">
        <f t="shared" si="9"/>
        <v>0</v>
      </c>
    </row>
    <row r="287" spans="1:12">
      <c r="A287" t="s">
        <v>3042</v>
      </c>
      <c r="B287" t="s">
        <v>829</v>
      </c>
      <c r="C287" t="s">
        <v>2805</v>
      </c>
      <c r="D287" t="s">
        <v>449</v>
      </c>
      <c r="E287">
        <v>535</v>
      </c>
      <c r="F287">
        <v>0</v>
      </c>
      <c r="G287">
        <v>0</v>
      </c>
      <c r="H287">
        <f t="shared" si="8"/>
        <v>535</v>
      </c>
      <c r="I287">
        <v>0</v>
      </c>
      <c r="J287">
        <v>0</v>
      </c>
      <c r="K287">
        <v>0</v>
      </c>
      <c r="L287">
        <f t="shared" si="9"/>
        <v>0</v>
      </c>
    </row>
    <row r="288" spans="1:12">
      <c r="A288" t="s">
        <v>3042</v>
      </c>
      <c r="B288" t="s">
        <v>829</v>
      </c>
      <c r="C288" t="s">
        <v>2805</v>
      </c>
      <c r="D288" t="s">
        <v>2807</v>
      </c>
      <c r="E288">
        <v>6</v>
      </c>
      <c r="F288">
        <v>0</v>
      </c>
      <c r="G288">
        <v>0</v>
      </c>
      <c r="H288">
        <f t="shared" si="8"/>
        <v>6</v>
      </c>
      <c r="I288">
        <v>0</v>
      </c>
      <c r="J288">
        <v>0</v>
      </c>
      <c r="K288">
        <v>0</v>
      </c>
      <c r="L288">
        <f t="shared" si="9"/>
        <v>0</v>
      </c>
    </row>
    <row r="289" spans="1:12">
      <c r="A289" t="s">
        <v>3042</v>
      </c>
      <c r="B289" t="s">
        <v>829</v>
      </c>
      <c r="C289" t="s">
        <v>2810</v>
      </c>
      <c r="D289" t="s">
        <v>2811</v>
      </c>
      <c r="E289">
        <v>25</v>
      </c>
      <c r="F289">
        <v>0</v>
      </c>
      <c r="G289">
        <v>0</v>
      </c>
      <c r="H289">
        <f t="shared" si="8"/>
        <v>25</v>
      </c>
      <c r="I289">
        <v>0</v>
      </c>
      <c r="J289">
        <v>0</v>
      </c>
      <c r="K289">
        <v>0</v>
      </c>
      <c r="L289">
        <f t="shared" si="9"/>
        <v>0</v>
      </c>
    </row>
    <row r="290" spans="1:12">
      <c r="A290" t="s">
        <v>3042</v>
      </c>
      <c r="B290" t="s">
        <v>829</v>
      </c>
      <c r="C290" t="s">
        <v>2810</v>
      </c>
      <c r="D290" t="s">
        <v>2813</v>
      </c>
      <c r="E290">
        <v>9</v>
      </c>
      <c r="F290">
        <v>0</v>
      </c>
      <c r="G290">
        <v>0</v>
      </c>
      <c r="H290">
        <f t="shared" si="8"/>
        <v>9</v>
      </c>
      <c r="I290">
        <v>0</v>
      </c>
      <c r="J290">
        <v>0</v>
      </c>
      <c r="K290">
        <v>0</v>
      </c>
      <c r="L290">
        <f t="shared" si="9"/>
        <v>0</v>
      </c>
    </row>
    <row r="291" spans="1:12">
      <c r="A291" t="s">
        <v>3042</v>
      </c>
      <c r="B291" t="s">
        <v>829</v>
      </c>
      <c r="C291" t="s">
        <v>2816</v>
      </c>
      <c r="D291" t="s">
        <v>1897</v>
      </c>
      <c r="E291">
        <v>42</v>
      </c>
      <c r="F291">
        <v>0</v>
      </c>
      <c r="G291">
        <v>0</v>
      </c>
      <c r="H291">
        <f t="shared" si="8"/>
        <v>42</v>
      </c>
      <c r="I291">
        <v>0</v>
      </c>
      <c r="J291">
        <v>0</v>
      </c>
      <c r="K291">
        <v>0</v>
      </c>
      <c r="L291">
        <f t="shared" si="9"/>
        <v>0</v>
      </c>
    </row>
    <row r="292" spans="1:12">
      <c r="A292" t="s">
        <v>3042</v>
      </c>
      <c r="B292" t="s">
        <v>829</v>
      </c>
      <c r="C292" t="s">
        <v>2817</v>
      </c>
      <c r="D292" t="s">
        <v>2818</v>
      </c>
      <c r="E292">
        <v>31</v>
      </c>
      <c r="F292">
        <v>0</v>
      </c>
      <c r="G292">
        <v>0</v>
      </c>
      <c r="H292">
        <f t="shared" si="8"/>
        <v>31</v>
      </c>
      <c r="I292">
        <v>0</v>
      </c>
      <c r="J292">
        <v>0</v>
      </c>
      <c r="K292">
        <v>0</v>
      </c>
      <c r="L292">
        <f t="shared" si="9"/>
        <v>0</v>
      </c>
    </row>
    <row r="293" spans="1:12">
      <c r="A293" t="s">
        <v>3057</v>
      </c>
      <c r="B293" t="s">
        <v>777</v>
      </c>
      <c r="C293" t="s">
        <v>2805</v>
      </c>
      <c r="D293" t="s">
        <v>2806</v>
      </c>
      <c r="E293">
        <v>26</v>
      </c>
      <c r="F293">
        <v>0</v>
      </c>
      <c r="G293">
        <v>0</v>
      </c>
      <c r="H293">
        <f t="shared" si="8"/>
        <v>26</v>
      </c>
      <c r="I293">
        <v>0</v>
      </c>
      <c r="J293">
        <v>0</v>
      </c>
      <c r="K293">
        <v>0</v>
      </c>
      <c r="L293">
        <f t="shared" si="9"/>
        <v>0</v>
      </c>
    </row>
    <row r="294" spans="1:12">
      <c r="A294" t="s">
        <v>3057</v>
      </c>
      <c r="B294" t="s">
        <v>777</v>
      </c>
      <c r="C294" t="s">
        <v>2805</v>
      </c>
      <c r="D294" t="s">
        <v>449</v>
      </c>
      <c r="E294">
        <v>96</v>
      </c>
      <c r="F294">
        <v>0</v>
      </c>
      <c r="G294">
        <v>0</v>
      </c>
      <c r="H294">
        <f t="shared" si="8"/>
        <v>96</v>
      </c>
      <c r="I294">
        <v>2</v>
      </c>
      <c r="J294">
        <v>0</v>
      </c>
      <c r="K294">
        <v>0</v>
      </c>
      <c r="L294">
        <f t="shared" si="9"/>
        <v>2</v>
      </c>
    </row>
    <row r="295" spans="1:12">
      <c r="A295" t="s">
        <v>3057</v>
      </c>
      <c r="B295" t="s">
        <v>777</v>
      </c>
      <c r="C295" t="s">
        <v>2805</v>
      </c>
      <c r="D295" t="s">
        <v>2807</v>
      </c>
      <c r="E295">
        <v>12</v>
      </c>
      <c r="F295">
        <v>0</v>
      </c>
      <c r="G295">
        <v>0</v>
      </c>
      <c r="H295">
        <f t="shared" si="8"/>
        <v>12</v>
      </c>
      <c r="I295">
        <v>0</v>
      </c>
      <c r="J295">
        <v>0</v>
      </c>
      <c r="K295">
        <v>0</v>
      </c>
      <c r="L295">
        <f t="shared" si="9"/>
        <v>0</v>
      </c>
    </row>
    <row r="296" spans="1:12">
      <c r="A296" t="s">
        <v>3057</v>
      </c>
      <c r="B296" t="s">
        <v>777</v>
      </c>
      <c r="C296" t="s">
        <v>2805</v>
      </c>
      <c r="D296" t="s">
        <v>2809</v>
      </c>
      <c r="E296">
        <v>1</v>
      </c>
      <c r="F296">
        <v>0</v>
      </c>
      <c r="G296">
        <v>0</v>
      </c>
      <c r="H296">
        <f t="shared" si="8"/>
        <v>1</v>
      </c>
      <c r="I296">
        <v>0</v>
      </c>
      <c r="J296">
        <v>0</v>
      </c>
      <c r="K296">
        <v>0</v>
      </c>
      <c r="L296">
        <f t="shared" si="9"/>
        <v>0</v>
      </c>
    </row>
    <row r="297" spans="1:12">
      <c r="A297" t="s">
        <v>3057</v>
      </c>
      <c r="B297" t="s">
        <v>777</v>
      </c>
      <c r="C297" t="s">
        <v>2805</v>
      </c>
      <c r="D297" t="s">
        <v>2937</v>
      </c>
      <c r="E297">
        <v>1</v>
      </c>
      <c r="F297">
        <v>0</v>
      </c>
      <c r="G297">
        <v>0</v>
      </c>
      <c r="H297">
        <f t="shared" si="8"/>
        <v>1</v>
      </c>
      <c r="I297">
        <v>0</v>
      </c>
      <c r="J297">
        <v>0</v>
      </c>
      <c r="K297">
        <v>0</v>
      </c>
      <c r="L297">
        <f t="shared" si="9"/>
        <v>0</v>
      </c>
    </row>
    <row r="298" spans="1:12">
      <c r="A298" t="s">
        <v>3057</v>
      </c>
      <c r="B298" t="s">
        <v>777</v>
      </c>
      <c r="C298" t="s">
        <v>2810</v>
      </c>
      <c r="D298" t="s">
        <v>2811</v>
      </c>
      <c r="E298">
        <v>12</v>
      </c>
      <c r="F298">
        <v>0</v>
      </c>
      <c r="G298">
        <v>0</v>
      </c>
      <c r="H298">
        <f t="shared" si="8"/>
        <v>12</v>
      </c>
      <c r="I298">
        <v>0</v>
      </c>
      <c r="J298">
        <v>0</v>
      </c>
      <c r="K298">
        <v>0</v>
      </c>
      <c r="L298">
        <f t="shared" si="9"/>
        <v>0</v>
      </c>
    </row>
    <row r="299" spans="1:12">
      <c r="A299" t="s">
        <v>3057</v>
      </c>
      <c r="B299" t="s">
        <v>777</v>
      </c>
      <c r="C299" t="s">
        <v>2810</v>
      </c>
      <c r="D299" t="s">
        <v>2823</v>
      </c>
      <c r="E299">
        <v>1</v>
      </c>
      <c r="F299">
        <v>0</v>
      </c>
      <c r="G299">
        <v>0</v>
      </c>
      <c r="H299">
        <f t="shared" si="8"/>
        <v>1</v>
      </c>
      <c r="I299">
        <v>0</v>
      </c>
      <c r="J299">
        <v>0</v>
      </c>
      <c r="K299">
        <v>0</v>
      </c>
      <c r="L299">
        <f t="shared" si="9"/>
        <v>0</v>
      </c>
    </row>
    <row r="300" spans="1:12">
      <c r="A300" t="s">
        <v>3057</v>
      </c>
      <c r="B300" t="s">
        <v>777</v>
      </c>
      <c r="C300" t="s">
        <v>2810</v>
      </c>
      <c r="D300" t="s">
        <v>2812</v>
      </c>
      <c r="E300">
        <v>13</v>
      </c>
      <c r="F300">
        <v>0</v>
      </c>
      <c r="G300">
        <v>0</v>
      </c>
      <c r="H300">
        <f t="shared" si="8"/>
        <v>13</v>
      </c>
      <c r="I300">
        <v>8</v>
      </c>
      <c r="J300">
        <v>0</v>
      </c>
      <c r="K300">
        <v>0</v>
      </c>
      <c r="L300">
        <f t="shared" si="9"/>
        <v>8</v>
      </c>
    </row>
    <row r="301" spans="1:12">
      <c r="A301" t="s">
        <v>3057</v>
      </c>
      <c r="B301" t="s">
        <v>777</v>
      </c>
      <c r="C301" t="s">
        <v>2810</v>
      </c>
      <c r="D301" t="s">
        <v>2813</v>
      </c>
      <c r="E301">
        <v>31</v>
      </c>
      <c r="F301">
        <v>0</v>
      </c>
      <c r="G301">
        <v>0</v>
      </c>
      <c r="H301">
        <f t="shared" si="8"/>
        <v>31</v>
      </c>
      <c r="I301">
        <v>1</v>
      </c>
      <c r="J301">
        <v>0</v>
      </c>
      <c r="K301">
        <v>0</v>
      </c>
      <c r="L301">
        <f t="shared" si="9"/>
        <v>1</v>
      </c>
    </row>
    <row r="302" spans="1:12">
      <c r="A302" t="s">
        <v>3057</v>
      </c>
      <c r="B302" t="s">
        <v>777</v>
      </c>
      <c r="C302" t="s">
        <v>2810</v>
      </c>
      <c r="D302" t="s">
        <v>2840</v>
      </c>
      <c r="E302">
        <v>4</v>
      </c>
      <c r="F302">
        <v>0</v>
      </c>
      <c r="G302">
        <v>0</v>
      </c>
      <c r="H302">
        <f t="shared" si="8"/>
        <v>4</v>
      </c>
      <c r="I302">
        <v>1</v>
      </c>
      <c r="J302">
        <v>0</v>
      </c>
      <c r="K302">
        <v>0</v>
      </c>
      <c r="L302">
        <f t="shared" si="9"/>
        <v>1</v>
      </c>
    </row>
    <row r="303" spans="1:12">
      <c r="A303" t="s">
        <v>3057</v>
      </c>
      <c r="B303" t="s">
        <v>777</v>
      </c>
      <c r="C303" t="s">
        <v>2810</v>
      </c>
      <c r="D303" t="s">
        <v>2815</v>
      </c>
      <c r="E303">
        <v>3</v>
      </c>
      <c r="F303">
        <v>0</v>
      </c>
      <c r="G303">
        <v>0</v>
      </c>
      <c r="H303">
        <f t="shared" si="8"/>
        <v>3</v>
      </c>
      <c r="I303">
        <v>0</v>
      </c>
      <c r="J303">
        <v>0</v>
      </c>
      <c r="K303">
        <v>0</v>
      </c>
      <c r="L303">
        <f t="shared" si="9"/>
        <v>0</v>
      </c>
    </row>
    <row r="304" spans="1:12">
      <c r="A304" t="s">
        <v>3057</v>
      </c>
      <c r="B304" t="s">
        <v>777</v>
      </c>
      <c r="C304" t="s">
        <v>2816</v>
      </c>
      <c r="D304" t="s">
        <v>1897</v>
      </c>
      <c r="E304">
        <v>14</v>
      </c>
      <c r="F304">
        <v>0</v>
      </c>
      <c r="G304">
        <v>0</v>
      </c>
      <c r="H304">
        <f t="shared" si="8"/>
        <v>14</v>
      </c>
      <c r="I304">
        <v>0</v>
      </c>
      <c r="J304">
        <v>0</v>
      </c>
      <c r="K304">
        <v>0</v>
      </c>
      <c r="L304">
        <f t="shared" si="9"/>
        <v>0</v>
      </c>
    </row>
    <row r="305" spans="1:12">
      <c r="A305" t="s">
        <v>3057</v>
      </c>
      <c r="B305" t="s">
        <v>777</v>
      </c>
      <c r="C305" t="s">
        <v>2817</v>
      </c>
      <c r="D305" t="s">
        <v>2837</v>
      </c>
      <c r="E305">
        <v>2</v>
      </c>
      <c r="F305">
        <v>0</v>
      </c>
      <c r="G305">
        <v>0</v>
      </c>
      <c r="H305">
        <f t="shared" si="8"/>
        <v>2</v>
      </c>
      <c r="I305">
        <v>0</v>
      </c>
      <c r="J305">
        <v>0</v>
      </c>
      <c r="K305">
        <v>0</v>
      </c>
      <c r="L305">
        <f t="shared" si="9"/>
        <v>0</v>
      </c>
    </row>
    <row r="306" spans="1:12">
      <c r="A306" t="s">
        <v>3060</v>
      </c>
      <c r="B306" t="s">
        <v>838</v>
      </c>
      <c r="C306" t="s">
        <v>2805</v>
      </c>
      <c r="D306" t="s">
        <v>2806</v>
      </c>
      <c r="E306">
        <v>2</v>
      </c>
      <c r="F306">
        <v>0</v>
      </c>
      <c r="G306">
        <v>0</v>
      </c>
      <c r="H306">
        <f t="shared" si="8"/>
        <v>2</v>
      </c>
      <c r="I306">
        <v>13</v>
      </c>
      <c r="J306">
        <v>0</v>
      </c>
      <c r="K306">
        <v>0</v>
      </c>
      <c r="L306">
        <f t="shared" si="9"/>
        <v>13</v>
      </c>
    </row>
    <row r="307" spans="1:12">
      <c r="A307" t="s">
        <v>3060</v>
      </c>
      <c r="B307" t="s">
        <v>838</v>
      </c>
      <c r="C307" t="s">
        <v>2805</v>
      </c>
      <c r="D307" t="s">
        <v>449</v>
      </c>
      <c r="E307">
        <v>24</v>
      </c>
      <c r="F307">
        <v>0</v>
      </c>
      <c r="G307">
        <v>0</v>
      </c>
      <c r="H307">
        <f t="shared" si="8"/>
        <v>24</v>
      </c>
      <c r="I307">
        <v>14</v>
      </c>
      <c r="J307">
        <v>0</v>
      </c>
      <c r="K307">
        <v>0</v>
      </c>
      <c r="L307">
        <f t="shared" si="9"/>
        <v>14</v>
      </c>
    </row>
    <row r="308" spans="1:12">
      <c r="A308" t="s">
        <v>3060</v>
      </c>
      <c r="B308" t="s">
        <v>838</v>
      </c>
      <c r="C308" t="s">
        <v>2805</v>
      </c>
      <c r="D308" t="s">
        <v>2807</v>
      </c>
      <c r="E308">
        <v>4</v>
      </c>
      <c r="F308">
        <v>0</v>
      </c>
      <c r="G308">
        <v>0</v>
      </c>
      <c r="H308">
        <f t="shared" si="8"/>
        <v>4</v>
      </c>
      <c r="I308">
        <v>1</v>
      </c>
      <c r="J308">
        <v>0</v>
      </c>
      <c r="K308">
        <v>0</v>
      </c>
      <c r="L308">
        <f t="shared" si="9"/>
        <v>1</v>
      </c>
    </row>
    <row r="309" spans="1:12">
      <c r="A309" t="s">
        <v>3060</v>
      </c>
      <c r="B309" t="s">
        <v>838</v>
      </c>
      <c r="C309" t="s">
        <v>2810</v>
      </c>
      <c r="D309" t="s">
        <v>2811</v>
      </c>
      <c r="E309">
        <v>36</v>
      </c>
      <c r="F309">
        <v>0</v>
      </c>
      <c r="G309">
        <v>0</v>
      </c>
      <c r="H309">
        <f t="shared" si="8"/>
        <v>36</v>
      </c>
      <c r="I309">
        <v>10</v>
      </c>
      <c r="J309">
        <v>0</v>
      </c>
      <c r="K309">
        <v>0</v>
      </c>
      <c r="L309">
        <f t="shared" si="9"/>
        <v>10</v>
      </c>
    </row>
    <row r="310" spans="1:12">
      <c r="A310" t="s">
        <v>3060</v>
      </c>
      <c r="B310" t="s">
        <v>838</v>
      </c>
      <c r="C310" t="s">
        <v>2810</v>
      </c>
      <c r="D310" t="s">
        <v>2812</v>
      </c>
      <c r="E310">
        <v>12</v>
      </c>
      <c r="F310">
        <v>0</v>
      </c>
      <c r="G310">
        <v>0</v>
      </c>
      <c r="H310">
        <f t="shared" si="8"/>
        <v>12</v>
      </c>
      <c r="I310">
        <v>0</v>
      </c>
      <c r="J310">
        <v>0</v>
      </c>
      <c r="K310">
        <v>0</v>
      </c>
      <c r="L310">
        <f t="shared" si="9"/>
        <v>0</v>
      </c>
    </row>
    <row r="311" spans="1:12">
      <c r="A311" t="s">
        <v>3060</v>
      </c>
      <c r="B311" t="s">
        <v>838</v>
      </c>
      <c r="C311" t="s">
        <v>2810</v>
      </c>
      <c r="D311" t="s">
        <v>2813</v>
      </c>
      <c r="E311">
        <v>6</v>
      </c>
      <c r="F311">
        <v>0</v>
      </c>
      <c r="G311">
        <v>0</v>
      </c>
      <c r="H311">
        <f t="shared" si="8"/>
        <v>6</v>
      </c>
      <c r="I311">
        <v>0</v>
      </c>
      <c r="J311">
        <v>0</v>
      </c>
      <c r="K311">
        <v>0</v>
      </c>
      <c r="L311">
        <f t="shared" si="9"/>
        <v>0</v>
      </c>
    </row>
    <row r="312" spans="1:12">
      <c r="A312" t="s">
        <v>3060</v>
      </c>
      <c r="B312" t="s">
        <v>838</v>
      </c>
      <c r="C312" t="s">
        <v>2817</v>
      </c>
      <c r="D312" t="s">
        <v>2887</v>
      </c>
      <c r="E312">
        <v>0</v>
      </c>
      <c r="F312">
        <v>0</v>
      </c>
      <c r="G312">
        <v>0</v>
      </c>
      <c r="H312">
        <f t="shared" si="8"/>
        <v>0</v>
      </c>
      <c r="I312">
        <v>3</v>
      </c>
      <c r="J312">
        <v>0</v>
      </c>
      <c r="K312">
        <v>0</v>
      </c>
      <c r="L312">
        <f t="shared" si="9"/>
        <v>3</v>
      </c>
    </row>
    <row r="313" spans="1:12">
      <c r="A313" t="s">
        <v>3086</v>
      </c>
      <c r="B313" t="s">
        <v>843</v>
      </c>
      <c r="C313" t="s">
        <v>2805</v>
      </c>
      <c r="D313" t="s">
        <v>449</v>
      </c>
      <c r="E313">
        <v>15</v>
      </c>
      <c r="F313">
        <v>0</v>
      </c>
      <c r="G313">
        <v>0</v>
      </c>
      <c r="H313">
        <f t="shared" si="8"/>
        <v>15</v>
      </c>
      <c r="I313">
        <v>0</v>
      </c>
      <c r="J313">
        <v>0</v>
      </c>
      <c r="K313">
        <v>0</v>
      </c>
      <c r="L313">
        <f t="shared" si="9"/>
        <v>0</v>
      </c>
    </row>
    <row r="314" spans="1:12">
      <c r="A314" t="s">
        <v>3086</v>
      </c>
      <c r="B314" t="s">
        <v>843</v>
      </c>
      <c r="C314" t="s">
        <v>2810</v>
      </c>
      <c r="D314" t="s">
        <v>2823</v>
      </c>
      <c r="E314">
        <v>0</v>
      </c>
      <c r="F314">
        <v>3</v>
      </c>
      <c r="G314">
        <v>0</v>
      </c>
      <c r="H314">
        <f t="shared" si="8"/>
        <v>3</v>
      </c>
      <c r="I314">
        <v>0</v>
      </c>
      <c r="J314">
        <v>0</v>
      </c>
      <c r="K314">
        <v>0</v>
      </c>
      <c r="L314">
        <f t="shared" si="9"/>
        <v>0</v>
      </c>
    </row>
    <row r="315" spans="1:12">
      <c r="A315" t="s">
        <v>3086</v>
      </c>
      <c r="B315" t="s">
        <v>843</v>
      </c>
      <c r="C315" t="s">
        <v>2810</v>
      </c>
      <c r="D315" t="s">
        <v>2812</v>
      </c>
      <c r="E315">
        <v>26</v>
      </c>
      <c r="F315">
        <v>0</v>
      </c>
      <c r="G315">
        <v>0</v>
      </c>
      <c r="H315">
        <f t="shared" si="8"/>
        <v>26</v>
      </c>
      <c r="I315">
        <v>0</v>
      </c>
      <c r="J315">
        <v>0</v>
      </c>
      <c r="K315">
        <v>0</v>
      </c>
      <c r="L315">
        <f t="shared" si="9"/>
        <v>0</v>
      </c>
    </row>
    <row r="316" spans="1:12">
      <c r="A316" t="s">
        <v>3086</v>
      </c>
      <c r="B316" t="s">
        <v>843</v>
      </c>
      <c r="C316" t="s">
        <v>2810</v>
      </c>
      <c r="D316" t="s">
        <v>2813</v>
      </c>
      <c r="E316">
        <v>16</v>
      </c>
      <c r="F316">
        <v>0</v>
      </c>
      <c r="G316">
        <v>0</v>
      </c>
      <c r="H316">
        <f t="shared" si="8"/>
        <v>16</v>
      </c>
      <c r="I316">
        <v>0</v>
      </c>
      <c r="J316">
        <v>0</v>
      </c>
      <c r="K316">
        <v>0</v>
      </c>
      <c r="L316">
        <f t="shared" si="9"/>
        <v>0</v>
      </c>
    </row>
    <row r="317" spans="1:12">
      <c r="A317" t="s">
        <v>3086</v>
      </c>
      <c r="B317" t="s">
        <v>843</v>
      </c>
      <c r="C317" t="s">
        <v>2810</v>
      </c>
      <c r="D317" t="s">
        <v>2847</v>
      </c>
      <c r="E317">
        <v>119</v>
      </c>
      <c r="F317">
        <v>0</v>
      </c>
      <c r="G317">
        <v>0</v>
      </c>
      <c r="H317">
        <f t="shared" si="8"/>
        <v>119</v>
      </c>
      <c r="I317">
        <v>0</v>
      </c>
      <c r="J317">
        <v>0</v>
      </c>
      <c r="K317">
        <v>0</v>
      </c>
      <c r="L317">
        <f t="shared" si="9"/>
        <v>0</v>
      </c>
    </row>
    <row r="318" spans="1:12">
      <c r="A318" t="s">
        <v>3086</v>
      </c>
      <c r="B318" t="s">
        <v>843</v>
      </c>
      <c r="C318" t="s">
        <v>2810</v>
      </c>
      <c r="D318" t="s">
        <v>2840</v>
      </c>
      <c r="E318">
        <v>1</v>
      </c>
      <c r="F318">
        <v>0</v>
      </c>
      <c r="G318">
        <v>0</v>
      </c>
      <c r="H318">
        <f t="shared" si="8"/>
        <v>1</v>
      </c>
      <c r="I318">
        <v>0</v>
      </c>
      <c r="J318">
        <v>0</v>
      </c>
      <c r="K318">
        <v>0</v>
      </c>
      <c r="L318">
        <f t="shared" si="9"/>
        <v>0</v>
      </c>
    </row>
    <row r="319" spans="1:12">
      <c r="A319" t="s">
        <v>3095</v>
      </c>
      <c r="B319" t="s">
        <v>3096</v>
      </c>
      <c r="C319" t="s">
        <v>2805</v>
      </c>
      <c r="D319" t="s">
        <v>2806</v>
      </c>
      <c r="E319">
        <v>54</v>
      </c>
      <c r="F319">
        <v>0</v>
      </c>
      <c r="G319">
        <v>0</v>
      </c>
      <c r="H319">
        <f t="shared" si="8"/>
        <v>54</v>
      </c>
      <c r="I319">
        <v>0</v>
      </c>
      <c r="J319">
        <v>0</v>
      </c>
      <c r="K319">
        <v>0</v>
      </c>
      <c r="L319">
        <f t="shared" si="9"/>
        <v>0</v>
      </c>
    </row>
    <row r="320" spans="1:12">
      <c r="A320" t="s">
        <v>3095</v>
      </c>
      <c r="B320" t="s">
        <v>3096</v>
      </c>
      <c r="C320" t="s">
        <v>2805</v>
      </c>
      <c r="D320" t="s">
        <v>449</v>
      </c>
      <c r="E320">
        <v>72</v>
      </c>
      <c r="F320">
        <v>0</v>
      </c>
      <c r="G320">
        <v>0</v>
      </c>
      <c r="H320">
        <f t="shared" si="8"/>
        <v>72</v>
      </c>
      <c r="I320">
        <v>0</v>
      </c>
      <c r="J320">
        <v>0</v>
      </c>
      <c r="K320">
        <v>0</v>
      </c>
      <c r="L320">
        <f t="shared" si="9"/>
        <v>0</v>
      </c>
    </row>
    <row r="321" spans="1:12">
      <c r="A321" t="s">
        <v>3095</v>
      </c>
      <c r="B321" t="s">
        <v>3096</v>
      </c>
      <c r="C321" t="s">
        <v>2805</v>
      </c>
      <c r="D321" t="s">
        <v>2807</v>
      </c>
      <c r="E321">
        <v>4</v>
      </c>
      <c r="F321">
        <v>0</v>
      </c>
      <c r="G321">
        <v>0</v>
      </c>
      <c r="H321">
        <f t="shared" si="8"/>
        <v>4</v>
      </c>
      <c r="I321">
        <v>0</v>
      </c>
      <c r="J321">
        <v>0</v>
      </c>
      <c r="K321">
        <v>0</v>
      </c>
      <c r="L321">
        <f t="shared" si="9"/>
        <v>0</v>
      </c>
    </row>
    <row r="322" spans="1:12">
      <c r="A322" t="s">
        <v>3095</v>
      </c>
      <c r="B322" t="s">
        <v>3096</v>
      </c>
      <c r="C322" t="s">
        <v>2810</v>
      </c>
      <c r="D322" t="s">
        <v>2811</v>
      </c>
      <c r="E322">
        <v>15</v>
      </c>
      <c r="F322">
        <v>0</v>
      </c>
      <c r="G322">
        <v>0</v>
      </c>
      <c r="H322">
        <f t="shared" si="8"/>
        <v>15</v>
      </c>
      <c r="I322">
        <v>0</v>
      </c>
      <c r="J322">
        <v>0</v>
      </c>
      <c r="K322">
        <v>0</v>
      </c>
      <c r="L322">
        <f t="shared" si="9"/>
        <v>0</v>
      </c>
    </row>
    <row r="323" spans="1:12">
      <c r="A323" t="s">
        <v>3095</v>
      </c>
      <c r="B323" t="s">
        <v>3096</v>
      </c>
      <c r="C323" t="s">
        <v>2810</v>
      </c>
      <c r="D323" t="s">
        <v>2812</v>
      </c>
      <c r="E323">
        <v>6</v>
      </c>
      <c r="F323">
        <v>0</v>
      </c>
      <c r="G323">
        <v>0</v>
      </c>
      <c r="H323">
        <f t="shared" si="8"/>
        <v>6</v>
      </c>
      <c r="I323">
        <v>0</v>
      </c>
      <c r="J323">
        <v>0</v>
      </c>
      <c r="K323">
        <v>0</v>
      </c>
      <c r="L323">
        <f t="shared" si="9"/>
        <v>0</v>
      </c>
    </row>
    <row r="324" spans="1:12">
      <c r="A324" t="s">
        <v>3095</v>
      </c>
      <c r="B324" t="s">
        <v>3096</v>
      </c>
      <c r="C324" t="s">
        <v>2810</v>
      </c>
      <c r="D324" t="s">
        <v>2813</v>
      </c>
      <c r="E324">
        <v>1</v>
      </c>
      <c r="F324">
        <v>0</v>
      </c>
      <c r="G324">
        <v>0</v>
      </c>
      <c r="H324">
        <f t="shared" ref="H324:H387" si="10">SUM(E324:G324)</f>
        <v>1</v>
      </c>
      <c r="I324">
        <v>0</v>
      </c>
      <c r="J324">
        <v>0</v>
      </c>
      <c r="K324">
        <v>0</v>
      </c>
      <c r="L324">
        <f t="shared" ref="L324:L387" si="11">SUM(I324:K324)</f>
        <v>0</v>
      </c>
    </row>
    <row r="325" spans="1:12">
      <c r="A325" t="s">
        <v>3095</v>
      </c>
      <c r="B325" t="s">
        <v>3096</v>
      </c>
      <c r="C325" t="s">
        <v>2810</v>
      </c>
      <c r="D325" t="s">
        <v>2815</v>
      </c>
      <c r="E325">
        <v>10</v>
      </c>
      <c r="F325">
        <v>0</v>
      </c>
      <c r="G325">
        <v>0</v>
      </c>
      <c r="H325">
        <f t="shared" si="10"/>
        <v>10</v>
      </c>
      <c r="I325">
        <v>0</v>
      </c>
      <c r="J325">
        <v>0</v>
      </c>
      <c r="K325">
        <v>0</v>
      </c>
      <c r="L325">
        <f t="shared" si="11"/>
        <v>0</v>
      </c>
    </row>
    <row r="326" spans="1:12">
      <c r="A326" t="s">
        <v>3095</v>
      </c>
      <c r="B326" t="s">
        <v>3096</v>
      </c>
      <c r="C326" t="s">
        <v>2826</v>
      </c>
      <c r="D326" t="s">
        <v>2872</v>
      </c>
      <c r="E326">
        <v>0</v>
      </c>
      <c r="F326">
        <v>0</v>
      </c>
      <c r="G326">
        <v>0</v>
      </c>
      <c r="H326">
        <f t="shared" si="10"/>
        <v>0</v>
      </c>
      <c r="I326">
        <v>1</v>
      </c>
      <c r="J326">
        <v>0</v>
      </c>
      <c r="K326">
        <v>0</v>
      </c>
      <c r="L326">
        <f t="shared" si="11"/>
        <v>1</v>
      </c>
    </row>
    <row r="327" spans="1:12">
      <c r="A327" t="s">
        <v>3095</v>
      </c>
      <c r="B327" t="s">
        <v>3096</v>
      </c>
      <c r="C327" t="s">
        <v>2826</v>
      </c>
      <c r="D327" t="s">
        <v>2858</v>
      </c>
      <c r="E327">
        <v>0</v>
      </c>
      <c r="F327">
        <v>0</v>
      </c>
      <c r="G327">
        <v>0</v>
      </c>
      <c r="H327">
        <f t="shared" si="10"/>
        <v>0</v>
      </c>
      <c r="I327">
        <v>1</v>
      </c>
      <c r="J327">
        <v>0</v>
      </c>
      <c r="K327">
        <v>0</v>
      </c>
      <c r="L327">
        <f t="shared" si="11"/>
        <v>1</v>
      </c>
    </row>
    <row r="328" spans="1:12">
      <c r="A328" t="s">
        <v>3095</v>
      </c>
      <c r="B328" t="s">
        <v>3096</v>
      </c>
      <c r="C328" t="s">
        <v>2817</v>
      </c>
      <c r="D328" t="s">
        <v>2819</v>
      </c>
      <c r="E328">
        <v>1</v>
      </c>
      <c r="F328">
        <v>0</v>
      </c>
      <c r="G328">
        <v>0</v>
      </c>
      <c r="H328">
        <f t="shared" si="10"/>
        <v>1</v>
      </c>
      <c r="I328">
        <v>0</v>
      </c>
      <c r="J328">
        <v>0</v>
      </c>
      <c r="K328">
        <v>0</v>
      </c>
      <c r="L328">
        <f t="shared" si="11"/>
        <v>0</v>
      </c>
    </row>
    <row r="329" spans="1:12">
      <c r="A329" t="s">
        <v>3097</v>
      </c>
      <c r="B329" t="s">
        <v>3098</v>
      </c>
      <c r="C329" t="s">
        <v>2805</v>
      </c>
      <c r="D329" t="s">
        <v>2806</v>
      </c>
      <c r="E329">
        <v>61</v>
      </c>
      <c r="F329">
        <v>0</v>
      </c>
      <c r="G329">
        <v>0</v>
      </c>
      <c r="H329">
        <f t="shared" si="10"/>
        <v>61</v>
      </c>
      <c r="I329">
        <v>0</v>
      </c>
      <c r="J329">
        <v>0</v>
      </c>
      <c r="K329">
        <v>0</v>
      </c>
      <c r="L329">
        <f t="shared" si="11"/>
        <v>0</v>
      </c>
    </row>
    <row r="330" spans="1:12">
      <c r="A330" t="s">
        <v>3097</v>
      </c>
      <c r="B330" t="s">
        <v>3098</v>
      </c>
      <c r="C330" t="s">
        <v>2805</v>
      </c>
      <c r="D330" t="s">
        <v>449</v>
      </c>
      <c r="E330">
        <v>39</v>
      </c>
      <c r="F330">
        <v>0</v>
      </c>
      <c r="G330">
        <v>0</v>
      </c>
      <c r="H330">
        <f t="shared" si="10"/>
        <v>39</v>
      </c>
      <c r="I330">
        <v>0</v>
      </c>
      <c r="J330">
        <v>0</v>
      </c>
      <c r="K330">
        <v>0</v>
      </c>
      <c r="L330">
        <f t="shared" si="11"/>
        <v>0</v>
      </c>
    </row>
    <row r="331" spans="1:12">
      <c r="A331" t="s">
        <v>3097</v>
      </c>
      <c r="B331" t="s">
        <v>3098</v>
      </c>
      <c r="C331" t="s">
        <v>2805</v>
      </c>
      <c r="D331" t="s">
        <v>2807</v>
      </c>
      <c r="E331">
        <v>3</v>
      </c>
      <c r="F331">
        <v>0</v>
      </c>
      <c r="G331">
        <v>0</v>
      </c>
      <c r="H331">
        <f t="shared" si="10"/>
        <v>3</v>
      </c>
      <c r="I331">
        <v>0</v>
      </c>
      <c r="J331">
        <v>0</v>
      </c>
      <c r="K331">
        <v>0</v>
      </c>
      <c r="L331">
        <f t="shared" si="11"/>
        <v>0</v>
      </c>
    </row>
    <row r="332" spans="1:12">
      <c r="A332" t="s">
        <v>3097</v>
      </c>
      <c r="B332" t="s">
        <v>3098</v>
      </c>
      <c r="C332" t="s">
        <v>2805</v>
      </c>
      <c r="D332" t="s">
        <v>2809</v>
      </c>
      <c r="E332">
        <v>1</v>
      </c>
      <c r="F332">
        <v>0</v>
      </c>
      <c r="G332">
        <v>0</v>
      </c>
      <c r="H332">
        <f t="shared" si="10"/>
        <v>1</v>
      </c>
      <c r="I332">
        <v>0</v>
      </c>
      <c r="J332">
        <v>0</v>
      </c>
      <c r="K332">
        <v>0</v>
      </c>
      <c r="L332">
        <f t="shared" si="11"/>
        <v>0</v>
      </c>
    </row>
    <row r="333" spans="1:12">
      <c r="A333" t="s">
        <v>3097</v>
      </c>
      <c r="B333" t="s">
        <v>3098</v>
      </c>
      <c r="C333" t="s">
        <v>2810</v>
      </c>
      <c r="D333" t="s">
        <v>2811</v>
      </c>
      <c r="E333">
        <v>21</v>
      </c>
      <c r="F333">
        <v>0</v>
      </c>
      <c r="G333">
        <v>0</v>
      </c>
      <c r="H333">
        <f t="shared" si="10"/>
        <v>21</v>
      </c>
      <c r="I333">
        <v>0</v>
      </c>
      <c r="J333">
        <v>0</v>
      </c>
      <c r="K333">
        <v>0</v>
      </c>
      <c r="L333">
        <f t="shared" si="11"/>
        <v>0</v>
      </c>
    </row>
    <row r="334" spans="1:12">
      <c r="A334" t="s">
        <v>3097</v>
      </c>
      <c r="B334" t="s">
        <v>3098</v>
      </c>
      <c r="C334" t="s">
        <v>2810</v>
      </c>
      <c r="D334" t="s">
        <v>2823</v>
      </c>
      <c r="E334">
        <v>3</v>
      </c>
      <c r="F334">
        <v>30</v>
      </c>
      <c r="G334">
        <v>0</v>
      </c>
      <c r="H334">
        <f t="shared" si="10"/>
        <v>33</v>
      </c>
      <c r="I334">
        <v>0</v>
      </c>
      <c r="J334">
        <v>0</v>
      </c>
      <c r="K334">
        <v>0</v>
      </c>
      <c r="L334">
        <f t="shared" si="11"/>
        <v>0</v>
      </c>
    </row>
    <row r="335" spans="1:12">
      <c r="A335" t="s">
        <v>3097</v>
      </c>
      <c r="B335" t="s">
        <v>3098</v>
      </c>
      <c r="C335" t="s">
        <v>2810</v>
      </c>
      <c r="D335" t="s">
        <v>2812</v>
      </c>
      <c r="E335">
        <v>17</v>
      </c>
      <c r="F335">
        <v>0</v>
      </c>
      <c r="G335">
        <v>0</v>
      </c>
      <c r="H335">
        <f t="shared" si="10"/>
        <v>17</v>
      </c>
      <c r="I335">
        <v>0</v>
      </c>
      <c r="J335">
        <v>0</v>
      </c>
      <c r="K335">
        <v>0</v>
      </c>
      <c r="L335">
        <f t="shared" si="11"/>
        <v>0</v>
      </c>
    </row>
    <row r="336" spans="1:12">
      <c r="A336" t="s">
        <v>3097</v>
      </c>
      <c r="B336" t="s">
        <v>3098</v>
      </c>
      <c r="C336" t="s">
        <v>2810</v>
      </c>
      <c r="D336" t="s">
        <v>2813</v>
      </c>
      <c r="E336">
        <v>30</v>
      </c>
      <c r="F336">
        <v>0</v>
      </c>
      <c r="G336">
        <v>0</v>
      </c>
      <c r="H336">
        <f t="shared" si="10"/>
        <v>30</v>
      </c>
      <c r="I336">
        <v>0</v>
      </c>
      <c r="J336">
        <v>0</v>
      </c>
      <c r="K336">
        <v>0</v>
      </c>
      <c r="L336">
        <f t="shared" si="11"/>
        <v>0</v>
      </c>
    </row>
    <row r="337" spans="1:12">
      <c r="A337" t="s">
        <v>3097</v>
      </c>
      <c r="B337" t="s">
        <v>3098</v>
      </c>
      <c r="C337" t="s">
        <v>2810</v>
      </c>
      <c r="D337" t="s">
        <v>2814</v>
      </c>
      <c r="E337">
        <v>4</v>
      </c>
      <c r="F337">
        <v>0</v>
      </c>
      <c r="G337">
        <v>0</v>
      </c>
      <c r="H337">
        <f t="shared" si="10"/>
        <v>4</v>
      </c>
      <c r="I337">
        <v>0</v>
      </c>
      <c r="J337">
        <v>0</v>
      </c>
      <c r="K337">
        <v>0</v>
      </c>
      <c r="L337">
        <f t="shared" si="11"/>
        <v>0</v>
      </c>
    </row>
    <row r="338" spans="1:12">
      <c r="A338" t="s">
        <v>3097</v>
      </c>
      <c r="B338" t="s">
        <v>3098</v>
      </c>
      <c r="C338" t="s">
        <v>2810</v>
      </c>
      <c r="D338" t="s">
        <v>2847</v>
      </c>
      <c r="E338">
        <v>65</v>
      </c>
      <c r="F338">
        <v>0</v>
      </c>
      <c r="G338">
        <v>0</v>
      </c>
      <c r="H338">
        <f t="shared" si="10"/>
        <v>65</v>
      </c>
      <c r="I338">
        <v>0</v>
      </c>
      <c r="J338">
        <v>0</v>
      </c>
      <c r="K338">
        <v>0</v>
      </c>
      <c r="L338">
        <f t="shared" si="11"/>
        <v>0</v>
      </c>
    </row>
    <row r="339" spans="1:12">
      <c r="A339" t="s">
        <v>3097</v>
      </c>
      <c r="B339" t="s">
        <v>3098</v>
      </c>
      <c r="C339" t="s">
        <v>2810</v>
      </c>
      <c r="D339" t="s">
        <v>2815</v>
      </c>
      <c r="E339">
        <v>19</v>
      </c>
      <c r="F339">
        <v>0</v>
      </c>
      <c r="G339">
        <v>0</v>
      </c>
      <c r="H339">
        <f t="shared" si="10"/>
        <v>19</v>
      </c>
      <c r="I339">
        <v>0</v>
      </c>
      <c r="J339">
        <v>0</v>
      </c>
      <c r="K339">
        <v>0</v>
      </c>
      <c r="L339">
        <f t="shared" si="11"/>
        <v>0</v>
      </c>
    </row>
    <row r="340" spans="1:12">
      <c r="A340" t="s">
        <v>3097</v>
      </c>
      <c r="B340" t="s">
        <v>3098</v>
      </c>
      <c r="C340" t="s">
        <v>2817</v>
      </c>
      <c r="D340" t="s">
        <v>2818</v>
      </c>
      <c r="E340">
        <v>10</v>
      </c>
      <c r="F340">
        <v>0</v>
      </c>
      <c r="G340">
        <v>0</v>
      </c>
      <c r="H340">
        <f t="shared" si="10"/>
        <v>10</v>
      </c>
      <c r="I340">
        <v>0</v>
      </c>
      <c r="J340">
        <v>0</v>
      </c>
      <c r="K340">
        <v>0</v>
      </c>
      <c r="L340">
        <f t="shared" si="11"/>
        <v>0</v>
      </c>
    </row>
    <row r="341" spans="1:12">
      <c r="A341" t="s">
        <v>3097</v>
      </c>
      <c r="B341" t="s">
        <v>3098</v>
      </c>
      <c r="C341" t="s">
        <v>2820</v>
      </c>
      <c r="D341" t="s">
        <v>2821</v>
      </c>
      <c r="E341">
        <v>1</v>
      </c>
      <c r="F341">
        <v>0</v>
      </c>
      <c r="G341">
        <v>0</v>
      </c>
      <c r="H341">
        <f t="shared" si="10"/>
        <v>1</v>
      </c>
      <c r="I341">
        <v>0</v>
      </c>
      <c r="J341">
        <v>0</v>
      </c>
      <c r="K341">
        <v>0</v>
      </c>
      <c r="L341">
        <f t="shared" si="11"/>
        <v>0</v>
      </c>
    </row>
    <row r="342" spans="1:12">
      <c r="A342" t="s">
        <v>3109</v>
      </c>
      <c r="B342" t="s">
        <v>3110</v>
      </c>
      <c r="C342" t="s">
        <v>2805</v>
      </c>
      <c r="D342" t="s">
        <v>2806</v>
      </c>
      <c r="E342">
        <v>2</v>
      </c>
      <c r="F342">
        <v>0</v>
      </c>
      <c r="G342">
        <v>0</v>
      </c>
      <c r="H342">
        <f t="shared" si="10"/>
        <v>2</v>
      </c>
      <c r="I342">
        <v>0</v>
      </c>
      <c r="J342">
        <v>0</v>
      </c>
      <c r="K342">
        <v>0</v>
      </c>
      <c r="L342">
        <f t="shared" si="11"/>
        <v>0</v>
      </c>
    </row>
    <row r="343" spans="1:12">
      <c r="A343" t="s">
        <v>3109</v>
      </c>
      <c r="B343" t="s">
        <v>3110</v>
      </c>
      <c r="C343" t="s">
        <v>2805</v>
      </c>
      <c r="D343" t="s">
        <v>449</v>
      </c>
      <c r="E343">
        <v>4</v>
      </c>
      <c r="F343">
        <v>0</v>
      </c>
      <c r="G343">
        <v>0</v>
      </c>
      <c r="H343">
        <f t="shared" si="10"/>
        <v>4</v>
      </c>
      <c r="I343">
        <v>0</v>
      </c>
      <c r="J343">
        <v>0</v>
      </c>
      <c r="K343">
        <v>0</v>
      </c>
      <c r="L343">
        <f t="shared" si="11"/>
        <v>0</v>
      </c>
    </row>
    <row r="344" spans="1:12">
      <c r="A344" t="s">
        <v>3109</v>
      </c>
      <c r="B344" t="s">
        <v>3110</v>
      </c>
      <c r="C344" t="s">
        <v>2805</v>
      </c>
      <c r="D344" t="s">
        <v>2807</v>
      </c>
      <c r="E344">
        <v>1</v>
      </c>
      <c r="F344">
        <v>0</v>
      </c>
      <c r="G344">
        <v>0</v>
      </c>
      <c r="H344">
        <f t="shared" si="10"/>
        <v>1</v>
      </c>
      <c r="I344">
        <v>0</v>
      </c>
      <c r="J344">
        <v>0</v>
      </c>
      <c r="K344">
        <v>0</v>
      </c>
      <c r="L344">
        <f t="shared" si="11"/>
        <v>0</v>
      </c>
    </row>
    <row r="345" spans="1:12">
      <c r="A345" t="s">
        <v>3115</v>
      </c>
      <c r="B345" t="s">
        <v>336</v>
      </c>
      <c r="C345" t="s">
        <v>2841</v>
      </c>
      <c r="D345" t="s">
        <v>3116</v>
      </c>
      <c r="E345">
        <v>0</v>
      </c>
      <c r="F345">
        <v>0</v>
      </c>
      <c r="G345">
        <v>0</v>
      </c>
      <c r="H345">
        <f t="shared" si="10"/>
        <v>0</v>
      </c>
      <c r="I345">
        <v>2</v>
      </c>
      <c r="J345">
        <v>0</v>
      </c>
      <c r="K345">
        <v>0</v>
      </c>
      <c r="L345">
        <f t="shared" si="11"/>
        <v>2</v>
      </c>
    </row>
    <row r="346" spans="1:12">
      <c r="A346" t="s">
        <v>3115</v>
      </c>
      <c r="B346" t="s">
        <v>336</v>
      </c>
      <c r="C346" t="s">
        <v>2841</v>
      </c>
      <c r="D346" t="s">
        <v>3117</v>
      </c>
      <c r="E346">
        <v>0</v>
      </c>
      <c r="F346">
        <v>0</v>
      </c>
      <c r="G346">
        <v>0</v>
      </c>
      <c r="H346">
        <f t="shared" si="10"/>
        <v>0</v>
      </c>
      <c r="I346">
        <v>7</v>
      </c>
      <c r="J346">
        <v>3</v>
      </c>
      <c r="K346">
        <v>0</v>
      </c>
      <c r="L346">
        <f t="shared" si="11"/>
        <v>10</v>
      </c>
    </row>
    <row r="347" spans="1:12">
      <c r="A347" t="s">
        <v>3115</v>
      </c>
      <c r="B347" t="s">
        <v>336</v>
      </c>
      <c r="C347" t="s">
        <v>2841</v>
      </c>
      <c r="D347" t="s">
        <v>2842</v>
      </c>
      <c r="E347">
        <v>0</v>
      </c>
      <c r="F347">
        <v>0</v>
      </c>
      <c r="G347">
        <v>0</v>
      </c>
      <c r="H347">
        <f t="shared" si="10"/>
        <v>0</v>
      </c>
      <c r="I347">
        <v>25</v>
      </c>
      <c r="J347">
        <v>8</v>
      </c>
      <c r="K347">
        <v>0</v>
      </c>
      <c r="L347">
        <f t="shared" si="11"/>
        <v>33</v>
      </c>
    </row>
    <row r="348" spans="1:12">
      <c r="A348" t="s">
        <v>3115</v>
      </c>
      <c r="B348" t="s">
        <v>336</v>
      </c>
      <c r="C348" t="s">
        <v>2826</v>
      </c>
      <c r="D348" t="s">
        <v>2871</v>
      </c>
      <c r="E348">
        <v>0</v>
      </c>
      <c r="F348">
        <v>0</v>
      </c>
      <c r="G348">
        <v>0</v>
      </c>
      <c r="H348">
        <f t="shared" si="10"/>
        <v>0</v>
      </c>
      <c r="I348">
        <v>2</v>
      </c>
      <c r="J348">
        <v>1</v>
      </c>
      <c r="K348">
        <v>0</v>
      </c>
      <c r="L348">
        <f t="shared" si="11"/>
        <v>3</v>
      </c>
    </row>
    <row r="349" spans="1:12">
      <c r="A349" t="s">
        <v>3115</v>
      </c>
      <c r="B349" t="s">
        <v>336</v>
      </c>
      <c r="C349" t="s">
        <v>2826</v>
      </c>
      <c r="D349" t="s">
        <v>2905</v>
      </c>
      <c r="E349">
        <v>0</v>
      </c>
      <c r="F349">
        <v>0</v>
      </c>
      <c r="G349">
        <v>0</v>
      </c>
      <c r="H349">
        <f t="shared" si="10"/>
        <v>0</v>
      </c>
      <c r="I349">
        <v>4</v>
      </c>
      <c r="J349">
        <v>2</v>
      </c>
      <c r="K349">
        <v>0</v>
      </c>
      <c r="L349">
        <f t="shared" si="11"/>
        <v>6</v>
      </c>
    </row>
    <row r="350" spans="1:12">
      <c r="A350" t="s">
        <v>3115</v>
      </c>
      <c r="B350" t="s">
        <v>336</v>
      </c>
      <c r="C350" t="s">
        <v>2826</v>
      </c>
      <c r="D350" t="s">
        <v>2827</v>
      </c>
      <c r="E350">
        <v>0</v>
      </c>
      <c r="F350">
        <v>0</v>
      </c>
      <c r="G350">
        <v>0</v>
      </c>
      <c r="H350">
        <f t="shared" si="10"/>
        <v>0</v>
      </c>
      <c r="I350">
        <v>5</v>
      </c>
      <c r="J350">
        <v>3</v>
      </c>
      <c r="K350">
        <v>0</v>
      </c>
      <c r="L350">
        <f t="shared" si="11"/>
        <v>8</v>
      </c>
    </row>
    <row r="351" spans="1:12">
      <c r="A351" t="s">
        <v>3115</v>
      </c>
      <c r="B351" t="s">
        <v>336</v>
      </c>
      <c r="C351" t="s">
        <v>2826</v>
      </c>
      <c r="D351" t="s">
        <v>2828</v>
      </c>
      <c r="E351">
        <v>0</v>
      </c>
      <c r="F351">
        <v>0</v>
      </c>
      <c r="G351">
        <v>0</v>
      </c>
      <c r="H351">
        <f t="shared" si="10"/>
        <v>0</v>
      </c>
      <c r="I351">
        <v>0</v>
      </c>
      <c r="J351">
        <v>4</v>
      </c>
      <c r="K351">
        <v>0</v>
      </c>
      <c r="L351">
        <f t="shared" si="11"/>
        <v>4</v>
      </c>
    </row>
    <row r="352" spans="1:12">
      <c r="A352" t="s">
        <v>3115</v>
      </c>
      <c r="B352" t="s">
        <v>336</v>
      </c>
      <c r="C352" t="s">
        <v>2826</v>
      </c>
      <c r="D352" t="s">
        <v>2829</v>
      </c>
      <c r="E352">
        <v>0</v>
      </c>
      <c r="F352">
        <v>0</v>
      </c>
      <c r="G352">
        <v>0</v>
      </c>
      <c r="H352">
        <f t="shared" si="10"/>
        <v>0</v>
      </c>
      <c r="I352">
        <v>1</v>
      </c>
      <c r="J352">
        <v>4</v>
      </c>
      <c r="K352">
        <v>0</v>
      </c>
      <c r="L352">
        <f t="shared" si="11"/>
        <v>5</v>
      </c>
    </row>
    <row r="353" spans="1:12">
      <c r="A353" t="s">
        <v>3115</v>
      </c>
      <c r="B353" t="s">
        <v>336</v>
      </c>
      <c r="C353" t="s">
        <v>2826</v>
      </c>
      <c r="D353" t="s">
        <v>2891</v>
      </c>
      <c r="E353">
        <v>0</v>
      </c>
      <c r="F353">
        <v>0</v>
      </c>
      <c r="G353">
        <v>0</v>
      </c>
      <c r="H353">
        <f t="shared" si="10"/>
        <v>0</v>
      </c>
      <c r="I353">
        <v>1</v>
      </c>
      <c r="J353">
        <v>4</v>
      </c>
      <c r="K353">
        <v>0</v>
      </c>
      <c r="L353">
        <f t="shared" si="11"/>
        <v>5</v>
      </c>
    </row>
    <row r="354" spans="1:12">
      <c r="A354" t="s">
        <v>3115</v>
      </c>
      <c r="B354" t="s">
        <v>336</v>
      </c>
      <c r="C354" t="s">
        <v>2826</v>
      </c>
      <c r="D354" t="s">
        <v>2830</v>
      </c>
      <c r="E354">
        <v>0</v>
      </c>
      <c r="F354">
        <v>0</v>
      </c>
      <c r="G354">
        <v>0</v>
      </c>
      <c r="H354">
        <f t="shared" si="10"/>
        <v>0</v>
      </c>
      <c r="I354">
        <v>3</v>
      </c>
      <c r="J354">
        <v>0</v>
      </c>
      <c r="K354">
        <v>0</v>
      </c>
      <c r="L354">
        <f t="shared" si="11"/>
        <v>3</v>
      </c>
    </row>
    <row r="355" spans="1:12">
      <c r="A355" t="s">
        <v>3115</v>
      </c>
      <c r="B355" t="s">
        <v>336</v>
      </c>
      <c r="C355" t="s">
        <v>2826</v>
      </c>
      <c r="D355" t="s">
        <v>2864</v>
      </c>
      <c r="E355">
        <v>0</v>
      </c>
      <c r="F355">
        <v>0</v>
      </c>
      <c r="G355">
        <v>0</v>
      </c>
      <c r="H355">
        <f t="shared" si="10"/>
        <v>0</v>
      </c>
      <c r="I355">
        <v>2</v>
      </c>
      <c r="J355">
        <v>4</v>
      </c>
      <c r="K355">
        <v>0</v>
      </c>
      <c r="L355">
        <f t="shared" si="11"/>
        <v>6</v>
      </c>
    </row>
    <row r="356" spans="1:12">
      <c r="A356" t="s">
        <v>3115</v>
      </c>
      <c r="B356" t="s">
        <v>336</v>
      </c>
      <c r="C356" t="s">
        <v>2826</v>
      </c>
      <c r="D356" t="s">
        <v>2831</v>
      </c>
      <c r="E356">
        <v>0</v>
      </c>
      <c r="F356">
        <v>0</v>
      </c>
      <c r="G356">
        <v>0</v>
      </c>
      <c r="H356">
        <f t="shared" si="10"/>
        <v>0</v>
      </c>
      <c r="I356">
        <v>2</v>
      </c>
      <c r="J356">
        <v>0</v>
      </c>
      <c r="K356">
        <v>0</v>
      </c>
      <c r="L356">
        <f t="shared" si="11"/>
        <v>2</v>
      </c>
    </row>
    <row r="357" spans="1:12">
      <c r="A357" t="s">
        <v>3115</v>
      </c>
      <c r="B357" t="s">
        <v>336</v>
      </c>
      <c r="C357" t="s">
        <v>2826</v>
      </c>
      <c r="D357" t="s">
        <v>2843</v>
      </c>
      <c r="E357">
        <v>0</v>
      </c>
      <c r="F357">
        <v>0</v>
      </c>
      <c r="G357">
        <v>0</v>
      </c>
      <c r="H357">
        <f t="shared" si="10"/>
        <v>0</v>
      </c>
      <c r="I357">
        <v>6</v>
      </c>
      <c r="J357">
        <v>1</v>
      </c>
      <c r="K357">
        <v>0</v>
      </c>
      <c r="L357">
        <f t="shared" si="11"/>
        <v>7</v>
      </c>
    </row>
    <row r="358" spans="1:12">
      <c r="A358" t="s">
        <v>3115</v>
      </c>
      <c r="B358" t="s">
        <v>336</v>
      </c>
      <c r="C358" t="s">
        <v>2826</v>
      </c>
      <c r="D358" t="s">
        <v>2884</v>
      </c>
      <c r="E358">
        <v>0</v>
      </c>
      <c r="F358">
        <v>0</v>
      </c>
      <c r="G358">
        <v>0</v>
      </c>
      <c r="H358">
        <f t="shared" si="10"/>
        <v>0</v>
      </c>
      <c r="I358">
        <v>2</v>
      </c>
      <c r="J358">
        <v>4</v>
      </c>
      <c r="K358">
        <v>0</v>
      </c>
      <c r="L358">
        <f t="shared" si="11"/>
        <v>6</v>
      </c>
    </row>
    <row r="359" spans="1:12">
      <c r="A359" t="s">
        <v>3115</v>
      </c>
      <c r="B359" t="s">
        <v>336</v>
      </c>
      <c r="C359" t="s">
        <v>2826</v>
      </c>
      <c r="D359" t="s">
        <v>2885</v>
      </c>
      <c r="E359">
        <v>0</v>
      </c>
      <c r="F359">
        <v>0</v>
      </c>
      <c r="G359">
        <v>0</v>
      </c>
      <c r="H359">
        <f t="shared" si="10"/>
        <v>0</v>
      </c>
      <c r="I359">
        <v>4</v>
      </c>
      <c r="J359">
        <v>0</v>
      </c>
      <c r="K359">
        <v>0</v>
      </c>
      <c r="L359">
        <f t="shared" si="11"/>
        <v>4</v>
      </c>
    </row>
    <row r="360" spans="1:12">
      <c r="A360" t="s">
        <v>3115</v>
      </c>
      <c r="B360" t="s">
        <v>336</v>
      </c>
      <c r="C360" t="s">
        <v>2826</v>
      </c>
      <c r="D360" t="s">
        <v>2834</v>
      </c>
      <c r="E360">
        <v>0</v>
      </c>
      <c r="F360">
        <v>0</v>
      </c>
      <c r="G360">
        <v>0</v>
      </c>
      <c r="H360">
        <f t="shared" si="10"/>
        <v>0</v>
      </c>
      <c r="I360">
        <v>9</v>
      </c>
      <c r="J360">
        <v>3</v>
      </c>
      <c r="K360">
        <v>0</v>
      </c>
      <c r="L360">
        <f t="shared" si="11"/>
        <v>12</v>
      </c>
    </row>
    <row r="361" spans="1:12">
      <c r="A361" t="s">
        <v>3115</v>
      </c>
      <c r="B361" t="s">
        <v>336</v>
      </c>
      <c r="C361" t="s">
        <v>2826</v>
      </c>
      <c r="D361" t="s">
        <v>2886</v>
      </c>
      <c r="E361">
        <v>0</v>
      </c>
      <c r="F361">
        <v>0</v>
      </c>
      <c r="G361">
        <v>0</v>
      </c>
      <c r="H361">
        <f t="shared" si="10"/>
        <v>0</v>
      </c>
      <c r="I361">
        <v>5</v>
      </c>
      <c r="J361">
        <v>2</v>
      </c>
      <c r="K361">
        <v>0</v>
      </c>
      <c r="L361">
        <f t="shared" si="11"/>
        <v>7</v>
      </c>
    </row>
    <row r="362" spans="1:12">
      <c r="A362" t="s">
        <v>3115</v>
      </c>
      <c r="B362" t="s">
        <v>336</v>
      </c>
      <c r="C362" t="s">
        <v>2826</v>
      </c>
      <c r="D362" t="s">
        <v>2844</v>
      </c>
      <c r="E362">
        <v>0</v>
      </c>
      <c r="F362">
        <v>0</v>
      </c>
      <c r="G362">
        <v>0</v>
      </c>
      <c r="H362">
        <f t="shared" si="10"/>
        <v>0</v>
      </c>
      <c r="I362">
        <v>3</v>
      </c>
      <c r="J362">
        <v>4</v>
      </c>
      <c r="K362">
        <v>0</v>
      </c>
      <c r="L362">
        <f t="shared" si="11"/>
        <v>7</v>
      </c>
    </row>
    <row r="363" spans="1:12">
      <c r="A363" t="s">
        <v>3115</v>
      </c>
      <c r="B363" t="s">
        <v>336</v>
      </c>
      <c r="C363" t="s">
        <v>2826</v>
      </c>
      <c r="D363" t="s">
        <v>2916</v>
      </c>
      <c r="E363">
        <v>0</v>
      </c>
      <c r="F363">
        <v>0</v>
      </c>
      <c r="G363">
        <v>0</v>
      </c>
      <c r="H363">
        <f t="shared" si="10"/>
        <v>0</v>
      </c>
      <c r="I363">
        <v>1</v>
      </c>
      <c r="J363">
        <v>2</v>
      </c>
      <c r="K363">
        <v>0</v>
      </c>
      <c r="L363">
        <f t="shared" si="11"/>
        <v>3</v>
      </c>
    </row>
    <row r="364" spans="1:12">
      <c r="A364" t="s">
        <v>3115</v>
      </c>
      <c r="B364" t="s">
        <v>336</v>
      </c>
      <c r="C364" t="s">
        <v>2826</v>
      </c>
      <c r="D364" t="s">
        <v>2835</v>
      </c>
      <c r="E364">
        <v>0</v>
      </c>
      <c r="F364">
        <v>0</v>
      </c>
      <c r="G364">
        <v>0</v>
      </c>
      <c r="H364">
        <f t="shared" si="10"/>
        <v>0</v>
      </c>
      <c r="I364">
        <v>2</v>
      </c>
      <c r="J364">
        <v>1</v>
      </c>
      <c r="K364">
        <v>0</v>
      </c>
      <c r="L364">
        <f t="shared" si="11"/>
        <v>3</v>
      </c>
    </row>
    <row r="365" spans="1:12">
      <c r="A365" t="s">
        <v>3115</v>
      </c>
      <c r="B365" t="s">
        <v>336</v>
      </c>
      <c r="C365" t="s">
        <v>2826</v>
      </c>
      <c r="D365" t="s">
        <v>2917</v>
      </c>
      <c r="E365">
        <v>0</v>
      </c>
      <c r="F365">
        <v>0</v>
      </c>
      <c r="G365">
        <v>0</v>
      </c>
      <c r="H365">
        <f t="shared" si="10"/>
        <v>0</v>
      </c>
      <c r="I365">
        <v>0</v>
      </c>
      <c r="J365">
        <v>1</v>
      </c>
      <c r="K365">
        <v>0</v>
      </c>
      <c r="L365">
        <f t="shared" si="11"/>
        <v>1</v>
      </c>
    </row>
    <row r="366" spans="1:12">
      <c r="A366" t="s">
        <v>3115</v>
      </c>
      <c r="B366" t="s">
        <v>336</v>
      </c>
      <c r="C366" t="s">
        <v>2826</v>
      </c>
      <c r="D366" t="s">
        <v>2849</v>
      </c>
      <c r="E366">
        <v>0</v>
      </c>
      <c r="F366">
        <v>0</v>
      </c>
      <c r="G366">
        <v>0</v>
      </c>
      <c r="H366">
        <f t="shared" si="10"/>
        <v>0</v>
      </c>
      <c r="I366">
        <v>2</v>
      </c>
      <c r="J366">
        <v>0</v>
      </c>
      <c r="K366">
        <v>0</v>
      </c>
      <c r="L366">
        <f t="shared" si="11"/>
        <v>2</v>
      </c>
    </row>
    <row r="367" spans="1:12">
      <c r="A367" t="s">
        <v>3115</v>
      </c>
      <c r="B367" t="s">
        <v>336</v>
      </c>
      <c r="C367" t="s">
        <v>2826</v>
      </c>
      <c r="D367" t="s">
        <v>2836</v>
      </c>
      <c r="E367">
        <v>0</v>
      </c>
      <c r="F367">
        <v>0</v>
      </c>
      <c r="G367">
        <v>0</v>
      </c>
      <c r="H367">
        <f t="shared" si="10"/>
        <v>0</v>
      </c>
      <c r="I367">
        <v>0</v>
      </c>
      <c r="J367">
        <v>2</v>
      </c>
      <c r="K367">
        <v>0</v>
      </c>
      <c r="L367">
        <f t="shared" si="11"/>
        <v>2</v>
      </c>
    </row>
    <row r="368" spans="1:12">
      <c r="A368" t="s">
        <v>3115</v>
      </c>
      <c r="B368" t="s">
        <v>336</v>
      </c>
      <c r="C368" t="s">
        <v>2817</v>
      </c>
      <c r="D368" t="s">
        <v>2887</v>
      </c>
      <c r="E368">
        <v>0</v>
      </c>
      <c r="F368">
        <v>0</v>
      </c>
      <c r="G368">
        <v>0</v>
      </c>
      <c r="H368">
        <f t="shared" si="10"/>
        <v>0</v>
      </c>
      <c r="I368">
        <v>2</v>
      </c>
      <c r="J368">
        <v>2</v>
      </c>
      <c r="K368">
        <v>0</v>
      </c>
      <c r="L368">
        <f t="shared" si="11"/>
        <v>4</v>
      </c>
    </row>
    <row r="369" spans="1:12">
      <c r="A369" t="s">
        <v>3115</v>
      </c>
      <c r="B369" t="s">
        <v>336</v>
      </c>
      <c r="C369" t="s">
        <v>2820</v>
      </c>
      <c r="D369" t="s">
        <v>2952</v>
      </c>
      <c r="E369">
        <v>0</v>
      </c>
      <c r="F369">
        <v>0</v>
      </c>
      <c r="G369">
        <v>0</v>
      </c>
      <c r="H369">
        <f t="shared" si="10"/>
        <v>0</v>
      </c>
      <c r="I369">
        <v>12</v>
      </c>
      <c r="J369">
        <v>0</v>
      </c>
      <c r="K369">
        <v>0</v>
      </c>
      <c r="L369">
        <f t="shared" si="11"/>
        <v>12</v>
      </c>
    </row>
    <row r="370" spans="1:12">
      <c r="A370" t="s">
        <v>3115</v>
      </c>
      <c r="B370" t="s">
        <v>336</v>
      </c>
      <c r="C370" t="s">
        <v>2820</v>
      </c>
      <c r="D370" t="s">
        <v>2821</v>
      </c>
      <c r="E370">
        <v>0</v>
      </c>
      <c r="F370">
        <v>0</v>
      </c>
      <c r="G370">
        <v>0</v>
      </c>
      <c r="H370">
        <f t="shared" si="10"/>
        <v>0</v>
      </c>
      <c r="I370">
        <v>3</v>
      </c>
      <c r="J370">
        <v>0</v>
      </c>
      <c r="K370">
        <v>0</v>
      </c>
      <c r="L370">
        <f t="shared" si="11"/>
        <v>3</v>
      </c>
    </row>
    <row r="371" spans="1:12">
      <c r="A371" t="s">
        <v>3115</v>
      </c>
      <c r="B371" t="s">
        <v>336</v>
      </c>
      <c r="C371" t="s">
        <v>2820</v>
      </c>
      <c r="D371" t="s">
        <v>2949</v>
      </c>
      <c r="E371">
        <v>0</v>
      </c>
      <c r="F371">
        <v>0</v>
      </c>
      <c r="G371">
        <v>0</v>
      </c>
      <c r="H371">
        <f t="shared" si="10"/>
        <v>0</v>
      </c>
      <c r="I371">
        <v>0</v>
      </c>
      <c r="J371">
        <v>2</v>
      </c>
      <c r="K371">
        <v>0</v>
      </c>
      <c r="L371">
        <f t="shared" si="11"/>
        <v>2</v>
      </c>
    </row>
    <row r="372" spans="1:12">
      <c r="A372" t="s">
        <v>3118</v>
      </c>
      <c r="B372" t="s">
        <v>3119</v>
      </c>
      <c r="C372" t="s">
        <v>2805</v>
      </c>
      <c r="D372" t="s">
        <v>2806</v>
      </c>
      <c r="E372">
        <v>18</v>
      </c>
      <c r="F372">
        <v>0</v>
      </c>
      <c r="G372">
        <v>0</v>
      </c>
      <c r="H372">
        <f t="shared" si="10"/>
        <v>18</v>
      </c>
      <c r="I372">
        <v>0</v>
      </c>
      <c r="J372">
        <v>0</v>
      </c>
      <c r="K372">
        <v>0</v>
      </c>
      <c r="L372">
        <f t="shared" si="11"/>
        <v>0</v>
      </c>
    </row>
    <row r="373" spans="1:12">
      <c r="A373" t="s">
        <v>3118</v>
      </c>
      <c r="B373" t="s">
        <v>3119</v>
      </c>
      <c r="C373" t="s">
        <v>2805</v>
      </c>
      <c r="D373" t="s">
        <v>449</v>
      </c>
      <c r="E373">
        <v>29</v>
      </c>
      <c r="F373">
        <v>0</v>
      </c>
      <c r="G373">
        <v>0</v>
      </c>
      <c r="H373">
        <f t="shared" si="10"/>
        <v>29</v>
      </c>
      <c r="I373">
        <v>0</v>
      </c>
      <c r="J373">
        <v>0</v>
      </c>
      <c r="K373">
        <v>0</v>
      </c>
      <c r="L373">
        <f t="shared" si="11"/>
        <v>0</v>
      </c>
    </row>
    <row r="374" spans="1:12">
      <c r="A374" t="s">
        <v>3118</v>
      </c>
      <c r="B374" t="s">
        <v>3119</v>
      </c>
      <c r="C374" t="s">
        <v>2805</v>
      </c>
      <c r="D374" t="s">
        <v>2807</v>
      </c>
      <c r="E374">
        <v>6</v>
      </c>
      <c r="F374">
        <v>0</v>
      </c>
      <c r="G374">
        <v>0</v>
      </c>
      <c r="H374">
        <f t="shared" si="10"/>
        <v>6</v>
      </c>
      <c r="I374">
        <v>0</v>
      </c>
      <c r="J374">
        <v>0</v>
      </c>
      <c r="K374">
        <v>0</v>
      </c>
      <c r="L374">
        <f t="shared" si="11"/>
        <v>0</v>
      </c>
    </row>
    <row r="375" spans="1:12">
      <c r="A375" t="s">
        <v>3118</v>
      </c>
      <c r="B375" t="s">
        <v>3119</v>
      </c>
      <c r="C375" t="s">
        <v>2810</v>
      </c>
      <c r="D375" t="s">
        <v>2811</v>
      </c>
      <c r="E375">
        <v>23</v>
      </c>
      <c r="F375">
        <v>0</v>
      </c>
      <c r="G375">
        <v>0</v>
      </c>
      <c r="H375">
        <f t="shared" si="10"/>
        <v>23</v>
      </c>
      <c r="I375">
        <v>0</v>
      </c>
      <c r="J375">
        <v>0</v>
      </c>
      <c r="K375">
        <v>0</v>
      </c>
      <c r="L375">
        <f t="shared" si="11"/>
        <v>0</v>
      </c>
    </row>
    <row r="376" spans="1:12">
      <c r="A376" t="s">
        <v>3118</v>
      </c>
      <c r="B376" t="s">
        <v>3119</v>
      </c>
      <c r="C376" t="s">
        <v>2810</v>
      </c>
      <c r="D376" t="s">
        <v>2813</v>
      </c>
      <c r="E376">
        <v>3</v>
      </c>
      <c r="F376">
        <v>0</v>
      </c>
      <c r="G376">
        <v>0</v>
      </c>
      <c r="H376">
        <f t="shared" si="10"/>
        <v>3</v>
      </c>
      <c r="I376">
        <v>0</v>
      </c>
      <c r="J376">
        <v>0</v>
      </c>
      <c r="K376">
        <v>0</v>
      </c>
      <c r="L376">
        <f t="shared" si="11"/>
        <v>0</v>
      </c>
    </row>
    <row r="377" spans="1:12">
      <c r="A377" t="s">
        <v>3118</v>
      </c>
      <c r="B377" t="s">
        <v>3119</v>
      </c>
      <c r="C377" t="s">
        <v>2810</v>
      </c>
      <c r="D377" t="s">
        <v>2814</v>
      </c>
      <c r="E377">
        <v>16</v>
      </c>
      <c r="F377">
        <v>0</v>
      </c>
      <c r="G377">
        <v>0</v>
      </c>
      <c r="H377">
        <f t="shared" si="10"/>
        <v>16</v>
      </c>
      <c r="I377">
        <v>0</v>
      </c>
      <c r="J377">
        <v>0</v>
      </c>
      <c r="K377">
        <v>0</v>
      </c>
      <c r="L377">
        <f t="shared" si="11"/>
        <v>0</v>
      </c>
    </row>
    <row r="378" spans="1:12">
      <c r="A378" t="s">
        <v>3118</v>
      </c>
      <c r="B378" t="s">
        <v>3119</v>
      </c>
      <c r="C378" t="s">
        <v>2816</v>
      </c>
      <c r="D378" t="s">
        <v>1896</v>
      </c>
      <c r="E378">
        <v>2</v>
      </c>
      <c r="F378">
        <v>0</v>
      </c>
      <c r="G378">
        <v>0</v>
      </c>
      <c r="H378">
        <f t="shared" si="10"/>
        <v>2</v>
      </c>
      <c r="I378">
        <v>0</v>
      </c>
      <c r="J378">
        <v>0</v>
      </c>
      <c r="K378">
        <v>0</v>
      </c>
      <c r="L378">
        <f t="shared" si="11"/>
        <v>0</v>
      </c>
    </row>
    <row r="379" spans="1:12">
      <c r="A379" t="s">
        <v>3118</v>
      </c>
      <c r="B379" t="s">
        <v>3119</v>
      </c>
      <c r="C379" t="s">
        <v>2817</v>
      </c>
      <c r="D379" t="s">
        <v>2837</v>
      </c>
      <c r="E379">
        <v>9</v>
      </c>
      <c r="F379">
        <v>0</v>
      </c>
      <c r="G379">
        <v>0</v>
      </c>
      <c r="H379">
        <f t="shared" si="10"/>
        <v>9</v>
      </c>
      <c r="I379">
        <v>0</v>
      </c>
      <c r="J379">
        <v>0</v>
      </c>
      <c r="K379">
        <v>0</v>
      </c>
      <c r="L379">
        <f t="shared" si="11"/>
        <v>0</v>
      </c>
    </row>
    <row r="380" spans="1:12">
      <c r="A380" t="s">
        <v>3120</v>
      </c>
      <c r="B380" t="s">
        <v>864</v>
      </c>
      <c r="C380" t="s">
        <v>2805</v>
      </c>
      <c r="D380" t="s">
        <v>2807</v>
      </c>
      <c r="E380">
        <v>1</v>
      </c>
      <c r="F380">
        <v>0</v>
      </c>
      <c r="G380">
        <v>0</v>
      </c>
      <c r="H380">
        <f t="shared" si="10"/>
        <v>1</v>
      </c>
      <c r="I380">
        <v>0</v>
      </c>
      <c r="J380">
        <v>0</v>
      </c>
      <c r="K380">
        <v>0</v>
      </c>
      <c r="L380">
        <f t="shared" si="11"/>
        <v>0</v>
      </c>
    </row>
    <row r="381" spans="1:12">
      <c r="A381" t="s">
        <v>3120</v>
      </c>
      <c r="B381" t="s">
        <v>864</v>
      </c>
      <c r="C381" t="s">
        <v>2810</v>
      </c>
      <c r="D381" t="s">
        <v>2811</v>
      </c>
      <c r="E381">
        <v>1</v>
      </c>
      <c r="F381">
        <v>0</v>
      </c>
      <c r="G381">
        <v>0</v>
      </c>
      <c r="H381">
        <f t="shared" si="10"/>
        <v>1</v>
      </c>
      <c r="I381">
        <v>0</v>
      </c>
      <c r="J381">
        <v>0</v>
      </c>
      <c r="K381">
        <v>0</v>
      </c>
      <c r="L381">
        <f t="shared" si="11"/>
        <v>0</v>
      </c>
    </row>
    <row r="382" spans="1:12">
      <c r="A382" t="s">
        <v>3120</v>
      </c>
      <c r="B382" t="s">
        <v>864</v>
      </c>
      <c r="C382" t="s">
        <v>2841</v>
      </c>
      <c r="D382" t="s">
        <v>3117</v>
      </c>
      <c r="E382">
        <v>0</v>
      </c>
      <c r="F382">
        <v>0</v>
      </c>
      <c r="G382">
        <v>0</v>
      </c>
      <c r="H382">
        <f t="shared" si="10"/>
        <v>0</v>
      </c>
      <c r="I382">
        <v>5</v>
      </c>
      <c r="J382">
        <v>2</v>
      </c>
      <c r="K382">
        <v>0</v>
      </c>
      <c r="L382">
        <f t="shared" si="11"/>
        <v>7</v>
      </c>
    </row>
    <row r="383" spans="1:12">
      <c r="A383" t="s">
        <v>3120</v>
      </c>
      <c r="B383" t="s">
        <v>864</v>
      </c>
      <c r="C383" t="s">
        <v>2826</v>
      </c>
      <c r="D383" t="s">
        <v>2871</v>
      </c>
      <c r="E383">
        <v>0</v>
      </c>
      <c r="F383">
        <v>0</v>
      </c>
      <c r="G383">
        <v>0</v>
      </c>
      <c r="H383">
        <f t="shared" si="10"/>
        <v>0</v>
      </c>
      <c r="I383">
        <v>1</v>
      </c>
      <c r="J383">
        <v>0</v>
      </c>
      <c r="K383">
        <v>0</v>
      </c>
      <c r="L383">
        <f t="shared" si="11"/>
        <v>1</v>
      </c>
    </row>
    <row r="384" spans="1:12">
      <c r="A384" t="s">
        <v>3120</v>
      </c>
      <c r="B384" t="s">
        <v>864</v>
      </c>
      <c r="C384" t="s">
        <v>2826</v>
      </c>
      <c r="D384" t="s">
        <v>2827</v>
      </c>
      <c r="E384">
        <v>0</v>
      </c>
      <c r="F384">
        <v>0</v>
      </c>
      <c r="G384">
        <v>0</v>
      </c>
      <c r="H384">
        <f t="shared" si="10"/>
        <v>0</v>
      </c>
      <c r="I384">
        <v>1</v>
      </c>
      <c r="J384">
        <v>1</v>
      </c>
      <c r="K384">
        <v>0</v>
      </c>
      <c r="L384">
        <f t="shared" si="11"/>
        <v>2</v>
      </c>
    </row>
    <row r="385" spans="1:12">
      <c r="A385" t="s">
        <v>3120</v>
      </c>
      <c r="B385" t="s">
        <v>864</v>
      </c>
      <c r="C385" t="s">
        <v>2826</v>
      </c>
      <c r="D385" t="s">
        <v>2828</v>
      </c>
      <c r="E385">
        <v>0</v>
      </c>
      <c r="F385">
        <v>0</v>
      </c>
      <c r="G385">
        <v>0</v>
      </c>
      <c r="H385">
        <f t="shared" si="10"/>
        <v>0</v>
      </c>
      <c r="I385">
        <v>0</v>
      </c>
      <c r="J385">
        <v>1</v>
      </c>
      <c r="K385">
        <v>0</v>
      </c>
      <c r="L385">
        <f t="shared" si="11"/>
        <v>1</v>
      </c>
    </row>
    <row r="386" spans="1:12">
      <c r="A386" t="s">
        <v>3120</v>
      </c>
      <c r="B386" t="s">
        <v>864</v>
      </c>
      <c r="C386" t="s">
        <v>2826</v>
      </c>
      <c r="D386" t="s">
        <v>2829</v>
      </c>
      <c r="E386">
        <v>0</v>
      </c>
      <c r="F386">
        <v>0</v>
      </c>
      <c r="G386">
        <v>0</v>
      </c>
      <c r="H386">
        <f t="shared" si="10"/>
        <v>0</v>
      </c>
      <c r="I386">
        <v>1</v>
      </c>
      <c r="J386">
        <v>0</v>
      </c>
      <c r="K386">
        <v>0</v>
      </c>
      <c r="L386">
        <f t="shared" si="11"/>
        <v>1</v>
      </c>
    </row>
    <row r="387" spans="1:12">
      <c r="A387" t="s">
        <v>3120</v>
      </c>
      <c r="B387" t="s">
        <v>864</v>
      </c>
      <c r="C387" t="s">
        <v>2826</v>
      </c>
      <c r="D387" t="s">
        <v>2891</v>
      </c>
      <c r="E387">
        <v>0</v>
      </c>
      <c r="F387">
        <v>0</v>
      </c>
      <c r="G387">
        <v>0</v>
      </c>
      <c r="H387">
        <f t="shared" si="10"/>
        <v>0</v>
      </c>
      <c r="I387">
        <v>1</v>
      </c>
      <c r="J387">
        <v>0</v>
      </c>
      <c r="K387">
        <v>0</v>
      </c>
      <c r="L387">
        <f t="shared" si="11"/>
        <v>1</v>
      </c>
    </row>
    <row r="388" spans="1:12">
      <c r="A388" t="s">
        <v>3120</v>
      </c>
      <c r="B388" t="s">
        <v>864</v>
      </c>
      <c r="C388" t="s">
        <v>2826</v>
      </c>
      <c r="D388" t="s">
        <v>2864</v>
      </c>
      <c r="E388">
        <v>0</v>
      </c>
      <c r="F388">
        <v>0</v>
      </c>
      <c r="G388">
        <v>0</v>
      </c>
      <c r="H388">
        <f t="shared" ref="H388:H451" si="12">SUM(E388:G388)</f>
        <v>0</v>
      </c>
      <c r="I388">
        <v>0</v>
      </c>
      <c r="J388">
        <v>1</v>
      </c>
      <c r="K388">
        <v>0</v>
      </c>
      <c r="L388">
        <f t="shared" ref="L388:L451" si="13">SUM(I388:K388)</f>
        <v>1</v>
      </c>
    </row>
    <row r="389" spans="1:12">
      <c r="A389" t="s">
        <v>3120</v>
      </c>
      <c r="B389" t="s">
        <v>864</v>
      </c>
      <c r="C389" t="s">
        <v>2826</v>
      </c>
      <c r="D389" t="s">
        <v>2843</v>
      </c>
      <c r="E389">
        <v>0</v>
      </c>
      <c r="F389">
        <v>0</v>
      </c>
      <c r="G389">
        <v>0</v>
      </c>
      <c r="H389">
        <f t="shared" si="12"/>
        <v>0</v>
      </c>
      <c r="I389">
        <v>1</v>
      </c>
      <c r="J389">
        <v>0</v>
      </c>
      <c r="K389">
        <v>0</v>
      </c>
      <c r="L389">
        <f t="shared" si="13"/>
        <v>1</v>
      </c>
    </row>
    <row r="390" spans="1:12">
      <c r="A390" t="s">
        <v>3120</v>
      </c>
      <c r="B390" t="s">
        <v>864</v>
      </c>
      <c r="C390" t="s">
        <v>2826</v>
      </c>
      <c r="D390" t="s">
        <v>2832</v>
      </c>
      <c r="E390">
        <v>0</v>
      </c>
      <c r="F390">
        <v>0</v>
      </c>
      <c r="G390">
        <v>0</v>
      </c>
      <c r="H390">
        <f t="shared" si="12"/>
        <v>0</v>
      </c>
      <c r="I390">
        <v>0</v>
      </c>
      <c r="J390">
        <v>1</v>
      </c>
      <c r="K390">
        <v>0</v>
      </c>
      <c r="L390">
        <f t="shared" si="13"/>
        <v>1</v>
      </c>
    </row>
    <row r="391" spans="1:12">
      <c r="A391" t="s">
        <v>3120</v>
      </c>
      <c r="B391" t="s">
        <v>864</v>
      </c>
      <c r="C391" t="s">
        <v>2826</v>
      </c>
      <c r="D391" t="s">
        <v>2886</v>
      </c>
      <c r="E391">
        <v>0</v>
      </c>
      <c r="F391">
        <v>0</v>
      </c>
      <c r="G391">
        <v>0</v>
      </c>
      <c r="H391">
        <f t="shared" si="12"/>
        <v>0</v>
      </c>
      <c r="I391">
        <v>1</v>
      </c>
      <c r="J391">
        <v>0</v>
      </c>
      <c r="K391">
        <v>0</v>
      </c>
      <c r="L391">
        <f t="shared" si="13"/>
        <v>1</v>
      </c>
    </row>
    <row r="392" spans="1:12">
      <c r="A392" t="s">
        <v>3120</v>
      </c>
      <c r="B392" t="s">
        <v>864</v>
      </c>
      <c r="C392" t="s">
        <v>2826</v>
      </c>
      <c r="D392" t="s">
        <v>2835</v>
      </c>
      <c r="E392">
        <v>0</v>
      </c>
      <c r="F392">
        <v>0</v>
      </c>
      <c r="G392">
        <v>0</v>
      </c>
      <c r="H392">
        <f t="shared" si="12"/>
        <v>0</v>
      </c>
      <c r="I392">
        <v>0</v>
      </c>
      <c r="J392">
        <v>1</v>
      </c>
      <c r="K392">
        <v>0</v>
      </c>
      <c r="L392">
        <f t="shared" si="13"/>
        <v>1</v>
      </c>
    </row>
    <row r="393" spans="1:12">
      <c r="A393" t="s">
        <v>3120</v>
      </c>
      <c r="B393" t="s">
        <v>864</v>
      </c>
      <c r="C393" t="s">
        <v>2826</v>
      </c>
      <c r="D393" t="s">
        <v>2836</v>
      </c>
      <c r="E393">
        <v>0</v>
      </c>
      <c r="F393">
        <v>0</v>
      </c>
      <c r="G393">
        <v>0</v>
      </c>
      <c r="H393">
        <f t="shared" si="12"/>
        <v>0</v>
      </c>
      <c r="I393">
        <v>0</v>
      </c>
      <c r="J393">
        <v>1</v>
      </c>
      <c r="K393">
        <v>0</v>
      </c>
      <c r="L393">
        <f t="shared" si="13"/>
        <v>1</v>
      </c>
    </row>
    <row r="394" spans="1:12">
      <c r="A394" t="s">
        <v>3120</v>
      </c>
      <c r="B394" t="s">
        <v>864</v>
      </c>
      <c r="C394" t="s">
        <v>2820</v>
      </c>
      <c r="D394" t="s">
        <v>2952</v>
      </c>
      <c r="E394">
        <v>0</v>
      </c>
      <c r="F394">
        <v>0</v>
      </c>
      <c r="G394">
        <v>0</v>
      </c>
      <c r="H394">
        <f t="shared" si="12"/>
        <v>0</v>
      </c>
      <c r="I394">
        <v>1</v>
      </c>
      <c r="J394">
        <v>0</v>
      </c>
      <c r="K394">
        <v>0</v>
      </c>
      <c r="L394">
        <f t="shared" si="13"/>
        <v>1</v>
      </c>
    </row>
    <row r="395" spans="1:12">
      <c r="A395" t="s">
        <v>3121</v>
      </c>
      <c r="B395" t="s">
        <v>865</v>
      </c>
      <c r="C395" t="s">
        <v>2805</v>
      </c>
      <c r="D395" t="s">
        <v>2806</v>
      </c>
      <c r="E395">
        <v>134</v>
      </c>
      <c r="F395">
        <v>0</v>
      </c>
      <c r="G395">
        <v>0</v>
      </c>
      <c r="H395">
        <f t="shared" si="12"/>
        <v>134</v>
      </c>
      <c r="I395">
        <v>0</v>
      </c>
      <c r="J395">
        <v>0</v>
      </c>
      <c r="K395">
        <v>0</v>
      </c>
      <c r="L395">
        <f t="shared" si="13"/>
        <v>0</v>
      </c>
    </row>
    <row r="396" spans="1:12">
      <c r="A396" t="s">
        <v>3121</v>
      </c>
      <c r="B396" t="s">
        <v>865</v>
      </c>
      <c r="C396" t="s">
        <v>2805</v>
      </c>
      <c r="D396" t="s">
        <v>449</v>
      </c>
      <c r="E396">
        <v>301</v>
      </c>
      <c r="F396">
        <v>0</v>
      </c>
      <c r="G396">
        <v>0</v>
      </c>
      <c r="H396">
        <f t="shared" si="12"/>
        <v>301</v>
      </c>
      <c r="I396">
        <v>0</v>
      </c>
      <c r="J396">
        <v>0</v>
      </c>
      <c r="K396">
        <v>0</v>
      </c>
      <c r="L396">
        <f t="shared" si="13"/>
        <v>0</v>
      </c>
    </row>
    <row r="397" spans="1:12">
      <c r="A397" t="s">
        <v>3121</v>
      </c>
      <c r="B397" t="s">
        <v>865</v>
      </c>
      <c r="C397" t="s">
        <v>2805</v>
      </c>
      <c r="D397" t="s">
        <v>2807</v>
      </c>
      <c r="E397">
        <v>2</v>
      </c>
      <c r="F397">
        <v>0</v>
      </c>
      <c r="G397">
        <v>0</v>
      </c>
      <c r="H397">
        <f t="shared" si="12"/>
        <v>2</v>
      </c>
      <c r="I397">
        <v>0</v>
      </c>
      <c r="J397">
        <v>0</v>
      </c>
      <c r="K397">
        <v>0</v>
      </c>
      <c r="L397">
        <f t="shared" si="13"/>
        <v>0</v>
      </c>
    </row>
    <row r="398" spans="1:12">
      <c r="A398" t="s">
        <v>3121</v>
      </c>
      <c r="B398" t="s">
        <v>865</v>
      </c>
      <c r="C398" t="s">
        <v>2810</v>
      </c>
      <c r="D398" t="s">
        <v>2811</v>
      </c>
      <c r="E398">
        <v>8</v>
      </c>
      <c r="F398">
        <v>0</v>
      </c>
      <c r="G398">
        <v>0</v>
      </c>
      <c r="H398">
        <f t="shared" si="12"/>
        <v>8</v>
      </c>
      <c r="I398">
        <v>0</v>
      </c>
      <c r="J398">
        <v>0</v>
      </c>
      <c r="K398">
        <v>0</v>
      </c>
      <c r="L398">
        <f t="shared" si="13"/>
        <v>0</v>
      </c>
    </row>
    <row r="399" spans="1:12">
      <c r="A399" t="s">
        <v>3121</v>
      </c>
      <c r="B399" t="s">
        <v>865</v>
      </c>
      <c r="C399" t="s">
        <v>2810</v>
      </c>
      <c r="D399" t="s">
        <v>2813</v>
      </c>
      <c r="E399">
        <v>4</v>
      </c>
      <c r="F399">
        <v>0</v>
      </c>
      <c r="G399">
        <v>0</v>
      </c>
      <c r="H399">
        <f t="shared" si="12"/>
        <v>4</v>
      </c>
      <c r="I399">
        <v>0</v>
      </c>
      <c r="J399">
        <v>0</v>
      </c>
      <c r="K399">
        <v>0</v>
      </c>
      <c r="L399">
        <f t="shared" si="13"/>
        <v>0</v>
      </c>
    </row>
    <row r="400" spans="1:12">
      <c r="A400" t="s">
        <v>3121</v>
      </c>
      <c r="B400" t="s">
        <v>865</v>
      </c>
      <c r="C400" t="s">
        <v>2810</v>
      </c>
      <c r="D400" t="s">
        <v>2815</v>
      </c>
      <c r="E400">
        <v>4</v>
      </c>
      <c r="F400">
        <v>0</v>
      </c>
      <c r="G400">
        <v>0</v>
      </c>
      <c r="H400">
        <f t="shared" si="12"/>
        <v>4</v>
      </c>
      <c r="I400">
        <v>0</v>
      </c>
      <c r="J400">
        <v>0</v>
      </c>
      <c r="K400">
        <v>0</v>
      </c>
      <c r="L400">
        <f t="shared" si="13"/>
        <v>0</v>
      </c>
    </row>
    <row r="401" spans="1:12">
      <c r="A401" t="s">
        <v>3121</v>
      </c>
      <c r="B401" t="s">
        <v>865</v>
      </c>
      <c r="C401" t="s">
        <v>2816</v>
      </c>
      <c r="D401" t="s">
        <v>1897</v>
      </c>
      <c r="E401">
        <v>37</v>
      </c>
      <c r="F401">
        <v>0</v>
      </c>
      <c r="G401">
        <v>0</v>
      </c>
      <c r="H401">
        <f t="shared" si="12"/>
        <v>37</v>
      </c>
      <c r="I401">
        <v>0</v>
      </c>
      <c r="J401">
        <v>0</v>
      </c>
      <c r="K401">
        <v>0</v>
      </c>
      <c r="L401">
        <f t="shared" si="13"/>
        <v>0</v>
      </c>
    </row>
    <row r="402" spans="1:12">
      <c r="A402" t="s">
        <v>3121</v>
      </c>
      <c r="B402" t="s">
        <v>865</v>
      </c>
      <c r="C402" t="s">
        <v>2817</v>
      </c>
      <c r="D402" t="s">
        <v>2877</v>
      </c>
      <c r="E402">
        <v>3</v>
      </c>
      <c r="F402">
        <v>0</v>
      </c>
      <c r="G402">
        <v>0</v>
      </c>
      <c r="H402">
        <f t="shared" si="12"/>
        <v>3</v>
      </c>
      <c r="I402">
        <v>0</v>
      </c>
      <c r="J402">
        <v>0</v>
      </c>
      <c r="K402">
        <v>0</v>
      </c>
      <c r="L402">
        <f t="shared" si="13"/>
        <v>0</v>
      </c>
    </row>
    <row r="403" spans="1:12">
      <c r="A403" t="s">
        <v>3121</v>
      </c>
      <c r="B403" t="s">
        <v>865</v>
      </c>
      <c r="C403" t="s">
        <v>2817</v>
      </c>
      <c r="D403" t="s">
        <v>2818</v>
      </c>
      <c r="E403">
        <v>34</v>
      </c>
      <c r="F403">
        <v>0</v>
      </c>
      <c r="G403">
        <v>0</v>
      </c>
      <c r="H403">
        <f t="shared" si="12"/>
        <v>34</v>
      </c>
      <c r="I403">
        <v>0</v>
      </c>
      <c r="J403">
        <v>0</v>
      </c>
      <c r="K403">
        <v>0</v>
      </c>
      <c r="L403">
        <f t="shared" si="13"/>
        <v>0</v>
      </c>
    </row>
    <row r="404" spans="1:12">
      <c r="A404" t="s">
        <v>3121</v>
      </c>
      <c r="B404" t="s">
        <v>865</v>
      </c>
      <c r="C404" t="s">
        <v>2817</v>
      </c>
      <c r="D404" t="s">
        <v>2837</v>
      </c>
      <c r="E404">
        <v>16</v>
      </c>
      <c r="F404">
        <v>0</v>
      </c>
      <c r="G404">
        <v>0</v>
      </c>
      <c r="H404">
        <f t="shared" si="12"/>
        <v>16</v>
      </c>
      <c r="I404">
        <v>0</v>
      </c>
      <c r="J404">
        <v>0</v>
      </c>
      <c r="K404">
        <v>0</v>
      </c>
      <c r="L404">
        <f t="shared" si="13"/>
        <v>0</v>
      </c>
    </row>
    <row r="405" spans="1:12">
      <c r="A405" t="s">
        <v>3124</v>
      </c>
      <c r="B405" t="s">
        <v>875</v>
      </c>
      <c r="C405" t="s">
        <v>2805</v>
      </c>
      <c r="D405" t="s">
        <v>2806</v>
      </c>
      <c r="E405">
        <v>47</v>
      </c>
      <c r="F405">
        <v>0</v>
      </c>
      <c r="G405">
        <v>0</v>
      </c>
      <c r="H405">
        <f t="shared" si="12"/>
        <v>47</v>
      </c>
      <c r="I405">
        <v>0</v>
      </c>
      <c r="J405">
        <v>0</v>
      </c>
      <c r="K405">
        <v>0</v>
      </c>
      <c r="L405">
        <f t="shared" si="13"/>
        <v>0</v>
      </c>
    </row>
    <row r="406" spans="1:12">
      <c r="A406" t="s">
        <v>3124</v>
      </c>
      <c r="B406" t="s">
        <v>875</v>
      </c>
      <c r="C406" t="s">
        <v>2805</v>
      </c>
      <c r="D406" t="s">
        <v>449</v>
      </c>
      <c r="E406">
        <v>380</v>
      </c>
      <c r="F406">
        <v>0</v>
      </c>
      <c r="G406">
        <v>0</v>
      </c>
      <c r="H406">
        <f t="shared" si="12"/>
        <v>380</v>
      </c>
      <c r="I406">
        <v>4</v>
      </c>
      <c r="J406">
        <v>0</v>
      </c>
      <c r="K406">
        <v>0</v>
      </c>
      <c r="L406">
        <f t="shared" si="13"/>
        <v>4</v>
      </c>
    </row>
    <row r="407" spans="1:12">
      <c r="A407" t="s">
        <v>3124</v>
      </c>
      <c r="B407" t="s">
        <v>875</v>
      </c>
      <c r="C407" t="s">
        <v>2805</v>
      </c>
      <c r="D407" t="s">
        <v>2807</v>
      </c>
      <c r="E407">
        <v>3</v>
      </c>
      <c r="F407">
        <v>0</v>
      </c>
      <c r="G407">
        <v>0</v>
      </c>
      <c r="H407">
        <f t="shared" si="12"/>
        <v>3</v>
      </c>
      <c r="I407">
        <v>0</v>
      </c>
      <c r="J407">
        <v>0</v>
      </c>
      <c r="K407">
        <v>0</v>
      </c>
      <c r="L407">
        <f t="shared" si="13"/>
        <v>0</v>
      </c>
    </row>
    <row r="408" spans="1:12">
      <c r="A408" t="s">
        <v>3124</v>
      </c>
      <c r="B408" t="s">
        <v>875</v>
      </c>
      <c r="C408" t="s">
        <v>2805</v>
      </c>
      <c r="D408" t="s">
        <v>2846</v>
      </c>
      <c r="E408">
        <v>4</v>
      </c>
      <c r="F408">
        <v>0</v>
      </c>
      <c r="G408">
        <v>0</v>
      </c>
      <c r="H408">
        <f t="shared" si="12"/>
        <v>4</v>
      </c>
      <c r="I408">
        <v>0</v>
      </c>
      <c r="J408">
        <v>0</v>
      </c>
      <c r="K408">
        <v>0</v>
      </c>
      <c r="L408">
        <f t="shared" si="13"/>
        <v>0</v>
      </c>
    </row>
    <row r="409" spans="1:12">
      <c r="A409" t="s">
        <v>3124</v>
      </c>
      <c r="B409" t="s">
        <v>875</v>
      </c>
      <c r="C409" t="s">
        <v>2810</v>
      </c>
      <c r="D409" t="s">
        <v>2811</v>
      </c>
      <c r="E409">
        <v>13</v>
      </c>
      <c r="F409">
        <v>0</v>
      </c>
      <c r="G409">
        <v>0</v>
      </c>
      <c r="H409">
        <f t="shared" si="12"/>
        <v>13</v>
      </c>
      <c r="I409">
        <v>0</v>
      </c>
      <c r="J409">
        <v>0</v>
      </c>
      <c r="K409">
        <v>0</v>
      </c>
      <c r="L409">
        <f t="shared" si="13"/>
        <v>0</v>
      </c>
    </row>
    <row r="410" spans="1:12">
      <c r="A410" t="s">
        <v>3124</v>
      </c>
      <c r="B410" t="s">
        <v>875</v>
      </c>
      <c r="C410" t="s">
        <v>2810</v>
      </c>
      <c r="D410" t="s">
        <v>2823</v>
      </c>
      <c r="E410">
        <v>0</v>
      </c>
      <c r="F410">
        <v>2</v>
      </c>
      <c r="G410">
        <v>0</v>
      </c>
      <c r="H410">
        <f t="shared" si="12"/>
        <v>2</v>
      </c>
      <c r="I410">
        <v>0</v>
      </c>
      <c r="J410">
        <v>0</v>
      </c>
      <c r="K410">
        <v>0</v>
      </c>
      <c r="L410">
        <f t="shared" si="13"/>
        <v>0</v>
      </c>
    </row>
    <row r="411" spans="1:12">
      <c r="A411" t="s">
        <v>3124</v>
      </c>
      <c r="B411" t="s">
        <v>875</v>
      </c>
      <c r="C411" t="s">
        <v>2810</v>
      </c>
      <c r="D411" t="s">
        <v>2812</v>
      </c>
      <c r="E411">
        <v>31</v>
      </c>
      <c r="F411">
        <v>0</v>
      </c>
      <c r="G411">
        <v>0</v>
      </c>
      <c r="H411">
        <f t="shared" si="12"/>
        <v>31</v>
      </c>
      <c r="I411">
        <v>0</v>
      </c>
      <c r="J411">
        <v>0</v>
      </c>
      <c r="K411">
        <v>0</v>
      </c>
      <c r="L411">
        <f t="shared" si="13"/>
        <v>0</v>
      </c>
    </row>
    <row r="412" spans="1:12">
      <c r="A412" t="s">
        <v>3124</v>
      </c>
      <c r="B412" t="s">
        <v>875</v>
      </c>
      <c r="C412" t="s">
        <v>2810</v>
      </c>
      <c r="D412" t="s">
        <v>2813</v>
      </c>
      <c r="E412">
        <v>4</v>
      </c>
      <c r="F412">
        <v>0</v>
      </c>
      <c r="G412">
        <v>0</v>
      </c>
      <c r="H412">
        <f t="shared" si="12"/>
        <v>4</v>
      </c>
      <c r="I412">
        <v>0</v>
      </c>
      <c r="J412">
        <v>0</v>
      </c>
      <c r="K412">
        <v>0</v>
      </c>
      <c r="L412">
        <f t="shared" si="13"/>
        <v>0</v>
      </c>
    </row>
    <row r="413" spans="1:12">
      <c r="A413" t="s">
        <v>3124</v>
      </c>
      <c r="B413" t="s">
        <v>875</v>
      </c>
      <c r="C413" t="s">
        <v>2810</v>
      </c>
      <c r="D413" t="s">
        <v>2814</v>
      </c>
      <c r="E413">
        <v>15</v>
      </c>
      <c r="F413">
        <v>0</v>
      </c>
      <c r="G413">
        <v>0</v>
      </c>
      <c r="H413">
        <f t="shared" si="12"/>
        <v>15</v>
      </c>
      <c r="I413">
        <v>0</v>
      </c>
      <c r="J413">
        <v>0</v>
      </c>
      <c r="K413">
        <v>0</v>
      </c>
      <c r="L413">
        <f t="shared" si="13"/>
        <v>0</v>
      </c>
    </row>
    <row r="414" spans="1:12">
      <c r="A414" t="s">
        <v>3124</v>
      </c>
      <c r="B414" t="s">
        <v>875</v>
      </c>
      <c r="C414" t="s">
        <v>2810</v>
      </c>
      <c r="D414" t="s">
        <v>2897</v>
      </c>
      <c r="E414">
        <v>3</v>
      </c>
      <c r="F414">
        <v>0</v>
      </c>
      <c r="G414">
        <v>0</v>
      </c>
      <c r="H414">
        <f t="shared" si="12"/>
        <v>3</v>
      </c>
      <c r="I414">
        <v>0</v>
      </c>
      <c r="J414">
        <v>0</v>
      </c>
      <c r="K414">
        <v>0</v>
      </c>
      <c r="L414">
        <f t="shared" si="13"/>
        <v>0</v>
      </c>
    </row>
    <row r="415" spans="1:12">
      <c r="A415" t="s">
        <v>3124</v>
      </c>
      <c r="B415" t="s">
        <v>875</v>
      </c>
      <c r="C415" t="s">
        <v>2810</v>
      </c>
      <c r="D415" t="s">
        <v>2847</v>
      </c>
      <c r="E415">
        <v>23</v>
      </c>
      <c r="F415">
        <v>0</v>
      </c>
      <c r="G415">
        <v>0</v>
      </c>
      <c r="H415">
        <f t="shared" si="12"/>
        <v>23</v>
      </c>
      <c r="I415">
        <v>0</v>
      </c>
      <c r="J415">
        <v>0</v>
      </c>
      <c r="K415">
        <v>0</v>
      </c>
      <c r="L415">
        <f t="shared" si="13"/>
        <v>0</v>
      </c>
    </row>
    <row r="416" spans="1:12">
      <c r="A416" t="s">
        <v>3124</v>
      </c>
      <c r="B416" t="s">
        <v>875</v>
      </c>
      <c r="C416" t="s">
        <v>2810</v>
      </c>
      <c r="D416" t="s">
        <v>2815</v>
      </c>
      <c r="E416">
        <v>22</v>
      </c>
      <c r="F416">
        <v>0</v>
      </c>
      <c r="G416">
        <v>0</v>
      </c>
      <c r="H416">
        <f t="shared" si="12"/>
        <v>22</v>
      </c>
      <c r="I416">
        <v>0</v>
      </c>
      <c r="J416">
        <v>0</v>
      </c>
      <c r="K416">
        <v>0</v>
      </c>
      <c r="L416">
        <f t="shared" si="13"/>
        <v>0</v>
      </c>
    </row>
    <row r="417" spans="1:12">
      <c r="A417" t="s">
        <v>3124</v>
      </c>
      <c r="B417" t="s">
        <v>875</v>
      </c>
      <c r="C417" t="s">
        <v>2816</v>
      </c>
      <c r="D417" t="s">
        <v>1897</v>
      </c>
      <c r="E417">
        <v>14</v>
      </c>
      <c r="F417">
        <v>0</v>
      </c>
      <c r="G417">
        <v>0</v>
      </c>
      <c r="H417">
        <f t="shared" si="12"/>
        <v>14</v>
      </c>
      <c r="I417">
        <v>0</v>
      </c>
      <c r="J417">
        <v>0</v>
      </c>
      <c r="K417">
        <v>0</v>
      </c>
      <c r="L417">
        <f t="shared" si="13"/>
        <v>0</v>
      </c>
    </row>
    <row r="418" spans="1:12">
      <c r="A418" t="s">
        <v>3124</v>
      </c>
      <c r="B418" t="s">
        <v>875</v>
      </c>
      <c r="C418" t="s">
        <v>2817</v>
      </c>
      <c r="D418" t="s">
        <v>2818</v>
      </c>
      <c r="E418">
        <v>8</v>
      </c>
      <c r="F418">
        <v>0</v>
      </c>
      <c r="G418">
        <v>0</v>
      </c>
      <c r="H418">
        <f t="shared" si="12"/>
        <v>8</v>
      </c>
      <c r="I418">
        <v>0</v>
      </c>
      <c r="J418">
        <v>0</v>
      </c>
      <c r="K418">
        <v>0</v>
      </c>
      <c r="L418">
        <f t="shared" si="13"/>
        <v>0</v>
      </c>
    </row>
    <row r="419" spans="1:12">
      <c r="A419" t="s">
        <v>3128</v>
      </c>
      <c r="B419" t="s">
        <v>867</v>
      </c>
      <c r="C419" t="s">
        <v>2805</v>
      </c>
      <c r="D419" t="s">
        <v>2806</v>
      </c>
      <c r="E419">
        <v>10</v>
      </c>
      <c r="F419">
        <v>0</v>
      </c>
      <c r="G419">
        <v>0</v>
      </c>
      <c r="H419">
        <f t="shared" si="12"/>
        <v>10</v>
      </c>
      <c r="I419">
        <v>0</v>
      </c>
      <c r="J419">
        <v>0</v>
      </c>
      <c r="K419">
        <v>0</v>
      </c>
      <c r="L419">
        <f t="shared" si="13"/>
        <v>0</v>
      </c>
    </row>
    <row r="420" spans="1:12">
      <c r="A420" t="s">
        <v>3128</v>
      </c>
      <c r="B420" t="s">
        <v>867</v>
      </c>
      <c r="C420" t="s">
        <v>2805</v>
      </c>
      <c r="D420" t="s">
        <v>449</v>
      </c>
      <c r="E420">
        <v>58</v>
      </c>
      <c r="F420">
        <v>0</v>
      </c>
      <c r="G420">
        <v>0</v>
      </c>
      <c r="H420">
        <f t="shared" si="12"/>
        <v>58</v>
      </c>
      <c r="I420">
        <v>21</v>
      </c>
      <c r="J420">
        <v>0</v>
      </c>
      <c r="K420">
        <v>0</v>
      </c>
      <c r="L420">
        <f t="shared" si="13"/>
        <v>21</v>
      </c>
    </row>
    <row r="421" spans="1:12">
      <c r="A421" t="s">
        <v>3128</v>
      </c>
      <c r="B421" t="s">
        <v>867</v>
      </c>
      <c r="C421" t="s">
        <v>2805</v>
      </c>
      <c r="D421" t="s">
        <v>2807</v>
      </c>
      <c r="E421">
        <v>11</v>
      </c>
      <c r="F421">
        <v>0</v>
      </c>
      <c r="G421">
        <v>0</v>
      </c>
      <c r="H421">
        <f t="shared" si="12"/>
        <v>11</v>
      </c>
      <c r="I421">
        <v>2</v>
      </c>
      <c r="J421">
        <v>0</v>
      </c>
      <c r="K421">
        <v>0</v>
      </c>
      <c r="L421">
        <f t="shared" si="13"/>
        <v>2</v>
      </c>
    </row>
    <row r="422" spans="1:12">
      <c r="A422" t="s">
        <v>3128</v>
      </c>
      <c r="B422" t="s">
        <v>867</v>
      </c>
      <c r="C422" t="s">
        <v>2805</v>
      </c>
      <c r="D422" t="s">
        <v>2809</v>
      </c>
      <c r="E422">
        <v>21</v>
      </c>
      <c r="F422">
        <v>0</v>
      </c>
      <c r="G422">
        <v>0</v>
      </c>
      <c r="H422">
        <f t="shared" si="12"/>
        <v>21</v>
      </c>
      <c r="I422">
        <v>0</v>
      </c>
      <c r="J422">
        <v>0</v>
      </c>
      <c r="K422">
        <v>0</v>
      </c>
      <c r="L422">
        <f t="shared" si="13"/>
        <v>0</v>
      </c>
    </row>
    <row r="423" spans="1:12">
      <c r="A423" t="s">
        <v>3128</v>
      </c>
      <c r="B423" t="s">
        <v>867</v>
      </c>
      <c r="C423" t="s">
        <v>2805</v>
      </c>
      <c r="D423" t="s">
        <v>2937</v>
      </c>
      <c r="E423">
        <v>7</v>
      </c>
      <c r="F423">
        <v>0</v>
      </c>
      <c r="G423">
        <v>0</v>
      </c>
      <c r="H423">
        <f t="shared" si="12"/>
        <v>7</v>
      </c>
      <c r="I423">
        <v>0</v>
      </c>
      <c r="J423">
        <v>0</v>
      </c>
      <c r="K423">
        <v>0</v>
      </c>
      <c r="L423">
        <f t="shared" si="13"/>
        <v>0</v>
      </c>
    </row>
    <row r="424" spans="1:12">
      <c r="A424" t="s">
        <v>3128</v>
      </c>
      <c r="B424" t="s">
        <v>867</v>
      </c>
      <c r="C424" t="s">
        <v>2810</v>
      </c>
      <c r="D424" t="s">
        <v>2811</v>
      </c>
      <c r="E424">
        <v>102</v>
      </c>
      <c r="F424">
        <v>0</v>
      </c>
      <c r="G424">
        <v>0</v>
      </c>
      <c r="H424">
        <f t="shared" si="12"/>
        <v>102</v>
      </c>
      <c r="I424">
        <v>22</v>
      </c>
      <c r="J424">
        <v>0</v>
      </c>
      <c r="K424">
        <v>0</v>
      </c>
      <c r="L424">
        <f t="shared" si="13"/>
        <v>22</v>
      </c>
    </row>
    <row r="425" spans="1:12">
      <c r="A425" t="s">
        <v>3128</v>
      </c>
      <c r="B425" t="s">
        <v>867</v>
      </c>
      <c r="C425" t="s">
        <v>2810</v>
      </c>
      <c r="D425" t="s">
        <v>2823</v>
      </c>
      <c r="E425">
        <v>0</v>
      </c>
      <c r="F425">
        <v>8</v>
      </c>
      <c r="G425">
        <v>0</v>
      </c>
      <c r="H425">
        <f t="shared" si="12"/>
        <v>8</v>
      </c>
      <c r="I425">
        <v>0</v>
      </c>
      <c r="J425">
        <v>0</v>
      </c>
      <c r="K425">
        <v>0</v>
      </c>
      <c r="L425">
        <f t="shared" si="13"/>
        <v>0</v>
      </c>
    </row>
    <row r="426" spans="1:12">
      <c r="A426" t="s">
        <v>3128</v>
      </c>
      <c r="B426" t="s">
        <v>867</v>
      </c>
      <c r="C426" t="s">
        <v>2810</v>
      </c>
      <c r="D426" t="s">
        <v>2812</v>
      </c>
      <c r="E426">
        <v>23</v>
      </c>
      <c r="F426">
        <v>0</v>
      </c>
      <c r="G426">
        <v>0</v>
      </c>
      <c r="H426">
        <f t="shared" si="12"/>
        <v>23</v>
      </c>
      <c r="I426">
        <v>10</v>
      </c>
      <c r="J426">
        <v>0</v>
      </c>
      <c r="K426">
        <v>0</v>
      </c>
      <c r="L426">
        <f t="shared" si="13"/>
        <v>10</v>
      </c>
    </row>
    <row r="427" spans="1:12">
      <c r="A427" t="s">
        <v>3128</v>
      </c>
      <c r="B427" t="s">
        <v>867</v>
      </c>
      <c r="C427" t="s">
        <v>2810</v>
      </c>
      <c r="D427" t="s">
        <v>2813</v>
      </c>
      <c r="E427">
        <v>63</v>
      </c>
      <c r="F427">
        <v>0</v>
      </c>
      <c r="G427">
        <v>0</v>
      </c>
      <c r="H427">
        <f t="shared" si="12"/>
        <v>63</v>
      </c>
      <c r="I427">
        <v>7</v>
      </c>
      <c r="J427">
        <v>0</v>
      </c>
      <c r="K427">
        <v>0</v>
      </c>
      <c r="L427">
        <f t="shared" si="13"/>
        <v>7</v>
      </c>
    </row>
    <row r="428" spans="1:12">
      <c r="A428" t="s">
        <v>3128</v>
      </c>
      <c r="B428" t="s">
        <v>867</v>
      </c>
      <c r="C428" t="s">
        <v>2816</v>
      </c>
      <c r="D428" t="s">
        <v>1897</v>
      </c>
      <c r="E428">
        <v>5</v>
      </c>
      <c r="F428">
        <v>0</v>
      </c>
      <c r="G428">
        <v>0</v>
      </c>
      <c r="H428">
        <f t="shared" si="12"/>
        <v>5</v>
      </c>
      <c r="I428">
        <v>5</v>
      </c>
      <c r="J428">
        <v>0</v>
      </c>
      <c r="K428">
        <v>0</v>
      </c>
      <c r="L428">
        <f t="shared" si="13"/>
        <v>5</v>
      </c>
    </row>
    <row r="429" spans="1:12">
      <c r="A429" t="s">
        <v>3128</v>
      </c>
      <c r="B429" t="s">
        <v>867</v>
      </c>
      <c r="C429" t="s">
        <v>2826</v>
      </c>
      <c r="D429" t="s">
        <v>2827</v>
      </c>
      <c r="E429">
        <v>0</v>
      </c>
      <c r="F429">
        <v>0</v>
      </c>
      <c r="G429">
        <v>0</v>
      </c>
      <c r="H429">
        <f t="shared" si="12"/>
        <v>0</v>
      </c>
      <c r="I429">
        <v>4</v>
      </c>
      <c r="J429">
        <v>1</v>
      </c>
      <c r="K429">
        <v>0</v>
      </c>
      <c r="L429">
        <f t="shared" si="13"/>
        <v>5</v>
      </c>
    </row>
    <row r="430" spans="1:12">
      <c r="A430" t="s">
        <v>3128</v>
      </c>
      <c r="B430" t="s">
        <v>867</v>
      </c>
      <c r="C430" t="s">
        <v>2826</v>
      </c>
      <c r="D430" t="s">
        <v>2864</v>
      </c>
      <c r="E430">
        <v>0</v>
      </c>
      <c r="F430">
        <v>0</v>
      </c>
      <c r="G430">
        <v>0</v>
      </c>
      <c r="H430">
        <f t="shared" si="12"/>
        <v>0</v>
      </c>
      <c r="I430">
        <v>1</v>
      </c>
      <c r="J430">
        <v>0</v>
      </c>
      <c r="K430">
        <v>0</v>
      </c>
      <c r="L430">
        <f t="shared" si="13"/>
        <v>1</v>
      </c>
    </row>
    <row r="431" spans="1:12">
      <c r="A431" t="s">
        <v>3128</v>
      </c>
      <c r="B431" t="s">
        <v>867</v>
      </c>
      <c r="C431" t="s">
        <v>2826</v>
      </c>
      <c r="D431" t="s">
        <v>2843</v>
      </c>
      <c r="E431">
        <v>0</v>
      </c>
      <c r="F431">
        <v>0</v>
      </c>
      <c r="G431">
        <v>0</v>
      </c>
      <c r="H431">
        <f t="shared" si="12"/>
        <v>0</v>
      </c>
      <c r="I431">
        <v>1</v>
      </c>
      <c r="J431">
        <v>0</v>
      </c>
      <c r="K431">
        <v>0</v>
      </c>
      <c r="L431">
        <f t="shared" si="13"/>
        <v>1</v>
      </c>
    </row>
    <row r="432" spans="1:12">
      <c r="A432" t="s">
        <v>3128</v>
      </c>
      <c r="B432" t="s">
        <v>867</v>
      </c>
      <c r="C432" t="s">
        <v>2826</v>
      </c>
      <c r="D432" t="s">
        <v>2844</v>
      </c>
      <c r="E432">
        <v>0</v>
      </c>
      <c r="F432">
        <v>0</v>
      </c>
      <c r="G432">
        <v>0</v>
      </c>
      <c r="H432">
        <f t="shared" si="12"/>
        <v>0</v>
      </c>
      <c r="I432">
        <v>1</v>
      </c>
      <c r="J432">
        <v>0</v>
      </c>
      <c r="K432">
        <v>0</v>
      </c>
      <c r="L432">
        <f t="shared" si="13"/>
        <v>1</v>
      </c>
    </row>
    <row r="433" spans="1:12">
      <c r="A433" t="s">
        <v>3128</v>
      </c>
      <c r="B433" t="s">
        <v>867</v>
      </c>
      <c r="C433" t="s">
        <v>2826</v>
      </c>
      <c r="D433" t="s">
        <v>2835</v>
      </c>
      <c r="E433">
        <v>0</v>
      </c>
      <c r="F433">
        <v>0</v>
      </c>
      <c r="G433">
        <v>0</v>
      </c>
      <c r="H433">
        <f t="shared" si="12"/>
        <v>0</v>
      </c>
      <c r="I433">
        <v>1</v>
      </c>
      <c r="J433">
        <v>0</v>
      </c>
      <c r="K433">
        <v>0</v>
      </c>
      <c r="L433">
        <f t="shared" si="13"/>
        <v>1</v>
      </c>
    </row>
    <row r="434" spans="1:12">
      <c r="A434" t="s">
        <v>3128</v>
      </c>
      <c r="B434" t="s">
        <v>867</v>
      </c>
      <c r="C434" t="s">
        <v>2817</v>
      </c>
      <c r="D434" t="s">
        <v>2888</v>
      </c>
      <c r="E434">
        <v>2</v>
      </c>
      <c r="F434">
        <v>0</v>
      </c>
      <c r="G434">
        <v>0</v>
      </c>
      <c r="H434">
        <f t="shared" si="12"/>
        <v>2</v>
      </c>
      <c r="I434">
        <v>0</v>
      </c>
      <c r="J434">
        <v>0</v>
      </c>
      <c r="K434">
        <v>0</v>
      </c>
      <c r="L434">
        <f t="shared" si="13"/>
        <v>0</v>
      </c>
    </row>
    <row r="435" spans="1:12">
      <c r="A435" t="s">
        <v>3128</v>
      </c>
      <c r="B435" t="s">
        <v>867</v>
      </c>
      <c r="C435" t="s">
        <v>2817</v>
      </c>
      <c r="D435" t="s">
        <v>2877</v>
      </c>
      <c r="E435">
        <v>1</v>
      </c>
      <c r="F435">
        <v>0</v>
      </c>
      <c r="G435">
        <v>0</v>
      </c>
      <c r="H435">
        <f t="shared" si="12"/>
        <v>1</v>
      </c>
      <c r="I435">
        <v>0</v>
      </c>
      <c r="J435">
        <v>0</v>
      </c>
      <c r="K435">
        <v>0</v>
      </c>
      <c r="L435">
        <f t="shared" si="13"/>
        <v>0</v>
      </c>
    </row>
    <row r="436" spans="1:12">
      <c r="A436" t="s">
        <v>3128</v>
      </c>
      <c r="B436" t="s">
        <v>867</v>
      </c>
      <c r="C436" t="s">
        <v>2820</v>
      </c>
      <c r="D436" t="s">
        <v>2821</v>
      </c>
      <c r="E436">
        <v>2</v>
      </c>
      <c r="F436">
        <v>0</v>
      </c>
      <c r="G436">
        <v>0</v>
      </c>
      <c r="H436">
        <f t="shared" si="12"/>
        <v>2</v>
      </c>
      <c r="I436">
        <v>2</v>
      </c>
      <c r="J436">
        <v>0</v>
      </c>
      <c r="K436">
        <v>0</v>
      </c>
      <c r="L436">
        <f t="shared" si="13"/>
        <v>2</v>
      </c>
    </row>
    <row r="437" spans="1:12">
      <c r="A437" t="s">
        <v>3129</v>
      </c>
      <c r="B437" t="s">
        <v>338</v>
      </c>
      <c r="C437" t="s">
        <v>2826</v>
      </c>
      <c r="D437" t="s">
        <v>2871</v>
      </c>
      <c r="E437">
        <v>0</v>
      </c>
      <c r="F437">
        <v>0</v>
      </c>
      <c r="G437">
        <v>0</v>
      </c>
      <c r="H437">
        <f t="shared" si="12"/>
        <v>0</v>
      </c>
      <c r="I437">
        <v>1</v>
      </c>
      <c r="J437">
        <v>1</v>
      </c>
      <c r="K437">
        <v>0</v>
      </c>
      <c r="L437">
        <f t="shared" si="13"/>
        <v>2</v>
      </c>
    </row>
    <row r="438" spans="1:12">
      <c r="A438" t="s">
        <v>3129</v>
      </c>
      <c r="B438" t="s">
        <v>338</v>
      </c>
      <c r="C438" t="s">
        <v>2826</v>
      </c>
      <c r="D438" t="s">
        <v>2905</v>
      </c>
      <c r="E438">
        <v>0</v>
      </c>
      <c r="F438">
        <v>0</v>
      </c>
      <c r="G438">
        <v>0</v>
      </c>
      <c r="H438">
        <f t="shared" si="12"/>
        <v>0</v>
      </c>
      <c r="I438">
        <v>0</v>
      </c>
      <c r="J438">
        <v>2</v>
      </c>
      <c r="K438">
        <v>0</v>
      </c>
      <c r="L438">
        <f t="shared" si="13"/>
        <v>2</v>
      </c>
    </row>
    <row r="439" spans="1:12">
      <c r="A439" t="s">
        <v>3129</v>
      </c>
      <c r="B439" t="s">
        <v>338</v>
      </c>
      <c r="C439" t="s">
        <v>2826</v>
      </c>
      <c r="D439" t="s">
        <v>2827</v>
      </c>
      <c r="E439">
        <v>0</v>
      </c>
      <c r="F439">
        <v>0</v>
      </c>
      <c r="G439">
        <v>0</v>
      </c>
      <c r="H439">
        <f t="shared" si="12"/>
        <v>0</v>
      </c>
      <c r="I439">
        <v>1</v>
      </c>
      <c r="J439">
        <v>1</v>
      </c>
      <c r="K439">
        <v>0</v>
      </c>
      <c r="L439">
        <f t="shared" si="13"/>
        <v>2</v>
      </c>
    </row>
    <row r="440" spans="1:12">
      <c r="A440" t="s">
        <v>3129</v>
      </c>
      <c r="B440" t="s">
        <v>338</v>
      </c>
      <c r="C440" t="s">
        <v>2826</v>
      </c>
      <c r="D440" t="s">
        <v>2828</v>
      </c>
      <c r="E440">
        <v>0</v>
      </c>
      <c r="F440">
        <v>0</v>
      </c>
      <c r="G440">
        <v>0</v>
      </c>
      <c r="H440">
        <f t="shared" si="12"/>
        <v>0</v>
      </c>
      <c r="I440">
        <v>1</v>
      </c>
      <c r="J440">
        <v>1</v>
      </c>
      <c r="K440">
        <v>0</v>
      </c>
      <c r="L440">
        <f t="shared" si="13"/>
        <v>2</v>
      </c>
    </row>
    <row r="441" spans="1:12">
      <c r="A441" t="s">
        <v>3129</v>
      </c>
      <c r="B441" t="s">
        <v>338</v>
      </c>
      <c r="C441" t="s">
        <v>2826</v>
      </c>
      <c r="D441" t="s">
        <v>2829</v>
      </c>
      <c r="E441">
        <v>0</v>
      </c>
      <c r="F441">
        <v>0</v>
      </c>
      <c r="G441">
        <v>0</v>
      </c>
      <c r="H441">
        <f t="shared" si="12"/>
        <v>0</v>
      </c>
      <c r="I441">
        <v>1</v>
      </c>
      <c r="J441">
        <v>1</v>
      </c>
      <c r="K441">
        <v>0</v>
      </c>
      <c r="L441">
        <f t="shared" si="13"/>
        <v>2</v>
      </c>
    </row>
    <row r="442" spans="1:12">
      <c r="A442" t="s">
        <v>3129</v>
      </c>
      <c r="B442" t="s">
        <v>338</v>
      </c>
      <c r="C442" t="s">
        <v>2826</v>
      </c>
      <c r="D442" t="s">
        <v>2891</v>
      </c>
      <c r="E442">
        <v>0</v>
      </c>
      <c r="F442">
        <v>0</v>
      </c>
      <c r="G442">
        <v>0</v>
      </c>
      <c r="H442">
        <f t="shared" si="12"/>
        <v>0</v>
      </c>
      <c r="I442">
        <v>1</v>
      </c>
      <c r="J442">
        <v>1</v>
      </c>
      <c r="K442">
        <v>0</v>
      </c>
      <c r="L442">
        <f t="shared" si="13"/>
        <v>2</v>
      </c>
    </row>
    <row r="443" spans="1:12">
      <c r="A443" t="s">
        <v>3129</v>
      </c>
      <c r="B443" t="s">
        <v>338</v>
      </c>
      <c r="C443" t="s">
        <v>2826</v>
      </c>
      <c r="D443" t="s">
        <v>2830</v>
      </c>
      <c r="E443">
        <v>0</v>
      </c>
      <c r="F443">
        <v>0</v>
      </c>
      <c r="G443">
        <v>0</v>
      </c>
      <c r="H443">
        <f t="shared" si="12"/>
        <v>0</v>
      </c>
      <c r="I443">
        <v>1</v>
      </c>
      <c r="J443">
        <v>0</v>
      </c>
      <c r="K443">
        <v>0</v>
      </c>
      <c r="L443">
        <f t="shared" si="13"/>
        <v>1</v>
      </c>
    </row>
    <row r="444" spans="1:12">
      <c r="A444" t="s">
        <v>3129</v>
      </c>
      <c r="B444" t="s">
        <v>338</v>
      </c>
      <c r="C444" t="s">
        <v>2826</v>
      </c>
      <c r="D444" t="s">
        <v>2864</v>
      </c>
      <c r="E444">
        <v>0</v>
      </c>
      <c r="F444">
        <v>0</v>
      </c>
      <c r="G444">
        <v>0</v>
      </c>
      <c r="H444">
        <f t="shared" si="12"/>
        <v>0</v>
      </c>
      <c r="I444">
        <v>1</v>
      </c>
      <c r="J444">
        <v>0</v>
      </c>
      <c r="K444">
        <v>0</v>
      </c>
      <c r="L444">
        <f t="shared" si="13"/>
        <v>1</v>
      </c>
    </row>
    <row r="445" spans="1:12">
      <c r="A445" t="s">
        <v>3129</v>
      </c>
      <c r="B445" t="s">
        <v>338</v>
      </c>
      <c r="C445" t="s">
        <v>2826</v>
      </c>
      <c r="D445" t="s">
        <v>2831</v>
      </c>
      <c r="E445">
        <v>0</v>
      </c>
      <c r="F445">
        <v>0</v>
      </c>
      <c r="G445">
        <v>0</v>
      </c>
      <c r="H445">
        <f t="shared" si="12"/>
        <v>0</v>
      </c>
      <c r="I445">
        <v>0</v>
      </c>
      <c r="J445">
        <v>1</v>
      </c>
      <c r="K445">
        <v>0</v>
      </c>
      <c r="L445">
        <f t="shared" si="13"/>
        <v>1</v>
      </c>
    </row>
    <row r="446" spans="1:12">
      <c r="A446" t="s">
        <v>3129</v>
      </c>
      <c r="B446" t="s">
        <v>338</v>
      </c>
      <c r="C446" t="s">
        <v>2826</v>
      </c>
      <c r="D446" t="s">
        <v>2843</v>
      </c>
      <c r="E446">
        <v>0</v>
      </c>
      <c r="F446">
        <v>0</v>
      </c>
      <c r="G446">
        <v>0</v>
      </c>
      <c r="H446">
        <f t="shared" si="12"/>
        <v>0</v>
      </c>
      <c r="I446">
        <v>3</v>
      </c>
      <c r="J446">
        <v>0</v>
      </c>
      <c r="K446">
        <v>0</v>
      </c>
      <c r="L446">
        <f t="shared" si="13"/>
        <v>3</v>
      </c>
    </row>
    <row r="447" spans="1:12">
      <c r="A447" t="s">
        <v>3129</v>
      </c>
      <c r="B447" t="s">
        <v>338</v>
      </c>
      <c r="C447" t="s">
        <v>2826</v>
      </c>
      <c r="D447" t="s">
        <v>2884</v>
      </c>
      <c r="E447">
        <v>0</v>
      </c>
      <c r="F447">
        <v>0</v>
      </c>
      <c r="G447">
        <v>0</v>
      </c>
      <c r="H447">
        <f t="shared" si="12"/>
        <v>0</v>
      </c>
      <c r="I447">
        <v>0</v>
      </c>
      <c r="J447">
        <v>3</v>
      </c>
      <c r="K447">
        <v>0</v>
      </c>
      <c r="L447">
        <f t="shared" si="13"/>
        <v>3</v>
      </c>
    </row>
    <row r="448" spans="1:12">
      <c r="A448" t="s">
        <v>3129</v>
      </c>
      <c r="B448" t="s">
        <v>338</v>
      </c>
      <c r="C448" t="s">
        <v>2826</v>
      </c>
      <c r="D448" t="s">
        <v>2975</v>
      </c>
      <c r="E448">
        <v>0</v>
      </c>
      <c r="F448">
        <v>0</v>
      </c>
      <c r="G448">
        <v>0</v>
      </c>
      <c r="H448">
        <f t="shared" si="12"/>
        <v>0</v>
      </c>
      <c r="I448">
        <v>6</v>
      </c>
      <c r="J448">
        <v>0</v>
      </c>
      <c r="K448">
        <v>0</v>
      </c>
      <c r="L448">
        <f t="shared" si="13"/>
        <v>6</v>
      </c>
    </row>
    <row r="449" spans="1:12">
      <c r="A449" t="s">
        <v>3129</v>
      </c>
      <c r="B449" t="s">
        <v>338</v>
      </c>
      <c r="C449" t="s">
        <v>2826</v>
      </c>
      <c r="D449" t="s">
        <v>2885</v>
      </c>
      <c r="E449">
        <v>0</v>
      </c>
      <c r="F449">
        <v>0</v>
      </c>
      <c r="G449">
        <v>0</v>
      </c>
      <c r="H449">
        <f t="shared" si="12"/>
        <v>0</v>
      </c>
      <c r="I449">
        <v>1</v>
      </c>
      <c r="J449">
        <v>0</v>
      </c>
      <c r="K449">
        <v>0</v>
      </c>
      <c r="L449">
        <f t="shared" si="13"/>
        <v>1</v>
      </c>
    </row>
    <row r="450" spans="1:12">
      <c r="A450" t="s">
        <v>3129</v>
      </c>
      <c r="B450" t="s">
        <v>338</v>
      </c>
      <c r="C450" t="s">
        <v>2826</v>
      </c>
      <c r="D450" t="s">
        <v>2832</v>
      </c>
      <c r="E450">
        <v>0</v>
      </c>
      <c r="F450">
        <v>0</v>
      </c>
      <c r="G450">
        <v>0</v>
      </c>
      <c r="H450">
        <f t="shared" si="12"/>
        <v>0</v>
      </c>
      <c r="I450">
        <v>1</v>
      </c>
      <c r="J450">
        <v>1</v>
      </c>
      <c r="K450">
        <v>0</v>
      </c>
      <c r="L450">
        <f t="shared" si="13"/>
        <v>2</v>
      </c>
    </row>
    <row r="451" spans="1:12">
      <c r="A451" t="s">
        <v>3129</v>
      </c>
      <c r="B451" t="s">
        <v>338</v>
      </c>
      <c r="C451" t="s">
        <v>2826</v>
      </c>
      <c r="D451" t="s">
        <v>2834</v>
      </c>
      <c r="E451">
        <v>0</v>
      </c>
      <c r="F451">
        <v>0</v>
      </c>
      <c r="G451">
        <v>0</v>
      </c>
      <c r="H451">
        <f t="shared" si="12"/>
        <v>0</v>
      </c>
      <c r="I451">
        <v>1</v>
      </c>
      <c r="J451">
        <v>1</v>
      </c>
      <c r="K451">
        <v>0</v>
      </c>
      <c r="L451">
        <f t="shared" si="13"/>
        <v>2</v>
      </c>
    </row>
    <row r="452" spans="1:12">
      <c r="A452" t="s">
        <v>3129</v>
      </c>
      <c r="B452" t="s">
        <v>338</v>
      </c>
      <c r="C452" t="s">
        <v>2826</v>
      </c>
      <c r="D452" t="s">
        <v>2886</v>
      </c>
      <c r="E452">
        <v>0</v>
      </c>
      <c r="F452">
        <v>0</v>
      </c>
      <c r="G452">
        <v>0</v>
      </c>
      <c r="H452">
        <f t="shared" ref="H452:H515" si="14">SUM(E452:G452)</f>
        <v>0</v>
      </c>
      <c r="I452">
        <v>1</v>
      </c>
      <c r="J452">
        <v>1</v>
      </c>
      <c r="K452">
        <v>0</v>
      </c>
      <c r="L452">
        <f t="shared" ref="L452:L515" si="15">SUM(I452:K452)</f>
        <v>2</v>
      </c>
    </row>
    <row r="453" spans="1:12">
      <c r="A453" t="s">
        <v>3129</v>
      </c>
      <c r="B453" t="s">
        <v>338</v>
      </c>
      <c r="C453" t="s">
        <v>2826</v>
      </c>
      <c r="D453" t="s">
        <v>2844</v>
      </c>
      <c r="E453">
        <v>0</v>
      </c>
      <c r="F453">
        <v>0</v>
      </c>
      <c r="G453">
        <v>0</v>
      </c>
      <c r="H453">
        <f t="shared" si="14"/>
        <v>0</v>
      </c>
      <c r="I453">
        <v>0</v>
      </c>
      <c r="J453">
        <v>1</v>
      </c>
      <c r="K453">
        <v>0</v>
      </c>
      <c r="L453">
        <f t="shared" si="15"/>
        <v>1</v>
      </c>
    </row>
    <row r="454" spans="1:12">
      <c r="A454" t="s">
        <v>3129</v>
      </c>
      <c r="B454" t="s">
        <v>338</v>
      </c>
      <c r="C454" t="s">
        <v>2826</v>
      </c>
      <c r="D454" t="s">
        <v>2916</v>
      </c>
      <c r="E454">
        <v>0</v>
      </c>
      <c r="F454">
        <v>0</v>
      </c>
      <c r="G454">
        <v>0</v>
      </c>
      <c r="H454">
        <f t="shared" si="14"/>
        <v>0</v>
      </c>
      <c r="I454">
        <v>0</v>
      </c>
      <c r="J454">
        <v>1</v>
      </c>
      <c r="K454">
        <v>0</v>
      </c>
      <c r="L454">
        <f t="shared" si="15"/>
        <v>1</v>
      </c>
    </row>
    <row r="455" spans="1:12">
      <c r="A455" t="s">
        <v>3129</v>
      </c>
      <c r="B455" t="s">
        <v>338</v>
      </c>
      <c r="C455" t="s">
        <v>2826</v>
      </c>
      <c r="D455" t="s">
        <v>2835</v>
      </c>
      <c r="E455">
        <v>0</v>
      </c>
      <c r="F455">
        <v>0</v>
      </c>
      <c r="G455">
        <v>0</v>
      </c>
      <c r="H455">
        <f t="shared" si="14"/>
        <v>0</v>
      </c>
      <c r="I455">
        <v>2</v>
      </c>
      <c r="J455">
        <v>1</v>
      </c>
      <c r="K455">
        <v>0</v>
      </c>
      <c r="L455">
        <f t="shared" si="15"/>
        <v>3</v>
      </c>
    </row>
    <row r="456" spans="1:12">
      <c r="A456" t="s">
        <v>3129</v>
      </c>
      <c r="B456" t="s">
        <v>338</v>
      </c>
      <c r="C456" t="s">
        <v>2826</v>
      </c>
      <c r="D456" t="s">
        <v>2917</v>
      </c>
      <c r="E456">
        <v>0</v>
      </c>
      <c r="F456">
        <v>0</v>
      </c>
      <c r="G456">
        <v>0</v>
      </c>
      <c r="H456">
        <f t="shared" si="14"/>
        <v>0</v>
      </c>
      <c r="I456">
        <v>2</v>
      </c>
      <c r="J456">
        <v>1</v>
      </c>
      <c r="K456">
        <v>0</v>
      </c>
      <c r="L456">
        <f t="shared" si="15"/>
        <v>3</v>
      </c>
    </row>
    <row r="457" spans="1:12">
      <c r="A457" t="s">
        <v>3129</v>
      </c>
      <c r="B457" t="s">
        <v>338</v>
      </c>
      <c r="C457" t="s">
        <v>2826</v>
      </c>
      <c r="D457" t="s">
        <v>2836</v>
      </c>
      <c r="E457">
        <v>0</v>
      </c>
      <c r="F457">
        <v>0</v>
      </c>
      <c r="G457">
        <v>0</v>
      </c>
      <c r="H457">
        <f t="shared" si="14"/>
        <v>0</v>
      </c>
      <c r="I457">
        <v>0</v>
      </c>
      <c r="J457">
        <v>1</v>
      </c>
      <c r="K457">
        <v>0</v>
      </c>
      <c r="L457">
        <f t="shared" si="15"/>
        <v>1</v>
      </c>
    </row>
    <row r="458" spans="1:12">
      <c r="A458" t="s">
        <v>3129</v>
      </c>
      <c r="B458" t="s">
        <v>338</v>
      </c>
      <c r="C458" t="s">
        <v>2817</v>
      </c>
      <c r="D458" t="s">
        <v>2887</v>
      </c>
      <c r="E458">
        <v>0</v>
      </c>
      <c r="F458">
        <v>0</v>
      </c>
      <c r="G458">
        <v>0</v>
      </c>
      <c r="H458">
        <f t="shared" si="14"/>
        <v>0</v>
      </c>
      <c r="I458">
        <v>0</v>
      </c>
      <c r="J458">
        <v>2</v>
      </c>
      <c r="K458">
        <v>0</v>
      </c>
      <c r="L458">
        <f t="shared" si="15"/>
        <v>2</v>
      </c>
    </row>
    <row r="459" spans="1:12">
      <c r="A459" t="s">
        <v>3129</v>
      </c>
      <c r="B459" t="s">
        <v>338</v>
      </c>
      <c r="C459" t="s">
        <v>2820</v>
      </c>
      <c r="D459" t="s">
        <v>2821</v>
      </c>
      <c r="E459">
        <v>0</v>
      </c>
      <c r="F459">
        <v>0</v>
      </c>
      <c r="G459">
        <v>0</v>
      </c>
      <c r="H459">
        <f t="shared" si="14"/>
        <v>0</v>
      </c>
      <c r="I459">
        <v>3</v>
      </c>
      <c r="J459">
        <v>0</v>
      </c>
      <c r="K459">
        <v>0</v>
      </c>
      <c r="L459">
        <f t="shared" si="15"/>
        <v>3</v>
      </c>
    </row>
    <row r="460" spans="1:12">
      <c r="A460" t="s">
        <v>3130</v>
      </c>
      <c r="B460" t="s">
        <v>886</v>
      </c>
      <c r="C460" t="s">
        <v>2805</v>
      </c>
      <c r="D460" t="s">
        <v>2806</v>
      </c>
      <c r="E460">
        <v>109</v>
      </c>
      <c r="F460">
        <v>0</v>
      </c>
      <c r="G460">
        <v>0</v>
      </c>
      <c r="H460">
        <f t="shared" si="14"/>
        <v>109</v>
      </c>
      <c r="I460">
        <v>0</v>
      </c>
      <c r="J460">
        <v>0</v>
      </c>
      <c r="K460">
        <v>0</v>
      </c>
      <c r="L460">
        <f t="shared" si="15"/>
        <v>0</v>
      </c>
    </row>
    <row r="461" spans="1:12">
      <c r="A461" t="s">
        <v>3130</v>
      </c>
      <c r="B461" t="s">
        <v>886</v>
      </c>
      <c r="C461" t="s">
        <v>2805</v>
      </c>
      <c r="D461" t="s">
        <v>449</v>
      </c>
      <c r="E461">
        <v>37</v>
      </c>
      <c r="F461">
        <v>0</v>
      </c>
      <c r="G461">
        <v>0</v>
      </c>
      <c r="H461">
        <f t="shared" si="14"/>
        <v>37</v>
      </c>
      <c r="I461">
        <v>0</v>
      </c>
      <c r="J461">
        <v>0</v>
      </c>
      <c r="K461">
        <v>0</v>
      </c>
      <c r="L461">
        <f t="shared" si="15"/>
        <v>0</v>
      </c>
    </row>
    <row r="462" spans="1:12">
      <c r="A462" t="s">
        <v>3130</v>
      </c>
      <c r="B462" t="s">
        <v>886</v>
      </c>
      <c r="C462" t="s">
        <v>2805</v>
      </c>
      <c r="D462" t="s">
        <v>2807</v>
      </c>
      <c r="E462">
        <v>3</v>
      </c>
      <c r="F462">
        <v>0</v>
      </c>
      <c r="G462">
        <v>0</v>
      </c>
      <c r="H462">
        <f t="shared" si="14"/>
        <v>3</v>
      </c>
      <c r="I462">
        <v>0</v>
      </c>
      <c r="J462">
        <v>0</v>
      </c>
      <c r="K462">
        <v>0</v>
      </c>
      <c r="L462">
        <f t="shared" si="15"/>
        <v>0</v>
      </c>
    </row>
    <row r="463" spans="1:12">
      <c r="A463" t="s">
        <v>3130</v>
      </c>
      <c r="B463" t="s">
        <v>886</v>
      </c>
      <c r="C463" t="s">
        <v>2805</v>
      </c>
      <c r="D463" t="s">
        <v>442</v>
      </c>
      <c r="E463">
        <v>3</v>
      </c>
      <c r="F463">
        <v>1</v>
      </c>
      <c r="G463">
        <v>0</v>
      </c>
      <c r="H463">
        <f t="shared" si="14"/>
        <v>4</v>
      </c>
      <c r="I463">
        <v>1</v>
      </c>
      <c r="J463">
        <v>0</v>
      </c>
      <c r="K463">
        <v>0</v>
      </c>
      <c r="L463">
        <f t="shared" si="15"/>
        <v>1</v>
      </c>
    </row>
    <row r="464" spans="1:12">
      <c r="A464" t="s">
        <v>3130</v>
      </c>
      <c r="B464" t="s">
        <v>886</v>
      </c>
      <c r="C464" t="s">
        <v>2805</v>
      </c>
      <c r="D464" t="s">
        <v>2846</v>
      </c>
      <c r="E464">
        <v>1</v>
      </c>
      <c r="F464">
        <v>0</v>
      </c>
      <c r="G464">
        <v>0</v>
      </c>
      <c r="H464">
        <f t="shared" si="14"/>
        <v>1</v>
      </c>
      <c r="I464">
        <v>0</v>
      </c>
      <c r="J464">
        <v>0</v>
      </c>
      <c r="K464">
        <v>0</v>
      </c>
      <c r="L464">
        <f t="shared" si="15"/>
        <v>0</v>
      </c>
    </row>
    <row r="465" spans="1:12">
      <c r="A465" t="s">
        <v>3130</v>
      </c>
      <c r="B465" t="s">
        <v>886</v>
      </c>
      <c r="C465" t="s">
        <v>2810</v>
      </c>
      <c r="D465" t="s">
        <v>2811</v>
      </c>
      <c r="E465">
        <v>8</v>
      </c>
      <c r="F465">
        <v>0</v>
      </c>
      <c r="G465">
        <v>0</v>
      </c>
      <c r="H465">
        <f t="shared" si="14"/>
        <v>8</v>
      </c>
      <c r="I465">
        <v>0</v>
      </c>
      <c r="J465">
        <v>0</v>
      </c>
      <c r="K465">
        <v>0</v>
      </c>
      <c r="L465">
        <f t="shared" si="15"/>
        <v>0</v>
      </c>
    </row>
    <row r="466" spans="1:12">
      <c r="A466" t="s">
        <v>3130</v>
      </c>
      <c r="B466" t="s">
        <v>886</v>
      </c>
      <c r="C466" t="s">
        <v>2810</v>
      </c>
      <c r="D466" t="s">
        <v>1892</v>
      </c>
      <c r="E466">
        <v>23</v>
      </c>
      <c r="F466">
        <v>6</v>
      </c>
      <c r="G466">
        <v>0</v>
      </c>
      <c r="H466">
        <f t="shared" si="14"/>
        <v>29</v>
      </c>
      <c r="I466">
        <v>5</v>
      </c>
      <c r="J466">
        <v>0</v>
      </c>
      <c r="K466">
        <v>0</v>
      </c>
      <c r="L466">
        <f t="shared" si="15"/>
        <v>5</v>
      </c>
    </row>
    <row r="467" spans="1:12">
      <c r="A467" t="s">
        <v>3130</v>
      </c>
      <c r="B467" t="s">
        <v>886</v>
      </c>
      <c r="C467" t="s">
        <v>2810</v>
      </c>
      <c r="D467" t="s">
        <v>2823</v>
      </c>
      <c r="E467">
        <v>5</v>
      </c>
      <c r="F467">
        <v>5</v>
      </c>
      <c r="G467">
        <v>0</v>
      </c>
      <c r="H467">
        <f t="shared" si="14"/>
        <v>10</v>
      </c>
      <c r="I467">
        <v>0</v>
      </c>
      <c r="J467">
        <v>9</v>
      </c>
      <c r="K467">
        <v>0</v>
      </c>
      <c r="L467">
        <f t="shared" si="15"/>
        <v>9</v>
      </c>
    </row>
    <row r="468" spans="1:12">
      <c r="A468" t="s">
        <v>3130</v>
      </c>
      <c r="B468" t="s">
        <v>886</v>
      </c>
      <c r="C468" t="s">
        <v>2810</v>
      </c>
      <c r="D468" t="s">
        <v>2812</v>
      </c>
      <c r="E468">
        <v>50</v>
      </c>
      <c r="F468">
        <v>0</v>
      </c>
      <c r="G468">
        <v>0</v>
      </c>
      <c r="H468">
        <f t="shared" si="14"/>
        <v>50</v>
      </c>
      <c r="I468">
        <v>9</v>
      </c>
      <c r="J468">
        <v>0</v>
      </c>
      <c r="K468">
        <v>0</v>
      </c>
      <c r="L468">
        <f t="shared" si="15"/>
        <v>9</v>
      </c>
    </row>
    <row r="469" spans="1:12">
      <c r="A469" t="s">
        <v>3130</v>
      </c>
      <c r="B469" t="s">
        <v>886</v>
      </c>
      <c r="C469" t="s">
        <v>2810</v>
      </c>
      <c r="D469" t="s">
        <v>2813</v>
      </c>
      <c r="E469">
        <v>8</v>
      </c>
      <c r="F469">
        <v>0</v>
      </c>
      <c r="G469">
        <v>0</v>
      </c>
      <c r="H469">
        <f t="shared" si="14"/>
        <v>8</v>
      </c>
      <c r="I469">
        <v>0</v>
      </c>
      <c r="J469">
        <v>0</v>
      </c>
      <c r="K469">
        <v>0</v>
      </c>
      <c r="L469">
        <f t="shared" si="15"/>
        <v>0</v>
      </c>
    </row>
    <row r="470" spans="1:12">
      <c r="A470" t="s">
        <v>3130</v>
      </c>
      <c r="B470" t="s">
        <v>886</v>
      </c>
      <c r="C470" t="s">
        <v>2810</v>
      </c>
      <c r="D470" t="s">
        <v>2814</v>
      </c>
      <c r="E470">
        <v>4</v>
      </c>
      <c r="F470">
        <v>0</v>
      </c>
      <c r="G470">
        <v>0</v>
      </c>
      <c r="H470">
        <f t="shared" si="14"/>
        <v>4</v>
      </c>
      <c r="I470">
        <v>0</v>
      </c>
      <c r="J470">
        <v>0</v>
      </c>
      <c r="K470">
        <v>0</v>
      </c>
      <c r="L470">
        <f t="shared" si="15"/>
        <v>0</v>
      </c>
    </row>
    <row r="471" spans="1:12">
      <c r="A471" t="s">
        <v>3130</v>
      </c>
      <c r="B471" t="s">
        <v>886</v>
      </c>
      <c r="C471" t="s">
        <v>2810</v>
      </c>
      <c r="D471" t="s">
        <v>2847</v>
      </c>
      <c r="E471">
        <v>5</v>
      </c>
      <c r="F471">
        <v>0</v>
      </c>
      <c r="G471">
        <v>0</v>
      </c>
      <c r="H471">
        <f t="shared" si="14"/>
        <v>5</v>
      </c>
      <c r="I471">
        <v>0</v>
      </c>
      <c r="J471">
        <v>0</v>
      </c>
      <c r="K471">
        <v>0</v>
      </c>
      <c r="L471">
        <f t="shared" si="15"/>
        <v>0</v>
      </c>
    </row>
    <row r="472" spans="1:12">
      <c r="A472" t="s">
        <v>3130</v>
      </c>
      <c r="B472" t="s">
        <v>886</v>
      </c>
      <c r="C472" t="s">
        <v>2810</v>
      </c>
      <c r="D472" t="s">
        <v>2815</v>
      </c>
      <c r="E472">
        <v>10</v>
      </c>
      <c r="F472">
        <v>0</v>
      </c>
      <c r="G472">
        <v>0</v>
      </c>
      <c r="H472">
        <f t="shared" si="14"/>
        <v>10</v>
      </c>
      <c r="I472">
        <v>0</v>
      </c>
      <c r="J472">
        <v>0</v>
      </c>
      <c r="K472">
        <v>0</v>
      </c>
      <c r="L472">
        <f t="shared" si="15"/>
        <v>0</v>
      </c>
    </row>
    <row r="473" spans="1:12">
      <c r="A473" t="s">
        <v>3130</v>
      </c>
      <c r="B473" t="s">
        <v>886</v>
      </c>
      <c r="C473" t="s">
        <v>2816</v>
      </c>
      <c r="D473" t="s">
        <v>1897</v>
      </c>
      <c r="E473">
        <v>18</v>
      </c>
      <c r="F473">
        <v>0</v>
      </c>
      <c r="G473">
        <v>0</v>
      </c>
      <c r="H473">
        <f t="shared" si="14"/>
        <v>18</v>
      </c>
      <c r="I473">
        <v>0</v>
      </c>
      <c r="J473">
        <v>0</v>
      </c>
      <c r="K473">
        <v>0</v>
      </c>
      <c r="L473">
        <f t="shared" si="15"/>
        <v>0</v>
      </c>
    </row>
    <row r="474" spans="1:12">
      <c r="A474" t="s">
        <v>3130</v>
      </c>
      <c r="B474" t="s">
        <v>886</v>
      </c>
      <c r="C474" t="s">
        <v>2826</v>
      </c>
      <c r="D474" t="s">
        <v>2871</v>
      </c>
      <c r="E474">
        <v>0</v>
      </c>
      <c r="F474">
        <v>0</v>
      </c>
      <c r="G474">
        <v>0</v>
      </c>
      <c r="H474">
        <f t="shared" si="14"/>
        <v>0</v>
      </c>
      <c r="I474">
        <v>1</v>
      </c>
      <c r="J474">
        <v>0</v>
      </c>
      <c r="K474">
        <v>0</v>
      </c>
      <c r="L474">
        <f t="shared" si="15"/>
        <v>1</v>
      </c>
    </row>
    <row r="475" spans="1:12">
      <c r="A475" t="s">
        <v>3130</v>
      </c>
      <c r="B475" t="s">
        <v>886</v>
      </c>
      <c r="C475" t="s">
        <v>2826</v>
      </c>
      <c r="D475" t="s">
        <v>2843</v>
      </c>
      <c r="E475">
        <v>0</v>
      </c>
      <c r="F475">
        <v>0</v>
      </c>
      <c r="G475">
        <v>0</v>
      </c>
      <c r="H475">
        <f t="shared" si="14"/>
        <v>0</v>
      </c>
      <c r="I475">
        <v>1</v>
      </c>
      <c r="J475">
        <v>0</v>
      </c>
      <c r="K475">
        <v>0</v>
      </c>
      <c r="L475">
        <f t="shared" si="15"/>
        <v>1</v>
      </c>
    </row>
    <row r="476" spans="1:12">
      <c r="A476" t="s">
        <v>3130</v>
      </c>
      <c r="B476" t="s">
        <v>886</v>
      </c>
      <c r="C476" t="s">
        <v>2826</v>
      </c>
      <c r="D476" t="s">
        <v>2834</v>
      </c>
      <c r="E476">
        <v>0</v>
      </c>
      <c r="F476">
        <v>0</v>
      </c>
      <c r="G476">
        <v>0</v>
      </c>
      <c r="H476">
        <f t="shared" si="14"/>
        <v>0</v>
      </c>
      <c r="I476">
        <v>1</v>
      </c>
      <c r="J476">
        <v>0</v>
      </c>
      <c r="K476">
        <v>0</v>
      </c>
      <c r="L476">
        <f t="shared" si="15"/>
        <v>1</v>
      </c>
    </row>
    <row r="477" spans="1:12">
      <c r="A477" t="s">
        <v>3130</v>
      </c>
      <c r="B477" t="s">
        <v>886</v>
      </c>
      <c r="C477" t="s">
        <v>2817</v>
      </c>
      <c r="D477" t="s">
        <v>2818</v>
      </c>
      <c r="E477">
        <v>4</v>
      </c>
      <c r="F477">
        <v>0</v>
      </c>
      <c r="G477">
        <v>0</v>
      </c>
      <c r="H477">
        <f t="shared" si="14"/>
        <v>4</v>
      </c>
      <c r="I477">
        <v>0</v>
      </c>
      <c r="J477">
        <v>0</v>
      </c>
      <c r="K477">
        <v>0</v>
      </c>
      <c r="L477">
        <f t="shared" si="15"/>
        <v>0</v>
      </c>
    </row>
    <row r="478" spans="1:12">
      <c r="A478" t="s">
        <v>3130</v>
      </c>
      <c r="B478" t="s">
        <v>886</v>
      </c>
      <c r="C478" t="s">
        <v>2817</v>
      </c>
      <c r="D478" t="s">
        <v>2837</v>
      </c>
      <c r="E478">
        <v>2</v>
      </c>
      <c r="F478">
        <v>0</v>
      </c>
      <c r="G478">
        <v>0</v>
      </c>
      <c r="H478">
        <f t="shared" si="14"/>
        <v>2</v>
      </c>
      <c r="I478">
        <v>0</v>
      </c>
      <c r="J478">
        <v>0</v>
      </c>
      <c r="K478">
        <v>0</v>
      </c>
      <c r="L478">
        <f t="shared" si="15"/>
        <v>0</v>
      </c>
    </row>
    <row r="479" spans="1:12">
      <c r="A479" t="s">
        <v>3131</v>
      </c>
      <c r="B479" t="s">
        <v>890</v>
      </c>
      <c r="C479" t="s">
        <v>2805</v>
      </c>
      <c r="D479" t="s">
        <v>2806</v>
      </c>
      <c r="E479">
        <v>72</v>
      </c>
      <c r="F479">
        <v>0</v>
      </c>
      <c r="G479">
        <v>0</v>
      </c>
      <c r="H479">
        <f t="shared" si="14"/>
        <v>72</v>
      </c>
      <c r="I479">
        <v>0</v>
      </c>
      <c r="J479">
        <v>0</v>
      </c>
      <c r="K479">
        <v>0</v>
      </c>
      <c r="L479">
        <f t="shared" si="15"/>
        <v>0</v>
      </c>
    </row>
    <row r="480" spans="1:12">
      <c r="A480" t="s">
        <v>3131</v>
      </c>
      <c r="B480" t="s">
        <v>890</v>
      </c>
      <c r="C480" t="s">
        <v>2805</v>
      </c>
      <c r="D480" t="s">
        <v>449</v>
      </c>
      <c r="E480">
        <v>169</v>
      </c>
      <c r="F480">
        <v>0</v>
      </c>
      <c r="G480">
        <v>0</v>
      </c>
      <c r="H480">
        <f t="shared" si="14"/>
        <v>169</v>
      </c>
      <c r="I480">
        <v>0</v>
      </c>
      <c r="J480">
        <v>0</v>
      </c>
      <c r="K480">
        <v>0</v>
      </c>
      <c r="L480">
        <f t="shared" si="15"/>
        <v>0</v>
      </c>
    </row>
    <row r="481" spans="1:12">
      <c r="A481" t="s">
        <v>3131</v>
      </c>
      <c r="B481" t="s">
        <v>890</v>
      </c>
      <c r="C481" t="s">
        <v>2805</v>
      </c>
      <c r="D481" t="s">
        <v>2807</v>
      </c>
      <c r="E481">
        <v>4</v>
      </c>
      <c r="F481">
        <v>0</v>
      </c>
      <c r="G481">
        <v>0</v>
      </c>
      <c r="H481">
        <f t="shared" si="14"/>
        <v>4</v>
      </c>
      <c r="I481">
        <v>0</v>
      </c>
      <c r="J481">
        <v>0</v>
      </c>
      <c r="K481">
        <v>0</v>
      </c>
      <c r="L481">
        <f t="shared" si="15"/>
        <v>0</v>
      </c>
    </row>
    <row r="482" spans="1:12">
      <c r="A482" t="s">
        <v>3131</v>
      </c>
      <c r="B482" t="s">
        <v>890</v>
      </c>
      <c r="C482" t="s">
        <v>2810</v>
      </c>
      <c r="D482" t="s">
        <v>2811</v>
      </c>
      <c r="E482">
        <v>18</v>
      </c>
      <c r="F482">
        <v>0</v>
      </c>
      <c r="G482">
        <v>0</v>
      </c>
      <c r="H482">
        <f t="shared" si="14"/>
        <v>18</v>
      </c>
      <c r="I482">
        <v>0</v>
      </c>
      <c r="J482">
        <v>0</v>
      </c>
      <c r="K482">
        <v>0</v>
      </c>
      <c r="L482">
        <f t="shared" si="15"/>
        <v>0</v>
      </c>
    </row>
    <row r="483" spans="1:12">
      <c r="A483" t="s">
        <v>3131</v>
      </c>
      <c r="B483" t="s">
        <v>890</v>
      </c>
      <c r="C483" t="s">
        <v>2810</v>
      </c>
      <c r="D483" t="s">
        <v>2813</v>
      </c>
      <c r="E483">
        <v>12</v>
      </c>
      <c r="F483">
        <v>0</v>
      </c>
      <c r="G483">
        <v>0</v>
      </c>
      <c r="H483">
        <f t="shared" si="14"/>
        <v>12</v>
      </c>
      <c r="I483">
        <v>0</v>
      </c>
      <c r="J483">
        <v>0</v>
      </c>
      <c r="K483">
        <v>0</v>
      </c>
      <c r="L483">
        <f t="shared" si="15"/>
        <v>0</v>
      </c>
    </row>
    <row r="484" spans="1:12">
      <c r="A484" t="s">
        <v>3131</v>
      </c>
      <c r="B484" t="s">
        <v>890</v>
      </c>
      <c r="C484" t="s">
        <v>2810</v>
      </c>
      <c r="D484" t="s">
        <v>2847</v>
      </c>
      <c r="E484">
        <v>10</v>
      </c>
      <c r="F484">
        <v>0</v>
      </c>
      <c r="G484">
        <v>0</v>
      </c>
      <c r="H484">
        <f t="shared" si="14"/>
        <v>10</v>
      </c>
      <c r="I484">
        <v>0</v>
      </c>
      <c r="J484">
        <v>0</v>
      </c>
      <c r="K484">
        <v>0</v>
      </c>
      <c r="L484">
        <f t="shared" si="15"/>
        <v>0</v>
      </c>
    </row>
    <row r="485" spans="1:12">
      <c r="A485" t="s">
        <v>3131</v>
      </c>
      <c r="B485" t="s">
        <v>890</v>
      </c>
      <c r="C485" t="s">
        <v>2816</v>
      </c>
      <c r="D485" t="s">
        <v>1897</v>
      </c>
      <c r="E485">
        <v>12</v>
      </c>
      <c r="F485">
        <v>0</v>
      </c>
      <c r="G485">
        <v>0</v>
      </c>
      <c r="H485">
        <f t="shared" si="14"/>
        <v>12</v>
      </c>
      <c r="I485">
        <v>0</v>
      </c>
      <c r="J485">
        <v>0</v>
      </c>
      <c r="K485">
        <v>0</v>
      </c>
      <c r="L485">
        <f t="shared" si="15"/>
        <v>0</v>
      </c>
    </row>
    <row r="486" spans="1:12">
      <c r="A486" t="s">
        <v>3131</v>
      </c>
      <c r="B486" t="s">
        <v>890</v>
      </c>
      <c r="C486" t="s">
        <v>2817</v>
      </c>
      <c r="D486" t="s">
        <v>2818</v>
      </c>
      <c r="E486">
        <v>1</v>
      </c>
      <c r="F486">
        <v>0</v>
      </c>
      <c r="G486">
        <v>0</v>
      </c>
      <c r="H486">
        <f t="shared" si="14"/>
        <v>1</v>
      </c>
      <c r="I486">
        <v>0</v>
      </c>
      <c r="J486">
        <v>0</v>
      </c>
      <c r="K486">
        <v>0</v>
      </c>
      <c r="L486">
        <f t="shared" si="15"/>
        <v>0</v>
      </c>
    </row>
    <row r="487" spans="1:12">
      <c r="A487" t="s">
        <v>3131</v>
      </c>
      <c r="B487" t="s">
        <v>890</v>
      </c>
      <c r="C487" t="s">
        <v>2817</v>
      </c>
      <c r="D487" t="s">
        <v>2837</v>
      </c>
      <c r="E487">
        <v>7</v>
      </c>
      <c r="F487">
        <v>0</v>
      </c>
      <c r="G487">
        <v>0</v>
      </c>
      <c r="H487">
        <f t="shared" si="14"/>
        <v>7</v>
      </c>
      <c r="I487">
        <v>0</v>
      </c>
      <c r="J487">
        <v>0</v>
      </c>
      <c r="K487">
        <v>0</v>
      </c>
      <c r="L487">
        <f t="shared" si="15"/>
        <v>0</v>
      </c>
    </row>
    <row r="488" spans="1:12">
      <c r="A488" t="s">
        <v>3134</v>
      </c>
      <c r="B488" t="s">
        <v>881</v>
      </c>
      <c r="C488" t="s">
        <v>2805</v>
      </c>
      <c r="D488" t="s">
        <v>2806</v>
      </c>
      <c r="E488">
        <v>500</v>
      </c>
      <c r="F488">
        <v>0</v>
      </c>
      <c r="G488">
        <v>0</v>
      </c>
      <c r="H488">
        <f t="shared" si="14"/>
        <v>500</v>
      </c>
      <c r="I488">
        <v>0</v>
      </c>
      <c r="J488">
        <v>0</v>
      </c>
      <c r="K488">
        <v>0</v>
      </c>
      <c r="L488">
        <f t="shared" si="15"/>
        <v>0</v>
      </c>
    </row>
    <row r="489" spans="1:12">
      <c r="A489" t="s">
        <v>3134</v>
      </c>
      <c r="B489" t="s">
        <v>881</v>
      </c>
      <c r="C489" t="s">
        <v>2805</v>
      </c>
      <c r="D489" t="s">
        <v>449</v>
      </c>
      <c r="E489">
        <v>819</v>
      </c>
      <c r="F489">
        <v>0</v>
      </c>
      <c r="G489">
        <v>0</v>
      </c>
      <c r="H489">
        <f t="shared" si="14"/>
        <v>819</v>
      </c>
      <c r="I489">
        <v>0</v>
      </c>
      <c r="J489">
        <v>0</v>
      </c>
      <c r="K489">
        <v>0</v>
      </c>
      <c r="L489">
        <f t="shared" si="15"/>
        <v>0</v>
      </c>
    </row>
    <row r="490" spans="1:12">
      <c r="A490" t="s">
        <v>3134</v>
      </c>
      <c r="B490" t="s">
        <v>881</v>
      </c>
      <c r="C490" t="s">
        <v>2805</v>
      </c>
      <c r="D490" t="s">
        <v>2807</v>
      </c>
      <c r="E490">
        <v>4</v>
      </c>
      <c r="F490">
        <v>0</v>
      </c>
      <c r="G490">
        <v>0</v>
      </c>
      <c r="H490">
        <f t="shared" si="14"/>
        <v>4</v>
      </c>
      <c r="I490">
        <v>0</v>
      </c>
      <c r="J490">
        <v>0</v>
      </c>
      <c r="K490">
        <v>0</v>
      </c>
      <c r="L490">
        <f t="shared" si="15"/>
        <v>0</v>
      </c>
    </row>
    <row r="491" spans="1:12">
      <c r="A491" t="s">
        <v>3134</v>
      </c>
      <c r="B491" t="s">
        <v>881</v>
      </c>
      <c r="C491" t="s">
        <v>2805</v>
      </c>
      <c r="D491" t="s">
        <v>2808</v>
      </c>
      <c r="E491">
        <v>1</v>
      </c>
      <c r="F491">
        <v>0</v>
      </c>
      <c r="G491">
        <v>0</v>
      </c>
      <c r="H491">
        <f t="shared" si="14"/>
        <v>1</v>
      </c>
      <c r="I491">
        <v>0</v>
      </c>
      <c r="J491">
        <v>0</v>
      </c>
      <c r="K491">
        <v>0</v>
      </c>
      <c r="L491">
        <f t="shared" si="15"/>
        <v>0</v>
      </c>
    </row>
    <row r="492" spans="1:12">
      <c r="A492" t="s">
        <v>3134</v>
      </c>
      <c r="B492" t="s">
        <v>881</v>
      </c>
      <c r="C492" t="s">
        <v>2805</v>
      </c>
      <c r="D492" t="s">
        <v>2846</v>
      </c>
      <c r="E492">
        <v>12</v>
      </c>
      <c r="F492">
        <v>0</v>
      </c>
      <c r="G492">
        <v>0</v>
      </c>
      <c r="H492">
        <f t="shared" si="14"/>
        <v>12</v>
      </c>
      <c r="I492">
        <v>0</v>
      </c>
      <c r="J492">
        <v>0</v>
      </c>
      <c r="K492">
        <v>0</v>
      </c>
      <c r="L492">
        <f t="shared" si="15"/>
        <v>0</v>
      </c>
    </row>
    <row r="493" spans="1:12">
      <c r="A493" t="s">
        <v>3134</v>
      </c>
      <c r="B493" t="s">
        <v>881</v>
      </c>
      <c r="C493" t="s">
        <v>2810</v>
      </c>
      <c r="D493" t="s">
        <v>2811</v>
      </c>
      <c r="E493">
        <v>18</v>
      </c>
      <c r="F493">
        <v>0</v>
      </c>
      <c r="G493">
        <v>0</v>
      </c>
      <c r="H493">
        <f t="shared" si="14"/>
        <v>18</v>
      </c>
      <c r="I493">
        <v>0</v>
      </c>
      <c r="J493">
        <v>0</v>
      </c>
      <c r="K493">
        <v>0</v>
      </c>
      <c r="L493">
        <f t="shared" si="15"/>
        <v>0</v>
      </c>
    </row>
    <row r="494" spans="1:12">
      <c r="A494" t="s">
        <v>3134</v>
      </c>
      <c r="B494" t="s">
        <v>881</v>
      </c>
      <c r="C494" t="s">
        <v>2810</v>
      </c>
      <c r="D494" t="s">
        <v>2812</v>
      </c>
      <c r="E494">
        <v>4</v>
      </c>
      <c r="F494">
        <v>0</v>
      </c>
      <c r="G494">
        <v>0</v>
      </c>
      <c r="H494">
        <f t="shared" si="14"/>
        <v>4</v>
      </c>
      <c r="I494">
        <v>0</v>
      </c>
      <c r="J494">
        <v>0</v>
      </c>
      <c r="K494">
        <v>0</v>
      </c>
      <c r="L494">
        <f t="shared" si="15"/>
        <v>0</v>
      </c>
    </row>
    <row r="495" spans="1:12">
      <c r="A495" t="s">
        <v>3134</v>
      </c>
      <c r="B495" t="s">
        <v>881</v>
      </c>
      <c r="C495" t="s">
        <v>2810</v>
      </c>
      <c r="D495" t="s">
        <v>2813</v>
      </c>
      <c r="E495">
        <v>1</v>
      </c>
      <c r="F495">
        <v>0</v>
      </c>
      <c r="G495">
        <v>0</v>
      </c>
      <c r="H495">
        <f t="shared" si="14"/>
        <v>1</v>
      </c>
      <c r="I495">
        <v>0</v>
      </c>
      <c r="J495">
        <v>0</v>
      </c>
      <c r="K495">
        <v>0</v>
      </c>
      <c r="L495">
        <f t="shared" si="15"/>
        <v>0</v>
      </c>
    </row>
    <row r="496" spans="1:12">
      <c r="A496" t="s">
        <v>3134</v>
      </c>
      <c r="B496" t="s">
        <v>881</v>
      </c>
      <c r="C496" t="s">
        <v>2810</v>
      </c>
      <c r="D496" t="s">
        <v>2814</v>
      </c>
      <c r="E496">
        <v>4</v>
      </c>
      <c r="F496">
        <v>0</v>
      </c>
      <c r="G496">
        <v>0</v>
      </c>
      <c r="H496">
        <f t="shared" si="14"/>
        <v>4</v>
      </c>
      <c r="I496">
        <v>0</v>
      </c>
      <c r="J496">
        <v>0</v>
      </c>
      <c r="K496">
        <v>0</v>
      </c>
      <c r="L496">
        <f t="shared" si="15"/>
        <v>0</v>
      </c>
    </row>
    <row r="497" spans="1:12">
      <c r="A497" t="s">
        <v>3134</v>
      </c>
      <c r="B497" t="s">
        <v>881</v>
      </c>
      <c r="C497" t="s">
        <v>2810</v>
      </c>
      <c r="D497" t="s">
        <v>2815</v>
      </c>
      <c r="E497">
        <v>27</v>
      </c>
      <c r="F497">
        <v>0</v>
      </c>
      <c r="G497">
        <v>0</v>
      </c>
      <c r="H497">
        <f t="shared" si="14"/>
        <v>27</v>
      </c>
      <c r="I497">
        <v>0</v>
      </c>
      <c r="J497">
        <v>0</v>
      </c>
      <c r="K497">
        <v>0</v>
      </c>
      <c r="L497">
        <f t="shared" si="15"/>
        <v>0</v>
      </c>
    </row>
    <row r="498" spans="1:12">
      <c r="A498" t="s">
        <v>3134</v>
      </c>
      <c r="B498" t="s">
        <v>881</v>
      </c>
      <c r="C498" t="s">
        <v>2816</v>
      </c>
      <c r="D498" t="s">
        <v>3135</v>
      </c>
      <c r="E498">
        <v>3</v>
      </c>
      <c r="F498">
        <v>0</v>
      </c>
      <c r="G498">
        <v>0</v>
      </c>
      <c r="H498">
        <f t="shared" si="14"/>
        <v>3</v>
      </c>
      <c r="I498">
        <v>0</v>
      </c>
      <c r="J498">
        <v>0</v>
      </c>
      <c r="K498">
        <v>0</v>
      </c>
      <c r="L498">
        <f t="shared" si="15"/>
        <v>0</v>
      </c>
    </row>
    <row r="499" spans="1:12">
      <c r="A499" t="s">
        <v>3134</v>
      </c>
      <c r="B499" t="s">
        <v>881</v>
      </c>
      <c r="C499" t="s">
        <v>2816</v>
      </c>
      <c r="D499" t="s">
        <v>1897</v>
      </c>
      <c r="E499">
        <v>131</v>
      </c>
      <c r="F499">
        <v>0</v>
      </c>
      <c r="G499">
        <v>0</v>
      </c>
      <c r="H499">
        <f t="shared" si="14"/>
        <v>131</v>
      </c>
      <c r="I499">
        <v>0</v>
      </c>
      <c r="J499">
        <v>0</v>
      </c>
      <c r="K499">
        <v>0</v>
      </c>
      <c r="L499">
        <f t="shared" si="15"/>
        <v>0</v>
      </c>
    </row>
    <row r="500" spans="1:12">
      <c r="A500" t="s">
        <v>3134</v>
      </c>
      <c r="B500" t="s">
        <v>881</v>
      </c>
      <c r="C500" t="s">
        <v>2817</v>
      </c>
      <c r="D500" t="s">
        <v>2930</v>
      </c>
      <c r="E500">
        <v>5</v>
      </c>
      <c r="F500">
        <v>0</v>
      </c>
      <c r="G500">
        <v>0</v>
      </c>
      <c r="H500">
        <f t="shared" si="14"/>
        <v>5</v>
      </c>
      <c r="I500">
        <v>0</v>
      </c>
      <c r="J500">
        <v>0</v>
      </c>
      <c r="K500">
        <v>0</v>
      </c>
      <c r="L500">
        <f t="shared" si="15"/>
        <v>0</v>
      </c>
    </row>
    <row r="501" spans="1:12">
      <c r="A501" t="s">
        <v>3134</v>
      </c>
      <c r="B501" t="s">
        <v>881</v>
      </c>
      <c r="C501" t="s">
        <v>2817</v>
      </c>
      <c r="D501" t="s">
        <v>2818</v>
      </c>
      <c r="E501">
        <v>118</v>
      </c>
      <c r="F501">
        <v>0</v>
      </c>
      <c r="G501">
        <v>0</v>
      </c>
      <c r="H501">
        <f t="shared" si="14"/>
        <v>118</v>
      </c>
      <c r="I501">
        <v>0</v>
      </c>
      <c r="J501">
        <v>0</v>
      </c>
      <c r="K501">
        <v>0</v>
      </c>
      <c r="L501">
        <f t="shared" si="15"/>
        <v>0</v>
      </c>
    </row>
    <row r="502" spans="1:12">
      <c r="A502" t="s">
        <v>3134</v>
      </c>
      <c r="B502" t="s">
        <v>881</v>
      </c>
      <c r="C502" t="s">
        <v>2817</v>
      </c>
      <c r="D502" t="s">
        <v>2837</v>
      </c>
      <c r="E502">
        <v>38</v>
      </c>
      <c r="F502">
        <v>0</v>
      </c>
      <c r="G502">
        <v>0</v>
      </c>
      <c r="H502">
        <f t="shared" si="14"/>
        <v>38</v>
      </c>
      <c r="I502">
        <v>0</v>
      </c>
      <c r="J502">
        <v>0</v>
      </c>
      <c r="K502">
        <v>0</v>
      </c>
      <c r="L502">
        <f t="shared" si="15"/>
        <v>0</v>
      </c>
    </row>
    <row r="503" spans="1:12">
      <c r="A503" t="s">
        <v>3142</v>
      </c>
      <c r="B503" t="s">
        <v>894</v>
      </c>
      <c r="C503" t="s">
        <v>2805</v>
      </c>
      <c r="D503" t="s">
        <v>449</v>
      </c>
      <c r="E503">
        <v>3</v>
      </c>
      <c r="F503">
        <v>0</v>
      </c>
      <c r="G503">
        <v>0</v>
      </c>
      <c r="H503">
        <f t="shared" si="14"/>
        <v>3</v>
      </c>
      <c r="I503">
        <v>0</v>
      </c>
      <c r="J503">
        <v>0</v>
      </c>
      <c r="K503">
        <v>0</v>
      </c>
      <c r="L503">
        <f t="shared" si="15"/>
        <v>0</v>
      </c>
    </row>
    <row r="504" spans="1:12">
      <c r="A504" t="s">
        <v>3142</v>
      </c>
      <c r="B504" t="s">
        <v>894</v>
      </c>
      <c r="C504" t="s">
        <v>2805</v>
      </c>
      <c r="D504" t="s">
        <v>2807</v>
      </c>
      <c r="E504">
        <v>1</v>
      </c>
      <c r="F504">
        <v>0</v>
      </c>
      <c r="G504">
        <v>0</v>
      </c>
      <c r="H504">
        <f t="shared" si="14"/>
        <v>1</v>
      </c>
      <c r="I504">
        <v>0</v>
      </c>
      <c r="J504">
        <v>0</v>
      </c>
      <c r="K504">
        <v>0</v>
      </c>
      <c r="L504">
        <f t="shared" si="15"/>
        <v>0</v>
      </c>
    </row>
    <row r="505" spans="1:12">
      <c r="A505" t="s">
        <v>3142</v>
      </c>
      <c r="B505" t="s">
        <v>894</v>
      </c>
      <c r="C505" t="s">
        <v>2810</v>
      </c>
      <c r="D505" t="s">
        <v>2811</v>
      </c>
      <c r="E505">
        <v>8</v>
      </c>
      <c r="F505">
        <v>0</v>
      </c>
      <c r="G505">
        <v>0</v>
      </c>
      <c r="H505">
        <f t="shared" si="14"/>
        <v>8</v>
      </c>
      <c r="I505">
        <v>2</v>
      </c>
      <c r="J505">
        <v>0</v>
      </c>
      <c r="K505">
        <v>0</v>
      </c>
      <c r="L505">
        <f t="shared" si="15"/>
        <v>2</v>
      </c>
    </row>
    <row r="506" spans="1:12">
      <c r="A506" t="s">
        <v>3142</v>
      </c>
      <c r="B506" t="s">
        <v>894</v>
      </c>
      <c r="C506" t="s">
        <v>2810</v>
      </c>
      <c r="D506" t="s">
        <v>2823</v>
      </c>
      <c r="E506">
        <v>6</v>
      </c>
      <c r="F506">
        <v>0</v>
      </c>
      <c r="G506">
        <v>0</v>
      </c>
      <c r="H506">
        <f t="shared" si="14"/>
        <v>6</v>
      </c>
      <c r="I506">
        <v>1</v>
      </c>
      <c r="J506">
        <v>0</v>
      </c>
      <c r="K506">
        <v>0</v>
      </c>
      <c r="L506">
        <f t="shared" si="15"/>
        <v>1</v>
      </c>
    </row>
    <row r="507" spans="1:12">
      <c r="A507" t="s">
        <v>3142</v>
      </c>
      <c r="B507" t="s">
        <v>894</v>
      </c>
      <c r="C507" t="s">
        <v>2810</v>
      </c>
      <c r="D507" t="s">
        <v>2812</v>
      </c>
      <c r="E507">
        <v>5</v>
      </c>
      <c r="F507">
        <v>0</v>
      </c>
      <c r="G507">
        <v>0</v>
      </c>
      <c r="H507">
        <f t="shared" si="14"/>
        <v>5</v>
      </c>
      <c r="I507">
        <v>1</v>
      </c>
      <c r="J507">
        <v>0</v>
      </c>
      <c r="K507">
        <v>0</v>
      </c>
      <c r="L507">
        <f t="shared" si="15"/>
        <v>1</v>
      </c>
    </row>
    <row r="508" spans="1:12">
      <c r="A508" t="s">
        <v>3142</v>
      </c>
      <c r="B508" t="s">
        <v>894</v>
      </c>
      <c r="C508" t="s">
        <v>2810</v>
      </c>
      <c r="D508" t="s">
        <v>2813</v>
      </c>
      <c r="E508">
        <v>12</v>
      </c>
      <c r="F508">
        <v>0</v>
      </c>
      <c r="G508">
        <v>0</v>
      </c>
      <c r="H508">
        <f t="shared" si="14"/>
        <v>12</v>
      </c>
      <c r="I508">
        <v>1</v>
      </c>
      <c r="J508">
        <v>0</v>
      </c>
      <c r="K508">
        <v>0</v>
      </c>
      <c r="L508">
        <f t="shared" si="15"/>
        <v>1</v>
      </c>
    </row>
    <row r="509" spans="1:12">
      <c r="A509" t="s">
        <v>3142</v>
      </c>
      <c r="B509" t="s">
        <v>894</v>
      </c>
      <c r="C509" t="s">
        <v>2817</v>
      </c>
      <c r="D509" t="s">
        <v>2887</v>
      </c>
      <c r="E509">
        <v>0</v>
      </c>
      <c r="F509">
        <v>0</v>
      </c>
      <c r="G509">
        <v>0</v>
      </c>
      <c r="H509">
        <f t="shared" si="14"/>
        <v>0</v>
      </c>
      <c r="I509">
        <v>1</v>
      </c>
      <c r="J509">
        <v>0</v>
      </c>
      <c r="K509">
        <v>0</v>
      </c>
      <c r="L509">
        <f t="shared" si="15"/>
        <v>1</v>
      </c>
    </row>
    <row r="510" spans="1:12">
      <c r="A510" t="s">
        <v>3142</v>
      </c>
      <c r="B510" t="s">
        <v>894</v>
      </c>
      <c r="C510" t="s">
        <v>2820</v>
      </c>
      <c r="D510" t="s">
        <v>2821</v>
      </c>
      <c r="E510">
        <v>1</v>
      </c>
      <c r="F510">
        <v>0</v>
      </c>
      <c r="G510">
        <v>0</v>
      </c>
      <c r="H510">
        <f t="shared" si="14"/>
        <v>1</v>
      </c>
      <c r="I510">
        <v>0</v>
      </c>
      <c r="J510">
        <v>0</v>
      </c>
      <c r="K510">
        <v>0</v>
      </c>
      <c r="L510">
        <f t="shared" si="15"/>
        <v>0</v>
      </c>
    </row>
    <row r="511" spans="1:12">
      <c r="A511" t="s">
        <v>3147</v>
      </c>
      <c r="B511" t="s">
        <v>339</v>
      </c>
      <c r="C511" t="s">
        <v>2841</v>
      </c>
      <c r="D511" t="s">
        <v>2842</v>
      </c>
      <c r="E511">
        <v>0</v>
      </c>
      <c r="F511">
        <v>0</v>
      </c>
      <c r="G511">
        <v>0</v>
      </c>
      <c r="H511">
        <f t="shared" si="14"/>
        <v>0</v>
      </c>
      <c r="I511">
        <v>5</v>
      </c>
      <c r="J511">
        <v>0</v>
      </c>
      <c r="K511">
        <v>0</v>
      </c>
      <c r="L511">
        <f t="shared" si="15"/>
        <v>5</v>
      </c>
    </row>
    <row r="512" spans="1:12">
      <c r="A512" t="s">
        <v>3147</v>
      </c>
      <c r="B512" t="s">
        <v>339</v>
      </c>
      <c r="C512" t="s">
        <v>2826</v>
      </c>
      <c r="D512" t="s">
        <v>2871</v>
      </c>
      <c r="E512">
        <v>0</v>
      </c>
      <c r="F512">
        <v>0</v>
      </c>
      <c r="G512">
        <v>0</v>
      </c>
      <c r="H512">
        <f t="shared" si="14"/>
        <v>0</v>
      </c>
      <c r="I512">
        <v>1</v>
      </c>
      <c r="J512">
        <v>1</v>
      </c>
      <c r="K512">
        <v>0</v>
      </c>
      <c r="L512">
        <f t="shared" si="15"/>
        <v>2</v>
      </c>
    </row>
    <row r="513" spans="1:12">
      <c r="A513" t="s">
        <v>3147</v>
      </c>
      <c r="B513" t="s">
        <v>339</v>
      </c>
      <c r="C513" t="s">
        <v>2826</v>
      </c>
      <c r="D513" t="s">
        <v>2905</v>
      </c>
      <c r="E513">
        <v>0</v>
      </c>
      <c r="F513">
        <v>0</v>
      </c>
      <c r="G513">
        <v>0</v>
      </c>
      <c r="H513">
        <f t="shared" si="14"/>
        <v>0</v>
      </c>
      <c r="I513">
        <v>1</v>
      </c>
      <c r="J513">
        <v>0</v>
      </c>
      <c r="K513">
        <v>0</v>
      </c>
      <c r="L513">
        <f t="shared" si="15"/>
        <v>1</v>
      </c>
    </row>
    <row r="514" spans="1:12">
      <c r="A514" t="s">
        <v>3147</v>
      </c>
      <c r="B514" t="s">
        <v>339</v>
      </c>
      <c r="C514" t="s">
        <v>2826</v>
      </c>
      <c r="D514" t="s">
        <v>2827</v>
      </c>
      <c r="E514">
        <v>0</v>
      </c>
      <c r="F514">
        <v>0</v>
      </c>
      <c r="G514">
        <v>0</v>
      </c>
      <c r="H514">
        <f t="shared" si="14"/>
        <v>0</v>
      </c>
      <c r="I514">
        <v>1</v>
      </c>
      <c r="J514">
        <v>1</v>
      </c>
      <c r="K514">
        <v>0</v>
      </c>
      <c r="L514">
        <f t="shared" si="15"/>
        <v>2</v>
      </c>
    </row>
    <row r="515" spans="1:12">
      <c r="A515" t="s">
        <v>3147</v>
      </c>
      <c r="B515" t="s">
        <v>339</v>
      </c>
      <c r="C515" t="s">
        <v>2826</v>
      </c>
      <c r="D515" t="s">
        <v>2828</v>
      </c>
      <c r="E515">
        <v>0</v>
      </c>
      <c r="F515">
        <v>0</v>
      </c>
      <c r="G515">
        <v>0</v>
      </c>
      <c r="H515">
        <f t="shared" si="14"/>
        <v>0</v>
      </c>
      <c r="I515">
        <v>0</v>
      </c>
      <c r="J515">
        <v>2</v>
      </c>
      <c r="K515">
        <v>0</v>
      </c>
      <c r="L515">
        <f t="shared" si="15"/>
        <v>2</v>
      </c>
    </row>
    <row r="516" spans="1:12">
      <c r="A516" t="s">
        <v>3147</v>
      </c>
      <c r="B516" t="s">
        <v>339</v>
      </c>
      <c r="C516" t="s">
        <v>2826</v>
      </c>
      <c r="D516" t="s">
        <v>2829</v>
      </c>
      <c r="E516">
        <v>0</v>
      </c>
      <c r="F516">
        <v>0</v>
      </c>
      <c r="G516">
        <v>0</v>
      </c>
      <c r="H516">
        <f t="shared" ref="H516:H579" si="16">SUM(E516:G516)</f>
        <v>0</v>
      </c>
      <c r="I516">
        <v>1</v>
      </c>
      <c r="J516">
        <v>1</v>
      </c>
      <c r="K516">
        <v>0</v>
      </c>
      <c r="L516">
        <f t="shared" ref="L516:L579" si="17">SUM(I516:K516)</f>
        <v>2</v>
      </c>
    </row>
    <row r="517" spans="1:12">
      <c r="A517" t="s">
        <v>3147</v>
      </c>
      <c r="B517" t="s">
        <v>339</v>
      </c>
      <c r="C517" t="s">
        <v>2826</v>
      </c>
      <c r="D517" t="s">
        <v>2891</v>
      </c>
      <c r="E517">
        <v>0</v>
      </c>
      <c r="F517">
        <v>0</v>
      </c>
      <c r="G517">
        <v>0</v>
      </c>
      <c r="H517">
        <f t="shared" si="16"/>
        <v>0</v>
      </c>
      <c r="I517">
        <v>1</v>
      </c>
      <c r="J517">
        <v>1</v>
      </c>
      <c r="K517">
        <v>0</v>
      </c>
      <c r="L517">
        <f t="shared" si="17"/>
        <v>2</v>
      </c>
    </row>
    <row r="518" spans="1:12">
      <c r="A518" t="s">
        <v>3147</v>
      </c>
      <c r="B518" t="s">
        <v>339</v>
      </c>
      <c r="C518" t="s">
        <v>2826</v>
      </c>
      <c r="D518" t="s">
        <v>2830</v>
      </c>
      <c r="E518">
        <v>0</v>
      </c>
      <c r="F518">
        <v>0</v>
      </c>
      <c r="G518">
        <v>0</v>
      </c>
      <c r="H518">
        <f t="shared" si="16"/>
        <v>0</v>
      </c>
      <c r="I518">
        <v>1</v>
      </c>
      <c r="J518">
        <v>0</v>
      </c>
      <c r="K518">
        <v>0</v>
      </c>
      <c r="L518">
        <f t="shared" si="17"/>
        <v>1</v>
      </c>
    </row>
    <row r="519" spans="1:12">
      <c r="A519" t="s">
        <v>3147</v>
      </c>
      <c r="B519" t="s">
        <v>339</v>
      </c>
      <c r="C519" t="s">
        <v>2826</v>
      </c>
      <c r="D519" t="s">
        <v>2843</v>
      </c>
      <c r="E519">
        <v>0</v>
      </c>
      <c r="F519">
        <v>0</v>
      </c>
      <c r="G519">
        <v>0</v>
      </c>
      <c r="H519">
        <f t="shared" si="16"/>
        <v>0</v>
      </c>
      <c r="I519">
        <v>3</v>
      </c>
      <c r="J519">
        <v>0</v>
      </c>
      <c r="K519">
        <v>0</v>
      </c>
      <c r="L519">
        <f t="shared" si="17"/>
        <v>3</v>
      </c>
    </row>
    <row r="520" spans="1:12">
      <c r="A520" t="s">
        <v>3147</v>
      </c>
      <c r="B520" t="s">
        <v>339</v>
      </c>
      <c r="C520" t="s">
        <v>2826</v>
      </c>
      <c r="D520" t="s">
        <v>2885</v>
      </c>
      <c r="E520">
        <v>0</v>
      </c>
      <c r="F520">
        <v>0</v>
      </c>
      <c r="G520">
        <v>0</v>
      </c>
      <c r="H520">
        <f t="shared" si="16"/>
        <v>0</v>
      </c>
      <c r="I520">
        <v>1</v>
      </c>
      <c r="J520">
        <v>0</v>
      </c>
      <c r="K520">
        <v>0</v>
      </c>
      <c r="L520">
        <f t="shared" si="17"/>
        <v>1</v>
      </c>
    </row>
    <row r="521" spans="1:12">
      <c r="A521" t="s">
        <v>3147</v>
      </c>
      <c r="B521" t="s">
        <v>339</v>
      </c>
      <c r="C521" t="s">
        <v>2826</v>
      </c>
      <c r="D521" t="s">
        <v>2832</v>
      </c>
      <c r="E521">
        <v>0</v>
      </c>
      <c r="F521">
        <v>0</v>
      </c>
      <c r="G521">
        <v>0</v>
      </c>
      <c r="H521">
        <f t="shared" si="16"/>
        <v>0</v>
      </c>
      <c r="I521">
        <v>1</v>
      </c>
      <c r="J521">
        <v>0</v>
      </c>
      <c r="K521">
        <v>0</v>
      </c>
      <c r="L521">
        <f t="shared" si="17"/>
        <v>1</v>
      </c>
    </row>
    <row r="522" spans="1:12">
      <c r="A522" t="s">
        <v>3147</v>
      </c>
      <c r="B522" t="s">
        <v>339</v>
      </c>
      <c r="C522" t="s">
        <v>2826</v>
      </c>
      <c r="D522" t="s">
        <v>2834</v>
      </c>
      <c r="E522">
        <v>0</v>
      </c>
      <c r="F522">
        <v>0</v>
      </c>
      <c r="G522">
        <v>0</v>
      </c>
      <c r="H522">
        <f t="shared" si="16"/>
        <v>0</v>
      </c>
      <c r="I522">
        <v>1</v>
      </c>
      <c r="J522">
        <v>0</v>
      </c>
      <c r="K522">
        <v>0</v>
      </c>
      <c r="L522">
        <f t="shared" si="17"/>
        <v>1</v>
      </c>
    </row>
    <row r="523" spans="1:12">
      <c r="A523" t="s">
        <v>3147</v>
      </c>
      <c r="B523" t="s">
        <v>339</v>
      </c>
      <c r="C523" t="s">
        <v>2826</v>
      </c>
      <c r="D523" t="s">
        <v>2835</v>
      </c>
      <c r="E523">
        <v>0</v>
      </c>
      <c r="F523">
        <v>0</v>
      </c>
      <c r="G523">
        <v>0</v>
      </c>
      <c r="H523">
        <f t="shared" si="16"/>
        <v>0</v>
      </c>
      <c r="I523">
        <v>4</v>
      </c>
      <c r="J523">
        <v>2</v>
      </c>
      <c r="K523">
        <v>0</v>
      </c>
      <c r="L523">
        <f t="shared" si="17"/>
        <v>6</v>
      </c>
    </row>
    <row r="524" spans="1:12">
      <c r="A524" t="s">
        <v>3147</v>
      </c>
      <c r="B524" t="s">
        <v>339</v>
      </c>
      <c r="C524" t="s">
        <v>2826</v>
      </c>
      <c r="D524" t="s">
        <v>2917</v>
      </c>
      <c r="E524">
        <v>0</v>
      </c>
      <c r="F524">
        <v>0</v>
      </c>
      <c r="G524">
        <v>0</v>
      </c>
      <c r="H524">
        <f t="shared" si="16"/>
        <v>0</v>
      </c>
      <c r="I524">
        <v>2</v>
      </c>
      <c r="J524">
        <v>0</v>
      </c>
      <c r="K524">
        <v>0</v>
      </c>
      <c r="L524">
        <f t="shared" si="17"/>
        <v>2</v>
      </c>
    </row>
    <row r="525" spans="1:12">
      <c r="A525" t="s">
        <v>3147</v>
      </c>
      <c r="B525" t="s">
        <v>339</v>
      </c>
      <c r="C525" t="s">
        <v>2826</v>
      </c>
      <c r="D525" t="s">
        <v>2836</v>
      </c>
      <c r="E525">
        <v>0</v>
      </c>
      <c r="F525">
        <v>0</v>
      </c>
      <c r="G525">
        <v>0</v>
      </c>
      <c r="H525">
        <f t="shared" si="16"/>
        <v>0</v>
      </c>
      <c r="I525">
        <v>0</v>
      </c>
      <c r="J525">
        <v>1</v>
      </c>
      <c r="K525">
        <v>0</v>
      </c>
      <c r="L525">
        <f t="shared" si="17"/>
        <v>1</v>
      </c>
    </row>
    <row r="526" spans="1:12">
      <c r="A526" t="s">
        <v>3147</v>
      </c>
      <c r="B526" t="s">
        <v>339</v>
      </c>
      <c r="C526" t="s">
        <v>2817</v>
      </c>
      <c r="D526" t="s">
        <v>2887</v>
      </c>
      <c r="E526">
        <v>0</v>
      </c>
      <c r="F526">
        <v>0</v>
      </c>
      <c r="G526">
        <v>0</v>
      </c>
      <c r="H526">
        <f t="shared" si="16"/>
        <v>0</v>
      </c>
      <c r="I526">
        <v>2</v>
      </c>
      <c r="J526">
        <v>1</v>
      </c>
      <c r="K526">
        <v>0</v>
      </c>
      <c r="L526">
        <f t="shared" si="17"/>
        <v>3</v>
      </c>
    </row>
    <row r="527" spans="1:12">
      <c r="A527" t="s">
        <v>3147</v>
      </c>
      <c r="B527" t="s">
        <v>339</v>
      </c>
      <c r="C527" t="s">
        <v>2820</v>
      </c>
      <c r="D527" t="s">
        <v>2952</v>
      </c>
      <c r="E527">
        <v>0</v>
      </c>
      <c r="F527">
        <v>0</v>
      </c>
      <c r="G527">
        <v>0</v>
      </c>
      <c r="H527">
        <f t="shared" si="16"/>
        <v>0</v>
      </c>
      <c r="I527">
        <v>1</v>
      </c>
      <c r="J527">
        <v>0</v>
      </c>
      <c r="K527">
        <v>0</v>
      </c>
      <c r="L527">
        <f t="shared" si="17"/>
        <v>1</v>
      </c>
    </row>
    <row r="528" spans="1:12">
      <c r="A528" t="s">
        <v>3147</v>
      </c>
      <c r="B528" t="s">
        <v>339</v>
      </c>
      <c r="C528" t="s">
        <v>2820</v>
      </c>
      <c r="D528" t="s">
        <v>2949</v>
      </c>
      <c r="E528">
        <v>0</v>
      </c>
      <c r="F528">
        <v>0</v>
      </c>
      <c r="G528">
        <v>0</v>
      </c>
      <c r="H528">
        <f t="shared" si="16"/>
        <v>0</v>
      </c>
      <c r="I528">
        <v>0</v>
      </c>
      <c r="J528">
        <v>1</v>
      </c>
      <c r="K528">
        <v>0</v>
      </c>
      <c r="L528">
        <f t="shared" si="17"/>
        <v>1</v>
      </c>
    </row>
    <row r="529" spans="1:12">
      <c r="A529" t="s">
        <v>3148</v>
      </c>
      <c r="B529" t="s">
        <v>900</v>
      </c>
      <c r="C529" t="s">
        <v>2805</v>
      </c>
      <c r="D529" t="s">
        <v>2806</v>
      </c>
      <c r="E529">
        <v>4</v>
      </c>
      <c r="F529">
        <v>0</v>
      </c>
      <c r="G529">
        <v>0</v>
      </c>
      <c r="H529">
        <f t="shared" si="16"/>
        <v>4</v>
      </c>
      <c r="I529">
        <v>4</v>
      </c>
      <c r="J529">
        <v>0</v>
      </c>
      <c r="K529">
        <v>0</v>
      </c>
      <c r="L529">
        <f t="shared" si="17"/>
        <v>4</v>
      </c>
    </row>
    <row r="530" spans="1:12">
      <c r="A530" t="s">
        <v>3148</v>
      </c>
      <c r="B530" t="s">
        <v>900</v>
      </c>
      <c r="C530" t="s">
        <v>2805</v>
      </c>
      <c r="D530" t="s">
        <v>449</v>
      </c>
      <c r="E530">
        <v>40</v>
      </c>
      <c r="F530">
        <v>0</v>
      </c>
      <c r="G530">
        <v>0</v>
      </c>
      <c r="H530">
        <f t="shared" si="16"/>
        <v>40</v>
      </c>
      <c r="I530">
        <v>5</v>
      </c>
      <c r="J530">
        <v>0</v>
      </c>
      <c r="K530">
        <v>0</v>
      </c>
      <c r="L530">
        <f t="shared" si="17"/>
        <v>5</v>
      </c>
    </row>
    <row r="531" spans="1:12">
      <c r="A531" t="s">
        <v>3148</v>
      </c>
      <c r="B531" t="s">
        <v>900</v>
      </c>
      <c r="C531" t="s">
        <v>2805</v>
      </c>
      <c r="D531" t="s">
        <v>2807</v>
      </c>
      <c r="E531">
        <v>3</v>
      </c>
      <c r="F531">
        <v>0</v>
      </c>
      <c r="G531">
        <v>0</v>
      </c>
      <c r="H531">
        <f t="shared" si="16"/>
        <v>3</v>
      </c>
      <c r="I531">
        <v>0</v>
      </c>
      <c r="J531">
        <v>0</v>
      </c>
      <c r="K531">
        <v>0</v>
      </c>
      <c r="L531">
        <f t="shared" si="17"/>
        <v>0</v>
      </c>
    </row>
    <row r="532" spans="1:12">
      <c r="A532" t="s">
        <v>3148</v>
      </c>
      <c r="B532" t="s">
        <v>900</v>
      </c>
      <c r="C532" t="s">
        <v>2810</v>
      </c>
      <c r="D532" t="s">
        <v>2811</v>
      </c>
      <c r="E532">
        <v>26</v>
      </c>
      <c r="F532">
        <v>0</v>
      </c>
      <c r="G532">
        <v>0</v>
      </c>
      <c r="H532">
        <f t="shared" si="16"/>
        <v>26</v>
      </c>
      <c r="I532">
        <v>0</v>
      </c>
      <c r="J532">
        <v>0</v>
      </c>
      <c r="K532">
        <v>0</v>
      </c>
      <c r="L532">
        <f t="shared" si="17"/>
        <v>0</v>
      </c>
    </row>
    <row r="533" spans="1:12">
      <c r="A533" t="s">
        <v>3148</v>
      </c>
      <c r="B533" t="s">
        <v>900</v>
      </c>
      <c r="C533" t="s">
        <v>2810</v>
      </c>
      <c r="D533" t="s">
        <v>2812</v>
      </c>
      <c r="E533">
        <v>48</v>
      </c>
      <c r="F533">
        <v>0</v>
      </c>
      <c r="G533">
        <v>0</v>
      </c>
      <c r="H533">
        <f t="shared" si="16"/>
        <v>48</v>
      </c>
      <c r="I533">
        <v>0</v>
      </c>
      <c r="J533">
        <v>0</v>
      </c>
      <c r="K533">
        <v>0</v>
      </c>
      <c r="L533">
        <f t="shared" si="17"/>
        <v>0</v>
      </c>
    </row>
    <row r="534" spans="1:12">
      <c r="A534" t="s">
        <v>3148</v>
      </c>
      <c r="B534" t="s">
        <v>900</v>
      </c>
      <c r="C534" t="s">
        <v>2810</v>
      </c>
      <c r="D534" t="s">
        <v>2813</v>
      </c>
      <c r="E534">
        <v>18</v>
      </c>
      <c r="F534">
        <v>0</v>
      </c>
      <c r="G534">
        <v>0</v>
      </c>
      <c r="H534">
        <f t="shared" si="16"/>
        <v>18</v>
      </c>
      <c r="I534">
        <v>2</v>
      </c>
      <c r="J534">
        <v>0</v>
      </c>
      <c r="K534">
        <v>0</v>
      </c>
      <c r="L534">
        <f t="shared" si="17"/>
        <v>2</v>
      </c>
    </row>
    <row r="535" spans="1:12">
      <c r="A535" t="s">
        <v>3148</v>
      </c>
      <c r="B535" t="s">
        <v>900</v>
      </c>
      <c r="C535" t="s">
        <v>2816</v>
      </c>
      <c r="D535" t="s">
        <v>1897</v>
      </c>
      <c r="E535">
        <v>2</v>
      </c>
      <c r="F535">
        <v>0</v>
      </c>
      <c r="G535">
        <v>0</v>
      </c>
      <c r="H535">
        <f t="shared" si="16"/>
        <v>2</v>
      </c>
      <c r="I535">
        <v>5</v>
      </c>
      <c r="J535">
        <v>0</v>
      </c>
      <c r="K535">
        <v>0</v>
      </c>
      <c r="L535">
        <f t="shared" si="17"/>
        <v>5</v>
      </c>
    </row>
    <row r="536" spans="1:12">
      <c r="A536" t="s">
        <v>3148</v>
      </c>
      <c r="B536" t="s">
        <v>900</v>
      </c>
      <c r="C536" t="s">
        <v>2826</v>
      </c>
      <c r="D536" t="s">
        <v>2843</v>
      </c>
      <c r="E536">
        <v>0</v>
      </c>
      <c r="F536">
        <v>0</v>
      </c>
      <c r="G536">
        <v>0</v>
      </c>
      <c r="H536">
        <f t="shared" si="16"/>
        <v>0</v>
      </c>
      <c r="I536">
        <v>1</v>
      </c>
      <c r="J536">
        <v>0</v>
      </c>
      <c r="K536">
        <v>0</v>
      </c>
      <c r="L536">
        <f t="shared" si="17"/>
        <v>1</v>
      </c>
    </row>
    <row r="537" spans="1:12">
      <c r="A537" t="s">
        <v>3148</v>
      </c>
      <c r="B537" t="s">
        <v>900</v>
      </c>
      <c r="C537" t="s">
        <v>2826</v>
      </c>
      <c r="D537" t="s">
        <v>2849</v>
      </c>
      <c r="E537">
        <v>3</v>
      </c>
      <c r="F537">
        <v>0</v>
      </c>
      <c r="G537">
        <v>0</v>
      </c>
      <c r="H537">
        <f t="shared" si="16"/>
        <v>3</v>
      </c>
      <c r="I537">
        <v>0</v>
      </c>
      <c r="J537">
        <v>0</v>
      </c>
      <c r="K537">
        <v>0</v>
      </c>
      <c r="L537">
        <f t="shared" si="17"/>
        <v>0</v>
      </c>
    </row>
    <row r="538" spans="1:12">
      <c r="A538" t="s">
        <v>3148</v>
      </c>
      <c r="B538" t="s">
        <v>900</v>
      </c>
      <c r="C538" t="s">
        <v>2817</v>
      </c>
      <c r="D538" t="s">
        <v>2887</v>
      </c>
      <c r="E538">
        <v>0</v>
      </c>
      <c r="F538">
        <v>0</v>
      </c>
      <c r="G538">
        <v>0</v>
      </c>
      <c r="H538">
        <f t="shared" si="16"/>
        <v>0</v>
      </c>
      <c r="I538">
        <v>1</v>
      </c>
      <c r="J538">
        <v>0</v>
      </c>
      <c r="K538">
        <v>0</v>
      </c>
      <c r="L538">
        <f t="shared" si="17"/>
        <v>1</v>
      </c>
    </row>
    <row r="539" spans="1:12">
      <c r="A539" t="s">
        <v>3148</v>
      </c>
      <c r="B539" t="s">
        <v>900</v>
      </c>
      <c r="C539" t="s">
        <v>2820</v>
      </c>
      <c r="D539" t="s">
        <v>2821</v>
      </c>
      <c r="E539">
        <v>0</v>
      </c>
      <c r="F539">
        <v>0</v>
      </c>
      <c r="G539">
        <v>0</v>
      </c>
      <c r="H539">
        <f t="shared" si="16"/>
        <v>0</v>
      </c>
      <c r="I539">
        <v>4</v>
      </c>
      <c r="J539">
        <v>0</v>
      </c>
      <c r="K539">
        <v>0</v>
      </c>
      <c r="L539">
        <f t="shared" si="17"/>
        <v>4</v>
      </c>
    </row>
    <row r="540" spans="1:12">
      <c r="A540" t="s">
        <v>3149</v>
      </c>
      <c r="B540" t="s">
        <v>901</v>
      </c>
      <c r="C540" t="s">
        <v>2805</v>
      </c>
      <c r="D540" t="s">
        <v>2806</v>
      </c>
      <c r="E540">
        <v>9</v>
      </c>
      <c r="F540">
        <v>0</v>
      </c>
      <c r="G540">
        <v>0</v>
      </c>
      <c r="H540">
        <f t="shared" si="16"/>
        <v>9</v>
      </c>
      <c r="I540">
        <v>4</v>
      </c>
      <c r="J540">
        <v>0</v>
      </c>
      <c r="K540">
        <v>0</v>
      </c>
      <c r="L540">
        <f t="shared" si="17"/>
        <v>4</v>
      </c>
    </row>
    <row r="541" spans="1:12">
      <c r="A541" t="s">
        <v>3149</v>
      </c>
      <c r="B541" t="s">
        <v>901</v>
      </c>
      <c r="C541" t="s">
        <v>2805</v>
      </c>
      <c r="D541" t="s">
        <v>449</v>
      </c>
      <c r="E541">
        <v>49</v>
      </c>
      <c r="F541">
        <v>0</v>
      </c>
      <c r="G541">
        <v>0</v>
      </c>
      <c r="H541">
        <f t="shared" si="16"/>
        <v>49</v>
      </c>
      <c r="I541">
        <v>26</v>
      </c>
      <c r="J541">
        <v>0</v>
      </c>
      <c r="K541">
        <v>0</v>
      </c>
      <c r="L541">
        <f t="shared" si="17"/>
        <v>26</v>
      </c>
    </row>
    <row r="542" spans="1:12">
      <c r="A542" t="s">
        <v>3149</v>
      </c>
      <c r="B542" t="s">
        <v>901</v>
      </c>
      <c r="C542" t="s">
        <v>2805</v>
      </c>
      <c r="D542" t="s">
        <v>2807</v>
      </c>
      <c r="E542">
        <v>5</v>
      </c>
      <c r="F542">
        <v>0</v>
      </c>
      <c r="G542">
        <v>0</v>
      </c>
      <c r="H542">
        <f t="shared" si="16"/>
        <v>5</v>
      </c>
      <c r="I542">
        <v>2</v>
      </c>
      <c r="J542">
        <v>0</v>
      </c>
      <c r="K542">
        <v>0</v>
      </c>
      <c r="L542">
        <f t="shared" si="17"/>
        <v>2</v>
      </c>
    </row>
    <row r="543" spans="1:12">
      <c r="A543" t="s">
        <v>3149</v>
      </c>
      <c r="B543" t="s">
        <v>901</v>
      </c>
      <c r="C543" t="s">
        <v>2805</v>
      </c>
      <c r="D543" t="s">
        <v>442</v>
      </c>
      <c r="E543">
        <v>0</v>
      </c>
      <c r="F543">
        <v>0</v>
      </c>
      <c r="G543">
        <v>0</v>
      </c>
      <c r="H543">
        <f t="shared" si="16"/>
        <v>0</v>
      </c>
      <c r="I543">
        <v>1</v>
      </c>
      <c r="J543">
        <v>0</v>
      </c>
      <c r="K543">
        <v>0</v>
      </c>
      <c r="L543">
        <f t="shared" si="17"/>
        <v>1</v>
      </c>
    </row>
    <row r="544" spans="1:12">
      <c r="A544" t="s">
        <v>3149</v>
      </c>
      <c r="B544" t="s">
        <v>901</v>
      </c>
      <c r="C544" t="s">
        <v>2810</v>
      </c>
      <c r="D544" t="s">
        <v>2811</v>
      </c>
      <c r="E544">
        <v>46</v>
      </c>
      <c r="F544">
        <v>0</v>
      </c>
      <c r="G544">
        <v>0</v>
      </c>
      <c r="H544">
        <f t="shared" si="16"/>
        <v>46</v>
      </c>
      <c r="I544">
        <v>15</v>
      </c>
      <c r="J544">
        <v>0</v>
      </c>
      <c r="K544">
        <v>0</v>
      </c>
      <c r="L544">
        <f t="shared" si="17"/>
        <v>15</v>
      </c>
    </row>
    <row r="545" spans="1:12">
      <c r="A545" t="s">
        <v>3149</v>
      </c>
      <c r="B545" t="s">
        <v>901</v>
      </c>
      <c r="C545" t="s">
        <v>2810</v>
      </c>
      <c r="D545" t="s">
        <v>1892</v>
      </c>
      <c r="E545">
        <v>0</v>
      </c>
      <c r="F545">
        <v>0</v>
      </c>
      <c r="G545">
        <v>0</v>
      </c>
      <c r="H545">
        <f t="shared" si="16"/>
        <v>0</v>
      </c>
      <c r="I545">
        <v>6</v>
      </c>
      <c r="J545">
        <v>0</v>
      </c>
      <c r="K545">
        <v>0</v>
      </c>
      <c r="L545">
        <f t="shared" si="17"/>
        <v>6</v>
      </c>
    </row>
    <row r="546" spans="1:12">
      <c r="A546" t="s">
        <v>3149</v>
      </c>
      <c r="B546" t="s">
        <v>901</v>
      </c>
      <c r="C546" t="s">
        <v>2810</v>
      </c>
      <c r="D546" t="s">
        <v>2812</v>
      </c>
      <c r="E546">
        <v>34</v>
      </c>
      <c r="F546">
        <v>5</v>
      </c>
      <c r="G546">
        <v>0</v>
      </c>
      <c r="H546">
        <f t="shared" si="16"/>
        <v>39</v>
      </c>
      <c r="I546">
        <v>10</v>
      </c>
      <c r="J546">
        <v>0</v>
      </c>
      <c r="K546">
        <v>0</v>
      </c>
      <c r="L546">
        <f t="shared" si="17"/>
        <v>10</v>
      </c>
    </row>
    <row r="547" spans="1:12">
      <c r="A547" t="s">
        <v>3149</v>
      </c>
      <c r="B547" t="s">
        <v>901</v>
      </c>
      <c r="C547" t="s">
        <v>2810</v>
      </c>
      <c r="D547" t="s">
        <v>2813</v>
      </c>
      <c r="E547">
        <v>13</v>
      </c>
      <c r="F547">
        <v>0</v>
      </c>
      <c r="G547">
        <v>0</v>
      </c>
      <c r="H547">
        <f t="shared" si="16"/>
        <v>13</v>
      </c>
      <c r="I547">
        <v>2</v>
      </c>
      <c r="J547">
        <v>0</v>
      </c>
      <c r="K547">
        <v>0</v>
      </c>
      <c r="L547">
        <f t="shared" si="17"/>
        <v>2</v>
      </c>
    </row>
    <row r="548" spans="1:12">
      <c r="A548" t="s">
        <v>3149</v>
      </c>
      <c r="B548" t="s">
        <v>901</v>
      </c>
      <c r="C548" t="s">
        <v>2810</v>
      </c>
      <c r="D548" t="s">
        <v>2815</v>
      </c>
      <c r="E548">
        <v>0</v>
      </c>
      <c r="F548">
        <v>0</v>
      </c>
      <c r="G548">
        <v>0</v>
      </c>
      <c r="H548">
        <f t="shared" si="16"/>
        <v>0</v>
      </c>
      <c r="I548">
        <v>5</v>
      </c>
      <c r="J548">
        <v>0</v>
      </c>
      <c r="K548">
        <v>0</v>
      </c>
      <c r="L548">
        <f t="shared" si="17"/>
        <v>5</v>
      </c>
    </row>
    <row r="549" spans="1:12">
      <c r="A549" t="s">
        <v>3149</v>
      </c>
      <c r="B549" t="s">
        <v>901</v>
      </c>
      <c r="C549" t="s">
        <v>2816</v>
      </c>
      <c r="D549" t="s">
        <v>1897</v>
      </c>
      <c r="E549">
        <v>5</v>
      </c>
      <c r="F549">
        <v>0</v>
      </c>
      <c r="G549">
        <v>0</v>
      </c>
      <c r="H549">
        <f t="shared" si="16"/>
        <v>5</v>
      </c>
      <c r="I549">
        <v>0</v>
      </c>
      <c r="J549">
        <v>0</v>
      </c>
      <c r="K549">
        <v>0</v>
      </c>
      <c r="L549">
        <f t="shared" si="17"/>
        <v>0</v>
      </c>
    </row>
    <row r="550" spans="1:12">
      <c r="A550" t="s">
        <v>3152</v>
      </c>
      <c r="B550" t="s">
        <v>906</v>
      </c>
      <c r="C550" t="s">
        <v>2805</v>
      </c>
      <c r="D550" t="s">
        <v>449</v>
      </c>
      <c r="E550">
        <v>10</v>
      </c>
      <c r="F550">
        <v>0</v>
      </c>
      <c r="G550">
        <v>0</v>
      </c>
      <c r="H550">
        <f t="shared" si="16"/>
        <v>10</v>
      </c>
      <c r="I550">
        <v>0</v>
      </c>
      <c r="J550">
        <v>0</v>
      </c>
      <c r="K550">
        <v>0</v>
      </c>
      <c r="L550">
        <f t="shared" si="17"/>
        <v>0</v>
      </c>
    </row>
    <row r="551" spans="1:12">
      <c r="A551" t="s">
        <v>3152</v>
      </c>
      <c r="B551" t="s">
        <v>906</v>
      </c>
      <c r="C551" t="s">
        <v>2810</v>
      </c>
      <c r="D551" t="s">
        <v>2812</v>
      </c>
      <c r="E551">
        <v>4</v>
      </c>
      <c r="F551">
        <v>0</v>
      </c>
      <c r="G551">
        <v>0</v>
      </c>
      <c r="H551">
        <f t="shared" si="16"/>
        <v>4</v>
      </c>
      <c r="I551">
        <v>0</v>
      </c>
      <c r="J551">
        <v>0</v>
      </c>
      <c r="K551">
        <v>0</v>
      </c>
      <c r="L551">
        <f t="shared" si="17"/>
        <v>0</v>
      </c>
    </row>
    <row r="552" spans="1:12">
      <c r="A552" t="s">
        <v>3152</v>
      </c>
      <c r="B552" t="s">
        <v>906</v>
      </c>
      <c r="C552" t="s">
        <v>2820</v>
      </c>
      <c r="D552" t="s">
        <v>2952</v>
      </c>
      <c r="E552">
        <v>1</v>
      </c>
      <c r="F552">
        <v>0</v>
      </c>
      <c r="G552">
        <v>0</v>
      </c>
      <c r="H552">
        <f t="shared" si="16"/>
        <v>1</v>
      </c>
      <c r="I552">
        <v>0</v>
      </c>
      <c r="J552">
        <v>0</v>
      </c>
      <c r="K552">
        <v>0</v>
      </c>
      <c r="L552">
        <f t="shared" si="17"/>
        <v>0</v>
      </c>
    </row>
    <row r="553" spans="1:12">
      <c r="A553" t="s">
        <v>3157</v>
      </c>
      <c r="B553" t="s">
        <v>912</v>
      </c>
      <c r="C553" t="s">
        <v>2805</v>
      </c>
      <c r="D553" t="s">
        <v>2806</v>
      </c>
      <c r="E553">
        <v>4</v>
      </c>
      <c r="F553">
        <v>0</v>
      </c>
      <c r="G553">
        <v>0</v>
      </c>
      <c r="H553">
        <f t="shared" si="16"/>
        <v>4</v>
      </c>
      <c r="I553">
        <v>0</v>
      </c>
      <c r="J553">
        <v>0</v>
      </c>
      <c r="K553">
        <v>0</v>
      </c>
      <c r="L553">
        <f t="shared" si="17"/>
        <v>0</v>
      </c>
    </row>
    <row r="554" spans="1:12">
      <c r="A554" t="s">
        <v>3157</v>
      </c>
      <c r="B554" t="s">
        <v>912</v>
      </c>
      <c r="C554" t="s">
        <v>2826</v>
      </c>
      <c r="D554" t="s">
        <v>2843</v>
      </c>
      <c r="E554">
        <v>0</v>
      </c>
      <c r="F554">
        <v>0</v>
      </c>
      <c r="G554">
        <v>0</v>
      </c>
      <c r="H554">
        <f t="shared" si="16"/>
        <v>0</v>
      </c>
      <c r="I554">
        <v>1</v>
      </c>
      <c r="J554">
        <v>0</v>
      </c>
      <c r="K554">
        <v>0</v>
      </c>
      <c r="L554">
        <f t="shared" si="17"/>
        <v>1</v>
      </c>
    </row>
    <row r="555" spans="1:12">
      <c r="A555" t="s">
        <v>3157</v>
      </c>
      <c r="B555" t="s">
        <v>912</v>
      </c>
      <c r="C555" t="s">
        <v>2826</v>
      </c>
      <c r="D555" t="s">
        <v>2834</v>
      </c>
      <c r="E555">
        <v>0</v>
      </c>
      <c r="F555">
        <v>0</v>
      </c>
      <c r="G555">
        <v>0</v>
      </c>
      <c r="H555">
        <f t="shared" si="16"/>
        <v>0</v>
      </c>
      <c r="I555">
        <v>2</v>
      </c>
      <c r="J555">
        <v>0</v>
      </c>
      <c r="K555">
        <v>0</v>
      </c>
      <c r="L555">
        <f t="shared" si="17"/>
        <v>2</v>
      </c>
    </row>
    <row r="556" spans="1:12">
      <c r="A556" t="s">
        <v>3157</v>
      </c>
      <c r="B556" t="s">
        <v>912</v>
      </c>
      <c r="C556" t="s">
        <v>2817</v>
      </c>
      <c r="D556" t="s">
        <v>2819</v>
      </c>
      <c r="E556">
        <v>2</v>
      </c>
      <c r="F556">
        <v>0</v>
      </c>
      <c r="G556">
        <v>0</v>
      </c>
      <c r="H556">
        <f t="shared" si="16"/>
        <v>2</v>
      </c>
      <c r="I556">
        <v>0</v>
      </c>
      <c r="J556">
        <v>0</v>
      </c>
      <c r="K556">
        <v>0</v>
      </c>
      <c r="L556">
        <f t="shared" si="17"/>
        <v>0</v>
      </c>
    </row>
    <row r="557" spans="1:12">
      <c r="A557" t="s">
        <v>3160</v>
      </c>
      <c r="B557" t="s">
        <v>916</v>
      </c>
      <c r="C557" t="s">
        <v>2805</v>
      </c>
      <c r="D557" t="s">
        <v>2806</v>
      </c>
      <c r="E557">
        <v>5</v>
      </c>
      <c r="F557">
        <v>0</v>
      </c>
      <c r="G557">
        <v>0</v>
      </c>
      <c r="H557">
        <f t="shared" si="16"/>
        <v>5</v>
      </c>
      <c r="I557">
        <v>0</v>
      </c>
      <c r="J557">
        <v>0</v>
      </c>
      <c r="K557">
        <v>0</v>
      </c>
      <c r="L557">
        <f t="shared" si="17"/>
        <v>0</v>
      </c>
    </row>
    <row r="558" spans="1:12">
      <c r="A558" t="s">
        <v>3160</v>
      </c>
      <c r="B558" t="s">
        <v>916</v>
      </c>
      <c r="C558" t="s">
        <v>2805</v>
      </c>
      <c r="D558" t="s">
        <v>449</v>
      </c>
      <c r="E558">
        <v>18</v>
      </c>
      <c r="F558">
        <v>0</v>
      </c>
      <c r="G558">
        <v>0</v>
      </c>
      <c r="H558">
        <f t="shared" si="16"/>
        <v>18</v>
      </c>
      <c r="I558">
        <v>0</v>
      </c>
      <c r="J558">
        <v>0</v>
      </c>
      <c r="K558">
        <v>0</v>
      </c>
      <c r="L558">
        <f t="shared" si="17"/>
        <v>0</v>
      </c>
    </row>
    <row r="559" spans="1:12">
      <c r="A559" t="s">
        <v>3160</v>
      </c>
      <c r="B559" t="s">
        <v>916</v>
      </c>
      <c r="C559" t="s">
        <v>2805</v>
      </c>
      <c r="D559" t="s">
        <v>2809</v>
      </c>
      <c r="E559">
        <v>3</v>
      </c>
      <c r="F559">
        <v>0</v>
      </c>
      <c r="G559">
        <v>0</v>
      </c>
      <c r="H559">
        <f t="shared" si="16"/>
        <v>3</v>
      </c>
      <c r="I559">
        <v>0</v>
      </c>
      <c r="J559">
        <v>0</v>
      </c>
      <c r="K559">
        <v>0</v>
      </c>
      <c r="L559">
        <f t="shared" si="17"/>
        <v>0</v>
      </c>
    </row>
    <row r="560" spans="1:12">
      <c r="A560" t="s">
        <v>3160</v>
      </c>
      <c r="B560" t="s">
        <v>916</v>
      </c>
      <c r="C560" t="s">
        <v>2810</v>
      </c>
      <c r="D560" t="s">
        <v>2812</v>
      </c>
      <c r="E560">
        <v>3</v>
      </c>
      <c r="F560">
        <v>0</v>
      </c>
      <c r="G560">
        <v>0</v>
      </c>
      <c r="H560">
        <f t="shared" si="16"/>
        <v>3</v>
      </c>
      <c r="I560">
        <v>0</v>
      </c>
      <c r="J560">
        <v>0</v>
      </c>
      <c r="K560">
        <v>0</v>
      </c>
      <c r="L560">
        <f t="shared" si="17"/>
        <v>0</v>
      </c>
    </row>
    <row r="561" spans="1:12">
      <c r="A561" t="s">
        <v>3160</v>
      </c>
      <c r="B561" t="s">
        <v>916</v>
      </c>
      <c r="C561" t="s">
        <v>2810</v>
      </c>
      <c r="D561" t="s">
        <v>2813</v>
      </c>
      <c r="E561">
        <v>4</v>
      </c>
      <c r="F561">
        <v>0</v>
      </c>
      <c r="G561">
        <v>0</v>
      </c>
      <c r="H561">
        <f t="shared" si="16"/>
        <v>4</v>
      </c>
      <c r="I561">
        <v>0</v>
      </c>
      <c r="J561">
        <v>0</v>
      </c>
      <c r="K561">
        <v>0</v>
      </c>
      <c r="L561">
        <f t="shared" si="17"/>
        <v>0</v>
      </c>
    </row>
    <row r="562" spans="1:12">
      <c r="A562" t="s">
        <v>3160</v>
      </c>
      <c r="B562" t="s">
        <v>916</v>
      </c>
      <c r="C562" t="s">
        <v>2810</v>
      </c>
      <c r="D562" t="s">
        <v>2814</v>
      </c>
      <c r="E562">
        <v>3</v>
      </c>
      <c r="F562">
        <v>0</v>
      </c>
      <c r="G562">
        <v>0</v>
      </c>
      <c r="H562">
        <f t="shared" si="16"/>
        <v>3</v>
      </c>
      <c r="I562">
        <v>0</v>
      </c>
      <c r="J562">
        <v>0</v>
      </c>
      <c r="K562">
        <v>0</v>
      </c>
      <c r="L562">
        <f t="shared" si="17"/>
        <v>0</v>
      </c>
    </row>
    <row r="563" spans="1:12">
      <c r="A563" t="s">
        <v>3160</v>
      </c>
      <c r="B563" t="s">
        <v>916</v>
      </c>
      <c r="C563" t="s">
        <v>2810</v>
      </c>
      <c r="D563" t="s">
        <v>2847</v>
      </c>
      <c r="E563">
        <v>126</v>
      </c>
      <c r="F563">
        <v>0</v>
      </c>
      <c r="G563">
        <v>0</v>
      </c>
      <c r="H563">
        <f t="shared" si="16"/>
        <v>126</v>
      </c>
      <c r="I563">
        <v>0</v>
      </c>
      <c r="J563">
        <v>0</v>
      </c>
      <c r="K563">
        <v>0</v>
      </c>
      <c r="L563">
        <f t="shared" si="17"/>
        <v>0</v>
      </c>
    </row>
    <row r="564" spans="1:12">
      <c r="A564" t="s">
        <v>3160</v>
      </c>
      <c r="B564" t="s">
        <v>916</v>
      </c>
      <c r="C564" t="s">
        <v>2810</v>
      </c>
      <c r="D564" t="s">
        <v>2815</v>
      </c>
      <c r="E564">
        <v>2</v>
      </c>
      <c r="F564">
        <v>0</v>
      </c>
      <c r="G564">
        <v>0</v>
      </c>
      <c r="H564">
        <f t="shared" si="16"/>
        <v>2</v>
      </c>
      <c r="I564">
        <v>0</v>
      </c>
      <c r="J564">
        <v>0</v>
      </c>
      <c r="K564">
        <v>0</v>
      </c>
      <c r="L564">
        <f t="shared" si="17"/>
        <v>0</v>
      </c>
    </row>
    <row r="565" spans="1:12">
      <c r="A565" t="s">
        <v>3161</v>
      </c>
      <c r="B565" t="s">
        <v>920</v>
      </c>
      <c r="C565" t="s">
        <v>2805</v>
      </c>
      <c r="D565" t="s">
        <v>2806</v>
      </c>
      <c r="E565">
        <v>17</v>
      </c>
      <c r="F565">
        <v>0</v>
      </c>
      <c r="G565">
        <v>0</v>
      </c>
      <c r="H565">
        <f t="shared" si="16"/>
        <v>17</v>
      </c>
      <c r="I565">
        <v>9</v>
      </c>
      <c r="J565">
        <v>0</v>
      </c>
      <c r="K565">
        <v>0</v>
      </c>
      <c r="L565">
        <f t="shared" si="17"/>
        <v>9</v>
      </c>
    </row>
    <row r="566" spans="1:12">
      <c r="A566" t="s">
        <v>3161</v>
      </c>
      <c r="B566" t="s">
        <v>920</v>
      </c>
      <c r="C566" t="s">
        <v>2805</v>
      </c>
      <c r="D566" t="s">
        <v>449</v>
      </c>
      <c r="E566">
        <v>92</v>
      </c>
      <c r="F566">
        <v>0</v>
      </c>
      <c r="G566">
        <v>0</v>
      </c>
      <c r="H566">
        <f t="shared" si="16"/>
        <v>92</v>
      </c>
      <c r="I566">
        <v>88</v>
      </c>
      <c r="J566">
        <v>11</v>
      </c>
      <c r="K566">
        <v>0</v>
      </c>
      <c r="L566">
        <f t="shared" si="17"/>
        <v>99</v>
      </c>
    </row>
    <row r="567" spans="1:12">
      <c r="A567" t="s">
        <v>3161</v>
      </c>
      <c r="B567" t="s">
        <v>920</v>
      </c>
      <c r="C567" t="s">
        <v>2805</v>
      </c>
      <c r="D567" t="s">
        <v>2807</v>
      </c>
      <c r="E567">
        <v>2</v>
      </c>
      <c r="F567">
        <v>0</v>
      </c>
      <c r="G567">
        <v>0</v>
      </c>
      <c r="H567">
        <f t="shared" si="16"/>
        <v>2</v>
      </c>
      <c r="I567">
        <v>1</v>
      </c>
      <c r="J567">
        <v>0</v>
      </c>
      <c r="K567">
        <v>0</v>
      </c>
      <c r="L567">
        <f t="shared" si="17"/>
        <v>1</v>
      </c>
    </row>
    <row r="568" spans="1:12">
      <c r="A568" t="s">
        <v>3161</v>
      </c>
      <c r="B568" t="s">
        <v>920</v>
      </c>
      <c r="C568" t="s">
        <v>2805</v>
      </c>
      <c r="D568" t="s">
        <v>2809</v>
      </c>
      <c r="E568">
        <v>1</v>
      </c>
      <c r="F568">
        <v>0</v>
      </c>
      <c r="G568">
        <v>0</v>
      </c>
      <c r="H568">
        <f t="shared" si="16"/>
        <v>1</v>
      </c>
      <c r="I568">
        <v>0</v>
      </c>
      <c r="J568">
        <v>0</v>
      </c>
      <c r="K568">
        <v>0</v>
      </c>
      <c r="L568">
        <f t="shared" si="17"/>
        <v>0</v>
      </c>
    </row>
    <row r="569" spans="1:12">
      <c r="A569" t="s">
        <v>3161</v>
      </c>
      <c r="B569" t="s">
        <v>920</v>
      </c>
      <c r="C569" t="s">
        <v>2805</v>
      </c>
      <c r="D569" t="s">
        <v>442</v>
      </c>
      <c r="E569">
        <v>0</v>
      </c>
      <c r="F569">
        <v>0</v>
      </c>
      <c r="G569">
        <v>0</v>
      </c>
      <c r="H569">
        <f t="shared" si="16"/>
        <v>0</v>
      </c>
      <c r="I569">
        <v>5</v>
      </c>
      <c r="J569">
        <v>1</v>
      </c>
      <c r="K569">
        <v>0</v>
      </c>
      <c r="L569">
        <f t="shared" si="17"/>
        <v>6</v>
      </c>
    </row>
    <row r="570" spans="1:12">
      <c r="A570" t="s">
        <v>3161</v>
      </c>
      <c r="B570" t="s">
        <v>920</v>
      </c>
      <c r="C570" t="s">
        <v>2810</v>
      </c>
      <c r="D570" t="s">
        <v>2811</v>
      </c>
      <c r="E570">
        <v>21</v>
      </c>
      <c r="F570">
        <v>1</v>
      </c>
      <c r="G570">
        <v>0</v>
      </c>
      <c r="H570">
        <f t="shared" si="16"/>
        <v>22</v>
      </c>
      <c r="I570">
        <v>13</v>
      </c>
      <c r="J570">
        <v>0</v>
      </c>
      <c r="K570">
        <v>0</v>
      </c>
      <c r="L570">
        <f t="shared" si="17"/>
        <v>13</v>
      </c>
    </row>
    <row r="571" spans="1:12">
      <c r="A571" t="s">
        <v>3161</v>
      </c>
      <c r="B571" t="s">
        <v>920</v>
      </c>
      <c r="C571" t="s">
        <v>2810</v>
      </c>
      <c r="D571" t="s">
        <v>1892</v>
      </c>
      <c r="E571">
        <v>2</v>
      </c>
      <c r="F571">
        <v>0</v>
      </c>
      <c r="G571">
        <v>0</v>
      </c>
      <c r="H571">
        <f t="shared" si="16"/>
        <v>2</v>
      </c>
      <c r="I571">
        <v>27</v>
      </c>
      <c r="J571">
        <v>4</v>
      </c>
      <c r="K571">
        <v>0</v>
      </c>
      <c r="L571">
        <f t="shared" si="17"/>
        <v>31</v>
      </c>
    </row>
    <row r="572" spans="1:12">
      <c r="A572" t="s">
        <v>3161</v>
      </c>
      <c r="B572" t="s">
        <v>920</v>
      </c>
      <c r="C572" t="s">
        <v>2810</v>
      </c>
      <c r="D572" t="s">
        <v>2823</v>
      </c>
      <c r="E572">
        <v>4</v>
      </c>
      <c r="F572">
        <v>26</v>
      </c>
      <c r="G572">
        <v>0</v>
      </c>
      <c r="H572">
        <f t="shared" si="16"/>
        <v>30</v>
      </c>
      <c r="I572">
        <v>8</v>
      </c>
      <c r="J572">
        <v>4</v>
      </c>
      <c r="K572">
        <v>0</v>
      </c>
      <c r="L572">
        <f t="shared" si="17"/>
        <v>12</v>
      </c>
    </row>
    <row r="573" spans="1:12">
      <c r="A573" t="s">
        <v>3161</v>
      </c>
      <c r="B573" t="s">
        <v>920</v>
      </c>
      <c r="C573" t="s">
        <v>2810</v>
      </c>
      <c r="D573" t="s">
        <v>2812</v>
      </c>
      <c r="E573">
        <v>22</v>
      </c>
      <c r="F573">
        <v>0</v>
      </c>
      <c r="G573">
        <v>0</v>
      </c>
      <c r="H573">
        <f t="shared" si="16"/>
        <v>22</v>
      </c>
      <c r="I573">
        <v>18</v>
      </c>
      <c r="J573">
        <v>0</v>
      </c>
      <c r="K573">
        <v>0</v>
      </c>
      <c r="L573">
        <f t="shared" si="17"/>
        <v>18</v>
      </c>
    </row>
    <row r="574" spans="1:12">
      <c r="A574" t="s">
        <v>3161</v>
      </c>
      <c r="B574" t="s">
        <v>920</v>
      </c>
      <c r="C574" t="s">
        <v>2810</v>
      </c>
      <c r="D574" t="s">
        <v>2813</v>
      </c>
      <c r="E574">
        <v>21</v>
      </c>
      <c r="F574">
        <v>0</v>
      </c>
      <c r="G574">
        <v>0</v>
      </c>
      <c r="H574">
        <f t="shared" si="16"/>
        <v>21</v>
      </c>
      <c r="I574">
        <v>14</v>
      </c>
      <c r="J574">
        <v>0</v>
      </c>
      <c r="K574">
        <v>0</v>
      </c>
      <c r="L574">
        <f t="shared" si="17"/>
        <v>14</v>
      </c>
    </row>
    <row r="575" spans="1:12">
      <c r="A575" t="s">
        <v>3161</v>
      </c>
      <c r="B575" t="s">
        <v>920</v>
      </c>
      <c r="C575" t="s">
        <v>2810</v>
      </c>
      <c r="D575" t="s">
        <v>2815</v>
      </c>
      <c r="E575">
        <v>0</v>
      </c>
      <c r="F575">
        <v>0</v>
      </c>
      <c r="G575">
        <v>0</v>
      </c>
      <c r="H575">
        <f t="shared" si="16"/>
        <v>0</v>
      </c>
      <c r="I575">
        <v>2</v>
      </c>
      <c r="J575">
        <v>0</v>
      </c>
      <c r="K575">
        <v>0</v>
      </c>
      <c r="L575">
        <f t="shared" si="17"/>
        <v>2</v>
      </c>
    </row>
    <row r="576" spans="1:12">
      <c r="A576" t="s">
        <v>3161</v>
      </c>
      <c r="B576" t="s">
        <v>920</v>
      </c>
      <c r="C576" t="s">
        <v>2841</v>
      </c>
      <c r="D576" t="s">
        <v>2842</v>
      </c>
      <c r="E576">
        <v>0</v>
      </c>
      <c r="F576">
        <v>0</v>
      </c>
      <c r="G576">
        <v>0</v>
      </c>
      <c r="H576">
        <f t="shared" si="16"/>
        <v>0</v>
      </c>
      <c r="I576">
        <v>15</v>
      </c>
      <c r="J576">
        <v>0</v>
      </c>
      <c r="K576">
        <v>0</v>
      </c>
      <c r="L576">
        <f t="shared" si="17"/>
        <v>15</v>
      </c>
    </row>
    <row r="577" spans="1:12">
      <c r="A577" t="s">
        <v>3161</v>
      </c>
      <c r="B577" t="s">
        <v>920</v>
      </c>
      <c r="C577" t="s">
        <v>2826</v>
      </c>
      <c r="D577" t="s">
        <v>2843</v>
      </c>
      <c r="E577">
        <v>0</v>
      </c>
      <c r="F577">
        <v>0</v>
      </c>
      <c r="G577">
        <v>0</v>
      </c>
      <c r="H577">
        <f t="shared" si="16"/>
        <v>0</v>
      </c>
      <c r="I577">
        <v>1</v>
      </c>
      <c r="J577">
        <v>0</v>
      </c>
      <c r="K577">
        <v>0</v>
      </c>
      <c r="L577">
        <f t="shared" si="17"/>
        <v>1</v>
      </c>
    </row>
    <row r="578" spans="1:12">
      <c r="A578" t="s">
        <v>3161</v>
      </c>
      <c r="B578" t="s">
        <v>920</v>
      </c>
      <c r="C578" t="s">
        <v>2826</v>
      </c>
      <c r="D578" t="s">
        <v>2834</v>
      </c>
      <c r="E578">
        <v>0</v>
      </c>
      <c r="F578">
        <v>0</v>
      </c>
      <c r="G578">
        <v>0</v>
      </c>
      <c r="H578">
        <f t="shared" si="16"/>
        <v>0</v>
      </c>
      <c r="I578">
        <v>4</v>
      </c>
      <c r="J578">
        <v>0</v>
      </c>
      <c r="K578">
        <v>0</v>
      </c>
      <c r="L578">
        <f t="shared" si="17"/>
        <v>4</v>
      </c>
    </row>
    <row r="579" spans="1:12">
      <c r="A579" t="s">
        <v>3161</v>
      </c>
      <c r="B579" t="s">
        <v>920</v>
      </c>
      <c r="C579" t="s">
        <v>2817</v>
      </c>
      <c r="D579" t="s">
        <v>2888</v>
      </c>
      <c r="E579">
        <v>2</v>
      </c>
      <c r="F579">
        <v>0</v>
      </c>
      <c r="G579">
        <v>0</v>
      </c>
      <c r="H579">
        <f t="shared" si="16"/>
        <v>2</v>
      </c>
      <c r="I579">
        <v>2</v>
      </c>
      <c r="J579">
        <v>0</v>
      </c>
      <c r="K579">
        <v>0</v>
      </c>
      <c r="L579">
        <f t="shared" si="17"/>
        <v>2</v>
      </c>
    </row>
    <row r="580" spans="1:12">
      <c r="A580" t="s">
        <v>3161</v>
      </c>
      <c r="B580" t="s">
        <v>920</v>
      </c>
      <c r="C580" t="s">
        <v>2817</v>
      </c>
      <c r="D580" t="s">
        <v>2877</v>
      </c>
      <c r="E580">
        <v>1</v>
      </c>
      <c r="F580">
        <v>0</v>
      </c>
      <c r="G580">
        <v>0</v>
      </c>
      <c r="H580">
        <f t="shared" ref="H580:H643" si="18">SUM(E580:G580)</f>
        <v>1</v>
      </c>
      <c r="I580">
        <v>0</v>
      </c>
      <c r="J580">
        <v>0</v>
      </c>
      <c r="K580">
        <v>0</v>
      </c>
      <c r="L580">
        <f t="shared" ref="L580:L643" si="19">SUM(I580:K580)</f>
        <v>0</v>
      </c>
    </row>
    <row r="581" spans="1:12">
      <c r="A581" t="s">
        <v>3161</v>
      </c>
      <c r="B581" t="s">
        <v>920</v>
      </c>
      <c r="C581" t="s">
        <v>2817</v>
      </c>
      <c r="D581" t="s">
        <v>2818</v>
      </c>
      <c r="E581">
        <v>1</v>
      </c>
      <c r="F581">
        <v>0</v>
      </c>
      <c r="G581">
        <v>0</v>
      </c>
      <c r="H581">
        <f t="shared" si="18"/>
        <v>1</v>
      </c>
      <c r="I581">
        <v>1</v>
      </c>
      <c r="J581">
        <v>0</v>
      </c>
      <c r="K581">
        <v>0</v>
      </c>
      <c r="L581">
        <f t="shared" si="19"/>
        <v>1</v>
      </c>
    </row>
    <row r="582" spans="1:12">
      <c r="A582" t="s">
        <v>3161</v>
      </c>
      <c r="B582" t="s">
        <v>920</v>
      </c>
      <c r="C582" t="s">
        <v>2817</v>
      </c>
      <c r="D582" t="s">
        <v>2909</v>
      </c>
      <c r="E582">
        <v>1</v>
      </c>
      <c r="F582">
        <v>0</v>
      </c>
      <c r="G582">
        <v>0</v>
      </c>
      <c r="H582">
        <f t="shared" si="18"/>
        <v>1</v>
      </c>
      <c r="I582">
        <v>0</v>
      </c>
      <c r="J582">
        <v>0</v>
      </c>
      <c r="K582">
        <v>0</v>
      </c>
      <c r="L582">
        <f t="shared" si="19"/>
        <v>0</v>
      </c>
    </row>
    <row r="583" spans="1:12">
      <c r="A583" t="s">
        <v>3161</v>
      </c>
      <c r="B583" t="s">
        <v>920</v>
      </c>
      <c r="C583" t="s">
        <v>2820</v>
      </c>
      <c r="D583" t="s">
        <v>2821</v>
      </c>
      <c r="E583">
        <v>0</v>
      </c>
      <c r="F583">
        <v>0</v>
      </c>
      <c r="G583">
        <v>0</v>
      </c>
      <c r="H583">
        <f t="shared" si="18"/>
        <v>0</v>
      </c>
      <c r="I583">
        <v>1</v>
      </c>
      <c r="J583">
        <v>0</v>
      </c>
      <c r="K583">
        <v>0</v>
      </c>
      <c r="L583">
        <f t="shared" si="19"/>
        <v>1</v>
      </c>
    </row>
    <row r="584" spans="1:12">
      <c r="A584" t="s">
        <v>3162</v>
      </c>
      <c r="B584" t="s">
        <v>924</v>
      </c>
      <c r="C584" t="s">
        <v>2805</v>
      </c>
      <c r="D584" t="s">
        <v>2806</v>
      </c>
      <c r="E584">
        <v>587</v>
      </c>
      <c r="F584">
        <v>0</v>
      </c>
      <c r="G584">
        <v>0</v>
      </c>
      <c r="H584">
        <f t="shared" si="18"/>
        <v>587</v>
      </c>
      <c r="I584">
        <v>20</v>
      </c>
      <c r="J584">
        <v>0</v>
      </c>
      <c r="K584">
        <v>0</v>
      </c>
      <c r="L584">
        <f t="shared" si="19"/>
        <v>20</v>
      </c>
    </row>
    <row r="585" spans="1:12">
      <c r="A585" t="s">
        <v>3162</v>
      </c>
      <c r="B585" t="s">
        <v>924</v>
      </c>
      <c r="C585" t="s">
        <v>2805</v>
      </c>
      <c r="D585" t="s">
        <v>449</v>
      </c>
      <c r="E585">
        <v>682</v>
      </c>
      <c r="F585">
        <v>0</v>
      </c>
      <c r="G585">
        <v>0</v>
      </c>
      <c r="H585">
        <f t="shared" si="18"/>
        <v>682</v>
      </c>
      <c r="I585">
        <v>33</v>
      </c>
      <c r="J585">
        <v>0</v>
      </c>
      <c r="K585">
        <v>0</v>
      </c>
      <c r="L585">
        <f t="shared" si="19"/>
        <v>33</v>
      </c>
    </row>
    <row r="586" spans="1:12">
      <c r="A586" t="s">
        <v>3162</v>
      </c>
      <c r="B586" t="s">
        <v>924</v>
      </c>
      <c r="C586" t="s">
        <v>2805</v>
      </c>
      <c r="D586" t="s">
        <v>2807</v>
      </c>
      <c r="E586">
        <v>4</v>
      </c>
      <c r="F586">
        <v>0</v>
      </c>
      <c r="G586">
        <v>0</v>
      </c>
      <c r="H586">
        <f t="shared" si="18"/>
        <v>4</v>
      </c>
      <c r="I586">
        <v>0</v>
      </c>
      <c r="J586">
        <v>0</v>
      </c>
      <c r="K586">
        <v>0</v>
      </c>
      <c r="L586">
        <f t="shared" si="19"/>
        <v>0</v>
      </c>
    </row>
    <row r="587" spans="1:12">
      <c r="A587" t="s">
        <v>3162</v>
      </c>
      <c r="B587" t="s">
        <v>924</v>
      </c>
      <c r="C587" t="s">
        <v>2805</v>
      </c>
      <c r="D587" t="s">
        <v>2808</v>
      </c>
      <c r="E587">
        <v>1</v>
      </c>
      <c r="F587">
        <v>0</v>
      </c>
      <c r="G587">
        <v>0</v>
      </c>
      <c r="H587">
        <f t="shared" si="18"/>
        <v>1</v>
      </c>
      <c r="I587">
        <v>0</v>
      </c>
      <c r="J587">
        <v>0</v>
      </c>
      <c r="K587">
        <v>0</v>
      </c>
      <c r="L587">
        <f t="shared" si="19"/>
        <v>0</v>
      </c>
    </row>
    <row r="588" spans="1:12">
      <c r="A588" t="s">
        <v>3162</v>
      </c>
      <c r="B588" t="s">
        <v>924</v>
      </c>
      <c r="C588" t="s">
        <v>2805</v>
      </c>
      <c r="D588" t="s">
        <v>2937</v>
      </c>
      <c r="E588">
        <v>5</v>
      </c>
      <c r="F588">
        <v>0</v>
      </c>
      <c r="G588">
        <v>0</v>
      </c>
      <c r="H588">
        <f t="shared" si="18"/>
        <v>5</v>
      </c>
      <c r="I588">
        <v>0</v>
      </c>
      <c r="J588">
        <v>0</v>
      </c>
      <c r="K588">
        <v>0</v>
      </c>
      <c r="L588">
        <f t="shared" si="19"/>
        <v>0</v>
      </c>
    </row>
    <row r="589" spans="1:12">
      <c r="A589" t="s">
        <v>3162</v>
      </c>
      <c r="B589" t="s">
        <v>924</v>
      </c>
      <c r="C589" t="s">
        <v>2805</v>
      </c>
      <c r="D589" t="s">
        <v>2846</v>
      </c>
      <c r="E589">
        <v>1</v>
      </c>
      <c r="F589">
        <v>0</v>
      </c>
      <c r="G589">
        <v>0</v>
      </c>
      <c r="H589">
        <f t="shared" si="18"/>
        <v>1</v>
      </c>
      <c r="I589">
        <v>0</v>
      </c>
      <c r="J589">
        <v>0</v>
      </c>
      <c r="K589">
        <v>0</v>
      </c>
      <c r="L589">
        <f t="shared" si="19"/>
        <v>0</v>
      </c>
    </row>
    <row r="590" spans="1:12">
      <c r="A590" t="s">
        <v>3162</v>
      </c>
      <c r="B590" t="s">
        <v>924</v>
      </c>
      <c r="C590" t="s">
        <v>2810</v>
      </c>
      <c r="D590" t="s">
        <v>2811</v>
      </c>
      <c r="E590">
        <v>16</v>
      </c>
      <c r="F590">
        <v>0</v>
      </c>
      <c r="G590">
        <v>0</v>
      </c>
      <c r="H590">
        <f t="shared" si="18"/>
        <v>16</v>
      </c>
      <c r="I590">
        <v>2</v>
      </c>
      <c r="J590">
        <v>0</v>
      </c>
      <c r="K590">
        <v>0</v>
      </c>
      <c r="L590">
        <f t="shared" si="19"/>
        <v>2</v>
      </c>
    </row>
    <row r="591" spans="1:12">
      <c r="A591" t="s">
        <v>3162</v>
      </c>
      <c r="B591" t="s">
        <v>924</v>
      </c>
      <c r="C591" t="s">
        <v>2810</v>
      </c>
      <c r="D591" t="s">
        <v>2823</v>
      </c>
      <c r="E591">
        <v>2</v>
      </c>
      <c r="F591">
        <v>1</v>
      </c>
      <c r="G591">
        <v>0</v>
      </c>
      <c r="H591">
        <f t="shared" si="18"/>
        <v>3</v>
      </c>
      <c r="I591">
        <v>0</v>
      </c>
      <c r="J591">
        <v>0</v>
      </c>
      <c r="K591">
        <v>0</v>
      </c>
      <c r="L591">
        <f t="shared" si="19"/>
        <v>0</v>
      </c>
    </row>
    <row r="592" spans="1:12">
      <c r="A592" t="s">
        <v>3162</v>
      </c>
      <c r="B592" t="s">
        <v>924</v>
      </c>
      <c r="C592" t="s">
        <v>2810</v>
      </c>
      <c r="D592" t="s">
        <v>2812</v>
      </c>
      <c r="E592">
        <v>95</v>
      </c>
      <c r="F592">
        <v>0</v>
      </c>
      <c r="G592">
        <v>0</v>
      </c>
      <c r="H592">
        <f t="shared" si="18"/>
        <v>95</v>
      </c>
      <c r="I592">
        <v>4</v>
      </c>
      <c r="J592">
        <v>0</v>
      </c>
      <c r="K592">
        <v>0</v>
      </c>
      <c r="L592">
        <f t="shared" si="19"/>
        <v>4</v>
      </c>
    </row>
    <row r="593" spans="1:12">
      <c r="A593" t="s">
        <v>3162</v>
      </c>
      <c r="B593" t="s">
        <v>924</v>
      </c>
      <c r="C593" t="s">
        <v>2810</v>
      </c>
      <c r="D593" t="s">
        <v>2813</v>
      </c>
      <c r="E593">
        <v>9</v>
      </c>
      <c r="F593">
        <v>0</v>
      </c>
      <c r="G593">
        <v>0</v>
      </c>
      <c r="H593">
        <f t="shared" si="18"/>
        <v>9</v>
      </c>
      <c r="I593">
        <v>1</v>
      </c>
      <c r="J593">
        <v>0</v>
      </c>
      <c r="K593">
        <v>0</v>
      </c>
      <c r="L593">
        <f t="shared" si="19"/>
        <v>1</v>
      </c>
    </row>
    <row r="594" spans="1:12">
      <c r="A594" t="s">
        <v>3162</v>
      </c>
      <c r="B594" t="s">
        <v>924</v>
      </c>
      <c r="C594" t="s">
        <v>2810</v>
      </c>
      <c r="D594" t="s">
        <v>2814</v>
      </c>
      <c r="E594">
        <v>15</v>
      </c>
      <c r="F594">
        <v>0</v>
      </c>
      <c r="G594">
        <v>0</v>
      </c>
      <c r="H594">
        <f t="shared" si="18"/>
        <v>15</v>
      </c>
      <c r="I594">
        <v>0</v>
      </c>
      <c r="J594">
        <v>0</v>
      </c>
      <c r="K594">
        <v>0</v>
      </c>
      <c r="L594">
        <f t="shared" si="19"/>
        <v>0</v>
      </c>
    </row>
    <row r="595" spans="1:12">
      <c r="A595" t="s">
        <v>3162</v>
      </c>
      <c r="B595" t="s">
        <v>924</v>
      </c>
      <c r="C595" t="s">
        <v>2810</v>
      </c>
      <c r="D595" t="s">
        <v>2847</v>
      </c>
      <c r="E595">
        <v>67</v>
      </c>
      <c r="F595">
        <v>0</v>
      </c>
      <c r="G595">
        <v>0</v>
      </c>
      <c r="H595">
        <f t="shared" si="18"/>
        <v>67</v>
      </c>
      <c r="I595">
        <v>0</v>
      </c>
      <c r="J595">
        <v>0</v>
      </c>
      <c r="K595">
        <v>0</v>
      </c>
      <c r="L595">
        <f t="shared" si="19"/>
        <v>0</v>
      </c>
    </row>
    <row r="596" spans="1:12">
      <c r="A596" t="s">
        <v>3162</v>
      </c>
      <c r="B596" t="s">
        <v>924</v>
      </c>
      <c r="C596" t="s">
        <v>2810</v>
      </c>
      <c r="D596" t="s">
        <v>2815</v>
      </c>
      <c r="E596">
        <v>3</v>
      </c>
      <c r="F596">
        <v>0</v>
      </c>
      <c r="G596">
        <v>0</v>
      </c>
      <c r="H596">
        <f t="shared" si="18"/>
        <v>3</v>
      </c>
      <c r="I596">
        <v>0</v>
      </c>
      <c r="J596">
        <v>0</v>
      </c>
      <c r="K596">
        <v>0</v>
      </c>
      <c r="L596">
        <f t="shared" si="19"/>
        <v>0</v>
      </c>
    </row>
    <row r="597" spans="1:12">
      <c r="A597" t="s">
        <v>3162</v>
      </c>
      <c r="B597" t="s">
        <v>924</v>
      </c>
      <c r="C597" t="s">
        <v>2816</v>
      </c>
      <c r="D597" t="s">
        <v>1897</v>
      </c>
      <c r="E597">
        <v>41</v>
      </c>
      <c r="F597">
        <v>0</v>
      </c>
      <c r="G597">
        <v>0</v>
      </c>
      <c r="H597">
        <f t="shared" si="18"/>
        <v>41</v>
      </c>
      <c r="I597">
        <v>5</v>
      </c>
      <c r="J597">
        <v>0</v>
      </c>
      <c r="K597">
        <v>0</v>
      </c>
      <c r="L597">
        <f t="shared" si="19"/>
        <v>5</v>
      </c>
    </row>
    <row r="598" spans="1:12">
      <c r="A598" t="s">
        <v>3162</v>
      </c>
      <c r="B598" t="s">
        <v>924</v>
      </c>
      <c r="C598" t="s">
        <v>2826</v>
      </c>
      <c r="D598" t="s">
        <v>2871</v>
      </c>
      <c r="E598">
        <v>0</v>
      </c>
      <c r="F598">
        <v>0</v>
      </c>
      <c r="G598">
        <v>0</v>
      </c>
      <c r="H598">
        <f t="shared" si="18"/>
        <v>0</v>
      </c>
      <c r="I598">
        <v>1</v>
      </c>
      <c r="J598">
        <v>0</v>
      </c>
      <c r="K598">
        <v>0</v>
      </c>
      <c r="L598">
        <f t="shared" si="19"/>
        <v>1</v>
      </c>
    </row>
    <row r="599" spans="1:12">
      <c r="A599" t="s">
        <v>3162</v>
      </c>
      <c r="B599" t="s">
        <v>924</v>
      </c>
      <c r="C599" t="s">
        <v>2826</v>
      </c>
      <c r="D599" t="s">
        <v>2827</v>
      </c>
      <c r="E599">
        <v>0</v>
      </c>
      <c r="F599">
        <v>0</v>
      </c>
      <c r="G599">
        <v>0</v>
      </c>
      <c r="H599">
        <f t="shared" si="18"/>
        <v>0</v>
      </c>
      <c r="I599">
        <v>1</v>
      </c>
      <c r="J599">
        <v>0</v>
      </c>
      <c r="K599">
        <v>0</v>
      </c>
      <c r="L599">
        <f t="shared" si="19"/>
        <v>1</v>
      </c>
    </row>
    <row r="600" spans="1:12">
      <c r="A600" t="s">
        <v>3162</v>
      </c>
      <c r="B600" t="s">
        <v>924</v>
      </c>
      <c r="C600" t="s">
        <v>2826</v>
      </c>
      <c r="D600" t="s">
        <v>2886</v>
      </c>
      <c r="E600">
        <v>0</v>
      </c>
      <c r="F600">
        <v>0</v>
      </c>
      <c r="G600">
        <v>0</v>
      </c>
      <c r="H600">
        <f t="shared" si="18"/>
        <v>0</v>
      </c>
      <c r="I600">
        <v>1</v>
      </c>
      <c r="J600">
        <v>0</v>
      </c>
      <c r="K600">
        <v>0</v>
      </c>
      <c r="L600">
        <f t="shared" si="19"/>
        <v>1</v>
      </c>
    </row>
    <row r="601" spans="1:12">
      <c r="A601" t="s">
        <v>3162</v>
      </c>
      <c r="B601" t="s">
        <v>924</v>
      </c>
      <c r="C601" t="s">
        <v>2826</v>
      </c>
      <c r="D601" t="s">
        <v>2835</v>
      </c>
      <c r="E601">
        <v>0</v>
      </c>
      <c r="F601">
        <v>0</v>
      </c>
      <c r="G601">
        <v>0</v>
      </c>
      <c r="H601">
        <f t="shared" si="18"/>
        <v>0</v>
      </c>
      <c r="I601">
        <v>1</v>
      </c>
      <c r="J601">
        <v>0</v>
      </c>
      <c r="K601">
        <v>0</v>
      </c>
      <c r="L601">
        <f t="shared" si="19"/>
        <v>1</v>
      </c>
    </row>
    <row r="602" spans="1:12">
      <c r="A602" t="s">
        <v>3162</v>
      </c>
      <c r="B602" t="s">
        <v>924</v>
      </c>
      <c r="C602" t="s">
        <v>2817</v>
      </c>
      <c r="D602" t="s">
        <v>2888</v>
      </c>
      <c r="E602">
        <v>9</v>
      </c>
      <c r="F602">
        <v>0</v>
      </c>
      <c r="G602">
        <v>0</v>
      </c>
      <c r="H602">
        <f t="shared" si="18"/>
        <v>9</v>
      </c>
      <c r="I602">
        <v>0</v>
      </c>
      <c r="J602">
        <v>0</v>
      </c>
      <c r="K602">
        <v>0</v>
      </c>
      <c r="L602">
        <f t="shared" si="19"/>
        <v>0</v>
      </c>
    </row>
    <row r="603" spans="1:12">
      <c r="A603" t="s">
        <v>3162</v>
      </c>
      <c r="B603" t="s">
        <v>924</v>
      </c>
      <c r="C603" t="s">
        <v>2817</v>
      </c>
      <c r="D603" t="s">
        <v>2818</v>
      </c>
      <c r="E603">
        <v>18</v>
      </c>
      <c r="F603">
        <v>0</v>
      </c>
      <c r="G603">
        <v>0</v>
      </c>
      <c r="H603">
        <f t="shared" si="18"/>
        <v>18</v>
      </c>
      <c r="I603">
        <v>0</v>
      </c>
      <c r="J603">
        <v>0</v>
      </c>
      <c r="K603">
        <v>0</v>
      </c>
      <c r="L603">
        <f t="shared" si="19"/>
        <v>0</v>
      </c>
    </row>
    <row r="604" spans="1:12">
      <c r="A604" t="s">
        <v>3162</v>
      </c>
      <c r="B604" t="s">
        <v>924</v>
      </c>
      <c r="C604" t="s">
        <v>2817</v>
      </c>
      <c r="D604" t="s">
        <v>2837</v>
      </c>
      <c r="E604">
        <v>45</v>
      </c>
      <c r="F604">
        <v>0</v>
      </c>
      <c r="G604">
        <v>0</v>
      </c>
      <c r="H604">
        <f t="shared" si="18"/>
        <v>45</v>
      </c>
      <c r="I604">
        <v>1</v>
      </c>
      <c r="J604">
        <v>0</v>
      </c>
      <c r="K604">
        <v>0</v>
      </c>
      <c r="L604">
        <f t="shared" si="19"/>
        <v>1</v>
      </c>
    </row>
    <row r="605" spans="1:12">
      <c r="A605" t="s">
        <v>3163</v>
      </c>
      <c r="B605" t="s">
        <v>929</v>
      </c>
      <c r="C605" t="s">
        <v>2805</v>
      </c>
      <c r="D605" t="s">
        <v>2806</v>
      </c>
      <c r="E605">
        <v>36</v>
      </c>
      <c r="F605">
        <v>0</v>
      </c>
      <c r="G605">
        <v>0</v>
      </c>
      <c r="H605">
        <f t="shared" si="18"/>
        <v>36</v>
      </c>
      <c r="I605">
        <v>0</v>
      </c>
      <c r="J605">
        <v>0</v>
      </c>
      <c r="K605">
        <v>0</v>
      </c>
      <c r="L605">
        <f t="shared" si="19"/>
        <v>0</v>
      </c>
    </row>
    <row r="606" spans="1:12">
      <c r="A606" t="s">
        <v>3163</v>
      </c>
      <c r="B606" t="s">
        <v>929</v>
      </c>
      <c r="C606" t="s">
        <v>2805</v>
      </c>
      <c r="D606" t="s">
        <v>449</v>
      </c>
      <c r="E606">
        <v>112</v>
      </c>
      <c r="F606">
        <v>0</v>
      </c>
      <c r="G606">
        <v>0</v>
      </c>
      <c r="H606">
        <f t="shared" si="18"/>
        <v>112</v>
      </c>
      <c r="I606">
        <v>0</v>
      </c>
      <c r="J606">
        <v>0</v>
      </c>
      <c r="K606">
        <v>0</v>
      </c>
      <c r="L606">
        <f t="shared" si="19"/>
        <v>0</v>
      </c>
    </row>
    <row r="607" spans="1:12">
      <c r="A607" t="s">
        <v>3163</v>
      </c>
      <c r="B607" t="s">
        <v>929</v>
      </c>
      <c r="C607" t="s">
        <v>2805</v>
      </c>
      <c r="D607" t="s">
        <v>2807</v>
      </c>
      <c r="E607">
        <v>8</v>
      </c>
      <c r="F607">
        <v>0</v>
      </c>
      <c r="G607">
        <v>0</v>
      </c>
      <c r="H607">
        <f t="shared" si="18"/>
        <v>8</v>
      </c>
      <c r="I607">
        <v>0</v>
      </c>
      <c r="J607">
        <v>0</v>
      </c>
      <c r="K607">
        <v>0</v>
      </c>
      <c r="L607">
        <f t="shared" si="19"/>
        <v>0</v>
      </c>
    </row>
    <row r="608" spans="1:12">
      <c r="A608" t="s">
        <v>3163</v>
      </c>
      <c r="B608" t="s">
        <v>929</v>
      </c>
      <c r="C608" t="s">
        <v>2810</v>
      </c>
      <c r="D608" t="s">
        <v>2811</v>
      </c>
      <c r="E608">
        <v>30</v>
      </c>
      <c r="F608">
        <v>0</v>
      </c>
      <c r="G608">
        <v>0</v>
      </c>
      <c r="H608">
        <f t="shared" si="18"/>
        <v>30</v>
      </c>
      <c r="I608">
        <v>0</v>
      </c>
      <c r="J608">
        <v>0</v>
      </c>
      <c r="K608">
        <v>0</v>
      </c>
      <c r="L608">
        <f t="shared" si="19"/>
        <v>0</v>
      </c>
    </row>
    <row r="609" spans="1:12">
      <c r="A609" t="s">
        <v>3163</v>
      </c>
      <c r="B609" t="s">
        <v>929</v>
      </c>
      <c r="C609" t="s">
        <v>2810</v>
      </c>
      <c r="D609" t="s">
        <v>2813</v>
      </c>
      <c r="E609">
        <v>1</v>
      </c>
      <c r="F609">
        <v>0</v>
      </c>
      <c r="G609">
        <v>0</v>
      </c>
      <c r="H609">
        <f t="shared" si="18"/>
        <v>1</v>
      </c>
      <c r="I609">
        <v>0</v>
      </c>
      <c r="J609">
        <v>0</v>
      </c>
      <c r="K609">
        <v>0</v>
      </c>
      <c r="L609">
        <f t="shared" si="19"/>
        <v>0</v>
      </c>
    </row>
    <row r="610" spans="1:12">
      <c r="A610" t="s">
        <v>3163</v>
      </c>
      <c r="B610" t="s">
        <v>929</v>
      </c>
      <c r="C610" t="s">
        <v>2810</v>
      </c>
      <c r="D610" t="s">
        <v>2814</v>
      </c>
      <c r="E610">
        <v>2</v>
      </c>
      <c r="F610">
        <v>0</v>
      </c>
      <c r="G610">
        <v>0</v>
      </c>
      <c r="H610">
        <f t="shared" si="18"/>
        <v>2</v>
      </c>
      <c r="I610">
        <v>0</v>
      </c>
      <c r="J610">
        <v>0</v>
      </c>
      <c r="K610">
        <v>0</v>
      </c>
      <c r="L610">
        <f t="shared" si="19"/>
        <v>0</v>
      </c>
    </row>
    <row r="611" spans="1:12">
      <c r="A611" t="s">
        <v>3163</v>
      </c>
      <c r="B611" t="s">
        <v>929</v>
      </c>
      <c r="C611" t="s">
        <v>2810</v>
      </c>
      <c r="D611" t="s">
        <v>2840</v>
      </c>
      <c r="E611">
        <v>1</v>
      </c>
      <c r="F611">
        <v>0</v>
      </c>
      <c r="G611">
        <v>0</v>
      </c>
      <c r="H611">
        <f t="shared" si="18"/>
        <v>1</v>
      </c>
      <c r="I611">
        <v>0</v>
      </c>
      <c r="J611">
        <v>0</v>
      </c>
      <c r="K611">
        <v>0</v>
      </c>
      <c r="L611">
        <f t="shared" si="19"/>
        <v>0</v>
      </c>
    </row>
    <row r="612" spans="1:12">
      <c r="A612" t="s">
        <v>3163</v>
      </c>
      <c r="B612" t="s">
        <v>929</v>
      </c>
      <c r="C612" t="s">
        <v>2810</v>
      </c>
      <c r="D612" t="s">
        <v>2815</v>
      </c>
      <c r="E612">
        <v>1</v>
      </c>
      <c r="F612">
        <v>0</v>
      </c>
      <c r="G612">
        <v>0</v>
      </c>
      <c r="H612">
        <f t="shared" si="18"/>
        <v>1</v>
      </c>
      <c r="I612">
        <v>0</v>
      </c>
      <c r="J612">
        <v>0</v>
      </c>
      <c r="K612">
        <v>0</v>
      </c>
      <c r="L612">
        <f t="shared" si="19"/>
        <v>0</v>
      </c>
    </row>
    <row r="613" spans="1:12">
      <c r="A613" t="s">
        <v>3163</v>
      </c>
      <c r="B613" t="s">
        <v>929</v>
      </c>
      <c r="C613" t="s">
        <v>2816</v>
      </c>
      <c r="D613" t="s">
        <v>1897</v>
      </c>
      <c r="E613">
        <v>14</v>
      </c>
      <c r="F613">
        <v>0</v>
      </c>
      <c r="G613">
        <v>0</v>
      </c>
      <c r="H613">
        <f t="shared" si="18"/>
        <v>14</v>
      </c>
      <c r="I613">
        <v>0</v>
      </c>
      <c r="J613">
        <v>0</v>
      </c>
      <c r="K613">
        <v>0</v>
      </c>
      <c r="L613">
        <f t="shared" si="19"/>
        <v>0</v>
      </c>
    </row>
    <row r="614" spans="1:12">
      <c r="A614" t="s">
        <v>3168</v>
      </c>
      <c r="B614" t="s">
        <v>934</v>
      </c>
      <c r="C614" t="s">
        <v>2805</v>
      </c>
      <c r="D614" t="s">
        <v>2806</v>
      </c>
      <c r="E614">
        <v>181</v>
      </c>
      <c r="F614">
        <v>0</v>
      </c>
      <c r="G614">
        <v>0</v>
      </c>
      <c r="H614">
        <f t="shared" si="18"/>
        <v>181</v>
      </c>
      <c r="I614">
        <v>0</v>
      </c>
      <c r="J614">
        <v>0</v>
      </c>
      <c r="K614">
        <v>0</v>
      </c>
      <c r="L614">
        <f t="shared" si="19"/>
        <v>0</v>
      </c>
    </row>
    <row r="615" spans="1:12">
      <c r="A615" t="s">
        <v>3168</v>
      </c>
      <c r="B615" t="s">
        <v>934</v>
      </c>
      <c r="C615" t="s">
        <v>2805</v>
      </c>
      <c r="D615" t="s">
        <v>449</v>
      </c>
      <c r="E615">
        <v>383</v>
      </c>
      <c r="F615">
        <v>0</v>
      </c>
      <c r="G615">
        <v>0</v>
      </c>
      <c r="H615">
        <f t="shared" si="18"/>
        <v>383</v>
      </c>
      <c r="I615">
        <v>0</v>
      </c>
      <c r="J615">
        <v>0</v>
      </c>
      <c r="K615">
        <v>0</v>
      </c>
      <c r="L615">
        <f t="shared" si="19"/>
        <v>0</v>
      </c>
    </row>
    <row r="616" spans="1:12">
      <c r="A616" t="s">
        <v>3168</v>
      </c>
      <c r="B616" t="s">
        <v>934</v>
      </c>
      <c r="C616" t="s">
        <v>2805</v>
      </c>
      <c r="D616" t="s">
        <v>2807</v>
      </c>
      <c r="E616">
        <v>10</v>
      </c>
      <c r="F616">
        <v>0</v>
      </c>
      <c r="G616">
        <v>0</v>
      </c>
      <c r="H616">
        <f t="shared" si="18"/>
        <v>10</v>
      </c>
      <c r="I616">
        <v>0</v>
      </c>
      <c r="J616">
        <v>0</v>
      </c>
      <c r="K616">
        <v>0</v>
      </c>
      <c r="L616">
        <f t="shared" si="19"/>
        <v>0</v>
      </c>
    </row>
    <row r="617" spans="1:12">
      <c r="A617" t="s">
        <v>3168</v>
      </c>
      <c r="B617" t="s">
        <v>934</v>
      </c>
      <c r="C617" t="s">
        <v>2805</v>
      </c>
      <c r="D617" t="s">
        <v>2809</v>
      </c>
      <c r="E617">
        <v>9</v>
      </c>
      <c r="F617">
        <v>0</v>
      </c>
      <c r="G617">
        <v>0</v>
      </c>
      <c r="H617">
        <f t="shared" si="18"/>
        <v>9</v>
      </c>
      <c r="I617">
        <v>0</v>
      </c>
      <c r="J617">
        <v>0</v>
      </c>
      <c r="K617">
        <v>0</v>
      </c>
      <c r="L617">
        <f t="shared" si="19"/>
        <v>0</v>
      </c>
    </row>
    <row r="618" spans="1:12">
      <c r="A618" t="s">
        <v>3168</v>
      </c>
      <c r="B618" t="s">
        <v>934</v>
      </c>
      <c r="C618" t="s">
        <v>2805</v>
      </c>
      <c r="D618" t="s">
        <v>2937</v>
      </c>
      <c r="E618">
        <v>1</v>
      </c>
      <c r="F618">
        <v>4</v>
      </c>
      <c r="G618">
        <v>0</v>
      </c>
      <c r="H618">
        <f t="shared" si="18"/>
        <v>5</v>
      </c>
      <c r="I618">
        <v>0</v>
      </c>
      <c r="J618">
        <v>0</v>
      </c>
      <c r="K618">
        <v>0</v>
      </c>
      <c r="L618">
        <f t="shared" si="19"/>
        <v>0</v>
      </c>
    </row>
    <row r="619" spans="1:12">
      <c r="A619" t="s">
        <v>3168</v>
      </c>
      <c r="B619" t="s">
        <v>934</v>
      </c>
      <c r="C619" t="s">
        <v>2810</v>
      </c>
      <c r="D619" t="s">
        <v>2811</v>
      </c>
      <c r="E619">
        <v>10</v>
      </c>
      <c r="F619">
        <v>0</v>
      </c>
      <c r="G619">
        <v>0</v>
      </c>
      <c r="H619">
        <f t="shared" si="18"/>
        <v>10</v>
      </c>
      <c r="I619">
        <v>0</v>
      </c>
      <c r="J619">
        <v>0</v>
      </c>
      <c r="K619">
        <v>0</v>
      </c>
      <c r="L619">
        <f t="shared" si="19"/>
        <v>0</v>
      </c>
    </row>
    <row r="620" spans="1:12">
      <c r="A620" t="s">
        <v>3168</v>
      </c>
      <c r="B620" t="s">
        <v>934</v>
      </c>
      <c r="C620" t="s">
        <v>2810</v>
      </c>
      <c r="D620" t="s">
        <v>1892</v>
      </c>
      <c r="E620">
        <v>1</v>
      </c>
      <c r="F620">
        <v>0</v>
      </c>
      <c r="G620">
        <v>0</v>
      </c>
      <c r="H620">
        <f t="shared" si="18"/>
        <v>1</v>
      </c>
      <c r="I620">
        <v>0</v>
      </c>
      <c r="J620">
        <v>0</v>
      </c>
      <c r="K620">
        <v>0</v>
      </c>
      <c r="L620">
        <f t="shared" si="19"/>
        <v>0</v>
      </c>
    </row>
    <row r="621" spans="1:12">
      <c r="A621" t="s">
        <v>3168</v>
      </c>
      <c r="B621" t="s">
        <v>934</v>
      </c>
      <c r="C621" t="s">
        <v>2810</v>
      </c>
      <c r="D621" t="s">
        <v>2823</v>
      </c>
      <c r="E621">
        <v>2</v>
      </c>
      <c r="F621">
        <v>0</v>
      </c>
      <c r="G621">
        <v>0</v>
      </c>
      <c r="H621">
        <f t="shared" si="18"/>
        <v>2</v>
      </c>
      <c r="I621">
        <v>0</v>
      </c>
      <c r="J621">
        <v>0</v>
      </c>
      <c r="K621">
        <v>0</v>
      </c>
      <c r="L621">
        <f t="shared" si="19"/>
        <v>0</v>
      </c>
    </row>
    <row r="622" spans="1:12">
      <c r="A622" t="s">
        <v>3168</v>
      </c>
      <c r="B622" t="s">
        <v>934</v>
      </c>
      <c r="C622" t="s">
        <v>2810</v>
      </c>
      <c r="D622" t="s">
        <v>2812</v>
      </c>
      <c r="E622">
        <v>127</v>
      </c>
      <c r="F622">
        <v>0</v>
      </c>
      <c r="G622">
        <v>0</v>
      </c>
      <c r="H622">
        <f t="shared" si="18"/>
        <v>127</v>
      </c>
      <c r="I622">
        <v>0</v>
      </c>
      <c r="J622">
        <v>0</v>
      </c>
      <c r="K622">
        <v>0</v>
      </c>
      <c r="L622">
        <f t="shared" si="19"/>
        <v>0</v>
      </c>
    </row>
    <row r="623" spans="1:12">
      <c r="A623" t="s">
        <v>3168</v>
      </c>
      <c r="B623" t="s">
        <v>934</v>
      </c>
      <c r="C623" t="s">
        <v>2810</v>
      </c>
      <c r="D623" t="s">
        <v>2813</v>
      </c>
      <c r="E623">
        <v>39</v>
      </c>
      <c r="F623">
        <v>0</v>
      </c>
      <c r="G623">
        <v>0</v>
      </c>
      <c r="H623">
        <f t="shared" si="18"/>
        <v>39</v>
      </c>
      <c r="I623">
        <v>0</v>
      </c>
      <c r="J623">
        <v>0</v>
      </c>
      <c r="K623">
        <v>0</v>
      </c>
      <c r="L623">
        <f t="shared" si="19"/>
        <v>0</v>
      </c>
    </row>
    <row r="624" spans="1:12">
      <c r="A624" t="s">
        <v>3168</v>
      </c>
      <c r="B624" t="s">
        <v>934</v>
      </c>
      <c r="C624" t="s">
        <v>2810</v>
      </c>
      <c r="D624" t="s">
        <v>2815</v>
      </c>
      <c r="E624">
        <v>19</v>
      </c>
      <c r="F624">
        <v>0</v>
      </c>
      <c r="G624">
        <v>0</v>
      </c>
      <c r="H624">
        <f t="shared" si="18"/>
        <v>19</v>
      </c>
      <c r="I624">
        <v>0</v>
      </c>
      <c r="J624">
        <v>0</v>
      </c>
      <c r="K624">
        <v>0</v>
      </c>
      <c r="L624">
        <f t="shared" si="19"/>
        <v>0</v>
      </c>
    </row>
    <row r="625" spans="1:12">
      <c r="A625" t="s">
        <v>3168</v>
      </c>
      <c r="B625" t="s">
        <v>934</v>
      </c>
      <c r="C625" t="s">
        <v>2816</v>
      </c>
      <c r="D625" t="s">
        <v>1897</v>
      </c>
      <c r="E625">
        <v>42</v>
      </c>
      <c r="F625">
        <v>0</v>
      </c>
      <c r="G625">
        <v>0</v>
      </c>
      <c r="H625">
        <f t="shared" si="18"/>
        <v>42</v>
      </c>
      <c r="I625">
        <v>0</v>
      </c>
      <c r="J625">
        <v>0</v>
      </c>
      <c r="K625">
        <v>0</v>
      </c>
      <c r="L625">
        <f t="shared" si="19"/>
        <v>0</v>
      </c>
    </row>
    <row r="626" spans="1:12">
      <c r="A626" t="s">
        <v>3168</v>
      </c>
      <c r="B626" t="s">
        <v>934</v>
      </c>
      <c r="C626" t="s">
        <v>2817</v>
      </c>
      <c r="D626" t="s">
        <v>2818</v>
      </c>
      <c r="E626">
        <v>9</v>
      </c>
      <c r="F626">
        <v>0</v>
      </c>
      <c r="G626">
        <v>0</v>
      </c>
      <c r="H626">
        <f t="shared" si="18"/>
        <v>9</v>
      </c>
      <c r="I626">
        <v>0</v>
      </c>
      <c r="J626">
        <v>0</v>
      </c>
      <c r="K626">
        <v>0</v>
      </c>
      <c r="L626">
        <f t="shared" si="19"/>
        <v>0</v>
      </c>
    </row>
    <row r="627" spans="1:12">
      <c r="A627" t="s">
        <v>3168</v>
      </c>
      <c r="B627" t="s">
        <v>934</v>
      </c>
      <c r="C627" t="s">
        <v>2817</v>
      </c>
      <c r="D627" t="s">
        <v>2837</v>
      </c>
      <c r="E627">
        <v>6</v>
      </c>
      <c r="F627">
        <v>0</v>
      </c>
      <c r="G627">
        <v>0</v>
      </c>
      <c r="H627">
        <f t="shared" si="18"/>
        <v>6</v>
      </c>
      <c r="I627">
        <v>0</v>
      </c>
      <c r="J627">
        <v>0</v>
      </c>
      <c r="K627">
        <v>0</v>
      </c>
      <c r="L627">
        <f t="shared" si="19"/>
        <v>0</v>
      </c>
    </row>
    <row r="628" spans="1:12">
      <c r="A628" t="s">
        <v>3169</v>
      </c>
      <c r="B628" t="s">
        <v>980</v>
      </c>
      <c r="C628" t="s">
        <v>2810</v>
      </c>
      <c r="D628" t="s">
        <v>2812</v>
      </c>
      <c r="E628">
        <v>5</v>
      </c>
      <c r="F628">
        <v>0</v>
      </c>
      <c r="G628">
        <v>0</v>
      </c>
      <c r="H628">
        <f t="shared" si="18"/>
        <v>5</v>
      </c>
      <c r="I628">
        <v>0</v>
      </c>
      <c r="J628">
        <v>0</v>
      </c>
      <c r="K628">
        <v>0</v>
      </c>
      <c r="L628">
        <f t="shared" si="19"/>
        <v>0</v>
      </c>
    </row>
    <row r="629" spans="1:12">
      <c r="A629" t="s">
        <v>3169</v>
      </c>
      <c r="B629" t="s">
        <v>980</v>
      </c>
      <c r="C629" t="s">
        <v>2810</v>
      </c>
      <c r="D629" t="s">
        <v>2847</v>
      </c>
      <c r="E629">
        <v>23</v>
      </c>
      <c r="F629">
        <v>0</v>
      </c>
      <c r="G629">
        <v>0</v>
      </c>
      <c r="H629">
        <f t="shared" si="18"/>
        <v>23</v>
      </c>
      <c r="I629">
        <v>0</v>
      </c>
      <c r="J629">
        <v>0</v>
      </c>
      <c r="K629">
        <v>0</v>
      </c>
      <c r="L629">
        <f t="shared" si="19"/>
        <v>0</v>
      </c>
    </row>
    <row r="630" spans="1:12">
      <c r="A630" t="s">
        <v>3174</v>
      </c>
      <c r="B630" t="s">
        <v>942</v>
      </c>
      <c r="C630" t="s">
        <v>2810</v>
      </c>
      <c r="D630" t="s">
        <v>2823</v>
      </c>
      <c r="E630">
        <v>4</v>
      </c>
      <c r="F630">
        <v>0</v>
      </c>
      <c r="G630">
        <v>0</v>
      </c>
      <c r="H630">
        <f t="shared" si="18"/>
        <v>4</v>
      </c>
      <c r="I630">
        <v>0</v>
      </c>
      <c r="J630">
        <v>0</v>
      </c>
      <c r="K630">
        <v>0</v>
      </c>
      <c r="L630">
        <f t="shared" si="19"/>
        <v>0</v>
      </c>
    </row>
    <row r="631" spans="1:12">
      <c r="A631" t="s">
        <v>3175</v>
      </c>
      <c r="B631" t="s">
        <v>944</v>
      </c>
      <c r="C631" t="s">
        <v>2805</v>
      </c>
      <c r="D631" t="s">
        <v>2806</v>
      </c>
      <c r="E631">
        <v>29</v>
      </c>
      <c r="F631">
        <v>0</v>
      </c>
      <c r="G631">
        <v>0</v>
      </c>
      <c r="H631">
        <f t="shared" si="18"/>
        <v>29</v>
      </c>
      <c r="I631">
        <v>0</v>
      </c>
      <c r="J631">
        <v>0</v>
      </c>
      <c r="K631">
        <v>0</v>
      </c>
      <c r="L631">
        <f t="shared" si="19"/>
        <v>0</v>
      </c>
    </row>
    <row r="632" spans="1:12">
      <c r="A632" t="s">
        <v>3175</v>
      </c>
      <c r="B632" t="s">
        <v>944</v>
      </c>
      <c r="C632" t="s">
        <v>2805</v>
      </c>
      <c r="D632" t="s">
        <v>449</v>
      </c>
      <c r="E632">
        <v>42</v>
      </c>
      <c r="F632">
        <v>0</v>
      </c>
      <c r="G632">
        <v>0</v>
      </c>
      <c r="H632">
        <f t="shared" si="18"/>
        <v>42</v>
      </c>
      <c r="I632">
        <v>0</v>
      </c>
      <c r="J632">
        <v>0</v>
      </c>
      <c r="K632">
        <v>0</v>
      </c>
      <c r="L632">
        <f t="shared" si="19"/>
        <v>0</v>
      </c>
    </row>
    <row r="633" spans="1:12">
      <c r="A633" t="s">
        <v>3175</v>
      </c>
      <c r="B633" t="s">
        <v>944</v>
      </c>
      <c r="C633" t="s">
        <v>2805</v>
      </c>
      <c r="D633" t="s">
        <v>2807</v>
      </c>
      <c r="E633">
        <v>14</v>
      </c>
      <c r="F633">
        <v>0</v>
      </c>
      <c r="G633">
        <v>0</v>
      </c>
      <c r="H633">
        <f t="shared" si="18"/>
        <v>14</v>
      </c>
      <c r="I633">
        <v>1</v>
      </c>
      <c r="J633">
        <v>0</v>
      </c>
      <c r="K633">
        <v>0</v>
      </c>
      <c r="L633">
        <f t="shared" si="19"/>
        <v>1</v>
      </c>
    </row>
    <row r="634" spans="1:12">
      <c r="A634" t="s">
        <v>3175</v>
      </c>
      <c r="B634" t="s">
        <v>944</v>
      </c>
      <c r="C634" t="s">
        <v>2810</v>
      </c>
      <c r="D634" t="s">
        <v>2811</v>
      </c>
      <c r="E634">
        <v>13</v>
      </c>
      <c r="F634">
        <v>0</v>
      </c>
      <c r="G634">
        <v>0</v>
      </c>
      <c r="H634">
        <f t="shared" si="18"/>
        <v>13</v>
      </c>
      <c r="I634">
        <v>1</v>
      </c>
      <c r="J634">
        <v>0</v>
      </c>
      <c r="K634">
        <v>0</v>
      </c>
      <c r="L634">
        <f t="shared" si="19"/>
        <v>1</v>
      </c>
    </row>
    <row r="635" spans="1:12">
      <c r="A635" t="s">
        <v>3175</v>
      </c>
      <c r="B635" t="s">
        <v>944</v>
      </c>
      <c r="C635" t="s">
        <v>2810</v>
      </c>
      <c r="D635" t="s">
        <v>2813</v>
      </c>
      <c r="E635">
        <v>2</v>
      </c>
      <c r="F635">
        <v>0</v>
      </c>
      <c r="G635">
        <v>0</v>
      </c>
      <c r="H635">
        <f t="shared" si="18"/>
        <v>2</v>
      </c>
      <c r="I635">
        <v>1</v>
      </c>
      <c r="J635">
        <v>0</v>
      </c>
      <c r="K635">
        <v>0</v>
      </c>
      <c r="L635">
        <f t="shared" si="19"/>
        <v>1</v>
      </c>
    </row>
    <row r="636" spans="1:12">
      <c r="A636" t="s">
        <v>3175</v>
      </c>
      <c r="B636" t="s">
        <v>944</v>
      </c>
      <c r="C636" t="s">
        <v>2816</v>
      </c>
      <c r="D636" t="s">
        <v>1897</v>
      </c>
      <c r="E636">
        <v>11</v>
      </c>
      <c r="F636">
        <v>0</v>
      </c>
      <c r="G636">
        <v>0</v>
      </c>
      <c r="H636">
        <f t="shared" si="18"/>
        <v>11</v>
      </c>
      <c r="I636">
        <v>0</v>
      </c>
      <c r="J636">
        <v>0</v>
      </c>
      <c r="K636">
        <v>0</v>
      </c>
      <c r="L636">
        <f t="shared" si="19"/>
        <v>0</v>
      </c>
    </row>
    <row r="637" spans="1:12">
      <c r="A637" t="s">
        <v>3175</v>
      </c>
      <c r="B637" t="s">
        <v>944</v>
      </c>
      <c r="C637" t="s">
        <v>2826</v>
      </c>
      <c r="D637" t="s">
        <v>2827</v>
      </c>
      <c r="E637">
        <v>0</v>
      </c>
      <c r="F637">
        <v>0</v>
      </c>
      <c r="G637">
        <v>0</v>
      </c>
      <c r="H637">
        <f t="shared" si="18"/>
        <v>0</v>
      </c>
      <c r="I637">
        <v>1</v>
      </c>
      <c r="J637">
        <v>0</v>
      </c>
      <c r="K637">
        <v>0</v>
      </c>
      <c r="L637">
        <f t="shared" si="19"/>
        <v>1</v>
      </c>
    </row>
    <row r="638" spans="1:12">
      <c r="A638" t="s">
        <v>3175</v>
      </c>
      <c r="B638" t="s">
        <v>944</v>
      </c>
      <c r="C638" t="s">
        <v>2826</v>
      </c>
      <c r="D638" t="s">
        <v>2884</v>
      </c>
      <c r="E638">
        <v>0</v>
      </c>
      <c r="F638">
        <v>0</v>
      </c>
      <c r="G638">
        <v>0</v>
      </c>
      <c r="H638">
        <f t="shared" si="18"/>
        <v>0</v>
      </c>
      <c r="I638">
        <v>1</v>
      </c>
      <c r="J638">
        <v>0</v>
      </c>
      <c r="K638">
        <v>0</v>
      </c>
      <c r="L638">
        <f t="shared" si="19"/>
        <v>1</v>
      </c>
    </row>
    <row r="639" spans="1:12">
      <c r="A639" t="s">
        <v>3175</v>
      </c>
      <c r="B639" t="s">
        <v>944</v>
      </c>
      <c r="C639" t="s">
        <v>2826</v>
      </c>
      <c r="D639" t="s">
        <v>2834</v>
      </c>
      <c r="E639">
        <v>0</v>
      </c>
      <c r="F639">
        <v>0</v>
      </c>
      <c r="G639">
        <v>0</v>
      </c>
      <c r="H639">
        <f t="shared" si="18"/>
        <v>0</v>
      </c>
      <c r="I639">
        <v>1</v>
      </c>
      <c r="J639">
        <v>0</v>
      </c>
      <c r="K639">
        <v>0</v>
      </c>
      <c r="L639">
        <f t="shared" si="19"/>
        <v>1</v>
      </c>
    </row>
    <row r="640" spans="1:12">
      <c r="A640" t="s">
        <v>3175</v>
      </c>
      <c r="B640" t="s">
        <v>944</v>
      </c>
      <c r="C640" t="s">
        <v>2826</v>
      </c>
      <c r="D640" t="s">
        <v>2835</v>
      </c>
      <c r="E640">
        <v>0</v>
      </c>
      <c r="F640">
        <v>0</v>
      </c>
      <c r="G640">
        <v>0</v>
      </c>
      <c r="H640">
        <f t="shared" si="18"/>
        <v>0</v>
      </c>
      <c r="I640">
        <v>1</v>
      </c>
      <c r="J640">
        <v>0</v>
      </c>
      <c r="K640">
        <v>0</v>
      </c>
      <c r="L640">
        <f t="shared" si="19"/>
        <v>1</v>
      </c>
    </row>
    <row r="641" spans="1:12">
      <c r="A641" t="s">
        <v>3175</v>
      </c>
      <c r="B641" t="s">
        <v>944</v>
      </c>
      <c r="C641" t="s">
        <v>2817</v>
      </c>
      <c r="D641" t="s">
        <v>2888</v>
      </c>
      <c r="E641">
        <v>4</v>
      </c>
      <c r="F641">
        <v>0</v>
      </c>
      <c r="G641">
        <v>0</v>
      </c>
      <c r="H641">
        <f t="shared" si="18"/>
        <v>4</v>
      </c>
      <c r="I641">
        <v>0</v>
      </c>
      <c r="J641">
        <v>0</v>
      </c>
      <c r="K641">
        <v>0</v>
      </c>
      <c r="L641">
        <f t="shared" si="19"/>
        <v>0</v>
      </c>
    </row>
    <row r="642" spans="1:12">
      <c r="A642" t="s">
        <v>3175</v>
      </c>
      <c r="B642" t="s">
        <v>944</v>
      </c>
      <c r="C642" t="s">
        <v>2817</v>
      </c>
      <c r="D642" t="s">
        <v>2909</v>
      </c>
      <c r="E642">
        <v>3</v>
      </c>
      <c r="F642">
        <v>0</v>
      </c>
      <c r="G642">
        <v>0</v>
      </c>
      <c r="H642">
        <f t="shared" si="18"/>
        <v>3</v>
      </c>
      <c r="I642">
        <v>5</v>
      </c>
      <c r="J642">
        <v>0</v>
      </c>
      <c r="K642">
        <v>0</v>
      </c>
      <c r="L642">
        <f t="shared" si="19"/>
        <v>5</v>
      </c>
    </row>
    <row r="643" spans="1:12">
      <c r="A643" t="s">
        <v>3176</v>
      </c>
      <c r="B643" t="s">
        <v>958</v>
      </c>
      <c r="C643" t="s">
        <v>2805</v>
      </c>
      <c r="D643" t="s">
        <v>2806</v>
      </c>
      <c r="E643">
        <v>2</v>
      </c>
      <c r="F643">
        <v>0</v>
      </c>
      <c r="G643">
        <v>0</v>
      </c>
      <c r="H643">
        <f t="shared" si="18"/>
        <v>2</v>
      </c>
      <c r="I643">
        <v>0</v>
      </c>
      <c r="J643">
        <v>0</v>
      </c>
      <c r="K643">
        <v>0</v>
      </c>
      <c r="L643">
        <f t="shared" si="19"/>
        <v>0</v>
      </c>
    </row>
    <row r="644" spans="1:12">
      <c r="A644" t="s">
        <v>3176</v>
      </c>
      <c r="B644" t="s">
        <v>958</v>
      </c>
      <c r="C644" t="s">
        <v>2805</v>
      </c>
      <c r="D644" t="s">
        <v>449</v>
      </c>
      <c r="E644">
        <v>66</v>
      </c>
      <c r="F644">
        <v>0</v>
      </c>
      <c r="G644">
        <v>0</v>
      </c>
      <c r="H644">
        <f t="shared" ref="H644:H707" si="20">SUM(E644:G644)</f>
        <v>66</v>
      </c>
      <c r="I644">
        <v>1</v>
      </c>
      <c r="J644">
        <v>0</v>
      </c>
      <c r="K644">
        <v>0</v>
      </c>
      <c r="L644">
        <f t="shared" ref="L644:L707" si="21">SUM(I644:K644)</f>
        <v>1</v>
      </c>
    </row>
    <row r="645" spans="1:12">
      <c r="A645" t="s">
        <v>3176</v>
      </c>
      <c r="B645" t="s">
        <v>958</v>
      </c>
      <c r="C645" t="s">
        <v>2805</v>
      </c>
      <c r="D645" t="s">
        <v>2807</v>
      </c>
      <c r="E645">
        <v>2</v>
      </c>
      <c r="F645">
        <v>0</v>
      </c>
      <c r="G645">
        <v>0</v>
      </c>
      <c r="H645">
        <f t="shared" si="20"/>
        <v>2</v>
      </c>
      <c r="I645">
        <v>0</v>
      </c>
      <c r="J645">
        <v>0</v>
      </c>
      <c r="K645">
        <v>0</v>
      </c>
      <c r="L645">
        <f t="shared" si="21"/>
        <v>0</v>
      </c>
    </row>
    <row r="646" spans="1:12">
      <c r="A646" t="s">
        <v>3176</v>
      </c>
      <c r="B646" t="s">
        <v>958</v>
      </c>
      <c r="C646" t="s">
        <v>2810</v>
      </c>
      <c r="D646" t="s">
        <v>2811</v>
      </c>
      <c r="E646">
        <v>7</v>
      </c>
      <c r="F646">
        <v>0</v>
      </c>
      <c r="G646">
        <v>0</v>
      </c>
      <c r="H646">
        <f t="shared" si="20"/>
        <v>7</v>
      </c>
      <c r="I646">
        <v>0</v>
      </c>
      <c r="J646">
        <v>0</v>
      </c>
      <c r="K646">
        <v>0</v>
      </c>
      <c r="L646">
        <f t="shared" si="21"/>
        <v>0</v>
      </c>
    </row>
    <row r="647" spans="1:12">
      <c r="A647" t="s">
        <v>3176</v>
      </c>
      <c r="B647" t="s">
        <v>958</v>
      </c>
      <c r="C647" t="s">
        <v>2810</v>
      </c>
      <c r="D647" t="s">
        <v>2812</v>
      </c>
      <c r="E647">
        <v>2</v>
      </c>
      <c r="F647">
        <v>0</v>
      </c>
      <c r="G647">
        <v>0</v>
      </c>
      <c r="H647">
        <f t="shared" si="20"/>
        <v>2</v>
      </c>
      <c r="I647">
        <v>0</v>
      </c>
      <c r="J647">
        <v>0</v>
      </c>
      <c r="K647">
        <v>0</v>
      </c>
      <c r="L647">
        <f t="shared" si="21"/>
        <v>0</v>
      </c>
    </row>
    <row r="648" spans="1:12">
      <c r="A648" t="s">
        <v>3176</v>
      </c>
      <c r="B648" t="s">
        <v>958</v>
      </c>
      <c r="C648" t="s">
        <v>2810</v>
      </c>
      <c r="D648" t="s">
        <v>2813</v>
      </c>
      <c r="E648">
        <v>26</v>
      </c>
      <c r="F648">
        <v>0</v>
      </c>
      <c r="G648">
        <v>0</v>
      </c>
      <c r="H648">
        <f t="shared" si="20"/>
        <v>26</v>
      </c>
      <c r="I648">
        <v>1</v>
      </c>
      <c r="J648">
        <v>0</v>
      </c>
      <c r="K648">
        <v>0</v>
      </c>
      <c r="L648">
        <f t="shared" si="21"/>
        <v>1</v>
      </c>
    </row>
    <row r="649" spans="1:12">
      <c r="A649" t="s">
        <v>3176</v>
      </c>
      <c r="B649" t="s">
        <v>958</v>
      </c>
      <c r="C649" t="s">
        <v>2810</v>
      </c>
      <c r="D649" t="s">
        <v>2847</v>
      </c>
      <c r="E649">
        <v>7</v>
      </c>
      <c r="F649">
        <v>0</v>
      </c>
      <c r="G649">
        <v>0</v>
      </c>
      <c r="H649">
        <f t="shared" si="20"/>
        <v>7</v>
      </c>
      <c r="I649">
        <v>0</v>
      </c>
      <c r="J649">
        <v>0</v>
      </c>
      <c r="K649">
        <v>0</v>
      </c>
      <c r="L649">
        <f t="shared" si="21"/>
        <v>0</v>
      </c>
    </row>
    <row r="650" spans="1:12">
      <c r="A650" t="s">
        <v>3176</v>
      </c>
      <c r="B650" t="s">
        <v>958</v>
      </c>
      <c r="C650" t="s">
        <v>2826</v>
      </c>
      <c r="D650" t="s">
        <v>2827</v>
      </c>
      <c r="E650">
        <v>0</v>
      </c>
      <c r="F650">
        <v>0</v>
      </c>
      <c r="G650">
        <v>0</v>
      </c>
      <c r="H650">
        <f t="shared" si="20"/>
        <v>0</v>
      </c>
      <c r="I650">
        <v>1</v>
      </c>
      <c r="J650">
        <v>0</v>
      </c>
      <c r="K650">
        <v>0</v>
      </c>
      <c r="L650">
        <f t="shared" si="21"/>
        <v>1</v>
      </c>
    </row>
    <row r="651" spans="1:12">
      <c r="A651" t="s">
        <v>3176</v>
      </c>
      <c r="B651" t="s">
        <v>958</v>
      </c>
      <c r="C651" t="s">
        <v>2826</v>
      </c>
      <c r="D651" t="s">
        <v>2891</v>
      </c>
      <c r="E651">
        <v>0</v>
      </c>
      <c r="F651">
        <v>0</v>
      </c>
      <c r="G651">
        <v>0</v>
      </c>
      <c r="H651">
        <f t="shared" si="20"/>
        <v>0</v>
      </c>
      <c r="I651">
        <v>1</v>
      </c>
      <c r="J651">
        <v>0</v>
      </c>
      <c r="K651">
        <v>0</v>
      </c>
      <c r="L651">
        <f t="shared" si="21"/>
        <v>1</v>
      </c>
    </row>
    <row r="652" spans="1:12">
      <c r="A652" t="s">
        <v>3176</v>
      </c>
      <c r="B652" t="s">
        <v>958</v>
      </c>
      <c r="C652" t="s">
        <v>2826</v>
      </c>
      <c r="D652" t="s">
        <v>2834</v>
      </c>
      <c r="E652">
        <v>0</v>
      </c>
      <c r="F652">
        <v>0</v>
      </c>
      <c r="G652">
        <v>0</v>
      </c>
      <c r="H652">
        <f t="shared" si="20"/>
        <v>0</v>
      </c>
      <c r="I652">
        <v>1</v>
      </c>
      <c r="J652">
        <v>0</v>
      </c>
      <c r="K652">
        <v>0</v>
      </c>
      <c r="L652">
        <f t="shared" si="21"/>
        <v>1</v>
      </c>
    </row>
    <row r="653" spans="1:12">
      <c r="A653" t="s">
        <v>3176</v>
      </c>
      <c r="B653" t="s">
        <v>958</v>
      </c>
      <c r="C653" t="s">
        <v>2817</v>
      </c>
      <c r="D653" t="s">
        <v>2888</v>
      </c>
      <c r="E653">
        <v>4</v>
      </c>
      <c r="F653">
        <v>0</v>
      </c>
      <c r="G653">
        <v>0</v>
      </c>
      <c r="H653">
        <f t="shared" si="20"/>
        <v>4</v>
      </c>
      <c r="I653">
        <v>0</v>
      </c>
      <c r="J653">
        <v>0</v>
      </c>
      <c r="K653">
        <v>0</v>
      </c>
      <c r="L653">
        <f t="shared" si="21"/>
        <v>0</v>
      </c>
    </row>
    <row r="654" spans="1:12">
      <c r="A654" t="s">
        <v>3176</v>
      </c>
      <c r="B654" t="s">
        <v>958</v>
      </c>
      <c r="C654" t="s">
        <v>2817</v>
      </c>
      <c r="D654" t="s">
        <v>2877</v>
      </c>
      <c r="E654">
        <v>0</v>
      </c>
      <c r="F654">
        <v>0</v>
      </c>
      <c r="G654">
        <v>0</v>
      </c>
      <c r="H654">
        <f t="shared" si="20"/>
        <v>0</v>
      </c>
      <c r="I654">
        <v>2</v>
      </c>
      <c r="J654">
        <v>0</v>
      </c>
      <c r="K654">
        <v>0</v>
      </c>
      <c r="L654">
        <f t="shared" si="21"/>
        <v>2</v>
      </c>
    </row>
    <row r="655" spans="1:12">
      <c r="A655" t="s">
        <v>3176</v>
      </c>
      <c r="B655" t="s">
        <v>958</v>
      </c>
      <c r="C655" t="s">
        <v>2817</v>
      </c>
      <c r="D655" t="s">
        <v>2837</v>
      </c>
      <c r="E655">
        <v>2</v>
      </c>
      <c r="F655">
        <v>0</v>
      </c>
      <c r="G655">
        <v>0</v>
      </c>
      <c r="H655">
        <f t="shared" si="20"/>
        <v>2</v>
      </c>
      <c r="I655">
        <v>0</v>
      </c>
      <c r="J655">
        <v>0</v>
      </c>
      <c r="K655">
        <v>0</v>
      </c>
      <c r="L655">
        <f t="shared" si="21"/>
        <v>0</v>
      </c>
    </row>
    <row r="656" spans="1:12">
      <c r="A656" t="s">
        <v>3176</v>
      </c>
      <c r="B656" t="s">
        <v>958</v>
      </c>
      <c r="C656" t="s">
        <v>2820</v>
      </c>
      <c r="D656" t="s">
        <v>2821</v>
      </c>
      <c r="E656">
        <v>0</v>
      </c>
      <c r="F656">
        <v>0</v>
      </c>
      <c r="G656">
        <v>0</v>
      </c>
      <c r="H656">
        <f t="shared" si="20"/>
        <v>0</v>
      </c>
      <c r="I656">
        <v>1</v>
      </c>
      <c r="J656">
        <v>0</v>
      </c>
      <c r="K656">
        <v>0</v>
      </c>
      <c r="L656">
        <f t="shared" si="21"/>
        <v>1</v>
      </c>
    </row>
    <row r="657" spans="1:12">
      <c r="A657" t="s">
        <v>3177</v>
      </c>
      <c r="B657" t="s">
        <v>964</v>
      </c>
      <c r="C657" t="s">
        <v>2805</v>
      </c>
      <c r="D657" t="s">
        <v>449</v>
      </c>
      <c r="E657">
        <v>44</v>
      </c>
      <c r="F657">
        <v>0</v>
      </c>
      <c r="G657">
        <v>0</v>
      </c>
      <c r="H657">
        <f t="shared" si="20"/>
        <v>44</v>
      </c>
      <c r="I657">
        <v>0</v>
      </c>
      <c r="J657">
        <v>0</v>
      </c>
      <c r="K657">
        <v>0</v>
      </c>
      <c r="L657">
        <f t="shared" si="21"/>
        <v>0</v>
      </c>
    </row>
    <row r="658" spans="1:12">
      <c r="A658" t="s">
        <v>3177</v>
      </c>
      <c r="B658" t="s">
        <v>964</v>
      </c>
      <c r="C658" t="s">
        <v>2805</v>
      </c>
      <c r="D658" t="s">
        <v>2807</v>
      </c>
      <c r="E658">
        <v>11</v>
      </c>
      <c r="F658">
        <v>0</v>
      </c>
      <c r="G658">
        <v>0</v>
      </c>
      <c r="H658">
        <f t="shared" si="20"/>
        <v>11</v>
      </c>
      <c r="I658">
        <v>0</v>
      </c>
      <c r="J658">
        <v>0</v>
      </c>
      <c r="K658">
        <v>0</v>
      </c>
      <c r="L658">
        <f t="shared" si="21"/>
        <v>0</v>
      </c>
    </row>
    <row r="659" spans="1:12">
      <c r="A659" t="s">
        <v>3177</v>
      </c>
      <c r="B659" t="s">
        <v>964</v>
      </c>
      <c r="C659" t="s">
        <v>2810</v>
      </c>
      <c r="D659" t="s">
        <v>2811</v>
      </c>
      <c r="E659">
        <v>11</v>
      </c>
      <c r="F659">
        <v>0</v>
      </c>
      <c r="G659">
        <v>0</v>
      </c>
      <c r="H659">
        <f t="shared" si="20"/>
        <v>11</v>
      </c>
      <c r="I659">
        <v>0</v>
      </c>
      <c r="J659">
        <v>0</v>
      </c>
      <c r="K659">
        <v>0</v>
      </c>
      <c r="L659">
        <f t="shared" si="21"/>
        <v>0</v>
      </c>
    </row>
    <row r="660" spans="1:12">
      <c r="A660" t="s">
        <v>3177</v>
      </c>
      <c r="B660" t="s">
        <v>964</v>
      </c>
      <c r="C660" t="s">
        <v>2826</v>
      </c>
      <c r="D660" t="s">
        <v>2871</v>
      </c>
      <c r="E660">
        <v>0</v>
      </c>
      <c r="F660">
        <v>0</v>
      </c>
      <c r="G660">
        <v>0</v>
      </c>
      <c r="H660">
        <f t="shared" si="20"/>
        <v>0</v>
      </c>
      <c r="I660">
        <v>1</v>
      </c>
      <c r="J660">
        <v>0</v>
      </c>
      <c r="K660">
        <v>0</v>
      </c>
      <c r="L660">
        <f t="shared" si="21"/>
        <v>1</v>
      </c>
    </row>
    <row r="661" spans="1:12">
      <c r="A661" t="s">
        <v>3177</v>
      </c>
      <c r="B661" t="s">
        <v>964</v>
      </c>
      <c r="C661" t="s">
        <v>2826</v>
      </c>
      <c r="D661" t="s">
        <v>2827</v>
      </c>
      <c r="E661">
        <v>0</v>
      </c>
      <c r="F661">
        <v>0</v>
      </c>
      <c r="G661">
        <v>0</v>
      </c>
      <c r="H661">
        <f t="shared" si="20"/>
        <v>0</v>
      </c>
      <c r="I661">
        <v>3</v>
      </c>
      <c r="J661">
        <v>0</v>
      </c>
      <c r="K661">
        <v>0</v>
      </c>
      <c r="L661">
        <f t="shared" si="21"/>
        <v>3</v>
      </c>
    </row>
    <row r="662" spans="1:12">
      <c r="A662" t="s">
        <v>3177</v>
      </c>
      <c r="B662" t="s">
        <v>964</v>
      </c>
      <c r="C662" t="s">
        <v>2826</v>
      </c>
      <c r="D662" t="s">
        <v>2828</v>
      </c>
      <c r="E662">
        <v>0</v>
      </c>
      <c r="F662">
        <v>0</v>
      </c>
      <c r="G662">
        <v>0</v>
      </c>
      <c r="H662">
        <f t="shared" si="20"/>
        <v>0</v>
      </c>
      <c r="I662">
        <v>1</v>
      </c>
      <c r="J662">
        <v>0</v>
      </c>
      <c r="K662">
        <v>0</v>
      </c>
      <c r="L662">
        <f t="shared" si="21"/>
        <v>1</v>
      </c>
    </row>
    <row r="663" spans="1:12">
      <c r="A663" t="s">
        <v>3177</v>
      </c>
      <c r="B663" t="s">
        <v>964</v>
      </c>
      <c r="C663" t="s">
        <v>2826</v>
      </c>
      <c r="D663" t="s">
        <v>2829</v>
      </c>
      <c r="E663">
        <v>0</v>
      </c>
      <c r="F663">
        <v>0</v>
      </c>
      <c r="G663">
        <v>0</v>
      </c>
      <c r="H663">
        <f t="shared" si="20"/>
        <v>0</v>
      </c>
      <c r="I663">
        <v>1</v>
      </c>
      <c r="J663">
        <v>0</v>
      </c>
      <c r="K663">
        <v>0</v>
      </c>
      <c r="L663">
        <f t="shared" si="21"/>
        <v>1</v>
      </c>
    </row>
    <row r="664" spans="1:12">
      <c r="A664" t="s">
        <v>3177</v>
      </c>
      <c r="B664" t="s">
        <v>964</v>
      </c>
      <c r="C664" t="s">
        <v>2826</v>
      </c>
      <c r="D664" t="s">
        <v>2891</v>
      </c>
      <c r="E664">
        <v>0</v>
      </c>
      <c r="F664">
        <v>0</v>
      </c>
      <c r="G664">
        <v>0</v>
      </c>
      <c r="H664">
        <f t="shared" si="20"/>
        <v>0</v>
      </c>
      <c r="I664">
        <v>1</v>
      </c>
      <c r="J664">
        <v>0</v>
      </c>
      <c r="K664">
        <v>0</v>
      </c>
      <c r="L664">
        <f t="shared" si="21"/>
        <v>1</v>
      </c>
    </row>
    <row r="665" spans="1:12">
      <c r="A665" t="s">
        <v>3177</v>
      </c>
      <c r="B665" t="s">
        <v>964</v>
      </c>
      <c r="C665" t="s">
        <v>2826</v>
      </c>
      <c r="D665" t="s">
        <v>2831</v>
      </c>
      <c r="E665">
        <v>0</v>
      </c>
      <c r="F665">
        <v>0</v>
      </c>
      <c r="G665">
        <v>0</v>
      </c>
      <c r="H665">
        <f t="shared" si="20"/>
        <v>0</v>
      </c>
      <c r="I665">
        <v>1</v>
      </c>
      <c r="J665">
        <v>0</v>
      </c>
      <c r="K665">
        <v>0</v>
      </c>
      <c r="L665">
        <f t="shared" si="21"/>
        <v>1</v>
      </c>
    </row>
    <row r="666" spans="1:12">
      <c r="A666" t="s">
        <v>3177</v>
      </c>
      <c r="B666" t="s">
        <v>964</v>
      </c>
      <c r="C666" t="s">
        <v>2826</v>
      </c>
      <c r="D666" t="s">
        <v>2843</v>
      </c>
      <c r="E666">
        <v>0</v>
      </c>
      <c r="F666">
        <v>0</v>
      </c>
      <c r="G666">
        <v>0</v>
      </c>
      <c r="H666">
        <f t="shared" si="20"/>
        <v>0</v>
      </c>
      <c r="I666">
        <v>6</v>
      </c>
      <c r="J666">
        <v>0</v>
      </c>
      <c r="K666">
        <v>0</v>
      </c>
      <c r="L666">
        <f t="shared" si="21"/>
        <v>6</v>
      </c>
    </row>
    <row r="667" spans="1:12">
      <c r="A667" t="s">
        <v>3177</v>
      </c>
      <c r="B667" t="s">
        <v>964</v>
      </c>
      <c r="C667" t="s">
        <v>2826</v>
      </c>
      <c r="D667" t="s">
        <v>2884</v>
      </c>
      <c r="E667">
        <v>0</v>
      </c>
      <c r="F667">
        <v>0</v>
      </c>
      <c r="G667">
        <v>0</v>
      </c>
      <c r="H667">
        <f t="shared" si="20"/>
        <v>0</v>
      </c>
      <c r="I667">
        <v>1</v>
      </c>
      <c r="J667">
        <v>0</v>
      </c>
      <c r="K667">
        <v>0</v>
      </c>
      <c r="L667">
        <f t="shared" si="21"/>
        <v>1</v>
      </c>
    </row>
    <row r="668" spans="1:12">
      <c r="A668" t="s">
        <v>3177</v>
      </c>
      <c r="B668" t="s">
        <v>964</v>
      </c>
      <c r="C668" t="s">
        <v>2826</v>
      </c>
      <c r="D668" t="s">
        <v>2885</v>
      </c>
      <c r="E668">
        <v>0</v>
      </c>
      <c r="F668">
        <v>0</v>
      </c>
      <c r="G668">
        <v>0</v>
      </c>
      <c r="H668">
        <f t="shared" si="20"/>
        <v>0</v>
      </c>
      <c r="I668">
        <v>1</v>
      </c>
      <c r="J668">
        <v>0</v>
      </c>
      <c r="K668">
        <v>0</v>
      </c>
      <c r="L668">
        <f t="shared" si="21"/>
        <v>1</v>
      </c>
    </row>
    <row r="669" spans="1:12">
      <c r="A669" t="s">
        <v>3177</v>
      </c>
      <c r="B669" t="s">
        <v>964</v>
      </c>
      <c r="C669" t="s">
        <v>2826</v>
      </c>
      <c r="D669" t="s">
        <v>2832</v>
      </c>
      <c r="E669">
        <v>0</v>
      </c>
      <c r="F669">
        <v>0</v>
      </c>
      <c r="G669">
        <v>0</v>
      </c>
      <c r="H669">
        <f t="shared" si="20"/>
        <v>0</v>
      </c>
      <c r="I669">
        <v>2</v>
      </c>
      <c r="J669">
        <v>0</v>
      </c>
      <c r="K669">
        <v>0</v>
      </c>
      <c r="L669">
        <f t="shared" si="21"/>
        <v>2</v>
      </c>
    </row>
    <row r="670" spans="1:12">
      <c r="A670" t="s">
        <v>3177</v>
      </c>
      <c r="B670" t="s">
        <v>964</v>
      </c>
      <c r="C670" t="s">
        <v>2826</v>
      </c>
      <c r="D670" t="s">
        <v>2834</v>
      </c>
      <c r="E670">
        <v>0</v>
      </c>
      <c r="F670">
        <v>0</v>
      </c>
      <c r="G670">
        <v>0</v>
      </c>
      <c r="H670">
        <f t="shared" si="20"/>
        <v>0</v>
      </c>
      <c r="I670">
        <v>2</v>
      </c>
      <c r="J670">
        <v>0</v>
      </c>
      <c r="K670">
        <v>0</v>
      </c>
      <c r="L670">
        <f t="shared" si="21"/>
        <v>2</v>
      </c>
    </row>
    <row r="671" spans="1:12">
      <c r="A671" t="s">
        <v>3177</v>
      </c>
      <c r="B671" t="s">
        <v>964</v>
      </c>
      <c r="C671" t="s">
        <v>2826</v>
      </c>
      <c r="D671" t="s">
        <v>2835</v>
      </c>
      <c r="E671">
        <v>0</v>
      </c>
      <c r="F671">
        <v>0</v>
      </c>
      <c r="G671">
        <v>0</v>
      </c>
      <c r="H671">
        <f t="shared" si="20"/>
        <v>0</v>
      </c>
      <c r="I671">
        <v>5</v>
      </c>
      <c r="J671">
        <v>0</v>
      </c>
      <c r="K671">
        <v>0</v>
      </c>
      <c r="L671">
        <f t="shared" si="21"/>
        <v>5</v>
      </c>
    </row>
    <row r="672" spans="1:12">
      <c r="A672" t="s">
        <v>3177</v>
      </c>
      <c r="B672" t="s">
        <v>964</v>
      </c>
      <c r="C672" t="s">
        <v>2826</v>
      </c>
      <c r="D672" t="s">
        <v>2849</v>
      </c>
      <c r="E672">
        <v>0</v>
      </c>
      <c r="F672">
        <v>0</v>
      </c>
      <c r="G672">
        <v>0</v>
      </c>
      <c r="H672">
        <f t="shared" si="20"/>
        <v>0</v>
      </c>
      <c r="I672">
        <v>1</v>
      </c>
      <c r="J672">
        <v>0</v>
      </c>
      <c r="K672">
        <v>0</v>
      </c>
      <c r="L672">
        <f t="shared" si="21"/>
        <v>1</v>
      </c>
    </row>
    <row r="673" spans="1:12">
      <c r="A673" t="s">
        <v>3178</v>
      </c>
      <c r="B673" t="s">
        <v>970</v>
      </c>
      <c r="C673" t="s">
        <v>2805</v>
      </c>
      <c r="D673" t="s">
        <v>2806</v>
      </c>
      <c r="E673">
        <v>8</v>
      </c>
      <c r="F673">
        <v>0</v>
      </c>
      <c r="G673">
        <v>0</v>
      </c>
      <c r="H673">
        <f t="shared" si="20"/>
        <v>8</v>
      </c>
      <c r="I673">
        <v>0</v>
      </c>
      <c r="J673">
        <v>0</v>
      </c>
      <c r="K673">
        <v>0</v>
      </c>
      <c r="L673">
        <f t="shared" si="21"/>
        <v>0</v>
      </c>
    </row>
    <row r="674" spans="1:12">
      <c r="A674" t="s">
        <v>3178</v>
      </c>
      <c r="B674" t="s">
        <v>970</v>
      </c>
      <c r="C674" t="s">
        <v>2805</v>
      </c>
      <c r="D674" t="s">
        <v>449</v>
      </c>
      <c r="E674">
        <v>48</v>
      </c>
      <c r="F674">
        <v>0</v>
      </c>
      <c r="G674">
        <v>0</v>
      </c>
      <c r="H674">
        <f t="shared" si="20"/>
        <v>48</v>
      </c>
      <c r="I674">
        <v>0</v>
      </c>
      <c r="J674">
        <v>0</v>
      </c>
      <c r="K674">
        <v>0</v>
      </c>
      <c r="L674">
        <f t="shared" si="21"/>
        <v>0</v>
      </c>
    </row>
    <row r="675" spans="1:12">
      <c r="A675" t="s">
        <v>3178</v>
      </c>
      <c r="B675" t="s">
        <v>970</v>
      </c>
      <c r="C675" t="s">
        <v>2805</v>
      </c>
      <c r="D675" t="s">
        <v>2807</v>
      </c>
      <c r="E675">
        <v>5</v>
      </c>
      <c r="F675">
        <v>0</v>
      </c>
      <c r="G675">
        <v>0</v>
      </c>
      <c r="H675">
        <f t="shared" si="20"/>
        <v>5</v>
      </c>
      <c r="I675">
        <v>0</v>
      </c>
      <c r="J675">
        <v>0</v>
      </c>
      <c r="K675">
        <v>0</v>
      </c>
      <c r="L675">
        <f t="shared" si="21"/>
        <v>0</v>
      </c>
    </row>
    <row r="676" spans="1:12">
      <c r="A676" t="s">
        <v>3178</v>
      </c>
      <c r="B676" t="s">
        <v>970</v>
      </c>
      <c r="C676" t="s">
        <v>2805</v>
      </c>
      <c r="D676" t="s">
        <v>2809</v>
      </c>
      <c r="E676">
        <v>2</v>
      </c>
      <c r="F676">
        <v>0</v>
      </c>
      <c r="G676">
        <v>0</v>
      </c>
      <c r="H676">
        <f t="shared" si="20"/>
        <v>2</v>
      </c>
      <c r="I676">
        <v>0</v>
      </c>
      <c r="J676">
        <v>0</v>
      </c>
      <c r="K676">
        <v>0</v>
      </c>
      <c r="L676">
        <f t="shared" si="21"/>
        <v>0</v>
      </c>
    </row>
    <row r="677" spans="1:12">
      <c r="A677" t="s">
        <v>3178</v>
      </c>
      <c r="B677" t="s">
        <v>970</v>
      </c>
      <c r="C677" t="s">
        <v>2805</v>
      </c>
      <c r="D677" t="s">
        <v>2846</v>
      </c>
      <c r="E677">
        <v>5</v>
      </c>
      <c r="F677">
        <v>0</v>
      </c>
      <c r="G677">
        <v>0</v>
      </c>
      <c r="H677">
        <f t="shared" si="20"/>
        <v>5</v>
      </c>
      <c r="I677">
        <v>0</v>
      </c>
      <c r="J677">
        <v>0</v>
      </c>
      <c r="K677">
        <v>0</v>
      </c>
      <c r="L677">
        <f t="shared" si="21"/>
        <v>0</v>
      </c>
    </row>
    <row r="678" spans="1:12">
      <c r="A678" t="s">
        <v>3178</v>
      </c>
      <c r="B678" t="s">
        <v>970</v>
      </c>
      <c r="C678" t="s">
        <v>2810</v>
      </c>
      <c r="D678" t="s">
        <v>2811</v>
      </c>
      <c r="E678">
        <v>46</v>
      </c>
      <c r="F678">
        <v>0</v>
      </c>
      <c r="G678">
        <v>0</v>
      </c>
      <c r="H678">
        <f t="shared" si="20"/>
        <v>46</v>
      </c>
      <c r="I678">
        <v>0</v>
      </c>
      <c r="J678">
        <v>0</v>
      </c>
      <c r="K678">
        <v>0</v>
      </c>
      <c r="L678">
        <f t="shared" si="21"/>
        <v>0</v>
      </c>
    </row>
    <row r="679" spans="1:12">
      <c r="A679" t="s">
        <v>3178</v>
      </c>
      <c r="B679" t="s">
        <v>970</v>
      </c>
      <c r="C679" t="s">
        <v>2810</v>
      </c>
      <c r="D679" t="s">
        <v>2812</v>
      </c>
      <c r="E679">
        <v>117</v>
      </c>
      <c r="F679">
        <v>0</v>
      </c>
      <c r="G679">
        <v>0</v>
      </c>
      <c r="H679">
        <f t="shared" si="20"/>
        <v>117</v>
      </c>
      <c r="I679">
        <v>5</v>
      </c>
      <c r="J679">
        <v>0</v>
      </c>
      <c r="K679">
        <v>0</v>
      </c>
      <c r="L679">
        <f t="shared" si="21"/>
        <v>5</v>
      </c>
    </row>
    <row r="680" spans="1:12">
      <c r="A680" t="s">
        <v>3178</v>
      </c>
      <c r="B680" t="s">
        <v>970</v>
      </c>
      <c r="C680" t="s">
        <v>2810</v>
      </c>
      <c r="D680" t="s">
        <v>2813</v>
      </c>
      <c r="E680">
        <v>6</v>
      </c>
      <c r="F680">
        <v>0</v>
      </c>
      <c r="G680">
        <v>0</v>
      </c>
      <c r="H680">
        <f t="shared" si="20"/>
        <v>6</v>
      </c>
      <c r="I680">
        <v>0</v>
      </c>
      <c r="J680">
        <v>0</v>
      </c>
      <c r="K680">
        <v>0</v>
      </c>
      <c r="L680">
        <f t="shared" si="21"/>
        <v>0</v>
      </c>
    </row>
    <row r="681" spans="1:12">
      <c r="A681" t="s">
        <v>3178</v>
      </c>
      <c r="B681" t="s">
        <v>970</v>
      </c>
      <c r="C681" t="s">
        <v>2810</v>
      </c>
      <c r="D681" t="s">
        <v>2814</v>
      </c>
      <c r="E681">
        <v>22</v>
      </c>
      <c r="F681">
        <v>0</v>
      </c>
      <c r="G681">
        <v>0</v>
      </c>
      <c r="H681">
        <f t="shared" si="20"/>
        <v>22</v>
      </c>
      <c r="I681">
        <v>0</v>
      </c>
      <c r="J681">
        <v>0</v>
      </c>
      <c r="K681">
        <v>0</v>
      </c>
      <c r="L681">
        <f t="shared" si="21"/>
        <v>0</v>
      </c>
    </row>
    <row r="682" spans="1:12">
      <c r="A682" t="s">
        <v>3178</v>
      </c>
      <c r="B682" t="s">
        <v>970</v>
      </c>
      <c r="C682" t="s">
        <v>2810</v>
      </c>
      <c r="D682" t="s">
        <v>2840</v>
      </c>
      <c r="E682">
        <v>1</v>
      </c>
      <c r="F682">
        <v>0</v>
      </c>
      <c r="G682">
        <v>0</v>
      </c>
      <c r="H682">
        <f t="shared" si="20"/>
        <v>1</v>
      </c>
      <c r="I682">
        <v>0</v>
      </c>
      <c r="J682">
        <v>0</v>
      </c>
      <c r="K682">
        <v>0</v>
      </c>
      <c r="L682">
        <f t="shared" si="21"/>
        <v>0</v>
      </c>
    </row>
    <row r="683" spans="1:12">
      <c r="A683" t="s">
        <v>3178</v>
      </c>
      <c r="B683" t="s">
        <v>970</v>
      </c>
      <c r="C683" t="s">
        <v>2810</v>
      </c>
      <c r="D683" t="s">
        <v>2815</v>
      </c>
      <c r="E683">
        <v>12</v>
      </c>
      <c r="F683">
        <v>0</v>
      </c>
      <c r="G683">
        <v>0</v>
      </c>
      <c r="H683">
        <f t="shared" si="20"/>
        <v>12</v>
      </c>
      <c r="I683">
        <v>0</v>
      </c>
      <c r="J683">
        <v>0</v>
      </c>
      <c r="K683">
        <v>0</v>
      </c>
      <c r="L683">
        <f t="shared" si="21"/>
        <v>0</v>
      </c>
    </row>
    <row r="684" spans="1:12">
      <c r="A684" t="s">
        <v>3181</v>
      </c>
      <c r="B684" t="s">
        <v>340</v>
      </c>
      <c r="C684" t="s">
        <v>2841</v>
      </c>
      <c r="D684" t="s">
        <v>2842</v>
      </c>
      <c r="E684">
        <v>0</v>
      </c>
      <c r="F684">
        <v>0</v>
      </c>
      <c r="G684">
        <v>0</v>
      </c>
      <c r="H684">
        <f t="shared" si="20"/>
        <v>0</v>
      </c>
      <c r="I684">
        <v>3</v>
      </c>
      <c r="J684">
        <v>0</v>
      </c>
      <c r="K684">
        <v>0</v>
      </c>
      <c r="L684">
        <f t="shared" si="21"/>
        <v>3</v>
      </c>
    </row>
    <row r="685" spans="1:12">
      <c r="A685" t="s">
        <v>3182</v>
      </c>
      <c r="B685" t="s">
        <v>984</v>
      </c>
      <c r="C685" t="s">
        <v>2805</v>
      </c>
      <c r="D685" t="s">
        <v>2806</v>
      </c>
      <c r="E685">
        <v>4</v>
      </c>
      <c r="F685">
        <v>0</v>
      </c>
      <c r="G685">
        <v>0</v>
      </c>
      <c r="H685">
        <f t="shared" si="20"/>
        <v>4</v>
      </c>
      <c r="I685">
        <v>0</v>
      </c>
      <c r="J685">
        <v>0</v>
      </c>
      <c r="K685">
        <v>0</v>
      </c>
      <c r="L685">
        <f t="shared" si="21"/>
        <v>0</v>
      </c>
    </row>
    <row r="686" spans="1:12">
      <c r="A686" t="s">
        <v>3182</v>
      </c>
      <c r="B686" t="s">
        <v>984</v>
      </c>
      <c r="C686" t="s">
        <v>2805</v>
      </c>
      <c r="D686" t="s">
        <v>449</v>
      </c>
      <c r="E686">
        <v>51</v>
      </c>
      <c r="F686">
        <v>0</v>
      </c>
      <c r="G686">
        <v>0</v>
      </c>
      <c r="H686">
        <f t="shared" si="20"/>
        <v>51</v>
      </c>
      <c r="I686">
        <v>0</v>
      </c>
      <c r="J686">
        <v>0</v>
      </c>
      <c r="K686">
        <v>0</v>
      </c>
      <c r="L686">
        <f t="shared" si="21"/>
        <v>0</v>
      </c>
    </row>
    <row r="687" spans="1:12">
      <c r="A687" t="s">
        <v>3182</v>
      </c>
      <c r="B687" t="s">
        <v>984</v>
      </c>
      <c r="C687" t="s">
        <v>2805</v>
      </c>
      <c r="D687" t="s">
        <v>2807</v>
      </c>
      <c r="E687">
        <v>26</v>
      </c>
      <c r="F687">
        <v>0</v>
      </c>
      <c r="G687">
        <v>0</v>
      </c>
      <c r="H687">
        <f t="shared" si="20"/>
        <v>26</v>
      </c>
      <c r="I687">
        <v>0</v>
      </c>
      <c r="J687">
        <v>0</v>
      </c>
      <c r="K687">
        <v>0</v>
      </c>
      <c r="L687">
        <f t="shared" si="21"/>
        <v>0</v>
      </c>
    </row>
    <row r="688" spans="1:12">
      <c r="A688" t="s">
        <v>3182</v>
      </c>
      <c r="B688" t="s">
        <v>984</v>
      </c>
      <c r="C688" t="s">
        <v>2810</v>
      </c>
      <c r="D688" t="s">
        <v>2812</v>
      </c>
      <c r="E688">
        <v>2</v>
      </c>
      <c r="F688">
        <v>0</v>
      </c>
      <c r="G688">
        <v>0</v>
      </c>
      <c r="H688">
        <f t="shared" si="20"/>
        <v>2</v>
      </c>
      <c r="I688">
        <v>0</v>
      </c>
      <c r="J688">
        <v>0</v>
      </c>
      <c r="K688">
        <v>0</v>
      </c>
      <c r="L688">
        <f t="shared" si="21"/>
        <v>0</v>
      </c>
    </row>
    <row r="689" spans="1:12">
      <c r="A689" t="s">
        <v>3182</v>
      </c>
      <c r="B689" t="s">
        <v>984</v>
      </c>
      <c r="C689" t="s">
        <v>2810</v>
      </c>
      <c r="D689" t="s">
        <v>2813</v>
      </c>
      <c r="E689">
        <v>7</v>
      </c>
      <c r="F689">
        <v>0</v>
      </c>
      <c r="G689">
        <v>0</v>
      </c>
      <c r="H689">
        <f t="shared" si="20"/>
        <v>7</v>
      </c>
      <c r="I689">
        <v>0</v>
      </c>
      <c r="J689">
        <v>0</v>
      </c>
      <c r="K689">
        <v>0</v>
      </c>
      <c r="L689">
        <f t="shared" si="21"/>
        <v>0</v>
      </c>
    </row>
    <row r="690" spans="1:12">
      <c r="A690" t="s">
        <v>3182</v>
      </c>
      <c r="B690" t="s">
        <v>984</v>
      </c>
      <c r="C690" t="s">
        <v>2810</v>
      </c>
      <c r="D690" t="s">
        <v>2814</v>
      </c>
      <c r="E690">
        <v>5</v>
      </c>
      <c r="F690">
        <v>0</v>
      </c>
      <c r="G690">
        <v>0</v>
      </c>
      <c r="H690">
        <f t="shared" si="20"/>
        <v>5</v>
      </c>
      <c r="I690">
        <v>0</v>
      </c>
      <c r="J690">
        <v>0</v>
      </c>
      <c r="K690">
        <v>0</v>
      </c>
      <c r="L690">
        <f t="shared" si="21"/>
        <v>0</v>
      </c>
    </row>
    <row r="691" spans="1:12">
      <c r="A691" t="s">
        <v>3182</v>
      </c>
      <c r="B691" t="s">
        <v>984</v>
      </c>
      <c r="C691" t="s">
        <v>2810</v>
      </c>
      <c r="D691" t="s">
        <v>2815</v>
      </c>
      <c r="E691">
        <v>8</v>
      </c>
      <c r="F691">
        <v>0</v>
      </c>
      <c r="G691">
        <v>0</v>
      </c>
      <c r="H691">
        <f t="shared" si="20"/>
        <v>8</v>
      </c>
      <c r="I691">
        <v>2</v>
      </c>
      <c r="J691">
        <v>0</v>
      </c>
      <c r="K691">
        <v>0</v>
      </c>
      <c r="L691">
        <f t="shared" si="21"/>
        <v>2</v>
      </c>
    </row>
    <row r="692" spans="1:12">
      <c r="A692" t="s">
        <v>3182</v>
      </c>
      <c r="B692" t="s">
        <v>984</v>
      </c>
      <c r="C692" t="s">
        <v>2826</v>
      </c>
      <c r="D692" t="s">
        <v>2871</v>
      </c>
      <c r="E692">
        <v>0</v>
      </c>
      <c r="F692">
        <v>0</v>
      </c>
      <c r="G692">
        <v>0</v>
      </c>
      <c r="H692">
        <f t="shared" si="20"/>
        <v>0</v>
      </c>
      <c r="I692">
        <v>1</v>
      </c>
      <c r="J692">
        <v>0</v>
      </c>
      <c r="K692">
        <v>0</v>
      </c>
      <c r="L692">
        <f t="shared" si="21"/>
        <v>1</v>
      </c>
    </row>
    <row r="693" spans="1:12">
      <c r="A693" t="s">
        <v>3182</v>
      </c>
      <c r="B693" t="s">
        <v>984</v>
      </c>
      <c r="C693" t="s">
        <v>2826</v>
      </c>
      <c r="D693" t="s">
        <v>2827</v>
      </c>
      <c r="E693">
        <v>0</v>
      </c>
      <c r="F693">
        <v>0</v>
      </c>
      <c r="G693">
        <v>0</v>
      </c>
      <c r="H693">
        <f t="shared" si="20"/>
        <v>0</v>
      </c>
      <c r="I693">
        <v>1</v>
      </c>
      <c r="J693">
        <v>0</v>
      </c>
      <c r="K693">
        <v>0</v>
      </c>
      <c r="L693">
        <f t="shared" si="21"/>
        <v>1</v>
      </c>
    </row>
    <row r="694" spans="1:12">
      <c r="A694" t="s">
        <v>3182</v>
      </c>
      <c r="B694" t="s">
        <v>984</v>
      </c>
      <c r="C694" t="s">
        <v>2826</v>
      </c>
      <c r="D694" t="s">
        <v>2828</v>
      </c>
      <c r="E694">
        <v>0</v>
      </c>
      <c r="F694">
        <v>0</v>
      </c>
      <c r="G694">
        <v>0</v>
      </c>
      <c r="H694">
        <f t="shared" si="20"/>
        <v>0</v>
      </c>
      <c r="I694">
        <v>1</v>
      </c>
      <c r="J694">
        <v>0</v>
      </c>
      <c r="K694">
        <v>0</v>
      </c>
      <c r="L694">
        <f t="shared" si="21"/>
        <v>1</v>
      </c>
    </row>
    <row r="695" spans="1:12">
      <c r="A695" t="s">
        <v>3182</v>
      </c>
      <c r="B695" t="s">
        <v>984</v>
      </c>
      <c r="C695" t="s">
        <v>2826</v>
      </c>
      <c r="D695" t="s">
        <v>2833</v>
      </c>
      <c r="E695">
        <v>0</v>
      </c>
      <c r="F695">
        <v>0</v>
      </c>
      <c r="G695">
        <v>0</v>
      </c>
      <c r="H695">
        <f t="shared" si="20"/>
        <v>0</v>
      </c>
      <c r="I695">
        <v>1</v>
      </c>
      <c r="J695">
        <v>0</v>
      </c>
      <c r="K695">
        <v>0</v>
      </c>
      <c r="L695">
        <f t="shared" si="21"/>
        <v>1</v>
      </c>
    </row>
    <row r="696" spans="1:12">
      <c r="A696" t="s">
        <v>3182</v>
      </c>
      <c r="B696" t="s">
        <v>984</v>
      </c>
      <c r="C696" t="s">
        <v>2826</v>
      </c>
      <c r="D696" t="s">
        <v>2834</v>
      </c>
      <c r="E696">
        <v>0</v>
      </c>
      <c r="F696">
        <v>0</v>
      </c>
      <c r="G696">
        <v>0</v>
      </c>
      <c r="H696">
        <f t="shared" si="20"/>
        <v>0</v>
      </c>
      <c r="I696">
        <v>3</v>
      </c>
      <c r="J696">
        <v>0</v>
      </c>
      <c r="K696">
        <v>0</v>
      </c>
      <c r="L696">
        <f t="shared" si="21"/>
        <v>3</v>
      </c>
    </row>
    <row r="697" spans="1:12">
      <c r="A697" t="s">
        <v>3182</v>
      </c>
      <c r="B697" t="s">
        <v>984</v>
      </c>
      <c r="C697" t="s">
        <v>2826</v>
      </c>
      <c r="D697" t="s">
        <v>2849</v>
      </c>
      <c r="E697">
        <v>0</v>
      </c>
      <c r="F697">
        <v>0</v>
      </c>
      <c r="G697">
        <v>0</v>
      </c>
      <c r="H697">
        <f t="shared" si="20"/>
        <v>0</v>
      </c>
      <c r="I697">
        <v>1</v>
      </c>
      <c r="J697">
        <v>0</v>
      </c>
      <c r="K697">
        <v>0</v>
      </c>
      <c r="L697">
        <f t="shared" si="21"/>
        <v>1</v>
      </c>
    </row>
    <row r="698" spans="1:12">
      <c r="A698" t="s">
        <v>3182</v>
      </c>
      <c r="B698" t="s">
        <v>984</v>
      </c>
      <c r="C698" t="s">
        <v>2817</v>
      </c>
      <c r="D698" t="s">
        <v>2888</v>
      </c>
      <c r="E698">
        <v>2</v>
      </c>
      <c r="F698">
        <v>0</v>
      </c>
      <c r="G698">
        <v>0</v>
      </c>
      <c r="H698">
        <f t="shared" si="20"/>
        <v>2</v>
      </c>
      <c r="I698">
        <v>0</v>
      </c>
      <c r="J698">
        <v>0</v>
      </c>
      <c r="K698">
        <v>0</v>
      </c>
      <c r="L698">
        <f t="shared" si="21"/>
        <v>0</v>
      </c>
    </row>
    <row r="699" spans="1:12">
      <c r="A699" t="s">
        <v>3182</v>
      </c>
      <c r="B699" t="s">
        <v>984</v>
      </c>
      <c r="C699" t="s">
        <v>2817</v>
      </c>
      <c r="D699" t="s">
        <v>2818</v>
      </c>
      <c r="E699">
        <v>2</v>
      </c>
      <c r="F699">
        <v>0</v>
      </c>
      <c r="G699">
        <v>0</v>
      </c>
      <c r="H699">
        <f t="shared" si="20"/>
        <v>2</v>
      </c>
      <c r="I699">
        <v>0</v>
      </c>
      <c r="J699">
        <v>0</v>
      </c>
      <c r="K699">
        <v>0</v>
      </c>
      <c r="L699">
        <f t="shared" si="21"/>
        <v>0</v>
      </c>
    </row>
    <row r="700" spans="1:12">
      <c r="A700" t="s">
        <v>3182</v>
      </c>
      <c r="B700" t="s">
        <v>984</v>
      </c>
      <c r="C700" t="s">
        <v>2817</v>
      </c>
      <c r="D700" t="s">
        <v>2837</v>
      </c>
      <c r="E700">
        <v>5</v>
      </c>
      <c r="F700">
        <v>0</v>
      </c>
      <c r="G700">
        <v>0</v>
      </c>
      <c r="H700">
        <f t="shared" si="20"/>
        <v>5</v>
      </c>
      <c r="I700">
        <v>0</v>
      </c>
      <c r="J700">
        <v>0</v>
      </c>
      <c r="K700">
        <v>0</v>
      </c>
      <c r="L700">
        <f t="shared" si="21"/>
        <v>0</v>
      </c>
    </row>
    <row r="701" spans="1:12">
      <c r="A701" t="s">
        <v>3182</v>
      </c>
      <c r="B701" t="s">
        <v>984</v>
      </c>
      <c r="C701" t="s">
        <v>2817</v>
      </c>
      <c r="D701" t="s">
        <v>2819</v>
      </c>
      <c r="E701">
        <v>1</v>
      </c>
      <c r="F701">
        <v>0</v>
      </c>
      <c r="G701">
        <v>0</v>
      </c>
      <c r="H701">
        <f t="shared" si="20"/>
        <v>1</v>
      </c>
      <c r="I701">
        <v>0</v>
      </c>
      <c r="J701">
        <v>0</v>
      </c>
      <c r="K701">
        <v>0</v>
      </c>
      <c r="L701">
        <f t="shared" si="21"/>
        <v>0</v>
      </c>
    </row>
    <row r="702" spans="1:12">
      <c r="A702" t="s">
        <v>3182</v>
      </c>
      <c r="B702" t="s">
        <v>984</v>
      </c>
      <c r="C702" t="s">
        <v>2820</v>
      </c>
      <c r="D702" t="s">
        <v>2952</v>
      </c>
      <c r="E702">
        <v>1</v>
      </c>
      <c r="F702">
        <v>0</v>
      </c>
      <c r="G702">
        <v>0</v>
      </c>
      <c r="H702">
        <f t="shared" si="20"/>
        <v>1</v>
      </c>
      <c r="I702">
        <v>0</v>
      </c>
      <c r="J702">
        <v>0</v>
      </c>
      <c r="K702">
        <v>0</v>
      </c>
      <c r="L702">
        <f t="shared" si="21"/>
        <v>0</v>
      </c>
    </row>
    <row r="703" spans="1:12">
      <c r="A703" t="s">
        <v>3182</v>
      </c>
      <c r="B703" t="s">
        <v>984</v>
      </c>
      <c r="C703" t="s">
        <v>2820</v>
      </c>
      <c r="D703" t="s">
        <v>2821</v>
      </c>
      <c r="E703">
        <v>4</v>
      </c>
      <c r="F703">
        <v>0</v>
      </c>
      <c r="G703">
        <v>0</v>
      </c>
      <c r="H703">
        <f t="shared" si="20"/>
        <v>4</v>
      </c>
      <c r="I703">
        <v>0</v>
      </c>
      <c r="J703">
        <v>0</v>
      </c>
      <c r="K703">
        <v>0</v>
      </c>
      <c r="L703">
        <f t="shared" si="21"/>
        <v>0</v>
      </c>
    </row>
    <row r="704" spans="1:12">
      <c r="A704" t="s">
        <v>3183</v>
      </c>
      <c r="B704" t="s">
        <v>997</v>
      </c>
      <c r="C704" t="s">
        <v>2805</v>
      </c>
      <c r="D704" t="s">
        <v>2806</v>
      </c>
      <c r="E704">
        <v>312</v>
      </c>
      <c r="F704">
        <v>0</v>
      </c>
      <c r="G704">
        <v>0</v>
      </c>
      <c r="H704">
        <f t="shared" si="20"/>
        <v>312</v>
      </c>
      <c r="I704">
        <v>0</v>
      </c>
      <c r="J704">
        <v>0</v>
      </c>
      <c r="K704">
        <v>0</v>
      </c>
      <c r="L704">
        <f t="shared" si="21"/>
        <v>0</v>
      </c>
    </row>
    <row r="705" spans="1:12">
      <c r="A705" t="s">
        <v>3183</v>
      </c>
      <c r="B705" t="s">
        <v>997</v>
      </c>
      <c r="C705" t="s">
        <v>2805</v>
      </c>
      <c r="D705" t="s">
        <v>449</v>
      </c>
      <c r="E705">
        <v>451</v>
      </c>
      <c r="F705">
        <v>0</v>
      </c>
      <c r="G705">
        <v>0</v>
      </c>
      <c r="H705">
        <f t="shared" si="20"/>
        <v>451</v>
      </c>
      <c r="I705">
        <v>0</v>
      </c>
      <c r="J705">
        <v>0</v>
      </c>
      <c r="K705">
        <v>0</v>
      </c>
      <c r="L705">
        <f t="shared" si="21"/>
        <v>0</v>
      </c>
    </row>
    <row r="706" spans="1:12">
      <c r="A706" t="s">
        <v>3183</v>
      </c>
      <c r="B706" t="s">
        <v>997</v>
      </c>
      <c r="C706" t="s">
        <v>2805</v>
      </c>
      <c r="D706" t="s">
        <v>2807</v>
      </c>
      <c r="E706">
        <v>7</v>
      </c>
      <c r="F706">
        <v>0</v>
      </c>
      <c r="G706">
        <v>0</v>
      </c>
      <c r="H706">
        <f t="shared" si="20"/>
        <v>7</v>
      </c>
      <c r="I706">
        <v>0</v>
      </c>
      <c r="J706">
        <v>0</v>
      </c>
      <c r="K706">
        <v>0</v>
      </c>
      <c r="L706">
        <f t="shared" si="21"/>
        <v>0</v>
      </c>
    </row>
    <row r="707" spans="1:12">
      <c r="A707" t="s">
        <v>3183</v>
      </c>
      <c r="B707" t="s">
        <v>997</v>
      </c>
      <c r="C707" t="s">
        <v>2810</v>
      </c>
      <c r="D707" t="s">
        <v>2811</v>
      </c>
      <c r="E707">
        <v>26</v>
      </c>
      <c r="F707">
        <v>0</v>
      </c>
      <c r="G707">
        <v>0</v>
      </c>
      <c r="H707">
        <f t="shared" si="20"/>
        <v>26</v>
      </c>
      <c r="I707">
        <v>0</v>
      </c>
      <c r="J707">
        <v>0</v>
      </c>
      <c r="K707">
        <v>0</v>
      </c>
      <c r="L707">
        <f t="shared" si="21"/>
        <v>0</v>
      </c>
    </row>
    <row r="708" spans="1:12">
      <c r="A708" t="s">
        <v>3183</v>
      </c>
      <c r="B708" t="s">
        <v>997</v>
      </c>
      <c r="C708" t="s">
        <v>2810</v>
      </c>
      <c r="D708" t="s">
        <v>2815</v>
      </c>
      <c r="E708">
        <v>1</v>
      </c>
      <c r="F708">
        <v>0</v>
      </c>
      <c r="G708">
        <v>0</v>
      </c>
      <c r="H708">
        <f t="shared" ref="H708:H771" si="22">SUM(E708:G708)</f>
        <v>1</v>
      </c>
      <c r="I708">
        <v>0</v>
      </c>
      <c r="J708">
        <v>0</v>
      </c>
      <c r="K708">
        <v>0</v>
      </c>
      <c r="L708">
        <f t="shared" ref="L708:L771" si="23">SUM(I708:K708)</f>
        <v>0</v>
      </c>
    </row>
    <row r="709" spans="1:12">
      <c r="A709" t="s">
        <v>3183</v>
      </c>
      <c r="B709" t="s">
        <v>997</v>
      </c>
      <c r="C709" t="s">
        <v>2816</v>
      </c>
      <c r="D709" t="s">
        <v>1897</v>
      </c>
      <c r="E709">
        <v>99</v>
      </c>
      <c r="F709">
        <v>0</v>
      </c>
      <c r="G709">
        <v>0</v>
      </c>
      <c r="H709">
        <f t="shared" si="22"/>
        <v>99</v>
      </c>
      <c r="I709">
        <v>0</v>
      </c>
      <c r="J709">
        <v>0</v>
      </c>
      <c r="K709">
        <v>0</v>
      </c>
      <c r="L709">
        <f t="shared" si="23"/>
        <v>0</v>
      </c>
    </row>
    <row r="710" spans="1:12">
      <c r="A710" t="s">
        <v>3183</v>
      </c>
      <c r="B710" t="s">
        <v>997</v>
      </c>
      <c r="C710" t="s">
        <v>2817</v>
      </c>
      <c r="D710" t="s">
        <v>2888</v>
      </c>
      <c r="E710">
        <v>10</v>
      </c>
      <c r="F710">
        <v>0</v>
      </c>
      <c r="G710">
        <v>0</v>
      </c>
      <c r="H710">
        <f t="shared" si="22"/>
        <v>10</v>
      </c>
      <c r="I710">
        <v>0</v>
      </c>
      <c r="J710">
        <v>0</v>
      </c>
      <c r="K710">
        <v>0</v>
      </c>
      <c r="L710">
        <f t="shared" si="23"/>
        <v>0</v>
      </c>
    </row>
    <row r="711" spans="1:12">
      <c r="A711" t="s">
        <v>3183</v>
      </c>
      <c r="B711" t="s">
        <v>997</v>
      </c>
      <c r="C711" t="s">
        <v>2817</v>
      </c>
      <c r="D711" t="s">
        <v>2818</v>
      </c>
      <c r="E711">
        <v>83</v>
      </c>
      <c r="F711">
        <v>0</v>
      </c>
      <c r="G711">
        <v>0</v>
      </c>
      <c r="H711">
        <f t="shared" si="22"/>
        <v>83</v>
      </c>
      <c r="I711">
        <v>0</v>
      </c>
      <c r="J711">
        <v>0</v>
      </c>
      <c r="K711">
        <v>0</v>
      </c>
      <c r="L711">
        <f t="shared" si="23"/>
        <v>0</v>
      </c>
    </row>
    <row r="712" spans="1:12">
      <c r="A712" t="s">
        <v>3183</v>
      </c>
      <c r="B712" t="s">
        <v>997</v>
      </c>
      <c r="C712" t="s">
        <v>2817</v>
      </c>
      <c r="D712" t="s">
        <v>2837</v>
      </c>
      <c r="E712">
        <v>28</v>
      </c>
      <c r="F712">
        <v>0</v>
      </c>
      <c r="G712">
        <v>0</v>
      </c>
      <c r="H712">
        <f t="shared" si="22"/>
        <v>28</v>
      </c>
      <c r="I712">
        <v>0</v>
      </c>
      <c r="J712">
        <v>0</v>
      </c>
      <c r="K712">
        <v>0</v>
      </c>
      <c r="L712">
        <f t="shared" si="23"/>
        <v>0</v>
      </c>
    </row>
    <row r="713" spans="1:12">
      <c r="A713" t="s">
        <v>3184</v>
      </c>
      <c r="B713" t="s">
        <v>993</v>
      </c>
      <c r="C713" t="s">
        <v>2805</v>
      </c>
      <c r="D713" t="s">
        <v>2806</v>
      </c>
      <c r="E713">
        <v>293</v>
      </c>
      <c r="F713">
        <v>0</v>
      </c>
      <c r="G713">
        <v>0</v>
      </c>
      <c r="H713">
        <f t="shared" si="22"/>
        <v>293</v>
      </c>
      <c r="I713">
        <v>1</v>
      </c>
      <c r="J713">
        <v>0</v>
      </c>
      <c r="K713">
        <v>0</v>
      </c>
      <c r="L713">
        <f t="shared" si="23"/>
        <v>1</v>
      </c>
    </row>
    <row r="714" spans="1:12">
      <c r="A714" t="s">
        <v>3184</v>
      </c>
      <c r="B714" t="s">
        <v>993</v>
      </c>
      <c r="C714" t="s">
        <v>2805</v>
      </c>
      <c r="D714" t="s">
        <v>449</v>
      </c>
      <c r="E714">
        <v>513</v>
      </c>
      <c r="F714">
        <v>1</v>
      </c>
      <c r="G714">
        <v>0</v>
      </c>
      <c r="H714">
        <f t="shared" si="22"/>
        <v>514</v>
      </c>
      <c r="I714">
        <v>0</v>
      </c>
      <c r="J714">
        <v>0</v>
      </c>
      <c r="K714">
        <v>0</v>
      </c>
      <c r="L714">
        <f t="shared" si="23"/>
        <v>0</v>
      </c>
    </row>
    <row r="715" spans="1:12">
      <c r="A715" t="s">
        <v>3184</v>
      </c>
      <c r="B715" t="s">
        <v>993</v>
      </c>
      <c r="C715" t="s">
        <v>2805</v>
      </c>
      <c r="D715" t="s">
        <v>2807</v>
      </c>
      <c r="E715">
        <v>7</v>
      </c>
      <c r="F715">
        <v>0</v>
      </c>
      <c r="G715">
        <v>0</v>
      </c>
      <c r="H715">
        <f t="shared" si="22"/>
        <v>7</v>
      </c>
      <c r="I715">
        <v>0</v>
      </c>
      <c r="J715">
        <v>0</v>
      </c>
      <c r="K715">
        <v>0</v>
      </c>
      <c r="L715">
        <f t="shared" si="23"/>
        <v>0</v>
      </c>
    </row>
    <row r="716" spans="1:12">
      <c r="A716" t="s">
        <v>3184</v>
      </c>
      <c r="B716" t="s">
        <v>993</v>
      </c>
      <c r="C716" t="s">
        <v>2810</v>
      </c>
      <c r="D716" t="s">
        <v>2811</v>
      </c>
      <c r="E716">
        <v>30</v>
      </c>
      <c r="F716">
        <v>0</v>
      </c>
      <c r="G716">
        <v>0</v>
      </c>
      <c r="H716">
        <f t="shared" si="22"/>
        <v>30</v>
      </c>
      <c r="I716">
        <v>0</v>
      </c>
      <c r="J716">
        <v>0</v>
      </c>
      <c r="K716">
        <v>0</v>
      </c>
      <c r="L716">
        <f t="shared" si="23"/>
        <v>0</v>
      </c>
    </row>
    <row r="717" spans="1:12">
      <c r="A717" t="s">
        <v>3184</v>
      </c>
      <c r="B717" t="s">
        <v>993</v>
      </c>
      <c r="C717" t="s">
        <v>2810</v>
      </c>
      <c r="D717" t="s">
        <v>2812</v>
      </c>
      <c r="E717">
        <v>2</v>
      </c>
      <c r="F717">
        <v>0</v>
      </c>
      <c r="G717">
        <v>0</v>
      </c>
      <c r="H717">
        <f t="shared" si="22"/>
        <v>2</v>
      </c>
      <c r="I717">
        <v>0</v>
      </c>
      <c r="J717">
        <v>0</v>
      </c>
      <c r="K717">
        <v>0</v>
      </c>
      <c r="L717">
        <f t="shared" si="23"/>
        <v>0</v>
      </c>
    </row>
    <row r="718" spans="1:12">
      <c r="A718" t="s">
        <v>3184</v>
      </c>
      <c r="B718" t="s">
        <v>993</v>
      </c>
      <c r="C718" t="s">
        <v>2810</v>
      </c>
      <c r="D718" t="s">
        <v>2813</v>
      </c>
      <c r="E718">
        <v>3</v>
      </c>
      <c r="F718">
        <v>0</v>
      </c>
      <c r="G718">
        <v>0</v>
      </c>
      <c r="H718">
        <f t="shared" si="22"/>
        <v>3</v>
      </c>
      <c r="I718">
        <v>0</v>
      </c>
      <c r="J718">
        <v>0</v>
      </c>
      <c r="K718">
        <v>0</v>
      </c>
      <c r="L718">
        <f t="shared" si="23"/>
        <v>0</v>
      </c>
    </row>
    <row r="719" spans="1:12">
      <c r="A719" t="s">
        <v>3184</v>
      </c>
      <c r="B719" t="s">
        <v>993</v>
      </c>
      <c r="C719" t="s">
        <v>2810</v>
      </c>
      <c r="D719" t="s">
        <v>2814</v>
      </c>
      <c r="E719">
        <v>5</v>
      </c>
      <c r="F719">
        <v>0</v>
      </c>
      <c r="G719">
        <v>0</v>
      </c>
      <c r="H719">
        <f t="shared" si="22"/>
        <v>5</v>
      </c>
      <c r="I719">
        <v>0</v>
      </c>
      <c r="J719">
        <v>0</v>
      </c>
      <c r="K719">
        <v>0</v>
      </c>
      <c r="L719">
        <f t="shared" si="23"/>
        <v>0</v>
      </c>
    </row>
    <row r="720" spans="1:12">
      <c r="A720" t="s">
        <v>3184</v>
      </c>
      <c r="B720" t="s">
        <v>993</v>
      </c>
      <c r="C720" t="s">
        <v>2810</v>
      </c>
      <c r="D720" t="s">
        <v>2847</v>
      </c>
      <c r="E720">
        <v>15</v>
      </c>
      <c r="F720">
        <v>0</v>
      </c>
      <c r="G720">
        <v>0</v>
      </c>
      <c r="H720">
        <f t="shared" si="22"/>
        <v>15</v>
      </c>
      <c r="I720">
        <v>0</v>
      </c>
      <c r="J720">
        <v>0</v>
      </c>
      <c r="K720">
        <v>0</v>
      </c>
      <c r="L720">
        <f t="shared" si="23"/>
        <v>0</v>
      </c>
    </row>
    <row r="721" spans="1:12">
      <c r="A721" t="s">
        <v>3184</v>
      </c>
      <c r="B721" t="s">
        <v>993</v>
      </c>
      <c r="C721" t="s">
        <v>2810</v>
      </c>
      <c r="D721" t="s">
        <v>2815</v>
      </c>
      <c r="E721">
        <v>68</v>
      </c>
      <c r="F721">
        <v>0</v>
      </c>
      <c r="G721">
        <v>0</v>
      </c>
      <c r="H721">
        <f t="shared" si="22"/>
        <v>68</v>
      </c>
      <c r="I721">
        <v>0</v>
      </c>
      <c r="J721">
        <v>0</v>
      </c>
      <c r="K721">
        <v>0</v>
      </c>
      <c r="L721">
        <f t="shared" si="23"/>
        <v>0</v>
      </c>
    </row>
    <row r="722" spans="1:12">
      <c r="A722" t="s">
        <v>3184</v>
      </c>
      <c r="B722" t="s">
        <v>993</v>
      </c>
      <c r="C722" t="s">
        <v>2816</v>
      </c>
      <c r="D722" t="s">
        <v>1897</v>
      </c>
      <c r="E722">
        <v>4</v>
      </c>
      <c r="F722">
        <v>0</v>
      </c>
      <c r="G722">
        <v>0</v>
      </c>
      <c r="H722">
        <f t="shared" si="22"/>
        <v>4</v>
      </c>
      <c r="I722">
        <v>0</v>
      </c>
      <c r="J722">
        <v>0</v>
      </c>
      <c r="K722">
        <v>0</v>
      </c>
      <c r="L722">
        <f t="shared" si="23"/>
        <v>0</v>
      </c>
    </row>
    <row r="723" spans="1:12">
      <c r="A723" t="s">
        <v>3184</v>
      </c>
      <c r="B723" t="s">
        <v>993</v>
      </c>
      <c r="C723" t="s">
        <v>2826</v>
      </c>
      <c r="D723" t="s">
        <v>2891</v>
      </c>
      <c r="E723">
        <v>0</v>
      </c>
      <c r="F723">
        <v>0</v>
      </c>
      <c r="G723">
        <v>0</v>
      </c>
      <c r="H723">
        <f t="shared" si="22"/>
        <v>0</v>
      </c>
      <c r="I723">
        <v>1</v>
      </c>
      <c r="J723">
        <v>0</v>
      </c>
      <c r="K723">
        <v>0</v>
      </c>
      <c r="L723">
        <f t="shared" si="23"/>
        <v>1</v>
      </c>
    </row>
    <row r="724" spans="1:12">
      <c r="A724" t="s">
        <v>3184</v>
      </c>
      <c r="B724" t="s">
        <v>993</v>
      </c>
      <c r="C724" t="s">
        <v>2826</v>
      </c>
      <c r="D724" t="s">
        <v>2830</v>
      </c>
      <c r="E724">
        <v>0</v>
      </c>
      <c r="F724">
        <v>0</v>
      </c>
      <c r="G724">
        <v>0</v>
      </c>
      <c r="H724">
        <f t="shared" si="22"/>
        <v>0</v>
      </c>
      <c r="I724">
        <v>1</v>
      </c>
      <c r="J724">
        <v>0</v>
      </c>
      <c r="K724">
        <v>0</v>
      </c>
      <c r="L724">
        <f t="shared" si="23"/>
        <v>1</v>
      </c>
    </row>
    <row r="725" spans="1:12">
      <c r="A725" t="s">
        <v>3184</v>
      </c>
      <c r="B725" t="s">
        <v>993</v>
      </c>
      <c r="C725" t="s">
        <v>2826</v>
      </c>
      <c r="D725" t="s">
        <v>2843</v>
      </c>
      <c r="E725">
        <v>1</v>
      </c>
      <c r="F725">
        <v>0</v>
      </c>
      <c r="G725">
        <v>0</v>
      </c>
      <c r="H725">
        <f t="shared" si="22"/>
        <v>1</v>
      </c>
      <c r="I725">
        <v>1</v>
      </c>
      <c r="J725">
        <v>0</v>
      </c>
      <c r="K725">
        <v>0</v>
      </c>
      <c r="L725">
        <f t="shared" si="23"/>
        <v>1</v>
      </c>
    </row>
    <row r="726" spans="1:12">
      <c r="A726" t="s">
        <v>3184</v>
      </c>
      <c r="B726" t="s">
        <v>993</v>
      </c>
      <c r="C726" t="s">
        <v>2817</v>
      </c>
      <c r="D726" t="s">
        <v>2887</v>
      </c>
      <c r="E726">
        <v>2</v>
      </c>
      <c r="F726">
        <v>0</v>
      </c>
      <c r="G726">
        <v>0</v>
      </c>
      <c r="H726">
        <f t="shared" si="22"/>
        <v>2</v>
      </c>
      <c r="I726">
        <v>2</v>
      </c>
      <c r="J726">
        <v>0</v>
      </c>
      <c r="K726">
        <v>0</v>
      </c>
      <c r="L726">
        <f t="shared" si="23"/>
        <v>2</v>
      </c>
    </row>
    <row r="727" spans="1:12">
      <c r="A727" t="s">
        <v>3184</v>
      </c>
      <c r="B727" t="s">
        <v>993</v>
      </c>
      <c r="C727" t="s">
        <v>2817</v>
      </c>
      <c r="D727" t="s">
        <v>2877</v>
      </c>
      <c r="E727">
        <v>1</v>
      </c>
      <c r="F727">
        <v>0</v>
      </c>
      <c r="G727">
        <v>0</v>
      </c>
      <c r="H727">
        <f t="shared" si="22"/>
        <v>1</v>
      </c>
      <c r="I727">
        <v>0</v>
      </c>
      <c r="J727">
        <v>0</v>
      </c>
      <c r="K727">
        <v>0</v>
      </c>
      <c r="L727">
        <f t="shared" si="23"/>
        <v>0</v>
      </c>
    </row>
    <row r="728" spans="1:12">
      <c r="A728" t="s">
        <v>3184</v>
      </c>
      <c r="B728" t="s">
        <v>993</v>
      </c>
      <c r="C728" t="s">
        <v>2817</v>
      </c>
      <c r="D728" t="s">
        <v>2818</v>
      </c>
      <c r="E728">
        <v>10</v>
      </c>
      <c r="F728">
        <v>0</v>
      </c>
      <c r="G728">
        <v>0</v>
      </c>
      <c r="H728">
        <f t="shared" si="22"/>
        <v>10</v>
      </c>
      <c r="I728">
        <v>0</v>
      </c>
      <c r="J728">
        <v>0</v>
      </c>
      <c r="K728">
        <v>0</v>
      </c>
      <c r="L728">
        <f t="shared" si="23"/>
        <v>0</v>
      </c>
    </row>
    <row r="729" spans="1:12">
      <c r="A729" t="s">
        <v>3184</v>
      </c>
      <c r="B729" t="s">
        <v>993</v>
      </c>
      <c r="C729" t="s">
        <v>2817</v>
      </c>
      <c r="D729" t="s">
        <v>2837</v>
      </c>
      <c r="E729">
        <v>3</v>
      </c>
      <c r="F729">
        <v>0</v>
      </c>
      <c r="G729">
        <v>0</v>
      </c>
      <c r="H729">
        <f t="shared" si="22"/>
        <v>3</v>
      </c>
      <c r="I729">
        <v>0</v>
      </c>
      <c r="J729">
        <v>0</v>
      </c>
      <c r="K729">
        <v>0</v>
      </c>
      <c r="L729">
        <f t="shared" si="23"/>
        <v>0</v>
      </c>
    </row>
    <row r="730" spans="1:12">
      <c r="A730" t="s">
        <v>3184</v>
      </c>
      <c r="B730" t="s">
        <v>993</v>
      </c>
      <c r="C730" t="s">
        <v>2817</v>
      </c>
      <c r="D730" t="s">
        <v>2819</v>
      </c>
      <c r="E730">
        <v>4</v>
      </c>
      <c r="F730">
        <v>0</v>
      </c>
      <c r="G730">
        <v>0</v>
      </c>
      <c r="H730">
        <f t="shared" si="22"/>
        <v>4</v>
      </c>
      <c r="I730">
        <v>0</v>
      </c>
      <c r="J730">
        <v>0</v>
      </c>
      <c r="K730">
        <v>0</v>
      </c>
      <c r="L730">
        <f t="shared" si="23"/>
        <v>0</v>
      </c>
    </row>
    <row r="731" spans="1:12">
      <c r="A731" t="s">
        <v>3184</v>
      </c>
      <c r="B731" t="s">
        <v>993</v>
      </c>
      <c r="C731" t="s">
        <v>2820</v>
      </c>
      <c r="D731" t="s">
        <v>2821</v>
      </c>
      <c r="E731">
        <v>2</v>
      </c>
      <c r="F731">
        <v>0</v>
      </c>
      <c r="G731">
        <v>0</v>
      </c>
      <c r="H731">
        <f t="shared" si="22"/>
        <v>2</v>
      </c>
      <c r="I731">
        <v>0</v>
      </c>
      <c r="J731">
        <v>0</v>
      </c>
      <c r="K731">
        <v>0</v>
      </c>
      <c r="L731">
        <f t="shared" si="23"/>
        <v>0</v>
      </c>
    </row>
    <row r="732" spans="1:12">
      <c r="A732" t="s">
        <v>3185</v>
      </c>
      <c r="B732" t="s">
        <v>1002</v>
      </c>
      <c r="C732" t="s">
        <v>2805</v>
      </c>
      <c r="D732" t="s">
        <v>2806</v>
      </c>
      <c r="E732">
        <v>27</v>
      </c>
      <c r="F732">
        <v>0</v>
      </c>
      <c r="G732">
        <v>0</v>
      </c>
      <c r="H732">
        <f t="shared" si="22"/>
        <v>27</v>
      </c>
      <c r="I732">
        <v>0</v>
      </c>
      <c r="J732">
        <v>0</v>
      </c>
      <c r="K732">
        <v>0</v>
      </c>
      <c r="L732">
        <f t="shared" si="23"/>
        <v>0</v>
      </c>
    </row>
    <row r="733" spans="1:12">
      <c r="A733" t="s">
        <v>3185</v>
      </c>
      <c r="B733" t="s">
        <v>1002</v>
      </c>
      <c r="C733" t="s">
        <v>2805</v>
      </c>
      <c r="D733" t="s">
        <v>449</v>
      </c>
      <c r="E733">
        <v>76</v>
      </c>
      <c r="F733">
        <v>0</v>
      </c>
      <c r="G733">
        <v>0</v>
      </c>
      <c r="H733">
        <f t="shared" si="22"/>
        <v>76</v>
      </c>
      <c r="I733">
        <v>8</v>
      </c>
      <c r="J733">
        <v>0</v>
      </c>
      <c r="K733">
        <v>0</v>
      </c>
      <c r="L733">
        <f t="shared" si="23"/>
        <v>8</v>
      </c>
    </row>
    <row r="734" spans="1:12">
      <c r="A734" t="s">
        <v>3185</v>
      </c>
      <c r="B734" t="s">
        <v>1002</v>
      </c>
      <c r="C734" t="s">
        <v>2805</v>
      </c>
      <c r="D734" t="s">
        <v>2807</v>
      </c>
      <c r="E734">
        <v>7</v>
      </c>
      <c r="F734">
        <v>0</v>
      </c>
      <c r="G734">
        <v>0</v>
      </c>
      <c r="H734">
        <f t="shared" si="22"/>
        <v>7</v>
      </c>
      <c r="I734">
        <v>0</v>
      </c>
      <c r="J734">
        <v>0</v>
      </c>
      <c r="K734">
        <v>0</v>
      </c>
      <c r="L734">
        <f t="shared" si="23"/>
        <v>0</v>
      </c>
    </row>
    <row r="735" spans="1:12">
      <c r="A735" t="s">
        <v>3185</v>
      </c>
      <c r="B735" t="s">
        <v>1002</v>
      </c>
      <c r="C735" t="s">
        <v>2805</v>
      </c>
      <c r="D735" t="s">
        <v>2846</v>
      </c>
      <c r="E735">
        <v>7</v>
      </c>
      <c r="F735">
        <v>0</v>
      </c>
      <c r="G735">
        <v>0</v>
      </c>
      <c r="H735">
        <f t="shared" si="22"/>
        <v>7</v>
      </c>
      <c r="I735">
        <v>1</v>
      </c>
      <c r="J735">
        <v>0</v>
      </c>
      <c r="K735">
        <v>0</v>
      </c>
      <c r="L735">
        <f t="shared" si="23"/>
        <v>1</v>
      </c>
    </row>
    <row r="736" spans="1:12">
      <c r="A736" t="s">
        <v>3185</v>
      </c>
      <c r="B736" t="s">
        <v>1002</v>
      </c>
      <c r="C736" t="s">
        <v>2810</v>
      </c>
      <c r="D736" t="s">
        <v>2811</v>
      </c>
      <c r="E736">
        <v>28</v>
      </c>
      <c r="F736">
        <v>0</v>
      </c>
      <c r="G736">
        <v>0</v>
      </c>
      <c r="H736">
        <f t="shared" si="22"/>
        <v>28</v>
      </c>
      <c r="I736">
        <v>0</v>
      </c>
      <c r="J736">
        <v>0</v>
      </c>
      <c r="K736">
        <v>0</v>
      </c>
      <c r="L736">
        <f t="shared" si="23"/>
        <v>0</v>
      </c>
    </row>
    <row r="737" spans="1:12">
      <c r="A737" t="s">
        <v>3185</v>
      </c>
      <c r="B737" t="s">
        <v>1002</v>
      </c>
      <c r="C737" t="s">
        <v>2810</v>
      </c>
      <c r="D737" t="s">
        <v>2812</v>
      </c>
      <c r="E737">
        <v>2</v>
      </c>
      <c r="F737">
        <v>0</v>
      </c>
      <c r="G737">
        <v>0</v>
      </c>
      <c r="H737">
        <f t="shared" si="22"/>
        <v>2</v>
      </c>
      <c r="I737">
        <v>0</v>
      </c>
      <c r="J737">
        <v>0</v>
      </c>
      <c r="K737">
        <v>0</v>
      </c>
      <c r="L737">
        <f t="shared" si="23"/>
        <v>0</v>
      </c>
    </row>
    <row r="738" spans="1:12">
      <c r="A738" t="s">
        <v>3185</v>
      </c>
      <c r="B738" t="s">
        <v>1002</v>
      </c>
      <c r="C738" t="s">
        <v>2810</v>
      </c>
      <c r="D738" t="s">
        <v>2813</v>
      </c>
      <c r="E738">
        <v>7</v>
      </c>
      <c r="F738">
        <v>0</v>
      </c>
      <c r="G738">
        <v>0</v>
      </c>
      <c r="H738">
        <f t="shared" si="22"/>
        <v>7</v>
      </c>
      <c r="I738">
        <v>0</v>
      </c>
      <c r="J738">
        <v>0</v>
      </c>
      <c r="K738">
        <v>0</v>
      </c>
      <c r="L738">
        <f t="shared" si="23"/>
        <v>0</v>
      </c>
    </row>
    <row r="739" spans="1:12">
      <c r="A739" t="s">
        <v>3185</v>
      </c>
      <c r="B739" t="s">
        <v>1002</v>
      </c>
      <c r="C739" t="s">
        <v>2810</v>
      </c>
      <c r="D739" t="s">
        <v>2847</v>
      </c>
      <c r="E739">
        <v>5</v>
      </c>
      <c r="F739">
        <v>0</v>
      </c>
      <c r="G739">
        <v>0</v>
      </c>
      <c r="H739">
        <f t="shared" si="22"/>
        <v>5</v>
      </c>
      <c r="I739">
        <v>0</v>
      </c>
      <c r="J739">
        <v>0</v>
      </c>
      <c r="K739">
        <v>0</v>
      </c>
      <c r="L739">
        <f t="shared" si="23"/>
        <v>0</v>
      </c>
    </row>
    <row r="740" spans="1:12">
      <c r="A740" t="s">
        <v>3185</v>
      </c>
      <c r="B740" t="s">
        <v>1002</v>
      </c>
      <c r="C740" t="s">
        <v>2810</v>
      </c>
      <c r="D740" t="s">
        <v>2840</v>
      </c>
      <c r="E740">
        <v>1</v>
      </c>
      <c r="F740">
        <v>0</v>
      </c>
      <c r="G740">
        <v>0</v>
      </c>
      <c r="H740">
        <f t="shared" si="22"/>
        <v>1</v>
      </c>
      <c r="I740">
        <v>0</v>
      </c>
      <c r="J740">
        <v>0</v>
      </c>
      <c r="K740">
        <v>0</v>
      </c>
      <c r="L740">
        <f t="shared" si="23"/>
        <v>0</v>
      </c>
    </row>
    <row r="741" spans="1:12">
      <c r="A741" t="s">
        <v>3185</v>
      </c>
      <c r="B741" t="s">
        <v>1002</v>
      </c>
      <c r="C741" t="s">
        <v>2810</v>
      </c>
      <c r="D741" t="s">
        <v>2815</v>
      </c>
      <c r="E741">
        <v>6</v>
      </c>
      <c r="F741">
        <v>0</v>
      </c>
      <c r="G741">
        <v>0</v>
      </c>
      <c r="H741">
        <f t="shared" si="22"/>
        <v>6</v>
      </c>
      <c r="I741">
        <v>0</v>
      </c>
      <c r="J741">
        <v>0</v>
      </c>
      <c r="K741">
        <v>0</v>
      </c>
      <c r="L741">
        <f t="shared" si="23"/>
        <v>0</v>
      </c>
    </row>
    <row r="742" spans="1:12">
      <c r="A742" t="s">
        <v>3185</v>
      </c>
      <c r="B742" t="s">
        <v>1002</v>
      </c>
      <c r="C742" t="s">
        <v>2816</v>
      </c>
      <c r="D742" t="s">
        <v>1897</v>
      </c>
      <c r="E742">
        <v>11</v>
      </c>
      <c r="F742">
        <v>0</v>
      </c>
      <c r="G742">
        <v>0</v>
      </c>
      <c r="H742">
        <f t="shared" si="22"/>
        <v>11</v>
      </c>
      <c r="I742">
        <v>0</v>
      </c>
      <c r="J742">
        <v>0</v>
      </c>
      <c r="K742">
        <v>0</v>
      </c>
      <c r="L742">
        <f t="shared" si="23"/>
        <v>0</v>
      </c>
    </row>
    <row r="743" spans="1:12">
      <c r="A743" t="s">
        <v>3185</v>
      </c>
      <c r="B743" t="s">
        <v>1002</v>
      </c>
      <c r="C743" t="s">
        <v>2826</v>
      </c>
      <c r="D743" t="s">
        <v>2827</v>
      </c>
      <c r="E743">
        <v>0</v>
      </c>
      <c r="F743">
        <v>0</v>
      </c>
      <c r="G743">
        <v>0</v>
      </c>
      <c r="H743">
        <f t="shared" si="22"/>
        <v>0</v>
      </c>
      <c r="I743">
        <v>0</v>
      </c>
      <c r="J743">
        <v>1</v>
      </c>
      <c r="K743">
        <v>0</v>
      </c>
      <c r="L743">
        <f t="shared" si="23"/>
        <v>1</v>
      </c>
    </row>
    <row r="744" spans="1:12">
      <c r="A744" t="s">
        <v>3185</v>
      </c>
      <c r="B744" t="s">
        <v>1002</v>
      </c>
      <c r="C744" t="s">
        <v>2826</v>
      </c>
      <c r="D744" t="s">
        <v>2891</v>
      </c>
      <c r="E744">
        <v>0</v>
      </c>
      <c r="F744">
        <v>0</v>
      </c>
      <c r="G744">
        <v>0</v>
      </c>
      <c r="H744">
        <f t="shared" si="22"/>
        <v>0</v>
      </c>
      <c r="I744">
        <v>0</v>
      </c>
      <c r="J744">
        <v>1</v>
      </c>
      <c r="K744">
        <v>0</v>
      </c>
      <c r="L744">
        <f t="shared" si="23"/>
        <v>1</v>
      </c>
    </row>
    <row r="745" spans="1:12">
      <c r="A745" t="s">
        <v>3185</v>
      </c>
      <c r="B745" t="s">
        <v>1002</v>
      </c>
      <c r="C745" t="s">
        <v>2826</v>
      </c>
      <c r="D745" t="s">
        <v>2843</v>
      </c>
      <c r="E745">
        <v>0</v>
      </c>
      <c r="F745">
        <v>0</v>
      </c>
      <c r="G745">
        <v>0</v>
      </c>
      <c r="H745">
        <f t="shared" si="22"/>
        <v>0</v>
      </c>
      <c r="I745">
        <v>0</v>
      </c>
      <c r="J745">
        <v>1</v>
      </c>
      <c r="K745">
        <v>0</v>
      </c>
      <c r="L745">
        <f t="shared" si="23"/>
        <v>1</v>
      </c>
    </row>
    <row r="746" spans="1:12">
      <c r="A746" t="s">
        <v>3185</v>
      </c>
      <c r="B746" t="s">
        <v>1002</v>
      </c>
      <c r="C746" t="s">
        <v>2817</v>
      </c>
      <c r="D746" t="s">
        <v>2818</v>
      </c>
      <c r="E746">
        <v>1</v>
      </c>
      <c r="F746">
        <v>0</v>
      </c>
      <c r="G746">
        <v>0</v>
      </c>
      <c r="H746">
        <f t="shared" si="22"/>
        <v>1</v>
      </c>
      <c r="I746">
        <v>0</v>
      </c>
      <c r="J746">
        <v>0</v>
      </c>
      <c r="K746">
        <v>0</v>
      </c>
      <c r="L746">
        <f t="shared" si="23"/>
        <v>0</v>
      </c>
    </row>
    <row r="747" spans="1:12">
      <c r="A747" t="s">
        <v>3185</v>
      </c>
      <c r="B747" t="s">
        <v>1002</v>
      </c>
      <c r="C747" t="s">
        <v>2817</v>
      </c>
      <c r="D747" t="s">
        <v>2909</v>
      </c>
      <c r="E747">
        <v>2</v>
      </c>
      <c r="F747">
        <v>0</v>
      </c>
      <c r="G747">
        <v>0</v>
      </c>
      <c r="H747">
        <f t="shared" si="22"/>
        <v>2</v>
      </c>
      <c r="I747">
        <v>0</v>
      </c>
      <c r="J747">
        <v>0</v>
      </c>
      <c r="K747">
        <v>0</v>
      </c>
      <c r="L747">
        <f t="shared" si="23"/>
        <v>0</v>
      </c>
    </row>
    <row r="748" spans="1:12">
      <c r="A748" t="s">
        <v>3186</v>
      </c>
      <c r="B748" t="s">
        <v>1004</v>
      </c>
      <c r="C748" t="s">
        <v>2805</v>
      </c>
      <c r="D748" t="s">
        <v>2806</v>
      </c>
      <c r="E748">
        <v>129</v>
      </c>
      <c r="F748">
        <v>0</v>
      </c>
      <c r="G748">
        <v>0</v>
      </c>
      <c r="H748">
        <f t="shared" si="22"/>
        <v>129</v>
      </c>
      <c r="I748">
        <v>0</v>
      </c>
      <c r="J748">
        <v>0</v>
      </c>
      <c r="K748">
        <v>0</v>
      </c>
      <c r="L748">
        <f t="shared" si="23"/>
        <v>0</v>
      </c>
    </row>
    <row r="749" spans="1:12">
      <c r="A749" t="s">
        <v>3186</v>
      </c>
      <c r="B749" t="s">
        <v>1004</v>
      </c>
      <c r="C749" t="s">
        <v>2805</v>
      </c>
      <c r="D749" t="s">
        <v>449</v>
      </c>
      <c r="E749">
        <v>162</v>
      </c>
      <c r="F749">
        <v>0</v>
      </c>
      <c r="G749">
        <v>0</v>
      </c>
      <c r="H749">
        <f t="shared" si="22"/>
        <v>162</v>
      </c>
      <c r="I749">
        <v>0</v>
      </c>
      <c r="J749">
        <v>0</v>
      </c>
      <c r="K749">
        <v>0</v>
      </c>
      <c r="L749">
        <f t="shared" si="23"/>
        <v>0</v>
      </c>
    </row>
    <row r="750" spans="1:12">
      <c r="A750" t="s">
        <v>3186</v>
      </c>
      <c r="B750" t="s">
        <v>1004</v>
      </c>
      <c r="C750" t="s">
        <v>2805</v>
      </c>
      <c r="D750" t="s">
        <v>2807</v>
      </c>
      <c r="E750">
        <v>11</v>
      </c>
      <c r="F750">
        <v>0</v>
      </c>
      <c r="G750">
        <v>0</v>
      </c>
      <c r="H750">
        <f t="shared" si="22"/>
        <v>11</v>
      </c>
      <c r="I750">
        <v>0</v>
      </c>
      <c r="J750">
        <v>0</v>
      </c>
      <c r="K750">
        <v>0</v>
      </c>
      <c r="L750">
        <f t="shared" si="23"/>
        <v>0</v>
      </c>
    </row>
    <row r="751" spans="1:12">
      <c r="A751" t="s">
        <v>3186</v>
      </c>
      <c r="B751" t="s">
        <v>1004</v>
      </c>
      <c r="C751" t="s">
        <v>2810</v>
      </c>
      <c r="D751" t="s">
        <v>2811</v>
      </c>
      <c r="E751">
        <v>43</v>
      </c>
      <c r="F751">
        <v>0</v>
      </c>
      <c r="G751">
        <v>0</v>
      </c>
      <c r="H751">
        <f t="shared" si="22"/>
        <v>43</v>
      </c>
      <c r="I751">
        <v>0</v>
      </c>
      <c r="J751">
        <v>0</v>
      </c>
      <c r="K751">
        <v>0</v>
      </c>
      <c r="L751">
        <f t="shared" si="23"/>
        <v>0</v>
      </c>
    </row>
    <row r="752" spans="1:12">
      <c r="A752" t="s">
        <v>3186</v>
      </c>
      <c r="B752" t="s">
        <v>1004</v>
      </c>
      <c r="C752" t="s">
        <v>2810</v>
      </c>
      <c r="D752" t="s">
        <v>1892</v>
      </c>
      <c r="E752">
        <v>1</v>
      </c>
      <c r="F752">
        <v>0</v>
      </c>
      <c r="G752">
        <v>0</v>
      </c>
      <c r="H752">
        <f t="shared" si="22"/>
        <v>1</v>
      </c>
      <c r="I752">
        <v>0</v>
      </c>
      <c r="J752">
        <v>0</v>
      </c>
      <c r="K752">
        <v>0</v>
      </c>
      <c r="L752">
        <f t="shared" si="23"/>
        <v>0</v>
      </c>
    </row>
    <row r="753" spans="1:12">
      <c r="A753" t="s">
        <v>3186</v>
      </c>
      <c r="B753" t="s">
        <v>1004</v>
      </c>
      <c r="C753" t="s">
        <v>2810</v>
      </c>
      <c r="D753" t="s">
        <v>2812</v>
      </c>
      <c r="E753">
        <v>77</v>
      </c>
      <c r="F753">
        <v>0</v>
      </c>
      <c r="G753">
        <v>0</v>
      </c>
      <c r="H753">
        <f t="shared" si="22"/>
        <v>77</v>
      </c>
      <c r="I753">
        <v>2</v>
      </c>
      <c r="J753">
        <v>0</v>
      </c>
      <c r="K753">
        <v>0</v>
      </c>
      <c r="L753">
        <f t="shared" si="23"/>
        <v>2</v>
      </c>
    </row>
    <row r="754" spans="1:12">
      <c r="A754" t="s">
        <v>3186</v>
      </c>
      <c r="B754" t="s">
        <v>1004</v>
      </c>
      <c r="C754" t="s">
        <v>2810</v>
      </c>
      <c r="D754" t="s">
        <v>2813</v>
      </c>
      <c r="E754">
        <v>1</v>
      </c>
      <c r="F754">
        <v>0</v>
      </c>
      <c r="G754">
        <v>0</v>
      </c>
      <c r="H754">
        <f t="shared" si="22"/>
        <v>1</v>
      </c>
      <c r="I754">
        <v>0</v>
      </c>
      <c r="J754">
        <v>0</v>
      </c>
      <c r="K754">
        <v>0</v>
      </c>
      <c r="L754">
        <f t="shared" si="23"/>
        <v>0</v>
      </c>
    </row>
    <row r="755" spans="1:12">
      <c r="A755" t="s">
        <v>3186</v>
      </c>
      <c r="B755" t="s">
        <v>1004</v>
      </c>
      <c r="C755" t="s">
        <v>2810</v>
      </c>
      <c r="D755" t="s">
        <v>2814</v>
      </c>
      <c r="E755">
        <v>5</v>
      </c>
      <c r="F755">
        <v>0</v>
      </c>
      <c r="G755">
        <v>0</v>
      </c>
      <c r="H755">
        <f t="shared" si="22"/>
        <v>5</v>
      </c>
      <c r="I755">
        <v>0</v>
      </c>
      <c r="J755">
        <v>0</v>
      </c>
      <c r="K755">
        <v>0</v>
      </c>
      <c r="L755">
        <f t="shared" si="23"/>
        <v>0</v>
      </c>
    </row>
    <row r="756" spans="1:12">
      <c r="A756" t="s">
        <v>3186</v>
      </c>
      <c r="B756" t="s">
        <v>1004</v>
      </c>
      <c r="C756" t="s">
        <v>2810</v>
      </c>
      <c r="D756" t="s">
        <v>2847</v>
      </c>
      <c r="E756">
        <v>10</v>
      </c>
      <c r="F756">
        <v>0</v>
      </c>
      <c r="G756">
        <v>0</v>
      </c>
      <c r="H756">
        <f t="shared" si="22"/>
        <v>10</v>
      </c>
      <c r="I756">
        <v>0</v>
      </c>
      <c r="J756">
        <v>0</v>
      </c>
      <c r="K756">
        <v>0</v>
      </c>
      <c r="L756">
        <f t="shared" si="23"/>
        <v>0</v>
      </c>
    </row>
    <row r="757" spans="1:12">
      <c r="A757" t="s">
        <v>3186</v>
      </c>
      <c r="B757" t="s">
        <v>1004</v>
      </c>
      <c r="C757" t="s">
        <v>2810</v>
      </c>
      <c r="D757" t="s">
        <v>2815</v>
      </c>
      <c r="E757">
        <v>14</v>
      </c>
      <c r="F757">
        <v>0</v>
      </c>
      <c r="G757">
        <v>0</v>
      </c>
      <c r="H757">
        <f t="shared" si="22"/>
        <v>14</v>
      </c>
      <c r="I757">
        <v>0</v>
      </c>
      <c r="J757">
        <v>0</v>
      </c>
      <c r="K757">
        <v>0</v>
      </c>
      <c r="L757">
        <f t="shared" si="23"/>
        <v>0</v>
      </c>
    </row>
    <row r="758" spans="1:12">
      <c r="A758" t="s">
        <v>3186</v>
      </c>
      <c r="B758" t="s">
        <v>1004</v>
      </c>
      <c r="C758" t="s">
        <v>2826</v>
      </c>
      <c r="D758" t="s">
        <v>2828</v>
      </c>
      <c r="E758">
        <v>0</v>
      </c>
      <c r="F758">
        <v>0</v>
      </c>
      <c r="G758">
        <v>0</v>
      </c>
      <c r="H758">
        <f t="shared" si="22"/>
        <v>0</v>
      </c>
      <c r="I758">
        <v>1</v>
      </c>
      <c r="J758">
        <v>0</v>
      </c>
      <c r="K758">
        <v>0</v>
      </c>
      <c r="L758">
        <f t="shared" si="23"/>
        <v>1</v>
      </c>
    </row>
    <row r="759" spans="1:12">
      <c r="A759" t="s">
        <v>3186</v>
      </c>
      <c r="B759" t="s">
        <v>1004</v>
      </c>
      <c r="C759" t="s">
        <v>2826</v>
      </c>
      <c r="D759" t="s">
        <v>2886</v>
      </c>
      <c r="E759">
        <v>0</v>
      </c>
      <c r="F759">
        <v>0</v>
      </c>
      <c r="G759">
        <v>0</v>
      </c>
      <c r="H759">
        <f t="shared" si="22"/>
        <v>0</v>
      </c>
      <c r="I759">
        <v>1</v>
      </c>
      <c r="J759">
        <v>0</v>
      </c>
      <c r="K759">
        <v>0</v>
      </c>
      <c r="L759">
        <f t="shared" si="23"/>
        <v>1</v>
      </c>
    </row>
    <row r="760" spans="1:12">
      <c r="A760" t="s">
        <v>3186</v>
      </c>
      <c r="B760" t="s">
        <v>1004</v>
      </c>
      <c r="C760" t="s">
        <v>2817</v>
      </c>
      <c r="D760" t="s">
        <v>2877</v>
      </c>
      <c r="E760">
        <v>4</v>
      </c>
      <c r="F760">
        <v>0</v>
      </c>
      <c r="G760">
        <v>0</v>
      </c>
      <c r="H760">
        <f t="shared" si="22"/>
        <v>4</v>
      </c>
      <c r="I760">
        <v>0</v>
      </c>
      <c r="J760">
        <v>0</v>
      </c>
      <c r="K760">
        <v>0</v>
      </c>
      <c r="L760">
        <f t="shared" si="23"/>
        <v>0</v>
      </c>
    </row>
    <row r="761" spans="1:12">
      <c r="A761" t="s">
        <v>3186</v>
      </c>
      <c r="B761" t="s">
        <v>1004</v>
      </c>
      <c r="C761" t="s">
        <v>2820</v>
      </c>
      <c r="D761" t="s">
        <v>2821</v>
      </c>
      <c r="E761">
        <v>1</v>
      </c>
      <c r="F761">
        <v>0</v>
      </c>
      <c r="G761">
        <v>0</v>
      </c>
      <c r="H761">
        <f t="shared" si="22"/>
        <v>1</v>
      </c>
      <c r="I761">
        <v>0</v>
      </c>
      <c r="J761">
        <v>0</v>
      </c>
      <c r="K761">
        <v>0</v>
      </c>
      <c r="L761">
        <f t="shared" si="23"/>
        <v>0</v>
      </c>
    </row>
    <row r="762" spans="1:12">
      <c r="A762" t="s">
        <v>3193</v>
      </c>
      <c r="B762" t="s">
        <v>1008</v>
      </c>
      <c r="C762" t="s">
        <v>2805</v>
      </c>
      <c r="D762" t="s">
        <v>2806</v>
      </c>
      <c r="E762">
        <v>28</v>
      </c>
      <c r="F762">
        <v>0</v>
      </c>
      <c r="G762">
        <v>0</v>
      </c>
      <c r="H762">
        <f t="shared" si="22"/>
        <v>28</v>
      </c>
      <c r="I762">
        <v>0</v>
      </c>
      <c r="J762">
        <v>0</v>
      </c>
      <c r="K762">
        <v>0</v>
      </c>
      <c r="L762">
        <f t="shared" si="23"/>
        <v>0</v>
      </c>
    </row>
    <row r="763" spans="1:12">
      <c r="A763" t="s">
        <v>3193</v>
      </c>
      <c r="B763" t="s">
        <v>1008</v>
      </c>
      <c r="C763" t="s">
        <v>2805</v>
      </c>
      <c r="D763" t="s">
        <v>449</v>
      </c>
      <c r="E763">
        <v>154</v>
      </c>
      <c r="F763">
        <v>0</v>
      </c>
      <c r="G763">
        <v>0</v>
      </c>
      <c r="H763">
        <f t="shared" si="22"/>
        <v>154</v>
      </c>
      <c r="I763">
        <v>0</v>
      </c>
      <c r="J763">
        <v>0</v>
      </c>
      <c r="K763">
        <v>0</v>
      </c>
      <c r="L763">
        <f t="shared" si="23"/>
        <v>0</v>
      </c>
    </row>
    <row r="764" spans="1:12">
      <c r="A764" t="s">
        <v>3193</v>
      </c>
      <c r="B764" t="s">
        <v>1008</v>
      </c>
      <c r="C764" t="s">
        <v>2805</v>
      </c>
      <c r="D764" t="s">
        <v>2807</v>
      </c>
      <c r="E764">
        <v>11</v>
      </c>
      <c r="F764">
        <v>0</v>
      </c>
      <c r="G764">
        <v>0</v>
      </c>
      <c r="H764">
        <f t="shared" si="22"/>
        <v>11</v>
      </c>
      <c r="I764">
        <v>0</v>
      </c>
      <c r="J764">
        <v>0</v>
      </c>
      <c r="K764">
        <v>0</v>
      </c>
      <c r="L764">
        <f t="shared" si="23"/>
        <v>0</v>
      </c>
    </row>
    <row r="765" spans="1:12">
      <c r="A765" t="s">
        <v>3193</v>
      </c>
      <c r="B765" t="s">
        <v>1008</v>
      </c>
      <c r="C765" t="s">
        <v>2810</v>
      </c>
      <c r="D765" t="s">
        <v>2811</v>
      </c>
      <c r="E765">
        <v>43</v>
      </c>
      <c r="F765">
        <v>0</v>
      </c>
      <c r="G765">
        <v>0</v>
      </c>
      <c r="H765">
        <f t="shared" si="22"/>
        <v>43</v>
      </c>
      <c r="I765">
        <v>0</v>
      </c>
      <c r="J765">
        <v>0</v>
      </c>
      <c r="K765">
        <v>0</v>
      </c>
      <c r="L765">
        <f t="shared" si="23"/>
        <v>0</v>
      </c>
    </row>
    <row r="766" spans="1:12">
      <c r="A766" t="s">
        <v>3193</v>
      </c>
      <c r="B766" t="s">
        <v>1008</v>
      </c>
      <c r="C766" t="s">
        <v>2810</v>
      </c>
      <c r="D766" t="s">
        <v>2813</v>
      </c>
      <c r="E766">
        <v>11</v>
      </c>
      <c r="F766">
        <v>0</v>
      </c>
      <c r="G766">
        <v>0</v>
      </c>
      <c r="H766">
        <f t="shared" si="22"/>
        <v>11</v>
      </c>
      <c r="I766">
        <v>0</v>
      </c>
      <c r="J766">
        <v>0</v>
      </c>
      <c r="K766">
        <v>0</v>
      </c>
      <c r="L766">
        <f t="shared" si="23"/>
        <v>0</v>
      </c>
    </row>
    <row r="767" spans="1:12">
      <c r="A767" t="s">
        <v>3193</v>
      </c>
      <c r="B767" t="s">
        <v>1008</v>
      </c>
      <c r="C767" t="s">
        <v>2810</v>
      </c>
      <c r="D767" t="s">
        <v>2814</v>
      </c>
      <c r="E767">
        <v>3</v>
      </c>
      <c r="F767">
        <v>0</v>
      </c>
      <c r="G767">
        <v>0</v>
      </c>
      <c r="H767">
        <f t="shared" si="22"/>
        <v>3</v>
      </c>
      <c r="I767">
        <v>0</v>
      </c>
      <c r="J767">
        <v>0</v>
      </c>
      <c r="K767">
        <v>0</v>
      </c>
      <c r="L767">
        <f t="shared" si="23"/>
        <v>0</v>
      </c>
    </row>
    <row r="768" spans="1:12">
      <c r="A768" t="s">
        <v>3193</v>
      </c>
      <c r="B768" t="s">
        <v>1008</v>
      </c>
      <c r="C768" t="s">
        <v>2816</v>
      </c>
      <c r="D768" t="s">
        <v>1897</v>
      </c>
      <c r="E768">
        <v>8</v>
      </c>
      <c r="F768">
        <v>0</v>
      </c>
      <c r="G768">
        <v>0</v>
      </c>
      <c r="H768">
        <f t="shared" si="22"/>
        <v>8</v>
      </c>
      <c r="I768">
        <v>0</v>
      </c>
      <c r="J768">
        <v>0</v>
      </c>
      <c r="K768">
        <v>0</v>
      </c>
      <c r="L768">
        <f t="shared" si="23"/>
        <v>0</v>
      </c>
    </row>
    <row r="769" spans="1:12">
      <c r="A769" t="s">
        <v>3193</v>
      </c>
      <c r="B769" t="s">
        <v>1008</v>
      </c>
      <c r="C769" t="s">
        <v>2826</v>
      </c>
      <c r="D769" t="s">
        <v>2872</v>
      </c>
      <c r="E769">
        <v>0</v>
      </c>
      <c r="F769">
        <v>0</v>
      </c>
      <c r="G769">
        <v>0</v>
      </c>
      <c r="H769">
        <f t="shared" si="22"/>
        <v>0</v>
      </c>
      <c r="I769">
        <v>1</v>
      </c>
      <c r="J769">
        <v>0</v>
      </c>
      <c r="K769">
        <v>0</v>
      </c>
      <c r="L769">
        <f t="shared" si="23"/>
        <v>1</v>
      </c>
    </row>
    <row r="770" spans="1:12">
      <c r="A770" t="s">
        <v>3193</v>
      </c>
      <c r="B770" t="s">
        <v>1008</v>
      </c>
      <c r="C770" t="s">
        <v>2826</v>
      </c>
      <c r="D770" t="s">
        <v>2858</v>
      </c>
      <c r="E770">
        <v>0</v>
      </c>
      <c r="F770">
        <v>0</v>
      </c>
      <c r="G770">
        <v>0</v>
      </c>
      <c r="H770">
        <f t="shared" si="22"/>
        <v>0</v>
      </c>
      <c r="I770">
        <v>1</v>
      </c>
      <c r="J770">
        <v>0</v>
      </c>
      <c r="K770">
        <v>0</v>
      </c>
      <c r="L770">
        <f t="shared" si="23"/>
        <v>1</v>
      </c>
    </row>
    <row r="771" spans="1:12">
      <c r="A771" t="s">
        <v>3193</v>
      </c>
      <c r="B771" t="s">
        <v>1008</v>
      </c>
      <c r="C771" t="s">
        <v>2826</v>
      </c>
      <c r="D771" t="s">
        <v>2843</v>
      </c>
      <c r="E771">
        <v>0</v>
      </c>
      <c r="F771">
        <v>0</v>
      </c>
      <c r="G771">
        <v>0</v>
      </c>
      <c r="H771">
        <f t="shared" si="22"/>
        <v>0</v>
      </c>
      <c r="I771">
        <v>1</v>
      </c>
      <c r="J771">
        <v>0</v>
      </c>
      <c r="K771">
        <v>0</v>
      </c>
      <c r="L771">
        <f t="shared" si="23"/>
        <v>1</v>
      </c>
    </row>
    <row r="772" spans="1:12">
      <c r="A772" t="s">
        <v>3193</v>
      </c>
      <c r="B772" t="s">
        <v>1008</v>
      </c>
      <c r="C772" t="s">
        <v>2817</v>
      </c>
      <c r="D772" t="s">
        <v>2819</v>
      </c>
      <c r="E772">
        <v>16</v>
      </c>
      <c r="F772">
        <v>0</v>
      </c>
      <c r="G772">
        <v>0</v>
      </c>
      <c r="H772">
        <f t="shared" ref="H772:H835" si="24">SUM(E772:G772)</f>
        <v>16</v>
      </c>
      <c r="I772">
        <v>0</v>
      </c>
      <c r="J772">
        <v>0</v>
      </c>
      <c r="K772">
        <v>0</v>
      </c>
      <c r="L772">
        <f t="shared" ref="L772:L835" si="25">SUM(I772:K772)</f>
        <v>0</v>
      </c>
    </row>
    <row r="773" spans="1:12">
      <c r="A773" t="s">
        <v>3198</v>
      </c>
      <c r="B773" t="s">
        <v>1012</v>
      </c>
      <c r="C773" t="s">
        <v>2805</v>
      </c>
      <c r="D773" t="s">
        <v>2806</v>
      </c>
      <c r="E773">
        <v>17</v>
      </c>
      <c r="F773">
        <v>0</v>
      </c>
      <c r="G773">
        <v>0</v>
      </c>
      <c r="H773">
        <f t="shared" si="24"/>
        <v>17</v>
      </c>
      <c r="I773">
        <v>2</v>
      </c>
      <c r="J773">
        <v>0</v>
      </c>
      <c r="K773">
        <v>0</v>
      </c>
      <c r="L773">
        <f t="shared" si="25"/>
        <v>2</v>
      </c>
    </row>
    <row r="774" spans="1:12">
      <c r="A774" t="s">
        <v>3198</v>
      </c>
      <c r="B774" t="s">
        <v>1012</v>
      </c>
      <c r="C774" t="s">
        <v>2805</v>
      </c>
      <c r="D774" t="s">
        <v>449</v>
      </c>
      <c r="E774">
        <v>105</v>
      </c>
      <c r="F774">
        <v>0</v>
      </c>
      <c r="G774">
        <v>0</v>
      </c>
      <c r="H774">
        <f t="shared" si="24"/>
        <v>105</v>
      </c>
      <c r="I774">
        <v>0</v>
      </c>
      <c r="J774">
        <v>0</v>
      </c>
      <c r="K774">
        <v>0</v>
      </c>
      <c r="L774">
        <f t="shared" si="25"/>
        <v>0</v>
      </c>
    </row>
    <row r="775" spans="1:12">
      <c r="A775" t="s">
        <v>3198</v>
      </c>
      <c r="B775" t="s">
        <v>1012</v>
      </c>
      <c r="C775" t="s">
        <v>2805</v>
      </c>
      <c r="D775" t="s">
        <v>2807</v>
      </c>
      <c r="E775">
        <v>4</v>
      </c>
      <c r="F775">
        <v>0</v>
      </c>
      <c r="G775">
        <v>0</v>
      </c>
      <c r="H775">
        <f t="shared" si="24"/>
        <v>4</v>
      </c>
      <c r="I775">
        <v>0</v>
      </c>
      <c r="J775">
        <v>0</v>
      </c>
      <c r="K775">
        <v>0</v>
      </c>
      <c r="L775">
        <f t="shared" si="25"/>
        <v>0</v>
      </c>
    </row>
    <row r="776" spans="1:12">
      <c r="A776" t="s">
        <v>3198</v>
      </c>
      <c r="B776" t="s">
        <v>1012</v>
      </c>
      <c r="C776" t="s">
        <v>2805</v>
      </c>
      <c r="D776" t="s">
        <v>2937</v>
      </c>
      <c r="E776">
        <v>5</v>
      </c>
      <c r="F776">
        <v>0</v>
      </c>
      <c r="G776">
        <v>0</v>
      </c>
      <c r="H776">
        <f t="shared" si="24"/>
        <v>5</v>
      </c>
      <c r="I776">
        <v>0</v>
      </c>
      <c r="J776">
        <v>0</v>
      </c>
      <c r="K776">
        <v>0</v>
      </c>
      <c r="L776">
        <f t="shared" si="25"/>
        <v>0</v>
      </c>
    </row>
    <row r="777" spans="1:12">
      <c r="A777" t="s">
        <v>3198</v>
      </c>
      <c r="B777" t="s">
        <v>1012</v>
      </c>
      <c r="C777" t="s">
        <v>2805</v>
      </c>
      <c r="D777" t="s">
        <v>2846</v>
      </c>
      <c r="E777">
        <v>3</v>
      </c>
      <c r="F777">
        <v>0</v>
      </c>
      <c r="G777">
        <v>0</v>
      </c>
      <c r="H777">
        <f t="shared" si="24"/>
        <v>3</v>
      </c>
      <c r="I777">
        <v>0</v>
      </c>
      <c r="J777">
        <v>0</v>
      </c>
      <c r="K777">
        <v>0</v>
      </c>
      <c r="L777">
        <f t="shared" si="25"/>
        <v>0</v>
      </c>
    </row>
    <row r="778" spans="1:12">
      <c r="A778" t="s">
        <v>3198</v>
      </c>
      <c r="B778" t="s">
        <v>1012</v>
      </c>
      <c r="C778" t="s">
        <v>2810</v>
      </c>
      <c r="D778" t="s">
        <v>2811</v>
      </c>
      <c r="E778">
        <v>34</v>
      </c>
      <c r="F778">
        <v>0</v>
      </c>
      <c r="G778">
        <v>0</v>
      </c>
      <c r="H778">
        <f t="shared" si="24"/>
        <v>34</v>
      </c>
      <c r="I778">
        <v>0</v>
      </c>
      <c r="J778">
        <v>0</v>
      </c>
      <c r="K778">
        <v>0</v>
      </c>
      <c r="L778">
        <f t="shared" si="25"/>
        <v>0</v>
      </c>
    </row>
    <row r="779" spans="1:12">
      <c r="A779" t="s">
        <v>3198</v>
      </c>
      <c r="B779" t="s">
        <v>1012</v>
      </c>
      <c r="C779" t="s">
        <v>2810</v>
      </c>
      <c r="D779" t="s">
        <v>2812</v>
      </c>
      <c r="E779">
        <v>27</v>
      </c>
      <c r="F779">
        <v>0</v>
      </c>
      <c r="G779">
        <v>0</v>
      </c>
      <c r="H779">
        <f t="shared" si="24"/>
        <v>27</v>
      </c>
      <c r="I779">
        <v>3</v>
      </c>
      <c r="J779">
        <v>0</v>
      </c>
      <c r="K779">
        <v>0</v>
      </c>
      <c r="L779">
        <f t="shared" si="25"/>
        <v>3</v>
      </c>
    </row>
    <row r="780" spans="1:12">
      <c r="A780" t="s">
        <v>3198</v>
      </c>
      <c r="B780" t="s">
        <v>1012</v>
      </c>
      <c r="C780" t="s">
        <v>2810</v>
      </c>
      <c r="D780" t="s">
        <v>2813</v>
      </c>
      <c r="E780">
        <v>16</v>
      </c>
      <c r="F780">
        <v>0</v>
      </c>
      <c r="G780">
        <v>0</v>
      </c>
      <c r="H780">
        <f t="shared" si="24"/>
        <v>16</v>
      </c>
      <c r="I780">
        <v>0</v>
      </c>
      <c r="J780">
        <v>0</v>
      </c>
      <c r="K780">
        <v>0</v>
      </c>
      <c r="L780">
        <f t="shared" si="25"/>
        <v>0</v>
      </c>
    </row>
    <row r="781" spans="1:12">
      <c r="A781" t="s">
        <v>3198</v>
      </c>
      <c r="B781" t="s">
        <v>1012</v>
      </c>
      <c r="C781" t="s">
        <v>2810</v>
      </c>
      <c r="D781" t="s">
        <v>2896</v>
      </c>
      <c r="E781">
        <v>8</v>
      </c>
      <c r="F781">
        <v>0</v>
      </c>
      <c r="G781">
        <v>0</v>
      </c>
      <c r="H781">
        <f t="shared" si="24"/>
        <v>8</v>
      </c>
      <c r="I781">
        <v>0</v>
      </c>
      <c r="J781">
        <v>0</v>
      </c>
      <c r="K781">
        <v>0</v>
      </c>
      <c r="L781">
        <f t="shared" si="25"/>
        <v>0</v>
      </c>
    </row>
    <row r="782" spans="1:12">
      <c r="A782" t="s">
        <v>3198</v>
      </c>
      <c r="B782" t="s">
        <v>1012</v>
      </c>
      <c r="C782" t="s">
        <v>2810</v>
      </c>
      <c r="D782" t="s">
        <v>2814</v>
      </c>
      <c r="E782">
        <v>21</v>
      </c>
      <c r="F782">
        <v>0</v>
      </c>
      <c r="G782">
        <v>0</v>
      </c>
      <c r="H782">
        <f t="shared" si="24"/>
        <v>21</v>
      </c>
      <c r="I782">
        <v>0</v>
      </c>
      <c r="J782">
        <v>0</v>
      </c>
      <c r="K782">
        <v>0</v>
      </c>
      <c r="L782">
        <f t="shared" si="25"/>
        <v>0</v>
      </c>
    </row>
    <row r="783" spans="1:12">
      <c r="A783" t="s">
        <v>3198</v>
      </c>
      <c r="B783" t="s">
        <v>1012</v>
      </c>
      <c r="C783" t="s">
        <v>2810</v>
      </c>
      <c r="D783" t="s">
        <v>2815</v>
      </c>
      <c r="E783">
        <v>32</v>
      </c>
      <c r="F783">
        <v>0</v>
      </c>
      <c r="G783">
        <v>0</v>
      </c>
      <c r="H783">
        <f t="shared" si="24"/>
        <v>32</v>
      </c>
      <c r="I783">
        <v>0</v>
      </c>
      <c r="J783">
        <v>0</v>
      </c>
      <c r="K783">
        <v>0</v>
      </c>
      <c r="L783">
        <f t="shared" si="25"/>
        <v>0</v>
      </c>
    </row>
    <row r="784" spans="1:12">
      <c r="A784" t="s">
        <v>3198</v>
      </c>
      <c r="B784" t="s">
        <v>1012</v>
      </c>
      <c r="C784" t="s">
        <v>2816</v>
      </c>
      <c r="D784" t="s">
        <v>3199</v>
      </c>
      <c r="E784">
        <v>0</v>
      </c>
      <c r="F784">
        <v>0</v>
      </c>
      <c r="G784">
        <v>0</v>
      </c>
      <c r="H784">
        <f t="shared" si="24"/>
        <v>0</v>
      </c>
      <c r="I784">
        <v>1</v>
      </c>
      <c r="J784">
        <v>0</v>
      </c>
      <c r="K784">
        <v>0</v>
      </c>
      <c r="L784">
        <f t="shared" si="25"/>
        <v>1</v>
      </c>
    </row>
    <row r="785" spans="1:12">
      <c r="A785" t="s">
        <v>3198</v>
      </c>
      <c r="B785" t="s">
        <v>1012</v>
      </c>
      <c r="C785" t="s">
        <v>2841</v>
      </c>
      <c r="D785" t="s">
        <v>2842</v>
      </c>
      <c r="E785">
        <v>0</v>
      </c>
      <c r="F785">
        <v>0</v>
      </c>
      <c r="G785">
        <v>0</v>
      </c>
      <c r="H785">
        <f t="shared" si="24"/>
        <v>0</v>
      </c>
      <c r="I785">
        <v>3</v>
      </c>
      <c r="J785">
        <v>0</v>
      </c>
      <c r="K785">
        <v>0</v>
      </c>
      <c r="L785">
        <f t="shared" si="25"/>
        <v>3</v>
      </c>
    </row>
    <row r="786" spans="1:12">
      <c r="A786" t="s">
        <v>3200</v>
      </c>
      <c r="B786" t="s">
        <v>1014</v>
      </c>
      <c r="C786" t="s">
        <v>2805</v>
      </c>
      <c r="D786" t="s">
        <v>2806</v>
      </c>
      <c r="E786">
        <v>10</v>
      </c>
      <c r="F786">
        <v>0</v>
      </c>
      <c r="G786">
        <v>0</v>
      </c>
      <c r="H786">
        <f t="shared" si="24"/>
        <v>10</v>
      </c>
      <c r="I786">
        <v>0</v>
      </c>
      <c r="J786">
        <v>0</v>
      </c>
      <c r="K786">
        <v>0</v>
      </c>
      <c r="L786">
        <f t="shared" si="25"/>
        <v>0</v>
      </c>
    </row>
    <row r="787" spans="1:12">
      <c r="A787" t="s">
        <v>3200</v>
      </c>
      <c r="B787" t="s">
        <v>1014</v>
      </c>
      <c r="C787" t="s">
        <v>2805</v>
      </c>
      <c r="D787" t="s">
        <v>449</v>
      </c>
      <c r="E787">
        <v>53</v>
      </c>
      <c r="F787">
        <v>0</v>
      </c>
      <c r="G787">
        <v>0</v>
      </c>
      <c r="H787">
        <f t="shared" si="24"/>
        <v>53</v>
      </c>
      <c r="I787">
        <v>3</v>
      </c>
      <c r="J787">
        <v>0</v>
      </c>
      <c r="K787">
        <v>0</v>
      </c>
      <c r="L787">
        <f t="shared" si="25"/>
        <v>3</v>
      </c>
    </row>
    <row r="788" spans="1:12">
      <c r="A788" t="s">
        <v>3200</v>
      </c>
      <c r="B788" t="s">
        <v>1014</v>
      </c>
      <c r="C788" t="s">
        <v>2805</v>
      </c>
      <c r="D788" t="s">
        <v>2807</v>
      </c>
      <c r="E788">
        <v>4</v>
      </c>
      <c r="F788">
        <v>0</v>
      </c>
      <c r="G788">
        <v>0</v>
      </c>
      <c r="H788">
        <f t="shared" si="24"/>
        <v>4</v>
      </c>
      <c r="I788">
        <v>0</v>
      </c>
      <c r="J788">
        <v>0</v>
      </c>
      <c r="K788">
        <v>0</v>
      </c>
      <c r="L788">
        <f t="shared" si="25"/>
        <v>0</v>
      </c>
    </row>
    <row r="789" spans="1:12">
      <c r="A789" t="s">
        <v>3200</v>
      </c>
      <c r="B789" t="s">
        <v>1014</v>
      </c>
      <c r="C789" t="s">
        <v>2810</v>
      </c>
      <c r="D789" t="s">
        <v>2813</v>
      </c>
      <c r="E789">
        <v>6</v>
      </c>
      <c r="F789">
        <v>0</v>
      </c>
      <c r="G789">
        <v>0</v>
      </c>
      <c r="H789">
        <f t="shared" si="24"/>
        <v>6</v>
      </c>
      <c r="I789">
        <v>0</v>
      </c>
      <c r="J789">
        <v>0</v>
      </c>
      <c r="K789">
        <v>0</v>
      </c>
      <c r="L789">
        <f t="shared" si="25"/>
        <v>0</v>
      </c>
    </row>
    <row r="790" spans="1:12">
      <c r="A790" t="s">
        <v>3200</v>
      </c>
      <c r="B790" t="s">
        <v>1014</v>
      </c>
      <c r="C790" t="s">
        <v>2810</v>
      </c>
      <c r="D790" t="s">
        <v>3031</v>
      </c>
      <c r="E790">
        <v>1</v>
      </c>
      <c r="F790">
        <v>0</v>
      </c>
      <c r="G790">
        <v>0</v>
      </c>
      <c r="H790">
        <f t="shared" si="24"/>
        <v>1</v>
      </c>
      <c r="I790">
        <v>0</v>
      </c>
      <c r="J790">
        <v>0</v>
      </c>
      <c r="K790">
        <v>0</v>
      </c>
      <c r="L790">
        <f t="shared" si="25"/>
        <v>0</v>
      </c>
    </row>
    <row r="791" spans="1:12">
      <c r="A791" t="s">
        <v>3200</v>
      </c>
      <c r="B791" t="s">
        <v>1014</v>
      </c>
      <c r="C791" t="s">
        <v>2826</v>
      </c>
      <c r="D791" t="s">
        <v>2843</v>
      </c>
      <c r="E791">
        <v>3</v>
      </c>
      <c r="F791">
        <v>0</v>
      </c>
      <c r="G791">
        <v>0</v>
      </c>
      <c r="H791">
        <f t="shared" si="24"/>
        <v>3</v>
      </c>
      <c r="I791">
        <v>0</v>
      </c>
      <c r="J791">
        <v>0</v>
      </c>
      <c r="K791">
        <v>0</v>
      </c>
      <c r="L791">
        <f t="shared" si="25"/>
        <v>0</v>
      </c>
    </row>
    <row r="792" spans="1:12">
      <c r="A792" t="s">
        <v>3200</v>
      </c>
      <c r="B792" t="s">
        <v>1014</v>
      </c>
      <c r="C792" t="s">
        <v>2826</v>
      </c>
      <c r="D792" t="s">
        <v>2834</v>
      </c>
      <c r="E792">
        <v>4</v>
      </c>
      <c r="F792">
        <v>0</v>
      </c>
      <c r="G792">
        <v>0</v>
      </c>
      <c r="H792">
        <f t="shared" si="24"/>
        <v>4</v>
      </c>
      <c r="I792">
        <v>0</v>
      </c>
      <c r="J792">
        <v>0</v>
      </c>
      <c r="K792">
        <v>0</v>
      </c>
      <c r="L792">
        <f t="shared" si="25"/>
        <v>0</v>
      </c>
    </row>
    <row r="793" spans="1:12">
      <c r="A793" t="s">
        <v>3200</v>
      </c>
      <c r="B793" t="s">
        <v>1014</v>
      </c>
      <c r="C793" t="s">
        <v>2817</v>
      </c>
      <c r="D793" t="s">
        <v>2888</v>
      </c>
      <c r="E793">
        <v>2</v>
      </c>
      <c r="F793">
        <v>0</v>
      </c>
      <c r="G793">
        <v>0</v>
      </c>
      <c r="H793">
        <f t="shared" si="24"/>
        <v>2</v>
      </c>
      <c r="I793">
        <v>0</v>
      </c>
      <c r="J793">
        <v>0</v>
      </c>
      <c r="K793">
        <v>0</v>
      </c>
      <c r="L793">
        <f t="shared" si="25"/>
        <v>0</v>
      </c>
    </row>
    <row r="794" spans="1:12">
      <c r="A794" t="s">
        <v>3200</v>
      </c>
      <c r="B794" t="s">
        <v>1014</v>
      </c>
      <c r="C794" t="s">
        <v>2817</v>
      </c>
      <c r="D794" t="s">
        <v>2877</v>
      </c>
      <c r="E794">
        <v>1</v>
      </c>
      <c r="F794">
        <v>0</v>
      </c>
      <c r="G794">
        <v>0</v>
      </c>
      <c r="H794">
        <f t="shared" si="24"/>
        <v>1</v>
      </c>
      <c r="I794">
        <v>0</v>
      </c>
      <c r="J794">
        <v>0</v>
      </c>
      <c r="K794">
        <v>0</v>
      </c>
      <c r="L794">
        <f t="shared" si="25"/>
        <v>0</v>
      </c>
    </row>
    <row r="795" spans="1:12">
      <c r="A795" t="s">
        <v>3200</v>
      </c>
      <c r="B795" t="s">
        <v>1014</v>
      </c>
      <c r="C795" t="s">
        <v>2817</v>
      </c>
      <c r="D795" t="s">
        <v>2837</v>
      </c>
      <c r="E795">
        <v>1</v>
      </c>
      <c r="F795">
        <v>0</v>
      </c>
      <c r="G795">
        <v>0</v>
      </c>
      <c r="H795">
        <f t="shared" si="24"/>
        <v>1</v>
      </c>
      <c r="I795">
        <v>0</v>
      </c>
      <c r="J795">
        <v>0</v>
      </c>
      <c r="K795">
        <v>0</v>
      </c>
      <c r="L795">
        <f t="shared" si="25"/>
        <v>0</v>
      </c>
    </row>
    <row r="796" spans="1:12">
      <c r="A796" t="s">
        <v>3200</v>
      </c>
      <c r="B796" t="s">
        <v>1014</v>
      </c>
      <c r="C796" t="s">
        <v>2820</v>
      </c>
      <c r="D796" t="s">
        <v>2821</v>
      </c>
      <c r="E796">
        <v>5</v>
      </c>
      <c r="F796">
        <v>0</v>
      </c>
      <c r="G796">
        <v>0</v>
      </c>
      <c r="H796">
        <f t="shared" si="24"/>
        <v>5</v>
      </c>
      <c r="I796">
        <v>1</v>
      </c>
      <c r="J796">
        <v>0</v>
      </c>
      <c r="K796">
        <v>0</v>
      </c>
      <c r="L796">
        <f t="shared" si="25"/>
        <v>1</v>
      </c>
    </row>
    <row r="797" spans="1:12">
      <c r="A797" t="s">
        <v>3201</v>
      </c>
      <c r="B797" t="s">
        <v>1021</v>
      </c>
      <c r="C797" t="s">
        <v>2805</v>
      </c>
      <c r="D797" t="s">
        <v>2807</v>
      </c>
      <c r="E797">
        <v>5</v>
      </c>
      <c r="F797">
        <v>0</v>
      </c>
      <c r="G797">
        <v>0</v>
      </c>
      <c r="H797">
        <f t="shared" si="24"/>
        <v>5</v>
      </c>
      <c r="I797">
        <v>0</v>
      </c>
      <c r="J797">
        <v>0</v>
      </c>
      <c r="K797">
        <v>0</v>
      </c>
      <c r="L797">
        <f t="shared" si="25"/>
        <v>0</v>
      </c>
    </row>
    <row r="798" spans="1:12">
      <c r="A798" t="s">
        <v>3201</v>
      </c>
      <c r="B798" t="s">
        <v>1021</v>
      </c>
      <c r="C798" t="s">
        <v>2826</v>
      </c>
      <c r="D798" t="s">
        <v>2834</v>
      </c>
      <c r="E798">
        <v>0</v>
      </c>
      <c r="F798">
        <v>0</v>
      </c>
      <c r="G798">
        <v>0</v>
      </c>
      <c r="H798">
        <f t="shared" si="24"/>
        <v>0</v>
      </c>
      <c r="I798">
        <v>1</v>
      </c>
      <c r="J798">
        <v>0</v>
      </c>
      <c r="K798">
        <v>0</v>
      </c>
      <c r="L798">
        <f t="shared" si="25"/>
        <v>1</v>
      </c>
    </row>
    <row r="799" spans="1:12">
      <c r="A799" t="s">
        <v>3208</v>
      </c>
      <c r="B799" t="s">
        <v>1025</v>
      </c>
      <c r="C799" t="s">
        <v>2805</v>
      </c>
      <c r="D799" t="s">
        <v>2806</v>
      </c>
      <c r="E799">
        <v>106</v>
      </c>
      <c r="F799">
        <v>0</v>
      </c>
      <c r="G799">
        <v>0</v>
      </c>
      <c r="H799">
        <f t="shared" si="24"/>
        <v>106</v>
      </c>
      <c r="I799">
        <v>0</v>
      </c>
      <c r="J799">
        <v>0</v>
      </c>
      <c r="K799">
        <v>0</v>
      </c>
      <c r="L799">
        <f t="shared" si="25"/>
        <v>0</v>
      </c>
    </row>
    <row r="800" spans="1:12">
      <c r="A800" t="s">
        <v>3208</v>
      </c>
      <c r="B800" t="s">
        <v>1025</v>
      </c>
      <c r="C800" t="s">
        <v>2805</v>
      </c>
      <c r="D800" t="s">
        <v>449</v>
      </c>
      <c r="E800">
        <v>92</v>
      </c>
      <c r="F800">
        <v>0</v>
      </c>
      <c r="G800">
        <v>0</v>
      </c>
      <c r="H800">
        <f t="shared" si="24"/>
        <v>92</v>
      </c>
      <c r="I800">
        <v>2</v>
      </c>
      <c r="J800">
        <v>0</v>
      </c>
      <c r="K800">
        <v>0</v>
      </c>
      <c r="L800">
        <f t="shared" si="25"/>
        <v>2</v>
      </c>
    </row>
    <row r="801" spans="1:12">
      <c r="A801" t="s">
        <v>3208</v>
      </c>
      <c r="B801" t="s">
        <v>1025</v>
      </c>
      <c r="C801" t="s">
        <v>2805</v>
      </c>
      <c r="D801" t="s">
        <v>2807</v>
      </c>
      <c r="E801">
        <v>5</v>
      </c>
      <c r="F801">
        <v>0</v>
      </c>
      <c r="G801">
        <v>0</v>
      </c>
      <c r="H801">
        <f t="shared" si="24"/>
        <v>5</v>
      </c>
      <c r="I801">
        <v>0</v>
      </c>
      <c r="J801">
        <v>0</v>
      </c>
      <c r="K801">
        <v>0</v>
      </c>
      <c r="L801">
        <f t="shared" si="25"/>
        <v>0</v>
      </c>
    </row>
    <row r="802" spans="1:12">
      <c r="A802" t="s">
        <v>3208</v>
      </c>
      <c r="B802" t="s">
        <v>1025</v>
      </c>
      <c r="C802" t="s">
        <v>2810</v>
      </c>
      <c r="D802" t="s">
        <v>2811</v>
      </c>
      <c r="E802">
        <v>19</v>
      </c>
      <c r="F802">
        <v>0</v>
      </c>
      <c r="G802">
        <v>0</v>
      </c>
      <c r="H802">
        <f t="shared" si="24"/>
        <v>19</v>
      </c>
      <c r="I802">
        <v>0</v>
      </c>
      <c r="J802">
        <v>0</v>
      </c>
      <c r="K802">
        <v>0</v>
      </c>
      <c r="L802">
        <f t="shared" si="25"/>
        <v>0</v>
      </c>
    </row>
    <row r="803" spans="1:12">
      <c r="A803" t="s">
        <v>3208</v>
      </c>
      <c r="B803" t="s">
        <v>1025</v>
      </c>
      <c r="C803" t="s">
        <v>2810</v>
      </c>
      <c r="D803" t="s">
        <v>1892</v>
      </c>
      <c r="E803">
        <v>2</v>
      </c>
      <c r="F803">
        <v>0</v>
      </c>
      <c r="G803">
        <v>0</v>
      </c>
      <c r="H803">
        <f t="shared" si="24"/>
        <v>2</v>
      </c>
      <c r="I803">
        <v>0</v>
      </c>
      <c r="J803">
        <v>0</v>
      </c>
      <c r="K803">
        <v>0</v>
      </c>
      <c r="L803">
        <f t="shared" si="25"/>
        <v>0</v>
      </c>
    </row>
    <row r="804" spans="1:12">
      <c r="A804" t="s">
        <v>3208</v>
      </c>
      <c r="B804" t="s">
        <v>1025</v>
      </c>
      <c r="C804" t="s">
        <v>2810</v>
      </c>
      <c r="D804" t="s">
        <v>2823</v>
      </c>
      <c r="E804">
        <v>1</v>
      </c>
      <c r="F804">
        <v>11</v>
      </c>
      <c r="G804">
        <v>0</v>
      </c>
      <c r="H804">
        <f t="shared" si="24"/>
        <v>12</v>
      </c>
      <c r="I804">
        <v>0</v>
      </c>
      <c r="J804">
        <v>0</v>
      </c>
      <c r="K804">
        <v>0</v>
      </c>
      <c r="L804">
        <f t="shared" si="25"/>
        <v>0</v>
      </c>
    </row>
    <row r="805" spans="1:12">
      <c r="A805" t="s">
        <v>3208</v>
      </c>
      <c r="B805" t="s">
        <v>1025</v>
      </c>
      <c r="C805" t="s">
        <v>2810</v>
      </c>
      <c r="D805" t="s">
        <v>2812</v>
      </c>
      <c r="E805">
        <v>36</v>
      </c>
      <c r="F805">
        <v>0</v>
      </c>
      <c r="G805">
        <v>0</v>
      </c>
      <c r="H805">
        <f t="shared" si="24"/>
        <v>36</v>
      </c>
      <c r="I805">
        <v>0</v>
      </c>
      <c r="J805">
        <v>0</v>
      </c>
      <c r="K805">
        <v>0</v>
      </c>
      <c r="L805">
        <f t="shared" si="25"/>
        <v>0</v>
      </c>
    </row>
    <row r="806" spans="1:12">
      <c r="A806" t="s">
        <v>3208</v>
      </c>
      <c r="B806" t="s">
        <v>1025</v>
      </c>
      <c r="C806" t="s">
        <v>2810</v>
      </c>
      <c r="D806" t="s">
        <v>2813</v>
      </c>
      <c r="E806">
        <v>37</v>
      </c>
      <c r="F806">
        <v>0</v>
      </c>
      <c r="G806">
        <v>0</v>
      </c>
      <c r="H806">
        <f t="shared" si="24"/>
        <v>37</v>
      </c>
      <c r="I806">
        <v>0</v>
      </c>
      <c r="J806">
        <v>0</v>
      </c>
      <c r="K806">
        <v>0</v>
      </c>
      <c r="L806">
        <f t="shared" si="25"/>
        <v>0</v>
      </c>
    </row>
    <row r="807" spans="1:12">
      <c r="A807" t="s">
        <v>3208</v>
      </c>
      <c r="B807" t="s">
        <v>1025</v>
      </c>
      <c r="C807" t="s">
        <v>2810</v>
      </c>
      <c r="D807" t="s">
        <v>2847</v>
      </c>
      <c r="E807">
        <v>19</v>
      </c>
      <c r="F807">
        <v>0</v>
      </c>
      <c r="G807">
        <v>0</v>
      </c>
      <c r="H807">
        <f t="shared" si="24"/>
        <v>19</v>
      </c>
      <c r="I807">
        <v>0</v>
      </c>
      <c r="J807">
        <v>0</v>
      </c>
      <c r="K807">
        <v>0</v>
      </c>
      <c r="L807">
        <f t="shared" si="25"/>
        <v>0</v>
      </c>
    </row>
    <row r="808" spans="1:12">
      <c r="A808" t="s">
        <v>3208</v>
      </c>
      <c r="B808" t="s">
        <v>1025</v>
      </c>
      <c r="C808" t="s">
        <v>2810</v>
      </c>
      <c r="D808" t="s">
        <v>2815</v>
      </c>
      <c r="E808">
        <v>15</v>
      </c>
      <c r="F808">
        <v>0</v>
      </c>
      <c r="G808">
        <v>0</v>
      </c>
      <c r="H808">
        <f t="shared" si="24"/>
        <v>15</v>
      </c>
      <c r="I808">
        <v>0</v>
      </c>
      <c r="J808">
        <v>0</v>
      </c>
      <c r="K808">
        <v>0</v>
      </c>
      <c r="L808">
        <f t="shared" si="25"/>
        <v>0</v>
      </c>
    </row>
    <row r="809" spans="1:12">
      <c r="A809" t="s">
        <v>3208</v>
      </c>
      <c r="B809" t="s">
        <v>1025</v>
      </c>
      <c r="C809" t="s">
        <v>2816</v>
      </c>
      <c r="D809" t="s">
        <v>1897</v>
      </c>
      <c r="E809">
        <v>29</v>
      </c>
      <c r="F809">
        <v>0</v>
      </c>
      <c r="G809">
        <v>0</v>
      </c>
      <c r="H809">
        <f t="shared" si="24"/>
        <v>29</v>
      </c>
      <c r="I809">
        <v>0</v>
      </c>
      <c r="J809">
        <v>0</v>
      </c>
      <c r="K809">
        <v>0</v>
      </c>
      <c r="L809">
        <f t="shared" si="25"/>
        <v>0</v>
      </c>
    </row>
    <row r="810" spans="1:12">
      <c r="A810" t="s">
        <v>3208</v>
      </c>
      <c r="B810" t="s">
        <v>1025</v>
      </c>
      <c r="C810" t="s">
        <v>2817</v>
      </c>
      <c r="D810" t="s">
        <v>2837</v>
      </c>
      <c r="E810">
        <v>1</v>
      </c>
      <c r="F810">
        <v>0</v>
      </c>
      <c r="G810">
        <v>0</v>
      </c>
      <c r="H810">
        <f t="shared" si="24"/>
        <v>1</v>
      </c>
      <c r="I810">
        <v>0</v>
      </c>
      <c r="J810">
        <v>0</v>
      </c>
      <c r="K810">
        <v>0</v>
      </c>
      <c r="L810">
        <f t="shared" si="25"/>
        <v>0</v>
      </c>
    </row>
    <row r="811" spans="1:12">
      <c r="A811" t="s">
        <v>3208</v>
      </c>
      <c r="B811" t="s">
        <v>1025</v>
      </c>
      <c r="C811" t="s">
        <v>2820</v>
      </c>
      <c r="D811" t="s">
        <v>2821</v>
      </c>
      <c r="E811">
        <v>3</v>
      </c>
      <c r="F811">
        <v>0</v>
      </c>
      <c r="G811">
        <v>0</v>
      </c>
      <c r="H811">
        <f t="shared" si="24"/>
        <v>3</v>
      </c>
      <c r="I811">
        <v>0</v>
      </c>
      <c r="J811">
        <v>0</v>
      </c>
      <c r="K811">
        <v>0</v>
      </c>
      <c r="L811">
        <f t="shared" si="25"/>
        <v>0</v>
      </c>
    </row>
    <row r="812" spans="1:12">
      <c r="A812" t="s">
        <v>3209</v>
      </c>
      <c r="B812" t="s">
        <v>1610</v>
      </c>
      <c r="C812" t="s">
        <v>2810</v>
      </c>
      <c r="D812" t="s">
        <v>2847</v>
      </c>
      <c r="E812">
        <v>20</v>
      </c>
      <c r="F812">
        <v>0</v>
      </c>
      <c r="G812">
        <v>0</v>
      </c>
      <c r="H812">
        <f t="shared" si="24"/>
        <v>20</v>
      </c>
      <c r="I812">
        <v>0</v>
      </c>
      <c r="J812">
        <v>0</v>
      </c>
      <c r="K812">
        <v>0</v>
      </c>
      <c r="L812">
        <f t="shared" si="25"/>
        <v>0</v>
      </c>
    </row>
    <row r="813" spans="1:12">
      <c r="A813" t="s">
        <v>3210</v>
      </c>
      <c r="B813" t="s">
        <v>1605</v>
      </c>
      <c r="C813" t="s">
        <v>2805</v>
      </c>
      <c r="D813" t="s">
        <v>449</v>
      </c>
      <c r="E813">
        <v>135</v>
      </c>
      <c r="F813">
        <v>0</v>
      </c>
      <c r="G813">
        <v>0</v>
      </c>
      <c r="H813">
        <f t="shared" si="24"/>
        <v>135</v>
      </c>
      <c r="I813">
        <v>0</v>
      </c>
      <c r="J813">
        <v>0</v>
      </c>
      <c r="K813">
        <v>0</v>
      </c>
      <c r="L813">
        <f t="shared" si="25"/>
        <v>0</v>
      </c>
    </row>
    <row r="814" spans="1:12">
      <c r="A814" t="s">
        <v>3210</v>
      </c>
      <c r="B814" t="s">
        <v>1605</v>
      </c>
      <c r="C814" t="s">
        <v>2805</v>
      </c>
      <c r="D814" t="s">
        <v>2807</v>
      </c>
      <c r="E814">
        <v>12</v>
      </c>
      <c r="F814">
        <v>0</v>
      </c>
      <c r="G814">
        <v>0</v>
      </c>
      <c r="H814">
        <f t="shared" si="24"/>
        <v>12</v>
      </c>
      <c r="I814">
        <v>0</v>
      </c>
      <c r="J814">
        <v>0</v>
      </c>
      <c r="K814">
        <v>0</v>
      </c>
      <c r="L814">
        <f t="shared" si="25"/>
        <v>0</v>
      </c>
    </row>
    <row r="815" spans="1:12">
      <c r="A815" t="s">
        <v>3210</v>
      </c>
      <c r="B815" t="s">
        <v>1605</v>
      </c>
      <c r="C815" t="s">
        <v>2805</v>
      </c>
      <c r="D815" t="s">
        <v>2809</v>
      </c>
      <c r="E815">
        <v>5</v>
      </c>
      <c r="F815">
        <v>0</v>
      </c>
      <c r="G815">
        <v>0</v>
      </c>
      <c r="H815">
        <f t="shared" si="24"/>
        <v>5</v>
      </c>
      <c r="I815">
        <v>0</v>
      </c>
      <c r="J815">
        <v>0</v>
      </c>
      <c r="K815">
        <v>0</v>
      </c>
      <c r="L815">
        <f t="shared" si="25"/>
        <v>0</v>
      </c>
    </row>
    <row r="816" spans="1:12">
      <c r="A816" t="s">
        <v>3210</v>
      </c>
      <c r="B816" t="s">
        <v>1605</v>
      </c>
      <c r="C816" t="s">
        <v>2810</v>
      </c>
      <c r="D816" t="s">
        <v>2811</v>
      </c>
      <c r="E816">
        <v>9</v>
      </c>
      <c r="F816">
        <v>0</v>
      </c>
      <c r="G816">
        <v>0</v>
      </c>
      <c r="H816">
        <f t="shared" si="24"/>
        <v>9</v>
      </c>
      <c r="I816">
        <v>3</v>
      </c>
      <c r="J816">
        <v>0</v>
      </c>
      <c r="K816">
        <v>0</v>
      </c>
      <c r="L816">
        <f t="shared" si="25"/>
        <v>3</v>
      </c>
    </row>
    <row r="817" spans="1:12">
      <c r="A817" t="s">
        <v>3210</v>
      </c>
      <c r="B817" t="s">
        <v>1605</v>
      </c>
      <c r="C817" t="s">
        <v>2810</v>
      </c>
      <c r="D817" t="s">
        <v>2823</v>
      </c>
      <c r="E817">
        <v>1</v>
      </c>
      <c r="F817">
        <v>0</v>
      </c>
      <c r="G817">
        <v>0</v>
      </c>
      <c r="H817">
        <f t="shared" si="24"/>
        <v>1</v>
      </c>
      <c r="I817">
        <v>0</v>
      </c>
      <c r="J817">
        <v>0</v>
      </c>
      <c r="K817">
        <v>0</v>
      </c>
      <c r="L817">
        <f t="shared" si="25"/>
        <v>0</v>
      </c>
    </row>
    <row r="818" spans="1:12">
      <c r="A818" t="s">
        <v>3210</v>
      </c>
      <c r="B818" t="s">
        <v>1605</v>
      </c>
      <c r="C818" t="s">
        <v>2810</v>
      </c>
      <c r="D818" t="s">
        <v>2812</v>
      </c>
      <c r="E818">
        <v>9</v>
      </c>
      <c r="F818">
        <v>0</v>
      </c>
      <c r="G818">
        <v>0</v>
      </c>
      <c r="H818">
        <f t="shared" si="24"/>
        <v>9</v>
      </c>
      <c r="I818">
        <v>0</v>
      </c>
      <c r="J818">
        <v>0</v>
      </c>
      <c r="K818">
        <v>0</v>
      </c>
      <c r="L818">
        <f t="shared" si="25"/>
        <v>0</v>
      </c>
    </row>
    <row r="819" spans="1:12">
      <c r="A819" t="s">
        <v>3210</v>
      </c>
      <c r="B819" t="s">
        <v>1605</v>
      </c>
      <c r="C819" t="s">
        <v>2810</v>
      </c>
      <c r="D819" t="s">
        <v>2813</v>
      </c>
      <c r="E819">
        <v>5</v>
      </c>
      <c r="F819">
        <v>0</v>
      </c>
      <c r="G819">
        <v>0</v>
      </c>
      <c r="H819">
        <f t="shared" si="24"/>
        <v>5</v>
      </c>
      <c r="I819">
        <v>0</v>
      </c>
      <c r="J819">
        <v>0</v>
      </c>
      <c r="K819">
        <v>0</v>
      </c>
      <c r="L819">
        <f t="shared" si="25"/>
        <v>0</v>
      </c>
    </row>
    <row r="820" spans="1:12">
      <c r="A820" t="s">
        <v>3210</v>
      </c>
      <c r="B820" t="s">
        <v>1605</v>
      </c>
      <c r="C820" t="s">
        <v>2826</v>
      </c>
      <c r="D820" t="s">
        <v>2827</v>
      </c>
      <c r="E820">
        <v>0</v>
      </c>
      <c r="F820">
        <v>0</v>
      </c>
      <c r="G820">
        <v>0</v>
      </c>
      <c r="H820">
        <f t="shared" si="24"/>
        <v>0</v>
      </c>
      <c r="I820">
        <v>1</v>
      </c>
      <c r="J820">
        <v>0</v>
      </c>
      <c r="K820">
        <v>0</v>
      </c>
      <c r="L820">
        <f t="shared" si="25"/>
        <v>1</v>
      </c>
    </row>
    <row r="821" spans="1:12">
      <c r="A821" t="s">
        <v>3210</v>
      </c>
      <c r="B821" t="s">
        <v>1605</v>
      </c>
      <c r="C821" t="s">
        <v>2826</v>
      </c>
      <c r="D821" t="s">
        <v>2843</v>
      </c>
      <c r="E821">
        <v>0</v>
      </c>
      <c r="F821">
        <v>0</v>
      </c>
      <c r="G821">
        <v>0</v>
      </c>
      <c r="H821">
        <f t="shared" si="24"/>
        <v>0</v>
      </c>
      <c r="I821">
        <v>1</v>
      </c>
      <c r="J821">
        <v>0</v>
      </c>
      <c r="K821">
        <v>0</v>
      </c>
      <c r="L821">
        <f t="shared" si="25"/>
        <v>1</v>
      </c>
    </row>
    <row r="822" spans="1:12">
      <c r="A822" t="s">
        <v>3211</v>
      </c>
      <c r="B822" t="s">
        <v>1027</v>
      </c>
      <c r="C822" t="s">
        <v>2826</v>
      </c>
      <c r="D822" t="s">
        <v>2843</v>
      </c>
      <c r="E822">
        <v>0</v>
      </c>
      <c r="F822">
        <v>0</v>
      </c>
      <c r="G822">
        <v>0</v>
      </c>
      <c r="H822">
        <f t="shared" si="24"/>
        <v>0</v>
      </c>
      <c r="I822">
        <v>1</v>
      </c>
      <c r="J822">
        <v>0</v>
      </c>
      <c r="K822">
        <v>0</v>
      </c>
      <c r="L822">
        <f t="shared" si="25"/>
        <v>1</v>
      </c>
    </row>
    <row r="823" spans="1:12">
      <c r="A823" t="s">
        <v>3211</v>
      </c>
      <c r="B823" t="s">
        <v>1027</v>
      </c>
      <c r="C823" t="s">
        <v>2826</v>
      </c>
      <c r="D823" t="s">
        <v>2834</v>
      </c>
      <c r="E823">
        <v>0</v>
      </c>
      <c r="F823">
        <v>0</v>
      </c>
      <c r="G823">
        <v>0</v>
      </c>
      <c r="H823">
        <f t="shared" si="24"/>
        <v>0</v>
      </c>
      <c r="I823">
        <v>1</v>
      </c>
      <c r="J823">
        <v>0</v>
      </c>
      <c r="K823">
        <v>0</v>
      </c>
      <c r="L823">
        <f t="shared" si="25"/>
        <v>1</v>
      </c>
    </row>
    <row r="824" spans="1:12">
      <c r="A824" t="s">
        <v>3226</v>
      </c>
      <c r="B824" t="s">
        <v>1030</v>
      </c>
      <c r="C824" t="s">
        <v>2805</v>
      </c>
      <c r="D824" t="s">
        <v>2806</v>
      </c>
      <c r="E824">
        <v>14</v>
      </c>
      <c r="F824">
        <v>0</v>
      </c>
      <c r="G824">
        <v>0</v>
      </c>
      <c r="H824">
        <f t="shared" si="24"/>
        <v>14</v>
      </c>
      <c r="I824">
        <v>0</v>
      </c>
      <c r="J824">
        <v>0</v>
      </c>
      <c r="K824">
        <v>0</v>
      </c>
      <c r="L824">
        <f t="shared" si="25"/>
        <v>0</v>
      </c>
    </row>
    <row r="825" spans="1:12">
      <c r="A825" t="s">
        <v>3226</v>
      </c>
      <c r="B825" t="s">
        <v>1030</v>
      </c>
      <c r="C825" t="s">
        <v>2805</v>
      </c>
      <c r="D825" t="s">
        <v>449</v>
      </c>
      <c r="E825">
        <v>21</v>
      </c>
      <c r="F825">
        <v>0</v>
      </c>
      <c r="G825">
        <v>0</v>
      </c>
      <c r="H825">
        <f t="shared" si="24"/>
        <v>21</v>
      </c>
      <c r="I825">
        <v>0</v>
      </c>
      <c r="J825">
        <v>0</v>
      </c>
      <c r="K825">
        <v>0</v>
      </c>
      <c r="L825">
        <f t="shared" si="25"/>
        <v>0</v>
      </c>
    </row>
    <row r="826" spans="1:12">
      <c r="A826" t="s">
        <v>3226</v>
      </c>
      <c r="B826" t="s">
        <v>1030</v>
      </c>
      <c r="C826" t="s">
        <v>2805</v>
      </c>
      <c r="D826" t="s">
        <v>2807</v>
      </c>
      <c r="E826">
        <v>7</v>
      </c>
      <c r="F826">
        <v>0</v>
      </c>
      <c r="G826">
        <v>0</v>
      </c>
      <c r="H826">
        <f t="shared" si="24"/>
        <v>7</v>
      </c>
      <c r="I826">
        <v>0</v>
      </c>
      <c r="J826">
        <v>0</v>
      </c>
      <c r="K826">
        <v>0</v>
      </c>
      <c r="L826">
        <f t="shared" si="25"/>
        <v>0</v>
      </c>
    </row>
    <row r="827" spans="1:12">
      <c r="A827" t="s">
        <v>3226</v>
      </c>
      <c r="B827" t="s">
        <v>1030</v>
      </c>
      <c r="C827" t="s">
        <v>2810</v>
      </c>
      <c r="D827" t="s">
        <v>2811</v>
      </c>
      <c r="E827">
        <v>1</v>
      </c>
      <c r="F827">
        <v>0</v>
      </c>
      <c r="G827">
        <v>0</v>
      </c>
      <c r="H827">
        <f t="shared" si="24"/>
        <v>1</v>
      </c>
      <c r="I827">
        <v>0</v>
      </c>
      <c r="J827">
        <v>0</v>
      </c>
      <c r="K827">
        <v>0</v>
      </c>
      <c r="L827">
        <f t="shared" si="25"/>
        <v>0</v>
      </c>
    </row>
    <row r="828" spans="1:12">
      <c r="A828" t="s">
        <v>3226</v>
      </c>
      <c r="B828" t="s">
        <v>1030</v>
      </c>
      <c r="C828" t="s">
        <v>2826</v>
      </c>
      <c r="D828" t="s">
        <v>2871</v>
      </c>
      <c r="E828">
        <v>0</v>
      </c>
      <c r="F828">
        <v>0</v>
      </c>
      <c r="G828">
        <v>0</v>
      </c>
      <c r="H828">
        <f t="shared" si="24"/>
        <v>0</v>
      </c>
      <c r="I828">
        <v>1</v>
      </c>
      <c r="J828">
        <v>0</v>
      </c>
      <c r="K828">
        <v>0</v>
      </c>
      <c r="L828">
        <f t="shared" si="25"/>
        <v>1</v>
      </c>
    </row>
    <row r="829" spans="1:12">
      <c r="A829" t="s">
        <v>3226</v>
      </c>
      <c r="B829" t="s">
        <v>1030</v>
      </c>
      <c r="C829" t="s">
        <v>2826</v>
      </c>
      <c r="D829" t="s">
        <v>2834</v>
      </c>
      <c r="E829">
        <v>0</v>
      </c>
      <c r="F829">
        <v>0</v>
      </c>
      <c r="G829">
        <v>0</v>
      </c>
      <c r="H829">
        <f t="shared" si="24"/>
        <v>0</v>
      </c>
      <c r="I829">
        <v>1</v>
      </c>
      <c r="J829">
        <v>0</v>
      </c>
      <c r="K829">
        <v>0</v>
      </c>
      <c r="L829">
        <f t="shared" si="25"/>
        <v>1</v>
      </c>
    </row>
    <row r="830" spans="1:12">
      <c r="A830" t="s">
        <v>3229</v>
      </c>
      <c r="B830" t="s">
        <v>1034</v>
      </c>
      <c r="C830" t="s">
        <v>2805</v>
      </c>
      <c r="D830" t="s">
        <v>2806</v>
      </c>
      <c r="E830">
        <v>95</v>
      </c>
      <c r="F830">
        <v>0</v>
      </c>
      <c r="G830">
        <v>0</v>
      </c>
      <c r="H830">
        <f t="shared" si="24"/>
        <v>95</v>
      </c>
      <c r="I830">
        <v>0</v>
      </c>
      <c r="J830">
        <v>0</v>
      </c>
      <c r="K830">
        <v>0</v>
      </c>
      <c r="L830">
        <f t="shared" si="25"/>
        <v>0</v>
      </c>
    </row>
    <row r="831" spans="1:12">
      <c r="A831" t="s">
        <v>3229</v>
      </c>
      <c r="B831" t="s">
        <v>1034</v>
      </c>
      <c r="C831" t="s">
        <v>2805</v>
      </c>
      <c r="D831" t="s">
        <v>449</v>
      </c>
      <c r="E831">
        <v>70</v>
      </c>
      <c r="F831">
        <v>0</v>
      </c>
      <c r="G831">
        <v>0</v>
      </c>
      <c r="H831">
        <f t="shared" si="24"/>
        <v>70</v>
      </c>
      <c r="I831">
        <v>0</v>
      </c>
      <c r="J831">
        <v>0</v>
      </c>
      <c r="K831">
        <v>0</v>
      </c>
      <c r="L831">
        <f t="shared" si="25"/>
        <v>0</v>
      </c>
    </row>
    <row r="832" spans="1:12">
      <c r="A832" t="s">
        <v>3229</v>
      </c>
      <c r="B832" t="s">
        <v>1034</v>
      </c>
      <c r="C832" t="s">
        <v>2805</v>
      </c>
      <c r="D832" t="s">
        <v>2807</v>
      </c>
      <c r="E832">
        <v>11</v>
      </c>
      <c r="F832">
        <v>0</v>
      </c>
      <c r="G832">
        <v>0</v>
      </c>
      <c r="H832">
        <f t="shared" si="24"/>
        <v>11</v>
      </c>
      <c r="I832">
        <v>0</v>
      </c>
      <c r="J832">
        <v>0</v>
      </c>
      <c r="K832">
        <v>0</v>
      </c>
      <c r="L832">
        <f t="shared" si="25"/>
        <v>0</v>
      </c>
    </row>
    <row r="833" spans="1:12">
      <c r="A833" t="s">
        <v>3229</v>
      </c>
      <c r="B833" t="s">
        <v>1034</v>
      </c>
      <c r="C833" t="s">
        <v>2810</v>
      </c>
      <c r="D833" t="s">
        <v>2811</v>
      </c>
      <c r="E833">
        <v>37</v>
      </c>
      <c r="F833">
        <v>0</v>
      </c>
      <c r="G833">
        <v>0</v>
      </c>
      <c r="H833">
        <f t="shared" si="24"/>
        <v>37</v>
      </c>
      <c r="I833">
        <v>0</v>
      </c>
      <c r="J833">
        <v>0</v>
      </c>
      <c r="K833">
        <v>0</v>
      </c>
      <c r="L833">
        <f t="shared" si="25"/>
        <v>0</v>
      </c>
    </row>
    <row r="834" spans="1:12">
      <c r="A834" t="s">
        <v>3229</v>
      </c>
      <c r="B834" t="s">
        <v>1034</v>
      </c>
      <c r="C834" t="s">
        <v>2810</v>
      </c>
      <c r="D834" t="s">
        <v>2823</v>
      </c>
      <c r="E834">
        <v>4</v>
      </c>
      <c r="F834">
        <v>0</v>
      </c>
      <c r="G834">
        <v>0</v>
      </c>
      <c r="H834">
        <f t="shared" si="24"/>
        <v>4</v>
      </c>
      <c r="I834">
        <v>0</v>
      </c>
      <c r="J834">
        <v>0</v>
      </c>
      <c r="K834">
        <v>0</v>
      </c>
      <c r="L834">
        <f t="shared" si="25"/>
        <v>0</v>
      </c>
    </row>
    <row r="835" spans="1:12">
      <c r="A835" t="s">
        <v>3229</v>
      </c>
      <c r="B835" t="s">
        <v>1034</v>
      </c>
      <c r="C835" t="s">
        <v>2810</v>
      </c>
      <c r="D835" t="s">
        <v>2812</v>
      </c>
      <c r="E835">
        <v>48</v>
      </c>
      <c r="F835">
        <v>0</v>
      </c>
      <c r="G835">
        <v>0</v>
      </c>
      <c r="H835">
        <f t="shared" si="24"/>
        <v>48</v>
      </c>
      <c r="I835">
        <v>0</v>
      </c>
      <c r="J835">
        <v>0</v>
      </c>
      <c r="K835">
        <v>0</v>
      </c>
      <c r="L835">
        <f t="shared" si="25"/>
        <v>0</v>
      </c>
    </row>
    <row r="836" spans="1:12">
      <c r="A836" t="s">
        <v>3229</v>
      </c>
      <c r="B836" t="s">
        <v>1034</v>
      </c>
      <c r="C836" t="s">
        <v>2810</v>
      </c>
      <c r="D836" t="s">
        <v>2813</v>
      </c>
      <c r="E836">
        <v>30</v>
      </c>
      <c r="F836">
        <v>0</v>
      </c>
      <c r="G836">
        <v>0</v>
      </c>
      <c r="H836">
        <f t="shared" ref="H836:H899" si="26">SUM(E836:G836)</f>
        <v>30</v>
      </c>
      <c r="I836">
        <v>0</v>
      </c>
      <c r="J836">
        <v>0</v>
      </c>
      <c r="K836">
        <v>0</v>
      </c>
      <c r="L836">
        <f t="shared" ref="L836:L899" si="27">SUM(I836:K836)</f>
        <v>0</v>
      </c>
    </row>
    <row r="837" spans="1:12">
      <c r="A837" t="s">
        <v>3229</v>
      </c>
      <c r="B837" t="s">
        <v>1034</v>
      </c>
      <c r="C837" t="s">
        <v>2810</v>
      </c>
      <c r="D837" t="s">
        <v>2847</v>
      </c>
      <c r="E837">
        <v>75</v>
      </c>
      <c r="F837">
        <v>0</v>
      </c>
      <c r="G837">
        <v>0</v>
      </c>
      <c r="H837">
        <f t="shared" si="26"/>
        <v>75</v>
      </c>
      <c r="I837">
        <v>0</v>
      </c>
      <c r="J837">
        <v>0</v>
      </c>
      <c r="K837">
        <v>0</v>
      </c>
      <c r="L837">
        <f t="shared" si="27"/>
        <v>0</v>
      </c>
    </row>
    <row r="838" spans="1:12">
      <c r="A838" t="s">
        <v>3229</v>
      </c>
      <c r="B838" t="s">
        <v>1034</v>
      </c>
      <c r="C838" t="s">
        <v>2810</v>
      </c>
      <c r="D838" t="s">
        <v>2815</v>
      </c>
      <c r="E838">
        <v>2</v>
      </c>
      <c r="F838">
        <v>0</v>
      </c>
      <c r="G838">
        <v>0</v>
      </c>
      <c r="H838">
        <f t="shared" si="26"/>
        <v>2</v>
      </c>
      <c r="I838">
        <v>0</v>
      </c>
      <c r="J838">
        <v>0</v>
      </c>
      <c r="K838">
        <v>0</v>
      </c>
      <c r="L838">
        <f t="shared" si="27"/>
        <v>0</v>
      </c>
    </row>
    <row r="839" spans="1:12">
      <c r="A839" t="s">
        <v>3229</v>
      </c>
      <c r="B839" t="s">
        <v>1034</v>
      </c>
      <c r="C839" t="s">
        <v>2817</v>
      </c>
      <c r="D839" t="s">
        <v>2837</v>
      </c>
      <c r="E839">
        <v>2</v>
      </c>
      <c r="F839">
        <v>0</v>
      </c>
      <c r="G839">
        <v>0</v>
      </c>
      <c r="H839">
        <f t="shared" si="26"/>
        <v>2</v>
      </c>
      <c r="I839">
        <v>0</v>
      </c>
      <c r="J839">
        <v>0</v>
      </c>
      <c r="K839">
        <v>0</v>
      </c>
      <c r="L839">
        <f t="shared" si="27"/>
        <v>0</v>
      </c>
    </row>
    <row r="840" spans="1:12">
      <c r="A840" t="s">
        <v>3229</v>
      </c>
      <c r="B840" t="s">
        <v>1034</v>
      </c>
      <c r="C840" t="s">
        <v>2820</v>
      </c>
      <c r="D840" t="s">
        <v>2821</v>
      </c>
      <c r="E840">
        <v>1</v>
      </c>
      <c r="F840">
        <v>0</v>
      </c>
      <c r="G840">
        <v>0</v>
      </c>
      <c r="H840">
        <f t="shared" si="26"/>
        <v>1</v>
      </c>
      <c r="I840">
        <v>0</v>
      </c>
      <c r="J840">
        <v>0</v>
      </c>
      <c r="K840">
        <v>0</v>
      </c>
      <c r="L840">
        <f t="shared" si="27"/>
        <v>0</v>
      </c>
    </row>
    <row r="841" spans="1:12">
      <c r="A841" t="s">
        <v>3236</v>
      </c>
      <c r="B841" t="s">
        <v>1037</v>
      </c>
      <c r="C841" t="s">
        <v>2805</v>
      </c>
      <c r="D841" t="s">
        <v>2806</v>
      </c>
      <c r="E841">
        <v>118</v>
      </c>
      <c r="F841">
        <v>0</v>
      </c>
      <c r="G841">
        <v>0</v>
      </c>
      <c r="H841">
        <f t="shared" si="26"/>
        <v>118</v>
      </c>
      <c r="I841">
        <v>0</v>
      </c>
      <c r="J841">
        <v>0</v>
      </c>
      <c r="K841">
        <v>0</v>
      </c>
      <c r="L841">
        <f t="shared" si="27"/>
        <v>0</v>
      </c>
    </row>
    <row r="842" spans="1:12">
      <c r="A842" t="s">
        <v>3236</v>
      </c>
      <c r="B842" t="s">
        <v>1037</v>
      </c>
      <c r="C842" t="s">
        <v>2805</v>
      </c>
      <c r="D842" t="s">
        <v>449</v>
      </c>
      <c r="E842">
        <v>251</v>
      </c>
      <c r="F842">
        <v>0</v>
      </c>
      <c r="G842">
        <v>0</v>
      </c>
      <c r="H842">
        <f t="shared" si="26"/>
        <v>251</v>
      </c>
      <c r="I842">
        <v>0</v>
      </c>
      <c r="J842">
        <v>0</v>
      </c>
      <c r="K842">
        <v>0</v>
      </c>
      <c r="L842">
        <f t="shared" si="27"/>
        <v>0</v>
      </c>
    </row>
    <row r="843" spans="1:12">
      <c r="A843" t="s">
        <v>3236</v>
      </c>
      <c r="B843" t="s">
        <v>1037</v>
      </c>
      <c r="C843" t="s">
        <v>2805</v>
      </c>
      <c r="D843" t="s">
        <v>2807</v>
      </c>
      <c r="E843">
        <v>4</v>
      </c>
      <c r="F843">
        <v>0</v>
      </c>
      <c r="G843">
        <v>0</v>
      </c>
      <c r="H843">
        <f t="shared" si="26"/>
        <v>4</v>
      </c>
      <c r="I843">
        <v>0</v>
      </c>
      <c r="J843">
        <v>0</v>
      </c>
      <c r="K843">
        <v>0</v>
      </c>
      <c r="L843">
        <f t="shared" si="27"/>
        <v>0</v>
      </c>
    </row>
    <row r="844" spans="1:12">
      <c r="A844" t="s">
        <v>3236</v>
      </c>
      <c r="B844" t="s">
        <v>1037</v>
      </c>
      <c r="C844" t="s">
        <v>2810</v>
      </c>
      <c r="D844" t="s">
        <v>2811</v>
      </c>
      <c r="E844">
        <v>23</v>
      </c>
      <c r="F844">
        <v>0</v>
      </c>
      <c r="G844">
        <v>0</v>
      </c>
      <c r="H844">
        <f t="shared" si="26"/>
        <v>23</v>
      </c>
      <c r="I844">
        <v>0</v>
      </c>
      <c r="J844">
        <v>0</v>
      </c>
      <c r="K844">
        <v>0</v>
      </c>
      <c r="L844">
        <f t="shared" si="27"/>
        <v>0</v>
      </c>
    </row>
    <row r="845" spans="1:12">
      <c r="A845" t="s">
        <v>3236</v>
      </c>
      <c r="B845" t="s">
        <v>1037</v>
      </c>
      <c r="C845" t="s">
        <v>2810</v>
      </c>
      <c r="D845" t="s">
        <v>2823</v>
      </c>
      <c r="E845">
        <v>0</v>
      </c>
      <c r="F845">
        <v>4</v>
      </c>
      <c r="G845">
        <v>0</v>
      </c>
      <c r="H845">
        <f t="shared" si="26"/>
        <v>4</v>
      </c>
      <c r="I845">
        <v>0</v>
      </c>
      <c r="J845">
        <v>0</v>
      </c>
      <c r="K845">
        <v>0</v>
      </c>
      <c r="L845">
        <f t="shared" si="27"/>
        <v>0</v>
      </c>
    </row>
    <row r="846" spans="1:12">
      <c r="A846" t="s">
        <v>3236</v>
      </c>
      <c r="B846" t="s">
        <v>1037</v>
      </c>
      <c r="C846" t="s">
        <v>2810</v>
      </c>
      <c r="D846" t="s">
        <v>2813</v>
      </c>
      <c r="E846">
        <v>1</v>
      </c>
      <c r="F846">
        <v>0</v>
      </c>
      <c r="G846">
        <v>0</v>
      </c>
      <c r="H846">
        <f t="shared" si="26"/>
        <v>1</v>
      </c>
      <c r="I846">
        <v>0</v>
      </c>
      <c r="J846">
        <v>0</v>
      </c>
      <c r="K846">
        <v>0</v>
      </c>
      <c r="L846">
        <f t="shared" si="27"/>
        <v>0</v>
      </c>
    </row>
    <row r="847" spans="1:12">
      <c r="A847" t="s">
        <v>3236</v>
      </c>
      <c r="B847" t="s">
        <v>1037</v>
      </c>
      <c r="C847" t="s">
        <v>2810</v>
      </c>
      <c r="D847" t="s">
        <v>2815</v>
      </c>
      <c r="E847">
        <v>5</v>
      </c>
      <c r="F847">
        <v>0</v>
      </c>
      <c r="G847">
        <v>0</v>
      </c>
      <c r="H847">
        <f t="shared" si="26"/>
        <v>5</v>
      </c>
      <c r="I847">
        <v>0</v>
      </c>
      <c r="J847">
        <v>0</v>
      </c>
      <c r="K847">
        <v>0</v>
      </c>
      <c r="L847">
        <f t="shared" si="27"/>
        <v>0</v>
      </c>
    </row>
    <row r="848" spans="1:12">
      <c r="A848" t="s">
        <v>3236</v>
      </c>
      <c r="B848" t="s">
        <v>1037</v>
      </c>
      <c r="C848" t="s">
        <v>2816</v>
      </c>
      <c r="D848" t="s">
        <v>1897</v>
      </c>
      <c r="E848">
        <v>21</v>
      </c>
      <c r="F848">
        <v>0</v>
      </c>
      <c r="G848">
        <v>0</v>
      </c>
      <c r="H848">
        <f t="shared" si="26"/>
        <v>21</v>
      </c>
      <c r="I848">
        <v>0</v>
      </c>
      <c r="J848">
        <v>0</v>
      </c>
      <c r="K848">
        <v>0</v>
      </c>
      <c r="L848">
        <f t="shared" si="27"/>
        <v>0</v>
      </c>
    </row>
    <row r="849" spans="1:12">
      <c r="A849" t="s">
        <v>3236</v>
      </c>
      <c r="B849" t="s">
        <v>1037</v>
      </c>
      <c r="C849" t="s">
        <v>2816</v>
      </c>
      <c r="D849" t="s">
        <v>2848</v>
      </c>
      <c r="E849">
        <v>7</v>
      </c>
      <c r="F849">
        <v>0</v>
      </c>
      <c r="G849">
        <v>0</v>
      </c>
      <c r="H849">
        <f t="shared" si="26"/>
        <v>7</v>
      </c>
      <c r="I849">
        <v>0</v>
      </c>
      <c r="J849">
        <v>0</v>
      </c>
      <c r="K849">
        <v>0</v>
      </c>
      <c r="L849">
        <f t="shared" si="27"/>
        <v>0</v>
      </c>
    </row>
    <row r="850" spans="1:12">
      <c r="A850" t="s">
        <v>3236</v>
      </c>
      <c r="B850" t="s">
        <v>1037</v>
      </c>
      <c r="C850" t="s">
        <v>2826</v>
      </c>
      <c r="D850" t="s">
        <v>2834</v>
      </c>
      <c r="E850">
        <v>0</v>
      </c>
      <c r="F850">
        <v>0</v>
      </c>
      <c r="G850">
        <v>0</v>
      </c>
      <c r="H850">
        <f t="shared" si="26"/>
        <v>0</v>
      </c>
      <c r="I850">
        <v>1</v>
      </c>
      <c r="J850">
        <v>0</v>
      </c>
      <c r="K850">
        <v>0</v>
      </c>
      <c r="L850">
        <f t="shared" si="27"/>
        <v>1</v>
      </c>
    </row>
    <row r="851" spans="1:12">
      <c r="A851" t="s">
        <v>3236</v>
      </c>
      <c r="B851" t="s">
        <v>1037</v>
      </c>
      <c r="C851" t="s">
        <v>2817</v>
      </c>
      <c r="D851" t="s">
        <v>2818</v>
      </c>
      <c r="E851">
        <v>13</v>
      </c>
      <c r="F851">
        <v>0</v>
      </c>
      <c r="G851">
        <v>0</v>
      </c>
      <c r="H851">
        <f t="shared" si="26"/>
        <v>13</v>
      </c>
      <c r="I851">
        <v>0</v>
      </c>
      <c r="J851">
        <v>0</v>
      </c>
      <c r="K851">
        <v>0</v>
      </c>
      <c r="L851">
        <f t="shared" si="27"/>
        <v>0</v>
      </c>
    </row>
    <row r="852" spans="1:12">
      <c r="A852" t="s">
        <v>3236</v>
      </c>
      <c r="B852" t="s">
        <v>1037</v>
      </c>
      <c r="C852" t="s">
        <v>2817</v>
      </c>
      <c r="D852" t="s">
        <v>2837</v>
      </c>
      <c r="E852">
        <v>10</v>
      </c>
      <c r="F852">
        <v>0</v>
      </c>
      <c r="G852">
        <v>0</v>
      </c>
      <c r="H852">
        <f t="shared" si="26"/>
        <v>10</v>
      </c>
      <c r="I852">
        <v>0</v>
      </c>
      <c r="J852">
        <v>0</v>
      </c>
      <c r="K852">
        <v>0</v>
      </c>
      <c r="L852">
        <f t="shared" si="27"/>
        <v>0</v>
      </c>
    </row>
    <row r="853" spans="1:12">
      <c r="A853" t="s">
        <v>3243</v>
      </c>
      <c r="B853" t="s">
        <v>1046</v>
      </c>
      <c r="C853" t="s">
        <v>2841</v>
      </c>
      <c r="D853" t="s">
        <v>2842</v>
      </c>
      <c r="E853">
        <v>0</v>
      </c>
      <c r="F853">
        <v>0</v>
      </c>
      <c r="G853">
        <v>0</v>
      </c>
      <c r="H853">
        <f t="shared" si="26"/>
        <v>0</v>
      </c>
      <c r="I853">
        <v>4</v>
      </c>
      <c r="J853">
        <v>0</v>
      </c>
      <c r="K853">
        <v>0</v>
      </c>
      <c r="L853">
        <f t="shared" si="27"/>
        <v>4</v>
      </c>
    </row>
    <row r="854" spans="1:12">
      <c r="A854" t="s">
        <v>3243</v>
      </c>
      <c r="B854" t="s">
        <v>1046</v>
      </c>
      <c r="C854" t="s">
        <v>2826</v>
      </c>
      <c r="D854" t="s">
        <v>2827</v>
      </c>
      <c r="E854">
        <v>0</v>
      </c>
      <c r="F854">
        <v>0</v>
      </c>
      <c r="G854">
        <v>0</v>
      </c>
      <c r="H854">
        <f t="shared" si="26"/>
        <v>0</v>
      </c>
      <c r="I854">
        <v>2</v>
      </c>
      <c r="J854">
        <v>0</v>
      </c>
      <c r="K854">
        <v>0</v>
      </c>
      <c r="L854">
        <f t="shared" si="27"/>
        <v>2</v>
      </c>
    </row>
    <row r="855" spans="1:12">
      <c r="A855" t="s">
        <v>3243</v>
      </c>
      <c r="B855" t="s">
        <v>1046</v>
      </c>
      <c r="C855" t="s">
        <v>2826</v>
      </c>
      <c r="D855" t="s">
        <v>2843</v>
      </c>
      <c r="E855">
        <v>0</v>
      </c>
      <c r="F855">
        <v>0</v>
      </c>
      <c r="G855">
        <v>0</v>
      </c>
      <c r="H855">
        <f t="shared" si="26"/>
        <v>0</v>
      </c>
      <c r="I855">
        <v>1</v>
      </c>
      <c r="J855">
        <v>0</v>
      </c>
      <c r="K855">
        <v>0</v>
      </c>
      <c r="L855">
        <f t="shared" si="27"/>
        <v>1</v>
      </c>
    </row>
    <row r="856" spans="1:12">
      <c r="A856" t="s">
        <v>3243</v>
      </c>
      <c r="B856" t="s">
        <v>1046</v>
      </c>
      <c r="C856" t="s">
        <v>2826</v>
      </c>
      <c r="D856" t="s">
        <v>2834</v>
      </c>
      <c r="E856">
        <v>0</v>
      </c>
      <c r="F856">
        <v>0</v>
      </c>
      <c r="G856">
        <v>0</v>
      </c>
      <c r="H856">
        <f t="shared" si="26"/>
        <v>0</v>
      </c>
      <c r="I856">
        <v>1</v>
      </c>
      <c r="J856">
        <v>0</v>
      </c>
      <c r="K856">
        <v>0</v>
      </c>
      <c r="L856">
        <f t="shared" si="27"/>
        <v>1</v>
      </c>
    </row>
    <row r="857" spans="1:12">
      <c r="A857" t="s">
        <v>3243</v>
      </c>
      <c r="B857" t="s">
        <v>1046</v>
      </c>
      <c r="C857" t="s">
        <v>2826</v>
      </c>
      <c r="D857" t="s">
        <v>2849</v>
      </c>
      <c r="E857">
        <v>0</v>
      </c>
      <c r="F857">
        <v>0</v>
      </c>
      <c r="G857">
        <v>0</v>
      </c>
      <c r="H857">
        <f t="shared" si="26"/>
        <v>0</v>
      </c>
      <c r="I857">
        <v>5</v>
      </c>
      <c r="J857">
        <v>0</v>
      </c>
      <c r="K857">
        <v>0</v>
      </c>
      <c r="L857">
        <f t="shared" si="27"/>
        <v>5</v>
      </c>
    </row>
    <row r="858" spans="1:12">
      <c r="A858" t="s">
        <v>3254</v>
      </c>
      <c r="B858" t="s">
        <v>341</v>
      </c>
      <c r="C858" t="s">
        <v>2805</v>
      </c>
      <c r="D858" t="s">
        <v>2806</v>
      </c>
      <c r="E858">
        <v>1</v>
      </c>
      <c r="F858">
        <v>0</v>
      </c>
      <c r="G858">
        <v>0</v>
      </c>
      <c r="H858">
        <f t="shared" si="26"/>
        <v>1</v>
      </c>
      <c r="I858">
        <v>0</v>
      </c>
      <c r="J858">
        <v>0</v>
      </c>
      <c r="K858">
        <v>0</v>
      </c>
      <c r="L858">
        <f t="shared" si="27"/>
        <v>0</v>
      </c>
    </row>
    <row r="859" spans="1:12">
      <c r="A859" t="s">
        <v>3254</v>
      </c>
      <c r="B859" t="s">
        <v>341</v>
      </c>
      <c r="C859" t="s">
        <v>2805</v>
      </c>
      <c r="D859" t="s">
        <v>449</v>
      </c>
      <c r="E859">
        <v>24</v>
      </c>
      <c r="F859">
        <v>0</v>
      </c>
      <c r="G859">
        <v>0</v>
      </c>
      <c r="H859">
        <f t="shared" si="26"/>
        <v>24</v>
      </c>
      <c r="I859">
        <v>0</v>
      </c>
      <c r="J859">
        <v>0</v>
      </c>
      <c r="K859">
        <v>0</v>
      </c>
      <c r="L859">
        <f t="shared" si="27"/>
        <v>0</v>
      </c>
    </row>
    <row r="860" spans="1:12">
      <c r="A860" t="s">
        <v>3254</v>
      </c>
      <c r="B860" t="s">
        <v>341</v>
      </c>
      <c r="C860" t="s">
        <v>2805</v>
      </c>
      <c r="D860" t="s">
        <v>2807</v>
      </c>
      <c r="E860">
        <v>2</v>
      </c>
      <c r="F860">
        <v>0</v>
      </c>
      <c r="G860">
        <v>0</v>
      </c>
      <c r="H860">
        <f t="shared" si="26"/>
        <v>2</v>
      </c>
      <c r="I860">
        <v>0</v>
      </c>
      <c r="J860">
        <v>0</v>
      </c>
      <c r="K860">
        <v>0</v>
      </c>
      <c r="L860">
        <f t="shared" si="27"/>
        <v>0</v>
      </c>
    </row>
    <row r="861" spans="1:12">
      <c r="A861" t="s">
        <v>3254</v>
      </c>
      <c r="B861" t="s">
        <v>341</v>
      </c>
      <c r="C861" t="s">
        <v>2810</v>
      </c>
      <c r="D861" t="s">
        <v>2811</v>
      </c>
      <c r="E861">
        <v>7</v>
      </c>
      <c r="F861">
        <v>0</v>
      </c>
      <c r="G861">
        <v>0</v>
      </c>
      <c r="H861">
        <f t="shared" si="26"/>
        <v>7</v>
      </c>
      <c r="I861">
        <v>2</v>
      </c>
      <c r="J861">
        <v>0</v>
      </c>
      <c r="K861">
        <v>0</v>
      </c>
      <c r="L861">
        <f t="shared" si="27"/>
        <v>2</v>
      </c>
    </row>
    <row r="862" spans="1:12">
      <c r="A862" t="s">
        <v>3254</v>
      </c>
      <c r="B862" t="s">
        <v>341</v>
      </c>
      <c r="C862" t="s">
        <v>2810</v>
      </c>
      <c r="D862" t="s">
        <v>2814</v>
      </c>
      <c r="E862">
        <v>2</v>
      </c>
      <c r="F862">
        <v>0</v>
      </c>
      <c r="G862">
        <v>0</v>
      </c>
      <c r="H862">
        <f t="shared" si="26"/>
        <v>2</v>
      </c>
      <c r="I862">
        <v>0</v>
      </c>
      <c r="J862">
        <v>0</v>
      </c>
      <c r="K862">
        <v>0</v>
      </c>
      <c r="L862">
        <f t="shared" si="27"/>
        <v>0</v>
      </c>
    </row>
    <row r="863" spans="1:12">
      <c r="A863" t="s">
        <v>3254</v>
      </c>
      <c r="B863" t="s">
        <v>341</v>
      </c>
      <c r="C863" t="s">
        <v>2826</v>
      </c>
      <c r="D863" t="s">
        <v>2834</v>
      </c>
      <c r="E863">
        <v>0</v>
      </c>
      <c r="F863">
        <v>0</v>
      </c>
      <c r="G863">
        <v>0</v>
      </c>
      <c r="H863">
        <f t="shared" si="26"/>
        <v>0</v>
      </c>
      <c r="I863">
        <v>3</v>
      </c>
      <c r="J863">
        <v>0</v>
      </c>
      <c r="K863">
        <v>0</v>
      </c>
      <c r="L863">
        <f t="shared" si="27"/>
        <v>3</v>
      </c>
    </row>
    <row r="864" spans="1:12">
      <c r="A864" t="s">
        <v>3254</v>
      </c>
      <c r="B864" t="s">
        <v>341</v>
      </c>
      <c r="C864" t="s">
        <v>2817</v>
      </c>
      <c r="D864" t="s">
        <v>2818</v>
      </c>
      <c r="E864">
        <v>1</v>
      </c>
      <c r="F864">
        <v>0</v>
      </c>
      <c r="G864">
        <v>0</v>
      </c>
      <c r="H864">
        <f t="shared" si="26"/>
        <v>1</v>
      </c>
      <c r="I864">
        <v>0</v>
      </c>
      <c r="J864">
        <v>0</v>
      </c>
      <c r="K864">
        <v>0</v>
      </c>
      <c r="L864">
        <f t="shared" si="27"/>
        <v>0</v>
      </c>
    </row>
    <row r="865" spans="1:12">
      <c r="A865" t="s">
        <v>3254</v>
      </c>
      <c r="B865" t="s">
        <v>341</v>
      </c>
      <c r="C865" t="s">
        <v>2817</v>
      </c>
      <c r="D865" t="s">
        <v>2979</v>
      </c>
      <c r="E865">
        <v>1</v>
      </c>
      <c r="F865">
        <v>0</v>
      </c>
      <c r="G865">
        <v>0</v>
      </c>
      <c r="H865">
        <f t="shared" si="26"/>
        <v>1</v>
      </c>
      <c r="I865">
        <v>0</v>
      </c>
      <c r="J865">
        <v>0</v>
      </c>
      <c r="K865">
        <v>0</v>
      </c>
      <c r="L865">
        <f t="shared" si="27"/>
        <v>0</v>
      </c>
    </row>
    <row r="866" spans="1:12">
      <c r="A866" t="s">
        <v>3254</v>
      </c>
      <c r="B866" t="s">
        <v>341</v>
      </c>
      <c r="C866" t="s">
        <v>2817</v>
      </c>
      <c r="D866" t="s">
        <v>2819</v>
      </c>
      <c r="E866">
        <v>2</v>
      </c>
      <c r="F866">
        <v>0</v>
      </c>
      <c r="G866">
        <v>0</v>
      </c>
      <c r="H866">
        <f t="shared" si="26"/>
        <v>2</v>
      </c>
      <c r="I866">
        <v>0</v>
      </c>
      <c r="J866">
        <v>0</v>
      </c>
      <c r="K866">
        <v>0</v>
      </c>
      <c r="L866">
        <f t="shared" si="27"/>
        <v>0</v>
      </c>
    </row>
    <row r="867" spans="1:12">
      <c r="A867" t="s">
        <v>3254</v>
      </c>
      <c r="B867" t="s">
        <v>341</v>
      </c>
      <c r="C867" t="s">
        <v>2820</v>
      </c>
      <c r="D867" t="s">
        <v>2821</v>
      </c>
      <c r="E867">
        <v>0</v>
      </c>
      <c r="F867">
        <v>0</v>
      </c>
      <c r="G867">
        <v>0</v>
      </c>
      <c r="H867">
        <f t="shared" si="26"/>
        <v>0</v>
      </c>
      <c r="I867">
        <v>3</v>
      </c>
      <c r="J867">
        <v>0</v>
      </c>
      <c r="K867">
        <v>0</v>
      </c>
      <c r="L867">
        <f t="shared" si="27"/>
        <v>3</v>
      </c>
    </row>
    <row r="868" spans="1:12">
      <c r="A868" t="s">
        <v>3265</v>
      </c>
      <c r="B868" t="s">
        <v>1050</v>
      </c>
      <c r="C868" t="s">
        <v>2805</v>
      </c>
      <c r="D868" t="s">
        <v>449</v>
      </c>
      <c r="E868">
        <v>3</v>
      </c>
      <c r="F868">
        <v>0</v>
      </c>
      <c r="G868">
        <v>0</v>
      </c>
      <c r="H868">
        <f t="shared" si="26"/>
        <v>3</v>
      </c>
      <c r="I868">
        <v>0</v>
      </c>
      <c r="J868">
        <v>0</v>
      </c>
      <c r="K868">
        <v>0</v>
      </c>
      <c r="L868">
        <f t="shared" si="27"/>
        <v>0</v>
      </c>
    </row>
    <row r="869" spans="1:12">
      <c r="A869" t="s">
        <v>3265</v>
      </c>
      <c r="B869" t="s">
        <v>1050</v>
      </c>
      <c r="C869" t="s">
        <v>2805</v>
      </c>
      <c r="D869" t="s">
        <v>2807</v>
      </c>
      <c r="E869">
        <v>11</v>
      </c>
      <c r="F869">
        <v>0</v>
      </c>
      <c r="G869">
        <v>0</v>
      </c>
      <c r="H869">
        <f t="shared" si="26"/>
        <v>11</v>
      </c>
      <c r="I869">
        <v>2</v>
      </c>
      <c r="J869">
        <v>0</v>
      </c>
      <c r="K869">
        <v>0</v>
      </c>
      <c r="L869">
        <f t="shared" si="27"/>
        <v>2</v>
      </c>
    </row>
    <row r="870" spans="1:12">
      <c r="A870" t="s">
        <v>3265</v>
      </c>
      <c r="B870" t="s">
        <v>1050</v>
      </c>
      <c r="C870" t="s">
        <v>2810</v>
      </c>
      <c r="D870" t="s">
        <v>2811</v>
      </c>
      <c r="E870">
        <v>11</v>
      </c>
      <c r="F870">
        <v>0</v>
      </c>
      <c r="G870">
        <v>0</v>
      </c>
      <c r="H870">
        <f t="shared" si="26"/>
        <v>11</v>
      </c>
      <c r="I870">
        <v>2</v>
      </c>
      <c r="J870">
        <v>0</v>
      </c>
      <c r="K870">
        <v>0</v>
      </c>
      <c r="L870">
        <f t="shared" si="27"/>
        <v>2</v>
      </c>
    </row>
    <row r="871" spans="1:12">
      <c r="A871" t="s">
        <v>3265</v>
      </c>
      <c r="B871" t="s">
        <v>1050</v>
      </c>
      <c r="C871" t="s">
        <v>2810</v>
      </c>
      <c r="D871" t="s">
        <v>2812</v>
      </c>
      <c r="E871">
        <v>10</v>
      </c>
      <c r="F871">
        <v>0</v>
      </c>
      <c r="G871">
        <v>0</v>
      </c>
      <c r="H871">
        <f t="shared" si="26"/>
        <v>10</v>
      </c>
      <c r="I871">
        <v>21</v>
      </c>
      <c r="J871">
        <v>0</v>
      </c>
      <c r="K871">
        <v>0</v>
      </c>
      <c r="L871">
        <f t="shared" si="27"/>
        <v>21</v>
      </c>
    </row>
    <row r="872" spans="1:12">
      <c r="A872" t="s">
        <v>3265</v>
      </c>
      <c r="B872" t="s">
        <v>1050</v>
      </c>
      <c r="C872" t="s">
        <v>2810</v>
      </c>
      <c r="D872" t="s">
        <v>2813</v>
      </c>
      <c r="E872">
        <v>5</v>
      </c>
      <c r="F872">
        <v>0</v>
      </c>
      <c r="G872">
        <v>0</v>
      </c>
      <c r="H872">
        <f t="shared" si="26"/>
        <v>5</v>
      </c>
      <c r="I872">
        <v>2</v>
      </c>
      <c r="J872">
        <v>0</v>
      </c>
      <c r="K872">
        <v>0</v>
      </c>
      <c r="L872">
        <f t="shared" si="27"/>
        <v>2</v>
      </c>
    </row>
    <row r="873" spans="1:12">
      <c r="A873" t="s">
        <v>3265</v>
      </c>
      <c r="B873" t="s">
        <v>1050</v>
      </c>
      <c r="C873" t="s">
        <v>2810</v>
      </c>
      <c r="D873" t="s">
        <v>2815</v>
      </c>
      <c r="E873">
        <v>9</v>
      </c>
      <c r="F873">
        <v>0</v>
      </c>
      <c r="G873">
        <v>0</v>
      </c>
      <c r="H873">
        <f t="shared" si="26"/>
        <v>9</v>
      </c>
      <c r="I873">
        <v>1</v>
      </c>
      <c r="J873">
        <v>0</v>
      </c>
      <c r="K873">
        <v>0</v>
      </c>
      <c r="L873">
        <f t="shared" si="27"/>
        <v>1</v>
      </c>
    </row>
    <row r="874" spans="1:12">
      <c r="A874" t="s">
        <v>3265</v>
      </c>
      <c r="B874" t="s">
        <v>1050</v>
      </c>
      <c r="C874" t="s">
        <v>2841</v>
      </c>
      <c r="D874" t="s">
        <v>2842</v>
      </c>
      <c r="E874">
        <v>0</v>
      </c>
      <c r="F874">
        <v>0</v>
      </c>
      <c r="G874">
        <v>0</v>
      </c>
      <c r="H874">
        <f t="shared" si="26"/>
        <v>0</v>
      </c>
      <c r="I874">
        <v>4</v>
      </c>
      <c r="J874">
        <v>0</v>
      </c>
      <c r="K874">
        <v>0</v>
      </c>
      <c r="L874">
        <f t="shared" si="27"/>
        <v>4</v>
      </c>
    </row>
    <row r="875" spans="1:12">
      <c r="A875" t="s">
        <v>3265</v>
      </c>
      <c r="B875" t="s">
        <v>1050</v>
      </c>
      <c r="C875" t="s">
        <v>2826</v>
      </c>
      <c r="D875" t="s">
        <v>2871</v>
      </c>
      <c r="E875">
        <v>0</v>
      </c>
      <c r="F875">
        <v>0</v>
      </c>
      <c r="G875">
        <v>0</v>
      </c>
      <c r="H875">
        <f t="shared" si="26"/>
        <v>0</v>
      </c>
      <c r="I875">
        <v>0</v>
      </c>
      <c r="J875">
        <v>1</v>
      </c>
      <c r="K875">
        <v>0</v>
      </c>
      <c r="L875">
        <f t="shared" si="27"/>
        <v>1</v>
      </c>
    </row>
    <row r="876" spans="1:12">
      <c r="A876" t="s">
        <v>3265</v>
      </c>
      <c r="B876" t="s">
        <v>1050</v>
      </c>
      <c r="C876" t="s">
        <v>2826</v>
      </c>
      <c r="D876" t="s">
        <v>2827</v>
      </c>
      <c r="E876">
        <v>0</v>
      </c>
      <c r="F876">
        <v>0</v>
      </c>
      <c r="G876">
        <v>0</v>
      </c>
      <c r="H876">
        <f t="shared" si="26"/>
        <v>0</v>
      </c>
      <c r="I876">
        <v>2</v>
      </c>
      <c r="J876">
        <v>2</v>
      </c>
      <c r="K876">
        <v>0</v>
      </c>
      <c r="L876">
        <f t="shared" si="27"/>
        <v>4</v>
      </c>
    </row>
    <row r="877" spans="1:12">
      <c r="A877" t="s">
        <v>3265</v>
      </c>
      <c r="B877" t="s">
        <v>1050</v>
      </c>
      <c r="C877" t="s">
        <v>2826</v>
      </c>
      <c r="D877" t="s">
        <v>2828</v>
      </c>
      <c r="E877">
        <v>0</v>
      </c>
      <c r="F877">
        <v>0</v>
      </c>
      <c r="G877">
        <v>0</v>
      </c>
      <c r="H877">
        <f t="shared" si="26"/>
        <v>0</v>
      </c>
      <c r="I877">
        <v>0</v>
      </c>
      <c r="J877">
        <v>1</v>
      </c>
      <c r="K877">
        <v>0</v>
      </c>
      <c r="L877">
        <f t="shared" si="27"/>
        <v>1</v>
      </c>
    </row>
    <row r="878" spans="1:12">
      <c r="A878" t="s">
        <v>3265</v>
      </c>
      <c r="B878" t="s">
        <v>1050</v>
      </c>
      <c r="C878" t="s">
        <v>2826</v>
      </c>
      <c r="D878" t="s">
        <v>2829</v>
      </c>
      <c r="E878">
        <v>0</v>
      </c>
      <c r="F878">
        <v>0</v>
      </c>
      <c r="G878">
        <v>0</v>
      </c>
      <c r="H878">
        <f t="shared" si="26"/>
        <v>0</v>
      </c>
      <c r="I878">
        <v>0</v>
      </c>
      <c r="J878">
        <v>1</v>
      </c>
      <c r="K878">
        <v>0</v>
      </c>
      <c r="L878">
        <f t="shared" si="27"/>
        <v>1</v>
      </c>
    </row>
    <row r="879" spans="1:12">
      <c r="A879" t="s">
        <v>3265</v>
      </c>
      <c r="B879" t="s">
        <v>1050</v>
      </c>
      <c r="C879" t="s">
        <v>2826</v>
      </c>
      <c r="D879" t="s">
        <v>2843</v>
      </c>
      <c r="E879">
        <v>0</v>
      </c>
      <c r="F879">
        <v>0</v>
      </c>
      <c r="G879">
        <v>0</v>
      </c>
      <c r="H879">
        <f t="shared" si="26"/>
        <v>0</v>
      </c>
      <c r="I879">
        <v>2</v>
      </c>
      <c r="J879">
        <v>0</v>
      </c>
      <c r="K879">
        <v>0</v>
      </c>
      <c r="L879">
        <f t="shared" si="27"/>
        <v>2</v>
      </c>
    </row>
    <row r="880" spans="1:12">
      <c r="A880" t="s">
        <v>3265</v>
      </c>
      <c r="B880" t="s">
        <v>1050</v>
      </c>
      <c r="C880" t="s">
        <v>2826</v>
      </c>
      <c r="D880" t="s">
        <v>2832</v>
      </c>
      <c r="E880">
        <v>0</v>
      </c>
      <c r="F880">
        <v>0</v>
      </c>
      <c r="G880">
        <v>0</v>
      </c>
      <c r="H880">
        <f t="shared" si="26"/>
        <v>0</v>
      </c>
      <c r="I880">
        <v>1</v>
      </c>
      <c r="J880">
        <v>0</v>
      </c>
      <c r="K880">
        <v>0</v>
      </c>
      <c r="L880">
        <f t="shared" si="27"/>
        <v>1</v>
      </c>
    </row>
    <row r="881" spans="1:12">
      <c r="A881" t="s">
        <v>3265</v>
      </c>
      <c r="B881" t="s">
        <v>1050</v>
      </c>
      <c r="C881" t="s">
        <v>2826</v>
      </c>
      <c r="D881" t="s">
        <v>2833</v>
      </c>
      <c r="E881">
        <v>0</v>
      </c>
      <c r="F881">
        <v>0</v>
      </c>
      <c r="G881">
        <v>0</v>
      </c>
      <c r="H881">
        <f t="shared" si="26"/>
        <v>0</v>
      </c>
      <c r="I881">
        <v>1</v>
      </c>
      <c r="J881">
        <v>0</v>
      </c>
      <c r="K881">
        <v>0</v>
      </c>
      <c r="L881">
        <f t="shared" si="27"/>
        <v>1</v>
      </c>
    </row>
    <row r="882" spans="1:12">
      <c r="A882" t="s">
        <v>3265</v>
      </c>
      <c r="B882" t="s">
        <v>1050</v>
      </c>
      <c r="C882" t="s">
        <v>2826</v>
      </c>
      <c r="D882" t="s">
        <v>2835</v>
      </c>
      <c r="E882">
        <v>0</v>
      </c>
      <c r="F882">
        <v>0</v>
      </c>
      <c r="G882">
        <v>0</v>
      </c>
      <c r="H882">
        <f t="shared" si="26"/>
        <v>0</v>
      </c>
      <c r="I882">
        <v>1</v>
      </c>
      <c r="J882">
        <v>0</v>
      </c>
      <c r="K882">
        <v>0</v>
      </c>
      <c r="L882">
        <f t="shared" si="27"/>
        <v>1</v>
      </c>
    </row>
    <row r="883" spans="1:12">
      <c r="A883" t="s">
        <v>3265</v>
      </c>
      <c r="B883" t="s">
        <v>1050</v>
      </c>
      <c r="C883" t="s">
        <v>2826</v>
      </c>
      <c r="D883" t="s">
        <v>2849</v>
      </c>
      <c r="E883">
        <v>0</v>
      </c>
      <c r="F883">
        <v>0</v>
      </c>
      <c r="G883">
        <v>0</v>
      </c>
      <c r="H883">
        <f t="shared" si="26"/>
        <v>0</v>
      </c>
      <c r="I883">
        <v>1</v>
      </c>
      <c r="J883">
        <v>0</v>
      </c>
      <c r="K883">
        <v>0</v>
      </c>
      <c r="L883">
        <f t="shared" si="27"/>
        <v>1</v>
      </c>
    </row>
    <row r="884" spans="1:12">
      <c r="A884" t="s">
        <v>3265</v>
      </c>
      <c r="B884" t="s">
        <v>1050</v>
      </c>
      <c r="C884" t="s">
        <v>2817</v>
      </c>
      <c r="D884" t="s">
        <v>2837</v>
      </c>
      <c r="E884">
        <v>2</v>
      </c>
      <c r="F884">
        <v>0</v>
      </c>
      <c r="G884">
        <v>0</v>
      </c>
      <c r="H884">
        <f t="shared" si="26"/>
        <v>2</v>
      </c>
      <c r="I884">
        <v>0</v>
      </c>
      <c r="J884">
        <v>0</v>
      </c>
      <c r="K884">
        <v>0</v>
      </c>
      <c r="L884">
        <f t="shared" si="27"/>
        <v>0</v>
      </c>
    </row>
    <row r="885" spans="1:12">
      <c r="A885" t="s">
        <v>3265</v>
      </c>
      <c r="B885" t="s">
        <v>1050</v>
      </c>
      <c r="C885" t="s">
        <v>2820</v>
      </c>
      <c r="D885" t="s">
        <v>2952</v>
      </c>
      <c r="E885">
        <v>0</v>
      </c>
      <c r="F885">
        <v>0</v>
      </c>
      <c r="G885">
        <v>0</v>
      </c>
      <c r="H885">
        <f t="shared" si="26"/>
        <v>0</v>
      </c>
      <c r="I885">
        <v>2</v>
      </c>
      <c r="J885">
        <v>0</v>
      </c>
      <c r="K885">
        <v>0</v>
      </c>
      <c r="L885">
        <f t="shared" si="27"/>
        <v>2</v>
      </c>
    </row>
    <row r="886" spans="1:12">
      <c r="A886" t="s">
        <v>3265</v>
      </c>
      <c r="B886" t="s">
        <v>1050</v>
      </c>
      <c r="C886" t="s">
        <v>2820</v>
      </c>
      <c r="D886" t="s">
        <v>2949</v>
      </c>
      <c r="E886">
        <v>0</v>
      </c>
      <c r="F886">
        <v>0</v>
      </c>
      <c r="G886">
        <v>0</v>
      </c>
      <c r="H886">
        <f t="shared" si="26"/>
        <v>0</v>
      </c>
      <c r="I886">
        <v>0</v>
      </c>
      <c r="J886">
        <v>1</v>
      </c>
      <c r="K886">
        <v>0</v>
      </c>
      <c r="L886">
        <f t="shared" si="27"/>
        <v>1</v>
      </c>
    </row>
    <row r="887" spans="1:12">
      <c r="A887" t="s">
        <v>3270</v>
      </c>
      <c r="B887" t="s">
        <v>1053</v>
      </c>
      <c r="C887" t="s">
        <v>2805</v>
      </c>
      <c r="D887" t="s">
        <v>2806</v>
      </c>
      <c r="E887">
        <v>27</v>
      </c>
      <c r="F887">
        <v>0</v>
      </c>
      <c r="G887">
        <v>0</v>
      </c>
      <c r="H887">
        <f t="shared" si="26"/>
        <v>27</v>
      </c>
      <c r="I887">
        <v>0</v>
      </c>
      <c r="J887">
        <v>0</v>
      </c>
      <c r="K887">
        <v>0</v>
      </c>
      <c r="L887">
        <f t="shared" si="27"/>
        <v>0</v>
      </c>
    </row>
    <row r="888" spans="1:12">
      <c r="A888" t="s">
        <v>3270</v>
      </c>
      <c r="B888" t="s">
        <v>1053</v>
      </c>
      <c r="C888" t="s">
        <v>2805</v>
      </c>
      <c r="D888" t="s">
        <v>449</v>
      </c>
      <c r="E888">
        <v>37</v>
      </c>
      <c r="F888">
        <v>0</v>
      </c>
      <c r="G888">
        <v>0</v>
      </c>
      <c r="H888">
        <f t="shared" si="26"/>
        <v>37</v>
      </c>
      <c r="I888">
        <v>0</v>
      </c>
      <c r="J888">
        <v>0</v>
      </c>
      <c r="K888">
        <v>0</v>
      </c>
      <c r="L888">
        <f t="shared" si="27"/>
        <v>0</v>
      </c>
    </row>
    <row r="889" spans="1:12">
      <c r="A889" t="s">
        <v>3270</v>
      </c>
      <c r="B889" t="s">
        <v>1053</v>
      </c>
      <c r="C889" t="s">
        <v>2805</v>
      </c>
      <c r="D889" t="s">
        <v>2807</v>
      </c>
      <c r="E889">
        <v>3</v>
      </c>
      <c r="F889">
        <v>0</v>
      </c>
      <c r="G889">
        <v>0</v>
      </c>
      <c r="H889">
        <f t="shared" si="26"/>
        <v>3</v>
      </c>
      <c r="I889">
        <v>0</v>
      </c>
      <c r="J889">
        <v>0</v>
      </c>
      <c r="K889">
        <v>0</v>
      </c>
      <c r="L889">
        <f t="shared" si="27"/>
        <v>0</v>
      </c>
    </row>
    <row r="890" spans="1:12">
      <c r="A890" t="s">
        <v>3270</v>
      </c>
      <c r="B890" t="s">
        <v>1053</v>
      </c>
      <c r="C890" t="s">
        <v>2810</v>
      </c>
      <c r="D890" t="s">
        <v>2811</v>
      </c>
      <c r="E890">
        <v>1</v>
      </c>
      <c r="F890">
        <v>0</v>
      </c>
      <c r="G890">
        <v>0</v>
      </c>
      <c r="H890">
        <f t="shared" si="26"/>
        <v>1</v>
      </c>
      <c r="I890">
        <v>0</v>
      </c>
      <c r="J890">
        <v>0</v>
      </c>
      <c r="K890">
        <v>0</v>
      </c>
      <c r="L890">
        <f t="shared" si="27"/>
        <v>0</v>
      </c>
    </row>
    <row r="891" spans="1:12">
      <c r="A891" t="s">
        <v>3270</v>
      </c>
      <c r="B891" t="s">
        <v>1053</v>
      </c>
      <c r="C891" t="s">
        <v>2826</v>
      </c>
      <c r="D891" t="s">
        <v>2834</v>
      </c>
      <c r="E891">
        <v>0</v>
      </c>
      <c r="F891">
        <v>0</v>
      </c>
      <c r="G891">
        <v>0</v>
      </c>
      <c r="H891">
        <f t="shared" si="26"/>
        <v>0</v>
      </c>
      <c r="I891">
        <v>1</v>
      </c>
      <c r="J891">
        <v>0</v>
      </c>
      <c r="K891">
        <v>0</v>
      </c>
      <c r="L891">
        <f t="shared" si="27"/>
        <v>1</v>
      </c>
    </row>
    <row r="892" spans="1:12">
      <c r="A892" t="s">
        <v>3270</v>
      </c>
      <c r="B892" t="s">
        <v>1053</v>
      </c>
      <c r="C892" t="s">
        <v>2826</v>
      </c>
      <c r="D892" t="s">
        <v>2849</v>
      </c>
      <c r="E892">
        <v>0</v>
      </c>
      <c r="F892">
        <v>0</v>
      </c>
      <c r="G892">
        <v>0</v>
      </c>
      <c r="H892">
        <f t="shared" si="26"/>
        <v>0</v>
      </c>
      <c r="I892">
        <v>2</v>
      </c>
      <c r="J892">
        <v>0</v>
      </c>
      <c r="K892">
        <v>0</v>
      </c>
      <c r="L892">
        <f t="shared" si="27"/>
        <v>2</v>
      </c>
    </row>
    <row r="893" spans="1:12">
      <c r="A893" t="s">
        <v>3281</v>
      </c>
      <c r="B893" t="s">
        <v>3282</v>
      </c>
      <c r="C893" t="s">
        <v>2805</v>
      </c>
      <c r="D893" t="s">
        <v>2806</v>
      </c>
      <c r="E893">
        <v>110</v>
      </c>
      <c r="F893">
        <v>0</v>
      </c>
      <c r="G893">
        <v>0</v>
      </c>
      <c r="H893">
        <f t="shared" si="26"/>
        <v>110</v>
      </c>
      <c r="I893">
        <v>0</v>
      </c>
      <c r="J893">
        <v>0</v>
      </c>
      <c r="K893">
        <v>0</v>
      </c>
      <c r="L893">
        <f t="shared" si="27"/>
        <v>0</v>
      </c>
    </row>
    <row r="894" spans="1:12">
      <c r="A894" t="s">
        <v>3281</v>
      </c>
      <c r="B894" t="s">
        <v>3282</v>
      </c>
      <c r="C894" t="s">
        <v>2805</v>
      </c>
      <c r="D894" t="s">
        <v>449</v>
      </c>
      <c r="E894">
        <v>350</v>
      </c>
      <c r="F894">
        <v>0</v>
      </c>
      <c r="G894">
        <v>0</v>
      </c>
      <c r="H894">
        <f t="shared" si="26"/>
        <v>350</v>
      </c>
      <c r="I894">
        <v>0</v>
      </c>
      <c r="J894">
        <v>0</v>
      </c>
      <c r="K894">
        <v>0</v>
      </c>
      <c r="L894">
        <f t="shared" si="27"/>
        <v>0</v>
      </c>
    </row>
    <row r="895" spans="1:12">
      <c r="A895" t="s">
        <v>3281</v>
      </c>
      <c r="B895" t="s">
        <v>3282</v>
      </c>
      <c r="C895" t="s">
        <v>2805</v>
      </c>
      <c r="D895" t="s">
        <v>2807</v>
      </c>
      <c r="E895">
        <v>49</v>
      </c>
      <c r="F895">
        <v>0</v>
      </c>
      <c r="G895">
        <v>0</v>
      </c>
      <c r="H895">
        <f t="shared" si="26"/>
        <v>49</v>
      </c>
      <c r="I895">
        <v>0</v>
      </c>
      <c r="J895">
        <v>0</v>
      </c>
      <c r="K895">
        <v>0</v>
      </c>
      <c r="L895">
        <f t="shared" si="27"/>
        <v>0</v>
      </c>
    </row>
    <row r="896" spans="1:12">
      <c r="A896" t="s">
        <v>3281</v>
      </c>
      <c r="B896" t="s">
        <v>3282</v>
      </c>
      <c r="C896" t="s">
        <v>2805</v>
      </c>
      <c r="D896" t="s">
        <v>2808</v>
      </c>
      <c r="E896">
        <v>3</v>
      </c>
      <c r="F896">
        <v>0</v>
      </c>
      <c r="G896">
        <v>0</v>
      </c>
      <c r="H896">
        <f t="shared" si="26"/>
        <v>3</v>
      </c>
      <c r="I896">
        <v>0</v>
      </c>
      <c r="J896">
        <v>0</v>
      </c>
      <c r="K896">
        <v>0</v>
      </c>
      <c r="L896">
        <f t="shared" si="27"/>
        <v>0</v>
      </c>
    </row>
    <row r="897" spans="1:12">
      <c r="A897" t="s">
        <v>3281</v>
      </c>
      <c r="B897" t="s">
        <v>3282</v>
      </c>
      <c r="C897" t="s">
        <v>2805</v>
      </c>
      <c r="D897" t="s">
        <v>2809</v>
      </c>
      <c r="E897">
        <v>7</v>
      </c>
      <c r="F897">
        <v>0</v>
      </c>
      <c r="G897">
        <v>0</v>
      </c>
      <c r="H897">
        <f t="shared" si="26"/>
        <v>7</v>
      </c>
      <c r="I897">
        <v>0</v>
      </c>
      <c r="J897">
        <v>0</v>
      </c>
      <c r="K897">
        <v>0</v>
      </c>
      <c r="L897">
        <f t="shared" si="27"/>
        <v>0</v>
      </c>
    </row>
    <row r="898" spans="1:12">
      <c r="A898" t="s">
        <v>3281</v>
      </c>
      <c r="B898" t="s">
        <v>3282</v>
      </c>
      <c r="C898" t="s">
        <v>2805</v>
      </c>
      <c r="D898" t="s">
        <v>2846</v>
      </c>
      <c r="E898">
        <v>13</v>
      </c>
      <c r="F898">
        <v>0</v>
      </c>
      <c r="G898">
        <v>0</v>
      </c>
      <c r="H898">
        <f t="shared" si="26"/>
        <v>13</v>
      </c>
      <c r="I898">
        <v>0</v>
      </c>
      <c r="J898">
        <v>0</v>
      </c>
      <c r="K898">
        <v>0</v>
      </c>
      <c r="L898">
        <f t="shared" si="27"/>
        <v>0</v>
      </c>
    </row>
    <row r="899" spans="1:12">
      <c r="A899" t="s">
        <v>3281</v>
      </c>
      <c r="B899" t="s">
        <v>3282</v>
      </c>
      <c r="C899" t="s">
        <v>2805</v>
      </c>
      <c r="D899" t="s">
        <v>3127</v>
      </c>
      <c r="E899">
        <v>2</v>
      </c>
      <c r="F899">
        <v>0</v>
      </c>
      <c r="G899">
        <v>0</v>
      </c>
      <c r="H899">
        <f t="shared" si="26"/>
        <v>2</v>
      </c>
      <c r="I899">
        <v>0</v>
      </c>
      <c r="J899">
        <v>0</v>
      </c>
      <c r="K899">
        <v>0</v>
      </c>
      <c r="L899">
        <f t="shared" si="27"/>
        <v>0</v>
      </c>
    </row>
    <row r="900" spans="1:12">
      <c r="A900" t="s">
        <v>3281</v>
      </c>
      <c r="B900" t="s">
        <v>3282</v>
      </c>
      <c r="C900" t="s">
        <v>2810</v>
      </c>
      <c r="D900" t="s">
        <v>2811</v>
      </c>
      <c r="E900">
        <v>49</v>
      </c>
      <c r="F900">
        <v>0</v>
      </c>
      <c r="G900">
        <v>0</v>
      </c>
      <c r="H900">
        <f t="shared" ref="H900:H963" si="28">SUM(E900:G900)</f>
        <v>49</v>
      </c>
      <c r="I900">
        <v>0</v>
      </c>
      <c r="J900">
        <v>0</v>
      </c>
      <c r="K900">
        <v>0</v>
      </c>
      <c r="L900">
        <f t="shared" ref="L900:L963" si="29">SUM(I900:K900)</f>
        <v>0</v>
      </c>
    </row>
    <row r="901" spans="1:12">
      <c r="A901" t="s">
        <v>3281</v>
      </c>
      <c r="B901" t="s">
        <v>3282</v>
      </c>
      <c r="C901" t="s">
        <v>2810</v>
      </c>
      <c r="D901" t="s">
        <v>2823</v>
      </c>
      <c r="E901">
        <v>8</v>
      </c>
      <c r="F901">
        <v>44</v>
      </c>
      <c r="G901">
        <v>0</v>
      </c>
      <c r="H901">
        <f t="shared" si="28"/>
        <v>52</v>
      </c>
      <c r="I901">
        <v>0</v>
      </c>
      <c r="J901">
        <v>0</v>
      </c>
      <c r="K901">
        <v>0</v>
      </c>
      <c r="L901">
        <f t="shared" si="29"/>
        <v>0</v>
      </c>
    </row>
    <row r="902" spans="1:12">
      <c r="A902" t="s">
        <v>3281</v>
      </c>
      <c r="B902" t="s">
        <v>3282</v>
      </c>
      <c r="C902" t="s">
        <v>2810</v>
      </c>
      <c r="D902" t="s">
        <v>2812</v>
      </c>
      <c r="E902">
        <v>238</v>
      </c>
      <c r="F902">
        <v>0</v>
      </c>
      <c r="G902">
        <v>0</v>
      </c>
      <c r="H902">
        <f t="shared" si="28"/>
        <v>238</v>
      </c>
      <c r="I902">
        <v>0</v>
      </c>
      <c r="J902">
        <v>0</v>
      </c>
      <c r="K902">
        <v>0</v>
      </c>
      <c r="L902">
        <f t="shared" si="29"/>
        <v>0</v>
      </c>
    </row>
    <row r="903" spans="1:12">
      <c r="A903" t="s">
        <v>3281</v>
      </c>
      <c r="B903" t="s">
        <v>3282</v>
      </c>
      <c r="C903" t="s">
        <v>2810</v>
      </c>
      <c r="D903" t="s">
        <v>2813</v>
      </c>
      <c r="E903">
        <v>27</v>
      </c>
      <c r="F903">
        <v>0</v>
      </c>
      <c r="G903">
        <v>0</v>
      </c>
      <c r="H903">
        <f t="shared" si="28"/>
        <v>27</v>
      </c>
      <c r="I903">
        <v>0</v>
      </c>
      <c r="J903">
        <v>0</v>
      </c>
      <c r="K903">
        <v>0</v>
      </c>
      <c r="L903">
        <f t="shared" si="29"/>
        <v>0</v>
      </c>
    </row>
    <row r="904" spans="1:12">
      <c r="A904" t="s">
        <v>3281</v>
      </c>
      <c r="B904" t="s">
        <v>3282</v>
      </c>
      <c r="C904" t="s">
        <v>2810</v>
      </c>
      <c r="D904" t="s">
        <v>2814</v>
      </c>
      <c r="E904">
        <v>14</v>
      </c>
      <c r="F904">
        <v>0</v>
      </c>
      <c r="G904">
        <v>0</v>
      </c>
      <c r="H904">
        <f t="shared" si="28"/>
        <v>14</v>
      </c>
      <c r="I904">
        <v>0</v>
      </c>
      <c r="J904">
        <v>0</v>
      </c>
      <c r="K904">
        <v>0</v>
      </c>
      <c r="L904">
        <f t="shared" si="29"/>
        <v>0</v>
      </c>
    </row>
    <row r="905" spans="1:12">
      <c r="A905" t="s">
        <v>3281</v>
      </c>
      <c r="B905" t="s">
        <v>3282</v>
      </c>
      <c r="C905" t="s">
        <v>2810</v>
      </c>
      <c r="D905" t="s">
        <v>2815</v>
      </c>
      <c r="E905">
        <v>11</v>
      </c>
      <c r="F905">
        <v>0</v>
      </c>
      <c r="G905">
        <v>0</v>
      </c>
      <c r="H905">
        <f t="shared" si="28"/>
        <v>11</v>
      </c>
      <c r="I905">
        <v>0</v>
      </c>
      <c r="J905">
        <v>0</v>
      </c>
      <c r="K905">
        <v>0</v>
      </c>
      <c r="L905">
        <f t="shared" si="29"/>
        <v>0</v>
      </c>
    </row>
    <row r="906" spans="1:12">
      <c r="A906" t="s">
        <v>3281</v>
      </c>
      <c r="B906" t="s">
        <v>3282</v>
      </c>
      <c r="C906" t="s">
        <v>2816</v>
      </c>
      <c r="D906" t="s">
        <v>1896</v>
      </c>
      <c r="E906">
        <v>9</v>
      </c>
      <c r="F906">
        <v>0</v>
      </c>
      <c r="G906">
        <v>0</v>
      </c>
      <c r="H906">
        <f t="shared" si="28"/>
        <v>9</v>
      </c>
      <c r="I906">
        <v>0</v>
      </c>
      <c r="J906">
        <v>0</v>
      </c>
      <c r="K906">
        <v>0</v>
      </c>
      <c r="L906">
        <f t="shared" si="29"/>
        <v>0</v>
      </c>
    </row>
    <row r="907" spans="1:12">
      <c r="A907" t="s">
        <v>3281</v>
      </c>
      <c r="B907" t="s">
        <v>3282</v>
      </c>
      <c r="C907" t="s">
        <v>2816</v>
      </c>
      <c r="D907" t="s">
        <v>2904</v>
      </c>
      <c r="E907">
        <v>1</v>
      </c>
      <c r="F907">
        <v>0</v>
      </c>
      <c r="G907">
        <v>0</v>
      </c>
      <c r="H907">
        <f t="shared" si="28"/>
        <v>1</v>
      </c>
      <c r="I907">
        <v>0</v>
      </c>
      <c r="J907">
        <v>0</v>
      </c>
      <c r="K907">
        <v>0</v>
      </c>
      <c r="L907">
        <f t="shared" si="29"/>
        <v>0</v>
      </c>
    </row>
    <row r="908" spans="1:12">
      <c r="A908" t="s">
        <v>3281</v>
      </c>
      <c r="B908" t="s">
        <v>3282</v>
      </c>
      <c r="C908" t="s">
        <v>2816</v>
      </c>
      <c r="D908" t="s">
        <v>3199</v>
      </c>
      <c r="E908">
        <v>1</v>
      </c>
      <c r="F908">
        <v>0</v>
      </c>
      <c r="G908">
        <v>0</v>
      </c>
      <c r="H908">
        <f t="shared" si="28"/>
        <v>1</v>
      </c>
      <c r="I908">
        <v>0</v>
      </c>
      <c r="J908">
        <v>0</v>
      </c>
      <c r="K908">
        <v>0</v>
      </c>
      <c r="L908">
        <f t="shared" si="29"/>
        <v>0</v>
      </c>
    </row>
    <row r="909" spans="1:12">
      <c r="A909" t="s">
        <v>3281</v>
      </c>
      <c r="B909" t="s">
        <v>3282</v>
      </c>
      <c r="C909" t="s">
        <v>2816</v>
      </c>
      <c r="D909" t="s">
        <v>2848</v>
      </c>
      <c r="E909">
        <v>1</v>
      </c>
      <c r="F909">
        <v>0</v>
      </c>
      <c r="G909">
        <v>0</v>
      </c>
      <c r="H909">
        <f t="shared" si="28"/>
        <v>1</v>
      </c>
      <c r="I909">
        <v>0</v>
      </c>
      <c r="J909">
        <v>0</v>
      </c>
      <c r="K909">
        <v>0</v>
      </c>
      <c r="L909">
        <f t="shared" si="29"/>
        <v>0</v>
      </c>
    </row>
    <row r="910" spans="1:12">
      <c r="A910" t="s">
        <v>3281</v>
      </c>
      <c r="B910" t="s">
        <v>3282</v>
      </c>
      <c r="C910" t="s">
        <v>2817</v>
      </c>
      <c r="D910" t="s">
        <v>2888</v>
      </c>
      <c r="E910">
        <v>1</v>
      </c>
      <c r="F910">
        <v>0</v>
      </c>
      <c r="G910">
        <v>0</v>
      </c>
      <c r="H910">
        <f t="shared" si="28"/>
        <v>1</v>
      </c>
      <c r="I910">
        <v>0</v>
      </c>
      <c r="J910">
        <v>0</v>
      </c>
      <c r="K910">
        <v>0</v>
      </c>
      <c r="L910">
        <f t="shared" si="29"/>
        <v>0</v>
      </c>
    </row>
    <row r="911" spans="1:12">
      <c r="A911" t="s">
        <v>3281</v>
      </c>
      <c r="B911" t="s">
        <v>3282</v>
      </c>
      <c r="C911" t="s">
        <v>2817</v>
      </c>
      <c r="D911" t="s">
        <v>2837</v>
      </c>
      <c r="E911">
        <v>4</v>
      </c>
      <c r="F911">
        <v>0</v>
      </c>
      <c r="G911">
        <v>0</v>
      </c>
      <c r="H911">
        <f t="shared" si="28"/>
        <v>4</v>
      </c>
      <c r="I911">
        <v>0</v>
      </c>
      <c r="J911">
        <v>0</v>
      </c>
      <c r="K911">
        <v>0</v>
      </c>
      <c r="L911">
        <f t="shared" si="29"/>
        <v>0</v>
      </c>
    </row>
    <row r="912" spans="1:12">
      <c r="A912" t="s">
        <v>3281</v>
      </c>
      <c r="B912" t="s">
        <v>3282</v>
      </c>
      <c r="C912" t="s">
        <v>2817</v>
      </c>
      <c r="D912" t="s">
        <v>2819</v>
      </c>
      <c r="E912">
        <v>6</v>
      </c>
      <c r="F912">
        <v>0</v>
      </c>
      <c r="G912">
        <v>0</v>
      </c>
      <c r="H912">
        <f t="shared" si="28"/>
        <v>6</v>
      </c>
      <c r="I912">
        <v>0</v>
      </c>
      <c r="J912">
        <v>0</v>
      </c>
      <c r="K912">
        <v>0</v>
      </c>
      <c r="L912">
        <f t="shared" si="29"/>
        <v>0</v>
      </c>
    </row>
    <row r="913" spans="1:12">
      <c r="A913" t="s">
        <v>3281</v>
      </c>
      <c r="B913" t="s">
        <v>3282</v>
      </c>
      <c r="C913" t="s">
        <v>2817</v>
      </c>
      <c r="D913" t="s">
        <v>2909</v>
      </c>
      <c r="E913">
        <v>1</v>
      </c>
      <c r="F913">
        <v>0</v>
      </c>
      <c r="G913">
        <v>0</v>
      </c>
      <c r="H913">
        <f t="shared" si="28"/>
        <v>1</v>
      </c>
      <c r="I913">
        <v>0</v>
      </c>
      <c r="J913">
        <v>0</v>
      </c>
      <c r="K913">
        <v>0</v>
      </c>
      <c r="L913">
        <f t="shared" si="29"/>
        <v>0</v>
      </c>
    </row>
    <row r="914" spans="1:12">
      <c r="A914" t="s">
        <v>3283</v>
      </c>
      <c r="B914" t="s">
        <v>3284</v>
      </c>
      <c r="C914" t="s">
        <v>2805</v>
      </c>
      <c r="D914" t="s">
        <v>2806</v>
      </c>
      <c r="E914">
        <v>19</v>
      </c>
      <c r="F914">
        <v>0</v>
      </c>
      <c r="G914">
        <v>0</v>
      </c>
      <c r="H914">
        <f t="shared" si="28"/>
        <v>19</v>
      </c>
      <c r="I914">
        <v>0</v>
      </c>
      <c r="J914">
        <v>0</v>
      </c>
      <c r="K914">
        <v>0</v>
      </c>
      <c r="L914">
        <f t="shared" si="29"/>
        <v>0</v>
      </c>
    </row>
    <row r="915" spans="1:12">
      <c r="A915" t="s">
        <v>3283</v>
      </c>
      <c r="B915" t="s">
        <v>3284</v>
      </c>
      <c r="C915" t="s">
        <v>2805</v>
      </c>
      <c r="D915" t="s">
        <v>449</v>
      </c>
      <c r="E915">
        <v>16</v>
      </c>
      <c r="F915">
        <v>0</v>
      </c>
      <c r="G915">
        <v>0</v>
      </c>
      <c r="H915">
        <f t="shared" si="28"/>
        <v>16</v>
      </c>
      <c r="I915">
        <v>0</v>
      </c>
      <c r="J915">
        <v>0</v>
      </c>
      <c r="K915">
        <v>0</v>
      </c>
      <c r="L915">
        <f t="shared" si="29"/>
        <v>0</v>
      </c>
    </row>
    <row r="916" spans="1:12">
      <c r="A916" t="s">
        <v>3283</v>
      </c>
      <c r="B916" t="s">
        <v>3284</v>
      </c>
      <c r="C916" t="s">
        <v>2805</v>
      </c>
      <c r="D916" t="s">
        <v>2807</v>
      </c>
      <c r="E916">
        <v>2</v>
      </c>
      <c r="F916">
        <v>0</v>
      </c>
      <c r="G916">
        <v>0</v>
      </c>
      <c r="H916">
        <f t="shared" si="28"/>
        <v>2</v>
      </c>
      <c r="I916">
        <v>0</v>
      </c>
      <c r="J916">
        <v>0</v>
      </c>
      <c r="K916">
        <v>0</v>
      </c>
      <c r="L916">
        <f t="shared" si="29"/>
        <v>0</v>
      </c>
    </row>
    <row r="917" spans="1:12">
      <c r="A917" t="s">
        <v>3283</v>
      </c>
      <c r="B917" t="s">
        <v>3284</v>
      </c>
      <c r="C917" t="s">
        <v>2805</v>
      </c>
      <c r="D917" t="s">
        <v>2863</v>
      </c>
      <c r="E917">
        <v>4</v>
      </c>
      <c r="F917">
        <v>0</v>
      </c>
      <c r="G917">
        <v>0</v>
      </c>
      <c r="H917">
        <f t="shared" si="28"/>
        <v>4</v>
      </c>
      <c r="I917">
        <v>0</v>
      </c>
      <c r="J917">
        <v>0</v>
      </c>
      <c r="K917">
        <v>0</v>
      </c>
      <c r="L917">
        <f t="shared" si="29"/>
        <v>0</v>
      </c>
    </row>
    <row r="918" spans="1:12">
      <c r="A918" t="s">
        <v>3283</v>
      </c>
      <c r="B918" t="s">
        <v>3284</v>
      </c>
      <c r="C918" t="s">
        <v>2810</v>
      </c>
      <c r="D918" t="s">
        <v>2811</v>
      </c>
      <c r="E918">
        <v>9</v>
      </c>
      <c r="F918">
        <v>0</v>
      </c>
      <c r="G918">
        <v>0</v>
      </c>
      <c r="H918">
        <f t="shared" si="28"/>
        <v>9</v>
      </c>
      <c r="I918">
        <v>0</v>
      </c>
      <c r="J918">
        <v>0</v>
      </c>
      <c r="K918">
        <v>0</v>
      </c>
      <c r="L918">
        <f t="shared" si="29"/>
        <v>0</v>
      </c>
    </row>
    <row r="919" spans="1:12">
      <c r="A919" t="s">
        <v>3283</v>
      </c>
      <c r="B919" t="s">
        <v>3284</v>
      </c>
      <c r="C919" t="s">
        <v>2810</v>
      </c>
      <c r="D919" t="s">
        <v>2812</v>
      </c>
      <c r="E919">
        <v>6</v>
      </c>
      <c r="F919">
        <v>0</v>
      </c>
      <c r="G919">
        <v>0</v>
      </c>
      <c r="H919">
        <f t="shared" si="28"/>
        <v>6</v>
      </c>
      <c r="I919">
        <v>0</v>
      </c>
      <c r="J919">
        <v>0</v>
      </c>
      <c r="K919">
        <v>0</v>
      </c>
      <c r="L919">
        <f t="shared" si="29"/>
        <v>0</v>
      </c>
    </row>
    <row r="920" spans="1:12">
      <c r="A920" t="s">
        <v>3283</v>
      </c>
      <c r="B920" t="s">
        <v>3284</v>
      </c>
      <c r="C920" t="s">
        <v>2810</v>
      </c>
      <c r="D920" t="s">
        <v>2813</v>
      </c>
      <c r="E920">
        <v>5</v>
      </c>
      <c r="F920">
        <v>0</v>
      </c>
      <c r="G920">
        <v>0</v>
      </c>
      <c r="H920">
        <f t="shared" si="28"/>
        <v>5</v>
      </c>
      <c r="I920">
        <v>0</v>
      </c>
      <c r="J920">
        <v>0</v>
      </c>
      <c r="K920">
        <v>0</v>
      </c>
      <c r="L920">
        <f t="shared" si="29"/>
        <v>0</v>
      </c>
    </row>
    <row r="921" spans="1:12">
      <c r="A921" t="s">
        <v>3283</v>
      </c>
      <c r="B921" t="s">
        <v>3284</v>
      </c>
      <c r="C921" t="s">
        <v>2810</v>
      </c>
      <c r="D921" t="s">
        <v>2814</v>
      </c>
      <c r="E921">
        <v>10</v>
      </c>
      <c r="F921">
        <v>0</v>
      </c>
      <c r="G921">
        <v>0</v>
      </c>
      <c r="H921">
        <f t="shared" si="28"/>
        <v>10</v>
      </c>
      <c r="I921">
        <v>0</v>
      </c>
      <c r="J921">
        <v>0</v>
      </c>
      <c r="K921">
        <v>0</v>
      </c>
      <c r="L921">
        <f t="shared" si="29"/>
        <v>0</v>
      </c>
    </row>
    <row r="922" spans="1:12">
      <c r="A922" t="s">
        <v>3283</v>
      </c>
      <c r="B922" t="s">
        <v>3284</v>
      </c>
      <c r="C922" t="s">
        <v>2810</v>
      </c>
      <c r="D922" t="s">
        <v>2847</v>
      </c>
      <c r="E922">
        <v>16</v>
      </c>
      <c r="F922">
        <v>0</v>
      </c>
      <c r="G922">
        <v>0</v>
      </c>
      <c r="H922">
        <f t="shared" si="28"/>
        <v>16</v>
      </c>
      <c r="I922">
        <v>0</v>
      </c>
      <c r="J922">
        <v>0</v>
      </c>
      <c r="K922">
        <v>0</v>
      </c>
      <c r="L922">
        <f t="shared" si="29"/>
        <v>0</v>
      </c>
    </row>
    <row r="923" spans="1:12">
      <c r="A923" t="s">
        <v>3283</v>
      </c>
      <c r="B923" t="s">
        <v>3284</v>
      </c>
      <c r="C923" t="s">
        <v>2810</v>
      </c>
      <c r="D923" t="s">
        <v>2815</v>
      </c>
      <c r="E923">
        <v>1</v>
      </c>
      <c r="F923">
        <v>0</v>
      </c>
      <c r="G923">
        <v>0</v>
      </c>
      <c r="H923">
        <f t="shared" si="28"/>
        <v>1</v>
      </c>
      <c r="I923">
        <v>0</v>
      </c>
      <c r="J923">
        <v>0</v>
      </c>
      <c r="K923">
        <v>0</v>
      </c>
      <c r="L923">
        <f t="shared" si="29"/>
        <v>0</v>
      </c>
    </row>
    <row r="924" spans="1:12">
      <c r="A924" t="s">
        <v>3283</v>
      </c>
      <c r="B924" t="s">
        <v>3284</v>
      </c>
      <c r="C924" t="s">
        <v>2816</v>
      </c>
      <c r="D924" t="s">
        <v>1897</v>
      </c>
      <c r="E924">
        <v>8</v>
      </c>
      <c r="F924">
        <v>0</v>
      </c>
      <c r="G924">
        <v>0</v>
      </c>
      <c r="H924">
        <f t="shared" si="28"/>
        <v>8</v>
      </c>
      <c r="I924">
        <v>0</v>
      </c>
      <c r="J924">
        <v>0</v>
      </c>
      <c r="K924">
        <v>0</v>
      </c>
      <c r="L924">
        <f t="shared" si="29"/>
        <v>0</v>
      </c>
    </row>
    <row r="925" spans="1:12">
      <c r="A925" t="s">
        <v>3295</v>
      </c>
      <c r="B925" t="s">
        <v>3296</v>
      </c>
      <c r="C925" t="s">
        <v>2805</v>
      </c>
      <c r="D925" t="s">
        <v>449</v>
      </c>
      <c r="E925">
        <v>2</v>
      </c>
      <c r="F925">
        <v>0</v>
      </c>
      <c r="G925">
        <v>0</v>
      </c>
      <c r="H925">
        <f t="shared" si="28"/>
        <v>2</v>
      </c>
      <c r="I925">
        <v>0</v>
      </c>
      <c r="J925">
        <v>0</v>
      </c>
      <c r="K925">
        <v>0</v>
      </c>
      <c r="L925">
        <f t="shared" si="29"/>
        <v>0</v>
      </c>
    </row>
    <row r="926" spans="1:12">
      <c r="A926" t="s">
        <v>3295</v>
      </c>
      <c r="B926" t="s">
        <v>3296</v>
      </c>
      <c r="C926" t="s">
        <v>2805</v>
      </c>
      <c r="D926" t="s">
        <v>2807</v>
      </c>
      <c r="E926">
        <v>1</v>
      </c>
      <c r="F926">
        <v>0</v>
      </c>
      <c r="G926">
        <v>0</v>
      </c>
      <c r="H926">
        <f t="shared" si="28"/>
        <v>1</v>
      </c>
      <c r="I926">
        <v>0</v>
      </c>
      <c r="J926">
        <v>0</v>
      </c>
      <c r="K926">
        <v>0</v>
      </c>
      <c r="L926">
        <f t="shared" si="29"/>
        <v>0</v>
      </c>
    </row>
    <row r="927" spans="1:12">
      <c r="A927" t="s">
        <v>3295</v>
      </c>
      <c r="B927" t="s">
        <v>3296</v>
      </c>
      <c r="C927" t="s">
        <v>2810</v>
      </c>
      <c r="D927" t="s">
        <v>2811</v>
      </c>
      <c r="E927">
        <v>5</v>
      </c>
      <c r="F927">
        <v>0</v>
      </c>
      <c r="G927">
        <v>0</v>
      </c>
      <c r="H927">
        <f t="shared" si="28"/>
        <v>5</v>
      </c>
      <c r="I927">
        <v>0</v>
      </c>
      <c r="J927">
        <v>0</v>
      </c>
      <c r="K927">
        <v>0</v>
      </c>
      <c r="L927">
        <f t="shared" si="29"/>
        <v>0</v>
      </c>
    </row>
    <row r="928" spans="1:12">
      <c r="A928" t="s">
        <v>3295</v>
      </c>
      <c r="B928" t="s">
        <v>3296</v>
      </c>
      <c r="C928" t="s">
        <v>2810</v>
      </c>
      <c r="D928" t="s">
        <v>2812</v>
      </c>
      <c r="E928">
        <v>2</v>
      </c>
      <c r="F928">
        <v>0</v>
      </c>
      <c r="G928">
        <v>0</v>
      </c>
      <c r="H928">
        <f t="shared" si="28"/>
        <v>2</v>
      </c>
      <c r="I928">
        <v>0</v>
      </c>
      <c r="J928">
        <v>0</v>
      </c>
      <c r="K928">
        <v>0</v>
      </c>
      <c r="L928">
        <f t="shared" si="29"/>
        <v>0</v>
      </c>
    </row>
    <row r="929" spans="1:12">
      <c r="A929" t="s">
        <v>3295</v>
      </c>
      <c r="B929" t="s">
        <v>3296</v>
      </c>
      <c r="C929" t="s">
        <v>2810</v>
      </c>
      <c r="D929" t="s">
        <v>2813</v>
      </c>
      <c r="E929">
        <v>11</v>
      </c>
      <c r="F929">
        <v>0</v>
      </c>
      <c r="G929">
        <v>0</v>
      </c>
      <c r="H929">
        <f t="shared" si="28"/>
        <v>11</v>
      </c>
      <c r="I929">
        <v>0</v>
      </c>
      <c r="J929">
        <v>0</v>
      </c>
      <c r="K929">
        <v>0</v>
      </c>
      <c r="L929">
        <f t="shared" si="29"/>
        <v>0</v>
      </c>
    </row>
    <row r="930" spans="1:12">
      <c r="A930" t="s">
        <v>3295</v>
      </c>
      <c r="B930" t="s">
        <v>3296</v>
      </c>
      <c r="C930" t="s">
        <v>2810</v>
      </c>
      <c r="D930" t="s">
        <v>2840</v>
      </c>
      <c r="E930">
        <v>1</v>
      </c>
      <c r="F930">
        <v>0</v>
      </c>
      <c r="G930">
        <v>0</v>
      </c>
      <c r="H930">
        <f t="shared" si="28"/>
        <v>1</v>
      </c>
      <c r="I930">
        <v>0</v>
      </c>
      <c r="J930">
        <v>0</v>
      </c>
      <c r="K930">
        <v>0</v>
      </c>
      <c r="L930">
        <f t="shared" si="29"/>
        <v>0</v>
      </c>
    </row>
    <row r="931" spans="1:12">
      <c r="A931" t="s">
        <v>3309</v>
      </c>
      <c r="B931" t="s">
        <v>1071</v>
      </c>
      <c r="C931" t="s">
        <v>2805</v>
      </c>
      <c r="D931" t="s">
        <v>2806</v>
      </c>
      <c r="E931">
        <v>3</v>
      </c>
      <c r="F931">
        <v>0</v>
      </c>
      <c r="G931">
        <v>0</v>
      </c>
      <c r="H931">
        <f t="shared" si="28"/>
        <v>3</v>
      </c>
      <c r="I931">
        <v>1</v>
      </c>
      <c r="J931">
        <v>0</v>
      </c>
      <c r="K931">
        <v>0</v>
      </c>
      <c r="L931">
        <f t="shared" si="29"/>
        <v>1</v>
      </c>
    </row>
    <row r="932" spans="1:12">
      <c r="A932" t="s">
        <v>3309</v>
      </c>
      <c r="B932" t="s">
        <v>1071</v>
      </c>
      <c r="C932" t="s">
        <v>2805</v>
      </c>
      <c r="D932" t="s">
        <v>449</v>
      </c>
      <c r="E932">
        <v>28</v>
      </c>
      <c r="F932">
        <v>0</v>
      </c>
      <c r="G932">
        <v>0</v>
      </c>
      <c r="H932">
        <f t="shared" si="28"/>
        <v>28</v>
      </c>
      <c r="I932">
        <v>20</v>
      </c>
      <c r="J932">
        <v>0</v>
      </c>
      <c r="K932">
        <v>0</v>
      </c>
      <c r="L932">
        <f t="shared" si="29"/>
        <v>20</v>
      </c>
    </row>
    <row r="933" spans="1:12">
      <c r="A933" t="s">
        <v>3309</v>
      </c>
      <c r="B933" t="s">
        <v>1071</v>
      </c>
      <c r="C933" t="s">
        <v>2805</v>
      </c>
      <c r="D933" t="s">
        <v>2807</v>
      </c>
      <c r="E933">
        <v>3</v>
      </c>
      <c r="F933">
        <v>0</v>
      </c>
      <c r="G933">
        <v>0</v>
      </c>
      <c r="H933">
        <f t="shared" si="28"/>
        <v>3</v>
      </c>
      <c r="I933">
        <v>1</v>
      </c>
      <c r="J933">
        <v>0</v>
      </c>
      <c r="K933">
        <v>0</v>
      </c>
      <c r="L933">
        <f t="shared" si="29"/>
        <v>1</v>
      </c>
    </row>
    <row r="934" spans="1:12">
      <c r="A934" t="s">
        <v>3309</v>
      </c>
      <c r="B934" t="s">
        <v>1071</v>
      </c>
      <c r="C934" t="s">
        <v>2805</v>
      </c>
      <c r="D934" t="s">
        <v>2809</v>
      </c>
      <c r="E934">
        <v>2</v>
      </c>
      <c r="F934">
        <v>0</v>
      </c>
      <c r="G934">
        <v>0</v>
      </c>
      <c r="H934">
        <f t="shared" si="28"/>
        <v>2</v>
      </c>
      <c r="I934">
        <v>0</v>
      </c>
      <c r="J934">
        <v>0</v>
      </c>
      <c r="K934">
        <v>0</v>
      </c>
      <c r="L934">
        <f t="shared" si="29"/>
        <v>0</v>
      </c>
    </row>
    <row r="935" spans="1:12">
      <c r="A935" t="s">
        <v>3309</v>
      </c>
      <c r="B935" t="s">
        <v>1071</v>
      </c>
      <c r="C935" t="s">
        <v>2810</v>
      </c>
      <c r="D935" t="s">
        <v>2811</v>
      </c>
      <c r="E935">
        <v>15</v>
      </c>
      <c r="F935">
        <v>0</v>
      </c>
      <c r="G935">
        <v>0</v>
      </c>
      <c r="H935">
        <f t="shared" si="28"/>
        <v>15</v>
      </c>
      <c r="I935">
        <v>10</v>
      </c>
      <c r="J935">
        <v>0</v>
      </c>
      <c r="K935">
        <v>0</v>
      </c>
      <c r="L935">
        <f t="shared" si="29"/>
        <v>10</v>
      </c>
    </row>
    <row r="936" spans="1:12">
      <c r="A936" t="s">
        <v>3309</v>
      </c>
      <c r="B936" t="s">
        <v>1071</v>
      </c>
      <c r="C936" t="s">
        <v>2810</v>
      </c>
      <c r="D936" t="s">
        <v>2812</v>
      </c>
      <c r="E936">
        <v>18</v>
      </c>
      <c r="F936">
        <v>0</v>
      </c>
      <c r="G936">
        <v>0</v>
      </c>
      <c r="H936">
        <f t="shared" si="28"/>
        <v>18</v>
      </c>
      <c r="I936">
        <v>4</v>
      </c>
      <c r="J936">
        <v>0</v>
      </c>
      <c r="K936">
        <v>0</v>
      </c>
      <c r="L936">
        <f t="shared" si="29"/>
        <v>4</v>
      </c>
    </row>
    <row r="937" spans="1:12">
      <c r="A937" t="s">
        <v>3309</v>
      </c>
      <c r="B937" t="s">
        <v>1071</v>
      </c>
      <c r="C937" t="s">
        <v>2810</v>
      </c>
      <c r="D937" t="s">
        <v>2813</v>
      </c>
      <c r="E937">
        <v>27</v>
      </c>
      <c r="F937">
        <v>0</v>
      </c>
      <c r="G937">
        <v>0</v>
      </c>
      <c r="H937">
        <f t="shared" si="28"/>
        <v>27</v>
      </c>
      <c r="I937">
        <v>0</v>
      </c>
      <c r="J937">
        <v>0</v>
      </c>
      <c r="K937">
        <v>0</v>
      </c>
      <c r="L937">
        <f t="shared" si="29"/>
        <v>0</v>
      </c>
    </row>
    <row r="938" spans="1:12">
      <c r="A938" t="s">
        <v>3309</v>
      </c>
      <c r="B938" t="s">
        <v>1071</v>
      </c>
      <c r="C938" t="s">
        <v>2810</v>
      </c>
      <c r="D938" t="s">
        <v>2815</v>
      </c>
      <c r="E938">
        <v>1</v>
      </c>
      <c r="F938">
        <v>0</v>
      </c>
      <c r="G938">
        <v>0</v>
      </c>
      <c r="H938">
        <f t="shared" si="28"/>
        <v>1</v>
      </c>
      <c r="I938">
        <v>6</v>
      </c>
      <c r="J938">
        <v>0</v>
      </c>
      <c r="K938">
        <v>0</v>
      </c>
      <c r="L938">
        <f t="shared" si="29"/>
        <v>6</v>
      </c>
    </row>
    <row r="939" spans="1:12">
      <c r="A939" t="s">
        <v>3309</v>
      </c>
      <c r="B939" t="s">
        <v>1071</v>
      </c>
      <c r="C939" t="s">
        <v>2816</v>
      </c>
      <c r="D939" t="s">
        <v>1897</v>
      </c>
      <c r="E939">
        <v>13</v>
      </c>
      <c r="F939">
        <v>0</v>
      </c>
      <c r="G939">
        <v>0</v>
      </c>
      <c r="H939">
        <f t="shared" si="28"/>
        <v>13</v>
      </c>
      <c r="I939">
        <v>4</v>
      </c>
      <c r="J939">
        <v>0</v>
      </c>
      <c r="K939">
        <v>0</v>
      </c>
      <c r="L939">
        <f t="shared" si="29"/>
        <v>4</v>
      </c>
    </row>
    <row r="940" spans="1:12">
      <c r="A940" t="s">
        <v>3309</v>
      </c>
      <c r="B940" t="s">
        <v>1071</v>
      </c>
      <c r="C940" t="s">
        <v>2841</v>
      </c>
      <c r="D940" t="s">
        <v>2842</v>
      </c>
      <c r="E940">
        <v>0</v>
      </c>
      <c r="F940">
        <v>0</v>
      </c>
      <c r="G940">
        <v>0</v>
      </c>
      <c r="H940">
        <f t="shared" si="28"/>
        <v>0</v>
      </c>
      <c r="I940">
        <v>1</v>
      </c>
      <c r="J940">
        <v>0</v>
      </c>
      <c r="K940">
        <v>0</v>
      </c>
      <c r="L940">
        <f t="shared" si="29"/>
        <v>1</v>
      </c>
    </row>
    <row r="941" spans="1:12">
      <c r="A941" t="s">
        <v>3309</v>
      </c>
      <c r="B941" t="s">
        <v>1071</v>
      </c>
      <c r="C941" t="s">
        <v>2817</v>
      </c>
      <c r="D941" t="s">
        <v>2887</v>
      </c>
      <c r="E941">
        <v>0</v>
      </c>
      <c r="F941">
        <v>0</v>
      </c>
      <c r="G941">
        <v>0</v>
      </c>
      <c r="H941">
        <f t="shared" si="28"/>
        <v>0</v>
      </c>
      <c r="I941">
        <v>1</v>
      </c>
      <c r="J941">
        <v>0</v>
      </c>
      <c r="K941">
        <v>0</v>
      </c>
      <c r="L941">
        <f t="shared" si="29"/>
        <v>1</v>
      </c>
    </row>
    <row r="942" spans="1:12">
      <c r="A942" t="s">
        <v>3309</v>
      </c>
      <c r="B942" t="s">
        <v>1071</v>
      </c>
      <c r="C942" t="s">
        <v>2817</v>
      </c>
      <c r="D942" t="s">
        <v>2909</v>
      </c>
      <c r="E942">
        <v>4</v>
      </c>
      <c r="F942">
        <v>0</v>
      </c>
      <c r="G942">
        <v>0</v>
      </c>
      <c r="H942">
        <f t="shared" si="28"/>
        <v>4</v>
      </c>
      <c r="I942">
        <v>7</v>
      </c>
      <c r="J942">
        <v>0</v>
      </c>
      <c r="K942">
        <v>0</v>
      </c>
      <c r="L942">
        <f t="shared" si="29"/>
        <v>7</v>
      </c>
    </row>
    <row r="943" spans="1:12">
      <c r="A943" t="s">
        <v>3309</v>
      </c>
      <c r="B943" t="s">
        <v>1071</v>
      </c>
      <c r="C943" t="s">
        <v>2820</v>
      </c>
      <c r="D943" t="s">
        <v>2821</v>
      </c>
      <c r="E943">
        <v>0</v>
      </c>
      <c r="F943">
        <v>0</v>
      </c>
      <c r="G943">
        <v>0</v>
      </c>
      <c r="H943">
        <f t="shared" si="28"/>
        <v>0</v>
      </c>
      <c r="I943">
        <v>4</v>
      </c>
      <c r="J943">
        <v>0</v>
      </c>
      <c r="K943">
        <v>0</v>
      </c>
      <c r="L943">
        <f t="shared" si="29"/>
        <v>4</v>
      </c>
    </row>
    <row r="944" spans="1:12">
      <c r="A944" t="s">
        <v>3310</v>
      </c>
      <c r="B944" t="s">
        <v>1068</v>
      </c>
      <c r="C944" t="s">
        <v>2805</v>
      </c>
      <c r="D944" t="s">
        <v>2806</v>
      </c>
      <c r="E944">
        <v>5</v>
      </c>
      <c r="F944">
        <v>0</v>
      </c>
      <c r="G944">
        <v>0</v>
      </c>
      <c r="H944">
        <f t="shared" si="28"/>
        <v>5</v>
      </c>
      <c r="I944">
        <v>0</v>
      </c>
      <c r="J944">
        <v>0</v>
      </c>
      <c r="K944">
        <v>0</v>
      </c>
      <c r="L944">
        <f t="shared" si="29"/>
        <v>0</v>
      </c>
    </row>
    <row r="945" spans="1:12">
      <c r="A945" t="s">
        <v>3310</v>
      </c>
      <c r="B945" t="s">
        <v>1068</v>
      </c>
      <c r="C945" t="s">
        <v>2805</v>
      </c>
      <c r="D945" t="s">
        <v>449</v>
      </c>
      <c r="E945">
        <v>9</v>
      </c>
      <c r="F945">
        <v>0</v>
      </c>
      <c r="G945">
        <v>0</v>
      </c>
      <c r="H945">
        <f t="shared" si="28"/>
        <v>9</v>
      </c>
      <c r="I945">
        <v>4</v>
      </c>
      <c r="J945">
        <v>0</v>
      </c>
      <c r="K945">
        <v>0</v>
      </c>
      <c r="L945">
        <f t="shared" si="29"/>
        <v>4</v>
      </c>
    </row>
    <row r="946" spans="1:12">
      <c r="A946" t="s">
        <v>3310</v>
      </c>
      <c r="B946" t="s">
        <v>1068</v>
      </c>
      <c r="C946" t="s">
        <v>2805</v>
      </c>
      <c r="D946" t="s">
        <v>442</v>
      </c>
      <c r="E946">
        <v>0</v>
      </c>
      <c r="F946">
        <v>0</v>
      </c>
      <c r="G946">
        <v>0</v>
      </c>
      <c r="H946">
        <f t="shared" si="28"/>
        <v>0</v>
      </c>
      <c r="I946">
        <v>1</v>
      </c>
      <c r="J946">
        <v>0</v>
      </c>
      <c r="K946">
        <v>0</v>
      </c>
      <c r="L946">
        <f t="shared" si="29"/>
        <v>1</v>
      </c>
    </row>
    <row r="947" spans="1:12">
      <c r="A947" t="s">
        <v>3310</v>
      </c>
      <c r="B947" t="s">
        <v>1068</v>
      </c>
      <c r="C947" t="s">
        <v>2810</v>
      </c>
      <c r="D947" t="s">
        <v>2811</v>
      </c>
      <c r="E947">
        <v>2</v>
      </c>
      <c r="F947">
        <v>0</v>
      </c>
      <c r="G947">
        <v>0</v>
      </c>
      <c r="H947">
        <f t="shared" si="28"/>
        <v>2</v>
      </c>
      <c r="I947">
        <v>1</v>
      </c>
      <c r="J947">
        <v>0</v>
      </c>
      <c r="K947">
        <v>0</v>
      </c>
      <c r="L947">
        <f t="shared" si="29"/>
        <v>1</v>
      </c>
    </row>
    <row r="948" spans="1:12">
      <c r="A948" t="s">
        <v>3310</v>
      </c>
      <c r="B948" t="s">
        <v>1068</v>
      </c>
      <c r="C948" t="s">
        <v>2810</v>
      </c>
      <c r="D948" t="s">
        <v>1892</v>
      </c>
      <c r="E948">
        <v>0</v>
      </c>
      <c r="F948">
        <v>0</v>
      </c>
      <c r="G948">
        <v>0</v>
      </c>
      <c r="H948">
        <f t="shared" si="28"/>
        <v>0</v>
      </c>
      <c r="I948">
        <v>3</v>
      </c>
      <c r="J948">
        <v>0</v>
      </c>
      <c r="K948">
        <v>0</v>
      </c>
      <c r="L948">
        <f t="shared" si="29"/>
        <v>3</v>
      </c>
    </row>
    <row r="949" spans="1:12">
      <c r="A949" t="s">
        <v>3310</v>
      </c>
      <c r="B949" t="s">
        <v>1068</v>
      </c>
      <c r="C949" t="s">
        <v>2810</v>
      </c>
      <c r="D949" t="s">
        <v>2823</v>
      </c>
      <c r="E949">
        <v>4</v>
      </c>
      <c r="F949">
        <v>0</v>
      </c>
      <c r="G949">
        <v>0</v>
      </c>
      <c r="H949">
        <f t="shared" si="28"/>
        <v>4</v>
      </c>
      <c r="I949">
        <v>6</v>
      </c>
      <c r="J949">
        <v>0</v>
      </c>
      <c r="K949">
        <v>0</v>
      </c>
      <c r="L949">
        <f t="shared" si="29"/>
        <v>6</v>
      </c>
    </row>
    <row r="950" spans="1:12">
      <c r="A950" t="s">
        <v>3310</v>
      </c>
      <c r="B950" t="s">
        <v>1068</v>
      </c>
      <c r="C950" t="s">
        <v>2810</v>
      </c>
      <c r="D950" t="s">
        <v>2812</v>
      </c>
      <c r="E950">
        <v>5</v>
      </c>
      <c r="F950">
        <v>0</v>
      </c>
      <c r="G950">
        <v>0</v>
      </c>
      <c r="H950">
        <f t="shared" si="28"/>
        <v>5</v>
      </c>
      <c r="I950">
        <v>3</v>
      </c>
      <c r="J950">
        <v>0</v>
      </c>
      <c r="K950">
        <v>0</v>
      </c>
      <c r="L950">
        <f t="shared" si="29"/>
        <v>3</v>
      </c>
    </row>
    <row r="951" spans="1:12">
      <c r="A951" t="s">
        <v>3310</v>
      </c>
      <c r="B951" t="s">
        <v>1068</v>
      </c>
      <c r="C951" t="s">
        <v>2810</v>
      </c>
      <c r="D951" t="s">
        <v>2813</v>
      </c>
      <c r="E951">
        <v>1</v>
      </c>
      <c r="F951">
        <v>0</v>
      </c>
      <c r="G951">
        <v>0</v>
      </c>
      <c r="H951">
        <f t="shared" si="28"/>
        <v>1</v>
      </c>
      <c r="I951">
        <v>0</v>
      </c>
      <c r="J951">
        <v>0</v>
      </c>
      <c r="K951">
        <v>0</v>
      </c>
      <c r="L951">
        <f t="shared" si="29"/>
        <v>0</v>
      </c>
    </row>
    <row r="952" spans="1:12">
      <c r="A952" t="s">
        <v>3310</v>
      </c>
      <c r="B952" t="s">
        <v>1068</v>
      </c>
      <c r="C952" t="s">
        <v>2841</v>
      </c>
      <c r="D952" t="s">
        <v>2842</v>
      </c>
      <c r="E952">
        <v>0</v>
      </c>
      <c r="F952">
        <v>0</v>
      </c>
      <c r="G952">
        <v>0</v>
      </c>
      <c r="H952">
        <f t="shared" si="28"/>
        <v>0</v>
      </c>
      <c r="I952">
        <v>2</v>
      </c>
      <c r="J952">
        <v>0</v>
      </c>
      <c r="K952">
        <v>0</v>
      </c>
      <c r="L952">
        <f t="shared" si="29"/>
        <v>2</v>
      </c>
    </row>
    <row r="953" spans="1:12">
      <c r="A953" t="s">
        <v>3313</v>
      </c>
      <c r="B953" t="s">
        <v>1077</v>
      </c>
      <c r="C953" t="s">
        <v>2805</v>
      </c>
      <c r="D953" t="s">
        <v>2806</v>
      </c>
      <c r="E953">
        <v>198</v>
      </c>
      <c r="F953">
        <v>0</v>
      </c>
      <c r="G953">
        <v>0</v>
      </c>
      <c r="H953">
        <f t="shared" si="28"/>
        <v>198</v>
      </c>
      <c r="I953">
        <v>7</v>
      </c>
      <c r="J953">
        <v>0</v>
      </c>
      <c r="K953">
        <v>0</v>
      </c>
      <c r="L953">
        <f t="shared" si="29"/>
        <v>7</v>
      </c>
    </row>
    <row r="954" spans="1:12">
      <c r="A954" t="s">
        <v>3313</v>
      </c>
      <c r="B954" t="s">
        <v>1077</v>
      </c>
      <c r="C954" t="s">
        <v>2805</v>
      </c>
      <c r="D954" t="s">
        <v>449</v>
      </c>
      <c r="E954">
        <v>175</v>
      </c>
      <c r="F954">
        <v>0</v>
      </c>
      <c r="G954">
        <v>0</v>
      </c>
      <c r="H954">
        <f t="shared" si="28"/>
        <v>175</v>
      </c>
      <c r="I954">
        <v>4</v>
      </c>
      <c r="J954">
        <v>0</v>
      </c>
      <c r="K954">
        <v>0</v>
      </c>
      <c r="L954">
        <f t="shared" si="29"/>
        <v>4</v>
      </c>
    </row>
    <row r="955" spans="1:12">
      <c r="A955" t="s">
        <v>3313</v>
      </c>
      <c r="B955" t="s">
        <v>1077</v>
      </c>
      <c r="C955" t="s">
        <v>2805</v>
      </c>
      <c r="D955" t="s">
        <v>2809</v>
      </c>
      <c r="E955">
        <v>1</v>
      </c>
      <c r="F955">
        <v>0</v>
      </c>
      <c r="G955">
        <v>0</v>
      </c>
      <c r="H955">
        <f t="shared" si="28"/>
        <v>1</v>
      </c>
      <c r="I955">
        <v>0</v>
      </c>
      <c r="J955">
        <v>0</v>
      </c>
      <c r="K955">
        <v>0</v>
      </c>
      <c r="L955">
        <f t="shared" si="29"/>
        <v>0</v>
      </c>
    </row>
    <row r="956" spans="1:12">
      <c r="A956" t="s">
        <v>3313</v>
      </c>
      <c r="B956" t="s">
        <v>1077</v>
      </c>
      <c r="C956" t="s">
        <v>2805</v>
      </c>
      <c r="D956" t="s">
        <v>442</v>
      </c>
      <c r="E956">
        <v>3</v>
      </c>
      <c r="F956">
        <v>2</v>
      </c>
      <c r="G956">
        <v>0</v>
      </c>
      <c r="H956">
        <f t="shared" si="28"/>
        <v>5</v>
      </c>
      <c r="I956">
        <v>0</v>
      </c>
      <c r="J956">
        <v>0</v>
      </c>
      <c r="K956">
        <v>0</v>
      </c>
      <c r="L956">
        <f t="shared" si="29"/>
        <v>0</v>
      </c>
    </row>
    <row r="957" spans="1:12">
      <c r="A957" t="s">
        <v>3313</v>
      </c>
      <c r="B957" t="s">
        <v>1077</v>
      </c>
      <c r="C957" t="s">
        <v>2810</v>
      </c>
      <c r="D957" t="s">
        <v>2811</v>
      </c>
      <c r="E957">
        <v>7</v>
      </c>
      <c r="F957">
        <v>0</v>
      </c>
      <c r="G957">
        <v>0</v>
      </c>
      <c r="H957">
        <f t="shared" si="28"/>
        <v>7</v>
      </c>
      <c r="I957">
        <v>0</v>
      </c>
      <c r="J957">
        <v>0</v>
      </c>
      <c r="K957">
        <v>0</v>
      </c>
      <c r="L957">
        <f t="shared" si="29"/>
        <v>0</v>
      </c>
    </row>
    <row r="958" spans="1:12">
      <c r="A958" t="s">
        <v>3313</v>
      </c>
      <c r="B958" t="s">
        <v>1077</v>
      </c>
      <c r="C958" t="s">
        <v>2810</v>
      </c>
      <c r="D958" t="s">
        <v>1892</v>
      </c>
      <c r="E958">
        <v>23</v>
      </c>
      <c r="F958">
        <v>16</v>
      </c>
      <c r="G958">
        <v>0</v>
      </c>
      <c r="H958">
        <f t="shared" si="28"/>
        <v>39</v>
      </c>
      <c r="I958">
        <v>0</v>
      </c>
      <c r="J958">
        <v>0</v>
      </c>
      <c r="K958">
        <v>0</v>
      </c>
      <c r="L958">
        <f t="shared" si="29"/>
        <v>0</v>
      </c>
    </row>
    <row r="959" spans="1:12">
      <c r="A959" t="s">
        <v>3313</v>
      </c>
      <c r="B959" t="s">
        <v>1077</v>
      </c>
      <c r="C959" t="s">
        <v>2810</v>
      </c>
      <c r="D959" t="s">
        <v>2823</v>
      </c>
      <c r="E959">
        <v>10</v>
      </c>
      <c r="F959">
        <v>42</v>
      </c>
      <c r="G959">
        <v>0</v>
      </c>
      <c r="H959">
        <f t="shared" si="28"/>
        <v>52</v>
      </c>
      <c r="I959">
        <v>0</v>
      </c>
      <c r="J959">
        <v>0</v>
      </c>
      <c r="K959">
        <v>0</v>
      </c>
      <c r="L959">
        <f t="shared" si="29"/>
        <v>0</v>
      </c>
    </row>
    <row r="960" spans="1:12">
      <c r="A960" t="s">
        <v>3313</v>
      </c>
      <c r="B960" t="s">
        <v>1077</v>
      </c>
      <c r="C960" t="s">
        <v>2810</v>
      </c>
      <c r="D960" t="s">
        <v>2812</v>
      </c>
      <c r="E960">
        <v>35</v>
      </c>
      <c r="F960">
        <v>0</v>
      </c>
      <c r="G960">
        <v>0</v>
      </c>
      <c r="H960">
        <f t="shared" si="28"/>
        <v>35</v>
      </c>
      <c r="I960">
        <v>0</v>
      </c>
      <c r="J960">
        <v>0</v>
      </c>
      <c r="K960">
        <v>0</v>
      </c>
      <c r="L960">
        <f t="shared" si="29"/>
        <v>0</v>
      </c>
    </row>
    <row r="961" spans="1:12">
      <c r="A961" t="s">
        <v>3313</v>
      </c>
      <c r="B961" t="s">
        <v>1077</v>
      </c>
      <c r="C961" t="s">
        <v>2810</v>
      </c>
      <c r="D961" t="s">
        <v>2813</v>
      </c>
      <c r="E961">
        <v>13</v>
      </c>
      <c r="F961">
        <v>0</v>
      </c>
      <c r="G961">
        <v>0</v>
      </c>
      <c r="H961">
        <f t="shared" si="28"/>
        <v>13</v>
      </c>
      <c r="I961">
        <v>0</v>
      </c>
      <c r="J961">
        <v>0</v>
      </c>
      <c r="K961">
        <v>0</v>
      </c>
      <c r="L961">
        <f t="shared" si="29"/>
        <v>0</v>
      </c>
    </row>
    <row r="962" spans="1:12">
      <c r="A962" t="s">
        <v>3313</v>
      </c>
      <c r="B962" t="s">
        <v>1077</v>
      </c>
      <c r="C962" t="s">
        <v>2810</v>
      </c>
      <c r="D962" t="s">
        <v>2847</v>
      </c>
      <c r="E962">
        <v>22</v>
      </c>
      <c r="F962">
        <v>0</v>
      </c>
      <c r="G962">
        <v>0</v>
      </c>
      <c r="H962">
        <f t="shared" si="28"/>
        <v>22</v>
      </c>
      <c r="I962">
        <v>0</v>
      </c>
      <c r="J962">
        <v>0</v>
      </c>
      <c r="K962">
        <v>0</v>
      </c>
      <c r="L962">
        <f t="shared" si="29"/>
        <v>0</v>
      </c>
    </row>
    <row r="963" spans="1:12">
      <c r="A963" t="s">
        <v>3313</v>
      </c>
      <c r="B963" t="s">
        <v>1077</v>
      </c>
      <c r="C963" t="s">
        <v>2810</v>
      </c>
      <c r="D963" t="s">
        <v>2815</v>
      </c>
      <c r="E963">
        <v>3</v>
      </c>
      <c r="F963">
        <v>0</v>
      </c>
      <c r="G963">
        <v>0</v>
      </c>
      <c r="H963">
        <f t="shared" si="28"/>
        <v>3</v>
      </c>
      <c r="I963">
        <v>0</v>
      </c>
      <c r="J963">
        <v>0</v>
      </c>
      <c r="K963">
        <v>0</v>
      </c>
      <c r="L963">
        <f t="shared" si="29"/>
        <v>0</v>
      </c>
    </row>
    <row r="964" spans="1:12">
      <c r="A964" t="s">
        <v>3313</v>
      </c>
      <c r="B964" t="s">
        <v>1077</v>
      </c>
      <c r="C964" t="s">
        <v>2816</v>
      </c>
      <c r="D964" t="s">
        <v>1896</v>
      </c>
      <c r="E964">
        <v>4</v>
      </c>
      <c r="F964">
        <v>0</v>
      </c>
      <c r="G964">
        <v>0</v>
      </c>
      <c r="H964">
        <f t="shared" ref="H964:H1027" si="30">SUM(E964:G964)</f>
        <v>4</v>
      </c>
      <c r="I964">
        <v>0</v>
      </c>
      <c r="J964">
        <v>0</v>
      </c>
      <c r="K964">
        <v>0</v>
      </c>
      <c r="L964">
        <f t="shared" ref="L964:L1027" si="31">SUM(I964:K964)</f>
        <v>0</v>
      </c>
    </row>
    <row r="965" spans="1:12">
      <c r="A965" t="s">
        <v>3313</v>
      </c>
      <c r="B965" t="s">
        <v>1077</v>
      </c>
      <c r="C965" t="s">
        <v>2816</v>
      </c>
      <c r="D965" t="s">
        <v>1897</v>
      </c>
      <c r="E965">
        <v>11</v>
      </c>
      <c r="F965">
        <v>0</v>
      </c>
      <c r="G965">
        <v>0</v>
      </c>
      <c r="H965">
        <f t="shared" si="30"/>
        <v>11</v>
      </c>
      <c r="I965">
        <v>0</v>
      </c>
      <c r="J965">
        <v>0</v>
      </c>
      <c r="K965">
        <v>0</v>
      </c>
      <c r="L965">
        <f t="shared" si="31"/>
        <v>0</v>
      </c>
    </row>
    <row r="966" spans="1:12">
      <c r="A966" t="s">
        <v>3313</v>
      </c>
      <c r="B966" t="s">
        <v>1077</v>
      </c>
      <c r="C966" t="s">
        <v>2826</v>
      </c>
      <c r="D966" t="s">
        <v>2827</v>
      </c>
      <c r="E966">
        <v>0</v>
      </c>
      <c r="F966">
        <v>0</v>
      </c>
      <c r="G966">
        <v>0</v>
      </c>
      <c r="H966">
        <f t="shared" si="30"/>
        <v>0</v>
      </c>
      <c r="I966">
        <v>1</v>
      </c>
      <c r="J966">
        <v>0</v>
      </c>
      <c r="K966">
        <v>0</v>
      </c>
      <c r="L966">
        <f t="shared" si="31"/>
        <v>1</v>
      </c>
    </row>
    <row r="967" spans="1:12">
      <c r="A967" t="s">
        <v>3313</v>
      </c>
      <c r="B967" t="s">
        <v>1077</v>
      </c>
      <c r="C967" t="s">
        <v>2817</v>
      </c>
      <c r="D967" t="s">
        <v>2818</v>
      </c>
      <c r="E967">
        <v>15</v>
      </c>
      <c r="F967">
        <v>0</v>
      </c>
      <c r="G967">
        <v>0</v>
      </c>
      <c r="H967">
        <f t="shared" si="30"/>
        <v>15</v>
      </c>
      <c r="I967">
        <v>0</v>
      </c>
      <c r="J967">
        <v>0</v>
      </c>
      <c r="K967">
        <v>0</v>
      </c>
      <c r="L967">
        <f t="shared" si="31"/>
        <v>0</v>
      </c>
    </row>
    <row r="968" spans="1:12">
      <c r="A968" t="s">
        <v>3313</v>
      </c>
      <c r="B968" t="s">
        <v>1077</v>
      </c>
      <c r="C968" t="s">
        <v>2817</v>
      </c>
      <c r="D968" t="s">
        <v>2837</v>
      </c>
      <c r="E968">
        <v>3</v>
      </c>
      <c r="F968">
        <v>0</v>
      </c>
      <c r="G968">
        <v>0</v>
      </c>
      <c r="H968">
        <f t="shared" si="30"/>
        <v>3</v>
      </c>
      <c r="I968">
        <v>0</v>
      </c>
      <c r="J968">
        <v>0</v>
      </c>
      <c r="K968">
        <v>0</v>
      </c>
      <c r="L968">
        <f t="shared" si="31"/>
        <v>0</v>
      </c>
    </row>
    <row r="969" spans="1:12">
      <c r="A969" t="s">
        <v>3313</v>
      </c>
      <c r="B969" t="s">
        <v>1077</v>
      </c>
      <c r="C969" t="s">
        <v>2820</v>
      </c>
      <c r="D969" t="s">
        <v>2821</v>
      </c>
      <c r="E969">
        <v>1</v>
      </c>
      <c r="F969">
        <v>0</v>
      </c>
      <c r="G969">
        <v>0</v>
      </c>
      <c r="H969">
        <f t="shared" si="30"/>
        <v>1</v>
      </c>
      <c r="I969">
        <v>0</v>
      </c>
      <c r="J969">
        <v>0</v>
      </c>
      <c r="K969">
        <v>0</v>
      </c>
      <c r="L969">
        <f t="shared" si="31"/>
        <v>0</v>
      </c>
    </row>
    <row r="970" spans="1:12">
      <c r="A970" t="s">
        <v>3316</v>
      </c>
      <c r="B970" t="s">
        <v>1078</v>
      </c>
      <c r="C970" t="s">
        <v>2805</v>
      </c>
      <c r="D970" t="s">
        <v>2806</v>
      </c>
      <c r="E970">
        <v>283</v>
      </c>
      <c r="F970">
        <v>0</v>
      </c>
      <c r="G970">
        <v>0</v>
      </c>
      <c r="H970">
        <f t="shared" si="30"/>
        <v>283</v>
      </c>
      <c r="I970">
        <v>0</v>
      </c>
      <c r="J970">
        <v>0</v>
      </c>
      <c r="K970">
        <v>0</v>
      </c>
      <c r="L970">
        <f t="shared" si="31"/>
        <v>0</v>
      </c>
    </row>
    <row r="971" spans="1:12">
      <c r="A971" t="s">
        <v>3316</v>
      </c>
      <c r="B971" t="s">
        <v>1078</v>
      </c>
      <c r="C971" t="s">
        <v>2805</v>
      </c>
      <c r="D971" t="s">
        <v>449</v>
      </c>
      <c r="E971">
        <v>887</v>
      </c>
      <c r="F971">
        <v>0</v>
      </c>
      <c r="G971">
        <v>0</v>
      </c>
      <c r="H971">
        <f t="shared" si="30"/>
        <v>887</v>
      </c>
      <c r="I971">
        <v>4</v>
      </c>
      <c r="J971">
        <v>0</v>
      </c>
      <c r="K971">
        <v>0</v>
      </c>
      <c r="L971">
        <f t="shared" si="31"/>
        <v>4</v>
      </c>
    </row>
    <row r="972" spans="1:12">
      <c r="A972" t="s">
        <v>3316</v>
      </c>
      <c r="B972" t="s">
        <v>1078</v>
      </c>
      <c r="C972" t="s">
        <v>2805</v>
      </c>
      <c r="D972" t="s">
        <v>2807</v>
      </c>
      <c r="E972">
        <v>12</v>
      </c>
      <c r="F972">
        <v>0</v>
      </c>
      <c r="G972">
        <v>0</v>
      </c>
      <c r="H972">
        <f t="shared" si="30"/>
        <v>12</v>
      </c>
      <c r="I972">
        <v>0</v>
      </c>
      <c r="J972">
        <v>0</v>
      </c>
      <c r="K972">
        <v>0</v>
      </c>
      <c r="L972">
        <f t="shared" si="31"/>
        <v>0</v>
      </c>
    </row>
    <row r="973" spans="1:12">
      <c r="A973" t="s">
        <v>3316</v>
      </c>
      <c r="B973" t="s">
        <v>1078</v>
      </c>
      <c r="C973" t="s">
        <v>2805</v>
      </c>
      <c r="D973" t="s">
        <v>2808</v>
      </c>
      <c r="E973">
        <v>6</v>
      </c>
      <c r="F973">
        <v>0</v>
      </c>
      <c r="G973">
        <v>0</v>
      </c>
      <c r="H973">
        <f t="shared" si="30"/>
        <v>6</v>
      </c>
      <c r="I973">
        <v>0</v>
      </c>
      <c r="J973">
        <v>0</v>
      </c>
      <c r="K973">
        <v>0</v>
      </c>
      <c r="L973">
        <f t="shared" si="31"/>
        <v>0</v>
      </c>
    </row>
    <row r="974" spans="1:12">
      <c r="A974" t="s">
        <v>3316</v>
      </c>
      <c r="B974" t="s">
        <v>1078</v>
      </c>
      <c r="C974" t="s">
        <v>2805</v>
      </c>
      <c r="D974" t="s">
        <v>2809</v>
      </c>
      <c r="E974">
        <v>1</v>
      </c>
      <c r="F974">
        <v>0</v>
      </c>
      <c r="G974">
        <v>0</v>
      </c>
      <c r="H974">
        <f t="shared" si="30"/>
        <v>1</v>
      </c>
      <c r="I974">
        <v>0</v>
      </c>
      <c r="J974">
        <v>0</v>
      </c>
      <c r="K974">
        <v>0</v>
      </c>
      <c r="L974">
        <f t="shared" si="31"/>
        <v>0</v>
      </c>
    </row>
    <row r="975" spans="1:12">
      <c r="A975" t="s">
        <v>3316</v>
      </c>
      <c r="B975" t="s">
        <v>1078</v>
      </c>
      <c r="C975" t="s">
        <v>2805</v>
      </c>
      <c r="D975" t="s">
        <v>442</v>
      </c>
      <c r="E975">
        <v>0</v>
      </c>
      <c r="F975">
        <v>7</v>
      </c>
      <c r="G975">
        <v>0</v>
      </c>
      <c r="H975">
        <f t="shared" si="30"/>
        <v>7</v>
      </c>
      <c r="I975">
        <v>0</v>
      </c>
      <c r="J975">
        <v>0</v>
      </c>
      <c r="K975">
        <v>0</v>
      </c>
      <c r="L975">
        <f t="shared" si="31"/>
        <v>0</v>
      </c>
    </row>
    <row r="976" spans="1:12">
      <c r="A976" t="s">
        <v>3316</v>
      </c>
      <c r="B976" t="s">
        <v>1078</v>
      </c>
      <c r="C976" t="s">
        <v>2805</v>
      </c>
      <c r="D976" t="s">
        <v>2846</v>
      </c>
      <c r="E976">
        <v>1</v>
      </c>
      <c r="F976">
        <v>0</v>
      </c>
      <c r="G976">
        <v>0</v>
      </c>
      <c r="H976">
        <f t="shared" si="30"/>
        <v>1</v>
      </c>
      <c r="I976">
        <v>0</v>
      </c>
      <c r="J976">
        <v>0</v>
      </c>
      <c r="K976">
        <v>0</v>
      </c>
      <c r="L976">
        <f t="shared" si="31"/>
        <v>0</v>
      </c>
    </row>
    <row r="977" spans="1:12">
      <c r="A977" t="s">
        <v>3316</v>
      </c>
      <c r="B977" t="s">
        <v>1078</v>
      </c>
      <c r="C977" t="s">
        <v>2810</v>
      </c>
      <c r="D977" t="s">
        <v>2811</v>
      </c>
      <c r="E977">
        <v>50</v>
      </c>
      <c r="F977">
        <v>0</v>
      </c>
      <c r="G977">
        <v>0</v>
      </c>
      <c r="H977">
        <f t="shared" si="30"/>
        <v>50</v>
      </c>
      <c r="I977">
        <v>2</v>
      </c>
      <c r="J977">
        <v>0</v>
      </c>
      <c r="K977">
        <v>0</v>
      </c>
      <c r="L977">
        <f t="shared" si="31"/>
        <v>2</v>
      </c>
    </row>
    <row r="978" spans="1:12">
      <c r="A978" t="s">
        <v>3316</v>
      </c>
      <c r="B978" t="s">
        <v>1078</v>
      </c>
      <c r="C978" t="s">
        <v>2810</v>
      </c>
      <c r="D978" t="s">
        <v>1892</v>
      </c>
      <c r="E978">
        <v>0</v>
      </c>
      <c r="F978">
        <v>27</v>
      </c>
      <c r="G978">
        <v>0</v>
      </c>
      <c r="H978">
        <f t="shared" si="30"/>
        <v>27</v>
      </c>
      <c r="I978">
        <v>0</v>
      </c>
      <c r="J978">
        <v>0</v>
      </c>
      <c r="K978">
        <v>0</v>
      </c>
      <c r="L978">
        <f t="shared" si="31"/>
        <v>0</v>
      </c>
    </row>
    <row r="979" spans="1:12">
      <c r="A979" t="s">
        <v>3316</v>
      </c>
      <c r="B979" t="s">
        <v>1078</v>
      </c>
      <c r="C979" t="s">
        <v>2810</v>
      </c>
      <c r="D979" t="s">
        <v>2812</v>
      </c>
      <c r="E979">
        <v>14</v>
      </c>
      <c r="F979">
        <v>0</v>
      </c>
      <c r="G979">
        <v>0</v>
      </c>
      <c r="H979">
        <f t="shared" si="30"/>
        <v>14</v>
      </c>
      <c r="I979">
        <v>0</v>
      </c>
      <c r="J979">
        <v>0</v>
      </c>
      <c r="K979">
        <v>0</v>
      </c>
      <c r="L979">
        <f t="shared" si="31"/>
        <v>0</v>
      </c>
    </row>
    <row r="980" spans="1:12">
      <c r="A980" t="s">
        <v>3316</v>
      </c>
      <c r="B980" t="s">
        <v>1078</v>
      </c>
      <c r="C980" t="s">
        <v>2810</v>
      </c>
      <c r="D980" t="s">
        <v>2813</v>
      </c>
      <c r="E980">
        <v>44</v>
      </c>
      <c r="F980">
        <v>0</v>
      </c>
      <c r="G980">
        <v>0</v>
      </c>
      <c r="H980">
        <f t="shared" si="30"/>
        <v>44</v>
      </c>
      <c r="I980">
        <v>2</v>
      </c>
      <c r="J980">
        <v>0</v>
      </c>
      <c r="K980">
        <v>0</v>
      </c>
      <c r="L980">
        <f t="shared" si="31"/>
        <v>2</v>
      </c>
    </row>
    <row r="981" spans="1:12">
      <c r="A981" t="s">
        <v>3316</v>
      </c>
      <c r="B981" t="s">
        <v>1078</v>
      </c>
      <c r="C981" t="s">
        <v>2810</v>
      </c>
      <c r="D981" t="s">
        <v>2847</v>
      </c>
      <c r="E981">
        <v>11</v>
      </c>
      <c r="F981">
        <v>0</v>
      </c>
      <c r="G981">
        <v>0</v>
      </c>
      <c r="H981">
        <f t="shared" si="30"/>
        <v>11</v>
      </c>
      <c r="I981">
        <v>0</v>
      </c>
      <c r="J981">
        <v>0</v>
      </c>
      <c r="K981">
        <v>0</v>
      </c>
      <c r="L981">
        <f t="shared" si="31"/>
        <v>0</v>
      </c>
    </row>
    <row r="982" spans="1:12">
      <c r="A982" t="s">
        <v>3316</v>
      </c>
      <c r="B982" t="s">
        <v>1078</v>
      </c>
      <c r="C982" t="s">
        <v>2810</v>
      </c>
      <c r="D982" t="s">
        <v>2815</v>
      </c>
      <c r="E982">
        <v>23</v>
      </c>
      <c r="F982">
        <v>0</v>
      </c>
      <c r="G982">
        <v>0</v>
      </c>
      <c r="H982">
        <f t="shared" si="30"/>
        <v>23</v>
      </c>
      <c r="I982">
        <v>11</v>
      </c>
      <c r="J982">
        <v>0</v>
      </c>
      <c r="K982">
        <v>0</v>
      </c>
      <c r="L982">
        <f t="shared" si="31"/>
        <v>11</v>
      </c>
    </row>
    <row r="983" spans="1:12">
      <c r="A983" t="s">
        <v>3316</v>
      </c>
      <c r="B983" t="s">
        <v>1078</v>
      </c>
      <c r="C983" t="s">
        <v>2816</v>
      </c>
      <c r="D983" t="s">
        <v>1897</v>
      </c>
      <c r="E983">
        <v>60</v>
      </c>
      <c r="F983">
        <v>0</v>
      </c>
      <c r="G983">
        <v>0</v>
      </c>
      <c r="H983">
        <f t="shared" si="30"/>
        <v>60</v>
      </c>
      <c r="I983">
        <v>0</v>
      </c>
      <c r="J983">
        <v>0</v>
      </c>
      <c r="K983">
        <v>0</v>
      </c>
      <c r="L983">
        <f t="shared" si="31"/>
        <v>0</v>
      </c>
    </row>
    <row r="984" spans="1:12">
      <c r="A984" t="s">
        <v>3316</v>
      </c>
      <c r="B984" t="s">
        <v>1078</v>
      </c>
      <c r="C984" t="s">
        <v>2816</v>
      </c>
      <c r="D984" t="s">
        <v>2848</v>
      </c>
      <c r="E984">
        <v>11</v>
      </c>
      <c r="F984">
        <v>0</v>
      </c>
      <c r="G984">
        <v>0</v>
      </c>
      <c r="H984">
        <f t="shared" si="30"/>
        <v>11</v>
      </c>
      <c r="I984">
        <v>0</v>
      </c>
      <c r="J984">
        <v>0</v>
      </c>
      <c r="K984">
        <v>0</v>
      </c>
      <c r="L984">
        <f t="shared" si="31"/>
        <v>0</v>
      </c>
    </row>
    <row r="985" spans="1:12">
      <c r="A985" t="s">
        <v>3316</v>
      </c>
      <c r="B985" t="s">
        <v>1078</v>
      </c>
      <c r="C985" t="s">
        <v>2826</v>
      </c>
      <c r="D985" t="s">
        <v>2827</v>
      </c>
      <c r="E985">
        <v>0</v>
      </c>
      <c r="F985">
        <v>0</v>
      </c>
      <c r="G985">
        <v>0</v>
      </c>
      <c r="H985">
        <f t="shared" si="30"/>
        <v>0</v>
      </c>
      <c r="I985">
        <v>1</v>
      </c>
      <c r="J985">
        <v>0</v>
      </c>
      <c r="K985">
        <v>0</v>
      </c>
      <c r="L985">
        <f t="shared" si="31"/>
        <v>1</v>
      </c>
    </row>
    <row r="986" spans="1:12">
      <c r="A986" t="s">
        <v>3316</v>
      </c>
      <c r="B986" t="s">
        <v>1078</v>
      </c>
      <c r="C986" t="s">
        <v>2826</v>
      </c>
      <c r="D986" t="s">
        <v>2849</v>
      </c>
      <c r="E986">
        <v>0</v>
      </c>
      <c r="F986">
        <v>0</v>
      </c>
      <c r="G986">
        <v>0</v>
      </c>
      <c r="H986">
        <f t="shared" si="30"/>
        <v>0</v>
      </c>
      <c r="I986">
        <v>1</v>
      </c>
      <c r="J986">
        <v>0</v>
      </c>
      <c r="K986">
        <v>0</v>
      </c>
      <c r="L986">
        <f t="shared" si="31"/>
        <v>1</v>
      </c>
    </row>
    <row r="987" spans="1:12">
      <c r="A987" t="s">
        <v>3316</v>
      </c>
      <c r="B987" t="s">
        <v>1078</v>
      </c>
      <c r="C987" t="s">
        <v>2817</v>
      </c>
      <c r="D987" t="s">
        <v>2888</v>
      </c>
      <c r="E987">
        <v>7</v>
      </c>
      <c r="F987">
        <v>0</v>
      </c>
      <c r="G987">
        <v>0</v>
      </c>
      <c r="H987">
        <f t="shared" si="30"/>
        <v>7</v>
      </c>
      <c r="I987">
        <v>0</v>
      </c>
      <c r="J987">
        <v>0</v>
      </c>
      <c r="K987">
        <v>0</v>
      </c>
      <c r="L987">
        <f t="shared" si="31"/>
        <v>0</v>
      </c>
    </row>
    <row r="988" spans="1:12">
      <c r="A988" t="s">
        <v>3316</v>
      </c>
      <c r="B988" t="s">
        <v>1078</v>
      </c>
      <c r="C988" t="s">
        <v>2817</v>
      </c>
      <c r="D988" t="s">
        <v>2818</v>
      </c>
      <c r="E988">
        <v>16</v>
      </c>
      <c r="F988">
        <v>0</v>
      </c>
      <c r="G988">
        <v>0</v>
      </c>
      <c r="H988">
        <f t="shared" si="30"/>
        <v>16</v>
      </c>
      <c r="I988">
        <v>0</v>
      </c>
      <c r="J988">
        <v>0</v>
      </c>
      <c r="K988">
        <v>0</v>
      </c>
      <c r="L988">
        <f t="shared" si="31"/>
        <v>0</v>
      </c>
    </row>
    <row r="989" spans="1:12">
      <c r="A989" t="s">
        <v>3316</v>
      </c>
      <c r="B989" t="s">
        <v>1078</v>
      </c>
      <c r="C989" t="s">
        <v>2817</v>
      </c>
      <c r="D989" t="s">
        <v>2837</v>
      </c>
      <c r="E989">
        <v>13</v>
      </c>
      <c r="F989">
        <v>0</v>
      </c>
      <c r="G989">
        <v>0</v>
      </c>
      <c r="H989">
        <f t="shared" si="30"/>
        <v>13</v>
      </c>
      <c r="I989">
        <v>0</v>
      </c>
      <c r="J989">
        <v>0</v>
      </c>
      <c r="K989">
        <v>0</v>
      </c>
      <c r="L989">
        <f t="shared" si="31"/>
        <v>0</v>
      </c>
    </row>
    <row r="990" spans="1:12">
      <c r="A990" t="s">
        <v>3316</v>
      </c>
      <c r="B990" t="s">
        <v>1078</v>
      </c>
      <c r="C990" t="s">
        <v>2817</v>
      </c>
      <c r="D990" t="s">
        <v>2819</v>
      </c>
      <c r="E990">
        <v>6</v>
      </c>
      <c r="F990">
        <v>0</v>
      </c>
      <c r="G990">
        <v>0</v>
      </c>
      <c r="H990">
        <f t="shared" si="30"/>
        <v>6</v>
      </c>
      <c r="I990">
        <v>0</v>
      </c>
      <c r="J990">
        <v>0</v>
      </c>
      <c r="K990">
        <v>0</v>
      </c>
      <c r="L990">
        <f t="shared" si="31"/>
        <v>0</v>
      </c>
    </row>
    <row r="991" spans="1:12">
      <c r="A991" t="s">
        <v>3316</v>
      </c>
      <c r="B991" t="s">
        <v>1078</v>
      </c>
      <c r="C991" t="s">
        <v>2817</v>
      </c>
      <c r="D991" t="s">
        <v>2909</v>
      </c>
      <c r="E991">
        <v>7</v>
      </c>
      <c r="F991">
        <v>0</v>
      </c>
      <c r="G991">
        <v>0</v>
      </c>
      <c r="H991">
        <f t="shared" si="30"/>
        <v>7</v>
      </c>
      <c r="I991">
        <v>0</v>
      </c>
      <c r="J991">
        <v>0</v>
      </c>
      <c r="K991">
        <v>0</v>
      </c>
      <c r="L991">
        <f t="shared" si="31"/>
        <v>0</v>
      </c>
    </row>
    <row r="992" spans="1:12">
      <c r="A992" t="s">
        <v>3319</v>
      </c>
      <c r="B992" t="s">
        <v>1080</v>
      </c>
      <c r="C992" t="s">
        <v>2805</v>
      </c>
      <c r="D992" t="s">
        <v>2806</v>
      </c>
      <c r="E992">
        <v>20</v>
      </c>
      <c r="F992">
        <v>0</v>
      </c>
      <c r="G992">
        <v>0</v>
      </c>
      <c r="H992">
        <f t="shared" si="30"/>
        <v>20</v>
      </c>
      <c r="I992">
        <v>0</v>
      </c>
      <c r="J992">
        <v>0</v>
      </c>
      <c r="K992">
        <v>0</v>
      </c>
      <c r="L992">
        <f t="shared" si="31"/>
        <v>0</v>
      </c>
    </row>
    <row r="993" spans="1:12">
      <c r="A993" t="s">
        <v>3319</v>
      </c>
      <c r="B993" t="s">
        <v>1080</v>
      </c>
      <c r="C993" t="s">
        <v>2805</v>
      </c>
      <c r="D993" t="s">
        <v>449</v>
      </c>
      <c r="E993">
        <v>85</v>
      </c>
      <c r="F993">
        <v>0</v>
      </c>
      <c r="G993">
        <v>0</v>
      </c>
      <c r="H993">
        <f t="shared" si="30"/>
        <v>85</v>
      </c>
      <c r="I993">
        <v>0</v>
      </c>
      <c r="J993">
        <v>0</v>
      </c>
      <c r="K993">
        <v>0</v>
      </c>
      <c r="L993">
        <f t="shared" si="31"/>
        <v>0</v>
      </c>
    </row>
    <row r="994" spans="1:12">
      <c r="A994" t="s">
        <v>3319</v>
      </c>
      <c r="B994" t="s">
        <v>1080</v>
      </c>
      <c r="C994" t="s">
        <v>2805</v>
      </c>
      <c r="D994" t="s">
        <v>2807</v>
      </c>
      <c r="E994">
        <v>26</v>
      </c>
      <c r="F994">
        <v>0</v>
      </c>
      <c r="G994">
        <v>0</v>
      </c>
      <c r="H994">
        <f t="shared" si="30"/>
        <v>26</v>
      </c>
      <c r="I994">
        <v>0</v>
      </c>
      <c r="J994">
        <v>0</v>
      </c>
      <c r="K994">
        <v>0</v>
      </c>
      <c r="L994">
        <f t="shared" si="31"/>
        <v>0</v>
      </c>
    </row>
    <row r="995" spans="1:12">
      <c r="A995" t="s">
        <v>3319</v>
      </c>
      <c r="B995" t="s">
        <v>1080</v>
      </c>
      <c r="C995" t="s">
        <v>2805</v>
      </c>
      <c r="D995" t="s">
        <v>2863</v>
      </c>
      <c r="E995">
        <v>8</v>
      </c>
      <c r="F995">
        <v>0</v>
      </c>
      <c r="G995">
        <v>0</v>
      </c>
      <c r="H995">
        <f t="shared" si="30"/>
        <v>8</v>
      </c>
      <c r="I995">
        <v>0</v>
      </c>
      <c r="J995">
        <v>0</v>
      </c>
      <c r="K995">
        <v>0</v>
      </c>
      <c r="L995">
        <f t="shared" si="31"/>
        <v>0</v>
      </c>
    </row>
    <row r="996" spans="1:12">
      <c r="A996" t="s">
        <v>3319</v>
      </c>
      <c r="B996" t="s">
        <v>1080</v>
      </c>
      <c r="C996" t="s">
        <v>2810</v>
      </c>
      <c r="D996" t="s">
        <v>2813</v>
      </c>
      <c r="E996">
        <v>3</v>
      </c>
      <c r="F996">
        <v>0</v>
      </c>
      <c r="G996">
        <v>0</v>
      </c>
      <c r="H996">
        <f t="shared" si="30"/>
        <v>3</v>
      </c>
      <c r="I996">
        <v>0</v>
      </c>
      <c r="J996">
        <v>0</v>
      </c>
      <c r="K996">
        <v>0</v>
      </c>
      <c r="L996">
        <f t="shared" si="31"/>
        <v>0</v>
      </c>
    </row>
    <row r="997" spans="1:12">
      <c r="A997" t="s">
        <v>3319</v>
      </c>
      <c r="B997" t="s">
        <v>1080</v>
      </c>
      <c r="C997" t="s">
        <v>2810</v>
      </c>
      <c r="D997" t="s">
        <v>2815</v>
      </c>
      <c r="E997">
        <v>10</v>
      </c>
      <c r="F997">
        <v>0</v>
      </c>
      <c r="G997">
        <v>0</v>
      </c>
      <c r="H997">
        <f t="shared" si="30"/>
        <v>10</v>
      </c>
      <c r="I997">
        <v>0</v>
      </c>
      <c r="J997">
        <v>0</v>
      </c>
      <c r="K997">
        <v>0</v>
      </c>
      <c r="L997">
        <f t="shared" si="31"/>
        <v>0</v>
      </c>
    </row>
    <row r="998" spans="1:12">
      <c r="A998" t="s">
        <v>3319</v>
      </c>
      <c r="B998" t="s">
        <v>1080</v>
      </c>
      <c r="C998" t="s">
        <v>2816</v>
      </c>
      <c r="D998" t="s">
        <v>1897</v>
      </c>
      <c r="E998">
        <v>4</v>
      </c>
      <c r="F998">
        <v>0</v>
      </c>
      <c r="G998">
        <v>0</v>
      </c>
      <c r="H998">
        <f t="shared" si="30"/>
        <v>4</v>
      </c>
      <c r="I998">
        <v>0</v>
      </c>
      <c r="J998">
        <v>0</v>
      </c>
      <c r="K998">
        <v>0</v>
      </c>
      <c r="L998">
        <f t="shared" si="31"/>
        <v>0</v>
      </c>
    </row>
    <row r="999" spans="1:12">
      <c r="A999" t="s">
        <v>3319</v>
      </c>
      <c r="B999" t="s">
        <v>1080</v>
      </c>
      <c r="C999" t="s">
        <v>2826</v>
      </c>
      <c r="D999" t="s">
        <v>2891</v>
      </c>
      <c r="E999">
        <v>1</v>
      </c>
      <c r="F999">
        <v>0</v>
      </c>
      <c r="G999">
        <v>0</v>
      </c>
      <c r="H999">
        <f t="shared" si="30"/>
        <v>1</v>
      </c>
      <c r="I999">
        <v>0</v>
      </c>
      <c r="J999">
        <v>0</v>
      </c>
      <c r="K999">
        <v>0</v>
      </c>
      <c r="L999">
        <f t="shared" si="31"/>
        <v>0</v>
      </c>
    </row>
    <row r="1000" spans="1:12">
      <c r="A1000" t="s">
        <v>3319</v>
      </c>
      <c r="B1000" t="s">
        <v>1080</v>
      </c>
      <c r="C1000" t="s">
        <v>2826</v>
      </c>
      <c r="D1000" t="s">
        <v>2858</v>
      </c>
      <c r="E1000">
        <v>4</v>
      </c>
      <c r="F1000">
        <v>0</v>
      </c>
      <c r="G1000">
        <v>0</v>
      </c>
      <c r="H1000">
        <f t="shared" si="30"/>
        <v>4</v>
      </c>
      <c r="I1000">
        <v>0</v>
      </c>
      <c r="J1000">
        <v>0</v>
      </c>
      <c r="K1000">
        <v>0</v>
      </c>
      <c r="L1000">
        <f t="shared" si="31"/>
        <v>0</v>
      </c>
    </row>
    <row r="1001" spans="1:12">
      <c r="A1001" t="s">
        <v>3319</v>
      </c>
      <c r="B1001" t="s">
        <v>1080</v>
      </c>
      <c r="C1001" t="s">
        <v>2826</v>
      </c>
      <c r="D1001" t="s">
        <v>2843</v>
      </c>
      <c r="E1001">
        <v>3</v>
      </c>
      <c r="F1001">
        <v>0</v>
      </c>
      <c r="G1001">
        <v>0</v>
      </c>
      <c r="H1001">
        <f t="shared" si="30"/>
        <v>3</v>
      </c>
      <c r="I1001">
        <v>0</v>
      </c>
      <c r="J1001">
        <v>0</v>
      </c>
      <c r="K1001">
        <v>0</v>
      </c>
      <c r="L1001">
        <f t="shared" si="31"/>
        <v>0</v>
      </c>
    </row>
    <row r="1002" spans="1:12">
      <c r="A1002" t="s">
        <v>3319</v>
      </c>
      <c r="B1002" t="s">
        <v>1080</v>
      </c>
      <c r="C1002" t="s">
        <v>2826</v>
      </c>
      <c r="D1002" t="s">
        <v>2884</v>
      </c>
      <c r="E1002">
        <v>2</v>
      </c>
      <c r="F1002">
        <v>0</v>
      </c>
      <c r="G1002">
        <v>0</v>
      </c>
      <c r="H1002">
        <f t="shared" si="30"/>
        <v>2</v>
      </c>
      <c r="I1002">
        <v>0</v>
      </c>
      <c r="J1002">
        <v>0</v>
      </c>
      <c r="K1002">
        <v>0</v>
      </c>
      <c r="L1002">
        <f t="shared" si="31"/>
        <v>0</v>
      </c>
    </row>
    <row r="1003" spans="1:12">
      <c r="A1003" t="s">
        <v>3319</v>
      </c>
      <c r="B1003" t="s">
        <v>1080</v>
      </c>
      <c r="C1003" t="s">
        <v>2817</v>
      </c>
      <c r="D1003" t="s">
        <v>2888</v>
      </c>
      <c r="E1003">
        <v>2</v>
      </c>
      <c r="F1003">
        <v>0</v>
      </c>
      <c r="G1003">
        <v>0</v>
      </c>
      <c r="H1003">
        <f t="shared" si="30"/>
        <v>2</v>
      </c>
      <c r="I1003">
        <v>0</v>
      </c>
      <c r="J1003">
        <v>0</v>
      </c>
      <c r="K1003">
        <v>0</v>
      </c>
      <c r="L1003">
        <f t="shared" si="31"/>
        <v>0</v>
      </c>
    </row>
    <row r="1004" spans="1:12">
      <c r="A1004" t="s">
        <v>3319</v>
      </c>
      <c r="B1004" t="s">
        <v>1080</v>
      </c>
      <c r="C1004" t="s">
        <v>2817</v>
      </c>
      <c r="D1004" t="s">
        <v>2877</v>
      </c>
      <c r="E1004">
        <v>1</v>
      </c>
      <c r="F1004">
        <v>0</v>
      </c>
      <c r="G1004">
        <v>0</v>
      </c>
      <c r="H1004">
        <f t="shared" si="30"/>
        <v>1</v>
      </c>
      <c r="I1004">
        <v>0</v>
      </c>
      <c r="J1004">
        <v>0</v>
      </c>
      <c r="K1004">
        <v>0</v>
      </c>
      <c r="L1004">
        <f t="shared" si="31"/>
        <v>0</v>
      </c>
    </row>
    <row r="1005" spans="1:12">
      <c r="A1005" t="s">
        <v>3319</v>
      </c>
      <c r="B1005" t="s">
        <v>1080</v>
      </c>
      <c r="C1005" t="s">
        <v>2817</v>
      </c>
      <c r="D1005" t="s">
        <v>2837</v>
      </c>
      <c r="E1005">
        <v>3</v>
      </c>
      <c r="F1005">
        <v>0</v>
      </c>
      <c r="G1005">
        <v>0</v>
      </c>
      <c r="H1005">
        <f t="shared" si="30"/>
        <v>3</v>
      </c>
      <c r="I1005">
        <v>0</v>
      </c>
      <c r="J1005">
        <v>0</v>
      </c>
      <c r="K1005">
        <v>0</v>
      </c>
      <c r="L1005">
        <f t="shared" si="31"/>
        <v>0</v>
      </c>
    </row>
    <row r="1006" spans="1:12">
      <c r="A1006" t="s">
        <v>3319</v>
      </c>
      <c r="B1006" t="s">
        <v>1080</v>
      </c>
      <c r="C1006" t="s">
        <v>2820</v>
      </c>
      <c r="D1006" t="s">
        <v>2821</v>
      </c>
      <c r="E1006">
        <v>3</v>
      </c>
      <c r="F1006">
        <v>0</v>
      </c>
      <c r="G1006">
        <v>0</v>
      </c>
      <c r="H1006">
        <f t="shared" si="30"/>
        <v>3</v>
      </c>
      <c r="I1006">
        <v>0</v>
      </c>
      <c r="J1006">
        <v>0</v>
      </c>
      <c r="K1006">
        <v>0</v>
      </c>
      <c r="L1006">
        <f t="shared" si="31"/>
        <v>0</v>
      </c>
    </row>
    <row r="1007" spans="1:12">
      <c r="A1007" t="s">
        <v>3330</v>
      </c>
      <c r="B1007" t="s">
        <v>3331</v>
      </c>
      <c r="C1007" t="s">
        <v>2805</v>
      </c>
      <c r="D1007" t="s">
        <v>2806</v>
      </c>
      <c r="E1007">
        <v>146</v>
      </c>
      <c r="F1007">
        <v>0</v>
      </c>
      <c r="G1007">
        <v>0</v>
      </c>
      <c r="H1007">
        <f t="shared" si="30"/>
        <v>146</v>
      </c>
      <c r="I1007">
        <v>50</v>
      </c>
      <c r="J1007">
        <v>0</v>
      </c>
      <c r="K1007">
        <v>0</v>
      </c>
      <c r="L1007">
        <f t="shared" si="31"/>
        <v>50</v>
      </c>
    </row>
    <row r="1008" spans="1:12">
      <c r="A1008" t="s">
        <v>3330</v>
      </c>
      <c r="B1008" t="s">
        <v>3331</v>
      </c>
      <c r="C1008" t="s">
        <v>2805</v>
      </c>
      <c r="D1008" t="s">
        <v>449</v>
      </c>
      <c r="E1008">
        <v>299</v>
      </c>
      <c r="F1008">
        <v>0</v>
      </c>
      <c r="G1008">
        <v>0</v>
      </c>
      <c r="H1008">
        <f t="shared" si="30"/>
        <v>299</v>
      </c>
      <c r="I1008">
        <v>109</v>
      </c>
      <c r="J1008">
        <v>0</v>
      </c>
      <c r="K1008">
        <v>0</v>
      </c>
      <c r="L1008">
        <f t="shared" si="31"/>
        <v>109</v>
      </c>
    </row>
    <row r="1009" spans="1:12">
      <c r="A1009" t="s">
        <v>3330</v>
      </c>
      <c r="B1009" t="s">
        <v>3331</v>
      </c>
      <c r="C1009" t="s">
        <v>2805</v>
      </c>
      <c r="D1009" t="s">
        <v>2807</v>
      </c>
      <c r="E1009">
        <v>11</v>
      </c>
      <c r="F1009">
        <v>0</v>
      </c>
      <c r="G1009">
        <v>0</v>
      </c>
      <c r="H1009">
        <f t="shared" si="30"/>
        <v>11</v>
      </c>
      <c r="I1009">
        <v>1</v>
      </c>
      <c r="J1009">
        <v>0</v>
      </c>
      <c r="K1009">
        <v>0</v>
      </c>
      <c r="L1009">
        <f t="shared" si="31"/>
        <v>1</v>
      </c>
    </row>
    <row r="1010" spans="1:12">
      <c r="A1010" t="s">
        <v>3330</v>
      </c>
      <c r="B1010" t="s">
        <v>3331</v>
      </c>
      <c r="C1010" t="s">
        <v>2805</v>
      </c>
      <c r="D1010" t="s">
        <v>2809</v>
      </c>
      <c r="E1010">
        <v>19</v>
      </c>
      <c r="F1010">
        <v>0</v>
      </c>
      <c r="G1010">
        <v>0</v>
      </c>
      <c r="H1010">
        <f t="shared" si="30"/>
        <v>19</v>
      </c>
      <c r="I1010">
        <v>17</v>
      </c>
      <c r="J1010">
        <v>0</v>
      </c>
      <c r="K1010">
        <v>0</v>
      </c>
      <c r="L1010">
        <f t="shared" si="31"/>
        <v>17</v>
      </c>
    </row>
    <row r="1011" spans="1:12">
      <c r="A1011" t="s">
        <v>3330</v>
      </c>
      <c r="B1011" t="s">
        <v>3331</v>
      </c>
      <c r="C1011" t="s">
        <v>2810</v>
      </c>
      <c r="D1011" t="s">
        <v>2811</v>
      </c>
      <c r="E1011">
        <v>100</v>
      </c>
      <c r="F1011">
        <v>0</v>
      </c>
      <c r="G1011">
        <v>0</v>
      </c>
      <c r="H1011">
        <f t="shared" si="30"/>
        <v>100</v>
      </c>
      <c r="I1011">
        <v>10</v>
      </c>
      <c r="J1011">
        <v>0</v>
      </c>
      <c r="K1011">
        <v>0</v>
      </c>
      <c r="L1011">
        <f t="shared" si="31"/>
        <v>10</v>
      </c>
    </row>
    <row r="1012" spans="1:12">
      <c r="A1012" t="s">
        <v>3330</v>
      </c>
      <c r="B1012" t="s">
        <v>3331</v>
      </c>
      <c r="C1012" t="s">
        <v>2810</v>
      </c>
      <c r="D1012" t="s">
        <v>1892</v>
      </c>
      <c r="E1012">
        <v>2</v>
      </c>
      <c r="F1012">
        <v>0</v>
      </c>
      <c r="G1012">
        <v>0</v>
      </c>
      <c r="H1012">
        <f t="shared" si="30"/>
        <v>2</v>
      </c>
      <c r="I1012">
        <v>1</v>
      </c>
      <c r="J1012">
        <v>10</v>
      </c>
      <c r="K1012">
        <v>0</v>
      </c>
      <c r="L1012">
        <f t="shared" si="31"/>
        <v>11</v>
      </c>
    </row>
    <row r="1013" spans="1:12">
      <c r="A1013" t="s">
        <v>3330</v>
      </c>
      <c r="B1013" t="s">
        <v>3331</v>
      </c>
      <c r="C1013" t="s">
        <v>2810</v>
      </c>
      <c r="D1013" t="s">
        <v>2823</v>
      </c>
      <c r="E1013">
        <v>2</v>
      </c>
      <c r="F1013">
        <v>4</v>
      </c>
      <c r="G1013">
        <v>0</v>
      </c>
      <c r="H1013">
        <f t="shared" si="30"/>
        <v>6</v>
      </c>
      <c r="I1013">
        <v>0</v>
      </c>
      <c r="J1013">
        <v>9</v>
      </c>
      <c r="K1013">
        <v>0</v>
      </c>
      <c r="L1013">
        <f t="shared" si="31"/>
        <v>9</v>
      </c>
    </row>
    <row r="1014" spans="1:12">
      <c r="A1014" t="s">
        <v>3330</v>
      </c>
      <c r="B1014" t="s">
        <v>3331</v>
      </c>
      <c r="C1014" t="s">
        <v>2810</v>
      </c>
      <c r="D1014" t="s">
        <v>2812</v>
      </c>
      <c r="E1014">
        <v>58</v>
      </c>
      <c r="F1014">
        <v>0</v>
      </c>
      <c r="G1014">
        <v>0</v>
      </c>
      <c r="H1014">
        <f t="shared" si="30"/>
        <v>58</v>
      </c>
      <c r="I1014">
        <v>39</v>
      </c>
      <c r="J1014">
        <v>0</v>
      </c>
      <c r="K1014">
        <v>0</v>
      </c>
      <c r="L1014">
        <f t="shared" si="31"/>
        <v>39</v>
      </c>
    </row>
    <row r="1015" spans="1:12">
      <c r="A1015" t="s">
        <v>3330</v>
      </c>
      <c r="B1015" t="s">
        <v>3331</v>
      </c>
      <c r="C1015" t="s">
        <v>2810</v>
      </c>
      <c r="D1015" t="s">
        <v>2813</v>
      </c>
      <c r="E1015">
        <v>82</v>
      </c>
      <c r="F1015">
        <v>0</v>
      </c>
      <c r="G1015">
        <v>0</v>
      </c>
      <c r="H1015">
        <f t="shared" si="30"/>
        <v>82</v>
      </c>
      <c r="I1015">
        <v>24</v>
      </c>
      <c r="J1015">
        <v>0</v>
      </c>
      <c r="K1015">
        <v>0</v>
      </c>
      <c r="L1015">
        <f t="shared" si="31"/>
        <v>24</v>
      </c>
    </row>
    <row r="1016" spans="1:12">
      <c r="A1016" t="s">
        <v>3330</v>
      </c>
      <c r="B1016" t="s">
        <v>3331</v>
      </c>
      <c r="C1016" t="s">
        <v>2810</v>
      </c>
      <c r="D1016" t="s">
        <v>2814</v>
      </c>
      <c r="E1016">
        <v>3</v>
      </c>
      <c r="F1016">
        <v>0</v>
      </c>
      <c r="G1016">
        <v>0</v>
      </c>
      <c r="H1016">
        <f t="shared" si="30"/>
        <v>3</v>
      </c>
      <c r="I1016">
        <v>0</v>
      </c>
      <c r="J1016">
        <v>0</v>
      </c>
      <c r="K1016">
        <v>0</v>
      </c>
      <c r="L1016">
        <f t="shared" si="31"/>
        <v>0</v>
      </c>
    </row>
    <row r="1017" spans="1:12">
      <c r="A1017" t="s">
        <v>3330</v>
      </c>
      <c r="B1017" t="s">
        <v>3331</v>
      </c>
      <c r="C1017" t="s">
        <v>2810</v>
      </c>
      <c r="D1017" t="s">
        <v>2897</v>
      </c>
      <c r="E1017">
        <v>0</v>
      </c>
      <c r="F1017">
        <v>0</v>
      </c>
      <c r="G1017">
        <v>0</v>
      </c>
      <c r="H1017">
        <f t="shared" si="30"/>
        <v>0</v>
      </c>
      <c r="I1017">
        <v>1</v>
      </c>
      <c r="J1017">
        <v>0</v>
      </c>
      <c r="K1017">
        <v>0</v>
      </c>
      <c r="L1017">
        <f t="shared" si="31"/>
        <v>1</v>
      </c>
    </row>
    <row r="1018" spans="1:12">
      <c r="A1018" t="s">
        <v>3330</v>
      </c>
      <c r="B1018" t="s">
        <v>3331</v>
      </c>
      <c r="C1018" t="s">
        <v>2810</v>
      </c>
      <c r="D1018" t="s">
        <v>2815</v>
      </c>
      <c r="E1018">
        <v>5</v>
      </c>
      <c r="F1018">
        <v>1</v>
      </c>
      <c r="G1018">
        <v>0</v>
      </c>
      <c r="H1018">
        <f t="shared" si="30"/>
        <v>6</v>
      </c>
      <c r="I1018">
        <v>2</v>
      </c>
      <c r="J1018">
        <v>0</v>
      </c>
      <c r="K1018">
        <v>0</v>
      </c>
      <c r="L1018">
        <f t="shared" si="31"/>
        <v>2</v>
      </c>
    </row>
    <row r="1019" spans="1:12">
      <c r="A1019" t="s">
        <v>3330</v>
      </c>
      <c r="B1019" t="s">
        <v>3331</v>
      </c>
      <c r="C1019" t="s">
        <v>2816</v>
      </c>
      <c r="D1019" t="s">
        <v>1897</v>
      </c>
      <c r="E1019">
        <v>15</v>
      </c>
      <c r="F1019">
        <v>0</v>
      </c>
      <c r="G1019">
        <v>0</v>
      </c>
      <c r="H1019">
        <f t="shared" si="30"/>
        <v>15</v>
      </c>
      <c r="I1019">
        <v>14</v>
      </c>
      <c r="J1019">
        <v>0</v>
      </c>
      <c r="K1019">
        <v>0</v>
      </c>
      <c r="L1019">
        <f t="shared" si="31"/>
        <v>14</v>
      </c>
    </row>
    <row r="1020" spans="1:12">
      <c r="A1020" t="s">
        <v>3330</v>
      </c>
      <c r="B1020" t="s">
        <v>3331</v>
      </c>
      <c r="C1020" t="s">
        <v>2826</v>
      </c>
      <c r="D1020" t="s">
        <v>2827</v>
      </c>
      <c r="E1020">
        <v>0</v>
      </c>
      <c r="F1020">
        <v>0</v>
      </c>
      <c r="G1020">
        <v>0</v>
      </c>
      <c r="H1020">
        <f t="shared" si="30"/>
        <v>0</v>
      </c>
      <c r="I1020">
        <v>1</v>
      </c>
      <c r="J1020">
        <v>0</v>
      </c>
      <c r="K1020">
        <v>0</v>
      </c>
      <c r="L1020">
        <f t="shared" si="31"/>
        <v>1</v>
      </c>
    </row>
    <row r="1021" spans="1:12">
      <c r="A1021" t="s">
        <v>3330</v>
      </c>
      <c r="B1021" t="s">
        <v>3331</v>
      </c>
      <c r="C1021" t="s">
        <v>2826</v>
      </c>
      <c r="D1021" t="s">
        <v>2843</v>
      </c>
      <c r="E1021">
        <v>0</v>
      </c>
      <c r="F1021">
        <v>0</v>
      </c>
      <c r="G1021">
        <v>0</v>
      </c>
      <c r="H1021">
        <f t="shared" si="30"/>
        <v>0</v>
      </c>
      <c r="I1021">
        <v>1</v>
      </c>
      <c r="J1021">
        <v>0</v>
      </c>
      <c r="K1021">
        <v>0</v>
      </c>
      <c r="L1021">
        <f t="shared" si="31"/>
        <v>1</v>
      </c>
    </row>
    <row r="1022" spans="1:12">
      <c r="A1022" t="s">
        <v>3330</v>
      </c>
      <c r="B1022" t="s">
        <v>3331</v>
      </c>
      <c r="C1022" t="s">
        <v>2826</v>
      </c>
      <c r="D1022" t="s">
        <v>2834</v>
      </c>
      <c r="E1022">
        <v>0</v>
      </c>
      <c r="F1022">
        <v>0</v>
      </c>
      <c r="G1022">
        <v>0</v>
      </c>
      <c r="H1022">
        <f t="shared" si="30"/>
        <v>0</v>
      </c>
      <c r="I1022">
        <v>3</v>
      </c>
      <c r="J1022">
        <v>0</v>
      </c>
      <c r="K1022">
        <v>0</v>
      </c>
      <c r="L1022">
        <f t="shared" si="31"/>
        <v>3</v>
      </c>
    </row>
    <row r="1023" spans="1:12">
      <c r="A1023" t="s">
        <v>3330</v>
      </c>
      <c r="B1023" t="s">
        <v>3331</v>
      </c>
      <c r="C1023" t="s">
        <v>2826</v>
      </c>
      <c r="D1023" t="s">
        <v>2849</v>
      </c>
      <c r="E1023">
        <v>0</v>
      </c>
      <c r="F1023">
        <v>0</v>
      </c>
      <c r="G1023">
        <v>0</v>
      </c>
      <c r="H1023">
        <f t="shared" si="30"/>
        <v>0</v>
      </c>
      <c r="I1023">
        <v>1</v>
      </c>
      <c r="J1023">
        <v>0</v>
      </c>
      <c r="K1023">
        <v>0</v>
      </c>
      <c r="L1023">
        <f t="shared" si="31"/>
        <v>1</v>
      </c>
    </row>
    <row r="1024" spans="1:12">
      <c r="A1024" t="s">
        <v>3330</v>
      </c>
      <c r="B1024" t="s">
        <v>3331</v>
      </c>
      <c r="C1024" t="s">
        <v>2817</v>
      </c>
      <c r="D1024" t="s">
        <v>2887</v>
      </c>
      <c r="E1024">
        <v>1</v>
      </c>
      <c r="F1024">
        <v>0</v>
      </c>
      <c r="G1024">
        <v>0</v>
      </c>
      <c r="H1024">
        <f t="shared" si="30"/>
        <v>1</v>
      </c>
      <c r="I1024">
        <v>4</v>
      </c>
      <c r="J1024">
        <v>1</v>
      </c>
      <c r="K1024">
        <v>0</v>
      </c>
      <c r="L1024">
        <f t="shared" si="31"/>
        <v>5</v>
      </c>
    </row>
    <row r="1025" spans="1:12">
      <c r="A1025" t="s">
        <v>3330</v>
      </c>
      <c r="B1025" t="s">
        <v>3331</v>
      </c>
      <c r="C1025" t="s">
        <v>2817</v>
      </c>
      <c r="D1025" t="s">
        <v>2888</v>
      </c>
      <c r="E1025">
        <v>1</v>
      </c>
      <c r="F1025">
        <v>0</v>
      </c>
      <c r="G1025">
        <v>0</v>
      </c>
      <c r="H1025">
        <f t="shared" si="30"/>
        <v>1</v>
      </c>
      <c r="I1025">
        <v>1</v>
      </c>
      <c r="J1025">
        <v>0</v>
      </c>
      <c r="K1025">
        <v>0</v>
      </c>
      <c r="L1025">
        <f t="shared" si="31"/>
        <v>1</v>
      </c>
    </row>
    <row r="1026" spans="1:12">
      <c r="A1026" t="s">
        <v>3330</v>
      </c>
      <c r="B1026" t="s">
        <v>3331</v>
      </c>
      <c r="C1026" t="s">
        <v>2817</v>
      </c>
      <c r="D1026" t="s">
        <v>2877</v>
      </c>
      <c r="E1026">
        <v>2</v>
      </c>
      <c r="F1026">
        <v>0</v>
      </c>
      <c r="G1026">
        <v>0</v>
      </c>
      <c r="H1026">
        <f t="shared" si="30"/>
        <v>2</v>
      </c>
      <c r="I1026">
        <v>1</v>
      </c>
      <c r="J1026">
        <v>0</v>
      </c>
      <c r="K1026">
        <v>0</v>
      </c>
      <c r="L1026">
        <f t="shared" si="31"/>
        <v>1</v>
      </c>
    </row>
    <row r="1027" spans="1:12">
      <c r="A1027" t="s">
        <v>3330</v>
      </c>
      <c r="B1027" t="s">
        <v>3331</v>
      </c>
      <c r="C1027" t="s">
        <v>2817</v>
      </c>
      <c r="D1027" t="s">
        <v>2818</v>
      </c>
      <c r="E1027">
        <v>4</v>
      </c>
      <c r="F1027">
        <v>0</v>
      </c>
      <c r="G1027">
        <v>0</v>
      </c>
      <c r="H1027">
        <f t="shared" si="30"/>
        <v>4</v>
      </c>
      <c r="I1027">
        <v>0</v>
      </c>
      <c r="J1027">
        <v>0</v>
      </c>
      <c r="K1027">
        <v>0</v>
      </c>
      <c r="L1027">
        <f t="shared" si="31"/>
        <v>0</v>
      </c>
    </row>
    <row r="1028" spans="1:12">
      <c r="A1028" t="s">
        <v>3330</v>
      </c>
      <c r="B1028" t="s">
        <v>3331</v>
      </c>
      <c r="C1028" t="s">
        <v>2817</v>
      </c>
      <c r="D1028" t="s">
        <v>2909</v>
      </c>
      <c r="E1028">
        <v>3</v>
      </c>
      <c r="F1028">
        <v>0</v>
      </c>
      <c r="G1028">
        <v>0</v>
      </c>
      <c r="H1028">
        <f t="shared" ref="H1028:H1091" si="32">SUM(E1028:G1028)</f>
        <v>3</v>
      </c>
      <c r="I1028">
        <v>0</v>
      </c>
      <c r="J1028">
        <v>0</v>
      </c>
      <c r="K1028">
        <v>0</v>
      </c>
      <c r="L1028">
        <f t="shared" ref="L1028:L1091" si="33">SUM(I1028:K1028)</f>
        <v>0</v>
      </c>
    </row>
    <row r="1029" spans="1:12">
      <c r="A1029" t="s">
        <v>3338</v>
      </c>
      <c r="B1029" t="s">
        <v>1100</v>
      </c>
      <c r="C1029" t="s">
        <v>2805</v>
      </c>
      <c r="D1029" t="s">
        <v>2806</v>
      </c>
      <c r="E1029">
        <v>139</v>
      </c>
      <c r="F1029">
        <v>0</v>
      </c>
      <c r="G1029">
        <v>0</v>
      </c>
      <c r="H1029">
        <f t="shared" si="32"/>
        <v>139</v>
      </c>
      <c r="I1029">
        <v>0</v>
      </c>
      <c r="J1029">
        <v>0</v>
      </c>
      <c r="K1029">
        <v>0</v>
      </c>
      <c r="L1029">
        <f t="shared" si="33"/>
        <v>0</v>
      </c>
    </row>
    <row r="1030" spans="1:12">
      <c r="A1030" t="s">
        <v>3338</v>
      </c>
      <c r="B1030" t="s">
        <v>1100</v>
      </c>
      <c r="C1030" t="s">
        <v>2805</v>
      </c>
      <c r="D1030" t="s">
        <v>449</v>
      </c>
      <c r="E1030">
        <v>283</v>
      </c>
      <c r="F1030">
        <v>0</v>
      </c>
      <c r="G1030">
        <v>0</v>
      </c>
      <c r="H1030">
        <f t="shared" si="32"/>
        <v>283</v>
      </c>
      <c r="I1030">
        <v>0</v>
      </c>
      <c r="J1030">
        <v>0</v>
      </c>
      <c r="K1030">
        <v>0</v>
      </c>
      <c r="L1030">
        <f t="shared" si="33"/>
        <v>0</v>
      </c>
    </row>
    <row r="1031" spans="1:12">
      <c r="A1031" t="s">
        <v>3338</v>
      </c>
      <c r="B1031" t="s">
        <v>1100</v>
      </c>
      <c r="C1031" t="s">
        <v>2805</v>
      </c>
      <c r="D1031" t="s">
        <v>2807</v>
      </c>
      <c r="E1031">
        <v>3</v>
      </c>
      <c r="F1031">
        <v>0</v>
      </c>
      <c r="G1031">
        <v>0</v>
      </c>
      <c r="H1031">
        <f t="shared" si="32"/>
        <v>3</v>
      </c>
      <c r="I1031">
        <v>0</v>
      </c>
      <c r="J1031">
        <v>0</v>
      </c>
      <c r="K1031">
        <v>0</v>
      </c>
      <c r="L1031">
        <f t="shared" si="33"/>
        <v>0</v>
      </c>
    </row>
    <row r="1032" spans="1:12">
      <c r="A1032" t="s">
        <v>3338</v>
      </c>
      <c r="B1032" t="s">
        <v>1100</v>
      </c>
      <c r="C1032" t="s">
        <v>2810</v>
      </c>
      <c r="D1032" t="s">
        <v>2811</v>
      </c>
      <c r="E1032">
        <v>11</v>
      </c>
      <c r="F1032">
        <v>0</v>
      </c>
      <c r="G1032">
        <v>0</v>
      </c>
      <c r="H1032">
        <f t="shared" si="32"/>
        <v>11</v>
      </c>
      <c r="I1032">
        <v>0</v>
      </c>
      <c r="J1032">
        <v>0</v>
      </c>
      <c r="K1032">
        <v>0</v>
      </c>
      <c r="L1032">
        <f t="shared" si="33"/>
        <v>0</v>
      </c>
    </row>
    <row r="1033" spans="1:12">
      <c r="A1033" t="s">
        <v>3338</v>
      </c>
      <c r="B1033" t="s">
        <v>1100</v>
      </c>
      <c r="C1033" t="s">
        <v>2810</v>
      </c>
      <c r="D1033" t="s">
        <v>2812</v>
      </c>
      <c r="E1033">
        <v>48</v>
      </c>
      <c r="F1033">
        <v>0</v>
      </c>
      <c r="G1033">
        <v>0</v>
      </c>
      <c r="H1033">
        <f t="shared" si="32"/>
        <v>48</v>
      </c>
      <c r="I1033">
        <v>0</v>
      </c>
      <c r="J1033">
        <v>0</v>
      </c>
      <c r="K1033">
        <v>0</v>
      </c>
      <c r="L1033">
        <f t="shared" si="33"/>
        <v>0</v>
      </c>
    </row>
    <row r="1034" spans="1:12">
      <c r="A1034" t="s">
        <v>3338</v>
      </c>
      <c r="B1034" t="s">
        <v>1100</v>
      </c>
      <c r="C1034" t="s">
        <v>2810</v>
      </c>
      <c r="D1034" t="s">
        <v>2813</v>
      </c>
      <c r="E1034">
        <v>4</v>
      </c>
      <c r="F1034">
        <v>0</v>
      </c>
      <c r="G1034">
        <v>0</v>
      </c>
      <c r="H1034">
        <f t="shared" si="32"/>
        <v>4</v>
      </c>
      <c r="I1034">
        <v>0</v>
      </c>
      <c r="J1034">
        <v>0</v>
      </c>
      <c r="K1034">
        <v>0</v>
      </c>
      <c r="L1034">
        <f t="shared" si="33"/>
        <v>0</v>
      </c>
    </row>
    <row r="1035" spans="1:12">
      <c r="A1035" t="s">
        <v>3338</v>
      </c>
      <c r="B1035" t="s">
        <v>1100</v>
      </c>
      <c r="C1035" t="s">
        <v>2810</v>
      </c>
      <c r="D1035" t="s">
        <v>2847</v>
      </c>
      <c r="E1035">
        <v>23</v>
      </c>
      <c r="F1035">
        <v>0</v>
      </c>
      <c r="G1035">
        <v>0</v>
      </c>
      <c r="H1035">
        <f t="shared" si="32"/>
        <v>23</v>
      </c>
      <c r="I1035">
        <v>0</v>
      </c>
      <c r="J1035">
        <v>0</v>
      </c>
      <c r="K1035">
        <v>0</v>
      </c>
      <c r="L1035">
        <f t="shared" si="33"/>
        <v>0</v>
      </c>
    </row>
    <row r="1036" spans="1:12">
      <c r="A1036" t="s">
        <v>3338</v>
      </c>
      <c r="B1036" t="s">
        <v>1100</v>
      </c>
      <c r="C1036" t="s">
        <v>2810</v>
      </c>
      <c r="D1036" t="s">
        <v>2815</v>
      </c>
      <c r="E1036">
        <v>8</v>
      </c>
      <c r="F1036">
        <v>0</v>
      </c>
      <c r="G1036">
        <v>0</v>
      </c>
      <c r="H1036">
        <f t="shared" si="32"/>
        <v>8</v>
      </c>
      <c r="I1036">
        <v>0</v>
      </c>
      <c r="J1036">
        <v>0</v>
      </c>
      <c r="K1036">
        <v>0</v>
      </c>
      <c r="L1036">
        <f t="shared" si="33"/>
        <v>0</v>
      </c>
    </row>
    <row r="1037" spans="1:12">
      <c r="A1037" t="s">
        <v>3338</v>
      </c>
      <c r="B1037" t="s">
        <v>1100</v>
      </c>
      <c r="C1037" t="s">
        <v>2816</v>
      </c>
      <c r="D1037" t="s">
        <v>1897</v>
      </c>
      <c r="E1037">
        <v>17</v>
      </c>
      <c r="F1037">
        <v>0</v>
      </c>
      <c r="G1037">
        <v>0</v>
      </c>
      <c r="H1037">
        <f t="shared" si="32"/>
        <v>17</v>
      </c>
      <c r="I1037">
        <v>0</v>
      </c>
      <c r="J1037">
        <v>0</v>
      </c>
      <c r="K1037">
        <v>0</v>
      </c>
      <c r="L1037">
        <f t="shared" si="33"/>
        <v>0</v>
      </c>
    </row>
    <row r="1038" spans="1:12">
      <c r="A1038" t="s">
        <v>3338</v>
      </c>
      <c r="B1038" t="s">
        <v>1100</v>
      </c>
      <c r="C1038" t="s">
        <v>2826</v>
      </c>
      <c r="D1038" t="s">
        <v>2835</v>
      </c>
      <c r="E1038">
        <v>0</v>
      </c>
      <c r="F1038">
        <v>0</v>
      </c>
      <c r="G1038">
        <v>0</v>
      </c>
      <c r="H1038">
        <f t="shared" si="32"/>
        <v>0</v>
      </c>
      <c r="I1038">
        <v>1</v>
      </c>
      <c r="J1038">
        <v>0</v>
      </c>
      <c r="K1038">
        <v>0</v>
      </c>
      <c r="L1038">
        <f t="shared" si="33"/>
        <v>1</v>
      </c>
    </row>
    <row r="1039" spans="1:12">
      <c r="A1039" t="s">
        <v>3338</v>
      </c>
      <c r="B1039" t="s">
        <v>1100</v>
      </c>
      <c r="C1039" t="s">
        <v>2817</v>
      </c>
      <c r="D1039" t="s">
        <v>2837</v>
      </c>
      <c r="E1039">
        <v>4</v>
      </c>
      <c r="F1039">
        <v>0</v>
      </c>
      <c r="G1039">
        <v>0</v>
      </c>
      <c r="H1039">
        <f t="shared" si="32"/>
        <v>4</v>
      </c>
      <c r="I1039">
        <v>0</v>
      </c>
      <c r="J1039">
        <v>0</v>
      </c>
      <c r="K1039">
        <v>0</v>
      </c>
      <c r="L1039">
        <f t="shared" si="33"/>
        <v>0</v>
      </c>
    </row>
    <row r="1040" spans="1:12">
      <c r="A1040" t="s">
        <v>3341</v>
      </c>
      <c r="B1040" t="s">
        <v>1087</v>
      </c>
      <c r="C1040" t="s">
        <v>2805</v>
      </c>
      <c r="D1040" t="s">
        <v>2806</v>
      </c>
      <c r="E1040">
        <v>3</v>
      </c>
      <c r="F1040">
        <v>0</v>
      </c>
      <c r="G1040">
        <v>0</v>
      </c>
      <c r="H1040">
        <f t="shared" si="32"/>
        <v>3</v>
      </c>
      <c r="I1040">
        <v>0</v>
      </c>
      <c r="J1040">
        <v>0</v>
      </c>
      <c r="K1040">
        <v>0</v>
      </c>
      <c r="L1040">
        <f t="shared" si="33"/>
        <v>0</v>
      </c>
    </row>
    <row r="1041" spans="1:12">
      <c r="A1041" t="s">
        <v>3341</v>
      </c>
      <c r="B1041" t="s">
        <v>1087</v>
      </c>
      <c r="C1041" t="s">
        <v>2805</v>
      </c>
      <c r="D1041" t="s">
        <v>449</v>
      </c>
      <c r="E1041">
        <v>20</v>
      </c>
      <c r="F1041">
        <v>0</v>
      </c>
      <c r="G1041">
        <v>0</v>
      </c>
      <c r="H1041">
        <f t="shared" si="32"/>
        <v>20</v>
      </c>
      <c r="I1041">
        <v>0</v>
      </c>
      <c r="J1041">
        <v>0</v>
      </c>
      <c r="K1041">
        <v>0</v>
      </c>
      <c r="L1041">
        <f t="shared" si="33"/>
        <v>0</v>
      </c>
    </row>
    <row r="1042" spans="1:12">
      <c r="A1042" t="s">
        <v>3341</v>
      </c>
      <c r="B1042" t="s">
        <v>1087</v>
      </c>
      <c r="C1042" t="s">
        <v>2805</v>
      </c>
      <c r="D1042" t="s">
        <v>2807</v>
      </c>
      <c r="E1042">
        <v>3</v>
      </c>
      <c r="F1042">
        <v>0</v>
      </c>
      <c r="G1042">
        <v>0</v>
      </c>
      <c r="H1042">
        <f t="shared" si="32"/>
        <v>3</v>
      </c>
      <c r="I1042">
        <v>1</v>
      </c>
      <c r="J1042">
        <v>0</v>
      </c>
      <c r="K1042">
        <v>0</v>
      </c>
      <c r="L1042">
        <f t="shared" si="33"/>
        <v>1</v>
      </c>
    </row>
    <row r="1043" spans="1:12">
      <c r="A1043" t="s">
        <v>3341</v>
      </c>
      <c r="B1043" t="s">
        <v>1087</v>
      </c>
      <c r="C1043" t="s">
        <v>2810</v>
      </c>
      <c r="D1043" t="s">
        <v>2811</v>
      </c>
      <c r="E1043">
        <v>3</v>
      </c>
      <c r="F1043">
        <v>0</v>
      </c>
      <c r="G1043">
        <v>0</v>
      </c>
      <c r="H1043">
        <f t="shared" si="32"/>
        <v>3</v>
      </c>
      <c r="I1043">
        <v>1</v>
      </c>
      <c r="J1043">
        <v>0</v>
      </c>
      <c r="K1043">
        <v>0</v>
      </c>
      <c r="L1043">
        <f t="shared" si="33"/>
        <v>1</v>
      </c>
    </row>
    <row r="1044" spans="1:12">
      <c r="A1044" t="s">
        <v>3341</v>
      </c>
      <c r="B1044" t="s">
        <v>1087</v>
      </c>
      <c r="C1044" t="s">
        <v>2810</v>
      </c>
      <c r="D1044" t="s">
        <v>2823</v>
      </c>
      <c r="E1044">
        <v>1</v>
      </c>
      <c r="F1044">
        <v>0</v>
      </c>
      <c r="G1044">
        <v>0</v>
      </c>
      <c r="H1044">
        <f t="shared" si="32"/>
        <v>1</v>
      </c>
      <c r="I1044">
        <v>0</v>
      </c>
      <c r="J1044">
        <v>0</v>
      </c>
      <c r="K1044">
        <v>0</v>
      </c>
      <c r="L1044">
        <f t="shared" si="33"/>
        <v>0</v>
      </c>
    </row>
    <row r="1045" spans="1:12">
      <c r="A1045" t="s">
        <v>3341</v>
      </c>
      <c r="B1045" t="s">
        <v>1087</v>
      </c>
      <c r="C1045" t="s">
        <v>2810</v>
      </c>
      <c r="D1045" t="s">
        <v>2813</v>
      </c>
      <c r="E1045">
        <v>2</v>
      </c>
      <c r="F1045">
        <v>0</v>
      </c>
      <c r="G1045">
        <v>0</v>
      </c>
      <c r="H1045">
        <f t="shared" si="32"/>
        <v>2</v>
      </c>
      <c r="I1045">
        <v>0</v>
      </c>
      <c r="J1045">
        <v>0</v>
      </c>
      <c r="K1045">
        <v>0</v>
      </c>
      <c r="L1045">
        <f t="shared" si="33"/>
        <v>0</v>
      </c>
    </row>
    <row r="1046" spans="1:12">
      <c r="A1046" t="s">
        <v>3341</v>
      </c>
      <c r="B1046" t="s">
        <v>1087</v>
      </c>
      <c r="C1046" t="s">
        <v>2816</v>
      </c>
      <c r="D1046" t="s">
        <v>1896</v>
      </c>
      <c r="E1046">
        <v>2</v>
      </c>
      <c r="F1046">
        <v>0</v>
      </c>
      <c r="G1046">
        <v>0</v>
      </c>
      <c r="H1046">
        <f t="shared" si="32"/>
        <v>2</v>
      </c>
      <c r="I1046">
        <v>0</v>
      </c>
      <c r="J1046">
        <v>0</v>
      </c>
      <c r="K1046">
        <v>0</v>
      </c>
      <c r="L1046">
        <f t="shared" si="33"/>
        <v>0</v>
      </c>
    </row>
    <row r="1047" spans="1:12">
      <c r="A1047" t="s">
        <v>3341</v>
      </c>
      <c r="B1047" t="s">
        <v>1087</v>
      </c>
      <c r="C1047" t="s">
        <v>2816</v>
      </c>
      <c r="D1047" t="s">
        <v>1897</v>
      </c>
      <c r="E1047">
        <v>5</v>
      </c>
      <c r="F1047">
        <v>0</v>
      </c>
      <c r="G1047">
        <v>0</v>
      </c>
      <c r="H1047">
        <f t="shared" si="32"/>
        <v>5</v>
      </c>
      <c r="I1047">
        <v>0</v>
      </c>
      <c r="J1047">
        <v>0</v>
      </c>
      <c r="K1047">
        <v>0</v>
      </c>
      <c r="L1047">
        <f t="shared" si="33"/>
        <v>0</v>
      </c>
    </row>
    <row r="1048" spans="1:12">
      <c r="A1048" t="s">
        <v>3341</v>
      </c>
      <c r="B1048" t="s">
        <v>1087</v>
      </c>
      <c r="C1048" t="s">
        <v>2826</v>
      </c>
      <c r="D1048" t="s">
        <v>2843</v>
      </c>
      <c r="E1048">
        <v>0</v>
      </c>
      <c r="F1048">
        <v>0</v>
      </c>
      <c r="G1048">
        <v>0</v>
      </c>
      <c r="H1048">
        <f t="shared" si="32"/>
        <v>0</v>
      </c>
      <c r="I1048">
        <v>1</v>
      </c>
      <c r="J1048">
        <v>0</v>
      </c>
      <c r="K1048">
        <v>0</v>
      </c>
      <c r="L1048">
        <f t="shared" si="33"/>
        <v>1</v>
      </c>
    </row>
    <row r="1049" spans="1:12">
      <c r="A1049" t="s">
        <v>3341</v>
      </c>
      <c r="B1049" t="s">
        <v>1087</v>
      </c>
      <c r="C1049" t="s">
        <v>2826</v>
      </c>
      <c r="D1049" t="s">
        <v>2835</v>
      </c>
      <c r="E1049">
        <v>0</v>
      </c>
      <c r="F1049">
        <v>0</v>
      </c>
      <c r="G1049">
        <v>0</v>
      </c>
      <c r="H1049">
        <f t="shared" si="32"/>
        <v>0</v>
      </c>
      <c r="I1049">
        <v>1</v>
      </c>
      <c r="J1049">
        <v>0</v>
      </c>
      <c r="K1049">
        <v>0</v>
      </c>
      <c r="L1049">
        <f t="shared" si="33"/>
        <v>1</v>
      </c>
    </row>
    <row r="1050" spans="1:12">
      <c r="A1050" t="s">
        <v>3349</v>
      </c>
      <c r="B1050" t="s">
        <v>3350</v>
      </c>
      <c r="C1050" t="s">
        <v>2805</v>
      </c>
      <c r="D1050" t="s">
        <v>2806</v>
      </c>
      <c r="E1050">
        <v>16</v>
      </c>
      <c r="F1050">
        <v>0</v>
      </c>
      <c r="G1050">
        <v>0</v>
      </c>
      <c r="H1050">
        <f t="shared" si="32"/>
        <v>16</v>
      </c>
      <c r="I1050">
        <v>11</v>
      </c>
      <c r="J1050">
        <v>0</v>
      </c>
      <c r="K1050">
        <v>0</v>
      </c>
      <c r="L1050">
        <f t="shared" si="33"/>
        <v>11</v>
      </c>
    </row>
    <row r="1051" spans="1:12">
      <c r="A1051" t="s">
        <v>3349</v>
      </c>
      <c r="B1051" t="s">
        <v>3350</v>
      </c>
      <c r="C1051" t="s">
        <v>2805</v>
      </c>
      <c r="D1051" t="s">
        <v>449</v>
      </c>
      <c r="E1051">
        <v>40</v>
      </c>
      <c r="F1051">
        <v>0</v>
      </c>
      <c r="G1051">
        <v>0</v>
      </c>
      <c r="H1051">
        <f t="shared" si="32"/>
        <v>40</v>
      </c>
      <c r="I1051">
        <v>17</v>
      </c>
      <c r="J1051">
        <v>0</v>
      </c>
      <c r="K1051">
        <v>0</v>
      </c>
      <c r="L1051">
        <f t="shared" si="33"/>
        <v>17</v>
      </c>
    </row>
    <row r="1052" spans="1:12">
      <c r="A1052" t="s">
        <v>3349</v>
      </c>
      <c r="B1052" t="s">
        <v>3350</v>
      </c>
      <c r="C1052" t="s">
        <v>2805</v>
      </c>
      <c r="D1052" t="s">
        <v>2807</v>
      </c>
      <c r="E1052">
        <v>2</v>
      </c>
      <c r="F1052">
        <v>0</v>
      </c>
      <c r="G1052">
        <v>0</v>
      </c>
      <c r="H1052">
        <f t="shared" si="32"/>
        <v>2</v>
      </c>
      <c r="I1052">
        <v>0</v>
      </c>
      <c r="J1052">
        <v>0</v>
      </c>
      <c r="K1052">
        <v>0</v>
      </c>
      <c r="L1052">
        <f t="shared" si="33"/>
        <v>0</v>
      </c>
    </row>
    <row r="1053" spans="1:12">
      <c r="A1053" t="s">
        <v>3349</v>
      </c>
      <c r="B1053" t="s">
        <v>3350</v>
      </c>
      <c r="C1053" t="s">
        <v>2810</v>
      </c>
      <c r="D1053" t="s">
        <v>2811</v>
      </c>
      <c r="E1053">
        <v>15</v>
      </c>
      <c r="F1053">
        <v>0</v>
      </c>
      <c r="G1053">
        <v>0</v>
      </c>
      <c r="H1053">
        <f t="shared" si="32"/>
        <v>15</v>
      </c>
      <c r="I1053">
        <v>1</v>
      </c>
      <c r="J1053">
        <v>0</v>
      </c>
      <c r="K1053">
        <v>0</v>
      </c>
      <c r="L1053">
        <f t="shared" si="33"/>
        <v>1</v>
      </c>
    </row>
    <row r="1054" spans="1:12">
      <c r="A1054" t="s">
        <v>3349</v>
      </c>
      <c r="B1054" t="s">
        <v>3350</v>
      </c>
      <c r="C1054" t="s">
        <v>2810</v>
      </c>
      <c r="D1054" t="s">
        <v>2812</v>
      </c>
      <c r="E1054">
        <v>4</v>
      </c>
      <c r="F1054">
        <v>0</v>
      </c>
      <c r="G1054">
        <v>0</v>
      </c>
      <c r="H1054">
        <f t="shared" si="32"/>
        <v>4</v>
      </c>
      <c r="I1054">
        <v>0</v>
      </c>
      <c r="J1054">
        <v>0</v>
      </c>
      <c r="K1054">
        <v>0</v>
      </c>
      <c r="L1054">
        <f t="shared" si="33"/>
        <v>0</v>
      </c>
    </row>
    <row r="1055" spans="1:12">
      <c r="A1055" t="s">
        <v>3349</v>
      </c>
      <c r="B1055" t="s">
        <v>3350</v>
      </c>
      <c r="C1055" t="s">
        <v>2810</v>
      </c>
      <c r="D1055" t="s">
        <v>2813</v>
      </c>
      <c r="E1055">
        <v>15</v>
      </c>
      <c r="F1055">
        <v>0</v>
      </c>
      <c r="G1055">
        <v>0</v>
      </c>
      <c r="H1055">
        <f t="shared" si="32"/>
        <v>15</v>
      </c>
      <c r="I1055">
        <v>2</v>
      </c>
      <c r="J1055">
        <v>0</v>
      </c>
      <c r="K1055">
        <v>0</v>
      </c>
      <c r="L1055">
        <f t="shared" si="33"/>
        <v>2</v>
      </c>
    </row>
    <row r="1056" spans="1:12">
      <c r="A1056" t="s">
        <v>3349</v>
      </c>
      <c r="B1056" t="s">
        <v>3350</v>
      </c>
      <c r="C1056" t="s">
        <v>2816</v>
      </c>
      <c r="D1056" t="s">
        <v>1897</v>
      </c>
      <c r="E1056">
        <v>11</v>
      </c>
      <c r="F1056">
        <v>0</v>
      </c>
      <c r="G1056">
        <v>0</v>
      </c>
      <c r="H1056">
        <f t="shared" si="32"/>
        <v>11</v>
      </c>
      <c r="I1056">
        <v>0</v>
      </c>
      <c r="J1056">
        <v>0</v>
      </c>
      <c r="K1056">
        <v>0</v>
      </c>
      <c r="L1056">
        <f t="shared" si="33"/>
        <v>0</v>
      </c>
    </row>
    <row r="1057" spans="1:12">
      <c r="A1057" t="s">
        <v>3349</v>
      </c>
      <c r="B1057" t="s">
        <v>3350</v>
      </c>
      <c r="C1057" t="s">
        <v>2826</v>
      </c>
      <c r="D1057" t="s">
        <v>2834</v>
      </c>
      <c r="E1057">
        <v>1</v>
      </c>
      <c r="F1057">
        <v>0</v>
      </c>
      <c r="G1057">
        <v>0</v>
      </c>
      <c r="H1057">
        <f t="shared" si="32"/>
        <v>1</v>
      </c>
      <c r="I1057">
        <v>1</v>
      </c>
      <c r="J1057">
        <v>0</v>
      </c>
      <c r="K1057">
        <v>0</v>
      </c>
      <c r="L1057">
        <f t="shared" si="33"/>
        <v>1</v>
      </c>
    </row>
    <row r="1058" spans="1:12">
      <c r="A1058" t="s">
        <v>3349</v>
      </c>
      <c r="B1058" t="s">
        <v>3350</v>
      </c>
      <c r="C1058" t="s">
        <v>2817</v>
      </c>
      <c r="D1058" t="s">
        <v>2887</v>
      </c>
      <c r="E1058">
        <v>1</v>
      </c>
      <c r="F1058">
        <v>0</v>
      </c>
      <c r="G1058">
        <v>0</v>
      </c>
      <c r="H1058">
        <f t="shared" si="32"/>
        <v>1</v>
      </c>
      <c r="I1058">
        <v>0</v>
      </c>
      <c r="J1058">
        <v>0</v>
      </c>
      <c r="K1058">
        <v>0</v>
      </c>
      <c r="L1058">
        <f t="shared" si="33"/>
        <v>0</v>
      </c>
    </row>
    <row r="1059" spans="1:12">
      <c r="A1059" t="s">
        <v>3349</v>
      </c>
      <c r="B1059" t="s">
        <v>3350</v>
      </c>
      <c r="C1059" t="s">
        <v>2817</v>
      </c>
      <c r="D1059" t="s">
        <v>2818</v>
      </c>
      <c r="E1059">
        <v>0</v>
      </c>
      <c r="F1059">
        <v>0</v>
      </c>
      <c r="G1059">
        <v>0</v>
      </c>
      <c r="H1059">
        <f t="shared" si="32"/>
        <v>0</v>
      </c>
      <c r="I1059">
        <v>1</v>
      </c>
      <c r="J1059">
        <v>0</v>
      </c>
      <c r="K1059">
        <v>0</v>
      </c>
      <c r="L1059">
        <f t="shared" si="33"/>
        <v>1</v>
      </c>
    </row>
    <row r="1060" spans="1:12">
      <c r="A1060" t="s">
        <v>3357</v>
      </c>
      <c r="B1060" t="s">
        <v>342</v>
      </c>
      <c r="C1060" t="s">
        <v>2805</v>
      </c>
      <c r="D1060" t="s">
        <v>449</v>
      </c>
      <c r="E1060">
        <v>0</v>
      </c>
      <c r="F1060">
        <v>0</v>
      </c>
      <c r="G1060">
        <v>0</v>
      </c>
      <c r="H1060">
        <f t="shared" si="32"/>
        <v>0</v>
      </c>
      <c r="I1060">
        <v>1</v>
      </c>
      <c r="J1060">
        <v>0</v>
      </c>
      <c r="K1060">
        <v>0</v>
      </c>
      <c r="L1060">
        <f t="shared" si="33"/>
        <v>1</v>
      </c>
    </row>
    <row r="1061" spans="1:12">
      <c r="A1061" t="s">
        <v>3357</v>
      </c>
      <c r="B1061" t="s">
        <v>342</v>
      </c>
      <c r="C1061" t="s">
        <v>2805</v>
      </c>
      <c r="D1061" t="s">
        <v>2807</v>
      </c>
      <c r="E1061">
        <v>0</v>
      </c>
      <c r="F1061">
        <v>0</v>
      </c>
      <c r="G1061">
        <v>0</v>
      </c>
      <c r="H1061">
        <f t="shared" si="32"/>
        <v>0</v>
      </c>
      <c r="I1061">
        <v>4</v>
      </c>
      <c r="J1061">
        <v>0</v>
      </c>
      <c r="K1061">
        <v>0</v>
      </c>
      <c r="L1061">
        <f t="shared" si="33"/>
        <v>4</v>
      </c>
    </row>
    <row r="1062" spans="1:12">
      <c r="A1062" t="s">
        <v>3357</v>
      </c>
      <c r="B1062" t="s">
        <v>342</v>
      </c>
      <c r="C1062" t="s">
        <v>2810</v>
      </c>
      <c r="D1062" t="s">
        <v>2811</v>
      </c>
      <c r="E1062">
        <v>0</v>
      </c>
      <c r="F1062">
        <v>0</v>
      </c>
      <c r="G1062">
        <v>0</v>
      </c>
      <c r="H1062">
        <f t="shared" si="32"/>
        <v>0</v>
      </c>
      <c r="I1062">
        <v>1</v>
      </c>
      <c r="J1062">
        <v>0</v>
      </c>
      <c r="K1062">
        <v>0</v>
      </c>
      <c r="L1062">
        <f t="shared" si="33"/>
        <v>1</v>
      </c>
    </row>
    <row r="1063" spans="1:12">
      <c r="A1063" t="s">
        <v>3357</v>
      </c>
      <c r="B1063" t="s">
        <v>342</v>
      </c>
      <c r="C1063" t="s">
        <v>2826</v>
      </c>
      <c r="D1063" t="s">
        <v>2871</v>
      </c>
      <c r="E1063">
        <v>0</v>
      </c>
      <c r="F1063">
        <v>0</v>
      </c>
      <c r="G1063">
        <v>0</v>
      </c>
      <c r="H1063">
        <f t="shared" si="32"/>
        <v>0</v>
      </c>
      <c r="I1063">
        <v>14</v>
      </c>
      <c r="J1063">
        <v>0</v>
      </c>
      <c r="K1063">
        <v>0</v>
      </c>
      <c r="L1063">
        <f t="shared" si="33"/>
        <v>14</v>
      </c>
    </row>
    <row r="1064" spans="1:12">
      <c r="A1064" t="s">
        <v>3357</v>
      </c>
      <c r="B1064" t="s">
        <v>342</v>
      </c>
      <c r="C1064" t="s">
        <v>2826</v>
      </c>
      <c r="D1064" t="s">
        <v>3344</v>
      </c>
      <c r="E1064">
        <v>0</v>
      </c>
      <c r="F1064">
        <v>0</v>
      </c>
      <c r="G1064">
        <v>0</v>
      </c>
      <c r="H1064">
        <f t="shared" si="32"/>
        <v>0</v>
      </c>
      <c r="I1064">
        <v>2</v>
      </c>
      <c r="J1064">
        <v>0</v>
      </c>
      <c r="K1064">
        <v>0</v>
      </c>
      <c r="L1064">
        <f t="shared" si="33"/>
        <v>2</v>
      </c>
    </row>
    <row r="1065" spans="1:12">
      <c r="A1065" t="s">
        <v>3357</v>
      </c>
      <c r="B1065" t="s">
        <v>342</v>
      </c>
      <c r="C1065" t="s">
        <v>2826</v>
      </c>
      <c r="D1065" t="s">
        <v>2905</v>
      </c>
      <c r="E1065">
        <v>0</v>
      </c>
      <c r="F1065">
        <v>0</v>
      </c>
      <c r="G1065">
        <v>0</v>
      </c>
      <c r="H1065">
        <f t="shared" si="32"/>
        <v>0</v>
      </c>
      <c r="I1065">
        <v>7</v>
      </c>
      <c r="J1065">
        <v>0</v>
      </c>
      <c r="K1065">
        <v>0</v>
      </c>
      <c r="L1065">
        <f t="shared" si="33"/>
        <v>7</v>
      </c>
    </row>
    <row r="1066" spans="1:12">
      <c r="A1066" t="s">
        <v>3357</v>
      </c>
      <c r="B1066" t="s">
        <v>342</v>
      </c>
      <c r="C1066" t="s">
        <v>2826</v>
      </c>
      <c r="D1066" t="s">
        <v>2827</v>
      </c>
      <c r="E1066">
        <v>0</v>
      </c>
      <c r="F1066">
        <v>0</v>
      </c>
      <c r="G1066">
        <v>0</v>
      </c>
      <c r="H1066">
        <f t="shared" si="32"/>
        <v>0</v>
      </c>
      <c r="I1066">
        <v>15</v>
      </c>
      <c r="J1066">
        <v>0</v>
      </c>
      <c r="K1066">
        <v>0</v>
      </c>
      <c r="L1066">
        <f t="shared" si="33"/>
        <v>15</v>
      </c>
    </row>
    <row r="1067" spans="1:12">
      <c r="A1067" t="s">
        <v>3357</v>
      </c>
      <c r="B1067" t="s">
        <v>342</v>
      </c>
      <c r="C1067" t="s">
        <v>2826</v>
      </c>
      <c r="D1067" t="s">
        <v>2828</v>
      </c>
      <c r="E1067">
        <v>0</v>
      </c>
      <c r="F1067">
        <v>0</v>
      </c>
      <c r="G1067">
        <v>0</v>
      </c>
      <c r="H1067">
        <f t="shared" si="32"/>
        <v>0</v>
      </c>
      <c r="I1067">
        <v>2</v>
      </c>
      <c r="J1067">
        <v>0</v>
      </c>
      <c r="K1067">
        <v>0</v>
      </c>
      <c r="L1067">
        <f t="shared" si="33"/>
        <v>2</v>
      </c>
    </row>
    <row r="1068" spans="1:12">
      <c r="A1068" t="s">
        <v>3357</v>
      </c>
      <c r="B1068" t="s">
        <v>342</v>
      </c>
      <c r="C1068" t="s">
        <v>2826</v>
      </c>
      <c r="D1068" t="s">
        <v>2829</v>
      </c>
      <c r="E1068">
        <v>0</v>
      </c>
      <c r="F1068">
        <v>0</v>
      </c>
      <c r="G1068">
        <v>0</v>
      </c>
      <c r="H1068">
        <f t="shared" si="32"/>
        <v>0</v>
      </c>
      <c r="I1068">
        <v>8</v>
      </c>
      <c r="J1068">
        <v>0</v>
      </c>
      <c r="K1068">
        <v>0</v>
      </c>
      <c r="L1068">
        <f t="shared" si="33"/>
        <v>8</v>
      </c>
    </row>
    <row r="1069" spans="1:12">
      <c r="A1069" t="s">
        <v>3357</v>
      </c>
      <c r="B1069" t="s">
        <v>342</v>
      </c>
      <c r="C1069" t="s">
        <v>2826</v>
      </c>
      <c r="D1069" t="s">
        <v>2891</v>
      </c>
      <c r="E1069">
        <v>0</v>
      </c>
      <c r="F1069">
        <v>0</v>
      </c>
      <c r="G1069">
        <v>0</v>
      </c>
      <c r="H1069">
        <f t="shared" si="32"/>
        <v>0</v>
      </c>
      <c r="I1069">
        <v>16</v>
      </c>
      <c r="J1069">
        <v>0</v>
      </c>
      <c r="K1069">
        <v>0</v>
      </c>
      <c r="L1069">
        <f t="shared" si="33"/>
        <v>16</v>
      </c>
    </row>
    <row r="1070" spans="1:12">
      <c r="A1070" t="s">
        <v>3357</v>
      </c>
      <c r="B1070" t="s">
        <v>342</v>
      </c>
      <c r="C1070" t="s">
        <v>2826</v>
      </c>
      <c r="D1070" t="s">
        <v>2872</v>
      </c>
      <c r="E1070">
        <v>0</v>
      </c>
      <c r="F1070">
        <v>0</v>
      </c>
      <c r="G1070">
        <v>0</v>
      </c>
      <c r="H1070">
        <f t="shared" si="32"/>
        <v>0</v>
      </c>
      <c r="I1070">
        <v>3</v>
      </c>
      <c r="J1070">
        <v>0</v>
      </c>
      <c r="K1070">
        <v>0</v>
      </c>
      <c r="L1070">
        <f t="shared" si="33"/>
        <v>3</v>
      </c>
    </row>
    <row r="1071" spans="1:12">
      <c r="A1071" t="s">
        <v>3357</v>
      </c>
      <c r="B1071" t="s">
        <v>342</v>
      </c>
      <c r="C1071" t="s">
        <v>2826</v>
      </c>
      <c r="D1071" t="s">
        <v>2858</v>
      </c>
      <c r="E1071">
        <v>0</v>
      </c>
      <c r="F1071">
        <v>0</v>
      </c>
      <c r="G1071">
        <v>0</v>
      </c>
      <c r="H1071">
        <f t="shared" si="32"/>
        <v>0</v>
      </c>
      <c r="I1071">
        <v>3</v>
      </c>
      <c r="J1071">
        <v>0</v>
      </c>
      <c r="K1071">
        <v>0</v>
      </c>
      <c r="L1071">
        <f t="shared" si="33"/>
        <v>3</v>
      </c>
    </row>
    <row r="1072" spans="1:12">
      <c r="A1072" t="s">
        <v>3357</v>
      </c>
      <c r="B1072" t="s">
        <v>342</v>
      </c>
      <c r="C1072" t="s">
        <v>2826</v>
      </c>
      <c r="D1072" t="s">
        <v>2830</v>
      </c>
      <c r="E1072">
        <v>0</v>
      </c>
      <c r="F1072">
        <v>0</v>
      </c>
      <c r="G1072">
        <v>0</v>
      </c>
      <c r="H1072">
        <f t="shared" si="32"/>
        <v>0</v>
      </c>
      <c r="I1072">
        <v>5</v>
      </c>
      <c r="J1072">
        <v>0</v>
      </c>
      <c r="K1072">
        <v>0</v>
      </c>
      <c r="L1072">
        <f t="shared" si="33"/>
        <v>5</v>
      </c>
    </row>
    <row r="1073" spans="1:12">
      <c r="A1073" t="s">
        <v>3357</v>
      </c>
      <c r="B1073" t="s">
        <v>342</v>
      </c>
      <c r="C1073" t="s">
        <v>2826</v>
      </c>
      <c r="D1073" t="s">
        <v>2864</v>
      </c>
      <c r="E1073">
        <v>0</v>
      </c>
      <c r="F1073">
        <v>0</v>
      </c>
      <c r="G1073">
        <v>0</v>
      </c>
      <c r="H1073">
        <f t="shared" si="32"/>
        <v>0</v>
      </c>
      <c r="I1073">
        <v>8</v>
      </c>
      <c r="J1073">
        <v>0</v>
      </c>
      <c r="K1073">
        <v>0</v>
      </c>
      <c r="L1073">
        <f t="shared" si="33"/>
        <v>8</v>
      </c>
    </row>
    <row r="1074" spans="1:12">
      <c r="A1074" t="s">
        <v>3357</v>
      </c>
      <c r="B1074" t="s">
        <v>342</v>
      </c>
      <c r="C1074" t="s">
        <v>2826</v>
      </c>
      <c r="D1074" t="s">
        <v>2831</v>
      </c>
      <c r="E1074">
        <v>0</v>
      </c>
      <c r="F1074">
        <v>0</v>
      </c>
      <c r="G1074">
        <v>0</v>
      </c>
      <c r="H1074">
        <f t="shared" si="32"/>
        <v>0</v>
      </c>
      <c r="I1074">
        <v>10</v>
      </c>
      <c r="J1074">
        <v>0</v>
      </c>
      <c r="K1074">
        <v>0</v>
      </c>
      <c r="L1074">
        <f t="shared" si="33"/>
        <v>10</v>
      </c>
    </row>
    <row r="1075" spans="1:12">
      <c r="A1075" t="s">
        <v>3357</v>
      </c>
      <c r="B1075" t="s">
        <v>342</v>
      </c>
      <c r="C1075" t="s">
        <v>2826</v>
      </c>
      <c r="D1075" t="s">
        <v>2843</v>
      </c>
      <c r="E1075">
        <v>0</v>
      </c>
      <c r="F1075">
        <v>0</v>
      </c>
      <c r="G1075">
        <v>0</v>
      </c>
      <c r="H1075">
        <f t="shared" si="32"/>
        <v>0</v>
      </c>
      <c r="I1075">
        <v>8</v>
      </c>
      <c r="J1075">
        <v>0</v>
      </c>
      <c r="K1075">
        <v>0</v>
      </c>
      <c r="L1075">
        <f t="shared" si="33"/>
        <v>8</v>
      </c>
    </row>
    <row r="1076" spans="1:12">
      <c r="A1076" t="s">
        <v>3357</v>
      </c>
      <c r="B1076" t="s">
        <v>342</v>
      </c>
      <c r="C1076" t="s">
        <v>2826</v>
      </c>
      <c r="D1076" t="s">
        <v>2884</v>
      </c>
      <c r="E1076">
        <v>0</v>
      </c>
      <c r="F1076">
        <v>0</v>
      </c>
      <c r="G1076">
        <v>0</v>
      </c>
      <c r="H1076">
        <f t="shared" si="32"/>
        <v>0</v>
      </c>
      <c r="I1076">
        <v>6</v>
      </c>
      <c r="J1076">
        <v>0</v>
      </c>
      <c r="K1076">
        <v>0</v>
      </c>
      <c r="L1076">
        <f t="shared" si="33"/>
        <v>6</v>
      </c>
    </row>
    <row r="1077" spans="1:12">
      <c r="A1077" t="s">
        <v>3357</v>
      </c>
      <c r="B1077" t="s">
        <v>342</v>
      </c>
      <c r="C1077" t="s">
        <v>2826</v>
      </c>
      <c r="D1077" t="s">
        <v>2885</v>
      </c>
      <c r="E1077">
        <v>0</v>
      </c>
      <c r="F1077">
        <v>0</v>
      </c>
      <c r="G1077">
        <v>0</v>
      </c>
      <c r="H1077">
        <f t="shared" si="32"/>
        <v>0</v>
      </c>
      <c r="I1077">
        <v>3</v>
      </c>
      <c r="J1077">
        <v>0</v>
      </c>
      <c r="K1077">
        <v>0</v>
      </c>
      <c r="L1077">
        <f t="shared" si="33"/>
        <v>3</v>
      </c>
    </row>
    <row r="1078" spans="1:12">
      <c r="A1078" t="s">
        <v>3357</v>
      </c>
      <c r="B1078" t="s">
        <v>342</v>
      </c>
      <c r="C1078" t="s">
        <v>2826</v>
      </c>
      <c r="D1078" t="s">
        <v>2832</v>
      </c>
      <c r="E1078">
        <v>0</v>
      </c>
      <c r="F1078">
        <v>0</v>
      </c>
      <c r="G1078">
        <v>0</v>
      </c>
      <c r="H1078">
        <f t="shared" si="32"/>
        <v>0</v>
      </c>
      <c r="I1078">
        <v>4</v>
      </c>
      <c r="J1078">
        <v>0</v>
      </c>
      <c r="K1078">
        <v>0</v>
      </c>
      <c r="L1078">
        <f t="shared" si="33"/>
        <v>4</v>
      </c>
    </row>
    <row r="1079" spans="1:12">
      <c r="A1079" t="s">
        <v>3357</v>
      </c>
      <c r="B1079" t="s">
        <v>342</v>
      </c>
      <c r="C1079" t="s">
        <v>2826</v>
      </c>
      <c r="D1079" t="s">
        <v>2833</v>
      </c>
      <c r="E1079">
        <v>0</v>
      </c>
      <c r="F1079">
        <v>0</v>
      </c>
      <c r="G1079">
        <v>0</v>
      </c>
      <c r="H1079">
        <f t="shared" si="32"/>
        <v>0</v>
      </c>
      <c r="I1079">
        <v>8</v>
      </c>
      <c r="J1079">
        <v>0</v>
      </c>
      <c r="K1079">
        <v>0</v>
      </c>
      <c r="L1079">
        <f t="shared" si="33"/>
        <v>8</v>
      </c>
    </row>
    <row r="1080" spans="1:12">
      <c r="A1080" t="s">
        <v>3357</v>
      </c>
      <c r="B1080" t="s">
        <v>342</v>
      </c>
      <c r="C1080" t="s">
        <v>2826</v>
      </c>
      <c r="D1080" t="s">
        <v>2834</v>
      </c>
      <c r="E1080">
        <v>0</v>
      </c>
      <c r="F1080">
        <v>0</v>
      </c>
      <c r="G1080">
        <v>0</v>
      </c>
      <c r="H1080">
        <f t="shared" si="32"/>
        <v>0</v>
      </c>
      <c r="I1080">
        <v>30</v>
      </c>
      <c r="J1080">
        <v>0</v>
      </c>
      <c r="K1080">
        <v>0</v>
      </c>
      <c r="L1080">
        <f t="shared" si="33"/>
        <v>30</v>
      </c>
    </row>
    <row r="1081" spans="1:12">
      <c r="A1081" t="s">
        <v>3357</v>
      </c>
      <c r="B1081" t="s">
        <v>342</v>
      </c>
      <c r="C1081" t="s">
        <v>2826</v>
      </c>
      <c r="D1081" t="s">
        <v>2844</v>
      </c>
      <c r="E1081">
        <v>0</v>
      </c>
      <c r="F1081">
        <v>0</v>
      </c>
      <c r="G1081">
        <v>0</v>
      </c>
      <c r="H1081">
        <f t="shared" si="32"/>
        <v>0</v>
      </c>
      <c r="I1081">
        <v>8</v>
      </c>
      <c r="J1081">
        <v>0</v>
      </c>
      <c r="K1081">
        <v>0</v>
      </c>
      <c r="L1081">
        <f t="shared" si="33"/>
        <v>8</v>
      </c>
    </row>
    <row r="1082" spans="1:12">
      <c r="A1082" t="s">
        <v>3357</v>
      </c>
      <c r="B1082" t="s">
        <v>342</v>
      </c>
      <c r="C1082" t="s">
        <v>2826</v>
      </c>
      <c r="D1082" t="s">
        <v>2916</v>
      </c>
      <c r="E1082">
        <v>0</v>
      </c>
      <c r="F1082">
        <v>0</v>
      </c>
      <c r="G1082">
        <v>0</v>
      </c>
      <c r="H1082">
        <f t="shared" si="32"/>
        <v>0</v>
      </c>
      <c r="I1082">
        <v>5</v>
      </c>
      <c r="J1082">
        <v>0</v>
      </c>
      <c r="K1082">
        <v>0</v>
      </c>
      <c r="L1082">
        <f t="shared" si="33"/>
        <v>5</v>
      </c>
    </row>
    <row r="1083" spans="1:12">
      <c r="A1083" t="s">
        <v>3357</v>
      </c>
      <c r="B1083" t="s">
        <v>342</v>
      </c>
      <c r="C1083" t="s">
        <v>2826</v>
      </c>
      <c r="D1083" t="s">
        <v>2835</v>
      </c>
      <c r="E1083">
        <v>0</v>
      </c>
      <c r="F1083">
        <v>0</v>
      </c>
      <c r="G1083">
        <v>0</v>
      </c>
      <c r="H1083">
        <f t="shared" si="32"/>
        <v>0</v>
      </c>
      <c r="I1083">
        <v>8</v>
      </c>
      <c r="J1083">
        <v>0</v>
      </c>
      <c r="K1083">
        <v>0</v>
      </c>
      <c r="L1083">
        <f t="shared" si="33"/>
        <v>8</v>
      </c>
    </row>
    <row r="1084" spans="1:12">
      <c r="A1084" t="s">
        <v>3357</v>
      </c>
      <c r="B1084" t="s">
        <v>342</v>
      </c>
      <c r="C1084" t="s">
        <v>2826</v>
      </c>
      <c r="D1084" t="s">
        <v>2917</v>
      </c>
      <c r="E1084">
        <v>0</v>
      </c>
      <c r="F1084">
        <v>0</v>
      </c>
      <c r="G1084">
        <v>0</v>
      </c>
      <c r="H1084">
        <f t="shared" si="32"/>
        <v>0</v>
      </c>
      <c r="I1084">
        <v>4</v>
      </c>
      <c r="J1084">
        <v>0</v>
      </c>
      <c r="K1084">
        <v>0</v>
      </c>
      <c r="L1084">
        <f t="shared" si="33"/>
        <v>4</v>
      </c>
    </row>
    <row r="1085" spans="1:12">
      <c r="A1085" t="s">
        <v>3357</v>
      </c>
      <c r="B1085" t="s">
        <v>342</v>
      </c>
      <c r="C1085" t="s">
        <v>2826</v>
      </c>
      <c r="D1085" t="s">
        <v>2849</v>
      </c>
      <c r="E1085">
        <v>0</v>
      </c>
      <c r="F1085">
        <v>0</v>
      </c>
      <c r="G1085">
        <v>0</v>
      </c>
      <c r="H1085">
        <f t="shared" si="32"/>
        <v>0</v>
      </c>
      <c r="I1085">
        <v>34</v>
      </c>
      <c r="J1085">
        <v>0</v>
      </c>
      <c r="K1085">
        <v>0</v>
      </c>
      <c r="L1085">
        <f t="shared" si="33"/>
        <v>34</v>
      </c>
    </row>
    <row r="1086" spans="1:12">
      <c r="A1086" t="s">
        <v>3357</v>
      </c>
      <c r="B1086" t="s">
        <v>342</v>
      </c>
      <c r="C1086" t="s">
        <v>2826</v>
      </c>
      <c r="D1086" t="s">
        <v>2906</v>
      </c>
      <c r="E1086">
        <v>0</v>
      </c>
      <c r="F1086">
        <v>0</v>
      </c>
      <c r="G1086">
        <v>0</v>
      </c>
      <c r="H1086">
        <f t="shared" si="32"/>
        <v>0</v>
      </c>
      <c r="I1086">
        <v>8</v>
      </c>
      <c r="J1086">
        <v>0</v>
      </c>
      <c r="K1086">
        <v>0</v>
      </c>
      <c r="L1086">
        <f t="shared" si="33"/>
        <v>8</v>
      </c>
    </row>
    <row r="1087" spans="1:12">
      <c r="A1087" t="s">
        <v>3357</v>
      </c>
      <c r="B1087" t="s">
        <v>342</v>
      </c>
      <c r="C1087" t="s">
        <v>2826</v>
      </c>
      <c r="D1087" t="s">
        <v>2836</v>
      </c>
      <c r="E1087">
        <v>0</v>
      </c>
      <c r="F1087">
        <v>0</v>
      </c>
      <c r="G1087">
        <v>0</v>
      </c>
      <c r="H1087">
        <f t="shared" si="32"/>
        <v>0</v>
      </c>
      <c r="I1087">
        <v>7</v>
      </c>
      <c r="J1087">
        <v>0</v>
      </c>
      <c r="K1087">
        <v>0</v>
      </c>
      <c r="L1087">
        <f t="shared" si="33"/>
        <v>7</v>
      </c>
    </row>
    <row r="1088" spans="1:12">
      <c r="A1088" t="s">
        <v>3357</v>
      </c>
      <c r="B1088" t="s">
        <v>342</v>
      </c>
      <c r="C1088" t="s">
        <v>2826</v>
      </c>
      <c r="D1088" t="s">
        <v>2907</v>
      </c>
      <c r="E1088">
        <v>0</v>
      </c>
      <c r="F1088">
        <v>0</v>
      </c>
      <c r="G1088">
        <v>0</v>
      </c>
      <c r="H1088">
        <f t="shared" si="32"/>
        <v>0</v>
      </c>
      <c r="I1088">
        <v>5</v>
      </c>
      <c r="J1088">
        <v>0</v>
      </c>
      <c r="K1088">
        <v>0</v>
      </c>
      <c r="L1088">
        <f t="shared" si="33"/>
        <v>5</v>
      </c>
    </row>
    <row r="1089" spans="1:12">
      <c r="A1089" t="s">
        <v>3357</v>
      </c>
      <c r="B1089" t="s">
        <v>342</v>
      </c>
      <c r="C1089" t="s">
        <v>2826</v>
      </c>
      <c r="D1089" t="s">
        <v>2908</v>
      </c>
      <c r="E1089">
        <v>0</v>
      </c>
      <c r="F1089">
        <v>0</v>
      </c>
      <c r="G1089">
        <v>0</v>
      </c>
      <c r="H1089">
        <f t="shared" si="32"/>
        <v>0</v>
      </c>
      <c r="I1089">
        <v>3</v>
      </c>
      <c r="J1089">
        <v>0</v>
      </c>
      <c r="K1089">
        <v>0</v>
      </c>
      <c r="L1089">
        <f t="shared" si="33"/>
        <v>3</v>
      </c>
    </row>
    <row r="1090" spans="1:12">
      <c r="A1090" t="s">
        <v>3357</v>
      </c>
      <c r="B1090" t="s">
        <v>342</v>
      </c>
      <c r="C1090" t="s">
        <v>2820</v>
      </c>
      <c r="D1090" t="s">
        <v>2821</v>
      </c>
      <c r="E1090">
        <v>0</v>
      </c>
      <c r="F1090">
        <v>0</v>
      </c>
      <c r="G1090">
        <v>0</v>
      </c>
      <c r="H1090">
        <f t="shared" si="32"/>
        <v>0</v>
      </c>
      <c r="I1090">
        <v>8</v>
      </c>
      <c r="J1090">
        <v>0</v>
      </c>
      <c r="K1090">
        <v>0</v>
      </c>
      <c r="L1090">
        <f t="shared" si="33"/>
        <v>8</v>
      </c>
    </row>
    <row r="1091" spans="1:12">
      <c r="A1091" t="s">
        <v>3360</v>
      </c>
      <c r="B1091" t="s">
        <v>1102</v>
      </c>
      <c r="C1091" t="s">
        <v>2805</v>
      </c>
      <c r="D1091" t="s">
        <v>2806</v>
      </c>
      <c r="E1091">
        <v>5</v>
      </c>
      <c r="F1091">
        <v>0</v>
      </c>
      <c r="G1091">
        <v>0</v>
      </c>
      <c r="H1091">
        <f t="shared" si="32"/>
        <v>5</v>
      </c>
      <c r="I1091">
        <v>0</v>
      </c>
      <c r="J1091">
        <v>0</v>
      </c>
      <c r="K1091">
        <v>0</v>
      </c>
      <c r="L1091">
        <f t="shared" si="33"/>
        <v>0</v>
      </c>
    </row>
    <row r="1092" spans="1:12">
      <c r="A1092" t="s">
        <v>3360</v>
      </c>
      <c r="B1092" t="s">
        <v>1102</v>
      </c>
      <c r="C1092" t="s">
        <v>2805</v>
      </c>
      <c r="D1092" t="s">
        <v>449</v>
      </c>
      <c r="E1092">
        <v>18</v>
      </c>
      <c r="F1092">
        <v>0</v>
      </c>
      <c r="G1092">
        <v>0</v>
      </c>
      <c r="H1092">
        <f t="shared" ref="H1092:H1155" si="34">SUM(E1092:G1092)</f>
        <v>18</v>
      </c>
      <c r="I1092">
        <v>0</v>
      </c>
      <c r="J1092">
        <v>0</v>
      </c>
      <c r="K1092">
        <v>0</v>
      </c>
      <c r="L1092">
        <f t="shared" ref="L1092:L1155" si="35">SUM(I1092:K1092)</f>
        <v>0</v>
      </c>
    </row>
    <row r="1093" spans="1:12">
      <c r="A1093" t="s">
        <v>3360</v>
      </c>
      <c r="B1093" t="s">
        <v>1102</v>
      </c>
      <c r="C1093" t="s">
        <v>2805</v>
      </c>
      <c r="D1093" t="s">
        <v>2807</v>
      </c>
      <c r="E1093">
        <v>3</v>
      </c>
      <c r="F1093">
        <v>0</v>
      </c>
      <c r="G1093">
        <v>0</v>
      </c>
      <c r="H1093">
        <f t="shared" si="34"/>
        <v>3</v>
      </c>
      <c r="I1093">
        <v>1</v>
      </c>
      <c r="J1093">
        <v>0</v>
      </c>
      <c r="K1093">
        <v>0</v>
      </c>
      <c r="L1093">
        <f t="shared" si="35"/>
        <v>1</v>
      </c>
    </row>
    <row r="1094" spans="1:12">
      <c r="A1094" t="s">
        <v>3360</v>
      </c>
      <c r="B1094" t="s">
        <v>1102</v>
      </c>
      <c r="C1094" t="s">
        <v>2810</v>
      </c>
      <c r="D1094" t="s">
        <v>2813</v>
      </c>
      <c r="E1094">
        <v>3</v>
      </c>
      <c r="F1094">
        <v>0</v>
      </c>
      <c r="G1094">
        <v>0</v>
      </c>
      <c r="H1094">
        <f t="shared" si="34"/>
        <v>3</v>
      </c>
      <c r="I1094">
        <v>0</v>
      </c>
      <c r="J1094">
        <v>0</v>
      </c>
      <c r="K1094">
        <v>0</v>
      </c>
      <c r="L1094">
        <f t="shared" si="35"/>
        <v>0</v>
      </c>
    </row>
    <row r="1095" spans="1:12">
      <c r="A1095" t="s">
        <v>3360</v>
      </c>
      <c r="B1095" t="s">
        <v>1102</v>
      </c>
      <c r="C1095" t="s">
        <v>2810</v>
      </c>
      <c r="D1095" t="s">
        <v>2814</v>
      </c>
      <c r="E1095">
        <v>6</v>
      </c>
      <c r="F1095">
        <v>0</v>
      </c>
      <c r="G1095">
        <v>0</v>
      </c>
      <c r="H1095">
        <f t="shared" si="34"/>
        <v>6</v>
      </c>
      <c r="I1095">
        <v>0</v>
      </c>
      <c r="J1095">
        <v>0</v>
      </c>
      <c r="K1095">
        <v>0</v>
      </c>
      <c r="L1095">
        <f t="shared" si="35"/>
        <v>0</v>
      </c>
    </row>
    <row r="1096" spans="1:12">
      <c r="A1096" t="s">
        <v>3360</v>
      </c>
      <c r="B1096" t="s">
        <v>1102</v>
      </c>
      <c r="C1096" t="s">
        <v>2810</v>
      </c>
      <c r="D1096" t="s">
        <v>3031</v>
      </c>
      <c r="E1096">
        <v>4</v>
      </c>
      <c r="F1096">
        <v>0</v>
      </c>
      <c r="G1096">
        <v>0</v>
      </c>
      <c r="H1096">
        <f t="shared" si="34"/>
        <v>4</v>
      </c>
      <c r="I1096">
        <v>0</v>
      </c>
      <c r="J1096">
        <v>0</v>
      </c>
      <c r="K1096">
        <v>0</v>
      </c>
      <c r="L1096">
        <f t="shared" si="35"/>
        <v>0</v>
      </c>
    </row>
    <row r="1097" spans="1:12">
      <c r="A1097" t="s">
        <v>3360</v>
      </c>
      <c r="B1097" t="s">
        <v>1102</v>
      </c>
      <c r="C1097" t="s">
        <v>2826</v>
      </c>
      <c r="D1097" t="s">
        <v>2858</v>
      </c>
      <c r="E1097">
        <v>4</v>
      </c>
      <c r="F1097">
        <v>0</v>
      </c>
      <c r="G1097">
        <v>0</v>
      </c>
      <c r="H1097">
        <f t="shared" si="34"/>
        <v>4</v>
      </c>
      <c r="I1097">
        <v>0</v>
      </c>
      <c r="J1097">
        <v>0</v>
      </c>
      <c r="K1097">
        <v>0</v>
      </c>
      <c r="L1097">
        <f t="shared" si="35"/>
        <v>0</v>
      </c>
    </row>
    <row r="1098" spans="1:12">
      <c r="A1098" t="s">
        <v>3360</v>
      </c>
      <c r="B1098" t="s">
        <v>1102</v>
      </c>
      <c r="C1098" t="s">
        <v>2826</v>
      </c>
      <c r="D1098" t="s">
        <v>2843</v>
      </c>
      <c r="E1098">
        <v>1</v>
      </c>
      <c r="F1098">
        <v>0</v>
      </c>
      <c r="G1098">
        <v>0</v>
      </c>
      <c r="H1098">
        <f t="shared" si="34"/>
        <v>1</v>
      </c>
      <c r="I1098">
        <v>0</v>
      </c>
      <c r="J1098">
        <v>0</v>
      </c>
      <c r="K1098">
        <v>0</v>
      </c>
      <c r="L1098">
        <f t="shared" si="35"/>
        <v>0</v>
      </c>
    </row>
    <row r="1099" spans="1:12">
      <c r="A1099" t="s">
        <v>3360</v>
      </c>
      <c r="B1099" t="s">
        <v>1102</v>
      </c>
      <c r="C1099" t="s">
        <v>2826</v>
      </c>
      <c r="D1099" t="s">
        <v>2834</v>
      </c>
      <c r="E1099">
        <v>3</v>
      </c>
      <c r="F1099">
        <v>0</v>
      </c>
      <c r="G1099">
        <v>0</v>
      </c>
      <c r="H1099">
        <f t="shared" si="34"/>
        <v>3</v>
      </c>
      <c r="I1099">
        <v>0</v>
      </c>
      <c r="J1099">
        <v>0</v>
      </c>
      <c r="K1099">
        <v>0</v>
      </c>
      <c r="L1099">
        <f t="shared" si="35"/>
        <v>0</v>
      </c>
    </row>
    <row r="1100" spans="1:12">
      <c r="A1100" t="s">
        <v>3360</v>
      </c>
      <c r="B1100" t="s">
        <v>1102</v>
      </c>
      <c r="C1100" t="s">
        <v>2820</v>
      </c>
      <c r="D1100" t="s">
        <v>2821</v>
      </c>
      <c r="E1100">
        <v>2</v>
      </c>
      <c r="F1100">
        <v>0</v>
      </c>
      <c r="G1100">
        <v>0</v>
      </c>
      <c r="H1100">
        <f t="shared" si="34"/>
        <v>2</v>
      </c>
      <c r="I1100">
        <v>0</v>
      </c>
      <c r="J1100">
        <v>0</v>
      </c>
      <c r="K1100">
        <v>0</v>
      </c>
      <c r="L1100">
        <f t="shared" si="35"/>
        <v>0</v>
      </c>
    </row>
    <row r="1101" spans="1:12">
      <c r="A1101" t="s">
        <v>3369</v>
      </c>
      <c r="B1101" t="s">
        <v>1104</v>
      </c>
      <c r="C1101" t="s">
        <v>2805</v>
      </c>
      <c r="D1101" t="s">
        <v>2806</v>
      </c>
      <c r="E1101">
        <v>19</v>
      </c>
      <c r="F1101">
        <v>0</v>
      </c>
      <c r="G1101">
        <v>0</v>
      </c>
      <c r="H1101">
        <f t="shared" si="34"/>
        <v>19</v>
      </c>
      <c r="I1101">
        <v>0</v>
      </c>
      <c r="J1101">
        <v>0</v>
      </c>
      <c r="K1101">
        <v>0</v>
      </c>
      <c r="L1101">
        <f t="shared" si="35"/>
        <v>0</v>
      </c>
    </row>
    <row r="1102" spans="1:12">
      <c r="A1102" t="s">
        <v>3369</v>
      </c>
      <c r="B1102" t="s">
        <v>1104</v>
      </c>
      <c r="C1102" t="s">
        <v>2805</v>
      </c>
      <c r="D1102" t="s">
        <v>449</v>
      </c>
      <c r="E1102">
        <v>92</v>
      </c>
      <c r="F1102">
        <v>0</v>
      </c>
      <c r="G1102">
        <v>0</v>
      </c>
      <c r="H1102">
        <f t="shared" si="34"/>
        <v>92</v>
      </c>
      <c r="I1102">
        <v>0</v>
      </c>
      <c r="J1102">
        <v>0</v>
      </c>
      <c r="K1102">
        <v>0</v>
      </c>
      <c r="L1102">
        <f t="shared" si="35"/>
        <v>0</v>
      </c>
    </row>
    <row r="1103" spans="1:12">
      <c r="A1103" t="s">
        <v>3369</v>
      </c>
      <c r="B1103" t="s">
        <v>1104</v>
      </c>
      <c r="C1103" t="s">
        <v>2805</v>
      </c>
      <c r="D1103" t="s">
        <v>2807</v>
      </c>
      <c r="E1103">
        <v>3</v>
      </c>
      <c r="F1103">
        <v>0</v>
      </c>
      <c r="G1103">
        <v>0</v>
      </c>
      <c r="H1103">
        <f t="shared" si="34"/>
        <v>3</v>
      </c>
      <c r="I1103">
        <v>0</v>
      </c>
      <c r="J1103">
        <v>0</v>
      </c>
      <c r="K1103">
        <v>0</v>
      </c>
      <c r="L1103">
        <f t="shared" si="35"/>
        <v>0</v>
      </c>
    </row>
    <row r="1104" spans="1:12">
      <c r="A1104" t="s">
        <v>3369</v>
      </c>
      <c r="B1104" t="s">
        <v>1104</v>
      </c>
      <c r="C1104" t="s">
        <v>2805</v>
      </c>
      <c r="D1104" t="s">
        <v>2846</v>
      </c>
      <c r="E1104">
        <v>3</v>
      </c>
      <c r="F1104">
        <v>0</v>
      </c>
      <c r="G1104">
        <v>0</v>
      </c>
      <c r="H1104">
        <f t="shared" si="34"/>
        <v>3</v>
      </c>
      <c r="I1104">
        <v>0</v>
      </c>
      <c r="J1104">
        <v>0</v>
      </c>
      <c r="K1104">
        <v>0</v>
      </c>
      <c r="L1104">
        <f t="shared" si="35"/>
        <v>0</v>
      </c>
    </row>
    <row r="1105" spans="1:12">
      <c r="A1105" t="s">
        <v>3369</v>
      </c>
      <c r="B1105" t="s">
        <v>1104</v>
      </c>
      <c r="C1105" t="s">
        <v>2810</v>
      </c>
      <c r="D1105" t="s">
        <v>2811</v>
      </c>
      <c r="E1105">
        <v>3</v>
      </c>
      <c r="F1105">
        <v>0</v>
      </c>
      <c r="G1105">
        <v>0</v>
      </c>
      <c r="H1105">
        <f t="shared" si="34"/>
        <v>3</v>
      </c>
      <c r="I1105">
        <v>0</v>
      </c>
      <c r="J1105">
        <v>0</v>
      </c>
      <c r="K1105">
        <v>0</v>
      </c>
      <c r="L1105">
        <f t="shared" si="35"/>
        <v>0</v>
      </c>
    </row>
    <row r="1106" spans="1:12">
      <c r="A1106" t="s">
        <v>3369</v>
      </c>
      <c r="B1106" t="s">
        <v>1104</v>
      </c>
      <c r="C1106" t="s">
        <v>2810</v>
      </c>
      <c r="D1106" t="s">
        <v>2823</v>
      </c>
      <c r="E1106">
        <v>3</v>
      </c>
      <c r="F1106">
        <v>0</v>
      </c>
      <c r="G1106">
        <v>0</v>
      </c>
      <c r="H1106">
        <f t="shared" si="34"/>
        <v>3</v>
      </c>
      <c r="I1106">
        <v>0</v>
      </c>
      <c r="J1106">
        <v>0</v>
      </c>
      <c r="K1106">
        <v>0</v>
      </c>
      <c r="L1106">
        <f t="shared" si="35"/>
        <v>0</v>
      </c>
    </row>
    <row r="1107" spans="1:12">
      <c r="A1107" t="s">
        <v>3369</v>
      </c>
      <c r="B1107" t="s">
        <v>1104</v>
      </c>
      <c r="C1107" t="s">
        <v>2810</v>
      </c>
      <c r="D1107" t="s">
        <v>2812</v>
      </c>
      <c r="E1107">
        <v>37</v>
      </c>
      <c r="F1107">
        <v>0</v>
      </c>
      <c r="G1107">
        <v>0</v>
      </c>
      <c r="H1107">
        <f t="shared" si="34"/>
        <v>37</v>
      </c>
      <c r="I1107">
        <v>0</v>
      </c>
      <c r="J1107">
        <v>0</v>
      </c>
      <c r="K1107">
        <v>0</v>
      </c>
      <c r="L1107">
        <f t="shared" si="35"/>
        <v>0</v>
      </c>
    </row>
    <row r="1108" spans="1:12">
      <c r="A1108" t="s">
        <v>3369</v>
      </c>
      <c r="B1108" t="s">
        <v>1104</v>
      </c>
      <c r="C1108" t="s">
        <v>2810</v>
      </c>
      <c r="D1108" t="s">
        <v>2813</v>
      </c>
      <c r="E1108">
        <v>17</v>
      </c>
      <c r="F1108">
        <v>0</v>
      </c>
      <c r="G1108">
        <v>0</v>
      </c>
      <c r="H1108">
        <f t="shared" si="34"/>
        <v>17</v>
      </c>
      <c r="I1108">
        <v>0</v>
      </c>
      <c r="J1108">
        <v>0</v>
      </c>
      <c r="K1108">
        <v>0</v>
      </c>
      <c r="L1108">
        <f t="shared" si="35"/>
        <v>0</v>
      </c>
    </row>
    <row r="1109" spans="1:12">
      <c r="A1109" t="s">
        <v>3369</v>
      </c>
      <c r="B1109" t="s">
        <v>1104</v>
      </c>
      <c r="C1109" t="s">
        <v>2810</v>
      </c>
      <c r="D1109" t="s">
        <v>2814</v>
      </c>
      <c r="E1109">
        <v>3</v>
      </c>
      <c r="F1109">
        <v>0</v>
      </c>
      <c r="G1109">
        <v>0</v>
      </c>
      <c r="H1109">
        <f t="shared" si="34"/>
        <v>3</v>
      </c>
      <c r="I1109">
        <v>0</v>
      </c>
      <c r="J1109">
        <v>0</v>
      </c>
      <c r="K1109">
        <v>0</v>
      </c>
      <c r="L1109">
        <f t="shared" si="35"/>
        <v>0</v>
      </c>
    </row>
    <row r="1110" spans="1:12">
      <c r="A1110" t="s">
        <v>3369</v>
      </c>
      <c r="B1110" t="s">
        <v>1104</v>
      </c>
      <c r="C1110" t="s">
        <v>2810</v>
      </c>
      <c r="D1110" t="s">
        <v>2847</v>
      </c>
      <c r="E1110">
        <v>31</v>
      </c>
      <c r="F1110">
        <v>0</v>
      </c>
      <c r="G1110">
        <v>0</v>
      </c>
      <c r="H1110">
        <f t="shared" si="34"/>
        <v>31</v>
      </c>
      <c r="I1110">
        <v>0</v>
      </c>
      <c r="J1110">
        <v>0</v>
      </c>
      <c r="K1110">
        <v>0</v>
      </c>
      <c r="L1110">
        <f t="shared" si="35"/>
        <v>0</v>
      </c>
    </row>
    <row r="1111" spans="1:12">
      <c r="A1111" t="s">
        <v>3369</v>
      </c>
      <c r="B1111" t="s">
        <v>1104</v>
      </c>
      <c r="C1111" t="s">
        <v>2810</v>
      </c>
      <c r="D1111" t="s">
        <v>2815</v>
      </c>
      <c r="E1111">
        <v>3</v>
      </c>
      <c r="F1111">
        <v>0</v>
      </c>
      <c r="G1111">
        <v>0</v>
      </c>
      <c r="H1111">
        <f t="shared" si="34"/>
        <v>3</v>
      </c>
      <c r="I1111">
        <v>0</v>
      </c>
      <c r="J1111">
        <v>0</v>
      </c>
      <c r="K1111">
        <v>0</v>
      </c>
      <c r="L1111">
        <f t="shared" si="35"/>
        <v>0</v>
      </c>
    </row>
    <row r="1112" spans="1:12">
      <c r="A1112" t="s">
        <v>3369</v>
      </c>
      <c r="B1112" t="s">
        <v>1104</v>
      </c>
      <c r="C1112" t="s">
        <v>2816</v>
      </c>
      <c r="D1112" t="s">
        <v>1897</v>
      </c>
      <c r="E1112">
        <v>7</v>
      </c>
      <c r="F1112">
        <v>0</v>
      </c>
      <c r="G1112">
        <v>0</v>
      </c>
      <c r="H1112">
        <f t="shared" si="34"/>
        <v>7</v>
      </c>
      <c r="I1112">
        <v>0</v>
      </c>
      <c r="J1112">
        <v>0</v>
      </c>
      <c r="K1112">
        <v>0</v>
      </c>
      <c r="L1112">
        <f t="shared" si="35"/>
        <v>0</v>
      </c>
    </row>
    <row r="1113" spans="1:12">
      <c r="A1113" t="s">
        <v>3374</v>
      </c>
      <c r="B1113" t="s">
        <v>3375</v>
      </c>
      <c r="C1113" t="s">
        <v>2805</v>
      </c>
      <c r="D1113" t="s">
        <v>2806</v>
      </c>
      <c r="E1113">
        <v>8</v>
      </c>
      <c r="F1113">
        <v>0</v>
      </c>
      <c r="G1113">
        <v>0</v>
      </c>
      <c r="H1113">
        <f t="shared" si="34"/>
        <v>8</v>
      </c>
      <c r="I1113">
        <v>0</v>
      </c>
      <c r="J1113">
        <v>0</v>
      </c>
      <c r="K1113">
        <v>0</v>
      </c>
      <c r="L1113">
        <f t="shared" si="35"/>
        <v>0</v>
      </c>
    </row>
    <row r="1114" spans="1:12">
      <c r="A1114" t="s">
        <v>3374</v>
      </c>
      <c r="B1114" t="s">
        <v>3375</v>
      </c>
      <c r="C1114" t="s">
        <v>2805</v>
      </c>
      <c r="D1114" t="s">
        <v>449</v>
      </c>
      <c r="E1114">
        <v>12</v>
      </c>
      <c r="F1114">
        <v>0</v>
      </c>
      <c r="G1114">
        <v>0</v>
      </c>
      <c r="H1114">
        <f t="shared" si="34"/>
        <v>12</v>
      </c>
      <c r="I1114">
        <v>0</v>
      </c>
      <c r="J1114">
        <v>0</v>
      </c>
      <c r="K1114">
        <v>0</v>
      </c>
      <c r="L1114">
        <f t="shared" si="35"/>
        <v>0</v>
      </c>
    </row>
    <row r="1115" spans="1:12">
      <c r="A1115" t="s">
        <v>3374</v>
      </c>
      <c r="B1115" t="s">
        <v>3375</v>
      </c>
      <c r="C1115" t="s">
        <v>2805</v>
      </c>
      <c r="D1115" t="s">
        <v>2807</v>
      </c>
      <c r="E1115">
        <v>5</v>
      </c>
      <c r="F1115">
        <v>0</v>
      </c>
      <c r="G1115">
        <v>0</v>
      </c>
      <c r="H1115">
        <f t="shared" si="34"/>
        <v>5</v>
      </c>
      <c r="I1115">
        <v>0</v>
      </c>
      <c r="J1115">
        <v>0</v>
      </c>
      <c r="K1115">
        <v>0</v>
      </c>
      <c r="L1115">
        <f t="shared" si="35"/>
        <v>0</v>
      </c>
    </row>
    <row r="1116" spans="1:12">
      <c r="A1116" t="s">
        <v>3374</v>
      </c>
      <c r="B1116" t="s">
        <v>3375</v>
      </c>
      <c r="C1116" t="s">
        <v>2810</v>
      </c>
      <c r="D1116" t="s">
        <v>2813</v>
      </c>
      <c r="E1116">
        <v>5</v>
      </c>
      <c r="F1116">
        <v>0</v>
      </c>
      <c r="G1116">
        <v>0</v>
      </c>
      <c r="H1116">
        <f t="shared" si="34"/>
        <v>5</v>
      </c>
      <c r="I1116">
        <v>0</v>
      </c>
      <c r="J1116">
        <v>0</v>
      </c>
      <c r="K1116">
        <v>0</v>
      </c>
      <c r="L1116">
        <f t="shared" si="35"/>
        <v>0</v>
      </c>
    </row>
    <row r="1117" spans="1:12">
      <c r="A1117" t="s">
        <v>3374</v>
      </c>
      <c r="B1117" t="s">
        <v>3375</v>
      </c>
      <c r="C1117" t="s">
        <v>2810</v>
      </c>
      <c r="D1117" t="s">
        <v>2814</v>
      </c>
      <c r="E1117">
        <v>5</v>
      </c>
      <c r="F1117">
        <v>0</v>
      </c>
      <c r="G1117">
        <v>0</v>
      </c>
      <c r="H1117">
        <f t="shared" si="34"/>
        <v>5</v>
      </c>
      <c r="I1117">
        <v>0</v>
      </c>
      <c r="J1117">
        <v>0</v>
      </c>
      <c r="K1117">
        <v>0</v>
      </c>
      <c r="L1117">
        <f t="shared" si="35"/>
        <v>0</v>
      </c>
    </row>
    <row r="1118" spans="1:12">
      <c r="A1118" t="s">
        <v>3374</v>
      </c>
      <c r="B1118" t="s">
        <v>3375</v>
      </c>
      <c r="C1118" t="s">
        <v>2810</v>
      </c>
      <c r="D1118" t="s">
        <v>2815</v>
      </c>
      <c r="E1118">
        <v>7</v>
      </c>
      <c r="F1118">
        <v>0</v>
      </c>
      <c r="G1118">
        <v>0</v>
      </c>
      <c r="H1118">
        <f t="shared" si="34"/>
        <v>7</v>
      </c>
      <c r="I1118">
        <v>0</v>
      </c>
      <c r="J1118">
        <v>0</v>
      </c>
      <c r="K1118">
        <v>0</v>
      </c>
      <c r="L1118">
        <f t="shared" si="35"/>
        <v>0</v>
      </c>
    </row>
    <row r="1119" spans="1:12">
      <c r="A1119" t="s">
        <v>3374</v>
      </c>
      <c r="B1119" t="s">
        <v>3375</v>
      </c>
      <c r="C1119" t="s">
        <v>2816</v>
      </c>
      <c r="D1119" t="s">
        <v>1897</v>
      </c>
      <c r="E1119">
        <v>1</v>
      </c>
      <c r="F1119">
        <v>0</v>
      </c>
      <c r="G1119">
        <v>0</v>
      </c>
      <c r="H1119">
        <f t="shared" si="34"/>
        <v>1</v>
      </c>
      <c r="I1119">
        <v>0</v>
      </c>
      <c r="J1119">
        <v>0</v>
      </c>
      <c r="K1119">
        <v>0</v>
      </c>
      <c r="L1119">
        <f t="shared" si="35"/>
        <v>0</v>
      </c>
    </row>
    <row r="1120" spans="1:12">
      <c r="A1120" t="s">
        <v>3374</v>
      </c>
      <c r="B1120" t="s">
        <v>3375</v>
      </c>
      <c r="C1120" t="s">
        <v>2826</v>
      </c>
      <c r="D1120" t="s">
        <v>2858</v>
      </c>
      <c r="E1120">
        <v>2</v>
      </c>
      <c r="F1120">
        <v>0</v>
      </c>
      <c r="G1120">
        <v>0</v>
      </c>
      <c r="H1120">
        <f t="shared" si="34"/>
        <v>2</v>
      </c>
      <c r="I1120">
        <v>0</v>
      </c>
      <c r="J1120">
        <v>0</v>
      </c>
      <c r="K1120">
        <v>0</v>
      </c>
      <c r="L1120">
        <f t="shared" si="35"/>
        <v>0</v>
      </c>
    </row>
    <row r="1121" spans="1:12">
      <c r="A1121" t="s">
        <v>3374</v>
      </c>
      <c r="B1121" t="s">
        <v>3375</v>
      </c>
      <c r="C1121" t="s">
        <v>2826</v>
      </c>
      <c r="D1121" t="s">
        <v>2843</v>
      </c>
      <c r="E1121">
        <v>2</v>
      </c>
      <c r="F1121">
        <v>0</v>
      </c>
      <c r="G1121">
        <v>0</v>
      </c>
      <c r="H1121">
        <f t="shared" si="34"/>
        <v>2</v>
      </c>
      <c r="I1121">
        <v>0</v>
      </c>
      <c r="J1121">
        <v>0</v>
      </c>
      <c r="K1121">
        <v>0</v>
      </c>
      <c r="L1121">
        <f t="shared" si="35"/>
        <v>0</v>
      </c>
    </row>
    <row r="1122" spans="1:12">
      <c r="A1122" t="s">
        <v>3374</v>
      </c>
      <c r="B1122" t="s">
        <v>3375</v>
      </c>
      <c r="C1122" t="s">
        <v>2826</v>
      </c>
      <c r="D1122" t="s">
        <v>2834</v>
      </c>
      <c r="E1122">
        <v>1</v>
      </c>
      <c r="F1122">
        <v>0</v>
      </c>
      <c r="G1122">
        <v>0</v>
      </c>
      <c r="H1122">
        <f t="shared" si="34"/>
        <v>1</v>
      </c>
      <c r="I1122">
        <v>0</v>
      </c>
      <c r="J1122">
        <v>0</v>
      </c>
      <c r="K1122">
        <v>0</v>
      </c>
      <c r="L1122">
        <f t="shared" si="35"/>
        <v>0</v>
      </c>
    </row>
    <row r="1123" spans="1:12">
      <c r="A1123" t="s">
        <v>3374</v>
      </c>
      <c r="B1123" t="s">
        <v>3375</v>
      </c>
      <c r="C1123" t="s">
        <v>2817</v>
      </c>
      <c r="D1123" t="s">
        <v>2818</v>
      </c>
      <c r="E1123">
        <v>1</v>
      </c>
      <c r="F1123">
        <v>0</v>
      </c>
      <c r="G1123">
        <v>0</v>
      </c>
      <c r="H1123">
        <f t="shared" si="34"/>
        <v>1</v>
      </c>
      <c r="I1123">
        <v>0</v>
      </c>
      <c r="J1123">
        <v>0</v>
      </c>
      <c r="K1123">
        <v>0</v>
      </c>
      <c r="L1123">
        <f t="shared" si="35"/>
        <v>0</v>
      </c>
    </row>
    <row r="1124" spans="1:12">
      <c r="A1124" t="s">
        <v>3378</v>
      </c>
      <c r="B1124" t="s">
        <v>1110</v>
      </c>
      <c r="C1124" t="s">
        <v>2805</v>
      </c>
      <c r="D1124" t="s">
        <v>2806</v>
      </c>
      <c r="E1124">
        <v>17</v>
      </c>
      <c r="F1124">
        <v>0</v>
      </c>
      <c r="G1124">
        <v>0</v>
      </c>
      <c r="H1124">
        <f t="shared" si="34"/>
        <v>17</v>
      </c>
      <c r="I1124">
        <v>0</v>
      </c>
      <c r="J1124">
        <v>0</v>
      </c>
      <c r="K1124">
        <v>0</v>
      </c>
      <c r="L1124">
        <f t="shared" si="35"/>
        <v>0</v>
      </c>
    </row>
    <row r="1125" spans="1:12">
      <c r="A1125" t="s">
        <v>3378</v>
      </c>
      <c r="B1125" t="s">
        <v>1110</v>
      </c>
      <c r="C1125" t="s">
        <v>2805</v>
      </c>
      <c r="D1125" t="s">
        <v>449</v>
      </c>
      <c r="E1125">
        <v>41</v>
      </c>
      <c r="F1125">
        <v>0</v>
      </c>
      <c r="G1125">
        <v>0</v>
      </c>
      <c r="H1125">
        <f t="shared" si="34"/>
        <v>41</v>
      </c>
      <c r="I1125">
        <v>0</v>
      </c>
      <c r="J1125">
        <v>0</v>
      </c>
      <c r="K1125">
        <v>0</v>
      </c>
      <c r="L1125">
        <f t="shared" si="35"/>
        <v>0</v>
      </c>
    </row>
    <row r="1126" spans="1:12">
      <c r="A1126" t="s">
        <v>3378</v>
      </c>
      <c r="B1126" t="s">
        <v>1110</v>
      </c>
      <c r="C1126" t="s">
        <v>2805</v>
      </c>
      <c r="D1126" t="s">
        <v>2807</v>
      </c>
      <c r="E1126">
        <v>1</v>
      </c>
      <c r="F1126">
        <v>0</v>
      </c>
      <c r="G1126">
        <v>0</v>
      </c>
      <c r="H1126">
        <f t="shared" si="34"/>
        <v>1</v>
      </c>
      <c r="I1126">
        <v>0</v>
      </c>
      <c r="J1126">
        <v>0</v>
      </c>
      <c r="K1126">
        <v>0</v>
      </c>
      <c r="L1126">
        <f t="shared" si="35"/>
        <v>0</v>
      </c>
    </row>
    <row r="1127" spans="1:12">
      <c r="A1127" t="s">
        <v>3378</v>
      </c>
      <c r="B1127" t="s">
        <v>1110</v>
      </c>
      <c r="C1127" t="s">
        <v>2810</v>
      </c>
      <c r="D1127" t="s">
        <v>2811</v>
      </c>
      <c r="E1127">
        <v>8</v>
      </c>
      <c r="F1127">
        <v>0</v>
      </c>
      <c r="G1127">
        <v>0</v>
      </c>
      <c r="H1127">
        <f t="shared" si="34"/>
        <v>8</v>
      </c>
      <c r="I1127">
        <v>0</v>
      </c>
      <c r="J1127">
        <v>0</v>
      </c>
      <c r="K1127">
        <v>0</v>
      </c>
      <c r="L1127">
        <f t="shared" si="35"/>
        <v>0</v>
      </c>
    </row>
    <row r="1128" spans="1:12">
      <c r="A1128" t="s">
        <v>3378</v>
      </c>
      <c r="B1128" t="s">
        <v>1110</v>
      </c>
      <c r="C1128" t="s">
        <v>2810</v>
      </c>
      <c r="D1128" t="s">
        <v>2813</v>
      </c>
      <c r="E1128">
        <v>1</v>
      </c>
      <c r="F1128">
        <v>0</v>
      </c>
      <c r="G1128">
        <v>0</v>
      </c>
      <c r="H1128">
        <f t="shared" si="34"/>
        <v>1</v>
      </c>
      <c r="I1128">
        <v>0</v>
      </c>
      <c r="J1128">
        <v>0</v>
      </c>
      <c r="K1128">
        <v>0</v>
      </c>
      <c r="L1128">
        <f t="shared" si="35"/>
        <v>0</v>
      </c>
    </row>
    <row r="1129" spans="1:12">
      <c r="A1129" t="s">
        <v>3378</v>
      </c>
      <c r="B1129" t="s">
        <v>1110</v>
      </c>
      <c r="C1129" t="s">
        <v>2810</v>
      </c>
      <c r="D1129" t="s">
        <v>2814</v>
      </c>
      <c r="E1129">
        <v>10</v>
      </c>
      <c r="F1129">
        <v>0</v>
      </c>
      <c r="G1129">
        <v>0</v>
      </c>
      <c r="H1129">
        <f t="shared" si="34"/>
        <v>10</v>
      </c>
      <c r="I1129">
        <v>0</v>
      </c>
      <c r="J1129">
        <v>0</v>
      </c>
      <c r="K1129">
        <v>0</v>
      </c>
      <c r="L1129">
        <f t="shared" si="35"/>
        <v>0</v>
      </c>
    </row>
    <row r="1130" spans="1:12">
      <c r="A1130" t="s">
        <v>3381</v>
      </c>
      <c r="B1130" t="s">
        <v>1113</v>
      </c>
      <c r="C1130" t="s">
        <v>2805</v>
      </c>
      <c r="D1130" t="s">
        <v>2806</v>
      </c>
      <c r="E1130">
        <v>42</v>
      </c>
      <c r="F1130">
        <v>0</v>
      </c>
      <c r="G1130">
        <v>0</v>
      </c>
      <c r="H1130">
        <f t="shared" si="34"/>
        <v>42</v>
      </c>
      <c r="I1130">
        <v>19</v>
      </c>
      <c r="J1130">
        <v>0</v>
      </c>
      <c r="K1130">
        <v>0</v>
      </c>
      <c r="L1130">
        <f t="shared" si="35"/>
        <v>19</v>
      </c>
    </row>
    <row r="1131" spans="1:12">
      <c r="A1131" t="s">
        <v>3381</v>
      </c>
      <c r="B1131" t="s">
        <v>1113</v>
      </c>
      <c r="C1131" t="s">
        <v>2805</v>
      </c>
      <c r="D1131" t="s">
        <v>449</v>
      </c>
      <c r="E1131">
        <v>92</v>
      </c>
      <c r="F1131">
        <v>0</v>
      </c>
      <c r="G1131">
        <v>0</v>
      </c>
      <c r="H1131">
        <f t="shared" si="34"/>
        <v>92</v>
      </c>
      <c r="I1131">
        <v>48</v>
      </c>
      <c r="J1131">
        <v>0</v>
      </c>
      <c r="K1131">
        <v>0</v>
      </c>
      <c r="L1131">
        <f t="shared" si="35"/>
        <v>48</v>
      </c>
    </row>
    <row r="1132" spans="1:12">
      <c r="A1132" t="s">
        <v>3381</v>
      </c>
      <c r="B1132" t="s">
        <v>1113</v>
      </c>
      <c r="C1132" t="s">
        <v>2805</v>
      </c>
      <c r="D1132" t="s">
        <v>2807</v>
      </c>
      <c r="E1132">
        <v>2</v>
      </c>
      <c r="F1132">
        <v>0</v>
      </c>
      <c r="G1132">
        <v>0</v>
      </c>
      <c r="H1132">
        <f t="shared" si="34"/>
        <v>2</v>
      </c>
      <c r="I1132">
        <v>1</v>
      </c>
      <c r="J1132">
        <v>0</v>
      </c>
      <c r="K1132">
        <v>0</v>
      </c>
      <c r="L1132">
        <f t="shared" si="35"/>
        <v>1</v>
      </c>
    </row>
    <row r="1133" spans="1:12">
      <c r="A1133" t="s">
        <v>3381</v>
      </c>
      <c r="B1133" t="s">
        <v>1113</v>
      </c>
      <c r="C1133" t="s">
        <v>2810</v>
      </c>
      <c r="D1133" t="s">
        <v>2811</v>
      </c>
      <c r="E1133">
        <v>16</v>
      </c>
      <c r="F1133">
        <v>0</v>
      </c>
      <c r="G1133">
        <v>0</v>
      </c>
      <c r="H1133">
        <f t="shared" si="34"/>
        <v>16</v>
      </c>
      <c r="I1133">
        <v>6</v>
      </c>
      <c r="J1133">
        <v>0</v>
      </c>
      <c r="K1133">
        <v>0</v>
      </c>
      <c r="L1133">
        <f t="shared" si="35"/>
        <v>6</v>
      </c>
    </row>
    <row r="1134" spans="1:12">
      <c r="A1134" t="s">
        <v>3381</v>
      </c>
      <c r="B1134" t="s">
        <v>1113</v>
      </c>
      <c r="C1134" t="s">
        <v>2810</v>
      </c>
      <c r="D1134" t="s">
        <v>2823</v>
      </c>
      <c r="E1134">
        <v>0</v>
      </c>
      <c r="F1134">
        <v>0</v>
      </c>
      <c r="G1134">
        <v>0</v>
      </c>
      <c r="H1134">
        <f t="shared" si="34"/>
        <v>0</v>
      </c>
      <c r="I1134">
        <v>1</v>
      </c>
      <c r="J1134">
        <v>1</v>
      </c>
      <c r="K1134">
        <v>0</v>
      </c>
      <c r="L1134">
        <f t="shared" si="35"/>
        <v>2</v>
      </c>
    </row>
    <row r="1135" spans="1:12">
      <c r="A1135" t="s">
        <v>3381</v>
      </c>
      <c r="B1135" t="s">
        <v>1113</v>
      </c>
      <c r="C1135" t="s">
        <v>2810</v>
      </c>
      <c r="D1135" t="s">
        <v>2812</v>
      </c>
      <c r="E1135">
        <v>3</v>
      </c>
      <c r="F1135">
        <v>0</v>
      </c>
      <c r="G1135">
        <v>0</v>
      </c>
      <c r="H1135">
        <f t="shared" si="34"/>
        <v>3</v>
      </c>
      <c r="I1135">
        <v>2</v>
      </c>
      <c r="J1135">
        <v>0</v>
      </c>
      <c r="K1135">
        <v>0</v>
      </c>
      <c r="L1135">
        <f t="shared" si="35"/>
        <v>2</v>
      </c>
    </row>
    <row r="1136" spans="1:12">
      <c r="A1136" t="s">
        <v>3381</v>
      </c>
      <c r="B1136" t="s">
        <v>1113</v>
      </c>
      <c r="C1136" t="s">
        <v>2810</v>
      </c>
      <c r="D1136" t="s">
        <v>2813</v>
      </c>
      <c r="E1136">
        <v>12</v>
      </c>
      <c r="F1136">
        <v>0</v>
      </c>
      <c r="G1136">
        <v>0</v>
      </c>
      <c r="H1136">
        <f t="shared" si="34"/>
        <v>12</v>
      </c>
      <c r="I1136">
        <v>4</v>
      </c>
      <c r="J1136">
        <v>0</v>
      </c>
      <c r="K1136">
        <v>0</v>
      </c>
      <c r="L1136">
        <f t="shared" si="35"/>
        <v>4</v>
      </c>
    </row>
    <row r="1137" spans="1:12">
      <c r="A1137" t="s">
        <v>3381</v>
      </c>
      <c r="B1137" t="s">
        <v>1113</v>
      </c>
      <c r="C1137" t="s">
        <v>2810</v>
      </c>
      <c r="D1137" t="s">
        <v>2840</v>
      </c>
      <c r="E1137">
        <v>1</v>
      </c>
      <c r="F1137">
        <v>0</v>
      </c>
      <c r="G1137">
        <v>0</v>
      </c>
      <c r="H1137">
        <f t="shared" si="34"/>
        <v>1</v>
      </c>
      <c r="I1137">
        <v>0</v>
      </c>
      <c r="J1137">
        <v>0</v>
      </c>
      <c r="K1137">
        <v>0</v>
      </c>
      <c r="L1137">
        <f t="shared" si="35"/>
        <v>0</v>
      </c>
    </row>
    <row r="1138" spans="1:12">
      <c r="A1138" t="s">
        <v>3381</v>
      </c>
      <c r="B1138" t="s">
        <v>1113</v>
      </c>
      <c r="C1138" t="s">
        <v>2816</v>
      </c>
      <c r="D1138" t="s">
        <v>1897</v>
      </c>
      <c r="E1138">
        <v>6</v>
      </c>
      <c r="F1138">
        <v>0</v>
      </c>
      <c r="G1138">
        <v>0</v>
      </c>
      <c r="H1138">
        <f t="shared" si="34"/>
        <v>6</v>
      </c>
      <c r="I1138">
        <v>0</v>
      </c>
      <c r="J1138">
        <v>0</v>
      </c>
      <c r="K1138">
        <v>0</v>
      </c>
      <c r="L1138">
        <f t="shared" si="35"/>
        <v>0</v>
      </c>
    </row>
    <row r="1139" spans="1:12">
      <c r="A1139" t="s">
        <v>3381</v>
      </c>
      <c r="B1139" t="s">
        <v>1113</v>
      </c>
      <c r="C1139" t="s">
        <v>2826</v>
      </c>
      <c r="D1139" t="s">
        <v>2827</v>
      </c>
      <c r="E1139">
        <v>0</v>
      </c>
      <c r="F1139">
        <v>0</v>
      </c>
      <c r="G1139">
        <v>0</v>
      </c>
      <c r="H1139">
        <f t="shared" si="34"/>
        <v>0</v>
      </c>
      <c r="I1139">
        <v>1</v>
      </c>
      <c r="J1139">
        <v>0</v>
      </c>
      <c r="K1139">
        <v>0</v>
      </c>
      <c r="L1139">
        <f t="shared" si="35"/>
        <v>1</v>
      </c>
    </row>
    <row r="1140" spans="1:12">
      <c r="A1140" t="s">
        <v>3381</v>
      </c>
      <c r="B1140" t="s">
        <v>1113</v>
      </c>
      <c r="C1140" t="s">
        <v>2817</v>
      </c>
      <c r="D1140" t="s">
        <v>2887</v>
      </c>
      <c r="E1140">
        <v>0</v>
      </c>
      <c r="F1140">
        <v>0</v>
      </c>
      <c r="G1140">
        <v>0</v>
      </c>
      <c r="H1140">
        <f t="shared" si="34"/>
        <v>0</v>
      </c>
      <c r="I1140">
        <v>1</v>
      </c>
      <c r="J1140">
        <v>1</v>
      </c>
      <c r="K1140">
        <v>0</v>
      </c>
      <c r="L1140">
        <f t="shared" si="35"/>
        <v>2</v>
      </c>
    </row>
    <row r="1141" spans="1:12">
      <c r="A1141" t="s">
        <v>3381</v>
      </c>
      <c r="B1141" t="s">
        <v>1113</v>
      </c>
      <c r="C1141" t="s">
        <v>2817</v>
      </c>
      <c r="D1141" t="s">
        <v>2888</v>
      </c>
      <c r="E1141">
        <v>3</v>
      </c>
      <c r="F1141">
        <v>0</v>
      </c>
      <c r="G1141">
        <v>0</v>
      </c>
      <c r="H1141">
        <f t="shared" si="34"/>
        <v>3</v>
      </c>
      <c r="I1141">
        <v>2</v>
      </c>
      <c r="J1141">
        <v>0</v>
      </c>
      <c r="K1141">
        <v>0</v>
      </c>
      <c r="L1141">
        <f t="shared" si="35"/>
        <v>2</v>
      </c>
    </row>
    <row r="1142" spans="1:12">
      <c r="A1142" t="s">
        <v>3381</v>
      </c>
      <c r="B1142" t="s">
        <v>1113</v>
      </c>
      <c r="C1142" t="s">
        <v>2817</v>
      </c>
      <c r="D1142" t="s">
        <v>2877</v>
      </c>
      <c r="E1142">
        <v>3</v>
      </c>
      <c r="F1142">
        <v>0</v>
      </c>
      <c r="G1142">
        <v>0</v>
      </c>
      <c r="H1142">
        <f t="shared" si="34"/>
        <v>3</v>
      </c>
      <c r="I1142">
        <v>0</v>
      </c>
      <c r="J1142">
        <v>0</v>
      </c>
      <c r="K1142">
        <v>0</v>
      </c>
      <c r="L1142">
        <f t="shared" si="35"/>
        <v>0</v>
      </c>
    </row>
    <row r="1143" spans="1:12">
      <c r="A1143" t="s">
        <v>3381</v>
      </c>
      <c r="B1143" t="s">
        <v>1113</v>
      </c>
      <c r="C1143" t="s">
        <v>2817</v>
      </c>
      <c r="D1143" t="s">
        <v>2818</v>
      </c>
      <c r="E1143">
        <v>2</v>
      </c>
      <c r="F1143">
        <v>0</v>
      </c>
      <c r="G1143">
        <v>0</v>
      </c>
      <c r="H1143">
        <f t="shared" si="34"/>
        <v>2</v>
      </c>
      <c r="I1143">
        <v>2</v>
      </c>
      <c r="J1143">
        <v>0</v>
      </c>
      <c r="K1143">
        <v>0</v>
      </c>
      <c r="L1143">
        <f t="shared" si="35"/>
        <v>2</v>
      </c>
    </row>
    <row r="1144" spans="1:12">
      <c r="A1144" t="s">
        <v>3381</v>
      </c>
      <c r="B1144" t="s">
        <v>1113</v>
      </c>
      <c r="C1144" t="s">
        <v>2817</v>
      </c>
      <c r="D1144" t="s">
        <v>2909</v>
      </c>
      <c r="E1144">
        <v>4</v>
      </c>
      <c r="F1144">
        <v>0</v>
      </c>
      <c r="G1144">
        <v>0</v>
      </c>
      <c r="H1144">
        <f t="shared" si="34"/>
        <v>4</v>
      </c>
      <c r="I1144">
        <v>3</v>
      </c>
      <c r="J1144">
        <v>0</v>
      </c>
      <c r="K1144">
        <v>0</v>
      </c>
      <c r="L1144">
        <f t="shared" si="35"/>
        <v>3</v>
      </c>
    </row>
    <row r="1145" spans="1:12">
      <c r="A1145" t="s">
        <v>3388</v>
      </c>
      <c r="B1145" t="s">
        <v>1116</v>
      </c>
      <c r="C1145" t="s">
        <v>2805</v>
      </c>
      <c r="D1145" t="s">
        <v>449</v>
      </c>
      <c r="E1145">
        <v>4</v>
      </c>
      <c r="F1145">
        <v>0</v>
      </c>
      <c r="G1145">
        <v>0</v>
      </c>
      <c r="H1145">
        <f t="shared" si="34"/>
        <v>4</v>
      </c>
      <c r="I1145">
        <v>2</v>
      </c>
      <c r="J1145">
        <v>0</v>
      </c>
      <c r="K1145">
        <v>0</v>
      </c>
      <c r="L1145">
        <f t="shared" si="35"/>
        <v>2</v>
      </c>
    </row>
    <row r="1146" spans="1:12">
      <c r="A1146" t="s">
        <v>3388</v>
      </c>
      <c r="B1146" t="s">
        <v>1116</v>
      </c>
      <c r="C1146" t="s">
        <v>2805</v>
      </c>
      <c r="D1146" t="s">
        <v>2807</v>
      </c>
      <c r="E1146">
        <v>2</v>
      </c>
      <c r="F1146">
        <v>0</v>
      </c>
      <c r="G1146">
        <v>0</v>
      </c>
      <c r="H1146">
        <f t="shared" si="34"/>
        <v>2</v>
      </c>
      <c r="I1146">
        <v>1</v>
      </c>
      <c r="J1146">
        <v>0</v>
      </c>
      <c r="K1146">
        <v>0</v>
      </c>
      <c r="L1146">
        <f t="shared" si="35"/>
        <v>1</v>
      </c>
    </row>
    <row r="1147" spans="1:12">
      <c r="A1147" t="s">
        <v>3388</v>
      </c>
      <c r="B1147" t="s">
        <v>1116</v>
      </c>
      <c r="C1147" t="s">
        <v>2810</v>
      </c>
      <c r="D1147" t="s">
        <v>2811</v>
      </c>
      <c r="E1147">
        <v>14</v>
      </c>
      <c r="F1147">
        <v>0</v>
      </c>
      <c r="G1147">
        <v>0</v>
      </c>
      <c r="H1147">
        <f t="shared" si="34"/>
        <v>14</v>
      </c>
      <c r="I1147">
        <v>7</v>
      </c>
      <c r="J1147">
        <v>0</v>
      </c>
      <c r="K1147">
        <v>0</v>
      </c>
      <c r="L1147">
        <f t="shared" si="35"/>
        <v>7</v>
      </c>
    </row>
    <row r="1148" spans="1:12">
      <c r="A1148" t="s">
        <v>3388</v>
      </c>
      <c r="B1148" t="s">
        <v>1116</v>
      </c>
      <c r="C1148" t="s">
        <v>2810</v>
      </c>
      <c r="D1148" t="s">
        <v>2812</v>
      </c>
      <c r="E1148">
        <v>0</v>
      </c>
      <c r="F1148">
        <v>0</v>
      </c>
      <c r="G1148">
        <v>0</v>
      </c>
      <c r="H1148">
        <f t="shared" si="34"/>
        <v>0</v>
      </c>
      <c r="I1148">
        <v>5</v>
      </c>
      <c r="J1148">
        <v>0</v>
      </c>
      <c r="K1148">
        <v>0</v>
      </c>
      <c r="L1148">
        <f t="shared" si="35"/>
        <v>5</v>
      </c>
    </row>
    <row r="1149" spans="1:12">
      <c r="A1149" t="s">
        <v>3388</v>
      </c>
      <c r="B1149" t="s">
        <v>1116</v>
      </c>
      <c r="C1149" t="s">
        <v>2810</v>
      </c>
      <c r="D1149" t="s">
        <v>2813</v>
      </c>
      <c r="E1149">
        <v>3</v>
      </c>
      <c r="F1149">
        <v>0</v>
      </c>
      <c r="G1149">
        <v>0</v>
      </c>
      <c r="H1149">
        <f t="shared" si="34"/>
        <v>3</v>
      </c>
      <c r="I1149">
        <v>3</v>
      </c>
      <c r="J1149">
        <v>0</v>
      </c>
      <c r="K1149">
        <v>0</v>
      </c>
      <c r="L1149">
        <f t="shared" si="35"/>
        <v>3</v>
      </c>
    </row>
    <row r="1150" spans="1:12">
      <c r="A1150" t="s">
        <v>3391</v>
      </c>
      <c r="B1150" t="s">
        <v>1125</v>
      </c>
      <c r="C1150" t="s">
        <v>2810</v>
      </c>
      <c r="D1150" t="s">
        <v>2812</v>
      </c>
      <c r="E1150">
        <v>3</v>
      </c>
      <c r="F1150">
        <v>0</v>
      </c>
      <c r="G1150">
        <v>0</v>
      </c>
      <c r="H1150">
        <f t="shared" si="34"/>
        <v>3</v>
      </c>
      <c r="I1150">
        <v>0</v>
      </c>
      <c r="J1150">
        <v>0</v>
      </c>
      <c r="K1150">
        <v>0</v>
      </c>
      <c r="L1150">
        <f t="shared" si="35"/>
        <v>0</v>
      </c>
    </row>
    <row r="1151" spans="1:12">
      <c r="A1151" t="s">
        <v>3391</v>
      </c>
      <c r="B1151" t="s">
        <v>1125</v>
      </c>
      <c r="C1151" t="s">
        <v>2810</v>
      </c>
      <c r="D1151" t="s">
        <v>2847</v>
      </c>
      <c r="E1151">
        <v>9</v>
      </c>
      <c r="F1151">
        <v>0</v>
      </c>
      <c r="G1151">
        <v>0</v>
      </c>
      <c r="H1151">
        <f t="shared" si="34"/>
        <v>9</v>
      </c>
      <c r="I1151">
        <v>0</v>
      </c>
      <c r="J1151">
        <v>0</v>
      </c>
      <c r="K1151">
        <v>0</v>
      </c>
      <c r="L1151">
        <f t="shared" si="35"/>
        <v>0</v>
      </c>
    </row>
    <row r="1152" spans="1:12">
      <c r="A1152" t="s">
        <v>3400</v>
      </c>
      <c r="B1152" t="s">
        <v>1127</v>
      </c>
      <c r="C1152" t="s">
        <v>2805</v>
      </c>
      <c r="D1152" t="s">
        <v>2806</v>
      </c>
      <c r="E1152">
        <v>907</v>
      </c>
      <c r="F1152">
        <v>0</v>
      </c>
      <c r="G1152">
        <v>0</v>
      </c>
      <c r="H1152">
        <f t="shared" si="34"/>
        <v>907</v>
      </c>
      <c r="I1152">
        <v>16</v>
      </c>
      <c r="J1152">
        <v>0</v>
      </c>
      <c r="K1152">
        <v>0</v>
      </c>
      <c r="L1152">
        <f t="shared" si="35"/>
        <v>16</v>
      </c>
    </row>
    <row r="1153" spans="1:12">
      <c r="A1153" t="s">
        <v>3400</v>
      </c>
      <c r="B1153" t="s">
        <v>1127</v>
      </c>
      <c r="C1153" t="s">
        <v>2805</v>
      </c>
      <c r="D1153" t="s">
        <v>449</v>
      </c>
      <c r="E1153">
        <v>570</v>
      </c>
      <c r="F1153">
        <v>0</v>
      </c>
      <c r="G1153">
        <v>0</v>
      </c>
      <c r="H1153">
        <f t="shared" si="34"/>
        <v>570</v>
      </c>
      <c r="I1153">
        <v>3</v>
      </c>
      <c r="J1153">
        <v>0</v>
      </c>
      <c r="K1153">
        <v>0</v>
      </c>
      <c r="L1153">
        <f t="shared" si="35"/>
        <v>3</v>
      </c>
    </row>
    <row r="1154" spans="1:12">
      <c r="A1154" t="s">
        <v>3400</v>
      </c>
      <c r="B1154" t="s">
        <v>1127</v>
      </c>
      <c r="C1154" t="s">
        <v>2805</v>
      </c>
      <c r="D1154" t="s">
        <v>2807</v>
      </c>
      <c r="E1154">
        <v>9</v>
      </c>
      <c r="F1154">
        <v>0</v>
      </c>
      <c r="G1154">
        <v>0</v>
      </c>
      <c r="H1154">
        <f t="shared" si="34"/>
        <v>9</v>
      </c>
      <c r="I1154">
        <v>0</v>
      </c>
      <c r="J1154">
        <v>0</v>
      </c>
      <c r="K1154">
        <v>0</v>
      </c>
      <c r="L1154">
        <f t="shared" si="35"/>
        <v>0</v>
      </c>
    </row>
    <row r="1155" spans="1:12">
      <c r="A1155" t="s">
        <v>3400</v>
      </c>
      <c r="B1155" t="s">
        <v>1127</v>
      </c>
      <c r="C1155" t="s">
        <v>2805</v>
      </c>
      <c r="D1155" t="s">
        <v>2809</v>
      </c>
      <c r="E1155">
        <v>1</v>
      </c>
      <c r="F1155">
        <v>0</v>
      </c>
      <c r="G1155">
        <v>0</v>
      </c>
      <c r="H1155">
        <f t="shared" si="34"/>
        <v>1</v>
      </c>
      <c r="I1155">
        <v>0</v>
      </c>
      <c r="J1155">
        <v>0</v>
      </c>
      <c r="K1155">
        <v>0</v>
      </c>
      <c r="L1155">
        <f t="shared" si="35"/>
        <v>0</v>
      </c>
    </row>
    <row r="1156" spans="1:12">
      <c r="A1156" t="s">
        <v>3400</v>
      </c>
      <c r="B1156" t="s">
        <v>1127</v>
      </c>
      <c r="C1156" t="s">
        <v>2805</v>
      </c>
      <c r="D1156" t="s">
        <v>442</v>
      </c>
      <c r="E1156">
        <v>24</v>
      </c>
      <c r="F1156">
        <v>0</v>
      </c>
      <c r="G1156">
        <v>0</v>
      </c>
      <c r="H1156">
        <f t="shared" ref="H1156:H1219" si="36">SUM(E1156:G1156)</f>
        <v>24</v>
      </c>
      <c r="I1156">
        <v>0</v>
      </c>
      <c r="J1156">
        <v>0</v>
      </c>
      <c r="K1156">
        <v>0</v>
      </c>
      <c r="L1156">
        <f t="shared" ref="L1156:L1219" si="37">SUM(I1156:K1156)</f>
        <v>0</v>
      </c>
    </row>
    <row r="1157" spans="1:12">
      <c r="A1157" t="s">
        <v>3400</v>
      </c>
      <c r="B1157" t="s">
        <v>1127</v>
      </c>
      <c r="C1157" t="s">
        <v>2805</v>
      </c>
      <c r="D1157" t="s">
        <v>2863</v>
      </c>
      <c r="E1157">
        <v>3</v>
      </c>
      <c r="F1157">
        <v>0</v>
      </c>
      <c r="G1157">
        <v>0</v>
      </c>
      <c r="H1157">
        <f t="shared" si="36"/>
        <v>3</v>
      </c>
      <c r="I1157">
        <v>0</v>
      </c>
      <c r="J1157">
        <v>0</v>
      </c>
      <c r="K1157">
        <v>0</v>
      </c>
      <c r="L1157">
        <f t="shared" si="37"/>
        <v>0</v>
      </c>
    </row>
    <row r="1158" spans="1:12">
      <c r="A1158" t="s">
        <v>3400</v>
      </c>
      <c r="B1158" t="s">
        <v>1127</v>
      </c>
      <c r="C1158" t="s">
        <v>2810</v>
      </c>
      <c r="D1158" t="s">
        <v>2811</v>
      </c>
      <c r="E1158">
        <v>35</v>
      </c>
      <c r="F1158">
        <v>0</v>
      </c>
      <c r="G1158">
        <v>0</v>
      </c>
      <c r="H1158">
        <f t="shared" si="36"/>
        <v>35</v>
      </c>
      <c r="I1158">
        <v>1</v>
      </c>
      <c r="J1158">
        <v>0</v>
      </c>
      <c r="K1158">
        <v>0</v>
      </c>
      <c r="L1158">
        <f t="shared" si="37"/>
        <v>1</v>
      </c>
    </row>
    <row r="1159" spans="1:12">
      <c r="A1159" t="s">
        <v>3400</v>
      </c>
      <c r="B1159" t="s">
        <v>1127</v>
      </c>
      <c r="C1159" t="s">
        <v>2810</v>
      </c>
      <c r="D1159" t="s">
        <v>1892</v>
      </c>
      <c r="E1159">
        <v>218</v>
      </c>
      <c r="F1159">
        <v>2</v>
      </c>
      <c r="G1159">
        <v>0</v>
      </c>
      <c r="H1159">
        <f t="shared" si="36"/>
        <v>220</v>
      </c>
      <c r="I1159">
        <v>3</v>
      </c>
      <c r="J1159">
        <v>92</v>
      </c>
      <c r="K1159">
        <v>0</v>
      </c>
      <c r="L1159">
        <f t="shared" si="37"/>
        <v>95</v>
      </c>
    </row>
    <row r="1160" spans="1:12">
      <c r="A1160" t="s">
        <v>3400</v>
      </c>
      <c r="B1160" t="s">
        <v>1127</v>
      </c>
      <c r="C1160" t="s">
        <v>2810</v>
      </c>
      <c r="D1160" t="s">
        <v>2823</v>
      </c>
      <c r="E1160">
        <v>13</v>
      </c>
      <c r="F1160">
        <v>232</v>
      </c>
      <c r="G1160">
        <v>0</v>
      </c>
      <c r="H1160">
        <f t="shared" si="36"/>
        <v>245</v>
      </c>
      <c r="I1160">
        <v>0</v>
      </c>
      <c r="J1160">
        <v>0</v>
      </c>
      <c r="K1160">
        <v>0</v>
      </c>
      <c r="L1160">
        <f t="shared" si="37"/>
        <v>0</v>
      </c>
    </row>
    <row r="1161" spans="1:12">
      <c r="A1161" t="s">
        <v>3400</v>
      </c>
      <c r="B1161" t="s">
        <v>1127</v>
      </c>
      <c r="C1161" t="s">
        <v>2810</v>
      </c>
      <c r="D1161" t="s">
        <v>2812</v>
      </c>
      <c r="E1161">
        <v>163</v>
      </c>
      <c r="F1161">
        <v>9</v>
      </c>
      <c r="G1161">
        <v>0</v>
      </c>
      <c r="H1161">
        <f t="shared" si="36"/>
        <v>172</v>
      </c>
      <c r="I1161">
        <v>0</v>
      </c>
      <c r="J1161">
        <v>0</v>
      </c>
      <c r="K1161">
        <v>0</v>
      </c>
      <c r="L1161">
        <f t="shared" si="37"/>
        <v>0</v>
      </c>
    </row>
    <row r="1162" spans="1:12">
      <c r="A1162" t="s">
        <v>3400</v>
      </c>
      <c r="B1162" t="s">
        <v>1127</v>
      </c>
      <c r="C1162" t="s">
        <v>2810</v>
      </c>
      <c r="D1162" t="s">
        <v>2813</v>
      </c>
      <c r="E1162">
        <v>123</v>
      </c>
      <c r="F1162">
        <v>0</v>
      </c>
      <c r="G1162">
        <v>0</v>
      </c>
      <c r="H1162">
        <f t="shared" si="36"/>
        <v>123</v>
      </c>
      <c r="I1162">
        <v>0</v>
      </c>
      <c r="J1162">
        <v>0</v>
      </c>
      <c r="K1162">
        <v>0</v>
      </c>
      <c r="L1162">
        <f t="shared" si="37"/>
        <v>0</v>
      </c>
    </row>
    <row r="1163" spans="1:12">
      <c r="A1163" t="s">
        <v>3400</v>
      </c>
      <c r="B1163" t="s">
        <v>1127</v>
      </c>
      <c r="C1163" t="s">
        <v>2810</v>
      </c>
      <c r="D1163" t="s">
        <v>2847</v>
      </c>
      <c r="E1163">
        <v>42</v>
      </c>
      <c r="F1163">
        <v>0</v>
      </c>
      <c r="G1163">
        <v>0</v>
      </c>
      <c r="H1163">
        <f t="shared" si="36"/>
        <v>42</v>
      </c>
      <c r="I1163">
        <v>0</v>
      </c>
      <c r="J1163">
        <v>0</v>
      </c>
      <c r="K1163">
        <v>0</v>
      </c>
      <c r="L1163">
        <f t="shared" si="37"/>
        <v>0</v>
      </c>
    </row>
    <row r="1164" spans="1:12">
      <c r="A1164" t="s">
        <v>3400</v>
      </c>
      <c r="B1164" t="s">
        <v>1127</v>
      </c>
      <c r="C1164" t="s">
        <v>2816</v>
      </c>
      <c r="D1164" t="s">
        <v>1897</v>
      </c>
      <c r="E1164">
        <v>92</v>
      </c>
      <c r="F1164">
        <v>0</v>
      </c>
      <c r="G1164">
        <v>0</v>
      </c>
      <c r="H1164">
        <f t="shared" si="36"/>
        <v>92</v>
      </c>
      <c r="I1164">
        <v>0</v>
      </c>
      <c r="J1164">
        <v>0</v>
      </c>
      <c r="K1164">
        <v>0</v>
      </c>
      <c r="L1164">
        <f t="shared" si="37"/>
        <v>0</v>
      </c>
    </row>
    <row r="1165" spans="1:12">
      <c r="A1165" t="s">
        <v>3400</v>
      </c>
      <c r="B1165" t="s">
        <v>1127</v>
      </c>
      <c r="C1165" t="s">
        <v>2817</v>
      </c>
      <c r="D1165" t="s">
        <v>2818</v>
      </c>
      <c r="E1165">
        <v>40</v>
      </c>
      <c r="F1165">
        <v>0</v>
      </c>
      <c r="G1165">
        <v>0</v>
      </c>
      <c r="H1165">
        <f t="shared" si="36"/>
        <v>40</v>
      </c>
      <c r="I1165">
        <v>0</v>
      </c>
      <c r="J1165">
        <v>0</v>
      </c>
      <c r="K1165">
        <v>0</v>
      </c>
      <c r="L1165">
        <f t="shared" si="37"/>
        <v>0</v>
      </c>
    </row>
    <row r="1166" spans="1:12">
      <c r="A1166" t="s">
        <v>3400</v>
      </c>
      <c r="B1166" t="s">
        <v>1127</v>
      </c>
      <c r="C1166" t="s">
        <v>2817</v>
      </c>
      <c r="D1166" t="s">
        <v>2837</v>
      </c>
      <c r="E1166">
        <v>29</v>
      </c>
      <c r="F1166">
        <v>0</v>
      </c>
      <c r="G1166">
        <v>0</v>
      </c>
      <c r="H1166">
        <f t="shared" si="36"/>
        <v>29</v>
      </c>
      <c r="I1166">
        <v>0</v>
      </c>
      <c r="J1166">
        <v>0</v>
      </c>
      <c r="K1166">
        <v>0</v>
      </c>
      <c r="L1166">
        <f t="shared" si="37"/>
        <v>0</v>
      </c>
    </row>
    <row r="1167" spans="1:12">
      <c r="A1167" t="s">
        <v>3400</v>
      </c>
      <c r="B1167" t="s">
        <v>1127</v>
      </c>
      <c r="C1167" t="s">
        <v>2820</v>
      </c>
      <c r="D1167" t="s">
        <v>2821</v>
      </c>
      <c r="E1167">
        <v>3</v>
      </c>
      <c r="F1167">
        <v>0</v>
      </c>
      <c r="G1167">
        <v>0</v>
      </c>
      <c r="H1167">
        <f t="shared" si="36"/>
        <v>3</v>
      </c>
      <c r="I1167">
        <v>0</v>
      </c>
      <c r="J1167">
        <v>0</v>
      </c>
      <c r="K1167">
        <v>0</v>
      </c>
      <c r="L1167">
        <f t="shared" si="37"/>
        <v>0</v>
      </c>
    </row>
    <row r="1168" spans="1:12">
      <c r="A1168" t="s">
        <v>3403</v>
      </c>
      <c r="B1168" t="s">
        <v>3404</v>
      </c>
      <c r="C1168" t="s">
        <v>2805</v>
      </c>
      <c r="D1168" t="s">
        <v>449</v>
      </c>
      <c r="E1168">
        <v>0</v>
      </c>
      <c r="F1168">
        <v>0</v>
      </c>
      <c r="G1168">
        <v>0</v>
      </c>
      <c r="H1168">
        <f t="shared" si="36"/>
        <v>0</v>
      </c>
      <c r="I1168">
        <v>12</v>
      </c>
      <c r="J1168">
        <v>0</v>
      </c>
      <c r="K1168">
        <v>0</v>
      </c>
      <c r="L1168">
        <f t="shared" si="37"/>
        <v>12</v>
      </c>
    </row>
    <row r="1169" spans="1:12">
      <c r="A1169" t="s">
        <v>3403</v>
      </c>
      <c r="B1169" t="s">
        <v>3404</v>
      </c>
      <c r="C1169" t="s">
        <v>2826</v>
      </c>
      <c r="D1169" t="s">
        <v>2871</v>
      </c>
      <c r="E1169">
        <v>0</v>
      </c>
      <c r="F1169">
        <v>0</v>
      </c>
      <c r="G1169">
        <v>0</v>
      </c>
      <c r="H1169">
        <f t="shared" si="36"/>
        <v>0</v>
      </c>
      <c r="I1169">
        <v>1</v>
      </c>
      <c r="J1169">
        <v>0</v>
      </c>
      <c r="K1169">
        <v>0</v>
      </c>
      <c r="L1169">
        <f t="shared" si="37"/>
        <v>1</v>
      </c>
    </row>
    <row r="1170" spans="1:12">
      <c r="A1170" t="s">
        <v>3403</v>
      </c>
      <c r="B1170" t="s">
        <v>3404</v>
      </c>
      <c r="C1170" t="s">
        <v>2826</v>
      </c>
      <c r="D1170" t="s">
        <v>2843</v>
      </c>
      <c r="E1170">
        <v>0</v>
      </c>
      <c r="F1170">
        <v>0</v>
      </c>
      <c r="G1170">
        <v>0</v>
      </c>
      <c r="H1170">
        <f t="shared" si="36"/>
        <v>0</v>
      </c>
      <c r="I1170">
        <v>0</v>
      </c>
      <c r="J1170">
        <v>1</v>
      </c>
      <c r="K1170">
        <v>0</v>
      </c>
      <c r="L1170">
        <f t="shared" si="37"/>
        <v>1</v>
      </c>
    </row>
    <row r="1171" spans="1:12">
      <c r="A1171" t="s">
        <v>3403</v>
      </c>
      <c r="B1171" t="s">
        <v>3404</v>
      </c>
      <c r="C1171" t="s">
        <v>2826</v>
      </c>
      <c r="D1171" t="s">
        <v>2885</v>
      </c>
      <c r="E1171">
        <v>0</v>
      </c>
      <c r="F1171">
        <v>0</v>
      </c>
      <c r="G1171">
        <v>0</v>
      </c>
      <c r="H1171">
        <f t="shared" si="36"/>
        <v>0</v>
      </c>
      <c r="I1171">
        <v>4</v>
      </c>
      <c r="J1171">
        <v>0</v>
      </c>
      <c r="K1171">
        <v>0</v>
      </c>
      <c r="L1171">
        <f t="shared" si="37"/>
        <v>4</v>
      </c>
    </row>
    <row r="1172" spans="1:12">
      <c r="A1172" t="s">
        <v>3403</v>
      </c>
      <c r="B1172" t="s">
        <v>3404</v>
      </c>
      <c r="C1172" t="s">
        <v>2826</v>
      </c>
      <c r="D1172" t="s">
        <v>2834</v>
      </c>
      <c r="E1172">
        <v>0</v>
      </c>
      <c r="F1172">
        <v>0</v>
      </c>
      <c r="G1172">
        <v>0</v>
      </c>
      <c r="H1172">
        <f t="shared" si="36"/>
        <v>0</v>
      </c>
      <c r="I1172">
        <v>1</v>
      </c>
      <c r="J1172">
        <v>0</v>
      </c>
      <c r="K1172">
        <v>0</v>
      </c>
      <c r="L1172">
        <f t="shared" si="37"/>
        <v>1</v>
      </c>
    </row>
    <row r="1173" spans="1:12">
      <c r="A1173" t="s">
        <v>3403</v>
      </c>
      <c r="B1173" t="s">
        <v>3404</v>
      </c>
      <c r="C1173" t="s">
        <v>2826</v>
      </c>
      <c r="D1173" t="s">
        <v>2849</v>
      </c>
      <c r="E1173">
        <v>0</v>
      </c>
      <c r="F1173">
        <v>0</v>
      </c>
      <c r="G1173">
        <v>0</v>
      </c>
      <c r="H1173">
        <f t="shared" si="36"/>
        <v>0</v>
      </c>
      <c r="I1173">
        <v>1</v>
      </c>
      <c r="J1173">
        <v>0</v>
      </c>
      <c r="K1173">
        <v>0</v>
      </c>
      <c r="L1173">
        <f t="shared" si="37"/>
        <v>1</v>
      </c>
    </row>
    <row r="1174" spans="1:12">
      <c r="A1174" t="s">
        <v>3405</v>
      </c>
      <c r="B1174" t="s">
        <v>3406</v>
      </c>
      <c r="C1174" t="s">
        <v>2805</v>
      </c>
      <c r="D1174" t="s">
        <v>2806</v>
      </c>
      <c r="E1174">
        <v>30</v>
      </c>
      <c r="F1174">
        <v>0</v>
      </c>
      <c r="G1174">
        <v>0</v>
      </c>
      <c r="H1174">
        <f t="shared" si="36"/>
        <v>30</v>
      </c>
      <c r="I1174">
        <v>0</v>
      </c>
      <c r="J1174">
        <v>0</v>
      </c>
      <c r="K1174">
        <v>0</v>
      </c>
      <c r="L1174">
        <f t="shared" si="37"/>
        <v>0</v>
      </c>
    </row>
    <row r="1175" spans="1:12">
      <c r="A1175" t="s">
        <v>3405</v>
      </c>
      <c r="B1175" t="s">
        <v>3406</v>
      </c>
      <c r="C1175" t="s">
        <v>2805</v>
      </c>
      <c r="D1175" t="s">
        <v>449</v>
      </c>
      <c r="E1175">
        <v>99</v>
      </c>
      <c r="F1175">
        <v>0</v>
      </c>
      <c r="G1175">
        <v>0</v>
      </c>
      <c r="H1175">
        <f t="shared" si="36"/>
        <v>99</v>
      </c>
      <c r="I1175">
        <v>0</v>
      </c>
      <c r="J1175">
        <v>0</v>
      </c>
      <c r="K1175">
        <v>0</v>
      </c>
      <c r="L1175">
        <f t="shared" si="37"/>
        <v>0</v>
      </c>
    </row>
    <row r="1176" spans="1:12">
      <c r="A1176" t="s">
        <v>3405</v>
      </c>
      <c r="B1176" t="s">
        <v>3406</v>
      </c>
      <c r="C1176" t="s">
        <v>2805</v>
      </c>
      <c r="D1176" t="s">
        <v>2807</v>
      </c>
      <c r="E1176">
        <v>6</v>
      </c>
      <c r="F1176">
        <v>0</v>
      </c>
      <c r="G1176">
        <v>0</v>
      </c>
      <c r="H1176">
        <f t="shared" si="36"/>
        <v>6</v>
      </c>
      <c r="I1176">
        <v>0</v>
      </c>
      <c r="J1176">
        <v>0</v>
      </c>
      <c r="K1176">
        <v>0</v>
      </c>
      <c r="L1176">
        <f t="shared" si="37"/>
        <v>0</v>
      </c>
    </row>
    <row r="1177" spans="1:12">
      <c r="A1177" t="s">
        <v>3405</v>
      </c>
      <c r="B1177" t="s">
        <v>3406</v>
      </c>
      <c r="C1177" t="s">
        <v>2810</v>
      </c>
      <c r="D1177" t="s">
        <v>2811</v>
      </c>
      <c r="E1177">
        <v>25</v>
      </c>
      <c r="F1177">
        <v>0</v>
      </c>
      <c r="G1177">
        <v>0</v>
      </c>
      <c r="H1177">
        <f t="shared" si="36"/>
        <v>25</v>
      </c>
      <c r="I1177">
        <v>0</v>
      </c>
      <c r="J1177">
        <v>0</v>
      </c>
      <c r="K1177">
        <v>0</v>
      </c>
      <c r="L1177">
        <f t="shared" si="37"/>
        <v>0</v>
      </c>
    </row>
    <row r="1178" spans="1:12">
      <c r="A1178" t="s">
        <v>3405</v>
      </c>
      <c r="B1178" t="s">
        <v>3406</v>
      </c>
      <c r="C1178" t="s">
        <v>2810</v>
      </c>
      <c r="D1178" t="s">
        <v>2813</v>
      </c>
      <c r="E1178">
        <v>7</v>
      </c>
      <c r="F1178">
        <v>0</v>
      </c>
      <c r="G1178">
        <v>0</v>
      </c>
      <c r="H1178">
        <f t="shared" si="36"/>
        <v>7</v>
      </c>
      <c r="I1178">
        <v>0</v>
      </c>
      <c r="J1178">
        <v>0</v>
      </c>
      <c r="K1178">
        <v>0</v>
      </c>
      <c r="L1178">
        <f t="shared" si="37"/>
        <v>0</v>
      </c>
    </row>
    <row r="1179" spans="1:12">
      <c r="A1179" t="s">
        <v>3405</v>
      </c>
      <c r="B1179" t="s">
        <v>3406</v>
      </c>
      <c r="C1179" t="s">
        <v>2816</v>
      </c>
      <c r="D1179" t="s">
        <v>1897</v>
      </c>
      <c r="E1179">
        <v>18</v>
      </c>
      <c r="F1179">
        <v>0</v>
      </c>
      <c r="G1179">
        <v>0</v>
      </c>
      <c r="H1179">
        <f t="shared" si="36"/>
        <v>18</v>
      </c>
      <c r="I1179">
        <v>0</v>
      </c>
      <c r="J1179">
        <v>0</v>
      </c>
      <c r="K1179">
        <v>0</v>
      </c>
      <c r="L1179">
        <f t="shared" si="37"/>
        <v>0</v>
      </c>
    </row>
    <row r="1180" spans="1:12">
      <c r="A1180" t="s">
        <v>3405</v>
      </c>
      <c r="B1180" t="s">
        <v>3406</v>
      </c>
      <c r="C1180" t="s">
        <v>2826</v>
      </c>
      <c r="D1180" t="s">
        <v>2858</v>
      </c>
      <c r="E1180">
        <v>0</v>
      </c>
      <c r="F1180">
        <v>0</v>
      </c>
      <c r="G1180">
        <v>0</v>
      </c>
      <c r="H1180">
        <f t="shared" si="36"/>
        <v>0</v>
      </c>
      <c r="I1180">
        <v>1</v>
      </c>
      <c r="J1180">
        <v>0</v>
      </c>
      <c r="K1180">
        <v>0</v>
      </c>
      <c r="L1180">
        <f t="shared" si="37"/>
        <v>1</v>
      </c>
    </row>
    <row r="1181" spans="1:12">
      <c r="A1181" t="s">
        <v>3405</v>
      </c>
      <c r="B1181" t="s">
        <v>3406</v>
      </c>
      <c r="C1181" t="s">
        <v>2817</v>
      </c>
      <c r="D1181" t="s">
        <v>2837</v>
      </c>
      <c r="E1181">
        <v>27</v>
      </c>
      <c r="F1181">
        <v>0</v>
      </c>
      <c r="G1181">
        <v>0</v>
      </c>
      <c r="H1181">
        <f t="shared" si="36"/>
        <v>27</v>
      </c>
      <c r="I1181">
        <v>0</v>
      </c>
      <c r="J1181">
        <v>0</v>
      </c>
      <c r="K1181">
        <v>0</v>
      </c>
      <c r="L1181">
        <f t="shared" si="37"/>
        <v>0</v>
      </c>
    </row>
    <row r="1182" spans="1:12">
      <c r="A1182" t="s">
        <v>3405</v>
      </c>
      <c r="B1182" t="s">
        <v>3406</v>
      </c>
      <c r="C1182" t="s">
        <v>2817</v>
      </c>
      <c r="D1182" t="s">
        <v>2819</v>
      </c>
      <c r="E1182">
        <v>10</v>
      </c>
      <c r="F1182">
        <v>0</v>
      </c>
      <c r="G1182">
        <v>0</v>
      </c>
      <c r="H1182">
        <f t="shared" si="36"/>
        <v>10</v>
      </c>
      <c r="I1182">
        <v>0</v>
      </c>
      <c r="J1182">
        <v>0</v>
      </c>
      <c r="K1182">
        <v>0</v>
      </c>
      <c r="L1182">
        <f t="shared" si="37"/>
        <v>0</v>
      </c>
    </row>
    <row r="1183" spans="1:12">
      <c r="A1183" t="s">
        <v>3407</v>
      </c>
      <c r="B1183" t="s">
        <v>1136</v>
      </c>
      <c r="C1183" t="s">
        <v>2805</v>
      </c>
      <c r="D1183" t="s">
        <v>2806</v>
      </c>
      <c r="E1183">
        <v>5</v>
      </c>
      <c r="F1183">
        <v>0</v>
      </c>
      <c r="G1183">
        <v>0</v>
      </c>
      <c r="H1183">
        <f t="shared" si="36"/>
        <v>5</v>
      </c>
      <c r="I1183">
        <v>0</v>
      </c>
      <c r="J1183">
        <v>0</v>
      </c>
      <c r="K1183">
        <v>0</v>
      </c>
      <c r="L1183">
        <f t="shared" si="37"/>
        <v>0</v>
      </c>
    </row>
    <row r="1184" spans="1:12">
      <c r="A1184" t="s">
        <v>3407</v>
      </c>
      <c r="B1184" t="s">
        <v>1136</v>
      </c>
      <c r="C1184" t="s">
        <v>2805</v>
      </c>
      <c r="D1184" t="s">
        <v>449</v>
      </c>
      <c r="E1184">
        <v>46</v>
      </c>
      <c r="F1184">
        <v>0</v>
      </c>
      <c r="G1184">
        <v>0</v>
      </c>
      <c r="H1184">
        <f t="shared" si="36"/>
        <v>46</v>
      </c>
      <c r="I1184">
        <v>0</v>
      </c>
      <c r="J1184">
        <v>0</v>
      </c>
      <c r="K1184">
        <v>0</v>
      </c>
      <c r="L1184">
        <f t="shared" si="37"/>
        <v>0</v>
      </c>
    </row>
    <row r="1185" spans="1:12">
      <c r="A1185" t="s">
        <v>3407</v>
      </c>
      <c r="B1185" t="s">
        <v>1136</v>
      </c>
      <c r="C1185" t="s">
        <v>2805</v>
      </c>
      <c r="D1185" t="s">
        <v>2807</v>
      </c>
      <c r="E1185">
        <v>2</v>
      </c>
      <c r="F1185">
        <v>0</v>
      </c>
      <c r="G1185">
        <v>0</v>
      </c>
      <c r="H1185">
        <f t="shared" si="36"/>
        <v>2</v>
      </c>
      <c r="I1185">
        <v>0</v>
      </c>
      <c r="J1185">
        <v>0</v>
      </c>
      <c r="K1185">
        <v>0</v>
      </c>
      <c r="L1185">
        <f t="shared" si="37"/>
        <v>0</v>
      </c>
    </row>
    <row r="1186" spans="1:12">
      <c r="A1186" t="s">
        <v>3407</v>
      </c>
      <c r="B1186" t="s">
        <v>1136</v>
      </c>
      <c r="C1186" t="s">
        <v>2810</v>
      </c>
      <c r="D1186" t="s">
        <v>2811</v>
      </c>
      <c r="E1186">
        <v>6</v>
      </c>
      <c r="F1186">
        <v>0</v>
      </c>
      <c r="G1186">
        <v>0</v>
      </c>
      <c r="H1186">
        <f t="shared" si="36"/>
        <v>6</v>
      </c>
      <c r="I1186">
        <v>0</v>
      </c>
      <c r="J1186">
        <v>0</v>
      </c>
      <c r="K1186">
        <v>0</v>
      </c>
      <c r="L1186">
        <f t="shared" si="37"/>
        <v>0</v>
      </c>
    </row>
    <row r="1187" spans="1:12">
      <c r="A1187" t="s">
        <v>3422</v>
      </c>
      <c r="B1187" t="s">
        <v>1137</v>
      </c>
      <c r="C1187" t="s">
        <v>2805</v>
      </c>
      <c r="D1187" t="s">
        <v>2806</v>
      </c>
      <c r="E1187">
        <v>137</v>
      </c>
      <c r="F1187">
        <v>0</v>
      </c>
      <c r="G1187">
        <v>0</v>
      </c>
      <c r="H1187">
        <f t="shared" si="36"/>
        <v>137</v>
      </c>
      <c r="I1187">
        <v>0</v>
      </c>
      <c r="J1187">
        <v>0</v>
      </c>
      <c r="K1187">
        <v>0</v>
      </c>
      <c r="L1187">
        <f t="shared" si="37"/>
        <v>0</v>
      </c>
    </row>
    <row r="1188" spans="1:12">
      <c r="A1188" t="s">
        <v>3422</v>
      </c>
      <c r="B1188" t="s">
        <v>1137</v>
      </c>
      <c r="C1188" t="s">
        <v>2805</v>
      </c>
      <c r="D1188" t="s">
        <v>449</v>
      </c>
      <c r="E1188">
        <v>322</v>
      </c>
      <c r="F1188">
        <v>0</v>
      </c>
      <c r="G1188">
        <v>0</v>
      </c>
      <c r="H1188">
        <f t="shared" si="36"/>
        <v>322</v>
      </c>
      <c r="I1188">
        <v>0</v>
      </c>
      <c r="J1188">
        <v>0</v>
      </c>
      <c r="K1188">
        <v>0</v>
      </c>
      <c r="L1188">
        <f t="shared" si="37"/>
        <v>0</v>
      </c>
    </row>
    <row r="1189" spans="1:12">
      <c r="A1189" t="s">
        <v>3422</v>
      </c>
      <c r="B1189" t="s">
        <v>1137</v>
      </c>
      <c r="C1189" t="s">
        <v>2805</v>
      </c>
      <c r="D1189" t="s">
        <v>2807</v>
      </c>
      <c r="E1189">
        <v>9</v>
      </c>
      <c r="F1189">
        <v>0</v>
      </c>
      <c r="G1189">
        <v>0</v>
      </c>
      <c r="H1189">
        <f t="shared" si="36"/>
        <v>9</v>
      </c>
      <c r="I1189">
        <v>0</v>
      </c>
      <c r="J1189">
        <v>0</v>
      </c>
      <c r="K1189">
        <v>0</v>
      </c>
      <c r="L1189">
        <f t="shared" si="37"/>
        <v>0</v>
      </c>
    </row>
    <row r="1190" spans="1:12">
      <c r="A1190" t="s">
        <v>3422</v>
      </c>
      <c r="B1190" t="s">
        <v>1137</v>
      </c>
      <c r="C1190" t="s">
        <v>2810</v>
      </c>
      <c r="D1190" t="s">
        <v>2811</v>
      </c>
      <c r="E1190">
        <v>34</v>
      </c>
      <c r="F1190">
        <v>0</v>
      </c>
      <c r="G1190">
        <v>0</v>
      </c>
      <c r="H1190">
        <f t="shared" si="36"/>
        <v>34</v>
      </c>
      <c r="I1190">
        <v>0</v>
      </c>
      <c r="J1190">
        <v>0</v>
      </c>
      <c r="K1190">
        <v>0</v>
      </c>
      <c r="L1190">
        <f t="shared" si="37"/>
        <v>0</v>
      </c>
    </row>
    <row r="1191" spans="1:12">
      <c r="A1191" t="s">
        <v>3422</v>
      </c>
      <c r="B1191" t="s">
        <v>1137</v>
      </c>
      <c r="C1191" t="s">
        <v>2816</v>
      </c>
      <c r="D1191" t="s">
        <v>1897</v>
      </c>
      <c r="E1191">
        <v>50</v>
      </c>
      <c r="F1191">
        <v>0</v>
      </c>
      <c r="G1191">
        <v>0</v>
      </c>
      <c r="H1191">
        <f t="shared" si="36"/>
        <v>50</v>
      </c>
      <c r="I1191">
        <v>0</v>
      </c>
      <c r="J1191">
        <v>0</v>
      </c>
      <c r="K1191">
        <v>0</v>
      </c>
      <c r="L1191">
        <f t="shared" si="37"/>
        <v>0</v>
      </c>
    </row>
    <row r="1192" spans="1:12">
      <c r="A1192" t="s">
        <v>3422</v>
      </c>
      <c r="B1192" t="s">
        <v>1137</v>
      </c>
      <c r="C1192" t="s">
        <v>2816</v>
      </c>
      <c r="D1192" t="s">
        <v>2848</v>
      </c>
      <c r="E1192">
        <v>37</v>
      </c>
      <c r="F1192">
        <v>0</v>
      </c>
      <c r="G1192">
        <v>0</v>
      </c>
      <c r="H1192">
        <f t="shared" si="36"/>
        <v>37</v>
      </c>
      <c r="I1192">
        <v>0</v>
      </c>
      <c r="J1192">
        <v>0</v>
      </c>
      <c r="K1192">
        <v>0</v>
      </c>
      <c r="L1192">
        <f t="shared" si="37"/>
        <v>0</v>
      </c>
    </row>
    <row r="1193" spans="1:12">
      <c r="A1193" t="s">
        <v>3422</v>
      </c>
      <c r="B1193" t="s">
        <v>1137</v>
      </c>
      <c r="C1193" t="s">
        <v>2817</v>
      </c>
      <c r="D1193" t="s">
        <v>2877</v>
      </c>
      <c r="E1193">
        <v>5</v>
      </c>
      <c r="F1193">
        <v>0</v>
      </c>
      <c r="G1193">
        <v>0</v>
      </c>
      <c r="H1193">
        <f t="shared" si="36"/>
        <v>5</v>
      </c>
      <c r="I1193">
        <v>0</v>
      </c>
      <c r="J1193">
        <v>0</v>
      </c>
      <c r="K1193">
        <v>0</v>
      </c>
      <c r="L1193">
        <f t="shared" si="37"/>
        <v>0</v>
      </c>
    </row>
    <row r="1194" spans="1:12">
      <c r="A1194" t="s">
        <v>3422</v>
      </c>
      <c r="B1194" t="s">
        <v>1137</v>
      </c>
      <c r="C1194" t="s">
        <v>2817</v>
      </c>
      <c r="D1194" t="s">
        <v>2818</v>
      </c>
      <c r="E1194">
        <v>41</v>
      </c>
      <c r="F1194">
        <v>0</v>
      </c>
      <c r="G1194">
        <v>0</v>
      </c>
      <c r="H1194">
        <f t="shared" si="36"/>
        <v>41</v>
      </c>
      <c r="I1194">
        <v>0</v>
      </c>
      <c r="J1194">
        <v>0</v>
      </c>
      <c r="K1194">
        <v>0</v>
      </c>
      <c r="L1194">
        <f t="shared" si="37"/>
        <v>0</v>
      </c>
    </row>
    <row r="1195" spans="1:12">
      <c r="A1195" t="s">
        <v>3422</v>
      </c>
      <c r="B1195" t="s">
        <v>1137</v>
      </c>
      <c r="C1195" t="s">
        <v>2817</v>
      </c>
      <c r="D1195" t="s">
        <v>2837</v>
      </c>
      <c r="E1195">
        <v>3</v>
      </c>
      <c r="F1195">
        <v>0</v>
      </c>
      <c r="G1195">
        <v>0</v>
      </c>
      <c r="H1195">
        <f t="shared" si="36"/>
        <v>3</v>
      </c>
      <c r="I1195">
        <v>0</v>
      </c>
      <c r="J1195">
        <v>0</v>
      </c>
      <c r="K1195">
        <v>0</v>
      </c>
      <c r="L1195">
        <f t="shared" si="37"/>
        <v>0</v>
      </c>
    </row>
    <row r="1196" spans="1:12">
      <c r="A1196" t="s">
        <v>3433</v>
      </c>
      <c r="B1196" t="s">
        <v>3434</v>
      </c>
      <c r="C1196" t="s">
        <v>2805</v>
      </c>
      <c r="D1196" t="s">
        <v>2806</v>
      </c>
      <c r="E1196">
        <v>108</v>
      </c>
      <c r="F1196">
        <v>0</v>
      </c>
      <c r="G1196">
        <v>0</v>
      </c>
      <c r="H1196">
        <f t="shared" si="36"/>
        <v>108</v>
      </c>
      <c r="I1196">
        <v>0</v>
      </c>
      <c r="J1196">
        <v>0</v>
      </c>
      <c r="K1196">
        <v>0</v>
      </c>
      <c r="L1196">
        <f t="shared" si="37"/>
        <v>0</v>
      </c>
    </row>
    <row r="1197" spans="1:12">
      <c r="A1197" t="s">
        <v>3433</v>
      </c>
      <c r="B1197" t="s">
        <v>3434</v>
      </c>
      <c r="C1197" t="s">
        <v>2805</v>
      </c>
      <c r="D1197" t="s">
        <v>449</v>
      </c>
      <c r="E1197">
        <v>462</v>
      </c>
      <c r="F1197">
        <v>0</v>
      </c>
      <c r="G1197">
        <v>0</v>
      </c>
      <c r="H1197">
        <f t="shared" si="36"/>
        <v>462</v>
      </c>
      <c r="I1197">
        <v>0</v>
      </c>
      <c r="J1197">
        <v>0</v>
      </c>
      <c r="K1197">
        <v>0</v>
      </c>
      <c r="L1197">
        <f t="shared" si="37"/>
        <v>0</v>
      </c>
    </row>
    <row r="1198" spans="1:12">
      <c r="A1198" t="s">
        <v>3433</v>
      </c>
      <c r="B1198" t="s">
        <v>3434</v>
      </c>
      <c r="C1198" t="s">
        <v>2805</v>
      </c>
      <c r="D1198" t="s">
        <v>2807</v>
      </c>
      <c r="E1198">
        <v>13</v>
      </c>
      <c r="F1198">
        <v>0</v>
      </c>
      <c r="G1198">
        <v>0</v>
      </c>
      <c r="H1198">
        <f t="shared" si="36"/>
        <v>13</v>
      </c>
      <c r="I1198">
        <v>0</v>
      </c>
      <c r="J1198">
        <v>0</v>
      </c>
      <c r="K1198">
        <v>0</v>
      </c>
      <c r="L1198">
        <f t="shared" si="37"/>
        <v>0</v>
      </c>
    </row>
    <row r="1199" spans="1:12">
      <c r="A1199" t="s">
        <v>3433</v>
      </c>
      <c r="B1199" t="s">
        <v>3434</v>
      </c>
      <c r="C1199" t="s">
        <v>2810</v>
      </c>
      <c r="D1199" t="s">
        <v>2811</v>
      </c>
      <c r="E1199">
        <v>53</v>
      </c>
      <c r="F1199">
        <v>0</v>
      </c>
      <c r="G1199">
        <v>0</v>
      </c>
      <c r="H1199">
        <f t="shared" si="36"/>
        <v>53</v>
      </c>
      <c r="I1199">
        <v>0</v>
      </c>
      <c r="J1199">
        <v>0</v>
      </c>
      <c r="K1199">
        <v>0</v>
      </c>
      <c r="L1199">
        <f t="shared" si="37"/>
        <v>0</v>
      </c>
    </row>
    <row r="1200" spans="1:12">
      <c r="A1200" t="s">
        <v>3433</v>
      </c>
      <c r="B1200" t="s">
        <v>3434</v>
      </c>
      <c r="C1200" t="s">
        <v>2810</v>
      </c>
      <c r="D1200" t="s">
        <v>2813</v>
      </c>
      <c r="E1200">
        <v>3</v>
      </c>
      <c r="F1200">
        <v>0</v>
      </c>
      <c r="G1200">
        <v>0</v>
      </c>
      <c r="H1200">
        <f t="shared" si="36"/>
        <v>3</v>
      </c>
      <c r="I1200">
        <v>0</v>
      </c>
      <c r="J1200">
        <v>0</v>
      </c>
      <c r="K1200">
        <v>0</v>
      </c>
      <c r="L1200">
        <f t="shared" si="37"/>
        <v>0</v>
      </c>
    </row>
    <row r="1201" spans="1:12">
      <c r="A1201" t="s">
        <v>3433</v>
      </c>
      <c r="B1201" t="s">
        <v>3434</v>
      </c>
      <c r="C1201" t="s">
        <v>2810</v>
      </c>
      <c r="D1201" t="s">
        <v>2814</v>
      </c>
      <c r="E1201">
        <v>6</v>
      </c>
      <c r="F1201">
        <v>0</v>
      </c>
      <c r="G1201">
        <v>0</v>
      </c>
      <c r="H1201">
        <f t="shared" si="36"/>
        <v>6</v>
      </c>
      <c r="I1201">
        <v>0</v>
      </c>
      <c r="J1201">
        <v>0</v>
      </c>
      <c r="K1201">
        <v>0</v>
      </c>
      <c r="L1201">
        <f t="shared" si="37"/>
        <v>0</v>
      </c>
    </row>
    <row r="1202" spans="1:12">
      <c r="A1202" t="s">
        <v>3433</v>
      </c>
      <c r="B1202" t="s">
        <v>3434</v>
      </c>
      <c r="C1202" t="s">
        <v>2810</v>
      </c>
      <c r="D1202" t="s">
        <v>2840</v>
      </c>
      <c r="E1202">
        <v>2</v>
      </c>
      <c r="F1202">
        <v>0</v>
      </c>
      <c r="G1202">
        <v>0</v>
      </c>
      <c r="H1202">
        <f t="shared" si="36"/>
        <v>2</v>
      </c>
      <c r="I1202">
        <v>0</v>
      </c>
      <c r="J1202">
        <v>0</v>
      </c>
      <c r="K1202">
        <v>0</v>
      </c>
      <c r="L1202">
        <f t="shared" si="37"/>
        <v>0</v>
      </c>
    </row>
    <row r="1203" spans="1:12">
      <c r="A1203" t="s">
        <v>3433</v>
      </c>
      <c r="B1203" t="s">
        <v>3434</v>
      </c>
      <c r="C1203" t="s">
        <v>2810</v>
      </c>
      <c r="D1203" t="s">
        <v>2815</v>
      </c>
      <c r="E1203">
        <v>2</v>
      </c>
      <c r="F1203">
        <v>0</v>
      </c>
      <c r="G1203">
        <v>0</v>
      </c>
      <c r="H1203">
        <f t="shared" si="36"/>
        <v>2</v>
      </c>
      <c r="I1203">
        <v>0</v>
      </c>
      <c r="J1203">
        <v>0</v>
      </c>
      <c r="K1203">
        <v>0</v>
      </c>
      <c r="L1203">
        <f t="shared" si="37"/>
        <v>0</v>
      </c>
    </row>
    <row r="1204" spans="1:12">
      <c r="A1204" t="s">
        <v>3433</v>
      </c>
      <c r="B1204" t="s">
        <v>3434</v>
      </c>
      <c r="C1204" t="s">
        <v>2816</v>
      </c>
      <c r="D1204" t="s">
        <v>1897</v>
      </c>
      <c r="E1204">
        <v>91</v>
      </c>
      <c r="F1204">
        <v>0</v>
      </c>
      <c r="G1204">
        <v>0</v>
      </c>
      <c r="H1204">
        <f t="shared" si="36"/>
        <v>91</v>
      </c>
      <c r="I1204">
        <v>0</v>
      </c>
      <c r="J1204">
        <v>0</v>
      </c>
      <c r="K1204">
        <v>0</v>
      </c>
      <c r="L1204">
        <f t="shared" si="37"/>
        <v>0</v>
      </c>
    </row>
    <row r="1205" spans="1:12">
      <c r="A1205" t="s">
        <v>3433</v>
      </c>
      <c r="B1205" t="s">
        <v>3434</v>
      </c>
      <c r="C1205" t="s">
        <v>2817</v>
      </c>
      <c r="D1205" t="s">
        <v>2818</v>
      </c>
      <c r="E1205">
        <v>3</v>
      </c>
      <c r="F1205">
        <v>0</v>
      </c>
      <c r="G1205">
        <v>0</v>
      </c>
      <c r="H1205">
        <f t="shared" si="36"/>
        <v>3</v>
      </c>
      <c r="I1205">
        <v>0</v>
      </c>
      <c r="J1205">
        <v>0</v>
      </c>
      <c r="K1205">
        <v>0</v>
      </c>
      <c r="L1205">
        <f t="shared" si="37"/>
        <v>0</v>
      </c>
    </row>
    <row r="1206" spans="1:12">
      <c r="A1206" t="s">
        <v>3433</v>
      </c>
      <c r="B1206" t="s">
        <v>3434</v>
      </c>
      <c r="C1206" t="s">
        <v>2817</v>
      </c>
      <c r="D1206" t="s">
        <v>2837</v>
      </c>
      <c r="E1206">
        <v>3</v>
      </c>
      <c r="F1206">
        <v>0</v>
      </c>
      <c r="G1206">
        <v>0</v>
      </c>
      <c r="H1206">
        <f t="shared" si="36"/>
        <v>3</v>
      </c>
      <c r="I1206">
        <v>0</v>
      </c>
      <c r="J1206">
        <v>0</v>
      </c>
      <c r="K1206">
        <v>0</v>
      </c>
      <c r="L1206">
        <f t="shared" si="37"/>
        <v>0</v>
      </c>
    </row>
    <row r="1207" spans="1:12">
      <c r="A1207" t="s">
        <v>3449</v>
      </c>
      <c r="B1207" t="s">
        <v>1155</v>
      </c>
      <c r="C1207" t="s">
        <v>2805</v>
      </c>
      <c r="D1207" t="s">
        <v>2806</v>
      </c>
      <c r="E1207">
        <v>23</v>
      </c>
      <c r="F1207">
        <v>0</v>
      </c>
      <c r="G1207">
        <v>0</v>
      </c>
      <c r="H1207">
        <f t="shared" si="36"/>
        <v>23</v>
      </c>
      <c r="I1207">
        <v>14</v>
      </c>
      <c r="J1207">
        <v>0</v>
      </c>
      <c r="K1207">
        <v>0</v>
      </c>
      <c r="L1207">
        <f t="shared" si="37"/>
        <v>14</v>
      </c>
    </row>
    <row r="1208" spans="1:12">
      <c r="A1208" t="s">
        <v>3449</v>
      </c>
      <c r="B1208" t="s">
        <v>1155</v>
      </c>
      <c r="C1208" t="s">
        <v>2805</v>
      </c>
      <c r="D1208" t="s">
        <v>449</v>
      </c>
      <c r="E1208">
        <v>97</v>
      </c>
      <c r="F1208">
        <v>0</v>
      </c>
      <c r="G1208">
        <v>0</v>
      </c>
      <c r="H1208">
        <f t="shared" si="36"/>
        <v>97</v>
      </c>
      <c r="I1208">
        <v>65</v>
      </c>
      <c r="J1208">
        <v>3</v>
      </c>
      <c r="K1208">
        <v>0</v>
      </c>
      <c r="L1208">
        <f t="shared" si="37"/>
        <v>68</v>
      </c>
    </row>
    <row r="1209" spans="1:12">
      <c r="A1209" t="s">
        <v>3449</v>
      </c>
      <c r="B1209" t="s">
        <v>1155</v>
      </c>
      <c r="C1209" t="s">
        <v>2805</v>
      </c>
      <c r="D1209" t="s">
        <v>2807</v>
      </c>
      <c r="E1209">
        <v>6</v>
      </c>
      <c r="F1209">
        <v>0</v>
      </c>
      <c r="G1209">
        <v>0</v>
      </c>
      <c r="H1209">
        <f t="shared" si="36"/>
        <v>6</v>
      </c>
      <c r="I1209">
        <v>1</v>
      </c>
      <c r="J1209">
        <v>0</v>
      </c>
      <c r="K1209">
        <v>0</v>
      </c>
      <c r="L1209">
        <f t="shared" si="37"/>
        <v>1</v>
      </c>
    </row>
    <row r="1210" spans="1:12">
      <c r="A1210" t="s">
        <v>3449</v>
      </c>
      <c r="B1210" t="s">
        <v>1155</v>
      </c>
      <c r="C1210" t="s">
        <v>2805</v>
      </c>
      <c r="D1210" t="s">
        <v>2809</v>
      </c>
      <c r="E1210">
        <v>12</v>
      </c>
      <c r="F1210">
        <v>0</v>
      </c>
      <c r="G1210">
        <v>0</v>
      </c>
      <c r="H1210">
        <f t="shared" si="36"/>
        <v>12</v>
      </c>
      <c r="I1210">
        <v>0</v>
      </c>
      <c r="J1210">
        <v>0</v>
      </c>
      <c r="K1210">
        <v>0</v>
      </c>
      <c r="L1210">
        <f t="shared" si="37"/>
        <v>0</v>
      </c>
    </row>
    <row r="1211" spans="1:12">
      <c r="A1211" t="s">
        <v>3449</v>
      </c>
      <c r="B1211" t="s">
        <v>1155</v>
      </c>
      <c r="C1211" t="s">
        <v>2805</v>
      </c>
      <c r="D1211" t="s">
        <v>442</v>
      </c>
      <c r="E1211">
        <v>0</v>
      </c>
      <c r="F1211">
        <v>0</v>
      </c>
      <c r="G1211">
        <v>0</v>
      </c>
      <c r="H1211">
        <f t="shared" si="36"/>
        <v>0</v>
      </c>
      <c r="I1211">
        <v>1</v>
      </c>
      <c r="J1211">
        <v>0</v>
      </c>
      <c r="K1211">
        <v>0</v>
      </c>
      <c r="L1211">
        <f t="shared" si="37"/>
        <v>1</v>
      </c>
    </row>
    <row r="1212" spans="1:12">
      <c r="A1212" t="s">
        <v>3449</v>
      </c>
      <c r="B1212" t="s">
        <v>1155</v>
      </c>
      <c r="C1212" t="s">
        <v>2805</v>
      </c>
      <c r="D1212" t="s">
        <v>2937</v>
      </c>
      <c r="E1212">
        <v>0</v>
      </c>
      <c r="F1212">
        <v>0</v>
      </c>
      <c r="G1212">
        <v>0</v>
      </c>
      <c r="H1212">
        <f t="shared" si="36"/>
        <v>0</v>
      </c>
      <c r="I1212">
        <v>0</v>
      </c>
      <c r="J1212">
        <v>3</v>
      </c>
      <c r="K1212">
        <v>0</v>
      </c>
      <c r="L1212">
        <f t="shared" si="37"/>
        <v>3</v>
      </c>
    </row>
    <row r="1213" spans="1:12">
      <c r="A1213" t="s">
        <v>3449</v>
      </c>
      <c r="B1213" t="s">
        <v>1155</v>
      </c>
      <c r="C1213" t="s">
        <v>2805</v>
      </c>
      <c r="D1213" t="s">
        <v>2846</v>
      </c>
      <c r="E1213">
        <v>1</v>
      </c>
      <c r="F1213">
        <v>0</v>
      </c>
      <c r="G1213">
        <v>0</v>
      </c>
      <c r="H1213">
        <f t="shared" si="36"/>
        <v>1</v>
      </c>
      <c r="I1213">
        <v>0</v>
      </c>
      <c r="J1213">
        <v>0</v>
      </c>
      <c r="K1213">
        <v>0</v>
      </c>
      <c r="L1213">
        <f t="shared" si="37"/>
        <v>0</v>
      </c>
    </row>
    <row r="1214" spans="1:12">
      <c r="A1214" t="s">
        <v>3449</v>
      </c>
      <c r="B1214" t="s">
        <v>1155</v>
      </c>
      <c r="C1214" t="s">
        <v>2810</v>
      </c>
      <c r="D1214" t="s">
        <v>2811</v>
      </c>
      <c r="E1214">
        <v>56</v>
      </c>
      <c r="F1214">
        <v>0</v>
      </c>
      <c r="G1214">
        <v>0</v>
      </c>
      <c r="H1214">
        <f t="shared" si="36"/>
        <v>56</v>
      </c>
      <c r="I1214">
        <v>13</v>
      </c>
      <c r="J1214">
        <v>0</v>
      </c>
      <c r="K1214">
        <v>0</v>
      </c>
      <c r="L1214">
        <f t="shared" si="37"/>
        <v>13</v>
      </c>
    </row>
    <row r="1215" spans="1:12">
      <c r="A1215" t="s">
        <v>3449</v>
      </c>
      <c r="B1215" t="s">
        <v>1155</v>
      </c>
      <c r="C1215" t="s">
        <v>2810</v>
      </c>
      <c r="D1215" t="s">
        <v>1892</v>
      </c>
      <c r="E1215">
        <v>0</v>
      </c>
      <c r="F1215">
        <v>0</v>
      </c>
      <c r="G1215">
        <v>0</v>
      </c>
      <c r="H1215">
        <f t="shared" si="36"/>
        <v>0</v>
      </c>
      <c r="I1215">
        <v>4</v>
      </c>
      <c r="J1215">
        <v>0</v>
      </c>
      <c r="K1215">
        <v>0</v>
      </c>
      <c r="L1215">
        <f t="shared" si="37"/>
        <v>4</v>
      </c>
    </row>
    <row r="1216" spans="1:12">
      <c r="A1216" t="s">
        <v>3449</v>
      </c>
      <c r="B1216" t="s">
        <v>1155</v>
      </c>
      <c r="C1216" t="s">
        <v>2810</v>
      </c>
      <c r="D1216" t="s">
        <v>2812</v>
      </c>
      <c r="E1216">
        <v>35</v>
      </c>
      <c r="F1216">
        <v>0</v>
      </c>
      <c r="G1216">
        <v>0</v>
      </c>
      <c r="H1216">
        <f t="shared" si="36"/>
        <v>35</v>
      </c>
      <c r="I1216">
        <v>23</v>
      </c>
      <c r="J1216">
        <v>0</v>
      </c>
      <c r="K1216">
        <v>0</v>
      </c>
      <c r="L1216">
        <f t="shared" si="37"/>
        <v>23</v>
      </c>
    </row>
    <row r="1217" spans="1:12">
      <c r="A1217" t="s">
        <v>3449</v>
      </c>
      <c r="B1217" t="s">
        <v>1155</v>
      </c>
      <c r="C1217" t="s">
        <v>2810</v>
      </c>
      <c r="D1217" t="s">
        <v>2813</v>
      </c>
      <c r="E1217">
        <v>48</v>
      </c>
      <c r="F1217">
        <v>0</v>
      </c>
      <c r="G1217">
        <v>0</v>
      </c>
      <c r="H1217">
        <f t="shared" si="36"/>
        <v>48</v>
      </c>
      <c r="I1217">
        <v>30</v>
      </c>
      <c r="J1217">
        <v>0</v>
      </c>
      <c r="K1217">
        <v>0</v>
      </c>
      <c r="L1217">
        <f t="shared" si="37"/>
        <v>30</v>
      </c>
    </row>
    <row r="1218" spans="1:12">
      <c r="A1218" t="s">
        <v>3449</v>
      </c>
      <c r="B1218" t="s">
        <v>1155</v>
      </c>
      <c r="C1218" t="s">
        <v>2810</v>
      </c>
      <c r="D1218" t="s">
        <v>2814</v>
      </c>
      <c r="E1218">
        <v>1</v>
      </c>
      <c r="F1218">
        <v>0</v>
      </c>
      <c r="G1218">
        <v>0</v>
      </c>
      <c r="H1218">
        <f t="shared" si="36"/>
        <v>1</v>
      </c>
      <c r="I1218">
        <v>1</v>
      </c>
      <c r="J1218">
        <v>0</v>
      </c>
      <c r="K1218">
        <v>0</v>
      </c>
      <c r="L1218">
        <f t="shared" si="37"/>
        <v>1</v>
      </c>
    </row>
    <row r="1219" spans="1:12">
      <c r="A1219" t="s">
        <v>3449</v>
      </c>
      <c r="B1219" t="s">
        <v>1155</v>
      </c>
      <c r="C1219" t="s">
        <v>2810</v>
      </c>
      <c r="D1219" t="s">
        <v>2840</v>
      </c>
      <c r="E1219">
        <v>2</v>
      </c>
      <c r="F1219">
        <v>0</v>
      </c>
      <c r="G1219">
        <v>0</v>
      </c>
      <c r="H1219">
        <f t="shared" si="36"/>
        <v>2</v>
      </c>
      <c r="I1219">
        <v>0</v>
      </c>
      <c r="J1219">
        <v>0</v>
      </c>
      <c r="K1219">
        <v>0</v>
      </c>
      <c r="L1219">
        <f t="shared" si="37"/>
        <v>0</v>
      </c>
    </row>
    <row r="1220" spans="1:12">
      <c r="A1220" t="s">
        <v>3449</v>
      </c>
      <c r="B1220" t="s">
        <v>1155</v>
      </c>
      <c r="C1220" t="s">
        <v>2841</v>
      </c>
      <c r="D1220" t="s">
        <v>2842</v>
      </c>
      <c r="E1220">
        <v>0</v>
      </c>
      <c r="F1220">
        <v>0</v>
      </c>
      <c r="G1220">
        <v>0</v>
      </c>
      <c r="H1220">
        <f t="shared" ref="H1220:H1283" si="38">SUM(E1220:G1220)</f>
        <v>0</v>
      </c>
      <c r="I1220">
        <v>2</v>
      </c>
      <c r="J1220">
        <v>0</v>
      </c>
      <c r="K1220">
        <v>0</v>
      </c>
      <c r="L1220">
        <f t="shared" ref="L1220:L1283" si="39">SUM(I1220:K1220)</f>
        <v>2</v>
      </c>
    </row>
    <row r="1221" spans="1:12">
      <c r="A1221" t="s">
        <v>3449</v>
      </c>
      <c r="B1221" t="s">
        <v>1155</v>
      </c>
      <c r="C1221" t="s">
        <v>2826</v>
      </c>
      <c r="D1221" t="s">
        <v>2827</v>
      </c>
      <c r="E1221">
        <v>0</v>
      </c>
      <c r="F1221">
        <v>0</v>
      </c>
      <c r="G1221">
        <v>0</v>
      </c>
      <c r="H1221">
        <f t="shared" si="38"/>
        <v>0</v>
      </c>
      <c r="I1221">
        <v>2</v>
      </c>
      <c r="J1221">
        <v>0</v>
      </c>
      <c r="K1221">
        <v>0</v>
      </c>
      <c r="L1221">
        <f t="shared" si="39"/>
        <v>2</v>
      </c>
    </row>
    <row r="1222" spans="1:12">
      <c r="A1222" t="s">
        <v>3449</v>
      </c>
      <c r="B1222" t="s">
        <v>1155</v>
      </c>
      <c r="C1222" t="s">
        <v>2826</v>
      </c>
      <c r="D1222" t="s">
        <v>2830</v>
      </c>
      <c r="E1222">
        <v>1</v>
      </c>
      <c r="F1222">
        <v>0</v>
      </c>
      <c r="G1222">
        <v>0</v>
      </c>
      <c r="H1222">
        <f t="shared" si="38"/>
        <v>1</v>
      </c>
      <c r="I1222">
        <v>0</v>
      </c>
      <c r="J1222">
        <v>0</v>
      </c>
      <c r="K1222">
        <v>0</v>
      </c>
      <c r="L1222">
        <f t="shared" si="39"/>
        <v>0</v>
      </c>
    </row>
    <row r="1223" spans="1:12">
      <c r="A1223" t="s">
        <v>3449</v>
      </c>
      <c r="B1223" t="s">
        <v>1155</v>
      </c>
      <c r="C1223" t="s">
        <v>2826</v>
      </c>
      <c r="D1223" t="s">
        <v>2834</v>
      </c>
      <c r="E1223">
        <v>0</v>
      </c>
      <c r="F1223">
        <v>1</v>
      </c>
      <c r="G1223">
        <v>0</v>
      </c>
      <c r="H1223">
        <f t="shared" si="38"/>
        <v>1</v>
      </c>
      <c r="I1223">
        <v>0</v>
      </c>
      <c r="J1223">
        <v>0</v>
      </c>
      <c r="K1223">
        <v>0</v>
      </c>
      <c r="L1223">
        <f t="shared" si="39"/>
        <v>0</v>
      </c>
    </row>
    <row r="1224" spans="1:12">
      <c r="A1224" t="s">
        <v>3449</v>
      </c>
      <c r="B1224" t="s">
        <v>1155</v>
      </c>
      <c r="C1224" t="s">
        <v>2826</v>
      </c>
      <c r="D1224" t="s">
        <v>2836</v>
      </c>
      <c r="E1224">
        <v>0</v>
      </c>
      <c r="F1224">
        <v>0</v>
      </c>
      <c r="G1224">
        <v>0</v>
      </c>
      <c r="H1224">
        <f t="shared" si="38"/>
        <v>0</v>
      </c>
      <c r="I1224">
        <v>1</v>
      </c>
      <c r="J1224">
        <v>0</v>
      </c>
      <c r="K1224">
        <v>0</v>
      </c>
      <c r="L1224">
        <f t="shared" si="39"/>
        <v>1</v>
      </c>
    </row>
    <row r="1225" spans="1:12">
      <c r="A1225" t="s">
        <v>3449</v>
      </c>
      <c r="B1225" t="s">
        <v>1155</v>
      </c>
      <c r="C1225" t="s">
        <v>2817</v>
      </c>
      <c r="D1225" t="s">
        <v>2887</v>
      </c>
      <c r="E1225">
        <v>1</v>
      </c>
      <c r="F1225">
        <v>0</v>
      </c>
      <c r="G1225">
        <v>0</v>
      </c>
      <c r="H1225">
        <f t="shared" si="38"/>
        <v>1</v>
      </c>
      <c r="I1225">
        <v>3</v>
      </c>
      <c r="J1225">
        <v>1</v>
      </c>
      <c r="K1225">
        <v>0</v>
      </c>
      <c r="L1225">
        <f t="shared" si="39"/>
        <v>4</v>
      </c>
    </row>
    <row r="1226" spans="1:12">
      <c r="A1226" t="s">
        <v>3449</v>
      </c>
      <c r="B1226" t="s">
        <v>1155</v>
      </c>
      <c r="C1226" t="s">
        <v>2817</v>
      </c>
      <c r="D1226" t="s">
        <v>2877</v>
      </c>
      <c r="E1226">
        <v>2</v>
      </c>
      <c r="F1226">
        <v>0</v>
      </c>
      <c r="G1226">
        <v>0</v>
      </c>
      <c r="H1226">
        <f t="shared" si="38"/>
        <v>2</v>
      </c>
      <c r="I1226">
        <v>0</v>
      </c>
      <c r="J1226">
        <v>0</v>
      </c>
      <c r="K1226">
        <v>0</v>
      </c>
      <c r="L1226">
        <f t="shared" si="39"/>
        <v>0</v>
      </c>
    </row>
    <row r="1227" spans="1:12">
      <c r="A1227" t="s">
        <v>3449</v>
      </c>
      <c r="B1227" t="s">
        <v>1155</v>
      </c>
      <c r="C1227" t="s">
        <v>2817</v>
      </c>
      <c r="D1227" t="s">
        <v>2818</v>
      </c>
      <c r="E1227">
        <v>4</v>
      </c>
      <c r="F1227">
        <v>1</v>
      </c>
      <c r="G1227">
        <v>0</v>
      </c>
      <c r="H1227">
        <f t="shared" si="38"/>
        <v>5</v>
      </c>
      <c r="I1227">
        <v>0</v>
      </c>
      <c r="J1227">
        <v>32</v>
      </c>
      <c r="K1227">
        <v>0</v>
      </c>
      <c r="L1227">
        <f t="shared" si="39"/>
        <v>32</v>
      </c>
    </row>
    <row r="1228" spans="1:12">
      <c r="A1228" t="s">
        <v>3449</v>
      </c>
      <c r="B1228" t="s">
        <v>1155</v>
      </c>
      <c r="C1228" t="s">
        <v>2817</v>
      </c>
      <c r="D1228" t="s">
        <v>2909</v>
      </c>
      <c r="E1228">
        <v>10</v>
      </c>
      <c r="F1228">
        <v>0</v>
      </c>
      <c r="G1228">
        <v>0</v>
      </c>
      <c r="H1228">
        <f t="shared" si="38"/>
        <v>10</v>
      </c>
      <c r="I1228">
        <v>2</v>
      </c>
      <c r="J1228">
        <v>0</v>
      </c>
      <c r="K1228">
        <v>0</v>
      </c>
      <c r="L1228">
        <f t="shared" si="39"/>
        <v>2</v>
      </c>
    </row>
    <row r="1229" spans="1:12">
      <c r="A1229" t="s">
        <v>3449</v>
      </c>
      <c r="B1229" t="s">
        <v>1155</v>
      </c>
      <c r="C1229" t="s">
        <v>2820</v>
      </c>
      <c r="D1229" t="s">
        <v>2821</v>
      </c>
      <c r="E1229">
        <v>0</v>
      </c>
      <c r="F1229">
        <v>0</v>
      </c>
      <c r="G1229">
        <v>0</v>
      </c>
      <c r="H1229">
        <f t="shared" si="38"/>
        <v>0</v>
      </c>
      <c r="I1229">
        <v>3</v>
      </c>
      <c r="J1229">
        <v>0</v>
      </c>
      <c r="K1229">
        <v>0</v>
      </c>
      <c r="L1229">
        <f t="shared" si="39"/>
        <v>3</v>
      </c>
    </row>
    <row r="1230" spans="1:12">
      <c r="A1230" t="s">
        <v>3450</v>
      </c>
      <c r="B1230" t="s">
        <v>1158</v>
      </c>
      <c r="C1230" t="s">
        <v>2805</v>
      </c>
      <c r="D1230" t="s">
        <v>2806</v>
      </c>
      <c r="E1230">
        <v>22</v>
      </c>
      <c r="F1230">
        <v>0</v>
      </c>
      <c r="G1230">
        <v>0</v>
      </c>
      <c r="H1230">
        <f t="shared" si="38"/>
        <v>22</v>
      </c>
      <c r="I1230">
        <v>10</v>
      </c>
      <c r="J1230">
        <v>0</v>
      </c>
      <c r="K1230">
        <v>0</v>
      </c>
      <c r="L1230">
        <f t="shared" si="39"/>
        <v>10</v>
      </c>
    </row>
    <row r="1231" spans="1:12">
      <c r="A1231" t="s">
        <v>3450</v>
      </c>
      <c r="B1231" t="s">
        <v>1158</v>
      </c>
      <c r="C1231" t="s">
        <v>2805</v>
      </c>
      <c r="D1231" t="s">
        <v>449</v>
      </c>
      <c r="E1231">
        <v>29</v>
      </c>
      <c r="F1231">
        <v>0</v>
      </c>
      <c r="G1231">
        <v>0</v>
      </c>
      <c r="H1231">
        <f t="shared" si="38"/>
        <v>29</v>
      </c>
      <c r="I1231">
        <v>26</v>
      </c>
      <c r="J1231">
        <v>1</v>
      </c>
      <c r="K1231">
        <v>0</v>
      </c>
      <c r="L1231">
        <f t="shared" si="39"/>
        <v>27</v>
      </c>
    </row>
    <row r="1232" spans="1:12">
      <c r="A1232" t="s">
        <v>3450</v>
      </c>
      <c r="B1232" t="s">
        <v>1158</v>
      </c>
      <c r="C1232" t="s">
        <v>2805</v>
      </c>
      <c r="D1232" t="s">
        <v>2807</v>
      </c>
      <c r="E1232">
        <v>6</v>
      </c>
      <c r="F1232">
        <v>0</v>
      </c>
      <c r="G1232">
        <v>0</v>
      </c>
      <c r="H1232">
        <f t="shared" si="38"/>
        <v>6</v>
      </c>
      <c r="I1232">
        <v>0</v>
      </c>
      <c r="J1232">
        <v>1</v>
      </c>
      <c r="K1232">
        <v>0</v>
      </c>
      <c r="L1232">
        <f t="shared" si="39"/>
        <v>1</v>
      </c>
    </row>
    <row r="1233" spans="1:12">
      <c r="A1233" t="s">
        <v>3450</v>
      </c>
      <c r="B1233" t="s">
        <v>1158</v>
      </c>
      <c r="C1233" t="s">
        <v>2805</v>
      </c>
      <c r="D1233" t="s">
        <v>442</v>
      </c>
      <c r="E1233">
        <v>0</v>
      </c>
      <c r="F1233">
        <v>0</v>
      </c>
      <c r="G1233">
        <v>0</v>
      </c>
      <c r="H1233">
        <f t="shared" si="38"/>
        <v>0</v>
      </c>
      <c r="I1233">
        <v>1</v>
      </c>
      <c r="J1233">
        <v>0</v>
      </c>
      <c r="K1233">
        <v>0</v>
      </c>
      <c r="L1233">
        <f t="shared" si="39"/>
        <v>1</v>
      </c>
    </row>
    <row r="1234" spans="1:12">
      <c r="A1234" t="s">
        <v>3450</v>
      </c>
      <c r="B1234" t="s">
        <v>1158</v>
      </c>
      <c r="C1234" t="s">
        <v>2810</v>
      </c>
      <c r="D1234" t="s">
        <v>2811</v>
      </c>
      <c r="E1234">
        <v>60</v>
      </c>
      <c r="F1234">
        <v>0</v>
      </c>
      <c r="G1234">
        <v>0</v>
      </c>
      <c r="H1234">
        <f t="shared" si="38"/>
        <v>60</v>
      </c>
      <c r="I1234">
        <v>3</v>
      </c>
      <c r="J1234">
        <v>4</v>
      </c>
      <c r="K1234">
        <v>0</v>
      </c>
      <c r="L1234">
        <f t="shared" si="39"/>
        <v>7</v>
      </c>
    </row>
    <row r="1235" spans="1:12">
      <c r="A1235" t="s">
        <v>3450</v>
      </c>
      <c r="B1235" t="s">
        <v>1158</v>
      </c>
      <c r="C1235" t="s">
        <v>2810</v>
      </c>
      <c r="D1235" t="s">
        <v>1892</v>
      </c>
      <c r="E1235">
        <v>0</v>
      </c>
      <c r="F1235">
        <v>0</v>
      </c>
      <c r="G1235">
        <v>0</v>
      </c>
      <c r="H1235">
        <f t="shared" si="38"/>
        <v>0</v>
      </c>
      <c r="I1235">
        <v>5</v>
      </c>
      <c r="J1235">
        <v>0</v>
      </c>
      <c r="K1235">
        <v>0</v>
      </c>
      <c r="L1235">
        <f t="shared" si="39"/>
        <v>5</v>
      </c>
    </row>
    <row r="1236" spans="1:12">
      <c r="A1236" t="s">
        <v>3450</v>
      </c>
      <c r="B1236" t="s">
        <v>1158</v>
      </c>
      <c r="C1236" t="s">
        <v>2810</v>
      </c>
      <c r="D1236" t="s">
        <v>2812</v>
      </c>
      <c r="E1236">
        <v>8</v>
      </c>
      <c r="F1236">
        <v>0</v>
      </c>
      <c r="G1236">
        <v>0</v>
      </c>
      <c r="H1236">
        <f t="shared" si="38"/>
        <v>8</v>
      </c>
      <c r="I1236">
        <v>0</v>
      </c>
      <c r="J1236">
        <v>0</v>
      </c>
      <c r="K1236">
        <v>0</v>
      </c>
      <c r="L1236">
        <f t="shared" si="39"/>
        <v>0</v>
      </c>
    </row>
    <row r="1237" spans="1:12">
      <c r="A1237" t="s">
        <v>3450</v>
      </c>
      <c r="B1237" t="s">
        <v>1158</v>
      </c>
      <c r="C1237" t="s">
        <v>2810</v>
      </c>
      <c r="D1237" t="s">
        <v>2813</v>
      </c>
      <c r="E1237">
        <v>12</v>
      </c>
      <c r="F1237">
        <v>0</v>
      </c>
      <c r="G1237">
        <v>0</v>
      </c>
      <c r="H1237">
        <f t="shared" si="38"/>
        <v>12</v>
      </c>
      <c r="I1237">
        <v>0</v>
      </c>
      <c r="J1237">
        <v>0</v>
      </c>
      <c r="K1237">
        <v>0</v>
      </c>
      <c r="L1237">
        <f t="shared" si="39"/>
        <v>0</v>
      </c>
    </row>
    <row r="1238" spans="1:12">
      <c r="A1238" t="s">
        <v>3450</v>
      </c>
      <c r="B1238" t="s">
        <v>1158</v>
      </c>
      <c r="C1238" t="s">
        <v>2817</v>
      </c>
      <c r="D1238" t="s">
        <v>2887</v>
      </c>
      <c r="E1238">
        <v>0</v>
      </c>
      <c r="F1238">
        <v>0</v>
      </c>
      <c r="G1238">
        <v>0</v>
      </c>
      <c r="H1238">
        <f t="shared" si="38"/>
        <v>0</v>
      </c>
      <c r="I1238">
        <v>7</v>
      </c>
      <c r="J1238">
        <v>1</v>
      </c>
      <c r="K1238">
        <v>0</v>
      </c>
      <c r="L1238">
        <f t="shared" si="39"/>
        <v>8</v>
      </c>
    </row>
    <row r="1239" spans="1:12">
      <c r="A1239" t="s">
        <v>3450</v>
      </c>
      <c r="B1239" t="s">
        <v>1158</v>
      </c>
      <c r="C1239" t="s">
        <v>2817</v>
      </c>
      <c r="D1239" t="s">
        <v>2888</v>
      </c>
      <c r="E1239">
        <v>0</v>
      </c>
      <c r="F1239">
        <v>0</v>
      </c>
      <c r="G1239">
        <v>0</v>
      </c>
      <c r="H1239">
        <f t="shared" si="38"/>
        <v>0</v>
      </c>
      <c r="I1239">
        <v>1</v>
      </c>
      <c r="J1239">
        <v>0</v>
      </c>
      <c r="K1239">
        <v>0</v>
      </c>
      <c r="L1239">
        <f t="shared" si="39"/>
        <v>1</v>
      </c>
    </row>
    <row r="1240" spans="1:12">
      <c r="A1240" t="s">
        <v>3450</v>
      </c>
      <c r="B1240" t="s">
        <v>1158</v>
      </c>
      <c r="C1240" t="s">
        <v>2817</v>
      </c>
      <c r="D1240" t="s">
        <v>2909</v>
      </c>
      <c r="E1240">
        <v>1</v>
      </c>
      <c r="F1240">
        <v>0</v>
      </c>
      <c r="G1240">
        <v>0</v>
      </c>
      <c r="H1240">
        <f t="shared" si="38"/>
        <v>1</v>
      </c>
      <c r="I1240">
        <v>0</v>
      </c>
      <c r="J1240">
        <v>0</v>
      </c>
      <c r="K1240">
        <v>0</v>
      </c>
      <c r="L1240">
        <f t="shared" si="39"/>
        <v>0</v>
      </c>
    </row>
    <row r="1241" spans="1:12">
      <c r="A1241" t="s">
        <v>3450</v>
      </c>
      <c r="B1241" t="s">
        <v>1158</v>
      </c>
      <c r="C1241" t="s">
        <v>2820</v>
      </c>
      <c r="D1241" t="s">
        <v>2821</v>
      </c>
      <c r="E1241">
        <v>0</v>
      </c>
      <c r="F1241">
        <v>0</v>
      </c>
      <c r="G1241">
        <v>0</v>
      </c>
      <c r="H1241">
        <f t="shared" si="38"/>
        <v>0</v>
      </c>
      <c r="I1241">
        <v>4</v>
      </c>
      <c r="J1241">
        <v>0</v>
      </c>
      <c r="K1241">
        <v>0</v>
      </c>
      <c r="L1241">
        <f t="shared" si="39"/>
        <v>4</v>
      </c>
    </row>
    <row r="1242" spans="1:12">
      <c r="A1242" t="s">
        <v>3453</v>
      </c>
      <c r="B1242" t="s">
        <v>1149</v>
      </c>
      <c r="C1242" t="s">
        <v>2805</v>
      </c>
      <c r="D1242" t="s">
        <v>2806</v>
      </c>
      <c r="E1242">
        <v>15</v>
      </c>
      <c r="F1242">
        <v>0</v>
      </c>
      <c r="G1242">
        <v>0</v>
      </c>
      <c r="H1242">
        <f t="shared" si="38"/>
        <v>15</v>
      </c>
      <c r="I1242">
        <v>9</v>
      </c>
      <c r="J1242">
        <v>0</v>
      </c>
      <c r="K1242">
        <v>0</v>
      </c>
      <c r="L1242">
        <f t="shared" si="39"/>
        <v>9</v>
      </c>
    </row>
    <row r="1243" spans="1:12">
      <c r="A1243" t="s">
        <v>3453</v>
      </c>
      <c r="B1243" t="s">
        <v>1149</v>
      </c>
      <c r="C1243" t="s">
        <v>2805</v>
      </c>
      <c r="D1243" t="s">
        <v>449</v>
      </c>
      <c r="E1243">
        <v>56</v>
      </c>
      <c r="F1243">
        <v>0</v>
      </c>
      <c r="G1243">
        <v>0</v>
      </c>
      <c r="H1243">
        <f t="shared" si="38"/>
        <v>56</v>
      </c>
      <c r="I1243">
        <v>28</v>
      </c>
      <c r="J1243">
        <v>0</v>
      </c>
      <c r="K1243">
        <v>0</v>
      </c>
      <c r="L1243">
        <f t="shared" si="39"/>
        <v>28</v>
      </c>
    </row>
    <row r="1244" spans="1:12">
      <c r="A1244" t="s">
        <v>3453</v>
      </c>
      <c r="B1244" t="s">
        <v>1149</v>
      </c>
      <c r="C1244" t="s">
        <v>2805</v>
      </c>
      <c r="D1244" t="s">
        <v>2807</v>
      </c>
      <c r="E1244">
        <v>3</v>
      </c>
      <c r="F1244">
        <v>0</v>
      </c>
      <c r="G1244">
        <v>0</v>
      </c>
      <c r="H1244">
        <f t="shared" si="38"/>
        <v>3</v>
      </c>
      <c r="I1244">
        <v>1</v>
      </c>
      <c r="J1244">
        <v>0</v>
      </c>
      <c r="K1244">
        <v>0</v>
      </c>
      <c r="L1244">
        <f t="shared" si="39"/>
        <v>1</v>
      </c>
    </row>
    <row r="1245" spans="1:12">
      <c r="A1245" t="s">
        <v>3453</v>
      </c>
      <c r="B1245" t="s">
        <v>1149</v>
      </c>
      <c r="C1245" t="s">
        <v>2805</v>
      </c>
      <c r="D1245" t="s">
        <v>2863</v>
      </c>
      <c r="E1245">
        <v>1</v>
      </c>
      <c r="F1245">
        <v>0</v>
      </c>
      <c r="G1245">
        <v>0</v>
      </c>
      <c r="H1245">
        <f t="shared" si="38"/>
        <v>1</v>
      </c>
      <c r="I1245">
        <v>0</v>
      </c>
      <c r="J1245">
        <v>0</v>
      </c>
      <c r="K1245">
        <v>0</v>
      </c>
      <c r="L1245">
        <f t="shared" si="39"/>
        <v>0</v>
      </c>
    </row>
    <row r="1246" spans="1:12">
      <c r="A1246" t="s">
        <v>3453</v>
      </c>
      <c r="B1246" t="s">
        <v>1149</v>
      </c>
      <c r="C1246" t="s">
        <v>2810</v>
      </c>
      <c r="D1246" t="s">
        <v>2811</v>
      </c>
      <c r="E1246">
        <v>31</v>
      </c>
      <c r="F1246">
        <v>0</v>
      </c>
      <c r="G1246">
        <v>0</v>
      </c>
      <c r="H1246">
        <f t="shared" si="38"/>
        <v>31</v>
      </c>
      <c r="I1246">
        <v>10</v>
      </c>
      <c r="J1246">
        <v>0</v>
      </c>
      <c r="K1246">
        <v>0</v>
      </c>
      <c r="L1246">
        <f t="shared" si="39"/>
        <v>10</v>
      </c>
    </row>
    <row r="1247" spans="1:12">
      <c r="A1247" t="s">
        <v>3453</v>
      </c>
      <c r="B1247" t="s">
        <v>1149</v>
      </c>
      <c r="C1247" t="s">
        <v>2810</v>
      </c>
      <c r="D1247" t="s">
        <v>2812</v>
      </c>
      <c r="E1247">
        <v>46</v>
      </c>
      <c r="F1247">
        <v>0</v>
      </c>
      <c r="G1247">
        <v>0</v>
      </c>
      <c r="H1247">
        <f t="shared" si="38"/>
        <v>46</v>
      </c>
      <c r="I1247">
        <v>10</v>
      </c>
      <c r="J1247">
        <v>0</v>
      </c>
      <c r="K1247">
        <v>0</v>
      </c>
      <c r="L1247">
        <f t="shared" si="39"/>
        <v>10</v>
      </c>
    </row>
    <row r="1248" spans="1:12">
      <c r="A1248" t="s">
        <v>3453</v>
      </c>
      <c r="B1248" t="s">
        <v>1149</v>
      </c>
      <c r="C1248" t="s">
        <v>2810</v>
      </c>
      <c r="D1248" t="s">
        <v>2813</v>
      </c>
      <c r="E1248">
        <v>41</v>
      </c>
      <c r="F1248">
        <v>0</v>
      </c>
      <c r="G1248">
        <v>0</v>
      </c>
      <c r="H1248">
        <f t="shared" si="38"/>
        <v>41</v>
      </c>
      <c r="I1248">
        <v>23</v>
      </c>
      <c r="J1248">
        <v>0</v>
      </c>
      <c r="K1248">
        <v>0</v>
      </c>
      <c r="L1248">
        <f t="shared" si="39"/>
        <v>23</v>
      </c>
    </row>
    <row r="1249" spans="1:12">
      <c r="A1249" t="s">
        <v>3453</v>
      </c>
      <c r="B1249" t="s">
        <v>1149</v>
      </c>
      <c r="C1249" t="s">
        <v>2810</v>
      </c>
      <c r="D1249" t="s">
        <v>2814</v>
      </c>
      <c r="E1249">
        <v>1</v>
      </c>
      <c r="F1249">
        <v>0</v>
      </c>
      <c r="G1249">
        <v>0</v>
      </c>
      <c r="H1249">
        <f t="shared" si="38"/>
        <v>1</v>
      </c>
      <c r="I1249">
        <v>2</v>
      </c>
      <c r="J1249">
        <v>0</v>
      </c>
      <c r="K1249">
        <v>0</v>
      </c>
      <c r="L1249">
        <f t="shared" si="39"/>
        <v>2</v>
      </c>
    </row>
    <row r="1250" spans="1:12">
      <c r="A1250" t="s">
        <v>3453</v>
      </c>
      <c r="B1250" t="s">
        <v>1149</v>
      </c>
      <c r="C1250" t="s">
        <v>2841</v>
      </c>
      <c r="D1250" t="s">
        <v>2842</v>
      </c>
      <c r="E1250">
        <v>0</v>
      </c>
      <c r="F1250">
        <v>0</v>
      </c>
      <c r="G1250">
        <v>0</v>
      </c>
      <c r="H1250">
        <f t="shared" si="38"/>
        <v>0</v>
      </c>
      <c r="I1250">
        <v>3</v>
      </c>
      <c r="J1250">
        <v>0</v>
      </c>
      <c r="K1250">
        <v>0</v>
      </c>
      <c r="L1250">
        <f t="shared" si="39"/>
        <v>3</v>
      </c>
    </row>
    <row r="1251" spans="1:12">
      <c r="A1251" t="s">
        <v>3453</v>
      </c>
      <c r="B1251" t="s">
        <v>1149</v>
      </c>
      <c r="C1251" t="s">
        <v>2817</v>
      </c>
      <c r="D1251" t="s">
        <v>2818</v>
      </c>
      <c r="E1251">
        <v>2</v>
      </c>
      <c r="F1251">
        <v>0</v>
      </c>
      <c r="G1251">
        <v>0</v>
      </c>
      <c r="H1251">
        <f t="shared" si="38"/>
        <v>2</v>
      </c>
      <c r="I1251">
        <v>0</v>
      </c>
      <c r="J1251">
        <v>0</v>
      </c>
      <c r="K1251">
        <v>0</v>
      </c>
      <c r="L1251">
        <f t="shared" si="39"/>
        <v>0</v>
      </c>
    </row>
    <row r="1252" spans="1:12">
      <c r="A1252" t="s">
        <v>3462</v>
      </c>
      <c r="B1252" t="s">
        <v>1160</v>
      </c>
      <c r="C1252" t="s">
        <v>2805</v>
      </c>
      <c r="D1252" t="s">
        <v>2806</v>
      </c>
      <c r="E1252">
        <v>82</v>
      </c>
      <c r="F1252">
        <v>0</v>
      </c>
      <c r="G1252">
        <v>0</v>
      </c>
      <c r="H1252">
        <f t="shared" si="38"/>
        <v>82</v>
      </c>
      <c r="I1252">
        <v>0</v>
      </c>
      <c r="J1252">
        <v>0</v>
      </c>
      <c r="K1252">
        <v>0</v>
      </c>
      <c r="L1252">
        <f t="shared" si="39"/>
        <v>0</v>
      </c>
    </row>
    <row r="1253" spans="1:12">
      <c r="A1253" t="s">
        <v>3462</v>
      </c>
      <c r="B1253" t="s">
        <v>1160</v>
      </c>
      <c r="C1253" t="s">
        <v>2805</v>
      </c>
      <c r="D1253" t="s">
        <v>449</v>
      </c>
      <c r="E1253">
        <v>181</v>
      </c>
      <c r="F1253">
        <v>0</v>
      </c>
      <c r="G1253">
        <v>0</v>
      </c>
      <c r="H1253">
        <f t="shared" si="38"/>
        <v>181</v>
      </c>
      <c r="I1253">
        <v>0</v>
      </c>
      <c r="J1253">
        <v>0</v>
      </c>
      <c r="K1253">
        <v>0</v>
      </c>
      <c r="L1253">
        <f t="shared" si="39"/>
        <v>0</v>
      </c>
    </row>
    <row r="1254" spans="1:12">
      <c r="A1254" t="s">
        <v>3462</v>
      </c>
      <c r="B1254" t="s">
        <v>1160</v>
      </c>
      <c r="C1254" t="s">
        <v>2805</v>
      </c>
      <c r="D1254" t="s">
        <v>2807</v>
      </c>
      <c r="E1254">
        <v>1</v>
      </c>
      <c r="F1254">
        <v>0</v>
      </c>
      <c r="G1254">
        <v>0</v>
      </c>
      <c r="H1254">
        <f t="shared" si="38"/>
        <v>1</v>
      </c>
      <c r="I1254">
        <v>0</v>
      </c>
      <c r="J1254">
        <v>0</v>
      </c>
      <c r="K1254">
        <v>0</v>
      </c>
      <c r="L1254">
        <f t="shared" si="39"/>
        <v>0</v>
      </c>
    </row>
    <row r="1255" spans="1:12">
      <c r="A1255" t="s">
        <v>3462</v>
      </c>
      <c r="B1255" t="s">
        <v>1160</v>
      </c>
      <c r="C1255" t="s">
        <v>2805</v>
      </c>
      <c r="D1255" t="s">
        <v>2937</v>
      </c>
      <c r="E1255">
        <v>1</v>
      </c>
      <c r="F1255">
        <v>0</v>
      </c>
      <c r="G1255">
        <v>0</v>
      </c>
      <c r="H1255">
        <f t="shared" si="38"/>
        <v>1</v>
      </c>
      <c r="I1255">
        <v>0</v>
      </c>
      <c r="J1255">
        <v>0</v>
      </c>
      <c r="K1255">
        <v>0</v>
      </c>
      <c r="L1255">
        <f t="shared" si="39"/>
        <v>0</v>
      </c>
    </row>
    <row r="1256" spans="1:12">
      <c r="A1256" t="s">
        <v>3462</v>
      </c>
      <c r="B1256" t="s">
        <v>1160</v>
      </c>
      <c r="C1256" t="s">
        <v>2810</v>
      </c>
      <c r="D1256" t="s">
        <v>2811</v>
      </c>
      <c r="E1256">
        <v>4</v>
      </c>
      <c r="F1256">
        <v>0</v>
      </c>
      <c r="G1256">
        <v>0</v>
      </c>
      <c r="H1256">
        <f t="shared" si="38"/>
        <v>4</v>
      </c>
      <c r="I1256">
        <v>0</v>
      </c>
      <c r="J1256">
        <v>0</v>
      </c>
      <c r="K1256">
        <v>0</v>
      </c>
      <c r="L1256">
        <f t="shared" si="39"/>
        <v>0</v>
      </c>
    </row>
    <row r="1257" spans="1:12">
      <c r="A1257" t="s">
        <v>3462</v>
      </c>
      <c r="B1257" t="s">
        <v>1160</v>
      </c>
      <c r="C1257" t="s">
        <v>2810</v>
      </c>
      <c r="D1257" t="s">
        <v>2823</v>
      </c>
      <c r="E1257">
        <v>7</v>
      </c>
      <c r="F1257">
        <v>2</v>
      </c>
      <c r="G1257">
        <v>0</v>
      </c>
      <c r="H1257">
        <f t="shared" si="38"/>
        <v>9</v>
      </c>
      <c r="I1257">
        <v>0</v>
      </c>
      <c r="J1257">
        <v>0</v>
      </c>
      <c r="K1257">
        <v>0</v>
      </c>
      <c r="L1257">
        <f t="shared" si="39"/>
        <v>0</v>
      </c>
    </row>
    <row r="1258" spans="1:12">
      <c r="A1258" t="s">
        <v>3462</v>
      </c>
      <c r="B1258" t="s">
        <v>1160</v>
      </c>
      <c r="C1258" t="s">
        <v>2810</v>
      </c>
      <c r="D1258" t="s">
        <v>2812</v>
      </c>
      <c r="E1258">
        <v>122</v>
      </c>
      <c r="F1258">
        <v>2</v>
      </c>
      <c r="G1258">
        <v>0</v>
      </c>
      <c r="H1258">
        <f t="shared" si="38"/>
        <v>124</v>
      </c>
      <c r="I1258">
        <v>0</v>
      </c>
      <c r="J1258">
        <v>0</v>
      </c>
      <c r="K1258">
        <v>0</v>
      </c>
      <c r="L1258">
        <f t="shared" si="39"/>
        <v>0</v>
      </c>
    </row>
    <row r="1259" spans="1:12">
      <c r="A1259" t="s">
        <v>3462</v>
      </c>
      <c r="B1259" t="s">
        <v>1160</v>
      </c>
      <c r="C1259" t="s">
        <v>2810</v>
      </c>
      <c r="D1259" t="s">
        <v>2813</v>
      </c>
      <c r="E1259">
        <v>29</v>
      </c>
      <c r="F1259">
        <v>0</v>
      </c>
      <c r="G1259">
        <v>0</v>
      </c>
      <c r="H1259">
        <f t="shared" si="38"/>
        <v>29</v>
      </c>
      <c r="I1259">
        <v>0</v>
      </c>
      <c r="J1259">
        <v>0</v>
      </c>
      <c r="K1259">
        <v>0</v>
      </c>
      <c r="L1259">
        <f t="shared" si="39"/>
        <v>0</v>
      </c>
    </row>
    <row r="1260" spans="1:12">
      <c r="A1260" t="s">
        <v>3462</v>
      </c>
      <c r="B1260" t="s">
        <v>1160</v>
      </c>
      <c r="C1260" t="s">
        <v>2810</v>
      </c>
      <c r="D1260" t="s">
        <v>2814</v>
      </c>
      <c r="E1260">
        <v>11</v>
      </c>
      <c r="F1260">
        <v>0</v>
      </c>
      <c r="G1260">
        <v>0</v>
      </c>
      <c r="H1260">
        <f t="shared" si="38"/>
        <v>11</v>
      </c>
      <c r="I1260">
        <v>0</v>
      </c>
      <c r="J1260">
        <v>0</v>
      </c>
      <c r="K1260">
        <v>0</v>
      </c>
      <c r="L1260">
        <f t="shared" si="39"/>
        <v>0</v>
      </c>
    </row>
    <row r="1261" spans="1:12">
      <c r="A1261" t="s">
        <v>3462</v>
      </c>
      <c r="B1261" t="s">
        <v>1160</v>
      </c>
      <c r="C1261" t="s">
        <v>2810</v>
      </c>
      <c r="D1261" t="s">
        <v>2847</v>
      </c>
      <c r="E1261">
        <v>380</v>
      </c>
      <c r="F1261">
        <v>0</v>
      </c>
      <c r="G1261">
        <v>0</v>
      </c>
      <c r="H1261">
        <f t="shared" si="38"/>
        <v>380</v>
      </c>
      <c r="I1261">
        <v>0</v>
      </c>
      <c r="J1261">
        <v>0</v>
      </c>
      <c r="K1261">
        <v>0</v>
      </c>
      <c r="L1261">
        <f t="shared" si="39"/>
        <v>0</v>
      </c>
    </row>
    <row r="1262" spans="1:12">
      <c r="A1262" t="s">
        <v>3462</v>
      </c>
      <c r="B1262" t="s">
        <v>1160</v>
      </c>
      <c r="C1262" t="s">
        <v>2810</v>
      </c>
      <c r="D1262" t="s">
        <v>2840</v>
      </c>
      <c r="E1262">
        <v>21</v>
      </c>
      <c r="F1262">
        <v>0</v>
      </c>
      <c r="G1262">
        <v>0</v>
      </c>
      <c r="H1262">
        <f t="shared" si="38"/>
        <v>21</v>
      </c>
      <c r="I1262">
        <v>0</v>
      </c>
      <c r="J1262">
        <v>0</v>
      </c>
      <c r="K1262">
        <v>0</v>
      </c>
      <c r="L1262">
        <f t="shared" si="39"/>
        <v>0</v>
      </c>
    </row>
    <row r="1263" spans="1:12">
      <c r="A1263" t="s">
        <v>3462</v>
      </c>
      <c r="B1263" t="s">
        <v>1160</v>
      </c>
      <c r="C1263" t="s">
        <v>2816</v>
      </c>
      <c r="D1263" t="s">
        <v>1896</v>
      </c>
      <c r="E1263">
        <v>30</v>
      </c>
      <c r="F1263">
        <v>0</v>
      </c>
      <c r="G1263">
        <v>0</v>
      </c>
      <c r="H1263">
        <f t="shared" si="38"/>
        <v>30</v>
      </c>
      <c r="I1263">
        <v>0</v>
      </c>
      <c r="J1263">
        <v>0</v>
      </c>
      <c r="K1263">
        <v>0</v>
      </c>
      <c r="L1263">
        <f t="shared" si="39"/>
        <v>0</v>
      </c>
    </row>
    <row r="1264" spans="1:12">
      <c r="A1264" t="s">
        <v>3462</v>
      </c>
      <c r="B1264" t="s">
        <v>1160</v>
      </c>
      <c r="C1264" t="s">
        <v>2816</v>
      </c>
      <c r="D1264" t="s">
        <v>1897</v>
      </c>
      <c r="E1264">
        <v>8</v>
      </c>
      <c r="F1264">
        <v>0</v>
      </c>
      <c r="G1264">
        <v>0</v>
      </c>
      <c r="H1264">
        <f t="shared" si="38"/>
        <v>8</v>
      </c>
      <c r="I1264">
        <v>0</v>
      </c>
      <c r="J1264">
        <v>0</v>
      </c>
      <c r="K1264">
        <v>0</v>
      </c>
      <c r="L1264">
        <f t="shared" si="39"/>
        <v>0</v>
      </c>
    </row>
    <row r="1265" spans="1:12">
      <c r="A1265" t="s">
        <v>3462</v>
      </c>
      <c r="B1265" t="s">
        <v>1160</v>
      </c>
      <c r="C1265" t="s">
        <v>2817</v>
      </c>
      <c r="D1265" t="s">
        <v>2888</v>
      </c>
      <c r="E1265">
        <v>11</v>
      </c>
      <c r="F1265">
        <v>0</v>
      </c>
      <c r="G1265">
        <v>0</v>
      </c>
      <c r="H1265">
        <f t="shared" si="38"/>
        <v>11</v>
      </c>
      <c r="I1265">
        <v>0</v>
      </c>
      <c r="J1265">
        <v>0</v>
      </c>
      <c r="K1265">
        <v>0</v>
      </c>
      <c r="L1265">
        <f t="shared" si="39"/>
        <v>0</v>
      </c>
    </row>
    <row r="1266" spans="1:12">
      <c r="A1266" t="s">
        <v>3473</v>
      </c>
      <c r="B1266" t="s">
        <v>343</v>
      </c>
      <c r="C1266" t="s">
        <v>2805</v>
      </c>
      <c r="D1266" t="s">
        <v>2807</v>
      </c>
      <c r="E1266">
        <v>1</v>
      </c>
      <c r="F1266">
        <v>0</v>
      </c>
      <c r="G1266">
        <v>0</v>
      </c>
      <c r="H1266">
        <f t="shared" si="38"/>
        <v>1</v>
      </c>
      <c r="I1266">
        <v>4</v>
      </c>
      <c r="J1266">
        <v>0</v>
      </c>
      <c r="K1266">
        <v>0</v>
      </c>
      <c r="L1266">
        <f t="shared" si="39"/>
        <v>4</v>
      </c>
    </row>
    <row r="1267" spans="1:12">
      <c r="A1267" t="s">
        <v>3473</v>
      </c>
      <c r="B1267" t="s">
        <v>343</v>
      </c>
      <c r="C1267" t="s">
        <v>2810</v>
      </c>
      <c r="D1267" t="s">
        <v>2811</v>
      </c>
      <c r="E1267">
        <v>1</v>
      </c>
      <c r="F1267">
        <v>0</v>
      </c>
      <c r="G1267">
        <v>0</v>
      </c>
      <c r="H1267">
        <f t="shared" si="38"/>
        <v>1</v>
      </c>
      <c r="I1267">
        <v>4</v>
      </c>
      <c r="J1267">
        <v>0</v>
      </c>
      <c r="K1267">
        <v>0</v>
      </c>
      <c r="L1267">
        <f t="shared" si="39"/>
        <v>4</v>
      </c>
    </row>
    <row r="1268" spans="1:12">
      <c r="A1268" t="s">
        <v>3473</v>
      </c>
      <c r="B1268" t="s">
        <v>343</v>
      </c>
      <c r="C1268" t="s">
        <v>2810</v>
      </c>
      <c r="D1268" t="s">
        <v>2812</v>
      </c>
      <c r="E1268">
        <v>0</v>
      </c>
      <c r="F1268">
        <v>0</v>
      </c>
      <c r="G1268">
        <v>0</v>
      </c>
      <c r="H1268">
        <f t="shared" si="38"/>
        <v>0</v>
      </c>
      <c r="I1268">
        <v>3</v>
      </c>
      <c r="J1268">
        <v>0</v>
      </c>
      <c r="K1268">
        <v>0</v>
      </c>
      <c r="L1268">
        <f t="shared" si="39"/>
        <v>3</v>
      </c>
    </row>
    <row r="1269" spans="1:12">
      <c r="A1269" t="s">
        <v>3473</v>
      </c>
      <c r="B1269" t="s">
        <v>343</v>
      </c>
      <c r="C1269" t="s">
        <v>2826</v>
      </c>
      <c r="D1269" t="s">
        <v>2871</v>
      </c>
      <c r="E1269">
        <v>0</v>
      </c>
      <c r="F1269">
        <v>0</v>
      </c>
      <c r="G1269">
        <v>0</v>
      </c>
      <c r="H1269">
        <f t="shared" si="38"/>
        <v>0</v>
      </c>
      <c r="I1269">
        <v>15</v>
      </c>
      <c r="J1269">
        <v>5</v>
      </c>
      <c r="K1269">
        <v>0</v>
      </c>
      <c r="L1269">
        <f t="shared" si="39"/>
        <v>20</v>
      </c>
    </row>
    <row r="1270" spans="1:12">
      <c r="A1270" t="s">
        <v>3473</v>
      </c>
      <c r="B1270" t="s">
        <v>343</v>
      </c>
      <c r="C1270" t="s">
        <v>2826</v>
      </c>
      <c r="D1270" t="s">
        <v>2905</v>
      </c>
      <c r="E1270">
        <v>0</v>
      </c>
      <c r="F1270">
        <v>0</v>
      </c>
      <c r="G1270">
        <v>0</v>
      </c>
      <c r="H1270">
        <f t="shared" si="38"/>
        <v>0</v>
      </c>
      <c r="I1270">
        <v>15</v>
      </c>
      <c r="J1270">
        <v>7</v>
      </c>
      <c r="K1270">
        <v>0</v>
      </c>
      <c r="L1270">
        <f t="shared" si="39"/>
        <v>22</v>
      </c>
    </row>
    <row r="1271" spans="1:12">
      <c r="A1271" t="s">
        <v>3473</v>
      </c>
      <c r="B1271" t="s">
        <v>343</v>
      </c>
      <c r="C1271" t="s">
        <v>2826</v>
      </c>
      <c r="D1271" t="s">
        <v>2827</v>
      </c>
      <c r="E1271">
        <v>0</v>
      </c>
      <c r="F1271">
        <v>0</v>
      </c>
      <c r="G1271">
        <v>0</v>
      </c>
      <c r="H1271">
        <f t="shared" si="38"/>
        <v>0</v>
      </c>
      <c r="I1271">
        <v>12</v>
      </c>
      <c r="J1271">
        <v>2</v>
      </c>
      <c r="K1271">
        <v>0</v>
      </c>
      <c r="L1271">
        <f t="shared" si="39"/>
        <v>14</v>
      </c>
    </row>
    <row r="1272" spans="1:12">
      <c r="A1272" t="s">
        <v>3473</v>
      </c>
      <c r="B1272" t="s">
        <v>343</v>
      </c>
      <c r="C1272" t="s">
        <v>2826</v>
      </c>
      <c r="D1272" t="s">
        <v>2828</v>
      </c>
      <c r="E1272">
        <v>0</v>
      </c>
      <c r="F1272">
        <v>0</v>
      </c>
      <c r="G1272">
        <v>0</v>
      </c>
      <c r="H1272">
        <f t="shared" si="38"/>
        <v>0</v>
      </c>
      <c r="I1272">
        <v>10</v>
      </c>
      <c r="J1272">
        <v>6</v>
      </c>
      <c r="K1272">
        <v>0</v>
      </c>
      <c r="L1272">
        <f t="shared" si="39"/>
        <v>16</v>
      </c>
    </row>
    <row r="1273" spans="1:12">
      <c r="A1273" t="s">
        <v>3473</v>
      </c>
      <c r="B1273" t="s">
        <v>343</v>
      </c>
      <c r="C1273" t="s">
        <v>2826</v>
      </c>
      <c r="D1273" t="s">
        <v>2829</v>
      </c>
      <c r="E1273">
        <v>0</v>
      </c>
      <c r="F1273">
        <v>0</v>
      </c>
      <c r="G1273">
        <v>0</v>
      </c>
      <c r="H1273">
        <f t="shared" si="38"/>
        <v>0</v>
      </c>
      <c r="I1273">
        <v>10</v>
      </c>
      <c r="J1273">
        <v>1</v>
      </c>
      <c r="K1273">
        <v>0</v>
      </c>
      <c r="L1273">
        <f t="shared" si="39"/>
        <v>11</v>
      </c>
    </row>
    <row r="1274" spans="1:12">
      <c r="A1274" t="s">
        <v>3473</v>
      </c>
      <c r="B1274" t="s">
        <v>343</v>
      </c>
      <c r="C1274" t="s">
        <v>2826</v>
      </c>
      <c r="D1274" t="s">
        <v>2891</v>
      </c>
      <c r="E1274">
        <v>0</v>
      </c>
      <c r="F1274">
        <v>0</v>
      </c>
      <c r="G1274">
        <v>0</v>
      </c>
      <c r="H1274">
        <f t="shared" si="38"/>
        <v>0</v>
      </c>
      <c r="I1274">
        <v>8</v>
      </c>
      <c r="J1274">
        <v>6</v>
      </c>
      <c r="K1274">
        <v>0</v>
      </c>
      <c r="L1274">
        <f t="shared" si="39"/>
        <v>14</v>
      </c>
    </row>
    <row r="1275" spans="1:12">
      <c r="A1275" t="s">
        <v>3473</v>
      </c>
      <c r="B1275" t="s">
        <v>343</v>
      </c>
      <c r="C1275" t="s">
        <v>2826</v>
      </c>
      <c r="D1275" t="s">
        <v>2830</v>
      </c>
      <c r="E1275">
        <v>0</v>
      </c>
      <c r="F1275">
        <v>0</v>
      </c>
      <c r="G1275">
        <v>0</v>
      </c>
      <c r="H1275">
        <f t="shared" si="38"/>
        <v>0</v>
      </c>
      <c r="I1275">
        <v>4</v>
      </c>
      <c r="J1275">
        <v>0</v>
      </c>
      <c r="K1275">
        <v>0</v>
      </c>
      <c r="L1275">
        <f t="shared" si="39"/>
        <v>4</v>
      </c>
    </row>
    <row r="1276" spans="1:12">
      <c r="A1276" t="s">
        <v>3473</v>
      </c>
      <c r="B1276" t="s">
        <v>343</v>
      </c>
      <c r="C1276" t="s">
        <v>2826</v>
      </c>
      <c r="D1276" t="s">
        <v>2864</v>
      </c>
      <c r="E1276">
        <v>0</v>
      </c>
      <c r="F1276">
        <v>0</v>
      </c>
      <c r="G1276">
        <v>0</v>
      </c>
      <c r="H1276">
        <f t="shared" si="38"/>
        <v>0</v>
      </c>
      <c r="I1276">
        <v>2</v>
      </c>
      <c r="J1276">
        <v>10</v>
      </c>
      <c r="K1276">
        <v>0</v>
      </c>
      <c r="L1276">
        <f t="shared" si="39"/>
        <v>12</v>
      </c>
    </row>
    <row r="1277" spans="1:12">
      <c r="A1277" t="s">
        <v>3473</v>
      </c>
      <c r="B1277" t="s">
        <v>343</v>
      </c>
      <c r="C1277" t="s">
        <v>2826</v>
      </c>
      <c r="D1277" t="s">
        <v>2831</v>
      </c>
      <c r="E1277">
        <v>0</v>
      </c>
      <c r="F1277">
        <v>0</v>
      </c>
      <c r="G1277">
        <v>0</v>
      </c>
      <c r="H1277">
        <f t="shared" si="38"/>
        <v>0</v>
      </c>
      <c r="I1277">
        <v>3</v>
      </c>
      <c r="J1277">
        <v>3</v>
      </c>
      <c r="K1277">
        <v>0</v>
      </c>
      <c r="L1277">
        <f t="shared" si="39"/>
        <v>6</v>
      </c>
    </row>
    <row r="1278" spans="1:12">
      <c r="A1278" t="s">
        <v>3473</v>
      </c>
      <c r="B1278" t="s">
        <v>343</v>
      </c>
      <c r="C1278" t="s">
        <v>2826</v>
      </c>
      <c r="D1278" t="s">
        <v>2843</v>
      </c>
      <c r="E1278">
        <v>0</v>
      </c>
      <c r="F1278">
        <v>0</v>
      </c>
      <c r="G1278">
        <v>0</v>
      </c>
      <c r="H1278">
        <f t="shared" si="38"/>
        <v>0</v>
      </c>
      <c r="I1278">
        <v>10</v>
      </c>
      <c r="J1278">
        <v>5</v>
      </c>
      <c r="K1278">
        <v>0</v>
      </c>
      <c r="L1278">
        <f t="shared" si="39"/>
        <v>15</v>
      </c>
    </row>
    <row r="1279" spans="1:12">
      <c r="A1279" t="s">
        <v>3473</v>
      </c>
      <c r="B1279" t="s">
        <v>343</v>
      </c>
      <c r="C1279" t="s">
        <v>2826</v>
      </c>
      <c r="D1279" t="s">
        <v>2884</v>
      </c>
      <c r="E1279">
        <v>0</v>
      </c>
      <c r="F1279">
        <v>0</v>
      </c>
      <c r="G1279">
        <v>0</v>
      </c>
      <c r="H1279">
        <f t="shared" si="38"/>
        <v>0</v>
      </c>
      <c r="I1279">
        <v>2</v>
      </c>
      <c r="J1279">
        <v>9</v>
      </c>
      <c r="K1279">
        <v>0</v>
      </c>
      <c r="L1279">
        <f t="shared" si="39"/>
        <v>11</v>
      </c>
    </row>
    <row r="1280" spans="1:12">
      <c r="A1280" t="s">
        <v>3473</v>
      </c>
      <c r="B1280" t="s">
        <v>343</v>
      </c>
      <c r="C1280" t="s">
        <v>2826</v>
      </c>
      <c r="D1280" t="s">
        <v>2975</v>
      </c>
      <c r="E1280">
        <v>0</v>
      </c>
      <c r="F1280">
        <v>0</v>
      </c>
      <c r="G1280">
        <v>0</v>
      </c>
      <c r="H1280">
        <f t="shared" si="38"/>
        <v>0</v>
      </c>
      <c r="I1280">
        <v>2</v>
      </c>
      <c r="J1280">
        <v>1</v>
      </c>
      <c r="K1280">
        <v>0</v>
      </c>
      <c r="L1280">
        <f t="shared" si="39"/>
        <v>3</v>
      </c>
    </row>
    <row r="1281" spans="1:12">
      <c r="A1281" t="s">
        <v>3473</v>
      </c>
      <c r="B1281" t="s">
        <v>343</v>
      </c>
      <c r="C1281" t="s">
        <v>2826</v>
      </c>
      <c r="D1281" t="s">
        <v>2885</v>
      </c>
      <c r="E1281">
        <v>0</v>
      </c>
      <c r="F1281">
        <v>0</v>
      </c>
      <c r="G1281">
        <v>0</v>
      </c>
      <c r="H1281">
        <f t="shared" si="38"/>
        <v>0</v>
      </c>
      <c r="I1281">
        <v>5</v>
      </c>
      <c r="J1281">
        <v>0</v>
      </c>
      <c r="K1281">
        <v>0</v>
      </c>
      <c r="L1281">
        <f t="shared" si="39"/>
        <v>5</v>
      </c>
    </row>
    <row r="1282" spans="1:12">
      <c r="A1282" t="s">
        <v>3473</v>
      </c>
      <c r="B1282" t="s">
        <v>343</v>
      </c>
      <c r="C1282" t="s">
        <v>2826</v>
      </c>
      <c r="D1282" t="s">
        <v>2832</v>
      </c>
      <c r="E1282">
        <v>0</v>
      </c>
      <c r="F1282">
        <v>0</v>
      </c>
      <c r="G1282">
        <v>0</v>
      </c>
      <c r="H1282">
        <f t="shared" si="38"/>
        <v>0</v>
      </c>
      <c r="I1282">
        <v>6</v>
      </c>
      <c r="J1282">
        <v>6</v>
      </c>
      <c r="K1282">
        <v>0</v>
      </c>
      <c r="L1282">
        <f t="shared" si="39"/>
        <v>12</v>
      </c>
    </row>
    <row r="1283" spans="1:12">
      <c r="A1283" t="s">
        <v>3473</v>
      </c>
      <c r="B1283" t="s">
        <v>343</v>
      </c>
      <c r="C1283" t="s">
        <v>2826</v>
      </c>
      <c r="D1283" t="s">
        <v>2833</v>
      </c>
      <c r="E1283">
        <v>0</v>
      </c>
      <c r="F1283">
        <v>0</v>
      </c>
      <c r="G1283">
        <v>0</v>
      </c>
      <c r="H1283">
        <f t="shared" si="38"/>
        <v>0</v>
      </c>
      <c r="I1283">
        <v>1</v>
      </c>
      <c r="J1283">
        <v>0</v>
      </c>
      <c r="K1283">
        <v>0</v>
      </c>
      <c r="L1283">
        <f t="shared" si="39"/>
        <v>1</v>
      </c>
    </row>
    <row r="1284" spans="1:12">
      <c r="A1284" t="s">
        <v>3473</v>
      </c>
      <c r="B1284" t="s">
        <v>343</v>
      </c>
      <c r="C1284" t="s">
        <v>2826</v>
      </c>
      <c r="D1284" t="s">
        <v>2834</v>
      </c>
      <c r="E1284">
        <v>0</v>
      </c>
      <c r="F1284">
        <v>0</v>
      </c>
      <c r="G1284">
        <v>0</v>
      </c>
      <c r="H1284">
        <f t="shared" ref="H1284:H1347" si="40">SUM(E1284:G1284)</f>
        <v>0</v>
      </c>
      <c r="I1284">
        <v>13</v>
      </c>
      <c r="J1284">
        <v>6</v>
      </c>
      <c r="K1284">
        <v>0</v>
      </c>
      <c r="L1284">
        <f t="shared" ref="L1284:L1347" si="41">SUM(I1284:K1284)</f>
        <v>19</v>
      </c>
    </row>
    <row r="1285" spans="1:12">
      <c r="A1285" t="s">
        <v>3473</v>
      </c>
      <c r="B1285" t="s">
        <v>343</v>
      </c>
      <c r="C1285" t="s">
        <v>2826</v>
      </c>
      <c r="D1285" t="s">
        <v>2886</v>
      </c>
      <c r="E1285">
        <v>0</v>
      </c>
      <c r="F1285">
        <v>0</v>
      </c>
      <c r="G1285">
        <v>0</v>
      </c>
      <c r="H1285">
        <f t="shared" si="40"/>
        <v>0</v>
      </c>
      <c r="I1285">
        <v>8</v>
      </c>
      <c r="J1285">
        <v>2</v>
      </c>
      <c r="K1285">
        <v>0</v>
      </c>
      <c r="L1285">
        <f t="shared" si="41"/>
        <v>10</v>
      </c>
    </row>
    <row r="1286" spans="1:12">
      <c r="A1286" t="s">
        <v>3473</v>
      </c>
      <c r="B1286" t="s">
        <v>343</v>
      </c>
      <c r="C1286" t="s">
        <v>2826</v>
      </c>
      <c r="D1286" t="s">
        <v>2844</v>
      </c>
      <c r="E1286">
        <v>0</v>
      </c>
      <c r="F1286">
        <v>0</v>
      </c>
      <c r="G1286">
        <v>0</v>
      </c>
      <c r="H1286">
        <f t="shared" si="40"/>
        <v>0</v>
      </c>
      <c r="I1286">
        <v>6</v>
      </c>
      <c r="J1286">
        <v>6</v>
      </c>
      <c r="K1286">
        <v>0</v>
      </c>
      <c r="L1286">
        <f t="shared" si="41"/>
        <v>12</v>
      </c>
    </row>
    <row r="1287" spans="1:12">
      <c r="A1287" t="s">
        <v>3473</v>
      </c>
      <c r="B1287" t="s">
        <v>343</v>
      </c>
      <c r="C1287" t="s">
        <v>2826</v>
      </c>
      <c r="D1287" t="s">
        <v>2835</v>
      </c>
      <c r="E1287">
        <v>0</v>
      </c>
      <c r="F1287">
        <v>0</v>
      </c>
      <c r="G1287">
        <v>0</v>
      </c>
      <c r="H1287">
        <f t="shared" si="40"/>
        <v>0</v>
      </c>
      <c r="I1287">
        <v>1</v>
      </c>
      <c r="J1287">
        <v>2</v>
      </c>
      <c r="K1287">
        <v>0</v>
      </c>
      <c r="L1287">
        <f t="shared" si="41"/>
        <v>3</v>
      </c>
    </row>
    <row r="1288" spans="1:12">
      <c r="A1288" t="s">
        <v>3473</v>
      </c>
      <c r="B1288" t="s">
        <v>343</v>
      </c>
      <c r="C1288" t="s">
        <v>2826</v>
      </c>
      <c r="D1288" t="s">
        <v>2917</v>
      </c>
      <c r="E1288">
        <v>0</v>
      </c>
      <c r="F1288">
        <v>0</v>
      </c>
      <c r="G1288">
        <v>0</v>
      </c>
      <c r="H1288">
        <f t="shared" si="40"/>
        <v>0</v>
      </c>
      <c r="I1288">
        <v>0</v>
      </c>
      <c r="J1288">
        <v>4</v>
      </c>
      <c r="K1288">
        <v>0</v>
      </c>
      <c r="L1288">
        <f t="shared" si="41"/>
        <v>4</v>
      </c>
    </row>
    <row r="1289" spans="1:12">
      <c r="A1289" t="s">
        <v>3473</v>
      </c>
      <c r="B1289" t="s">
        <v>343</v>
      </c>
      <c r="C1289" t="s">
        <v>2826</v>
      </c>
      <c r="D1289" t="s">
        <v>2849</v>
      </c>
      <c r="E1289">
        <v>0</v>
      </c>
      <c r="F1289">
        <v>0</v>
      </c>
      <c r="G1289">
        <v>0</v>
      </c>
      <c r="H1289">
        <f t="shared" si="40"/>
        <v>0</v>
      </c>
      <c r="I1289">
        <v>8</v>
      </c>
      <c r="J1289">
        <v>3</v>
      </c>
      <c r="K1289">
        <v>0</v>
      </c>
      <c r="L1289">
        <f t="shared" si="41"/>
        <v>11</v>
      </c>
    </row>
    <row r="1290" spans="1:12">
      <c r="A1290" t="s">
        <v>3473</v>
      </c>
      <c r="B1290" t="s">
        <v>343</v>
      </c>
      <c r="C1290" t="s">
        <v>2826</v>
      </c>
      <c r="D1290" t="s">
        <v>2836</v>
      </c>
      <c r="E1290">
        <v>0</v>
      </c>
      <c r="F1290">
        <v>0</v>
      </c>
      <c r="G1290">
        <v>0</v>
      </c>
      <c r="H1290">
        <f t="shared" si="40"/>
        <v>0</v>
      </c>
      <c r="I1290">
        <v>0</v>
      </c>
      <c r="J1290">
        <v>5</v>
      </c>
      <c r="K1290">
        <v>0</v>
      </c>
      <c r="L1290">
        <f t="shared" si="41"/>
        <v>5</v>
      </c>
    </row>
    <row r="1291" spans="1:12">
      <c r="A1291" t="s">
        <v>3473</v>
      </c>
      <c r="B1291" t="s">
        <v>343</v>
      </c>
      <c r="C1291" t="s">
        <v>2817</v>
      </c>
      <c r="D1291" t="s">
        <v>2887</v>
      </c>
      <c r="E1291">
        <v>0</v>
      </c>
      <c r="F1291">
        <v>0</v>
      </c>
      <c r="G1291">
        <v>0</v>
      </c>
      <c r="H1291">
        <f t="shared" si="40"/>
        <v>0</v>
      </c>
      <c r="I1291">
        <v>6</v>
      </c>
      <c r="J1291">
        <v>6</v>
      </c>
      <c r="K1291">
        <v>0</v>
      </c>
      <c r="L1291">
        <f t="shared" si="41"/>
        <v>12</v>
      </c>
    </row>
    <row r="1292" spans="1:12">
      <c r="A1292" t="s">
        <v>3473</v>
      </c>
      <c r="B1292" t="s">
        <v>343</v>
      </c>
      <c r="C1292" t="s">
        <v>2820</v>
      </c>
      <c r="D1292" t="s">
        <v>2952</v>
      </c>
      <c r="E1292">
        <v>0</v>
      </c>
      <c r="F1292">
        <v>0</v>
      </c>
      <c r="G1292">
        <v>0</v>
      </c>
      <c r="H1292">
        <f t="shared" si="40"/>
        <v>0</v>
      </c>
      <c r="I1292">
        <v>25</v>
      </c>
      <c r="J1292">
        <v>0</v>
      </c>
      <c r="K1292">
        <v>0</v>
      </c>
      <c r="L1292">
        <f t="shared" si="41"/>
        <v>25</v>
      </c>
    </row>
    <row r="1293" spans="1:12">
      <c r="A1293" t="s">
        <v>3473</v>
      </c>
      <c r="B1293" t="s">
        <v>343</v>
      </c>
      <c r="C1293" t="s">
        <v>2820</v>
      </c>
      <c r="D1293" t="s">
        <v>2821</v>
      </c>
      <c r="E1293">
        <v>0</v>
      </c>
      <c r="F1293">
        <v>0</v>
      </c>
      <c r="G1293">
        <v>0</v>
      </c>
      <c r="H1293">
        <f t="shared" si="40"/>
        <v>0</v>
      </c>
      <c r="I1293">
        <v>3</v>
      </c>
      <c r="J1293">
        <v>0</v>
      </c>
      <c r="K1293">
        <v>0</v>
      </c>
      <c r="L1293">
        <f t="shared" si="41"/>
        <v>3</v>
      </c>
    </row>
    <row r="1294" spans="1:12">
      <c r="A1294" t="s">
        <v>3473</v>
      </c>
      <c r="B1294" t="s">
        <v>343</v>
      </c>
      <c r="C1294" t="s">
        <v>2820</v>
      </c>
      <c r="D1294" t="s">
        <v>2949</v>
      </c>
      <c r="E1294">
        <v>0</v>
      </c>
      <c r="F1294">
        <v>0</v>
      </c>
      <c r="G1294">
        <v>0</v>
      </c>
      <c r="H1294">
        <f t="shared" si="40"/>
        <v>0</v>
      </c>
      <c r="I1294">
        <v>0</v>
      </c>
      <c r="J1294">
        <v>6</v>
      </c>
      <c r="K1294">
        <v>0</v>
      </c>
      <c r="L1294">
        <f t="shared" si="41"/>
        <v>6</v>
      </c>
    </row>
    <row r="1295" spans="1:12">
      <c r="A1295" t="s">
        <v>3474</v>
      </c>
      <c r="B1295" t="s">
        <v>1171</v>
      </c>
      <c r="C1295" t="s">
        <v>2805</v>
      </c>
      <c r="D1295" t="s">
        <v>2806</v>
      </c>
      <c r="E1295">
        <v>297</v>
      </c>
      <c r="F1295">
        <v>0</v>
      </c>
      <c r="G1295">
        <v>0</v>
      </c>
      <c r="H1295">
        <f t="shared" si="40"/>
        <v>297</v>
      </c>
      <c r="I1295">
        <v>6</v>
      </c>
      <c r="J1295">
        <v>0</v>
      </c>
      <c r="K1295">
        <v>0</v>
      </c>
      <c r="L1295">
        <f t="shared" si="41"/>
        <v>6</v>
      </c>
    </row>
    <row r="1296" spans="1:12">
      <c r="A1296" t="s">
        <v>3474</v>
      </c>
      <c r="B1296" t="s">
        <v>1171</v>
      </c>
      <c r="C1296" t="s">
        <v>2805</v>
      </c>
      <c r="D1296" t="s">
        <v>449</v>
      </c>
      <c r="E1296">
        <v>178</v>
      </c>
      <c r="F1296">
        <v>0</v>
      </c>
      <c r="G1296">
        <v>0</v>
      </c>
      <c r="H1296">
        <f t="shared" si="40"/>
        <v>178</v>
      </c>
      <c r="I1296">
        <v>0</v>
      </c>
      <c r="J1296">
        <v>0</v>
      </c>
      <c r="K1296">
        <v>0</v>
      </c>
      <c r="L1296">
        <f t="shared" si="41"/>
        <v>0</v>
      </c>
    </row>
    <row r="1297" spans="1:12">
      <c r="A1297" t="s">
        <v>3474</v>
      </c>
      <c r="B1297" t="s">
        <v>1171</v>
      </c>
      <c r="C1297" t="s">
        <v>2805</v>
      </c>
      <c r="D1297" t="s">
        <v>2807</v>
      </c>
      <c r="E1297">
        <v>1</v>
      </c>
      <c r="F1297">
        <v>0</v>
      </c>
      <c r="G1297">
        <v>0</v>
      </c>
      <c r="H1297">
        <f t="shared" si="40"/>
        <v>1</v>
      </c>
      <c r="I1297">
        <v>0</v>
      </c>
      <c r="J1297">
        <v>0</v>
      </c>
      <c r="K1297">
        <v>0</v>
      </c>
      <c r="L1297">
        <f t="shared" si="41"/>
        <v>0</v>
      </c>
    </row>
    <row r="1298" spans="1:12">
      <c r="A1298" t="s">
        <v>3474</v>
      </c>
      <c r="B1298" t="s">
        <v>1171</v>
      </c>
      <c r="C1298" t="s">
        <v>2805</v>
      </c>
      <c r="D1298" t="s">
        <v>442</v>
      </c>
      <c r="E1298">
        <v>5</v>
      </c>
      <c r="F1298">
        <v>0</v>
      </c>
      <c r="G1298">
        <v>0</v>
      </c>
      <c r="H1298">
        <f t="shared" si="40"/>
        <v>5</v>
      </c>
      <c r="I1298">
        <v>0</v>
      </c>
      <c r="J1298">
        <v>0</v>
      </c>
      <c r="K1298">
        <v>0</v>
      </c>
      <c r="L1298">
        <f t="shared" si="41"/>
        <v>0</v>
      </c>
    </row>
    <row r="1299" spans="1:12">
      <c r="A1299" t="s">
        <v>3474</v>
      </c>
      <c r="B1299" t="s">
        <v>1171</v>
      </c>
      <c r="C1299" t="s">
        <v>2810</v>
      </c>
      <c r="D1299" t="s">
        <v>2811</v>
      </c>
      <c r="E1299">
        <v>4</v>
      </c>
      <c r="F1299">
        <v>0</v>
      </c>
      <c r="G1299">
        <v>0</v>
      </c>
      <c r="H1299">
        <f t="shared" si="40"/>
        <v>4</v>
      </c>
      <c r="I1299">
        <v>0</v>
      </c>
      <c r="J1299">
        <v>0</v>
      </c>
      <c r="K1299">
        <v>0</v>
      </c>
      <c r="L1299">
        <f t="shared" si="41"/>
        <v>0</v>
      </c>
    </row>
    <row r="1300" spans="1:12">
      <c r="A1300" t="s">
        <v>3474</v>
      </c>
      <c r="B1300" t="s">
        <v>1171</v>
      </c>
      <c r="C1300" t="s">
        <v>2810</v>
      </c>
      <c r="D1300" t="s">
        <v>1892</v>
      </c>
      <c r="E1300">
        <v>49</v>
      </c>
      <c r="F1300">
        <v>50</v>
      </c>
      <c r="G1300">
        <v>0</v>
      </c>
      <c r="H1300">
        <f t="shared" si="40"/>
        <v>99</v>
      </c>
      <c r="I1300">
        <v>0</v>
      </c>
      <c r="J1300">
        <v>0</v>
      </c>
      <c r="K1300">
        <v>0</v>
      </c>
      <c r="L1300">
        <f t="shared" si="41"/>
        <v>0</v>
      </c>
    </row>
    <row r="1301" spans="1:12">
      <c r="A1301" t="s">
        <v>3474</v>
      </c>
      <c r="B1301" t="s">
        <v>1171</v>
      </c>
      <c r="C1301" t="s">
        <v>2810</v>
      </c>
      <c r="D1301" t="s">
        <v>2823</v>
      </c>
      <c r="E1301">
        <v>0</v>
      </c>
      <c r="F1301">
        <v>29</v>
      </c>
      <c r="G1301">
        <v>0</v>
      </c>
      <c r="H1301">
        <f t="shared" si="40"/>
        <v>29</v>
      </c>
      <c r="I1301">
        <v>0</v>
      </c>
      <c r="J1301">
        <v>0</v>
      </c>
      <c r="K1301">
        <v>0</v>
      </c>
      <c r="L1301">
        <f t="shared" si="41"/>
        <v>0</v>
      </c>
    </row>
    <row r="1302" spans="1:12">
      <c r="A1302" t="s">
        <v>3474</v>
      </c>
      <c r="B1302" t="s">
        <v>1171</v>
      </c>
      <c r="C1302" t="s">
        <v>2810</v>
      </c>
      <c r="D1302" t="s">
        <v>2812</v>
      </c>
      <c r="E1302">
        <v>46</v>
      </c>
      <c r="F1302">
        <v>0</v>
      </c>
      <c r="G1302">
        <v>0</v>
      </c>
      <c r="H1302">
        <f t="shared" si="40"/>
        <v>46</v>
      </c>
      <c r="I1302">
        <v>0</v>
      </c>
      <c r="J1302">
        <v>0</v>
      </c>
      <c r="K1302">
        <v>0</v>
      </c>
      <c r="L1302">
        <f t="shared" si="41"/>
        <v>0</v>
      </c>
    </row>
    <row r="1303" spans="1:12">
      <c r="A1303" t="s">
        <v>3474</v>
      </c>
      <c r="B1303" t="s">
        <v>1171</v>
      </c>
      <c r="C1303" t="s">
        <v>2810</v>
      </c>
      <c r="D1303" t="s">
        <v>2813</v>
      </c>
      <c r="E1303">
        <v>20</v>
      </c>
      <c r="F1303">
        <v>0</v>
      </c>
      <c r="G1303">
        <v>0</v>
      </c>
      <c r="H1303">
        <f t="shared" si="40"/>
        <v>20</v>
      </c>
      <c r="I1303">
        <v>0</v>
      </c>
      <c r="J1303">
        <v>0</v>
      </c>
      <c r="K1303">
        <v>0</v>
      </c>
      <c r="L1303">
        <f t="shared" si="41"/>
        <v>0</v>
      </c>
    </row>
    <row r="1304" spans="1:12">
      <c r="A1304" t="s">
        <v>3474</v>
      </c>
      <c r="B1304" t="s">
        <v>1171</v>
      </c>
      <c r="C1304" t="s">
        <v>2810</v>
      </c>
      <c r="D1304" t="s">
        <v>2847</v>
      </c>
      <c r="E1304">
        <v>1</v>
      </c>
      <c r="F1304">
        <v>0</v>
      </c>
      <c r="G1304">
        <v>0</v>
      </c>
      <c r="H1304">
        <f t="shared" si="40"/>
        <v>1</v>
      </c>
      <c r="I1304">
        <v>0</v>
      </c>
      <c r="J1304">
        <v>0</v>
      </c>
      <c r="K1304">
        <v>0</v>
      </c>
      <c r="L1304">
        <f t="shared" si="41"/>
        <v>0</v>
      </c>
    </row>
    <row r="1305" spans="1:12">
      <c r="A1305" t="s">
        <v>3474</v>
      </c>
      <c r="B1305" t="s">
        <v>1171</v>
      </c>
      <c r="C1305" t="s">
        <v>2810</v>
      </c>
      <c r="D1305" t="s">
        <v>2815</v>
      </c>
      <c r="E1305">
        <v>7</v>
      </c>
      <c r="F1305">
        <v>0</v>
      </c>
      <c r="G1305">
        <v>0</v>
      </c>
      <c r="H1305">
        <f t="shared" si="40"/>
        <v>7</v>
      </c>
      <c r="I1305">
        <v>0</v>
      </c>
      <c r="J1305">
        <v>0</v>
      </c>
      <c r="K1305">
        <v>0</v>
      </c>
      <c r="L1305">
        <f t="shared" si="41"/>
        <v>0</v>
      </c>
    </row>
    <row r="1306" spans="1:12">
      <c r="A1306" t="s">
        <v>3474</v>
      </c>
      <c r="B1306" t="s">
        <v>1171</v>
      </c>
      <c r="C1306" t="s">
        <v>2816</v>
      </c>
      <c r="D1306" t="s">
        <v>1896</v>
      </c>
      <c r="E1306">
        <v>6</v>
      </c>
      <c r="F1306">
        <v>0</v>
      </c>
      <c r="G1306">
        <v>0</v>
      </c>
      <c r="H1306">
        <f t="shared" si="40"/>
        <v>6</v>
      </c>
      <c r="I1306">
        <v>0</v>
      </c>
      <c r="J1306">
        <v>7</v>
      </c>
      <c r="K1306">
        <v>0</v>
      </c>
      <c r="L1306">
        <f t="shared" si="41"/>
        <v>7</v>
      </c>
    </row>
    <row r="1307" spans="1:12">
      <c r="A1307" t="s">
        <v>3474</v>
      </c>
      <c r="B1307" t="s">
        <v>1171</v>
      </c>
      <c r="C1307" t="s">
        <v>2816</v>
      </c>
      <c r="D1307" t="s">
        <v>1897</v>
      </c>
      <c r="E1307">
        <v>20</v>
      </c>
      <c r="F1307">
        <v>0</v>
      </c>
      <c r="G1307">
        <v>0</v>
      </c>
      <c r="H1307">
        <f t="shared" si="40"/>
        <v>20</v>
      </c>
      <c r="I1307">
        <v>0</v>
      </c>
      <c r="J1307">
        <v>0</v>
      </c>
      <c r="K1307">
        <v>0</v>
      </c>
      <c r="L1307">
        <f t="shared" si="41"/>
        <v>0</v>
      </c>
    </row>
    <row r="1308" spans="1:12">
      <c r="A1308" t="s">
        <v>3474</v>
      </c>
      <c r="B1308" t="s">
        <v>1171</v>
      </c>
      <c r="C1308" t="s">
        <v>2826</v>
      </c>
      <c r="D1308" t="s">
        <v>2885</v>
      </c>
      <c r="E1308">
        <v>1</v>
      </c>
      <c r="F1308">
        <v>0</v>
      </c>
      <c r="G1308">
        <v>0</v>
      </c>
      <c r="H1308">
        <f t="shared" si="40"/>
        <v>1</v>
      </c>
      <c r="I1308">
        <v>0</v>
      </c>
      <c r="J1308">
        <v>0</v>
      </c>
      <c r="K1308">
        <v>0</v>
      </c>
      <c r="L1308">
        <f t="shared" si="41"/>
        <v>0</v>
      </c>
    </row>
    <row r="1309" spans="1:12">
      <c r="A1309" t="s">
        <v>3474</v>
      </c>
      <c r="B1309" t="s">
        <v>1171</v>
      </c>
      <c r="C1309" t="s">
        <v>2817</v>
      </c>
      <c r="D1309" t="s">
        <v>2818</v>
      </c>
      <c r="E1309">
        <v>8</v>
      </c>
      <c r="F1309">
        <v>0</v>
      </c>
      <c r="G1309">
        <v>0</v>
      </c>
      <c r="H1309">
        <f t="shared" si="40"/>
        <v>8</v>
      </c>
      <c r="I1309">
        <v>0</v>
      </c>
      <c r="J1309">
        <v>0</v>
      </c>
      <c r="K1309">
        <v>0</v>
      </c>
      <c r="L1309">
        <f t="shared" si="41"/>
        <v>0</v>
      </c>
    </row>
    <row r="1310" spans="1:12">
      <c r="A1310" t="s">
        <v>3474</v>
      </c>
      <c r="B1310" t="s">
        <v>1171</v>
      </c>
      <c r="C1310" t="s">
        <v>2817</v>
      </c>
      <c r="D1310" t="s">
        <v>2837</v>
      </c>
      <c r="E1310">
        <v>22</v>
      </c>
      <c r="F1310">
        <v>0</v>
      </c>
      <c r="G1310">
        <v>0</v>
      </c>
      <c r="H1310">
        <f t="shared" si="40"/>
        <v>22</v>
      </c>
      <c r="I1310">
        <v>0</v>
      </c>
      <c r="J1310">
        <v>0</v>
      </c>
      <c r="K1310">
        <v>0</v>
      </c>
      <c r="L1310">
        <f t="shared" si="41"/>
        <v>0</v>
      </c>
    </row>
    <row r="1311" spans="1:12">
      <c r="A1311" t="s">
        <v>3475</v>
      </c>
      <c r="B1311" t="s">
        <v>721</v>
      </c>
      <c r="C1311" t="s">
        <v>2805</v>
      </c>
      <c r="D1311" t="s">
        <v>2806</v>
      </c>
      <c r="E1311">
        <v>238</v>
      </c>
      <c r="F1311">
        <v>0</v>
      </c>
      <c r="G1311">
        <v>0</v>
      </c>
      <c r="H1311">
        <f t="shared" si="40"/>
        <v>238</v>
      </c>
      <c r="I1311">
        <v>6</v>
      </c>
      <c r="J1311">
        <v>0</v>
      </c>
      <c r="K1311">
        <v>0</v>
      </c>
      <c r="L1311">
        <f t="shared" si="41"/>
        <v>6</v>
      </c>
    </row>
    <row r="1312" spans="1:12">
      <c r="A1312" t="s">
        <v>3475</v>
      </c>
      <c r="B1312" t="s">
        <v>721</v>
      </c>
      <c r="C1312" t="s">
        <v>2805</v>
      </c>
      <c r="D1312" t="s">
        <v>449</v>
      </c>
      <c r="E1312">
        <v>196</v>
      </c>
      <c r="F1312">
        <v>0</v>
      </c>
      <c r="G1312">
        <v>0</v>
      </c>
      <c r="H1312">
        <f t="shared" si="40"/>
        <v>196</v>
      </c>
      <c r="I1312">
        <v>30</v>
      </c>
      <c r="J1312">
        <v>0</v>
      </c>
      <c r="K1312">
        <v>0</v>
      </c>
      <c r="L1312">
        <f t="shared" si="41"/>
        <v>30</v>
      </c>
    </row>
    <row r="1313" spans="1:12">
      <c r="A1313" t="s">
        <v>3475</v>
      </c>
      <c r="B1313" t="s">
        <v>721</v>
      </c>
      <c r="C1313" t="s">
        <v>2805</v>
      </c>
      <c r="D1313" t="s">
        <v>2807</v>
      </c>
      <c r="E1313">
        <v>5</v>
      </c>
      <c r="F1313">
        <v>0</v>
      </c>
      <c r="G1313">
        <v>0</v>
      </c>
      <c r="H1313">
        <f t="shared" si="40"/>
        <v>5</v>
      </c>
      <c r="I1313">
        <v>3</v>
      </c>
      <c r="J1313">
        <v>0</v>
      </c>
      <c r="K1313">
        <v>0</v>
      </c>
      <c r="L1313">
        <f t="shared" si="41"/>
        <v>3</v>
      </c>
    </row>
    <row r="1314" spans="1:12">
      <c r="A1314" t="s">
        <v>3475</v>
      </c>
      <c r="B1314" t="s">
        <v>721</v>
      </c>
      <c r="C1314" t="s">
        <v>2805</v>
      </c>
      <c r="D1314" t="s">
        <v>2809</v>
      </c>
      <c r="E1314">
        <v>1</v>
      </c>
      <c r="F1314">
        <v>0</v>
      </c>
      <c r="G1314">
        <v>0</v>
      </c>
      <c r="H1314">
        <f t="shared" si="40"/>
        <v>1</v>
      </c>
      <c r="I1314">
        <v>0</v>
      </c>
      <c r="J1314">
        <v>0</v>
      </c>
      <c r="K1314">
        <v>0</v>
      </c>
      <c r="L1314">
        <f t="shared" si="41"/>
        <v>0</v>
      </c>
    </row>
    <row r="1315" spans="1:12">
      <c r="A1315" t="s">
        <v>3475</v>
      </c>
      <c r="B1315" t="s">
        <v>721</v>
      </c>
      <c r="C1315" t="s">
        <v>2805</v>
      </c>
      <c r="D1315" t="s">
        <v>442</v>
      </c>
      <c r="E1315">
        <v>3</v>
      </c>
      <c r="F1315">
        <v>0</v>
      </c>
      <c r="G1315">
        <v>0</v>
      </c>
      <c r="H1315">
        <f t="shared" si="40"/>
        <v>3</v>
      </c>
      <c r="I1315">
        <v>1</v>
      </c>
      <c r="J1315">
        <v>0</v>
      </c>
      <c r="K1315">
        <v>0</v>
      </c>
      <c r="L1315">
        <f t="shared" si="41"/>
        <v>1</v>
      </c>
    </row>
    <row r="1316" spans="1:12">
      <c r="A1316" t="s">
        <v>3475</v>
      </c>
      <c r="B1316" t="s">
        <v>721</v>
      </c>
      <c r="C1316" t="s">
        <v>2810</v>
      </c>
      <c r="D1316" t="s">
        <v>2811</v>
      </c>
      <c r="E1316">
        <v>22</v>
      </c>
      <c r="F1316">
        <v>0</v>
      </c>
      <c r="G1316">
        <v>0</v>
      </c>
      <c r="H1316">
        <f t="shared" si="40"/>
        <v>22</v>
      </c>
      <c r="I1316">
        <v>9</v>
      </c>
      <c r="J1316">
        <v>0</v>
      </c>
      <c r="K1316">
        <v>0</v>
      </c>
      <c r="L1316">
        <f t="shared" si="41"/>
        <v>9</v>
      </c>
    </row>
    <row r="1317" spans="1:12">
      <c r="A1317" t="s">
        <v>3475</v>
      </c>
      <c r="B1317" t="s">
        <v>721</v>
      </c>
      <c r="C1317" t="s">
        <v>2810</v>
      </c>
      <c r="D1317" t="s">
        <v>1892</v>
      </c>
      <c r="E1317">
        <v>26</v>
      </c>
      <c r="F1317">
        <v>100</v>
      </c>
      <c r="G1317">
        <v>0</v>
      </c>
      <c r="H1317">
        <f t="shared" si="40"/>
        <v>126</v>
      </c>
      <c r="I1317">
        <v>11</v>
      </c>
      <c r="J1317">
        <v>2</v>
      </c>
      <c r="K1317">
        <v>0</v>
      </c>
      <c r="L1317">
        <f t="shared" si="41"/>
        <v>13</v>
      </c>
    </row>
    <row r="1318" spans="1:12">
      <c r="A1318" t="s">
        <v>3475</v>
      </c>
      <c r="B1318" t="s">
        <v>721</v>
      </c>
      <c r="C1318" t="s">
        <v>2810</v>
      </c>
      <c r="D1318" t="s">
        <v>2823</v>
      </c>
      <c r="E1318">
        <v>11</v>
      </c>
      <c r="F1318">
        <v>50</v>
      </c>
      <c r="G1318">
        <v>0</v>
      </c>
      <c r="H1318">
        <f t="shared" si="40"/>
        <v>61</v>
      </c>
      <c r="I1318">
        <v>0</v>
      </c>
      <c r="J1318">
        <v>7</v>
      </c>
      <c r="K1318">
        <v>0</v>
      </c>
      <c r="L1318">
        <f t="shared" si="41"/>
        <v>7</v>
      </c>
    </row>
    <row r="1319" spans="1:12">
      <c r="A1319" t="s">
        <v>3475</v>
      </c>
      <c r="B1319" t="s">
        <v>721</v>
      </c>
      <c r="C1319" t="s">
        <v>2810</v>
      </c>
      <c r="D1319" t="s">
        <v>2812</v>
      </c>
      <c r="E1319">
        <v>122</v>
      </c>
      <c r="F1319">
        <v>0</v>
      </c>
      <c r="G1319">
        <v>0</v>
      </c>
      <c r="H1319">
        <f t="shared" si="40"/>
        <v>122</v>
      </c>
      <c r="I1319">
        <v>9</v>
      </c>
      <c r="J1319">
        <v>0</v>
      </c>
      <c r="K1319">
        <v>0</v>
      </c>
      <c r="L1319">
        <f t="shared" si="41"/>
        <v>9</v>
      </c>
    </row>
    <row r="1320" spans="1:12">
      <c r="A1320" t="s">
        <v>3475</v>
      </c>
      <c r="B1320" t="s">
        <v>721</v>
      </c>
      <c r="C1320" t="s">
        <v>2810</v>
      </c>
      <c r="D1320" t="s">
        <v>2813</v>
      </c>
      <c r="E1320">
        <v>20</v>
      </c>
      <c r="F1320">
        <v>0</v>
      </c>
      <c r="G1320">
        <v>0</v>
      </c>
      <c r="H1320">
        <f t="shared" si="40"/>
        <v>20</v>
      </c>
      <c r="I1320">
        <v>12</v>
      </c>
      <c r="J1320">
        <v>0</v>
      </c>
      <c r="K1320">
        <v>0</v>
      </c>
      <c r="L1320">
        <f t="shared" si="41"/>
        <v>12</v>
      </c>
    </row>
    <row r="1321" spans="1:12">
      <c r="A1321" t="s">
        <v>3475</v>
      </c>
      <c r="B1321" t="s">
        <v>721</v>
      </c>
      <c r="C1321" t="s">
        <v>2810</v>
      </c>
      <c r="D1321" t="s">
        <v>2847</v>
      </c>
      <c r="E1321">
        <v>45</v>
      </c>
      <c r="F1321">
        <v>0</v>
      </c>
      <c r="G1321">
        <v>0</v>
      </c>
      <c r="H1321">
        <f t="shared" si="40"/>
        <v>45</v>
      </c>
      <c r="I1321">
        <v>0</v>
      </c>
      <c r="J1321">
        <v>0</v>
      </c>
      <c r="K1321">
        <v>0</v>
      </c>
      <c r="L1321">
        <f t="shared" si="41"/>
        <v>0</v>
      </c>
    </row>
    <row r="1322" spans="1:12">
      <c r="A1322" t="s">
        <v>3475</v>
      </c>
      <c r="B1322" t="s">
        <v>721</v>
      </c>
      <c r="C1322" t="s">
        <v>2810</v>
      </c>
      <c r="D1322" t="s">
        <v>2815</v>
      </c>
      <c r="E1322">
        <v>5</v>
      </c>
      <c r="F1322">
        <v>0</v>
      </c>
      <c r="G1322">
        <v>0</v>
      </c>
      <c r="H1322">
        <f t="shared" si="40"/>
        <v>5</v>
      </c>
      <c r="I1322">
        <v>0</v>
      </c>
      <c r="J1322">
        <v>0</v>
      </c>
      <c r="K1322">
        <v>0</v>
      </c>
      <c r="L1322">
        <f t="shared" si="41"/>
        <v>0</v>
      </c>
    </row>
    <row r="1323" spans="1:12">
      <c r="A1323" t="s">
        <v>3475</v>
      </c>
      <c r="B1323" t="s">
        <v>721</v>
      </c>
      <c r="C1323" t="s">
        <v>2816</v>
      </c>
      <c r="D1323" t="s">
        <v>1896</v>
      </c>
      <c r="E1323">
        <v>2</v>
      </c>
      <c r="F1323">
        <v>0</v>
      </c>
      <c r="G1323">
        <v>0</v>
      </c>
      <c r="H1323">
        <f t="shared" si="40"/>
        <v>2</v>
      </c>
      <c r="I1323">
        <v>0</v>
      </c>
      <c r="J1323">
        <v>0</v>
      </c>
      <c r="K1323">
        <v>0</v>
      </c>
      <c r="L1323">
        <f t="shared" si="41"/>
        <v>0</v>
      </c>
    </row>
    <row r="1324" spans="1:12">
      <c r="A1324" t="s">
        <v>3475</v>
      </c>
      <c r="B1324" t="s">
        <v>721</v>
      </c>
      <c r="C1324" t="s">
        <v>2816</v>
      </c>
      <c r="D1324" t="s">
        <v>1897</v>
      </c>
      <c r="E1324">
        <v>14</v>
      </c>
      <c r="F1324">
        <v>0</v>
      </c>
      <c r="G1324">
        <v>0</v>
      </c>
      <c r="H1324">
        <f t="shared" si="40"/>
        <v>14</v>
      </c>
      <c r="I1324">
        <v>0</v>
      </c>
      <c r="J1324">
        <v>0</v>
      </c>
      <c r="K1324">
        <v>0</v>
      </c>
      <c r="L1324">
        <f t="shared" si="41"/>
        <v>0</v>
      </c>
    </row>
    <row r="1325" spans="1:12">
      <c r="A1325" t="s">
        <v>3475</v>
      </c>
      <c r="B1325" t="s">
        <v>721</v>
      </c>
      <c r="C1325" t="s">
        <v>2817</v>
      </c>
      <c r="D1325" t="s">
        <v>2818</v>
      </c>
      <c r="E1325">
        <v>8</v>
      </c>
      <c r="F1325">
        <v>0</v>
      </c>
      <c r="G1325">
        <v>0</v>
      </c>
      <c r="H1325">
        <f t="shared" si="40"/>
        <v>8</v>
      </c>
      <c r="I1325">
        <v>0</v>
      </c>
      <c r="J1325">
        <v>0</v>
      </c>
      <c r="K1325">
        <v>0</v>
      </c>
      <c r="L1325">
        <f t="shared" si="41"/>
        <v>0</v>
      </c>
    </row>
    <row r="1326" spans="1:12">
      <c r="A1326" t="s">
        <v>3475</v>
      </c>
      <c r="B1326" t="s">
        <v>721</v>
      </c>
      <c r="C1326" t="s">
        <v>2817</v>
      </c>
      <c r="D1326" t="s">
        <v>2837</v>
      </c>
      <c r="E1326">
        <v>6</v>
      </c>
      <c r="F1326">
        <v>0</v>
      </c>
      <c r="G1326">
        <v>0</v>
      </c>
      <c r="H1326">
        <f t="shared" si="40"/>
        <v>6</v>
      </c>
      <c r="I1326">
        <v>0</v>
      </c>
      <c r="J1326">
        <v>0</v>
      </c>
      <c r="K1326">
        <v>0</v>
      </c>
      <c r="L1326">
        <f t="shared" si="41"/>
        <v>0</v>
      </c>
    </row>
    <row r="1327" spans="1:12">
      <c r="A1327" t="s">
        <v>3475</v>
      </c>
      <c r="B1327" t="s">
        <v>721</v>
      </c>
      <c r="C1327" t="s">
        <v>2820</v>
      </c>
      <c r="D1327" t="s">
        <v>2821</v>
      </c>
      <c r="E1327">
        <v>0</v>
      </c>
      <c r="F1327">
        <v>0</v>
      </c>
      <c r="G1327">
        <v>0</v>
      </c>
      <c r="H1327">
        <f t="shared" si="40"/>
        <v>0</v>
      </c>
      <c r="I1327">
        <v>1</v>
      </c>
      <c r="J1327">
        <v>0</v>
      </c>
      <c r="K1327">
        <v>0</v>
      </c>
      <c r="L1327">
        <f t="shared" si="41"/>
        <v>1</v>
      </c>
    </row>
    <row r="1328" spans="1:12">
      <c r="A1328" t="s">
        <v>3476</v>
      </c>
      <c r="B1328" t="s">
        <v>699</v>
      </c>
      <c r="C1328" t="s">
        <v>2805</v>
      </c>
      <c r="D1328" t="s">
        <v>2806</v>
      </c>
      <c r="E1328">
        <v>121</v>
      </c>
      <c r="F1328">
        <v>0</v>
      </c>
      <c r="G1328">
        <v>0</v>
      </c>
      <c r="H1328">
        <f t="shared" si="40"/>
        <v>121</v>
      </c>
      <c r="I1328">
        <v>43</v>
      </c>
      <c r="J1328">
        <v>0</v>
      </c>
      <c r="K1328">
        <v>0</v>
      </c>
      <c r="L1328">
        <f t="shared" si="41"/>
        <v>43</v>
      </c>
    </row>
    <row r="1329" spans="1:12">
      <c r="A1329" t="s">
        <v>3476</v>
      </c>
      <c r="B1329" t="s">
        <v>699</v>
      </c>
      <c r="C1329" t="s">
        <v>2805</v>
      </c>
      <c r="D1329" t="s">
        <v>449</v>
      </c>
      <c r="E1329">
        <v>357</v>
      </c>
      <c r="F1329">
        <v>0</v>
      </c>
      <c r="G1329">
        <v>0</v>
      </c>
      <c r="H1329">
        <f t="shared" si="40"/>
        <v>357</v>
      </c>
      <c r="I1329">
        <v>106</v>
      </c>
      <c r="J1329">
        <v>0</v>
      </c>
      <c r="K1329">
        <v>0</v>
      </c>
      <c r="L1329">
        <f t="shared" si="41"/>
        <v>106</v>
      </c>
    </row>
    <row r="1330" spans="1:12">
      <c r="A1330" t="s">
        <v>3476</v>
      </c>
      <c r="B1330" t="s">
        <v>699</v>
      </c>
      <c r="C1330" t="s">
        <v>2805</v>
      </c>
      <c r="D1330" t="s">
        <v>2807</v>
      </c>
      <c r="E1330">
        <v>26</v>
      </c>
      <c r="F1330">
        <v>0</v>
      </c>
      <c r="G1330">
        <v>0</v>
      </c>
      <c r="H1330">
        <f t="shared" si="40"/>
        <v>26</v>
      </c>
      <c r="I1330">
        <v>3</v>
      </c>
      <c r="J1330">
        <v>0</v>
      </c>
      <c r="K1330">
        <v>0</v>
      </c>
      <c r="L1330">
        <f t="shared" si="41"/>
        <v>3</v>
      </c>
    </row>
    <row r="1331" spans="1:12">
      <c r="A1331" t="s">
        <v>3476</v>
      </c>
      <c r="B1331" t="s">
        <v>699</v>
      </c>
      <c r="C1331" t="s">
        <v>2805</v>
      </c>
      <c r="D1331" t="s">
        <v>2937</v>
      </c>
      <c r="E1331">
        <v>2</v>
      </c>
      <c r="F1331">
        <v>0</v>
      </c>
      <c r="G1331">
        <v>0</v>
      </c>
      <c r="H1331">
        <f t="shared" si="40"/>
        <v>2</v>
      </c>
      <c r="I1331">
        <v>0</v>
      </c>
      <c r="J1331">
        <v>0</v>
      </c>
      <c r="K1331">
        <v>0</v>
      </c>
      <c r="L1331">
        <f t="shared" si="41"/>
        <v>0</v>
      </c>
    </row>
    <row r="1332" spans="1:12">
      <c r="A1332" t="s">
        <v>3476</v>
      </c>
      <c r="B1332" t="s">
        <v>699</v>
      </c>
      <c r="C1332" t="s">
        <v>2810</v>
      </c>
      <c r="D1332" t="s">
        <v>2811</v>
      </c>
      <c r="E1332">
        <v>105</v>
      </c>
      <c r="F1332">
        <v>0</v>
      </c>
      <c r="G1332">
        <v>0</v>
      </c>
      <c r="H1332">
        <f t="shared" si="40"/>
        <v>105</v>
      </c>
      <c r="I1332">
        <v>11</v>
      </c>
      <c r="J1332">
        <v>0</v>
      </c>
      <c r="K1332">
        <v>0</v>
      </c>
      <c r="L1332">
        <f t="shared" si="41"/>
        <v>11</v>
      </c>
    </row>
    <row r="1333" spans="1:12">
      <c r="A1333" t="s">
        <v>3476</v>
      </c>
      <c r="B1333" t="s">
        <v>699</v>
      </c>
      <c r="C1333" t="s">
        <v>2810</v>
      </c>
      <c r="D1333" t="s">
        <v>1892</v>
      </c>
      <c r="E1333">
        <v>0</v>
      </c>
      <c r="F1333">
        <v>0</v>
      </c>
      <c r="G1333">
        <v>0</v>
      </c>
      <c r="H1333">
        <f t="shared" si="40"/>
        <v>0</v>
      </c>
      <c r="I1333">
        <v>2</v>
      </c>
      <c r="J1333">
        <v>0</v>
      </c>
      <c r="K1333">
        <v>0</v>
      </c>
      <c r="L1333">
        <f t="shared" si="41"/>
        <v>2</v>
      </c>
    </row>
    <row r="1334" spans="1:12">
      <c r="A1334" t="s">
        <v>3476</v>
      </c>
      <c r="B1334" t="s">
        <v>699</v>
      </c>
      <c r="C1334" t="s">
        <v>2810</v>
      </c>
      <c r="D1334" t="s">
        <v>2812</v>
      </c>
      <c r="E1334">
        <v>3</v>
      </c>
      <c r="F1334">
        <v>0</v>
      </c>
      <c r="G1334">
        <v>0</v>
      </c>
      <c r="H1334">
        <f t="shared" si="40"/>
        <v>3</v>
      </c>
      <c r="I1334">
        <v>9</v>
      </c>
      <c r="J1334">
        <v>0</v>
      </c>
      <c r="K1334">
        <v>0</v>
      </c>
      <c r="L1334">
        <f t="shared" si="41"/>
        <v>9</v>
      </c>
    </row>
    <row r="1335" spans="1:12">
      <c r="A1335" t="s">
        <v>3476</v>
      </c>
      <c r="B1335" t="s">
        <v>699</v>
      </c>
      <c r="C1335" t="s">
        <v>2810</v>
      </c>
      <c r="D1335" t="s">
        <v>2813</v>
      </c>
      <c r="E1335">
        <v>8</v>
      </c>
      <c r="F1335">
        <v>0</v>
      </c>
      <c r="G1335">
        <v>0</v>
      </c>
      <c r="H1335">
        <f t="shared" si="40"/>
        <v>8</v>
      </c>
      <c r="I1335">
        <v>5</v>
      </c>
      <c r="J1335">
        <v>0</v>
      </c>
      <c r="K1335">
        <v>0</v>
      </c>
      <c r="L1335">
        <f t="shared" si="41"/>
        <v>5</v>
      </c>
    </row>
    <row r="1336" spans="1:12">
      <c r="A1336" t="s">
        <v>3476</v>
      </c>
      <c r="B1336" t="s">
        <v>699</v>
      </c>
      <c r="C1336" t="s">
        <v>2810</v>
      </c>
      <c r="D1336" t="s">
        <v>2814</v>
      </c>
      <c r="E1336">
        <v>1</v>
      </c>
      <c r="F1336">
        <v>0</v>
      </c>
      <c r="G1336">
        <v>0</v>
      </c>
      <c r="H1336">
        <f t="shared" si="40"/>
        <v>1</v>
      </c>
      <c r="I1336">
        <v>0</v>
      </c>
      <c r="J1336">
        <v>0</v>
      </c>
      <c r="K1336">
        <v>0</v>
      </c>
      <c r="L1336">
        <f t="shared" si="41"/>
        <v>0</v>
      </c>
    </row>
    <row r="1337" spans="1:12">
      <c r="A1337" t="s">
        <v>3476</v>
      </c>
      <c r="B1337" t="s">
        <v>699</v>
      </c>
      <c r="C1337" t="s">
        <v>2810</v>
      </c>
      <c r="D1337" t="s">
        <v>2847</v>
      </c>
      <c r="E1337">
        <v>10</v>
      </c>
      <c r="F1337">
        <v>0</v>
      </c>
      <c r="G1337">
        <v>0</v>
      </c>
      <c r="H1337">
        <f t="shared" si="40"/>
        <v>10</v>
      </c>
      <c r="I1337">
        <v>0</v>
      </c>
      <c r="J1337">
        <v>0</v>
      </c>
      <c r="K1337">
        <v>0</v>
      </c>
      <c r="L1337">
        <f t="shared" si="41"/>
        <v>0</v>
      </c>
    </row>
    <row r="1338" spans="1:12">
      <c r="A1338" t="s">
        <v>3476</v>
      </c>
      <c r="B1338" t="s">
        <v>699</v>
      </c>
      <c r="C1338" t="s">
        <v>2810</v>
      </c>
      <c r="D1338" t="s">
        <v>2815</v>
      </c>
      <c r="E1338">
        <v>19</v>
      </c>
      <c r="F1338">
        <v>0</v>
      </c>
      <c r="G1338">
        <v>0</v>
      </c>
      <c r="H1338">
        <f t="shared" si="40"/>
        <v>19</v>
      </c>
      <c r="I1338">
        <v>1</v>
      </c>
      <c r="J1338">
        <v>0</v>
      </c>
      <c r="K1338">
        <v>0</v>
      </c>
      <c r="L1338">
        <f t="shared" si="41"/>
        <v>1</v>
      </c>
    </row>
    <row r="1339" spans="1:12">
      <c r="A1339" t="s">
        <v>3476</v>
      </c>
      <c r="B1339" t="s">
        <v>699</v>
      </c>
      <c r="C1339" t="s">
        <v>2816</v>
      </c>
      <c r="D1339" t="s">
        <v>1897</v>
      </c>
      <c r="E1339">
        <v>24</v>
      </c>
      <c r="F1339">
        <v>0</v>
      </c>
      <c r="G1339">
        <v>0</v>
      </c>
      <c r="H1339">
        <f t="shared" si="40"/>
        <v>24</v>
      </c>
      <c r="I1339">
        <v>1</v>
      </c>
      <c r="J1339">
        <v>0</v>
      </c>
      <c r="K1339">
        <v>0</v>
      </c>
      <c r="L1339">
        <f t="shared" si="41"/>
        <v>1</v>
      </c>
    </row>
    <row r="1340" spans="1:12">
      <c r="A1340" t="s">
        <v>3476</v>
      </c>
      <c r="B1340" t="s">
        <v>699</v>
      </c>
      <c r="C1340" t="s">
        <v>2826</v>
      </c>
      <c r="D1340" t="s">
        <v>2871</v>
      </c>
      <c r="E1340">
        <v>0</v>
      </c>
      <c r="F1340">
        <v>0</v>
      </c>
      <c r="G1340">
        <v>0</v>
      </c>
      <c r="H1340">
        <f t="shared" si="40"/>
        <v>0</v>
      </c>
      <c r="I1340">
        <v>3</v>
      </c>
      <c r="J1340">
        <v>0</v>
      </c>
      <c r="K1340">
        <v>0</v>
      </c>
      <c r="L1340">
        <f t="shared" si="41"/>
        <v>3</v>
      </c>
    </row>
    <row r="1341" spans="1:12">
      <c r="A1341" t="s">
        <v>3476</v>
      </c>
      <c r="B1341" t="s">
        <v>699</v>
      </c>
      <c r="C1341" t="s">
        <v>2826</v>
      </c>
      <c r="D1341" t="s">
        <v>2827</v>
      </c>
      <c r="E1341">
        <v>0</v>
      </c>
      <c r="F1341">
        <v>0</v>
      </c>
      <c r="G1341">
        <v>0</v>
      </c>
      <c r="H1341">
        <f t="shared" si="40"/>
        <v>0</v>
      </c>
      <c r="I1341">
        <v>3</v>
      </c>
      <c r="J1341">
        <v>0</v>
      </c>
      <c r="K1341">
        <v>0</v>
      </c>
      <c r="L1341">
        <f t="shared" si="41"/>
        <v>3</v>
      </c>
    </row>
    <row r="1342" spans="1:12">
      <c r="A1342" t="s">
        <v>3476</v>
      </c>
      <c r="B1342" t="s">
        <v>699</v>
      </c>
      <c r="C1342" t="s">
        <v>2826</v>
      </c>
      <c r="D1342" t="s">
        <v>2828</v>
      </c>
      <c r="E1342">
        <v>0</v>
      </c>
      <c r="F1342">
        <v>0</v>
      </c>
      <c r="G1342">
        <v>0</v>
      </c>
      <c r="H1342">
        <f t="shared" si="40"/>
        <v>0</v>
      </c>
      <c r="I1342">
        <v>2</v>
      </c>
      <c r="J1342">
        <v>0</v>
      </c>
      <c r="K1342">
        <v>0</v>
      </c>
      <c r="L1342">
        <f t="shared" si="41"/>
        <v>2</v>
      </c>
    </row>
    <row r="1343" spans="1:12">
      <c r="A1343" t="s">
        <v>3476</v>
      </c>
      <c r="B1343" t="s">
        <v>699</v>
      </c>
      <c r="C1343" t="s">
        <v>2826</v>
      </c>
      <c r="D1343" t="s">
        <v>2829</v>
      </c>
      <c r="E1343">
        <v>0</v>
      </c>
      <c r="F1343">
        <v>0</v>
      </c>
      <c r="G1343">
        <v>0</v>
      </c>
      <c r="H1343">
        <f t="shared" si="40"/>
        <v>0</v>
      </c>
      <c r="I1343">
        <v>2</v>
      </c>
      <c r="J1343">
        <v>0</v>
      </c>
      <c r="K1343">
        <v>0</v>
      </c>
      <c r="L1343">
        <f t="shared" si="41"/>
        <v>2</v>
      </c>
    </row>
    <row r="1344" spans="1:12">
      <c r="A1344" t="s">
        <v>3476</v>
      </c>
      <c r="B1344" t="s">
        <v>699</v>
      </c>
      <c r="C1344" t="s">
        <v>2826</v>
      </c>
      <c r="D1344" t="s">
        <v>2891</v>
      </c>
      <c r="E1344">
        <v>0</v>
      </c>
      <c r="F1344">
        <v>0</v>
      </c>
      <c r="G1344">
        <v>0</v>
      </c>
      <c r="H1344">
        <f t="shared" si="40"/>
        <v>0</v>
      </c>
      <c r="I1344">
        <v>1</v>
      </c>
      <c r="J1344">
        <v>0</v>
      </c>
      <c r="K1344">
        <v>0</v>
      </c>
      <c r="L1344">
        <f t="shared" si="41"/>
        <v>1</v>
      </c>
    </row>
    <row r="1345" spans="1:12">
      <c r="A1345" t="s">
        <v>3476</v>
      </c>
      <c r="B1345" t="s">
        <v>699</v>
      </c>
      <c r="C1345" t="s">
        <v>2826</v>
      </c>
      <c r="D1345" t="s">
        <v>2830</v>
      </c>
      <c r="E1345">
        <v>0</v>
      </c>
      <c r="F1345">
        <v>0</v>
      </c>
      <c r="G1345">
        <v>0</v>
      </c>
      <c r="H1345">
        <f t="shared" si="40"/>
        <v>0</v>
      </c>
      <c r="I1345">
        <v>1</v>
      </c>
      <c r="J1345">
        <v>0</v>
      </c>
      <c r="K1345">
        <v>0</v>
      </c>
      <c r="L1345">
        <f t="shared" si="41"/>
        <v>1</v>
      </c>
    </row>
    <row r="1346" spans="1:12">
      <c r="A1346" t="s">
        <v>3476</v>
      </c>
      <c r="B1346" t="s">
        <v>699</v>
      </c>
      <c r="C1346" t="s">
        <v>2826</v>
      </c>
      <c r="D1346" t="s">
        <v>2831</v>
      </c>
      <c r="E1346">
        <v>0</v>
      </c>
      <c r="F1346">
        <v>0</v>
      </c>
      <c r="G1346">
        <v>0</v>
      </c>
      <c r="H1346">
        <f t="shared" si="40"/>
        <v>0</v>
      </c>
      <c r="I1346">
        <v>1</v>
      </c>
      <c r="J1346">
        <v>0</v>
      </c>
      <c r="K1346">
        <v>0</v>
      </c>
      <c r="L1346">
        <f t="shared" si="41"/>
        <v>1</v>
      </c>
    </row>
    <row r="1347" spans="1:12">
      <c r="A1347" t="s">
        <v>3476</v>
      </c>
      <c r="B1347" t="s">
        <v>699</v>
      </c>
      <c r="C1347" t="s">
        <v>2826</v>
      </c>
      <c r="D1347" t="s">
        <v>2843</v>
      </c>
      <c r="E1347">
        <v>0</v>
      </c>
      <c r="F1347">
        <v>0</v>
      </c>
      <c r="G1347">
        <v>0</v>
      </c>
      <c r="H1347">
        <f t="shared" si="40"/>
        <v>0</v>
      </c>
      <c r="I1347">
        <v>4</v>
      </c>
      <c r="J1347">
        <v>0</v>
      </c>
      <c r="K1347">
        <v>0</v>
      </c>
      <c r="L1347">
        <f t="shared" si="41"/>
        <v>4</v>
      </c>
    </row>
    <row r="1348" spans="1:12">
      <c r="A1348" t="s">
        <v>3476</v>
      </c>
      <c r="B1348" t="s">
        <v>699</v>
      </c>
      <c r="C1348" t="s">
        <v>2826</v>
      </c>
      <c r="D1348" t="s">
        <v>2884</v>
      </c>
      <c r="E1348">
        <v>0</v>
      </c>
      <c r="F1348">
        <v>0</v>
      </c>
      <c r="G1348">
        <v>0</v>
      </c>
      <c r="H1348">
        <f t="shared" ref="H1348:H1411" si="42">SUM(E1348:G1348)</f>
        <v>0</v>
      </c>
      <c r="I1348">
        <v>2</v>
      </c>
      <c r="J1348">
        <v>0</v>
      </c>
      <c r="K1348">
        <v>0</v>
      </c>
      <c r="L1348">
        <f t="shared" ref="L1348:L1411" si="43">SUM(I1348:K1348)</f>
        <v>2</v>
      </c>
    </row>
    <row r="1349" spans="1:12">
      <c r="A1349" t="s">
        <v>3476</v>
      </c>
      <c r="B1349" t="s">
        <v>699</v>
      </c>
      <c r="C1349" t="s">
        <v>2826</v>
      </c>
      <c r="D1349" t="s">
        <v>2885</v>
      </c>
      <c r="E1349">
        <v>0</v>
      </c>
      <c r="F1349">
        <v>0</v>
      </c>
      <c r="G1349">
        <v>0</v>
      </c>
      <c r="H1349">
        <f t="shared" si="42"/>
        <v>0</v>
      </c>
      <c r="I1349">
        <v>2</v>
      </c>
      <c r="J1349">
        <v>0</v>
      </c>
      <c r="K1349">
        <v>0</v>
      </c>
      <c r="L1349">
        <f t="shared" si="43"/>
        <v>2</v>
      </c>
    </row>
    <row r="1350" spans="1:12">
      <c r="A1350" t="s">
        <v>3476</v>
      </c>
      <c r="B1350" t="s">
        <v>699</v>
      </c>
      <c r="C1350" t="s">
        <v>2826</v>
      </c>
      <c r="D1350" t="s">
        <v>2832</v>
      </c>
      <c r="E1350">
        <v>0</v>
      </c>
      <c r="F1350">
        <v>0</v>
      </c>
      <c r="G1350">
        <v>0</v>
      </c>
      <c r="H1350">
        <f t="shared" si="42"/>
        <v>0</v>
      </c>
      <c r="I1350">
        <v>1</v>
      </c>
      <c r="J1350">
        <v>0</v>
      </c>
      <c r="K1350">
        <v>0</v>
      </c>
      <c r="L1350">
        <f t="shared" si="43"/>
        <v>1</v>
      </c>
    </row>
    <row r="1351" spans="1:12">
      <c r="A1351" t="s">
        <v>3476</v>
      </c>
      <c r="B1351" t="s">
        <v>699</v>
      </c>
      <c r="C1351" t="s">
        <v>2826</v>
      </c>
      <c r="D1351" t="s">
        <v>2833</v>
      </c>
      <c r="E1351">
        <v>1</v>
      </c>
      <c r="F1351">
        <v>0</v>
      </c>
      <c r="G1351">
        <v>0</v>
      </c>
      <c r="H1351">
        <f t="shared" si="42"/>
        <v>1</v>
      </c>
      <c r="I1351">
        <v>0</v>
      </c>
      <c r="J1351">
        <v>0</v>
      </c>
      <c r="K1351">
        <v>0</v>
      </c>
      <c r="L1351">
        <f t="shared" si="43"/>
        <v>0</v>
      </c>
    </row>
    <row r="1352" spans="1:12">
      <c r="A1352" t="s">
        <v>3476</v>
      </c>
      <c r="B1352" t="s">
        <v>699</v>
      </c>
      <c r="C1352" t="s">
        <v>2826</v>
      </c>
      <c r="D1352" t="s">
        <v>2834</v>
      </c>
      <c r="E1352">
        <v>0</v>
      </c>
      <c r="F1352">
        <v>0</v>
      </c>
      <c r="G1352">
        <v>0</v>
      </c>
      <c r="H1352">
        <f t="shared" si="42"/>
        <v>0</v>
      </c>
      <c r="I1352">
        <v>2</v>
      </c>
      <c r="J1352">
        <v>0</v>
      </c>
      <c r="K1352">
        <v>0</v>
      </c>
      <c r="L1352">
        <f t="shared" si="43"/>
        <v>2</v>
      </c>
    </row>
    <row r="1353" spans="1:12">
      <c r="A1353" t="s">
        <v>3476</v>
      </c>
      <c r="B1353" t="s">
        <v>699</v>
      </c>
      <c r="C1353" t="s">
        <v>2826</v>
      </c>
      <c r="D1353" t="s">
        <v>2886</v>
      </c>
      <c r="E1353">
        <v>0</v>
      </c>
      <c r="F1353">
        <v>0</v>
      </c>
      <c r="G1353">
        <v>0</v>
      </c>
      <c r="H1353">
        <f t="shared" si="42"/>
        <v>0</v>
      </c>
      <c r="I1353">
        <v>2</v>
      </c>
      <c r="J1353">
        <v>0</v>
      </c>
      <c r="K1353">
        <v>0</v>
      </c>
      <c r="L1353">
        <f t="shared" si="43"/>
        <v>2</v>
      </c>
    </row>
    <row r="1354" spans="1:12">
      <c r="A1354" t="s">
        <v>3476</v>
      </c>
      <c r="B1354" t="s">
        <v>699</v>
      </c>
      <c r="C1354" t="s">
        <v>2826</v>
      </c>
      <c r="D1354" t="s">
        <v>2844</v>
      </c>
      <c r="E1354">
        <v>0</v>
      </c>
      <c r="F1354">
        <v>0</v>
      </c>
      <c r="G1354">
        <v>0</v>
      </c>
      <c r="H1354">
        <f t="shared" si="42"/>
        <v>0</v>
      </c>
      <c r="I1354">
        <v>1</v>
      </c>
      <c r="J1354">
        <v>0</v>
      </c>
      <c r="K1354">
        <v>0</v>
      </c>
      <c r="L1354">
        <f t="shared" si="43"/>
        <v>1</v>
      </c>
    </row>
    <row r="1355" spans="1:12">
      <c r="A1355" t="s">
        <v>3476</v>
      </c>
      <c r="B1355" t="s">
        <v>699</v>
      </c>
      <c r="C1355" t="s">
        <v>2826</v>
      </c>
      <c r="D1355" t="s">
        <v>2916</v>
      </c>
      <c r="E1355">
        <v>0</v>
      </c>
      <c r="F1355">
        <v>0</v>
      </c>
      <c r="G1355">
        <v>0</v>
      </c>
      <c r="H1355">
        <f t="shared" si="42"/>
        <v>0</v>
      </c>
      <c r="I1355">
        <v>1</v>
      </c>
      <c r="J1355">
        <v>0</v>
      </c>
      <c r="K1355">
        <v>0</v>
      </c>
      <c r="L1355">
        <f t="shared" si="43"/>
        <v>1</v>
      </c>
    </row>
    <row r="1356" spans="1:12">
      <c r="A1356" t="s">
        <v>3476</v>
      </c>
      <c r="B1356" t="s">
        <v>699</v>
      </c>
      <c r="C1356" t="s">
        <v>2826</v>
      </c>
      <c r="D1356" t="s">
        <v>2835</v>
      </c>
      <c r="E1356">
        <v>0</v>
      </c>
      <c r="F1356">
        <v>0</v>
      </c>
      <c r="G1356">
        <v>0</v>
      </c>
      <c r="H1356">
        <f t="shared" si="42"/>
        <v>0</v>
      </c>
      <c r="I1356">
        <v>1</v>
      </c>
      <c r="J1356">
        <v>0</v>
      </c>
      <c r="K1356">
        <v>0</v>
      </c>
      <c r="L1356">
        <f t="shared" si="43"/>
        <v>1</v>
      </c>
    </row>
    <row r="1357" spans="1:12">
      <c r="A1357" t="s">
        <v>3476</v>
      </c>
      <c r="B1357" t="s">
        <v>699</v>
      </c>
      <c r="C1357" t="s">
        <v>2826</v>
      </c>
      <c r="D1357" t="s">
        <v>2917</v>
      </c>
      <c r="E1357">
        <v>0</v>
      </c>
      <c r="F1357">
        <v>0</v>
      </c>
      <c r="G1357">
        <v>0</v>
      </c>
      <c r="H1357">
        <f t="shared" si="42"/>
        <v>0</v>
      </c>
      <c r="I1357">
        <v>1</v>
      </c>
      <c r="J1357">
        <v>0</v>
      </c>
      <c r="K1357">
        <v>0</v>
      </c>
      <c r="L1357">
        <f t="shared" si="43"/>
        <v>1</v>
      </c>
    </row>
    <row r="1358" spans="1:12">
      <c r="A1358" t="s">
        <v>3476</v>
      </c>
      <c r="B1358" t="s">
        <v>699</v>
      </c>
      <c r="C1358" t="s">
        <v>2826</v>
      </c>
      <c r="D1358" t="s">
        <v>2849</v>
      </c>
      <c r="E1358">
        <v>0</v>
      </c>
      <c r="F1358">
        <v>0</v>
      </c>
      <c r="G1358">
        <v>0</v>
      </c>
      <c r="H1358">
        <f t="shared" si="42"/>
        <v>0</v>
      </c>
      <c r="I1358">
        <v>2</v>
      </c>
      <c r="J1358">
        <v>0</v>
      </c>
      <c r="K1358">
        <v>0</v>
      </c>
      <c r="L1358">
        <f t="shared" si="43"/>
        <v>2</v>
      </c>
    </row>
    <row r="1359" spans="1:12">
      <c r="A1359" t="s">
        <v>3476</v>
      </c>
      <c r="B1359" t="s">
        <v>699</v>
      </c>
      <c r="C1359" t="s">
        <v>2826</v>
      </c>
      <c r="D1359" t="s">
        <v>2836</v>
      </c>
      <c r="E1359">
        <v>0</v>
      </c>
      <c r="F1359">
        <v>0</v>
      </c>
      <c r="G1359">
        <v>0</v>
      </c>
      <c r="H1359">
        <f t="shared" si="42"/>
        <v>0</v>
      </c>
      <c r="I1359">
        <v>1</v>
      </c>
      <c r="J1359">
        <v>0</v>
      </c>
      <c r="K1359">
        <v>0</v>
      </c>
      <c r="L1359">
        <f t="shared" si="43"/>
        <v>1</v>
      </c>
    </row>
    <row r="1360" spans="1:12">
      <c r="A1360" t="s">
        <v>3476</v>
      </c>
      <c r="B1360" t="s">
        <v>699</v>
      </c>
      <c r="C1360" t="s">
        <v>2826</v>
      </c>
      <c r="D1360" t="s">
        <v>2907</v>
      </c>
      <c r="E1360">
        <v>0</v>
      </c>
      <c r="F1360">
        <v>0</v>
      </c>
      <c r="G1360">
        <v>0</v>
      </c>
      <c r="H1360">
        <f t="shared" si="42"/>
        <v>0</v>
      </c>
      <c r="I1360">
        <v>1</v>
      </c>
      <c r="J1360">
        <v>0</v>
      </c>
      <c r="K1360">
        <v>0</v>
      </c>
      <c r="L1360">
        <f t="shared" si="43"/>
        <v>1</v>
      </c>
    </row>
    <row r="1361" spans="1:12">
      <c r="A1361" t="s">
        <v>3476</v>
      </c>
      <c r="B1361" t="s">
        <v>699</v>
      </c>
      <c r="C1361" t="s">
        <v>2817</v>
      </c>
      <c r="D1361" t="s">
        <v>2887</v>
      </c>
      <c r="E1361">
        <v>0</v>
      </c>
      <c r="F1361">
        <v>0</v>
      </c>
      <c r="G1361">
        <v>0</v>
      </c>
      <c r="H1361">
        <f t="shared" si="42"/>
        <v>0</v>
      </c>
      <c r="I1361">
        <v>0</v>
      </c>
      <c r="J1361">
        <v>3</v>
      </c>
      <c r="K1361">
        <v>0</v>
      </c>
      <c r="L1361">
        <f t="shared" si="43"/>
        <v>3</v>
      </c>
    </row>
    <row r="1362" spans="1:12">
      <c r="A1362" t="s">
        <v>3476</v>
      </c>
      <c r="B1362" t="s">
        <v>699</v>
      </c>
      <c r="C1362" t="s">
        <v>2817</v>
      </c>
      <c r="D1362" t="s">
        <v>2888</v>
      </c>
      <c r="E1362">
        <v>1</v>
      </c>
      <c r="F1362">
        <v>0</v>
      </c>
      <c r="G1362">
        <v>0</v>
      </c>
      <c r="H1362">
        <f t="shared" si="42"/>
        <v>1</v>
      </c>
      <c r="I1362">
        <v>0</v>
      </c>
      <c r="J1362">
        <v>0</v>
      </c>
      <c r="K1362">
        <v>0</v>
      </c>
      <c r="L1362">
        <f t="shared" si="43"/>
        <v>0</v>
      </c>
    </row>
    <row r="1363" spans="1:12">
      <c r="A1363" t="s">
        <v>3476</v>
      </c>
      <c r="B1363" t="s">
        <v>699</v>
      </c>
      <c r="C1363" t="s">
        <v>2817</v>
      </c>
      <c r="D1363" t="s">
        <v>2877</v>
      </c>
      <c r="E1363">
        <v>1</v>
      </c>
      <c r="F1363">
        <v>0</v>
      </c>
      <c r="G1363">
        <v>0</v>
      </c>
      <c r="H1363">
        <f t="shared" si="42"/>
        <v>1</v>
      </c>
      <c r="I1363">
        <v>0</v>
      </c>
      <c r="J1363">
        <v>0</v>
      </c>
      <c r="K1363">
        <v>0</v>
      </c>
      <c r="L1363">
        <f t="shared" si="43"/>
        <v>0</v>
      </c>
    </row>
    <row r="1364" spans="1:12">
      <c r="A1364" t="s">
        <v>3476</v>
      </c>
      <c r="B1364" t="s">
        <v>699</v>
      </c>
      <c r="C1364" t="s">
        <v>2817</v>
      </c>
      <c r="D1364" t="s">
        <v>2818</v>
      </c>
      <c r="E1364">
        <v>11</v>
      </c>
      <c r="F1364">
        <v>0</v>
      </c>
      <c r="G1364">
        <v>0</v>
      </c>
      <c r="H1364">
        <f t="shared" si="42"/>
        <v>11</v>
      </c>
      <c r="I1364">
        <v>7</v>
      </c>
      <c r="J1364">
        <v>0</v>
      </c>
      <c r="K1364">
        <v>0</v>
      </c>
      <c r="L1364">
        <f t="shared" si="43"/>
        <v>7</v>
      </c>
    </row>
    <row r="1365" spans="1:12">
      <c r="A1365" t="s">
        <v>3476</v>
      </c>
      <c r="B1365" t="s">
        <v>699</v>
      </c>
      <c r="C1365" t="s">
        <v>2817</v>
      </c>
      <c r="D1365" t="s">
        <v>2837</v>
      </c>
      <c r="E1365">
        <v>5</v>
      </c>
      <c r="F1365">
        <v>0</v>
      </c>
      <c r="G1365">
        <v>0</v>
      </c>
      <c r="H1365">
        <f t="shared" si="42"/>
        <v>5</v>
      </c>
      <c r="I1365">
        <v>1</v>
      </c>
      <c r="J1365">
        <v>0</v>
      </c>
      <c r="K1365">
        <v>0</v>
      </c>
      <c r="L1365">
        <f t="shared" si="43"/>
        <v>1</v>
      </c>
    </row>
    <row r="1366" spans="1:12">
      <c r="A1366" t="s">
        <v>3476</v>
      </c>
      <c r="B1366" t="s">
        <v>699</v>
      </c>
      <c r="C1366" t="s">
        <v>2820</v>
      </c>
      <c r="D1366" t="s">
        <v>2821</v>
      </c>
      <c r="E1366">
        <v>0</v>
      </c>
      <c r="F1366">
        <v>0</v>
      </c>
      <c r="G1366">
        <v>0</v>
      </c>
      <c r="H1366">
        <f t="shared" si="42"/>
        <v>0</v>
      </c>
      <c r="I1366">
        <v>3</v>
      </c>
      <c r="J1366">
        <v>0</v>
      </c>
      <c r="K1366">
        <v>0</v>
      </c>
      <c r="L1366">
        <f t="shared" si="43"/>
        <v>3</v>
      </c>
    </row>
    <row r="1367" spans="1:12">
      <c r="A1367" t="s">
        <v>3481</v>
      </c>
      <c r="B1367" t="s">
        <v>1555</v>
      </c>
      <c r="C1367" t="s">
        <v>2805</v>
      </c>
      <c r="D1367" t="s">
        <v>2806</v>
      </c>
      <c r="E1367">
        <v>16</v>
      </c>
      <c r="F1367">
        <v>0</v>
      </c>
      <c r="G1367">
        <v>0</v>
      </c>
      <c r="H1367">
        <f t="shared" si="42"/>
        <v>16</v>
      </c>
      <c r="I1367">
        <v>0</v>
      </c>
      <c r="J1367">
        <v>0</v>
      </c>
      <c r="K1367">
        <v>0</v>
      </c>
      <c r="L1367">
        <f t="shared" si="43"/>
        <v>0</v>
      </c>
    </row>
    <row r="1368" spans="1:12">
      <c r="A1368" t="s">
        <v>3481</v>
      </c>
      <c r="B1368" t="s">
        <v>1555</v>
      </c>
      <c r="C1368" t="s">
        <v>2805</v>
      </c>
      <c r="D1368" t="s">
        <v>449</v>
      </c>
      <c r="E1368">
        <v>23</v>
      </c>
      <c r="F1368">
        <v>0</v>
      </c>
      <c r="G1368">
        <v>0</v>
      </c>
      <c r="H1368">
        <f t="shared" si="42"/>
        <v>23</v>
      </c>
      <c r="I1368">
        <v>0</v>
      </c>
      <c r="J1368">
        <v>0</v>
      </c>
      <c r="K1368">
        <v>0</v>
      </c>
      <c r="L1368">
        <f t="shared" si="43"/>
        <v>0</v>
      </c>
    </row>
    <row r="1369" spans="1:12">
      <c r="A1369" t="s">
        <v>3481</v>
      </c>
      <c r="B1369" t="s">
        <v>1555</v>
      </c>
      <c r="C1369" t="s">
        <v>2810</v>
      </c>
      <c r="D1369" t="s">
        <v>2812</v>
      </c>
      <c r="E1369">
        <v>3</v>
      </c>
      <c r="F1369">
        <v>0</v>
      </c>
      <c r="G1369">
        <v>0</v>
      </c>
      <c r="H1369">
        <f t="shared" si="42"/>
        <v>3</v>
      </c>
      <c r="I1369">
        <v>0</v>
      </c>
      <c r="J1369">
        <v>0</v>
      </c>
      <c r="K1369">
        <v>0</v>
      </c>
      <c r="L1369">
        <f t="shared" si="43"/>
        <v>0</v>
      </c>
    </row>
    <row r="1370" spans="1:12">
      <c r="A1370" t="s">
        <v>3481</v>
      </c>
      <c r="B1370" t="s">
        <v>1555</v>
      </c>
      <c r="C1370" t="s">
        <v>2810</v>
      </c>
      <c r="D1370" t="s">
        <v>2815</v>
      </c>
      <c r="E1370">
        <v>2</v>
      </c>
      <c r="F1370">
        <v>0</v>
      </c>
      <c r="G1370">
        <v>0</v>
      </c>
      <c r="H1370">
        <f t="shared" si="42"/>
        <v>2</v>
      </c>
      <c r="I1370">
        <v>0</v>
      </c>
      <c r="J1370">
        <v>0</v>
      </c>
      <c r="K1370">
        <v>0</v>
      </c>
      <c r="L1370">
        <f t="shared" si="43"/>
        <v>0</v>
      </c>
    </row>
    <row r="1371" spans="1:12">
      <c r="A1371" t="s">
        <v>3481</v>
      </c>
      <c r="B1371" t="s">
        <v>1555</v>
      </c>
      <c r="C1371" t="s">
        <v>2816</v>
      </c>
      <c r="D1371" t="s">
        <v>1897</v>
      </c>
      <c r="E1371">
        <v>9</v>
      </c>
      <c r="F1371">
        <v>0</v>
      </c>
      <c r="G1371">
        <v>0</v>
      </c>
      <c r="H1371">
        <f t="shared" si="42"/>
        <v>9</v>
      </c>
      <c r="I1371">
        <v>0</v>
      </c>
      <c r="J1371">
        <v>0</v>
      </c>
      <c r="K1371">
        <v>0</v>
      </c>
      <c r="L1371">
        <f t="shared" si="43"/>
        <v>0</v>
      </c>
    </row>
    <row r="1372" spans="1:12">
      <c r="A1372" t="s">
        <v>3482</v>
      </c>
      <c r="B1372" t="s">
        <v>677</v>
      </c>
      <c r="C1372" t="s">
        <v>2805</v>
      </c>
      <c r="D1372" t="s">
        <v>449</v>
      </c>
      <c r="E1372">
        <v>11</v>
      </c>
      <c r="F1372">
        <v>0</v>
      </c>
      <c r="G1372">
        <v>0</v>
      </c>
      <c r="H1372">
        <f t="shared" si="42"/>
        <v>11</v>
      </c>
      <c r="I1372">
        <v>0</v>
      </c>
      <c r="J1372">
        <v>0</v>
      </c>
      <c r="K1372">
        <v>0</v>
      </c>
      <c r="L1372">
        <f t="shared" si="43"/>
        <v>0</v>
      </c>
    </row>
    <row r="1373" spans="1:12">
      <c r="A1373" t="s">
        <v>3482</v>
      </c>
      <c r="B1373" t="s">
        <v>677</v>
      </c>
      <c r="C1373" t="s">
        <v>2805</v>
      </c>
      <c r="D1373" t="s">
        <v>2807</v>
      </c>
      <c r="E1373">
        <v>1</v>
      </c>
      <c r="F1373">
        <v>0</v>
      </c>
      <c r="G1373">
        <v>0</v>
      </c>
      <c r="H1373">
        <f t="shared" si="42"/>
        <v>1</v>
      </c>
      <c r="I1373">
        <v>0</v>
      </c>
      <c r="J1373">
        <v>0</v>
      </c>
      <c r="K1373">
        <v>0</v>
      </c>
      <c r="L1373">
        <f t="shared" si="43"/>
        <v>0</v>
      </c>
    </row>
    <row r="1374" spans="1:12">
      <c r="A1374" t="s">
        <v>3482</v>
      </c>
      <c r="B1374" t="s">
        <v>677</v>
      </c>
      <c r="C1374" t="s">
        <v>2810</v>
      </c>
      <c r="D1374" t="s">
        <v>2812</v>
      </c>
      <c r="E1374">
        <v>5</v>
      </c>
      <c r="F1374">
        <v>0</v>
      </c>
      <c r="G1374">
        <v>0</v>
      </c>
      <c r="H1374">
        <f t="shared" si="42"/>
        <v>5</v>
      </c>
      <c r="I1374">
        <v>0</v>
      </c>
      <c r="J1374">
        <v>0</v>
      </c>
      <c r="K1374">
        <v>0</v>
      </c>
      <c r="L1374">
        <f t="shared" si="43"/>
        <v>0</v>
      </c>
    </row>
    <row r="1375" spans="1:12">
      <c r="A1375" t="s">
        <v>3482</v>
      </c>
      <c r="B1375" t="s">
        <v>677</v>
      </c>
      <c r="C1375" t="s">
        <v>2810</v>
      </c>
      <c r="D1375" t="s">
        <v>2840</v>
      </c>
      <c r="E1375">
        <v>0</v>
      </c>
      <c r="F1375">
        <v>0</v>
      </c>
      <c r="G1375">
        <v>0</v>
      </c>
      <c r="H1375">
        <f t="shared" si="42"/>
        <v>0</v>
      </c>
      <c r="I1375">
        <v>1</v>
      </c>
      <c r="J1375">
        <v>0</v>
      </c>
      <c r="K1375">
        <v>0</v>
      </c>
      <c r="L1375">
        <f t="shared" si="43"/>
        <v>1</v>
      </c>
    </row>
    <row r="1376" spans="1:12">
      <c r="A1376" t="s">
        <v>3482</v>
      </c>
      <c r="B1376" t="s">
        <v>677</v>
      </c>
      <c r="C1376" t="s">
        <v>2826</v>
      </c>
      <c r="D1376" t="s">
        <v>2871</v>
      </c>
      <c r="E1376">
        <v>0</v>
      </c>
      <c r="F1376">
        <v>0</v>
      </c>
      <c r="G1376">
        <v>0</v>
      </c>
      <c r="H1376">
        <f t="shared" si="42"/>
        <v>0</v>
      </c>
      <c r="I1376">
        <v>2</v>
      </c>
      <c r="J1376">
        <v>0</v>
      </c>
      <c r="K1376">
        <v>0</v>
      </c>
      <c r="L1376">
        <f t="shared" si="43"/>
        <v>2</v>
      </c>
    </row>
    <row r="1377" spans="1:12">
      <c r="A1377" t="s">
        <v>3482</v>
      </c>
      <c r="B1377" t="s">
        <v>677</v>
      </c>
      <c r="C1377" t="s">
        <v>2826</v>
      </c>
      <c r="D1377" t="s">
        <v>2827</v>
      </c>
      <c r="E1377">
        <v>0</v>
      </c>
      <c r="F1377">
        <v>0</v>
      </c>
      <c r="G1377">
        <v>0</v>
      </c>
      <c r="H1377">
        <f t="shared" si="42"/>
        <v>0</v>
      </c>
      <c r="I1377">
        <v>1</v>
      </c>
      <c r="J1377">
        <v>0</v>
      </c>
      <c r="K1377">
        <v>0</v>
      </c>
      <c r="L1377">
        <f t="shared" si="43"/>
        <v>1</v>
      </c>
    </row>
    <row r="1378" spans="1:12">
      <c r="A1378" t="s">
        <v>3482</v>
      </c>
      <c r="B1378" t="s">
        <v>677</v>
      </c>
      <c r="C1378" t="s">
        <v>2826</v>
      </c>
      <c r="D1378" t="s">
        <v>2891</v>
      </c>
      <c r="E1378">
        <v>0</v>
      </c>
      <c r="F1378">
        <v>0</v>
      </c>
      <c r="G1378">
        <v>0</v>
      </c>
      <c r="H1378">
        <f t="shared" si="42"/>
        <v>0</v>
      </c>
      <c r="I1378">
        <v>2</v>
      </c>
      <c r="J1378">
        <v>0</v>
      </c>
      <c r="K1378">
        <v>0</v>
      </c>
      <c r="L1378">
        <f t="shared" si="43"/>
        <v>2</v>
      </c>
    </row>
    <row r="1379" spans="1:12">
      <c r="A1379" t="s">
        <v>3482</v>
      </c>
      <c r="B1379" t="s">
        <v>677</v>
      </c>
      <c r="C1379" t="s">
        <v>2826</v>
      </c>
      <c r="D1379" t="s">
        <v>2885</v>
      </c>
      <c r="E1379">
        <v>0</v>
      </c>
      <c r="F1379">
        <v>0</v>
      </c>
      <c r="G1379">
        <v>0</v>
      </c>
      <c r="H1379">
        <f t="shared" si="42"/>
        <v>0</v>
      </c>
      <c r="I1379">
        <v>1</v>
      </c>
      <c r="J1379">
        <v>0</v>
      </c>
      <c r="K1379">
        <v>0</v>
      </c>
      <c r="L1379">
        <f t="shared" si="43"/>
        <v>1</v>
      </c>
    </row>
    <row r="1380" spans="1:12">
      <c r="A1380" t="s">
        <v>3482</v>
      </c>
      <c r="B1380" t="s">
        <v>677</v>
      </c>
      <c r="C1380" t="s">
        <v>2826</v>
      </c>
      <c r="D1380" t="s">
        <v>2834</v>
      </c>
      <c r="E1380">
        <v>0</v>
      </c>
      <c r="F1380">
        <v>0</v>
      </c>
      <c r="G1380">
        <v>0</v>
      </c>
      <c r="H1380">
        <f t="shared" si="42"/>
        <v>0</v>
      </c>
      <c r="I1380">
        <v>1</v>
      </c>
      <c r="J1380">
        <v>0</v>
      </c>
      <c r="K1380">
        <v>0</v>
      </c>
      <c r="L1380">
        <f t="shared" si="43"/>
        <v>1</v>
      </c>
    </row>
    <row r="1381" spans="1:12">
      <c r="A1381" t="s">
        <v>3482</v>
      </c>
      <c r="B1381" t="s">
        <v>677</v>
      </c>
      <c r="C1381" t="s">
        <v>2826</v>
      </c>
      <c r="D1381" t="s">
        <v>2849</v>
      </c>
      <c r="E1381">
        <v>0</v>
      </c>
      <c r="F1381">
        <v>0</v>
      </c>
      <c r="G1381">
        <v>0</v>
      </c>
      <c r="H1381">
        <f t="shared" si="42"/>
        <v>0</v>
      </c>
      <c r="I1381">
        <v>2</v>
      </c>
      <c r="J1381">
        <v>0</v>
      </c>
      <c r="K1381">
        <v>0</v>
      </c>
      <c r="L1381">
        <f t="shared" si="43"/>
        <v>2</v>
      </c>
    </row>
    <row r="1382" spans="1:12">
      <c r="A1382" t="s">
        <v>3489</v>
      </c>
      <c r="B1382" t="s">
        <v>3490</v>
      </c>
      <c r="C1382" t="s">
        <v>2805</v>
      </c>
      <c r="D1382" t="s">
        <v>2806</v>
      </c>
      <c r="E1382">
        <v>96</v>
      </c>
      <c r="F1382">
        <v>0</v>
      </c>
      <c r="G1382">
        <v>0</v>
      </c>
      <c r="H1382">
        <f t="shared" si="42"/>
        <v>96</v>
      </c>
      <c r="I1382">
        <v>21</v>
      </c>
      <c r="J1382">
        <v>0</v>
      </c>
      <c r="K1382">
        <v>0</v>
      </c>
      <c r="L1382">
        <f t="shared" si="43"/>
        <v>21</v>
      </c>
    </row>
    <row r="1383" spans="1:12">
      <c r="A1383" t="s">
        <v>3489</v>
      </c>
      <c r="B1383" t="s">
        <v>3490</v>
      </c>
      <c r="C1383" t="s">
        <v>2805</v>
      </c>
      <c r="D1383" t="s">
        <v>449</v>
      </c>
      <c r="E1383">
        <v>109</v>
      </c>
      <c r="F1383">
        <v>0</v>
      </c>
      <c r="G1383">
        <v>0</v>
      </c>
      <c r="H1383">
        <f t="shared" si="42"/>
        <v>109</v>
      </c>
      <c r="I1383">
        <v>17</v>
      </c>
      <c r="J1383">
        <v>0</v>
      </c>
      <c r="K1383">
        <v>0</v>
      </c>
      <c r="L1383">
        <f t="shared" si="43"/>
        <v>17</v>
      </c>
    </row>
    <row r="1384" spans="1:12">
      <c r="A1384" t="s">
        <v>3489</v>
      </c>
      <c r="B1384" t="s">
        <v>3490</v>
      </c>
      <c r="C1384" t="s">
        <v>2805</v>
      </c>
      <c r="D1384" t="s">
        <v>2807</v>
      </c>
      <c r="E1384">
        <v>3</v>
      </c>
      <c r="F1384">
        <v>0</v>
      </c>
      <c r="G1384">
        <v>0</v>
      </c>
      <c r="H1384">
        <f t="shared" si="42"/>
        <v>3</v>
      </c>
      <c r="I1384">
        <v>0</v>
      </c>
      <c r="J1384">
        <v>0</v>
      </c>
      <c r="K1384">
        <v>0</v>
      </c>
      <c r="L1384">
        <f t="shared" si="43"/>
        <v>0</v>
      </c>
    </row>
    <row r="1385" spans="1:12">
      <c r="A1385" t="s">
        <v>3489</v>
      </c>
      <c r="B1385" t="s">
        <v>3490</v>
      </c>
      <c r="C1385" t="s">
        <v>2805</v>
      </c>
      <c r="D1385" t="s">
        <v>442</v>
      </c>
      <c r="E1385">
        <v>1</v>
      </c>
      <c r="F1385">
        <v>0</v>
      </c>
      <c r="G1385">
        <v>0</v>
      </c>
      <c r="H1385">
        <f t="shared" si="42"/>
        <v>1</v>
      </c>
      <c r="I1385">
        <v>0</v>
      </c>
      <c r="J1385">
        <v>0</v>
      </c>
      <c r="K1385">
        <v>0</v>
      </c>
      <c r="L1385">
        <f t="shared" si="43"/>
        <v>0</v>
      </c>
    </row>
    <row r="1386" spans="1:12">
      <c r="A1386" t="s">
        <v>3489</v>
      </c>
      <c r="B1386" t="s">
        <v>3490</v>
      </c>
      <c r="C1386" t="s">
        <v>2805</v>
      </c>
      <c r="D1386" t="s">
        <v>2937</v>
      </c>
      <c r="E1386">
        <v>0</v>
      </c>
      <c r="F1386">
        <v>1</v>
      </c>
      <c r="G1386">
        <v>0</v>
      </c>
      <c r="H1386">
        <f t="shared" si="42"/>
        <v>1</v>
      </c>
      <c r="I1386">
        <v>0</v>
      </c>
      <c r="J1386">
        <v>0</v>
      </c>
      <c r="K1386">
        <v>0</v>
      </c>
      <c r="L1386">
        <f t="shared" si="43"/>
        <v>0</v>
      </c>
    </row>
    <row r="1387" spans="1:12">
      <c r="A1387" t="s">
        <v>3489</v>
      </c>
      <c r="B1387" t="s">
        <v>3490</v>
      </c>
      <c r="C1387" t="s">
        <v>2810</v>
      </c>
      <c r="D1387" t="s">
        <v>2811</v>
      </c>
      <c r="E1387">
        <v>12</v>
      </c>
      <c r="F1387">
        <v>0</v>
      </c>
      <c r="G1387">
        <v>0</v>
      </c>
      <c r="H1387">
        <f t="shared" si="42"/>
        <v>12</v>
      </c>
      <c r="I1387">
        <v>0</v>
      </c>
      <c r="J1387">
        <v>0</v>
      </c>
      <c r="K1387">
        <v>0</v>
      </c>
      <c r="L1387">
        <f t="shared" si="43"/>
        <v>0</v>
      </c>
    </row>
    <row r="1388" spans="1:12">
      <c r="A1388" t="s">
        <v>3489</v>
      </c>
      <c r="B1388" t="s">
        <v>3490</v>
      </c>
      <c r="C1388" t="s">
        <v>2810</v>
      </c>
      <c r="D1388" t="s">
        <v>1892</v>
      </c>
      <c r="E1388">
        <v>12</v>
      </c>
      <c r="F1388">
        <v>54</v>
      </c>
      <c r="G1388">
        <v>0</v>
      </c>
      <c r="H1388">
        <f t="shared" si="42"/>
        <v>66</v>
      </c>
      <c r="I1388">
        <v>0</v>
      </c>
      <c r="J1388">
        <v>9</v>
      </c>
      <c r="K1388">
        <v>0</v>
      </c>
      <c r="L1388">
        <f t="shared" si="43"/>
        <v>9</v>
      </c>
    </row>
    <row r="1389" spans="1:12">
      <c r="A1389" t="s">
        <v>3489</v>
      </c>
      <c r="B1389" t="s">
        <v>3490</v>
      </c>
      <c r="C1389" t="s">
        <v>2810</v>
      </c>
      <c r="D1389" t="s">
        <v>2823</v>
      </c>
      <c r="E1389">
        <v>1</v>
      </c>
      <c r="F1389">
        <v>0</v>
      </c>
      <c r="G1389">
        <v>0</v>
      </c>
      <c r="H1389">
        <f t="shared" si="42"/>
        <v>1</v>
      </c>
      <c r="I1389">
        <v>0</v>
      </c>
      <c r="J1389">
        <v>24</v>
      </c>
      <c r="K1389">
        <v>0</v>
      </c>
      <c r="L1389">
        <f t="shared" si="43"/>
        <v>24</v>
      </c>
    </row>
    <row r="1390" spans="1:12">
      <c r="A1390" t="s">
        <v>3489</v>
      </c>
      <c r="B1390" t="s">
        <v>3490</v>
      </c>
      <c r="C1390" t="s">
        <v>2810</v>
      </c>
      <c r="D1390" t="s">
        <v>2812</v>
      </c>
      <c r="E1390">
        <v>75</v>
      </c>
      <c r="F1390">
        <v>0</v>
      </c>
      <c r="G1390">
        <v>0</v>
      </c>
      <c r="H1390">
        <f t="shared" si="42"/>
        <v>75</v>
      </c>
      <c r="I1390">
        <v>0</v>
      </c>
      <c r="J1390">
        <v>0</v>
      </c>
      <c r="K1390">
        <v>0</v>
      </c>
      <c r="L1390">
        <f t="shared" si="43"/>
        <v>0</v>
      </c>
    </row>
    <row r="1391" spans="1:12">
      <c r="A1391" t="s">
        <v>3489</v>
      </c>
      <c r="B1391" t="s">
        <v>3490</v>
      </c>
      <c r="C1391" t="s">
        <v>2810</v>
      </c>
      <c r="D1391" t="s">
        <v>2813</v>
      </c>
      <c r="E1391">
        <v>8</v>
      </c>
      <c r="F1391">
        <v>0</v>
      </c>
      <c r="G1391">
        <v>0</v>
      </c>
      <c r="H1391">
        <f t="shared" si="42"/>
        <v>8</v>
      </c>
      <c r="I1391">
        <v>0</v>
      </c>
      <c r="J1391">
        <v>0</v>
      </c>
      <c r="K1391">
        <v>0</v>
      </c>
      <c r="L1391">
        <f t="shared" si="43"/>
        <v>0</v>
      </c>
    </row>
    <row r="1392" spans="1:12">
      <c r="A1392" t="s">
        <v>3489</v>
      </c>
      <c r="B1392" t="s">
        <v>3490</v>
      </c>
      <c r="C1392" t="s">
        <v>2810</v>
      </c>
      <c r="D1392" t="s">
        <v>2847</v>
      </c>
      <c r="E1392">
        <v>34</v>
      </c>
      <c r="F1392">
        <v>0</v>
      </c>
      <c r="G1392">
        <v>0</v>
      </c>
      <c r="H1392">
        <f t="shared" si="42"/>
        <v>34</v>
      </c>
      <c r="I1392">
        <v>0</v>
      </c>
      <c r="J1392">
        <v>0</v>
      </c>
      <c r="K1392">
        <v>0</v>
      </c>
      <c r="L1392">
        <f t="shared" si="43"/>
        <v>0</v>
      </c>
    </row>
    <row r="1393" spans="1:12">
      <c r="A1393" t="s">
        <v>3489</v>
      </c>
      <c r="B1393" t="s">
        <v>3490</v>
      </c>
      <c r="C1393" t="s">
        <v>2816</v>
      </c>
      <c r="D1393" t="s">
        <v>1897</v>
      </c>
      <c r="E1393">
        <v>9</v>
      </c>
      <c r="F1393">
        <v>0</v>
      </c>
      <c r="G1393">
        <v>0</v>
      </c>
      <c r="H1393">
        <f t="shared" si="42"/>
        <v>9</v>
      </c>
      <c r="I1393">
        <v>0</v>
      </c>
      <c r="J1393">
        <v>0</v>
      </c>
      <c r="K1393">
        <v>0</v>
      </c>
      <c r="L1393">
        <f t="shared" si="43"/>
        <v>0</v>
      </c>
    </row>
    <row r="1394" spans="1:12">
      <c r="A1394" t="s">
        <v>3489</v>
      </c>
      <c r="B1394" t="s">
        <v>3490</v>
      </c>
      <c r="C1394" t="s">
        <v>2826</v>
      </c>
      <c r="D1394" t="s">
        <v>2834</v>
      </c>
      <c r="E1394">
        <v>0</v>
      </c>
      <c r="F1394">
        <v>0</v>
      </c>
      <c r="G1394">
        <v>0</v>
      </c>
      <c r="H1394">
        <f t="shared" si="42"/>
        <v>0</v>
      </c>
      <c r="I1394">
        <v>1</v>
      </c>
      <c r="J1394">
        <v>0</v>
      </c>
      <c r="K1394">
        <v>0</v>
      </c>
      <c r="L1394">
        <f t="shared" si="43"/>
        <v>1</v>
      </c>
    </row>
    <row r="1395" spans="1:12">
      <c r="A1395" t="s">
        <v>3489</v>
      </c>
      <c r="B1395" t="s">
        <v>3490</v>
      </c>
      <c r="C1395" t="s">
        <v>2817</v>
      </c>
      <c r="D1395" t="s">
        <v>2837</v>
      </c>
      <c r="E1395">
        <v>23</v>
      </c>
      <c r="F1395">
        <v>0</v>
      </c>
      <c r="G1395">
        <v>0</v>
      </c>
      <c r="H1395">
        <f t="shared" si="42"/>
        <v>23</v>
      </c>
      <c r="I1395">
        <v>0</v>
      </c>
      <c r="J1395">
        <v>0</v>
      </c>
      <c r="K1395">
        <v>0</v>
      </c>
      <c r="L1395">
        <f t="shared" si="43"/>
        <v>0</v>
      </c>
    </row>
    <row r="1396" spans="1:12">
      <c r="A1396" t="s">
        <v>3489</v>
      </c>
      <c r="B1396" t="s">
        <v>3490</v>
      </c>
      <c r="C1396" t="s">
        <v>2820</v>
      </c>
      <c r="D1396" t="s">
        <v>2821</v>
      </c>
      <c r="E1396">
        <v>1</v>
      </c>
      <c r="F1396">
        <v>0</v>
      </c>
      <c r="G1396">
        <v>0</v>
      </c>
      <c r="H1396">
        <f t="shared" si="42"/>
        <v>1</v>
      </c>
      <c r="I1396">
        <v>0</v>
      </c>
      <c r="J1396">
        <v>0</v>
      </c>
      <c r="K1396">
        <v>0</v>
      </c>
      <c r="L1396">
        <f t="shared" si="43"/>
        <v>0</v>
      </c>
    </row>
    <row r="1397" spans="1:12">
      <c r="A1397" t="s">
        <v>3491</v>
      </c>
      <c r="B1397" t="s">
        <v>3492</v>
      </c>
      <c r="C1397" t="s">
        <v>2805</v>
      </c>
      <c r="D1397" t="s">
        <v>2806</v>
      </c>
      <c r="E1397">
        <v>110</v>
      </c>
      <c r="F1397">
        <v>0</v>
      </c>
      <c r="G1397">
        <v>0</v>
      </c>
      <c r="H1397">
        <f t="shared" si="42"/>
        <v>110</v>
      </c>
      <c r="I1397">
        <v>17</v>
      </c>
      <c r="J1397">
        <v>0</v>
      </c>
      <c r="K1397">
        <v>0</v>
      </c>
      <c r="L1397">
        <f t="shared" si="43"/>
        <v>17</v>
      </c>
    </row>
    <row r="1398" spans="1:12">
      <c r="A1398" t="s">
        <v>3491</v>
      </c>
      <c r="B1398" t="s">
        <v>3492</v>
      </c>
      <c r="C1398" t="s">
        <v>2805</v>
      </c>
      <c r="D1398" t="s">
        <v>449</v>
      </c>
      <c r="E1398">
        <v>118</v>
      </c>
      <c r="F1398">
        <v>0</v>
      </c>
      <c r="G1398">
        <v>0</v>
      </c>
      <c r="H1398">
        <f t="shared" si="42"/>
        <v>118</v>
      </c>
      <c r="I1398">
        <v>25</v>
      </c>
      <c r="J1398">
        <v>0</v>
      </c>
      <c r="K1398">
        <v>0</v>
      </c>
      <c r="L1398">
        <f t="shared" si="43"/>
        <v>25</v>
      </c>
    </row>
    <row r="1399" spans="1:12">
      <c r="A1399" t="s">
        <v>3491</v>
      </c>
      <c r="B1399" t="s">
        <v>3492</v>
      </c>
      <c r="C1399" t="s">
        <v>2805</v>
      </c>
      <c r="D1399" t="s">
        <v>2807</v>
      </c>
      <c r="E1399">
        <v>1</v>
      </c>
      <c r="F1399">
        <v>1</v>
      </c>
      <c r="G1399">
        <v>0</v>
      </c>
      <c r="H1399">
        <f t="shared" si="42"/>
        <v>2</v>
      </c>
      <c r="I1399">
        <v>0</v>
      </c>
      <c r="J1399">
        <v>0</v>
      </c>
      <c r="K1399">
        <v>0</v>
      </c>
      <c r="L1399">
        <f t="shared" si="43"/>
        <v>0</v>
      </c>
    </row>
    <row r="1400" spans="1:12">
      <c r="A1400" t="s">
        <v>3491</v>
      </c>
      <c r="B1400" t="s">
        <v>3492</v>
      </c>
      <c r="C1400" t="s">
        <v>2805</v>
      </c>
      <c r="D1400" t="s">
        <v>442</v>
      </c>
      <c r="E1400">
        <v>0</v>
      </c>
      <c r="F1400">
        <v>0</v>
      </c>
      <c r="G1400">
        <v>0</v>
      </c>
      <c r="H1400">
        <f t="shared" si="42"/>
        <v>0</v>
      </c>
      <c r="I1400">
        <v>3</v>
      </c>
      <c r="J1400">
        <v>0</v>
      </c>
      <c r="K1400">
        <v>0</v>
      </c>
      <c r="L1400">
        <f t="shared" si="43"/>
        <v>3</v>
      </c>
    </row>
    <row r="1401" spans="1:12">
      <c r="A1401" t="s">
        <v>3491</v>
      </c>
      <c r="B1401" t="s">
        <v>3492</v>
      </c>
      <c r="C1401" t="s">
        <v>2810</v>
      </c>
      <c r="D1401" t="s">
        <v>2811</v>
      </c>
      <c r="E1401">
        <v>4</v>
      </c>
      <c r="F1401">
        <v>6</v>
      </c>
      <c r="G1401">
        <v>0</v>
      </c>
      <c r="H1401">
        <f t="shared" si="42"/>
        <v>10</v>
      </c>
      <c r="I1401">
        <v>0</v>
      </c>
      <c r="J1401">
        <v>0</v>
      </c>
      <c r="K1401">
        <v>0</v>
      </c>
      <c r="L1401">
        <f t="shared" si="43"/>
        <v>0</v>
      </c>
    </row>
    <row r="1402" spans="1:12">
      <c r="A1402" t="s">
        <v>3491</v>
      </c>
      <c r="B1402" t="s">
        <v>3492</v>
      </c>
      <c r="C1402" t="s">
        <v>2810</v>
      </c>
      <c r="D1402" t="s">
        <v>1892</v>
      </c>
      <c r="E1402">
        <v>4</v>
      </c>
      <c r="F1402">
        <v>47</v>
      </c>
      <c r="G1402">
        <v>0</v>
      </c>
      <c r="H1402">
        <f t="shared" si="42"/>
        <v>51</v>
      </c>
      <c r="I1402">
        <v>24</v>
      </c>
      <c r="J1402">
        <v>4</v>
      </c>
      <c r="K1402">
        <v>0</v>
      </c>
      <c r="L1402">
        <f t="shared" si="43"/>
        <v>28</v>
      </c>
    </row>
    <row r="1403" spans="1:12">
      <c r="A1403" t="s">
        <v>3491</v>
      </c>
      <c r="B1403" t="s">
        <v>3492</v>
      </c>
      <c r="C1403" t="s">
        <v>2810</v>
      </c>
      <c r="D1403" t="s">
        <v>2823</v>
      </c>
      <c r="E1403">
        <v>0</v>
      </c>
      <c r="F1403">
        <v>30</v>
      </c>
      <c r="G1403">
        <v>0</v>
      </c>
      <c r="H1403">
        <f t="shared" si="42"/>
        <v>30</v>
      </c>
      <c r="I1403">
        <v>0</v>
      </c>
      <c r="J1403">
        <v>6</v>
      </c>
      <c r="K1403">
        <v>0</v>
      </c>
      <c r="L1403">
        <f t="shared" si="43"/>
        <v>6</v>
      </c>
    </row>
    <row r="1404" spans="1:12">
      <c r="A1404" t="s">
        <v>3491</v>
      </c>
      <c r="B1404" t="s">
        <v>3492</v>
      </c>
      <c r="C1404" t="s">
        <v>2810</v>
      </c>
      <c r="D1404" t="s">
        <v>2812</v>
      </c>
      <c r="E1404">
        <v>228</v>
      </c>
      <c r="F1404">
        <v>0</v>
      </c>
      <c r="G1404">
        <v>0</v>
      </c>
      <c r="H1404">
        <f t="shared" si="42"/>
        <v>228</v>
      </c>
      <c r="I1404">
        <v>12</v>
      </c>
      <c r="J1404">
        <v>0</v>
      </c>
      <c r="K1404">
        <v>0</v>
      </c>
      <c r="L1404">
        <f t="shared" si="43"/>
        <v>12</v>
      </c>
    </row>
    <row r="1405" spans="1:12">
      <c r="A1405" t="s">
        <v>3491</v>
      </c>
      <c r="B1405" t="s">
        <v>3492</v>
      </c>
      <c r="C1405" t="s">
        <v>2810</v>
      </c>
      <c r="D1405" t="s">
        <v>2813</v>
      </c>
      <c r="E1405">
        <v>44</v>
      </c>
      <c r="F1405">
        <v>0</v>
      </c>
      <c r="G1405">
        <v>0</v>
      </c>
      <c r="H1405">
        <f t="shared" si="42"/>
        <v>44</v>
      </c>
      <c r="I1405">
        <v>0</v>
      </c>
      <c r="J1405">
        <v>0</v>
      </c>
      <c r="K1405">
        <v>0</v>
      </c>
      <c r="L1405">
        <f t="shared" si="43"/>
        <v>0</v>
      </c>
    </row>
    <row r="1406" spans="1:12">
      <c r="A1406" t="s">
        <v>3491</v>
      </c>
      <c r="B1406" t="s">
        <v>3492</v>
      </c>
      <c r="C1406" t="s">
        <v>2810</v>
      </c>
      <c r="D1406" t="s">
        <v>2847</v>
      </c>
      <c r="E1406">
        <v>37</v>
      </c>
      <c r="F1406">
        <v>0</v>
      </c>
      <c r="G1406">
        <v>0</v>
      </c>
      <c r="H1406">
        <f t="shared" si="42"/>
        <v>37</v>
      </c>
      <c r="I1406">
        <v>0</v>
      </c>
      <c r="J1406">
        <v>0</v>
      </c>
      <c r="K1406">
        <v>0</v>
      </c>
      <c r="L1406">
        <f t="shared" si="43"/>
        <v>0</v>
      </c>
    </row>
    <row r="1407" spans="1:12">
      <c r="A1407" t="s">
        <v>3491</v>
      </c>
      <c r="B1407" t="s">
        <v>3492</v>
      </c>
      <c r="C1407" t="s">
        <v>2810</v>
      </c>
      <c r="D1407" t="s">
        <v>2815</v>
      </c>
      <c r="E1407">
        <v>3</v>
      </c>
      <c r="F1407">
        <v>0</v>
      </c>
      <c r="G1407">
        <v>0</v>
      </c>
      <c r="H1407">
        <f t="shared" si="42"/>
        <v>3</v>
      </c>
      <c r="I1407">
        <v>0</v>
      </c>
      <c r="J1407">
        <v>0</v>
      </c>
      <c r="K1407">
        <v>0</v>
      </c>
      <c r="L1407">
        <f t="shared" si="43"/>
        <v>0</v>
      </c>
    </row>
    <row r="1408" spans="1:12">
      <c r="A1408" t="s">
        <v>3491</v>
      </c>
      <c r="B1408" t="s">
        <v>3492</v>
      </c>
      <c r="C1408" t="s">
        <v>2816</v>
      </c>
      <c r="D1408" t="s">
        <v>1897</v>
      </c>
      <c r="E1408">
        <v>15</v>
      </c>
      <c r="F1408">
        <v>0</v>
      </c>
      <c r="G1408">
        <v>0</v>
      </c>
      <c r="H1408">
        <f t="shared" si="42"/>
        <v>15</v>
      </c>
      <c r="I1408">
        <v>1</v>
      </c>
      <c r="J1408">
        <v>0</v>
      </c>
      <c r="K1408">
        <v>0</v>
      </c>
      <c r="L1408">
        <f t="shared" si="43"/>
        <v>1</v>
      </c>
    </row>
    <row r="1409" spans="1:12">
      <c r="A1409" t="s">
        <v>3491</v>
      </c>
      <c r="B1409" t="s">
        <v>3492</v>
      </c>
      <c r="C1409" t="s">
        <v>2826</v>
      </c>
      <c r="D1409" t="s">
        <v>2843</v>
      </c>
      <c r="E1409">
        <v>0</v>
      </c>
      <c r="F1409">
        <v>0</v>
      </c>
      <c r="G1409">
        <v>0</v>
      </c>
      <c r="H1409">
        <f t="shared" si="42"/>
        <v>0</v>
      </c>
      <c r="I1409">
        <v>1</v>
      </c>
      <c r="J1409">
        <v>0</v>
      </c>
      <c r="K1409">
        <v>0</v>
      </c>
      <c r="L1409">
        <f t="shared" si="43"/>
        <v>1</v>
      </c>
    </row>
    <row r="1410" spans="1:12">
      <c r="A1410" t="s">
        <v>3491</v>
      </c>
      <c r="B1410" t="s">
        <v>3492</v>
      </c>
      <c r="C1410" t="s">
        <v>2826</v>
      </c>
      <c r="D1410" t="s">
        <v>2849</v>
      </c>
      <c r="E1410">
        <v>0</v>
      </c>
      <c r="F1410">
        <v>0</v>
      </c>
      <c r="G1410">
        <v>0</v>
      </c>
      <c r="H1410">
        <f t="shared" si="42"/>
        <v>0</v>
      </c>
      <c r="I1410">
        <v>1</v>
      </c>
      <c r="J1410">
        <v>0</v>
      </c>
      <c r="K1410">
        <v>0</v>
      </c>
      <c r="L1410">
        <f t="shared" si="43"/>
        <v>1</v>
      </c>
    </row>
    <row r="1411" spans="1:12">
      <c r="A1411" t="s">
        <v>3491</v>
      </c>
      <c r="B1411" t="s">
        <v>3492</v>
      </c>
      <c r="C1411" t="s">
        <v>2817</v>
      </c>
      <c r="D1411" t="s">
        <v>2818</v>
      </c>
      <c r="E1411">
        <v>8</v>
      </c>
      <c r="F1411">
        <v>0</v>
      </c>
      <c r="G1411">
        <v>0</v>
      </c>
      <c r="H1411">
        <f t="shared" si="42"/>
        <v>8</v>
      </c>
      <c r="I1411">
        <v>0</v>
      </c>
      <c r="J1411">
        <v>0</v>
      </c>
      <c r="K1411">
        <v>0</v>
      </c>
      <c r="L1411">
        <f t="shared" si="43"/>
        <v>0</v>
      </c>
    </row>
    <row r="1412" spans="1:12">
      <c r="A1412" t="s">
        <v>3491</v>
      </c>
      <c r="B1412" t="s">
        <v>3492</v>
      </c>
      <c r="C1412" t="s">
        <v>2820</v>
      </c>
      <c r="D1412" t="s">
        <v>2821</v>
      </c>
      <c r="E1412">
        <v>1</v>
      </c>
      <c r="F1412">
        <v>0</v>
      </c>
      <c r="G1412">
        <v>0</v>
      </c>
      <c r="H1412">
        <f t="shared" ref="H1412:H1475" si="44">SUM(E1412:G1412)</f>
        <v>1</v>
      </c>
      <c r="I1412">
        <v>0</v>
      </c>
      <c r="J1412">
        <v>0</v>
      </c>
      <c r="K1412">
        <v>0</v>
      </c>
      <c r="L1412">
        <f t="shared" ref="L1412:L1475" si="45">SUM(I1412:K1412)</f>
        <v>0</v>
      </c>
    </row>
    <row r="1413" spans="1:12">
      <c r="A1413" t="s">
        <v>3495</v>
      </c>
      <c r="B1413" t="s">
        <v>3496</v>
      </c>
      <c r="C1413" t="s">
        <v>2841</v>
      </c>
      <c r="D1413" t="s">
        <v>2842</v>
      </c>
      <c r="E1413">
        <v>0</v>
      </c>
      <c r="F1413">
        <v>0</v>
      </c>
      <c r="G1413">
        <v>0</v>
      </c>
      <c r="H1413">
        <f t="shared" si="44"/>
        <v>0</v>
      </c>
      <c r="I1413">
        <v>5</v>
      </c>
      <c r="J1413">
        <v>2</v>
      </c>
      <c r="K1413">
        <v>0</v>
      </c>
      <c r="L1413">
        <f t="shared" si="45"/>
        <v>7</v>
      </c>
    </row>
    <row r="1414" spans="1:12">
      <c r="A1414" t="s">
        <v>3495</v>
      </c>
      <c r="B1414" t="s">
        <v>3496</v>
      </c>
      <c r="C1414" t="s">
        <v>2826</v>
      </c>
      <c r="D1414" t="s">
        <v>2871</v>
      </c>
      <c r="E1414">
        <v>0</v>
      </c>
      <c r="F1414">
        <v>0</v>
      </c>
      <c r="G1414">
        <v>0</v>
      </c>
      <c r="H1414">
        <f t="shared" si="44"/>
        <v>0</v>
      </c>
      <c r="I1414">
        <v>0</v>
      </c>
      <c r="J1414">
        <v>1</v>
      </c>
      <c r="K1414">
        <v>0</v>
      </c>
      <c r="L1414">
        <f t="shared" si="45"/>
        <v>1</v>
      </c>
    </row>
    <row r="1415" spans="1:12">
      <c r="A1415" t="s">
        <v>3495</v>
      </c>
      <c r="B1415" t="s">
        <v>3496</v>
      </c>
      <c r="C1415" t="s">
        <v>2826</v>
      </c>
      <c r="D1415" t="s">
        <v>2905</v>
      </c>
      <c r="E1415">
        <v>0</v>
      </c>
      <c r="F1415">
        <v>0</v>
      </c>
      <c r="G1415">
        <v>0</v>
      </c>
      <c r="H1415">
        <f t="shared" si="44"/>
        <v>0</v>
      </c>
      <c r="I1415">
        <v>0</v>
      </c>
      <c r="J1415">
        <v>1</v>
      </c>
      <c r="K1415">
        <v>0</v>
      </c>
      <c r="L1415">
        <f t="shared" si="45"/>
        <v>1</v>
      </c>
    </row>
    <row r="1416" spans="1:12">
      <c r="A1416" t="s">
        <v>3495</v>
      </c>
      <c r="B1416" t="s">
        <v>3496</v>
      </c>
      <c r="C1416" t="s">
        <v>2826</v>
      </c>
      <c r="D1416" t="s">
        <v>2827</v>
      </c>
      <c r="E1416">
        <v>0</v>
      </c>
      <c r="F1416">
        <v>0</v>
      </c>
      <c r="G1416">
        <v>0</v>
      </c>
      <c r="H1416">
        <f t="shared" si="44"/>
        <v>0</v>
      </c>
      <c r="I1416">
        <v>0</v>
      </c>
      <c r="J1416">
        <v>1</v>
      </c>
      <c r="K1416">
        <v>0</v>
      </c>
      <c r="L1416">
        <f t="shared" si="45"/>
        <v>1</v>
      </c>
    </row>
    <row r="1417" spans="1:12">
      <c r="A1417" t="s">
        <v>3495</v>
      </c>
      <c r="B1417" t="s">
        <v>3496</v>
      </c>
      <c r="C1417" t="s">
        <v>2826</v>
      </c>
      <c r="D1417" t="s">
        <v>2843</v>
      </c>
      <c r="E1417">
        <v>0</v>
      </c>
      <c r="F1417">
        <v>0</v>
      </c>
      <c r="G1417">
        <v>0</v>
      </c>
      <c r="H1417">
        <f t="shared" si="44"/>
        <v>0</v>
      </c>
      <c r="I1417">
        <v>1</v>
      </c>
      <c r="J1417">
        <v>0</v>
      </c>
      <c r="K1417">
        <v>0</v>
      </c>
      <c r="L1417">
        <f t="shared" si="45"/>
        <v>1</v>
      </c>
    </row>
    <row r="1418" spans="1:12">
      <c r="A1418" t="s">
        <v>3495</v>
      </c>
      <c r="B1418" t="s">
        <v>3496</v>
      </c>
      <c r="C1418" t="s">
        <v>2826</v>
      </c>
      <c r="D1418" t="s">
        <v>2834</v>
      </c>
      <c r="E1418">
        <v>0</v>
      </c>
      <c r="F1418">
        <v>0</v>
      </c>
      <c r="G1418">
        <v>0</v>
      </c>
      <c r="H1418">
        <f t="shared" si="44"/>
        <v>0</v>
      </c>
      <c r="I1418">
        <v>1</v>
      </c>
      <c r="J1418">
        <v>0</v>
      </c>
      <c r="K1418">
        <v>0</v>
      </c>
      <c r="L1418">
        <f t="shared" si="45"/>
        <v>1</v>
      </c>
    </row>
    <row r="1419" spans="1:12">
      <c r="A1419" t="s">
        <v>3495</v>
      </c>
      <c r="B1419" t="s">
        <v>3496</v>
      </c>
      <c r="C1419" t="s">
        <v>2826</v>
      </c>
      <c r="D1419" t="s">
        <v>2886</v>
      </c>
      <c r="E1419">
        <v>0</v>
      </c>
      <c r="F1419">
        <v>0</v>
      </c>
      <c r="G1419">
        <v>0</v>
      </c>
      <c r="H1419">
        <f t="shared" si="44"/>
        <v>0</v>
      </c>
      <c r="I1419">
        <v>0</v>
      </c>
      <c r="J1419">
        <v>1</v>
      </c>
      <c r="K1419">
        <v>0</v>
      </c>
      <c r="L1419">
        <f t="shared" si="45"/>
        <v>1</v>
      </c>
    </row>
    <row r="1420" spans="1:12">
      <c r="A1420" t="s">
        <v>3495</v>
      </c>
      <c r="B1420" t="s">
        <v>3496</v>
      </c>
      <c r="C1420" t="s">
        <v>2826</v>
      </c>
      <c r="D1420" t="s">
        <v>2835</v>
      </c>
      <c r="E1420">
        <v>0</v>
      </c>
      <c r="F1420">
        <v>0</v>
      </c>
      <c r="G1420">
        <v>0</v>
      </c>
      <c r="H1420">
        <f t="shared" si="44"/>
        <v>0</v>
      </c>
      <c r="I1420">
        <v>1</v>
      </c>
      <c r="J1420">
        <v>0</v>
      </c>
      <c r="K1420">
        <v>0</v>
      </c>
      <c r="L1420">
        <f t="shared" si="45"/>
        <v>1</v>
      </c>
    </row>
    <row r="1421" spans="1:12">
      <c r="A1421" t="s">
        <v>3495</v>
      </c>
      <c r="B1421" t="s">
        <v>3496</v>
      </c>
      <c r="C1421" t="s">
        <v>2826</v>
      </c>
      <c r="D1421" t="s">
        <v>2849</v>
      </c>
      <c r="E1421">
        <v>0</v>
      </c>
      <c r="F1421">
        <v>0</v>
      </c>
      <c r="G1421">
        <v>0</v>
      </c>
      <c r="H1421">
        <f t="shared" si="44"/>
        <v>0</v>
      </c>
      <c r="I1421">
        <v>1</v>
      </c>
      <c r="J1421">
        <v>0</v>
      </c>
      <c r="K1421">
        <v>0</v>
      </c>
      <c r="L1421">
        <f t="shared" si="45"/>
        <v>1</v>
      </c>
    </row>
    <row r="1422" spans="1:12">
      <c r="A1422" t="s">
        <v>3495</v>
      </c>
      <c r="B1422" t="s">
        <v>3496</v>
      </c>
      <c r="C1422" t="s">
        <v>2826</v>
      </c>
      <c r="D1422" t="s">
        <v>2836</v>
      </c>
      <c r="E1422">
        <v>0</v>
      </c>
      <c r="F1422">
        <v>0</v>
      </c>
      <c r="G1422">
        <v>0</v>
      </c>
      <c r="H1422">
        <f t="shared" si="44"/>
        <v>0</v>
      </c>
      <c r="I1422">
        <v>0</v>
      </c>
      <c r="J1422">
        <v>1</v>
      </c>
      <c r="K1422">
        <v>0</v>
      </c>
      <c r="L1422">
        <f t="shared" si="45"/>
        <v>1</v>
      </c>
    </row>
    <row r="1423" spans="1:12">
      <c r="A1423" t="s">
        <v>3495</v>
      </c>
      <c r="B1423" t="s">
        <v>3496</v>
      </c>
      <c r="C1423" t="s">
        <v>2817</v>
      </c>
      <c r="D1423" t="s">
        <v>2887</v>
      </c>
      <c r="E1423">
        <v>0</v>
      </c>
      <c r="F1423">
        <v>0</v>
      </c>
      <c r="G1423">
        <v>0</v>
      </c>
      <c r="H1423">
        <f t="shared" si="44"/>
        <v>0</v>
      </c>
      <c r="I1423">
        <v>0</v>
      </c>
      <c r="J1423">
        <v>1</v>
      </c>
      <c r="K1423">
        <v>0</v>
      </c>
      <c r="L1423">
        <f t="shared" si="45"/>
        <v>1</v>
      </c>
    </row>
    <row r="1424" spans="1:12">
      <c r="A1424" t="s">
        <v>3501</v>
      </c>
      <c r="B1424" t="s">
        <v>1194</v>
      </c>
      <c r="C1424" t="s">
        <v>2805</v>
      </c>
      <c r="D1424" t="s">
        <v>2806</v>
      </c>
      <c r="E1424">
        <v>6</v>
      </c>
      <c r="F1424">
        <v>0</v>
      </c>
      <c r="G1424">
        <v>0</v>
      </c>
      <c r="H1424">
        <f t="shared" si="44"/>
        <v>6</v>
      </c>
      <c r="I1424">
        <v>0</v>
      </c>
      <c r="J1424">
        <v>0</v>
      </c>
      <c r="K1424">
        <v>0</v>
      </c>
      <c r="L1424">
        <f t="shared" si="45"/>
        <v>0</v>
      </c>
    </row>
    <row r="1425" spans="1:12">
      <c r="A1425" t="s">
        <v>3501</v>
      </c>
      <c r="B1425" t="s">
        <v>1194</v>
      </c>
      <c r="C1425" t="s">
        <v>2805</v>
      </c>
      <c r="D1425" t="s">
        <v>449</v>
      </c>
      <c r="E1425">
        <v>58</v>
      </c>
      <c r="F1425">
        <v>0</v>
      </c>
      <c r="G1425">
        <v>0</v>
      </c>
      <c r="H1425">
        <f t="shared" si="44"/>
        <v>58</v>
      </c>
      <c r="I1425">
        <v>0</v>
      </c>
      <c r="J1425">
        <v>0</v>
      </c>
      <c r="K1425">
        <v>0</v>
      </c>
      <c r="L1425">
        <f t="shared" si="45"/>
        <v>0</v>
      </c>
    </row>
    <row r="1426" spans="1:12">
      <c r="A1426" t="s">
        <v>3501</v>
      </c>
      <c r="B1426" t="s">
        <v>1194</v>
      </c>
      <c r="C1426" t="s">
        <v>2810</v>
      </c>
      <c r="D1426" t="s">
        <v>2811</v>
      </c>
      <c r="E1426">
        <v>1</v>
      </c>
      <c r="F1426">
        <v>0</v>
      </c>
      <c r="G1426">
        <v>0</v>
      </c>
      <c r="H1426">
        <f t="shared" si="44"/>
        <v>1</v>
      </c>
      <c r="I1426">
        <v>0</v>
      </c>
      <c r="J1426">
        <v>0</v>
      </c>
      <c r="K1426">
        <v>0</v>
      </c>
      <c r="L1426">
        <f t="shared" si="45"/>
        <v>0</v>
      </c>
    </row>
    <row r="1427" spans="1:12">
      <c r="A1427" t="s">
        <v>3501</v>
      </c>
      <c r="B1427" t="s">
        <v>1194</v>
      </c>
      <c r="C1427" t="s">
        <v>2810</v>
      </c>
      <c r="D1427" t="s">
        <v>2813</v>
      </c>
      <c r="E1427">
        <v>8</v>
      </c>
      <c r="F1427">
        <v>0</v>
      </c>
      <c r="G1427">
        <v>0</v>
      </c>
      <c r="H1427">
        <f t="shared" si="44"/>
        <v>8</v>
      </c>
      <c r="I1427">
        <v>0</v>
      </c>
      <c r="J1427">
        <v>0</v>
      </c>
      <c r="K1427">
        <v>0</v>
      </c>
      <c r="L1427">
        <f t="shared" si="45"/>
        <v>0</v>
      </c>
    </row>
    <row r="1428" spans="1:12">
      <c r="A1428" t="s">
        <v>3501</v>
      </c>
      <c r="B1428" t="s">
        <v>1194</v>
      </c>
      <c r="C1428" t="s">
        <v>2810</v>
      </c>
      <c r="D1428" t="s">
        <v>2814</v>
      </c>
      <c r="E1428">
        <v>1</v>
      </c>
      <c r="F1428">
        <v>0</v>
      </c>
      <c r="G1428">
        <v>0</v>
      </c>
      <c r="H1428">
        <f t="shared" si="44"/>
        <v>1</v>
      </c>
      <c r="I1428">
        <v>0</v>
      </c>
      <c r="J1428">
        <v>0</v>
      </c>
      <c r="K1428">
        <v>0</v>
      </c>
      <c r="L1428">
        <f t="shared" si="45"/>
        <v>0</v>
      </c>
    </row>
    <row r="1429" spans="1:12">
      <c r="A1429" t="s">
        <v>3501</v>
      </c>
      <c r="B1429" t="s">
        <v>1194</v>
      </c>
      <c r="C1429" t="s">
        <v>2810</v>
      </c>
      <c r="D1429" t="s">
        <v>2815</v>
      </c>
      <c r="E1429">
        <v>3</v>
      </c>
      <c r="F1429">
        <v>0</v>
      </c>
      <c r="G1429">
        <v>0</v>
      </c>
      <c r="H1429">
        <f t="shared" si="44"/>
        <v>3</v>
      </c>
      <c r="I1429">
        <v>0</v>
      </c>
      <c r="J1429">
        <v>0</v>
      </c>
      <c r="K1429">
        <v>0</v>
      </c>
      <c r="L1429">
        <f t="shared" si="45"/>
        <v>0</v>
      </c>
    </row>
    <row r="1430" spans="1:12">
      <c r="A1430" t="s">
        <v>3501</v>
      </c>
      <c r="B1430" t="s">
        <v>1194</v>
      </c>
      <c r="C1430" t="s">
        <v>2826</v>
      </c>
      <c r="D1430" t="s">
        <v>2827</v>
      </c>
      <c r="E1430">
        <v>0</v>
      </c>
      <c r="F1430">
        <v>0</v>
      </c>
      <c r="G1430">
        <v>0</v>
      </c>
      <c r="H1430">
        <f t="shared" si="44"/>
        <v>0</v>
      </c>
      <c r="I1430">
        <v>1</v>
      </c>
      <c r="J1430">
        <v>0</v>
      </c>
      <c r="K1430">
        <v>0</v>
      </c>
      <c r="L1430">
        <f t="shared" si="45"/>
        <v>1</v>
      </c>
    </row>
    <row r="1431" spans="1:12">
      <c r="A1431" t="s">
        <v>3501</v>
      </c>
      <c r="B1431" t="s">
        <v>1194</v>
      </c>
      <c r="C1431" t="s">
        <v>2826</v>
      </c>
      <c r="D1431" t="s">
        <v>2831</v>
      </c>
      <c r="E1431">
        <v>0</v>
      </c>
      <c r="F1431">
        <v>0</v>
      </c>
      <c r="G1431">
        <v>0</v>
      </c>
      <c r="H1431">
        <f t="shared" si="44"/>
        <v>0</v>
      </c>
      <c r="I1431">
        <v>2</v>
      </c>
      <c r="J1431">
        <v>0</v>
      </c>
      <c r="K1431">
        <v>0</v>
      </c>
      <c r="L1431">
        <f t="shared" si="45"/>
        <v>2</v>
      </c>
    </row>
    <row r="1432" spans="1:12">
      <c r="A1432" t="s">
        <v>3501</v>
      </c>
      <c r="B1432" t="s">
        <v>1194</v>
      </c>
      <c r="C1432" t="s">
        <v>2826</v>
      </c>
      <c r="D1432" t="s">
        <v>2843</v>
      </c>
      <c r="E1432">
        <v>0</v>
      </c>
      <c r="F1432">
        <v>0</v>
      </c>
      <c r="G1432">
        <v>0</v>
      </c>
      <c r="H1432">
        <f t="shared" si="44"/>
        <v>0</v>
      </c>
      <c r="I1432">
        <v>3</v>
      </c>
      <c r="J1432">
        <v>0</v>
      </c>
      <c r="K1432">
        <v>0</v>
      </c>
      <c r="L1432">
        <f t="shared" si="45"/>
        <v>3</v>
      </c>
    </row>
    <row r="1433" spans="1:12">
      <c r="A1433" t="s">
        <v>3501</v>
      </c>
      <c r="B1433" t="s">
        <v>1194</v>
      </c>
      <c r="C1433" t="s">
        <v>2826</v>
      </c>
      <c r="D1433" t="s">
        <v>2884</v>
      </c>
      <c r="E1433">
        <v>0</v>
      </c>
      <c r="F1433">
        <v>0</v>
      </c>
      <c r="G1433">
        <v>0</v>
      </c>
      <c r="H1433">
        <f t="shared" si="44"/>
        <v>0</v>
      </c>
      <c r="I1433">
        <v>2</v>
      </c>
      <c r="J1433">
        <v>0</v>
      </c>
      <c r="K1433">
        <v>0</v>
      </c>
      <c r="L1433">
        <f t="shared" si="45"/>
        <v>2</v>
      </c>
    </row>
    <row r="1434" spans="1:12">
      <c r="A1434" t="s">
        <v>3501</v>
      </c>
      <c r="B1434" t="s">
        <v>1194</v>
      </c>
      <c r="C1434" t="s">
        <v>2826</v>
      </c>
      <c r="D1434" t="s">
        <v>2907</v>
      </c>
      <c r="E1434">
        <v>0</v>
      </c>
      <c r="F1434">
        <v>0</v>
      </c>
      <c r="G1434">
        <v>0</v>
      </c>
      <c r="H1434">
        <f t="shared" si="44"/>
        <v>0</v>
      </c>
      <c r="I1434">
        <v>1</v>
      </c>
      <c r="J1434">
        <v>0</v>
      </c>
      <c r="K1434">
        <v>0</v>
      </c>
      <c r="L1434">
        <f t="shared" si="45"/>
        <v>1</v>
      </c>
    </row>
    <row r="1435" spans="1:12">
      <c r="A1435" t="s">
        <v>3501</v>
      </c>
      <c r="B1435" t="s">
        <v>1194</v>
      </c>
      <c r="C1435" t="s">
        <v>2817</v>
      </c>
      <c r="D1435" t="s">
        <v>2837</v>
      </c>
      <c r="E1435">
        <v>63</v>
      </c>
      <c r="F1435">
        <v>0</v>
      </c>
      <c r="G1435">
        <v>0</v>
      </c>
      <c r="H1435">
        <f t="shared" si="44"/>
        <v>63</v>
      </c>
      <c r="I1435">
        <v>1</v>
      </c>
      <c r="J1435">
        <v>0</v>
      </c>
      <c r="K1435">
        <v>0</v>
      </c>
      <c r="L1435">
        <f t="shared" si="45"/>
        <v>1</v>
      </c>
    </row>
    <row r="1436" spans="1:12">
      <c r="A1436" t="s">
        <v>3510</v>
      </c>
      <c r="B1436" t="s">
        <v>1197</v>
      </c>
      <c r="C1436" t="s">
        <v>2805</v>
      </c>
      <c r="D1436" t="s">
        <v>449</v>
      </c>
      <c r="E1436">
        <v>5</v>
      </c>
      <c r="F1436">
        <v>0</v>
      </c>
      <c r="G1436">
        <v>0</v>
      </c>
      <c r="H1436">
        <f t="shared" si="44"/>
        <v>5</v>
      </c>
      <c r="I1436">
        <v>0</v>
      </c>
      <c r="J1436">
        <v>0</v>
      </c>
      <c r="K1436">
        <v>0</v>
      </c>
      <c r="L1436">
        <f t="shared" si="45"/>
        <v>0</v>
      </c>
    </row>
    <row r="1437" spans="1:12">
      <c r="A1437" t="s">
        <v>3510</v>
      </c>
      <c r="B1437" t="s">
        <v>1197</v>
      </c>
      <c r="C1437" t="s">
        <v>2805</v>
      </c>
      <c r="D1437" t="s">
        <v>2807</v>
      </c>
      <c r="E1437">
        <v>5</v>
      </c>
      <c r="F1437">
        <v>0</v>
      </c>
      <c r="G1437">
        <v>0</v>
      </c>
      <c r="H1437">
        <f t="shared" si="44"/>
        <v>5</v>
      </c>
      <c r="I1437">
        <v>0</v>
      </c>
      <c r="J1437">
        <v>0</v>
      </c>
      <c r="K1437">
        <v>0</v>
      </c>
      <c r="L1437">
        <f t="shared" si="45"/>
        <v>0</v>
      </c>
    </row>
    <row r="1438" spans="1:12">
      <c r="A1438" t="s">
        <v>3511</v>
      </c>
      <c r="B1438" t="s">
        <v>345</v>
      </c>
      <c r="C1438" t="s">
        <v>2810</v>
      </c>
      <c r="D1438" t="s">
        <v>2815</v>
      </c>
      <c r="E1438">
        <v>1</v>
      </c>
      <c r="F1438">
        <v>0</v>
      </c>
      <c r="G1438">
        <v>0</v>
      </c>
      <c r="H1438">
        <f t="shared" si="44"/>
        <v>1</v>
      </c>
      <c r="I1438">
        <v>0</v>
      </c>
      <c r="J1438">
        <v>0</v>
      </c>
      <c r="K1438">
        <v>0</v>
      </c>
      <c r="L1438">
        <f t="shared" si="45"/>
        <v>0</v>
      </c>
    </row>
    <row r="1439" spans="1:12">
      <c r="A1439" t="s">
        <v>3511</v>
      </c>
      <c r="B1439" t="s">
        <v>345</v>
      </c>
      <c r="C1439" t="s">
        <v>2841</v>
      </c>
      <c r="D1439" t="s">
        <v>3117</v>
      </c>
      <c r="E1439">
        <v>0</v>
      </c>
      <c r="F1439">
        <v>0</v>
      </c>
      <c r="G1439">
        <v>0</v>
      </c>
      <c r="H1439">
        <f t="shared" si="44"/>
        <v>0</v>
      </c>
      <c r="I1439">
        <v>2</v>
      </c>
      <c r="J1439">
        <v>0</v>
      </c>
      <c r="K1439">
        <v>0</v>
      </c>
      <c r="L1439">
        <f t="shared" si="45"/>
        <v>2</v>
      </c>
    </row>
    <row r="1440" spans="1:12">
      <c r="A1440" t="s">
        <v>3511</v>
      </c>
      <c r="B1440" t="s">
        <v>345</v>
      </c>
      <c r="C1440" t="s">
        <v>2841</v>
      </c>
      <c r="D1440" t="s">
        <v>2842</v>
      </c>
      <c r="E1440">
        <v>0</v>
      </c>
      <c r="F1440">
        <v>0</v>
      </c>
      <c r="G1440">
        <v>0</v>
      </c>
      <c r="H1440">
        <f t="shared" si="44"/>
        <v>0</v>
      </c>
      <c r="I1440">
        <v>10</v>
      </c>
      <c r="J1440">
        <v>6</v>
      </c>
      <c r="K1440">
        <v>0</v>
      </c>
      <c r="L1440">
        <f t="shared" si="45"/>
        <v>16</v>
      </c>
    </row>
    <row r="1441" spans="1:12">
      <c r="A1441" t="s">
        <v>3511</v>
      </c>
      <c r="B1441" t="s">
        <v>345</v>
      </c>
      <c r="C1441" t="s">
        <v>2826</v>
      </c>
      <c r="D1441" t="s">
        <v>2871</v>
      </c>
      <c r="E1441">
        <v>0</v>
      </c>
      <c r="F1441">
        <v>0</v>
      </c>
      <c r="G1441">
        <v>0</v>
      </c>
      <c r="H1441">
        <f t="shared" si="44"/>
        <v>0</v>
      </c>
      <c r="I1441">
        <v>5</v>
      </c>
      <c r="J1441">
        <v>0</v>
      </c>
      <c r="K1441">
        <v>0</v>
      </c>
      <c r="L1441">
        <f t="shared" si="45"/>
        <v>5</v>
      </c>
    </row>
    <row r="1442" spans="1:12">
      <c r="A1442" t="s">
        <v>3511</v>
      </c>
      <c r="B1442" t="s">
        <v>345</v>
      </c>
      <c r="C1442" t="s">
        <v>2826</v>
      </c>
      <c r="D1442" t="s">
        <v>2905</v>
      </c>
      <c r="E1442">
        <v>0</v>
      </c>
      <c r="F1442">
        <v>0</v>
      </c>
      <c r="G1442">
        <v>0</v>
      </c>
      <c r="H1442">
        <f t="shared" si="44"/>
        <v>0</v>
      </c>
      <c r="I1442">
        <v>6</v>
      </c>
      <c r="J1442">
        <v>4</v>
      </c>
      <c r="K1442">
        <v>0</v>
      </c>
      <c r="L1442">
        <f t="shared" si="45"/>
        <v>10</v>
      </c>
    </row>
    <row r="1443" spans="1:12">
      <c r="A1443" t="s">
        <v>3511</v>
      </c>
      <c r="B1443" t="s">
        <v>345</v>
      </c>
      <c r="C1443" t="s">
        <v>2826</v>
      </c>
      <c r="D1443" t="s">
        <v>2827</v>
      </c>
      <c r="E1443">
        <v>0</v>
      </c>
      <c r="F1443">
        <v>0</v>
      </c>
      <c r="G1443">
        <v>0</v>
      </c>
      <c r="H1443">
        <f t="shared" si="44"/>
        <v>0</v>
      </c>
      <c r="I1443">
        <v>5</v>
      </c>
      <c r="J1443">
        <v>1</v>
      </c>
      <c r="K1443">
        <v>0</v>
      </c>
      <c r="L1443">
        <f t="shared" si="45"/>
        <v>6</v>
      </c>
    </row>
    <row r="1444" spans="1:12">
      <c r="A1444" t="s">
        <v>3511</v>
      </c>
      <c r="B1444" t="s">
        <v>345</v>
      </c>
      <c r="C1444" t="s">
        <v>2826</v>
      </c>
      <c r="D1444" t="s">
        <v>2828</v>
      </c>
      <c r="E1444">
        <v>0</v>
      </c>
      <c r="F1444">
        <v>0</v>
      </c>
      <c r="G1444">
        <v>0</v>
      </c>
      <c r="H1444">
        <f t="shared" si="44"/>
        <v>0</v>
      </c>
      <c r="I1444">
        <v>4</v>
      </c>
      <c r="J1444">
        <v>2</v>
      </c>
      <c r="K1444">
        <v>0</v>
      </c>
      <c r="L1444">
        <f t="shared" si="45"/>
        <v>6</v>
      </c>
    </row>
    <row r="1445" spans="1:12">
      <c r="A1445" t="s">
        <v>3511</v>
      </c>
      <c r="B1445" t="s">
        <v>345</v>
      </c>
      <c r="C1445" t="s">
        <v>2826</v>
      </c>
      <c r="D1445" t="s">
        <v>2829</v>
      </c>
      <c r="E1445">
        <v>0</v>
      </c>
      <c r="F1445">
        <v>0</v>
      </c>
      <c r="G1445">
        <v>0</v>
      </c>
      <c r="H1445">
        <f t="shared" si="44"/>
        <v>0</v>
      </c>
      <c r="I1445">
        <v>6</v>
      </c>
      <c r="J1445">
        <v>2</v>
      </c>
      <c r="K1445">
        <v>0</v>
      </c>
      <c r="L1445">
        <f t="shared" si="45"/>
        <v>8</v>
      </c>
    </row>
    <row r="1446" spans="1:12">
      <c r="A1446" t="s">
        <v>3511</v>
      </c>
      <c r="B1446" t="s">
        <v>345</v>
      </c>
      <c r="C1446" t="s">
        <v>2826</v>
      </c>
      <c r="D1446" t="s">
        <v>2891</v>
      </c>
      <c r="E1446">
        <v>0</v>
      </c>
      <c r="F1446">
        <v>0</v>
      </c>
      <c r="G1446">
        <v>0</v>
      </c>
      <c r="H1446">
        <f t="shared" si="44"/>
        <v>0</v>
      </c>
      <c r="I1446">
        <v>3</v>
      </c>
      <c r="J1446">
        <v>2</v>
      </c>
      <c r="K1446">
        <v>0</v>
      </c>
      <c r="L1446">
        <f t="shared" si="45"/>
        <v>5</v>
      </c>
    </row>
    <row r="1447" spans="1:12">
      <c r="A1447" t="s">
        <v>3511</v>
      </c>
      <c r="B1447" t="s">
        <v>345</v>
      </c>
      <c r="C1447" t="s">
        <v>2826</v>
      </c>
      <c r="D1447" t="s">
        <v>2830</v>
      </c>
      <c r="E1447">
        <v>0</v>
      </c>
      <c r="F1447">
        <v>0</v>
      </c>
      <c r="G1447">
        <v>0</v>
      </c>
      <c r="H1447">
        <f t="shared" si="44"/>
        <v>0</v>
      </c>
      <c r="I1447">
        <v>5</v>
      </c>
      <c r="J1447">
        <v>0</v>
      </c>
      <c r="K1447">
        <v>0</v>
      </c>
      <c r="L1447">
        <f t="shared" si="45"/>
        <v>5</v>
      </c>
    </row>
    <row r="1448" spans="1:12">
      <c r="A1448" t="s">
        <v>3511</v>
      </c>
      <c r="B1448" t="s">
        <v>345</v>
      </c>
      <c r="C1448" t="s">
        <v>2826</v>
      </c>
      <c r="D1448" t="s">
        <v>2864</v>
      </c>
      <c r="E1448">
        <v>0</v>
      </c>
      <c r="F1448">
        <v>0</v>
      </c>
      <c r="G1448">
        <v>0</v>
      </c>
      <c r="H1448">
        <f t="shared" si="44"/>
        <v>0</v>
      </c>
      <c r="I1448">
        <v>4</v>
      </c>
      <c r="J1448">
        <v>4</v>
      </c>
      <c r="K1448">
        <v>0</v>
      </c>
      <c r="L1448">
        <f t="shared" si="45"/>
        <v>8</v>
      </c>
    </row>
    <row r="1449" spans="1:12">
      <c r="A1449" t="s">
        <v>3511</v>
      </c>
      <c r="B1449" t="s">
        <v>345</v>
      </c>
      <c r="C1449" t="s">
        <v>2826</v>
      </c>
      <c r="D1449" t="s">
        <v>2831</v>
      </c>
      <c r="E1449">
        <v>0</v>
      </c>
      <c r="F1449">
        <v>0</v>
      </c>
      <c r="G1449">
        <v>0</v>
      </c>
      <c r="H1449">
        <f t="shared" si="44"/>
        <v>0</v>
      </c>
      <c r="I1449">
        <v>4</v>
      </c>
      <c r="J1449">
        <v>1</v>
      </c>
      <c r="K1449">
        <v>0</v>
      </c>
      <c r="L1449">
        <f t="shared" si="45"/>
        <v>5</v>
      </c>
    </row>
    <row r="1450" spans="1:12">
      <c r="A1450" t="s">
        <v>3511</v>
      </c>
      <c r="B1450" t="s">
        <v>345</v>
      </c>
      <c r="C1450" t="s">
        <v>2826</v>
      </c>
      <c r="D1450" t="s">
        <v>2843</v>
      </c>
      <c r="E1450">
        <v>0</v>
      </c>
      <c r="F1450">
        <v>0</v>
      </c>
      <c r="G1450">
        <v>0</v>
      </c>
      <c r="H1450">
        <f t="shared" si="44"/>
        <v>0</v>
      </c>
      <c r="I1450">
        <v>8</v>
      </c>
      <c r="J1450">
        <v>3</v>
      </c>
      <c r="K1450">
        <v>0</v>
      </c>
      <c r="L1450">
        <f t="shared" si="45"/>
        <v>11</v>
      </c>
    </row>
    <row r="1451" spans="1:12">
      <c r="A1451" t="s">
        <v>3511</v>
      </c>
      <c r="B1451" t="s">
        <v>345</v>
      </c>
      <c r="C1451" t="s">
        <v>2826</v>
      </c>
      <c r="D1451" t="s">
        <v>2884</v>
      </c>
      <c r="E1451">
        <v>0</v>
      </c>
      <c r="F1451">
        <v>0</v>
      </c>
      <c r="G1451">
        <v>0</v>
      </c>
      <c r="H1451">
        <f t="shared" si="44"/>
        <v>0</v>
      </c>
      <c r="I1451">
        <v>4</v>
      </c>
      <c r="J1451">
        <v>5</v>
      </c>
      <c r="K1451">
        <v>0</v>
      </c>
      <c r="L1451">
        <f t="shared" si="45"/>
        <v>9</v>
      </c>
    </row>
    <row r="1452" spans="1:12">
      <c r="A1452" t="s">
        <v>3511</v>
      </c>
      <c r="B1452" t="s">
        <v>345</v>
      </c>
      <c r="C1452" t="s">
        <v>2826</v>
      </c>
      <c r="D1452" t="s">
        <v>2885</v>
      </c>
      <c r="E1452">
        <v>0</v>
      </c>
      <c r="F1452">
        <v>0</v>
      </c>
      <c r="G1452">
        <v>0</v>
      </c>
      <c r="H1452">
        <f t="shared" si="44"/>
        <v>0</v>
      </c>
      <c r="I1452">
        <v>5</v>
      </c>
      <c r="J1452">
        <v>0</v>
      </c>
      <c r="K1452">
        <v>0</v>
      </c>
      <c r="L1452">
        <f t="shared" si="45"/>
        <v>5</v>
      </c>
    </row>
    <row r="1453" spans="1:12">
      <c r="A1453" t="s">
        <v>3511</v>
      </c>
      <c r="B1453" t="s">
        <v>345</v>
      </c>
      <c r="C1453" t="s">
        <v>2826</v>
      </c>
      <c r="D1453" t="s">
        <v>2832</v>
      </c>
      <c r="E1453">
        <v>0</v>
      </c>
      <c r="F1453">
        <v>0</v>
      </c>
      <c r="G1453">
        <v>0</v>
      </c>
      <c r="H1453">
        <f t="shared" si="44"/>
        <v>0</v>
      </c>
      <c r="I1453">
        <v>7</v>
      </c>
      <c r="J1453">
        <v>3</v>
      </c>
      <c r="K1453">
        <v>0</v>
      </c>
      <c r="L1453">
        <f t="shared" si="45"/>
        <v>10</v>
      </c>
    </row>
    <row r="1454" spans="1:12">
      <c r="A1454" t="s">
        <v>3511</v>
      </c>
      <c r="B1454" t="s">
        <v>345</v>
      </c>
      <c r="C1454" t="s">
        <v>2826</v>
      </c>
      <c r="D1454" t="s">
        <v>2833</v>
      </c>
      <c r="E1454">
        <v>0</v>
      </c>
      <c r="F1454">
        <v>0</v>
      </c>
      <c r="G1454">
        <v>0</v>
      </c>
      <c r="H1454">
        <f t="shared" si="44"/>
        <v>0</v>
      </c>
      <c r="I1454">
        <v>0</v>
      </c>
      <c r="J1454">
        <v>1</v>
      </c>
      <c r="K1454">
        <v>0</v>
      </c>
      <c r="L1454">
        <f t="shared" si="45"/>
        <v>1</v>
      </c>
    </row>
    <row r="1455" spans="1:12">
      <c r="A1455" t="s">
        <v>3511</v>
      </c>
      <c r="B1455" t="s">
        <v>345</v>
      </c>
      <c r="C1455" t="s">
        <v>2826</v>
      </c>
      <c r="D1455" t="s">
        <v>2834</v>
      </c>
      <c r="E1455">
        <v>0</v>
      </c>
      <c r="F1455">
        <v>0</v>
      </c>
      <c r="G1455">
        <v>0</v>
      </c>
      <c r="H1455">
        <f t="shared" si="44"/>
        <v>0</v>
      </c>
      <c r="I1455">
        <v>8</v>
      </c>
      <c r="J1455">
        <v>4</v>
      </c>
      <c r="K1455">
        <v>0</v>
      </c>
      <c r="L1455">
        <f t="shared" si="45"/>
        <v>12</v>
      </c>
    </row>
    <row r="1456" spans="1:12">
      <c r="A1456" t="s">
        <v>3511</v>
      </c>
      <c r="B1456" t="s">
        <v>345</v>
      </c>
      <c r="C1456" t="s">
        <v>2826</v>
      </c>
      <c r="D1456" t="s">
        <v>2844</v>
      </c>
      <c r="E1456">
        <v>0</v>
      </c>
      <c r="F1456">
        <v>0</v>
      </c>
      <c r="G1456">
        <v>0</v>
      </c>
      <c r="H1456">
        <f t="shared" si="44"/>
        <v>0</v>
      </c>
      <c r="I1456">
        <v>5</v>
      </c>
      <c r="J1456">
        <v>4</v>
      </c>
      <c r="K1456">
        <v>0</v>
      </c>
      <c r="L1456">
        <f t="shared" si="45"/>
        <v>9</v>
      </c>
    </row>
    <row r="1457" spans="1:12">
      <c r="A1457" t="s">
        <v>3511</v>
      </c>
      <c r="B1457" t="s">
        <v>345</v>
      </c>
      <c r="C1457" t="s">
        <v>2826</v>
      </c>
      <c r="D1457" t="s">
        <v>2916</v>
      </c>
      <c r="E1457">
        <v>0</v>
      </c>
      <c r="F1457">
        <v>0</v>
      </c>
      <c r="G1457">
        <v>0</v>
      </c>
      <c r="H1457">
        <f t="shared" si="44"/>
        <v>0</v>
      </c>
      <c r="I1457">
        <v>3</v>
      </c>
      <c r="J1457">
        <v>2</v>
      </c>
      <c r="K1457">
        <v>0</v>
      </c>
      <c r="L1457">
        <f t="shared" si="45"/>
        <v>5</v>
      </c>
    </row>
    <row r="1458" spans="1:12">
      <c r="A1458" t="s">
        <v>3511</v>
      </c>
      <c r="B1458" t="s">
        <v>345</v>
      </c>
      <c r="C1458" t="s">
        <v>2826</v>
      </c>
      <c r="D1458" t="s">
        <v>2835</v>
      </c>
      <c r="E1458">
        <v>0</v>
      </c>
      <c r="F1458">
        <v>0</v>
      </c>
      <c r="G1458">
        <v>0</v>
      </c>
      <c r="H1458">
        <f t="shared" si="44"/>
        <v>0</v>
      </c>
      <c r="I1458">
        <v>4</v>
      </c>
      <c r="J1458">
        <v>1</v>
      </c>
      <c r="K1458">
        <v>0</v>
      </c>
      <c r="L1458">
        <f t="shared" si="45"/>
        <v>5</v>
      </c>
    </row>
    <row r="1459" spans="1:12">
      <c r="A1459" t="s">
        <v>3511</v>
      </c>
      <c r="B1459" t="s">
        <v>345</v>
      </c>
      <c r="C1459" t="s">
        <v>2826</v>
      </c>
      <c r="D1459" t="s">
        <v>2917</v>
      </c>
      <c r="E1459">
        <v>0</v>
      </c>
      <c r="F1459">
        <v>0</v>
      </c>
      <c r="G1459">
        <v>0</v>
      </c>
      <c r="H1459">
        <f t="shared" si="44"/>
        <v>0</v>
      </c>
      <c r="I1459">
        <v>0</v>
      </c>
      <c r="J1459">
        <v>3</v>
      </c>
      <c r="K1459">
        <v>0</v>
      </c>
      <c r="L1459">
        <f t="shared" si="45"/>
        <v>3</v>
      </c>
    </row>
    <row r="1460" spans="1:12">
      <c r="A1460" t="s">
        <v>3511</v>
      </c>
      <c r="B1460" t="s">
        <v>345</v>
      </c>
      <c r="C1460" t="s">
        <v>2826</v>
      </c>
      <c r="D1460" t="s">
        <v>2849</v>
      </c>
      <c r="E1460">
        <v>0</v>
      </c>
      <c r="F1460">
        <v>0</v>
      </c>
      <c r="G1460">
        <v>0</v>
      </c>
      <c r="H1460">
        <f t="shared" si="44"/>
        <v>0</v>
      </c>
      <c r="I1460">
        <v>4</v>
      </c>
      <c r="J1460">
        <v>4</v>
      </c>
      <c r="K1460">
        <v>0</v>
      </c>
      <c r="L1460">
        <f t="shared" si="45"/>
        <v>8</v>
      </c>
    </row>
    <row r="1461" spans="1:12">
      <c r="A1461" t="s">
        <v>3511</v>
      </c>
      <c r="B1461" t="s">
        <v>345</v>
      </c>
      <c r="C1461" t="s">
        <v>2826</v>
      </c>
      <c r="D1461" t="s">
        <v>2836</v>
      </c>
      <c r="E1461">
        <v>0</v>
      </c>
      <c r="F1461">
        <v>0</v>
      </c>
      <c r="G1461">
        <v>0</v>
      </c>
      <c r="H1461">
        <f t="shared" si="44"/>
        <v>0</v>
      </c>
      <c r="I1461">
        <v>5</v>
      </c>
      <c r="J1461">
        <v>5</v>
      </c>
      <c r="K1461">
        <v>0</v>
      </c>
      <c r="L1461">
        <f t="shared" si="45"/>
        <v>10</v>
      </c>
    </row>
    <row r="1462" spans="1:12">
      <c r="A1462" t="s">
        <v>3511</v>
      </c>
      <c r="B1462" t="s">
        <v>345</v>
      </c>
      <c r="C1462" t="s">
        <v>2817</v>
      </c>
      <c r="D1462" t="s">
        <v>2887</v>
      </c>
      <c r="E1462">
        <v>0</v>
      </c>
      <c r="F1462">
        <v>0</v>
      </c>
      <c r="G1462">
        <v>0</v>
      </c>
      <c r="H1462">
        <f t="shared" si="44"/>
        <v>0</v>
      </c>
      <c r="I1462">
        <v>1</v>
      </c>
      <c r="J1462">
        <v>1</v>
      </c>
      <c r="K1462">
        <v>0</v>
      </c>
      <c r="L1462">
        <f t="shared" si="45"/>
        <v>2</v>
      </c>
    </row>
    <row r="1463" spans="1:12">
      <c r="A1463" t="s">
        <v>3511</v>
      </c>
      <c r="B1463" t="s">
        <v>345</v>
      </c>
      <c r="C1463" t="s">
        <v>2820</v>
      </c>
      <c r="D1463" t="s">
        <v>2952</v>
      </c>
      <c r="E1463">
        <v>0</v>
      </c>
      <c r="F1463">
        <v>0</v>
      </c>
      <c r="G1463">
        <v>0</v>
      </c>
      <c r="H1463">
        <f t="shared" si="44"/>
        <v>0</v>
      </c>
      <c r="I1463">
        <v>10</v>
      </c>
      <c r="J1463">
        <v>0</v>
      </c>
      <c r="K1463">
        <v>0</v>
      </c>
      <c r="L1463">
        <f t="shared" si="45"/>
        <v>10</v>
      </c>
    </row>
    <row r="1464" spans="1:12">
      <c r="A1464" t="s">
        <v>3511</v>
      </c>
      <c r="B1464" t="s">
        <v>345</v>
      </c>
      <c r="C1464" t="s">
        <v>2820</v>
      </c>
      <c r="D1464" t="s">
        <v>2821</v>
      </c>
      <c r="E1464">
        <v>0</v>
      </c>
      <c r="F1464">
        <v>0</v>
      </c>
      <c r="G1464">
        <v>0</v>
      </c>
      <c r="H1464">
        <f t="shared" si="44"/>
        <v>0</v>
      </c>
      <c r="I1464">
        <v>1</v>
      </c>
      <c r="J1464">
        <v>0</v>
      </c>
      <c r="K1464">
        <v>0</v>
      </c>
      <c r="L1464">
        <f t="shared" si="45"/>
        <v>1</v>
      </c>
    </row>
    <row r="1465" spans="1:12">
      <c r="A1465" t="s">
        <v>3511</v>
      </c>
      <c r="B1465" t="s">
        <v>345</v>
      </c>
      <c r="C1465" t="s">
        <v>2820</v>
      </c>
      <c r="D1465" t="s">
        <v>2949</v>
      </c>
      <c r="E1465">
        <v>0</v>
      </c>
      <c r="F1465">
        <v>0</v>
      </c>
      <c r="G1465">
        <v>0</v>
      </c>
      <c r="H1465">
        <f t="shared" si="44"/>
        <v>0</v>
      </c>
      <c r="I1465">
        <v>0</v>
      </c>
      <c r="J1465">
        <v>4</v>
      </c>
      <c r="K1465">
        <v>0</v>
      </c>
      <c r="L1465">
        <f t="shared" si="45"/>
        <v>4</v>
      </c>
    </row>
    <row r="1466" spans="1:12">
      <c r="A1466" t="s">
        <v>3512</v>
      </c>
      <c r="B1466" t="s">
        <v>1204</v>
      </c>
      <c r="C1466" t="s">
        <v>2805</v>
      </c>
      <c r="D1466" t="s">
        <v>2806</v>
      </c>
      <c r="E1466">
        <v>40</v>
      </c>
      <c r="F1466">
        <v>0</v>
      </c>
      <c r="G1466">
        <v>0</v>
      </c>
      <c r="H1466">
        <f t="shared" si="44"/>
        <v>40</v>
      </c>
      <c r="I1466">
        <v>0</v>
      </c>
      <c r="J1466">
        <v>0</v>
      </c>
      <c r="K1466">
        <v>0</v>
      </c>
      <c r="L1466">
        <f t="shared" si="45"/>
        <v>0</v>
      </c>
    </row>
    <row r="1467" spans="1:12">
      <c r="A1467" t="s">
        <v>3512</v>
      </c>
      <c r="B1467" t="s">
        <v>1204</v>
      </c>
      <c r="C1467" t="s">
        <v>2805</v>
      </c>
      <c r="D1467" t="s">
        <v>449</v>
      </c>
      <c r="E1467">
        <v>179</v>
      </c>
      <c r="F1467">
        <v>0</v>
      </c>
      <c r="G1467">
        <v>0</v>
      </c>
      <c r="H1467">
        <f t="shared" si="44"/>
        <v>179</v>
      </c>
      <c r="I1467">
        <v>0</v>
      </c>
      <c r="J1467">
        <v>0</v>
      </c>
      <c r="K1467">
        <v>0</v>
      </c>
      <c r="L1467">
        <f t="shared" si="45"/>
        <v>0</v>
      </c>
    </row>
    <row r="1468" spans="1:12">
      <c r="A1468" t="s">
        <v>3512</v>
      </c>
      <c r="B1468" t="s">
        <v>1204</v>
      </c>
      <c r="C1468" t="s">
        <v>2805</v>
      </c>
      <c r="D1468" t="s">
        <v>2807</v>
      </c>
      <c r="E1468">
        <v>47</v>
      </c>
      <c r="F1468">
        <v>0</v>
      </c>
      <c r="G1468">
        <v>0</v>
      </c>
      <c r="H1468">
        <f t="shared" si="44"/>
        <v>47</v>
      </c>
      <c r="I1468">
        <v>0</v>
      </c>
      <c r="J1468">
        <v>0</v>
      </c>
      <c r="K1468">
        <v>0</v>
      </c>
      <c r="L1468">
        <f t="shared" si="45"/>
        <v>0</v>
      </c>
    </row>
    <row r="1469" spans="1:12">
      <c r="A1469" t="s">
        <v>3512</v>
      </c>
      <c r="B1469" t="s">
        <v>1204</v>
      </c>
      <c r="C1469" t="s">
        <v>2810</v>
      </c>
      <c r="D1469" t="s">
        <v>2813</v>
      </c>
      <c r="E1469">
        <v>6</v>
      </c>
      <c r="F1469">
        <v>0</v>
      </c>
      <c r="G1469">
        <v>0</v>
      </c>
      <c r="H1469">
        <f t="shared" si="44"/>
        <v>6</v>
      </c>
      <c r="I1469">
        <v>0</v>
      </c>
      <c r="J1469">
        <v>0</v>
      </c>
      <c r="K1469">
        <v>0</v>
      </c>
      <c r="L1469">
        <f t="shared" si="45"/>
        <v>0</v>
      </c>
    </row>
    <row r="1470" spans="1:12">
      <c r="A1470" t="s">
        <v>3512</v>
      </c>
      <c r="B1470" t="s">
        <v>1204</v>
      </c>
      <c r="C1470" t="s">
        <v>2810</v>
      </c>
      <c r="D1470" t="s">
        <v>2814</v>
      </c>
      <c r="E1470">
        <v>22</v>
      </c>
      <c r="F1470">
        <v>0</v>
      </c>
      <c r="G1470">
        <v>0</v>
      </c>
      <c r="H1470">
        <f t="shared" si="44"/>
        <v>22</v>
      </c>
      <c r="I1470">
        <v>0</v>
      </c>
      <c r="J1470">
        <v>0</v>
      </c>
      <c r="K1470">
        <v>0</v>
      </c>
      <c r="L1470">
        <f t="shared" si="45"/>
        <v>0</v>
      </c>
    </row>
    <row r="1471" spans="1:12">
      <c r="A1471" t="s">
        <v>3512</v>
      </c>
      <c r="B1471" t="s">
        <v>1204</v>
      </c>
      <c r="C1471" t="s">
        <v>2816</v>
      </c>
      <c r="D1471" t="s">
        <v>1897</v>
      </c>
      <c r="E1471">
        <v>77</v>
      </c>
      <c r="F1471">
        <v>0</v>
      </c>
      <c r="G1471">
        <v>0</v>
      </c>
      <c r="H1471">
        <f t="shared" si="44"/>
        <v>77</v>
      </c>
      <c r="I1471">
        <v>0</v>
      </c>
      <c r="J1471">
        <v>0</v>
      </c>
      <c r="K1471">
        <v>0</v>
      </c>
      <c r="L1471">
        <f t="shared" si="45"/>
        <v>0</v>
      </c>
    </row>
    <row r="1472" spans="1:12">
      <c r="A1472" t="s">
        <v>3512</v>
      </c>
      <c r="B1472" t="s">
        <v>1204</v>
      </c>
      <c r="C1472" t="s">
        <v>2826</v>
      </c>
      <c r="D1472" t="s">
        <v>2843</v>
      </c>
      <c r="E1472">
        <v>6</v>
      </c>
      <c r="F1472">
        <v>0</v>
      </c>
      <c r="G1472">
        <v>0</v>
      </c>
      <c r="H1472">
        <f t="shared" si="44"/>
        <v>6</v>
      </c>
      <c r="I1472">
        <v>0</v>
      </c>
      <c r="J1472">
        <v>0</v>
      </c>
      <c r="K1472">
        <v>0</v>
      </c>
      <c r="L1472">
        <f t="shared" si="45"/>
        <v>0</v>
      </c>
    </row>
    <row r="1473" spans="1:12">
      <c r="A1473" t="s">
        <v>3512</v>
      </c>
      <c r="B1473" t="s">
        <v>1204</v>
      </c>
      <c r="C1473" t="s">
        <v>2817</v>
      </c>
      <c r="D1473" t="s">
        <v>2837</v>
      </c>
      <c r="E1473">
        <v>4</v>
      </c>
      <c r="F1473">
        <v>0</v>
      </c>
      <c r="G1473">
        <v>0</v>
      </c>
      <c r="H1473">
        <f t="shared" si="44"/>
        <v>4</v>
      </c>
      <c r="I1473">
        <v>0</v>
      </c>
      <c r="J1473">
        <v>0</v>
      </c>
      <c r="K1473">
        <v>0</v>
      </c>
      <c r="L1473">
        <f t="shared" si="45"/>
        <v>0</v>
      </c>
    </row>
    <row r="1474" spans="1:12">
      <c r="A1474" t="s">
        <v>3521</v>
      </c>
      <c r="B1474" t="s">
        <v>1260</v>
      </c>
      <c r="C1474" t="s">
        <v>2805</v>
      </c>
      <c r="D1474" t="s">
        <v>2806</v>
      </c>
      <c r="E1474">
        <v>316</v>
      </c>
      <c r="F1474">
        <v>0</v>
      </c>
      <c r="G1474">
        <v>0</v>
      </c>
      <c r="H1474">
        <f t="shared" si="44"/>
        <v>316</v>
      </c>
      <c r="I1474">
        <v>1</v>
      </c>
      <c r="J1474">
        <v>0</v>
      </c>
      <c r="K1474">
        <v>0</v>
      </c>
      <c r="L1474">
        <f t="shared" si="45"/>
        <v>1</v>
      </c>
    </row>
    <row r="1475" spans="1:12">
      <c r="A1475" t="s">
        <v>3521</v>
      </c>
      <c r="B1475" t="s">
        <v>1260</v>
      </c>
      <c r="C1475" t="s">
        <v>2805</v>
      </c>
      <c r="D1475" t="s">
        <v>449</v>
      </c>
      <c r="E1475">
        <v>444</v>
      </c>
      <c r="F1475">
        <v>0</v>
      </c>
      <c r="G1475">
        <v>0</v>
      </c>
      <c r="H1475">
        <f t="shared" si="44"/>
        <v>444</v>
      </c>
      <c r="I1475">
        <v>3</v>
      </c>
      <c r="J1475">
        <v>0</v>
      </c>
      <c r="K1475">
        <v>0</v>
      </c>
      <c r="L1475">
        <f t="shared" si="45"/>
        <v>3</v>
      </c>
    </row>
    <row r="1476" spans="1:12">
      <c r="A1476" t="s">
        <v>3521</v>
      </c>
      <c r="B1476" t="s">
        <v>1260</v>
      </c>
      <c r="C1476" t="s">
        <v>2805</v>
      </c>
      <c r="D1476" t="s">
        <v>2807</v>
      </c>
      <c r="E1476">
        <v>33</v>
      </c>
      <c r="F1476">
        <v>0</v>
      </c>
      <c r="G1476">
        <v>0</v>
      </c>
      <c r="H1476">
        <f t="shared" ref="H1476:H1539" si="46">SUM(E1476:G1476)</f>
        <v>33</v>
      </c>
      <c r="I1476">
        <v>0</v>
      </c>
      <c r="J1476">
        <v>0</v>
      </c>
      <c r="K1476">
        <v>0</v>
      </c>
      <c r="L1476">
        <f t="shared" ref="L1476:L1539" si="47">SUM(I1476:K1476)</f>
        <v>0</v>
      </c>
    </row>
    <row r="1477" spans="1:12">
      <c r="A1477" t="s">
        <v>3521</v>
      </c>
      <c r="B1477" t="s">
        <v>1260</v>
      </c>
      <c r="C1477" t="s">
        <v>2805</v>
      </c>
      <c r="D1477" t="s">
        <v>2809</v>
      </c>
      <c r="E1477">
        <v>8</v>
      </c>
      <c r="F1477">
        <v>0</v>
      </c>
      <c r="G1477">
        <v>0</v>
      </c>
      <c r="H1477">
        <f t="shared" si="46"/>
        <v>8</v>
      </c>
      <c r="I1477">
        <v>0</v>
      </c>
      <c r="J1477">
        <v>0</v>
      </c>
      <c r="K1477">
        <v>0</v>
      </c>
      <c r="L1477">
        <f t="shared" si="47"/>
        <v>0</v>
      </c>
    </row>
    <row r="1478" spans="1:12">
      <c r="A1478" t="s">
        <v>3521</v>
      </c>
      <c r="B1478" t="s">
        <v>1260</v>
      </c>
      <c r="C1478" t="s">
        <v>2805</v>
      </c>
      <c r="D1478" t="s">
        <v>2846</v>
      </c>
      <c r="E1478">
        <v>13</v>
      </c>
      <c r="F1478">
        <v>0</v>
      </c>
      <c r="G1478">
        <v>0</v>
      </c>
      <c r="H1478">
        <f t="shared" si="46"/>
        <v>13</v>
      </c>
      <c r="I1478">
        <v>0</v>
      </c>
      <c r="J1478">
        <v>0</v>
      </c>
      <c r="K1478">
        <v>0</v>
      </c>
      <c r="L1478">
        <f t="shared" si="47"/>
        <v>0</v>
      </c>
    </row>
    <row r="1479" spans="1:12">
      <c r="A1479" t="s">
        <v>3521</v>
      </c>
      <c r="B1479" t="s">
        <v>1260</v>
      </c>
      <c r="C1479" t="s">
        <v>2805</v>
      </c>
      <c r="D1479" t="s">
        <v>2863</v>
      </c>
      <c r="E1479">
        <v>34</v>
      </c>
      <c r="F1479">
        <v>0</v>
      </c>
      <c r="G1479">
        <v>0</v>
      </c>
      <c r="H1479">
        <f t="shared" si="46"/>
        <v>34</v>
      </c>
      <c r="I1479">
        <v>0</v>
      </c>
      <c r="J1479">
        <v>0</v>
      </c>
      <c r="K1479">
        <v>0</v>
      </c>
      <c r="L1479">
        <f t="shared" si="47"/>
        <v>0</v>
      </c>
    </row>
    <row r="1480" spans="1:12">
      <c r="A1480" t="s">
        <v>3521</v>
      </c>
      <c r="B1480" t="s">
        <v>1260</v>
      </c>
      <c r="C1480" t="s">
        <v>2810</v>
      </c>
      <c r="D1480" t="s">
        <v>2811</v>
      </c>
      <c r="E1480">
        <v>162</v>
      </c>
      <c r="F1480">
        <v>0</v>
      </c>
      <c r="G1480">
        <v>0</v>
      </c>
      <c r="H1480">
        <f t="shared" si="46"/>
        <v>162</v>
      </c>
      <c r="I1480">
        <v>0</v>
      </c>
      <c r="J1480">
        <v>0</v>
      </c>
      <c r="K1480">
        <v>0</v>
      </c>
      <c r="L1480">
        <f t="shared" si="47"/>
        <v>0</v>
      </c>
    </row>
    <row r="1481" spans="1:12">
      <c r="A1481" t="s">
        <v>3521</v>
      </c>
      <c r="B1481" t="s">
        <v>1260</v>
      </c>
      <c r="C1481" t="s">
        <v>2810</v>
      </c>
      <c r="D1481" t="s">
        <v>2812</v>
      </c>
      <c r="E1481">
        <v>110</v>
      </c>
      <c r="F1481">
        <v>0</v>
      </c>
      <c r="G1481">
        <v>0</v>
      </c>
      <c r="H1481">
        <f t="shared" si="46"/>
        <v>110</v>
      </c>
      <c r="I1481">
        <v>1</v>
      </c>
      <c r="J1481">
        <v>0</v>
      </c>
      <c r="K1481">
        <v>0</v>
      </c>
      <c r="L1481">
        <f t="shared" si="47"/>
        <v>1</v>
      </c>
    </row>
    <row r="1482" spans="1:12">
      <c r="A1482" t="s">
        <v>3521</v>
      </c>
      <c r="B1482" t="s">
        <v>1260</v>
      </c>
      <c r="C1482" t="s">
        <v>2810</v>
      </c>
      <c r="D1482" t="s">
        <v>2813</v>
      </c>
      <c r="E1482">
        <v>61</v>
      </c>
      <c r="F1482">
        <v>0</v>
      </c>
      <c r="G1482">
        <v>0</v>
      </c>
      <c r="H1482">
        <f t="shared" si="46"/>
        <v>61</v>
      </c>
      <c r="I1482">
        <v>0</v>
      </c>
      <c r="J1482">
        <v>0</v>
      </c>
      <c r="K1482">
        <v>0</v>
      </c>
      <c r="L1482">
        <f t="shared" si="47"/>
        <v>0</v>
      </c>
    </row>
    <row r="1483" spans="1:12">
      <c r="A1483" t="s">
        <v>3521</v>
      </c>
      <c r="B1483" t="s">
        <v>1260</v>
      </c>
      <c r="C1483" t="s">
        <v>2810</v>
      </c>
      <c r="D1483" t="s">
        <v>2814</v>
      </c>
      <c r="E1483">
        <v>78</v>
      </c>
      <c r="F1483">
        <v>0</v>
      </c>
      <c r="G1483">
        <v>0</v>
      </c>
      <c r="H1483">
        <f t="shared" si="46"/>
        <v>78</v>
      </c>
      <c r="I1483">
        <v>0</v>
      </c>
      <c r="J1483">
        <v>0</v>
      </c>
      <c r="K1483">
        <v>0</v>
      </c>
      <c r="L1483">
        <f t="shared" si="47"/>
        <v>0</v>
      </c>
    </row>
    <row r="1484" spans="1:12">
      <c r="A1484" t="s">
        <v>3521</v>
      </c>
      <c r="B1484" t="s">
        <v>1260</v>
      </c>
      <c r="C1484" t="s">
        <v>2810</v>
      </c>
      <c r="D1484" t="s">
        <v>3522</v>
      </c>
      <c r="E1484">
        <v>3</v>
      </c>
      <c r="F1484">
        <v>0</v>
      </c>
      <c r="G1484">
        <v>0</v>
      </c>
      <c r="H1484">
        <f t="shared" si="46"/>
        <v>3</v>
      </c>
      <c r="I1484">
        <v>0</v>
      </c>
      <c r="J1484">
        <v>0</v>
      </c>
      <c r="K1484">
        <v>0</v>
      </c>
      <c r="L1484">
        <f t="shared" si="47"/>
        <v>0</v>
      </c>
    </row>
    <row r="1485" spans="1:12">
      <c r="A1485" t="s">
        <v>3521</v>
      </c>
      <c r="B1485" t="s">
        <v>1260</v>
      </c>
      <c r="C1485" t="s">
        <v>2810</v>
      </c>
      <c r="D1485" t="s">
        <v>2847</v>
      </c>
      <c r="E1485">
        <v>163</v>
      </c>
      <c r="F1485">
        <v>0</v>
      </c>
      <c r="G1485">
        <v>0</v>
      </c>
      <c r="H1485">
        <f t="shared" si="46"/>
        <v>163</v>
      </c>
      <c r="I1485">
        <v>0</v>
      </c>
      <c r="J1485">
        <v>0</v>
      </c>
      <c r="K1485">
        <v>0</v>
      </c>
      <c r="L1485">
        <f t="shared" si="47"/>
        <v>0</v>
      </c>
    </row>
    <row r="1486" spans="1:12">
      <c r="A1486" t="s">
        <v>3521</v>
      </c>
      <c r="B1486" t="s">
        <v>1260</v>
      </c>
      <c r="C1486" t="s">
        <v>2810</v>
      </c>
      <c r="D1486" t="s">
        <v>2840</v>
      </c>
      <c r="E1486">
        <v>18</v>
      </c>
      <c r="F1486">
        <v>0</v>
      </c>
      <c r="G1486">
        <v>0</v>
      </c>
      <c r="H1486">
        <f t="shared" si="46"/>
        <v>18</v>
      </c>
      <c r="I1486">
        <v>0</v>
      </c>
      <c r="J1486">
        <v>0</v>
      </c>
      <c r="K1486">
        <v>0</v>
      </c>
      <c r="L1486">
        <f t="shared" si="47"/>
        <v>0</v>
      </c>
    </row>
    <row r="1487" spans="1:12">
      <c r="A1487" t="s">
        <v>3521</v>
      </c>
      <c r="B1487" t="s">
        <v>1260</v>
      </c>
      <c r="C1487" t="s">
        <v>2810</v>
      </c>
      <c r="D1487" t="s">
        <v>2815</v>
      </c>
      <c r="E1487">
        <v>20</v>
      </c>
      <c r="F1487">
        <v>0</v>
      </c>
      <c r="G1487">
        <v>0</v>
      </c>
      <c r="H1487">
        <f t="shared" si="46"/>
        <v>20</v>
      </c>
      <c r="I1487">
        <v>0</v>
      </c>
      <c r="J1487">
        <v>0</v>
      </c>
      <c r="K1487">
        <v>0</v>
      </c>
      <c r="L1487">
        <f t="shared" si="47"/>
        <v>0</v>
      </c>
    </row>
    <row r="1488" spans="1:12">
      <c r="A1488" t="s">
        <v>3521</v>
      </c>
      <c r="B1488" t="s">
        <v>1260</v>
      </c>
      <c r="C1488" t="s">
        <v>2816</v>
      </c>
      <c r="D1488" t="s">
        <v>1897</v>
      </c>
      <c r="E1488">
        <v>2</v>
      </c>
      <c r="F1488">
        <v>0</v>
      </c>
      <c r="G1488">
        <v>0</v>
      </c>
      <c r="H1488">
        <f t="shared" si="46"/>
        <v>2</v>
      </c>
      <c r="I1488">
        <v>0</v>
      </c>
      <c r="J1488">
        <v>0</v>
      </c>
      <c r="K1488">
        <v>0</v>
      </c>
      <c r="L1488">
        <f t="shared" si="47"/>
        <v>0</v>
      </c>
    </row>
    <row r="1489" spans="1:12">
      <c r="A1489" t="s">
        <v>3521</v>
      </c>
      <c r="B1489" t="s">
        <v>1260</v>
      </c>
      <c r="C1489" t="s">
        <v>2826</v>
      </c>
      <c r="D1489" t="s">
        <v>2834</v>
      </c>
      <c r="E1489">
        <v>0</v>
      </c>
      <c r="F1489">
        <v>0</v>
      </c>
      <c r="G1489">
        <v>0</v>
      </c>
      <c r="H1489">
        <f t="shared" si="46"/>
        <v>0</v>
      </c>
      <c r="I1489">
        <v>1</v>
      </c>
      <c r="J1489">
        <v>0</v>
      </c>
      <c r="K1489">
        <v>0</v>
      </c>
      <c r="L1489">
        <f t="shared" si="47"/>
        <v>1</v>
      </c>
    </row>
    <row r="1490" spans="1:12">
      <c r="A1490" t="s">
        <v>3521</v>
      </c>
      <c r="B1490" t="s">
        <v>1260</v>
      </c>
      <c r="C1490" t="s">
        <v>2826</v>
      </c>
      <c r="D1490" t="s">
        <v>2849</v>
      </c>
      <c r="E1490">
        <v>0</v>
      </c>
      <c r="F1490">
        <v>0</v>
      </c>
      <c r="G1490">
        <v>0</v>
      </c>
      <c r="H1490">
        <f t="shared" si="46"/>
        <v>0</v>
      </c>
      <c r="I1490">
        <v>1</v>
      </c>
      <c r="J1490">
        <v>0</v>
      </c>
      <c r="K1490">
        <v>0</v>
      </c>
      <c r="L1490">
        <f t="shared" si="47"/>
        <v>1</v>
      </c>
    </row>
    <row r="1491" spans="1:12">
      <c r="A1491" t="s">
        <v>3521</v>
      </c>
      <c r="B1491" t="s">
        <v>1260</v>
      </c>
      <c r="C1491" t="s">
        <v>2817</v>
      </c>
      <c r="D1491" t="s">
        <v>2888</v>
      </c>
      <c r="E1491">
        <v>7</v>
      </c>
      <c r="F1491">
        <v>0</v>
      </c>
      <c r="G1491">
        <v>0</v>
      </c>
      <c r="H1491">
        <f t="shared" si="46"/>
        <v>7</v>
      </c>
      <c r="I1491">
        <v>0</v>
      </c>
      <c r="J1491">
        <v>0</v>
      </c>
      <c r="K1491">
        <v>0</v>
      </c>
      <c r="L1491">
        <f t="shared" si="47"/>
        <v>0</v>
      </c>
    </row>
    <row r="1492" spans="1:12">
      <c r="A1492" t="s">
        <v>3521</v>
      </c>
      <c r="B1492" t="s">
        <v>1260</v>
      </c>
      <c r="C1492" t="s">
        <v>2817</v>
      </c>
      <c r="D1492" t="s">
        <v>2818</v>
      </c>
      <c r="E1492">
        <v>13</v>
      </c>
      <c r="F1492">
        <v>0</v>
      </c>
      <c r="G1492">
        <v>0</v>
      </c>
      <c r="H1492">
        <f t="shared" si="46"/>
        <v>13</v>
      </c>
      <c r="I1492">
        <v>0</v>
      </c>
      <c r="J1492">
        <v>0</v>
      </c>
      <c r="K1492">
        <v>0</v>
      </c>
      <c r="L1492">
        <f t="shared" si="47"/>
        <v>0</v>
      </c>
    </row>
    <row r="1493" spans="1:12">
      <c r="A1493" t="s">
        <v>3521</v>
      </c>
      <c r="B1493" t="s">
        <v>1260</v>
      </c>
      <c r="C1493" t="s">
        <v>2817</v>
      </c>
      <c r="D1493" t="s">
        <v>2837</v>
      </c>
      <c r="E1493">
        <v>22</v>
      </c>
      <c r="F1493">
        <v>0</v>
      </c>
      <c r="G1493">
        <v>0</v>
      </c>
      <c r="H1493">
        <f t="shared" si="46"/>
        <v>22</v>
      </c>
      <c r="I1493">
        <v>0</v>
      </c>
      <c r="J1493">
        <v>0</v>
      </c>
      <c r="K1493">
        <v>0</v>
      </c>
      <c r="L1493">
        <f t="shared" si="47"/>
        <v>0</v>
      </c>
    </row>
    <row r="1494" spans="1:12">
      <c r="A1494" t="s">
        <v>3521</v>
      </c>
      <c r="B1494" t="s">
        <v>1260</v>
      </c>
      <c r="C1494" t="s">
        <v>2817</v>
      </c>
      <c r="D1494" t="s">
        <v>2909</v>
      </c>
      <c r="E1494">
        <v>5</v>
      </c>
      <c r="F1494">
        <v>0</v>
      </c>
      <c r="G1494">
        <v>0</v>
      </c>
      <c r="H1494">
        <f t="shared" si="46"/>
        <v>5</v>
      </c>
      <c r="I1494">
        <v>0</v>
      </c>
      <c r="J1494">
        <v>0</v>
      </c>
      <c r="K1494">
        <v>0</v>
      </c>
      <c r="L1494">
        <f t="shared" si="47"/>
        <v>0</v>
      </c>
    </row>
    <row r="1495" spans="1:12">
      <c r="A1495" t="s">
        <v>3523</v>
      </c>
      <c r="B1495" t="s">
        <v>1208</v>
      </c>
      <c r="C1495" t="s">
        <v>2826</v>
      </c>
      <c r="D1495" t="s">
        <v>2871</v>
      </c>
      <c r="E1495">
        <v>0</v>
      </c>
      <c r="F1495">
        <v>0</v>
      </c>
      <c r="G1495">
        <v>0</v>
      </c>
      <c r="H1495">
        <f t="shared" si="46"/>
        <v>0</v>
      </c>
      <c r="I1495">
        <v>2</v>
      </c>
      <c r="J1495">
        <v>0</v>
      </c>
      <c r="K1495">
        <v>0</v>
      </c>
      <c r="L1495">
        <f t="shared" si="47"/>
        <v>2</v>
      </c>
    </row>
    <row r="1496" spans="1:12">
      <c r="A1496" t="s">
        <v>3523</v>
      </c>
      <c r="B1496" t="s">
        <v>1208</v>
      </c>
      <c r="C1496" t="s">
        <v>2826</v>
      </c>
      <c r="D1496" t="s">
        <v>2905</v>
      </c>
      <c r="E1496">
        <v>0</v>
      </c>
      <c r="F1496">
        <v>0</v>
      </c>
      <c r="G1496">
        <v>0</v>
      </c>
      <c r="H1496">
        <f t="shared" si="46"/>
        <v>0</v>
      </c>
      <c r="I1496">
        <v>1</v>
      </c>
      <c r="J1496">
        <v>0</v>
      </c>
      <c r="K1496">
        <v>0</v>
      </c>
      <c r="L1496">
        <f t="shared" si="47"/>
        <v>1</v>
      </c>
    </row>
    <row r="1497" spans="1:12">
      <c r="A1497" t="s">
        <v>3523</v>
      </c>
      <c r="B1497" t="s">
        <v>1208</v>
      </c>
      <c r="C1497" t="s">
        <v>2826</v>
      </c>
      <c r="D1497" t="s">
        <v>2827</v>
      </c>
      <c r="E1497">
        <v>0</v>
      </c>
      <c r="F1497">
        <v>0</v>
      </c>
      <c r="G1497">
        <v>0</v>
      </c>
      <c r="H1497">
        <f t="shared" si="46"/>
        <v>0</v>
      </c>
      <c r="I1497">
        <v>4</v>
      </c>
      <c r="J1497">
        <v>0</v>
      </c>
      <c r="K1497">
        <v>0</v>
      </c>
      <c r="L1497">
        <f t="shared" si="47"/>
        <v>4</v>
      </c>
    </row>
    <row r="1498" spans="1:12">
      <c r="A1498" t="s">
        <v>3523</v>
      </c>
      <c r="B1498" t="s">
        <v>1208</v>
      </c>
      <c r="C1498" t="s">
        <v>2826</v>
      </c>
      <c r="D1498" t="s">
        <v>2829</v>
      </c>
      <c r="E1498">
        <v>0</v>
      </c>
      <c r="F1498">
        <v>0</v>
      </c>
      <c r="G1498">
        <v>0</v>
      </c>
      <c r="H1498">
        <f t="shared" si="46"/>
        <v>0</v>
      </c>
      <c r="I1498">
        <v>2</v>
      </c>
      <c r="J1498">
        <v>0</v>
      </c>
      <c r="K1498">
        <v>0</v>
      </c>
      <c r="L1498">
        <f t="shared" si="47"/>
        <v>2</v>
      </c>
    </row>
    <row r="1499" spans="1:12">
      <c r="A1499" t="s">
        <v>3523</v>
      </c>
      <c r="B1499" t="s">
        <v>1208</v>
      </c>
      <c r="C1499" t="s">
        <v>2826</v>
      </c>
      <c r="D1499" t="s">
        <v>2891</v>
      </c>
      <c r="E1499">
        <v>0</v>
      </c>
      <c r="F1499">
        <v>0</v>
      </c>
      <c r="G1499">
        <v>0</v>
      </c>
      <c r="H1499">
        <f t="shared" si="46"/>
        <v>0</v>
      </c>
      <c r="I1499">
        <v>2</v>
      </c>
      <c r="J1499">
        <v>0</v>
      </c>
      <c r="K1499">
        <v>0</v>
      </c>
      <c r="L1499">
        <f t="shared" si="47"/>
        <v>2</v>
      </c>
    </row>
    <row r="1500" spans="1:12">
      <c r="A1500" t="s">
        <v>3523</v>
      </c>
      <c r="B1500" t="s">
        <v>1208</v>
      </c>
      <c r="C1500" t="s">
        <v>2826</v>
      </c>
      <c r="D1500" t="s">
        <v>2872</v>
      </c>
      <c r="E1500">
        <v>0</v>
      </c>
      <c r="F1500">
        <v>0</v>
      </c>
      <c r="G1500">
        <v>0</v>
      </c>
      <c r="H1500">
        <f t="shared" si="46"/>
        <v>0</v>
      </c>
      <c r="I1500">
        <v>1</v>
      </c>
      <c r="J1500">
        <v>0</v>
      </c>
      <c r="K1500">
        <v>0</v>
      </c>
      <c r="L1500">
        <f t="shared" si="47"/>
        <v>1</v>
      </c>
    </row>
    <row r="1501" spans="1:12">
      <c r="A1501" t="s">
        <v>3523</v>
      </c>
      <c r="B1501" t="s">
        <v>1208</v>
      </c>
      <c r="C1501" t="s">
        <v>2826</v>
      </c>
      <c r="D1501" t="s">
        <v>2858</v>
      </c>
      <c r="E1501">
        <v>0</v>
      </c>
      <c r="F1501">
        <v>0</v>
      </c>
      <c r="G1501">
        <v>0</v>
      </c>
      <c r="H1501">
        <f t="shared" si="46"/>
        <v>0</v>
      </c>
      <c r="I1501">
        <v>1</v>
      </c>
      <c r="J1501">
        <v>0</v>
      </c>
      <c r="K1501">
        <v>0</v>
      </c>
      <c r="L1501">
        <f t="shared" si="47"/>
        <v>1</v>
      </c>
    </row>
    <row r="1502" spans="1:12">
      <c r="A1502" t="s">
        <v>3523</v>
      </c>
      <c r="B1502" t="s">
        <v>1208</v>
      </c>
      <c r="C1502" t="s">
        <v>2826</v>
      </c>
      <c r="D1502" t="s">
        <v>2831</v>
      </c>
      <c r="E1502">
        <v>0</v>
      </c>
      <c r="F1502">
        <v>0</v>
      </c>
      <c r="G1502">
        <v>0</v>
      </c>
      <c r="H1502">
        <f t="shared" si="46"/>
        <v>0</v>
      </c>
      <c r="I1502">
        <v>2</v>
      </c>
      <c r="J1502">
        <v>0</v>
      </c>
      <c r="K1502">
        <v>0</v>
      </c>
      <c r="L1502">
        <f t="shared" si="47"/>
        <v>2</v>
      </c>
    </row>
    <row r="1503" spans="1:12">
      <c r="A1503" t="s">
        <v>3523</v>
      </c>
      <c r="B1503" t="s">
        <v>1208</v>
      </c>
      <c r="C1503" t="s">
        <v>2826</v>
      </c>
      <c r="D1503" t="s">
        <v>2843</v>
      </c>
      <c r="E1503">
        <v>0</v>
      </c>
      <c r="F1503">
        <v>0</v>
      </c>
      <c r="G1503">
        <v>0</v>
      </c>
      <c r="H1503">
        <f t="shared" si="46"/>
        <v>0</v>
      </c>
      <c r="I1503">
        <v>3</v>
      </c>
      <c r="J1503">
        <v>0</v>
      </c>
      <c r="K1503">
        <v>0</v>
      </c>
      <c r="L1503">
        <f t="shared" si="47"/>
        <v>3</v>
      </c>
    </row>
    <row r="1504" spans="1:12">
      <c r="A1504" t="s">
        <v>3523</v>
      </c>
      <c r="B1504" t="s">
        <v>1208</v>
      </c>
      <c r="C1504" t="s">
        <v>2826</v>
      </c>
      <c r="D1504" t="s">
        <v>2885</v>
      </c>
      <c r="E1504">
        <v>0</v>
      </c>
      <c r="F1504">
        <v>0</v>
      </c>
      <c r="G1504">
        <v>0</v>
      </c>
      <c r="H1504">
        <f t="shared" si="46"/>
        <v>0</v>
      </c>
      <c r="I1504">
        <v>1</v>
      </c>
      <c r="J1504">
        <v>0</v>
      </c>
      <c r="K1504">
        <v>0</v>
      </c>
      <c r="L1504">
        <f t="shared" si="47"/>
        <v>1</v>
      </c>
    </row>
    <row r="1505" spans="1:12">
      <c r="A1505" t="s">
        <v>3523</v>
      </c>
      <c r="B1505" t="s">
        <v>1208</v>
      </c>
      <c r="C1505" t="s">
        <v>2826</v>
      </c>
      <c r="D1505" t="s">
        <v>2833</v>
      </c>
      <c r="E1505">
        <v>0</v>
      </c>
      <c r="F1505">
        <v>0</v>
      </c>
      <c r="G1505">
        <v>0</v>
      </c>
      <c r="H1505">
        <f t="shared" si="46"/>
        <v>0</v>
      </c>
      <c r="I1505">
        <v>1</v>
      </c>
      <c r="J1505">
        <v>0</v>
      </c>
      <c r="K1505">
        <v>0</v>
      </c>
      <c r="L1505">
        <f t="shared" si="47"/>
        <v>1</v>
      </c>
    </row>
    <row r="1506" spans="1:12">
      <c r="A1506" t="s">
        <v>3523</v>
      </c>
      <c r="B1506" t="s">
        <v>1208</v>
      </c>
      <c r="C1506" t="s">
        <v>2826</v>
      </c>
      <c r="D1506" t="s">
        <v>2834</v>
      </c>
      <c r="E1506">
        <v>0</v>
      </c>
      <c r="F1506">
        <v>0</v>
      </c>
      <c r="G1506">
        <v>0</v>
      </c>
      <c r="H1506">
        <f t="shared" si="46"/>
        <v>0</v>
      </c>
      <c r="I1506">
        <v>5</v>
      </c>
      <c r="J1506">
        <v>0</v>
      </c>
      <c r="K1506">
        <v>0</v>
      </c>
      <c r="L1506">
        <f t="shared" si="47"/>
        <v>5</v>
      </c>
    </row>
    <row r="1507" spans="1:12">
      <c r="A1507" t="s">
        <v>3523</v>
      </c>
      <c r="B1507" t="s">
        <v>1208</v>
      </c>
      <c r="C1507" t="s">
        <v>2826</v>
      </c>
      <c r="D1507" t="s">
        <v>2844</v>
      </c>
      <c r="E1507">
        <v>0</v>
      </c>
      <c r="F1507">
        <v>0</v>
      </c>
      <c r="G1507">
        <v>0</v>
      </c>
      <c r="H1507">
        <f t="shared" si="46"/>
        <v>0</v>
      </c>
      <c r="I1507">
        <v>2</v>
      </c>
      <c r="J1507">
        <v>0</v>
      </c>
      <c r="K1507">
        <v>0</v>
      </c>
      <c r="L1507">
        <f t="shared" si="47"/>
        <v>2</v>
      </c>
    </row>
    <row r="1508" spans="1:12">
      <c r="A1508" t="s">
        <v>3523</v>
      </c>
      <c r="B1508" t="s">
        <v>1208</v>
      </c>
      <c r="C1508" t="s">
        <v>2826</v>
      </c>
      <c r="D1508" t="s">
        <v>2849</v>
      </c>
      <c r="E1508">
        <v>0</v>
      </c>
      <c r="F1508">
        <v>0</v>
      </c>
      <c r="G1508">
        <v>0</v>
      </c>
      <c r="H1508">
        <f t="shared" si="46"/>
        <v>0</v>
      </c>
      <c r="I1508">
        <v>4</v>
      </c>
      <c r="J1508">
        <v>0</v>
      </c>
      <c r="K1508">
        <v>0</v>
      </c>
      <c r="L1508">
        <f t="shared" si="47"/>
        <v>4</v>
      </c>
    </row>
    <row r="1509" spans="1:12">
      <c r="A1509" t="s">
        <v>3528</v>
      </c>
      <c r="B1509" t="s">
        <v>1214</v>
      </c>
      <c r="C1509" t="s">
        <v>2805</v>
      </c>
      <c r="D1509" t="s">
        <v>2806</v>
      </c>
      <c r="E1509">
        <v>42</v>
      </c>
      <c r="F1509">
        <v>0</v>
      </c>
      <c r="G1509">
        <v>0</v>
      </c>
      <c r="H1509">
        <f t="shared" si="46"/>
        <v>42</v>
      </c>
      <c r="I1509">
        <v>3</v>
      </c>
      <c r="J1509">
        <v>0</v>
      </c>
      <c r="K1509">
        <v>0</v>
      </c>
      <c r="L1509">
        <f t="shared" si="47"/>
        <v>3</v>
      </c>
    </row>
    <row r="1510" spans="1:12">
      <c r="A1510" t="s">
        <v>3528</v>
      </c>
      <c r="B1510" t="s">
        <v>1214</v>
      </c>
      <c r="C1510" t="s">
        <v>2805</v>
      </c>
      <c r="D1510" t="s">
        <v>449</v>
      </c>
      <c r="E1510">
        <v>93</v>
      </c>
      <c r="F1510">
        <v>0</v>
      </c>
      <c r="G1510">
        <v>0</v>
      </c>
      <c r="H1510">
        <f t="shared" si="46"/>
        <v>93</v>
      </c>
      <c r="I1510">
        <v>4</v>
      </c>
      <c r="J1510">
        <v>0</v>
      </c>
      <c r="K1510">
        <v>0</v>
      </c>
      <c r="L1510">
        <f t="shared" si="47"/>
        <v>4</v>
      </c>
    </row>
    <row r="1511" spans="1:12">
      <c r="A1511" t="s">
        <v>3528</v>
      </c>
      <c r="B1511" t="s">
        <v>1214</v>
      </c>
      <c r="C1511" t="s">
        <v>2805</v>
      </c>
      <c r="D1511" t="s">
        <v>2807</v>
      </c>
      <c r="E1511">
        <v>1</v>
      </c>
      <c r="F1511">
        <v>0</v>
      </c>
      <c r="G1511">
        <v>0</v>
      </c>
      <c r="H1511">
        <f t="shared" si="46"/>
        <v>1</v>
      </c>
      <c r="I1511">
        <v>0</v>
      </c>
      <c r="J1511">
        <v>0</v>
      </c>
      <c r="K1511">
        <v>0</v>
      </c>
      <c r="L1511">
        <f t="shared" si="47"/>
        <v>0</v>
      </c>
    </row>
    <row r="1512" spans="1:12">
      <c r="A1512" t="s">
        <v>3528</v>
      </c>
      <c r="B1512" t="s">
        <v>1214</v>
      </c>
      <c r="C1512" t="s">
        <v>2805</v>
      </c>
      <c r="D1512" t="s">
        <v>2808</v>
      </c>
      <c r="E1512">
        <v>5</v>
      </c>
      <c r="F1512">
        <v>0</v>
      </c>
      <c r="G1512">
        <v>0</v>
      </c>
      <c r="H1512">
        <f t="shared" si="46"/>
        <v>5</v>
      </c>
      <c r="I1512">
        <v>0</v>
      </c>
      <c r="J1512">
        <v>0</v>
      </c>
      <c r="K1512">
        <v>0</v>
      </c>
      <c r="L1512">
        <f t="shared" si="47"/>
        <v>0</v>
      </c>
    </row>
    <row r="1513" spans="1:12">
      <c r="A1513" t="s">
        <v>3528</v>
      </c>
      <c r="B1513" t="s">
        <v>1214</v>
      </c>
      <c r="C1513" t="s">
        <v>2805</v>
      </c>
      <c r="D1513" t="s">
        <v>2809</v>
      </c>
      <c r="E1513">
        <v>23</v>
      </c>
      <c r="F1513">
        <v>0</v>
      </c>
      <c r="G1513">
        <v>0</v>
      </c>
      <c r="H1513">
        <f t="shared" si="46"/>
        <v>23</v>
      </c>
      <c r="I1513">
        <v>0</v>
      </c>
      <c r="J1513">
        <v>0</v>
      </c>
      <c r="K1513">
        <v>0</v>
      </c>
      <c r="L1513">
        <f t="shared" si="47"/>
        <v>0</v>
      </c>
    </row>
    <row r="1514" spans="1:12">
      <c r="A1514" t="s">
        <v>3528</v>
      </c>
      <c r="B1514" t="s">
        <v>1214</v>
      </c>
      <c r="C1514" t="s">
        <v>2805</v>
      </c>
      <c r="D1514" t="s">
        <v>2846</v>
      </c>
      <c r="E1514">
        <v>17</v>
      </c>
      <c r="F1514">
        <v>0</v>
      </c>
      <c r="G1514">
        <v>0</v>
      </c>
      <c r="H1514">
        <f t="shared" si="46"/>
        <v>17</v>
      </c>
      <c r="I1514">
        <v>4</v>
      </c>
      <c r="J1514">
        <v>0</v>
      </c>
      <c r="K1514">
        <v>0</v>
      </c>
      <c r="L1514">
        <f t="shared" si="47"/>
        <v>4</v>
      </c>
    </row>
    <row r="1515" spans="1:12">
      <c r="A1515" t="s">
        <v>3528</v>
      </c>
      <c r="B1515" t="s">
        <v>1214</v>
      </c>
      <c r="C1515" t="s">
        <v>2805</v>
      </c>
      <c r="D1515" t="s">
        <v>2863</v>
      </c>
      <c r="E1515">
        <v>0</v>
      </c>
      <c r="F1515">
        <v>0</v>
      </c>
      <c r="G1515">
        <v>0</v>
      </c>
      <c r="H1515">
        <f t="shared" si="46"/>
        <v>0</v>
      </c>
      <c r="I1515">
        <v>1</v>
      </c>
      <c r="J1515">
        <v>0</v>
      </c>
      <c r="K1515">
        <v>0</v>
      </c>
      <c r="L1515">
        <f t="shared" si="47"/>
        <v>1</v>
      </c>
    </row>
    <row r="1516" spans="1:12">
      <c r="A1516" t="s">
        <v>3528</v>
      </c>
      <c r="B1516" t="s">
        <v>1214</v>
      </c>
      <c r="C1516" t="s">
        <v>2810</v>
      </c>
      <c r="D1516" t="s">
        <v>2811</v>
      </c>
      <c r="E1516">
        <v>8</v>
      </c>
      <c r="F1516">
        <v>0</v>
      </c>
      <c r="G1516">
        <v>0</v>
      </c>
      <c r="H1516">
        <f t="shared" si="46"/>
        <v>8</v>
      </c>
      <c r="I1516">
        <v>0</v>
      </c>
      <c r="J1516">
        <v>0</v>
      </c>
      <c r="K1516">
        <v>0</v>
      </c>
      <c r="L1516">
        <f t="shared" si="47"/>
        <v>0</v>
      </c>
    </row>
    <row r="1517" spans="1:12">
      <c r="A1517" t="s">
        <v>3528</v>
      </c>
      <c r="B1517" t="s">
        <v>1214</v>
      </c>
      <c r="C1517" t="s">
        <v>2810</v>
      </c>
      <c r="D1517" t="s">
        <v>2823</v>
      </c>
      <c r="E1517">
        <v>0</v>
      </c>
      <c r="F1517">
        <v>1</v>
      </c>
      <c r="G1517">
        <v>0</v>
      </c>
      <c r="H1517">
        <f t="shared" si="46"/>
        <v>1</v>
      </c>
      <c r="I1517">
        <v>0</v>
      </c>
      <c r="J1517">
        <v>0</v>
      </c>
      <c r="K1517">
        <v>0</v>
      </c>
      <c r="L1517">
        <f t="shared" si="47"/>
        <v>0</v>
      </c>
    </row>
    <row r="1518" spans="1:12">
      <c r="A1518" t="s">
        <v>3528</v>
      </c>
      <c r="B1518" t="s">
        <v>1214</v>
      </c>
      <c r="C1518" t="s">
        <v>2810</v>
      </c>
      <c r="D1518" t="s">
        <v>2812</v>
      </c>
      <c r="E1518">
        <v>0</v>
      </c>
      <c r="F1518">
        <v>0</v>
      </c>
      <c r="G1518">
        <v>0</v>
      </c>
      <c r="H1518">
        <f t="shared" si="46"/>
        <v>0</v>
      </c>
      <c r="I1518">
        <v>3</v>
      </c>
      <c r="J1518">
        <v>0</v>
      </c>
      <c r="K1518">
        <v>0</v>
      </c>
      <c r="L1518">
        <f t="shared" si="47"/>
        <v>3</v>
      </c>
    </row>
    <row r="1519" spans="1:12">
      <c r="A1519" t="s">
        <v>3528</v>
      </c>
      <c r="B1519" t="s">
        <v>1214</v>
      </c>
      <c r="C1519" t="s">
        <v>2810</v>
      </c>
      <c r="D1519" t="s">
        <v>2813</v>
      </c>
      <c r="E1519">
        <v>26</v>
      </c>
      <c r="F1519">
        <v>0</v>
      </c>
      <c r="G1519">
        <v>0</v>
      </c>
      <c r="H1519">
        <f t="shared" si="46"/>
        <v>26</v>
      </c>
      <c r="I1519">
        <v>16</v>
      </c>
      <c r="J1519">
        <v>0</v>
      </c>
      <c r="K1519">
        <v>0</v>
      </c>
      <c r="L1519">
        <f t="shared" si="47"/>
        <v>16</v>
      </c>
    </row>
    <row r="1520" spans="1:12">
      <c r="A1520" t="s">
        <v>3528</v>
      </c>
      <c r="B1520" t="s">
        <v>1214</v>
      </c>
      <c r="C1520" t="s">
        <v>2826</v>
      </c>
      <c r="D1520" t="s">
        <v>2871</v>
      </c>
      <c r="E1520">
        <v>0</v>
      </c>
      <c r="F1520">
        <v>0</v>
      </c>
      <c r="G1520">
        <v>0</v>
      </c>
      <c r="H1520">
        <f t="shared" si="46"/>
        <v>0</v>
      </c>
      <c r="I1520">
        <v>1</v>
      </c>
      <c r="J1520">
        <v>0</v>
      </c>
      <c r="K1520">
        <v>0</v>
      </c>
      <c r="L1520">
        <f t="shared" si="47"/>
        <v>1</v>
      </c>
    </row>
    <row r="1521" spans="1:12">
      <c r="A1521" t="s">
        <v>3528</v>
      </c>
      <c r="B1521" t="s">
        <v>1214</v>
      </c>
      <c r="C1521" t="s">
        <v>2826</v>
      </c>
      <c r="D1521" t="s">
        <v>2827</v>
      </c>
      <c r="E1521">
        <v>0</v>
      </c>
      <c r="F1521">
        <v>0</v>
      </c>
      <c r="G1521">
        <v>0</v>
      </c>
      <c r="H1521">
        <f t="shared" si="46"/>
        <v>0</v>
      </c>
      <c r="I1521">
        <v>1</v>
      </c>
      <c r="J1521">
        <v>0</v>
      </c>
      <c r="K1521">
        <v>0</v>
      </c>
      <c r="L1521">
        <f t="shared" si="47"/>
        <v>1</v>
      </c>
    </row>
    <row r="1522" spans="1:12">
      <c r="A1522" t="s">
        <v>3528</v>
      </c>
      <c r="B1522" t="s">
        <v>1214</v>
      </c>
      <c r="C1522" t="s">
        <v>2826</v>
      </c>
      <c r="D1522" t="s">
        <v>2864</v>
      </c>
      <c r="E1522">
        <v>0</v>
      </c>
      <c r="F1522">
        <v>0</v>
      </c>
      <c r="G1522">
        <v>0</v>
      </c>
      <c r="H1522">
        <f t="shared" si="46"/>
        <v>0</v>
      </c>
      <c r="I1522">
        <v>1</v>
      </c>
      <c r="J1522">
        <v>0</v>
      </c>
      <c r="K1522">
        <v>0</v>
      </c>
      <c r="L1522">
        <f t="shared" si="47"/>
        <v>1</v>
      </c>
    </row>
    <row r="1523" spans="1:12">
      <c r="A1523" t="s">
        <v>3528</v>
      </c>
      <c r="B1523" t="s">
        <v>1214</v>
      </c>
      <c r="C1523" t="s">
        <v>2826</v>
      </c>
      <c r="D1523" t="s">
        <v>2843</v>
      </c>
      <c r="E1523">
        <v>0</v>
      </c>
      <c r="F1523">
        <v>0</v>
      </c>
      <c r="G1523">
        <v>0</v>
      </c>
      <c r="H1523">
        <f t="shared" si="46"/>
        <v>0</v>
      </c>
      <c r="I1523">
        <v>2</v>
      </c>
      <c r="J1523">
        <v>0</v>
      </c>
      <c r="K1523">
        <v>0</v>
      </c>
      <c r="L1523">
        <f t="shared" si="47"/>
        <v>2</v>
      </c>
    </row>
    <row r="1524" spans="1:12">
      <c r="A1524" t="s">
        <v>3528</v>
      </c>
      <c r="B1524" t="s">
        <v>1214</v>
      </c>
      <c r="C1524" t="s">
        <v>2826</v>
      </c>
      <c r="D1524" t="s">
        <v>2834</v>
      </c>
      <c r="E1524">
        <v>1</v>
      </c>
      <c r="F1524">
        <v>0</v>
      </c>
      <c r="G1524">
        <v>0</v>
      </c>
      <c r="H1524">
        <f t="shared" si="46"/>
        <v>1</v>
      </c>
      <c r="I1524">
        <v>1</v>
      </c>
      <c r="J1524">
        <v>0</v>
      </c>
      <c r="K1524">
        <v>0</v>
      </c>
      <c r="L1524">
        <f t="shared" si="47"/>
        <v>1</v>
      </c>
    </row>
    <row r="1525" spans="1:12">
      <c r="A1525" t="s">
        <v>3528</v>
      </c>
      <c r="B1525" t="s">
        <v>1214</v>
      </c>
      <c r="C1525" t="s">
        <v>2826</v>
      </c>
      <c r="D1525" t="s">
        <v>2835</v>
      </c>
      <c r="E1525">
        <v>0</v>
      </c>
      <c r="F1525">
        <v>0</v>
      </c>
      <c r="G1525">
        <v>0</v>
      </c>
      <c r="H1525">
        <f t="shared" si="46"/>
        <v>0</v>
      </c>
      <c r="I1525">
        <v>1</v>
      </c>
      <c r="J1525">
        <v>0</v>
      </c>
      <c r="K1525">
        <v>0</v>
      </c>
      <c r="L1525">
        <f t="shared" si="47"/>
        <v>1</v>
      </c>
    </row>
    <row r="1526" spans="1:12">
      <c r="A1526" t="s">
        <v>3528</v>
      </c>
      <c r="B1526" t="s">
        <v>1214</v>
      </c>
      <c r="C1526" t="s">
        <v>2826</v>
      </c>
      <c r="D1526" t="s">
        <v>2836</v>
      </c>
      <c r="E1526">
        <v>0</v>
      </c>
      <c r="F1526">
        <v>0</v>
      </c>
      <c r="G1526">
        <v>0</v>
      </c>
      <c r="H1526">
        <f t="shared" si="46"/>
        <v>0</v>
      </c>
      <c r="I1526">
        <v>1</v>
      </c>
      <c r="J1526">
        <v>0</v>
      </c>
      <c r="K1526">
        <v>0</v>
      </c>
      <c r="L1526">
        <f t="shared" si="47"/>
        <v>1</v>
      </c>
    </row>
    <row r="1527" spans="1:12">
      <c r="A1527" t="s">
        <v>3528</v>
      </c>
      <c r="B1527" t="s">
        <v>1214</v>
      </c>
      <c r="C1527" t="s">
        <v>2817</v>
      </c>
      <c r="D1527" t="s">
        <v>2888</v>
      </c>
      <c r="E1527">
        <v>7</v>
      </c>
      <c r="F1527">
        <v>0</v>
      </c>
      <c r="G1527">
        <v>0</v>
      </c>
      <c r="H1527">
        <f t="shared" si="46"/>
        <v>7</v>
      </c>
      <c r="I1527">
        <v>0</v>
      </c>
      <c r="J1527">
        <v>0</v>
      </c>
      <c r="K1527">
        <v>0</v>
      </c>
      <c r="L1527">
        <f t="shared" si="47"/>
        <v>0</v>
      </c>
    </row>
    <row r="1528" spans="1:12">
      <c r="A1528" t="s">
        <v>3528</v>
      </c>
      <c r="B1528" t="s">
        <v>1214</v>
      </c>
      <c r="C1528" t="s">
        <v>2817</v>
      </c>
      <c r="D1528" t="s">
        <v>2930</v>
      </c>
      <c r="E1528">
        <v>11</v>
      </c>
      <c r="F1528">
        <v>0</v>
      </c>
      <c r="G1528">
        <v>0</v>
      </c>
      <c r="H1528">
        <f t="shared" si="46"/>
        <v>11</v>
      </c>
      <c r="I1528">
        <v>2</v>
      </c>
      <c r="J1528">
        <v>0</v>
      </c>
      <c r="K1528">
        <v>0</v>
      </c>
      <c r="L1528">
        <f t="shared" si="47"/>
        <v>2</v>
      </c>
    </row>
    <row r="1529" spans="1:12">
      <c r="A1529" t="s">
        <v>3528</v>
      </c>
      <c r="B1529" t="s">
        <v>1214</v>
      </c>
      <c r="C1529" t="s">
        <v>2817</v>
      </c>
      <c r="D1529" t="s">
        <v>2877</v>
      </c>
      <c r="E1529">
        <v>21</v>
      </c>
      <c r="F1529">
        <v>0</v>
      </c>
      <c r="G1529">
        <v>0</v>
      </c>
      <c r="H1529">
        <f t="shared" si="46"/>
        <v>21</v>
      </c>
      <c r="I1529">
        <v>4</v>
      </c>
      <c r="J1529">
        <v>0</v>
      </c>
      <c r="K1529">
        <v>0</v>
      </c>
      <c r="L1529">
        <f t="shared" si="47"/>
        <v>4</v>
      </c>
    </row>
    <row r="1530" spans="1:12">
      <c r="A1530" t="s">
        <v>3528</v>
      </c>
      <c r="B1530" t="s">
        <v>1214</v>
      </c>
      <c r="C1530" t="s">
        <v>2817</v>
      </c>
      <c r="D1530" t="s">
        <v>2819</v>
      </c>
      <c r="E1530">
        <v>2</v>
      </c>
      <c r="F1530">
        <v>0</v>
      </c>
      <c r="G1530">
        <v>0</v>
      </c>
      <c r="H1530">
        <f t="shared" si="46"/>
        <v>2</v>
      </c>
      <c r="I1530">
        <v>3</v>
      </c>
      <c r="J1530">
        <v>0</v>
      </c>
      <c r="K1530">
        <v>0</v>
      </c>
      <c r="L1530">
        <f t="shared" si="47"/>
        <v>3</v>
      </c>
    </row>
    <row r="1531" spans="1:12">
      <c r="A1531" t="s">
        <v>3528</v>
      </c>
      <c r="B1531" t="s">
        <v>1214</v>
      </c>
      <c r="C1531" t="s">
        <v>2817</v>
      </c>
      <c r="D1531" t="s">
        <v>2909</v>
      </c>
      <c r="E1531">
        <v>13</v>
      </c>
      <c r="F1531">
        <v>0</v>
      </c>
      <c r="G1531">
        <v>0</v>
      </c>
      <c r="H1531">
        <f t="shared" si="46"/>
        <v>13</v>
      </c>
      <c r="I1531">
        <v>0</v>
      </c>
      <c r="J1531">
        <v>0</v>
      </c>
      <c r="K1531">
        <v>0</v>
      </c>
      <c r="L1531">
        <f t="shared" si="47"/>
        <v>0</v>
      </c>
    </row>
    <row r="1532" spans="1:12">
      <c r="A1532" t="s">
        <v>3528</v>
      </c>
      <c r="B1532" t="s">
        <v>1214</v>
      </c>
      <c r="C1532" t="s">
        <v>2820</v>
      </c>
      <c r="D1532" t="s">
        <v>2821</v>
      </c>
      <c r="E1532">
        <v>0</v>
      </c>
      <c r="F1532">
        <v>0</v>
      </c>
      <c r="G1532">
        <v>0</v>
      </c>
      <c r="H1532">
        <f t="shared" si="46"/>
        <v>0</v>
      </c>
      <c r="I1532">
        <v>1</v>
      </c>
      <c r="J1532">
        <v>0</v>
      </c>
      <c r="K1532">
        <v>0</v>
      </c>
      <c r="L1532">
        <f t="shared" si="47"/>
        <v>1</v>
      </c>
    </row>
    <row r="1533" spans="1:12">
      <c r="A1533" t="s">
        <v>3529</v>
      </c>
      <c r="B1533" t="s">
        <v>1230</v>
      </c>
      <c r="C1533" t="s">
        <v>2805</v>
      </c>
      <c r="D1533" t="s">
        <v>449</v>
      </c>
      <c r="E1533">
        <v>21</v>
      </c>
      <c r="F1533">
        <v>0</v>
      </c>
      <c r="G1533">
        <v>0</v>
      </c>
      <c r="H1533">
        <f t="shared" si="46"/>
        <v>21</v>
      </c>
      <c r="I1533">
        <v>1</v>
      </c>
      <c r="J1533">
        <v>0</v>
      </c>
      <c r="K1533">
        <v>0</v>
      </c>
      <c r="L1533">
        <f t="shared" si="47"/>
        <v>1</v>
      </c>
    </row>
    <row r="1534" spans="1:12">
      <c r="A1534" t="s">
        <v>3529</v>
      </c>
      <c r="B1534" t="s">
        <v>1230</v>
      </c>
      <c r="C1534" t="s">
        <v>2805</v>
      </c>
      <c r="D1534" t="s">
        <v>2807</v>
      </c>
      <c r="E1534">
        <v>2</v>
      </c>
      <c r="F1534">
        <v>0</v>
      </c>
      <c r="G1534">
        <v>0</v>
      </c>
      <c r="H1534">
        <f t="shared" si="46"/>
        <v>2</v>
      </c>
      <c r="I1534">
        <v>0</v>
      </c>
      <c r="J1534">
        <v>0</v>
      </c>
      <c r="K1534">
        <v>0</v>
      </c>
      <c r="L1534">
        <f t="shared" si="47"/>
        <v>0</v>
      </c>
    </row>
    <row r="1535" spans="1:12">
      <c r="A1535" t="s">
        <v>3529</v>
      </c>
      <c r="B1535" t="s">
        <v>1230</v>
      </c>
      <c r="C1535" t="s">
        <v>2810</v>
      </c>
      <c r="D1535" t="s">
        <v>2811</v>
      </c>
      <c r="E1535">
        <v>6</v>
      </c>
      <c r="F1535">
        <v>0</v>
      </c>
      <c r="G1535">
        <v>0</v>
      </c>
      <c r="H1535">
        <f t="shared" si="46"/>
        <v>6</v>
      </c>
      <c r="I1535">
        <v>0</v>
      </c>
      <c r="J1535">
        <v>0</v>
      </c>
      <c r="K1535">
        <v>0</v>
      </c>
      <c r="L1535">
        <f t="shared" si="47"/>
        <v>0</v>
      </c>
    </row>
    <row r="1536" spans="1:12">
      <c r="A1536" t="s">
        <v>3529</v>
      </c>
      <c r="B1536" t="s">
        <v>1230</v>
      </c>
      <c r="C1536" t="s">
        <v>2810</v>
      </c>
      <c r="D1536" t="s">
        <v>2812</v>
      </c>
      <c r="E1536">
        <v>4</v>
      </c>
      <c r="F1536">
        <v>0</v>
      </c>
      <c r="G1536">
        <v>0</v>
      </c>
      <c r="H1536">
        <f t="shared" si="46"/>
        <v>4</v>
      </c>
      <c r="I1536">
        <v>0</v>
      </c>
      <c r="J1536">
        <v>0</v>
      </c>
      <c r="K1536">
        <v>0</v>
      </c>
      <c r="L1536">
        <f t="shared" si="47"/>
        <v>0</v>
      </c>
    </row>
    <row r="1537" spans="1:12">
      <c r="A1537" t="s">
        <v>3529</v>
      </c>
      <c r="B1537" t="s">
        <v>1230</v>
      </c>
      <c r="C1537" t="s">
        <v>2810</v>
      </c>
      <c r="D1537" t="s">
        <v>2847</v>
      </c>
      <c r="E1537">
        <v>6</v>
      </c>
      <c r="F1537">
        <v>0</v>
      </c>
      <c r="G1537">
        <v>0</v>
      </c>
      <c r="H1537">
        <f t="shared" si="46"/>
        <v>6</v>
      </c>
      <c r="I1537">
        <v>0</v>
      </c>
      <c r="J1537">
        <v>0</v>
      </c>
      <c r="K1537">
        <v>0</v>
      </c>
      <c r="L1537">
        <f t="shared" si="47"/>
        <v>0</v>
      </c>
    </row>
    <row r="1538" spans="1:12">
      <c r="A1538" t="s">
        <v>3529</v>
      </c>
      <c r="B1538" t="s">
        <v>1230</v>
      </c>
      <c r="C1538" t="s">
        <v>2816</v>
      </c>
      <c r="D1538" t="s">
        <v>1897</v>
      </c>
      <c r="E1538">
        <v>10</v>
      </c>
      <c r="F1538">
        <v>0</v>
      </c>
      <c r="G1538">
        <v>0</v>
      </c>
      <c r="H1538">
        <f t="shared" si="46"/>
        <v>10</v>
      </c>
      <c r="I1538">
        <v>0</v>
      </c>
      <c r="J1538">
        <v>0</v>
      </c>
      <c r="K1538">
        <v>0</v>
      </c>
      <c r="L1538">
        <f t="shared" si="47"/>
        <v>0</v>
      </c>
    </row>
    <row r="1539" spans="1:12">
      <c r="A1539" t="s">
        <v>3529</v>
      </c>
      <c r="B1539" t="s">
        <v>1230</v>
      </c>
      <c r="C1539" t="s">
        <v>2826</v>
      </c>
      <c r="D1539" t="s">
        <v>2834</v>
      </c>
      <c r="E1539">
        <v>0</v>
      </c>
      <c r="F1539">
        <v>0</v>
      </c>
      <c r="G1539">
        <v>0</v>
      </c>
      <c r="H1539">
        <f t="shared" si="46"/>
        <v>0</v>
      </c>
      <c r="I1539">
        <v>1</v>
      </c>
      <c r="J1539">
        <v>0</v>
      </c>
      <c r="K1539">
        <v>0</v>
      </c>
      <c r="L1539">
        <f t="shared" si="47"/>
        <v>1</v>
      </c>
    </row>
    <row r="1540" spans="1:12">
      <c r="A1540" t="s">
        <v>3530</v>
      </c>
      <c r="B1540" t="s">
        <v>1227</v>
      </c>
      <c r="C1540" t="s">
        <v>2805</v>
      </c>
      <c r="D1540" t="s">
        <v>2806</v>
      </c>
      <c r="E1540">
        <v>2</v>
      </c>
      <c r="F1540">
        <v>0</v>
      </c>
      <c r="G1540">
        <v>0</v>
      </c>
      <c r="H1540">
        <f t="shared" ref="H1540:H1603" si="48">SUM(E1540:G1540)</f>
        <v>2</v>
      </c>
      <c r="I1540">
        <v>1</v>
      </c>
      <c r="J1540">
        <v>0</v>
      </c>
      <c r="K1540">
        <v>0</v>
      </c>
      <c r="L1540">
        <f t="shared" ref="L1540:L1603" si="49">SUM(I1540:K1540)</f>
        <v>1</v>
      </c>
    </row>
    <row r="1541" spans="1:12">
      <c r="A1541" t="s">
        <v>3530</v>
      </c>
      <c r="B1541" t="s">
        <v>1227</v>
      </c>
      <c r="C1541" t="s">
        <v>2805</v>
      </c>
      <c r="D1541" t="s">
        <v>449</v>
      </c>
      <c r="E1541">
        <v>15</v>
      </c>
      <c r="F1541">
        <v>0</v>
      </c>
      <c r="G1541">
        <v>0</v>
      </c>
      <c r="H1541">
        <f t="shared" si="48"/>
        <v>15</v>
      </c>
      <c r="I1541">
        <v>0</v>
      </c>
      <c r="J1541">
        <v>0</v>
      </c>
      <c r="K1541">
        <v>0</v>
      </c>
      <c r="L1541">
        <f t="shared" si="49"/>
        <v>0</v>
      </c>
    </row>
    <row r="1542" spans="1:12">
      <c r="A1542" t="s">
        <v>3530</v>
      </c>
      <c r="B1542" t="s">
        <v>1227</v>
      </c>
      <c r="C1542" t="s">
        <v>2810</v>
      </c>
      <c r="D1542" t="s">
        <v>2811</v>
      </c>
      <c r="E1542">
        <v>2</v>
      </c>
      <c r="F1542">
        <v>0</v>
      </c>
      <c r="G1542">
        <v>0</v>
      </c>
      <c r="H1542">
        <f t="shared" si="48"/>
        <v>2</v>
      </c>
      <c r="I1542">
        <v>0</v>
      </c>
      <c r="J1542">
        <v>0</v>
      </c>
      <c r="K1542">
        <v>0</v>
      </c>
      <c r="L1542">
        <f t="shared" si="49"/>
        <v>0</v>
      </c>
    </row>
    <row r="1543" spans="1:12">
      <c r="A1543" t="s">
        <v>3535</v>
      </c>
      <c r="B1543" t="s">
        <v>1220</v>
      </c>
      <c r="C1543" t="s">
        <v>2805</v>
      </c>
      <c r="D1543" t="s">
        <v>2806</v>
      </c>
      <c r="E1543">
        <v>21</v>
      </c>
      <c r="F1543">
        <v>0</v>
      </c>
      <c r="G1543">
        <v>0</v>
      </c>
      <c r="H1543">
        <f t="shared" si="48"/>
        <v>21</v>
      </c>
      <c r="I1543">
        <v>0</v>
      </c>
      <c r="J1543">
        <v>0</v>
      </c>
      <c r="K1543">
        <v>0</v>
      </c>
      <c r="L1543">
        <f t="shared" si="49"/>
        <v>0</v>
      </c>
    </row>
    <row r="1544" spans="1:12">
      <c r="A1544" t="s">
        <v>3535</v>
      </c>
      <c r="B1544" t="s">
        <v>1220</v>
      </c>
      <c r="C1544" t="s">
        <v>2805</v>
      </c>
      <c r="D1544" t="s">
        <v>449</v>
      </c>
      <c r="E1544">
        <v>83</v>
      </c>
      <c r="F1544">
        <v>0</v>
      </c>
      <c r="G1544">
        <v>0</v>
      </c>
      <c r="H1544">
        <f t="shared" si="48"/>
        <v>83</v>
      </c>
      <c r="I1544">
        <v>0</v>
      </c>
      <c r="J1544">
        <v>0</v>
      </c>
      <c r="K1544">
        <v>0</v>
      </c>
      <c r="L1544">
        <f t="shared" si="49"/>
        <v>0</v>
      </c>
    </row>
    <row r="1545" spans="1:12">
      <c r="A1545" t="s">
        <v>3535</v>
      </c>
      <c r="B1545" t="s">
        <v>1220</v>
      </c>
      <c r="C1545" t="s">
        <v>2805</v>
      </c>
      <c r="D1545" t="s">
        <v>2807</v>
      </c>
      <c r="E1545">
        <v>9</v>
      </c>
      <c r="F1545">
        <v>0</v>
      </c>
      <c r="G1545">
        <v>0</v>
      </c>
      <c r="H1545">
        <f t="shared" si="48"/>
        <v>9</v>
      </c>
      <c r="I1545">
        <v>0</v>
      </c>
      <c r="J1545">
        <v>0</v>
      </c>
      <c r="K1545">
        <v>0</v>
      </c>
      <c r="L1545">
        <f t="shared" si="49"/>
        <v>0</v>
      </c>
    </row>
    <row r="1546" spans="1:12">
      <c r="A1546" t="s">
        <v>3535</v>
      </c>
      <c r="B1546" t="s">
        <v>1220</v>
      </c>
      <c r="C1546" t="s">
        <v>2805</v>
      </c>
      <c r="D1546" t="s">
        <v>2809</v>
      </c>
      <c r="E1546">
        <v>2</v>
      </c>
      <c r="F1546">
        <v>0</v>
      </c>
      <c r="G1546">
        <v>0</v>
      </c>
      <c r="H1546">
        <f t="shared" si="48"/>
        <v>2</v>
      </c>
      <c r="I1546">
        <v>0</v>
      </c>
      <c r="J1546">
        <v>0</v>
      </c>
      <c r="K1546">
        <v>0</v>
      </c>
      <c r="L1546">
        <f t="shared" si="49"/>
        <v>0</v>
      </c>
    </row>
    <row r="1547" spans="1:12">
      <c r="A1547" t="s">
        <v>3535</v>
      </c>
      <c r="B1547" t="s">
        <v>1220</v>
      </c>
      <c r="C1547" t="s">
        <v>2810</v>
      </c>
      <c r="D1547" t="s">
        <v>2811</v>
      </c>
      <c r="E1547">
        <v>9</v>
      </c>
      <c r="F1547">
        <v>0</v>
      </c>
      <c r="G1547">
        <v>0</v>
      </c>
      <c r="H1547">
        <f t="shared" si="48"/>
        <v>9</v>
      </c>
      <c r="I1547">
        <v>0</v>
      </c>
      <c r="J1547">
        <v>0</v>
      </c>
      <c r="K1547">
        <v>0</v>
      </c>
      <c r="L1547">
        <f t="shared" si="49"/>
        <v>0</v>
      </c>
    </row>
    <row r="1548" spans="1:12">
      <c r="A1548" t="s">
        <v>3535</v>
      </c>
      <c r="B1548" t="s">
        <v>1220</v>
      </c>
      <c r="C1548" t="s">
        <v>2810</v>
      </c>
      <c r="D1548" t="s">
        <v>2812</v>
      </c>
      <c r="E1548">
        <v>1</v>
      </c>
      <c r="F1548">
        <v>0</v>
      </c>
      <c r="G1548">
        <v>0</v>
      </c>
      <c r="H1548">
        <f t="shared" si="48"/>
        <v>1</v>
      </c>
      <c r="I1548">
        <v>0</v>
      </c>
      <c r="J1548">
        <v>0</v>
      </c>
      <c r="K1548">
        <v>0</v>
      </c>
      <c r="L1548">
        <f t="shared" si="49"/>
        <v>0</v>
      </c>
    </row>
    <row r="1549" spans="1:12">
      <c r="A1549" t="s">
        <v>3535</v>
      </c>
      <c r="B1549" t="s">
        <v>1220</v>
      </c>
      <c r="C1549" t="s">
        <v>2810</v>
      </c>
      <c r="D1549" t="s">
        <v>2813</v>
      </c>
      <c r="E1549">
        <v>10</v>
      </c>
      <c r="F1549">
        <v>0</v>
      </c>
      <c r="G1549">
        <v>0</v>
      </c>
      <c r="H1549">
        <f t="shared" si="48"/>
        <v>10</v>
      </c>
      <c r="I1549">
        <v>0</v>
      </c>
      <c r="J1549">
        <v>0</v>
      </c>
      <c r="K1549">
        <v>0</v>
      </c>
      <c r="L1549">
        <f t="shared" si="49"/>
        <v>0</v>
      </c>
    </row>
    <row r="1550" spans="1:12">
      <c r="A1550" t="s">
        <v>3535</v>
      </c>
      <c r="B1550" t="s">
        <v>1220</v>
      </c>
      <c r="C1550" t="s">
        <v>2816</v>
      </c>
      <c r="D1550" t="s">
        <v>1897</v>
      </c>
      <c r="E1550">
        <v>0</v>
      </c>
      <c r="F1550">
        <v>0</v>
      </c>
      <c r="G1550">
        <v>0</v>
      </c>
      <c r="H1550">
        <f t="shared" si="48"/>
        <v>0</v>
      </c>
      <c r="I1550">
        <v>6</v>
      </c>
      <c r="J1550">
        <v>0</v>
      </c>
      <c r="K1550">
        <v>0</v>
      </c>
      <c r="L1550">
        <f t="shared" si="49"/>
        <v>6</v>
      </c>
    </row>
    <row r="1551" spans="1:12">
      <c r="A1551" t="s">
        <v>3535</v>
      </c>
      <c r="B1551" t="s">
        <v>1220</v>
      </c>
      <c r="C1551" t="s">
        <v>2817</v>
      </c>
      <c r="D1551" t="s">
        <v>2837</v>
      </c>
      <c r="E1551">
        <v>46</v>
      </c>
      <c r="F1551">
        <v>0</v>
      </c>
      <c r="G1551">
        <v>0</v>
      </c>
      <c r="H1551">
        <f t="shared" si="48"/>
        <v>46</v>
      </c>
      <c r="I1551">
        <v>0</v>
      </c>
      <c r="J1551">
        <v>0</v>
      </c>
      <c r="K1551">
        <v>0</v>
      </c>
      <c r="L1551">
        <f t="shared" si="49"/>
        <v>0</v>
      </c>
    </row>
    <row r="1552" spans="1:12">
      <c r="A1552" t="s">
        <v>3535</v>
      </c>
      <c r="B1552" t="s">
        <v>1220</v>
      </c>
      <c r="C1552" t="s">
        <v>2817</v>
      </c>
      <c r="D1552" t="s">
        <v>2909</v>
      </c>
      <c r="E1552">
        <v>1</v>
      </c>
      <c r="F1552">
        <v>0</v>
      </c>
      <c r="G1552">
        <v>0</v>
      </c>
      <c r="H1552">
        <f t="shared" si="48"/>
        <v>1</v>
      </c>
      <c r="I1552">
        <v>0</v>
      </c>
      <c r="J1552">
        <v>0</v>
      </c>
      <c r="K1552">
        <v>0</v>
      </c>
      <c r="L1552">
        <f t="shared" si="49"/>
        <v>0</v>
      </c>
    </row>
    <row r="1553" spans="1:12">
      <c r="A1553" t="s">
        <v>3536</v>
      </c>
      <c r="B1553" t="s">
        <v>1237</v>
      </c>
      <c r="C1553" t="s">
        <v>2805</v>
      </c>
      <c r="D1553" t="s">
        <v>2806</v>
      </c>
      <c r="E1553">
        <v>146</v>
      </c>
      <c r="F1553">
        <v>0</v>
      </c>
      <c r="G1553">
        <v>0</v>
      </c>
      <c r="H1553">
        <f t="shared" si="48"/>
        <v>146</v>
      </c>
      <c r="I1553">
        <v>0</v>
      </c>
      <c r="J1553">
        <v>0</v>
      </c>
      <c r="K1553">
        <v>0</v>
      </c>
      <c r="L1553">
        <f t="shared" si="49"/>
        <v>0</v>
      </c>
    </row>
    <row r="1554" spans="1:12">
      <c r="A1554" t="s">
        <v>3536</v>
      </c>
      <c r="B1554" t="s">
        <v>1237</v>
      </c>
      <c r="C1554" t="s">
        <v>2805</v>
      </c>
      <c r="D1554" t="s">
        <v>449</v>
      </c>
      <c r="E1554">
        <v>334</v>
      </c>
      <c r="F1554">
        <v>0</v>
      </c>
      <c r="G1554">
        <v>0</v>
      </c>
      <c r="H1554">
        <f t="shared" si="48"/>
        <v>334</v>
      </c>
      <c r="I1554">
        <v>0</v>
      </c>
      <c r="J1554">
        <v>0</v>
      </c>
      <c r="K1554">
        <v>0</v>
      </c>
      <c r="L1554">
        <f t="shared" si="49"/>
        <v>0</v>
      </c>
    </row>
    <row r="1555" spans="1:12">
      <c r="A1555" t="s">
        <v>3536</v>
      </c>
      <c r="B1555" t="s">
        <v>1237</v>
      </c>
      <c r="C1555" t="s">
        <v>2805</v>
      </c>
      <c r="D1555" t="s">
        <v>2807</v>
      </c>
      <c r="E1555">
        <v>10</v>
      </c>
      <c r="F1555">
        <v>0</v>
      </c>
      <c r="G1555">
        <v>0</v>
      </c>
      <c r="H1555">
        <f t="shared" si="48"/>
        <v>10</v>
      </c>
      <c r="I1555">
        <v>0</v>
      </c>
      <c r="J1555">
        <v>0</v>
      </c>
      <c r="K1555">
        <v>0</v>
      </c>
      <c r="L1555">
        <f t="shared" si="49"/>
        <v>0</v>
      </c>
    </row>
    <row r="1556" spans="1:12">
      <c r="A1556" t="s">
        <v>3536</v>
      </c>
      <c r="B1556" t="s">
        <v>1237</v>
      </c>
      <c r="C1556" t="s">
        <v>2805</v>
      </c>
      <c r="D1556" t="s">
        <v>2937</v>
      </c>
      <c r="E1556">
        <v>3</v>
      </c>
      <c r="F1556">
        <v>0</v>
      </c>
      <c r="G1556">
        <v>0</v>
      </c>
      <c r="H1556">
        <f t="shared" si="48"/>
        <v>3</v>
      </c>
      <c r="I1556">
        <v>0</v>
      </c>
      <c r="J1556">
        <v>0</v>
      </c>
      <c r="K1556">
        <v>0</v>
      </c>
      <c r="L1556">
        <f t="shared" si="49"/>
        <v>0</v>
      </c>
    </row>
    <row r="1557" spans="1:12">
      <c r="A1557" t="s">
        <v>3536</v>
      </c>
      <c r="B1557" t="s">
        <v>1237</v>
      </c>
      <c r="C1557" t="s">
        <v>2810</v>
      </c>
      <c r="D1557" t="s">
        <v>2811</v>
      </c>
      <c r="E1557">
        <v>10</v>
      </c>
      <c r="F1557">
        <v>0</v>
      </c>
      <c r="G1557">
        <v>0</v>
      </c>
      <c r="H1557">
        <f t="shared" si="48"/>
        <v>10</v>
      </c>
      <c r="I1557">
        <v>0</v>
      </c>
      <c r="J1557">
        <v>0</v>
      </c>
      <c r="K1557">
        <v>0</v>
      </c>
      <c r="L1557">
        <f t="shared" si="49"/>
        <v>0</v>
      </c>
    </row>
    <row r="1558" spans="1:12">
      <c r="A1558" t="s">
        <v>3536</v>
      </c>
      <c r="B1558" t="s">
        <v>1237</v>
      </c>
      <c r="C1558" t="s">
        <v>2810</v>
      </c>
      <c r="D1558" t="s">
        <v>2812</v>
      </c>
      <c r="E1558">
        <v>62</v>
      </c>
      <c r="F1558">
        <v>0</v>
      </c>
      <c r="G1558">
        <v>0</v>
      </c>
      <c r="H1558">
        <f t="shared" si="48"/>
        <v>62</v>
      </c>
      <c r="I1558">
        <v>0</v>
      </c>
      <c r="J1558">
        <v>0</v>
      </c>
      <c r="K1558">
        <v>0</v>
      </c>
      <c r="L1558">
        <f t="shared" si="49"/>
        <v>0</v>
      </c>
    </row>
    <row r="1559" spans="1:12">
      <c r="A1559" t="s">
        <v>3536</v>
      </c>
      <c r="B1559" t="s">
        <v>1237</v>
      </c>
      <c r="C1559" t="s">
        <v>2810</v>
      </c>
      <c r="D1559" t="s">
        <v>2813</v>
      </c>
      <c r="E1559">
        <v>25</v>
      </c>
      <c r="F1559">
        <v>0</v>
      </c>
      <c r="G1559">
        <v>0</v>
      </c>
      <c r="H1559">
        <f t="shared" si="48"/>
        <v>25</v>
      </c>
      <c r="I1559">
        <v>0</v>
      </c>
      <c r="J1559">
        <v>0</v>
      </c>
      <c r="K1559">
        <v>0</v>
      </c>
      <c r="L1559">
        <f t="shared" si="49"/>
        <v>0</v>
      </c>
    </row>
    <row r="1560" spans="1:12">
      <c r="A1560" t="s">
        <v>3536</v>
      </c>
      <c r="B1560" t="s">
        <v>1237</v>
      </c>
      <c r="C1560" t="s">
        <v>2810</v>
      </c>
      <c r="D1560" t="s">
        <v>2814</v>
      </c>
      <c r="E1560">
        <v>6</v>
      </c>
      <c r="F1560">
        <v>0</v>
      </c>
      <c r="G1560">
        <v>0</v>
      </c>
      <c r="H1560">
        <f t="shared" si="48"/>
        <v>6</v>
      </c>
      <c r="I1560">
        <v>0</v>
      </c>
      <c r="J1560">
        <v>0</v>
      </c>
      <c r="K1560">
        <v>0</v>
      </c>
      <c r="L1560">
        <f t="shared" si="49"/>
        <v>0</v>
      </c>
    </row>
    <row r="1561" spans="1:12">
      <c r="A1561" t="s">
        <v>3536</v>
      </c>
      <c r="B1561" t="s">
        <v>1237</v>
      </c>
      <c r="C1561" t="s">
        <v>2816</v>
      </c>
      <c r="D1561" t="s">
        <v>1897</v>
      </c>
      <c r="E1561">
        <v>11</v>
      </c>
      <c r="F1561">
        <v>0</v>
      </c>
      <c r="G1561">
        <v>0</v>
      </c>
      <c r="H1561">
        <f t="shared" si="48"/>
        <v>11</v>
      </c>
      <c r="I1561">
        <v>0</v>
      </c>
      <c r="J1561">
        <v>0</v>
      </c>
      <c r="K1561">
        <v>0</v>
      </c>
      <c r="L1561">
        <f t="shared" si="49"/>
        <v>0</v>
      </c>
    </row>
    <row r="1562" spans="1:12">
      <c r="A1562" t="s">
        <v>3536</v>
      </c>
      <c r="B1562" t="s">
        <v>1237</v>
      </c>
      <c r="C1562" t="s">
        <v>2817</v>
      </c>
      <c r="D1562" t="s">
        <v>2818</v>
      </c>
      <c r="E1562">
        <v>10</v>
      </c>
      <c r="F1562">
        <v>0</v>
      </c>
      <c r="G1562">
        <v>0</v>
      </c>
      <c r="H1562">
        <f t="shared" si="48"/>
        <v>10</v>
      </c>
      <c r="I1562">
        <v>0</v>
      </c>
      <c r="J1562">
        <v>0</v>
      </c>
      <c r="K1562">
        <v>0</v>
      </c>
      <c r="L1562">
        <f t="shared" si="49"/>
        <v>0</v>
      </c>
    </row>
    <row r="1563" spans="1:12">
      <c r="A1563" t="s">
        <v>3536</v>
      </c>
      <c r="B1563" t="s">
        <v>1237</v>
      </c>
      <c r="C1563" t="s">
        <v>2817</v>
      </c>
      <c r="D1563" t="s">
        <v>2837</v>
      </c>
      <c r="E1563">
        <v>3</v>
      </c>
      <c r="F1563">
        <v>0</v>
      </c>
      <c r="G1563">
        <v>0</v>
      </c>
      <c r="H1563">
        <f t="shared" si="48"/>
        <v>3</v>
      </c>
      <c r="I1563">
        <v>0</v>
      </c>
      <c r="J1563">
        <v>0</v>
      </c>
      <c r="K1563">
        <v>0</v>
      </c>
      <c r="L1563">
        <f t="shared" si="49"/>
        <v>0</v>
      </c>
    </row>
    <row r="1564" spans="1:12">
      <c r="A1564" t="s">
        <v>3537</v>
      </c>
      <c r="B1564" t="s">
        <v>1240</v>
      </c>
      <c r="C1564" t="s">
        <v>2810</v>
      </c>
      <c r="D1564" t="s">
        <v>2812</v>
      </c>
      <c r="E1564">
        <v>10</v>
      </c>
      <c r="F1564">
        <v>0</v>
      </c>
      <c r="G1564">
        <v>0</v>
      </c>
      <c r="H1564">
        <f t="shared" si="48"/>
        <v>10</v>
      </c>
      <c r="I1564">
        <v>0</v>
      </c>
      <c r="J1564">
        <v>0</v>
      </c>
      <c r="K1564">
        <v>0</v>
      </c>
      <c r="L1564">
        <f t="shared" si="49"/>
        <v>0</v>
      </c>
    </row>
    <row r="1565" spans="1:12">
      <c r="A1565" t="s">
        <v>3537</v>
      </c>
      <c r="B1565" t="s">
        <v>1240</v>
      </c>
      <c r="C1565" t="s">
        <v>2810</v>
      </c>
      <c r="D1565" t="s">
        <v>2813</v>
      </c>
      <c r="E1565">
        <v>4</v>
      </c>
      <c r="F1565">
        <v>0</v>
      </c>
      <c r="G1565">
        <v>0</v>
      </c>
      <c r="H1565">
        <f t="shared" si="48"/>
        <v>4</v>
      </c>
      <c r="I1565">
        <v>0</v>
      </c>
      <c r="J1565">
        <v>0</v>
      </c>
      <c r="K1565">
        <v>0</v>
      </c>
      <c r="L1565">
        <f t="shared" si="49"/>
        <v>0</v>
      </c>
    </row>
    <row r="1566" spans="1:12">
      <c r="A1566" t="s">
        <v>3537</v>
      </c>
      <c r="B1566" t="s">
        <v>1240</v>
      </c>
      <c r="C1566" t="s">
        <v>2810</v>
      </c>
      <c r="D1566" t="s">
        <v>2847</v>
      </c>
      <c r="E1566">
        <v>20</v>
      </c>
      <c r="F1566">
        <v>0</v>
      </c>
      <c r="G1566">
        <v>0</v>
      </c>
      <c r="H1566">
        <f t="shared" si="48"/>
        <v>20</v>
      </c>
      <c r="I1566">
        <v>0</v>
      </c>
      <c r="J1566">
        <v>0</v>
      </c>
      <c r="K1566">
        <v>0</v>
      </c>
      <c r="L1566">
        <f t="shared" si="49"/>
        <v>0</v>
      </c>
    </row>
    <row r="1567" spans="1:12">
      <c r="A1567" t="s">
        <v>3544</v>
      </c>
      <c r="B1567" t="s">
        <v>346</v>
      </c>
      <c r="C1567" t="s">
        <v>2841</v>
      </c>
      <c r="D1567" t="s">
        <v>2842</v>
      </c>
      <c r="E1567">
        <v>0</v>
      </c>
      <c r="F1567">
        <v>0</v>
      </c>
      <c r="G1567">
        <v>0</v>
      </c>
      <c r="H1567">
        <f t="shared" si="48"/>
        <v>0</v>
      </c>
      <c r="I1567">
        <v>1</v>
      </c>
      <c r="J1567">
        <v>0</v>
      </c>
      <c r="K1567">
        <v>0</v>
      </c>
      <c r="L1567">
        <f t="shared" si="49"/>
        <v>1</v>
      </c>
    </row>
    <row r="1568" spans="1:12">
      <c r="A1568" t="s">
        <v>3544</v>
      </c>
      <c r="B1568" t="s">
        <v>346</v>
      </c>
      <c r="C1568" t="s">
        <v>2826</v>
      </c>
      <c r="D1568" t="s">
        <v>2871</v>
      </c>
      <c r="E1568">
        <v>0</v>
      </c>
      <c r="F1568">
        <v>0</v>
      </c>
      <c r="G1568">
        <v>0</v>
      </c>
      <c r="H1568">
        <f t="shared" si="48"/>
        <v>0</v>
      </c>
      <c r="I1568">
        <v>0</v>
      </c>
      <c r="J1568">
        <v>1</v>
      </c>
      <c r="K1568">
        <v>0</v>
      </c>
      <c r="L1568">
        <f t="shared" si="49"/>
        <v>1</v>
      </c>
    </row>
    <row r="1569" spans="1:12">
      <c r="A1569" t="s">
        <v>3544</v>
      </c>
      <c r="B1569" t="s">
        <v>346</v>
      </c>
      <c r="C1569" t="s">
        <v>2826</v>
      </c>
      <c r="D1569" t="s">
        <v>2905</v>
      </c>
      <c r="E1569">
        <v>0</v>
      </c>
      <c r="F1569">
        <v>0</v>
      </c>
      <c r="G1569">
        <v>0</v>
      </c>
      <c r="H1569">
        <f t="shared" si="48"/>
        <v>0</v>
      </c>
      <c r="I1569">
        <v>0</v>
      </c>
      <c r="J1569">
        <v>1</v>
      </c>
      <c r="K1569">
        <v>0</v>
      </c>
      <c r="L1569">
        <f t="shared" si="49"/>
        <v>1</v>
      </c>
    </row>
    <row r="1570" spans="1:12">
      <c r="A1570" t="s">
        <v>3544</v>
      </c>
      <c r="B1570" t="s">
        <v>346</v>
      </c>
      <c r="C1570" t="s">
        <v>2826</v>
      </c>
      <c r="D1570" t="s">
        <v>2843</v>
      </c>
      <c r="E1570">
        <v>0</v>
      </c>
      <c r="F1570">
        <v>0</v>
      </c>
      <c r="G1570">
        <v>0</v>
      </c>
      <c r="H1570">
        <f t="shared" si="48"/>
        <v>0</v>
      </c>
      <c r="I1570">
        <v>1</v>
      </c>
      <c r="J1570">
        <v>0</v>
      </c>
      <c r="K1570">
        <v>0</v>
      </c>
      <c r="L1570">
        <f t="shared" si="49"/>
        <v>1</v>
      </c>
    </row>
    <row r="1571" spans="1:12">
      <c r="A1571" t="s">
        <v>3544</v>
      </c>
      <c r="B1571" t="s">
        <v>346</v>
      </c>
      <c r="C1571" t="s">
        <v>2826</v>
      </c>
      <c r="D1571" t="s">
        <v>2834</v>
      </c>
      <c r="E1571">
        <v>0</v>
      </c>
      <c r="F1571">
        <v>0</v>
      </c>
      <c r="G1571">
        <v>0</v>
      </c>
      <c r="H1571">
        <f t="shared" si="48"/>
        <v>0</v>
      </c>
      <c r="I1571">
        <v>1</v>
      </c>
      <c r="J1571">
        <v>0</v>
      </c>
      <c r="K1571">
        <v>0</v>
      </c>
      <c r="L1571">
        <f t="shared" si="49"/>
        <v>1</v>
      </c>
    </row>
    <row r="1572" spans="1:12">
      <c r="A1572" t="s">
        <v>3544</v>
      </c>
      <c r="B1572" t="s">
        <v>346</v>
      </c>
      <c r="C1572" t="s">
        <v>2826</v>
      </c>
      <c r="D1572" t="s">
        <v>2917</v>
      </c>
      <c r="E1572">
        <v>0</v>
      </c>
      <c r="F1572">
        <v>0</v>
      </c>
      <c r="G1572">
        <v>0</v>
      </c>
      <c r="H1572">
        <f t="shared" si="48"/>
        <v>0</v>
      </c>
      <c r="I1572">
        <v>1</v>
      </c>
      <c r="J1572">
        <v>0</v>
      </c>
      <c r="K1572">
        <v>0</v>
      </c>
      <c r="L1572">
        <f t="shared" si="49"/>
        <v>1</v>
      </c>
    </row>
    <row r="1573" spans="1:12">
      <c r="A1573" t="s">
        <v>3544</v>
      </c>
      <c r="B1573" t="s">
        <v>346</v>
      </c>
      <c r="C1573" t="s">
        <v>2820</v>
      </c>
      <c r="D1573" t="s">
        <v>2952</v>
      </c>
      <c r="E1573">
        <v>0</v>
      </c>
      <c r="F1573">
        <v>0</v>
      </c>
      <c r="G1573">
        <v>0</v>
      </c>
      <c r="H1573">
        <f t="shared" si="48"/>
        <v>0</v>
      </c>
      <c r="I1573">
        <v>1</v>
      </c>
      <c r="J1573">
        <v>0</v>
      </c>
      <c r="K1573">
        <v>0</v>
      </c>
      <c r="L1573">
        <f t="shared" si="49"/>
        <v>1</v>
      </c>
    </row>
    <row r="1574" spans="1:12">
      <c r="A1574" t="s">
        <v>3545</v>
      </c>
      <c r="B1574" t="s">
        <v>1245</v>
      </c>
      <c r="C1574" t="s">
        <v>2805</v>
      </c>
      <c r="D1574" t="s">
        <v>2806</v>
      </c>
      <c r="E1574">
        <v>440</v>
      </c>
      <c r="F1574">
        <v>0</v>
      </c>
      <c r="G1574">
        <v>0</v>
      </c>
      <c r="H1574">
        <f t="shared" si="48"/>
        <v>440</v>
      </c>
      <c r="I1574">
        <v>4</v>
      </c>
      <c r="J1574">
        <v>0</v>
      </c>
      <c r="K1574">
        <v>0</v>
      </c>
      <c r="L1574">
        <f t="shared" si="49"/>
        <v>4</v>
      </c>
    </row>
    <row r="1575" spans="1:12">
      <c r="A1575" t="s">
        <v>3545</v>
      </c>
      <c r="B1575" t="s">
        <v>1245</v>
      </c>
      <c r="C1575" t="s">
        <v>2805</v>
      </c>
      <c r="D1575" t="s">
        <v>449</v>
      </c>
      <c r="E1575">
        <v>699</v>
      </c>
      <c r="F1575">
        <v>0</v>
      </c>
      <c r="G1575">
        <v>0</v>
      </c>
      <c r="H1575">
        <f t="shared" si="48"/>
        <v>699</v>
      </c>
      <c r="I1575">
        <v>6</v>
      </c>
      <c r="J1575">
        <v>0</v>
      </c>
      <c r="K1575">
        <v>0</v>
      </c>
      <c r="L1575">
        <f t="shared" si="49"/>
        <v>6</v>
      </c>
    </row>
    <row r="1576" spans="1:12">
      <c r="A1576" t="s">
        <v>3545</v>
      </c>
      <c r="B1576" t="s">
        <v>1245</v>
      </c>
      <c r="C1576" t="s">
        <v>2805</v>
      </c>
      <c r="D1576" t="s">
        <v>2807</v>
      </c>
      <c r="E1576">
        <v>22</v>
      </c>
      <c r="F1576">
        <v>0</v>
      </c>
      <c r="G1576">
        <v>0</v>
      </c>
      <c r="H1576">
        <f t="shared" si="48"/>
        <v>22</v>
      </c>
      <c r="I1576">
        <v>0</v>
      </c>
      <c r="J1576">
        <v>0</v>
      </c>
      <c r="K1576">
        <v>0</v>
      </c>
      <c r="L1576">
        <f t="shared" si="49"/>
        <v>0</v>
      </c>
    </row>
    <row r="1577" spans="1:12">
      <c r="A1577" t="s">
        <v>3545</v>
      </c>
      <c r="B1577" t="s">
        <v>1245</v>
      </c>
      <c r="C1577" t="s">
        <v>2805</v>
      </c>
      <c r="D1577" t="s">
        <v>2809</v>
      </c>
      <c r="E1577">
        <v>12</v>
      </c>
      <c r="F1577">
        <v>0</v>
      </c>
      <c r="G1577">
        <v>0</v>
      </c>
      <c r="H1577">
        <f t="shared" si="48"/>
        <v>12</v>
      </c>
      <c r="I1577">
        <v>1</v>
      </c>
      <c r="J1577">
        <v>0</v>
      </c>
      <c r="K1577">
        <v>0</v>
      </c>
      <c r="L1577">
        <f t="shared" si="49"/>
        <v>1</v>
      </c>
    </row>
    <row r="1578" spans="1:12">
      <c r="A1578" t="s">
        <v>3545</v>
      </c>
      <c r="B1578" t="s">
        <v>1245</v>
      </c>
      <c r="C1578" t="s">
        <v>2805</v>
      </c>
      <c r="D1578" t="s">
        <v>2846</v>
      </c>
      <c r="E1578">
        <v>3</v>
      </c>
      <c r="F1578">
        <v>0</v>
      </c>
      <c r="G1578">
        <v>0</v>
      </c>
      <c r="H1578">
        <f t="shared" si="48"/>
        <v>3</v>
      </c>
      <c r="I1578">
        <v>0</v>
      </c>
      <c r="J1578">
        <v>0</v>
      </c>
      <c r="K1578">
        <v>0</v>
      </c>
      <c r="L1578">
        <f t="shared" si="49"/>
        <v>0</v>
      </c>
    </row>
    <row r="1579" spans="1:12">
      <c r="A1579" t="s">
        <v>3545</v>
      </c>
      <c r="B1579" t="s">
        <v>1245</v>
      </c>
      <c r="C1579" t="s">
        <v>2810</v>
      </c>
      <c r="D1579" t="s">
        <v>2811</v>
      </c>
      <c r="E1579">
        <v>22</v>
      </c>
      <c r="F1579">
        <v>0</v>
      </c>
      <c r="G1579">
        <v>0</v>
      </c>
      <c r="H1579">
        <f t="shared" si="48"/>
        <v>22</v>
      </c>
      <c r="I1579">
        <v>0</v>
      </c>
      <c r="J1579">
        <v>0</v>
      </c>
      <c r="K1579">
        <v>0</v>
      </c>
      <c r="L1579">
        <f t="shared" si="49"/>
        <v>0</v>
      </c>
    </row>
    <row r="1580" spans="1:12">
      <c r="A1580" t="s">
        <v>3545</v>
      </c>
      <c r="B1580" t="s">
        <v>1245</v>
      </c>
      <c r="C1580" t="s">
        <v>2810</v>
      </c>
      <c r="D1580" t="s">
        <v>2823</v>
      </c>
      <c r="E1580">
        <v>2</v>
      </c>
      <c r="F1580">
        <v>1</v>
      </c>
      <c r="G1580">
        <v>0</v>
      </c>
      <c r="H1580">
        <f t="shared" si="48"/>
        <v>3</v>
      </c>
      <c r="I1580">
        <v>0</v>
      </c>
      <c r="J1580">
        <v>0</v>
      </c>
      <c r="K1580">
        <v>0</v>
      </c>
      <c r="L1580">
        <f t="shared" si="49"/>
        <v>0</v>
      </c>
    </row>
    <row r="1581" spans="1:12">
      <c r="A1581" t="s">
        <v>3545</v>
      </c>
      <c r="B1581" t="s">
        <v>1245</v>
      </c>
      <c r="C1581" t="s">
        <v>2810</v>
      </c>
      <c r="D1581" t="s">
        <v>2812</v>
      </c>
      <c r="E1581">
        <v>140</v>
      </c>
      <c r="F1581">
        <v>0</v>
      </c>
      <c r="G1581">
        <v>0</v>
      </c>
      <c r="H1581">
        <f t="shared" si="48"/>
        <v>140</v>
      </c>
      <c r="I1581">
        <v>0</v>
      </c>
      <c r="J1581">
        <v>0</v>
      </c>
      <c r="K1581">
        <v>0</v>
      </c>
      <c r="L1581">
        <f t="shared" si="49"/>
        <v>0</v>
      </c>
    </row>
    <row r="1582" spans="1:12">
      <c r="A1582" t="s">
        <v>3545</v>
      </c>
      <c r="B1582" t="s">
        <v>1245</v>
      </c>
      <c r="C1582" t="s">
        <v>2810</v>
      </c>
      <c r="D1582" t="s">
        <v>2813</v>
      </c>
      <c r="E1582">
        <v>59</v>
      </c>
      <c r="F1582">
        <v>0</v>
      </c>
      <c r="G1582">
        <v>0</v>
      </c>
      <c r="H1582">
        <f t="shared" si="48"/>
        <v>59</v>
      </c>
      <c r="I1582">
        <v>0</v>
      </c>
      <c r="J1582">
        <v>0</v>
      </c>
      <c r="K1582">
        <v>0</v>
      </c>
      <c r="L1582">
        <f t="shared" si="49"/>
        <v>0</v>
      </c>
    </row>
    <row r="1583" spans="1:12">
      <c r="A1583" t="s">
        <v>3545</v>
      </c>
      <c r="B1583" t="s">
        <v>1245</v>
      </c>
      <c r="C1583" t="s">
        <v>2810</v>
      </c>
      <c r="D1583" t="s">
        <v>2814</v>
      </c>
      <c r="E1583">
        <v>15</v>
      </c>
      <c r="F1583">
        <v>0</v>
      </c>
      <c r="G1583">
        <v>0</v>
      </c>
      <c r="H1583">
        <f t="shared" si="48"/>
        <v>15</v>
      </c>
      <c r="I1583">
        <v>0</v>
      </c>
      <c r="J1583">
        <v>0</v>
      </c>
      <c r="K1583">
        <v>0</v>
      </c>
      <c r="L1583">
        <f t="shared" si="49"/>
        <v>0</v>
      </c>
    </row>
    <row r="1584" spans="1:12">
      <c r="A1584" t="s">
        <v>3545</v>
      </c>
      <c r="B1584" t="s">
        <v>1245</v>
      </c>
      <c r="C1584" t="s">
        <v>2810</v>
      </c>
      <c r="D1584" t="s">
        <v>2815</v>
      </c>
      <c r="E1584">
        <v>17</v>
      </c>
      <c r="F1584">
        <v>0</v>
      </c>
      <c r="G1584">
        <v>0</v>
      </c>
      <c r="H1584">
        <f t="shared" si="48"/>
        <v>17</v>
      </c>
      <c r="I1584">
        <v>0</v>
      </c>
      <c r="J1584">
        <v>0</v>
      </c>
      <c r="K1584">
        <v>0</v>
      </c>
      <c r="L1584">
        <f t="shared" si="49"/>
        <v>0</v>
      </c>
    </row>
    <row r="1585" spans="1:12">
      <c r="A1585" t="s">
        <v>3545</v>
      </c>
      <c r="B1585" t="s">
        <v>1245</v>
      </c>
      <c r="C1585" t="s">
        <v>2816</v>
      </c>
      <c r="D1585" t="s">
        <v>1897</v>
      </c>
      <c r="E1585">
        <v>90</v>
      </c>
      <c r="F1585">
        <v>0</v>
      </c>
      <c r="G1585">
        <v>0</v>
      </c>
      <c r="H1585">
        <f t="shared" si="48"/>
        <v>90</v>
      </c>
      <c r="I1585">
        <v>0</v>
      </c>
      <c r="J1585">
        <v>0</v>
      </c>
      <c r="K1585">
        <v>0</v>
      </c>
      <c r="L1585">
        <f t="shared" si="49"/>
        <v>0</v>
      </c>
    </row>
    <row r="1586" spans="1:12">
      <c r="A1586" t="s">
        <v>3545</v>
      </c>
      <c r="B1586" t="s">
        <v>1245</v>
      </c>
      <c r="C1586" t="s">
        <v>2817</v>
      </c>
      <c r="D1586" t="s">
        <v>2818</v>
      </c>
      <c r="E1586">
        <v>29</v>
      </c>
      <c r="F1586">
        <v>0</v>
      </c>
      <c r="G1586">
        <v>0</v>
      </c>
      <c r="H1586">
        <f t="shared" si="48"/>
        <v>29</v>
      </c>
      <c r="I1586">
        <v>0</v>
      </c>
      <c r="J1586">
        <v>0</v>
      </c>
      <c r="K1586">
        <v>0</v>
      </c>
      <c r="L1586">
        <f t="shared" si="49"/>
        <v>0</v>
      </c>
    </row>
    <row r="1587" spans="1:12">
      <c r="A1587" t="s">
        <v>3545</v>
      </c>
      <c r="B1587" t="s">
        <v>1245</v>
      </c>
      <c r="C1587" t="s">
        <v>2817</v>
      </c>
      <c r="D1587" t="s">
        <v>2837</v>
      </c>
      <c r="E1587">
        <v>26</v>
      </c>
      <c r="F1587">
        <v>0</v>
      </c>
      <c r="G1587">
        <v>0</v>
      </c>
      <c r="H1587">
        <f t="shared" si="48"/>
        <v>26</v>
      </c>
      <c r="I1587">
        <v>0</v>
      </c>
      <c r="J1587">
        <v>0</v>
      </c>
      <c r="K1587">
        <v>0</v>
      </c>
      <c r="L1587">
        <f t="shared" si="49"/>
        <v>0</v>
      </c>
    </row>
    <row r="1588" spans="1:12">
      <c r="A1588" t="s">
        <v>3546</v>
      </c>
      <c r="B1588" t="s">
        <v>1249</v>
      </c>
      <c r="C1588" t="s">
        <v>2805</v>
      </c>
      <c r="D1588" t="s">
        <v>2806</v>
      </c>
      <c r="E1588">
        <v>239</v>
      </c>
      <c r="F1588">
        <v>0</v>
      </c>
      <c r="G1588">
        <v>0</v>
      </c>
      <c r="H1588">
        <f t="shared" si="48"/>
        <v>239</v>
      </c>
      <c r="I1588">
        <v>0</v>
      </c>
      <c r="J1588">
        <v>0</v>
      </c>
      <c r="K1588">
        <v>0</v>
      </c>
      <c r="L1588">
        <f t="shared" si="49"/>
        <v>0</v>
      </c>
    </row>
    <row r="1589" spans="1:12">
      <c r="A1589" t="s">
        <v>3546</v>
      </c>
      <c r="B1589" t="s">
        <v>1249</v>
      </c>
      <c r="C1589" t="s">
        <v>2805</v>
      </c>
      <c r="D1589" t="s">
        <v>449</v>
      </c>
      <c r="E1589">
        <v>457</v>
      </c>
      <c r="F1589">
        <v>0</v>
      </c>
      <c r="G1589">
        <v>0</v>
      </c>
      <c r="H1589">
        <f t="shared" si="48"/>
        <v>457</v>
      </c>
      <c r="I1589">
        <v>0</v>
      </c>
      <c r="J1589">
        <v>0</v>
      </c>
      <c r="K1589">
        <v>0</v>
      </c>
      <c r="L1589">
        <f t="shared" si="49"/>
        <v>0</v>
      </c>
    </row>
    <row r="1590" spans="1:12">
      <c r="A1590" t="s">
        <v>3546</v>
      </c>
      <c r="B1590" t="s">
        <v>1249</v>
      </c>
      <c r="C1590" t="s">
        <v>2805</v>
      </c>
      <c r="D1590" t="s">
        <v>2807</v>
      </c>
      <c r="E1590">
        <v>3</v>
      </c>
      <c r="F1590">
        <v>0</v>
      </c>
      <c r="G1590">
        <v>0</v>
      </c>
      <c r="H1590">
        <f t="shared" si="48"/>
        <v>3</v>
      </c>
      <c r="I1590">
        <v>0</v>
      </c>
      <c r="J1590">
        <v>0</v>
      </c>
      <c r="K1590">
        <v>0</v>
      </c>
      <c r="L1590">
        <f t="shared" si="49"/>
        <v>0</v>
      </c>
    </row>
    <row r="1591" spans="1:12">
      <c r="A1591" t="s">
        <v>3546</v>
      </c>
      <c r="B1591" t="s">
        <v>1249</v>
      </c>
      <c r="C1591" t="s">
        <v>2810</v>
      </c>
      <c r="D1591" t="s">
        <v>2811</v>
      </c>
      <c r="E1591">
        <v>11</v>
      </c>
      <c r="F1591">
        <v>0</v>
      </c>
      <c r="G1591">
        <v>0</v>
      </c>
      <c r="H1591">
        <f t="shared" si="48"/>
        <v>11</v>
      </c>
      <c r="I1591">
        <v>0</v>
      </c>
      <c r="J1591">
        <v>0</v>
      </c>
      <c r="K1591">
        <v>0</v>
      </c>
      <c r="L1591">
        <f t="shared" si="49"/>
        <v>0</v>
      </c>
    </row>
    <row r="1592" spans="1:12">
      <c r="A1592" t="s">
        <v>3546</v>
      </c>
      <c r="B1592" t="s">
        <v>1249</v>
      </c>
      <c r="C1592" t="s">
        <v>2816</v>
      </c>
      <c r="D1592" t="s">
        <v>1897</v>
      </c>
      <c r="E1592">
        <v>6</v>
      </c>
      <c r="F1592">
        <v>0</v>
      </c>
      <c r="G1592">
        <v>0</v>
      </c>
      <c r="H1592">
        <f t="shared" si="48"/>
        <v>6</v>
      </c>
      <c r="I1592">
        <v>0</v>
      </c>
      <c r="J1592">
        <v>0</v>
      </c>
      <c r="K1592">
        <v>0</v>
      </c>
      <c r="L1592">
        <f t="shared" si="49"/>
        <v>0</v>
      </c>
    </row>
    <row r="1593" spans="1:12">
      <c r="A1593" t="s">
        <v>3546</v>
      </c>
      <c r="B1593" t="s">
        <v>1249</v>
      </c>
      <c r="C1593" t="s">
        <v>2817</v>
      </c>
      <c r="D1593" t="s">
        <v>2818</v>
      </c>
      <c r="E1593">
        <v>58</v>
      </c>
      <c r="F1593">
        <v>0</v>
      </c>
      <c r="G1593">
        <v>0</v>
      </c>
      <c r="H1593">
        <f t="shared" si="48"/>
        <v>58</v>
      </c>
      <c r="I1593">
        <v>0</v>
      </c>
      <c r="J1593">
        <v>0</v>
      </c>
      <c r="K1593">
        <v>0</v>
      </c>
      <c r="L1593">
        <f t="shared" si="49"/>
        <v>0</v>
      </c>
    </row>
    <row r="1594" spans="1:12">
      <c r="A1594" t="s">
        <v>3549</v>
      </c>
      <c r="B1594" t="s">
        <v>1255</v>
      </c>
      <c r="C1594" t="s">
        <v>2805</v>
      </c>
      <c r="D1594" t="s">
        <v>2806</v>
      </c>
      <c r="E1594">
        <v>0</v>
      </c>
      <c r="F1594">
        <v>0</v>
      </c>
      <c r="G1594">
        <v>0</v>
      </c>
      <c r="H1594">
        <f t="shared" si="48"/>
        <v>0</v>
      </c>
      <c r="I1594">
        <v>1</v>
      </c>
      <c r="J1594">
        <v>0</v>
      </c>
      <c r="K1594">
        <v>0</v>
      </c>
      <c r="L1594">
        <f t="shared" si="49"/>
        <v>1</v>
      </c>
    </row>
    <row r="1595" spans="1:12">
      <c r="A1595" t="s">
        <v>3549</v>
      </c>
      <c r="B1595" t="s">
        <v>1255</v>
      </c>
      <c r="C1595" t="s">
        <v>2805</v>
      </c>
      <c r="D1595" t="s">
        <v>449</v>
      </c>
      <c r="E1595">
        <v>13</v>
      </c>
      <c r="F1595">
        <v>0</v>
      </c>
      <c r="G1595">
        <v>0</v>
      </c>
      <c r="H1595">
        <f t="shared" si="48"/>
        <v>13</v>
      </c>
      <c r="I1595">
        <v>7</v>
      </c>
      <c r="J1595">
        <v>0</v>
      </c>
      <c r="K1595">
        <v>0</v>
      </c>
      <c r="L1595">
        <f t="shared" si="49"/>
        <v>7</v>
      </c>
    </row>
    <row r="1596" spans="1:12">
      <c r="A1596" t="s">
        <v>3549</v>
      </c>
      <c r="B1596" t="s">
        <v>1255</v>
      </c>
      <c r="C1596" t="s">
        <v>2810</v>
      </c>
      <c r="D1596" t="s">
        <v>2811</v>
      </c>
      <c r="E1596">
        <v>0</v>
      </c>
      <c r="F1596">
        <v>0</v>
      </c>
      <c r="G1596">
        <v>0</v>
      </c>
      <c r="H1596">
        <f t="shared" si="48"/>
        <v>0</v>
      </c>
      <c r="I1596">
        <v>2</v>
      </c>
      <c r="J1596">
        <v>0</v>
      </c>
      <c r="K1596">
        <v>0</v>
      </c>
      <c r="L1596">
        <f t="shared" si="49"/>
        <v>2</v>
      </c>
    </row>
    <row r="1597" spans="1:12">
      <c r="A1597" t="s">
        <v>3556</v>
      </c>
      <c r="B1597" t="s">
        <v>1256</v>
      </c>
      <c r="C1597" t="s">
        <v>2805</v>
      </c>
      <c r="D1597" t="s">
        <v>449</v>
      </c>
      <c r="E1597">
        <v>9</v>
      </c>
      <c r="F1597">
        <v>0</v>
      </c>
      <c r="G1597">
        <v>0</v>
      </c>
      <c r="H1597">
        <f t="shared" si="48"/>
        <v>9</v>
      </c>
      <c r="I1597">
        <v>34</v>
      </c>
      <c r="J1597">
        <v>0</v>
      </c>
      <c r="K1597">
        <v>0</v>
      </c>
      <c r="L1597">
        <f t="shared" si="49"/>
        <v>34</v>
      </c>
    </row>
    <row r="1598" spans="1:12">
      <c r="A1598" t="s">
        <v>3556</v>
      </c>
      <c r="B1598" t="s">
        <v>1256</v>
      </c>
      <c r="C1598" t="s">
        <v>2810</v>
      </c>
      <c r="D1598" t="s">
        <v>2811</v>
      </c>
      <c r="E1598">
        <v>0</v>
      </c>
      <c r="F1598">
        <v>0</v>
      </c>
      <c r="G1598">
        <v>0</v>
      </c>
      <c r="H1598">
        <f t="shared" si="48"/>
        <v>0</v>
      </c>
      <c r="I1598">
        <v>3</v>
      </c>
      <c r="J1598">
        <v>0</v>
      </c>
      <c r="K1598">
        <v>0</v>
      </c>
      <c r="L1598">
        <f t="shared" si="49"/>
        <v>3</v>
      </c>
    </row>
    <row r="1599" spans="1:12">
      <c r="A1599" t="s">
        <v>3556</v>
      </c>
      <c r="B1599" t="s">
        <v>1256</v>
      </c>
      <c r="C1599" t="s">
        <v>2810</v>
      </c>
      <c r="D1599" t="s">
        <v>1892</v>
      </c>
      <c r="E1599">
        <v>0</v>
      </c>
      <c r="F1599">
        <v>0</v>
      </c>
      <c r="G1599">
        <v>0</v>
      </c>
      <c r="H1599">
        <f t="shared" si="48"/>
        <v>0</v>
      </c>
      <c r="I1599">
        <v>2</v>
      </c>
      <c r="J1599">
        <v>0</v>
      </c>
      <c r="K1599">
        <v>0</v>
      </c>
      <c r="L1599">
        <f t="shared" si="49"/>
        <v>2</v>
      </c>
    </row>
    <row r="1600" spans="1:12">
      <c r="A1600" t="s">
        <v>3556</v>
      </c>
      <c r="B1600" t="s">
        <v>1256</v>
      </c>
      <c r="C1600" t="s">
        <v>2841</v>
      </c>
      <c r="D1600" t="s">
        <v>2842</v>
      </c>
      <c r="E1600">
        <v>0</v>
      </c>
      <c r="F1600">
        <v>0</v>
      </c>
      <c r="G1600">
        <v>0</v>
      </c>
      <c r="H1600">
        <f t="shared" si="48"/>
        <v>0</v>
      </c>
      <c r="I1600">
        <v>8</v>
      </c>
      <c r="J1600">
        <v>0</v>
      </c>
      <c r="K1600">
        <v>0</v>
      </c>
      <c r="L1600">
        <f t="shared" si="49"/>
        <v>8</v>
      </c>
    </row>
    <row r="1601" spans="1:12">
      <c r="A1601" t="s">
        <v>3556</v>
      </c>
      <c r="B1601" t="s">
        <v>1256</v>
      </c>
      <c r="C1601" t="s">
        <v>2817</v>
      </c>
      <c r="D1601" t="s">
        <v>2887</v>
      </c>
      <c r="E1601">
        <v>0</v>
      </c>
      <c r="F1601">
        <v>0</v>
      </c>
      <c r="G1601">
        <v>0</v>
      </c>
      <c r="H1601">
        <f t="shared" si="48"/>
        <v>0</v>
      </c>
      <c r="I1601">
        <v>1</v>
      </c>
      <c r="J1601">
        <v>0</v>
      </c>
      <c r="K1601">
        <v>0</v>
      </c>
      <c r="L1601">
        <f t="shared" si="49"/>
        <v>1</v>
      </c>
    </row>
    <row r="1602" spans="1:12">
      <c r="A1602" t="s">
        <v>3556</v>
      </c>
      <c r="B1602" t="s">
        <v>1256</v>
      </c>
      <c r="C1602" t="s">
        <v>2820</v>
      </c>
      <c r="D1602" t="s">
        <v>2821</v>
      </c>
      <c r="E1602">
        <v>3</v>
      </c>
      <c r="F1602">
        <v>0</v>
      </c>
      <c r="G1602">
        <v>0</v>
      </c>
      <c r="H1602">
        <f t="shared" si="48"/>
        <v>3</v>
      </c>
      <c r="I1602">
        <v>0</v>
      </c>
      <c r="J1602">
        <v>0</v>
      </c>
      <c r="K1602">
        <v>0</v>
      </c>
      <c r="L1602">
        <f t="shared" si="49"/>
        <v>0</v>
      </c>
    </row>
    <row r="1603" spans="1:12">
      <c r="A1603" t="s">
        <v>3563</v>
      </c>
      <c r="B1603" t="s">
        <v>1258</v>
      </c>
      <c r="C1603" t="s">
        <v>2805</v>
      </c>
      <c r="D1603" t="s">
        <v>2806</v>
      </c>
      <c r="E1603">
        <v>1</v>
      </c>
      <c r="F1603">
        <v>0</v>
      </c>
      <c r="G1603">
        <v>0</v>
      </c>
      <c r="H1603">
        <f t="shared" si="48"/>
        <v>1</v>
      </c>
      <c r="I1603">
        <v>0</v>
      </c>
      <c r="J1603">
        <v>0</v>
      </c>
      <c r="K1603">
        <v>0</v>
      </c>
      <c r="L1603">
        <f t="shared" si="49"/>
        <v>0</v>
      </c>
    </row>
    <row r="1604" spans="1:12">
      <c r="A1604" t="s">
        <v>3563</v>
      </c>
      <c r="B1604" t="s">
        <v>1258</v>
      </c>
      <c r="C1604" t="s">
        <v>2805</v>
      </c>
      <c r="D1604" t="s">
        <v>449</v>
      </c>
      <c r="E1604">
        <v>4</v>
      </c>
      <c r="F1604">
        <v>0</v>
      </c>
      <c r="G1604">
        <v>0</v>
      </c>
      <c r="H1604">
        <f t="shared" ref="H1604:H1667" si="50">SUM(E1604:G1604)</f>
        <v>4</v>
      </c>
      <c r="I1604">
        <v>3</v>
      </c>
      <c r="J1604">
        <v>0</v>
      </c>
      <c r="K1604">
        <v>0</v>
      </c>
      <c r="L1604">
        <f t="shared" ref="L1604:L1667" si="51">SUM(I1604:K1604)</f>
        <v>3</v>
      </c>
    </row>
    <row r="1605" spans="1:12">
      <c r="A1605" t="s">
        <v>3563</v>
      </c>
      <c r="B1605" t="s">
        <v>1258</v>
      </c>
      <c r="C1605" t="s">
        <v>2805</v>
      </c>
      <c r="D1605" t="s">
        <v>2807</v>
      </c>
      <c r="E1605">
        <v>1</v>
      </c>
      <c r="F1605">
        <v>0</v>
      </c>
      <c r="G1605">
        <v>0</v>
      </c>
      <c r="H1605">
        <f t="shared" si="50"/>
        <v>1</v>
      </c>
      <c r="I1605">
        <v>0</v>
      </c>
      <c r="J1605">
        <v>0</v>
      </c>
      <c r="K1605">
        <v>0</v>
      </c>
      <c r="L1605">
        <f t="shared" si="51"/>
        <v>0</v>
      </c>
    </row>
    <row r="1606" spans="1:12">
      <c r="A1606" t="s">
        <v>3563</v>
      </c>
      <c r="B1606" t="s">
        <v>1258</v>
      </c>
      <c r="C1606" t="s">
        <v>2810</v>
      </c>
      <c r="D1606" t="s">
        <v>2811</v>
      </c>
      <c r="E1606">
        <v>8</v>
      </c>
      <c r="F1606">
        <v>0</v>
      </c>
      <c r="G1606">
        <v>0</v>
      </c>
      <c r="H1606">
        <f t="shared" si="50"/>
        <v>8</v>
      </c>
      <c r="I1606">
        <v>4</v>
      </c>
      <c r="J1606">
        <v>0</v>
      </c>
      <c r="K1606">
        <v>0</v>
      </c>
      <c r="L1606">
        <f t="shared" si="51"/>
        <v>4</v>
      </c>
    </row>
    <row r="1607" spans="1:12">
      <c r="A1607" t="s">
        <v>3563</v>
      </c>
      <c r="B1607" t="s">
        <v>1258</v>
      </c>
      <c r="C1607" t="s">
        <v>2810</v>
      </c>
      <c r="D1607" t="s">
        <v>2823</v>
      </c>
      <c r="E1607">
        <v>0</v>
      </c>
      <c r="F1607">
        <v>2</v>
      </c>
      <c r="G1607">
        <v>0</v>
      </c>
      <c r="H1607">
        <f t="shared" si="50"/>
        <v>2</v>
      </c>
      <c r="I1607">
        <v>0</v>
      </c>
      <c r="J1607">
        <v>0</v>
      </c>
      <c r="K1607">
        <v>0</v>
      </c>
      <c r="L1607">
        <f t="shared" si="51"/>
        <v>0</v>
      </c>
    </row>
    <row r="1608" spans="1:12">
      <c r="A1608" t="s">
        <v>3563</v>
      </c>
      <c r="B1608" t="s">
        <v>1258</v>
      </c>
      <c r="C1608" t="s">
        <v>2810</v>
      </c>
      <c r="D1608" t="s">
        <v>2812</v>
      </c>
      <c r="E1608">
        <v>2</v>
      </c>
      <c r="F1608">
        <v>0</v>
      </c>
      <c r="G1608">
        <v>0</v>
      </c>
      <c r="H1608">
        <f t="shared" si="50"/>
        <v>2</v>
      </c>
      <c r="I1608">
        <v>0</v>
      </c>
      <c r="J1608">
        <v>0</v>
      </c>
      <c r="K1608">
        <v>0</v>
      </c>
      <c r="L1608">
        <f t="shared" si="51"/>
        <v>0</v>
      </c>
    </row>
    <row r="1609" spans="1:12">
      <c r="A1609" t="s">
        <v>3563</v>
      </c>
      <c r="B1609" t="s">
        <v>1258</v>
      </c>
      <c r="C1609" t="s">
        <v>2810</v>
      </c>
      <c r="D1609" t="s">
        <v>2813</v>
      </c>
      <c r="E1609">
        <v>3</v>
      </c>
      <c r="F1609">
        <v>0</v>
      </c>
      <c r="G1609">
        <v>0</v>
      </c>
      <c r="H1609">
        <f t="shared" si="50"/>
        <v>3</v>
      </c>
      <c r="I1609">
        <v>2</v>
      </c>
      <c r="J1609">
        <v>0</v>
      </c>
      <c r="K1609">
        <v>0</v>
      </c>
      <c r="L1609">
        <f t="shared" si="51"/>
        <v>2</v>
      </c>
    </row>
    <row r="1610" spans="1:12">
      <c r="A1610" t="s">
        <v>3563</v>
      </c>
      <c r="B1610" t="s">
        <v>1258</v>
      </c>
      <c r="C1610" t="s">
        <v>2817</v>
      </c>
      <c r="D1610" t="s">
        <v>2887</v>
      </c>
      <c r="E1610">
        <v>0</v>
      </c>
      <c r="F1610">
        <v>0</v>
      </c>
      <c r="G1610">
        <v>0</v>
      </c>
      <c r="H1610">
        <f t="shared" si="50"/>
        <v>0</v>
      </c>
      <c r="I1610">
        <v>1</v>
      </c>
      <c r="J1610">
        <v>0</v>
      </c>
      <c r="K1610">
        <v>0</v>
      </c>
      <c r="L1610">
        <f t="shared" si="51"/>
        <v>1</v>
      </c>
    </row>
    <row r="1611" spans="1:12">
      <c r="A1611" t="s">
        <v>3572</v>
      </c>
      <c r="B1611" t="s">
        <v>1233</v>
      </c>
      <c r="C1611" t="s">
        <v>2805</v>
      </c>
      <c r="D1611" t="s">
        <v>2806</v>
      </c>
      <c r="E1611">
        <v>98</v>
      </c>
      <c r="F1611">
        <v>0</v>
      </c>
      <c r="G1611">
        <v>0</v>
      </c>
      <c r="H1611">
        <f t="shared" si="50"/>
        <v>98</v>
      </c>
      <c r="I1611">
        <v>0</v>
      </c>
      <c r="J1611">
        <v>0</v>
      </c>
      <c r="K1611">
        <v>0</v>
      </c>
      <c r="L1611">
        <f t="shared" si="51"/>
        <v>0</v>
      </c>
    </row>
    <row r="1612" spans="1:12">
      <c r="A1612" t="s">
        <v>3572</v>
      </c>
      <c r="B1612" t="s">
        <v>1233</v>
      </c>
      <c r="C1612" t="s">
        <v>2805</v>
      </c>
      <c r="D1612" t="s">
        <v>449</v>
      </c>
      <c r="E1612">
        <v>67</v>
      </c>
      <c r="F1612">
        <v>0</v>
      </c>
      <c r="G1612">
        <v>0</v>
      </c>
      <c r="H1612">
        <f t="shared" si="50"/>
        <v>67</v>
      </c>
      <c r="I1612">
        <v>0</v>
      </c>
      <c r="J1612">
        <v>0</v>
      </c>
      <c r="K1612">
        <v>0</v>
      </c>
      <c r="L1612">
        <f t="shared" si="51"/>
        <v>0</v>
      </c>
    </row>
    <row r="1613" spans="1:12">
      <c r="A1613" t="s">
        <v>3572</v>
      </c>
      <c r="B1613" t="s">
        <v>1233</v>
      </c>
      <c r="C1613" t="s">
        <v>2805</v>
      </c>
      <c r="D1613" t="s">
        <v>2807</v>
      </c>
      <c r="E1613">
        <v>2</v>
      </c>
      <c r="F1613">
        <v>0</v>
      </c>
      <c r="G1613">
        <v>0</v>
      </c>
      <c r="H1613">
        <f t="shared" si="50"/>
        <v>2</v>
      </c>
      <c r="I1613">
        <v>0</v>
      </c>
      <c r="J1613">
        <v>0</v>
      </c>
      <c r="K1613">
        <v>0</v>
      </c>
      <c r="L1613">
        <f t="shared" si="51"/>
        <v>0</v>
      </c>
    </row>
    <row r="1614" spans="1:12">
      <c r="A1614" t="s">
        <v>3572</v>
      </c>
      <c r="B1614" t="s">
        <v>1233</v>
      </c>
      <c r="C1614" t="s">
        <v>2805</v>
      </c>
      <c r="D1614" t="s">
        <v>442</v>
      </c>
      <c r="E1614">
        <v>1</v>
      </c>
      <c r="F1614">
        <v>0</v>
      </c>
      <c r="G1614">
        <v>0</v>
      </c>
      <c r="H1614">
        <f t="shared" si="50"/>
        <v>1</v>
      </c>
      <c r="I1614">
        <v>0</v>
      </c>
      <c r="J1614">
        <v>0</v>
      </c>
      <c r="K1614">
        <v>0</v>
      </c>
      <c r="L1614">
        <f t="shared" si="51"/>
        <v>0</v>
      </c>
    </row>
    <row r="1615" spans="1:12">
      <c r="A1615" t="s">
        <v>3572</v>
      </c>
      <c r="B1615" t="s">
        <v>1233</v>
      </c>
      <c r="C1615" t="s">
        <v>2810</v>
      </c>
      <c r="D1615" t="s">
        <v>2811</v>
      </c>
      <c r="E1615">
        <v>6</v>
      </c>
      <c r="F1615">
        <v>0</v>
      </c>
      <c r="G1615">
        <v>0</v>
      </c>
      <c r="H1615">
        <f t="shared" si="50"/>
        <v>6</v>
      </c>
      <c r="I1615">
        <v>0</v>
      </c>
      <c r="J1615">
        <v>0</v>
      </c>
      <c r="K1615">
        <v>0</v>
      </c>
      <c r="L1615">
        <f t="shared" si="51"/>
        <v>0</v>
      </c>
    </row>
    <row r="1616" spans="1:12">
      <c r="A1616" t="s">
        <v>3572</v>
      </c>
      <c r="B1616" t="s">
        <v>1233</v>
      </c>
      <c r="C1616" t="s">
        <v>2810</v>
      </c>
      <c r="D1616" t="s">
        <v>1892</v>
      </c>
      <c r="E1616">
        <v>7</v>
      </c>
      <c r="F1616">
        <v>0</v>
      </c>
      <c r="G1616">
        <v>0</v>
      </c>
      <c r="H1616">
        <f t="shared" si="50"/>
        <v>7</v>
      </c>
      <c r="I1616">
        <v>0</v>
      </c>
      <c r="J1616">
        <v>0</v>
      </c>
      <c r="K1616">
        <v>0</v>
      </c>
      <c r="L1616">
        <f t="shared" si="51"/>
        <v>0</v>
      </c>
    </row>
    <row r="1617" spans="1:12">
      <c r="A1617" t="s">
        <v>3572</v>
      </c>
      <c r="B1617" t="s">
        <v>1233</v>
      </c>
      <c r="C1617" t="s">
        <v>2810</v>
      </c>
      <c r="D1617" t="s">
        <v>2823</v>
      </c>
      <c r="E1617">
        <v>1</v>
      </c>
      <c r="F1617">
        <v>3</v>
      </c>
      <c r="G1617">
        <v>0</v>
      </c>
      <c r="H1617">
        <f t="shared" si="50"/>
        <v>4</v>
      </c>
      <c r="I1617">
        <v>0</v>
      </c>
      <c r="J1617">
        <v>0</v>
      </c>
      <c r="K1617">
        <v>0</v>
      </c>
      <c r="L1617">
        <f t="shared" si="51"/>
        <v>0</v>
      </c>
    </row>
    <row r="1618" spans="1:12">
      <c r="A1618" t="s">
        <v>3572</v>
      </c>
      <c r="B1618" t="s">
        <v>1233</v>
      </c>
      <c r="C1618" t="s">
        <v>2810</v>
      </c>
      <c r="D1618" t="s">
        <v>2812</v>
      </c>
      <c r="E1618">
        <v>86</v>
      </c>
      <c r="F1618">
        <v>0</v>
      </c>
      <c r="G1618">
        <v>0</v>
      </c>
      <c r="H1618">
        <f t="shared" si="50"/>
        <v>86</v>
      </c>
      <c r="I1618">
        <v>0</v>
      </c>
      <c r="J1618">
        <v>0</v>
      </c>
      <c r="K1618">
        <v>0</v>
      </c>
      <c r="L1618">
        <f t="shared" si="51"/>
        <v>0</v>
      </c>
    </row>
    <row r="1619" spans="1:12">
      <c r="A1619" t="s">
        <v>3572</v>
      </c>
      <c r="B1619" t="s">
        <v>1233</v>
      </c>
      <c r="C1619" t="s">
        <v>2810</v>
      </c>
      <c r="D1619" t="s">
        <v>2813</v>
      </c>
      <c r="E1619">
        <v>38</v>
      </c>
      <c r="F1619">
        <v>0</v>
      </c>
      <c r="G1619">
        <v>0</v>
      </c>
      <c r="H1619">
        <f t="shared" si="50"/>
        <v>38</v>
      </c>
      <c r="I1619">
        <v>5</v>
      </c>
      <c r="J1619">
        <v>0</v>
      </c>
      <c r="K1619">
        <v>0</v>
      </c>
      <c r="L1619">
        <f t="shared" si="51"/>
        <v>5</v>
      </c>
    </row>
    <row r="1620" spans="1:12">
      <c r="A1620" t="s">
        <v>3572</v>
      </c>
      <c r="B1620" t="s">
        <v>1233</v>
      </c>
      <c r="C1620" t="s">
        <v>2810</v>
      </c>
      <c r="D1620" t="s">
        <v>2814</v>
      </c>
      <c r="E1620">
        <v>1</v>
      </c>
      <c r="F1620">
        <v>0</v>
      </c>
      <c r="G1620">
        <v>0</v>
      </c>
      <c r="H1620">
        <f t="shared" si="50"/>
        <v>1</v>
      </c>
      <c r="I1620">
        <v>0</v>
      </c>
      <c r="J1620">
        <v>0</v>
      </c>
      <c r="K1620">
        <v>0</v>
      </c>
      <c r="L1620">
        <f t="shared" si="51"/>
        <v>0</v>
      </c>
    </row>
    <row r="1621" spans="1:12">
      <c r="A1621" t="s">
        <v>3572</v>
      </c>
      <c r="B1621" t="s">
        <v>1233</v>
      </c>
      <c r="C1621" t="s">
        <v>2810</v>
      </c>
      <c r="D1621" t="s">
        <v>2847</v>
      </c>
      <c r="E1621">
        <v>122</v>
      </c>
      <c r="F1621">
        <v>0</v>
      </c>
      <c r="G1621">
        <v>0</v>
      </c>
      <c r="H1621">
        <f t="shared" si="50"/>
        <v>122</v>
      </c>
      <c r="I1621">
        <v>0</v>
      </c>
      <c r="J1621">
        <v>0</v>
      </c>
      <c r="K1621">
        <v>0</v>
      </c>
      <c r="L1621">
        <f t="shared" si="51"/>
        <v>0</v>
      </c>
    </row>
    <row r="1622" spans="1:12">
      <c r="A1622" t="s">
        <v>3572</v>
      </c>
      <c r="B1622" t="s">
        <v>1233</v>
      </c>
      <c r="C1622" t="s">
        <v>2810</v>
      </c>
      <c r="D1622" t="s">
        <v>2815</v>
      </c>
      <c r="E1622">
        <v>6</v>
      </c>
      <c r="F1622">
        <v>0</v>
      </c>
      <c r="G1622">
        <v>0</v>
      </c>
      <c r="H1622">
        <f t="shared" si="50"/>
        <v>6</v>
      </c>
      <c r="I1622">
        <v>0</v>
      </c>
      <c r="J1622">
        <v>0</v>
      </c>
      <c r="K1622">
        <v>0</v>
      </c>
      <c r="L1622">
        <f t="shared" si="51"/>
        <v>0</v>
      </c>
    </row>
    <row r="1623" spans="1:12">
      <c r="A1623" t="s">
        <v>3572</v>
      </c>
      <c r="B1623" t="s">
        <v>1233</v>
      </c>
      <c r="C1623" t="s">
        <v>2816</v>
      </c>
      <c r="D1623" t="s">
        <v>1897</v>
      </c>
      <c r="E1623">
        <v>14</v>
      </c>
      <c r="F1623">
        <v>0</v>
      </c>
      <c r="G1623">
        <v>0</v>
      </c>
      <c r="H1623">
        <f t="shared" si="50"/>
        <v>14</v>
      </c>
      <c r="I1623">
        <v>0</v>
      </c>
      <c r="J1623">
        <v>0</v>
      </c>
      <c r="K1623">
        <v>0</v>
      </c>
      <c r="L1623">
        <f t="shared" si="51"/>
        <v>0</v>
      </c>
    </row>
    <row r="1624" spans="1:12">
      <c r="A1624" t="s">
        <v>3572</v>
      </c>
      <c r="B1624" t="s">
        <v>1233</v>
      </c>
      <c r="C1624" t="s">
        <v>2817</v>
      </c>
      <c r="D1624" t="s">
        <v>2818</v>
      </c>
      <c r="E1624">
        <v>6</v>
      </c>
      <c r="F1624">
        <v>0</v>
      </c>
      <c r="G1624">
        <v>0</v>
      </c>
      <c r="H1624">
        <f t="shared" si="50"/>
        <v>6</v>
      </c>
      <c r="I1624">
        <v>0</v>
      </c>
      <c r="J1624">
        <v>0</v>
      </c>
      <c r="K1624">
        <v>0</v>
      </c>
      <c r="L1624">
        <f t="shared" si="51"/>
        <v>0</v>
      </c>
    </row>
    <row r="1625" spans="1:12">
      <c r="A1625" t="s">
        <v>3573</v>
      </c>
      <c r="B1625" t="s">
        <v>1263</v>
      </c>
      <c r="C1625" t="s">
        <v>2810</v>
      </c>
      <c r="D1625" t="s">
        <v>2811</v>
      </c>
      <c r="E1625">
        <v>2</v>
      </c>
      <c r="F1625">
        <v>0</v>
      </c>
      <c r="G1625">
        <v>0</v>
      </c>
      <c r="H1625">
        <f t="shared" si="50"/>
        <v>2</v>
      </c>
      <c r="I1625">
        <v>0</v>
      </c>
      <c r="J1625">
        <v>0</v>
      </c>
      <c r="K1625">
        <v>0</v>
      </c>
      <c r="L1625">
        <f t="shared" si="51"/>
        <v>0</v>
      </c>
    </row>
    <row r="1626" spans="1:12">
      <c r="A1626" t="s">
        <v>3573</v>
      </c>
      <c r="B1626" t="s">
        <v>1263</v>
      </c>
      <c r="C1626" t="s">
        <v>2810</v>
      </c>
      <c r="D1626" t="s">
        <v>2847</v>
      </c>
      <c r="E1626">
        <v>8</v>
      </c>
      <c r="F1626">
        <v>0</v>
      </c>
      <c r="G1626">
        <v>0</v>
      </c>
      <c r="H1626">
        <f t="shared" si="50"/>
        <v>8</v>
      </c>
      <c r="I1626">
        <v>0</v>
      </c>
      <c r="J1626">
        <v>0</v>
      </c>
      <c r="K1626">
        <v>0</v>
      </c>
      <c r="L1626">
        <f t="shared" si="51"/>
        <v>0</v>
      </c>
    </row>
    <row r="1627" spans="1:12">
      <c r="A1627" t="s">
        <v>3573</v>
      </c>
      <c r="B1627" t="s">
        <v>1263</v>
      </c>
      <c r="C1627" t="s">
        <v>2826</v>
      </c>
      <c r="D1627" t="s">
        <v>2843</v>
      </c>
      <c r="E1627">
        <v>0</v>
      </c>
      <c r="F1627">
        <v>0</v>
      </c>
      <c r="G1627">
        <v>0</v>
      </c>
      <c r="H1627">
        <f t="shared" si="50"/>
        <v>0</v>
      </c>
      <c r="I1627">
        <v>1</v>
      </c>
      <c r="J1627">
        <v>0</v>
      </c>
      <c r="K1627">
        <v>0</v>
      </c>
      <c r="L1627">
        <f t="shared" si="51"/>
        <v>1</v>
      </c>
    </row>
    <row r="1628" spans="1:12">
      <c r="A1628" t="s">
        <v>3573</v>
      </c>
      <c r="B1628" t="s">
        <v>1263</v>
      </c>
      <c r="C1628" t="s">
        <v>2826</v>
      </c>
      <c r="D1628" t="s">
        <v>2849</v>
      </c>
      <c r="E1628">
        <v>0</v>
      </c>
      <c r="F1628">
        <v>0</v>
      </c>
      <c r="G1628">
        <v>0</v>
      </c>
      <c r="H1628">
        <f t="shared" si="50"/>
        <v>0</v>
      </c>
      <c r="I1628">
        <v>1</v>
      </c>
      <c r="J1628">
        <v>0</v>
      </c>
      <c r="K1628">
        <v>0</v>
      </c>
      <c r="L1628">
        <f t="shared" si="51"/>
        <v>1</v>
      </c>
    </row>
    <row r="1629" spans="1:12">
      <c r="A1629" t="s">
        <v>3578</v>
      </c>
      <c r="B1629" t="s">
        <v>1268</v>
      </c>
      <c r="C1629" t="s">
        <v>2805</v>
      </c>
      <c r="D1629" t="s">
        <v>2806</v>
      </c>
      <c r="E1629">
        <v>11</v>
      </c>
      <c r="F1629">
        <v>0</v>
      </c>
      <c r="G1629">
        <v>0</v>
      </c>
      <c r="H1629">
        <f t="shared" si="50"/>
        <v>11</v>
      </c>
      <c r="I1629">
        <v>0</v>
      </c>
      <c r="J1629">
        <v>0</v>
      </c>
      <c r="K1629">
        <v>0</v>
      </c>
      <c r="L1629">
        <f t="shared" si="51"/>
        <v>0</v>
      </c>
    </row>
    <row r="1630" spans="1:12">
      <c r="A1630" t="s">
        <v>3578</v>
      </c>
      <c r="B1630" t="s">
        <v>1268</v>
      </c>
      <c r="C1630" t="s">
        <v>2805</v>
      </c>
      <c r="D1630" t="s">
        <v>449</v>
      </c>
      <c r="E1630">
        <v>62</v>
      </c>
      <c r="F1630">
        <v>0</v>
      </c>
      <c r="G1630">
        <v>0</v>
      </c>
      <c r="H1630">
        <f t="shared" si="50"/>
        <v>62</v>
      </c>
      <c r="I1630">
        <v>2</v>
      </c>
      <c r="J1630">
        <v>0</v>
      </c>
      <c r="K1630">
        <v>0</v>
      </c>
      <c r="L1630">
        <f t="shared" si="51"/>
        <v>2</v>
      </c>
    </row>
    <row r="1631" spans="1:12">
      <c r="A1631" t="s">
        <v>3578</v>
      </c>
      <c r="B1631" t="s">
        <v>1268</v>
      </c>
      <c r="C1631" t="s">
        <v>2805</v>
      </c>
      <c r="D1631" t="s">
        <v>2807</v>
      </c>
      <c r="E1631">
        <v>1</v>
      </c>
      <c r="F1631">
        <v>0</v>
      </c>
      <c r="G1631">
        <v>0</v>
      </c>
      <c r="H1631">
        <f t="shared" si="50"/>
        <v>1</v>
      </c>
      <c r="I1631">
        <v>0</v>
      </c>
      <c r="J1631">
        <v>0</v>
      </c>
      <c r="K1631">
        <v>0</v>
      </c>
      <c r="L1631">
        <f t="shared" si="51"/>
        <v>0</v>
      </c>
    </row>
    <row r="1632" spans="1:12">
      <c r="A1632" t="s">
        <v>3578</v>
      </c>
      <c r="B1632" t="s">
        <v>1268</v>
      </c>
      <c r="C1632" t="s">
        <v>2810</v>
      </c>
      <c r="D1632" t="s">
        <v>2811</v>
      </c>
      <c r="E1632">
        <v>5</v>
      </c>
      <c r="F1632">
        <v>0</v>
      </c>
      <c r="G1632">
        <v>0</v>
      </c>
      <c r="H1632">
        <f t="shared" si="50"/>
        <v>5</v>
      </c>
      <c r="I1632">
        <v>0</v>
      </c>
      <c r="J1632">
        <v>0</v>
      </c>
      <c r="K1632">
        <v>0</v>
      </c>
      <c r="L1632">
        <f t="shared" si="51"/>
        <v>0</v>
      </c>
    </row>
    <row r="1633" spans="1:12">
      <c r="A1633" t="s">
        <v>3578</v>
      </c>
      <c r="B1633" t="s">
        <v>1268</v>
      </c>
      <c r="C1633" t="s">
        <v>2810</v>
      </c>
      <c r="D1633" t="s">
        <v>2813</v>
      </c>
      <c r="E1633">
        <v>1</v>
      </c>
      <c r="F1633">
        <v>0</v>
      </c>
      <c r="G1633">
        <v>0</v>
      </c>
      <c r="H1633">
        <f t="shared" si="50"/>
        <v>1</v>
      </c>
      <c r="I1633">
        <v>0</v>
      </c>
      <c r="J1633">
        <v>0</v>
      </c>
      <c r="K1633">
        <v>0</v>
      </c>
      <c r="L1633">
        <f t="shared" si="51"/>
        <v>0</v>
      </c>
    </row>
    <row r="1634" spans="1:12">
      <c r="A1634" t="s">
        <v>3578</v>
      </c>
      <c r="B1634" t="s">
        <v>1268</v>
      </c>
      <c r="C1634" t="s">
        <v>2810</v>
      </c>
      <c r="D1634" t="s">
        <v>2815</v>
      </c>
      <c r="E1634">
        <v>1</v>
      </c>
      <c r="F1634">
        <v>0</v>
      </c>
      <c r="G1634">
        <v>0</v>
      </c>
      <c r="H1634">
        <f t="shared" si="50"/>
        <v>1</v>
      </c>
      <c r="I1634">
        <v>0</v>
      </c>
      <c r="J1634">
        <v>0</v>
      </c>
      <c r="K1634">
        <v>0</v>
      </c>
      <c r="L1634">
        <f t="shared" si="51"/>
        <v>0</v>
      </c>
    </row>
    <row r="1635" spans="1:12">
      <c r="A1635" t="s">
        <v>3578</v>
      </c>
      <c r="B1635" t="s">
        <v>1268</v>
      </c>
      <c r="C1635" t="s">
        <v>2816</v>
      </c>
      <c r="D1635" t="s">
        <v>1897</v>
      </c>
      <c r="E1635">
        <v>1</v>
      </c>
      <c r="F1635">
        <v>0</v>
      </c>
      <c r="G1635">
        <v>0</v>
      </c>
      <c r="H1635">
        <f t="shared" si="50"/>
        <v>1</v>
      </c>
      <c r="I1635">
        <v>0</v>
      </c>
      <c r="J1635">
        <v>0</v>
      </c>
      <c r="K1635">
        <v>0</v>
      </c>
      <c r="L1635">
        <f t="shared" si="51"/>
        <v>0</v>
      </c>
    </row>
    <row r="1636" spans="1:12">
      <c r="A1636" t="s">
        <v>3578</v>
      </c>
      <c r="B1636" t="s">
        <v>1268</v>
      </c>
      <c r="C1636" t="s">
        <v>2826</v>
      </c>
      <c r="D1636" t="s">
        <v>2871</v>
      </c>
      <c r="E1636">
        <v>0</v>
      </c>
      <c r="F1636">
        <v>0</v>
      </c>
      <c r="G1636">
        <v>0</v>
      </c>
      <c r="H1636">
        <f t="shared" si="50"/>
        <v>0</v>
      </c>
      <c r="I1636">
        <v>1</v>
      </c>
      <c r="J1636">
        <v>0</v>
      </c>
      <c r="K1636">
        <v>0</v>
      </c>
      <c r="L1636">
        <f t="shared" si="51"/>
        <v>1</v>
      </c>
    </row>
    <row r="1637" spans="1:12">
      <c r="A1637" t="s">
        <v>3578</v>
      </c>
      <c r="B1637" t="s">
        <v>1268</v>
      </c>
      <c r="C1637" t="s">
        <v>2826</v>
      </c>
      <c r="D1637" t="s">
        <v>2827</v>
      </c>
      <c r="E1637">
        <v>0</v>
      </c>
      <c r="F1637">
        <v>0</v>
      </c>
      <c r="G1637">
        <v>0</v>
      </c>
      <c r="H1637">
        <f t="shared" si="50"/>
        <v>0</v>
      </c>
      <c r="I1637">
        <v>1</v>
      </c>
      <c r="J1637">
        <v>0</v>
      </c>
      <c r="K1637">
        <v>0</v>
      </c>
      <c r="L1637">
        <f t="shared" si="51"/>
        <v>1</v>
      </c>
    </row>
    <row r="1638" spans="1:12">
      <c r="A1638" t="s">
        <v>3578</v>
      </c>
      <c r="B1638" t="s">
        <v>1268</v>
      </c>
      <c r="C1638" t="s">
        <v>2826</v>
      </c>
      <c r="D1638" t="s">
        <v>2891</v>
      </c>
      <c r="E1638">
        <v>0</v>
      </c>
      <c r="F1638">
        <v>0</v>
      </c>
      <c r="G1638">
        <v>0</v>
      </c>
      <c r="H1638">
        <f t="shared" si="50"/>
        <v>0</v>
      </c>
      <c r="I1638">
        <v>1</v>
      </c>
      <c r="J1638">
        <v>0</v>
      </c>
      <c r="K1638">
        <v>0</v>
      </c>
      <c r="L1638">
        <f t="shared" si="51"/>
        <v>1</v>
      </c>
    </row>
    <row r="1639" spans="1:12">
      <c r="A1639" t="s">
        <v>3578</v>
      </c>
      <c r="B1639" t="s">
        <v>1268</v>
      </c>
      <c r="C1639" t="s">
        <v>2826</v>
      </c>
      <c r="D1639" t="s">
        <v>2843</v>
      </c>
      <c r="E1639">
        <v>0</v>
      </c>
      <c r="F1639">
        <v>0</v>
      </c>
      <c r="G1639">
        <v>0</v>
      </c>
      <c r="H1639">
        <f t="shared" si="50"/>
        <v>0</v>
      </c>
      <c r="I1639">
        <v>1</v>
      </c>
      <c r="J1639">
        <v>0</v>
      </c>
      <c r="K1639">
        <v>0</v>
      </c>
      <c r="L1639">
        <f t="shared" si="51"/>
        <v>1</v>
      </c>
    </row>
    <row r="1640" spans="1:12">
      <c r="A1640" t="s">
        <v>3578</v>
      </c>
      <c r="B1640" t="s">
        <v>1268</v>
      </c>
      <c r="C1640" t="s">
        <v>2826</v>
      </c>
      <c r="D1640" t="s">
        <v>2835</v>
      </c>
      <c r="E1640">
        <v>0</v>
      </c>
      <c r="F1640">
        <v>0</v>
      </c>
      <c r="G1640">
        <v>0</v>
      </c>
      <c r="H1640">
        <f t="shared" si="50"/>
        <v>0</v>
      </c>
      <c r="I1640">
        <v>1</v>
      </c>
      <c r="J1640">
        <v>0</v>
      </c>
      <c r="K1640">
        <v>0</v>
      </c>
      <c r="L1640">
        <f t="shared" si="51"/>
        <v>1</v>
      </c>
    </row>
    <row r="1641" spans="1:12">
      <c r="A1641" t="s">
        <v>3579</v>
      </c>
      <c r="B1641" t="s">
        <v>1269</v>
      </c>
      <c r="C1641" t="s">
        <v>2805</v>
      </c>
      <c r="D1641" t="s">
        <v>2806</v>
      </c>
      <c r="E1641">
        <v>437</v>
      </c>
      <c r="F1641">
        <v>0</v>
      </c>
      <c r="G1641">
        <v>0</v>
      </c>
      <c r="H1641">
        <f t="shared" si="50"/>
        <v>437</v>
      </c>
      <c r="I1641">
        <v>3</v>
      </c>
      <c r="J1641">
        <v>0</v>
      </c>
      <c r="K1641">
        <v>0</v>
      </c>
      <c r="L1641">
        <f t="shared" si="51"/>
        <v>3</v>
      </c>
    </row>
    <row r="1642" spans="1:12">
      <c r="A1642" t="s">
        <v>3579</v>
      </c>
      <c r="B1642" t="s">
        <v>1269</v>
      </c>
      <c r="C1642" t="s">
        <v>2805</v>
      </c>
      <c r="D1642" t="s">
        <v>449</v>
      </c>
      <c r="E1642">
        <v>655</v>
      </c>
      <c r="F1642">
        <v>0</v>
      </c>
      <c r="G1642">
        <v>0</v>
      </c>
      <c r="H1642">
        <f t="shared" si="50"/>
        <v>655</v>
      </c>
      <c r="I1642">
        <v>3</v>
      </c>
      <c r="J1642">
        <v>0</v>
      </c>
      <c r="K1642">
        <v>0</v>
      </c>
      <c r="L1642">
        <f t="shared" si="51"/>
        <v>3</v>
      </c>
    </row>
    <row r="1643" spans="1:12">
      <c r="A1643" t="s">
        <v>3579</v>
      </c>
      <c r="B1643" t="s">
        <v>1269</v>
      </c>
      <c r="C1643" t="s">
        <v>2805</v>
      </c>
      <c r="D1643" t="s">
        <v>2807</v>
      </c>
      <c r="E1643">
        <v>12</v>
      </c>
      <c r="F1643">
        <v>0</v>
      </c>
      <c r="G1643">
        <v>0</v>
      </c>
      <c r="H1643">
        <f t="shared" si="50"/>
        <v>12</v>
      </c>
      <c r="I1643">
        <v>0</v>
      </c>
      <c r="J1643">
        <v>0</v>
      </c>
      <c r="K1643">
        <v>0</v>
      </c>
      <c r="L1643">
        <f t="shared" si="51"/>
        <v>0</v>
      </c>
    </row>
    <row r="1644" spans="1:12">
      <c r="A1644" t="s">
        <v>3579</v>
      </c>
      <c r="B1644" t="s">
        <v>1269</v>
      </c>
      <c r="C1644" t="s">
        <v>2810</v>
      </c>
      <c r="D1644" t="s">
        <v>2811</v>
      </c>
      <c r="E1644">
        <v>49</v>
      </c>
      <c r="F1644">
        <v>0</v>
      </c>
      <c r="G1644">
        <v>0</v>
      </c>
      <c r="H1644">
        <f t="shared" si="50"/>
        <v>49</v>
      </c>
      <c r="I1644">
        <v>0</v>
      </c>
      <c r="J1644">
        <v>0</v>
      </c>
      <c r="K1644">
        <v>0</v>
      </c>
      <c r="L1644">
        <f t="shared" si="51"/>
        <v>0</v>
      </c>
    </row>
    <row r="1645" spans="1:12">
      <c r="A1645" t="s">
        <v>3579</v>
      </c>
      <c r="B1645" t="s">
        <v>1269</v>
      </c>
      <c r="C1645" t="s">
        <v>2810</v>
      </c>
      <c r="D1645" t="s">
        <v>2823</v>
      </c>
      <c r="E1645">
        <v>2</v>
      </c>
      <c r="F1645">
        <v>0</v>
      </c>
      <c r="G1645">
        <v>0</v>
      </c>
      <c r="H1645">
        <f t="shared" si="50"/>
        <v>2</v>
      </c>
      <c r="I1645">
        <v>0</v>
      </c>
      <c r="J1645">
        <v>0</v>
      </c>
      <c r="K1645">
        <v>0</v>
      </c>
      <c r="L1645">
        <f t="shared" si="51"/>
        <v>0</v>
      </c>
    </row>
    <row r="1646" spans="1:12">
      <c r="A1646" t="s">
        <v>3579</v>
      </c>
      <c r="B1646" t="s">
        <v>1269</v>
      </c>
      <c r="C1646" t="s">
        <v>2810</v>
      </c>
      <c r="D1646" t="s">
        <v>2812</v>
      </c>
      <c r="E1646">
        <v>70</v>
      </c>
      <c r="F1646">
        <v>0</v>
      </c>
      <c r="G1646">
        <v>0</v>
      </c>
      <c r="H1646">
        <f t="shared" si="50"/>
        <v>70</v>
      </c>
      <c r="I1646">
        <v>1</v>
      </c>
      <c r="J1646">
        <v>0</v>
      </c>
      <c r="K1646">
        <v>0</v>
      </c>
      <c r="L1646">
        <f t="shared" si="51"/>
        <v>1</v>
      </c>
    </row>
    <row r="1647" spans="1:12">
      <c r="A1647" t="s">
        <v>3579</v>
      </c>
      <c r="B1647" t="s">
        <v>1269</v>
      </c>
      <c r="C1647" t="s">
        <v>2810</v>
      </c>
      <c r="D1647" t="s">
        <v>2813</v>
      </c>
      <c r="E1647">
        <v>1</v>
      </c>
      <c r="F1647">
        <v>0</v>
      </c>
      <c r="G1647">
        <v>0</v>
      </c>
      <c r="H1647">
        <f t="shared" si="50"/>
        <v>1</v>
      </c>
      <c r="I1647">
        <v>0</v>
      </c>
      <c r="J1647">
        <v>0</v>
      </c>
      <c r="K1647">
        <v>0</v>
      </c>
      <c r="L1647">
        <f t="shared" si="51"/>
        <v>0</v>
      </c>
    </row>
    <row r="1648" spans="1:12">
      <c r="A1648" t="s">
        <v>3579</v>
      </c>
      <c r="B1648" t="s">
        <v>1269</v>
      </c>
      <c r="C1648" t="s">
        <v>2810</v>
      </c>
      <c r="D1648" t="s">
        <v>2847</v>
      </c>
      <c r="E1648">
        <v>8</v>
      </c>
      <c r="F1648">
        <v>0</v>
      </c>
      <c r="G1648">
        <v>0</v>
      </c>
      <c r="H1648">
        <f t="shared" si="50"/>
        <v>8</v>
      </c>
      <c r="I1648">
        <v>0</v>
      </c>
      <c r="J1648">
        <v>0</v>
      </c>
      <c r="K1648">
        <v>0</v>
      </c>
      <c r="L1648">
        <f t="shared" si="51"/>
        <v>0</v>
      </c>
    </row>
    <row r="1649" spans="1:12">
      <c r="A1649" t="s">
        <v>3579</v>
      </c>
      <c r="B1649" t="s">
        <v>1269</v>
      </c>
      <c r="C1649" t="s">
        <v>2810</v>
      </c>
      <c r="D1649" t="s">
        <v>2815</v>
      </c>
      <c r="E1649">
        <v>9</v>
      </c>
      <c r="F1649">
        <v>0</v>
      </c>
      <c r="G1649">
        <v>0</v>
      </c>
      <c r="H1649">
        <f t="shared" si="50"/>
        <v>9</v>
      </c>
      <c r="I1649">
        <v>0</v>
      </c>
      <c r="J1649">
        <v>0</v>
      </c>
      <c r="K1649">
        <v>0</v>
      </c>
      <c r="L1649">
        <f t="shared" si="51"/>
        <v>0</v>
      </c>
    </row>
    <row r="1650" spans="1:12">
      <c r="A1650" t="s">
        <v>3579</v>
      </c>
      <c r="B1650" t="s">
        <v>1269</v>
      </c>
      <c r="C1650" t="s">
        <v>2816</v>
      </c>
      <c r="D1650" t="s">
        <v>1897</v>
      </c>
      <c r="E1650">
        <v>6</v>
      </c>
      <c r="F1650">
        <v>0</v>
      </c>
      <c r="G1650">
        <v>0</v>
      </c>
      <c r="H1650">
        <f t="shared" si="50"/>
        <v>6</v>
      </c>
      <c r="I1650">
        <v>0</v>
      </c>
      <c r="J1650">
        <v>0</v>
      </c>
      <c r="K1650">
        <v>0</v>
      </c>
      <c r="L1650">
        <f t="shared" si="51"/>
        <v>0</v>
      </c>
    </row>
    <row r="1651" spans="1:12">
      <c r="A1651" t="s">
        <v>3579</v>
      </c>
      <c r="B1651" t="s">
        <v>1269</v>
      </c>
      <c r="C1651" t="s">
        <v>2826</v>
      </c>
      <c r="D1651" t="s">
        <v>2827</v>
      </c>
      <c r="E1651">
        <v>0</v>
      </c>
      <c r="F1651">
        <v>0</v>
      </c>
      <c r="G1651">
        <v>0</v>
      </c>
      <c r="H1651">
        <f t="shared" si="50"/>
        <v>0</v>
      </c>
      <c r="I1651">
        <v>1</v>
      </c>
      <c r="J1651">
        <v>0</v>
      </c>
      <c r="K1651">
        <v>0</v>
      </c>
      <c r="L1651">
        <f t="shared" si="51"/>
        <v>1</v>
      </c>
    </row>
    <row r="1652" spans="1:12">
      <c r="A1652" t="s">
        <v>3579</v>
      </c>
      <c r="B1652" t="s">
        <v>1269</v>
      </c>
      <c r="C1652" t="s">
        <v>2826</v>
      </c>
      <c r="D1652" t="s">
        <v>2849</v>
      </c>
      <c r="E1652">
        <v>0</v>
      </c>
      <c r="F1652">
        <v>0</v>
      </c>
      <c r="G1652">
        <v>0</v>
      </c>
      <c r="H1652">
        <f t="shared" si="50"/>
        <v>0</v>
      </c>
      <c r="I1652">
        <v>1</v>
      </c>
      <c r="J1652">
        <v>0</v>
      </c>
      <c r="K1652">
        <v>0</v>
      </c>
      <c r="L1652">
        <f t="shared" si="51"/>
        <v>1</v>
      </c>
    </row>
    <row r="1653" spans="1:12">
      <c r="A1653" t="s">
        <v>3579</v>
      </c>
      <c r="B1653" t="s">
        <v>1269</v>
      </c>
      <c r="C1653" t="s">
        <v>2817</v>
      </c>
      <c r="D1653" t="s">
        <v>2888</v>
      </c>
      <c r="E1653">
        <v>3</v>
      </c>
      <c r="F1653">
        <v>0</v>
      </c>
      <c r="G1653">
        <v>0</v>
      </c>
      <c r="H1653">
        <f t="shared" si="50"/>
        <v>3</v>
      </c>
      <c r="I1653">
        <v>0</v>
      </c>
      <c r="J1653">
        <v>0</v>
      </c>
      <c r="K1653">
        <v>0</v>
      </c>
      <c r="L1653">
        <f t="shared" si="51"/>
        <v>0</v>
      </c>
    </row>
    <row r="1654" spans="1:12">
      <c r="A1654" t="s">
        <v>3579</v>
      </c>
      <c r="B1654" t="s">
        <v>1269</v>
      </c>
      <c r="C1654" t="s">
        <v>2817</v>
      </c>
      <c r="D1654" t="s">
        <v>2837</v>
      </c>
      <c r="E1654">
        <v>4</v>
      </c>
      <c r="F1654">
        <v>0</v>
      </c>
      <c r="G1654">
        <v>0</v>
      </c>
      <c r="H1654">
        <f t="shared" si="50"/>
        <v>4</v>
      </c>
      <c r="I1654">
        <v>0</v>
      </c>
      <c r="J1654">
        <v>0</v>
      </c>
      <c r="K1654">
        <v>0</v>
      </c>
      <c r="L1654">
        <f t="shared" si="51"/>
        <v>0</v>
      </c>
    </row>
    <row r="1655" spans="1:12">
      <c r="A1655" t="s">
        <v>3582</v>
      </c>
      <c r="B1655" t="s">
        <v>3583</v>
      </c>
      <c r="C1655" t="s">
        <v>2810</v>
      </c>
      <c r="D1655" t="s">
        <v>2812</v>
      </c>
      <c r="E1655">
        <v>10</v>
      </c>
      <c r="F1655">
        <v>0</v>
      </c>
      <c r="G1655">
        <v>0</v>
      </c>
      <c r="H1655">
        <f t="shared" si="50"/>
        <v>10</v>
      </c>
      <c r="I1655">
        <v>0</v>
      </c>
      <c r="J1655">
        <v>0</v>
      </c>
      <c r="K1655">
        <v>0</v>
      </c>
      <c r="L1655">
        <f t="shared" si="51"/>
        <v>0</v>
      </c>
    </row>
    <row r="1656" spans="1:12">
      <c r="A1656" t="s">
        <v>3582</v>
      </c>
      <c r="B1656" t="s">
        <v>3583</v>
      </c>
      <c r="C1656" t="s">
        <v>2810</v>
      </c>
      <c r="D1656" t="s">
        <v>2814</v>
      </c>
      <c r="E1656">
        <v>1</v>
      </c>
      <c r="F1656">
        <v>0</v>
      </c>
      <c r="G1656">
        <v>0</v>
      </c>
      <c r="H1656">
        <f t="shared" si="50"/>
        <v>1</v>
      </c>
      <c r="I1656">
        <v>0</v>
      </c>
      <c r="J1656">
        <v>0</v>
      </c>
      <c r="K1656">
        <v>0</v>
      </c>
      <c r="L1656">
        <f t="shared" si="51"/>
        <v>0</v>
      </c>
    </row>
    <row r="1657" spans="1:12">
      <c r="A1657" t="s">
        <v>3582</v>
      </c>
      <c r="B1657" t="s">
        <v>3583</v>
      </c>
      <c r="C1657" t="s">
        <v>2810</v>
      </c>
      <c r="D1657" t="s">
        <v>2840</v>
      </c>
      <c r="E1657">
        <v>1</v>
      </c>
      <c r="F1657">
        <v>0</v>
      </c>
      <c r="G1657">
        <v>0</v>
      </c>
      <c r="H1657">
        <f t="shared" si="50"/>
        <v>1</v>
      </c>
      <c r="I1657">
        <v>0</v>
      </c>
      <c r="J1657">
        <v>0</v>
      </c>
      <c r="K1657">
        <v>0</v>
      </c>
      <c r="L1657">
        <f t="shared" si="51"/>
        <v>0</v>
      </c>
    </row>
    <row r="1658" spans="1:12">
      <c r="A1658" t="s">
        <v>3582</v>
      </c>
      <c r="B1658" t="s">
        <v>3583</v>
      </c>
      <c r="C1658" t="s">
        <v>2810</v>
      </c>
      <c r="D1658" t="s">
        <v>3003</v>
      </c>
      <c r="E1658">
        <v>19</v>
      </c>
      <c r="F1658">
        <v>0</v>
      </c>
      <c r="G1658">
        <v>0</v>
      </c>
      <c r="H1658">
        <f t="shared" si="50"/>
        <v>19</v>
      </c>
      <c r="I1658">
        <v>0</v>
      </c>
      <c r="J1658">
        <v>0</v>
      </c>
      <c r="K1658">
        <v>0</v>
      </c>
      <c r="L1658">
        <f t="shared" si="51"/>
        <v>0</v>
      </c>
    </row>
    <row r="1659" spans="1:12">
      <c r="A1659" t="s">
        <v>3590</v>
      </c>
      <c r="B1659" t="s">
        <v>1274</v>
      </c>
      <c r="C1659" t="s">
        <v>2805</v>
      </c>
      <c r="D1659" t="s">
        <v>2806</v>
      </c>
      <c r="E1659">
        <v>368</v>
      </c>
      <c r="F1659">
        <v>0</v>
      </c>
      <c r="G1659">
        <v>0</v>
      </c>
      <c r="H1659">
        <f t="shared" si="50"/>
        <v>368</v>
      </c>
      <c r="I1659">
        <v>0</v>
      </c>
      <c r="J1659">
        <v>0</v>
      </c>
      <c r="K1659">
        <v>0</v>
      </c>
      <c r="L1659">
        <f t="shared" si="51"/>
        <v>0</v>
      </c>
    </row>
    <row r="1660" spans="1:12">
      <c r="A1660" t="s">
        <v>3590</v>
      </c>
      <c r="B1660" t="s">
        <v>1274</v>
      </c>
      <c r="C1660" t="s">
        <v>2805</v>
      </c>
      <c r="D1660" t="s">
        <v>449</v>
      </c>
      <c r="E1660">
        <v>871</v>
      </c>
      <c r="F1660">
        <v>0</v>
      </c>
      <c r="G1660">
        <v>0</v>
      </c>
      <c r="H1660">
        <f t="shared" si="50"/>
        <v>871</v>
      </c>
      <c r="I1660">
        <v>0</v>
      </c>
      <c r="J1660">
        <v>0</v>
      </c>
      <c r="K1660">
        <v>0</v>
      </c>
      <c r="L1660">
        <f t="shared" si="51"/>
        <v>0</v>
      </c>
    </row>
    <row r="1661" spans="1:12">
      <c r="A1661" t="s">
        <v>3590</v>
      </c>
      <c r="B1661" t="s">
        <v>1274</v>
      </c>
      <c r="C1661" t="s">
        <v>2805</v>
      </c>
      <c r="D1661" t="s">
        <v>2807</v>
      </c>
      <c r="E1661">
        <v>33</v>
      </c>
      <c r="F1661">
        <v>0</v>
      </c>
      <c r="G1661">
        <v>0</v>
      </c>
      <c r="H1661">
        <f t="shared" si="50"/>
        <v>33</v>
      </c>
      <c r="I1661">
        <v>0</v>
      </c>
      <c r="J1661">
        <v>0</v>
      </c>
      <c r="K1661">
        <v>0</v>
      </c>
      <c r="L1661">
        <f t="shared" si="51"/>
        <v>0</v>
      </c>
    </row>
    <row r="1662" spans="1:12">
      <c r="A1662" t="s">
        <v>3590</v>
      </c>
      <c r="B1662" t="s">
        <v>1274</v>
      </c>
      <c r="C1662" t="s">
        <v>2810</v>
      </c>
      <c r="D1662" t="s">
        <v>2811</v>
      </c>
      <c r="E1662">
        <v>132</v>
      </c>
      <c r="F1662">
        <v>0</v>
      </c>
      <c r="G1662">
        <v>0</v>
      </c>
      <c r="H1662">
        <f t="shared" si="50"/>
        <v>132</v>
      </c>
      <c r="I1662">
        <v>0</v>
      </c>
      <c r="J1662">
        <v>0</v>
      </c>
      <c r="K1662">
        <v>0</v>
      </c>
      <c r="L1662">
        <f t="shared" si="51"/>
        <v>0</v>
      </c>
    </row>
    <row r="1663" spans="1:12">
      <c r="A1663" t="s">
        <v>3590</v>
      </c>
      <c r="B1663" t="s">
        <v>1274</v>
      </c>
      <c r="C1663" t="s">
        <v>2810</v>
      </c>
      <c r="D1663" t="s">
        <v>2812</v>
      </c>
      <c r="E1663">
        <v>15</v>
      </c>
      <c r="F1663">
        <v>0</v>
      </c>
      <c r="G1663">
        <v>0</v>
      </c>
      <c r="H1663">
        <f t="shared" si="50"/>
        <v>15</v>
      </c>
      <c r="I1663">
        <v>0</v>
      </c>
      <c r="J1663">
        <v>0</v>
      </c>
      <c r="K1663">
        <v>0</v>
      </c>
      <c r="L1663">
        <f t="shared" si="51"/>
        <v>0</v>
      </c>
    </row>
    <row r="1664" spans="1:12">
      <c r="A1664" t="s">
        <v>3590</v>
      </c>
      <c r="B1664" t="s">
        <v>1274</v>
      </c>
      <c r="C1664" t="s">
        <v>2810</v>
      </c>
      <c r="D1664" t="s">
        <v>2813</v>
      </c>
      <c r="E1664">
        <v>6</v>
      </c>
      <c r="F1664">
        <v>0</v>
      </c>
      <c r="G1664">
        <v>0</v>
      </c>
      <c r="H1664">
        <f t="shared" si="50"/>
        <v>6</v>
      </c>
      <c r="I1664">
        <v>0</v>
      </c>
      <c r="J1664">
        <v>0</v>
      </c>
      <c r="K1664">
        <v>0</v>
      </c>
      <c r="L1664">
        <f t="shared" si="51"/>
        <v>0</v>
      </c>
    </row>
    <row r="1665" spans="1:12">
      <c r="A1665" t="s">
        <v>3590</v>
      </c>
      <c r="B1665" t="s">
        <v>1274</v>
      </c>
      <c r="C1665" t="s">
        <v>2816</v>
      </c>
      <c r="D1665" t="s">
        <v>3591</v>
      </c>
      <c r="E1665">
        <v>2</v>
      </c>
      <c r="F1665">
        <v>0</v>
      </c>
      <c r="G1665">
        <v>0</v>
      </c>
      <c r="H1665">
        <f t="shared" si="50"/>
        <v>2</v>
      </c>
      <c r="I1665">
        <v>0</v>
      </c>
      <c r="J1665">
        <v>0</v>
      </c>
      <c r="K1665">
        <v>0</v>
      </c>
      <c r="L1665">
        <f t="shared" si="51"/>
        <v>0</v>
      </c>
    </row>
    <row r="1666" spans="1:12">
      <c r="A1666" t="s">
        <v>3590</v>
      </c>
      <c r="B1666" t="s">
        <v>1274</v>
      </c>
      <c r="C1666" t="s">
        <v>2816</v>
      </c>
      <c r="D1666" t="s">
        <v>1897</v>
      </c>
      <c r="E1666">
        <v>81</v>
      </c>
      <c r="F1666">
        <v>0</v>
      </c>
      <c r="G1666">
        <v>0</v>
      </c>
      <c r="H1666">
        <f t="shared" si="50"/>
        <v>81</v>
      </c>
      <c r="I1666">
        <v>0</v>
      </c>
      <c r="J1666">
        <v>0</v>
      </c>
      <c r="K1666">
        <v>0</v>
      </c>
      <c r="L1666">
        <f t="shared" si="51"/>
        <v>0</v>
      </c>
    </row>
    <row r="1667" spans="1:12">
      <c r="A1667" t="s">
        <v>3590</v>
      </c>
      <c r="B1667" t="s">
        <v>1274</v>
      </c>
      <c r="C1667" t="s">
        <v>2816</v>
      </c>
      <c r="D1667" t="s">
        <v>2848</v>
      </c>
      <c r="E1667">
        <v>30</v>
      </c>
      <c r="F1667">
        <v>0</v>
      </c>
      <c r="G1667">
        <v>0</v>
      </c>
      <c r="H1667">
        <f t="shared" si="50"/>
        <v>30</v>
      </c>
      <c r="I1667">
        <v>0</v>
      </c>
      <c r="J1667">
        <v>0</v>
      </c>
      <c r="K1667">
        <v>0</v>
      </c>
      <c r="L1667">
        <f t="shared" si="51"/>
        <v>0</v>
      </c>
    </row>
    <row r="1668" spans="1:12">
      <c r="A1668" t="s">
        <v>3590</v>
      </c>
      <c r="B1668" t="s">
        <v>1274</v>
      </c>
      <c r="C1668" t="s">
        <v>2826</v>
      </c>
      <c r="D1668" t="s">
        <v>2827</v>
      </c>
      <c r="E1668">
        <v>0</v>
      </c>
      <c r="F1668">
        <v>0</v>
      </c>
      <c r="G1668">
        <v>0</v>
      </c>
      <c r="H1668">
        <f t="shared" ref="H1668:H1731" si="52">SUM(E1668:G1668)</f>
        <v>0</v>
      </c>
      <c r="I1668">
        <v>1</v>
      </c>
      <c r="J1668">
        <v>0</v>
      </c>
      <c r="K1668">
        <v>0</v>
      </c>
      <c r="L1668">
        <f t="shared" ref="L1668:L1731" si="53">SUM(I1668:K1668)</f>
        <v>1</v>
      </c>
    </row>
    <row r="1669" spans="1:12">
      <c r="A1669" t="s">
        <v>3590</v>
      </c>
      <c r="B1669" t="s">
        <v>1274</v>
      </c>
      <c r="C1669" t="s">
        <v>2826</v>
      </c>
      <c r="D1669" t="s">
        <v>2843</v>
      </c>
      <c r="E1669">
        <v>0</v>
      </c>
      <c r="F1669">
        <v>0</v>
      </c>
      <c r="G1669">
        <v>0</v>
      </c>
      <c r="H1669">
        <f t="shared" si="52"/>
        <v>0</v>
      </c>
      <c r="I1669">
        <v>2</v>
      </c>
      <c r="J1669">
        <v>0</v>
      </c>
      <c r="K1669">
        <v>0</v>
      </c>
      <c r="L1669">
        <f t="shared" si="53"/>
        <v>2</v>
      </c>
    </row>
    <row r="1670" spans="1:12">
      <c r="A1670" t="s">
        <v>3590</v>
      </c>
      <c r="B1670" t="s">
        <v>1274</v>
      </c>
      <c r="C1670" t="s">
        <v>2826</v>
      </c>
      <c r="D1670" t="s">
        <v>2834</v>
      </c>
      <c r="E1670">
        <v>1</v>
      </c>
      <c r="F1670">
        <v>0</v>
      </c>
      <c r="G1670">
        <v>0</v>
      </c>
      <c r="H1670">
        <f t="shared" si="52"/>
        <v>1</v>
      </c>
      <c r="I1670">
        <v>1</v>
      </c>
      <c r="J1670">
        <v>0</v>
      </c>
      <c r="K1670">
        <v>0</v>
      </c>
      <c r="L1670">
        <f t="shared" si="53"/>
        <v>1</v>
      </c>
    </row>
    <row r="1671" spans="1:12">
      <c r="A1671" t="s">
        <v>3590</v>
      </c>
      <c r="B1671" t="s">
        <v>1274</v>
      </c>
      <c r="C1671" t="s">
        <v>2817</v>
      </c>
      <c r="D1671" t="s">
        <v>2887</v>
      </c>
      <c r="E1671">
        <v>1</v>
      </c>
      <c r="F1671">
        <v>0</v>
      </c>
      <c r="G1671">
        <v>0</v>
      </c>
      <c r="H1671">
        <f t="shared" si="52"/>
        <v>1</v>
      </c>
      <c r="I1671">
        <v>0</v>
      </c>
      <c r="J1671">
        <v>0</v>
      </c>
      <c r="K1671">
        <v>0</v>
      </c>
      <c r="L1671">
        <f t="shared" si="53"/>
        <v>0</v>
      </c>
    </row>
    <row r="1672" spans="1:12">
      <c r="A1672" t="s">
        <v>3590</v>
      </c>
      <c r="B1672" t="s">
        <v>1274</v>
      </c>
      <c r="C1672" t="s">
        <v>2817</v>
      </c>
      <c r="D1672" t="s">
        <v>2877</v>
      </c>
      <c r="E1672">
        <v>1</v>
      </c>
      <c r="F1672">
        <v>0</v>
      </c>
      <c r="G1672">
        <v>0</v>
      </c>
      <c r="H1672">
        <f t="shared" si="52"/>
        <v>1</v>
      </c>
      <c r="I1672">
        <v>0</v>
      </c>
      <c r="J1672">
        <v>0</v>
      </c>
      <c r="K1672">
        <v>0</v>
      </c>
      <c r="L1672">
        <f t="shared" si="53"/>
        <v>0</v>
      </c>
    </row>
    <row r="1673" spans="1:12">
      <c r="A1673" t="s">
        <v>3590</v>
      </c>
      <c r="B1673" t="s">
        <v>1274</v>
      </c>
      <c r="C1673" t="s">
        <v>2817</v>
      </c>
      <c r="D1673" t="s">
        <v>2818</v>
      </c>
      <c r="E1673">
        <v>66</v>
      </c>
      <c r="F1673">
        <v>0</v>
      </c>
      <c r="G1673">
        <v>0</v>
      </c>
      <c r="H1673">
        <f t="shared" si="52"/>
        <v>66</v>
      </c>
      <c r="I1673">
        <v>0</v>
      </c>
      <c r="J1673">
        <v>0</v>
      </c>
      <c r="K1673">
        <v>0</v>
      </c>
      <c r="L1673">
        <f t="shared" si="53"/>
        <v>0</v>
      </c>
    </row>
    <row r="1674" spans="1:12">
      <c r="A1674" t="s">
        <v>3590</v>
      </c>
      <c r="B1674" t="s">
        <v>1274</v>
      </c>
      <c r="C1674" t="s">
        <v>2817</v>
      </c>
      <c r="D1674" t="s">
        <v>2837</v>
      </c>
      <c r="E1674">
        <v>2</v>
      </c>
      <c r="F1674">
        <v>0</v>
      </c>
      <c r="G1674">
        <v>0</v>
      </c>
      <c r="H1674">
        <f t="shared" si="52"/>
        <v>2</v>
      </c>
      <c r="I1674">
        <v>0</v>
      </c>
      <c r="J1674">
        <v>0</v>
      </c>
      <c r="K1674">
        <v>0</v>
      </c>
      <c r="L1674">
        <f t="shared" si="53"/>
        <v>0</v>
      </c>
    </row>
    <row r="1675" spans="1:12">
      <c r="A1675" t="s">
        <v>3590</v>
      </c>
      <c r="B1675" t="s">
        <v>1274</v>
      </c>
      <c r="C1675" t="s">
        <v>2817</v>
      </c>
      <c r="D1675" t="s">
        <v>2819</v>
      </c>
      <c r="E1675">
        <v>25</v>
      </c>
      <c r="F1675">
        <v>0</v>
      </c>
      <c r="G1675">
        <v>0</v>
      </c>
      <c r="H1675">
        <f t="shared" si="52"/>
        <v>25</v>
      </c>
      <c r="I1675">
        <v>0</v>
      </c>
      <c r="J1675">
        <v>0</v>
      </c>
      <c r="K1675">
        <v>0</v>
      </c>
      <c r="L1675">
        <f t="shared" si="53"/>
        <v>0</v>
      </c>
    </row>
    <row r="1676" spans="1:12">
      <c r="A1676" t="s">
        <v>3592</v>
      </c>
      <c r="B1676" t="s">
        <v>1281</v>
      </c>
      <c r="C1676" t="s">
        <v>2805</v>
      </c>
      <c r="D1676" t="s">
        <v>2806</v>
      </c>
      <c r="E1676">
        <v>1</v>
      </c>
      <c r="F1676">
        <v>0</v>
      </c>
      <c r="G1676">
        <v>0</v>
      </c>
      <c r="H1676">
        <f t="shared" si="52"/>
        <v>1</v>
      </c>
      <c r="I1676">
        <v>0</v>
      </c>
      <c r="J1676">
        <v>0</v>
      </c>
      <c r="K1676">
        <v>0</v>
      </c>
      <c r="L1676">
        <f t="shared" si="53"/>
        <v>0</v>
      </c>
    </row>
    <row r="1677" spans="1:12">
      <c r="A1677" t="s">
        <v>3592</v>
      </c>
      <c r="B1677" t="s">
        <v>1281</v>
      </c>
      <c r="C1677" t="s">
        <v>2805</v>
      </c>
      <c r="D1677" t="s">
        <v>449</v>
      </c>
      <c r="E1677">
        <v>19</v>
      </c>
      <c r="F1677">
        <v>0</v>
      </c>
      <c r="G1677">
        <v>0</v>
      </c>
      <c r="H1677">
        <f t="shared" si="52"/>
        <v>19</v>
      </c>
      <c r="I1677">
        <v>0</v>
      </c>
      <c r="J1677">
        <v>0</v>
      </c>
      <c r="K1677">
        <v>0</v>
      </c>
      <c r="L1677">
        <f t="shared" si="53"/>
        <v>0</v>
      </c>
    </row>
    <row r="1678" spans="1:12">
      <c r="A1678" t="s">
        <v>3592</v>
      </c>
      <c r="B1678" t="s">
        <v>1281</v>
      </c>
      <c r="C1678" t="s">
        <v>2805</v>
      </c>
      <c r="D1678" t="s">
        <v>2807</v>
      </c>
      <c r="E1678">
        <v>11</v>
      </c>
      <c r="F1678">
        <v>0</v>
      </c>
      <c r="G1678">
        <v>0</v>
      </c>
      <c r="H1678">
        <f t="shared" si="52"/>
        <v>11</v>
      </c>
      <c r="I1678">
        <v>0</v>
      </c>
      <c r="J1678">
        <v>0</v>
      </c>
      <c r="K1678">
        <v>0</v>
      </c>
      <c r="L1678">
        <f t="shared" si="53"/>
        <v>0</v>
      </c>
    </row>
    <row r="1679" spans="1:12">
      <c r="A1679" t="s">
        <v>3592</v>
      </c>
      <c r="B1679" t="s">
        <v>1281</v>
      </c>
      <c r="C1679" t="s">
        <v>2810</v>
      </c>
      <c r="D1679" t="s">
        <v>2813</v>
      </c>
      <c r="E1679">
        <v>5</v>
      </c>
      <c r="F1679">
        <v>0</v>
      </c>
      <c r="G1679">
        <v>0</v>
      </c>
      <c r="H1679">
        <f t="shared" si="52"/>
        <v>5</v>
      </c>
      <c r="I1679">
        <v>0</v>
      </c>
      <c r="J1679">
        <v>0</v>
      </c>
      <c r="K1679">
        <v>0</v>
      </c>
      <c r="L1679">
        <f t="shared" si="53"/>
        <v>0</v>
      </c>
    </row>
    <row r="1680" spans="1:12">
      <c r="A1680" t="s">
        <v>3592</v>
      </c>
      <c r="B1680" t="s">
        <v>1281</v>
      </c>
      <c r="C1680" t="s">
        <v>2810</v>
      </c>
      <c r="D1680" t="s">
        <v>2814</v>
      </c>
      <c r="E1680">
        <v>7</v>
      </c>
      <c r="F1680">
        <v>0</v>
      </c>
      <c r="G1680">
        <v>0</v>
      </c>
      <c r="H1680">
        <f t="shared" si="52"/>
        <v>7</v>
      </c>
      <c r="I1680">
        <v>0</v>
      </c>
      <c r="J1680">
        <v>0</v>
      </c>
      <c r="K1680">
        <v>0</v>
      </c>
      <c r="L1680">
        <f t="shared" si="53"/>
        <v>0</v>
      </c>
    </row>
    <row r="1681" spans="1:12">
      <c r="A1681" t="s">
        <v>3592</v>
      </c>
      <c r="B1681" t="s">
        <v>1281</v>
      </c>
      <c r="C1681" t="s">
        <v>2810</v>
      </c>
      <c r="D1681" t="s">
        <v>2815</v>
      </c>
      <c r="E1681">
        <v>10</v>
      </c>
      <c r="F1681">
        <v>0</v>
      </c>
      <c r="G1681">
        <v>0</v>
      </c>
      <c r="H1681">
        <f t="shared" si="52"/>
        <v>10</v>
      </c>
      <c r="I1681">
        <v>0</v>
      </c>
      <c r="J1681">
        <v>0</v>
      </c>
      <c r="K1681">
        <v>0</v>
      </c>
      <c r="L1681">
        <f t="shared" si="53"/>
        <v>0</v>
      </c>
    </row>
    <row r="1682" spans="1:12">
      <c r="A1682" t="s">
        <v>3592</v>
      </c>
      <c r="B1682" t="s">
        <v>1281</v>
      </c>
      <c r="C1682" t="s">
        <v>2816</v>
      </c>
      <c r="D1682" t="s">
        <v>1897</v>
      </c>
      <c r="E1682">
        <v>3</v>
      </c>
      <c r="F1682">
        <v>0</v>
      </c>
      <c r="G1682">
        <v>0</v>
      </c>
      <c r="H1682">
        <f t="shared" si="52"/>
        <v>3</v>
      </c>
      <c r="I1682">
        <v>0</v>
      </c>
      <c r="J1682">
        <v>0</v>
      </c>
      <c r="K1682">
        <v>0</v>
      </c>
      <c r="L1682">
        <f t="shared" si="53"/>
        <v>0</v>
      </c>
    </row>
    <row r="1683" spans="1:12">
      <c r="A1683" t="s">
        <v>3592</v>
      </c>
      <c r="B1683" t="s">
        <v>1281</v>
      </c>
      <c r="C1683" t="s">
        <v>2826</v>
      </c>
      <c r="D1683" t="s">
        <v>2858</v>
      </c>
      <c r="E1683">
        <v>3</v>
      </c>
      <c r="F1683">
        <v>0</v>
      </c>
      <c r="G1683">
        <v>0</v>
      </c>
      <c r="H1683">
        <f t="shared" si="52"/>
        <v>3</v>
      </c>
      <c r="I1683">
        <v>0</v>
      </c>
      <c r="J1683">
        <v>0</v>
      </c>
      <c r="K1683">
        <v>0</v>
      </c>
      <c r="L1683">
        <f t="shared" si="53"/>
        <v>0</v>
      </c>
    </row>
    <row r="1684" spans="1:12">
      <c r="A1684" t="s">
        <v>3592</v>
      </c>
      <c r="B1684" t="s">
        <v>1281</v>
      </c>
      <c r="C1684" t="s">
        <v>2826</v>
      </c>
      <c r="D1684" t="s">
        <v>2843</v>
      </c>
      <c r="E1684">
        <v>7</v>
      </c>
      <c r="F1684">
        <v>0</v>
      </c>
      <c r="G1684">
        <v>0</v>
      </c>
      <c r="H1684">
        <f t="shared" si="52"/>
        <v>7</v>
      </c>
      <c r="I1684">
        <v>0</v>
      </c>
      <c r="J1684">
        <v>0</v>
      </c>
      <c r="K1684">
        <v>0</v>
      </c>
      <c r="L1684">
        <f t="shared" si="53"/>
        <v>0</v>
      </c>
    </row>
    <row r="1685" spans="1:12">
      <c r="A1685" t="s">
        <v>3592</v>
      </c>
      <c r="B1685" t="s">
        <v>1281</v>
      </c>
      <c r="C1685" t="s">
        <v>2826</v>
      </c>
      <c r="D1685" t="s">
        <v>2834</v>
      </c>
      <c r="E1685">
        <v>3</v>
      </c>
      <c r="F1685">
        <v>0</v>
      </c>
      <c r="G1685">
        <v>0</v>
      </c>
      <c r="H1685">
        <f t="shared" si="52"/>
        <v>3</v>
      </c>
      <c r="I1685">
        <v>0</v>
      </c>
      <c r="J1685">
        <v>0</v>
      </c>
      <c r="K1685">
        <v>0</v>
      </c>
      <c r="L1685">
        <f t="shared" si="53"/>
        <v>0</v>
      </c>
    </row>
    <row r="1686" spans="1:12">
      <c r="A1686" t="s">
        <v>3592</v>
      </c>
      <c r="B1686" t="s">
        <v>1281</v>
      </c>
      <c r="C1686" t="s">
        <v>2817</v>
      </c>
      <c r="D1686" t="s">
        <v>2837</v>
      </c>
      <c r="E1686">
        <v>6</v>
      </c>
      <c r="F1686">
        <v>0</v>
      </c>
      <c r="G1686">
        <v>0</v>
      </c>
      <c r="H1686">
        <f t="shared" si="52"/>
        <v>6</v>
      </c>
      <c r="I1686">
        <v>0</v>
      </c>
      <c r="J1686">
        <v>0</v>
      </c>
      <c r="K1686">
        <v>0</v>
      </c>
      <c r="L1686">
        <f t="shared" si="53"/>
        <v>0</v>
      </c>
    </row>
    <row r="1687" spans="1:12">
      <c r="A1687" t="s">
        <v>3592</v>
      </c>
      <c r="B1687" t="s">
        <v>1281</v>
      </c>
      <c r="C1687" t="s">
        <v>2820</v>
      </c>
      <c r="D1687" t="s">
        <v>2821</v>
      </c>
      <c r="E1687">
        <v>1</v>
      </c>
      <c r="F1687">
        <v>0</v>
      </c>
      <c r="G1687">
        <v>0</v>
      </c>
      <c r="H1687">
        <f t="shared" si="52"/>
        <v>1</v>
      </c>
      <c r="I1687">
        <v>0</v>
      </c>
      <c r="J1687">
        <v>0</v>
      </c>
      <c r="K1687">
        <v>0</v>
      </c>
      <c r="L1687">
        <f t="shared" si="53"/>
        <v>0</v>
      </c>
    </row>
    <row r="1688" spans="1:12">
      <c r="A1688" t="s">
        <v>3593</v>
      </c>
      <c r="B1688" t="s">
        <v>1286</v>
      </c>
      <c r="C1688" t="s">
        <v>2805</v>
      </c>
      <c r="D1688" t="s">
        <v>449</v>
      </c>
      <c r="E1688">
        <v>4</v>
      </c>
      <c r="F1688">
        <v>0</v>
      </c>
      <c r="G1688">
        <v>0</v>
      </c>
      <c r="H1688">
        <f t="shared" si="52"/>
        <v>4</v>
      </c>
      <c r="I1688">
        <v>0</v>
      </c>
      <c r="J1688">
        <v>0</v>
      </c>
      <c r="K1688">
        <v>0</v>
      </c>
      <c r="L1688">
        <f t="shared" si="53"/>
        <v>0</v>
      </c>
    </row>
    <row r="1689" spans="1:12">
      <c r="A1689" t="s">
        <v>3594</v>
      </c>
      <c r="B1689" t="s">
        <v>1291</v>
      </c>
      <c r="C1689" t="s">
        <v>2826</v>
      </c>
      <c r="D1689" t="s">
        <v>2827</v>
      </c>
      <c r="E1689">
        <v>0</v>
      </c>
      <c r="F1689">
        <v>0</v>
      </c>
      <c r="G1689">
        <v>0</v>
      </c>
      <c r="H1689">
        <f t="shared" si="52"/>
        <v>0</v>
      </c>
      <c r="I1689">
        <v>1</v>
      </c>
      <c r="J1689">
        <v>0</v>
      </c>
      <c r="K1689">
        <v>0</v>
      </c>
      <c r="L1689">
        <f t="shared" si="53"/>
        <v>1</v>
      </c>
    </row>
    <row r="1690" spans="1:12">
      <c r="A1690" t="s">
        <v>3594</v>
      </c>
      <c r="B1690" t="s">
        <v>1291</v>
      </c>
      <c r="C1690" t="s">
        <v>2826</v>
      </c>
      <c r="D1690" t="s">
        <v>2843</v>
      </c>
      <c r="E1690">
        <v>0</v>
      </c>
      <c r="F1690">
        <v>0</v>
      </c>
      <c r="G1690">
        <v>0</v>
      </c>
      <c r="H1690">
        <f t="shared" si="52"/>
        <v>0</v>
      </c>
      <c r="I1690">
        <v>1</v>
      </c>
      <c r="J1690">
        <v>0</v>
      </c>
      <c r="K1690">
        <v>0</v>
      </c>
      <c r="L1690">
        <f t="shared" si="53"/>
        <v>1</v>
      </c>
    </row>
    <row r="1691" spans="1:12">
      <c r="A1691" t="s">
        <v>3594</v>
      </c>
      <c r="B1691" t="s">
        <v>1291</v>
      </c>
      <c r="C1691" t="s">
        <v>2826</v>
      </c>
      <c r="D1691" t="s">
        <v>2834</v>
      </c>
      <c r="E1691">
        <v>0</v>
      </c>
      <c r="F1691">
        <v>0</v>
      </c>
      <c r="G1691">
        <v>0</v>
      </c>
      <c r="H1691">
        <f t="shared" si="52"/>
        <v>0</v>
      </c>
      <c r="I1691">
        <v>1</v>
      </c>
      <c r="J1691">
        <v>0</v>
      </c>
      <c r="K1691">
        <v>0</v>
      </c>
      <c r="L1691">
        <f t="shared" si="53"/>
        <v>1</v>
      </c>
    </row>
    <row r="1692" spans="1:12">
      <c r="A1692" t="s">
        <v>3594</v>
      </c>
      <c r="B1692" t="s">
        <v>1291</v>
      </c>
      <c r="C1692" t="s">
        <v>2826</v>
      </c>
      <c r="D1692" t="s">
        <v>2849</v>
      </c>
      <c r="E1692">
        <v>0</v>
      </c>
      <c r="F1692">
        <v>0</v>
      </c>
      <c r="G1692">
        <v>0</v>
      </c>
      <c r="H1692">
        <f t="shared" si="52"/>
        <v>0</v>
      </c>
      <c r="I1692">
        <v>2</v>
      </c>
      <c r="J1692">
        <v>0</v>
      </c>
      <c r="K1692">
        <v>0</v>
      </c>
      <c r="L1692">
        <f t="shared" si="53"/>
        <v>2</v>
      </c>
    </row>
    <row r="1693" spans="1:12">
      <c r="A1693" t="s">
        <v>3599</v>
      </c>
      <c r="B1693" t="s">
        <v>1294</v>
      </c>
      <c r="C1693" t="s">
        <v>2805</v>
      </c>
      <c r="D1693" t="s">
        <v>449</v>
      </c>
      <c r="E1693">
        <v>3</v>
      </c>
      <c r="F1693">
        <v>0</v>
      </c>
      <c r="G1693">
        <v>0</v>
      </c>
      <c r="H1693">
        <f t="shared" si="52"/>
        <v>3</v>
      </c>
      <c r="I1693">
        <v>0</v>
      </c>
      <c r="J1693">
        <v>0</v>
      </c>
      <c r="K1693">
        <v>0</v>
      </c>
      <c r="L1693">
        <f t="shared" si="53"/>
        <v>0</v>
      </c>
    </row>
    <row r="1694" spans="1:12">
      <c r="A1694" t="s">
        <v>3599</v>
      </c>
      <c r="B1694" t="s">
        <v>1294</v>
      </c>
      <c r="C1694" t="s">
        <v>2810</v>
      </c>
      <c r="D1694" t="s">
        <v>2896</v>
      </c>
      <c r="E1694">
        <v>3</v>
      </c>
      <c r="F1694">
        <v>0</v>
      </c>
      <c r="G1694">
        <v>0</v>
      </c>
      <c r="H1694">
        <f t="shared" si="52"/>
        <v>3</v>
      </c>
      <c r="I1694">
        <v>0</v>
      </c>
      <c r="J1694">
        <v>0</v>
      </c>
      <c r="K1694">
        <v>0</v>
      </c>
      <c r="L1694">
        <f t="shared" si="53"/>
        <v>0</v>
      </c>
    </row>
    <row r="1695" spans="1:12">
      <c r="A1695" t="s">
        <v>3600</v>
      </c>
      <c r="B1695" t="s">
        <v>1298</v>
      </c>
      <c r="C1695" t="s">
        <v>2805</v>
      </c>
      <c r="D1695" t="s">
        <v>2806</v>
      </c>
      <c r="E1695">
        <v>194</v>
      </c>
      <c r="F1695">
        <v>0</v>
      </c>
      <c r="G1695">
        <v>0</v>
      </c>
      <c r="H1695">
        <f t="shared" si="52"/>
        <v>194</v>
      </c>
      <c r="I1695">
        <v>0</v>
      </c>
      <c r="J1695">
        <v>0</v>
      </c>
      <c r="K1695">
        <v>0</v>
      </c>
      <c r="L1695">
        <f t="shared" si="53"/>
        <v>0</v>
      </c>
    </row>
    <row r="1696" spans="1:12">
      <c r="A1696" t="s">
        <v>3600</v>
      </c>
      <c r="B1696" t="s">
        <v>1298</v>
      </c>
      <c r="C1696" t="s">
        <v>2805</v>
      </c>
      <c r="D1696" t="s">
        <v>449</v>
      </c>
      <c r="E1696">
        <v>308</v>
      </c>
      <c r="F1696">
        <v>0</v>
      </c>
      <c r="G1696">
        <v>0</v>
      </c>
      <c r="H1696">
        <f t="shared" si="52"/>
        <v>308</v>
      </c>
      <c r="I1696">
        <v>0</v>
      </c>
      <c r="J1696">
        <v>0</v>
      </c>
      <c r="K1696">
        <v>0</v>
      </c>
      <c r="L1696">
        <f t="shared" si="53"/>
        <v>0</v>
      </c>
    </row>
    <row r="1697" spans="1:12">
      <c r="A1697" t="s">
        <v>3600</v>
      </c>
      <c r="B1697" t="s">
        <v>1298</v>
      </c>
      <c r="C1697" t="s">
        <v>2805</v>
      </c>
      <c r="D1697" t="s">
        <v>2807</v>
      </c>
      <c r="E1697">
        <v>6</v>
      </c>
      <c r="F1697">
        <v>0</v>
      </c>
      <c r="G1697">
        <v>0</v>
      </c>
      <c r="H1697">
        <f t="shared" si="52"/>
        <v>6</v>
      </c>
      <c r="I1697">
        <v>0</v>
      </c>
      <c r="J1697">
        <v>0</v>
      </c>
      <c r="K1697">
        <v>0</v>
      </c>
      <c r="L1697">
        <f t="shared" si="53"/>
        <v>0</v>
      </c>
    </row>
    <row r="1698" spans="1:12">
      <c r="A1698" t="s">
        <v>3600</v>
      </c>
      <c r="B1698" t="s">
        <v>1298</v>
      </c>
      <c r="C1698" t="s">
        <v>2805</v>
      </c>
      <c r="D1698" t="s">
        <v>2937</v>
      </c>
      <c r="E1698">
        <v>2</v>
      </c>
      <c r="F1698">
        <v>0</v>
      </c>
      <c r="G1698">
        <v>0</v>
      </c>
      <c r="H1698">
        <f t="shared" si="52"/>
        <v>2</v>
      </c>
      <c r="I1698">
        <v>0</v>
      </c>
      <c r="J1698">
        <v>0</v>
      </c>
      <c r="K1698">
        <v>0</v>
      </c>
      <c r="L1698">
        <f t="shared" si="53"/>
        <v>0</v>
      </c>
    </row>
    <row r="1699" spans="1:12">
      <c r="A1699" t="s">
        <v>3600</v>
      </c>
      <c r="B1699" t="s">
        <v>1298</v>
      </c>
      <c r="C1699" t="s">
        <v>2810</v>
      </c>
      <c r="D1699" t="s">
        <v>2811</v>
      </c>
      <c r="E1699">
        <v>17</v>
      </c>
      <c r="F1699">
        <v>0</v>
      </c>
      <c r="G1699">
        <v>0</v>
      </c>
      <c r="H1699">
        <f t="shared" si="52"/>
        <v>17</v>
      </c>
      <c r="I1699">
        <v>0</v>
      </c>
      <c r="J1699">
        <v>0</v>
      </c>
      <c r="K1699">
        <v>0</v>
      </c>
      <c r="L1699">
        <f t="shared" si="53"/>
        <v>0</v>
      </c>
    </row>
    <row r="1700" spans="1:12">
      <c r="A1700" t="s">
        <v>3600</v>
      </c>
      <c r="B1700" t="s">
        <v>1298</v>
      </c>
      <c r="C1700" t="s">
        <v>2810</v>
      </c>
      <c r="D1700" t="s">
        <v>2823</v>
      </c>
      <c r="E1700">
        <v>12</v>
      </c>
      <c r="F1700">
        <v>12</v>
      </c>
      <c r="G1700">
        <v>0</v>
      </c>
      <c r="H1700">
        <f t="shared" si="52"/>
        <v>24</v>
      </c>
      <c r="I1700">
        <v>0</v>
      </c>
      <c r="J1700">
        <v>0</v>
      </c>
      <c r="K1700">
        <v>0</v>
      </c>
      <c r="L1700">
        <f t="shared" si="53"/>
        <v>0</v>
      </c>
    </row>
    <row r="1701" spans="1:12">
      <c r="A1701" t="s">
        <v>3600</v>
      </c>
      <c r="B1701" t="s">
        <v>1298</v>
      </c>
      <c r="C1701" t="s">
        <v>2810</v>
      </c>
      <c r="D1701" t="s">
        <v>2812</v>
      </c>
      <c r="E1701">
        <v>159</v>
      </c>
      <c r="F1701">
        <v>0</v>
      </c>
      <c r="G1701">
        <v>0</v>
      </c>
      <c r="H1701">
        <f t="shared" si="52"/>
        <v>159</v>
      </c>
      <c r="I1701">
        <v>0</v>
      </c>
      <c r="J1701">
        <v>0</v>
      </c>
      <c r="K1701">
        <v>0</v>
      </c>
      <c r="L1701">
        <f t="shared" si="53"/>
        <v>0</v>
      </c>
    </row>
    <row r="1702" spans="1:12">
      <c r="A1702" t="s">
        <v>3600</v>
      </c>
      <c r="B1702" t="s">
        <v>1298</v>
      </c>
      <c r="C1702" t="s">
        <v>2810</v>
      </c>
      <c r="D1702" t="s">
        <v>2813</v>
      </c>
      <c r="E1702">
        <v>20</v>
      </c>
      <c r="F1702">
        <v>0</v>
      </c>
      <c r="G1702">
        <v>0</v>
      </c>
      <c r="H1702">
        <f t="shared" si="52"/>
        <v>20</v>
      </c>
      <c r="I1702">
        <v>0</v>
      </c>
      <c r="J1702">
        <v>0</v>
      </c>
      <c r="K1702">
        <v>0</v>
      </c>
      <c r="L1702">
        <f t="shared" si="53"/>
        <v>0</v>
      </c>
    </row>
    <row r="1703" spans="1:12">
      <c r="A1703" t="s">
        <v>3600</v>
      </c>
      <c r="B1703" t="s">
        <v>1298</v>
      </c>
      <c r="C1703" t="s">
        <v>2810</v>
      </c>
      <c r="D1703" t="s">
        <v>2814</v>
      </c>
      <c r="E1703">
        <v>5</v>
      </c>
      <c r="F1703">
        <v>0</v>
      </c>
      <c r="G1703">
        <v>0</v>
      </c>
      <c r="H1703">
        <f t="shared" si="52"/>
        <v>5</v>
      </c>
      <c r="I1703">
        <v>0</v>
      </c>
      <c r="J1703">
        <v>0</v>
      </c>
      <c r="K1703">
        <v>0</v>
      </c>
      <c r="L1703">
        <f t="shared" si="53"/>
        <v>0</v>
      </c>
    </row>
    <row r="1704" spans="1:12">
      <c r="A1704" t="s">
        <v>3600</v>
      </c>
      <c r="B1704" t="s">
        <v>1298</v>
      </c>
      <c r="C1704" t="s">
        <v>2810</v>
      </c>
      <c r="D1704" t="s">
        <v>2847</v>
      </c>
      <c r="E1704">
        <v>206</v>
      </c>
      <c r="F1704">
        <v>0</v>
      </c>
      <c r="G1704">
        <v>0</v>
      </c>
      <c r="H1704">
        <f t="shared" si="52"/>
        <v>206</v>
      </c>
      <c r="I1704">
        <v>0</v>
      </c>
      <c r="J1704">
        <v>0</v>
      </c>
      <c r="K1704">
        <v>0</v>
      </c>
      <c r="L1704">
        <f t="shared" si="53"/>
        <v>0</v>
      </c>
    </row>
    <row r="1705" spans="1:12">
      <c r="A1705" t="s">
        <v>3600</v>
      </c>
      <c r="B1705" t="s">
        <v>1298</v>
      </c>
      <c r="C1705" t="s">
        <v>2810</v>
      </c>
      <c r="D1705" t="s">
        <v>2840</v>
      </c>
      <c r="E1705">
        <v>5</v>
      </c>
      <c r="F1705">
        <v>0</v>
      </c>
      <c r="G1705">
        <v>0</v>
      </c>
      <c r="H1705">
        <f t="shared" si="52"/>
        <v>5</v>
      </c>
      <c r="I1705">
        <v>0</v>
      </c>
      <c r="J1705">
        <v>0</v>
      </c>
      <c r="K1705">
        <v>0</v>
      </c>
      <c r="L1705">
        <f t="shared" si="53"/>
        <v>0</v>
      </c>
    </row>
    <row r="1706" spans="1:12">
      <c r="A1706" t="s">
        <v>3600</v>
      </c>
      <c r="B1706" t="s">
        <v>1298</v>
      </c>
      <c r="C1706" t="s">
        <v>2810</v>
      </c>
      <c r="D1706" t="s">
        <v>2815</v>
      </c>
      <c r="E1706">
        <v>3</v>
      </c>
      <c r="F1706">
        <v>0</v>
      </c>
      <c r="G1706">
        <v>0</v>
      </c>
      <c r="H1706">
        <f t="shared" si="52"/>
        <v>3</v>
      </c>
      <c r="I1706">
        <v>0</v>
      </c>
      <c r="J1706">
        <v>0</v>
      </c>
      <c r="K1706">
        <v>0</v>
      </c>
      <c r="L1706">
        <f t="shared" si="53"/>
        <v>0</v>
      </c>
    </row>
    <row r="1707" spans="1:12">
      <c r="A1707" t="s">
        <v>3600</v>
      </c>
      <c r="B1707" t="s">
        <v>1298</v>
      </c>
      <c r="C1707" t="s">
        <v>2816</v>
      </c>
      <c r="D1707" t="s">
        <v>1896</v>
      </c>
      <c r="E1707">
        <v>24</v>
      </c>
      <c r="F1707">
        <v>0</v>
      </c>
      <c r="G1707">
        <v>0</v>
      </c>
      <c r="H1707">
        <f t="shared" si="52"/>
        <v>24</v>
      </c>
      <c r="I1707">
        <v>0</v>
      </c>
      <c r="J1707">
        <v>0</v>
      </c>
      <c r="K1707">
        <v>0</v>
      </c>
      <c r="L1707">
        <f t="shared" si="53"/>
        <v>0</v>
      </c>
    </row>
    <row r="1708" spans="1:12">
      <c r="A1708" t="s">
        <v>3600</v>
      </c>
      <c r="B1708" t="s">
        <v>1298</v>
      </c>
      <c r="C1708" t="s">
        <v>2816</v>
      </c>
      <c r="D1708" t="s">
        <v>1897</v>
      </c>
      <c r="E1708">
        <v>76</v>
      </c>
      <c r="F1708">
        <v>0</v>
      </c>
      <c r="G1708">
        <v>0</v>
      </c>
      <c r="H1708">
        <f t="shared" si="52"/>
        <v>76</v>
      </c>
      <c r="I1708">
        <v>0</v>
      </c>
      <c r="J1708">
        <v>0</v>
      </c>
      <c r="K1708">
        <v>0</v>
      </c>
      <c r="L1708">
        <f t="shared" si="53"/>
        <v>0</v>
      </c>
    </row>
    <row r="1709" spans="1:12">
      <c r="A1709" t="s">
        <v>3600</v>
      </c>
      <c r="B1709" t="s">
        <v>1298</v>
      </c>
      <c r="C1709" t="s">
        <v>2817</v>
      </c>
      <c r="D1709" t="s">
        <v>2837</v>
      </c>
      <c r="E1709">
        <v>8</v>
      </c>
      <c r="F1709">
        <v>0</v>
      </c>
      <c r="G1709">
        <v>0</v>
      </c>
      <c r="H1709">
        <f t="shared" si="52"/>
        <v>8</v>
      </c>
      <c r="I1709">
        <v>0</v>
      </c>
      <c r="J1709">
        <v>0</v>
      </c>
      <c r="K1709">
        <v>0</v>
      </c>
      <c r="L1709">
        <f t="shared" si="53"/>
        <v>0</v>
      </c>
    </row>
    <row r="1710" spans="1:12">
      <c r="A1710" t="s">
        <v>3603</v>
      </c>
      <c r="B1710" t="s">
        <v>1278</v>
      </c>
      <c r="C1710" t="s">
        <v>2805</v>
      </c>
      <c r="D1710" t="s">
        <v>2806</v>
      </c>
      <c r="E1710">
        <v>62</v>
      </c>
      <c r="F1710">
        <v>0</v>
      </c>
      <c r="G1710">
        <v>0</v>
      </c>
      <c r="H1710">
        <f t="shared" si="52"/>
        <v>62</v>
      </c>
      <c r="I1710">
        <v>0</v>
      </c>
      <c r="J1710">
        <v>0</v>
      </c>
      <c r="K1710">
        <v>0</v>
      </c>
      <c r="L1710">
        <f t="shared" si="53"/>
        <v>0</v>
      </c>
    </row>
    <row r="1711" spans="1:12">
      <c r="A1711" t="s">
        <v>3603</v>
      </c>
      <c r="B1711" t="s">
        <v>1278</v>
      </c>
      <c r="C1711" t="s">
        <v>2805</v>
      </c>
      <c r="D1711" t="s">
        <v>449</v>
      </c>
      <c r="E1711">
        <v>137</v>
      </c>
      <c r="F1711">
        <v>0</v>
      </c>
      <c r="G1711">
        <v>0</v>
      </c>
      <c r="H1711">
        <f t="shared" si="52"/>
        <v>137</v>
      </c>
      <c r="I1711">
        <v>0</v>
      </c>
      <c r="J1711">
        <v>0</v>
      </c>
      <c r="K1711">
        <v>0</v>
      </c>
      <c r="L1711">
        <f t="shared" si="53"/>
        <v>0</v>
      </c>
    </row>
    <row r="1712" spans="1:12">
      <c r="A1712" t="s">
        <v>3603</v>
      </c>
      <c r="B1712" t="s">
        <v>1278</v>
      </c>
      <c r="C1712" t="s">
        <v>2805</v>
      </c>
      <c r="D1712" t="s">
        <v>2807</v>
      </c>
      <c r="E1712">
        <v>13</v>
      </c>
      <c r="F1712">
        <v>0</v>
      </c>
      <c r="G1712">
        <v>0</v>
      </c>
      <c r="H1712">
        <f t="shared" si="52"/>
        <v>13</v>
      </c>
      <c r="I1712">
        <v>0</v>
      </c>
      <c r="J1712">
        <v>0</v>
      </c>
      <c r="K1712">
        <v>0</v>
      </c>
      <c r="L1712">
        <f t="shared" si="53"/>
        <v>0</v>
      </c>
    </row>
    <row r="1713" spans="1:12">
      <c r="A1713" t="s">
        <v>3603</v>
      </c>
      <c r="B1713" t="s">
        <v>1278</v>
      </c>
      <c r="C1713" t="s">
        <v>2805</v>
      </c>
      <c r="D1713" t="s">
        <v>2937</v>
      </c>
      <c r="E1713">
        <v>3</v>
      </c>
      <c r="F1713">
        <v>0</v>
      </c>
      <c r="G1713">
        <v>0</v>
      </c>
      <c r="H1713">
        <f t="shared" si="52"/>
        <v>3</v>
      </c>
      <c r="I1713">
        <v>0</v>
      </c>
      <c r="J1713">
        <v>0</v>
      </c>
      <c r="K1713">
        <v>0</v>
      </c>
      <c r="L1713">
        <f t="shared" si="53"/>
        <v>0</v>
      </c>
    </row>
    <row r="1714" spans="1:12">
      <c r="A1714" t="s">
        <v>3603</v>
      </c>
      <c r="B1714" t="s">
        <v>1278</v>
      </c>
      <c r="C1714" t="s">
        <v>2805</v>
      </c>
      <c r="D1714" t="s">
        <v>2846</v>
      </c>
      <c r="E1714">
        <v>3</v>
      </c>
      <c r="F1714">
        <v>0</v>
      </c>
      <c r="G1714">
        <v>0</v>
      </c>
      <c r="H1714">
        <f t="shared" si="52"/>
        <v>3</v>
      </c>
      <c r="I1714">
        <v>0</v>
      </c>
      <c r="J1714">
        <v>0</v>
      </c>
      <c r="K1714">
        <v>0</v>
      </c>
      <c r="L1714">
        <f t="shared" si="53"/>
        <v>0</v>
      </c>
    </row>
    <row r="1715" spans="1:12">
      <c r="A1715" t="s">
        <v>3603</v>
      </c>
      <c r="B1715" t="s">
        <v>1278</v>
      </c>
      <c r="C1715" t="s">
        <v>2810</v>
      </c>
      <c r="D1715" t="s">
        <v>2811</v>
      </c>
      <c r="E1715">
        <v>13</v>
      </c>
      <c r="F1715">
        <v>0</v>
      </c>
      <c r="G1715">
        <v>0</v>
      </c>
      <c r="H1715">
        <f t="shared" si="52"/>
        <v>13</v>
      </c>
      <c r="I1715">
        <v>0</v>
      </c>
      <c r="J1715">
        <v>0</v>
      </c>
      <c r="K1715">
        <v>0</v>
      </c>
      <c r="L1715">
        <f t="shared" si="53"/>
        <v>0</v>
      </c>
    </row>
    <row r="1716" spans="1:12">
      <c r="A1716" t="s">
        <v>3603</v>
      </c>
      <c r="B1716" t="s">
        <v>1278</v>
      </c>
      <c r="C1716" t="s">
        <v>2810</v>
      </c>
      <c r="D1716" t="s">
        <v>2823</v>
      </c>
      <c r="E1716">
        <v>0</v>
      </c>
      <c r="F1716">
        <v>4</v>
      </c>
      <c r="G1716">
        <v>0</v>
      </c>
      <c r="H1716">
        <f t="shared" si="52"/>
        <v>4</v>
      </c>
      <c r="I1716">
        <v>0</v>
      </c>
      <c r="J1716">
        <v>0</v>
      </c>
      <c r="K1716">
        <v>0</v>
      </c>
      <c r="L1716">
        <f t="shared" si="53"/>
        <v>0</v>
      </c>
    </row>
    <row r="1717" spans="1:12">
      <c r="A1717" t="s">
        <v>3603</v>
      </c>
      <c r="B1717" t="s">
        <v>1278</v>
      </c>
      <c r="C1717" t="s">
        <v>2810</v>
      </c>
      <c r="D1717" t="s">
        <v>2812</v>
      </c>
      <c r="E1717">
        <v>121</v>
      </c>
      <c r="F1717">
        <v>0</v>
      </c>
      <c r="G1717">
        <v>0</v>
      </c>
      <c r="H1717">
        <f t="shared" si="52"/>
        <v>121</v>
      </c>
      <c r="I1717">
        <v>0</v>
      </c>
      <c r="J1717">
        <v>0</v>
      </c>
      <c r="K1717">
        <v>0</v>
      </c>
      <c r="L1717">
        <f t="shared" si="53"/>
        <v>0</v>
      </c>
    </row>
    <row r="1718" spans="1:12">
      <c r="A1718" t="s">
        <v>3603</v>
      </c>
      <c r="B1718" t="s">
        <v>1278</v>
      </c>
      <c r="C1718" t="s">
        <v>2810</v>
      </c>
      <c r="D1718" t="s">
        <v>2813</v>
      </c>
      <c r="E1718">
        <v>49</v>
      </c>
      <c r="F1718">
        <v>0</v>
      </c>
      <c r="G1718">
        <v>0</v>
      </c>
      <c r="H1718">
        <f t="shared" si="52"/>
        <v>49</v>
      </c>
      <c r="I1718">
        <v>0</v>
      </c>
      <c r="J1718">
        <v>0</v>
      </c>
      <c r="K1718">
        <v>0</v>
      </c>
      <c r="L1718">
        <f t="shared" si="53"/>
        <v>0</v>
      </c>
    </row>
    <row r="1719" spans="1:12">
      <c r="A1719" t="s">
        <v>3603</v>
      </c>
      <c r="B1719" t="s">
        <v>1278</v>
      </c>
      <c r="C1719" t="s">
        <v>2810</v>
      </c>
      <c r="D1719" t="s">
        <v>2814</v>
      </c>
      <c r="E1719">
        <v>24</v>
      </c>
      <c r="F1719">
        <v>0</v>
      </c>
      <c r="G1719">
        <v>0</v>
      </c>
      <c r="H1719">
        <f t="shared" si="52"/>
        <v>24</v>
      </c>
      <c r="I1719">
        <v>0</v>
      </c>
      <c r="J1719">
        <v>0</v>
      </c>
      <c r="K1719">
        <v>0</v>
      </c>
      <c r="L1719">
        <f t="shared" si="53"/>
        <v>0</v>
      </c>
    </row>
    <row r="1720" spans="1:12">
      <c r="A1720" t="s">
        <v>3603</v>
      </c>
      <c r="B1720" t="s">
        <v>1278</v>
      </c>
      <c r="C1720" t="s">
        <v>2810</v>
      </c>
      <c r="D1720" t="s">
        <v>2847</v>
      </c>
      <c r="E1720">
        <v>75</v>
      </c>
      <c r="F1720">
        <v>0</v>
      </c>
      <c r="G1720">
        <v>0</v>
      </c>
      <c r="H1720">
        <f t="shared" si="52"/>
        <v>75</v>
      </c>
      <c r="I1720">
        <v>0</v>
      </c>
      <c r="J1720">
        <v>0</v>
      </c>
      <c r="K1720">
        <v>0</v>
      </c>
      <c r="L1720">
        <f t="shared" si="53"/>
        <v>0</v>
      </c>
    </row>
    <row r="1721" spans="1:12">
      <c r="A1721" t="s">
        <v>3603</v>
      </c>
      <c r="B1721" t="s">
        <v>1278</v>
      </c>
      <c r="C1721" t="s">
        <v>2810</v>
      </c>
      <c r="D1721" t="s">
        <v>2840</v>
      </c>
      <c r="E1721">
        <v>5</v>
      </c>
      <c r="F1721">
        <v>0</v>
      </c>
      <c r="G1721">
        <v>0</v>
      </c>
      <c r="H1721">
        <f t="shared" si="52"/>
        <v>5</v>
      </c>
      <c r="I1721">
        <v>0</v>
      </c>
      <c r="J1721">
        <v>0</v>
      </c>
      <c r="K1721">
        <v>0</v>
      </c>
      <c r="L1721">
        <f t="shared" si="53"/>
        <v>0</v>
      </c>
    </row>
    <row r="1722" spans="1:12">
      <c r="A1722" t="s">
        <v>3603</v>
      </c>
      <c r="B1722" t="s">
        <v>1278</v>
      </c>
      <c r="C1722" t="s">
        <v>2810</v>
      </c>
      <c r="D1722" t="s">
        <v>2815</v>
      </c>
      <c r="E1722">
        <v>14</v>
      </c>
      <c r="F1722">
        <v>2</v>
      </c>
      <c r="G1722">
        <v>0</v>
      </c>
      <c r="H1722">
        <f t="shared" si="52"/>
        <v>16</v>
      </c>
      <c r="I1722">
        <v>0</v>
      </c>
      <c r="J1722">
        <v>0</v>
      </c>
      <c r="K1722">
        <v>0</v>
      </c>
      <c r="L1722">
        <f t="shared" si="53"/>
        <v>0</v>
      </c>
    </row>
    <row r="1723" spans="1:12">
      <c r="A1723" t="s">
        <v>3603</v>
      </c>
      <c r="B1723" t="s">
        <v>1278</v>
      </c>
      <c r="C1723" t="s">
        <v>2816</v>
      </c>
      <c r="D1723" t="s">
        <v>1897</v>
      </c>
      <c r="E1723">
        <v>33</v>
      </c>
      <c r="F1723">
        <v>0</v>
      </c>
      <c r="G1723">
        <v>0</v>
      </c>
      <c r="H1723">
        <f t="shared" si="52"/>
        <v>33</v>
      </c>
      <c r="I1723">
        <v>0</v>
      </c>
      <c r="J1723">
        <v>0</v>
      </c>
      <c r="K1723">
        <v>0</v>
      </c>
      <c r="L1723">
        <f t="shared" si="53"/>
        <v>0</v>
      </c>
    </row>
    <row r="1724" spans="1:12">
      <c r="A1724" t="s">
        <v>3603</v>
      </c>
      <c r="B1724" t="s">
        <v>1278</v>
      </c>
      <c r="C1724" t="s">
        <v>2817</v>
      </c>
      <c r="D1724" t="s">
        <v>2837</v>
      </c>
      <c r="E1724">
        <v>2</v>
      </c>
      <c r="F1724">
        <v>0</v>
      </c>
      <c r="G1724">
        <v>0</v>
      </c>
      <c r="H1724">
        <f t="shared" si="52"/>
        <v>2</v>
      </c>
      <c r="I1724">
        <v>0</v>
      </c>
      <c r="J1724">
        <v>0</v>
      </c>
      <c r="K1724">
        <v>0</v>
      </c>
      <c r="L1724">
        <f t="shared" si="53"/>
        <v>0</v>
      </c>
    </row>
    <row r="1725" spans="1:12">
      <c r="A1725" t="s">
        <v>3612</v>
      </c>
      <c r="B1725" t="s">
        <v>1301</v>
      </c>
      <c r="C1725" t="s">
        <v>2805</v>
      </c>
      <c r="D1725" t="s">
        <v>2806</v>
      </c>
      <c r="E1725">
        <v>73</v>
      </c>
      <c r="F1725">
        <v>0</v>
      </c>
      <c r="G1725">
        <v>0</v>
      </c>
      <c r="H1725">
        <f t="shared" si="52"/>
        <v>73</v>
      </c>
      <c r="I1725">
        <v>6</v>
      </c>
      <c r="J1725">
        <v>0</v>
      </c>
      <c r="K1725">
        <v>0</v>
      </c>
      <c r="L1725">
        <f t="shared" si="53"/>
        <v>6</v>
      </c>
    </row>
    <row r="1726" spans="1:12">
      <c r="A1726" t="s">
        <v>3612</v>
      </c>
      <c r="B1726" t="s">
        <v>1301</v>
      </c>
      <c r="C1726" t="s">
        <v>2805</v>
      </c>
      <c r="D1726" t="s">
        <v>449</v>
      </c>
      <c r="E1726">
        <v>67</v>
      </c>
      <c r="F1726">
        <v>0</v>
      </c>
      <c r="G1726">
        <v>0</v>
      </c>
      <c r="H1726">
        <f t="shared" si="52"/>
        <v>67</v>
      </c>
      <c r="I1726">
        <v>12</v>
      </c>
      <c r="J1726">
        <v>0</v>
      </c>
      <c r="K1726">
        <v>0</v>
      </c>
      <c r="L1726">
        <f t="shared" si="53"/>
        <v>12</v>
      </c>
    </row>
    <row r="1727" spans="1:12">
      <c r="A1727" t="s">
        <v>3612</v>
      </c>
      <c r="B1727" t="s">
        <v>1301</v>
      </c>
      <c r="C1727" t="s">
        <v>2805</v>
      </c>
      <c r="D1727" t="s">
        <v>2807</v>
      </c>
      <c r="E1727">
        <v>11</v>
      </c>
      <c r="F1727">
        <v>0</v>
      </c>
      <c r="G1727">
        <v>0</v>
      </c>
      <c r="H1727">
        <f t="shared" si="52"/>
        <v>11</v>
      </c>
      <c r="I1727">
        <v>1</v>
      </c>
      <c r="J1727">
        <v>0</v>
      </c>
      <c r="K1727">
        <v>0</v>
      </c>
      <c r="L1727">
        <f t="shared" si="53"/>
        <v>1</v>
      </c>
    </row>
    <row r="1728" spans="1:12">
      <c r="A1728" t="s">
        <v>3612</v>
      </c>
      <c r="B1728" t="s">
        <v>1301</v>
      </c>
      <c r="C1728" t="s">
        <v>2810</v>
      </c>
      <c r="D1728" t="s">
        <v>2811</v>
      </c>
      <c r="E1728">
        <v>44</v>
      </c>
      <c r="F1728">
        <v>0</v>
      </c>
      <c r="G1728">
        <v>0</v>
      </c>
      <c r="H1728">
        <f t="shared" si="52"/>
        <v>44</v>
      </c>
      <c r="I1728">
        <v>3</v>
      </c>
      <c r="J1728">
        <v>0</v>
      </c>
      <c r="K1728">
        <v>0</v>
      </c>
      <c r="L1728">
        <f t="shared" si="53"/>
        <v>3</v>
      </c>
    </row>
    <row r="1729" spans="1:12">
      <c r="A1729" t="s">
        <v>3612</v>
      </c>
      <c r="B1729" t="s">
        <v>1301</v>
      </c>
      <c r="C1729" t="s">
        <v>2810</v>
      </c>
      <c r="D1729" t="s">
        <v>1892</v>
      </c>
      <c r="E1729">
        <v>2</v>
      </c>
      <c r="F1729">
        <v>15</v>
      </c>
      <c r="G1729">
        <v>0</v>
      </c>
      <c r="H1729">
        <f t="shared" si="52"/>
        <v>17</v>
      </c>
      <c r="I1729">
        <v>0</v>
      </c>
      <c r="J1729">
        <v>9</v>
      </c>
      <c r="K1729">
        <v>0</v>
      </c>
      <c r="L1729">
        <f t="shared" si="53"/>
        <v>9</v>
      </c>
    </row>
    <row r="1730" spans="1:12">
      <c r="A1730" t="s">
        <v>3612</v>
      </c>
      <c r="B1730" t="s">
        <v>1301</v>
      </c>
      <c r="C1730" t="s">
        <v>2810</v>
      </c>
      <c r="D1730" t="s">
        <v>2823</v>
      </c>
      <c r="E1730">
        <v>5</v>
      </c>
      <c r="F1730">
        <v>62</v>
      </c>
      <c r="G1730">
        <v>0</v>
      </c>
      <c r="H1730">
        <f t="shared" si="52"/>
        <v>67</v>
      </c>
      <c r="I1730">
        <v>0</v>
      </c>
      <c r="J1730">
        <v>0</v>
      </c>
      <c r="K1730">
        <v>0</v>
      </c>
      <c r="L1730">
        <f t="shared" si="53"/>
        <v>0</v>
      </c>
    </row>
    <row r="1731" spans="1:12">
      <c r="A1731" t="s">
        <v>3612</v>
      </c>
      <c r="B1731" t="s">
        <v>1301</v>
      </c>
      <c r="C1731" t="s">
        <v>2810</v>
      </c>
      <c r="D1731" t="s">
        <v>2812</v>
      </c>
      <c r="E1731">
        <v>107</v>
      </c>
      <c r="F1731">
        <v>1</v>
      </c>
      <c r="G1731">
        <v>0</v>
      </c>
      <c r="H1731">
        <f t="shared" si="52"/>
        <v>108</v>
      </c>
      <c r="I1731">
        <v>1</v>
      </c>
      <c r="J1731">
        <v>0</v>
      </c>
      <c r="K1731">
        <v>0</v>
      </c>
      <c r="L1731">
        <f t="shared" si="53"/>
        <v>1</v>
      </c>
    </row>
    <row r="1732" spans="1:12">
      <c r="A1732" t="s">
        <v>3612</v>
      </c>
      <c r="B1732" t="s">
        <v>1301</v>
      </c>
      <c r="C1732" t="s">
        <v>2810</v>
      </c>
      <c r="D1732" t="s">
        <v>2813</v>
      </c>
      <c r="E1732">
        <v>30</v>
      </c>
      <c r="F1732">
        <v>0</v>
      </c>
      <c r="G1732">
        <v>0</v>
      </c>
      <c r="H1732">
        <f t="shared" ref="H1732:H1795" si="54">SUM(E1732:G1732)</f>
        <v>30</v>
      </c>
      <c r="I1732">
        <v>0</v>
      </c>
      <c r="J1732">
        <v>0</v>
      </c>
      <c r="K1732">
        <v>0</v>
      </c>
      <c r="L1732">
        <f t="shared" ref="L1732:L1795" si="55">SUM(I1732:K1732)</f>
        <v>0</v>
      </c>
    </row>
    <row r="1733" spans="1:12">
      <c r="A1733" t="s">
        <v>3612</v>
      </c>
      <c r="B1733" t="s">
        <v>1301</v>
      </c>
      <c r="C1733" t="s">
        <v>2810</v>
      </c>
      <c r="D1733" t="s">
        <v>2814</v>
      </c>
      <c r="E1733">
        <v>3</v>
      </c>
      <c r="F1733">
        <v>0</v>
      </c>
      <c r="G1733">
        <v>0</v>
      </c>
      <c r="H1733">
        <f t="shared" si="54"/>
        <v>3</v>
      </c>
      <c r="I1733">
        <v>0</v>
      </c>
      <c r="J1733">
        <v>0</v>
      </c>
      <c r="K1733">
        <v>0</v>
      </c>
      <c r="L1733">
        <f t="shared" si="55"/>
        <v>0</v>
      </c>
    </row>
    <row r="1734" spans="1:12">
      <c r="A1734" t="s">
        <v>3612</v>
      </c>
      <c r="B1734" t="s">
        <v>1301</v>
      </c>
      <c r="C1734" t="s">
        <v>2810</v>
      </c>
      <c r="D1734" t="s">
        <v>2847</v>
      </c>
      <c r="E1734">
        <v>28</v>
      </c>
      <c r="F1734">
        <v>0</v>
      </c>
      <c r="G1734">
        <v>0</v>
      </c>
      <c r="H1734">
        <f t="shared" si="54"/>
        <v>28</v>
      </c>
      <c r="I1734">
        <v>0</v>
      </c>
      <c r="J1734">
        <v>0</v>
      </c>
      <c r="K1734">
        <v>0</v>
      </c>
      <c r="L1734">
        <f t="shared" si="55"/>
        <v>0</v>
      </c>
    </row>
    <row r="1735" spans="1:12">
      <c r="A1735" t="s">
        <v>3612</v>
      </c>
      <c r="B1735" t="s">
        <v>1301</v>
      </c>
      <c r="C1735" t="s">
        <v>2816</v>
      </c>
      <c r="D1735" t="s">
        <v>1897</v>
      </c>
      <c r="E1735">
        <v>8</v>
      </c>
      <c r="F1735">
        <v>0</v>
      </c>
      <c r="G1735">
        <v>0</v>
      </c>
      <c r="H1735">
        <f t="shared" si="54"/>
        <v>8</v>
      </c>
      <c r="I1735">
        <v>0</v>
      </c>
      <c r="J1735">
        <v>0</v>
      </c>
      <c r="K1735">
        <v>0</v>
      </c>
      <c r="L1735">
        <f t="shared" si="55"/>
        <v>0</v>
      </c>
    </row>
    <row r="1736" spans="1:12">
      <c r="A1736" t="s">
        <v>3612</v>
      </c>
      <c r="B1736" t="s">
        <v>1301</v>
      </c>
      <c r="C1736" t="s">
        <v>2826</v>
      </c>
      <c r="D1736" t="s">
        <v>2834</v>
      </c>
      <c r="E1736">
        <v>0</v>
      </c>
      <c r="F1736">
        <v>0</v>
      </c>
      <c r="G1736">
        <v>0</v>
      </c>
      <c r="H1736">
        <f t="shared" si="54"/>
        <v>0</v>
      </c>
      <c r="I1736">
        <v>1</v>
      </c>
      <c r="J1736">
        <v>0</v>
      </c>
      <c r="K1736">
        <v>0</v>
      </c>
      <c r="L1736">
        <f t="shared" si="55"/>
        <v>1</v>
      </c>
    </row>
    <row r="1737" spans="1:12">
      <c r="A1737" t="s">
        <v>3612</v>
      </c>
      <c r="B1737" t="s">
        <v>1301</v>
      </c>
      <c r="C1737" t="s">
        <v>2820</v>
      </c>
      <c r="D1737" t="s">
        <v>2821</v>
      </c>
      <c r="E1737">
        <v>2</v>
      </c>
      <c r="F1737">
        <v>0</v>
      </c>
      <c r="G1737">
        <v>0</v>
      </c>
      <c r="H1737">
        <f t="shared" si="54"/>
        <v>2</v>
      </c>
      <c r="I1737">
        <v>0</v>
      </c>
      <c r="J1737">
        <v>0</v>
      </c>
      <c r="K1737">
        <v>0</v>
      </c>
      <c r="L1737">
        <f t="shared" si="55"/>
        <v>0</v>
      </c>
    </row>
    <row r="1738" spans="1:12">
      <c r="A1738" t="s">
        <v>3613</v>
      </c>
      <c r="B1738" t="s">
        <v>1304</v>
      </c>
      <c r="C1738" t="s">
        <v>2805</v>
      </c>
      <c r="D1738" t="s">
        <v>2806</v>
      </c>
      <c r="E1738">
        <v>502</v>
      </c>
      <c r="F1738">
        <v>0</v>
      </c>
      <c r="G1738">
        <v>0</v>
      </c>
      <c r="H1738">
        <f t="shared" si="54"/>
        <v>502</v>
      </c>
      <c r="I1738">
        <v>0</v>
      </c>
      <c r="J1738">
        <v>0</v>
      </c>
      <c r="K1738">
        <v>0</v>
      </c>
      <c r="L1738">
        <f t="shared" si="55"/>
        <v>0</v>
      </c>
    </row>
    <row r="1739" spans="1:12">
      <c r="A1739" t="s">
        <v>3613</v>
      </c>
      <c r="B1739" t="s">
        <v>1304</v>
      </c>
      <c r="C1739" t="s">
        <v>2805</v>
      </c>
      <c r="D1739" t="s">
        <v>449</v>
      </c>
      <c r="E1739">
        <v>731</v>
      </c>
      <c r="F1739">
        <v>0</v>
      </c>
      <c r="G1739">
        <v>0</v>
      </c>
      <c r="H1739">
        <f t="shared" si="54"/>
        <v>731</v>
      </c>
      <c r="I1739">
        <v>0</v>
      </c>
      <c r="J1739">
        <v>0</v>
      </c>
      <c r="K1739">
        <v>0</v>
      </c>
      <c r="L1739">
        <f t="shared" si="55"/>
        <v>0</v>
      </c>
    </row>
    <row r="1740" spans="1:12">
      <c r="A1740" t="s">
        <v>3613</v>
      </c>
      <c r="B1740" t="s">
        <v>1304</v>
      </c>
      <c r="C1740" t="s">
        <v>2805</v>
      </c>
      <c r="D1740" t="s">
        <v>2807</v>
      </c>
      <c r="E1740">
        <v>8</v>
      </c>
      <c r="F1740">
        <v>0</v>
      </c>
      <c r="G1740">
        <v>0</v>
      </c>
      <c r="H1740">
        <f t="shared" si="54"/>
        <v>8</v>
      </c>
      <c r="I1740">
        <v>0</v>
      </c>
      <c r="J1740">
        <v>0</v>
      </c>
      <c r="K1740">
        <v>0</v>
      </c>
      <c r="L1740">
        <f t="shared" si="55"/>
        <v>0</v>
      </c>
    </row>
    <row r="1741" spans="1:12">
      <c r="A1741" t="s">
        <v>3613</v>
      </c>
      <c r="B1741" t="s">
        <v>1304</v>
      </c>
      <c r="C1741" t="s">
        <v>2805</v>
      </c>
      <c r="D1741" t="s">
        <v>2809</v>
      </c>
      <c r="E1741">
        <v>2</v>
      </c>
      <c r="F1741">
        <v>0</v>
      </c>
      <c r="G1741">
        <v>0</v>
      </c>
      <c r="H1741">
        <f t="shared" si="54"/>
        <v>2</v>
      </c>
      <c r="I1741">
        <v>0</v>
      </c>
      <c r="J1741">
        <v>0</v>
      </c>
      <c r="K1741">
        <v>0</v>
      </c>
      <c r="L1741">
        <f t="shared" si="55"/>
        <v>0</v>
      </c>
    </row>
    <row r="1742" spans="1:12">
      <c r="A1742" t="s">
        <v>3613</v>
      </c>
      <c r="B1742" t="s">
        <v>1304</v>
      </c>
      <c r="C1742" t="s">
        <v>2805</v>
      </c>
      <c r="D1742" t="s">
        <v>3614</v>
      </c>
      <c r="E1742">
        <v>11</v>
      </c>
      <c r="F1742">
        <v>0</v>
      </c>
      <c r="G1742">
        <v>0</v>
      </c>
      <c r="H1742">
        <f t="shared" si="54"/>
        <v>11</v>
      </c>
      <c r="I1742">
        <v>0</v>
      </c>
      <c r="J1742">
        <v>0</v>
      </c>
      <c r="K1742">
        <v>0</v>
      </c>
      <c r="L1742">
        <f t="shared" si="55"/>
        <v>0</v>
      </c>
    </row>
    <row r="1743" spans="1:12">
      <c r="A1743" t="s">
        <v>3613</v>
      </c>
      <c r="B1743" t="s">
        <v>1304</v>
      </c>
      <c r="C1743" t="s">
        <v>2805</v>
      </c>
      <c r="D1743" t="s">
        <v>2937</v>
      </c>
      <c r="E1743">
        <v>4</v>
      </c>
      <c r="F1743">
        <v>1</v>
      </c>
      <c r="G1743">
        <v>0</v>
      </c>
      <c r="H1743">
        <f t="shared" si="54"/>
        <v>5</v>
      </c>
      <c r="I1743">
        <v>0</v>
      </c>
      <c r="J1743">
        <v>0</v>
      </c>
      <c r="K1743">
        <v>0</v>
      </c>
      <c r="L1743">
        <f t="shared" si="55"/>
        <v>0</v>
      </c>
    </row>
    <row r="1744" spans="1:12">
      <c r="A1744" t="s">
        <v>3613</v>
      </c>
      <c r="B1744" t="s">
        <v>1304</v>
      </c>
      <c r="C1744" t="s">
        <v>2805</v>
      </c>
      <c r="D1744" t="s">
        <v>2863</v>
      </c>
      <c r="E1744">
        <v>1</v>
      </c>
      <c r="F1744">
        <v>0</v>
      </c>
      <c r="G1744">
        <v>0</v>
      </c>
      <c r="H1744">
        <f t="shared" si="54"/>
        <v>1</v>
      </c>
      <c r="I1744">
        <v>0</v>
      </c>
      <c r="J1744">
        <v>0</v>
      </c>
      <c r="K1744">
        <v>0</v>
      </c>
      <c r="L1744">
        <f t="shared" si="55"/>
        <v>0</v>
      </c>
    </row>
    <row r="1745" spans="1:12">
      <c r="A1745" t="s">
        <v>3613</v>
      </c>
      <c r="B1745" t="s">
        <v>1304</v>
      </c>
      <c r="C1745" t="s">
        <v>2810</v>
      </c>
      <c r="D1745" t="s">
        <v>2811</v>
      </c>
      <c r="E1745">
        <v>11</v>
      </c>
      <c r="F1745">
        <v>0</v>
      </c>
      <c r="G1745">
        <v>0</v>
      </c>
      <c r="H1745">
        <f t="shared" si="54"/>
        <v>11</v>
      </c>
      <c r="I1745">
        <v>0</v>
      </c>
      <c r="J1745">
        <v>0</v>
      </c>
      <c r="K1745">
        <v>0</v>
      </c>
      <c r="L1745">
        <f t="shared" si="55"/>
        <v>0</v>
      </c>
    </row>
    <row r="1746" spans="1:12">
      <c r="A1746" t="s">
        <v>3613</v>
      </c>
      <c r="B1746" t="s">
        <v>1304</v>
      </c>
      <c r="C1746" t="s">
        <v>2810</v>
      </c>
      <c r="D1746" t="s">
        <v>2823</v>
      </c>
      <c r="E1746">
        <v>1</v>
      </c>
      <c r="F1746">
        <v>7</v>
      </c>
      <c r="G1746">
        <v>0</v>
      </c>
      <c r="H1746">
        <f t="shared" si="54"/>
        <v>8</v>
      </c>
      <c r="I1746">
        <v>0</v>
      </c>
      <c r="J1746">
        <v>0</v>
      </c>
      <c r="K1746">
        <v>0</v>
      </c>
      <c r="L1746">
        <f t="shared" si="55"/>
        <v>0</v>
      </c>
    </row>
    <row r="1747" spans="1:12">
      <c r="A1747" t="s">
        <v>3613</v>
      </c>
      <c r="B1747" t="s">
        <v>1304</v>
      </c>
      <c r="C1747" t="s">
        <v>2810</v>
      </c>
      <c r="D1747" t="s">
        <v>2812</v>
      </c>
      <c r="E1747">
        <v>199</v>
      </c>
      <c r="F1747">
        <v>0</v>
      </c>
      <c r="G1747">
        <v>0</v>
      </c>
      <c r="H1747">
        <f t="shared" si="54"/>
        <v>199</v>
      </c>
      <c r="I1747">
        <v>0</v>
      </c>
      <c r="J1747">
        <v>0</v>
      </c>
      <c r="K1747">
        <v>0</v>
      </c>
      <c r="L1747">
        <f t="shared" si="55"/>
        <v>0</v>
      </c>
    </row>
    <row r="1748" spans="1:12">
      <c r="A1748" t="s">
        <v>3613</v>
      </c>
      <c r="B1748" t="s">
        <v>1304</v>
      </c>
      <c r="C1748" t="s">
        <v>2810</v>
      </c>
      <c r="D1748" t="s">
        <v>2813</v>
      </c>
      <c r="E1748">
        <v>63</v>
      </c>
      <c r="F1748">
        <v>0</v>
      </c>
      <c r="G1748">
        <v>0</v>
      </c>
      <c r="H1748">
        <f t="shared" si="54"/>
        <v>63</v>
      </c>
      <c r="I1748">
        <v>0</v>
      </c>
      <c r="J1748">
        <v>0</v>
      </c>
      <c r="K1748">
        <v>0</v>
      </c>
      <c r="L1748">
        <f t="shared" si="55"/>
        <v>0</v>
      </c>
    </row>
    <row r="1749" spans="1:12">
      <c r="A1749" t="s">
        <v>3613</v>
      </c>
      <c r="B1749" t="s">
        <v>1304</v>
      </c>
      <c r="C1749" t="s">
        <v>2810</v>
      </c>
      <c r="D1749" t="s">
        <v>2847</v>
      </c>
      <c r="E1749">
        <v>95</v>
      </c>
      <c r="F1749">
        <v>0</v>
      </c>
      <c r="G1749">
        <v>0</v>
      </c>
      <c r="H1749">
        <f t="shared" si="54"/>
        <v>95</v>
      </c>
      <c r="I1749">
        <v>0</v>
      </c>
      <c r="J1749">
        <v>0</v>
      </c>
      <c r="K1749">
        <v>0</v>
      </c>
      <c r="L1749">
        <f t="shared" si="55"/>
        <v>0</v>
      </c>
    </row>
    <row r="1750" spans="1:12">
      <c r="A1750" t="s">
        <v>3613</v>
      </c>
      <c r="B1750" t="s">
        <v>1304</v>
      </c>
      <c r="C1750" t="s">
        <v>2810</v>
      </c>
      <c r="D1750" t="s">
        <v>2840</v>
      </c>
      <c r="E1750">
        <v>8</v>
      </c>
      <c r="F1750">
        <v>0</v>
      </c>
      <c r="G1750">
        <v>0</v>
      </c>
      <c r="H1750">
        <f t="shared" si="54"/>
        <v>8</v>
      </c>
      <c r="I1750">
        <v>0</v>
      </c>
      <c r="J1750">
        <v>0</v>
      </c>
      <c r="K1750">
        <v>0</v>
      </c>
      <c r="L1750">
        <f t="shared" si="55"/>
        <v>0</v>
      </c>
    </row>
    <row r="1751" spans="1:12">
      <c r="A1751" t="s">
        <v>3613</v>
      </c>
      <c r="B1751" t="s">
        <v>1304</v>
      </c>
      <c r="C1751" t="s">
        <v>2810</v>
      </c>
      <c r="D1751" t="s">
        <v>2815</v>
      </c>
      <c r="E1751">
        <v>2</v>
      </c>
      <c r="F1751">
        <v>0</v>
      </c>
      <c r="G1751">
        <v>0</v>
      </c>
      <c r="H1751">
        <f t="shared" si="54"/>
        <v>2</v>
      </c>
      <c r="I1751">
        <v>0</v>
      </c>
      <c r="J1751">
        <v>0</v>
      </c>
      <c r="K1751">
        <v>0</v>
      </c>
      <c r="L1751">
        <f t="shared" si="55"/>
        <v>0</v>
      </c>
    </row>
    <row r="1752" spans="1:12">
      <c r="A1752" t="s">
        <v>3613</v>
      </c>
      <c r="B1752" t="s">
        <v>1304</v>
      </c>
      <c r="C1752" t="s">
        <v>2816</v>
      </c>
      <c r="D1752" t="s">
        <v>1896</v>
      </c>
      <c r="E1752">
        <v>51</v>
      </c>
      <c r="F1752">
        <v>0</v>
      </c>
      <c r="G1752">
        <v>0</v>
      </c>
      <c r="H1752">
        <f t="shared" si="54"/>
        <v>51</v>
      </c>
      <c r="I1752">
        <v>0</v>
      </c>
      <c r="J1752">
        <v>0</v>
      </c>
      <c r="K1752">
        <v>0</v>
      </c>
      <c r="L1752">
        <f t="shared" si="55"/>
        <v>0</v>
      </c>
    </row>
    <row r="1753" spans="1:12">
      <c r="A1753" t="s">
        <v>3613</v>
      </c>
      <c r="B1753" t="s">
        <v>1304</v>
      </c>
      <c r="C1753" t="s">
        <v>2816</v>
      </c>
      <c r="D1753" t="s">
        <v>1897</v>
      </c>
      <c r="E1753">
        <v>171</v>
      </c>
      <c r="F1753">
        <v>0</v>
      </c>
      <c r="G1753">
        <v>0</v>
      </c>
      <c r="H1753">
        <f t="shared" si="54"/>
        <v>171</v>
      </c>
      <c r="I1753">
        <v>0</v>
      </c>
      <c r="J1753">
        <v>0</v>
      </c>
      <c r="K1753">
        <v>0</v>
      </c>
      <c r="L1753">
        <f t="shared" si="55"/>
        <v>0</v>
      </c>
    </row>
    <row r="1754" spans="1:12">
      <c r="A1754" t="s">
        <v>3613</v>
      </c>
      <c r="B1754" t="s">
        <v>1304</v>
      </c>
      <c r="C1754" t="s">
        <v>2826</v>
      </c>
      <c r="D1754" t="s">
        <v>2871</v>
      </c>
      <c r="E1754">
        <v>0</v>
      </c>
      <c r="F1754">
        <v>0</v>
      </c>
      <c r="G1754">
        <v>0</v>
      </c>
      <c r="H1754">
        <f t="shared" si="54"/>
        <v>0</v>
      </c>
      <c r="I1754">
        <v>1</v>
      </c>
      <c r="J1754">
        <v>0</v>
      </c>
      <c r="K1754">
        <v>0</v>
      </c>
      <c r="L1754">
        <f t="shared" si="55"/>
        <v>1</v>
      </c>
    </row>
    <row r="1755" spans="1:12">
      <c r="A1755" t="s">
        <v>3613</v>
      </c>
      <c r="B1755" t="s">
        <v>1304</v>
      </c>
      <c r="C1755" t="s">
        <v>2826</v>
      </c>
      <c r="D1755" t="s">
        <v>2834</v>
      </c>
      <c r="E1755">
        <v>0</v>
      </c>
      <c r="F1755">
        <v>0</v>
      </c>
      <c r="G1755">
        <v>0</v>
      </c>
      <c r="H1755">
        <f t="shared" si="54"/>
        <v>0</v>
      </c>
      <c r="I1755">
        <v>1</v>
      </c>
      <c r="J1755">
        <v>0</v>
      </c>
      <c r="K1755">
        <v>0</v>
      </c>
      <c r="L1755">
        <f t="shared" si="55"/>
        <v>1</v>
      </c>
    </row>
    <row r="1756" spans="1:12">
      <c r="A1756" t="s">
        <v>3613</v>
      </c>
      <c r="B1756" t="s">
        <v>1304</v>
      </c>
      <c r="C1756" t="s">
        <v>2826</v>
      </c>
      <c r="D1756" t="s">
        <v>2849</v>
      </c>
      <c r="E1756">
        <v>0</v>
      </c>
      <c r="F1756">
        <v>0</v>
      </c>
      <c r="G1756">
        <v>0</v>
      </c>
      <c r="H1756">
        <f t="shared" si="54"/>
        <v>0</v>
      </c>
      <c r="I1756">
        <v>1</v>
      </c>
      <c r="J1756">
        <v>0</v>
      </c>
      <c r="K1756">
        <v>0</v>
      </c>
      <c r="L1756">
        <f t="shared" si="55"/>
        <v>1</v>
      </c>
    </row>
    <row r="1757" spans="1:12">
      <c r="A1757" t="s">
        <v>3613</v>
      </c>
      <c r="B1757" t="s">
        <v>1304</v>
      </c>
      <c r="C1757" t="s">
        <v>2817</v>
      </c>
      <c r="D1757" t="s">
        <v>2888</v>
      </c>
      <c r="E1757">
        <v>7</v>
      </c>
      <c r="F1757">
        <v>0</v>
      </c>
      <c r="G1757">
        <v>0</v>
      </c>
      <c r="H1757">
        <f t="shared" si="54"/>
        <v>7</v>
      </c>
      <c r="I1757">
        <v>0</v>
      </c>
      <c r="J1757">
        <v>0</v>
      </c>
      <c r="K1757">
        <v>0</v>
      </c>
      <c r="L1757">
        <f t="shared" si="55"/>
        <v>0</v>
      </c>
    </row>
    <row r="1758" spans="1:12">
      <c r="A1758" t="s">
        <v>3613</v>
      </c>
      <c r="B1758" t="s">
        <v>1304</v>
      </c>
      <c r="C1758" t="s">
        <v>2817</v>
      </c>
      <c r="D1758" t="s">
        <v>2877</v>
      </c>
      <c r="E1758">
        <v>1</v>
      </c>
      <c r="F1758">
        <v>0</v>
      </c>
      <c r="G1758">
        <v>0</v>
      </c>
      <c r="H1758">
        <f t="shared" si="54"/>
        <v>1</v>
      </c>
      <c r="I1758">
        <v>0</v>
      </c>
      <c r="J1758">
        <v>0</v>
      </c>
      <c r="K1758">
        <v>0</v>
      </c>
      <c r="L1758">
        <f t="shared" si="55"/>
        <v>0</v>
      </c>
    </row>
    <row r="1759" spans="1:12">
      <c r="A1759" t="s">
        <v>3613</v>
      </c>
      <c r="B1759" t="s">
        <v>1304</v>
      </c>
      <c r="C1759" t="s">
        <v>2817</v>
      </c>
      <c r="D1759" t="s">
        <v>2818</v>
      </c>
      <c r="E1759">
        <v>16</v>
      </c>
      <c r="F1759">
        <v>0</v>
      </c>
      <c r="G1759">
        <v>0</v>
      </c>
      <c r="H1759">
        <f t="shared" si="54"/>
        <v>16</v>
      </c>
      <c r="I1759">
        <v>0</v>
      </c>
      <c r="J1759">
        <v>0</v>
      </c>
      <c r="K1759">
        <v>0</v>
      </c>
      <c r="L1759">
        <f t="shared" si="55"/>
        <v>0</v>
      </c>
    </row>
    <row r="1760" spans="1:12">
      <c r="A1760" t="s">
        <v>3613</v>
      </c>
      <c r="B1760" t="s">
        <v>1304</v>
      </c>
      <c r="C1760" t="s">
        <v>2817</v>
      </c>
      <c r="D1760" t="s">
        <v>2837</v>
      </c>
      <c r="E1760">
        <v>22</v>
      </c>
      <c r="F1760">
        <v>0</v>
      </c>
      <c r="G1760">
        <v>0</v>
      </c>
      <c r="H1760">
        <f t="shared" si="54"/>
        <v>22</v>
      </c>
      <c r="I1760">
        <v>0</v>
      </c>
      <c r="J1760">
        <v>0</v>
      </c>
      <c r="K1760">
        <v>0</v>
      </c>
      <c r="L1760">
        <f t="shared" si="55"/>
        <v>0</v>
      </c>
    </row>
    <row r="1761" spans="1:12">
      <c r="A1761" t="s">
        <v>3613</v>
      </c>
      <c r="B1761" t="s">
        <v>1304</v>
      </c>
      <c r="C1761" t="s">
        <v>2820</v>
      </c>
      <c r="D1761" t="s">
        <v>2821</v>
      </c>
      <c r="E1761">
        <v>1</v>
      </c>
      <c r="F1761">
        <v>0</v>
      </c>
      <c r="G1761">
        <v>0</v>
      </c>
      <c r="H1761">
        <f t="shared" si="54"/>
        <v>1</v>
      </c>
      <c r="I1761">
        <v>0</v>
      </c>
      <c r="J1761">
        <v>0</v>
      </c>
      <c r="K1761">
        <v>0</v>
      </c>
      <c r="L1761">
        <f t="shared" si="55"/>
        <v>0</v>
      </c>
    </row>
    <row r="1762" spans="1:12">
      <c r="A1762" t="s">
        <v>3615</v>
      </c>
      <c r="B1762" t="s">
        <v>1306</v>
      </c>
      <c r="C1762" t="s">
        <v>2805</v>
      </c>
      <c r="D1762" t="s">
        <v>2806</v>
      </c>
      <c r="E1762">
        <v>35</v>
      </c>
      <c r="F1762">
        <v>0</v>
      </c>
      <c r="G1762">
        <v>0</v>
      </c>
      <c r="H1762">
        <f t="shared" si="54"/>
        <v>35</v>
      </c>
      <c r="I1762">
        <v>0</v>
      </c>
      <c r="J1762">
        <v>0</v>
      </c>
      <c r="K1762">
        <v>0</v>
      </c>
      <c r="L1762">
        <f t="shared" si="55"/>
        <v>0</v>
      </c>
    </row>
    <row r="1763" spans="1:12">
      <c r="A1763" t="s">
        <v>3615</v>
      </c>
      <c r="B1763" t="s">
        <v>1306</v>
      </c>
      <c r="C1763" t="s">
        <v>2805</v>
      </c>
      <c r="D1763" t="s">
        <v>449</v>
      </c>
      <c r="E1763">
        <v>142</v>
      </c>
      <c r="F1763">
        <v>0</v>
      </c>
      <c r="G1763">
        <v>0</v>
      </c>
      <c r="H1763">
        <f t="shared" si="54"/>
        <v>142</v>
      </c>
      <c r="I1763">
        <v>0</v>
      </c>
      <c r="J1763">
        <v>0</v>
      </c>
      <c r="K1763">
        <v>0</v>
      </c>
      <c r="L1763">
        <f t="shared" si="55"/>
        <v>0</v>
      </c>
    </row>
    <row r="1764" spans="1:12">
      <c r="A1764" t="s">
        <v>3615</v>
      </c>
      <c r="B1764" t="s">
        <v>1306</v>
      </c>
      <c r="C1764" t="s">
        <v>2805</v>
      </c>
      <c r="D1764" t="s">
        <v>2807</v>
      </c>
      <c r="E1764">
        <v>4</v>
      </c>
      <c r="F1764">
        <v>0</v>
      </c>
      <c r="G1764">
        <v>0</v>
      </c>
      <c r="H1764">
        <f t="shared" si="54"/>
        <v>4</v>
      </c>
      <c r="I1764">
        <v>0</v>
      </c>
      <c r="J1764">
        <v>0</v>
      </c>
      <c r="K1764">
        <v>0</v>
      </c>
      <c r="L1764">
        <f t="shared" si="55"/>
        <v>0</v>
      </c>
    </row>
    <row r="1765" spans="1:12">
      <c r="A1765" t="s">
        <v>3615</v>
      </c>
      <c r="B1765" t="s">
        <v>1306</v>
      </c>
      <c r="C1765" t="s">
        <v>2810</v>
      </c>
      <c r="D1765" t="s">
        <v>2811</v>
      </c>
      <c r="E1765">
        <v>17</v>
      </c>
      <c r="F1765">
        <v>0</v>
      </c>
      <c r="G1765">
        <v>0</v>
      </c>
      <c r="H1765">
        <f t="shared" si="54"/>
        <v>17</v>
      </c>
      <c r="I1765">
        <v>0</v>
      </c>
      <c r="J1765">
        <v>0</v>
      </c>
      <c r="K1765">
        <v>0</v>
      </c>
      <c r="L1765">
        <f t="shared" si="55"/>
        <v>0</v>
      </c>
    </row>
    <row r="1766" spans="1:12">
      <c r="A1766" t="s">
        <v>3615</v>
      </c>
      <c r="B1766" t="s">
        <v>1306</v>
      </c>
      <c r="C1766" t="s">
        <v>2810</v>
      </c>
      <c r="D1766" t="s">
        <v>2813</v>
      </c>
      <c r="E1766">
        <v>7</v>
      </c>
      <c r="F1766">
        <v>0</v>
      </c>
      <c r="G1766">
        <v>0</v>
      </c>
      <c r="H1766">
        <f t="shared" si="54"/>
        <v>7</v>
      </c>
      <c r="I1766">
        <v>0</v>
      </c>
      <c r="J1766">
        <v>0</v>
      </c>
      <c r="K1766">
        <v>0</v>
      </c>
      <c r="L1766">
        <f t="shared" si="55"/>
        <v>0</v>
      </c>
    </row>
    <row r="1767" spans="1:12">
      <c r="A1767" t="s">
        <v>3615</v>
      </c>
      <c r="B1767" t="s">
        <v>1306</v>
      </c>
      <c r="C1767" t="s">
        <v>2810</v>
      </c>
      <c r="D1767" t="s">
        <v>2814</v>
      </c>
      <c r="E1767">
        <v>8</v>
      </c>
      <c r="F1767">
        <v>0</v>
      </c>
      <c r="G1767">
        <v>0</v>
      </c>
      <c r="H1767">
        <f t="shared" si="54"/>
        <v>8</v>
      </c>
      <c r="I1767">
        <v>0</v>
      </c>
      <c r="J1767">
        <v>0</v>
      </c>
      <c r="K1767">
        <v>0</v>
      </c>
      <c r="L1767">
        <f t="shared" si="55"/>
        <v>0</v>
      </c>
    </row>
    <row r="1768" spans="1:12">
      <c r="A1768" t="s">
        <v>3615</v>
      </c>
      <c r="B1768" t="s">
        <v>1306</v>
      </c>
      <c r="C1768" t="s">
        <v>2816</v>
      </c>
      <c r="D1768" t="s">
        <v>1897</v>
      </c>
      <c r="E1768">
        <v>63</v>
      </c>
      <c r="F1768">
        <v>0</v>
      </c>
      <c r="G1768">
        <v>0</v>
      </c>
      <c r="H1768">
        <f t="shared" si="54"/>
        <v>63</v>
      </c>
      <c r="I1768">
        <v>0</v>
      </c>
      <c r="J1768">
        <v>0</v>
      </c>
      <c r="K1768">
        <v>0</v>
      </c>
      <c r="L1768">
        <f t="shared" si="55"/>
        <v>0</v>
      </c>
    </row>
    <row r="1769" spans="1:12">
      <c r="A1769" t="s">
        <v>3615</v>
      </c>
      <c r="B1769" t="s">
        <v>1306</v>
      </c>
      <c r="C1769" t="s">
        <v>2826</v>
      </c>
      <c r="D1769" t="s">
        <v>2843</v>
      </c>
      <c r="E1769">
        <v>0</v>
      </c>
      <c r="F1769">
        <v>0</v>
      </c>
      <c r="G1769">
        <v>0</v>
      </c>
      <c r="H1769">
        <f t="shared" si="54"/>
        <v>0</v>
      </c>
      <c r="I1769">
        <v>1</v>
      </c>
      <c r="J1769">
        <v>0</v>
      </c>
      <c r="K1769">
        <v>0</v>
      </c>
      <c r="L1769">
        <f t="shared" si="55"/>
        <v>1</v>
      </c>
    </row>
    <row r="1770" spans="1:12">
      <c r="A1770" t="s">
        <v>3615</v>
      </c>
      <c r="B1770" t="s">
        <v>1306</v>
      </c>
      <c r="C1770" t="s">
        <v>2817</v>
      </c>
      <c r="D1770" t="s">
        <v>2837</v>
      </c>
      <c r="E1770">
        <v>8</v>
      </c>
      <c r="F1770">
        <v>0</v>
      </c>
      <c r="G1770">
        <v>0</v>
      </c>
      <c r="H1770">
        <f t="shared" si="54"/>
        <v>8</v>
      </c>
      <c r="I1770">
        <v>0</v>
      </c>
      <c r="J1770">
        <v>0</v>
      </c>
      <c r="K1770">
        <v>0</v>
      </c>
      <c r="L1770">
        <f t="shared" si="55"/>
        <v>0</v>
      </c>
    </row>
    <row r="1771" spans="1:12">
      <c r="A1771" t="s">
        <v>3616</v>
      </c>
      <c r="B1771" t="s">
        <v>1309</v>
      </c>
      <c r="C1771" t="s">
        <v>2810</v>
      </c>
      <c r="D1771" t="s">
        <v>2813</v>
      </c>
      <c r="E1771">
        <v>2</v>
      </c>
      <c r="F1771">
        <v>0</v>
      </c>
      <c r="G1771">
        <v>0</v>
      </c>
      <c r="H1771">
        <f t="shared" si="54"/>
        <v>2</v>
      </c>
      <c r="I1771">
        <v>0</v>
      </c>
      <c r="J1771">
        <v>0</v>
      </c>
      <c r="K1771">
        <v>0</v>
      </c>
      <c r="L1771">
        <f t="shared" si="55"/>
        <v>0</v>
      </c>
    </row>
    <row r="1772" spans="1:12">
      <c r="A1772" t="s">
        <v>3616</v>
      </c>
      <c r="B1772" t="s">
        <v>1309</v>
      </c>
      <c r="C1772" t="s">
        <v>2826</v>
      </c>
      <c r="D1772" t="s">
        <v>2828</v>
      </c>
      <c r="E1772">
        <v>0</v>
      </c>
      <c r="F1772">
        <v>0</v>
      </c>
      <c r="G1772">
        <v>0</v>
      </c>
      <c r="H1772">
        <f t="shared" si="54"/>
        <v>0</v>
      </c>
      <c r="I1772">
        <v>1</v>
      </c>
      <c r="J1772">
        <v>0</v>
      </c>
      <c r="K1772">
        <v>0</v>
      </c>
      <c r="L1772">
        <f t="shared" si="55"/>
        <v>1</v>
      </c>
    </row>
    <row r="1773" spans="1:12">
      <c r="A1773" t="s">
        <v>3616</v>
      </c>
      <c r="B1773" t="s">
        <v>1309</v>
      </c>
      <c r="C1773" t="s">
        <v>2826</v>
      </c>
      <c r="D1773" t="s">
        <v>2829</v>
      </c>
      <c r="E1773">
        <v>0</v>
      </c>
      <c r="F1773">
        <v>0</v>
      </c>
      <c r="G1773">
        <v>0</v>
      </c>
      <c r="H1773">
        <f t="shared" si="54"/>
        <v>0</v>
      </c>
      <c r="I1773">
        <v>1</v>
      </c>
      <c r="J1773">
        <v>0</v>
      </c>
      <c r="K1773">
        <v>0</v>
      </c>
      <c r="L1773">
        <f t="shared" si="55"/>
        <v>1</v>
      </c>
    </row>
    <row r="1774" spans="1:12">
      <c r="A1774" t="s">
        <v>3616</v>
      </c>
      <c r="B1774" t="s">
        <v>1309</v>
      </c>
      <c r="C1774" t="s">
        <v>2826</v>
      </c>
      <c r="D1774" t="s">
        <v>2917</v>
      </c>
      <c r="E1774">
        <v>0</v>
      </c>
      <c r="F1774">
        <v>0</v>
      </c>
      <c r="G1774">
        <v>0</v>
      </c>
      <c r="H1774">
        <f t="shared" si="54"/>
        <v>0</v>
      </c>
      <c r="I1774">
        <v>0</v>
      </c>
      <c r="J1774">
        <v>1</v>
      </c>
      <c r="K1774">
        <v>0</v>
      </c>
      <c r="L1774">
        <f t="shared" si="55"/>
        <v>1</v>
      </c>
    </row>
    <row r="1775" spans="1:12">
      <c r="A1775" t="s">
        <v>3616</v>
      </c>
      <c r="B1775" t="s">
        <v>1309</v>
      </c>
      <c r="C1775" t="s">
        <v>2826</v>
      </c>
      <c r="D1775" t="s">
        <v>2849</v>
      </c>
      <c r="E1775">
        <v>0</v>
      </c>
      <c r="F1775">
        <v>0</v>
      </c>
      <c r="G1775">
        <v>0</v>
      </c>
      <c r="H1775">
        <f t="shared" si="54"/>
        <v>0</v>
      </c>
      <c r="I1775">
        <v>0</v>
      </c>
      <c r="J1775">
        <v>1</v>
      </c>
      <c r="K1775">
        <v>0</v>
      </c>
      <c r="L1775">
        <f t="shared" si="55"/>
        <v>1</v>
      </c>
    </row>
    <row r="1776" spans="1:12">
      <c r="A1776" t="s">
        <v>3621</v>
      </c>
      <c r="B1776" t="s">
        <v>1310</v>
      </c>
      <c r="C1776" t="s">
        <v>2805</v>
      </c>
      <c r="D1776" t="s">
        <v>449</v>
      </c>
      <c r="E1776">
        <v>6</v>
      </c>
      <c r="F1776">
        <v>0</v>
      </c>
      <c r="G1776">
        <v>0</v>
      </c>
      <c r="H1776">
        <f t="shared" si="54"/>
        <v>6</v>
      </c>
      <c r="I1776">
        <v>0</v>
      </c>
      <c r="J1776">
        <v>0</v>
      </c>
      <c r="K1776">
        <v>0</v>
      </c>
      <c r="L1776">
        <f t="shared" si="55"/>
        <v>0</v>
      </c>
    </row>
    <row r="1777" spans="1:12">
      <c r="A1777" t="s">
        <v>3621</v>
      </c>
      <c r="B1777" t="s">
        <v>1310</v>
      </c>
      <c r="C1777" t="s">
        <v>2805</v>
      </c>
      <c r="D1777" t="s">
        <v>2807</v>
      </c>
      <c r="E1777">
        <v>12</v>
      </c>
      <c r="F1777">
        <v>0</v>
      </c>
      <c r="G1777">
        <v>0</v>
      </c>
      <c r="H1777">
        <f t="shared" si="54"/>
        <v>12</v>
      </c>
      <c r="I1777">
        <v>0</v>
      </c>
      <c r="J1777">
        <v>0</v>
      </c>
      <c r="K1777">
        <v>0</v>
      </c>
      <c r="L1777">
        <f t="shared" si="55"/>
        <v>0</v>
      </c>
    </row>
    <row r="1778" spans="1:12">
      <c r="A1778" t="s">
        <v>3621</v>
      </c>
      <c r="B1778" t="s">
        <v>1310</v>
      </c>
      <c r="C1778" t="s">
        <v>2826</v>
      </c>
      <c r="D1778" t="s">
        <v>2858</v>
      </c>
      <c r="E1778">
        <v>1</v>
      </c>
      <c r="F1778">
        <v>0</v>
      </c>
      <c r="G1778">
        <v>0</v>
      </c>
      <c r="H1778">
        <f t="shared" si="54"/>
        <v>1</v>
      </c>
      <c r="I1778">
        <v>0</v>
      </c>
      <c r="J1778">
        <v>0</v>
      </c>
      <c r="K1778">
        <v>0</v>
      </c>
      <c r="L1778">
        <f t="shared" si="55"/>
        <v>0</v>
      </c>
    </row>
    <row r="1779" spans="1:12">
      <c r="A1779" t="s">
        <v>3621</v>
      </c>
      <c r="B1779" t="s">
        <v>1310</v>
      </c>
      <c r="C1779" t="s">
        <v>2817</v>
      </c>
      <c r="D1779" t="s">
        <v>2837</v>
      </c>
      <c r="E1779">
        <v>2</v>
      </c>
      <c r="F1779">
        <v>0</v>
      </c>
      <c r="G1779">
        <v>0</v>
      </c>
      <c r="H1779">
        <f t="shared" si="54"/>
        <v>2</v>
      </c>
      <c r="I1779">
        <v>0</v>
      </c>
      <c r="J1779">
        <v>0</v>
      </c>
      <c r="K1779">
        <v>0</v>
      </c>
      <c r="L1779">
        <f t="shared" si="55"/>
        <v>0</v>
      </c>
    </row>
    <row r="1780" spans="1:12">
      <c r="A1780" t="s">
        <v>3621</v>
      </c>
      <c r="B1780" t="s">
        <v>1310</v>
      </c>
      <c r="C1780" t="s">
        <v>2820</v>
      </c>
      <c r="D1780" t="s">
        <v>2821</v>
      </c>
      <c r="E1780">
        <v>1</v>
      </c>
      <c r="F1780">
        <v>0</v>
      </c>
      <c r="G1780">
        <v>0</v>
      </c>
      <c r="H1780">
        <f t="shared" si="54"/>
        <v>1</v>
      </c>
      <c r="I1780">
        <v>0</v>
      </c>
      <c r="J1780">
        <v>0</v>
      </c>
      <c r="K1780">
        <v>0</v>
      </c>
      <c r="L1780">
        <f t="shared" si="55"/>
        <v>0</v>
      </c>
    </row>
    <row r="1781" spans="1:12">
      <c r="A1781" t="s">
        <v>3622</v>
      </c>
      <c r="B1781" t="s">
        <v>1311</v>
      </c>
      <c r="C1781" t="s">
        <v>2805</v>
      </c>
      <c r="D1781" t="s">
        <v>2806</v>
      </c>
      <c r="E1781">
        <v>5</v>
      </c>
      <c r="F1781">
        <v>0</v>
      </c>
      <c r="G1781">
        <v>0</v>
      </c>
      <c r="H1781">
        <f t="shared" si="54"/>
        <v>5</v>
      </c>
      <c r="I1781">
        <v>8</v>
      </c>
      <c r="J1781">
        <v>0</v>
      </c>
      <c r="K1781">
        <v>0</v>
      </c>
      <c r="L1781">
        <f t="shared" si="55"/>
        <v>8</v>
      </c>
    </row>
    <row r="1782" spans="1:12">
      <c r="A1782" t="s">
        <v>3622</v>
      </c>
      <c r="B1782" t="s">
        <v>1311</v>
      </c>
      <c r="C1782" t="s">
        <v>2805</v>
      </c>
      <c r="D1782" t="s">
        <v>449</v>
      </c>
      <c r="E1782">
        <v>18</v>
      </c>
      <c r="F1782">
        <v>0</v>
      </c>
      <c r="G1782">
        <v>0</v>
      </c>
      <c r="H1782">
        <f t="shared" si="54"/>
        <v>18</v>
      </c>
      <c r="I1782">
        <v>18</v>
      </c>
      <c r="J1782">
        <v>0</v>
      </c>
      <c r="K1782">
        <v>0</v>
      </c>
      <c r="L1782">
        <f t="shared" si="55"/>
        <v>18</v>
      </c>
    </row>
    <row r="1783" spans="1:12">
      <c r="A1783" t="s">
        <v>3622</v>
      </c>
      <c r="B1783" t="s">
        <v>1311</v>
      </c>
      <c r="C1783" t="s">
        <v>2805</v>
      </c>
      <c r="D1783" t="s">
        <v>2807</v>
      </c>
      <c r="E1783">
        <v>11</v>
      </c>
      <c r="F1783">
        <v>0</v>
      </c>
      <c r="G1783">
        <v>0</v>
      </c>
      <c r="H1783">
        <f t="shared" si="54"/>
        <v>11</v>
      </c>
      <c r="I1783">
        <v>9</v>
      </c>
      <c r="J1783">
        <v>0</v>
      </c>
      <c r="K1783">
        <v>0</v>
      </c>
      <c r="L1783">
        <f t="shared" si="55"/>
        <v>9</v>
      </c>
    </row>
    <row r="1784" spans="1:12">
      <c r="A1784" t="s">
        <v>3622</v>
      </c>
      <c r="B1784" t="s">
        <v>1311</v>
      </c>
      <c r="C1784" t="s">
        <v>2810</v>
      </c>
      <c r="D1784" t="s">
        <v>2811</v>
      </c>
      <c r="E1784">
        <v>11</v>
      </c>
      <c r="F1784">
        <v>0</v>
      </c>
      <c r="G1784">
        <v>0</v>
      </c>
      <c r="H1784">
        <f t="shared" si="54"/>
        <v>11</v>
      </c>
      <c r="I1784">
        <v>9</v>
      </c>
      <c r="J1784">
        <v>0</v>
      </c>
      <c r="K1784">
        <v>0</v>
      </c>
      <c r="L1784">
        <f t="shared" si="55"/>
        <v>9</v>
      </c>
    </row>
    <row r="1785" spans="1:12">
      <c r="A1785" t="s">
        <v>3622</v>
      </c>
      <c r="B1785" t="s">
        <v>1311</v>
      </c>
      <c r="C1785" t="s">
        <v>2810</v>
      </c>
      <c r="D1785" t="s">
        <v>1892</v>
      </c>
      <c r="E1785">
        <v>0</v>
      </c>
      <c r="F1785">
        <v>0</v>
      </c>
      <c r="G1785">
        <v>0</v>
      </c>
      <c r="H1785">
        <f t="shared" si="54"/>
        <v>0</v>
      </c>
      <c r="I1785">
        <v>1</v>
      </c>
      <c r="J1785">
        <v>0</v>
      </c>
      <c r="K1785">
        <v>0</v>
      </c>
      <c r="L1785">
        <f t="shared" si="55"/>
        <v>1</v>
      </c>
    </row>
    <row r="1786" spans="1:12">
      <c r="A1786" t="s">
        <v>3622</v>
      </c>
      <c r="B1786" t="s">
        <v>1311</v>
      </c>
      <c r="C1786" t="s">
        <v>2810</v>
      </c>
      <c r="D1786" t="s">
        <v>2812</v>
      </c>
      <c r="E1786">
        <v>7</v>
      </c>
      <c r="F1786">
        <v>0</v>
      </c>
      <c r="G1786">
        <v>0</v>
      </c>
      <c r="H1786">
        <f t="shared" si="54"/>
        <v>7</v>
      </c>
      <c r="I1786">
        <v>10</v>
      </c>
      <c r="J1786">
        <v>0</v>
      </c>
      <c r="K1786">
        <v>0</v>
      </c>
      <c r="L1786">
        <f t="shared" si="55"/>
        <v>10</v>
      </c>
    </row>
    <row r="1787" spans="1:12">
      <c r="A1787" t="s">
        <v>3622</v>
      </c>
      <c r="B1787" t="s">
        <v>1311</v>
      </c>
      <c r="C1787" t="s">
        <v>2810</v>
      </c>
      <c r="D1787" t="s">
        <v>2813</v>
      </c>
      <c r="E1787">
        <v>1</v>
      </c>
      <c r="F1787">
        <v>0</v>
      </c>
      <c r="G1787">
        <v>0</v>
      </c>
      <c r="H1787">
        <f t="shared" si="54"/>
        <v>1</v>
      </c>
      <c r="I1787">
        <v>0</v>
      </c>
      <c r="J1787">
        <v>0</v>
      </c>
      <c r="K1787">
        <v>0</v>
      </c>
      <c r="L1787">
        <f t="shared" si="55"/>
        <v>0</v>
      </c>
    </row>
    <row r="1788" spans="1:12">
      <c r="A1788" t="s">
        <v>3622</v>
      </c>
      <c r="B1788" t="s">
        <v>1311</v>
      </c>
      <c r="C1788" t="s">
        <v>2816</v>
      </c>
      <c r="D1788" t="s">
        <v>1897</v>
      </c>
      <c r="E1788">
        <v>2</v>
      </c>
      <c r="F1788">
        <v>0</v>
      </c>
      <c r="G1788">
        <v>0</v>
      </c>
      <c r="H1788">
        <f t="shared" si="54"/>
        <v>2</v>
      </c>
      <c r="I1788">
        <v>1</v>
      </c>
      <c r="J1788">
        <v>0</v>
      </c>
      <c r="K1788">
        <v>0</v>
      </c>
      <c r="L1788">
        <f t="shared" si="55"/>
        <v>1</v>
      </c>
    </row>
    <row r="1789" spans="1:12">
      <c r="A1789" t="s">
        <v>3622</v>
      </c>
      <c r="B1789" t="s">
        <v>1311</v>
      </c>
      <c r="C1789" t="s">
        <v>2841</v>
      </c>
      <c r="D1789" t="s">
        <v>3117</v>
      </c>
      <c r="E1789">
        <v>0</v>
      </c>
      <c r="F1789">
        <v>0</v>
      </c>
      <c r="G1789">
        <v>0</v>
      </c>
      <c r="H1789">
        <f t="shared" si="54"/>
        <v>0</v>
      </c>
      <c r="I1789">
        <v>4</v>
      </c>
      <c r="J1789">
        <v>0</v>
      </c>
      <c r="K1789">
        <v>0</v>
      </c>
      <c r="L1789">
        <f t="shared" si="55"/>
        <v>4</v>
      </c>
    </row>
    <row r="1790" spans="1:12">
      <c r="A1790" t="s">
        <v>3622</v>
      </c>
      <c r="B1790" t="s">
        <v>1311</v>
      </c>
      <c r="C1790" t="s">
        <v>2841</v>
      </c>
      <c r="D1790" t="s">
        <v>2842</v>
      </c>
      <c r="E1790">
        <v>0</v>
      </c>
      <c r="F1790">
        <v>0</v>
      </c>
      <c r="G1790">
        <v>0</v>
      </c>
      <c r="H1790">
        <f t="shared" si="54"/>
        <v>0</v>
      </c>
      <c r="I1790">
        <v>5</v>
      </c>
      <c r="J1790">
        <v>3</v>
      </c>
      <c r="K1790">
        <v>0</v>
      </c>
      <c r="L1790">
        <f t="shared" si="55"/>
        <v>8</v>
      </c>
    </row>
    <row r="1791" spans="1:12">
      <c r="A1791" t="s">
        <v>3622</v>
      </c>
      <c r="B1791" t="s">
        <v>1311</v>
      </c>
      <c r="C1791" t="s">
        <v>2826</v>
      </c>
      <c r="D1791" t="s">
        <v>2871</v>
      </c>
      <c r="E1791">
        <v>0</v>
      </c>
      <c r="F1791">
        <v>0</v>
      </c>
      <c r="G1791">
        <v>0</v>
      </c>
      <c r="H1791">
        <f t="shared" si="54"/>
        <v>0</v>
      </c>
      <c r="I1791">
        <v>2</v>
      </c>
      <c r="J1791">
        <v>1</v>
      </c>
      <c r="K1791">
        <v>0</v>
      </c>
      <c r="L1791">
        <f t="shared" si="55"/>
        <v>3</v>
      </c>
    </row>
    <row r="1792" spans="1:12">
      <c r="A1792" t="s">
        <v>3622</v>
      </c>
      <c r="B1792" t="s">
        <v>1311</v>
      </c>
      <c r="C1792" t="s">
        <v>2826</v>
      </c>
      <c r="D1792" t="s">
        <v>2905</v>
      </c>
      <c r="E1792">
        <v>0</v>
      </c>
      <c r="F1792">
        <v>0</v>
      </c>
      <c r="G1792">
        <v>0</v>
      </c>
      <c r="H1792">
        <f t="shared" si="54"/>
        <v>0</v>
      </c>
      <c r="I1792">
        <v>8</v>
      </c>
      <c r="J1792">
        <v>2</v>
      </c>
      <c r="K1792">
        <v>0</v>
      </c>
      <c r="L1792">
        <f t="shared" si="55"/>
        <v>10</v>
      </c>
    </row>
    <row r="1793" spans="1:12">
      <c r="A1793" t="s">
        <v>3622</v>
      </c>
      <c r="B1793" t="s">
        <v>1311</v>
      </c>
      <c r="C1793" t="s">
        <v>2826</v>
      </c>
      <c r="D1793" t="s">
        <v>2827</v>
      </c>
      <c r="E1793">
        <v>0</v>
      </c>
      <c r="F1793">
        <v>0</v>
      </c>
      <c r="G1793">
        <v>0</v>
      </c>
      <c r="H1793">
        <f t="shared" si="54"/>
        <v>0</v>
      </c>
      <c r="I1793">
        <v>9</v>
      </c>
      <c r="J1793">
        <v>2</v>
      </c>
      <c r="K1793">
        <v>0</v>
      </c>
      <c r="L1793">
        <f t="shared" si="55"/>
        <v>11</v>
      </c>
    </row>
    <row r="1794" spans="1:12">
      <c r="A1794" t="s">
        <v>3622</v>
      </c>
      <c r="B1794" t="s">
        <v>1311</v>
      </c>
      <c r="C1794" t="s">
        <v>2826</v>
      </c>
      <c r="D1794" t="s">
        <v>2828</v>
      </c>
      <c r="E1794">
        <v>0</v>
      </c>
      <c r="F1794">
        <v>0</v>
      </c>
      <c r="G1794">
        <v>0</v>
      </c>
      <c r="H1794">
        <f t="shared" si="54"/>
        <v>0</v>
      </c>
      <c r="I1794">
        <v>12</v>
      </c>
      <c r="J1794">
        <v>2</v>
      </c>
      <c r="K1794">
        <v>0</v>
      </c>
      <c r="L1794">
        <f t="shared" si="55"/>
        <v>14</v>
      </c>
    </row>
    <row r="1795" spans="1:12">
      <c r="A1795" t="s">
        <v>3622</v>
      </c>
      <c r="B1795" t="s">
        <v>1311</v>
      </c>
      <c r="C1795" t="s">
        <v>2826</v>
      </c>
      <c r="D1795" t="s">
        <v>2829</v>
      </c>
      <c r="E1795">
        <v>0</v>
      </c>
      <c r="F1795">
        <v>0</v>
      </c>
      <c r="G1795">
        <v>0</v>
      </c>
      <c r="H1795">
        <f t="shared" si="54"/>
        <v>0</v>
      </c>
      <c r="I1795">
        <v>5</v>
      </c>
      <c r="J1795">
        <v>3</v>
      </c>
      <c r="K1795">
        <v>0</v>
      </c>
      <c r="L1795">
        <f t="shared" si="55"/>
        <v>8</v>
      </c>
    </row>
    <row r="1796" spans="1:12">
      <c r="A1796" t="s">
        <v>3622</v>
      </c>
      <c r="B1796" t="s">
        <v>1311</v>
      </c>
      <c r="C1796" t="s">
        <v>2826</v>
      </c>
      <c r="D1796" t="s">
        <v>2891</v>
      </c>
      <c r="E1796">
        <v>0</v>
      </c>
      <c r="F1796">
        <v>0</v>
      </c>
      <c r="G1796">
        <v>0</v>
      </c>
      <c r="H1796">
        <f t="shared" ref="H1796:H1859" si="56">SUM(E1796:G1796)</f>
        <v>0</v>
      </c>
      <c r="I1796">
        <v>5</v>
      </c>
      <c r="J1796">
        <v>2</v>
      </c>
      <c r="K1796">
        <v>0</v>
      </c>
      <c r="L1796">
        <f t="shared" ref="L1796:L1859" si="57">SUM(I1796:K1796)</f>
        <v>7</v>
      </c>
    </row>
    <row r="1797" spans="1:12">
      <c r="A1797" t="s">
        <v>3622</v>
      </c>
      <c r="B1797" t="s">
        <v>1311</v>
      </c>
      <c r="C1797" t="s">
        <v>2826</v>
      </c>
      <c r="D1797" t="s">
        <v>2830</v>
      </c>
      <c r="E1797">
        <v>0</v>
      </c>
      <c r="F1797">
        <v>0</v>
      </c>
      <c r="G1797">
        <v>0</v>
      </c>
      <c r="H1797">
        <f t="shared" si="56"/>
        <v>0</v>
      </c>
      <c r="I1797">
        <v>4</v>
      </c>
      <c r="J1797">
        <v>0</v>
      </c>
      <c r="K1797">
        <v>0</v>
      </c>
      <c r="L1797">
        <f t="shared" si="57"/>
        <v>4</v>
      </c>
    </row>
    <row r="1798" spans="1:12">
      <c r="A1798" t="s">
        <v>3622</v>
      </c>
      <c r="B1798" t="s">
        <v>1311</v>
      </c>
      <c r="C1798" t="s">
        <v>2826</v>
      </c>
      <c r="D1798" t="s">
        <v>2864</v>
      </c>
      <c r="E1798">
        <v>0</v>
      </c>
      <c r="F1798">
        <v>0</v>
      </c>
      <c r="G1798">
        <v>0</v>
      </c>
      <c r="H1798">
        <f t="shared" si="56"/>
        <v>0</v>
      </c>
      <c r="I1798">
        <v>3</v>
      </c>
      <c r="J1798">
        <v>3</v>
      </c>
      <c r="K1798">
        <v>0</v>
      </c>
      <c r="L1798">
        <f t="shared" si="57"/>
        <v>6</v>
      </c>
    </row>
    <row r="1799" spans="1:12">
      <c r="A1799" t="s">
        <v>3622</v>
      </c>
      <c r="B1799" t="s">
        <v>1311</v>
      </c>
      <c r="C1799" t="s">
        <v>2826</v>
      </c>
      <c r="D1799" t="s">
        <v>2831</v>
      </c>
      <c r="E1799">
        <v>0</v>
      </c>
      <c r="F1799">
        <v>0</v>
      </c>
      <c r="G1799">
        <v>0</v>
      </c>
      <c r="H1799">
        <f t="shared" si="56"/>
        <v>0</v>
      </c>
      <c r="I1799">
        <v>2</v>
      </c>
      <c r="J1799">
        <v>1</v>
      </c>
      <c r="K1799">
        <v>0</v>
      </c>
      <c r="L1799">
        <f t="shared" si="57"/>
        <v>3</v>
      </c>
    </row>
    <row r="1800" spans="1:12">
      <c r="A1800" t="s">
        <v>3622</v>
      </c>
      <c r="B1800" t="s">
        <v>1311</v>
      </c>
      <c r="C1800" t="s">
        <v>2826</v>
      </c>
      <c r="D1800" t="s">
        <v>2843</v>
      </c>
      <c r="E1800">
        <v>0</v>
      </c>
      <c r="F1800">
        <v>0</v>
      </c>
      <c r="G1800">
        <v>0</v>
      </c>
      <c r="H1800">
        <f t="shared" si="56"/>
        <v>0</v>
      </c>
      <c r="I1800">
        <v>7</v>
      </c>
      <c r="J1800">
        <v>2</v>
      </c>
      <c r="K1800">
        <v>0</v>
      </c>
      <c r="L1800">
        <f t="shared" si="57"/>
        <v>9</v>
      </c>
    </row>
    <row r="1801" spans="1:12">
      <c r="A1801" t="s">
        <v>3622</v>
      </c>
      <c r="B1801" t="s">
        <v>1311</v>
      </c>
      <c r="C1801" t="s">
        <v>2826</v>
      </c>
      <c r="D1801" t="s">
        <v>2884</v>
      </c>
      <c r="E1801">
        <v>0</v>
      </c>
      <c r="F1801">
        <v>0</v>
      </c>
      <c r="G1801">
        <v>0</v>
      </c>
      <c r="H1801">
        <f t="shared" si="56"/>
        <v>0</v>
      </c>
      <c r="I1801">
        <v>4</v>
      </c>
      <c r="J1801">
        <v>0</v>
      </c>
      <c r="K1801">
        <v>0</v>
      </c>
      <c r="L1801">
        <f t="shared" si="57"/>
        <v>4</v>
      </c>
    </row>
    <row r="1802" spans="1:12">
      <c r="A1802" t="s">
        <v>3622</v>
      </c>
      <c r="B1802" t="s">
        <v>1311</v>
      </c>
      <c r="C1802" t="s">
        <v>2826</v>
      </c>
      <c r="D1802" t="s">
        <v>2975</v>
      </c>
      <c r="E1802">
        <v>0</v>
      </c>
      <c r="F1802">
        <v>0</v>
      </c>
      <c r="G1802">
        <v>0</v>
      </c>
      <c r="H1802">
        <f t="shared" si="56"/>
        <v>0</v>
      </c>
      <c r="I1802">
        <v>1</v>
      </c>
      <c r="J1802">
        <v>0</v>
      </c>
      <c r="K1802">
        <v>0</v>
      </c>
      <c r="L1802">
        <f t="shared" si="57"/>
        <v>1</v>
      </c>
    </row>
    <row r="1803" spans="1:12">
      <c r="A1803" t="s">
        <v>3622</v>
      </c>
      <c r="B1803" t="s">
        <v>1311</v>
      </c>
      <c r="C1803" t="s">
        <v>2826</v>
      </c>
      <c r="D1803" t="s">
        <v>2885</v>
      </c>
      <c r="E1803">
        <v>0</v>
      </c>
      <c r="F1803">
        <v>0</v>
      </c>
      <c r="G1803">
        <v>0</v>
      </c>
      <c r="H1803">
        <f t="shared" si="56"/>
        <v>0</v>
      </c>
      <c r="I1803">
        <v>4</v>
      </c>
      <c r="J1803">
        <v>0</v>
      </c>
      <c r="K1803">
        <v>0</v>
      </c>
      <c r="L1803">
        <f t="shared" si="57"/>
        <v>4</v>
      </c>
    </row>
    <row r="1804" spans="1:12">
      <c r="A1804" t="s">
        <v>3622</v>
      </c>
      <c r="B1804" t="s">
        <v>1311</v>
      </c>
      <c r="C1804" t="s">
        <v>2826</v>
      </c>
      <c r="D1804" t="s">
        <v>2832</v>
      </c>
      <c r="E1804">
        <v>0</v>
      </c>
      <c r="F1804">
        <v>0</v>
      </c>
      <c r="G1804">
        <v>0</v>
      </c>
      <c r="H1804">
        <f t="shared" si="56"/>
        <v>0</v>
      </c>
      <c r="I1804">
        <v>3</v>
      </c>
      <c r="J1804">
        <v>3</v>
      </c>
      <c r="K1804">
        <v>0</v>
      </c>
      <c r="L1804">
        <f t="shared" si="57"/>
        <v>6</v>
      </c>
    </row>
    <row r="1805" spans="1:12">
      <c r="A1805" t="s">
        <v>3622</v>
      </c>
      <c r="B1805" t="s">
        <v>1311</v>
      </c>
      <c r="C1805" t="s">
        <v>2826</v>
      </c>
      <c r="D1805" t="s">
        <v>2833</v>
      </c>
      <c r="E1805">
        <v>0</v>
      </c>
      <c r="F1805">
        <v>0</v>
      </c>
      <c r="G1805">
        <v>0</v>
      </c>
      <c r="H1805">
        <f t="shared" si="56"/>
        <v>0</v>
      </c>
      <c r="I1805">
        <v>1</v>
      </c>
      <c r="J1805">
        <v>0</v>
      </c>
      <c r="K1805">
        <v>0</v>
      </c>
      <c r="L1805">
        <f t="shared" si="57"/>
        <v>1</v>
      </c>
    </row>
    <row r="1806" spans="1:12">
      <c r="A1806" t="s">
        <v>3622</v>
      </c>
      <c r="B1806" t="s">
        <v>1311</v>
      </c>
      <c r="C1806" t="s">
        <v>2826</v>
      </c>
      <c r="D1806" t="s">
        <v>2834</v>
      </c>
      <c r="E1806">
        <v>0</v>
      </c>
      <c r="F1806">
        <v>0</v>
      </c>
      <c r="G1806">
        <v>0</v>
      </c>
      <c r="H1806">
        <f t="shared" si="56"/>
        <v>0</v>
      </c>
      <c r="I1806">
        <v>8</v>
      </c>
      <c r="J1806">
        <v>2</v>
      </c>
      <c r="K1806">
        <v>0</v>
      </c>
      <c r="L1806">
        <f t="shared" si="57"/>
        <v>10</v>
      </c>
    </row>
    <row r="1807" spans="1:12">
      <c r="A1807" t="s">
        <v>3622</v>
      </c>
      <c r="B1807" t="s">
        <v>1311</v>
      </c>
      <c r="C1807" t="s">
        <v>2826</v>
      </c>
      <c r="D1807" t="s">
        <v>2886</v>
      </c>
      <c r="E1807">
        <v>0</v>
      </c>
      <c r="F1807">
        <v>0</v>
      </c>
      <c r="G1807">
        <v>0</v>
      </c>
      <c r="H1807">
        <f t="shared" si="56"/>
        <v>0</v>
      </c>
      <c r="I1807">
        <v>8</v>
      </c>
      <c r="J1807">
        <v>3</v>
      </c>
      <c r="K1807">
        <v>0</v>
      </c>
      <c r="L1807">
        <f t="shared" si="57"/>
        <v>11</v>
      </c>
    </row>
    <row r="1808" spans="1:12">
      <c r="A1808" t="s">
        <v>3622</v>
      </c>
      <c r="B1808" t="s">
        <v>1311</v>
      </c>
      <c r="C1808" t="s">
        <v>2826</v>
      </c>
      <c r="D1808" t="s">
        <v>2844</v>
      </c>
      <c r="E1808">
        <v>0</v>
      </c>
      <c r="F1808">
        <v>0</v>
      </c>
      <c r="G1808">
        <v>0</v>
      </c>
      <c r="H1808">
        <f t="shared" si="56"/>
        <v>0</v>
      </c>
      <c r="I1808">
        <v>0</v>
      </c>
      <c r="J1808">
        <v>2</v>
      </c>
      <c r="K1808">
        <v>0</v>
      </c>
      <c r="L1808">
        <f t="shared" si="57"/>
        <v>2</v>
      </c>
    </row>
    <row r="1809" spans="1:12">
      <c r="A1809" t="s">
        <v>3622</v>
      </c>
      <c r="B1809" t="s">
        <v>1311</v>
      </c>
      <c r="C1809" t="s">
        <v>2826</v>
      </c>
      <c r="D1809" t="s">
        <v>2916</v>
      </c>
      <c r="E1809">
        <v>0</v>
      </c>
      <c r="F1809">
        <v>0</v>
      </c>
      <c r="G1809">
        <v>0</v>
      </c>
      <c r="H1809">
        <f t="shared" si="56"/>
        <v>0</v>
      </c>
      <c r="I1809">
        <v>3</v>
      </c>
      <c r="J1809">
        <v>1</v>
      </c>
      <c r="K1809">
        <v>0</v>
      </c>
      <c r="L1809">
        <f t="shared" si="57"/>
        <v>4</v>
      </c>
    </row>
    <row r="1810" spans="1:12">
      <c r="A1810" t="s">
        <v>3622</v>
      </c>
      <c r="B1810" t="s">
        <v>1311</v>
      </c>
      <c r="C1810" t="s">
        <v>2826</v>
      </c>
      <c r="D1810" t="s">
        <v>2835</v>
      </c>
      <c r="E1810">
        <v>0</v>
      </c>
      <c r="F1810">
        <v>0</v>
      </c>
      <c r="G1810">
        <v>0</v>
      </c>
      <c r="H1810">
        <f t="shared" si="56"/>
        <v>0</v>
      </c>
      <c r="I1810">
        <v>4</v>
      </c>
      <c r="J1810">
        <v>1</v>
      </c>
      <c r="K1810">
        <v>0</v>
      </c>
      <c r="L1810">
        <f t="shared" si="57"/>
        <v>5</v>
      </c>
    </row>
    <row r="1811" spans="1:12">
      <c r="A1811" t="s">
        <v>3622</v>
      </c>
      <c r="B1811" t="s">
        <v>1311</v>
      </c>
      <c r="C1811" t="s">
        <v>2826</v>
      </c>
      <c r="D1811" t="s">
        <v>2917</v>
      </c>
      <c r="E1811">
        <v>0</v>
      </c>
      <c r="F1811">
        <v>0</v>
      </c>
      <c r="G1811">
        <v>0</v>
      </c>
      <c r="H1811">
        <f t="shared" si="56"/>
        <v>0</v>
      </c>
      <c r="I1811">
        <v>2</v>
      </c>
      <c r="J1811">
        <v>0</v>
      </c>
      <c r="K1811">
        <v>0</v>
      </c>
      <c r="L1811">
        <f t="shared" si="57"/>
        <v>2</v>
      </c>
    </row>
    <row r="1812" spans="1:12">
      <c r="A1812" t="s">
        <v>3622</v>
      </c>
      <c r="B1812" t="s">
        <v>1311</v>
      </c>
      <c r="C1812" t="s">
        <v>2826</v>
      </c>
      <c r="D1812" t="s">
        <v>2849</v>
      </c>
      <c r="E1812">
        <v>0</v>
      </c>
      <c r="F1812">
        <v>0</v>
      </c>
      <c r="G1812">
        <v>0</v>
      </c>
      <c r="H1812">
        <f t="shared" si="56"/>
        <v>0</v>
      </c>
      <c r="I1812">
        <v>6</v>
      </c>
      <c r="J1812">
        <v>3</v>
      </c>
      <c r="K1812">
        <v>0</v>
      </c>
      <c r="L1812">
        <f t="shared" si="57"/>
        <v>9</v>
      </c>
    </row>
    <row r="1813" spans="1:12">
      <c r="A1813" t="s">
        <v>3622</v>
      </c>
      <c r="B1813" t="s">
        <v>1311</v>
      </c>
      <c r="C1813" t="s">
        <v>2826</v>
      </c>
      <c r="D1813" t="s">
        <v>2836</v>
      </c>
      <c r="E1813">
        <v>0</v>
      </c>
      <c r="F1813">
        <v>0</v>
      </c>
      <c r="G1813">
        <v>0</v>
      </c>
      <c r="H1813">
        <f t="shared" si="56"/>
        <v>0</v>
      </c>
      <c r="I1813">
        <v>0</v>
      </c>
      <c r="J1813">
        <v>3</v>
      </c>
      <c r="K1813">
        <v>0</v>
      </c>
      <c r="L1813">
        <f t="shared" si="57"/>
        <v>3</v>
      </c>
    </row>
    <row r="1814" spans="1:12">
      <c r="A1814" t="s">
        <v>3622</v>
      </c>
      <c r="B1814" t="s">
        <v>1311</v>
      </c>
      <c r="C1814" t="s">
        <v>2817</v>
      </c>
      <c r="D1814" t="s">
        <v>2887</v>
      </c>
      <c r="E1814">
        <v>0</v>
      </c>
      <c r="F1814">
        <v>0</v>
      </c>
      <c r="G1814">
        <v>0</v>
      </c>
      <c r="H1814">
        <f t="shared" si="56"/>
        <v>0</v>
      </c>
      <c r="I1814">
        <v>5</v>
      </c>
      <c r="J1814">
        <v>0</v>
      </c>
      <c r="K1814">
        <v>0</v>
      </c>
      <c r="L1814">
        <f t="shared" si="57"/>
        <v>5</v>
      </c>
    </row>
    <row r="1815" spans="1:12">
      <c r="A1815" t="s">
        <v>3622</v>
      </c>
      <c r="B1815" t="s">
        <v>1311</v>
      </c>
      <c r="C1815" t="s">
        <v>2817</v>
      </c>
      <c r="D1815" t="s">
        <v>2818</v>
      </c>
      <c r="E1815">
        <v>1</v>
      </c>
      <c r="F1815">
        <v>0</v>
      </c>
      <c r="G1815">
        <v>0</v>
      </c>
      <c r="H1815">
        <f t="shared" si="56"/>
        <v>1</v>
      </c>
      <c r="I1815">
        <v>2</v>
      </c>
      <c r="J1815">
        <v>0</v>
      </c>
      <c r="K1815">
        <v>0</v>
      </c>
      <c r="L1815">
        <f t="shared" si="57"/>
        <v>2</v>
      </c>
    </row>
    <row r="1816" spans="1:12">
      <c r="A1816" t="s">
        <v>3622</v>
      </c>
      <c r="B1816" t="s">
        <v>1311</v>
      </c>
      <c r="C1816" t="s">
        <v>2817</v>
      </c>
      <c r="D1816" t="s">
        <v>2837</v>
      </c>
      <c r="E1816">
        <v>2</v>
      </c>
      <c r="F1816">
        <v>0</v>
      </c>
      <c r="G1816">
        <v>0</v>
      </c>
      <c r="H1816">
        <f t="shared" si="56"/>
        <v>2</v>
      </c>
      <c r="I1816">
        <v>1</v>
      </c>
      <c r="J1816">
        <v>0</v>
      </c>
      <c r="K1816">
        <v>0</v>
      </c>
      <c r="L1816">
        <f t="shared" si="57"/>
        <v>1</v>
      </c>
    </row>
    <row r="1817" spans="1:12">
      <c r="A1817" t="s">
        <v>3622</v>
      </c>
      <c r="B1817" t="s">
        <v>1311</v>
      </c>
      <c r="C1817" t="s">
        <v>2817</v>
      </c>
      <c r="D1817" t="s">
        <v>2909</v>
      </c>
      <c r="E1817">
        <v>2</v>
      </c>
      <c r="F1817">
        <v>0</v>
      </c>
      <c r="G1817">
        <v>0</v>
      </c>
      <c r="H1817">
        <f t="shared" si="56"/>
        <v>2</v>
      </c>
      <c r="I1817">
        <v>0</v>
      </c>
      <c r="J1817">
        <v>0</v>
      </c>
      <c r="K1817">
        <v>0</v>
      </c>
      <c r="L1817">
        <f t="shared" si="57"/>
        <v>0</v>
      </c>
    </row>
    <row r="1818" spans="1:12">
      <c r="A1818" t="s">
        <v>3622</v>
      </c>
      <c r="B1818" t="s">
        <v>1311</v>
      </c>
      <c r="C1818" t="s">
        <v>2820</v>
      </c>
      <c r="D1818" t="s">
        <v>2952</v>
      </c>
      <c r="E1818">
        <v>0</v>
      </c>
      <c r="F1818">
        <v>0</v>
      </c>
      <c r="G1818">
        <v>0</v>
      </c>
      <c r="H1818">
        <f t="shared" si="56"/>
        <v>0</v>
      </c>
      <c r="I1818">
        <v>8</v>
      </c>
      <c r="J1818">
        <v>0</v>
      </c>
      <c r="K1818">
        <v>0</v>
      </c>
      <c r="L1818">
        <f t="shared" si="57"/>
        <v>8</v>
      </c>
    </row>
    <row r="1819" spans="1:12">
      <c r="A1819" t="s">
        <v>3622</v>
      </c>
      <c r="B1819" t="s">
        <v>1311</v>
      </c>
      <c r="C1819" t="s">
        <v>2820</v>
      </c>
      <c r="D1819" t="s">
        <v>2949</v>
      </c>
      <c r="E1819">
        <v>0</v>
      </c>
      <c r="F1819">
        <v>0</v>
      </c>
      <c r="G1819">
        <v>0</v>
      </c>
      <c r="H1819">
        <f t="shared" si="56"/>
        <v>0</v>
      </c>
      <c r="I1819">
        <v>0</v>
      </c>
      <c r="J1819">
        <v>6</v>
      </c>
      <c r="K1819">
        <v>0</v>
      </c>
      <c r="L1819">
        <f t="shared" si="57"/>
        <v>6</v>
      </c>
    </row>
    <row r="1820" spans="1:12">
      <c r="A1820" t="s">
        <v>3635</v>
      </c>
      <c r="B1820" t="s">
        <v>1316</v>
      </c>
      <c r="C1820" t="s">
        <v>2805</v>
      </c>
      <c r="D1820" t="s">
        <v>2806</v>
      </c>
      <c r="E1820">
        <v>44</v>
      </c>
      <c r="F1820">
        <v>0</v>
      </c>
      <c r="G1820">
        <v>0</v>
      </c>
      <c r="H1820">
        <f t="shared" si="56"/>
        <v>44</v>
      </c>
      <c r="I1820">
        <v>0</v>
      </c>
      <c r="J1820">
        <v>0</v>
      </c>
      <c r="K1820">
        <v>0</v>
      </c>
      <c r="L1820">
        <f t="shared" si="57"/>
        <v>0</v>
      </c>
    </row>
    <row r="1821" spans="1:12">
      <c r="A1821" t="s">
        <v>3635</v>
      </c>
      <c r="B1821" t="s">
        <v>1316</v>
      </c>
      <c r="C1821" t="s">
        <v>2805</v>
      </c>
      <c r="D1821" t="s">
        <v>449</v>
      </c>
      <c r="E1821">
        <v>233</v>
      </c>
      <c r="F1821">
        <v>0</v>
      </c>
      <c r="G1821">
        <v>0</v>
      </c>
      <c r="H1821">
        <f t="shared" si="56"/>
        <v>233</v>
      </c>
      <c r="I1821">
        <v>0</v>
      </c>
      <c r="J1821">
        <v>0</v>
      </c>
      <c r="K1821">
        <v>0</v>
      </c>
      <c r="L1821">
        <f t="shared" si="57"/>
        <v>0</v>
      </c>
    </row>
    <row r="1822" spans="1:12">
      <c r="A1822" t="s">
        <v>3635</v>
      </c>
      <c r="B1822" t="s">
        <v>1316</v>
      </c>
      <c r="C1822" t="s">
        <v>2805</v>
      </c>
      <c r="D1822" t="s">
        <v>2807</v>
      </c>
      <c r="E1822">
        <v>15</v>
      </c>
      <c r="F1822">
        <v>0</v>
      </c>
      <c r="G1822">
        <v>0</v>
      </c>
      <c r="H1822">
        <f t="shared" si="56"/>
        <v>15</v>
      </c>
      <c r="I1822">
        <v>0</v>
      </c>
      <c r="J1822">
        <v>0</v>
      </c>
      <c r="K1822">
        <v>0</v>
      </c>
      <c r="L1822">
        <f t="shared" si="57"/>
        <v>0</v>
      </c>
    </row>
    <row r="1823" spans="1:12">
      <c r="A1823" t="s">
        <v>3635</v>
      </c>
      <c r="B1823" t="s">
        <v>1316</v>
      </c>
      <c r="C1823" t="s">
        <v>2805</v>
      </c>
      <c r="D1823" t="s">
        <v>2809</v>
      </c>
      <c r="E1823">
        <v>21</v>
      </c>
      <c r="F1823">
        <v>0</v>
      </c>
      <c r="G1823">
        <v>0</v>
      </c>
      <c r="H1823">
        <f t="shared" si="56"/>
        <v>21</v>
      </c>
      <c r="I1823">
        <v>0</v>
      </c>
      <c r="J1823">
        <v>0</v>
      </c>
      <c r="K1823">
        <v>0</v>
      </c>
      <c r="L1823">
        <f t="shared" si="57"/>
        <v>0</v>
      </c>
    </row>
    <row r="1824" spans="1:12">
      <c r="A1824" t="s">
        <v>3635</v>
      </c>
      <c r="B1824" t="s">
        <v>1316</v>
      </c>
      <c r="C1824" t="s">
        <v>2810</v>
      </c>
      <c r="D1824" t="s">
        <v>2811</v>
      </c>
      <c r="E1824">
        <v>13</v>
      </c>
      <c r="F1824">
        <v>0</v>
      </c>
      <c r="G1824">
        <v>0</v>
      </c>
      <c r="H1824">
        <f t="shared" si="56"/>
        <v>13</v>
      </c>
      <c r="I1824">
        <v>2</v>
      </c>
      <c r="J1824">
        <v>0</v>
      </c>
      <c r="K1824">
        <v>0</v>
      </c>
      <c r="L1824">
        <f t="shared" si="57"/>
        <v>2</v>
      </c>
    </row>
    <row r="1825" spans="1:12">
      <c r="A1825" t="s">
        <v>3635</v>
      </c>
      <c r="B1825" t="s">
        <v>1316</v>
      </c>
      <c r="C1825" t="s">
        <v>2810</v>
      </c>
      <c r="D1825" t="s">
        <v>2812</v>
      </c>
      <c r="E1825">
        <v>8</v>
      </c>
      <c r="F1825">
        <v>0</v>
      </c>
      <c r="G1825">
        <v>0</v>
      </c>
      <c r="H1825">
        <f t="shared" si="56"/>
        <v>8</v>
      </c>
      <c r="I1825">
        <v>4</v>
      </c>
      <c r="J1825">
        <v>0</v>
      </c>
      <c r="K1825">
        <v>0</v>
      </c>
      <c r="L1825">
        <f t="shared" si="57"/>
        <v>4</v>
      </c>
    </row>
    <row r="1826" spans="1:12">
      <c r="A1826" t="s">
        <v>3635</v>
      </c>
      <c r="B1826" t="s">
        <v>1316</v>
      </c>
      <c r="C1826" t="s">
        <v>2810</v>
      </c>
      <c r="D1826" t="s">
        <v>2813</v>
      </c>
      <c r="E1826">
        <v>40</v>
      </c>
      <c r="F1826">
        <v>0</v>
      </c>
      <c r="G1826">
        <v>0</v>
      </c>
      <c r="H1826">
        <f t="shared" si="56"/>
        <v>40</v>
      </c>
      <c r="I1826">
        <v>4</v>
      </c>
      <c r="J1826">
        <v>0</v>
      </c>
      <c r="K1826">
        <v>0</v>
      </c>
      <c r="L1826">
        <f t="shared" si="57"/>
        <v>4</v>
      </c>
    </row>
    <row r="1827" spans="1:12">
      <c r="A1827" t="s">
        <v>3635</v>
      </c>
      <c r="B1827" t="s">
        <v>1316</v>
      </c>
      <c r="C1827" t="s">
        <v>2816</v>
      </c>
      <c r="D1827" t="s">
        <v>1897</v>
      </c>
      <c r="E1827">
        <v>7</v>
      </c>
      <c r="F1827">
        <v>0</v>
      </c>
      <c r="G1827">
        <v>0</v>
      </c>
      <c r="H1827">
        <f t="shared" si="56"/>
        <v>7</v>
      </c>
      <c r="I1827">
        <v>0</v>
      </c>
      <c r="J1827">
        <v>0</v>
      </c>
      <c r="K1827">
        <v>0</v>
      </c>
      <c r="L1827">
        <f t="shared" si="57"/>
        <v>0</v>
      </c>
    </row>
    <row r="1828" spans="1:12">
      <c r="A1828" t="s">
        <v>3635</v>
      </c>
      <c r="B1828" t="s">
        <v>1316</v>
      </c>
      <c r="C1828" t="s">
        <v>2826</v>
      </c>
      <c r="D1828" t="s">
        <v>2849</v>
      </c>
      <c r="E1828">
        <v>4</v>
      </c>
      <c r="F1828">
        <v>0</v>
      </c>
      <c r="G1828">
        <v>0</v>
      </c>
      <c r="H1828">
        <f t="shared" si="56"/>
        <v>4</v>
      </c>
      <c r="I1828">
        <v>0</v>
      </c>
      <c r="J1828">
        <v>0</v>
      </c>
      <c r="K1828">
        <v>0</v>
      </c>
      <c r="L1828">
        <f t="shared" si="57"/>
        <v>0</v>
      </c>
    </row>
    <row r="1829" spans="1:12">
      <c r="A1829" t="s">
        <v>3635</v>
      </c>
      <c r="B1829" t="s">
        <v>1316</v>
      </c>
      <c r="C1829" t="s">
        <v>2817</v>
      </c>
      <c r="D1829" t="s">
        <v>2887</v>
      </c>
      <c r="E1829">
        <v>0</v>
      </c>
      <c r="F1829">
        <v>0</v>
      </c>
      <c r="G1829">
        <v>0</v>
      </c>
      <c r="H1829">
        <f t="shared" si="56"/>
        <v>0</v>
      </c>
      <c r="I1829">
        <v>2</v>
      </c>
      <c r="J1829">
        <v>0</v>
      </c>
      <c r="K1829">
        <v>0</v>
      </c>
      <c r="L1829">
        <f t="shared" si="57"/>
        <v>2</v>
      </c>
    </row>
    <row r="1830" spans="1:12">
      <c r="A1830" t="s">
        <v>3635</v>
      </c>
      <c r="B1830" t="s">
        <v>1316</v>
      </c>
      <c r="C1830" t="s">
        <v>2817</v>
      </c>
      <c r="D1830" t="s">
        <v>2909</v>
      </c>
      <c r="E1830">
        <v>9</v>
      </c>
      <c r="F1830">
        <v>0</v>
      </c>
      <c r="G1830">
        <v>0</v>
      </c>
      <c r="H1830">
        <f t="shared" si="56"/>
        <v>9</v>
      </c>
      <c r="I1830">
        <v>0</v>
      </c>
      <c r="J1830">
        <v>0</v>
      </c>
      <c r="K1830">
        <v>0</v>
      </c>
      <c r="L1830">
        <f t="shared" si="57"/>
        <v>0</v>
      </c>
    </row>
    <row r="1831" spans="1:12">
      <c r="A1831" t="s">
        <v>3638</v>
      </c>
      <c r="B1831" t="s">
        <v>1320</v>
      </c>
      <c r="C1831" t="s">
        <v>2826</v>
      </c>
      <c r="D1831" t="s">
        <v>2843</v>
      </c>
      <c r="E1831">
        <v>0</v>
      </c>
      <c r="F1831">
        <v>0</v>
      </c>
      <c r="G1831">
        <v>0</v>
      </c>
      <c r="H1831">
        <f t="shared" si="56"/>
        <v>0</v>
      </c>
      <c r="I1831">
        <v>1</v>
      </c>
      <c r="J1831">
        <v>0</v>
      </c>
      <c r="K1831">
        <v>0</v>
      </c>
      <c r="L1831">
        <f t="shared" si="57"/>
        <v>1</v>
      </c>
    </row>
    <row r="1832" spans="1:12">
      <c r="A1832" t="s">
        <v>3638</v>
      </c>
      <c r="B1832" t="s">
        <v>1320</v>
      </c>
      <c r="C1832" t="s">
        <v>2826</v>
      </c>
      <c r="D1832" t="s">
        <v>2834</v>
      </c>
      <c r="E1832">
        <v>0</v>
      </c>
      <c r="F1832">
        <v>0</v>
      </c>
      <c r="G1832">
        <v>0</v>
      </c>
      <c r="H1832">
        <f t="shared" si="56"/>
        <v>0</v>
      </c>
      <c r="I1832">
        <v>1</v>
      </c>
      <c r="J1832">
        <v>0</v>
      </c>
      <c r="K1832">
        <v>0</v>
      </c>
      <c r="L1832">
        <f t="shared" si="57"/>
        <v>1</v>
      </c>
    </row>
    <row r="1833" spans="1:12">
      <c r="A1833" t="s">
        <v>3638</v>
      </c>
      <c r="B1833" t="s">
        <v>1320</v>
      </c>
      <c r="C1833" t="s">
        <v>2826</v>
      </c>
      <c r="D1833" t="s">
        <v>2849</v>
      </c>
      <c r="E1833">
        <v>0</v>
      </c>
      <c r="F1833">
        <v>0</v>
      </c>
      <c r="G1833">
        <v>0</v>
      </c>
      <c r="H1833">
        <f t="shared" si="56"/>
        <v>0</v>
      </c>
      <c r="I1833">
        <v>1</v>
      </c>
      <c r="J1833">
        <v>0</v>
      </c>
      <c r="K1833">
        <v>0</v>
      </c>
      <c r="L1833">
        <f t="shared" si="57"/>
        <v>1</v>
      </c>
    </row>
    <row r="1834" spans="1:12">
      <c r="A1834" t="s">
        <v>3639</v>
      </c>
      <c r="B1834" t="s">
        <v>3640</v>
      </c>
      <c r="C1834" t="s">
        <v>2841</v>
      </c>
      <c r="D1834" t="s">
        <v>2842</v>
      </c>
      <c r="E1834">
        <v>0</v>
      </c>
      <c r="F1834">
        <v>0</v>
      </c>
      <c r="G1834">
        <v>0</v>
      </c>
      <c r="H1834">
        <f t="shared" si="56"/>
        <v>0</v>
      </c>
      <c r="I1834">
        <v>2</v>
      </c>
      <c r="J1834">
        <v>0</v>
      </c>
      <c r="K1834">
        <v>0</v>
      </c>
      <c r="L1834">
        <f t="shared" si="57"/>
        <v>2</v>
      </c>
    </row>
    <row r="1835" spans="1:12">
      <c r="A1835" t="s">
        <v>3639</v>
      </c>
      <c r="B1835" t="s">
        <v>3640</v>
      </c>
      <c r="C1835" t="s">
        <v>2826</v>
      </c>
      <c r="D1835" t="s">
        <v>2843</v>
      </c>
      <c r="E1835">
        <v>0</v>
      </c>
      <c r="F1835">
        <v>0</v>
      </c>
      <c r="G1835">
        <v>0</v>
      </c>
      <c r="H1835">
        <f t="shared" si="56"/>
        <v>0</v>
      </c>
      <c r="I1835">
        <v>1</v>
      </c>
      <c r="J1835">
        <v>0</v>
      </c>
      <c r="K1835">
        <v>0</v>
      </c>
      <c r="L1835">
        <f t="shared" si="57"/>
        <v>1</v>
      </c>
    </row>
    <row r="1836" spans="1:12">
      <c r="A1836" t="s">
        <v>3639</v>
      </c>
      <c r="B1836" t="s">
        <v>3640</v>
      </c>
      <c r="C1836" t="s">
        <v>2826</v>
      </c>
      <c r="D1836" t="s">
        <v>2885</v>
      </c>
      <c r="E1836">
        <v>0</v>
      </c>
      <c r="F1836">
        <v>0</v>
      </c>
      <c r="G1836">
        <v>0</v>
      </c>
      <c r="H1836">
        <f t="shared" si="56"/>
        <v>0</v>
      </c>
      <c r="I1836">
        <v>1</v>
      </c>
      <c r="J1836">
        <v>0</v>
      </c>
      <c r="K1836">
        <v>0</v>
      </c>
      <c r="L1836">
        <f t="shared" si="57"/>
        <v>1</v>
      </c>
    </row>
    <row r="1837" spans="1:12">
      <c r="A1837" t="s">
        <v>3639</v>
      </c>
      <c r="B1837" t="s">
        <v>3640</v>
      </c>
      <c r="C1837" t="s">
        <v>2826</v>
      </c>
      <c r="D1837" t="s">
        <v>2834</v>
      </c>
      <c r="E1837">
        <v>0</v>
      </c>
      <c r="F1837">
        <v>0</v>
      </c>
      <c r="G1837">
        <v>0</v>
      </c>
      <c r="H1837">
        <f t="shared" si="56"/>
        <v>0</v>
      </c>
      <c r="I1837">
        <v>1</v>
      </c>
      <c r="J1837">
        <v>0</v>
      </c>
      <c r="K1837">
        <v>0</v>
      </c>
      <c r="L1837">
        <f t="shared" si="57"/>
        <v>1</v>
      </c>
    </row>
    <row r="1838" spans="1:12">
      <c r="A1838" t="s">
        <v>3645</v>
      </c>
      <c r="B1838" t="s">
        <v>3646</v>
      </c>
      <c r="C1838" t="s">
        <v>2810</v>
      </c>
      <c r="D1838" t="s">
        <v>2812</v>
      </c>
      <c r="E1838">
        <v>0</v>
      </c>
      <c r="F1838">
        <v>0</v>
      </c>
      <c r="G1838">
        <v>0</v>
      </c>
      <c r="H1838">
        <f t="shared" si="56"/>
        <v>0</v>
      </c>
      <c r="I1838">
        <v>1</v>
      </c>
      <c r="J1838">
        <v>0</v>
      </c>
      <c r="K1838">
        <v>0</v>
      </c>
      <c r="L1838">
        <f t="shared" si="57"/>
        <v>1</v>
      </c>
    </row>
    <row r="1839" spans="1:12">
      <c r="A1839" t="s">
        <v>3645</v>
      </c>
      <c r="B1839" t="s">
        <v>3646</v>
      </c>
      <c r="C1839" t="s">
        <v>2810</v>
      </c>
      <c r="D1839" t="s">
        <v>2815</v>
      </c>
      <c r="E1839">
        <v>6</v>
      </c>
      <c r="F1839">
        <v>0</v>
      </c>
      <c r="G1839">
        <v>0</v>
      </c>
      <c r="H1839">
        <f t="shared" si="56"/>
        <v>6</v>
      </c>
      <c r="I1839">
        <v>0</v>
      </c>
      <c r="J1839">
        <v>0</v>
      </c>
      <c r="K1839">
        <v>0</v>
      </c>
      <c r="L1839">
        <f t="shared" si="57"/>
        <v>0</v>
      </c>
    </row>
    <row r="1840" spans="1:12">
      <c r="A1840" t="s">
        <v>3645</v>
      </c>
      <c r="B1840" t="s">
        <v>3646</v>
      </c>
      <c r="C1840" t="s">
        <v>2826</v>
      </c>
      <c r="D1840" t="s">
        <v>2871</v>
      </c>
      <c r="E1840">
        <v>0</v>
      </c>
      <c r="F1840">
        <v>0</v>
      </c>
      <c r="G1840">
        <v>0</v>
      </c>
      <c r="H1840">
        <f t="shared" si="56"/>
        <v>0</v>
      </c>
      <c r="I1840">
        <v>1</v>
      </c>
      <c r="J1840">
        <v>0</v>
      </c>
      <c r="K1840">
        <v>0</v>
      </c>
      <c r="L1840">
        <f t="shared" si="57"/>
        <v>1</v>
      </c>
    </row>
    <row r="1841" spans="1:12">
      <c r="A1841" t="s">
        <v>3645</v>
      </c>
      <c r="B1841" t="s">
        <v>3646</v>
      </c>
      <c r="C1841" t="s">
        <v>2826</v>
      </c>
      <c r="D1841" t="s">
        <v>2843</v>
      </c>
      <c r="E1841">
        <v>0</v>
      </c>
      <c r="F1841">
        <v>0</v>
      </c>
      <c r="G1841">
        <v>0</v>
      </c>
      <c r="H1841">
        <f t="shared" si="56"/>
        <v>0</v>
      </c>
      <c r="I1841">
        <v>1</v>
      </c>
      <c r="J1841">
        <v>0</v>
      </c>
      <c r="K1841">
        <v>0</v>
      </c>
      <c r="L1841">
        <f t="shared" si="57"/>
        <v>1</v>
      </c>
    </row>
    <row r="1842" spans="1:12">
      <c r="A1842" t="s">
        <v>3645</v>
      </c>
      <c r="B1842" t="s">
        <v>3646</v>
      </c>
      <c r="C1842" t="s">
        <v>2826</v>
      </c>
      <c r="D1842" t="s">
        <v>2832</v>
      </c>
      <c r="E1842">
        <v>0</v>
      </c>
      <c r="F1842">
        <v>0</v>
      </c>
      <c r="G1842">
        <v>0</v>
      </c>
      <c r="H1842">
        <f t="shared" si="56"/>
        <v>0</v>
      </c>
      <c r="I1842">
        <v>1</v>
      </c>
      <c r="J1842">
        <v>0</v>
      </c>
      <c r="K1842">
        <v>0</v>
      </c>
      <c r="L1842">
        <f t="shared" si="57"/>
        <v>1</v>
      </c>
    </row>
    <row r="1843" spans="1:12">
      <c r="A1843" t="s">
        <v>3645</v>
      </c>
      <c r="B1843" t="s">
        <v>3646</v>
      </c>
      <c r="C1843" t="s">
        <v>2826</v>
      </c>
      <c r="D1843" t="s">
        <v>2834</v>
      </c>
      <c r="E1843">
        <v>0</v>
      </c>
      <c r="F1843">
        <v>0</v>
      </c>
      <c r="G1843">
        <v>0</v>
      </c>
      <c r="H1843">
        <f t="shared" si="56"/>
        <v>0</v>
      </c>
      <c r="I1843">
        <v>3</v>
      </c>
      <c r="J1843">
        <v>0</v>
      </c>
      <c r="K1843">
        <v>0</v>
      </c>
      <c r="L1843">
        <f t="shared" si="57"/>
        <v>3</v>
      </c>
    </row>
    <row r="1844" spans="1:12">
      <c r="A1844" t="s">
        <v>3645</v>
      </c>
      <c r="B1844" t="s">
        <v>3646</v>
      </c>
      <c r="C1844" t="s">
        <v>2826</v>
      </c>
      <c r="D1844" t="s">
        <v>2844</v>
      </c>
      <c r="E1844">
        <v>0</v>
      </c>
      <c r="F1844">
        <v>0</v>
      </c>
      <c r="G1844">
        <v>0</v>
      </c>
      <c r="H1844">
        <f t="shared" si="56"/>
        <v>0</v>
      </c>
      <c r="I1844">
        <v>2</v>
      </c>
      <c r="J1844">
        <v>0</v>
      </c>
      <c r="K1844">
        <v>0</v>
      </c>
      <c r="L1844">
        <f t="shared" si="57"/>
        <v>2</v>
      </c>
    </row>
    <row r="1845" spans="1:12">
      <c r="A1845" t="s">
        <v>3645</v>
      </c>
      <c r="B1845" t="s">
        <v>3646</v>
      </c>
      <c r="C1845" t="s">
        <v>2826</v>
      </c>
      <c r="D1845" t="s">
        <v>2849</v>
      </c>
      <c r="E1845">
        <v>0</v>
      </c>
      <c r="F1845">
        <v>0</v>
      </c>
      <c r="G1845">
        <v>0</v>
      </c>
      <c r="H1845">
        <f t="shared" si="56"/>
        <v>0</v>
      </c>
      <c r="I1845">
        <v>2</v>
      </c>
      <c r="J1845">
        <v>0</v>
      </c>
      <c r="K1845">
        <v>0</v>
      </c>
      <c r="L1845">
        <f t="shared" si="57"/>
        <v>2</v>
      </c>
    </row>
    <row r="1846" spans="1:12">
      <c r="A1846" t="s">
        <v>3647</v>
      </c>
      <c r="B1846" t="s">
        <v>1325</v>
      </c>
      <c r="C1846" t="s">
        <v>2805</v>
      </c>
      <c r="D1846" t="s">
        <v>2806</v>
      </c>
      <c r="E1846">
        <v>17</v>
      </c>
      <c r="F1846">
        <v>0</v>
      </c>
      <c r="G1846">
        <v>0</v>
      </c>
      <c r="H1846">
        <f t="shared" si="56"/>
        <v>17</v>
      </c>
      <c r="I1846">
        <v>14</v>
      </c>
      <c r="J1846">
        <v>0</v>
      </c>
      <c r="K1846">
        <v>0</v>
      </c>
      <c r="L1846">
        <f t="shared" si="57"/>
        <v>14</v>
      </c>
    </row>
    <row r="1847" spans="1:12">
      <c r="A1847" t="s">
        <v>3647</v>
      </c>
      <c r="B1847" t="s">
        <v>1325</v>
      </c>
      <c r="C1847" t="s">
        <v>2805</v>
      </c>
      <c r="D1847" t="s">
        <v>449</v>
      </c>
      <c r="E1847">
        <v>37</v>
      </c>
      <c r="F1847">
        <v>0</v>
      </c>
      <c r="G1847">
        <v>0</v>
      </c>
      <c r="H1847">
        <f t="shared" si="56"/>
        <v>37</v>
      </c>
      <c r="I1847">
        <v>69</v>
      </c>
      <c r="J1847">
        <v>0</v>
      </c>
      <c r="K1847">
        <v>0</v>
      </c>
      <c r="L1847">
        <f t="shared" si="57"/>
        <v>69</v>
      </c>
    </row>
    <row r="1848" spans="1:12">
      <c r="A1848" t="s">
        <v>3647</v>
      </c>
      <c r="B1848" t="s">
        <v>1325</v>
      </c>
      <c r="C1848" t="s">
        <v>2805</v>
      </c>
      <c r="D1848" t="s">
        <v>2807</v>
      </c>
      <c r="E1848">
        <v>0</v>
      </c>
      <c r="F1848">
        <v>0</v>
      </c>
      <c r="G1848">
        <v>0</v>
      </c>
      <c r="H1848">
        <f t="shared" si="56"/>
        <v>0</v>
      </c>
      <c r="I1848">
        <v>1</v>
      </c>
      <c r="J1848">
        <v>0</v>
      </c>
      <c r="K1848">
        <v>0</v>
      </c>
      <c r="L1848">
        <f t="shared" si="57"/>
        <v>1</v>
      </c>
    </row>
    <row r="1849" spans="1:12">
      <c r="A1849" t="s">
        <v>3647</v>
      </c>
      <c r="B1849" t="s">
        <v>1325</v>
      </c>
      <c r="C1849" t="s">
        <v>2805</v>
      </c>
      <c r="D1849" t="s">
        <v>2808</v>
      </c>
      <c r="E1849">
        <v>0</v>
      </c>
      <c r="F1849">
        <v>0</v>
      </c>
      <c r="G1849">
        <v>0</v>
      </c>
      <c r="H1849">
        <f t="shared" si="56"/>
        <v>0</v>
      </c>
      <c r="I1849">
        <v>2</v>
      </c>
      <c r="J1849">
        <v>0</v>
      </c>
      <c r="K1849">
        <v>0</v>
      </c>
      <c r="L1849">
        <f t="shared" si="57"/>
        <v>2</v>
      </c>
    </row>
    <row r="1850" spans="1:12">
      <c r="A1850" t="s">
        <v>3647</v>
      </c>
      <c r="B1850" t="s">
        <v>1325</v>
      </c>
      <c r="C1850" t="s">
        <v>2805</v>
      </c>
      <c r="D1850" t="s">
        <v>2846</v>
      </c>
      <c r="E1850">
        <v>1</v>
      </c>
      <c r="F1850">
        <v>0</v>
      </c>
      <c r="G1850">
        <v>0</v>
      </c>
      <c r="H1850">
        <f t="shared" si="56"/>
        <v>1</v>
      </c>
      <c r="I1850">
        <v>2</v>
      </c>
      <c r="J1850">
        <v>0</v>
      </c>
      <c r="K1850">
        <v>0</v>
      </c>
      <c r="L1850">
        <f t="shared" si="57"/>
        <v>2</v>
      </c>
    </row>
    <row r="1851" spans="1:12">
      <c r="A1851" t="s">
        <v>3647</v>
      </c>
      <c r="B1851" t="s">
        <v>1325</v>
      </c>
      <c r="C1851" t="s">
        <v>2810</v>
      </c>
      <c r="D1851" t="s">
        <v>2811</v>
      </c>
      <c r="E1851">
        <v>1</v>
      </c>
      <c r="F1851">
        <v>0</v>
      </c>
      <c r="G1851">
        <v>0</v>
      </c>
      <c r="H1851">
        <f t="shared" si="56"/>
        <v>1</v>
      </c>
      <c r="I1851">
        <v>6</v>
      </c>
      <c r="J1851">
        <v>0</v>
      </c>
      <c r="K1851">
        <v>0</v>
      </c>
      <c r="L1851">
        <f t="shared" si="57"/>
        <v>6</v>
      </c>
    </row>
    <row r="1852" spans="1:12">
      <c r="A1852" t="s">
        <v>3647</v>
      </c>
      <c r="B1852" t="s">
        <v>1325</v>
      </c>
      <c r="C1852" t="s">
        <v>2810</v>
      </c>
      <c r="D1852" t="s">
        <v>2812</v>
      </c>
      <c r="E1852">
        <v>6</v>
      </c>
      <c r="F1852">
        <v>0</v>
      </c>
      <c r="G1852">
        <v>0</v>
      </c>
      <c r="H1852">
        <f t="shared" si="56"/>
        <v>6</v>
      </c>
      <c r="I1852">
        <v>5</v>
      </c>
      <c r="J1852">
        <v>0</v>
      </c>
      <c r="K1852">
        <v>0</v>
      </c>
      <c r="L1852">
        <f t="shared" si="57"/>
        <v>5</v>
      </c>
    </row>
    <row r="1853" spans="1:12">
      <c r="A1853" t="s">
        <v>3647</v>
      </c>
      <c r="B1853" t="s">
        <v>1325</v>
      </c>
      <c r="C1853" t="s">
        <v>2810</v>
      </c>
      <c r="D1853" t="s">
        <v>2813</v>
      </c>
      <c r="E1853">
        <v>1</v>
      </c>
      <c r="F1853">
        <v>0</v>
      </c>
      <c r="G1853">
        <v>0</v>
      </c>
      <c r="H1853">
        <f t="shared" si="56"/>
        <v>1</v>
      </c>
      <c r="I1853">
        <v>7</v>
      </c>
      <c r="J1853">
        <v>0</v>
      </c>
      <c r="K1853">
        <v>0</v>
      </c>
      <c r="L1853">
        <f t="shared" si="57"/>
        <v>7</v>
      </c>
    </row>
    <row r="1854" spans="1:12">
      <c r="A1854" t="s">
        <v>3647</v>
      </c>
      <c r="B1854" t="s">
        <v>1325</v>
      </c>
      <c r="C1854" t="s">
        <v>2826</v>
      </c>
      <c r="D1854" t="s">
        <v>2843</v>
      </c>
      <c r="E1854">
        <v>0</v>
      </c>
      <c r="F1854">
        <v>0</v>
      </c>
      <c r="G1854">
        <v>0</v>
      </c>
      <c r="H1854">
        <f t="shared" si="56"/>
        <v>0</v>
      </c>
      <c r="I1854">
        <v>1</v>
      </c>
      <c r="J1854">
        <v>0</v>
      </c>
      <c r="K1854">
        <v>0</v>
      </c>
      <c r="L1854">
        <f t="shared" si="57"/>
        <v>1</v>
      </c>
    </row>
    <row r="1855" spans="1:12">
      <c r="A1855" t="s">
        <v>3647</v>
      </c>
      <c r="B1855" t="s">
        <v>1325</v>
      </c>
      <c r="C1855" t="s">
        <v>2817</v>
      </c>
      <c r="D1855" t="s">
        <v>2877</v>
      </c>
      <c r="E1855">
        <v>0</v>
      </c>
      <c r="F1855">
        <v>0</v>
      </c>
      <c r="G1855">
        <v>0</v>
      </c>
      <c r="H1855">
        <f t="shared" si="56"/>
        <v>0</v>
      </c>
      <c r="I1855">
        <v>6</v>
      </c>
      <c r="J1855">
        <v>0</v>
      </c>
      <c r="K1855">
        <v>0</v>
      </c>
      <c r="L1855">
        <f t="shared" si="57"/>
        <v>6</v>
      </c>
    </row>
    <row r="1856" spans="1:12">
      <c r="A1856" t="s">
        <v>3647</v>
      </c>
      <c r="B1856" t="s">
        <v>1325</v>
      </c>
      <c r="C1856" t="s">
        <v>2817</v>
      </c>
      <c r="D1856" t="s">
        <v>2819</v>
      </c>
      <c r="E1856">
        <v>0</v>
      </c>
      <c r="F1856">
        <v>0</v>
      </c>
      <c r="G1856">
        <v>0</v>
      </c>
      <c r="H1856">
        <f t="shared" si="56"/>
        <v>0</v>
      </c>
      <c r="I1856">
        <v>3</v>
      </c>
      <c r="J1856">
        <v>0</v>
      </c>
      <c r="K1856">
        <v>0</v>
      </c>
      <c r="L1856">
        <f t="shared" si="57"/>
        <v>3</v>
      </c>
    </row>
    <row r="1857" spans="1:12">
      <c r="A1857" t="s">
        <v>3647</v>
      </c>
      <c r="B1857" t="s">
        <v>1325</v>
      </c>
      <c r="C1857" t="s">
        <v>2817</v>
      </c>
      <c r="D1857" t="s">
        <v>2909</v>
      </c>
      <c r="E1857">
        <v>0</v>
      </c>
      <c r="F1857">
        <v>0</v>
      </c>
      <c r="G1857">
        <v>0</v>
      </c>
      <c r="H1857">
        <f t="shared" si="56"/>
        <v>0</v>
      </c>
      <c r="I1857">
        <v>4</v>
      </c>
      <c r="J1857">
        <v>0</v>
      </c>
      <c r="K1857">
        <v>0</v>
      </c>
      <c r="L1857">
        <f t="shared" si="57"/>
        <v>4</v>
      </c>
    </row>
    <row r="1858" spans="1:12">
      <c r="A1858" t="s">
        <v>3662</v>
      </c>
      <c r="B1858" t="s">
        <v>1326</v>
      </c>
      <c r="C1858" t="s">
        <v>2805</v>
      </c>
      <c r="D1858" t="s">
        <v>2806</v>
      </c>
      <c r="E1858">
        <v>64</v>
      </c>
      <c r="F1858">
        <v>0</v>
      </c>
      <c r="G1858">
        <v>0</v>
      </c>
      <c r="H1858">
        <f t="shared" si="56"/>
        <v>64</v>
      </c>
      <c r="I1858">
        <v>0</v>
      </c>
      <c r="J1858">
        <v>0</v>
      </c>
      <c r="K1858">
        <v>0</v>
      </c>
      <c r="L1858">
        <f t="shared" si="57"/>
        <v>0</v>
      </c>
    </row>
    <row r="1859" spans="1:12">
      <c r="A1859" t="s">
        <v>3662</v>
      </c>
      <c r="B1859" t="s">
        <v>1326</v>
      </c>
      <c r="C1859" t="s">
        <v>2805</v>
      </c>
      <c r="D1859" t="s">
        <v>449</v>
      </c>
      <c r="E1859">
        <v>57</v>
      </c>
      <c r="F1859">
        <v>0</v>
      </c>
      <c r="G1859">
        <v>0</v>
      </c>
      <c r="H1859">
        <f t="shared" si="56"/>
        <v>57</v>
      </c>
      <c r="I1859">
        <v>0</v>
      </c>
      <c r="J1859">
        <v>0</v>
      </c>
      <c r="K1859">
        <v>0</v>
      </c>
      <c r="L1859">
        <f t="shared" si="57"/>
        <v>0</v>
      </c>
    </row>
    <row r="1860" spans="1:12">
      <c r="A1860" t="s">
        <v>3662</v>
      </c>
      <c r="B1860" t="s">
        <v>1326</v>
      </c>
      <c r="C1860" t="s">
        <v>2805</v>
      </c>
      <c r="D1860" t="s">
        <v>2937</v>
      </c>
      <c r="E1860">
        <v>2</v>
      </c>
      <c r="F1860">
        <v>0</v>
      </c>
      <c r="G1860">
        <v>0</v>
      </c>
      <c r="H1860">
        <f t="shared" ref="H1860:H1923" si="58">SUM(E1860:G1860)</f>
        <v>2</v>
      </c>
      <c r="I1860">
        <v>0</v>
      </c>
      <c r="J1860">
        <v>0</v>
      </c>
      <c r="K1860">
        <v>0</v>
      </c>
      <c r="L1860">
        <f t="shared" ref="L1860:L1923" si="59">SUM(I1860:K1860)</f>
        <v>0</v>
      </c>
    </row>
    <row r="1861" spans="1:12">
      <c r="A1861" t="s">
        <v>3662</v>
      </c>
      <c r="B1861" t="s">
        <v>1326</v>
      </c>
      <c r="C1861" t="s">
        <v>2810</v>
      </c>
      <c r="D1861" t="s">
        <v>2812</v>
      </c>
      <c r="E1861">
        <v>231</v>
      </c>
      <c r="F1861">
        <v>8</v>
      </c>
      <c r="G1861">
        <v>0</v>
      </c>
      <c r="H1861">
        <f t="shared" si="58"/>
        <v>239</v>
      </c>
      <c r="I1861">
        <v>11</v>
      </c>
      <c r="J1861">
        <v>0</v>
      </c>
      <c r="K1861">
        <v>0</v>
      </c>
      <c r="L1861">
        <f t="shared" si="59"/>
        <v>11</v>
      </c>
    </row>
    <row r="1862" spans="1:12">
      <c r="A1862" t="s">
        <v>3662</v>
      </c>
      <c r="B1862" t="s">
        <v>1326</v>
      </c>
      <c r="C1862" t="s">
        <v>2810</v>
      </c>
      <c r="D1862" t="s">
        <v>2813</v>
      </c>
      <c r="E1862">
        <v>6</v>
      </c>
      <c r="F1862">
        <v>0</v>
      </c>
      <c r="G1862">
        <v>0</v>
      </c>
      <c r="H1862">
        <f t="shared" si="58"/>
        <v>6</v>
      </c>
      <c r="I1862">
        <v>0</v>
      </c>
      <c r="J1862">
        <v>0</v>
      </c>
      <c r="K1862">
        <v>0</v>
      </c>
      <c r="L1862">
        <f t="shared" si="59"/>
        <v>0</v>
      </c>
    </row>
    <row r="1863" spans="1:12">
      <c r="A1863" t="s">
        <v>3662</v>
      </c>
      <c r="B1863" t="s">
        <v>1326</v>
      </c>
      <c r="C1863" t="s">
        <v>2810</v>
      </c>
      <c r="D1863" t="s">
        <v>2814</v>
      </c>
      <c r="E1863">
        <v>2</v>
      </c>
      <c r="F1863">
        <v>0</v>
      </c>
      <c r="G1863">
        <v>0</v>
      </c>
      <c r="H1863">
        <f t="shared" si="58"/>
        <v>2</v>
      </c>
      <c r="I1863">
        <v>0</v>
      </c>
      <c r="J1863">
        <v>0</v>
      </c>
      <c r="K1863">
        <v>0</v>
      </c>
      <c r="L1863">
        <f t="shared" si="59"/>
        <v>0</v>
      </c>
    </row>
    <row r="1864" spans="1:12">
      <c r="A1864" t="s">
        <v>3662</v>
      </c>
      <c r="B1864" t="s">
        <v>1326</v>
      </c>
      <c r="C1864" t="s">
        <v>2810</v>
      </c>
      <c r="D1864" t="s">
        <v>2847</v>
      </c>
      <c r="E1864">
        <v>23</v>
      </c>
      <c r="F1864">
        <v>0</v>
      </c>
      <c r="G1864">
        <v>0</v>
      </c>
      <c r="H1864">
        <f t="shared" si="58"/>
        <v>23</v>
      </c>
      <c r="I1864">
        <v>0</v>
      </c>
      <c r="J1864">
        <v>0</v>
      </c>
      <c r="K1864">
        <v>0</v>
      </c>
      <c r="L1864">
        <f t="shared" si="59"/>
        <v>0</v>
      </c>
    </row>
    <row r="1865" spans="1:12">
      <c r="A1865" t="s">
        <v>3662</v>
      </c>
      <c r="B1865" t="s">
        <v>1326</v>
      </c>
      <c r="C1865" t="s">
        <v>2816</v>
      </c>
      <c r="D1865" t="s">
        <v>1896</v>
      </c>
      <c r="E1865">
        <v>3</v>
      </c>
      <c r="F1865">
        <v>0</v>
      </c>
      <c r="G1865">
        <v>0</v>
      </c>
      <c r="H1865">
        <f t="shared" si="58"/>
        <v>3</v>
      </c>
      <c r="I1865">
        <v>0</v>
      </c>
      <c r="J1865">
        <v>0</v>
      </c>
      <c r="K1865">
        <v>0</v>
      </c>
      <c r="L1865">
        <f t="shared" si="59"/>
        <v>0</v>
      </c>
    </row>
    <row r="1866" spans="1:12">
      <c r="A1866" t="s">
        <v>3662</v>
      </c>
      <c r="B1866" t="s">
        <v>1326</v>
      </c>
      <c r="C1866" t="s">
        <v>2816</v>
      </c>
      <c r="D1866" t="s">
        <v>1897</v>
      </c>
      <c r="E1866">
        <v>12</v>
      </c>
      <c r="F1866">
        <v>0</v>
      </c>
      <c r="G1866">
        <v>0</v>
      </c>
      <c r="H1866">
        <f t="shared" si="58"/>
        <v>12</v>
      </c>
      <c r="I1866">
        <v>0</v>
      </c>
      <c r="J1866">
        <v>0</v>
      </c>
      <c r="K1866">
        <v>0</v>
      </c>
      <c r="L1866">
        <f t="shared" si="59"/>
        <v>0</v>
      </c>
    </row>
    <row r="1867" spans="1:12">
      <c r="A1867" t="s">
        <v>3671</v>
      </c>
      <c r="B1867" t="s">
        <v>1330</v>
      </c>
      <c r="C1867" t="s">
        <v>2805</v>
      </c>
      <c r="D1867" t="s">
        <v>2806</v>
      </c>
      <c r="E1867">
        <v>63</v>
      </c>
      <c r="F1867">
        <v>0</v>
      </c>
      <c r="G1867">
        <v>0</v>
      </c>
      <c r="H1867">
        <f t="shared" si="58"/>
        <v>63</v>
      </c>
      <c r="I1867">
        <v>0</v>
      </c>
      <c r="J1867">
        <v>0</v>
      </c>
      <c r="K1867">
        <v>0</v>
      </c>
      <c r="L1867">
        <f t="shared" si="59"/>
        <v>0</v>
      </c>
    </row>
    <row r="1868" spans="1:12">
      <c r="A1868" t="s">
        <v>3671</v>
      </c>
      <c r="B1868" t="s">
        <v>1330</v>
      </c>
      <c r="C1868" t="s">
        <v>2805</v>
      </c>
      <c r="D1868" t="s">
        <v>449</v>
      </c>
      <c r="E1868">
        <v>278</v>
      </c>
      <c r="F1868">
        <v>0</v>
      </c>
      <c r="G1868">
        <v>0</v>
      </c>
      <c r="H1868">
        <f t="shared" si="58"/>
        <v>278</v>
      </c>
      <c r="I1868">
        <v>0</v>
      </c>
      <c r="J1868">
        <v>0</v>
      </c>
      <c r="K1868">
        <v>0</v>
      </c>
      <c r="L1868">
        <f t="shared" si="59"/>
        <v>0</v>
      </c>
    </row>
    <row r="1869" spans="1:12">
      <c r="A1869" t="s">
        <v>3671</v>
      </c>
      <c r="B1869" t="s">
        <v>1330</v>
      </c>
      <c r="C1869" t="s">
        <v>2805</v>
      </c>
      <c r="D1869" t="s">
        <v>2807</v>
      </c>
      <c r="E1869">
        <v>4</v>
      </c>
      <c r="F1869">
        <v>0</v>
      </c>
      <c r="G1869">
        <v>0</v>
      </c>
      <c r="H1869">
        <f t="shared" si="58"/>
        <v>4</v>
      </c>
      <c r="I1869">
        <v>1</v>
      </c>
      <c r="J1869">
        <v>0</v>
      </c>
      <c r="K1869">
        <v>0</v>
      </c>
      <c r="L1869">
        <f t="shared" si="59"/>
        <v>1</v>
      </c>
    </row>
    <row r="1870" spans="1:12">
      <c r="A1870" t="s">
        <v>3671</v>
      </c>
      <c r="B1870" t="s">
        <v>1330</v>
      </c>
      <c r="C1870" t="s">
        <v>2810</v>
      </c>
      <c r="D1870" t="s">
        <v>2811</v>
      </c>
      <c r="E1870">
        <v>15</v>
      </c>
      <c r="F1870">
        <v>0</v>
      </c>
      <c r="G1870">
        <v>0</v>
      </c>
      <c r="H1870">
        <f t="shared" si="58"/>
        <v>15</v>
      </c>
      <c r="I1870">
        <v>2</v>
      </c>
      <c r="J1870">
        <v>0</v>
      </c>
      <c r="K1870">
        <v>0</v>
      </c>
      <c r="L1870">
        <f t="shared" si="59"/>
        <v>2</v>
      </c>
    </row>
    <row r="1871" spans="1:12">
      <c r="A1871" t="s">
        <v>3671</v>
      </c>
      <c r="B1871" t="s">
        <v>1330</v>
      </c>
      <c r="C1871" t="s">
        <v>2810</v>
      </c>
      <c r="D1871" t="s">
        <v>2812</v>
      </c>
      <c r="E1871">
        <v>4</v>
      </c>
      <c r="F1871">
        <v>0</v>
      </c>
      <c r="G1871">
        <v>0</v>
      </c>
      <c r="H1871">
        <f t="shared" si="58"/>
        <v>4</v>
      </c>
      <c r="I1871">
        <v>0</v>
      </c>
      <c r="J1871">
        <v>0</v>
      </c>
      <c r="K1871">
        <v>0</v>
      </c>
      <c r="L1871">
        <f t="shared" si="59"/>
        <v>0</v>
      </c>
    </row>
    <row r="1872" spans="1:12">
      <c r="A1872" t="s">
        <v>3671</v>
      </c>
      <c r="B1872" t="s">
        <v>1330</v>
      </c>
      <c r="C1872" t="s">
        <v>2810</v>
      </c>
      <c r="D1872" t="s">
        <v>2814</v>
      </c>
      <c r="E1872">
        <v>5</v>
      </c>
      <c r="F1872">
        <v>0</v>
      </c>
      <c r="G1872">
        <v>0</v>
      </c>
      <c r="H1872">
        <f t="shared" si="58"/>
        <v>5</v>
      </c>
      <c r="I1872">
        <v>0</v>
      </c>
      <c r="J1872">
        <v>0</v>
      </c>
      <c r="K1872">
        <v>0</v>
      </c>
      <c r="L1872">
        <f t="shared" si="59"/>
        <v>0</v>
      </c>
    </row>
    <row r="1873" spans="1:12">
      <c r="A1873" t="s">
        <v>3671</v>
      </c>
      <c r="B1873" t="s">
        <v>1330</v>
      </c>
      <c r="C1873" t="s">
        <v>2816</v>
      </c>
      <c r="D1873" t="s">
        <v>1897</v>
      </c>
      <c r="E1873">
        <v>14</v>
      </c>
      <c r="F1873">
        <v>0</v>
      </c>
      <c r="G1873">
        <v>0</v>
      </c>
      <c r="H1873">
        <f t="shared" si="58"/>
        <v>14</v>
      </c>
      <c r="I1873">
        <v>0</v>
      </c>
      <c r="J1873">
        <v>0</v>
      </c>
      <c r="K1873">
        <v>0</v>
      </c>
      <c r="L1873">
        <f t="shared" si="59"/>
        <v>0</v>
      </c>
    </row>
    <row r="1874" spans="1:12">
      <c r="A1874" t="s">
        <v>3671</v>
      </c>
      <c r="B1874" t="s">
        <v>1330</v>
      </c>
      <c r="C1874" t="s">
        <v>2826</v>
      </c>
      <c r="D1874" t="s">
        <v>2871</v>
      </c>
      <c r="E1874">
        <v>0</v>
      </c>
      <c r="F1874">
        <v>0</v>
      </c>
      <c r="G1874">
        <v>0</v>
      </c>
      <c r="H1874">
        <f t="shared" si="58"/>
        <v>0</v>
      </c>
      <c r="I1874">
        <v>2</v>
      </c>
      <c r="J1874">
        <v>0</v>
      </c>
      <c r="K1874">
        <v>0</v>
      </c>
      <c r="L1874">
        <f t="shared" si="59"/>
        <v>2</v>
      </c>
    </row>
    <row r="1875" spans="1:12">
      <c r="A1875" t="s">
        <v>3671</v>
      </c>
      <c r="B1875" t="s">
        <v>1330</v>
      </c>
      <c r="C1875" t="s">
        <v>2826</v>
      </c>
      <c r="D1875" t="s">
        <v>2827</v>
      </c>
      <c r="E1875">
        <v>0</v>
      </c>
      <c r="F1875">
        <v>0</v>
      </c>
      <c r="G1875">
        <v>0</v>
      </c>
      <c r="H1875">
        <f t="shared" si="58"/>
        <v>0</v>
      </c>
      <c r="I1875">
        <v>1</v>
      </c>
      <c r="J1875">
        <v>0</v>
      </c>
      <c r="K1875">
        <v>0</v>
      </c>
      <c r="L1875">
        <f t="shared" si="59"/>
        <v>1</v>
      </c>
    </row>
    <row r="1876" spans="1:12">
      <c r="A1876" t="s">
        <v>3671</v>
      </c>
      <c r="B1876" t="s">
        <v>1330</v>
      </c>
      <c r="C1876" t="s">
        <v>2826</v>
      </c>
      <c r="D1876" t="s">
        <v>2829</v>
      </c>
      <c r="E1876">
        <v>0</v>
      </c>
      <c r="F1876">
        <v>0</v>
      </c>
      <c r="G1876">
        <v>0</v>
      </c>
      <c r="H1876">
        <f t="shared" si="58"/>
        <v>0</v>
      </c>
      <c r="I1876">
        <v>1</v>
      </c>
      <c r="J1876">
        <v>0</v>
      </c>
      <c r="K1876">
        <v>0</v>
      </c>
      <c r="L1876">
        <f t="shared" si="59"/>
        <v>1</v>
      </c>
    </row>
    <row r="1877" spans="1:12">
      <c r="A1877" t="s">
        <v>3671</v>
      </c>
      <c r="B1877" t="s">
        <v>1330</v>
      </c>
      <c r="C1877" t="s">
        <v>2826</v>
      </c>
      <c r="D1877" t="s">
        <v>2831</v>
      </c>
      <c r="E1877">
        <v>0</v>
      </c>
      <c r="F1877">
        <v>0</v>
      </c>
      <c r="G1877">
        <v>0</v>
      </c>
      <c r="H1877">
        <f t="shared" si="58"/>
        <v>0</v>
      </c>
      <c r="I1877">
        <v>1</v>
      </c>
      <c r="J1877">
        <v>0</v>
      </c>
      <c r="K1877">
        <v>0</v>
      </c>
      <c r="L1877">
        <f t="shared" si="59"/>
        <v>1</v>
      </c>
    </row>
    <row r="1878" spans="1:12">
      <c r="A1878" t="s">
        <v>3671</v>
      </c>
      <c r="B1878" t="s">
        <v>1330</v>
      </c>
      <c r="C1878" t="s">
        <v>2826</v>
      </c>
      <c r="D1878" t="s">
        <v>2843</v>
      </c>
      <c r="E1878">
        <v>0</v>
      </c>
      <c r="F1878">
        <v>0</v>
      </c>
      <c r="G1878">
        <v>0</v>
      </c>
      <c r="H1878">
        <f t="shared" si="58"/>
        <v>0</v>
      </c>
      <c r="I1878">
        <v>2</v>
      </c>
      <c r="J1878">
        <v>0</v>
      </c>
      <c r="K1878">
        <v>0</v>
      </c>
      <c r="L1878">
        <f t="shared" si="59"/>
        <v>2</v>
      </c>
    </row>
    <row r="1879" spans="1:12">
      <c r="A1879" t="s">
        <v>3671</v>
      </c>
      <c r="B1879" t="s">
        <v>1330</v>
      </c>
      <c r="C1879" t="s">
        <v>2826</v>
      </c>
      <c r="D1879" t="s">
        <v>2834</v>
      </c>
      <c r="E1879">
        <v>0</v>
      </c>
      <c r="F1879">
        <v>0</v>
      </c>
      <c r="G1879">
        <v>0</v>
      </c>
      <c r="H1879">
        <f t="shared" si="58"/>
        <v>0</v>
      </c>
      <c r="I1879">
        <v>3</v>
      </c>
      <c r="J1879">
        <v>0</v>
      </c>
      <c r="K1879">
        <v>0</v>
      </c>
      <c r="L1879">
        <f t="shared" si="59"/>
        <v>3</v>
      </c>
    </row>
    <row r="1880" spans="1:12">
      <c r="A1880" t="s">
        <v>3674</v>
      </c>
      <c r="B1880" t="s">
        <v>347</v>
      </c>
      <c r="C1880" t="s">
        <v>2805</v>
      </c>
      <c r="D1880" t="s">
        <v>2807</v>
      </c>
      <c r="E1880">
        <v>0</v>
      </c>
      <c r="F1880">
        <v>0</v>
      </c>
      <c r="G1880">
        <v>0</v>
      </c>
      <c r="H1880">
        <f t="shared" si="58"/>
        <v>0</v>
      </c>
      <c r="I1880">
        <v>1</v>
      </c>
      <c r="J1880">
        <v>0</v>
      </c>
      <c r="K1880">
        <v>0</v>
      </c>
      <c r="L1880">
        <f t="shared" si="59"/>
        <v>1</v>
      </c>
    </row>
    <row r="1881" spans="1:12">
      <c r="A1881" t="s">
        <v>3674</v>
      </c>
      <c r="B1881" t="s">
        <v>347</v>
      </c>
      <c r="C1881" t="s">
        <v>2810</v>
      </c>
      <c r="D1881" t="s">
        <v>2811</v>
      </c>
      <c r="E1881">
        <v>0</v>
      </c>
      <c r="F1881">
        <v>0</v>
      </c>
      <c r="G1881">
        <v>0</v>
      </c>
      <c r="H1881">
        <f t="shared" si="58"/>
        <v>0</v>
      </c>
      <c r="I1881">
        <v>1</v>
      </c>
      <c r="J1881">
        <v>0</v>
      </c>
      <c r="K1881">
        <v>0</v>
      </c>
      <c r="L1881">
        <f t="shared" si="59"/>
        <v>1</v>
      </c>
    </row>
    <row r="1882" spans="1:12">
      <c r="A1882" t="s">
        <v>3674</v>
      </c>
      <c r="B1882" t="s">
        <v>347</v>
      </c>
      <c r="C1882" t="s">
        <v>2841</v>
      </c>
      <c r="D1882" t="s">
        <v>2842</v>
      </c>
      <c r="E1882">
        <v>0</v>
      </c>
      <c r="F1882">
        <v>0</v>
      </c>
      <c r="G1882">
        <v>0</v>
      </c>
      <c r="H1882">
        <f t="shared" si="58"/>
        <v>0</v>
      </c>
      <c r="I1882">
        <v>2</v>
      </c>
      <c r="J1882">
        <v>0</v>
      </c>
      <c r="K1882">
        <v>0</v>
      </c>
      <c r="L1882">
        <f t="shared" si="59"/>
        <v>2</v>
      </c>
    </row>
    <row r="1883" spans="1:12">
      <c r="A1883" t="s">
        <v>3674</v>
      </c>
      <c r="B1883" t="s">
        <v>347</v>
      </c>
      <c r="C1883" t="s">
        <v>2826</v>
      </c>
      <c r="D1883" t="s">
        <v>2871</v>
      </c>
      <c r="E1883">
        <v>0</v>
      </c>
      <c r="F1883">
        <v>0</v>
      </c>
      <c r="G1883">
        <v>0</v>
      </c>
      <c r="H1883">
        <f t="shared" si="58"/>
        <v>0</v>
      </c>
      <c r="I1883">
        <v>5</v>
      </c>
      <c r="J1883">
        <v>1</v>
      </c>
      <c r="K1883">
        <v>0</v>
      </c>
      <c r="L1883">
        <f t="shared" si="59"/>
        <v>6</v>
      </c>
    </row>
    <row r="1884" spans="1:12">
      <c r="A1884" t="s">
        <v>3674</v>
      </c>
      <c r="B1884" t="s">
        <v>347</v>
      </c>
      <c r="C1884" t="s">
        <v>2826</v>
      </c>
      <c r="D1884" t="s">
        <v>2905</v>
      </c>
      <c r="E1884">
        <v>0</v>
      </c>
      <c r="F1884">
        <v>0</v>
      </c>
      <c r="G1884">
        <v>0</v>
      </c>
      <c r="H1884">
        <f t="shared" si="58"/>
        <v>0</v>
      </c>
      <c r="I1884">
        <v>7</v>
      </c>
      <c r="J1884">
        <v>0</v>
      </c>
      <c r="K1884">
        <v>0</v>
      </c>
      <c r="L1884">
        <f t="shared" si="59"/>
        <v>7</v>
      </c>
    </row>
    <row r="1885" spans="1:12">
      <c r="A1885" t="s">
        <v>3674</v>
      </c>
      <c r="B1885" t="s">
        <v>347</v>
      </c>
      <c r="C1885" t="s">
        <v>2826</v>
      </c>
      <c r="D1885" t="s">
        <v>2827</v>
      </c>
      <c r="E1885">
        <v>0</v>
      </c>
      <c r="F1885">
        <v>0</v>
      </c>
      <c r="G1885">
        <v>0</v>
      </c>
      <c r="H1885">
        <f t="shared" si="58"/>
        <v>0</v>
      </c>
      <c r="I1885">
        <v>3</v>
      </c>
      <c r="J1885">
        <v>2</v>
      </c>
      <c r="K1885">
        <v>0</v>
      </c>
      <c r="L1885">
        <f t="shared" si="59"/>
        <v>5</v>
      </c>
    </row>
    <row r="1886" spans="1:12">
      <c r="A1886" t="s">
        <v>3674</v>
      </c>
      <c r="B1886" t="s">
        <v>347</v>
      </c>
      <c r="C1886" t="s">
        <v>2826</v>
      </c>
      <c r="D1886" t="s">
        <v>2828</v>
      </c>
      <c r="E1886">
        <v>0</v>
      </c>
      <c r="F1886">
        <v>0</v>
      </c>
      <c r="G1886">
        <v>0</v>
      </c>
      <c r="H1886">
        <f t="shared" si="58"/>
        <v>0</v>
      </c>
      <c r="I1886">
        <v>3</v>
      </c>
      <c r="J1886">
        <v>2</v>
      </c>
      <c r="K1886">
        <v>0</v>
      </c>
      <c r="L1886">
        <f t="shared" si="59"/>
        <v>5</v>
      </c>
    </row>
    <row r="1887" spans="1:12">
      <c r="A1887" t="s">
        <v>3674</v>
      </c>
      <c r="B1887" t="s">
        <v>347</v>
      </c>
      <c r="C1887" t="s">
        <v>2826</v>
      </c>
      <c r="D1887" t="s">
        <v>2829</v>
      </c>
      <c r="E1887">
        <v>0</v>
      </c>
      <c r="F1887">
        <v>0</v>
      </c>
      <c r="G1887">
        <v>0</v>
      </c>
      <c r="H1887">
        <f t="shared" si="58"/>
        <v>0</v>
      </c>
      <c r="I1887">
        <v>2</v>
      </c>
      <c r="J1887">
        <v>1</v>
      </c>
      <c r="K1887">
        <v>0</v>
      </c>
      <c r="L1887">
        <f t="shared" si="59"/>
        <v>3</v>
      </c>
    </row>
    <row r="1888" spans="1:12">
      <c r="A1888" t="s">
        <v>3674</v>
      </c>
      <c r="B1888" t="s">
        <v>347</v>
      </c>
      <c r="C1888" t="s">
        <v>2826</v>
      </c>
      <c r="D1888" t="s">
        <v>2891</v>
      </c>
      <c r="E1888">
        <v>0</v>
      </c>
      <c r="F1888">
        <v>0</v>
      </c>
      <c r="G1888">
        <v>0</v>
      </c>
      <c r="H1888">
        <f t="shared" si="58"/>
        <v>0</v>
      </c>
      <c r="I1888">
        <v>4</v>
      </c>
      <c r="J1888">
        <v>1</v>
      </c>
      <c r="K1888">
        <v>0</v>
      </c>
      <c r="L1888">
        <f t="shared" si="59"/>
        <v>5</v>
      </c>
    </row>
    <row r="1889" spans="1:12">
      <c r="A1889" t="s">
        <v>3674</v>
      </c>
      <c r="B1889" t="s">
        <v>347</v>
      </c>
      <c r="C1889" t="s">
        <v>2826</v>
      </c>
      <c r="D1889" t="s">
        <v>2830</v>
      </c>
      <c r="E1889">
        <v>0</v>
      </c>
      <c r="F1889">
        <v>0</v>
      </c>
      <c r="G1889">
        <v>0</v>
      </c>
      <c r="H1889">
        <f t="shared" si="58"/>
        <v>0</v>
      </c>
      <c r="I1889">
        <v>3</v>
      </c>
      <c r="J1889">
        <v>0</v>
      </c>
      <c r="K1889">
        <v>0</v>
      </c>
      <c r="L1889">
        <f t="shared" si="59"/>
        <v>3</v>
      </c>
    </row>
    <row r="1890" spans="1:12">
      <c r="A1890" t="s">
        <v>3674</v>
      </c>
      <c r="B1890" t="s">
        <v>347</v>
      </c>
      <c r="C1890" t="s">
        <v>2826</v>
      </c>
      <c r="D1890" t="s">
        <v>2831</v>
      </c>
      <c r="E1890">
        <v>0</v>
      </c>
      <c r="F1890">
        <v>0</v>
      </c>
      <c r="G1890">
        <v>0</v>
      </c>
      <c r="H1890">
        <f t="shared" si="58"/>
        <v>0</v>
      </c>
      <c r="I1890">
        <v>2</v>
      </c>
      <c r="J1890">
        <v>1</v>
      </c>
      <c r="K1890">
        <v>0</v>
      </c>
      <c r="L1890">
        <f t="shared" si="59"/>
        <v>3</v>
      </c>
    </row>
    <row r="1891" spans="1:12">
      <c r="A1891" t="s">
        <v>3674</v>
      </c>
      <c r="B1891" t="s">
        <v>347</v>
      </c>
      <c r="C1891" t="s">
        <v>2826</v>
      </c>
      <c r="D1891" t="s">
        <v>2843</v>
      </c>
      <c r="E1891">
        <v>0</v>
      </c>
      <c r="F1891">
        <v>0</v>
      </c>
      <c r="G1891">
        <v>0</v>
      </c>
      <c r="H1891">
        <f t="shared" si="58"/>
        <v>0</v>
      </c>
      <c r="I1891">
        <v>5</v>
      </c>
      <c r="J1891">
        <v>2</v>
      </c>
      <c r="K1891">
        <v>0</v>
      </c>
      <c r="L1891">
        <f t="shared" si="59"/>
        <v>7</v>
      </c>
    </row>
    <row r="1892" spans="1:12">
      <c r="A1892" t="s">
        <v>3674</v>
      </c>
      <c r="B1892" t="s">
        <v>347</v>
      </c>
      <c r="C1892" t="s">
        <v>2826</v>
      </c>
      <c r="D1892" t="s">
        <v>2884</v>
      </c>
      <c r="E1892">
        <v>0</v>
      </c>
      <c r="F1892">
        <v>0</v>
      </c>
      <c r="G1892">
        <v>0</v>
      </c>
      <c r="H1892">
        <f t="shared" si="58"/>
        <v>0</v>
      </c>
      <c r="I1892">
        <v>2</v>
      </c>
      <c r="J1892">
        <v>3</v>
      </c>
      <c r="K1892">
        <v>0</v>
      </c>
      <c r="L1892">
        <f t="shared" si="59"/>
        <v>5</v>
      </c>
    </row>
    <row r="1893" spans="1:12">
      <c r="A1893" t="s">
        <v>3674</v>
      </c>
      <c r="B1893" t="s">
        <v>347</v>
      </c>
      <c r="C1893" t="s">
        <v>2826</v>
      </c>
      <c r="D1893" t="s">
        <v>2975</v>
      </c>
      <c r="E1893">
        <v>0</v>
      </c>
      <c r="F1893">
        <v>0</v>
      </c>
      <c r="G1893">
        <v>0</v>
      </c>
      <c r="H1893">
        <f t="shared" si="58"/>
        <v>0</v>
      </c>
      <c r="I1893">
        <v>4</v>
      </c>
      <c r="J1893">
        <v>0</v>
      </c>
      <c r="K1893">
        <v>0</v>
      </c>
      <c r="L1893">
        <f t="shared" si="59"/>
        <v>4</v>
      </c>
    </row>
    <row r="1894" spans="1:12">
      <c r="A1894" t="s">
        <v>3674</v>
      </c>
      <c r="B1894" t="s">
        <v>347</v>
      </c>
      <c r="C1894" t="s">
        <v>2826</v>
      </c>
      <c r="D1894" t="s">
        <v>2885</v>
      </c>
      <c r="E1894">
        <v>0</v>
      </c>
      <c r="F1894">
        <v>0</v>
      </c>
      <c r="G1894">
        <v>0</v>
      </c>
      <c r="H1894">
        <f t="shared" si="58"/>
        <v>0</v>
      </c>
      <c r="I1894">
        <v>4</v>
      </c>
      <c r="J1894">
        <v>0</v>
      </c>
      <c r="K1894">
        <v>0</v>
      </c>
      <c r="L1894">
        <f t="shared" si="59"/>
        <v>4</v>
      </c>
    </row>
    <row r="1895" spans="1:12">
      <c r="A1895" t="s">
        <v>3674</v>
      </c>
      <c r="B1895" t="s">
        <v>347</v>
      </c>
      <c r="C1895" t="s">
        <v>2826</v>
      </c>
      <c r="D1895" t="s">
        <v>2832</v>
      </c>
      <c r="E1895">
        <v>0</v>
      </c>
      <c r="F1895">
        <v>0</v>
      </c>
      <c r="G1895">
        <v>0</v>
      </c>
      <c r="H1895">
        <f t="shared" si="58"/>
        <v>0</v>
      </c>
      <c r="I1895">
        <v>7</v>
      </c>
      <c r="J1895">
        <v>2</v>
      </c>
      <c r="K1895">
        <v>0</v>
      </c>
      <c r="L1895">
        <f t="shared" si="59"/>
        <v>9</v>
      </c>
    </row>
    <row r="1896" spans="1:12">
      <c r="A1896" t="s">
        <v>3674</v>
      </c>
      <c r="B1896" t="s">
        <v>347</v>
      </c>
      <c r="C1896" t="s">
        <v>2826</v>
      </c>
      <c r="D1896" t="s">
        <v>2833</v>
      </c>
      <c r="E1896">
        <v>0</v>
      </c>
      <c r="F1896">
        <v>0</v>
      </c>
      <c r="G1896">
        <v>0</v>
      </c>
      <c r="H1896">
        <f t="shared" si="58"/>
        <v>0</v>
      </c>
      <c r="I1896">
        <v>0</v>
      </c>
      <c r="J1896">
        <v>1</v>
      </c>
      <c r="K1896">
        <v>0</v>
      </c>
      <c r="L1896">
        <f t="shared" si="59"/>
        <v>1</v>
      </c>
    </row>
    <row r="1897" spans="1:12">
      <c r="A1897" t="s">
        <v>3674</v>
      </c>
      <c r="B1897" t="s">
        <v>347</v>
      </c>
      <c r="C1897" t="s">
        <v>2826</v>
      </c>
      <c r="D1897" t="s">
        <v>2834</v>
      </c>
      <c r="E1897">
        <v>0</v>
      </c>
      <c r="F1897">
        <v>0</v>
      </c>
      <c r="G1897">
        <v>0</v>
      </c>
      <c r="H1897">
        <f t="shared" si="58"/>
        <v>0</v>
      </c>
      <c r="I1897">
        <v>5</v>
      </c>
      <c r="J1897">
        <v>2</v>
      </c>
      <c r="K1897">
        <v>0</v>
      </c>
      <c r="L1897">
        <f t="shared" si="59"/>
        <v>7</v>
      </c>
    </row>
    <row r="1898" spans="1:12">
      <c r="A1898" t="s">
        <v>3674</v>
      </c>
      <c r="B1898" t="s">
        <v>347</v>
      </c>
      <c r="C1898" t="s">
        <v>2826</v>
      </c>
      <c r="D1898" t="s">
        <v>2886</v>
      </c>
      <c r="E1898">
        <v>0</v>
      </c>
      <c r="F1898">
        <v>0</v>
      </c>
      <c r="G1898">
        <v>0</v>
      </c>
      <c r="H1898">
        <f t="shared" si="58"/>
        <v>0</v>
      </c>
      <c r="I1898">
        <v>6</v>
      </c>
      <c r="J1898">
        <v>2</v>
      </c>
      <c r="K1898">
        <v>0</v>
      </c>
      <c r="L1898">
        <f t="shared" si="59"/>
        <v>8</v>
      </c>
    </row>
    <row r="1899" spans="1:12">
      <c r="A1899" t="s">
        <v>3674</v>
      </c>
      <c r="B1899" t="s">
        <v>347</v>
      </c>
      <c r="C1899" t="s">
        <v>2826</v>
      </c>
      <c r="D1899" t="s">
        <v>2844</v>
      </c>
      <c r="E1899">
        <v>0</v>
      </c>
      <c r="F1899">
        <v>0</v>
      </c>
      <c r="G1899">
        <v>0</v>
      </c>
      <c r="H1899">
        <f t="shared" si="58"/>
        <v>0</v>
      </c>
      <c r="I1899">
        <v>0</v>
      </c>
      <c r="J1899">
        <v>2</v>
      </c>
      <c r="K1899">
        <v>0</v>
      </c>
      <c r="L1899">
        <f t="shared" si="59"/>
        <v>2</v>
      </c>
    </row>
    <row r="1900" spans="1:12">
      <c r="A1900" t="s">
        <v>3674</v>
      </c>
      <c r="B1900" t="s">
        <v>347</v>
      </c>
      <c r="C1900" t="s">
        <v>2826</v>
      </c>
      <c r="D1900" t="s">
        <v>2916</v>
      </c>
      <c r="E1900">
        <v>0</v>
      </c>
      <c r="F1900">
        <v>0</v>
      </c>
      <c r="G1900">
        <v>0</v>
      </c>
      <c r="H1900">
        <f t="shared" si="58"/>
        <v>0</v>
      </c>
      <c r="I1900">
        <v>0</v>
      </c>
      <c r="J1900">
        <v>1</v>
      </c>
      <c r="K1900">
        <v>0</v>
      </c>
      <c r="L1900">
        <f t="shared" si="59"/>
        <v>1</v>
      </c>
    </row>
    <row r="1901" spans="1:12">
      <c r="A1901" t="s">
        <v>3674</v>
      </c>
      <c r="B1901" t="s">
        <v>347</v>
      </c>
      <c r="C1901" t="s">
        <v>2826</v>
      </c>
      <c r="D1901" t="s">
        <v>2835</v>
      </c>
      <c r="E1901">
        <v>0</v>
      </c>
      <c r="F1901">
        <v>0</v>
      </c>
      <c r="G1901">
        <v>0</v>
      </c>
      <c r="H1901">
        <f t="shared" si="58"/>
        <v>0</v>
      </c>
      <c r="I1901">
        <v>4</v>
      </c>
      <c r="J1901">
        <v>1</v>
      </c>
      <c r="K1901">
        <v>0</v>
      </c>
      <c r="L1901">
        <f t="shared" si="59"/>
        <v>5</v>
      </c>
    </row>
    <row r="1902" spans="1:12">
      <c r="A1902" t="s">
        <v>3674</v>
      </c>
      <c r="B1902" t="s">
        <v>347</v>
      </c>
      <c r="C1902" t="s">
        <v>2826</v>
      </c>
      <c r="D1902" t="s">
        <v>2917</v>
      </c>
      <c r="E1902">
        <v>0</v>
      </c>
      <c r="F1902">
        <v>0</v>
      </c>
      <c r="G1902">
        <v>0</v>
      </c>
      <c r="H1902">
        <f t="shared" si="58"/>
        <v>0</v>
      </c>
      <c r="I1902">
        <v>2</v>
      </c>
      <c r="J1902">
        <v>0</v>
      </c>
      <c r="K1902">
        <v>0</v>
      </c>
      <c r="L1902">
        <f t="shared" si="59"/>
        <v>2</v>
      </c>
    </row>
    <row r="1903" spans="1:12">
      <c r="A1903" t="s">
        <v>3674</v>
      </c>
      <c r="B1903" t="s">
        <v>347</v>
      </c>
      <c r="C1903" t="s">
        <v>2826</v>
      </c>
      <c r="D1903" t="s">
        <v>2849</v>
      </c>
      <c r="E1903">
        <v>0</v>
      </c>
      <c r="F1903">
        <v>0</v>
      </c>
      <c r="G1903">
        <v>0</v>
      </c>
      <c r="H1903">
        <f t="shared" si="58"/>
        <v>0</v>
      </c>
      <c r="I1903">
        <v>4</v>
      </c>
      <c r="J1903">
        <v>1</v>
      </c>
      <c r="K1903">
        <v>0</v>
      </c>
      <c r="L1903">
        <f t="shared" si="59"/>
        <v>5</v>
      </c>
    </row>
    <row r="1904" spans="1:12">
      <c r="A1904" t="s">
        <v>3674</v>
      </c>
      <c r="B1904" t="s">
        <v>347</v>
      </c>
      <c r="C1904" t="s">
        <v>2826</v>
      </c>
      <c r="D1904" t="s">
        <v>2836</v>
      </c>
      <c r="E1904">
        <v>0</v>
      </c>
      <c r="F1904">
        <v>0</v>
      </c>
      <c r="G1904">
        <v>0</v>
      </c>
      <c r="H1904">
        <f t="shared" si="58"/>
        <v>0</v>
      </c>
      <c r="I1904">
        <v>0</v>
      </c>
      <c r="J1904">
        <v>4</v>
      </c>
      <c r="K1904">
        <v>0</v>
      </c>
      <c r="L1904">
        <f t="shared" si="59"/>
        <v>4</v>
      </c>
    </row>
    <row r="1905" spans="1:12">
      <c r="A1905" t="s">
        <v>3674</v>
      </c>
      <c r="B1905" t="s">
        <v>347</v>
      </c>
      <c r="C1905" t="s">
        <v>2817</v>
      </c>
      <c r="D1905" t="s">
        <v>2887</v>
      </c>
      <c r="E1905">
        <v>0</v>
      </c>
      <c r="F1905">
        <v>0</v>
      </c>
      <c r="G1905">
        <v>0</v>
      </c>
      <c r="H1905">
        <f t="shared" si="58"/>
        <v>0</v>
      </c>
      <c r="I1905">
        <v>3</v>
      </c>
      <c r="J1905">
        <v>0</v>
      </c>
      <c r="K1905">
        <v>0</v>
      </c>
      <c r="L1905">
        <f t="shared" si="59"/>
        <v>3</v>
      </c>
    </row>
    <row r="1906" spans="1:12">
      <c r="A1906" t="s">
        <v>3674</v>
      </c>
      <c r="B1906" t="s">
        <v>347</v>
      </c>
      <c r="C1906" t="s">
        <v>2820</v>
      </c>
      <c r="D1906" t="s">
        <v>2952</v>
      </c>
      <c r="E1906">
        <v>0</v>
      </c>
      <c r="F1906">
        <v>0</v>
      </c>
      <c r="G1906">
        <v>0</v>
      </c>
      <c r="H1906">
        <f t="shared" si="58"/>
        <v>0</v>
      </c>
      <c r="I1906">
        <v>6</v>
      </c>
      <c r="J1906">
        <v>0</v>
      </c>
      <c r="K1906">
        <v>0</v>
      </c>
      <c r="L1906">
        <f t="shared" si="59"/>
        <v>6</v>
      </c>
    </row>
    <row r="1907" spans="1:12">
      <c r="A1907" t="s">
        <v>3674</v>
      </c>
      <c r="B1907" t="s">
        <v>347</v>
      </c>
      <c r="C1907" t="s">
        <v>2820</v>
      </c>
      <c r="D1907" t="s">
        <v>2821</v>
      </c>
      <c r="E1907">
        <v>0</v>
      </c>
      <c r="F1907">
        <v>0</v>
      </c>
      <c r="G1907">
        <v>0</v>
      </c>
      <c r="H1907">
        <f t="shared" si="58"/>
        <v>0</v>
      </c>
      <c r="I1907">
        <v>2</v>
      </c>
      <c r="J1907">
        <v>0</v>
      </c>
      <c r="K1907">
        <v>0</v>
      </c>
      <c r="L1907">
        <f t="shared" si="59"/>
        <v>2</v>
      </c>
    </row>
    <row r="1908" spans="1:12">
      <c r="A1908" t="s">
        <v>3674</v>
      </c>
      <c r="B1908" t="s">
        <v>347</v>
      </c>
      <c r="C1908" t="s">
        <v>2820</v>
      </c>
      <c r="D1908" t="s">
        <v>2949</v>
      </c>
      <c r="E1908">
        <v>0</v>
      </c>
      <c r="F1908">
        <v>0</v>
      </c>
      <c r="G1908">
        <v>0</v>
      </c>
      <c r="H1908">
        <f t="shared" si="58"/>
        <v>0</v>
      </c>
      <c r="I1908">
        <v>0</v>
      </c>
      <c r="J1908">
        <v>2</v>
      </c>
      <c r="K1908">
        <v>0</v>
      </c>
      <c r="L1908">
        <f t="shared" si="59"/>
        <v>2</v>
      </c>
    </row>
    <row r="1909" spans="1:12">
      <c r="A1909" t="s">
        <v>3683</v>
      </c>
      <c r="B1909" t="s">
        <v>3684</v>
      </c>
      <c r="C1909" t="s">
        <v>2805</v>
      </c>
      <c r="D1909" t="s">
        <v>2806</v>
      </c>
      <c r="E1909">
        <v>4</v>
      </c>
      <c r="F1909">
        <v>0</v>
      </c>
      <c r="G1909">
        <v>0</v>
      </c>
      <c r="H1909">
        <f t="shared" si="58"/>
        <v>4</v>
      </c>
      <c r="I1909">
        <v>0</v>
      </c>
      <c r="J1909">
        <v>0</v>
      </c>
      <c r="K1909">
        <v>0</v>
      </c>
      <c r="L1909">
        <f t="shared" si="59"/>
        <v>0</v>
      </c>
    </row>
    <row r="1910" spans="1:12">
      <c r="A1910" t="s">
        <v>3683</v>
      </c>
      <c r="B1910" t="s">
        <v>3684</v>
      </c>
      <c r="C1910" t="s">
        <v>2805</v>
      </c>
      <c r="D1910" t="s">
        <v>449</v>
      </c>
      <c r="E1910">
        <v>12</v>
      </c>
      <c r="F1910">
        <v>0</v>
      </c>
      <c r="G1910">
        <v>0</v>
      </c>
      <c r="H1910">
        <f t="shared" si="58"/>
        <v>12</v>
      </c>
      <c r="I1910">
        <v>0</v>
      </c>
      <c r="J1910">
        <v>0</v>
      </c>
      <c r="K1910">
        <v>0</v>
      </c>
      <c r="L1910">
        <f t="shared" si="59"/>
        <v>0</v>
      </c>
    </row>
    <row r="1911" spans="1:12">
      <c r="A1911" t="s">
        <v>3683</v>
      </c>
      <c r="B1911" t="s">
        <v>3684</v>
      </c>
      <c r="C1911" t="s">
        <v>2805</v>
      </c>
      <c r="D1911" t="s">
        <v>2807</v>
      </c>
      <c r="E1911">
        <v>1</v>
      </c>
      <c r="F1911">
        <v>0</v>
      </c>
      <c r="G1911">
        <v>0</v>
      </c>
      <c r="H1911">
        <f t="shared" si="58"/>
        <v>1</v>
      </c>
      <c r="I1911">
        <v>0</v>
      </c>
      <c r="J1911">
        <v>0</v>
      </c>
      <c r="K1911">
        <v>0</v>
      </c>
      <c r="L1911">
        <f t="shared" si="59"/>
        <v>0</v>
      </c>
    </row>
    <row r="1912" spans="1:12">
      <c r="A1912" t="s">
        <v>3683</v>
      </c>
      <c r="B1912" t="s">
        <v>3684</v>
      </c>
      <c r="C1912" t="s">
        <v>2810</v>
      </c>
      <c r="D1912" t="s">
        <v>2815</v>
      </c>
      <c r="E1912">
        <v>10</v>
      </c>
      <c r="F1912">
        <v>0</v>
      </c>
      <c r="G1912">
        <v>0</v>
      </c>
      <c r="H1912">
        <f t="shared" si="58"/>
        <v>10</v>
      </c>
      <c r="I1912">
        <v>0</v>
      </c>
      <c r="J1912">
        <v>0</v>
      </c>
      <c r="K1912">
        <v>0</v>
      </c>
      <c r="L1912">
        <f t="shared" si="59"/>
        <v>0</v>
      </c>
    </row>
    <row r="1913" spans="1:12">
      <c r="A1913" t="s">
        <v>3683</v>
      </c>
      <c r="B1913" t="s">
        <v>3684</v>
      </c>
      <c r="C1913" t="s">
        <v>2826</v>
      </c>
      <c r="D1913" t="s">
        <v>2858</v>
      </c>
      <c r="E1913">
        <v>3</v>
      </c>
      <c r="F1913">
        <v>0</v>
      </c>
      <c r="G1913">
        <v>0</v>
      </c>
      <c r="H1913">
        <f t="shared" si="58"/>
        <v>3</v>
      </c>
      <c r="I1913">
        <v>0</v>
      </c>
      <c r="J1913">
        <v>0</v>
      </c>
      <c r="K1913">
        <v>0</v>
      </c>
      <c r="L1913">
        <f t="shared" si="59"/>
        <v>0</v>
      </c>
    </row>
    <row r="1914" spans="1:12">
      <c r="A1914" t="s">
        <v>3683</v>
      </c>
      <c r="B1914" t="s">
        <v>3684</v>
      </c>
      <c r="C1914" t="s">
        <v>2826</v>
      </c>
      <c r="D1914" t="s">
        <v>2843</v>
      </c>
      <c r="E1914">
        <v>1</v>
      </c>
      <c r="F1914">
        <v>0</v>
      </c>
      <c r="G1914">
        <v>0</v>
      </c>
      <c r="H1914">
        <f t="shared" si="58"/>
        <v>1</v>
      </c>
      <c r="I1914">
        <v>0</v>
      </c>
      <c r="J1914">
        <v>0</v>
      </c>
      <c r="K1914">
        <v>0</v>
      </c>
      <c r="L1914">
        <f t="shared" si="59"/>
        <v>0</v>
      </c>
    </row>
    <row r="1915" spans="1:12">
      <c r="A1915" t="s">
        <v>3683</v>
      </c>
      <c r="B1915" t="s">
        <v>3684</v>
      </c>
      <c r="C1915" t="s">
        <v>2820</v>
      </c>
      <c r="D1915" t="s">
        <v>2821</v>
      </c>
      <c r="E1915">
        <v>1</v>
      </c>
      <c r="F1915">
        <v>0</v>
      </c>
      <c r="G1915">
        <v>0</v>
      </c>
      <c r="H1915">
        <f t="shared" si="58"/>
        <v>1</v>
      </c>
      <c r="I1915">
        <v>0</v>
      </c>
      <c r="J1915">
        <v>0</v>
      </c>
      <c r="K1915">
        <v>0</v>
      </c>
      <c r="L1915">
        <f t="shared" si="59"/>
        <v>0</v>
      </c>
    </row>
    <row r="1916" spans="1:12">
      <c r="A1916" t="s">
        <v>3693</v>
      </c>
      <c r="B1916" t="s">
        <v>3694</v>
      </c>
      <c r="C1916" t="s">
        <v>2805</v>
      </c>
      <c r="D1916" t="s">
        <v>2806</v>
      </c>
      <c r="E1916">
        <v>12</v>
      </c>
      <c r="F1916">
        <v>0</v>
      </c>
      <c r="G1916">
        <v>0</v>
      </c>
      <c r="H1916">
        <f t="shared" si="58"/>
        <v>12</v>
      </c>
      <c r="I1916">
        <v>0</v>
      </c>
      <c r="J1916">
        <v>0</v>
      </c>
      <c r="K1916">
        <v>0</v>
      </c>
      <c r="L1916">
        <f t="shared" si="59"/>
        <v>0</v>
      </c>
    </row>
    <row r="1917" spans="1:12">
      <c r="A1917" t="s">
        <v>3693</v>
      </c>
      <c r="B1917" t="s">
        <v>3694</v>
      </c>
      <c r="C1917" t="s">
        <v>2805</v>
      </c>
      <c r="D1917" t="s">
        <v>449</v>
      </c>
      <c r="E1917">
        <v>53</v>
      </c>
      <c r="F1917">
        <v>0</v>
      </c>
      <c r="G1917">
        <v>0</v>
      </c>
      <c r="H1917">
        <f t="shared" si="58"/>
        <v>53</v>
      </c>
      <c r="I1917">
        <v>0</v>
      </c>
      <c r="J1917">
        <v>0</v>
      </c>
      <c r="K1917">
        <v>0</v>
      </c>
      <c r="L1917">
        <f t="shared" si="59"/>
        <v>0</v>
      </c>
    </row>
    <row r="1918" spans="1:12">
      <c r="A1918" t="s">
        <v>3693</v>
      </c>
      <c r="B1918" t="s">
        <v>3694</v>
      </c>
      <c r="C1918" t="s">
        <v>2805</v>
      </c>
      <c r="D1918" t="s">
        <v>2807</v>
      </c>
      <c r="E1918">
        <v>6</v>
      </c>
      <c r="F1918">
        <v>0</v>
      </c>
      <c r="G1918">
        <v>0</v>
      </c>
      <c r="H1918">
        <f t="shared" si="58"/>
        <v>6</v>
      </c>
      <c r="I1918">
        <v>0</v>
      </c>
      <c r="J1918">
        <v>0</v>
      </c>
      <c r="K1918">
        <v>0</v>
      </c>
      <c r="L1918">
        <f t="shared" si="59"/>
        <v>0</v>
      </c>
    </row>
    <row r="1919" spans="1:12">
      <c r="A1919" t="s">
        <v>3693</v>
      </c>
      <c r="B1919" t="s">
        <v>3694</v>
      </c>
      <c r="C1919" t="s">
        <v>2810</v>
      </c>
      <c r="D1919" t="s">
        <v>2811</v>
      </c>
      <c r="E1919">
        <v>25</v>
      </c>
      <c r="F1919">
        <v>0</v>
      </c>
      <c r="G1919">
        <v>0</v>
      </c>
      <c r="H1919">
        <f t="shared" si="58"/>
        <v>25</v>
      </c>
      <c r="I1919">
        <v>0</v>
      </c>
      <c r="J1919">
        <v>0</v>
      </c>
      <c r="K1919">
        <v>0</v>
      </c>
      <c r="L1919">
        <f t="shared" si="59"/>
        <v>0</v>
      </c>
    </row>
    <row r="1920" spans="1:12">
      <c r="A1920" t="s">
        <v>3693</v>
      </c>
      <c r="B1920" t="s">
        <v>3694</v>
      </c>
      <c r="C1920" t="s">
        <v>2816</v>
      </c>
      <c r="D1920" t="s">
        <v>1897</v>
      </c>
      <c r="E1920">
        <v>18</v>
      </c>
      <c r="F1920">
        <v>0</v>
      </c>
      <c r="G1920">
        <v>0</v>
      </c>
      <c r="H1920">
        <f t="shared" si="58"/>
        <v>18</v>
      </c>
      <c r="I1920">
        <v>1</v>
      </c>
      <c r="J1920">
        <v>0</v>
      </c>
      <c r="K1920">
        <v>0</v>
      </c>
      <c r="L1920">
        <f t="shared" si="59"/>
        <v>1</v>
      </c>
    </row>
    <row r="1921" spans="1:12">
      <c r="A1921" t="s">
        <v>3693</v>
      </c>
      <c r="B1921" t="s">
        <v>3694</v>
      </c>
      <c r="C1921" t="s">
        <v>2817</v>
      </c>
      <c r="D1921" t="s">
        <v>2819</v>
      </c>
      <c r="E1921">
        <v>13</v>
      </c>
      <c r="F1921">
        <v>0</v>
      </c>
      <c r="G1921">
        <v>0</v>
      </c>
      <c r="H1921">
        <f t="shared" si="58"/>
        <v>13</v>
      </c>
      <c r="I1921">
        <v>0</v>
      </c>
      <c r="J1921">
        <v>0</v>
      </c>
      <c r="K1921">
        <v>0</v>
      </c>
      <c r="L1921">
        <f t="shared" si="59"/>
        <v>0</v>
      </c>
    </row>
    <row r="1922" spans="1:12">
      <c r="A1922" t="s">
        <v>3695</v>
      </c>
      <c r="B1922" t="s">
        <v>3696</v>
      </c>
      <c r="C1922" t="s">
        <v>2805</v>
      </c>
      <c r="D1922" t="s">
        <v>2806</v>
      </c>
      <c r="E1922">
        <v>4</v>
      </c>
      <c r="F1922">
        <v>0</v>
      </c>
      <c r="G1922">
        <v>0</v>
      </c>
      <c r="H1922">
        <f t="shared" si="58"/>
        <v>4</v>
      </c>
      <c r="I1922">
        <v>0</v>
      </c>
      <c r="J1922">
        <v>0</v>
      </c>
      <c r="K1922">
        <v>0</v>
      </c>
      <c r="L1922">
        <f t="shared" si="59"/>
        <v>0</v>
      </c>
    </row>
    <row r="1923" spans="1:12">
      <c r="A1923" t="s">
        <v>3695</v>
      </c>
      <c r="B1923" t="s">
        <v>3696</v>
      </c>
      <c r="C1923" t="s">
        <v>2805</v>
      </c>
      <c r="D1923" t="s">
        <v>449</v>
      </c>
      <c r="E1923">
        <v>1</v>
      </c>
      <c r="F1923">
        <v>0</v>
      </c>
      <c r="G1923">
        <v>0</v>
      </c>
      <c r="H1923">
        <f t="shared" si="58"/>
        <v>1</v>
      </c>
      <c r="I1923">
        <v>1</v>
      </c>
      <c r="J1923">
        <v>0</v>
      </c>
      <c r="K1923">
        <v>0</v>
      </c>
      <c r="L1923">
        <f t="shared" si="59"/>
        <v>1</v>
      </c>
    </row>
    <row r="1924" spans="1:12">
      <c r="A1924" t="s">
        <v>3695</v>
      </c>
      <c r="B1924" t="s">
        <v>3696</v>
      </c>
      <c r="C1924" t="s">
        <v>2810</v>
      </c>
      <c r="D1924" t="s">
        <v>2813</v>
      </c>
      <c r="E1924">
        <v>0</v>
      </c>
      <c r="F1924">
        <v>0</v>
      </c>
      <c r="G1924">
        <v>0</v>
      </c>
      <c r="H1924">
        <f t="shared" ref="H1924:H1987" si="60">SUM(E1924:G1924)</f>
        <v>0</v>
      </c>
      <c r="I1924">
        <v>1</v>
      </c>
      <c r="J1924">
        <v>0</v>
      </c>
      <c r="K1924">
        <v>0</v>
      </c>
      <c r="L1924">
        <f t="shared" ref="L1924:L1987" si="61">SUM(I1924:K1924)</f>
        <v>1</v>
      </c>
    </row>
    <row r="1925" spans="1:12">
      <c r="A1925" t="s">
        <v>3695</v>
      </c>
      <c r="B1925" t="s">
        <v>3696</v>
      </c>
      <c r="C1925" t="s">
        <v>2810</v>
      </c>
      <c r="D1925" t="s">
        <v>2847</v>
      </c>
      <c r="E1925">
        <v>51</v>
      </c>
      <c r="F1925">
        <v>0</v>
      </c>
      <c r="G1925">
        <v>0</v>
      </c>
      <c r="H1925">
        <f t="shared" si="60"/>
        <v>51</v>
      </c>
      <c r="I1925">
        <v>0</v>
      </c>
      <c r="J1925">
        <v>0</v>
      </c>
      <c r="K1925">
        <v>0</v>
      </c>
      <c r="L1925">
        <f t="shared" si="61"/>
        <v>0</v>
      </c>
    </row>
    <row r="1926" spans="1:12">
      <c r="A1926" t="s">
        <v>3695</v>
      </c>
      <c r="B1926" t="s">
        <v>3696</v>
      </c>
      <c r="C1926" t="s">
        <v>2826</v>
      </c>
      <c r="D1926" t="s">
        <v>2836</v>
      </c>
      <c r="E1926">
        <v>0</v>
      </c>
      <c r="F1926">
        <v>0</v>
      </c>
      <c r="G1926">
        <v>0</v>
      </c>
      <c r="H1926">
        <f t="shared" si="60"/>
        <v>0</v>
      </c>
      <c r="I1926">
        <v>8</v>
      </c>
      <c r="J1926">
        <v>0</v>
      </c>
      <c r="K1926">
        <v>0</v>
      </c>
      <c r="L1926">
        <f t="shared" si="61"/>
        <v>8</v>
      </c>
    </row>
    <row r="1927" spans="1:12">
      <c r="A1927" t="s">
        <v>3695</v>
      </c>
      <c r="B1927" t="s">
        <v>3696</v>
      </c>
      <c r="C1927" t="s">
        <v>2817</v>
      </c>
      <c r="D1927" t="s">
        <v>2837</v>
      </c>
      <c r="E1927">
        <v>0</v>
      </c>
      <c r="F1927">
        <v>0</v>
      </c>
      <c r="G1927">
        <v>0</v>
      </c>
      <c r="H1927">
        <f t="shared" si="60"/>
        <v>0</v>
      </c>
      <c r="I1927">
        <v>0</v>
      </c>
      <c r="J1927">
        <v>8</v>
      </c>
      <c r="K1927">
        <v>0</v>
      </c>
      <c r="L1927">
        <f t="shared" si="61"/>
        <v>8</v>
      </c>
    </row>
    <row r="1928" spans="1:12">
      <c r="A1928" t="s">
        <v>3707</v>
      </c>
      <c r="B1928" t="s">
        <v>1349</v>
      </c>
      <c r="C1928" t="s">
        <v>2805</v>
      </c>
      <c r="D1928" t="s">
        <v>2806</v>
      </c>
      <c r="E1928">
        <v>17</v>
      </c>
      <c r="F1928">
        <v>0</v>
      </c>
      <c r="G1928">
        <v>0</v>
      </c>
      <c r="H1928">
        <f t="shared" si="60"/>
        <v>17</v>
      </c>
      <c r="I1928">
        <v>0</v>
      </c>
      <c r="J1928">
        <v>0</v>
      </c>
      <c r="K1928">
        <v>0</v>
      </c>
      <c r="L1928">
        <f t="shared" si="61"/>
        <v>0</v>
      </c>
    </row>
    <row r="1929" spans="1:12">
      <c r="A1929" t="s">
        <v>3707</v>
      </c>
      <c r="B1929" t="s">
        <v>1349</v>
      </c>
      <c r="C1929" t="s">
        <v>2805</v>
      </c>
      <c r="D1929" t="s">
        <v>449</v>
      </c>
      <c r="E1929">
        <v>99</v>
      </c>
      <c r="F1929">
        <v>0</v>
      </c>
      <c r="G1929">
        <v>0</v>
      </c>
      <c r="H1929">
        <f t="shared" si="60"/>
        <v>99</v>
      </c>
      <c r="I1929">
        <v>0</v>
      </c>
      <c r="J1929">
        <v>0</v>
      </c>
      <c r="K1929">
        <v>0</v>
      </c>
      <c r="L1929">
        <f t="shared" si="61"/>
        <v>0</v>
      </c>
    </row>
    <row r="1930" spans="1:12">
      <c r="A1930" t="s">
        <v>3707</v>
      </c>
      <c r="B1930" t="s">
        <v>1349</v>
      </c>
      <c r="C1930" t="s">
        <v>2805</v>
      </c>
      <c r="D1930" t="s">
        <v>2807</v>
      </c>
      <c r="E1930">
        <v>30</v>
      </c>
      <c r="F1930">
        <v>0</v>
      </c>
      <c r="G1930">
        <v>0</v>
      </c>
      <c r="H1930">
        <f t="shared" si="60"/>
        <v>30</v>
      </c>
      <c r="I1930">
        <v>4</v>
      </c>
      <c r="J1930">
        <v>0</v>
      </c>
      <c r="K1930">
        <v>0</v>
      </c>
      <c r="L1930">
        <f t="shared" si="61"/>
        <v>4</v>
      </c>
    </row>
    <row r="1931" spans="1:12">
      <c r="A1931" t="s">
        <v>3707</v>
      </c>
      <c r="B1931" t="s">
        <v>1349</v>
      </c>
      <c r="C1931" t="s">
        <v>2805</v>
      </c>
      <c r="D1931" t="s">
        <v>2809</v>
      </c>
      <c r="E1931">
        <v>5</v>
      </c>
      <c r="F1931">
        <v>0</v>
      </c>
      <c r="G1931">
        <v>0</v>
      </c>
      <c r="H1931">
        <f t="shared" si="60"/>
        <v>5</v>
      </c>
      <c r="I1931">
        <v>0</v>
      </c>
      <c r="J1931">
        <v>0</v>
      </c>
      <c r="K1931">
        <v>0</v>
      </c>
      <c r="L1931">
        <f t="shared" si="61"/>
        <v>0</v>
      </c>
    </row>
    <row r="1932" spans="1:12">
      <c r="A1932" t="s">
        <v>3707</v>
      </c>
      <c r="B1932" t="s">
        <v>1349</v>
      </c>
      <c r="C1932" t="s">
        <v>2810</v>
      </c>
      <c r="D1932" t="s">
        <v>2811</v>
      </c>
      <c r="E1932">
        <v>26</v>
      </c>
      <c r="F1932">
        <v>0</v>
      </c>
      <c r="G1932">
        <v>0</v>
      </c>
      <c r="H1932">
        <f t="shared" si="60"/>
        <v>26</v>
      </c>
      <c r="I1932">
        <v>4</v>
      </c>
      <c r="J1932">
        <v>0</v>
      </c>
      <c r="K1932">
        <v>0</v>
      </c>
      <c r="L1932">
        <f t="shared" si="61"/>
        <v>4</v>
      </c>
    </row>
    <row r="1933" spans="1:12">
      <c r="A1933" t="s">
        <v>3707</v>
      </c>
      <c r="B1933" t="s">
        <v>1349</v>
      </c>
      <c r="C1933" t="s">
        <v>2810</v>
      </c>
      <c r="D1933" t="s">
        <v>2812</v>
      </c>
      <c r="E1933">
        <v>38</v>
      </c>
      <c r="F1933">
        <v>0</v>
      </c>
      <c r="G1933">
        <v>0</v>
      </c>
      <c r="H1933">
        <f t="shared" si="60"/>
        <v>38</v>
      </c>
      <c r="I1933">
        <v>0</v>
      </c>
      <c r="J1933">
        <v>0</v>
      </c>
      <c r="K1933">
        <v>0</v>
      </c>
      <c r="L1933">
        <f t="shared" si="61"/>
        <v>0</v>
      </c>
    </row>
    <row r="1934" spans="1:12">
      <c r="A1934" t="s">
        <v>3707</v>
      </c>
      <c r="B1934" t="s">
        <v>1349</v>
      </c>
      <c r="C1934" t="s">
        <v>2810</v>
      </c>
      <c r="D1934" t="s">
        <v>2813</v>
      </c>
      <c r="E1934">
        <v>22</v>
      </c>
      <c r="F1934">
        <v>0</v>
      </c>
      <c r="G1934">
        <v>0</v>
      </c>
      <c r="H1934">
        <f t="shared" si="60"/>
        <v>22</v>
      </c>
      <c r="I1934">
        <v>5</v>
      </c>
      <c r="J1934">
        <v>0</v>
      </c>
      <c r="K1934">
        <v>0</v>
      </c>
      <c r="L1934">
        <f t="shared" si="61"/>
        <v>5</v>
      </c>
    </row>
    <row r="1935" spans="1:12">
      <c r="A1935" t="s">
        <v>3716</v>
      </c>
      <c r="B1935" t="s">
        <v>3717</v>
      </c>
      <c r="C1935" t="s">
        <v>2805</v>
      </c>
      <c r="D1935" t="s">
        <v>449</v>
      </c>
      <c r="E1935">
        <v>21</v>
      </c>
      <c r="F1935">
        <v>0</v>
      </c>
      <c r="G1935">
        <v>0</v>
      </c>
      <c r="H1935">
        <f t="shared" si="60"/>
        <v>21</v>
      </c>
      <c r="I1935">
        <v>0</v>
      </c>
      <c r="J1935">
        <v>0</v>
      </c>
      <c r="K1935">
        <v>0</v>
      </c>
      <c r="L1935">
        <f t="shared" si="61"/>
        <v>0</v>
      </c>
    </row>
    <row r="1936" spans="1:12">
      <c r="A1936" t="s">
        <v>3716</v>
      </c>
      <c r="B1936" t="s">
        <v>3717</v>
      </c>
      <c r="C1936" t="s">
        <v>2810</v>
      </c>
      <c r="D1936" t="s">
        <v>2811</v>
      </c>
      <c r="E1936">
        <v>2</v>
      </c>
      <c r="F1936">
        <v>0</v>
      </c>
      <c r="G1936">
        <v>0</v>
      </c>
      <c r="H1936">
        <f t="shared" si="60"/>
        <v>2</v>
      </c>
      <c r="I1936">
        <v>0</v>
      </c>
      <c r="J1936">
        <v>0</v>
      </c>
      <c r="K1936">
        <v>0</v>
      </c>
      <c r="L1936">
        <f t="shared" si="61"/>
        <v>0</v>
      </c>
    </row>
    <row r="1937" spans="1:12">
      <c r="A1937" t="s">
        <v>3716</v>
      </c>
      <c r="B1937" t="s">
        <v>3717</v>
      </c>
      <c r="C1937" t="s">
        <v>2810</v>
      </c>
      <c r="D1937" t="s">
        <v>2813</v>
      </c>
      <c r="E1937">
        <v>3</v>
      </c>
      <c r="F1937">
        <v>0</v>
      </c>
      <c r="G1937">
        <v>0</v>
      </c>
      <c r="H1937">
        <f t="shared" si="60"/>
        <v>3</v>
      </c>
      <c r="I1937">
        <v>0</v>
      </c>
      <c r="J1937">
        <v>0</v>
      </c>
      <c r="K1937">
        <v>0</v>
      </c>
      <c r="L1937">
        <f t="shared" si="61"/>
        <v>0</v>
      </c>
    </row>
    <row r="1938" spans="1:12">
      <c r="A1938" t="s">
        <v>3716</v>
      </c>
      <c r="B1938" t="s">
        <v>3717</v>
      </c>
      <c r="C1938" t="s">
        <v>2810</v>
      </c>
      <c r="D1938" t="s">
        <v>2847</v>
      </c>
      <c r="E1938">
        <v>25</v>
      </c>
      <c r="F1938">
        <v>0</v>
      </c>
      <c r="G1938">
        <v>0</v>
      </c>
      <c r="H1938">
        <f t="shared" si="60"/>
        <v>25</v>
      </c>
      <c r="I1938">
        <v>0</v>
      </c>
      <c r="J1938">
        <v>0</v>
      </c>
      <c r="K1938">
        <v>0</v>
      </c>
      <c r="L1938">
        <f t="shared" si="61"/>
        <v>0</v>
      </c>
    </row>
    <row r="1939" spans="1:12">
      <c r="A1939" t="s">
        <v>3716</v>
      </c>
      <c r="B1939" t="s">
        <v>3717</v>
      </c>
      <c r="C1939" t="s">
        <v>2826</v>
      </c>
      <c r="D1939" t="s">
        <v>2830</v>
      </c>
      <c r="E1939">
        <v>0</v>
      </c>
      <c r="F1939">
        <v>0</v>
      </c>
      <c r="G1939">
        <v>0</v>
      </c>
      <c r="H1939">
        <f t="shared" si="60"/>
        <v>0</v>
      </c>
      <c r="I1939">
        <v>1</v>
      </c>
      <c r="J1939">
        <v>0</v>
      </c>
      <c r="K1939">
        <v>0</v>
      </c>
      <c r="L1939">
        <f t="shared" si="61"/>
        <v>1</v>
      </c>
    </row>
    <row r="1940" spans="1:12">
      <c r="A1940" t="s">
        <v>3720</v>
      </c>
      <c r="B1940" t="s">
        <v>1352</v>
      </c>
      <c r="C1940" t="s">
        <v>2805</v>
      </c>
      <c r="D1940" t="s">
        <v>2806</v>
      </c>
      <c r="E1940">
        <v>33</v>
      </c>
      <c r="F1940">
        <v>0</v>
      </c>
      <c r="G1940">
        <v>0</v>
      </c>
      <c r="H1940">
        <f t="shared" si="60"/>
        <v>33</v>
      </c>
      <c r="I1940">
        <v>0</v>
      </c>
      <c r="J1940">
        <v>0</v>
      </c>
      <c r="K1940">
        <v>0</v>
      </c>
      <c r="L1940">
        <f t="shared" si="61"/>
        <v>0</v>
      </c>
    </row>
    <row r="1941" spans="1:12">
      <c r="A1941" t="s">
        <v>3720</v>
      </c>
      <c r="B1941" t="s">
        <v>1352</v>
      </c>
      <c r="C1941" t="s">
        <v>2805</v>
      </c>
      <c r="D1941" t="s">
        <v>449</v>
      </c>
      <c r="E1941">
        <v>54</v>
      </c>
      <c r="F1941">
        <v>0</v>
      </c>
      <c r="G1941">
        <v>0</v>
      </c>
      <c r="H1941">
        <f t="shared" si="60"/>
        <v>54</v>
      </c>
      <c r="I1941">
        <v>0</v>
      </c>
      <c r="J1941">
        <v>0</v>
      </c>
      <c r="K1941">
        <v>0</v>
      </c>
      <c r="L1941">
        <f t="shared" si="61"/>
        <v>0</v>
      </c>
    </row>
    <row r="1942" spans="1:12">
      <c r="A1942" t="s">
        <v>3720</v>
      </c>
      <c r="B1942" t="s">
        <v>1352</v>
      </c>
      <c r="C1942" t="s">
        <v>2810</v>
      </c>
      <c r="D1942" t="s">
        <v>2813</v>
      </c>
      <c r="E1942">
        <v>7</v>
      </c>
      <c r="F1942">
        <v>0</v>
      </c>
      <c r="G1942">
        <v>0</v>
      </c>
      <c r="H1942">
        <f t="shared" si="60"/>
        <v>7</v>
      </c>
      <c r="I1942">
        <v>0</v>
      </c>
      <c r="J1942">
        <v>0</v>
      </c>
      <c r="K1942">
        <v>0</v>
      </c>
      <c r="L1942">
        <f t="shared" si="61"/>
        <v>0</v>
      </c>
    </row>
    <row r="1943" spans="1:12">
      <c r="A1943" t="s">
        <v>3720</v>
      </c>
      <c r="B1943" t="s">
        <v>1352</v>
      </c>
      <c r="C1943" t="s">
        <v>2816</v>
      </c>
      <c r="D1943" t="s">
        <v>1897</v>
      </c>
      <c r="E1943">
        <v>22</v>
      </c>
      <c r="F1943">
        <v>0</v>
      </c>
      <c r="G1943">
        <v>0</v>
      </c>
      <c r="H1943">
        <f t="shared" si="60"/>
        <v>22</v>
      </c>
      <c r="I1943">
        <v>0</v>
      </c>
      <c r="J1943">
        <v>0</v>
      </c>
      <c r="K1943">
        <v>0</v>
      </c>
      <c r="L1943">
        <f t="shared" si="61"/>
        <v>0</v>
      </c>
    </row>
    <row r="1944" spans="1:12">
      <c r="A1944" t="s">
        <v>3720</v>
      </c>
      <c r="B1944" t="s">
        <v>1352</v>
      </c>
      <c r="C1944" t="s">
        <v>2826</v>
      </c>
      <c r="D1944" t="s">
        <v>2834</v>
      </c>
      <c r="E1944">
        <v>1</v>
      </c>
      <c r="F1944">
        <v>0</v>
      </c>
      <c r="G1944">
        <v>0</v>
      </c>
      <c r="H1944">
        <f t="shared" si="60"/>
        <v>1</v>
      </c>
      <c r="I1944">
        <v>0</v>
      </c>
      <c r="J1944">
        <v>0</v>
      </c>
      <c r="K1944">
        <v>0</v>
      </c>
      <c r="L1944">
        <f t="shared" si="61"/>
        <v>0</v>
      </c>
    </row>
    <row r="1945" spans="1:12">
      <c r="A1945" t="s">
        <v>3720</v>
      </c>
      <c r="B1945" t="s">
        <v>1352</v>
      </c>
      <c r="C1945" t="s">
        <v>2817</v>
      </c>
      <c r="D1945" t="s">
        <v>2887</v>
      </c>
      <c r="E1945">
        <v>1</v>
      </c>
      <c r="F1945">
        <v>0</v>
      </c>
      <c r="G1945">
        <v>0</v>
      </c>
      <c r="H1945">
        <f t="shared" si="60"/>
        <v>1</v>
      </c>
      <c r="I1945">
        <v>0</v>
      </c>
      <c r="J1945">
        <v>0</v>
      </c>
      <c r="K1945">
        <v>0</v>
      </c>
      <c r="L1945">
        <f t="shared" si="61"/>
        <v>0</v>
      </c>
    </row>
    <row r="1946" spans="1:12">
      <c r="A1946" t="s">
        <v>3720</v>
      </c>
      <c r="B1946" t="s">
        <v>1352</v>
      </c>
      <c r="C1946" t="s">
        <v>2820</v>
      </c>
      <c r="D1946" t="s">
        <v>2821</v>
      </c>
      <c r="E1946">
        <v>1</v>
      </c>
      <c r="F1946">
        <v>0</v>
      </c>
      <c r="G1946">
        <v>0</v>
      </c>
      <c r="H1946">
        <f t="shared" si="60"/>
        <v>1</v>
      </c>
      <c r="I1946">
        <v>1</v>
      </c>
      <c r="J1946">
        <v>0</v>
      </c>
      <c r="K1946">
        <v>0</v>
      </c>
      <c r="L1946">
        <f t="shared" si="61"/>
        <v>1</v>
      </c>
    </row>
    <row r="1947" spans="1:12">
      <c r="A1947" t="s">
        <v>3735</v>
      </c>
      <c r="B1947" t="s">
        <v>3736</v>
      </c>
      <c r="C1947" t="s">
        <v>2805</v>
      </c>
      <c r="D1947" t="s">
        <v>2806</v>
      </c>
      <c r="E1947">
        <v>0</v>
      </c>
      <c r="F1947">
        <v>0</v>
      </c>
      <c r="G1947">
        <v>0</v>
      </c>
      <c r="H1947">
        <f t="shared" si="60"/>
        <v>0</v>
      </c>
      <c r="I1947">
        <v>5</v>
      </c>
      <c r="J1947">
        <v>0</v>
      </c>
      <c r="K1947">
        <v>0</v>
      </c>
      <c r="L1947">
        <f t="shared" si="61"/>
        <v>5</v>
      </c>
    </row>
    <row r="1948" spans="1:12">
      <c r="A1948" t="s">
        <v>3735</v>
      </c>
      <c r="B1948" t="s">
        <v>3736</v>
      </c>
      <c r="C1948" t="s">
        <v>2805</v>
      </c>
      <c r="D1948" t="s">
        <v>449</v>
      </c>
      <c r="E1948">
        <v>0</v>
      </c>
      <c r="F1948">
        <v>0</v>
      </c>
      <c r="G1948">
        <v>0</v>
      </c>
      <c r="H1948">
        <f t="shared" si="60"/>
        <v>0</v>
      </c>
      <c r="I1948">
        <v>5</v>
      </c>
      <c r="J1948">
        <v>0</v>
      </c>
      <c r="K1948">
        <v>0</v>
      </c>
      <c r="L1948">
        <f t="shared" si="61"/>
        <v>5</v>
      </c>
    </row>
    <row r="1949" spans="1:12">
      <c r="A1949" t="s">
        <v>3735</v>
      </c>
      <c r="B1949" t="s">
        <v>3736</v>
      </c>
      <c r="C1949" t="s">
        <v>2805</v>
      </c>
      <c r="D1949" t="s">
        <v>2807</v>
      </c>
      <c r="E1949">
        <v>3</v>
      </c>
      <c r="F1949">
        <v>0</v>
      </c>
      <c r="G1949">
        <v>0</v>
      </c>
      <c r="H1949">
        <f t="shared" si="60"/>
        <v>3</v>
      </c>
      <c r="I1949">
        <v>6</v>
      </c>
      <c r="J1949">
        <v>0</v>
      </c>
      <c r="K1949">
        <v>0</v>
      </c>
      <c r="L1949">
        <f t="shared" si="61"/>
        <v>6</v>
      </c>
    </row>
    <row r="1950" spans="1:12">
      <c r="A1950" t="s">
        <v>3735</v>
      </c>
      <c r="B1950" t="s">
        <v>3736</v>
      </c>
      <c r="C1950" t="s">
        <v>2810</v>
      </c>
      <c r="D1950" t="s">
        <v>2811</v>
      </c>
      <c r="E1950">
        <v>1</v>
      </c>
      <c r="F1950">
        <v>0</v>
      </c>
      <c r="G1950">
        <v>0</v>
      </c>
      <c r="H1950">
        <f t="shared" si="60"/>
        <v>1</v>
      </c>
      <c r="I1950">
        <v>1</v>
      </c>
      <c r="J1950">
        <v>0</v>
      </c>
      <c r="K1950">
        <v>0</v>
      </c>
      <c r="L1950">
        <f t="shared" si="61"/>
        <v>1</v>
      </c>
    </row>
    <row r="1951" spans="1:12">
      <c r="A1951" t="s">
        <v>3735</v>
      </c>
      <c r="B1951" t="s">
        <v>3736</v>
      </c>
      <c r="C1951" t="s">
        <v>2810</v>
      </c>
      <c r="D1951" t="s">
        <v>2812</v>
      </c>
      <c r="E1951">
        <v>0</v>
      </c>
      <c r="F1951">
        <v>0</v>
      </c>
      <c r="G1951">
        <v>0</v>
      </c>
      <c r="H1951">
        <f t="shared" si="60"/>
        <v>0</v>
      </c>
      <c r="I1951">
        <v>2</v>
      </c>
      <c r="J1951">
        <v>0</v>
      </c>
      <c r="K1951">
        <v>0</v>
      </c>
      <c r="L1951">
        <f t="shared" si="61"/>
        <v>2</v>
      </c>
    </row>
    <row r="1952" spans="1:12">
      <c r="A1952" t="s">
        <v>3735</v>
      </c>
      <c r="B1952" t="s">
        <v>3736</v>
      </c>
      <c r="C1952" t="s">
        <v>2810</v>
      </c>
      <c r="D1952" t="s">
        <v>2814</v>
      </c>
      <c r="E1952">
        <v>3</v>
      </c>
      <c r="F1952">
        <v>0</v>
      </c>
      <c r="G1952">
        <v>0</v>
      </c>
      <c r="H1952">
        <f t="shared" si="60"/>
        <v>3</v>
      </c>
      <c r="I1952">
        <v>0</v>
      </c>
      <c r="J1952">
        <v>0</v>
      </c>
      <c r="K1952">
        <v>0</v>
      </c>
      <c r="L1952">
        <f t="shared" si="61"/>
        <v>0</v>
      </c>
    </row>
    <row r="1953" spans="1:12">
      <c r="A1953" t="s">
        <v>3735</v>
      </c>
      <c r="B1953" t="s">
        <v>3736</v>
      </c>
      <c r="C1953" t="s">
        <v>2826</v>
      </c>
      <c r="D1953" t="s">
        <v>2871</v>
      </c>
      <c r="E1953">
        <v>0</v>
      </c>
      <c r="F1953">
        <v>0</v>
      </c>
      <c r="G1953">
        <v>0</v>
      </c>
      <c r="H1953">
        <f t="shared" si="60"/>
        <v>0</v>
      </c>
      <c r="I1953">
        <v>13</v>
      </c>
      <c r="J1953">
        <v>10</v>
      </c>
      <c r="K1953">
        <v>0</v>
      </c>
      <c r="L1953">
        <f t="shared" si="61"/>
        <v>23</v>
      </c>
    </row>
    <row r="1954" spans="1:12">
      <c r="A1954" t="s">
        <v>3735</v>
      </c>
      <c r="B1954" t="s">
        <v>3736</v>
      </c>
      <c r="C1954" t="s">
        <v>2826</v>
      </c>
      <c r="D1954" t="s">
        <v>2905</v>
      </c>
      <c r="E1954">
        <v>0</v>
      </c>
      <c r="F1954">
        <v>0</v>
      </c>
      <c r="G1954">
        <v>0</v>
      </c>
      <c r="H1954">
        <f t="shared" si="60"/>
        <v>0</v>
      </c>
      <c r="I1954">
        <v>10</v>
      </c>
      <c r="J1954">
        <v>0</v>
      </c>
      <c r="K1954">
        <v>0</v>
      </c>
      <c r="L1954">
        <f t="shared" si="61"/>
        <v>10</v>
      </c>
    </row>
    <row r="1955" spans="1:12">
      <c r="A1955" t="s">
        <v>3735</v>
      </c>
      <c r="B1955" t="s">
        <v>3736</v>
      </c>
      <c r="C1955" t="s">
        <v>2826</v>
      </c>
      <c r="D1955" t="s">
        <v>2827</v>
      </c>
      <c r="E1955">
        <v>0</v>
      </c>
      <c r="F1955">
        <v>0</v>
      </c>
      <c r="G1955">
        <v>0</v>
      </c>
      <c r="H1955">
        <f t="shared" si="60"/>
        <v>0</v>
      </c>
      <c r="I1955">
        <v>18</v>
      </c>
      <c r="J1955">
        <v>15</v>
      </c>
      <c r="K1955">
        <v>0</v>
      </c>
      <c r="L1955">
        <f t="shared" si="61"/>
        <v>33</v>
      </c>
    </row>
    <row r="1956" spans="1:12">
      <c r="A1956" t="s">
        <v>3735</v>
      </c>
      <c r="B1956" t="s">
        <v>3736</v>
      </c>
      <c r="C1956" t="s">
        <v>2826</v>
      </c>
      <c r="D1956" t="s">
        <v>2828</v>
      </c>
      <c r="E1956">
        <v>0</v>
      </c>
      <c r="F1956">
        <v>0</v>
      </c>
      <c r="G1956">
        <v>0</v>
      </c>
      <c r="H1956">
        <f t="shared" si="60"/>
        <v>0</v>
      </c>
      <c r="I1956">
        <v>5</v>
      </c>
      <c r="J1956">
        <v>0</v>
      </c>
      <c r="K1956">
        <v>0</v>
      </c>
      <c r="L1956">
        <f t="shared" si="61"/>
        <v>5</v>
      </c>
    </row>
    <row r="1957" spans="1:12">
      <c r="A1957" t="s">
        <v>3735</v>
      </c>
      <c r="B1957" t="s">
        <v>3736</v>
      </c>
      <c r="C1957" t="s">
        <v>2826</v>
      </c>
      <c r="D1957" t="s">
        <v>2829</v>
      </c>
      <c r="E1957">
        <v>0</v>
      </c>
      <c r="F1957">
        <v>0</v>
      </c>
      <c r="G1957">
        <v>0</v>
      </c>
      <c r="H1957">
        <f t="shared" si="60"/>
        <v>0</v>
      </c>
      <c r="I1957">
        <v>5</v>
      </c>
      <c r="J1957">
        <v>0</v>
      </c>
      <c r="K1957">
        <v>0</v>
      </c>
      <c r="L1957">
        <f t="shared" si="61"/>
        <v>5</v>
      </c>
    </row>
    <row r="1958" spans="1:12">
      <c r="A1958" t="s">
        <v>3735</v>
      </c>
      <c r="B1958" t="s">
        <v>3736</v>
      </c>
      <c r="C1958" t="s">
        <v>2826</v>
      </c>
      <c r="D1958" t="s">
        <v>2891</v>
      </c>
      <c r="E1958">
        <v>0</v>
      </c>
      <c r="F1958">
        <v>0</v>
      </c>
      <c r="G1958">
        <v>0</v>
      </c>
      <c r="H1958">
        <f t="shared" si="60"/>
        <v>0</v>
      </c>
      <c r="I1958">
        <v>4</v>
      </c>
      <c r="J1958">
        <v>0</v>
      </c>
      <c r="K1958">
        <v>0</v>
      </c>
      <c r="L1958">
        <f t="shared" si="61"/>
        <v>4</v>
      </c>
    </row>
    <row r="1959" spans="1:12">
      <c r="A1959" t="s">
        <v>3735</v>
      </c>
      <c r="B1959" t="s">
        <v>3736</v>
      </c>
      <c r="C1959" t="s">
        <v>2826</v>
      </c>
      <c r="D1959" t="s">
        <v>2830</v>
      </c>
      <c r="E1959">
        <v>0</v>
      </c>
      <c r="F1959">
        <v>0</v>
      </c>
      <c r="G1959">
        <v>0</v>
      </c>
      <c r="H1959">
        <f t="shared" si="60"/>
        <v>0</v>
      </c>
      <c r="I1959">
        <v>2</v>
      </c>
      <c r="J1959">
        <v>0</v>
      </c>
      <c r="K1959">
        <v>0</v>
      </c>
      <c r="L1959">
        <f t="shared" si="61"/>
        <v>2</v>
      </c>
    </row>
    <row r="1960" spans="1:12">
      <c r="A1960" t="s">
        <v>3735</v>
      </c>
      <c r="B1960" t="s">
        <v>3736</v>
      </c>
      <c r="C1960" t="s">
        <v>2826</v>
      </c>
      <c r="D1960" t="s">
        <v>2843</v>
      </c>
      <c r="E1960">
        <v>0</v>
      </c>
      <c r="F1960">
        <v>0</v>
      </c>
      <c r="G1960">
        <v>0</v>
      </c>
      <c r="H1960">
        <f t="shared" si="60"/>
        <v>0</v>
      </c>
      <c r="I1960">
        <v>5</v>
      </c>
      <c r="J1960">
        <v>0</v>
      </c>
      <c r="K1960">
        <v>0</v>
      </c>
      <c r="L1960">
        <f t="shared" si="61"/>
        <v>5</v>
      </c>
    </row>
    <row r="1961" spans="1:12">
      <c r="A1961" t="s">
        <v>3735</v>
      </c>
      <c r="B1961" t="s">
        <v>3736</v>
      </c>
      <c r="C1961" t="s">
        <v>2826</v>
      </c>
      <c r="D1961" t="s">
        <v>2885</v>
      </c>
      <c r="E1961">
        <v>0</v>
      </c>
      <c r="F1961">
        <v>0</v>
      </c>
      <c r="G1961">
        <v>0</v>
      </c>
      <c r="H1961">
        <f t="shared" si="60"/>
        <v>0</v>
      </c>
      <c r="I1961">
        <v>70</v>
      </c>
      <c r="J1961">
        <v>0</v>
      </c>
      <c r="K1961">
        <v>0</v>
      </c>
      <c r="L1961">
        <f t="shared" si="61"/>
        <v>70</v>
      </c>
    </row>
    <row r="1962" spans="1:12">
      <c r="A1962" t="s">
        <v>3735</v>
      </c>
      <c r="B1962" t="s">
        <v>3736</v>
      </c>
      <c r="C1962" t="s">
        <v>2826</v>
      </c>
      <c r="D1962" t="s">
        <v>2833</v>
      </c>
      <c r="E1962">
        <v>0</v>
      </c>
      <c r="F1962">
        <v>0</v>
      </c>
      <c r="G1962">
        <v>0</v>
      </c>
      <c r="H1962">
        <f t="shared" si="60"/>
        <v>0</v>
      </c>
      <c r="I1962">
        <v>5</v>
      </c>
      <c r="J1962">
        <v>0</v>
      </c>
      <c r="K1962">
        <v>0</v>
      </c>
      <c r="L1962">
        <f t="shared" si="61"/>
        <v>5</v>
      </c>
    </row>
    <row r="1963" spans="1:12">
      <c r="A1963" t="s">
        <v>3735</v>
      </c>
      <c r="B1963" t="s">
        <v>3736</v>
      </c>
      <c r="C1963" t="s">
        <v>2826</v>
      </c>
      <c r="D1963" t="s">
        <v>2834</v>
      </c>
      <c r="E1963">
        <v>0</v>
      </c>
      <c r="F1963">
        <v>0</v>
      </c>
      <c r="G1963">
        <v>0</v>
      </c>
      <c r="H1963">
        <f t="shared" si="60"/>
        <v>0</v>
      </c>
      <c r="I1963">
        <v>12</v>
      </c>
      <c r="J1963">
        <v>0</v>
      </c>
      <c r="K1963">
        <v>0</v>
      </c>
      <c r="L1963">
        <f t="shared" si="61"/>
        <v>12</v>
      </c>
    </row>
    <row r="1964" spans="1:12">
      <c r="A1964" t="s">
        <v>3735</v>
      </c>
      <c r="B1964" t="s">
        <v>3736</v>
      </c>
      <c r="C1964" t="s">
        <v>2826</v>
      </c>
      <c r="D1964" t="s">
        <v>2886</v>
      </c>
      <c r="E1964">
        <v>0</v>
      </c>
      <c r="F1964">
        <v>0</v>
      </c>
      <c r="G1964">
        <v>0</v>
      </c>
      <c r="H1964">
        <f t="shared" si="60"/>
        <v>0</v>
      </c>
      <c r="I1964">
        <v>9</v>
      </c>
      <c r="J1964">
        <v>0</v>
      </c>
      <c r="K1964">
        <v>0</v>
      </c>
      <c r="L1964">
        <f t="shared" si="61"/>
        <v>9</v>
      </c>
    </row>
    <row r="1965" spans="1:12">
      <c r="A1965" t="s">
        <v>3735</v>
      </c>
      <c r="B1965" t="s">
        <v>3736</v>
      </c>
      <c r="C1965" t="s">
        <v>2826</v>
      </c>
      <c r="D1965" t="s">
        <v>2835</v>
      </c>
      <c r="E1965">
        <v>0</v>
      </c>
      <c r="F1965">
        <v>0</v>
      </c>
      <c r="G1965">
        <v>0</v>
      </c>
      <c r="H1965">
        <f t="shared" si="60"/>
        <v>0</v>
      </c>
      <c r="I1965">
        <v>1</v>
      </c>
      <c r="J1965">
        <v>0</v>
      </c>
      <c r="K1965">
        <v>0</v>
      </c>
      <c r="L1965">
        <f t="shared" si="61"/>
        <v>1</v>
      </c>
    </row>
    <row r="1966" spans="1:12">
      <c r="A1966" t="s">
        <v>3735</v>
      </c>
      <c r="B1966" t="s">
        <v>3736</v>
      </c>
      <c r="C1966" t="s">
        <v>2826</v>
      </c>
      <c r="D1966" t="s">
        <v>2849</v>
      </c>
      <c r="E1966">
        <v>0</v>
      </c>
      <c r="F1966">
        <v>0</v>
      </c>
      <c r="G1966">
        <v>0</v>
      </c>
      <c r="H1966">
        <f t="shared" si="60"/>
        <v>0</v>
      </c>
      <c r="I1966">
        <v>24</v>
      </c>
      <c r="J1966">
        <v>14</v>
      </c>
      <c r="K1966">
        <v>0</v>
      </c>
      <c r="L1966">
        <f t="shared" si="61"/>
        <v>38</v>
      </c>
    </row>
    <row r="1967" spans="1:12">
      <c r="A1967" t="s">
        <v>3735</v>
      </c>
      <c r="B1967" t="s">
        <v>3736</v>
      </c>
      <c r="C1967" t="s">
        <v>2826</v>
      </c>
      <c r="D1967" t="s">
        <v>2906</v>
      </c>
      <c r="E1967">
        <v>0</v>
      </c>
      <c r="F1967">
        <v>0</v>
      </c>
      <c r="G1967">
        <v>0</v>
      </c>
      <c r="H1967">
        <f t="shared" si="60"/>
        <v>0</v>
      </c>
      <c r="I1967">
        <v>5</v>
      </c>
      <c r="J1967">
        <v>0</v>
      </c>
      <c r="K1967">
        <v>0</v>
      </c>
      <c r="L1967">
        <f t="shared" si="61"/>
        <v>5</v>
      </c>
    </row>
    <row r="1968" spans="1:12">
      <c r="A1968" t="s">
        <v>3735</v>
      </c>
      <c r="B1968" t="s">
        <v>3736</v>
      </c>
      <c r="C1968" t="s">
        <v>2826</v>
      </c>
      <c r="D1968" t="s">
        <v>2836</v>
      </c>
      <c r="E1968">
        <v>0</v>
      </c>
      <c r="F1968">
        <v>0</v>
      </c>
      <c r="G1968">
        <v>0</v>
      </c>
      <c r="H1968">
        <f t="shared" si="60"/>
        <v>0</v>
      </c>
      <c r="I1968">
        <v>5</v>
      </c>
      <c r="J1968">
        <v>0</v>
      </c>
      <c r="K1968">
        <v>0</v>
      </c>
      <c r="L1968">
        <f t="shared" si="61"/>
        <v>5</v>
      </c>
    </row>
    <row r="1969" spans="1:12">
      <c r="A1969" t="s">
        <v>3735</v>
      </c>
      <c r="B1969" t="s">
        <v>3736</v>
      </c>
      <c r="C1969" t="s">
        <v>2826</v>
      </c>
      <c r="D1969" t="s">
        <v>2908</v>
      </c>
      <c r="E1969">
        <v>0</v>
      </c>
      <c r="F1969">
        <v>0</v>
      </c>
      <c r="G1969">
        <v>0</v>
      </c>
      <c r="H1969">
        <f t="shared" si="60"/>
        <v>0</v>
      </c>
      <c r="I1969">
        <v>1</v>
      </c>
      <c r="J1969">
        <v>0</v>
      </c>
      <c r="K1969">
        <v>0</v>
      </c>
      <c r="L1969">
        <f t="shared" si="61"/>
        <v>1</v>
      </c>
    </row>
    <row r="1970" spans="1:12">
      <c r="A1970" t="s">
        <v>3739</v>
      </c>
      <c r="B1970" t="s">
        <v>1363</v>
      </c>
      <c r="C1970" t="s">
        <v>2805</v>
      </c>
      <c r="D1970" t="s">
        <v>2806</v>
      </c>
      <c r="E1970">
        <v>84</v>
      </c>
      <c r="F1970">
        <v>0</v>
      </c>
      <c r="G1970">
        <v>0</v>
      </c>
      <c r="H1970">
        <f t="shared" si="60"/>
        <v>84</v>
      </c>
      <c r="I1970">
        <v>0</v>
      </c>
      <c r="J1970">
        <v>0</v>
      </c>
      <c r="K1970">
        <v>0</v>
      </c>
      <c r="L1970">
        <f t="shared" si="61"/>
        <v>0</v>
      </c>
    </row>
    <row r="1971" spans="1:12">
      <c r="A1971" t="s">
        <v>3739</v>
      </c>
      <c r="B1971" t="s">
        <v>1363</v>
      </c>
      <c r="C1971" t="s">
        <v>2805</v>
      </c>
      <c r="D1971" t="s">
        <v>449</v>
      </c>
      <c r="E1971">
        <v>116</v>
      </c>
      <c r="F1971">
        <v>0</v>
      </c>
      <c r="G1971">
        <v>0</v>
      </c>
      <c r="H1971">
        <f t="shared" si="60"/>
        <v>116</v>
      </c>
      <c r="I1971">
        <v>0</v>
      </c>
      <c r="J1971">
        <v>0</v>
      </c>
      <c r="K1971">
        <v>0</v>
      </c>
      <c r="L1971">
        <f t="shared" si="61"/>
        <v>0</v>
      </c>
    </row>
    <row r="1972" spans="1:12">
      <c r="A1972" t="s">
        <v>3739</v>
      </c>
      <c r="B1972" t="s">
        <v>1363</v>
      </c>
      <c r="C1972" t="s">
        <v>2805</v>
      </c>
      <c r="D1972" t="s">
        <v>2807</v>
      </c>
      <c r="E1972">
        <v>8</v>
      </c>
      <c r="F1972">
        <v>0</v>
      </c>
      <c r="G1972">
        <v>0</v>
      </c>
      <c r="H1972">
        <f t="shared" si="60"/>
        <v>8</v>
      </c>
      <c r="I1972">
        <v>0</v>
      </c>
      <c r="J1972">
        <v>0</v>
      </c>
      <c r="K1972">
        <v>0</v>
      </c>
      <c r="L1972">
        <f t="shared" si="61"/>
        <v>0</v>
      </c>
    </row>
    <row r="1973" spans="1:12">
      <c r="A1973" t="s">
        <v>3739</v>
      </c>
      <c r="B1973" t="s">
        <v>1363</v>
      </c>
      <c r="C1973" t="s">
        <v>2805</v>
      </c>
      <c r="D1973" t="s">
        <v>2937</v>
      </c>
      <c r="E1973">
        <v>0</v>
      </c>
      <c r="F1973">
        <v>2</v>
      </c>
      <c r="G1973">
        <v>0</v>
      </c>
      <c r="H1973">
        <f t="shared" si="60"/>
        <v>2</v>
      </c>
      <c r="I1973">
        <v>0</v>
      </c>
      <c r="J1973">
        <v>0</v>
      </c>
      <c r="K1973">
        <v>0</v>
      </c>
      <c r="L1973">
        <f t="shared" si="61"/>
        <v>0</v>
      </c>
    </row>
    <row r="1974" spans="1:12">
      <c r="A1974" t="s">
        <v>3739</v>
      </c>
      <c r="B1974" t="s">
        <v>1363</v>
      </c>
      <c r="C1974" t="s">
        <v>2810</v>
      </c>
      <c r="D1974" t="s">
        <v>2811</v>
      </c>
      <c r="E1974">
        <v>24</v>
      </c>
      <c r="F1974">
        <v>0</v>
      </c>
      <c r="G1974">
        <v>0</v>
      </c>
      <c r="H1974">
        <f t="shared" si="60"/>
        <v>24</v>
      </c>
      <c r="I1974">
        <v>0</v>
      </c>
      <c r="J1974">
        <v>0</v>
      </c>
      <c r="K1974">
        <v>0</v>
      </c>
      <c r="L1974">
        <f t="shared" si="61"/>
        <v>0</v>
      </c>
    </row>
    <row r="1975" spans="1:12">
      <c r="A1975" t="s">
        <v>3739</v>
      </c>
      <c r="B1975" t="s">
        <v>1363</v>
      </c>
      <c r="C1975" t="s">
        <v>2810</v>
      </c>
      <c r="D1975" t="s">
        <v>2823</v>
      </c>
      <c r="E1975">
        <v>4</v>
      </c>
      <c r="F1975">
        <v>0</v>
      </c>
      <c r="G1975">
        <v>0</v>
      </c>
      <c r="H1975">
        <f t="shared" si="60"/>
        <v>4</v>
      </c>
      <c r="I1975">
        <v>0</v>
      </c>
      <c r="J1975">
        <v>0</v>
      </c>
      <c r="K1975">
        <v>0</v>
      </c>
      <c r="L1975">
        <f t="shared" si="61"/>
        <v>0</v>
      </c>
    </row>
    <row r="1976" spans="1:12">
      <c r="A1976" t="s">
        <v>3739</v>
      </c>
      <c r="B1976" t="s">
        <v>1363</v>
      </c>
      <c r="C1976" t="s">
        <v>2810</v>
      </c>
      <c r="D1976" t="s">
        <v>2812</v>
      </c>
      <c r="E1976">
        <v>54</v>
      </c>
      <c r="F1976">
        <v>0</v>
      </c>
      <c r="G1976">
        <v>0</v>
      </c>
      <c r="H1976">
        <f t="shared" si="60"/>
        <v>54</v>
      </c>
      <c r="I1976">
        <v>0</v>
      </c>
      <c r="J1976">
        <v>0</v>
      </c>
      <c r="K1976">
        <v>0</v>
      </c>
      <c r="L1976">
        <f t="shared" si="61"/>
        <v>0</v>
      </c>
    </row>
    <row r="1977" spans="1:12">
      <c r="A1977" t="s">
        <v>3739</v>
      </c>
      <c r="B1977" t="s">
        <v>1363</v>
      </c>
      <c r="C1977" t="s">
        <v>2810</v>
      </c>
      <c r="D1977" t="s">
        <v>2813</v>
      </c>
      <c r="E1977">
        <v>6</v>
      </c>
      <c r="F1977">
        <v>0</v>
      </c>
      <c r="G1977">
        <v>0</v>
      </c>
      <c r="H1977">
        <f t="shared" si="60"/>
        <v>6</v>
      </c>
      <c r="I1977">
        <v>0</v>
      </c>
      <c r="J1977">
        <v>0</v>
      </c>
      <c r="K1977">
        <v>0</v>
      </c>
      <c r="L1977">
        <f t="shared" si="61"/>
        <v>0</v>
      </c>
    </row>
    <row r="1978" spans="1:12">
      <c r="A1978" t="s">
        <v>3739</v>
      </c>
      <c r="B1978" t="s">
        <v>1363</v>
      </c>
      <c r="C1978" t="s">
        <v>2810</v>
      </c>
      <c r="D1978" t="s">
        <v>2847</v>
      </c>
      <c r="E1978">
        <v>59</v>
      </c>
      <c r="F1978">
        <v>0</v>
      </c>
      <c r="G1978">
        <v>0</v>
      </c>
      <c r="H1978">
        <f t="shared" si="60"/>
        <v>59</v>
      </c>
      <c r="I1978">
        <v>0</v>
      </c>
      <c r="J1978">
        <v>0</v>
      </c>
      <c r="K1978">
        <v>0</v>
      </c>
      <c r="L1978">
        <f t="shared" si="61"/>
        <v>0</v>
      </c>
    </row>
    <row r="1979" spans="1:12">
      <c r="A1979" t="s">
        <v>3739</v>
      </c>
      <c r="B1979" t="s">
        <v>1363</v>
      </c>
      <c r="C1979" t="s">
        <v>2810</v>
      </c>
      <c r="D1979" t="s">
        <v>2815</v>
      </c>
      <c r="E1979">
        <v>3</v>
      </c>
      <c r="F1979">
        <v>1</v>
      </c>
      <c r="G1979">
        <v>0</v>
      </c>
      <c r="H1979">
        <f t="shared" si="60"/>
        <v>4</v>
      </c>
      <c r="I1979">
        <v>0</v>
      </c>
      <c r="J1979">
        <v>0</v>
      </c>
      <c r="K1979">
        <v>0</v>
      </c>
      <c r="L1979">
        <f t="shared" si="61"/>
        <v>0</v>
      </c>
    </row>
    <row r="1980" spans="1:12">
      <c r="A1980" t="s">
        <v>3739</v>
      </c>
      <c r="B1980" t="s">
        <v>1363</v>
      </c>
      <c r="C1980" t="s">
        <v>2816</v>
      </c>
      <c r="D1980" t="s">
        <v>1896</v>
      </c>
      <c r="E1980">
        <v>1</v>
      </c>
      <c r="F1980">
        <v>0</v>
      </c>
      <c r="G1980">
        <v>0</v>
      </c>
      <c r="H1980">
        <f t="shared" si="60"/>
        <v>1</v>
      </c>
      <c r="I1980">
        <v>0</v>
      </c>
      <c r="J1980">
        <v>0</v>
      </c>
      <c r="K1980">
        <v>0</v>
      </c>
      <c r="L1980">
        <f t="shared" si="61"/>
        <v>0</v>
      </c>
    </row>
    <row r="1981" spans="1:12">
      <c r="A1981" t="s">
        <v>3739</v>
      </c>
      <c r="B1981" t="s">
        <v>1363</v>
      </c>
      <c r="C1981" t="s">
        <v>2816</v>
      </c>
      <c r="D1981" t="s">
        <v>1897</v>
      </c>
      <c r="E1981">
        <v>33</v>
      </c>
      <c r="F1981">
        <v>0</v>
      </c>
      <c r="G1981">
        <v>0</v>
      </c>
      <c r="H1981">
        <f t="shared" si="60"/>
        <v>33</v>
      </c>
      <c r="I1981">
        <v>0</v>
      </c>
      <c r="J1981">
        <v>0</v>
      </c>
      <c r="K1981">
        <v>0</v>
      </c>
      <c r="L1981">
        <f t="shared" si="61"/>
        <v>0</v>
      </c>
    </row>
    <row r="1982" spans="1:12">
      <c r="A1982" t="s">
        <v>3739</v>
      </c>
      <c r="B1982" t="s">
        <v>1363</v>
      </c>
      <c r="C1982" t="s">
        <v>2826</v>
      </c>
      <c r="D1982" t="s">
        <v>2871</v>
      </c>
      <c r="E1982">
        <v>0</v>
      </c>
      <c r="F1982">
        <v>0</v>
      </c>
      <c r="G1982">
        <v>0</v>
      </c>
      <c r="H1982">
        <f t="shared" si="60"/>
        <v>0</v>
      </c>
      <c r="I1982">
        <v>1</v>
      </c>
      <c r="J1982">
        <v>0</v>
      </c>
      <c r="K1982">
        <v>0</v>
      </c>
      <c r="L1982">
        <f t="shared" si="61"/>
        <v>1</v>
      </c>
    </row>
    <row r="1983" spans="1:12">
      <c r="A1983" t="s">
        <v>3739</v>
      </c>
      <c r="B1983" t="s">
        <v>1363</v>
      </c>
      <c r="C1983" t="s">
        <v>2826</v>
      </c>
      <c r="D1983" t="s">
        <v>2849</v>
      </c>
      <c r="E1983">
        <v>0</v>
      </c>
      <c r="F1983">
        <v>0</v>
      </c>
      <c r="G1983">
        <v>0</v>
      </c>
      <c r="H1983">
        <f t="shared" si="60"/>
        <v>0</v>
      </c>
      <c r="I1983">
        <v>1</v>
      </c>
      <c r="J1983">
        <v>0</v>
      </c>
      <c r="K1983">
        <v>0</v>
      </c>
      <c r="L1983">
        <f t="shared" si="61"/>
        <v>1</v>
      </c>
    </row>
    <row r="1984" spans="1:12">
      <c r="A1984" t="s">
        <v>3739</v>
      </c>
      <c r="B1984" t="s">
        <v>1363</v>
      </c>
      <c r="C1984" t="s">
        <v>2817</v>
      </c>
      <c r="D1984" t="s">
        <v>2818</v>
      </c>
      <c r="E1984">
        <v>13</v>
      </c>
      <c r="F1984">
        <v>0</v>
      </c>
      <c r="G1984">
        <v>0</v>
      </c>
      <c r="H1984">
        <f t="shared" si="60"/>
        <v>13</v>
      </c>
      <c r="I1984">
        <v>0</v>
      </c>
      <c r="J1984">
        <v>0</v>
      </c>
      <c r="K1984">
        <v>0</v>
      </c>
      <c r="L1984">
        <f t="shared" si="61"/>
        <v>0</v>
      </c>
    </row>
    <row r="1985" spans="1:12">
      <c r="A1985" t="s">
        <v>3740</v>
      </c>
      <c r="B1985" t="s">
        <v>3741</v>
      </c>
      <c r="C1985" t="s">
        <v>2805</v>
      </c>
      <c r="D1985" t="s">
        <v>2806</v>
      </c>
      <c r="E1985">
        <v>578</v>
      </c>
      <c r="F1985">
        <v>0</v>
      </c>
      <c r="G1985">
        <v>0</v>
      </c>
      <c r="H1985">
        <f t="shared" si="60"/>
        <v>578</v>
      </c>
      <c r="I1985">
        <v>0</v>
      </c>
      <c r="J1985">
        <v>0</v>
      </c>
      <c r="K1985">
        <v>0</v>
      </c>
      <c r="L1985">
        <f t="shared" si="61"/>
        <v>0</v>
      </c>
    </row>
    <row r="1986" spans="1:12">
      <c r="A1986" t="s">
        <v>3740</v>
      </c>
      <c r="B1986" t="s">
        <v>3741</v>
      </c>
      <c r="C1986" t="s">
        <v>2805</v>
      </c>
      <c r="D1986" t="s">
        <v>449</v>
      </c>
      <c r="E1986">
        <v>753</v>
      </c>
      <c r="F1986">
        <v>0</v>
      </c>
      <c r="G1986">
        <v>0</v>
      </c>
      <c r="H1986">
        <f t="shared" si="60"/>
        <v>753</v>
      </c>
      <c r="I1986">
        <v>0</v>
      </c>
      <c r="J1986">
        <v>0</v>
      </c>
      <c r="K1986">
        <v>0</v>
      </c>
      <c r="L1986">
        <f t="shared" si="61"/>
        <v>0</v>
      </c>
    </row>
    <row r="1987" spans="1:12">
      <c r="A1987" t="s">
        <v>3740</v>
      </c>
      <c r="B1987" t="s">
        <v>3741</v>
      </c>
      <c r="C1987" t="s">
        <v>2805</v>
      </c>
      <c r="D1987" t="s">
        <v>2807</v>
      </c>
      <c r="E1987">
        <v>5</v>
      </c>
      <c r="F1987">
        <v>0</v>
      </c>
      <c r="G1987">
        <v>0</v>
      </c>
      <c r="H1987">
        <f t="shared" si="60"/>
        <v>5</v>
      </c>
      <c r="I1987">
        <v>0</v>
      </c>
      <c r="J1987">
        <v>0</v>
      </c>
      <c r="K1987">
        <v>0</v>
      </c>
      <c r="L1987">
        <f t="shared" si="61"/>
        <v>0</v>
      </c>
    </row>
    <row r="1988" spans="1:12">
      <c r="A1988" t="s">
        <v>3740</v>
      </c>
      <c r="B1988" t="s">
        <v>3741</v>
      </c>
      <c r="C1988" t="s">
        <v>2805</v>
      </c>
      <c r="D1988" t="s">
        <v>2846</v>
      </c>
      <c r="E1988">
        <v>7</v>
      </c>
      <c r="F1988">
        <v>0</v>
      </c>
      <c r="G1988">
        <v>0</v>
      </c>
      <c r="H1988">
        <f t="shared" ref="H1988:H2051" si="62">SUM(E1988:G1988)</f>
        <v>7</v>
      </c>
      <c r="I1988">
        <v>0</v>
      </c>
      <c r="J1988">
        <v>0</v>
      </c>
      <c r="K1988">
        <v>0</v>
      </c>
      <c r="L1988">
        <f t="shared" ref="L1988:L2051" si="63">SUM(I1988:K1988)</f>
        <v>0</v>
      </c>
    </row>
    <row r="1989" spans="1:12">
      <c r="A1989" t="s">
        <v>3740</v>
      </c>
      <c r="B1989" t="s">
        <v>3741</v>
      </c>
      <c r="C1989" t="s">
        <v>2805</v>
      </c>
      <c r="D1989" t="s">
        <v>2863</v>
      </c>
      <c r="E1989">
        <v>4</v>
      </c>
      <c r="F1989">
        <v>0</v>
      </c>
      <c r="G1989">
        <v>0</v>
      </c>
      <c r="H1989">
        <f t="shared" si="62"/>
        <v>4</v>
      </c>
      <c r="I1989">
        <v>0</v>
      </c>
      <c r="J1989">
        <v>0</v>
      </c>
      <c r="K1989">
        <v>0</v>
      </c>
      <c r="L1989">
        <f t="shared" si="63"/>
        <v>0</v>
      </c>
    </row>
    <row r="1990" spans="1:12">
      <c r="A1990" t="s">
        <v>3740</v>
      </c>
      <c r="B1990" t="s">
        <v>3741</v>
      </c>
      <c r="C1990" t="s">
        <v>2810</v>
      </c>
      <c r="D1990" t="s">
        <v>2811</v>
      </c>
      <c r="E1990">
        <v>21</v>
      </c>
      <c r="F1990">
        <v>0</v>
      </c>
      <c r="G1990">
        <v>0</v>
      </c>
      <c r="H1990">
        <f t="shared" si="62"/>
        <v>21</v>
      </c>
      <c r="I1990">
        <v>0</v>
      </c>
      <c r="J1990">
        <v>0</v>
      </c>
      <c r="K1990">
        <v>0</v>
      </c>
      <c r="L1990">
        <f t="shared" si="63"/>
        <v>0</v>
      </c>
    </row>
    <row r="1991" spans="1:12">
      <c r="A1991" t="s">
        <v>3740</v>
      </c>
      <c r="B1991" t="s">
        <v>3741</v>
      </c>
      <c r="C1991" t="s">
        <v>2810</v>
      </c>
      <c r="D1991" t="s">
        <v>2813</v>
      </c>
      <c r="E1991">
        <v>3</v>
      </c>
      <c r="F1991">
        <v>0</v>
      </c>
      <c r="G1991">
        <v>0</v>
      </c>
      <c r="H1991">
        <f t="shared" si="62"/>
        <v>3</v>
      </c>
      <c r="I1991">
        <v>0</v>
      </c>
      <c r="J1991">
        <v>0</v>
      </c>
      <c r="K1991">
        <v>0</v>
      </c>
      <c r="L1991">
        <f t="shared" si="63"/>
        <v>0</v>
      </c>
    </row>
    <row r="1992" spans="1:12">
      <c r="A1992" t="s">
        <v>3740</v>
      </c>
      <c r="B1992" t="s">
        <v>3741</v>
      </c>
      <c r="C1992" t="s">
        <v>2810</v>
      </c>
      <c r="D1992" t="s">
        <v>2815</v>
      </c>
      <c r="E1992">
        <v>64</v>
      </c>
      <c r="F1992">
        <v>0</v>
      </c>
      <c r="G1992">
        <v>0</v>
      </c>
      <c r="H1992">
        <f t="shared" si="62"/>
        <v>64</v>
      </c>
      <c r="I1992">
        <v>0</v>
      </c>
      <c r="J1992">
        <v>0</v>
      </c>
      <c r="K1992">
        <v>0</v>
      </c>
      <c r="L1992">
        <f t="shared" si="63"/>
        <v>0</v>
      </c>
    </row>
    <row r="1993" spans="1:12">
      <c r="A1993" t="s">
        <v>3740</v>
      </c>
      <c r="B1993" t="s">
        <v>3741</v>
      </c>
      <c r="C1993" t="s">
        <v>2816</v>
      </c>
      <c r="D1993" t="s">
        <v>1897</v>
      </c>
      <c r="E1993">
        <v>63</v>
      </c>
      <c r="F1993">
        <v>0</v>
      </c>
      <c r="G1993">
        <v>0</v>
      </c>
      <c r="H1993">
        <f t="shared" si="62"/>
        <v>63</v>
      </c>
      <c r="I1993">
        <v>0</v>
      </c>
      <c r="J1993">
        <v>0</v>
      </c>
      <c r="K1993">
        <v>0</v>
      </c>
      <c r="L1993">
        <f t="shared" si="63"/>
        <v>0</v>
      </c>
    </row>
    <row r="1994" spans="1:12">
      <c r="A1994" t="s">
        <v>3740</v>
      </c>
      <c r="B1994" t="s">
        <v>3741</v>
      </c>
      <c r="C1994" t="s">
        <v>2816</v>
      </c>
      <c r="D1994" t="s">
        <v>3199</v>
      </c>
      <c r="E1994">
        <v>2</v>
      </c>
      <c r="F1994">
        <v>0</v>
      </c>
      <c r="G1994">
        <v>0</v>
      </c>
      <c r="H1994">
        <f t="shared" si="62"/>
        <v>2</v>
      </c>
      <c r="I1994">
        <v>0</v>
      </c>
      <c r="J1994">
        <v>0</v>
      </c>
      <c r="K1994">
        <v>0</v>
      </c>
      <c r="L1994">
        <f t="shared" si="63"/>
        <v>0</v>
      </c>
    </row>
    <row r="1995" spans="1:12">
      <c r="A1995" t="s">
        <v>3740</v>
      </c>
      <c r="B1995" t="s">
        <v>3741</v>
      </c>
      <c r="C1995" t="s">
        <v>2816</v>
      </c>
      <c r="D1995" t="s">
        <v>2848</v>
      </c>
      <c r="E1995">
        <v>11</v>
      </c>
      <c r="F1995">
        <v>0</v>
      </c>
      <c r="G1995">
        <v>0</v>
      </c>
      <c r="H1995">
        <f t="shared" si="62"/>
        <v>11</v>
      </c>
      <c r="I1995">
        <v>0</v>
      </c>
      <c r="J1995">
        <v>0</v>
      </c>
      <c r="K1995">
        <v>0</v>
      </c>
      <c r="L1995">
        <f t="shared" si="63"/>
        <v>0</v>
      </c>
    </row>
    <row r="1996" spans="1:12">
      <c r="A1996" t="s">
        <v>3740</v>
      </c>
      <c r="B1996" t="s">
        <v>3741</v>
      </c>
      <c r="C1996" t="s">
        <v>2817</v>
      </c>
      <c r="D1996" t="s">
        <v>2930</v>
      </c>
      <c r="E1996">
        <v>5</v>
      </c>
      <c r="F1996">
        <v>0</v>
      </c>
      <c r="G1996">
        <v>0</v>
      </c>
      <c r="H1996">
        <f t="shared" si="62"/>
        <v>5</v>
      </c>
      <c r="I1996">
        <v>0</v>
      </c>
      <c r="J1996">
        <v>0</v>
      </c>
      <c r="K1996">
        <v>0</v>
      </c>
      <c r="L1996">
        <f t="shared" si="63"/>
        <v>0</v>
      </c>
    </row>
    <row r="1997" spans="1:12">
      <c r="A1997" t="s">
        <v>3740</v>
      </c>
      <c r="B1997" t="s">
        <v>3741</v>
      </c>
      <c r="C1997" t="s">
        <v>2817</v>
      </c>
      <c r="D1997" t="s">
        <v>2818</v>
      </c>
      <c r="E1997">
        <v>67</v>
      </c>
      <c r="F1997">
        <v>0</v>
      </c>
      <c r="G1997">
        <v>0</v>
      </c>
      <c r="H1997">
        <f t="shared" si="62"/>
        <v>67</v>
      </c>
      <c r="I1997">
        <v>0</v>
      </c>
      <c r="J1997">
        <v>0</v>
      </c>
      <c r="K1997">
        <v>0</v>
      </c>
      <c r="L1997">
        <f t="shared" si="63"/>
        <v>0</v>
      </c>
    </row>
    <row r="1998" spans="1:12">
      <c r="A1998" t="s">
        <v>3740</v>
      </c>
      <c r="B1998" t="s">
        <v>3741</v>
      </c>
      <c r="C1998" t="s">
        <v>2817</v>
      </c>
      <c r="D1998" t="s">
        <v>2837</v>
      </c>
      <c r="E1998">
        <v>29</v>
      </c>
      <c r="F1998">
        <v>0</v>
      </c>
      <c r="G1998">
        <v>0</v>
      </c>
      <c r="H1998">
        <f t="shared" si="62"/>
        <v>29</v>
      </c>
      <c r="I1998">
        <v>0</v>
      </c>
      <c r="J1998">
        <v>0</v>
      </c>
      <c r="K1998">
        <v>0</v>
      </c>
      <c r="L1998">
        <f t="shared" si="63"/>
        <v>0</v>
      </c>
    </row>
    <row r="1999" spans="1:12">
      <c r="A1999" t="s">
        <v>3746</v>
      </c>
      <c r="B1999" t="s">
        <v>1513</v>
      </c>
      <c r="C1999" t="s">
        <v>2810</v>
      </c>
      <c r="D1999" t="s">
        <v>2812</v>
      </c>
      <c r="E1999">
        <v>3</v>
      </c>
      <c r="F1999">
        <v>0</v>
      </c>
      <c r="G1999">
        <v>0</v>
      </c>
      <c r="H1999">
        <f t="shared" si="62"/>
        <v>3</v>
      </c>
      <c r="I1999">
        <v>0</v>
      </c>
      <c r="J1999">
        <v>0</v>
      </c>
      <c r="K1999">
        <v>0</v>
      </c>
      <c r="L1999">
        <f t="shared" si="63"/>
        <v>0</v>
      </c>
    </row>
    <row r="2000" spans="1:12">
      <c r="A2000" t="s">
        <v>3746</v>
      </c>
      <c r="B2000" t="s">
        <v>1513</v>
      </c>
      <c r="C2000" t="s">
        <v>2841</v>
      </c>
      <c r="D2000" t="s">
        <v>3117</v>
      </c>
      <c r="E2000">
        <v>0</v>
      </c>
      <c r="F2000">
        <v>0</v>
      </c>
      <c r="G2000">
        <v>0</v>
      </c>
      <c r="H2000">
        <f t="shared" si="62"/>
        <v>0</v>
      </c>
      <c r="I2000">
        <v>2</v>
      </c>
      <c r="J2000">
        <v>0</v>
      </c>
      <c r="K2000">
        <v>0</v>
      </c>
      <c r="L2000">
        <f t="shared" si="63"/>
        <v>2</v>
      </c>
    </row>
    <row r="2001" spans="1:12">
      <c r="A2001" t="s">
        <v>3746</v>
      </c>
      <c r="B2001" t="s">
        <v>1513</v>
      </c>
      <c r="C2001" t="s">
        <v>2841</v>
      </c>
      <c r="D2001" t="s">
        <v>2842</v>
      </c>
      <c r="E2001">
        <v>0</v>
      </c>
      <c r="F2001">
        <v>0</v>
      </c>
      <c r="G2001">
        <v>0</v>
      </c>
      <c r="H2001">
        <f t="shared" si="62"/>
        <v>0</v>
      </c>
      <c r="I2001">
        <v>14</v>
      </c>
      <c r="J2001">
        <v>0</v>
      </c>
      <c r="K2001">
        <v>0</v>
      </c>
      <c r="L2001">
        <f t="shared" si="63"/>
        <v>14</v>
      </c>
    </row>
    <row r="2002" spans="1:12">
      <c r="A2002" t="s">
        <v>3746</v>
      </c>
      <c r="B2002" t="s">
        <v>1513</v>
      </c>
      <c r="C2002" t="s">
        <v>2826</v>
      </c>
      <c r="D2002" t="s">
        <v>2871</v>
      </c>
      <c r="E2002">
        <v>0</v>
      </c>
      <c r="F2002">
        <v>0</v>
      </c>
      <c r="G2002">
        <v>0</v>
      </c>
      <c r="H2002">
        <f t="shared" si="62"/>
        <v>0</v>
      </c>
      <c r="I2002">
        <v>1</v>
      </c>
      <c r="J2002">
        <v>0</v>
      </c>
      <c r="K2002">
        <v>0</v>
      </c>
      <c r="L2002">
        <f t="shared" si="63"/>
        <v>1</v>
      </c>
    </row>
    <row r="2003" spans="1:12">
      <c r="A2003" t="s">
        <v>3746</v>
      </c>
      <c r="B2003" t="s">
        <v>1513</v>
      </c>
      <c r="C2003" t="s">
        <v>2826</v>
      </c>
      <c r="D2003" t="s">
        <v>2827</v>
      </c>
      <c r="E2003">
        <v>0</v>
      </c>
      <c r="F2003">
        <v>0</v>
      </c>
      <c r="G2003">
        <v>0</v>
      </c>
      <c r="H2003">
        <f t="shared" si="62"/>
        <v>0</v>
      </c>
      <c r="I2003">
        <v>0</v>
      </c>
      <c r="J2003">
        <v>1</v>
      </c>
      <c r="K2003">
        <v>0</v>
      </c>
      <c r="L2003">
        <f t="shared" si="63"/>
        <v>1</v>
      </c>
    </row>
    <row r="2004" spans="1:12">
      <c r="A2004" t="s">
        <v>3746</v>
      </c>
      <c r="B2004" t="s">
        <v>1513</v>
      </c>
      <c r="C2004" t="s">
        <v>2826</v>
      </c>
      <c r="D2004" t="s">
        <v>2891</v>
      </c>
      <c r="E2004">
        <v>0</v>
      </c>
      <c r="F2004">
        <v>0</v>
      </c>
      <c r="G2004">
        <v>0</v>
      </c>
      <c r="H2004">
        <f t="shared" si="62"/>
        <v>0</v>
      </c>
      <c r="I2004">
        <v>1</v>
      </c>
      <c r="J2004">
        <v>0</v>
      </c>
      <c r="K2004">
        <v>0</v>
      </c>
      <c r="L2004">
        <f t="shared" si="63"/>
        <v>1</v>
      </c>
    </row>
    <row r="2005" spans="1:12">
      <c r="A2005" t="s">
        <v>3746</v>
      </c>
      <c r="B2005" t="s">
        <v>1513</v>
      </c>
      <c r="C2005" t="s">
        <v>2826</v>
      </c>
      <c r="D2005" t="s">
        <v>2843</v>
      </c>
      <c r="E2005">
        <v>0</v>
      </c>
      <c r="F2005">
        <v>0</v>
      </c>
      <c r="G2005">
        <v>0</v>
      </c>
      <c r="H2005">
        <f t="shared" si="62"/>
        <v>0</v>
      </c>
      <c r="I2005">
        <v>1</v>
      </c>
      <c r="J2005">
        <v>0</v>
      </c>
      <c r="K2005">
        <v>0</v>
      </c>
      <c r="L2005">
        <f t="shared" si="63"/>
        <v>1</v>
      </c>
    </row>
    <row r="2006" spans="1:12">
      <c r="A2006" t="s">
        <v>3746</v>
      </c>
      <c r="B2006" t="s">
        <v>1513</v>
      </c>
      <c r="C2006" t="s">
        <v>2826</v>
      </c>
      <c r="D2006" t="s">
        <v>2885</v>
      </c>
      <c r="E2006">
        <v>0</v>
      </c>
      <c r="F2006">
        <v>0</v>
      </c>
      <c r="G2006">
        <v>0</v>
      </c>
      <c r="H2006">
        <f t="shared" si="62"/>
        <v>0</v>
      </c>
      <c r="I2006">
        <v>1</v>
      </c>
      <c r="J2006">
        <v>0</v>
      </c>
      <c r="K2006">
        <v>0</v>
      </c>
      <c r="L2006">
        <f t="shared" si="63"/>
        <v>1</v>
      </c>
    </row>
    <row r="2007" spans="1:12">
      <c r="A2007" t="s">
        <v>3746</v>
      </c>
      <c r="B2007" t="s">
        <v>1513</v>
      </c>
      <c r="C2007" t="s">
        <v>2826</v>
      </c>
      <c r="D2007" t="s">
        <v>2832</v>
      </c>
      <c r="E2007">
        <v>0</v>
      </c>
      <c r="F2007">
        <v>0</v>
      </c>
      <c r="G2007">
        <v>0</v>
      </c>
      <c r="H2007">
        <f t="shared" si="62"/>
        <v>0</v>
      </c>
      <c r="I2007">
        <v>1</v>
      </c>
      <c r="J2007">
        <v>1</v>
      </c>
      <c r="K2007">
        <v>0</v>
      </c>
      <c r="L2007">
        <f t="shared" si="63"/>
        <v>2</v>
      </c>
    </row>
    <row r="2008" spans="1:12">
      <c r="A2008" t="s">
        <v>3746</v>
      </c>
      <c r="B2008" t="s">
        <v>1513</v>
      </c>
      <c r="C2008" t="s">
        <v>2826</v>
      </c>
      <c r="D2008" t="s">
        <v>2834</v>
      </c>
      <c r="E2008">
        <v>0</v>
      </c>
      <c r="F2008">
        <v>0</v>
      </c>
      <c r="G2008">
        <v>0</v>
      </c>
      <c r="H2008">
        <f t="shared" si="62"/>
        <v>0</v>
      </c>
      <c r="I2008">
        <v>1</v>
      </c>
      <c r="J2008">
        <v>0</v>
      </c>
      <c r="K2008">
        <v>0</v>
      </c>
      <c r="L2008">
        <f t="shared" si="63"/>
        <v>1</v>
      </c>
    </row>
    <row r="2009" spans="1:12">
      <c r="A2009" t="s">
        <v>3746</v>
      </c>
      <c r="B2009" t="s">
        <v>1513</v>
      </c>
      <c r="C2009" t="s">
        <v>2826</v>
      </c>
      <c r="D2009" t="s">
        <v>2886</v>
      </c>
      <c r="E2009">
        <v>0</v>
      </c>
      <c r="F2009">
        <v>0</v>
      </c>
      <c r="G2009">
        <v>0</v>
      </c>
      <c r="H2009">
        <f t="shared" si="62"/>
        <v>0</v>
      </c>
      <c r="I2009">
        <v>1</v>
      </c>
      <c r="J2009">
        <v>1</v>
      </c>
      <c r="K2009">
        <v>0</v>
      </c>
      <c r="L2009">
        <f t="shared" si="63"/>
        <v>2</v>
      </c>
    </row>
    <row r="2010" spans="1:12">
      <c r="A2010" t="s">
        <v>3746</v>
      </c>
      <c r="B2010" t="s">
        <v>1513</v>
      </c>
      <c r="C2010" t="s">
        <v>2826</v>
      </c>
      <c r="D2010" t="s">
        <v>2835</v>
      </c>
      <c r="E2010">
        <v>0</v>
      </c>
      <c r="F2010">
        <v>0</v>
      </c>
      <c r="G2010">
        <v>0</v>
      </c>
      <c r="H2010">
        <f t="shared" si="62"/>
        <v>0</v>
      </c>
      <c r="I2010">
        <v>1</v>
      </c>
      <c r="J2010">
        <v>1</v>
      </c>
      <c r="K2010">
        <v>0</v>
      </c>
      <c r="L2010">
        <f t="shared" si="63"/>
        <v>2</v>
      </c>
    </row>
    <row r="2011" spans="1:12">
      <c r="A2011" t="s">
        <v>3746</v>
      </c>
      <c r="B2011" t="s">
        <v>1513</v>
      </c>
      <c r="C2011" t="s">
        <v>2826</v>
      </c>
      <c r="D2011" t="s">
        <v>2917</v>
      </c>
      <c r="E2011">
        <v>0</v>
      </c>
      <c r="F2011">
        <v>0</v>
      </c>
      <c r="G2011">
        <v>0</v>
      </c>
      <c r="H2011">
        <f t="shared" si="62"/>
        <v>0</v>
      </c>
      <c r="I2011">
        <v>1</v>
      </c>
      <c r="J2011">
        <v>0</v>
      </c>
      <c r="K2011">
        <v>0</v>
      </c>
      <c r="L2011">
        <f t="shared" si="63"/>
        <v>1</v>
      </c>
    </row>
    <row r="2012" spans="1:12">
      <c r="A2012" t="s">
        <v>3746</v>
      </c>
      <c r="B2012" t="s">
        <v>1513</v>
      </c>
      <c r="C2012" t="s">
        <v>2826</v>
      </c>
      <c r="D2012" t="s">
        <v>2849</v>
      </c>
      <c r="E2012">
        <v>0</v>
      </c>
      <c r="F2012">
        <v>0</v>
      </c>
      <c r="G2012">
        <v>0</v>
      </c>
      <c r="H2012">
        <f t="shared" si="62"/>
        <v>0</v>
      </c>
      <c r="I2012">
        <v>1</v>
      </c>
      <c r="J2012">
        <v>0</v>
      </c>
      <c r="K2012">
        <v>0</v>
      </c>
      <c r="L2012">
        <f t="shared" si="63"/>
        <v>1</v>
      </c>
    </row>
    <row r="2013" spans="1:12">
      <c r="A2013" t="s">
        <v>3746</v>
      </c>
      <c r="B2013" t="s">
        <v>1513</v>
      </c>
      <c r="C2013" t="s">
        <v>2826</v>
      </c>
      <c r="D2013" t="s">
        <v>2836</v>
      </c>
      <c r="E2013">
        <v>0</v>
      </c>
      <c r="F2013">
        <v>0</v>
      </c>
      <c r="G2013">
        <v>0</v>
      </c>
      <c r="H2013">
        <f t="shared" si="62"/>
        <v>0</v>
      </c>
      <c r="I2013">
        <v>0</v>
      </c>
      <c r="J2013">
        <v>1</v>
      </c>
      <c r="K2013">
        <v>0</v>
      </c>
      <c r="L2013">
        <f t="shared" si="63"/>
        <v>1</v>
      </c>
    </row>
    <row r="2014" spans="1:12">
      <c r="A2014" t="s">
        <v>3746</v>
      </c>
      <c r="B2014" t="s">
        <v>1513</v>
      </c>
      <c r="C2014" t="s">
        <v>2820</v>
      </c>
      <c r="D2014" t="s">
        <v>2952</v>
      </c>
      <c r="E2014">
        <v>0</v>
      </c>
      <c r="F2014">
        <v>0</v>
      </c>
      <c r="G2014">
        <v>0</v>
      </c>
      <c r="H2014">
        <f t="shared" si="62"/>
        <v>0</v>
      </c>
      <c r="I2014">
        <v>1</v>
      </c>
      <c r="J2014">
        <v>0</v>
      </c>
      <c r="K2014">
        <v>0</v>
      </c>
      <c r="L2014">
        <f t="shared" si="63"/>
        <v>1</v>
      </c>
    </row>
    <row r="2015" spans="1:12">
      <c r="A2015" t="s">
        <v>3747</v>
      </c>
      <c r="B2015" t="s">
        <v>349</v>
      </c>
      <c r="C2015" t="s">
        <v>2841</v>
      </c>
      <c r="D2015" t="s">
        <v>2842</v>
      </c>
      <c r="E2015">
        <v>0</v>
      </c>
      <c r="F2015">
        <v>0</v>
      </c>
      <c r="G2015">
        <v>0</v>
      </c>
      <c r="H2015">
        <f t="shared" si="62"/>
        <v>0</v>
      </c>
      <c r="I2015">
        <v>2</v>
      </c>
      <c r="J2015">
        <v>0</v>
      </c>
      <c r="K2015">
        <v>0</v>
      </c>
      <c r="L2015">
        <f t="shared" si="63"/>
        <v>2</v>
      </c>
    </row>
    <row r="2016" spans="1:12">
      <c r="A2016" t="s">
        <v>3747</v>
      </c>
      <c r="B2016" t="s">
        <v>349</v>
      </c>
      <c r="C2016" t="s">
        <v>2826</v>
      </c>
      <c r="D2016" t="s">
        <v>2827</v>
      </c>
      <c r="E2016">
        <v>0</v>
      </c>
      <c r="F2016">
        <v>0</v>
      </c>
      <c r="G2016">
        <v>0</v>
      </c>
      <c r="H2016">
        <f t="shared" si="62"/>
        <v>0</v>
      </c>
      <c r="I2016">
        <v>1</v>
      </c>
      <c r="J2016">
        <v>0</v>
      </c>
      <c r="K2016">
        <v>0</v>
      </c>
      <c r="L2016">
        <f t="shared" si="63"/>
        <v>1</v>
      </c>
    </row>
    <row r="2017" spans="1:12">
      <c r="A2017" t="s">
        <v>3747</v>
      </c>
      <c r="B2017" t="s">
        <v>349</v>
      </c>
      <c r="C2017" t="s">
        <v>2826</v>
      </c>
      <c r="D2017" t="s">
        <v>2864</v>
      </c>
      <c r="E2017">
        <v>0</v>
      </c>
      <c r="F2017">
        <v>0</v>
      </c>
      <c r="G2017">
        <v>0</v>
      </c>
      <c r="H2017">
        <f t="shared" si="62"/>
        <v>0</v>
      </c>
      <c r="I2017">
        <v>0</v>
      </c>
      <c r="J2017">
        <v>1</v>
      </c>
      <c r="K2017">
        <v>0</v>
      </c>
      <c r="L2017">
        <f t="shared" si="63"/>
        <v>1</v>
      </c>
    </row>
    <row r="2018" spans="1:12">
      <c r="A2018" t="s">
        <v>3747</v>
      </c>
      <c r="B2018" t="s">
        <v>349</v>
      </c>
      <c r="C2018" t="s">
        <v>2826</v>
      </c>
      <c r="D2018" t="s">
        <v>2843</v>
      </c>
      <c r="E2018">
        <v>0</v>
      </c>
      <c r="F2018">
        <v>0</v>
      </c>
      <c r="G2018">
        <v>0</v>
      </c>
      <c r="H2018">
        <f t="shared" si="62"/>
        <v>0</v>
      </c>
      <c r="I2018">
        <v>1</v>
      </c>
      <c r="J2018">
        <v>0</v>
      </c>
      <c r="K2018">
        <v>0</v>
      </c>
      <c r="L2018">
        <f t="shared" si="63"/>
        <v>1</v>
      </c>
    </row>
    <row r="2019" spans="1:12">
      <c r="A2019" t="s">
        <v>3747</v>
      </c>
      <c r="B2019" t="s">
        <v>349</v>
      </c>
      <c r="C2019" t="s">
        <v>2826</v>
      </c>
      <c r="D2019" t="s">
        <v>2832</v>
      </c>
      <c r="E2019">
        <v>0</v>
      </c>
      <c r="F2019">
        <v>0</v>
      </c>
      <c r="G2019">
        <v>0</v>
      </c>
      <c r="H2019">
        <f t="shared" si="62"/>
        <v>0</v>
      </c>
      <c r="I2019">
        <v>0</v>
      </c>
      <c r="J2019">
        <v>1</v>
      </c>
      <c r="K2019">
        <v>0</v>
      </c>
      <c r="L2019">
        <f t="shared" si="63"/>
        <v>1</v>
      </c>
    </row>
    <row r="2020" spans="1:12">
      <c r="A2020" t="s">
        <v>3747</v>
      </c>
      <c r="B2020" t="s">
        <v>349</v>
      </c>
      <c r="C2020" t="s">
        <v>2826</v>
      </c>
      <c r="D2020" t="s">
        <v>2834</v>
      </c>
      <c r="E2020">
        <v>0</v>
      </c>
      <c r="F2020">
        <v>0</v>
      </c>
      <c r="G2020">
        <v>0</v>
      </c>
      <c r="H2020">
        <f t="shared" si="62"/>
        <v>0</v>
      </c>
      <c r="I2020">
        <v>0</v>
      </c>
      <c r="J2020">
        <v>1</v>
      </c>
      <c r="K2020">
        <v>0</v>
      </c>
      <c r="L2020">
        <f t="shared" si="63"/>
        <v>1</v>
      </c>
    </row>
    <row r="2021" spans="1:12">
      <c r="A2021" t="s">
        <v>3747</v>
      </c>
      <c r="B2021" t="s">
        <v>349</v>
      </c>
      <c r="C2021" t="s">
        <v>2826</v>
      </c>
      <c r="D2021" t="s">
        <v>2886</v>
      </c>
      <c r="E2021">
        <v>0</v>
      </c>
      <c r="F2021">
        <v>0</v>
      </c>
      <c r="G2021">
        <v>0</v>
      </c>
      <c r="H2021">
        <f t="shared" si="62"/>
        <v>0</v>
      </c>
      <c r="I2021">
        <v>0</v>
      </c>
      <c r="J2021">
        <v>1</v>
      </c>
      <c r="K2021">
        <v>0</v>
      </c>
      <c r="L2021">
        <f t="shared" si="63"/>
        <v>1</v>
      </c>
    </row>
    <row r="2022" spans="1:12">
      <c r="A2022" t="s">
        <v>3747</v>
      </c>
      <c r="B2022" t="s">
        <v>349</v>
      </c>
      <c r="C2022" t="s">
        <v>2826</v>
      </c>
      <c r="D2022" t="s">
        <v>2849</v>
      </c>
      <c r="E2022">
        <v>0</v>
      </c>
      <c r="F2022">
        <v>0</v>
      </c>
      <c r="G2022">
        <v>0</v>
      </c>
      <c r="H2022">
        <f t="shared" si="62"/>
        <v>0</v>
      </c>
      <c r="I2022">
        <v>1</v>
      </c>
      <c r="J2022">
        <v>0</v>
      </c>
      <c r="K2022">
        <v>0</v>
      </c>
      <c r="L2022">
        <f t="shared" si="63"/>
        <v>1</v>
      </c>
    </row>
    <row r="2023" spans="1:12">
      <c r="A2023" t="s">
        <v>3747</v>
      </c>
      <c r="B2023" t="s">
        <v>349</v>
      </c>
      <c r="C2023" t="s">
        <v>2820</v>
      </c>
      <c r="D2023" t="s">
        <v>2952</v>
      </c>
      <c r="E2023">
        <v>0</v>
      </c>
      <c r="F2023">
        <v>0</v>
      </c>
      <c r="G2023">
        <v>0</v>
      </c>
      <c r="H2023">
        <f t="shared" si="62"/>
        <v>0</v>
      </c>
      <c r="I2023">
        <v>1</v>
      </c>
      <c r="J2023">
        <v>0</v>
      </c>
      <c r="K2023">
        <v>0</v>
      </c>
      <c r="L2023">
        <f t="shared" si="63"/>
        <v>1</v>
      </c>
    </row>
    <row r="2024" spans="1:12">
      <c r="A2024" t="s">
        <v>3748</v>
      </c>
      <c r="B2024" t="s">
        <v>1365</v>
      </c>
      <c r="C2024" t="s">
        <v>2805</v>
      </c>
      <c r="D2024" t="s">
        <v>449</v>
      </c>
      <c r="E2024">
        <v>1</v>
      </c>
      <c r="F2024">
        <v>0</v>
      </c>
      <c r="G2024">
        <v>0</v>
      </c>
      <c r="H2024">
        <f t="shared" si="62"/>
        <v>1</v>
      </c>
      <c r="I2024">
        <v>0</v>
      </c>
      <c r="J2024">
        <v>0</v>
      </c>
      <c r="K2024">
        <v>0</v>
      </c>
      <c r="L2024">
        <f t="shared" si="63"/>
        <v>0</v>
      </c>
    </row>
    <row r="2025" spans="1:12">
      <c r="A2025" t="s">
        <v>3753</v>
      </c>
      <c r="B2025" t="s">
        <v>1366</v>
      </c>
      <c r="C2025" t="s">
        <v>2805</v>
      </c>
      <c r="D2025" t="s">
        <v>2806</v>
      </c>
      <c r="E2025">
        <v>154</v>
      </c>
      <c r="F2025">
        <v>0</v>
      </c>
      <c r="G2025">
        <v>0</v>
      </c>
      <c r="H2025">
        <f t="shared" si="62"/>
        <v>154</v>
      </c>
      <c r="I2025">
        <v>0</v>
      </c>
      <c r="J2025">
        <v>0</v>
      </c>
      <c r="K2025">
        <v>0</v>
      </c>
      <c r="L2025">
        <f t="shared" si="63"/>
        <v>0</v>
      </c>
    </row>
    <row r="2026" spans="1:12">
      <c r="A2026" t="s">
        <v>3753</v>
      </c>
      <c r="B2026" t="s">
        <v>1366</v>
      </c>
      <c r="C2026" t="s">
        <v>2805</v>
      </c>
      <c r="D2026" t="s">
        <v>449</v>
      </c>
      <c r="E2026">
        <v>271</v>
      </c>
      <c r="F2026">
        <v>0</v>
      </c>
      <c r="G2026">
        <v>0</v>
      </c>
      <c r="H2026">
        <f t="shared" si="62"/>
        <v>271</v>
      </c>
      <c r="I2026">
        <v>0</v>
      </c>
      <c r="J2026">
        <v>0</v>
      </c>
      <c r="K2026">
        <v>0</v>
      </c>
      <c r="L2026">
        <f t="shared" si="63"/>
        <v>0</v>
      </c>
    </row>
    <row r="2027" spans="1:12">
      <c r="A2027" t="s">
        <v>3753</v>
      </c>
      <c r="B2027" t="s">
        <v>1366</v>
      </c>
      <c r="C2027" t="s">
        <v>2805</v>
      </c>
      <c r="D2027" t="s">
        <v>2807</v>
      </c>
      <c r="E2027">
        <v>16</v>
      </c>
      <c r="F2027">
        <v>0</v>
      </c>
      <c r="G2027">
        <v>0</v>
      </c>
      <c r="H2027">
        <f t="shared" si="62"/>
        <v>16</v>
      </c>
      <c r="I2027">
        <v>0</v>
      </c>
      <c r="J2027">
        <v>0</v>
      </c>
      <c r="K2027">
        <v>0</v>
      </c>
      <c r="L2027">
        <f t="shared" si="63"/>
        <v>0</v>
      </c>
    </row>
    <row r="2028" spans="1:12">
      <c r="A2028" t="s">
        <v>3753</v>
      </c>
      <c r="B2028" t="s">
        <v>1366</v>
      </c>
      <c r="C2028" t="s">
        <v>2805</v>
      </c>
      <c r="D2028" t="s">
        <v>2809</v>
      </c>
      <c r="E2028">
        <v>62</v>
      </c>
      <c r="F2028">
        <v>0</v>
      </c>
      <c r="G2028">
        <v>0</v>
      </c>
      <c r="H2028">
        <f t="shared" si="62"/>
        <v>62</v>
      </c>
      <c r="I2028">
        <v>0</v>
      </c>
      <c r="J2028">
        <v>0</v>
      </c>
      <c r="K2028">
        <v>0</v>
      </c>
      <c r="L2028">
        <f t="shared" si="63"/>
        <v>0</v>
      </c>
    </row>
    <row r="2029" spans="1:12">
      <c r="A2029" t="s">
        <v>3753</v>
      </c>
      <c r="B2029" t="s">
        <v>1366</v>
      </c>
      <c r="C2029" t="s">
        <v>2810</v>
      </c>
      <c r="D2029" t="s">
        <v>2811</v>
      </c>
      <c r="E2029">
        <v>16</v>
      </c>
      <c r="F2029">
        <v>0</v>
      </c>
      <c r="G2029">
        <v>0</v>
      </c>
      <c r="H2029">
        <f t="shared" si="62"/>
        <v>16</v>
      </c>
      <c r="I2029">
        <v>0</v>
      </c>
      <c r="J2029">
        <v>0</v>
      </c>
      <c r="K2029">
        <v>0</v>
      </c>
      <c r="L2029">
        <f t="shared" si="63"/>
        <v>0</v>
      </c>
    </row>
    <row r="2030" spans="1:12">
      <c r="A2030" t="s">
        <v>3753</v>
      </c>
      <c r="B2030" t="s">
        <v>1366</v>
      </c>
      <c r="C2030" t="s">
        <v>2810</v>
      </c>
      <c r="D2030" t="s">
        <v>2812</v>
      </c>
      <c r="E2030">
        <v>61</v>
      </c>
      <c r="F2030">
        <v>0</v>
      </c>
      <c r="G2030">
        <v>0</v>
      </c>
      <c r="H2030">
        <f t="shared" si="62"/>
        <v>61</v>
      </c>
      <c r="I2030">
        <v>0</v>
      </c>
      <c r="J2030">
        <v>0</v>
      </c>
      <c r="K2030">
        <v>0</v>
      </c>
      <c r="L2030">
        <f t="shared" si="63"/>
        <v>0</v>
      </c>
    </row>
    <row r="2031" spans="1:12">
      <c r="A2031" t="s">
        <v>3753</v>
      </c>
      <c r="B2031" t="s">
        <v>1366</v>
      </c>
      <c r="C2031" t="s">
        <v>2810</v>
      </c>
      <c r="D2031" t="s">
        <v>2813</v>
      </c>
      <c r="E2031">
        <v>10</v>
      </c>
      <c r="F2031">
        <v>0</v>
      </c>
      <c r="G2031">
        <v>0</v>
      </c>
      <c r="H2031">
        <f t="shared" si="62"/>
        <v>10</v>
      </c>
      <c r="I2031">
        <v>0</v>
      </c>
      <c r="J2031">
        <v>0</v>
      </c>
      <c r="K2031">
        <v>0</v>
      </c>
      <c r="L2031">
        <f t="shared" si="63"/>
        <v>0</v>
      </c>
    </row>
    <row r="2032" spans="1:12">
      <c r="A2032" t="s">
        <v>3753</v>
      </c>
      <c r="B2032" t="s">
        <v>1366</v>
      </c>
      <c r="C2032" t="s">
        <v>2810</v>
      </c>
      <c r="D2032" t="s">
        <v>2814</v>
      </c>
      <c r="E2032">
        <v>12</v>
      </c>
      <c r="F2032">
        <v>0</v>
      </c>
      <c r="G2032">
        <v>0</v>
      </c>
      <c r="H2032">
        <f t="shared" si="62"/>
        <v>12</v>
      </c>
      <c r="I2032">
        <v>0</v>
      </c>
      <c r="J2032">
        <v>0</v>
      </c>
      <c r="K2032">
        <v>0</v>
      </c>
      <c r="L2032">
        <f t="shared" si="63"/>
        <v>0</v>
      </c>
    </row>
    <row r="2033" spans="1:12">
      <c r="A2033" t="s">
        <v>3753</v>
      </c>
      <c r="B2033" t="s">
        <v>1366</v>
      </c>
      <c r="C2033" t="s">
        <v>2810</v>
      </c>
      <c r="D2033" t="s">
        <v>2815</v>
      </c>
      <c r="E2033">
        <v>3</v>
      </c>
      <c r="F2033">
        <v>0</v>
      </c>
      <c r="G2033">
        <v>0</v>
      </c>
      <c r="H2033">
        <f t="shared" si="62"/>
        <v>3</v>
      </c>
      <c r="I2033">
        <v>0</v>
      </c>
      <c r="J2033">
        <v>0</v>
      </c>
      <c r="K2033">
        <v>0</v>
      </c>
      <c r="L2033">
        <f t="shared" si="63"/>
        <v>0</v>
      </c>
    </row>
    <row r="2034" spans="1:12">
      <c r="A2034" t="s">
        <v>3753</v>
      </c>
      <c r="B2034" t="s">
        <v>1366</v>
      </c>
      <c r="C2034" t="s">
        <v>2816</v>
      </c>
      <c r="D2034" t="s">
        <v>1897</v>
      </c>
      <c r="E2034">
        <v>51</v>
      </c>
      <c r="F2034">
        <v>0</v>
      </c>
      <c r="G2034">
        <v>0</v>
      </c>
      <c r="H2034">
        <f t="shared" si="62"/>
        <v>51</v>
      </c>
      <c r="I2034">
        <v>0</v>
      </c>
      <c r="J2034">
        <v>0</v>
      </c>
      <c r="K2034">
        <v>0</v>
      </c>
      <c r="L2034">
        <f t="shared" si="63"/>
        <v>0</v>
      </c>
    </row>
    <row r="2035" spans="1:12">
      <c r="A2035" t="s">
        <v>3753</v>
      </c>
      <c r="B2035" t="s">
        <v>1366</v>
      </c>
      <c r="C2035" t="s">
        <v>2817</v>
      </c>
      <c r="D2035" t="s">
        <v>2818</v>
      </c>
      <c r="E2035">
        <v>10</v>
      </c>
      <c r="F2035">
        <v>0</v>
      </c>
      <c r="G2035">
        <v>0</v>
      </c>
      <c r="H2035">
        <f t="shared" si="62"/>
        <v>10</v>
      </c>
      <c r="I2035">
        <v>0</v>
      </c>
      <c r="J2035">
        <v>0</v>
      </c>
      <c r="K2035">
        <v>0</v>
      </c>
      <c r="L2035">
        <f t="shared" si="63"/>
        <v>0</v>
      </c>
    </row>
    <row r="2036" spans="1:12">
      <c r="A2036" t="s">
        <v>3758</v>
      </c>
      <c r="B2036" t="s">
        <v>1368</v>
      </c>
      <c r="C2036" t="s">
        <v>2805</v>
      </c>
      <c r="D2036" t="s">
        <v>2806</v>
      </c>
      <c r="E2036">
        <v>547</v>
      </c>
      <c r="F2036">
        <v>0</v>
      </c>
      <c r="G2036">
        <v>0</v>
      </c>
      <c r="H2036">
        <f t="shared" si="62"/>
        <v>547</v>
      </c>
      <c r="I2036">
        <v>0</v>
      </c>
      <c r="J2036">
        <v>0</v>
      </c>
      <c r="K2036">
        <v>0</v>
      </c>
      <c r="L2036">
        <f t="shared" si="63"/>
        <v>0</v>
      </c>
    </row>
    <row r="2037" spans="1:12">
      <c r="A2037" t="s">
        <v>3758</v>
      </c>
      <c r="B2037" t="s">
        <v>1368</v>
      </c>
      <c r="C2037" t="s">
        <v>2805</v>
      </c>
      <c r="D2037" t="s">
        <v>449</v>
      </c>
      <c r="E2037">
        <v>836</v>
      </c>
      <c r="F2037">
        <v>0</v>
      </c>
      <c r="G2037">
        <v>0</v>
      </c>
      <c r="H2037">
        <f t="shared" si="62"/>
        <v>836</v>
      </c>
      <c r="I2037">
        <v>0</v>
      </c>
      <c r="J2037">
        <v>0</v>
      </c>
      <c r="K2037">
        <v>0</v>
      </c>
      <c r="L2037">
        <f t="shared" si="63"/>
        <v>0</v>
      </c>
    </row>
    <row r="2038" spans="1:12">
      <c r="A2038" t="s">
        <v>3758</v>
      </c>
      <c r="B2038" t="s">
        <v>1368</v>
      </c>
      <c r="C2038" t="s">
        <v>2805</v>
      </c>
      <c r="D2038" t="s">
        <v>2807</v>
      </c>
      <c r="E2038">
        <v>9</v>
      </c>
      <c r="F2038">
        <v>0</v>
      </c>
      <c r="G2038">
        <v>0</v>
      </c>
      <c r="H2038">
        <f t="shared" si="62"/>
        <v>9</v>
      </c>
      <c r="I2038">
        <v>0</v>
      </c>
      <c r="J2038">
        <v>0</v>
      </c>
      <c r="K2038">
        <v>0</v>
      </c>
      <c r="L2038">
        <f t="shared" si="63"/>
        <v>0</v>
      </c>
    </row>
    <row r="2039" spans="1:12">
      <c r="A2039" t="s">
        <v>3758</v>
      </c>
      <c r="B2039" t="s">
        <v>1368</v>
      </c>
      <c r="C2039" t="s">
        <v>2805</v>
      </c>
      <c r="D2039" t="s">
        <v>2937</v>
      </c>
      <c r="E2039">
        <v>0</v>
      </c>
      <c r="F2039">
        <v>4</v>
      </c>
      <c r="G2039">
        <v>0</v>
      </c>
      <c r="H2039">
        <f t="shared" si="62"/>
        <v>4</v>
      </c>
      <c r="I2039">
        <v>0</v>
      </c>
      <c r="J2039">
        <v>0</v>
      </c>
      <c r="K2039">
        <v>0</v>
      </c>
      <c r="L2039">
        <f t="shared" si="63"/>
        <v>0</v>
      </c>
    </row>
    <row r="2040" spans="1:12">
      <c r="A2040" t="s">
        <v>3758</v>
      </c>
      <c r="B2040" t="s">
        <v>1368</v>
      </c>
      <c r="C2040" t="s">
        <v>2810</v>
      </c>
      <c r="D2040" t="s">
        <v>2811</v>
      </c>
      <c r="E2040">
        <v>37</v>
      </c>
      <c r="F2040">
        <v>0</v>
      </c>
      <c r="G2040">
        <v>0</v>
      </c>
      <c r="H2040">
        <f t="shared" si="62"/>
        <v>37</v>
      </c>
      <c r="I2040">
        <v>0</v>
      </c>
      <c r="J2040">
        <v>0</v>
      </c>
      <c r="K2040">
        <v>0</v>
      </c>
      <c r="L2040">
        <f t="shared" si="63"/>
        <v>0</v>
      </c>
    </row>
    <row r="2041" spans="1:12">
      <c r="A2041" t="s">
        <v>3758</v>
      </c>
      <c r="B2041" t="s">
        <v>1368</v>
      </c>
      <c r="C2041" t="s">
        <v>2810</v>
      </c>
      <c r="D2041" t="s">
        <v>2812</v>
      </c>
      <c r="E2041">
        <v>9</v>
      </c>
      <c r="F2041">
        <v>0</v>
      </c>
      <c r="G2041">
        <v>0</v>
      </c>
      <c r="H2041">
        <f t="shared" si="62"/>
        <v>9</v>
      </c>
      <c r="I2041">
        <v>0</v>
      </c>
      <c r="J2041">
        <v>0</v>
      </c>
      <c r="K2041">
        <v>0</v>
      </c>
      <c r="L2041">
        <f t="shared" si="63"/>
        <v>0</v>
      </c>
    </row>
    <row r="2042" spans="1:12">
      <c r="A2042" t="s">
        <v>3758</v>
      </c>
      <c r="B2042" t="s">
        <v>1368</v>
      </c>
      <c r="C2042" t="s">
        <v>2810</v>
      </c>
      <c r="D2042" t="s">
        <v>2814</v>
      </c>
      <c r="E2042">
        <v>3</v>
      </c>
      <c r="F2042">
        <v>0</v>
      </c>
      <c r="G2042">
        <v>0</v>
      </c>
      <c r="H2042">
        <f t="shared" si="62"/>
        <v>3</v>
      </c>
      <c r="I2042">
        <v>0</v>
      </c>
      <c r="J2042">
        <v>0</v>
      </c>
      <c r="K2042">
        <v>0</v>
      </c>
      <c r="L2042">
        <f t="shared" si="63"/>
        <v>0</v>
      </c>
    </row>
    <row r="2043" spans="1:12">
      <c r="A2043" t="s">
        <v>3758</v>
      </c>
      <c r="B2043" t="s">
        <v>1368</v>
      </c>
      <c r="C2043" t="s">
        <v>2810</v>
      </c>
      <c r="D2043" t="s">
        <v>2815</v>
      </c>
      <c r="E2043">
        <v>8</v>
      </c>
      <c r="F2043">
        <v>0</v>
      </c>
      <c r="G2043">
        <v>0</v>
      </c>
      <c r="H2043">
        <f t="shared" si="62"/>
        <v>8</v>
      </c>
      <c r="I2043">
        <v>0</v>
      </c>
      <c r="J2043">
        <v>0</v>
      </c>
      <c r="K2043">
        <v>0</v>
      </c>
      <c r="L2043">
        <f t="shared" si="63"/>
        <v>0</v>
      </c>
    </row>
    <row r="2044" spans="1:12">
      <c r="A2044" t="s">
        <v>3758</v>
      </c>
      <c r="B2044" t="s">
        <v>1368</v>
      </c>
      <c r="C2044" t="s">
        <v>2816</v>
      </c>
      <c r="D2044" t="s">
        <v>1897</v>
      </c>
      <c r="E2044">
        <v>296</v>
      </c>
      <c r="F2044">
        <v>0</v>
      </c>
      <c r="G2044">
        <v>0</v>
      </c>
      <c r="H2044">
        <f t="shared" si="62"/>
        <v>296</v>
      </c>
      <c r="I2044">
        <v>0</v>
      </c>
      <c r="J2044">
        <v>0</v>
      </c>
      <c r="K2044">
        <v>0</v>
      </c>
      <c r="L2044">
        <f t="shared" si="63"/>
        <v>0</v>
      </c>
    </row>
    <row r="2045" spans="1:12">
      <c r="A2045" t="s">
        <v>3758</v>
      </c>
      <c r="B2045" t="s">
        <v>1368</v>
      </c>
      <c r="C2045" t="s">
        <v>2817</v>
      </c>
      <c r="D2045" t="s">
        <v>2930</v>
      </c>
      <c r="E2045">
        <v>4</v>
      </c>
      <c r="F2045">
        <v>0</v>
      </c>
      <c r="G2045">
        <v>0</v>
      </c>
      <c r="H2045">
        <f t="shared" si="62"/>
        <v>4</v>
      </c>
      <c r="I2045">
        <v>0</v>
      </c>
      <c r="J2045">
        <v>0</v>
      </c>
      <c r="K2045">
        <v>0</v>
      </c>
      <c r="L2045">
        <f t="shared" si="63"/>
        <v>0</v>
      </c>
    </row>
    <row r="2046" spans="1:12">
      <c r="A2046" t="s">
        <v>3758</v>
      </c>
      <c r="B2046" t="s">
        <v>1368</v>
      </c>
      <c r="C2046" t="s">
        <v>2817</v>
      </c>
      <c r="D2046" t="s">
        <v>2877</v>
      </c>
      <c r="E2046">
        <v>23</v>
      </c>
      <c r="F2046">
        <v>0</v>
      </c>
      <c r="G2046">
        <v>0</v>
      </c>
      <c r="H2046">
        <f t="shared" si="62"/>
        <v>23</v>
      </c>
      <c r="I2046">
        <v>0</v>
      </c>
      <c r="J2046">
        <v>0</v>
      </c>
      <c r="K2046">
        <v>0</v>
      </c>
      <c r="L2046">
        <f t="shared" si="63"/>
        <v>0</v>
      </c>
    </row>
    <row r="2047" spans="1:12">
      <c r="A2047" t="s">
        <v>3758</v>
      </c>
      <c r="B2047" t="s">
        <v>1368</v>
      </c>
      <c r="C2047" t="s">
        <v>2817</v>
      </c>
      <c r="D2047" t="s">
        <v>2818</v>
      </c>
      <c r="E2047">
        <v>163</v>
      </c>
      <c r="F2047">
        <v>0</v>
      </c>
      <c r="G2047">
        <v>0</v>
      </c>
      <c r="H2047">
        <f t="shared" si="62"/>
        <v>163</v>
      </c>
      <c r="I2047">
        <v>0</v>
      </c>
      <c r="J2047">
        <v>0</v>
      </c>
      <c r="K2047">
        <v>0</v>
      </c>
      <c r="L2047">
        <f t="shared" si="63"/>
        <v>0</v>
      </c>
    </row>
    <row r="2048" spans="1:12">
      <c r="A2048" t="s">
        <v>3758</v>
      </c>
      <c r="B2048" t="s">
        <v>1368</v>
      </c>
      <c r="C2048" t="s">
        <v>2817</v>
      </c>
      <c r="D2048" t="s">
        <v>2837</v>
      </c>
      <c r="E2048">
        <v>25</v>
      </c>
      <c r="F2048">
        <v>0</v>
      </c>
      <c r="G2048">
        <v>0</v>
      </c>
      <c r="H2048">
        <f t="shared" si="62"/>
        <v>25</v>
      </c>
      <c r="I2048">
        <v>0</v>
      </c>
      <c r="J2048">
        <v>0</v>
      </c>
      <c r="K2048">
        <v>0</v>
      </c>
      <c r="L2048">
        <f t="shared" si="63"/>
        <v>0</v>
      </c>
    </row>
    <row r="2049" spans="1:12">
      <c r="A2049" t="s">
        <v>3758</v>
      </c>
      <c r="B2049" t="s">
        <v>1368</v>
      </c>
      <c r="C2049" t="s">
        <v>2817</v>
      </c>
      <c r="D2049" t="s">
        <v>2819</v>
      </c>
      <c r="E2049">
        <v>1</v>
      </c>
      <c r="F2049">
        <v>0</v>
      </c>
      <c r="G2049">
        <v>0</v>
      </c>
      <c r="H2049">
        <f t="shared" si="62"/>
        <v>1</v>
      </c>
      <c r="I2049">
        <v>0</v>
      </c>
      <c r="J2049">
        <v>0</v>
      </c>
      <c r="K2049">
        <v>0</v>
      </c>
      <c r="L2049">
        <f t="shared" si="63"/>
        <v>0</v>
      </c>
    </row>
    <row r="2050" spans="1:12">
      <c r="A2050" t="s">
        <v>3759</v>
      </c>
      <c r="B2050" t="s">
        <v>3760</v>
      </c>
      <c r="C2050" t="s">
        <v>2805</v>
      </c>
      <c r="D2050" t="s">
        <v>449</v>
      </c>
      <c r="E2050">
        <v>31</v>
      </c>
      <c r="F2050">
        <v>0</v>
      </c>
      <c r="G2050">
        <v>0</v>
      </c>
      <c r="H2050">
        <f t="shared" si="62"/>
        <v>31</v>
      </c>
      <c r="I2050">
        <v>0</v>
      </c>
      <c r="J2050">
        <v>0</v>
      </c>
      <c r="K2050">
        <v>0</v>
      </c>
      <c r="L2050">
        <f t="shared" si="63"/>
        <v>0</v>
      </c>
    </row>
    <row r="2051" spans="1:12">
      <c r="A2051" t="s">
        <v>3759</v>
      </c>
      <c r="B2051" t="s">
        <v>3760</v>
      </c>
      <c r="C2051" t="s">
        <v>2805</v>
      </c>
      <c r="D2051" t="s">
        <v>2807</v>
      </c>
      <c r="E2051">
        <v>1</v>
      </c>
      <c r="F2051">
        <v>0</v>
      </c>
      <c r="G2051">
        <v>0</v>
      </c>
      <c r="H2051">
        <f t="shared" si="62"/>
        <v>1</v>
      </c>
      <c r="I2051">
        <v>0</v>
      </c>
      <c r="J2051">
        <v>0</v>
      </c>
      <c r="K2051">
        <v>0</v>
      </c>
      <c r="L2051">
        <f t="shared" si="63"/>
        <v>0</v>
      </c>
    </row>
    <row r="2052" spans="1:12">
      <c r="A2052" t="s">
        <v>3759</v>
      </c>
      <c r="B2052" t="s">
        <v>3760</v>
      </c>
      <c r="C2052" t="s">
        <v>2810</v>
      </c>
      <c r="D2052" t="s">
        <v>2811</v>
      </c>
      <c r="E2052">
        <v>1</v>
      </c>
      <c r="F2052">
        <v>0</v>
      </c>
      <c r="G2052">
        <v>0</v>
      </c>
      <c r="H2052">
        <f t="shared" ref="H2052:H2115" si="64">SUM(E2052:G2052)</f>
        <v>1</v>
      </c>
      <c r="I2052">
        <v>0</v>
      </c>
      <c r="J2052">
        <v>0</v>
      </c>
      <c r="K2052">
        <v>0</v>
      </c>
      <c r="L2052">
        <f t="shared" ref="L2052:L2115" si="65">SUM(I2052:K2052)</f>
        <v>0</v>
      </c>
    </row>
    <row r="2053" spans="1:12">
      <c r="A2053" t="s">
        <v>3759</v>
      </c>
      <c r="B2053" t="s">
        <v>3760</v>
      </c>
      <c r="C2053" t="s">
        <v>2810</v>
      </c>
      <c r="D2053" t="s">
        <v>2812</v>
      </c>
      <c r="E2053">
        <v>4</v>
      </c>
      <c r="F2053">
        <v>0</v>
      </c>
      <c r="G2053">
        <v>0</v>
      </c>
      <c r="H2053">
        <f t="shared" si="64"/>
        <v>4</v>
      </c>
      <c r="I2053">
        <v>0</v>
      </c>
      <c r="J2053">
        <v>0</v>
      </c>
      <c r="K2053">
        <v>0</v>
      </c>
      <c r="L2053">
        <f t="shared" si="65"/>
        <v>0</v>
      </c>
    </row>
    <row r="2054" spans="1:12">
      <c r="A2054" t="s">
        <v>3759</v>
      </c>
      <c r="B2054" t="s">
        <v>3760</v>
      </c>
      <c r="C2054" t="s">
        <v>2810</v>
      </c>
      <c r="D2054" t="s">
        <v>2813</v>
      </c>
      <c r="E2054">
        <v>7</v>
      </c>
      <c r="F2054">
        <v>0</v>
      </c>
      <c r="G2054">
        <v>0</v>
      </c>
      <c r="H2054">
        <f t="shared" si="64"/>
        <v>7</v>
      </c>
      <c r="I2054">
        <v>0</v>
      </c>
      <c r="J2054">
        <v>0</v>
      </c>
      <c r="K2054">
        <v>0</v>
      </c>
      <c r="L2054">
        <f t="shared" si="65"/>
        <v>0</v>
      </c>
    </row>
    <row r="2055" spans="1:12">
      <c r="A2055" t="s">
        <v>3759</v>
      </c>
      <c r="B2055" t="s">
        <v>3760</v>
      </c>
      <c r="C2055" t="s">
        <v>2810</v>
      </c>
      <c r="D2055" t="s">
        <v>2814</v>
      </c>
      <c r="E2055">
        <v>3</v>
      </c>
      <c r="F2055">
        <v>0</v>
      </c>
      <c r="G2055">
        <v>0</v>
      </c>
      <c r="H2055">
        <f t="shared" si="64"/>
        <v>3</v>
      </c>
      <c r="I2055">
        <v>0</v>
      </c>
      <c r="J2055">
        <v>0</v>
      </c>
      <c r="K2055">
        <v>0</v>
      </c>
      <c r="L2055">
        <f t="shared" si="65"/>
        <v>0</v>
      </c>
    </row>
    <row r="2056" spans="1:12">
      <c r="A2056" t="s">
        <v>3759</v>
      </c>
      <c r="B2056" t="s">
        <v>3760</v>
      </c>
      <c r="C2056" t="s">
        <v>2810</v>
      </c>
      <c r="D2056" t="s">
        <v>2847</v>
      </c>
      <c r="E2056">
        <v>30</v>
      </c>
      <c r="F2056">
        <v>0</v>
      </c>
      <c r="G2056">
        <v>0</v>
      </c>
      <c r="H2056">
        <f t="shared" si="64"/>
        <v>30</v>
      </c>
      <c r="I2056">
        <v>0</v>
      </c>
      <c r="J2056">
        <v>0</v>
      </c>
      <c r="K2056">
        <v>0</v>
      </c>
      <c r="L2056">
        <f t="shared" si="65"/>
        <v>0</v>
      </c>
    </row>
    <row r="2057" spans="1:12">
      <c r="A2057" t="s">
        <v>3759</v>
      </c>
      <c r="B2057" t="s">
        <v>3760</v>
      </c>
      <c r="C2057" t="s">
        <v>2810</v>
      </c>
      <c r="D2057" t="s">
        <v>2815</v>
      </c>
      <c r="E2057">
        <v>7</v>
      </c>
      <c r="F2057">
        <v>0</v>
      </c>
      <c r="G2057">
        <v>0</v>
      </c>
      <c r="H2057">
        <f t="shared" si="64"/>
        <v>7</v>
      </c>
      <c r="I2057">
        <v>0</v>
      </c>
      <c r="J2057">
        <v>0</v>
      </c>
      <c r="K2057">
        <v>0</v>
      </c>
      <c r="L2057">
        <f t="shared" si="65"/>
        <v>0</v>
      </c>
    </row>
    <row r="2058" spans="1:12">
      <c r="A2058" t="s">
        <v>3759</v>
      </c>
      <c r="B2058" t="s">
        <v>3760</v>
      </c>
      <c r="C2058" t="s">
        <v>2816</v>
      </c>
      <c r="D2058" t="s">
        <v>1896</v>
      </c>
      <c r="E2058">
        <v>3</v>
      </c>
      <c r="F2058">
        <v>0</v>
      </c>
      <c r="G2058">
        <v>0</v>
      </c>
      <c r="H2058">
        <f t="shared" si="64"/>
        <v>3</v>
      </c>
      <c r="I2058">
        <v>0</v>
      </c>
      <c r="J2058">
        <v>0</v>
      </c>
      <c r="K2058">
        <v>0</v>
      </c>
      <c r="L2058">
        <f t="shared" si="65"/>
        <v>0</v>
      </c>
    </row>
    <row r="2059" spans="1:12">
      <c r="A2059" t="s">
        <v>3765</v>
      </c>
      <c r="B2059" t="s">
        <v>1375</v>
      </c>
      <c r="C2059" t="s">
        <v>2805</v>
      </c>
      <c r="D2059" t="s">
        <v>2806</v>
      </c>
      <c r="E2059">
        <v>206</v>
      </c>
      <c r="F2059">
        <v>0</v>
      </c>
      <c r="G2059">
        <v>0</v>
      </c>
      <c r="H2059">
        <f t="shared" si="64"/>
        <v>206</v>
      </c>
      <c r="I2059">
        <v>0</v>
      </c>
      <c r="J2059">
        <v>0</v>
      </c>
      <c r="K2059">
        <v>0</v>
      </c>
      <c r="L2059">
        <f t="shared" si="65"/>
        <v>0</v>
      </c>
    </row>
    <row r="2060" spans="1:12">
      <c r="A2060" t="s">
        <v>3765</v>
      </c>
      <c r="B2060" t="s">
        <v>1375</v>
      </c>
      <c r="C2060" t="s">
        <v>2805</v>
      </c>
      <c r="D2060" t="s">
        <v>449</v>
      </c>
      <c r="E2060">
        <v>442</v>
      </c>
      <c r="F2060">
        <v>0</v>
      </c>
      <c r="G2060">
        <v>0</v>
      </c>
      <c r="H2060">
        <f t="shared" si="64"/>
        <v>442</v>
      </c>
      <c r="I2060">
        <v>0</v>
      </c>
      <c r="J2060">
        <v>0</v>
      </c>
      <c r="K2060">
        <v>0</v>
      </c>
      <c r="L2060">
        <f t="shared" si="65"/>
        <v>0</v>
      </c>
    </row>
    <row r="2061" spans="1:12">
      <c r="A2061" t="s">
        <v>3765</v>
      </c>
      <c r="B2061" t="s">
        <v>1375</v>
      </c>
      <c r="C2061" t="s">
        <v>2805</v>
      </c>
      <c r="D2061" t="s">
        <v>2807</v>
      </c>
      <c r="E2061">
        <v>14</v>
      </c>
      <c r="F2061">
        <v>0</v>
      </c>
      <c r="G2061">
        <v>0</v>
      </c>
      <c r="H2061">
        <f t="shared" si="64"/>
        <v>14</v>
      </c>
      <c r="I2061">
        <v>0</v>
      </c>
      <c r="J2061">
        <v>0</v>
      </c>
      <c r="K2061">
        <v>0</v>
      </c>
      <c r="L2061">
        <f t="shared" si="65"/>
        <v>0</v>
      </c>
    </row>
    <row r="2062" spans="1:12">
      <c r="A2062" t="s">
        <v>3765</v>
      </c>
      <c r="B2062" t="s">
        <v>1375</v>
      </c>
      <c r="C2062" t="s">
        <v>2810</v>
      </c>
      <c r="D2062" t="s">
        <v>2811</v>
      </c>
      <c r="E2062">
        <v>57</v>
      </c>
      <c r="F2062">
        <v>0</v>
      </c>
      <c r="G2062">
        <v>0</v>
      </c>
      <c r="H2062">
        <f t="shared" si="64"/>
        <v>57</v>
      </c>
      <c r="I2062">
        <v>0</v>
      </c>
      <c r="J2062">
        <v>0</v>
      </c>
      <c r="K2062">
        <v>0</v>
      </c>
      <c r="L2062">
        <f t="shared" si="65"/>
        <v>0</v>
      </c>
    </row>
    <row r="2063" spans="1:12">
      <c r="A2063" t="s">
        <v>3765</v>
      </c>
      <c r="B2063" t="s">
        <v>1375</v>
      </c>
      <c r="C2063" t="s">
        <v>2810</v>
      </c>
      <c r="D2063" t="s">
        <v>2847</v>
      </c>
      <c r="E2063">
        <v>13</v>
      </c>
      <c r="F2063">
        <v>0</v>
      </c>
      <c r="G2063">
        <v>0</v>
      </c>
      <c r="H2063">
        <f t="shared" si="64"/>
        <v>13</v>
      </c>
      <c r="I2063">
        <v>0</v>
      </c>
      <c r="J2063">
        <v>0</v>
      </c>
      <c r="K2063">
        <v>0</v>
      </c>
      <c r="L2063">
        <f t="shared" si="65"/>
        <v>0</v>
      </c>
    </row>
    <row r="2064" spans="1:12">
      <c r="A2064" t="s">
        <v>3765</v>
      </c>
      <c r="B2064" t="s">
        <v>1375</v>
      </c>
      <c r="C2064" t="s">
        <v>2816</v>
      </c>
      <c r="D2064" t="s">
        <v>1897</v>
      </c>
      <c r="E2064">
        <v>45</v>
      </c>
      <c r="F2064">
        <v>0</v>
      </c>
      <c r="G2064">
        <v>0</v>
      </c>
      <c r="H2064">
        <f t="shared" si="64"/>
        <v>45</v>
      </c>
      <c r="I2064">
        <v>0</v>
      </c>
      <c r="J2064">
        <v>0</v>
      </c>
      <c r="K2064">
        <v>0</v>
      </c>
      <c r="L2064">
        <f t="shared" si="65"/>
        <v>0</v>
      </c>
    </row>
    <row r="2065" spans="1:12">
      <c r="A2065" t="s">
        <v>3765</v>
      </c>
      <c r="B2065" t="s">
        <v>1375</v>
      </c>
      <c r="C2065" t="s">
        <v>2816</v>
      </c>
      <c r="D2065" t="s">
        <v>2848</v>
      </c>
      <c r="E2065">
        <v>19</v>
      </c>
      <c r="F2065">
        <v>0</v>
      </c>
      <c r="G2065">
        <v>0</v>
      </c>
      <c r="H2065">
        <f t="shared" si="64"/>
        <v>19</v>
      </c>
      <c r="I2065">
        <v>0</v>
      </c>
      <c r="J2065">
        <v>0</v>
      </c>
      <c r="K2065">
        <v>0</v>
      </c>
      <c r="L2065">
        <f t="shared" si="65"/>
        <v>0</v>
      </c>
    </row>
    <row r="2066" spans="1:12">
      <c r="A2066" t="s">
        <v>3765</v>
      </c>
      <c r="B2066" t="s">
        <v>1375</v>
      </c>
      <c r="C2066" t="s">
        <v>2826</v>
      </c>
      <c r="D2066" t="s">
        <v>2843</v>
      </c>
      <c r="E2066">
        <v>0</v>
      </c>
      <c r="F2066">
        <v>0</v>
      </c>
      <c r="G2066">
        <v>0</v>
      </c>
      <c r="H2066">
        <f t="shared" si="64"/>
        <v>0</v>
      </c>
      <c r="I2066">
        <v>1</v>
      </c>
      <c r="J2066">
        <v>0</v>
      </c>
      <c r="K2066">
        <v>0</v>
      </c>
      <c r="L2066">
        <f t="shared" si="65"/>
        <v>1</v>
      </c>
    </row>
    <row r="2067" spans="1:12">
      <c r="A2067" t="s">
        <v>3770</v>
      </c>
      <c r="B2067" t="s">
        <v>1377</v>
      </c>
      <c r="C2067" t="s">
        <v>2805</v>
      </c>
      <c r="D2067" t="s">
        <v>449</v>
      </c>
      <c r="E2067">
        <v>2</v>
      </c>
      <c r="F2067">
        <v>0</v>
      </c>
      <c r="G2067">
        <v>0</v>
      </c>
      <c r="H2067">
        <f t="shared" si="64"/>
        <v>2</v>
      </c>
      <c r="I2067">
        <v>0</v>
      </c>
      <c r="J2067">
        <v>0</v>
      </c>
      <c r="K2067">
        <v>0</v>
      </c>
      <c r="L2067">
        <f t="shared" si="65"/>
        <v>0</v>
      </c>
    </row>
    <row r="2068" spans="1:12">
      <c r="A2068" t="s">
        <v>3770</v>
      </c>
      <c r="B2068" t="s">
        <v>1377</v>
      </c>
      <c r="C2068" t="s">
        <v>2826</v>
      </c>
      <c r="D2068" t="s">
        <v>2843</v>
      </c>
      <c r="E2068">
        <v>0</v>
      </c>
      <c r="F2068">
        <v>0</v>
      </c>
      <c r="G2068">
        <v>0</v>
      </c>
      <c r="H2068">
        <f t="shared" si="64"/>
        <v>0</v>
      </c>
      <c r="I2068">
        <v>1</v>
      </c>
      <c r="J2068">
        <v>0</v>
      </c>
      <c r="K2068">
        <v>0</v>
      </c>
      <c r="L2068">
        <f t="shared" si="65"/>
        <v>1</v>
      </c>
    </row>
    <row r="2069" spans="1:12">
      <c r="A2069" t="s">
        <v>3791</v>
      </c>
      <c r="B2069" t="s">
        <v>1383</v>
      </c>
      <c r="C2069" t="s">
        <v>2805</v>
      </c>
      <c r="D2069" t="s">
        <v>449</v>
      </c>
      <c r="E2069">
        <v>3</v>
      </c>
      <c r="F2069">
        <v>0</v>
      </c>
      <c r="G2069">
        <v>0</v>
      </c>
      <c r="H2069">
        <f t="shared" si="64"/>
        <v>3</v>
      </c>
      <c r="I2069">
        <v>0</v>
      </c>
      <c r="J2069">
        <v>0</v>
      </c>
      <c r="K2069">
        <v>0</v>
      </c>
      <c r="L2069">
        <f t="shared" si="65"/>
        <v>0</v>
      </c>
    </row>
    <row r="2070" spans="1:12">
      <c r="A2070" t="s">
        <v>3791</v>
      </c>
      <c r="B2070" t="s">
        <v>1383</v>
      </c>
      <c r="C2070" t="s">
        <v>2805</v>
      </c>
      <c r="D2070" t="s">
        <v>2807</v>
      </c>
      <c r="E2070">
        <v>1</v>
      </c>
      <c r="F2070">
        <v>0</v>
      </c>
      <c r="G2070">
        <v>0</v>
      </c>
      <c r="H2070">
        <f t="shared" si="64"/>
        <v>1</v>
      </c>
      <c r="I2070">
        <v>0</v>
      </c>
      <c r="J2070">
        <v>0</v>
      </c>
      <c r="K2070">
        <v>0</v>
      </c>
      <c r="L2070">
        <f t="shared" si="65"/>
        <v>0</v>
      </c>
    </row>
    <row r="2071" spans="1:12">
      <c r="A2071" t="s">
        <v>3791</v>
      </c>
      <c r="B2071" t="s">
        <v>1383</v>
      </c>
      <c r="C2071" t="s">
        <v>2810</v>
      </c>
      <c r="D2071" t="s">
        <v>2811</v>
      </c>
      <c r="E2071">
        <v>1</v>
      </c>
      <c r="F2071">
        <v>0</v>
      </c>
      <c r="G2071">
        <v>0</v>
      </c>
      <c r="H2071">
        <f t="shared" si="64"/>
        <v>1</v>
      </c>
      <c r="I2071">
        <v>0</v>
      </c>
      <c r="J2071">
        <v>0</v>
      </c>
      <c r="K2071">
        <v>0</v>
      </c>
      <c r="L2071">
        <f t="shared" si="65"/>
        <v>0</v>
      </c>
    </row>
    <row r="2072" spans="1:12">
      <c r="A2072" t="s">
        <v>3808</v>
      </c>
      <c r="B2072" t="s">
        <v>3809</v>
      </c>
      <c r="C2072" t="s">
        <v>2805</v>
      </c>
      <c r="D2072" t="s">
        <v>2806</v>
      </c>
      <c r="E2072">
        <v>58</v>
      </c>
      <c r="F2072">
        <v>0</v>
      </c>
      <c r="G2072">
        <v>0</v>
      </c>
      <c r="H2072">
        <f t="shared" si="64"/>
        <v>58</v>
      </c>
      <c r="I2072">
        <v>5</v>
      </c>
      <c r="J2072">
        <v>0</v>
      </c>
      <c r="K2072">
        <v>0</v>
      </c>
      <c r="L2072">
        <f t="shared" si="65"/>
        <v>5</v>
      </c>
    </row>
    <row r="2073" spans="1:12">
      <c r="A2073" t="s">
        <v>3808</v>
      </c>
      <c r="B2073" t="s">
        <v>3809</v>
      </c>
      <c r="C2073" t="s">
        <v>2805</v>
      </c>
      <c r="D2073" t="s">
        <v>449</v>
      </c>
      <c r="E2073">
        <v>171</v>
      </c>
      <c r="F2073">
        <v>0</v>
      </c>
      <c r="G2073">
        <v>0</v>
      </c>
      <c r="H2073">
        <f t="shared" si="64"/>
        <v>171</v>
      </c>
      <c r="I2073">
        <v>54</v>
      </c>
      <c r="J2073">
        <v>0</v>
      </c>
      <c r="K2073">
        <v>0</v>
      </c>
      <c r="L2073">
        <f t="shared" si="65"/>
        <v>54</v>
      </c>
    </row>
    <row r="2074" spans="1:12">
      <c r="A2074" t="s">
        <v>3808</v>
      </c>
      <c r="B2074" t="s">
        <v>3809</v>
      </c>
      <c r="C2074" t="s">
        <v>2805</v>
      </c>
      <c r="D2074" t="s">
        <v>2807</v>
      </c>
      <c r="E2074">
        <v>6</v>
      </c>
      <c r="F2074">
        <v>0</v>
      </c>
      <c r="G2074">
        <v>0</v>
      </c>
      <c r="H2074">
        <f t="shared" si="64"/>
        <v>6</v>
      </c>
      <c r="I2074">
        <v>2</v>
      </c>
      <c r="J2074">
        <v>1</v>
      </c>
      <c r="K2074">
        <v>0</v>
      </c>
      <c r="L2074">
        <f t="shared" si="65"/>
        <v>3</v>
      </c>
    </row>
    <row r="2075" spans="1:12">
      <c r="A2075" t="s">
        <v>3808</v>
      </c>
      <c r="B2075" t="s">
        <v>3809</v>
      </c>
      <c r="C2075" t="s">
        <v>2805</v>
      </c>
      <c r="D2075" t="s">
        <v>2809</v>
      </c>
      <c r="E2075">
        <v>0</v>
      </c>
      <c r="F2075">
        <v>0</v>
      </c>
      <c r="G2075">
        <v>0</v>
      </c>
      <c r="H2075">
        <f t="shared" si="64"/>
        <v>0</v>
      </c>
      <c r="I2075">
        <v>2</v>
      </c>
      <c r="J2075">
        <v>0</v>
      </c>
      <c r="K2075">
        <v>0</v>
      </c>
      <c r="L2075">
        <f t="shared" si="65"/>
        <v>2</v>
      </c>
    </row>
    <row r="2076" spans="1:12">
      <c r="A2076" t="s">
        <v>3808</v>
      </c>
      <c r="B2076" t="s">
        <v>3809</v>
      </c>
      <c r="C2076" t="s">
        <v>2805</v>
      </c>
      <c r="D2076" t="s">
        <v>442</v>
      </c>
      <c r="E2076">
        <v>0</v>
      </c>
      <c r="F2076">
        <v>0</v>
      </c>
      <c r="G2076">
        <v>0</v>
      </c>
      <c r="H2076">
        <f t="shared" si="64"/>
        <v>0</v>
      </c>
      <c r="I2076">
        <v>1</v>
      </c>
      <c r="J2076">
        <v>0</v>
      </c>
      <c r="K2076">
        <v>0</v>
      </c>
      <c r="L2076">
        <f t="shared" si="65"/>
        <v>1</v>
      </c>
    </row>
    <row r="2077" spans="1:12">
      <c r="A2077" t="s">
        <v>3808</v>
      </c>
      <c r="B2077" t="s">
        <v>3809</v>
      </c>
      <c r="C2077" t="s">
        <v>2810</v>
      </c>
      <c r="D2077" t="s">
        <v>2811</v>
      </c>
      <c r="E2077">
        <v>55</v>
      </c>
      <c r="F2077">
        <v>0</v>
      </c>
      <c r="G2077">
        <v>0</v>
      </c>
      <c r="H2077">
        <f t="shared" si="64"/>
        <v>55</v>
      </c>
      <c r="I2077">
        <v>21</v>
      </c>
      <c r="J2077">
        <v>6</v>
      </c>
      <c r="K2077">
        <v>0</v>
      </c>
      <c r="L2077">
        <f t="shared" si="65"/>
        <v>27</v>
      </c>
    </row>
    <row r="2078" spans="1:12">
      <c r="A2078" t="s">
        <v>3808</v>
      </c>
      <c r="B2078" t="s">
        <v>3809</v>
      </c>
      <c r="C2078" t="s">
        <v>2810</v>
      </c>
      <c r="D2078" t="s">
        <v>1892</v>
      </c>
      <c r="E2078">
        <v>0</v>
      </c>
      <c r="F2078">
        <v>0</v>
      </c>
      <c r="G2078">
        <v>0</v>
      </c>
      <c r="H2078">
        <f t="shared" si="64"/>
        <v>0</v>
      </c>
      <c r="I2078">
        <v>5</v>
      </c>
      <c r="J2078">
        <v>0</v>
      </c>
      <c r="K2078">
        <v>0</v>
      </c>
      <c r="L2078">
        <f t="shared" si="65"/>
        <v>5</v>
      </c>
    </row>
    <row r="2079" spans="1:12">
      <c r="A2079" t="s">
        <v>3808</v>
      </c>
      <c r="B2079" t="s">
        <v>3809</v>
      </c>
      <c r="C2079" t="s">
        <v>2810</v>
      </c>
      <c r="D2079" t="s">
        <v>2823</v>
      </c>
      <c r="E2079">
        <v>6</v>
      </c>
      <c r="F2079">
        <v>1</v>
      </c>
      <c r="G2079">
        <v>0</v>
      </c>
      <c r="H2079">
        <f t="shared" si="64"/>
        <v>7</v>
      </c>
      <c r="I2079">
        <v>0</v>
      </c>
      <c r="J2079">
        <v>0</v>
      </c>
      <c r="K2079">
        <v>0</v>
      </c>
      <c r="L2079">
        <f t="shared" si="65"/>
        <v>0</v>
      </c>
    </row>
    <row r="2080" spans="1:12">
      <c r="A2080" t="s">
        <v>3808</v>
      </c>
      <c r="B2080" t="s">
        <v>3809</v>
      </c>
      <c r="C2080" t="s">
        <v>2810</v>
      </c>
      <c r="D2080" t="s">
        <v>2812</v>
      </c>
      <c r="E2080">
        <v>115</v>
      </c>
      <c r="F2080">
        <v>0</v>
      </c>
      <c r="G2080">
        <v>0</v>
      </c>
      <c r="H2080">
        <f t="shared" si="64"/>
        <v>115</v>
      </c>
      <c r="I2080">
        <v>36</v>
      </c>
      <c r="J2080">
        <v>0</v>
      </c>
      <c r="K2080">
        <v>0</v>
      </c>
      <c r="L2080">
        <f t="shared" si="65"/>
        <v>36</v>
      </c>
    </row>
    <row r="2081" spans="1:12">
      <c r="A2081" t="s">
        <v>3808</v>
      </c>
      <c r="B2081" t="s">
        <v>3809</v>
      </c>
      <c r="C2081" t="s">
        <v>2810</v>
      </c>
      <c r="D2081" t="s">
        <v>2813</v>
      </c>
      <c r="E2081">
        <v>52</v>
      </c>
      <c r="F2081">
        <v>0</v>
      </c>
      <c r="G2081">
        <v>0</v>
      </c>
      <c r="H2081">
        <f t="shared" si="64"/>
        <v>52</v>
      </c>
      <c r="I2081">
        <v>10</v>
      </c>
      <c r="J2081">
        <v>0</v>
      </c>
      <c r="K2081">
        <v>0</v>
      </c>
      <c r="L2081">
        <f t="shared" si="65"/>
        <v>10</v>
      </c>
    </row>
    <row r="2082" spans="1:12">
      <c r="A2082" t="s">
        <v>3808</v>
      </c>
      <c r="B2082" t="s">
        <v>3809</v>
      </c>
      <c r="C2082" t="s">
        <v>2810</v>
      </c>
      <c r="D2082" t="s">
        <v>2840</v>
      </c>
      <c r="E2082">
        <v>6</v>
      </c>
      <c r="F2082">
        <v>0</v>
      </c>
      <c r="G2082">
        <v>0</v>
      </c>
      <c r="H2082">
        <f t="shared" si="64"/>
        <v>6</v>
      </c>
      <c r="I2082">
        <v>1</v>
      </c>
      <c r="J2082">
        <v>0</v>
      </c>
      <c r="K2082">
        <v>0</v>
      </c>
      <c r="L2082">
        <f t="shared" si="65"/>
        <v>1</v>
      </c>
    </row>
    <row r="2083" spans="1:12">
      <c r="A2083" t="s">
        <v>3808</v>
      </c>
      <c r="B2083" t="s">
        <v>3809</v>
      </c>
      <c r="C2083" t="s">
        <v>2810</v>
      </c>
      <c r="D2083" t="s">
        <v>2815</v>
      </c>
      <c r="E2083">
        <v>2</v>
      </c>
      <c r="F2083">
        <v>0</v>
      </c>
      <c r="G2083">
        <v>0</v>
      </c>
      <c r="H2083">
        <f t="shared" si="64"/>
        <v>2</v>
      </c>
      <c r="I2083">
        <v>0</v>
      </c>
      <c r="J2083">
        <v>0</v>
      </c>
      <c r="K2083">
        <v>0</v>
      </c>
      <c r="L2083">
        <f t="shared" si="65"/>
        <v>0</v>
      </c>
    </row>
    <row r="2084" spans="1:12">
      <c r="A2084" t="s">
        <v>3808</v>
      </c>
      <c r="B2084" t="s">
        <v>3809</v>
      </c>
      <c r="C2084" t="s">
        <v>2816</v>
      </c>
      <c r="D2084" t="s">
        <v>1896</v>
      </c>
      <c r="E2084">
        <v>1</v>
      </c>
      <c r="F2084">
        <v>0</v>
      </c>
      <c r="G2084">
        <v>0</v>
      </c>
      <c r="H2084">
        <f t="shared" si="64"/>
        <v>1</v>
      </c>
      <c r="I2084">
        <v>1</v>
      </c>
      <c r="J2084">
        <v>0</v>
      </c>
      <c r="K2084">
        <v>0</v>
      </c>
      <c r="L2084">
        <f t="shared" si="65"/>
        <v>1</v>
      </c>
    </row>
    <row r="2085" spans="1:12">
      <c r="A2085" t="s">
        <v>3808</v>
      </c>
      <c r="B2085" t="s">
        <v>3809</v>
      </c>
      <c r="C2085" t="s">
        <v>2816</v>
      </c>
      <c r="D2085" t="s">
        <v>1897</v>
      </c>
      <c r="E2085">
        <v>5</v>
      </c>
      <c r="F2085">
        <v>0</v>
      </c>
      <c r="G2085">
        <v>0</v>
      </c>
      <c r="H2085">
        <f t="shared" si="64"/>
        <v>5</v>
      </c>
      <c r="I2085">
        <v>8</v>
      </c>
      <c r="J2085">
        <v>0</v>
      </c>
      <c r="K2085">
        <v>0</v>
      </c>
      <c r="L2085">
        <f t="shared" si="65"/>
        <v>8</v>
      </c>
    </row>
    <row r="2086" spans="1:12">
      <c r="A2086" t="s">
        <v>3808</v>
      </c>
      <c r="B2086" t="s">
        <v>3809</v>
      </c>
      <c r="C2086" t="s">
        <v>2841</v>
      </c>
      <c r="D2086" t="s">
        <v>2842</v>
      </c>
      <c r="E2086">
        <v>0</v>
      </c>
      <c r="F2086">
        <v>0</v>
      </c>
      <c r="G2086">
        <v>0</v>
      </c>
      <c r="H2086">
        <f t="shared" si="64"/>
        <v>0</v>
      </c>
      <c r="I2086">
        <v>36</v>
      </c>
      <c r="J2086">
        <v>0</v>
      </c>
      <c r="K2086">
        <v>0</v>
      </c>
      <c r="L2086">
        <f t="shared" si="65"/>
        <v>36</v>
      </c>
    </row>
    <row r="2087" spans="1:12">
      <c r="A2087" t="s">
        <v>3808</v>
      </c>
      <c r="B2087" t="s">
        <v>3809</v>
      </c>
      <c r="C2087" t="s">
        <v>2826</v>
      </c>
      <c r="D2087" t="s">
        <v>2828</v>
      </c>
      <c r="E2087">
        <v>0</v>
      </c>
      <c r="F2087">
        <v>0</v>
      </c>
      <c r="G2087">
        <v>0</v>
      </c>
      <c r="H2087">
        <f t="shared" si="64"/>
        <v>0</v>
      </c>
      <c r="I2087">
        <v>2</v>
      </c>
      <c r="J2087">
        <v>0</v>
      </c>
      <c r="K2087">
        <v>0</v>
      </c>
      <c r="L2087">
        <f t="shared" si="65"/>
        <v>2</v>
      </c>
    </row>
    <row r="2088" spans="1:12">
      <c r="A2088" t="s">
        <v>3808</v>
      </c>
      <c r="B2088" t="s">
        <v>3809</v>
      </c>
      <c r="C2088" t="s">
        <v>2826</v>
      </c>
      <c r="D2088" t="s">
        <v>2891</v>
      </c>
      <c r="E2088">
        <v>0</v>
      </c>
      <c r="F2088">
        <v>0</v>
      </c>
      <c r="G2088">
        <v>0</v>
      </c>
      <c r="H2088">
        <f t="shared" si="64"/>
        <v>0</v>
      </c>
      <c r="I2088">
        <v>3</v>
      </c>
      <c r="J2088">
        <v>0</v>
      </c>
      <c r="K2088">
        <v>0</v>
      </c>
      <c r="L2088">
        <f t="shared" si="65"/>
        <v>3</v>
      </c>
    </row>
    <row r="2089" spans="1:12">
      <c r="A2089" t="s">
        <v>3808</v>
      </c>
      <c r="B2089" t="s">
        <v>3809</v>
      </c>
      <c r="C2089" t="s">
        <v>2826</v>
      </c>
      <c r="D2089" t="s">
        <v>2834</v>
      </c>
      <c r="E2089">
        <v>0</v>
      </c>
      <c r="F2089">
        <v>1</v>
      </c>
      <c r="G2089">
        <v>0</v>
      </c>
      <c r="H2089">
        <f t="shared" si="64"/>
        <v>1</v>
      </c>
      <c r="I2089">
        <v>0</v>
      </c>
      <c r="J2089">
        <v>1</v>
      </c>
      <c r="K2089">
        <v>0</v>
      </c>
      <c r="L2089">
        <f t="shared" si="65"/>
        <v>1</v>
      </c>
    </row>
    <row r="2090" spans="1:12">
      <c r="A2090" t="s">
        <v>3808</v>
      </c>
      <c r="B2090" t="s">
        <v>3809</v>
      </c>
      <c r="C2090" t="s">
        <v>2826</v>
      </c>
      <c r="D2090" t="s">
        <v>2849</v>
      </c>
      <c r="E2090">
        <v>1</v>
      </c>
      <c r="F2090">
        <v>0</v>
      </c>
      <c r="G2090">
        <v>0</v>
      </c>
      <c r="H2090">
        <f t="shared" si="64"/>
        <v>1</v>
      </c>
      <c r="I2090">
        <v>0</v>
      </c>
      <c r="J2090">
        <v>0</v>
      </c>
      <c r="K2090">
        <v>0</v>
      </c>
      <c r="L2090">
        <f t="shared" si="65"/>
        <v>0</v>
      </c>
    </row>
    <row r="2091" spans="1:12">
      <c r="A2091" t="s">
        <v>3808</v>
      </c>
      <c r="B2091" t="s">
        <v>3809</v>
      </c>
      <c r="C2091" t="s">
        <v>2817</v>
      </c>
      <c r="D2091" t="s">
        <v>2887</v>
      </c>
      <c r="E2091">
        <v>1</v>
      </c>
      <c r="F2091">
        <v>0</v>
      </c>
      <c r="G2091">
        <v>0</v>
      </c>
      <c r="H2091">
        <f t="shared" si="64"/>
        <v>1</v>
      </c>
      <c r="I2091">
        <v>14</v>
      </c>
      <c r="J2091">
        <v>5</v>
      </c>
      <c r="K2091">
        <v>0</v>
      </c>
      <c r="L2091">
        <f t="shared" si="65"/>
        <v>19</v>
      </c>
    </row>
    <row r="2092" spans="1:12">
      <c r="A2092" t="s">
        <v>3808</v>
      </c>
      <c r="B2092" t="s">
        <v>3809</v>
      </c>
      <c r="C2092" t="s">
        <v>2817</v>
      </c>
      <c r="D2092" t="s">
        <v>2888</v>
      </c>
      <c r="E2092">
        <v>10</v>
      </c>
      <c r="F2092">
        <v>0</v>
      </c>
      <c r="G2092">
        <v>0</v>
      </c>
      <c r="H2092">
        <f t="shared" si="64"/>
        <v>10</v>
      </c>
      <c r="I2092">
        <v>0</v>
      </c>
      <c r="J2092">
        <v>0</v>
      </c>
      <c r="K2092">
        <v>0</v>
      </c>
      <c r="L2092">
        <f t="shared" si="65"/>
        <v>0</v>
      </c>
    </row>
    <row r="2093" spans="1:12">
      <c r="A2093" t="s">
        <v>3808</v>
      </c>
      <c r="B2093" t="s">
        <v>3809</v>
      </c>
      <c r="C2093" t="s">
        <v>2817</v>
      </c>
      <c r="D2093" t="s">
        <v>2877</v>
      </c>
      <c r="E2093">
        <v>2</v>
      </c>
      <c r="F2093">
        <v>0</v>
      </c>
      <c r="G2093">
        <v>0</v>
      </c>
      <c r="H2093">
        <f t="shared" si="64"/>
        <v>2</v>
      </c>
      <c r="I2093">
        <v>0</v>
      </c>
      <c r="J2093">
        <v>0</v>
      </c>
      <c r="K2093">
        <v>0</v>
      </c>
      <c r="L2093">
        <f t="shared" si="65"/>
        <v>0</v>
      </c>
    </row>
    <row r="2094" spans="1:12">
      <c r="A2094" t="s">
        <v>3808</v>
      </c>
      <c r="B2094" t="s">
        <v>3809</v>
      </c>
      <c r="C2094" t="s">
        <v>2817</v>
      </c>
      <c r="D2094" t="s">
        <v>2818</v>
      </c>
      <c r="E2094">
        <v>3</v>
      </c>
      <c r="F2094">
        <v>0</v>
      </c>
      <c r="G2094">
        <v>0</v>
      </c>
      <c r="H2094">
        <f t="shared" si="64"/>
        <v>3</v>
      </c>
      <c r="I2094">
        <v>0</v>
      </c>
      <c r="J2094">
        <v>0</v>
      </c>
      <c r="K2094">
        <v>0</v>
      </c>
      <c r="L2094">
        <f t="shared" si="65"/>
        <v>0</v>
      </c>
    </row>
    <row r="2095" spans="1:12">
      <c r="A2095" t="s">
        <v>3808</v>
      </c>
      <c r="B2095" t="s">
        <v>3809</v>
      </c>
      <c r="C2095" t="s">
        <v>2817</v>
      </c>
      <c r="D2095" t="s">
        <v>2837</v>
      </c>
      <c r="E2095">
        <v>4</v>
      </c>
      <c r="F2095">
        <v>0</v>
      </c>
      <c r="G2095">
        <v>0</v>
      </c>
      <c r="H2095">
        <f t="shared" si="64"/>
        <v>4</v>
      </c>
      <c r="I2095">
        <v>0</v>
      </c>
      <c r="J2095">
        <v>0</v>
      </c>
      <c r="K2095">
        <v>0</v>
      </c>
      <c r="L2095">
        <f t="shared" si="65"/>
        <v>0</v>
      </c>
    </row>
    <row r="2096" spans="1:12">
      <c r="A2096" t="s">
        <v>3808</v>
      </c>
      <c r="B2096" t="s">
        <v>3809</v>
      </c>
      <c r="C2096" t="s">
        <v>2817</v>
      </c>
      <c r="D2096" t="s">
        <v>2909</v>
      </c>
      <c r="E2096">
        <v>10</v>
      </c>
      <c r="F2096">
        <v>0</v>
      </c>
      <c r="G2096">
        <v>0</v>
      </c>
      <c r="H2096">
        <f t="shared" si="64"/>
        <v>10</v>
      </c>
      <c r="I2096">
        <v>2</v>
      </c>
      <c r="J2096">
        <v>0</v>
      </c>
      <c r="K2096">
        <v>0</v>
      </c>
      <c r="L2096">
        <f t="shared" si="65"/>
        <v>2</v>
      </c>
    </row>
    <row r="2097" spans="1:12">
      <c r="A2097" t="s">
        <v>3808</v>
      </c>
      <c r="B2097" t="s">
        <v>3809</v>
      </c>
      <c r="C2097" t="s">
        <v>2820</v>
      </c>
      <c r="D2097" t="s">
        <v>2821</v>
      </c>
      <c r="E2097">
        <v>0</v>
      </c>
      <c r="F2097">
        <v>0</v>
      </c>
      <c r="G2097">
        <v>0</v>
      </c>
      <c r="H2097">
        <f t="shared" si="64"/>
        <v>0</v>
      </c>
      <c r="I2097">
        <v>3</v>
      </c>
      <c r="J2097">
        <v>0</v>
      </c>
      <c r="K2097">
        <v>0</v>
      </c>
      <c r="L2097">
        <f t="shared" si="65"/>
        <v>3</v>
      </c>
    </row>
    <row r="2098" spans="1:12">
      <c r="A2098" t="s">
        <v>3814</v>
      </c>
      <c r="B2098" t="s">
        <v>1390</v>
      </c>
      <c r="C2098" t="s">
        <v>2805</v>
      </c>
      <c r="D2098" t="s">
        <v>2806</v>
      </c>
      <c r="E2098">
        <v>1</v>
      </c>
      <c r="F2098">
        <v>0</v>
      </c>
      <c r="G2098">
        <v>0</v>
      </c>
      <c r="H2098">
        <f t="shared" si="64"/>
        <v>1</v>
      </c>
      <c r="I2098">
        <v>0</v>
      </c>
      <c r="J2098">
        <v>0</v>
      </c>
      <c r="K2098">
        <v>0</v>
      </c>
      <c r="L2098">
        <f t="shared" si="65"/>
        <v>0</v>
      </c>
    </row>
    <row r="2099" spans="1:12">
      <c r="A2099" t="s">
        <v>3814</v>
      </c>
      <c r="B2099" t="s">
        <v>1390</v>
      </c>
      <c r="C2099" t="s">
        <v>2805</v>
      </c>
      <c r="D2099" t="s">
        <v>449</v>
      </c>
      <c r="E2099">
        <v>17</v>
      </c>
      <c r="F2099">
        <v>0</v>
      </c>
      <c r="G2099">
        <v>0</v>
      </c>
      <c r="H2099">
        <f t="shared" si="64"/>
        <v>17</v>
      </c>
      <c r="I2099">
        <v>0</v>
      </c>
      <c r="J2099">
        <v>0</v>
      </c>
      <c r="K2099">
        <v>0</v>
      </c>
      <c r="L2099">
        <f t="shared" si="65"/>
        <v>0</v>
      </c>
    </row>
    <row r="2100" spans="1:12">
      <c r="A2100" t="s">
        <v>3814</v>
      </c>
      <c r="B2100" t="s">
        <v>1390</v>
      </c>
      <c r="C2100" t="s">
        <v>2805</v>
      </c>
      <c r="D2100" t="s">
        <v>2807</v>
      </c>
      <c r="E2100">
        <v>1</v>
      </c>
      <c r="F2100">
        <v>0</v>
      </c>
      <c r="G2100">
        <v>0</v>
      </c>
      <c r="H2100">
        <f t="shared" si="64"/>
        <v>1</v>
      </c>
      <c r="I2100">
        <v>0</v>
      </c>
      <c r="J2100">
        <v>0</v>
      </c>
      <c r="K2100">
        <v>0</v>
      </c>
      <c r="L2100">
        <f t="shared" si="65"/>
        <v>0</v>
      </c>
    </row>
    <row r="2101" spans="1:12">
      <c r="A2101" t="s">
        <v>3814</v>
      </c>
      <c r="B2101" t="s">
        <v>1390</v>
      </c>
      <c r="C2101" t="s">
        <v>2810</v>
      </c>
      <c r="D2101" t="s">
        <v>2811</v>
      </c>
      <c r="E2101">
        <v>2</v>
      </c>
      <c r="F2101">
        <v>0</v>
      </c>
      <c r="G2101">
        <v>0</v>
      </c>
      <c r="H2101">
        <f t="shared" si="64"/>
        <v>2</v>
      </c>
      <c r="I2101">
        <v>0</v>
      </c>
      <c r="J2101">
        <v>0</v>
      </c>
      <c r="K2101">
        <v>0</v>
      </c>
      <c r="L2101">
        <f t="shared" si="65"/>
        <v>0</v>
      </c>
    </row>
    <row r="2102" spans="1:12">
      <c r="A2102" t="s">
        <v>3814</v>
      </c>
      <c r="B2102" t="s">
        <v>1390</v>
      </c>
      <c r="C2102" t="s">
        <v>2810</v>
      </c>
      <c r="D2102" t="s">
        <v>2823</v>
      </c>
      <c r="E2102">
        <v>1</v>
      </c>
      <c r="F2102">
        <v>7</v>
      </c>
      <c r="G2102">
        <v>0</v>
      </c>
      <c r="H2102">
        <f t="shared" si="64"/>
        <v>8</v>
      </c>
      <c r="I2102">
        <v>0</v>
      </c>
      <c r="J2102">
        <v>0</v>
      </c>
      <c r="K2102">
        <v>0</v>
      </c>
      <c r="L2102">
        <f t="shared" si="65"/>
        <v>0</v>
      </c>
    </row>
    <row r="2103" spans="1:12">
      <c r="A2103" t="s">
        <v>3814</v>
      </c>
      <c r="B2103" t="s">
        <v>1390</v>
      </c>
      <c r="C2103" t="s">
        <v>2810</v>
      </c>
      <c r="D2103" t="s">
        <v>2812</v>
      </c>
      <c r="E2103">
        <v>10</v>
      </c>
      <c r="F2103">
        <v>0</v>
      </c>
      <c r="G2103">
        <v>0</v>
      </c>
      <c r="H2103">
        <f t="shared" si="64"/>
        <v>10</v>
      </c>
      <c r="I2103">
        <v>0</v>
      </c>
      <c r="J2103">
        <v>0</v>
      </c>
      <c r="K2103">
        <v>0</v>
      </c>
      <c r="L2103">
        <f t="shared" si="65"/>
        <v>0</v>
      </c>
    </row>
    <row r="2104" spans="1:12">
      <c r="A2104" t="s">
        <v>3814</v>
      </c>
      <c r="B2104" t="s">
        <v>1390</v>
      </c>
      <c r="C2104" t="s">
        <v>2810</v>
      </c>
      <c r="D2104" t="s">
        <v>2813</v>
      </c>
      <c r="E2104">
        <v>3</v>
      </c>
      <c r="F2104">
        <v>0</v>
      </c>
      <c r="G2104">
        <v>0</v>
      </c>
      <c r="H2104">
        <f t="shared" si="64"/>
        <v>3</v>
      </c>
      <c r="I2104">
        <v>0</v>
      </c>
      <c r="J2104">
        <v>0</v>
      </c>
      <c r="K2104">
        <v>0</v>
      </c>
      <c r="L2104">
        <f t="shared" si="65"/>
        <v>0</v>
      </c>
    </row>
    <row r="2105" spans="1:12">
      <c r="A2105" t="s">
        <v>3814</v>
      </c>
      <c r="B2105" t="s">
        <v>1390</v>
      </c>
      <c r="C2105" t="s">
        <v>2810</v>
      </c>
      <c r="D2105" t="s">
        <v>2847</v>
      </c>
      <c r="E2105">
        <v>4</v>
      </c>
      <c r="F2105">
        <v>0</v>
      </c>
      <c r="G2105">
        <v>0</v>
      </c>
      <c r="H2105">
        <f t="shared" si="64"/>
        <v>4</v>
      </c>
      <c r="I2105">
        <v>0</v>
      </c>
      <c r="J2105">
        <v>0</v>
      </c>
      <c r="K2105">
        <v>0</v>
      </c>
      <c r="L2105">
        <f t="shared" si="65"/>
        <v>0</v>
      </c>
    </row>
    <row r="2106" spans="1:12">
      <c r="A2106" t="s">
        <v>3814</v>
      </c>
      <c r="B2106" t="s">
        <v>1390</v>
      </c>
      <c r="C2106" t="s">
        <v>2816</v>
      </c>
      <c r="D2106" t="s">
        <v>1897</v>
      </c>
      <c r="E2106">
        <v>2</v>
      </c>
      <c r="F2106">
        <v>0</v>
      </c>
      <c r="G2106">
        <v>0</v>
      </c>
      <c r="H2106">
        <f t="shared" si="64"/>
        <v>2</v>
      </c>
      <c r="I2106">
        <v>0</v>
      </c>
      <c r="J2106">
        <v>0</v>
      </c>
      <c r="K2106">
        <v>0</v>
      </c>
      <c r="L2106">
        <f t="shared" si="65"/>
        <v>0</v>
      </c>
    </row>
    <row r="2107" spans="1:12">
      <c r="A2107" t="s">
        <v>3826</v>
      </c>
      <c r="B2107" t="s">
        <v>1394</v>
      </c>
      <c r="C2107" t="s">
        <v>2805</v>
      </c>
      <c r="D2107" t="s">
        <v>2806</v>
      </c>
      <c r="E2107">
        <v>35</v>
      </c>
      <c r="F2107">
        <v>0</v>
      </c>
      <c r="G2107">
        <v>0</v>
      </c>
      <c r="H2107">
        <f t="shared" si="64"/>
        <v>35</v>
      </c>
      <c r="I2107">
        <v>0</v>
      </c>
      <c r="J2107">
        <v>0</v>
      </c>
      <c r="K2107">
        <v>0</v>
      </c>
      <c r="L2107">
        <f t="shared" si="65"/>
        <v>0</v>
      </c>
    </row>
    <row r="2108" spans="1:12">
      <c r="A2108" t="s">
        <v>3826</v>
      </c>
      <c r="B2108" t="s">
        <v>1394</v>
      </c>
      <c r="C2108" t="s">
        <v>2805</v>
      </c>
      <c r="D2108" t="s">
        <v>449</v>
      </c>
      <c r="E2108">
        <v>64</v>
      </c>
      <c r="F2108">
        <v>0</v>
      </c>
      <c r="G2108">
        <v>0</v>
      </c>
      <c r="H2108">
        <f t="shared" si="64"/>
        <v>64</v>
      </c>
      <c r="I2108">
        <v>0</v>
      </c>
      <c r="J2108">
        <v>0</v>
      </c>
      <c r="K2108">
        <v>0</v>
      </c>
      <c r="L2108">
        <f t="shared" si="65"/>
        <v>0</v>
      </c>
    </row>
    <row r="2109" spans="1:12">
      <c r="A2109" t="s">
        <v>3826</v>
      </c>
      <c r="B2109" t="s">
        <v>1394</v>
      </c>
      <c r="C2109" t="s">
        <v>2805</v>
      </c>
      <c r="D2109" t="s">
        <v>2807</v>
      </c>
      <c r="E2109">
        <v>35</v>
      </c>
      <c r="F2109">
        <v>0</v>
      </c>
      <c r="G2109">
        <v>0</v>
      </c>
      <c r="H2109">
        <f t="shared" si="64"/>
        <v>35</v>
      </c>
      <c r="I2109">
        <v>1</v>
      </c>
      <c r="J2109">
        <v>0</v>
      </c>
      <c r="K2109">
        <v>0</v>
      </c>
      <c r="L2109">
        <f t="shared" si="65"/>
        <v>1</v>
      </c>
    </row>
    <row r="2110" spans="1:12">
      <c r="A2110" t="s">
        <v>3826</v>
      </c>
      <c r="B2110" t="s">
        <v>1394</v>
      </c>
      <c r="C2110" t="s">
        <v>2805</v>
      </c>
      <c r="D2110" t="s">
        <v>2809</v>
      </c>
      <c r="E2110">
        <v>31</v>
      </c>
      <c r="F2110">
        <v>0</v>
      </c>
      <c r="G2110">
        <v>0</v>
      </c>
      <c r="H2110">
        <f t="shared" si="64"/>
        <v>31</v>
      </c>
      <c r="I2110">
        <v>0</v>
      </c>
      <c r="J2110">
        <v>0</v>
      </c>
      <c r="K2110">
        <v>0</v>
      </c>
      <c r="L2110">
        <f t="shared" si="65"/>
        <v>0</v>
      </c>
    </row>
    <row r="2111" spans="1:12">
      <c r="A2111" t="s">
        <v>3826</v>
      </c>
      <c r="B2111" t="s">
        <v>1394</v>
      </c>
      <c r="C2111" t="s">
        <v>2805</v>
      </c>
      <c r="D2111" t="s">
        <v>3127</v>
      </c>
      <c r="E2111">
        <v>5</v>
      </c>
      <c r="F2111">
        <v>0</v>
      </c>
      <c r="G2111">
        <v>0</v>
      </c>
      <c r="H2111">
        <f t="shared" si="64"/>
        <v>5</v>
      </c>
      <c r="I2111">
        <v>0</v>
      </c>
      <c r="J2111">
        <v>0</v>
      </c>
      <c r="K2111">
        <v>0</v>
      </c>
      <c r="L2111">
        <f t="shared" si="65"/>
        <v>0</v>
      </c>
    </row>
    <row r="2112" spans="1:12">
      <c r="A2112" t="s">
        <v>3826</v>
      </c>
      <c r="B2112" t="s">
        <v>1394</v>
      </c>
      <c r="C2112" t="s">
        <v>2810</v>
      </c>
      <c r="D2112" t="s">
        <v>2811</v>
      </c>
      <c r="E2112">
        <v>35</v>
      </c>
      <c r="F2112">
        <v>0</v>
      </c>
      <c r="G2112">
        <v>0</v>
      </c>
      <c r="H2112">
        <f t="shared" si="64"/>
        <v>35</v>
      </c>
      <c r="I2112">
        <v>1</v>
      </c>
      <c r="J2112">
        <v>0</v>
      </c>
      <c r="K2112">
        <v>0</v>
      </c>
      <c r="L2112">
        <f t="shared" si="65"/>
        <v>1</v>
      </c>
    </row>
    <row r="2113" spans="1:12">
      <c r="A2113" t="s">
        <v>3826</v>
      </c>
      <c r="B2113" t="s">
        <v>1394</v>
      </c>
      <c r="C2113" t="s">
        <v>2810</v>
      </c>
      <c r="D2113" t="s">
        <v>2813</v>
      </c>
      <c r="E2113">
        <v>9</v>
      </c>
      <c r="F2113">
        <v>0</v>
      </c>
      <c r="G2113">
        <v>0</v>
      </c>
      <c r="H2113">
        <f t="shared" si="64"/>
        <v>9</v>
      </c>
      <c r="I2113">
        <v>0</v>
      </c>
      <c r="J2113">
        <v>0</v>
      </c>
      <c r="K2113">
        <v>0</v>
      </c>
      <c r="L2113">
        <f t="shared" si="65"/>
        <v>0</v>
      </c>
    </row>
    <row r="2114" spans="1:12">
      <c r="A2114" t="s">
        <v>3826</v>
      </c>
      <c r="B2114" t="s">
        <v>1394</v>
      </c>
      <c r="C2114" t="s">
        <v>2810</v>
      </c>
      <c r="D2114" t="s">
        <v>2814</v>
      </c>
      <c r="E2114">
        <v>1</v>
      </c>
      <c r="F2114">
        <v>0</v>
      </c>
      <c r="G2114">
        <v>0</v>
      </c>
      <c r="H2114">
        <f t="shared" si="64"/>
        <v>1</v>
      </c>
      <c r="I2114">
        <v>0</v>
      </c>
      <c r="J2114">
        <v>0</v>
      </c>
      <c r="K2114">
        <v>0</v>
      </c>
      <c r="L2114">
        <f t="shared" si="65"/>
        <v>0</v>
      </c>
    </row>
    <row r="2115" spans="1:12">
      <c r="A2115" t="s">
        <v>3826</v>
      </c>
      <c r="B2115" t="s">
        <v>1394</v>
      </c>
      <c r="C2115" t="s">
        <v>2841</v>
      </c>
      <c r="D2115" t="s">
        <v>2842</v>
      </c>
      <c r="E2115">
        <v>0</v>
      </c>
      <c r="F2115">
        <v>0</v>
      </c>
      <c r="G2115">
        <v>0</v>
      </c>
      <c r="H2115">
        <f t="shared" si="64"/>
        <v>0</v>
      </c>
      <c r="I2115">
        <v>1</v>
      </c>
      <c r="J2115">
        <v>0</v>
      </c>
      <c r="K2115">
        <v>0</v>
      </c>
      <c r="L2115">
        <f t="shared" si="65"/>
        <v>1</v>
      </c>
    </row>
    <row r="2116" spans="1:12">
      <c r="A2116" t="s">
        <v>3826</v>
      </c>
      <c r="B2116" t="s">
        <v>1394</v>
      </c>
      <c r="C2116" t="s">
        <v>2817</v>
      </c>
      <c r="D2116" t="s">
        <v>2909</v>
      </c>
      <c r="E2116">
        <v>16</v>
      </c>
      <c r="F2116">
        <v>0</v>
      </c>
      <c r="G2116">
        <v>0</v>
      </c>
      <c r="H2116">
        <f t="shared" ref="H2116:H2179" si="66">SUM(E2116:G2116)</f>
        <v>16</v>
      </c>
      <c r="I2116">
        <v>0</v>
      </c>
      <c r="J2116">
        <v>0</v>
      </c>
      <c r="K2116">
        <v>0</v>
      </c>
      <c r="L2116">
        <f t="shared" ref="L2116:L2179" si="67">SUM(I2116:K2116)</f>
        <v>0</v>
      </c>
    </row>
    <row r="2117" spans="1:12">
      <c r="A2117" t="s">
        <v>3827</v>
      </c>
      <c r="B2117" t="s">
        <v>1399</v>
      </c>
      <c r="C2117" t="s">
        <v>2805</v>
      </c>
      <c r="D2117" t="s">
        <v>2806</v>
      </c>
      <c r="E2117">
        <v>195</v>
      </c>
      <c r="F2117">
        <v>0</v>
      </c>
      <c r="G2117">
        <v>0</v>
      </c>
      <c r="H2117">
        <f t="shared" si="66"/>
        <v>195</v>
      </c>
      <c r="I2117">
        <v>0</v>
      </c>
      <c r="J2117">
        <v>0</v>
      </c>
      <c r="K2117">
        <v>0</v>
      </c>
      <c r="L2117">
        <f t="shared" si="67"/>
        <v>0</v>
      </c>
    </row>
    <row r="2118" spans="1:12">
      <c r="A2118" t="s">
        <v>3827</v>
      </c>
      <c r="B2118" t="s">
        <v>1399</v>
      </c>
      <c r="C2118" t="s">
        <v>2805</v>
      </c>
      <c r="D2118" t="s">
        <v>449</v>
      </c>
      <c r="E2118">
        <v>403</v>
      </c>
      <c r="F2118">
        <v>0</v>
      </c>
      <c r="G2118">
        <v>0</v>
      </c>
      <c r="H2118">
        <f t="shared" si="66"/>
        <v>403</v>
      </c>
      <c r="I2118">
        <v>12</v>
      </c>
      <c r="J2118">
        <v>0</v>
      </c>
      <c r="K2118">
        <v>0</v>
      </c>
      <c r="L2118">
        <f t="shared" si="67"/>
        <v>12</v>
      </c>
    </row>
    <row r="2119" spans="1:12">
      <c r="A2119" t="s">
        <v>3827</v>
      </c>
      <c r="B2119" t="s">
        <v>1399</v>
      </c>
      <c r="C2119" t="s">
        <v>2805</v>
      </c>
      <c r="D2119" t="s">
        <v>2807</v>
      </c>
      <c r="E2119">
        <v>12</v>
      </c>
      <c r="F2119">
        <v>0</v>
      </c>
      <c r="G2119">
        <v>0</v>
      </c>
      <c r="H2119">
        <f t="shared" si="66"/>
        <v>12</v>
      </c>
      <c r="I2119">
        <v>0</v>
      </c>
      <c r="J2119">
        <v>0</v>
      </c>
      <c r="K2119">
        <v>0</v>
      </c>
      <c r="L2119">
        <f t="shared" si="67"/>
        <v>0</v>
      </c>
    </row>
    <row r="2120" spans="1:12">
      <c r="A2120" t="s">
        <v>3827</v>
      </c>
      <c r="B2120" t="s">
        <v>1399</v>
      </c>
      <c r="C2120" t="s">
        <v>2810</v>
      </c>
      <c r="D2120" t="s">
        <v>2811</v>
      </c>
      <c r="E2120">
        <v>66</v>
      </c>
      <c r="F2120">
        <v>0</v>
      </c>
      <c r="G2120">
        <v>0</v>
      </c>
      <c r="H2120">
        <f t="shared" si="66"/>
        <v>66</v>
      </c>
      <c r="I2120">
        <v>0</v>
      </c>
      <c r="J2120">
        <v>0</v>
      </c>
      <c r="K2120">
        <v>0</v>
      </c>
      <c r="L2120">
        <f t="shared" si="67"/>
        <v>0</v>
      </c>
    </row>
    <row r="2121" spans="1:12">
      <c r="A2121" t="s">
        <v>3827</v>
      </c>
      <c r="B2121" t="s">
        <v>1399</v>
      </c>
      <c r="C2121" t="s">
        <v>2810</v>
      </c>
      <c r="D2121" t="s">
        <v>2812</v>
      </c>
      <c r="E2121">
        <v>4</v>
      </c>
      <c r="F2121">
        <v>0</v>
      </c>
      <c r="G2121">
        <v>0</v>
      </c>
      <c r="H2121">
        <f t="shared" si="66"/>
        <v>4</v>
      </c>
      <c r="I2121">
        <v>0</v>
      </c>
      <c r="J2121">
        <v>0</v>
      </c>
      <c r="K2121">
        <v>0</v>
      </c>
      <c r="L2121">
        <f t="shared" si="67"/>
        <v>0</v>
      </c>
    </row>
    <row r="2122" spans="1:12">
      <c r="A2122" t="s">
        <v>3827</v>
      </c>
      <c r="B2122" t="s">
        <v>1399</v>
      </c>
      <c r="C2122" t="s">
        <v>2810</v>
      </c>
      <c r="D2122" t="s">
        <v>2813</v>
      </c>
      <c r="E2122">
        <v>35</v>
      </c>
      <c r="F2122">
        <v>0</v>
      </c>
      <c r="G2122">
        <v>0</v>
      </c>
      <c r="H2122">
        <f t="shared" si="66"/>
        <v>35</v>
      </c>
      <c r="I2122">
        <v>0</v>
      </c>
      <c r="J2122">
        <v>0</v>
      </c>
      <c r="K2122">
        <v>0</v>
      </c>
      <c r="L2122">
        <f t="shared" si="67"/>
        <v>0</v>
      </c>
    </row>
    <row r="2123" spans="1:12">
      <c r="A2123" t="s">
        <v>3827</v>
      </c>
      <c r="B2123" t="s">
        <v>1399</v>
      </c>
      <c r="C2123" t="s">
        <v>2816</v>
      </c>
      <c r="D2123" t="s">
        <v>1897</v>
      </c>
      <c r="E2123">
        <v>42</v>
      </c>
      <c r="F2123">
        <v>0</v>
      </c>
      <c r="G2123">
        <v>0</v>
      </c>
      <c r="H2123">
        <f t="shared" si="66"/>
        <v>42</v>
      </c>
      <c r="I2123">
        <v>0</v>
      </c>
      <c r="J2123">
        <v>0</v>
      </c>
      <c r="K2123">
        <v>0</v>
      </c>
      <c r="L2123">
        <f t="shared" si="67"/>
        <v>0</v>
      </c>
    </row>
    <row r="2124" spans="1:12">
      <c r="A2124" t="s">
        <v>3827</v>
      </c>
      <c r="B2124" t="s">
        <v>1399</v>
      </c>
      <c r="C2124" t="s">
        <v>2816</v>
      </c>
      <c r="D2124" t="s">
        <v>2848</v>
      </c>
      <c r="E2124">
        <v>41</v>
      </c>
      <c r="F2124">
        <v>0</v>
      </c>
      <c r="G2124">
        <v>0</v>
      </c>
      <c r="H2124">
        <f t="shared" si="66"/>
        <v>41</v>
      </c>
      <c r="I2124">
        <v>0</v>
      </c>
      <c r="J2124">
        <v>0</v>
      </c>
      <c r="K2124">
        <v>0</v>
      </c>
      <c r="L2124">
        <f t="shared" si="67"/>
        <v>0</v>
      </c>
    </row>
    <row r="2125" spans="1:12">
      <c r="A2125" t="s">
        <v>3827</v>
      </c>
      <c r="B2125" t="s">
        <v>1399</v>
      </c>
      <c r="C2125" t="s">
        <v>2826</v>
      </c>
      <c r="D2125" t="s">
        <v>2831</v>
      </c>
      <c r="E2125">
        <v>0</v>
      </c>
      <c r="F2125">
        <v>0</v>
      </c>
      <c r="G2125">
        <v>0</v>
      </c>
      <c r="H2125">
        <f t="shared" si="66"/>
        <v>0</v>
      </c>
      <c r="I2125">
        <v>1</v>
      </c>
      <c r="J2125">
        <v>0</v>
      </c>
      <c r="K2125">
        <v>0</v>
      </c>
      <c r="L2125">
        <f t="shared" si="67"/>
        <v>1</v>
      </c>
    </row>
    <row r="2126" spans="1:12">
      <c r="A2126" t="s">
        <v>3827</v>
      </c>
      <c r="B2126" t="s">
        <v>1399</v>
      </c>
      <c r="C2126" t="s">
        <v>2826</v>
      </c>
      <c r="D2126" t="s">
        <v>2843</v>
      </c>
      <c r="E2126">
        <v>0</v>
      </c>
      <c r="F2126">
        <v>0</v>
      </c>
      <c r="G2126">
        <v>0</v>
      </c>
      <c r="H2126">
        <f t="shared" si="66"/>
        <v>0</v>
      </c>
      <c r="I2126">
        <v>2</v>
      </c>
      <c r="J2126">
        <v>0</v>
      </c>
      <c r="K2126">
        <v>0</v>
      </c>
      <c r="L2126">
        <f t="shared" si="67"/>
        <v>2</v>
      </c>
    </row>
    <row r="2127" spans="1:12">
      <c r="A2127" t="s">
        <v>3827</v>
      </c>
      <c r="B2127" t="s">
        <v>1399</v>
      </c>
      <c r="C2127" t="s">
        <v>2826</v>
      </c>
      <c r="D2127" t="s">
        <v>2884</v>
      </c>
      <c r="E2127">
        <v>0</v>
      </c>
      <c r="F2127">
        <v>0</v>
      </c>
      <c r="G2127">
        <v>0</v>
      </c>
      <c r="H2127">
        <f t="shared" si="66"/>
        <v>0</v>
      </c>
      <c r="I2127">
        <v>1</v>
      </c>
      <c r="J2127">
        <v>0</v>
      </c>
      <c r="K2127">
        <v>0</v>
      </c>
      <c r="L2127">
        <f t="shared" si="67"/>
        <v>1</v>
      </c>
    </row>
    <row r="2128" spans="1:12">
      <c r="A2128" t="s">
        <v>3827</v>
      </c>
      <c r="B2128" t="s">
        <v>1399</v>
      </c>
      <c r="C2128" t="s">
        <v>2826</v>
      </c>
      <c r="D2128" t="s">
        <v>2835</v>
      </c>
      <c r="E2128">
        <v>0</v>
      </c>
      <c r="F2128">
        <v>0</v>
      </c>
      <c r="G2128">
        <v>0</v>
      </c>
      <c r="H2128">
        <f t="shared" si="66"/>
        <v>0</v>
      </c>
      <c r="I2128">
        <v>1</v>
      </c>
      <c r="J2128">
        <v>0</v>
      </c>
      <c r="K2128">
        <v>0</v>
      </c>
      <c r="L2128">
        <f t="shared" si="67"/>
        <v>1</v>
      </c>
    </row>
    <row r="2129" spans="1:12">
      <c r="A2129" t="s">
        <v>3827</v>
      </c>
      <c r="B2129" t="s">
        <v>1399</v>
      </c>
      <c r="C2129" t="s">
        <v>2817</v>
      </c>
      <c r="D2129" t="s">
        <v>2877</v>
      </c>
      <c r="E2129">
        <v>5</v>
      </c>
      <c r="F2129">
        <v>0</v>
      </c>
      <c r="G2129">
        <v>0</v>
      </c>
      <c r="H2129">
        <f t="shared" si="66"/>
        <v>5</v>
      </c>
      <c r="I2129">
        <v>0</v>
      </c>
      <c r="J2129">
        <v>0</v>
      </c>
      <c r="K2129">
        <v>0</v>
      </c>
      <c r="L2129">
        <f t="shared" si="67"/>
        <v>0</v>
      </c>
    </row>
    <row r="2130" spans="1:12">
      <c r="A2130" t="s">
        <v>3827</v>
      </c>
      <c r="B2130" t="s">
        <v>1399</v>
      </c>
      <c r="C2130" t="s">
        <v>2817</v>
      </c>
      <c r="D2130" t="s">
        <v>2818</v>
      </c>
      <c r="E2130">
        <v>21</v>
      </c>
      <c r="F2130">
        <v>0</v>
      </c>
      <c r="G2130">
        <v>0</v>
      </c>
      <c r="H2130">
        <f t="shared" si="66"/>
        <v>21</v>
      </c>
      <c r="I2130">
        <v>0</v>
      </c>
      <c r="J2130">
        <v>0</v>
      </c>
      <c r="K2130">
        <v>0</v>
      </c>
      <c r="L2130">
        <f t="shared" si="67"/>
        <v>0</v>
      </c>
    </row>
    <row r="2131" spans="1:12">
      <c r="A2131" t="s">
        <v>3827</v>
      </c>
      <c r="B2131" t="s">
        <v>1399</v>
      </c>
      <c r="C2131" t="s">
        <v>2817</v>
      </c>
      <c r="D2131" t="s">
        <v>2837</v>
      </c>
      <c r="E2131">
        <v>11</v>
      </c>
      <c r="F2131">
        <v>0</v>
      </c>
      <c r="G2131">
        <v>0</v>
      </c>
      <c r="H2131">
        <f t="shared" si="66"/>
        <v>11</v>
      </c>
      <c r="I2131">
        <v>0</v>
      </c>
      <c r="J2131">
        <v>0</v>
      </c>
      <c r="K2131">
        <v>0</v>
      </c>
      <c r="L2131">
        <f t="shared" si="67"/>
        <v>0</v>
      </c>
    </row>
    <row r="2132" spans="1:12">
      <c r="A2132" t="s">
        <v>3827</v>
      </c>
      <c r="B2132" t="s">
        <v>1399</v>
      </c>
      <c r="C2132" t="s">
        <v>2817</v>
      </c>
      <c r="D2132" t="s">
        <v>2819</v>
      </c>
      <c r="E2132">
        <v>8</v>
      </c>
      <c r="F2132">
        <v>0</v>
      </c>
      <c r="G2132">
        <v>0</v>
      </c>
      <c r="H2132">
        <f t="shared" si="66"/>
        <v>8</v>
      </c>
      <c r="I2132">
        <v>0</v>
      </c>
      <c r="J2132">
        <v>0</v>
      </c>
      <c r="K2132">
        <v>0</v>
      </c>
      <c r="L2132">
        <f t="shared" si="67"/>
        <v>0</v>
      </c>
    </row>
    <row r="2133" spans="1:12">
      <c r="A2133" t="s">
        <v>3827</v>
      </c>
      <c r="B2133" t="s">
        <v>1399</v>
      </c>
      <c r="C2133" t="s">
        <v>2820</v>
      </c>
      <c r="D2133" t="s">
        <v>2821</v>
      </c>
      <c r="E2133">
        <v>1</v>
      </c>
      <c r="F2133">
        <v>0</v>
      </c>
      <c r="G2133">
        <v>0</v>
      </c>
      <c r="H2133">
        <f t="shared" si="66"/>
        <v>1</v>
      </c>
      <c r="I2133">
        <v>0</v>
      </c>
      <c r="J2133">
        <v>0</v>
      </c>
      <c r="K2133">
        <v>0</v>
      </c>
      <c r="L2133">
        <f t="shared" si="67"/>
        <v>0</v>
      </c>
    </row>
    <row r="2134" spans="1:12">
      <c r="A2134" t="s">
        <v>3830</v>
      </c>
      <c r="B2134" t="s">
        <v>1742</v>
      </c>
      <c r="C2134" t="s">
        <v>2805</v>
      </c>
      <c r="D2134" t="s">
        <v>2807</v>
      </c>
      <c r="E2134">
        <v>1</v>
      </c>
      <c r="F2134">
        <v>0</v>
      </c>
      <c r="G2134">
        <v>0</v>
      </c>
      <c r="H2134">
        <f t="shared" si="66"/>
        <v>1</v>
      </c>
      <c r="I2134">
        <v>0</v>
      </c>
      <c r="J2134">
        <v>0</v>
      </c>
      <c r="K2134">
        <v>0</v>
      </c>
      <c r="L2134">
        <f t="shared" si="67"/>
        <v>0</v>
      </c>
    </row>
    <row r="2135" spans="1:12">
      <c r="A2135" t="s">
        <v>3830</v>
      </c>
      <c r="B2135" t="s">
        <v>1742</v>
      </c>
      <c r="C2135" t="s">
        <v>2810</v>
      </c>
      <c r="D2135" t="s">
        <v>2811</v>
      </c>
      <c r="E2135">
        <v>4</v>
      </c>
      <c r="F2135">
        <v>0</v>
      </c>
      <c r="G2135">
        <v>0</v>
      </c>
      <c r="H2135">
        <f t="shared" si="66"/>
        <v>4</v>
      </c>
      <c r="I2135">
        <v>0</v>
      </c>
      <c r="J2135">
        <v>0</v>
      </c>
      <c r="K2135">
        <v>0</v>
      </c>
      <c r="L2135">
        <f t="shared" si="67"/>
        <v>0</v>
      </c>
    </row>
    <row r="2136" spans="1:12">
      <c r="A2136" t="s">
        <v>3830</v>
      </c>
      <c r="B2136" t="s">
        <v>1742</v>
      </c>
      <c r="C2136" t="s">
        <v>2810</v>
      </c>
      <c r="D2136" t="s">
        <v>2812</v>
      </c>
      <c r="E2136">
        <v>134</v>
      </c>
      <c r="F2136">
        <v>0</v>
      </c>
      <c r="G2136">
        <v>0</v>
      </c>
      <c r="H2136">
        <f t="shared" si="66"/>
        <v>134</v>
      </c>
      <c r="I2136">
        <v>0</v>
      </c>
      <c r="J2136">
        <v>0</v>
      </c>
      <c r="K2136">
        <v>0</v>
      </c>
      <c r="L2136">
        <f t="shared" si="67"/>
        <v>0</v>
      </c>
    </row>
    <row r="2137" spans="1:12">
      <c r="A2137" t="s">
        <v>3830</v>
      </c>
      <c r="B2137" t="s">
        <v>1742</v>
      </c>
      <c r="C2137" t="s">
        <v>2810</v>
      </c>
      <c r="D2137" t="s">
        <v>2847</v>
      </c>
      <c r="E2137">
        <v>127</v>
      </c>
      <c r="F2137">
        <v>0</v>
      </c>
      <c r="G2137">
        <v>0</v>
      </c>
      <c r="H2137">
        <f t="shared" si="66"/>
        <v>127</v>
      </c>
      <c r="I2137">
        <v>0</v>
      </c>
      <c r="J2137">
        <v>0</v>
      </c>
      <c r="K2137">
        <v>0</v>
      </c>
      <c r="L2137">
        <f t="shared" si="67"/>
        <v>0</v>
      </c>
    </row>
    <row r="2138" spans="1:12">
      <c r="A2138" t="s">
        <v>3831</v>
      </c>
      <c r="B2138" t="s">
        <v>947</v>
      </c>
      <c r="C2138" t="s">
        <v>2805</v>
      </c>
      <c r="D2138" t="s">
        <v>2806</v>
      </c>
      <c r="E2138">
        <v>23</v>
      </c>
      <c r="F2138">
        <v>0</v>
      </c>
      <c r="G2138">
        <v>0</v>
      </c>
      <c r="H2138">
        <f t="shared" si="66"/>
        <v>23</v>
      </c>
      <c r="I2138">
        <v>4</v>
      </c>
      <c r="J2138">
        <v>0</v>
      </c>
      <c r="K2138">
        <v>0</v>
      </c>
      <c r="L2138">
        <f t="shared" si="67"/>
        <v>4</v>
      </c>
    </row>
    <row r="2139" spans="1:12">
      <c r="A2139" t="s">
        <v>3831</v>
      </c>
      <c r="B2139" t="s">
        <v>947</v>
      </c>
      <c r="C2139" t="s">
        <v>2805</v>
      </c>
      <c r="D2139" t="s">
        <v>449</v>
      </c>
      <c r="E2139">
        <v>196</v>
      </c>
      <c r="F2139">
        <v>0</v>
      </c>
      <c r="G2139">
        <v>0</v>
      </c>
      <c r="H2139">
        <f t="shared" si="66"/>
        <v>196</v>
      </c>
      <c r="I2139">
        <v>0</v>
      </c>
      <c r="J2139">
        <v>0</v>
      </c>
      <c r="K2139">
        <v>0</v>
      </c>
      <c r="L2139">
        <f t="shared" si="67"/>
        <v>0</v>
      </c>
    </row>
    <row r="2140" spans="1:12">
      <c r="A2140" t="s">
        <v>3831</v>
      </c>
      <c r="B2140" t="s">
        <v>947</v>
      </c>
      <c r="C2140" t="s">
        <v>2805</v>
      </c>
      <c r="D2140" t="s">
        <v>2807</v>
      </c>
      <c r="E2140">
        <v>47</v>
      </c>
      <c r="F2140">
        <v>0</v>
      </c>
      <c r="G2140">
        <v>0</v>
      </c>
      <c r="H2140">
        <f t="shared" si="66"/>
        <v>47</v>
      </c>
      <c r="I2140">
        <v>1</v>
      </c>
      <c r="J2140">
        <v>0</v>
      </c>
      <c r="K2140">
        <v>0</v>
      </c>
      <c r="L2140">
        <f t="shared" si="67"/>
        <v>1</v>
      </c>
    </row>
    <row r="2141" spans="1:12">
      <c r="A2141" t="s">
        <v>3831</v>
      </c>
      <c r="B2141" t="s">
        <v>947</v>
      </c>
      <c r="C2141" t="s">
        <v>2805</v>
      </c>
      <c r="D2141" t="s">
        <v>2809</v>
      </c>
      <c r="E2141">
        <v>73</v>
      </c>
      <c r="F2141">
        <v>0</v>
      </c>
      <c r="G2141">
        <v>0</v>
      </c>
      <c r="H2141">
        <f t="shared" si="66"/>
        <v>73</v>
      </c>
      <c r="I2141">
        <v>0</v>
      </c>
      <c r="J2141">
        <v>0</v>
      </c>
      <c r="K2141">
        <v>0</v>
      </c>
      <c r="L2141">
        <f t="shared" si="67"/>
        <v>0</v>
      </c>
    </row>
    <row r="2142" spans="1:12">
      <c r="A2142" t="s">
        <v>3831</v>
      </c>
      <c r="B2142" t="s">
        <v>947</v>
      </c>
      <c r="C2142" t="s">
        <v>2810</v>
      </c>
      <c r="D2142" t="s">
        <v>2811</v>
      </c>
      <c r="E2142">
        <v>47</v>
      </c>
      <c r="F2142">
        <v>0</v>
      </c>
      <c r="G2142">
        <v>0</v>
      </c>
      <c r="H2142">
        <f t="shared" si="66"/>
        <v>47</v>
      </c>
      <c r="I2142">
        <v>1</v>
      </c>
      <c r="J2142">
        <v>0</v>
      </c>
      <c r="K2142">
        <v>0</v>
      </c>
      <c r="L2142">
        <f t="shared" si="67"/>
        <v>1</v>
      </c>
    </row>
    <row r="2143" spans="1:12">
      <c r="A2143" t="s">
        <v>3831</v>
      </c>
      <c r="B2143" t="s">
        <v>947</v>
      </c>
      <c r="C2143" t="s">
        <v>2810</v>
      </c>
      <c r="D2143" t="s">
        <v>2812</v>
      </c>
      <c r="E2143">
        <v>4</v>
      </c>
      <c r="F2143">
        <v>0</v>
      </c>
      <c r="G2143">
        <v>0</v>
      </c>
      <c r="H2143">
        <f t="shared" si="66"/>
        <v>4</v>
      </c>
      <c r="I2143">
        <v>0</v>
      </c>
      <c r="J2143">
        <v>0</v>
      </c>
      <c r="K2143">
        <v>0</v>
      </c>
      <c r="L2143">
        <f t="shared" si="67"/>
        <v>0</v>
      </c>
    </row>
    <row r="2144" spans="1:12">
      <c r="A2144" t="s">
        <v>3831</v>
      </c>
      <c r="B2144" t="s">
        <v>947</v>
      </c>
      <c r="C2144" t="s">
        <v>2810</v>
      </c>
      <c r="D2144" t="s">
        <v>2813</v>
      </c>
      <c r="E2144">
        <v>40</v>
      </c>
      <c r="F2144">
        <v>0</v>
      </c>
      <c r="G2144">
        <v>0</v>
      </c>
      <c r="H2144">
        <f t="shared" si="66"/>
        <v>40</v>
      </c>
      <c r="I2144">
        <v>1</v>
      </c>
      <c r="J2144">
        <v>0</v>
      </c>
      <c r="K2144">
        <v>0</v>
      </c>
      <c r="L2144">
        <f t="shared" si="67"/>
        <v>1</v>
      </c>
    </row>
    <row r="2145" spans="1:12">
      <c r="A2145" t="s">
        <v>3831</v>
      </c>
      <c r="B2145" t="s">
        <v>947</v>
      </c>
      <c r="C2145" t="s">
        <v>2810</v>
      </c>
      <c r="D2145" t="s">
        <v>2814</v>
      </c>
      <c r="E2145">
        <v>0</v>
      </c>
      <c r="F2145">
        <v>0</v>
      </c>
      <c r="G2145">
        <v>0</v>
      </c>
      <c r="H2145">
        <f t="shared" si="66"/>
        <v>0</v>
      </c>
      <c r="I2145">
        <v>1</v>
      </c>
      <c r="J2145">
        <v>0</v>
      </c>
      <c r="K2145">
        <v>0</v>
      </c>
      <c r="L2145">
        <f t="shared" si="67"/>
        <v>1</v>
      </c>
    </row>
    <row r="2146" spans="1:12">
      <c r="A2146" t="s">
        <v>3831</v>
      </c>
      <c r="B2146" t="s">
        <v>947</v>
      </c>
      <c r="C2146" t="s">
        <v>2816</v>
      </c>
      <c r="D2146" t="s">
        <v>1897</v>
      </c>
      <c r="E2146">
        <v>28</v>
      </c>
      <c r="F2146">
        <v>0</v>
      </c>
      <c r="G2146">
        <v>0</v>
      </c>
      <c r="H2146">
        <f t="shared" si="66"/>
        <v>28</v>
      </c>
      <c r="I2146">
        <v>0</v>
      </c>
      <c r="J2146">
        <v>0</v>
      </c>
      <c r="K2146">
        <v>0</v>
      </c>
      <c r="L2146">
        <f t="shared" si="67"/>
        <v>0</v>
      </c>
    </row>
    <row r="2147" spans="1:12">
      <c r="A2147" t="s">
        <v>3831</v>
      </c>
      <c r="B2147" t="s">
        <v>947</v>
      </c>
      <c r="C2147" t="s">
        <v>2826</v>
      </c>
      <c r="D2147" t="s">
        <v>2871</v>
      </c>
      <c r="E2147">
        <v>0</v>
      </c>
      <c r="F2147">
        <v>0</v>
      </c>
      <c r="G2147">
        <v>0</v>
      </c>
      <c r="H2147">
        <f t="shared" si="66"/>
        <v>0</v>
      </c>
      <c r="I2147">
        <v>1</v>
      </c>
      <c r="J2147">
        <v>0</v>
      </c>
      <c r="K2147">
        <v>0</v>
      </c>
      <c r="L2147">
        <f t="shared" si="67"/>
        <v>1</v>
      </c>
    </row>
    <row r="2148" spans="1:12">
      <c r="A2148" t="s">
        <v>3831</v>
      </c>
      <c r="B2148" t="s">
        <v>947</v>
      </c>
      <c r="C2148" t="s">
        <v>2826</v>
      </c>
      <c r="D2148" t="s">
        <v>2827</v>
      </c>
      <c r="E2148">
        <v>0</v>
      </c>
      <c r="F2148">
        <v>0</v>
      </c>
      <c r="G2148">
        <v>0</v>
      </c>
      <c r="H2148">
        <f t="shared" si="66"/>
        <v>0</v>
      </c>
      <c r="I2148">
        <v>1</v>
      </c>
      <c r="J2148">
        <v>0</v>
      </c>
      <c r="K2148">
        <v>0</v>
      </c>
      <c r="L2148">
        <f t="shared" si="67"/>
        <v>1</v>
      </c>
    </row>
    <row r="2149" spans="1:12">
      <c r="A2149" t="s">
        <v>3831</v>
      </c>
      <c r="B2149" t="s">
        <v>947</v>
      </c>
      <c r="C2149" t="s">
        <v>2826</v>
      </c>
      <c r="D2149" t="s">
        <v>2843</v>
      </c>
      <c r="E2149">
        <v>0</v>
      </c>
      <c r="F2149">
        <v>0</v>
      </c>
      <c r="G2149">
        <v>0</v>
      </c>
      <c r="H2149">
        <f t="shared" si="66"/>
        <v>0</v>
      </c>
      <c r="I2149">
        <v>2</v>
      </c>
      <c r="J2149">
        <v>0</v>
      </c>
      <c r="K2149">
        <v>0</v>
      </c>
      <c r="L2149">
        <f t="shared" si="67"/>
        <v>2</v>
      </c>
    </row>
    <row r="2150" spans="1:12">
      <c r="A2150" t="s">
        <v>3831</v>
      </c>
      <c r="B2150" t="s">
        <v>947</v>
      </c>
      <c r="C2150" t="s">
        <v>2826</v>
      </c>
      <c r="D2150" t="s">
        <v>2884</v>
      </c>
      <c r="E2150">
        <v>0</v>
      </c>
      <c r="F2150">
        <v>0</v>
      </c>
      <c r="G2150">
        <v>0</v>
      </c>
      <c r="H2150">
        <f t="shared" si="66"/>
        <v>0</v>
      </c>
      <c r="I2150">
        <v>1</v>
      </c>
      <c r="J2150">
        <v>0</v>
      </c>
      <c r="K2150">
        <v>0</v>
      </c>
      <c r="L2150">
        <f t="shared" si="67"/>
        <v>1</v>
      </c>
    </row>
    <row r="2151" spans="1:12">
      <c r="A2151" t="s">
        <v>3831</v>
      </c>
      <c r="B2151" t="s">
        <v>947</v>
      </c>
      <c r="C2151" t="s">
        <v>2826</v>
      </c>
      <c r="D2151" t="s">
        <v>2835</v>
      </c>
      <c r="E2151">
        <v>0</v>
      </c>
      <c r="F2151">
        <v>0</v>
      </c>
      <c r="G2151">
        <v>0</v>
      </c>
      <c r="H2151">
        <f t="shared" si="66"/>
        <v>0</v>
      </c>
      <c r="I2151">
        <v>2</v>
      </c>
      <c r="J2151">
        <v>0</v>
      </c>
      <c r="K2151">
        <v>0</v>
      </c>
      <c r="L2151">
        <f t="shared" si="67"/>
        <v>2</v>
      </c>
    </row>
    <row r="2152" spans="1:12">
      <c r="A2152" t="s">
        <v>3831</v>
      </c>
      <c r="B2152" t="s">
        <v>947</v>
      </c>
      <c r="C2152" t="s">
        <v>2817</v>
      </c>
      <c r="D2152" t="s">
        <v>2837</v>
      </c>
      <c r="E2152">
        <v>4</v>
      </c>
      <c r="F2152">
        <v>0</v>
      </c>
      <c r="G2152">
        <v>0</v>
      </c>
      <c r="H2152">
        <f t="shared" si="66"/>
        <v>4</v>
      </c>
      <c r="I2152">
        <v>0</v>
      </c>
      <c r="J2152">
        <v>0</v>
      </c>
      <c r="K2152">
        <v>0</v>
      </c>
      <c r="L2152">
        <f t="shared" si="67"/>
        <v>0</v>
      </c>
    </row>
    <row r="2153" spans="1:12">
      <c r="A2153" t="s">
        <v>3832</v>
      </c>
      <c r="B2153" t="s">
        <v>1409</v>
      </c>
      <c r="C2153" t="s">
        <v>2805</v>
      </c>
      <c r="D2153" t="s">
        <v>2806</v>
      </c>
      <c r="E2153">
        <v>147</v>
      </c>
      <c r="F2153">
        <v>0</v>
      </c>
      <c r="G2153">
        <v>0</v>
      </c>
      <c r="H2153">
        <f t="shared" si="66"/>
        <v>147</v>
      </c>
      <c r="I2153">
        <v>0</v>
      </c>
      <c r="J2153">
        <v>0</v>
      </c>
      <c r="K2153">
        <v>0</v>
      </c>
      <c r="L2153">
        <f t="shared" si="67"/>
        <v>0</v>
      </c>
    </row>
    <row r="2154" spans="1:12">
      <c r="A2154" t="s">
        <v>3832</v>
      </c>
      <c r="B2154" t="s">
        <v>1409</v>
      </c>
      <c r="C2154" t="s">
        <v>2805</v>
      </c>
      <c r="D2154" t="s">
        <v>449</v>
      </c>
      <c r="E2154">
        <v>358</v>
      </c>
      <c r="F2154">
        <v>0</v>
      </c>
      <c r="G2154">
        <v>0</v>
      </c>
      <c r="H2154">
        <f t="shared" si="66"/>
        <v>358</v>
      </c>
      <c r="I2154">
        <v>0</v>
      </c>
      <c r="J2154">
        <v>0</v>
      </c>
      <c r="K2154">
        <v>0</v>
      </c>
      <c r="L2154">
        <f t="shared" si="67"/>
        <v>0</v>
      </c>
    </row>
    <row r="2155" spans="1:12">
      <c r="A2155" t="s">
        <v>3832</v>
      </c>
      <c r="B2155" t="s">
        <v>1409</v>
      </c>
      <c r="C2155" t="s">
        <v>2805</v>
      </c>
      <c r="D2155" t="s">
        <v>2807</v>
      </c>
      <c r="E2155">
        <v>31</v>
      </c>
      <c r="F2155">
        <v>0</v>
      </c>
      <c r="G2155">
        <v>0</v>
      </c>
      <c r="H2155">
        <f t="shared" si="66"/>
        <v>31</v>
      </c>
      <c r="I2155">
        <v>0</v>
      </c>
      <c r="J2155">
        <v>0</v>
      </c>
      <c r="K2155">
        <v>0</v>
      </c>
      <c r="L2155">
        <f t="shared" si="67"/>
        <v>0</v>
      </c>
    </row>
    <row r="2156" spans="1:12">
      <c r="A2156" t="s">
        <v>3832</v>
      </c>
      <c r="B2156" t="s">
        <v>1409</v>
      </c>
      <c r="C2156" t="s">
        <v>2805</v>
      </c>
      <c r="D2156" t="s">
        <v>2809</v>
      </c>
      <c r="E2156">
        <v>30</v>
      </c>
      <c r="F2156">
        <v>0</v>
      </c>
      <c r="G2156">
        <v>0</v>
      </c>
      <c r="H2156">
        <f t="shared" si="66"/>
        <v>30</v>
      </c>
      <c r="I2156">
        <v>0</v>
      </c>
      <c r="J2156">
        <v>0</v>
      </c>
      <c r="K2156">
        <v>0</v>
      </c>
      <c r="L2156">
        <f t="shared" si="67"/>
        <v>0</v>
      </c>
    </row>
    <row r="2157" spans="1:12">
      <c r="A2157" t="s">
        <v>3832</v>
      </c>
      <c r="B2157" t="s">
        <v>1409</v>
      </c>
      <c r="C2157" t="s">
        <v>2805</v>
      </c>
      <c r="D2157" t="s">
        <v>2937</v>
      </c>
      <c r="E2157">
        <v>4</v>
      </c>
      <c r="F2157">
        <v>0</v>
      </c>
      <c r="G2157">
        <v>0</v>
      </c>
      <c r="H2157">
        <f t="shared" si="66"/>
        <v>4</v>
      </c>
      <c r="I2157">
        <v>0</v>
      </c>
      <c r="J2157">
        <v>0</v>
      </c>
      <c r="K2157">
        <v>0</v>
      </c>
      <c r="L2157">
        <f t="shared" si="67"/>
        <v>0</v>
      </c>
    </row>
    <row r="2158" spans="1:12">
      <c r="A2158" t="s">
        <v>3832</v>
      </c>
      <c r="B2158" t="s">
        <v>1409</v>
      </c>
      <c r="C2158" t="s">
        <v>2810</v>
      </c>
      <c r="D2158" t="s">
        <v>2811</v>
      </c>
      <c r="E2158">
        <v>31</v>
      </c>
      <c r="F2158">
        <v>0</v>
      </c>
      <c r="G2158">
        <v>0</v>
      </c>
      <c r="H2158">
        <f t="shared" si="66"/>
        <v>31</v>
      </c>
      <c r="I2158">
        <v>0</v>
      </c>
      <c r="J2158">
        <v>0</v>
      </c>
      <c r="K2158">
        <v>0</v>
      </c>
      <c r="L2158">
        <f t="shared" si="67"/>
        <v>0</v>
      </c>
    </row>
    <row r="2159" spans="1:12">
      <c r="A2159" t="s">
        <v>3832</v>
      </c>
      <c r="B2159" t="s">
        <v>1409</v>
      </c>
      <c r="C2159" t="s">
        <v>2810</v>
      </c>
      <c r="D2159" t="s">
        <v>2823</v>
      </c>
      <c r="E2159">
        <v>1</v>
      </c>
      <c r="F2159">
        <v>0</v>
      </c>
      <c r="G2159">
        <v>0</v>
      </c>
      <c r="H2159">
        <f t="shared" si="66"/>
        <v>1</v>
      </c>
      <c r="I2159">
        <v>0</v>
      </c>
      <c r="J2159">
        <v>0</v>
      </c>
      <c r="K2159">
        <v>0</v>
      </c>
      <c r="L2159">
        <f t="shared" si="67"/>
        <v>0</v>
      </c>
    </row>
    <row r="2160" spans="1:12">
      <c r="A2160" t="s">
        <v>3832</v>
      </c>
      <c r="B2160" t="s">
        <v>1409</v>
      </c>
      <c r="C2160" t="s">
        <v>2810</v>
      </c>
      <c r="D2160" t="s">
        <v>2812</v>
      </c>
      <c r="E2160">
        <v>91</v>
      </c>
      <c r="F2160">
        <v>0</v>
      </c>
      <c r="G2160">
        <v>0</v>
      </c>
      <c r="H2160">
        <f t="shared" si="66"/>
        <v>91</v>
      </c>
      <c r="I2160">
        <v>0</v>
      </c>
      <c r="J2160">
        <v>0</v>
      </c>
      <c r="K2160">
        <v>0</v>
      </c>
      <c r="L2160">
        <f t="shared" si="67"/>
        <v>0</v>
      </c>
    </row>
    <row r="2161" spans="1:12">
      <c r="A2161" t="s">
        <v>3832</v>
      </c>
      <c r="B2161" t="s">
        <v>1409</v>
      </c>
      <c r="C2161" t="s">
        <v>2810</v>
      </c>
      <c r="D2161" t="s">
        <v>2813</v>
      </c>
      <c r="E2161">
        <v>35</v>
      </c>
      <c r="F2161">
        <v>0</v>
      </c>
      <c r="G2161">
        <v>0</v>
      </c>
      <c r="H2161">
        <f t="shared" si="66"/>
        <v>35</v>
      </c>
      <c r="I2161">
        <v>0</v>
      </c>
      <c r="J2161">
        <v>0</v>
      </c>
      <c r="K2161">
        <v>0</v>
      </c>
      <c r="L2161">
        <f t="shared" si="67"/>
        <v>0</v>
      </c>
    </row>
    <row r="2162" spans="1:12">
      <c r="A2162" t="s">
        <v>3832</v>
      </c>
      <c r="B2162" t="s">
        <v>1409</v>
      </c>
      <c r="C2162" t="s">
        <v>2810</v>
      </c>
      <c r="D2162" t="s">
        <v>2814</v>
      </c>
      <c r="E2162">
        <v>7</v>
      </c>
      <c r="F2162">
        <v>0</v>
      </c>
      <c r="G2162">
        <v>0</v>
      </c>
      <c r="H2162">
        <f t="shared" si="66"/>
        <v>7</v>
      </c>
      <c r="I2162">
        <v>0</v>
      </c>
      <c r="J2162">
        <v>0</v>
      </c>
      <c r="K2162">
        <v>0</v>
      </c>
      <c r="L2162">
        <f t="shared" si="67"/>
        <v>0</v>
      </c>
    </row>
    <row r="2163" spans="1:12">
      <c r="A2163" t="s">
        <v>3832</v>
      </c>
      <c r="B2163" t="s">
        <v>1409</v>
      </c>
      <c r="C2163" t="s">
        <v>2810</v>
      </c>
      <c r="D2163" t="s">
        <v>2847</v>
      </c>
      <c r="E2163">
        <v>110</v>
      </c>
      <c r="F2163">
        <v>0</v>
      </c>
      <c r="G2163">
        <v>0</v>
      </c>
      <c r="H2163">
        <f t="shared" si="66"/>
        <v>110</v>
      </c>
      <c r="I2163">
        <v>0</v>
      </c>
      <c r="J2163">
        <v>0</v>
      </c>
      <c r="K2163">
        <v>0</v>
      </c>
      <c r="L2163">
        <f t="shared" si="67"/>
        <v>0</v>
      </c>
    </row>
    <row r="2164" spans="1:12">
      <c r="A2164" t="s">
        <v>3832</v>
      </c>
      <c r="B2164" t="s">
        <v>1409</v>
      </c>
      <c r="C2164" t="s">
        <v>2810</v>
      </c>
      <c r="D2164" t="s">
        <v>2815</v>
      </c>
      <c r="E2164">
        <v>5</v>
      </c>
      <c r="F2164">
        <v>0</v>
      </c>
      <c r="G2164">
        <v>0</v>
      </c>
      <c r="H2164">
        <f t="shared" si="66"/>
        <v>5</v>
      </c>
      <c r="I2164">
        <v>0</v>
      </c>
      <c r="J2164">
        <v>0</v>
      </c>
      <c r="K2164">
        <v>0</v>
      </c>
      <c r="L2164">
        <f t="shared" si="67"/>
        <v>0</v>
      </c>
    </row>
    <row r="2165" spans="1:12">
      <c r="A2165" t="s">
        <v>3832</v>
      </c>
      <c r="B2165" t="s">
        <v>1409</v>
      </c>
      <c r="C2165" t="s">
        <v>2816</v>
      </c>
      <c r="D2165" t="s">
        <v>1896</v>
      </c>
      <c r="E2165">
        <v>3</v>
      </c>
      <c r="F2165">
        <v>0</v>
      </c>
      <c r="G2165">
        <v>0</v>
      </c>
      <c r="H2165">
        <f t="shared" si="66"/>
        <v>3</v>
      </c>
      <c r="I2165">
        <v>0</v>
      </c>
      <c r="J2165">
        <v>0</v>
      </c>
      <c r="K2165">
        <v>0</v>
      </c>
      <c r="L2165">
        <f t="shared" si="67"/>
        <v>0</v>
      </c>
    </row>
    <row r="2166" spans="1:12">
      <c r="A2166" t="s">
        <v>3832</v>
      </c>
      <c r="B2166" t="s">
        <v>1409</v>
      </c>
      <c r="C2166" t="s">
        <v>2816</v>
      </c>
      <c r="D2166" t="s">
        <v>1897</v>
      </c>
      <c r="E2166">
        <v>69</v>
      </c>
      <c r="F2166">
        <v>0</v>
      </c>
      <c r="G2166">
        <v>0</v>
      </c>
      <c r="H2166">
        <f t="shared" si="66"/>
        <v>69</v>
      </c>
      <c r="I2166">
        <v>0</v>
      </c>
      <c r="J2166">
        <v>0</v>
      </c>
      <c r="K2166">
        <v>0</v>
      </c>
      <c r="L2166">
        <f t="shared" si="67"/>
        <v>0</v>
      </c>
    </row>
    <row r="2167" spans="1:12">
      <c r="A2167" t="s">
        <v>3832</v>
      </c>
      <c r="B2167" t="s">
        <v>1409</v>
      </c>
      <c r="C2167" t="s">
        <v>2817</v>
      </c>
      <c r="D2167" t="s">
        <v>2818</v>
      </c>
      <c r="E2167">
        <v>4</v>
      </c>
      <c r="F2167">
        <v>0</v>
      </c>
      <c r="G2167">
        <v>0</v>
      </c>
      <c r="H2167">
        <f t="shared" si="66"/>
        <v>4</v>
      </c>
      <c r="I2167">
        <v>0</v>
      </c>
      <c r="J2167">
        <v>0</v>
      </c>
      <c r="K2167">
        <v>0</v>
      </c>
      <c r="L2167">
        <f t="shared" si="67"/>
        <v>0</v>
      </c>
    </row>
    <row r="2168" spans="1:12">
      <c r="A2168" t="s">
        <v>3832</v>
      </c>
      <c r="B2168" t="s">
        <v>1409</v>
      </c>
      <c r="C2168" t="s">
        <v>2817</v>
      </c>
      <c r="D2168" t="s">
        <v>2837</v>
      </c>
      <c r="E2168">
        <v>2</v>
      </c>
      <c r="F2168">
        <v>0</v>
      </c>
      <c r="G2168">
        <v>0</v>
      </c>
      <c r="H2168">
        <f t="shared" si="66"/>
        <v>2</v>
      </c>
      <c r="I2168">
        <v>0</v>
      </c>
      <c r="J2168">
        <v>0</v>
      </c>
      <c r="K2168">
        <v>0</v>
      </c>
      <c r="L2168">
        <f t="shared" si="67"/>
        <v>0</v>
      </c>
    </row>
    <row r="2169" spans="1:12">
      <c r="A2169" t="s">
        <v>3835</v>
      </c>
      <c r="B2169" t="s">
        <v>1413</v>
      </c>
      <c r="C2169" t="s">
        <v>2810</v>
      </c>
      <c r="D2169" t="s">
        <v>2847</v>
      </c>
      <c r="E2169">
        <v>10</v>
      </c>
      <c r="F2169">
        <v>0</v>
      </c>
      <c r="G2169">
        <v>0</v>
      </c>
      <c r="H2169">
        <f t="shared" si="66"/>
        <v>10</v>
      </c>
      <c r="I2169">
        <v>0</v>
      </c>
      <c r="J2169">
        <v>0</v>
      </c>
      <c r="K2169">
        <v>0</v>
      </c>
      <c r="L2169">
        <f t="shared" si="67"/>
        <v>0</v>
      </c>
    </row>
    <row r="2170" spans="1:12">
      <c r="A2170" t="s">
        <v>3838</v>
      </c>
      <c r="B2170" t="s">
        <v>1416</v>
      </c>
      <c r="C2170" t="s">
        <v>2805</v>
      </c>
      <c r="D2170" t="s">
        <v>2806</v>
      </c>
      <c r="E2170">
        <v>446</v>
      </c>
      <c r="F2170">
        <v>0</v>
      </c>
      <c r="G2170">
        <v>0</v>
      </c>
      <c r="H2170">
        <f t="shared" si="66"/>
        <v>446</v>
      </c>
      <c r="I2170">
        <v>3</v>
      </c>
      <c r="J2170">
        <v>0</v>
      </c>
      <c r="K2170">
        <v>0</v>
      </c>
      <c r="L2170">
        <f t="shared" si="67"/>
        <v>3</v>
      </c>
    </row>
    <row r="2171" spans="1:12">
      <c r="A2171" t="s">
        <v>3838</v>
      </c>
      <c r="B2171" t="s">
        <v>1416</v>
      </c>
      <c r="C2171" t="s">
        <v>2805</v>
      </c>
      <c r="D2171" t="s">
        <v>449</v>
      </c>
      <c r="E2171">
        <v>975</v>
      </c>
      <c r="F2171">
        <v>0</v>
      </c>
      <c r="G2171">
        <v>0</v>
      </c>
      <c r="H2171">
        <f t="shared" si="66"/>
        <v>975</v>
      </c>
      <c r="I2171">
        <v>1</v>
      </c>
      <c r="J2171">
        <v>0</v>
      </c>
      <c r="K2171">
        <v>0</v>
      </c>
      <c r="L2171">
        <f t="shared" si="67"/>
        <v>1</v>
      </c>
    </row>
    <row r="2172" spans="1:12">
      <c r="A2172" t="s">
        <v>3838</v>
      </c>
      <c r="B2172" t="s">
        <v>1416</v>
      </c>
      <c r="C2172" t="s">
        <v>2805</v>
      </c>
      <c r="D2172" t="s">
        <v>2807</v>
      </c>
      <c r="E2172">
        <v>9</v>
      </c>
      <c r="F2172">
        <v>0</v>
      </c>
      <c r="G2172">
        <v>0</v>
      </c>
      <c r="H2172">
        <f t="shared" si="66"/>
        <v>9</v>
      </c>
      <c r="I2172">
        <v>1</v>
      </c>
      <c r="J2172">
        <v>0</v>
      </c>
      <c r="K2172">
        <v>0</v>
      </c>
      <c r="L2172">
        <f t="shared" si="67"/>
        <v>1</v>
      </c>
    </row>
    <row r="2173" spans="1:12">
      <c r="A2173" t="s">
        <v>3838</v>
      </c>
      <c r="B2173" t="s">
        <v>1416</v>
      </c>
      <c r="C2173" t="s">
        <v>2810</v>
      </c>
      <c r="D2173" t="s">
        <v>2811</v>
      </c>
      <c r="E2173">
        <v>38</v>
      </c>
      <c r="F2173">
        <v>0</v>
      </c>
      <c r="G2173">
        <v>0</v>
      </c>
      <c r="H2173">
        <f t="shared" si="66"/>
        <v>38</v>
      </c>
      <c r="I2173">
        <v>3</v>
      </c>
      <c r="J2173">
        <v>0</v>
      </c>
      <c r="K2173">
        <v>0</v>
      </c>
      <c r="L2173">
        <f t="shared" si="67"/>
        <v>3</v>
      </c>
    </row>
    <row r="2174" spans="1:12">
      <c r="A2174" t="s">
        <v>3838</v>
      </c>
      <c r="B2174" t="s">
        <v>1416</v>
      </c>
      <c r="C2174" t="s">
        <v>2810</v>
      </c>
      <c r="D2174" t="s">
        <v>1892</v>
      </c>
      <c r="E2174">
        <v>0</v>
      </c>
      <c r="F2174">
        <v>6</v>
      </c>
      <c r="G2174">
        <v>0</v>
      </c>
      <c r="H2174">
        <f t="shared" si="66"/>
        <v>6</v>
      </c>
      <c r="I2174">
        <v>0</v>
      </c>
      <c r="J2174">
        <v>0</v>
      </c>
      <c r="K2174">
        <v>0</v>
      </c>
      <c r="L2174">
        <f t="shared" si="67"/>
        <v>0</v>
      </c>
    </row>
    <row r="2175" spans="1:12">
      <c r="A2175" t="s">
        <v>3838</v>
      </c>
      <c r="B2175" t="s">
        <v>1416</v>
      </c>
      <c r="C2175" t="s">
        <v>2810</v>
      </c>
      <c r="D2175" t="s">
        <v>2812</v>
      </c>
      <c r="E2175">
        <v>83</v>
      </c>
      <c r="F2175">
        <v>0</v>
      </c>
      <c r="G2175">
        <v>0</v>
      </c>
      <c r="H2175">
        <f t="shared" si="66"/>
        <v>83</v>
      </c>
      <c r="I2175">
        <v>6</v>
      </c>
      <c r="J2175">
        <v>0</v>
      </c>
      <c r="K2175">
        <v>0</v>
      </c>
      <c r="L2175">
        <f t="shared" si="67"/>
        <v>6</v>
      </c>
    </row>
    <row r="2176" spans="1:12">
      <c r="A2176" t="s">
        <v>3838</v>
      </c>
      <c r="B2176" t="s">
        <v>1416</v>
      </c>
      <c r="C2176" t="s">
        <v>2810</v>
      </c>
      <c r="D2176" t="s">
        <v>2813</v>
      </c>
      <c r="E2176">
        <v>13</v>
      </c>
      <c r="F2176">
        <v>0</v>
      </c>
      <c r="G2176">
        <v>0</v>
      </c>
      <c r="H2176">
        <f t="shared" si="66"/>
        <v>13</v>
      </c>
      <c r="I2176">
        <v>0</v>
      </c>
      <c r="J2176">
        <v>0</v>
      </c>
      <c r="K2176">
        <v>0</v>
      </c>
      <c r="L2176">
        <f t="shared" si="67"/>
        <v>0</v>
      </c>
    </row>
    <row r="2177" spans="1:12">
      <c r="A2177" t="s">
        <v>3838</v>
      </c>
      <c r="B2177" t="s">
        <v>1416</v>
      </c>
      <c r="C2177" t="s">
        <v>2810</v>
      </c>
      <c r="D2177" t="s">
        <v>2814</v>
      </c>
      <c r="E2177">
        <v>1</v>
      </c>
      <c r="F2177">
        <v>0</v>
      </c>
      <c r="G2177">
        <v>0</v>
      </c>
      <c r="H2177">
        <f t="shared" si="66"/>
        <v>1</v>
      </c>
      <c r="I2177">
        <v>0</v>
      </c>
      <c r="J2177">
        <v>0</v>
      </c>
      <c r="K2177">
        <v>0</v>
      </c>
      <c r="L2177">
        <f t="shared" si="67"/>
        <v>0</v>
      </c>
    </row>
    <row r="2178" spans="1:12">
      <c r="A2178" t="s">
        <v>3838</v>
      </c>
      <c r="B2178" t="s">
        <v>1416</v>
      </c>
      <c r="C2178" t="s">
        <v>2810</v>
      </c>
      <c r="D2178" t="s">
        <v>2847</v>
      </c>
      <c r="E2178">
        <v>7</v>
      </c>
      <c r="F2178">
        <v>0</v>
      </c>
      <c r="G2178">
        <v>0</v>
      </c>
      <c r="H2178">
        <f t="shared" si="66"/>
        <v>7</v>
      </c>
      <c r="I2178">
        <v>0</v>
      </c>
      <c r="J2178">
        <v>0</v>
      </c>
      <c r="K2178">
        <v>0</v>
      </c>
      <c r="L2178">
        <f t="shared" si="67"/>
        <v>0</v>
      </c>
    </row>
    <row r="2179" spans="1:12">
      <c r="A2179" t="s">
        <v>3838</v>
      </c>
      <c r="B2179" t="s">
        <v>1416</v>
      </c>
      <c r="C2179" t="s">
        <v>2810</v>
      </c>
      <c r="D2179" t="s">
        <v>2815</v>
      </c>
      <c r="E2179">
        <v>44</v>
      </c>
      <c r="F2179">
        <v>0</v>
      </c>
      <c r="G2179">
        <v>0</v>
      </c>
      <c r="H2179">
        <f t="shared" si="66"/>
        <v>44</v>
      </c>
      <c r="I2179">
        <v>0</v>
      </c>
      <c r="J2179">
        <v>0</v>
      </c>
      <c r="K2179">
        <v>0</v>
      </c>
      <c r="L2179">
        <f t="shared" si="67"/>
        <v>0</v>
      </c>
    </row>
    <row r="2180" spans="1:12">
      <c r="A2180" t="s">
        <v>3838</v>
      </c>
      <c r="B2180" t="s">
        <v>1416</v>
      </c>
      <c r="C2180" t="s">
        <v>2816</v>
      </c>
      <c r="D2180" t="s">
        <v>1897</v>
      </c>
      <c r="E2180">
        <v>31</v>
      </c>
      <c r="F2180">
        <v>0</v>
      </c>
      <c r="G2180">
        <v>0</v>
      </c>
      <c r="H2180">
        <f t="shared" ref="H2180:H2243" si="68">SUM(E2180:G2180)</f>
        <v>31</v>
      </c>
      <c r="I2180">
        <v>0</v>
      </c>
      <c r="J2180">
        <v>0</v>
      </c>
      <c r="K2180">
        <v>0</v>
      </c>
      <c r="L2180">
        <f t="shared" ref="L2180:L2243" si="69">SUM(I2180:K2180)</f>
        <v>0</v>
      </c>
    </row>
    <row r="2181" spans="1:12">
      <c r="A2181" t="s">
        <v>3838</v>
      </c>
      <c r="B2181" t="s">
        <v>1416</v>
      </c>
      <c r="C2181" t="s">
        <v>2816</v>
      </c>
      <c r="D2181" t="s">
        <v>2848</v>
      </c>
      <c r="E2181">
        <v>12</v>
      </c>
      <c r="F2181">
        <v>0</v>
      </c>
      <c r="G2181">
        <v>0</v>
      </c>
      <c r="H2181">
        <f t="shared" si="68"/>
        <v>12</v>
      </c>
      <c r="I2181">
        <v>0</v>
      </c>
      <c r="J2181">
        <v>0</v>
      </c>
      <c r="K2181">
        <v>0</v>
      </c>
      <c r="L2181">
        <f t="shared" si="69"/>
        <v>0</v>
      </c>
    </row>
    <row r="2182" spans="1:12">
      <c r="A2182" t="s">
        <v>3838</v>
      </c>
      <c r="B2182" t="s">
        <v>1416</v>
      </c>
      <c r="C2182" t="s">
        <v>2826</v>
      </c>
      <c r="D2182" t="s">
        <v>2827</v>
      </c>
      <c r="E2182">
        <v>0</v>
      </c>
      <c r="F2182">
        <v>0</v>
      </c>
      <c r="G2182">
        <v>0</v>
      </c>
      <c r="H2182">
        <f t="shared" si="68"/>
        <v>0</v>
      </c>
      <c r="I2182">
        <v>1</v>
      </c>
      <c r="J2182">
        <v>0</v>
      </c>
      <c r="K2182">
        <v>0</v>
      </c>
      <c r="L2182">
        <f t="shared" si="69"/>
        <v>1</v>
      </c>
    </row>
    <row r="2183" spans="1:12">
      <c r="A2183" t="s">
        <v>3838</v>
      </c>
      <c r="B2183" t="s">
        <v>1416</v>
      </c>
      <c r="C2183" t="s">
        <v>2826</v>
      </c>
      <c r="D2183" t="s">
        <v>2891</v>
      </c>
      <c r="E2183">
        <v>0</v>
      </c>
      <c r="F2183">
        <v>0</v>
      </c>
      <c r="G2183">
        <v>0</v>
      </c>
      <c r="H2183">
        <f t="shared" si="68"/>
        <v>0</v>
      </c>
      <c r="I2183">
        <v>1</v>
      </c>
      <c r="J2183">
        <v>0</v>
      </c>
      <c r="K2183">
        <v>0</v>
      </c>
      <c r="L2183">
        <f t="shared" si="69"/>
        <v>1</v>
      </c>
    </row>
    <row r="2184" spans="1:12">
      <c r="A2184" t="s">
        <v>3838</v>
      </c>
      <c r="B2184" t="s">
        <v>1416</v>
      </c>
      <c r="C2184" t="s">
        <v>2826</v>
      </c>
      <c r="D2184" t="s">
        <v>2830</v>
      </c>
      <c r="E2184">
        <v>0</v>
      </c>
      <c r="F2184">
        <v>0</v>
      </c>
      <c r="G2184">
        <v>0</v>
      </c>
      <c r="H2184">
        <f t="shared" si="68"/>
        <v>0</v>
      </c>
      <c r="I2184">
        <v>1</v>
      </c>
      <c r="J2184">
        <v>0</v>
      </c>
      <c r="K2184">
        <v>0</v>
      </c>
      <c r="L2184">
        <f t="shared" si="69"/>
        <v>1</v>
      </c>
    </row>
    <row r="2185" spans="1:12">
      <c r="A2185" t="s">
        <v>3838</v>
      </c>
      <c r="B2185" t="s">
        <v>1416</v>
      </c>
      <c r="C2185" t="s">
        <v>2826</v>
      </c>
      <c r="D2185" t="s">
        <v>2843</v>
      </c>
      <c r="E2185">
        <v>0</v>
      </c>
      <c r="F2185">
        <v>0</v>
      </c>
      <c r="G2185">
        <v>0</v>
      </c>
      <c r="H2185">
        <f t="shared" si="68"/>
        <v>0</v>
      </c>
      <c r="I2185">
        <v>1</v>
      </c>
      <c r="J2185">
        <v>0</v>
      </c>
      <c r="K2185">
        <v>0</v>
      </c>
      <c r="L2185">
        <f t="shared" si="69"/>
        <v>1</v>
      </c>
    </row>
    <row r="2186" spans="1:12">
      <c r="A2186" t="s">
        <v>3838</v>
      </c>
      <c r="B2186" t="s">
        <v>1416</v>
      </c>
      <c r="C2186" t="s">
        <v>2826</v>
      </c>
      <c r="D2186" t="s">
        <v>2884</v>
      </c>
      <c r="E2186">
        <v>0</v>
      </c>
      <c r="F2186">
        <v>0</v>
      </c>
      <c r="G2186">
        <v>0</v>
      </c>
      <c r="H2186">
        <f t="shared" si="68"/>
        <v>0</v>
      </c>
      <c r="I2186">
        <v>1</v>
      </c>
      <c r="J2186">
        <v>0</v>
      </c>
      <c r="K2186">
        <v>0</v>
      </c>
      <c r="L2186">
        <f t="shared" si="69"/>
        <v>1</v>
      </c>
    </row>
    <row r="2187" spans="1:12">
      <c r="A2187" t="s">
        <v>3838</v>
      </c>
      <c r="B2187" t="s">
        <v>1416</v>
      </c>
      <c r="C2187" t="s">
        <v>2826</v>
      </c>
      <c r="D2187" t="s">
        <v>2832</v>
      </c>
      <c r="E2187">
        <v>0</v>
      </c>
      <c r="F2187">
        <v>0</v>
      </c>
      <c r="G2187">
        <v>0</v>
      </c>
      <c r="H2187">
        <f t="shared" si="68"/>
        <v>0</v>
      </c>
      <c r="I2187">
        <v>1</v>
      </c>
      <c r="J2187">
        <v>0</v>
      </c>
      <c r="K2187">
        <v>0</v>
      </c>
      <c r="L2187">
        <f t="shared" si="69"/>
        <v>1</v>
      </c>
    </row>
    <row r="2188" spans="1:12">
      <c r="A2188" t="s">
        <v>3838</v>
      </c>
      <c r="B2188" t="s">
        <v>1416</v>
      </c>
      <c r="C2188" t="s">
        <v>2826</v>
      </c>
      <c r="D2188" t="s">
        <v>2834</v>
      </c>
      <c r="E2188">
        <v>0</v>
      </c>
      <c r="F2188">
        <v>0</v>
      </c>
      <c r="G2188">
        <v>0</v>
      </c>
      <c r="H2188">
        <f t="shared" si="68"/>
        <v>0</v>
      </c>
      <c r="I2188">
        <v>2</v>
      </c>
      <c r="J2188">
        <v>0</v>
      </c>
      <c r="K2188">
        <v>0</v>
      </c>
      <c r="L2188">
        <f t="shared" si="69"/>
        <v>2</v>
      </c>
    </row>
    <row r="2189" spans="1:12">
      <c r="A2189" t="s">
        <v>3838</v>
      </c>
      <c r="B2189" t="s">
        <v>1416</v>
      </c>
      <c r="C2189" t="s">
        <v>2826</v>
      </c>
      <c r="D2189" t="s">
        <v>2849</v>
      </c>
      <c r="E2189">
        <v>0</v>
      </c>
      <c r="F2189">
        <v>0</v>
      </c>
      <c r="G2189">
        <v>0</v>
      </c>
      <c r="H2189">
        <f t="shared" si="68"/>
        <v>0</v>
      </c>
      <c r="I2189">
        <v>1</v>
      </c>
      <c r="J2189">
        <v>0</v>
      </c>
      <c r="K2189">
        <v>0</v>
      </c>
      <c r="L2189">
        <f t="shared" si="69"/>
        <v>1</v>
      </c>
    </row>
    <row r="2190" spans="1:12">
      <c r="A2190" t="s">
        <v>3838</v>
      </c>
      <c r="B2190" t="s">
        <v>1416</v>
      </c>
      <c r="C2190" t="s">
        <v>2817</v>
      </c>
      <c r="D2190" t="s">
        <v>2888</v>
      </c>
      <c r="E2190">
        <v>8</v>
      </c>
      <c r="F2190">
        <v>0</v>
      </c>
      <c r="G2190">
        <v>0</v>
      </c>
      <c r="H2190">
        <f t="shared" si="68"/>
        <v>8</v>
      </c>
      <c r="I2190">
        <v>0</v>
      </c>
      <c r="J2190">
        <v>0</v>
      </c>
      <c r="K2190">
        <v>0</v>
      </c>
      <c r="L2190">
        <f t="shared" si="69"/>
        <v>0</v>
      </c>
    </row>
    <row r="2191" spans="1:12">
      <c r="A2191" t="s">
        <v>3838</v>
      </c>
      <c r="B2191" t="s">
        <v>1416</v>
      </c>
      <c r="C2191" t="s">
        <v>2817</v>
      </c>
      <c r="D2191" t="s">
        <v>2818</v>
      </c>
      <c r="E2191">
        <v>15</v>
      </c>
      <c r="F2191">
        <v>0</v>
      </c>
      <c r="G2191">
        <v>0</v>
      </c>
      <c r="H2191">
        <f t="shared" si="68"/>
        <v>15</v>
      </c>
      <c r="I2191">
        <v>1</v>
      </c>
      <c r="J2191">
        <v>0</v>
      </c>
      <c r="K2191">
        <v>0</v>
      </c>
      <c r="L2191">
        <f t="shared" si="69"/>
        <v>1</v>
      </c>
    </row>
    <row r="2192" spans="1:12">
      <c r="A2192" t="s">
        <v>3838</v>
      </c>
      <c r="B2192" t="s">
        <v>1416</v>
      </c>
      <c r="C2192" t="s">
        <v>2817</v>
      </c>
      <c r="D2192" t="s">
        <v>2837</v>
      </c>
      <c r="E2192">
        <v>4</v>
      </c>
      <c r="F2192">
        <v>0</v>
      </c>
      <c r="G2192">
        <v>0</v>
      </c>
      <c r="H2192">
        <f t="shared" si="68"/>
        <v>4</v>
      </c>
      <c r="I2192">
        <v>0</v>
      </c>
      <c r="J2192">
        <v>0</v>
      </c>
      <c r="K2192">
        <v>0</v>
      </c>
      <c r="L2192">
        <f t="shared" si="69"/>
        <v>0</v>
      </c>
    </row>
    <row r="2193" spans="1:12">
      <c r="A2193" t="s">
        <v>3838</v>
      </c>
      <c r="B2193" t="s">
        <v>1416</v>
      </c>
      <c r="C2193" t="s">
        <v>2817</v>
      </c>
      <c r="D2193" t="s">
        <v>2909</v>
      </c>
      <c r="E2193">
        <v>3</v>
      </c>
      <c r="F2193">
        <v>0</v>
      </c>
      <c r="G2193">
        <v>0</v>
      </c>
      <c r="H2193">
        <f t="shared" si="68"/>
        <v>3</v>
      </c>
      <c r="I2193">
        <v>0</v>
      </c>
      <c r="J2193">
        <v>0</v>
      </c>
      <c r="K2193">
        <v>0</v>
      </c>
      <c r="L2193">
        <f t="shared" si="69"/>
        <v>0</v>
      </c>
    </row>
    <row r="2194" spans="1:12">
      <c r="A2194" t="s">
        <v>3838</v>
      </c>
      <c r="B2194" t="s">
        <v>1416</v>
      </c>
      <c r="C2194" t="s">
        <v>2820</v>
      </c>
      <c r="D2194" t="s">
        <v>2821</v>
      </c>
      <c r="E2194">
        <v>0</v>
      </c>
      <c r="F2194">
        <v>0</v>
      </c>
      <c r="G2194">
        <v>0</v>
      </c>
      <c r="H2194">
        <f t="shared" si="68"/>
        <v>0</v>
      </c>
      <c r="I2194">
        <v>1</v>
      </c>
      <c r="J2194">
        <v>0</v>
      </c>
      <c r="K2194">
        <v>0</v>
      </c>
      <c r="L2194">
        <f t="shared" si="69"/>
        <v>1</v>
      </c>
    </row>
    <row r="2195" spans="1:12">
      <c r="A2195" t="s">
        <v>3845</v>
      </c>
      <c r="B2195" t="s">
        <v>1424</v>
      </c>
      <c r="C2195" t="s">
        <v>2805</v>
      </c>
      <c r="D2195" t="s">
        <v>2806</v>
      </c>
      <c r="E2195">
        <v>84</v>
      </c>
      <c r="F2195">
        <v>0</v>
      </c>
      <c r="G2195">
        <v>0</v>
      </c>
      <c r="H2195">
        <f t="shared" si="68"/>
        <v>84</v>
      </c>
      <c r="I2195">
        <v>0</v>
      </c>
      <c r="J2195">
        <v>0</v>
      </c>
      <c r="K2195">
        <v>0</v>
      </c>
      <c r="L2195">
        <f t="shared" si="69"/>
        <v>0</v>
      </c>
    </row>
    <row r="2196" spans="1:12">
      <c r="A2196" t="s">
        <v>3845</v>
      </c>
      <c r="B2196" t="s">
        <v>1424</v>
      </c>
      <c r="C2196" t="s">
        <v>2805</v>
      </c>
      <c r="D2196" t="s">
        <v>449</v>
      </c>
      <c r="E2196">
        <v>38</v>
      </c>
      <c r="F2196">
        <v>0</v>
      </c>
      <c r="G2196">
        <v>0</v>
      </c>
      <c r="H2196">
        <f t="shared" si="68"/>
        <v>38</v>
      </c>
      <c r="I2196">
        <v>0</v>
      </c>
      <c r="J2196">
        <v>0</v>
      </c>
      <c r="K2196">
        <v>0</v>
      </c>
      <c r="L2196">
        <f t="shared" si="69"/>
        <v>0</v>
      </c>
    </row>
    <row r="2197" spans="1:12">
      <c r="A2197" t="s">
        <v>3845</v>
      </c>
      <c r="B2197" t="s">
        <v>1424</v>
      </c>
      <c r="C2197" t="s">
        <v>2810</v>
      </c>
      <c r="D2197" t="s">
        <v>2811</v>
      </c>
      <c r="E2197">
        <v>1</v>
      </c>
      <c r="F2197">
        <v>0</v>
      </c>
      <c r="G2197">
        <v>0</v>
      </c>
      <c r="H2197">
        <f t="shared" si="68"/>
        <v>1</v>
      </c>
      <c r="I2197">
        <v>0</v>
      </c>
      <c r="J2197">
        <v>0</v>
      </c>
      <c r="K2197">
        <v>0</v>
      </c>
      <c r="L2197">
        <f t="shared" si="69"/>
        <v>0</v>
      </c>
    </row>
    <row r="2198" spans="1:12">
      <c r="A2198" t="s">
        <v>3845</v>
      </c>
      <c r="B2198" t="s">
        <v>1424</v>
      </c>
      <c r="C2198" t="s">
        <v>2810</v>
      </c>
      <c r="D2198" t="s">
        <v>2823</v>
      </c>
      <c r="E2198">
        <v>0</v>
      </c>
      <c r="F2198">
        <v>15</v>
      </c>
      <c r="G2198">
        <v>0</v>
      </c>
      <c r="H2198">
        <f t="shared" si="68"/>
        <v>15</v>
      </c>
      <c r="I2198">
        <v>0</v>
      </c>
      <c r="J2198">
        <v>0</v>
      </c>
      <c r="K2198">
        <v>0</v>
      </c>
      <c r="L2198">
        <f t="shared" si="69"/>
        <v>0</v>
      </c>
    </row>
    <row r="2199" spans="1:12">
      <c r="A2199" t="s">
        <v>3845</v>
      </c>
      <c r="B2199" t="s">
        <v>1424</v>
      </c>
      <c r="C2199" t="s">
        <v>2810</v>
      </c>
      <c r="D2199" t="s">
        <v>2812</v>
      </c>
      <c r="E2199">
        <v>70</v>
      </c>
      <c r="F2199">
        <v>0</v>
      </c>
      <c r="G2199">
        <v>0</v>
      </c>
      <c r="H2199">
        <f t="shared" si="68"/>
        <v>70</v>
      </c>
      <c r="I2199">
        <v>0</v>
      </c>
      <c r="J2199">
        <v>0</v>
      </c>
      <c r="K2199">
        <v>0</v>
      </c>
      <c r="L2199">
        <f t="shared" si="69"/>
        <v>0</v>
      </c>
    </row>
    <row r="2200" spans="1:12">
      <c r="A2200" t="s">
        <v>3845</v>
      </c>
      <c r="B2200" t="s">
        <v>1424</v>
      </c>
      <c r="C2200" t="s">
        <v>2810</v>
      </c>
      <c r="D2200" t="s">
        <v>2813</v>
      </c>
      <c r="E2200">
        <v>15</v>
      </c>
      <c r="F2200">
        <v>0</v>
      </c>
      <c r="G2200">
        <v>0</v>
      </c>
      <c r="H2200">
        <f t="shared" si="68"/>
        <v>15</v>
      </c>
      <c r="I2200">
        <v>0</v>
      </c>
      <c r="J2200">
        <v>0</v>
      </c>
      <c r="K2200">
        <v>0</v>
      </c>
      <c r="L2200">
        <f t="shared" si="69"/>
        <v>0</v>
      </c>
    </row>
    <row r="2201" spans="1:12">
      <c r="A2201" t="s">
        <v>3845</v>
      </c>
      <c r="B2201" t="s">
        <v>1424</v>
      </c>
      <c r="C2201" t="s">
        <v>2810</v>
      </c>
      <c r="D2201" t="s">
        <v>2847</v>
      </c>
      <c r="E2201">
        <v>40</v>
      </c>
      <c r="F2201">
        <v>0</v>
      </c>
      <c r="G2201">
        <v>0</v>
      </c>
      <c r="H2201">
        <f t="shared" si="68"/>
        <v>40</v>
      </c>
      <c r="I2201">
        <v>0</v>
      </c>
      <c r="J2201">
        <v>0</v>
      </c>
      <c r="K2201">
        <v>0</v>
      </c>
      <c r="L2201">
        <f t="shared" si="69"/>
        <v>0</v>
      </c>
    </row>
    <row r="2202" spans="1:12">
      <c r="A2202" t="s">
        <v>3845</v>
      </c>
      <c r="B2202" t="s">
        <v>1424</v>
      </c>
      <c r="C2202" t="s">
        <v>2810</v>
      </c>
      <c r="D2202" t="s">
        <v>2840</v>
      </c>
      <c r="E2202">
        <v>2</v>
      </c>
      <c r="F2202">
        <v>0</v>
      </c>
      <c r="G2202">
        <v>0</v>
      </c>
      <c r="H2202">
        <f t="shared" si="68"/>
        <v>2</v>
      </c>
      <c r="I2202">
        <v>0</v>
      </c>
      <c r="J2202">
        <v>0</v>
      </c>
      <c r="K2202">
        <v>0</v>
      </c>
      <c r="L2202">
        <f t="shared" si="69"/>
        <v>0</v>
      </c>
    </row>
    <row r="2203" spans="1:12">
      <c r="A2203" t="s">
        <v>3845</v>
      </c>
      <c r="B2203" t="s">
        <v>1424</v>
      </c>
      <c r="C2203" t="s">
        <v>2816</v>
      </c>
      <c r="D2203" t="s">
        <v>1897</v>
      </c>
      <c r="E2203">
        <v>14</v>
      </c>
      <c r="F2203">
        <v>0</v>
      </c>
      <c r="G2203">
        <v>0</v>
      </c>
      <c r="H2203">
        <f t="shared" si="68"/>
        <v>14</v>
      </c>
      <c r="I2203">
        <v>0</v>
      </c>
      <c r="J2203">
        <v>0</v>
      </c>
      <c r="K2203">
        <v>0</v>
      </c>
      <c r="L2203">
        <f t="shared" si="69"/>
        <v>0</v>
      </c>
    </row>
    <row r="2204" spans="1:12">
      <c r="A2204" t="s">
        <v>3846</v>
      </c>
      <c r="B2204" t="s">
        <v>351</v>
      </c>
      <c r="C2204" t="s">
        <v>2841</v>
      </c>
      <c r="D2204" t="s">
        <v>3117</v>
      </c>
      <c r="E2204">
        <v>0</v>
      </c>
      <c r="F2204">
        <v>0</v>
      </c>
      <c r="G2204">
        <v>0</v>
      </c>
      <c r="H2204">
        <f t="shared" si="68"/>
        <v>0</v>
      </c>
      <c r="I2204">
        <v>10</v>
      </c>
      <c r="J2204">
        <v>0</v>
      </c>
      <c r="K2204">
        <v>0</v>
      </c>
      <c r="L2204">
        <f t="shared" si="69"/>
        <v>10</v>
      </c>
    </row>
    <row r="2205" spans="1:12">
      <c r="A2205" t="s">
        <v>3846</v>
      </c>
      <c r="B2205" t="s">
        <v>351</v>
      </c>
      <c r="C2205" t="s">
        <v>2841</v>
      </c>
      <c r="D2205" t="s">
        <v>2842</v>
      </c>
      <c r="E2205">
        <v>0</v>
      </c>
      <c r="F2205">
        <v>0</v>
      </c>
      <c r="G2205">
        <v>0</v>
      </c>
      <c r="H2205">
        <f t="shared" si="68"/>
        <v>0</v>
      </c>
      <c r="I2205">
        <v>14</v>
      </c>
      <c r="J2205">
        <v>0</v>
      </c>
      <c r="K2205">
        <v>0</v>
      </c>
      <c r="L2205">
        <f t="shared" si="69"/>
        <v>14</v>
      </c>
    </row>
    <row r="2206" spans="1:12">
      <c r="A2206" t="s">
        <v>3846</v>
      </c>
      <c r="B2206" t="s">
        <v>351</v>
      </c>
      <c r="C2206" t="s">
        <v>2826</v>
      </c>
      <c r="D2206" t="s">
        <v>2871</v>
      </c>
      <c r="E2206">
        <v>0</v>
      </c>
      <c r="F2206">
        <v>0</v>
      </c>
      <c r="G2206">
        <v>0</v>
      </c>
      <c r="H2206">
        <f t="shared" si="68"/>
        <v>0</v>
      </c>
      <c r="I2206">
        <v>0</v>
      </c>
      <c r="J2206">
        <v>1</v>
      </c>
      <c r="K2206">
        <v>0</v>
      </c>
      <c r="L2206">
        <f t="shared" si="69"/>
        <v>1</v>
      </c>
    </row>
    <row r="2207" spans="1:12">
      <c r="A2207" t="s">
        <v>3846</v>
      </c>
      <c r="B2207" t="s">
        <v>351</v>
      </c>
      <c r="C2207" t="s">
        <v>2826</v>
      </c>
      <c r="D2207" t="s">
        <v>2905</v>
      </c>
      <c r="E2207">
        <v>0</v>
      </c>
      <c r="F2207">
        <v>0</v>
      </c>
      <c r="G2207">
        <v>0</v>
      </c>
      <c r="H2207">
        <f t="shared" si="68"/>
        <v>0</v>
      </c>
      <c r="I2207">
        <v>2</v>
      </c>
      <c r="J2207">
        <v>1</v>
      </c>
      <c r="K2207">
        <v>0</v>
      </c>
      <c r="L2207">
        <f t="shared" si="69"/>
        <v>3</v>
      </c>
    </row>
    <row r="2208" spans="1:12">
      <c r="A2208" t="s">
        <v>3846</v>
      </c>
      <c r="B2208" t="s">
        <v>351</v>
      </c>
      <c r="C2208" t="s">
        <v>2826</v>
      </c>
      <c r="D2208" t="s">
        <v>2827</v>
      </c>
      <c r="E2208">
        <v>0</v>
      </c>
      <c r="F2208">
        <v>0</v>
      </c>
      <c r="G2208">
        <v>0</v>
      </c>
      <c r="H2208">
        <f t="shared" si="68"/>
        <v>0</v>
      </c>
      <c r="I2208">
        <v>1</v>
      </c>
      <c r="J2208">
        <v>1</v>
      </c>
      <c r="K2208">
        <v>0</v>
      </c>
      <c r="L2208">
        <f t="shared" si="69"/>
        <v>2</v>
      </c>
    </row>
    <row r="2209" spans="1:12">
      <c r="A2209" t="s">
        <v>3846</v>
      </c>
      <c r="B2209" t="s">
        <v>351</v>
      </c>
      <c r="C2209" t="s">
        <v>2826</v>
      </c>
      <c r="D2209" t="s">
        <v>2828</v>
      </c>
      <c r="E2209">
        <v>0</v>
      </c>
      <c r="F2209">
        <v>0</v>
      </c>
      <c r="G2209">
        <v>0</v>
      </c>
      <c r="H2209">
        <f t="shared" si="68"/>
        <v>0</v>
      </c>
      <c r="I2209">
        <v>0</v>
      </c>
      <c r="J2209">
        <v>1</v>
      </c>
      <c r="K2209">
        <v>0</v>
      </c>
      <c r="L2209">
        <f t="shared" si="69"/>
        <v>1</v>
      </c>
    </row>
    <row r="2210" spans="1:12">
      <c r="A2210" t="s">
        <v>3846</v>
      </c>
      <c r="B2210" t="s">
        <v>351</v>
      </c>
      <c r="C2210" t="s">
        <v>2826</v>
      </c>
      <c r="D2210" t="s">
        <v>2843</v>
      </c>
      <c r="E2210">
        <v>0</v>
      </c>
      <c r="F2210">
        <v>0</v>
      </c>
      <c r="G2210">
        <v>0</v>
      </c>
      <c r="H2210">
        <f t="shared" si="68"/>
        <v>0</v>
      </c>
      <c r="I2210">
        <v>3</v>
      </c>
      <c r="J2210">
        <v>1</v>
      </c>
      <c r="K2210">
        <v>0</v>
      </c>
      <c r="L2210">
        <f t="shared" si="69"/>
        <v>4</v>
      </c>
    </row>
    <row r="2211" spans="1:12">
      <c r="A2211" t="s">
        <v>3846</v>
      </c>
      <c r="B2211" t="s">
        <v>351</v>
      </c>
      <c r="C2211" t="s">
        <v>2826</v>
      </c>
      <c r="D2211" t="s">
        <v>2884</v>
      </c>
      <c r="E2211">
        <v>0</v>
      </c>
      <c r="F2211">
        <v>0</v>
      </c>
      <c r="G2211">
        <v>0</v>
      </c>
      <c r="H2211">
        <f t="shared" si="68"/>
        <v>0</v>
      </c>
      <c r="I2211">
        <v>1</v>
      </c>
      <c r="J2211">
        <v>0</v>
      </c>
      <c r="K2211">
        <v>0</v>
      </c>
      <c r="L2211">
        <f t="shared" si="69"/>
        <v>1</v>
      </c>
    </row>
    <row r="2212" spans="1:12">
      <c r="A2212" t="s">
        <v>3846</v>
      </c>
      <c r="B2212" t="s">
        <v>351</v>
      </c>
      <c r="C2212" t="s">
        <v>2826</v>
      </c>
      <c r="D2212" t="s">
        <v>2885</v>
      </c>
      <c r="E2212">
        <v>0</v>
      </c>
      <c r="F2212">
        <v>0</v>
      </c>
      <c r="G2212">
        <v>0</v>
      </c>
      <c r="H2212">
        <f t="shared" si="68"/>
        <v>0</v>
      </c>
      <c r="I2212">
        <v>1</v>
      </c>
      <c r="J2212">
        <v>0</v>
      </c>
      <c r="K2212">
        <v>0</v>
      </c>
      <c r="L2212">
        <f t="shared" si="69"/>
        <v>1</v>
      </c>
    </row>
    <row r="2213" spans="1:12">
      <c r="A2213" t="s">
        <v>3846</v>
      </c>
      <c r="B2213" t="s">
        <v>351</v>
      </c>
      <c r="C2213" t="s">
        <v>2826</v>
      </c>
      <c r="D2213" t="s">
        <v>2832</v>
      </c>
      <c r="E2213">
        <v>0</v>
      </c>
      <c r="F2213">
        <v>0</v>
      </c>
      <c r="G2213">
        <v>0</v>
      </c>
      <c r="H2213">
        <f t="shared" si="68"/>
        <v>0</v>
      </c>
      <c r="I2213">
        <v>2</v>
      </c>
      <c r="J2213">
        <v>2</v>
      </c>
      <c r="K2213">
        <v>0</v>
      </c>
      <c r="L2213">
        <f t="shared" si="69"/>
        <v>4</v>
      </c>
    </row>
    <row r="2214" spans="1:12">
      <c r="A2214" t="s">
        <v>3846</v>
      </c>
      <c r="B2214" t="s">
        <v>351</v>
      </c>
      <c r="C2214" t="s">
        <v>2826</v>
      </c>
      <c r="D2214" t="s">
        <v>2834</v>
      </c>
      <c r="E2214">
        <v>0</v>
      </c>
      <c r="F2214">
        <v>0</v>
      </c>
      <c r="G2214">
        <v>0</v>
      </c>
      <c r="H2214">
        <f t="shared" si="68"/>
        <v>0</v>
      </c>
      <c r="I2214">
        <v>1</v>
      </c>
      <c r="J2214">
        <v>2</v>
      </c>
      <c r="K2214">
        <v>0</v>
      </c>
      <c r="L2214">
        <f t="shared" si="69"/>
        <v>3</v>
      </c>
    </row>
    <row r="2215" spans="1:12">
      <c r="A2215" t="s">
        <v>3846</v>
      </c>
      <c r="B2215" t="s">
        <v>351</v>
      </c>
      <c r="C2215" t="s">
        <v>2826</v>
      </c>
      <c r="D2215" t="s">
        <v>2886</v>
      </c>
      <c r="E2215">
        <v>0</v>
      </c>
      <c r="F2215">
        <v>0</v>
      </c>
      <c r="G2215">
        <v>0</v>
      </c>
      <c r="H2215">
        <f t="shared" si="68"/>
        <v>0</v>
      </c>
      <c r="I2215">
        <v>2</v>
      </c>
      <c r="J2215">
        <v>1</v>
      </c>
      <c r="K2215">
        <v>0</v>
      </c>
      <c r="L2215">
        <f t="shared" si="69"/>
        <v>3</v>
      </c>
    </row>
    <row r="2216" spans="1:12">
      <c r="A2216" t="s">
        <v>3846</v>
      </c>
      <c r="B2216" t="s">
        <v>351</v>
      </c>
      <c r="C2216" t="s">
        <v>2826</v>
      </c>
      <c r="D2216" t="s">
        <v>2844</v>
      </c>
      <c r="E2216">
        <v>0</v>
      </c>
      <c r="F2216">
        <v>0</v>
      </c>
      <c r="G2216">
        <v>0</v>
      </c>
      <c r="H2216">
        <f t="shared" si="68"/>
        <v>0</v>
      </c>
      <c r="I2216">
        <v>0</v>
      </c>
      <c r="J2216">
        <v>2</v>
      </c>
      <c r="K2216">
        <v>0</v>
      </c>
      <c r="L2216">
        <f t="shared" si="69"/>
        <v>2</v>
      </c>
    </row>
    <row r="2217" spans="1:12">
      <c r="A2217" t="s">
        <v>3846</v>
      </c>
      <c r="B2217" t="s">
        <v>351</v>
      </c>
      <c r="C2217" t="s">
        <v>2826</v>
      </c>
      <c r="D2217" t="s">
        <v>2835</v>
      </c>
      <c r="E2217">
        <v>0</v>
      </c>
      <c r="F2217">
        <v>0</v>
      </c>
      <c r="G2217">
        <v>0</v>
      </c>
      <c r="H2217">
        <f t="shared" si="68"/>
        <v>0</v>
      </c>
      <c r="I2217">
        <v>0</v>
      </c>
      <c r="J2217">
        <v>2</v>
      </c>
      <c r="K2217">
        <v>0</v>
      </c>
      <c r="L2217">
        <f t="shared" si="69"/>
        <v>2</v>
      </c>
    </row>
    <row r="2218" spans="1:12">
      <c r="A2218" t="s">
        <v>3846</v>
      </c>
      <c r="B2218" t="s">
        <v>351</v>
      </c>
      <c r="C2218" t="s">
        <v>2826</v>
      </c>
      <c r="D2218" t="s">
        <v>2917</v>
      </c>
      <c r="E2218">
        <v>0</v>
      </c>
      <c r="F2218">
        <v>0</v>
      </c>
      <c r="G2218">
        <v>0</v>
      </c>
      <c r="H2218">
        <f t="shared" si="68"/>
        <v>0</v>
      </c>
      <c r="I2218">
        <v>2</v>
      </c>
      <c r="J2218">
        <v>2</v>
      </c>
      <c r="K2218">
        <v>0</v>
      </c>
      <c r="L2218">
        <f t="shared" si="69"/>
        <v>4</v>
      </c>
    </row>
    <row r="2219" spans="1:12">
      <c r="A2219" t="s">
        <v>3846</v>
      </c>
      <c r="B2219" t="s">
        <v>351</v>
      </c>
      <c r="C2219" t="s">
        <v>2817</v>
      </c>
      <c r="D2219" t="s">
        <v>2887</v>
      </c>
      <c r="E2219">
        <v>0</v>
      </c>
      <c r="F2219">
        <v>0</v>
      </c>
      <c r="G2219">
        <v>0</v>
      </c>
      <c r="H2219">
        <f t="shared" si="68"/>
        <v>0</v>
      </c>
      <c r="I2219">
        <v>0</v>
      </c>
      <c r="J2219">
        <v>2</v>
      </c>
      <c r="K2219">
        <v>0</v>
      </c>
      <c r="L2219">
        <f t="shared" si="69"/>
        <v>2</v>
      </c>
    </row>
    <row r="2220" spans="1:12">
      <c r="A2220" t="s">
        <v>3846</v>
      </c>
      <c r="B2220" t="s">
        <v>351</v>
      </c>
      <c r="C2220" t="s">
        <v>2820</v>
      </c>
      <c r="D2220" t="s">
        <v>2952</v>
      </c>
      <c r="E2220">
        <v>0</v>
      </c>
      <c r="F2220">
        <v>0</v>
      </c>
      <c r="G2220">
        <v>0</v>
      </c>
      <c r="H2220">
        <f t="shared" si="68"/>
        <v>0</v>
      </c>
      <c r="I2220">
        <v>1</v>
      </c>
      <c r="J2220">
        <v>0</v>
      </c>
      <c r="K2220">
        <v>0</v>
      </c>
      <c r="L2220">
        <f t="shared" si="69"/>
        <v>1</v>
      </c>
    </row>
    <row r="2221" spans="1:12">
      <c r="A2221" t="s">
        <v>3846</v>
      </c>
      <c r="B2221" t="s">
        <v>351</v>
      </c>
      <c r="C2221" t="s">
        <v>2820</v>
      </c>
      <c r="D2221" t="s">
        <v>2949</v>
      </c>
      <c r="E2221">
        <v>0</v>
      </c>
      <c r="F2221">
        <v>0</v>
      </c>
      <c r="G2221">
        <v>0</v>
      </c>
      <c r="H2221">
        <f t="shared" si="68"/>
        <v>0</v>
      </c>
      <c r="I2221">
        <v>0</v>
      </c>
      <c r="J2221">
        <v>1</v>
      </c>
      <c r="K2221">
        <v>0</v>
      </c>
      <c r="L2221">
        <f t="shared" si="69"/>
        <v>1</v>
      </c>
    </row>
    <row r="2222" spans="1:12">
      <c r="A2222" t="s">
        <v>3851</v>
      </c>
      <c r="B2222" t="s">
        <v>1429</v>
      </c>
      <c r="C2222" t="s">
        <v>2805</v>
      </c>
      <c r="D2222" t="s">
        <v>2806</v>
      </c>
      <c r="E2222">
        <v>92</v>
      </c>
      <c r="F2222">
        <v>0</v>
      </c>
      <c r="G2222">
        <v>0</v>
      </c>
      <c r="H2222">
        <f t="shared" si="68"/>
        <v>92</v>
      </c>
      <c r="I2222">
        <v>29</v>
      </c>
      <c r="J2222">
        <v>1</v>
      </c>
      <c r="K2222">
        <v>0</v>
      </c>
      <c r="L2222">
        <f t="shared" si="69"/>
        <v>30</v>
      </c>
    </row>
    <row r="2223" spans="1:12">
      <c r="A2223" t="s">
        <v>3851</v>
      </c>
      <c r="B2223" t="s">
        <v>1429</v>
      </c>
      <c r="C2223" t="s">
        <v>2805</v>
      </c>
      <c r="D2223" t="s">
        <v>449</v>
      </c>
      <c r="E2223">
        <v>126</v>
      </c>
      <c r="F2223">
        <v>11</v>
      </c>
      <c r="G2223">
        <v>0</v>
      </c>
      <c r="H2223">
        <f t="shared" si="68"/>
        <v>137</v>
      </c>
      <c r="I2223">
        <v>23</v>
      </c>
      <c r="J2223">
        <v>2</v>
      </c>
      <c r="K2223">
        <v>0</v>
      </c>
      <c r="L2223">
        <f t="shared" si="69"/>
        <v>25</v>
      </c>
    </row>
    <row r="2224" spans="1:12">
      <c r="A2224" t="s">
        <v>3851</v>
      </c>
      <c r="B2224" t="s">
        <v>1429</v>
      </c>
      <c r="C2224" t="s">
        <v>2805</v>
      </c>
      <c r="D2224" t="s">
        <v>2807</v>
      </c>
      <c r="E2224">
        <v>3</v>
      </c>
      <c r="F2224">
        <v>0</v>
      </c>
      <c r="G2224">
        <v>0</v>
      </c>
      <c r="H2224">
        <f t="shared" si="68"/>
        <v>3</v>
      </c>
      <c r="I2224">
        <v>0</v>
      </c>
      <c r="J2224">
        <v>0</v>
      </c>
      <c r="K2224">
        <v>0</v>
      </c>
      <c r="L2224">
        <f t="shared" si="69"/>
        <v>0</v>
      </c>
    </row>
    <row r="2225" spans="1:12">
      <c r="A2225" t="s">
        <v>3851</v>
      </c>
      <c r="B2225" t="s">
        <v>1429</v>
      </c>
      <c r="C2225" t="s">
        <v>2805</v>
      </c>
      <c r="D2225" t="s">
        <v>442</v>
      </c>
      <c r="E2225">
        <v>2</v>
      </c>
      <c r="F2225">
        <v>0</v>
      </c>
      <c r="G2225">
        <v>0</v>
      </c>
      <c r="H2225">
        <f t="shared" si="68"/>
        <v>2</v>
      </c>
      <c r="I2225">
        <v>1</v>
      </c>
      <c r="J2225">
        <v>0</v>
      </c>
      <c r="K2225">
        <v>0</v>
      </c>
      <c r="L2225">
        <f t="shared" si="69"/>
        <v>1</v>
      </c>
    </row>
    <row r="2226" spans="1:12">
      <c r="A2226" t="s">
        <v>3851</v>
      </c>
      <c r="B2226" t="s">
        <v>1429</v>
      </c>
      <c r="C2226" t="s">
        <v>2810</v>
      </c>
      <c r="D2226" t="s">
        <v>2811</v>
      </c>
      <c r="E2226">
        <v>26</v>
      </c>
      <c r="F2226">
        <v>1</v>
      </c>
      <c r="G2226">
        <v>0</v>
      </c>
      <c r="H2226">
        <f t="shared" si="68"/>
        <v>27</v>
      </c>
      <c r="I2226">
        <v>3</v>
      </c>
      <c r="J2226">
        <v>0</v>
      </c>
      <c r="K2226">
        <v>0</v>
      </c>
      <c r="L2226">
        <f t="shared" si="69"/>
        <v>3</v>
      </c>
    </row>
    <row r="2227" spans="1:12">
      <c r="A2227" t="s">
        <v>3851</v>
      </c>
      <c r="B2227" t="s">
        <v>1429</v>
      </c>
      <c r="C2227" t="s">
        <v>2810</v>
      </c>
      <c r="D2227" t="s">
        <v>1892</v>
      </c>
      <c r="E2227">
        <v>11</v>
      </c>
      <c r="F2227">
        <v>2</v>
      </c>
      <c r="G2227">
        <v>0</v>
      </c>
      <c r="H2227">
        <f t="shared" si="68"/>
        <v>13</v>
      </c>
      <c r="I2227">
        <v>5</v>
      </c>
      <c r="J2227">
        <v>7</v>
      </c>
      <c r="K2227">
        <v>0</v>
      </c>
      <c r="L2227">
        <f t="shared" si="69"/>
        <v>12</v>
      </c>
    </row>
    <row r="2228" spans="1:12">
      <c r="A2228" t="s">
        <v>3851</v>
      </c>
      <c r="B2228" t="s">
        <v>1429</v>
      </c>
      <c r="C2228" t="s">
        <v>2810</v>
      </c>
      <c r="D2228" t="s">
        <v>2823</v>
      </c>
      <c r="E2228">
        <v>3</v>
      </c>
      <c r="F2228">
        <v>0</v>
      </c>
      <c r="G2228">
        <v>0</v>
      </c>
      <c r="H2228">
        <f t="shared" si="68"/>
        <v>3</v>
      </c>
      <c r="I2228">
        <v>0</v>
      </c>
      <c r="J2228">
        <v>0</v>
      </c>
      <c r="K2228">
        <v>0</v>
      </c>
      <c r="L2228">
        <f t="shared" si="69"/>
        <v>0</v>
      </c>
    </row>
    <row r="2229" spans="1:12">
      <c r="A2229" t="s">
        <v>3851</v>
      </c>
      <c r="B2229" t="s">
        <v>1429</v>
      </c>
      <c r="C2229" t="s">
        <v>2810</v>
      </c>
      <c r="D2229" t="s">
        <v>2812</v>
      </c>
      <c r="E2229">
        <v>85</v>
      </c>
      <c r="F2229">
        <v>2</v>
      </c>
      <c r="G2229">
        <v>0</v>
      </c>
      <c r="H2229">
        <f t="shared" si="68"/>
        <v>87</v>
      </c>
      <c r="I2229">
        <v>15</v>
      </c>
      <c r="J2229">
        <v>1</v>
      </c>
      <c r="K2229">
        <v>0</v>
      </c>
      <c r="L2229">
        <f t="shared" si="69"/>
        <v>16</v>
      </c>
    </row>
    <row r="2230" spans="1:12">
      <c r="A2230" t="s">
        <v>3851</v>
      </c>
      <c r="B2230" t="s">
        <v>1429</v>
      </c>
      <c r="C2230" t="s">
        <v>2810</v>
      </c>
      <c r="D2230" t="s">
        <v>2813</v>
      </c>
      <c r="E2230">
        <v>40</v>
      </c>
      <c r="F2230">
        <v>0</v>
      </c>
      <c r="G2230">
        <v>0</v>
      </c>
      <c r="H2230">
        <f t="shared" si="68"/>
        <v>40</v>
      </c>
      <c r="I2230">
        <v>17</v>
      </c>
      <c r="J2230">
        <v>0</v>
      </c>
      <c r="K2230">
        <v>0</v>
      </c>
      <c r="L2230">
        <f t="shared" si="69"/>
        <v>17</v>
      </c>
    </row>
    <row r="2231" spans="1:12">
      <c r="A2231" t="s">
        <v>3851</v>
      </c>
      <c r="B2231" t="s">
        <v>1429</v>
      </c>
      <c r="C2231" t="s">
        <v>2816</v>
      </c>
      <c r="D2231" t="s">
        <v>1897</v>
      </c>
      <c r="E2231">
        <v>8</v>
      </c>
      <c r="F2231">
        <v>0</v>
      </c>
      <c r="G2231">
        <v>0</v>
      </c>
      <c r="H2231">
        <f t="shared" si="68"/>
        <v>8</v>
      </c>
      <c r="I2231">
        <v>6</v>
      </c>
      <c r="J2231">
        <v>0</v>
      </c>
      <c r="K2231">
        <v>0</v>
      </c>
      <c r="L2231">
        <f t="shared" si="69"/>
        <v>6</v>
      </c>
    </row>
    <row r="2232" spans="1:12">
      <c r="A2232" t="s">
        <v>3851</v>
      </c>
      <c r="B2232" t="s">
        <v>1429</v>
      </c>
      <c r="C2232" t="s">
        <v>2826</v>
      </c>
      <c r="D2232" t="s">
        <v>2834</v>
      </c>
      <c r="E2232">
        <v>0</v>
      </c>
      <c r="F2232">
        <v>0</v>
      </c>
      <c r="G2232">
        <v>0</v>
      </c>
      <c r="H2232">
        <f t="shared" si="68"/>
        <v>0</v>
      </c>
      <c r="I2232">
        <v>1</v>
      </c>
      <c r="J2232">
        <v>0</v>
      </c>
      <c r="K2232">
        <v>0</v>
      </c>
      <c r="L2232">
        <f t="shared" si="69"/>
        <v>1</v>
      </c>
    </row>
    <row r="2233" spans="1:12">
      <c r="A2233" t="s">
        <v>3851</v>
      </c>
      <c r="B2233" t="s">
        <v>1429</v>
      </c>
      <c r="C2233" t="s">
        <v>2817</v>
      </c>
      <c r="D2233" t="s">
        <v>2887</v>
      </c>
      <c r="E2233">
        <v>1</v>
      </c>
      <c r="F2233">
        <v>0</v>
      </c>
      <c r="G2233">
        <v>0</v>
      </c>
      <c r="H2233">
        <f t="shared" si="68"/>
        <v>1</v>
      </c>
      <c r="I2233">
        <v>0</v>
      </c>
      <c r="J2233">
        <v>0</v>
      </c>
      <c r="K2233">
        <v>0</v>
      </c>
      <c r="L2233">
        <f t="shared" si="69"/>
        <v>0</v>
      </c>
    </row>
    <row r="2234" spans="1:12">
      <c r="A2234" t="s">
        <v>3851</v>
      </c>
      <c r="B2234" t="s">
        <v>1429</v>
      </c>
      <c r="C2234" t="s">
        <v>2817</v>
      </c>
      <c r="D2234" t="s">
        <v>2818</v>
      </c>
      <c r="E2234">
        <v>1</v>
      </c>
      <c r="F2234">
        <v>0</v>
      </c>
      <c r="G2234">
        <v>0</v>
      </c>
      <c r="H2234">
        <f t="shared" si="68"/>
        <v>1</v>
      </c>
      <c r="I2234">
        <v>0</v>
      </c>
      <c r="J2234">
        <v>0</v>
      </c>
      <c r="K2234">
        <v>0</v>
      </c>
      <c r="L2234">
        <f t="shared" si="69"/>
        <v>0</v>
      </c>
    </row>
    <row r="2235" spans="1:12">
      <c r="A2235" t="s">
        <v>3851</v>
      </c>
      <c r="B2235" t="s">
        <v>1429</v>
      </c>
      <c r="C2235" t="s">
        <v>2817</v>
      </c>
      <c r="D2235" t="s">
        <v>2909</v>
      </c>
      <c r="E2235">
        <v>2</v>
      </c>
      <c r="F2235">
        <v>0</v>
      </c>
      <c r="G2235">
        <v>0</v>
      </c>
      <c r="H2235">
        <f t="shared" si="68"/>
        <v>2</v>
      </c>
      <c r="I2235">
        <v>0</v>
      </c>
      <c r="J2235">
        <v>0</v>
      </c>
      <c r="K2235">
        <v>0</v>
      </c>
      <c r="L2235">
        <f t="shared" si="69"/>
        <v>0</v>
      </c>
    </row>
    <row r="2236" spans="1:12">
      <c r="A2236" t="s">
        <v>3852</v>
      </c>
      <c r="B2236" t="s">
        <v>1431</v>
      </c>
      <c r="C2236" t="s">
        <v>2805</v>
      </c>
      <c r="D2236" t="s">
        <v>2806</v>
      </c>
      <c r="E2236">
        <v>137</v>
      </c>
      <c r="F2236">
        <v>0</v>
      </c>
      <c r="G2236">
        <v>0</v>
      </c>
      <c r="H2236">
        <f t="shared" si="68"/>
        <v>137</v>
      </c>
      <c r="I2236">
        <v>11</v>
      </c>
      <c r="J2236">
        <v>0</v>
      </c>
      <c r="K2236">
        <v>0</v>
      </c>
      <c r="L2236">
        <f t="shared" si="69"/>
        <v>11</v>
      </c>
    </row>
    <row r="2237" spans="1:12">
      <c r="A2237" t="s">
        <v>3852</v>
      </c>
      <c r="B2237" t="s">
        <v>1431</v>
      </c>
      <c r="C2237" t="s">
        <v>2805</v>
      </c>
      <c r="D2237" t="s">
        <v>449</v>
      </c>
      <c r="E2237">
        <v>214</v>
      </c>
      <c r="F2237">
        <v>0</v>
      </c>
      <c r="G2237">
        <v>0</v>
      </c>
      <c r="H2237">
        <f t="shared" si="68"/>
        <v>214</v>
      </c>
      <c r="I2237">
        <v>0</v>
      </c>
      <c r="J2237">
        <v>0</v>
      </c>
      <c r="K2237">
        <v>0</v>
      </c>
      <c r="L2237">
        <f t="shared" si="69"/>
        <v>0</v>
      </c>
    </row>
    <row r="2238" spans="1:12">
      <c r="A2238" t="s">
        <v>3852</v>
      </c>
      <c r="B2238" t="s">
        <v>1431</v>
      </c>
      <c r="C2238" t="s">
        <v>2805</v>
      </c>
      <c r="D2238" t="s">
        <v>2807</v>
      </c>
      <c r="E2238">
        <v>13</v>
      </c>
      <c r="F2238">
        <v>0</v>
      </c>
      <c r="G2238">
        <v>0</v>
      </c>
      <c r="H2238">
        <f t="shared" si="68"/>
        <v>13</v>
      </c>
      <c r="I2238">
        <v>0</v>
      </c>
      <c r="J2238">
        <v>0</v>
      </c>
      <c r="K2238">
        <v>0</v>
      </c>
      <c r="L2238">
        <f t="shared" si="69"/>
        <v>0</v>
      </c>
    </row>
    <row r="2239" spans="1:12">
      <c r="A2239" t="s">
        <v>3852</v>
      </c>
      <c r="B2239" t="s">
        <v>1431</v>
      </c>
      <c r="C2239" t="s">
        <v>2810</v>
      </c>
      <c r="D2239" t="s">
        <v>2811</v>
      </c>
      <c r="E2239">
        <v>38</v>
      </c>
      <c r="F2239">
        <v>0</v>
      </c>
      <c r="G2239">
        <v>0</v>
      </c>
      <c r="H2239">
        <f t="shared" si="68"/>
        <v>38</v>
      </c>
      <c r="I2239">
        <v>0</v>
      </c>
      <c r="J2239">
        <v>0</v>
      </c>
      <c r="K2239">
        <v>0</v>
      </c>
      <c r="L2239">
        <f t="shared" si="69"/>
        <v>0</v>
      </c>
    </row>
    <row r="2240" spans="1:12">
      <c r="A2240" t="s">
        <v>3852</v>
      </c>
      <c r="B2240" t="s">
        <v>1431</v>
      </c>
      <c r="C2240" t="s">
        <v>2810</v>
      </c>
      <c r="D2240" t="s">
        <v>2823</v>
      </c>
      <c r="E2240">
        <v>0</v>
      </c>
      <c r="F2240">
        <v>42</v>
      </c>
      <c r="G2240">
        <v>0</v>
      </c>
      <c r="H2240">
        <f t="shared" si="68"/>
        <v>42</v>
      </c>
      <c r="I2240">
        <v>0</v>
      </c>
      <c r="J2240">
        <v>13</v>
      </c>
      <c r="K2240">
        <v>0</v>
      </c>
      <c r="L2240">
        <f t="shared" si="69"/>
        <v>13</v>
      </c>
    </row>
    <row r="2241" spans="1:12">
      <c r="A2241" t="s">
        <v>3852</v>
      </c>
      <c r="B2241" t="s">
        <v>1431</v>
      </c>
      <c r="C2241" t="s">
        <v>2810</v>
      </c>
      <c r="D2241" t="s">
        <v>2812</v>
      </c>
      <c r="E2241">
        <v>190</v>
      </c>
      <c r="F2241">
        <v>0</v>
      </c>
      <c r="G2241">
        <v>0</v>
      </c>
      <c r="H2241">
        <f t="shared" si="68"/>
        <v>190</v>
      </c>
      <c r="I2241">
        <v>2</v>
      </c>
      <c r="J2241">
        <v>0</v>
      </c>
      <c r="K2241">
        <v>0</v>
      </c>
      <c r="L2241">
        <f t="shared" si="69"/>
        <v>2</v>
      </c>
    </row>
    <row r="2242" spans="1:12">
      <c r="A2242" t="s">
        <v>3852</v>
      </c>
      <c r="B2242" t="s">
        <v>1431</v>
      </c>
      <c r="C2242" t="s">
        <v>2810</v>
      </c>
      <c r="D2242" t="s">
        <v>2813</v>
      </c>
      <c r="E2242">
        <v>19</v>
      </c>
      <c r="F2242">
        <v>0</v>
      </c>
      <c r="G2242">
        <v>0</v>
      </c>
      <c r="H2242">
        <f t="shared" si="68"/>
        <v>19</v>
      </c>
      <c r="I2242">
        <v>0</v>
      </c>
      <c r="J2242">
        <v>0</v>
      </c>
      <c r="K2242">
        <v>0</v>
      </c>
      <c r="L2242">
        <f t="shared" si="69"/>
        <v>0</v>
      </c>
    </row>
    <row r="2243" spans="1:12">
      <c r="A2243" t="s">
        <v>3852</v>
      </c>
      <c r="B2243" t="s">
        <v>1431</v>
      </c>
      <c r="C2243" t="s">
        <v>2810</v>
      </c>
      <c r="D2243" t="s">
        <v>2847</v>
      </c>
      <c r="E2243">
        <v>133</v>
      </c>
      <c r="F2243">
        <v>0</v>
      </c>
      <c r="G2243">
        <v>0</v>
      </c>
      <c r="H2243">
        <f t="shared" si="68"/>
        <v>133</v>
      </c>
      <c r="I2243">
        <v>0</v>
      </c>
      <c r="J2243">
        <v>0</v>
      </c>
      <c r="K2243">
        <v>0</v>
      </c>
      <c r="L2243">
        <f t="shared" si="69"/>
        <v>0</v>
      </c>
    </row>
    <row r="2244" spans="1:12">
      <c r="A2244" t="s">
        <v>3852</v>
      </c>
      <c r="B2244" t="s">
        <v>1431</v>
      </c>
      <c r="C2244" t="s">
        <v>2810</v>
      </c>
      <c r="D2244" t="s">
        <v>2840</v>
      </c>
      <c r="E2244">
        <v>6</v>
      </c>
      <c r="F2244">
        <v>0</v>
      </c>
      <c r="G2244">
        <v>0</v>
      </c>
      <c r="H2244">
        <f t="shared" ref="H2244:H2307" si="70">SUM(E2244:G2244)</f>
        <v>6</v>
      </c>
      <c r="I2244">
        <v>0</v>
      </c>
      <c r="J2244">
        <v>0</v>
      </c>
      <c r="K2244">
        <v>0</v>
      </c>
      <c r="L2244">
        <f t="shared" ref="L2244:L2307" si="71">SUM(I2244:K2244)</f>
        <v>0</v>
      </c>
    </row>
    <row r="2245" spans="1:12">
      <c r="A2245" t="s">
        <v>3852</v>
      </c>
      <c r="B2245" t="s">
        <v>1431</v>
      </c>
      <c r="C2245" t="s">
        <v>2810</v>
      </c>
      <c r="D2245" t="s">
        <v>2815</v>
      </c>
      <c r="E2245">
        <v>2</v>
      </c>
      <c r="F2245">
        <v>0</v>
      </c>
      <c r="G2245">
        <v>0</v>
      </c>
      <c r="H2245">
        <f t="shared" si="70"/>
        <v>2</v>
      </c>
      <c r="I2245">
        <v>0</v>
      </c>
      <c r="J2245">
        <v>0</v>
      </c>
      <c r="K2245">
        <v>0</v>
      </c>
      <c r="L2245">
        <f t="shared" si="71"/>
        <v>0</v>
      </c>
    </row>
    <row r="2246" spans="1:12">
      <c r="A2246" t="s">
        <v>3852</v>
      </c>
      <c r="B2246" t="s">
        <v>1431</v>
      </c>
      <c r="C2246" t="s">
        <v>2817</v>
      </c>
      <c r="D2246" t="s">
        <v>2818</v>
      </c>
      <c r="E2246">
        <v>4</v>
      </c>
      <c r="F2246">
        <v>0</v>
      </c>
      <c r="G2246">
        <v>0</v>
      </c>
      <c r="H2246">
        <f t="shared" si="70"/>
        <v>4</v>
      </c>
      <c r="I2246">
        <v>0</v>
      </c>
      <c r="J2246">
        <v>0</v>
      </c>
      <c r="K2246">
        <v>0</v>
      </c>
      <c r="L2246">
        <f t="shared" si="71"/>
        <v>0</v>
      </c>
    </row>
    <row r="2247" spans="1:12">
      <c r="A2247" t="s">
        <v>3852</v>
      </c>
      <c r="B2247" t="s">
        <v>1431</v>
      </c>
      <c r="C2247" t="s">
        <v>2817</v>
      </c>
      <c r="D2247" t="s">
        <v>2837</v>
      </c>
      <c r="E2247">
        <v>14</v>
      </c>
      <c r="F2247">
        <v>0</v>
      </c>
      <c r="G2247">
        <v>0</v>
      </c>
      <c r="H2247">
        <f t="shared" si="70"/>
        <v>14</v>
      </c>
      <c r="I2247">
        <v>0</v>
      </c>
      <c r="J2247">
        <v>0</v>
      </c>
      <c r="K2247">
        <v>0</v>
      </c>
      <c r="L2247">
        <f t="shared" si="71"/>
        <v>0</v>
      </c>
    </row>
    <row r="2248" spans="1:12">
      <c r="A2248" t="s">
        <v>3853</v>
      </c>
      <c r="B2248" t="s">
        <v>1094</v>
      </c>
      <c r="C2248" t="s">
        <v>2805</v>
      </c>
      <c r="D2248" t="s">
        <v>2806</v>
      </c>
      <c r="E2248">
        <v>0</v>
      </c>
      <c r="F2248">
        <v>0</v>
      </c>
      <c r="G2248">
        <v>0</v>
      </c>
      <c r="H2248">
        <f t="shared" si="70"/>
        <v>0</v>
      </c>
      <c r="I2248">
        <v>2</v>
      </c>
      <c r="J2248">
        <v>0</v>
      </c>
      <c r="K2248">
        <v>0</v>
      </c>
      <c r="L2248">
        <f t="shared" si="71"/>
        <v>2</v>
      </c>
    </row>
    <row r="2249" spans="1:12">
      <c r="A2249" t="s">
        <v>3853</v>
      </c>
      <c r="B2249" t="s">
        <v>1094</v>
      </c>
      <c r="C2249" t="s">
        <v>2805</v>
      </c>
      <c r="D2249" t="s">
        <v>449</v>
      </c>
      <c r="E2249">
        <v>0</v>
      </c>
      <c r="F2249">
        <v>0</v>
      </c>
      <c r="G2249">
        <v>0</v>
      </c>
      <c r="H2249">
        <f t="shared" si="70"/>
        <v>0</v>
      </c>
      <c r="I2249">
        <v>6</v>
      </c>
      <c r="J2249">
        <v>0</v>
      </c>
      <c r="K2249">
        <v>0</v>
      </c>
      <c r="L2249">
        <f t="shared" si="71"/>
        <v>6</v>
      </c>
    </row>
    <row r="2250" spans="1:12">
      <c r="A2250" t="s">
        <v>3853</v>
      </c>
      <c r="B2250" t="s">
        <v>1094</v>
      </c>
      <c r="C2250" t="s">
        <v>2805</v>
      </c>
      <c r="D2250" t="s">
        <v>2807</v>
      </c>
      <c r="E2250">
        <v>0</v>
      </c>
      <c r="F2250">
        <v>0</v>
      </c>
      <c r="G2250">
        <v>0</v>
      </c>
      <c r="H2250">
        <f t="shared" si="70"/>
        <v>0</v>
      </c>
      <c r="I2250">
        <v>8</v>
      </c>
      <c r="J2250">
        <v>0</v>
      </c>
      <c r="K2250">
        <v>0</v>
      </c>
      <c r="L2250">
        <f t="shared" si="71"/>
        <v>8</v>
      </c>
    </row>
    <row r="2251" spans="1:12">
      <c r="A2251" t="s">
        <v>3853</v>
      </c>
      <c r="B2251" t="s">
        <v>1094</v>
      </c>
      <c r="C2251" t="s">
        <v>2810</v>
      </c>
      <c r="D2251" t="s">
        <v>2811</v>
      </c>
      <c r="E2251">
        <v>0</v>
      </c>
      <c r="F2251">
        <v>0</v>
      </c>
      <c r="G2251">
        <v>0</v>
      </c>
      <c r="H2251">
        <f t="shared" si="70"/>
        <v>0</v>
      </c>
      <c r="I2251">
        <v>1</v>
      </c>
      <c r="J2251">
        <v>0</v>
      </c>
      <c r="K2251">
        <v>0</v>
      </c>
      <c r="L2251">
        <f t="shared" si="71"/>
        <v>1</v>
      </c>
    </row>
    <row r="2252" spans="1:12">
      <c r="A2252" t="s">
        <v>3853</v>
      </c>
      <c r="B2252" t="s">
        <v>1094</v>
      </c>
      <c r="C2252" t="s">
        <v>2810</v>
      </c>
      <c r="D2252" t="s">
        <v>2812</v>
      </c>
      <c r="E2252">
        <v>0</v>
      </c>
      <c r="F2252">
        <v>0</v>
      </c>
      <c r="G2252">
        <v>0</v>
      </c>
      <c r="H2252">
        <f t="shared" si="70"/>
        <v>0</v>
      </c>
      <c r="I2252">
        <v>2</v>
      </c>
      <c r="J2252">
        <v>0</v>
      </c>
      <c r="K2252">
        <v>0</v>
      </c>
      <c r="L2252">
        <f t="shared" si="71"/>
        <v>2</v>
      </c>
    </row>
    <row r="2253" spans="1:12">
      <c r="A2253" t="s">
        <v>3853</v>
      </c>
      <c r="B2253" t="s">
        <v>1094</v>
      </c>
      <c r="C2253" t="s">
        <v>2810</v>
      </c>
      <c r="D2253" t="s">
        <v>2813</v>
      </c>
      <c r="E2253">
        <v>0</v>
      </c>
      <c r="F2253">
        <v>0</v>
      </c>
      <c r="G2253">
        <v>0</v>
      </c>
      <c r="H2253">
        <f t="shared" si="70"/>
        <v>0</v>
      </c>
      <c r="I2253">
        <v>32</v>
      </c>
      <c r="J2253">
        <v>0</v>
      </c>
      <c r="K2253">
        <v>0</v>
      </c>
      <c r="L2253">
        <f t="shared" si="71"/>
        <v>32</v>
      </c>
    </row>
    <row r="2254" spans="1:12">
      <c r="A2254" t="s">
        <v>3853</v>
      </c>
      <c r="B2254" t="s">
        <v>1094</v>
      </c>
      <c r="C2254" t="s">
        <v>2826</v>
      </c>
      <c r="D2254" t="s">
        <v>2871</v>
      </c>
      <c r="E2254">
        <v>0</v>
      </c>
      <c r="F2254">
        <v>0</v>
      </c>
      <c r="G2254">
        <v>0</v>
      </c>
      <c r="H2254">
        <f t="shared" si="70"/>
        <v>0</v>
      </c>
      <c r="I2254">
        <v>27</v>
      </c>
      <c r="J2254">
        <v>20</v>
      </c>
      <c r="K2254">
        <v>0</v>
      </c>
      <c r="L2254">
        <f t="shared" si="71"/>
        <v>47</v>
      </c>
    </row>
    <row r="2255" spans="1:12">
      <c r="A2255" t="s">
        <v>3853</v>
      </c>
      <c r="B2255" t="s">
        <v>1094</v>
      </c>
      <c r="C2255" t="s">
        <v>2826</v>
      </c>
      <c r="D2255" t="s">
        <v>2905</v>
      </c>
      <c r="E2255">
        <v>0</v>
      </c>
      <c r="F2255">
        <v>0</v>
      </c>
      <c r="G2255">
        <v>0</v>
      </c>
      <c r="H2255">
        <f t="shared" si="70"/>
        <v>0</v>
      </c>
      <c r="I2255">
        <v>17</v>
      </c>
      <c r="J2255">
        <v>0</v>
      </c>
      <c r="K2255">
        <v>0</v>
      </c>
      <c r="L2255">
        <f t="shared" si="71"/>
        <v>17</v>
      </c>
    </row>
    <row r="2256" spans="1:12">
      <c r="A2256" t="s">
        <v>3853</v>
      </c>
      <c r="B2256" t="s">
        <v>1094</v>
      </c>
      <c r="C2256" t="s">
        <v>2826</v>
      </c>
      <c r="D2256" t="s">
        <v>2827</v>
      </c>
      <c r="E2256">
        <v>0</v>
      </c>
      <c r="F2256">
        <v>0</v>
      </c>
      <c r="G2256">
        <v>0</v>
      </c>
      <c r="H2256">
        <f t="shared" si="70"/>
        <v>0</v>
      </c>
      <c r="I2256">
        <v>34</v>
      </c>
      <c r="J2256">
        <v>32</v>
      </c>
      <c r="K2256">
        <v>0</v>
      </c>
      <c r="L2256">
        <f t="shared" si="71"/>
        <v>66</v>
      </c>
    </row>
    <row r="2257" spans="1:12">
      <c r="A2257" t="s">
        <v>3853</v>
      </c>
      <c r="B2257" t="s">
        <v>1094</v>
      </c>
      <c r="C2257" t="s">
        <v>2826</v>
      </c>
      <c r="D2257" t="s">
        <v>2828</v>
      </c>
      <c r="E2257">
        <v>0</v>
      </c>
      <c r="F2257">
        <v>0</v>
      </c>
      <c r="G2257">
        <v>0</v>
      </c>
      <c r="H2257">
        <f t="shared" si="70"/>
        <v>0</v>
      </c>
      <c r="I2257">
        <v>9</v>
      </c>
      <c r="J2257">
        <v>0</v>
      </c>
      <c r="K2257">
        <v>0</v>
      </c>
      <c r="L2257">
        <f t="shared" si="71"/>
        <v>9</v>
      </c>
    </row>
    <row r="2258" spans="1:12">
      <c r="A2258" t="s">
        <v>3853</v>
      </c>
      <c r="B2258" t="s">
        <v>1094</v>
      </c>
      <c r="C2258" t="s">
        <v>2826</v>
      </c>
      <c r="D2258" t="s">
        <v>2829</v>
      </c>
      <c r="E2258">
        <v>0</v>
      </c>
      <c r="F2258">
        <v>0</v>
      </c>
      <c r="G2258">
        <v>0</v>
      </c>
      <c r="H2258">
        <f t="shared" si="70"/>
        <v>0</v>
      </c>
      <c r="I2258">
        <v>6</v>
      </c>
      <c r="J2258">
        <v>0</v>
      </c>
      <c r="K2258">
        <v>0</v>
      </c>
      <c r="L2258">
        <f t="shared" si="71"/>
        <v>6</v>
      </c>
    </row>
    <row r="2259" spans="1:12">
      <c r="A2259" t="s">
        <v>3853</v>
      </c>
      <c r="B2259" t="s">
        <v>1094</v>
      </c>
      <c r="C2259" t="s">
        <v>2826</v>
      </c>
      <c r="D2259" t="s">
        <v>2891</v>
      </c>
      <c r="E2259">
        <v>0</v>
      </c>
      <c r="F2259">
        <v>0</v>
      </c>
      <c r="G2259">
        <v>0</v>
      </c>
      <c r="H2259">
        <f t="shared" si="70"/>
        <v>0</v>
      </c>
      <c r="I2259">
        <v>10</v>
      </c>
      <c r="J2259">
        <v>0</v>
      </c>
      <c r="K2259">
        <v>0</v>
      </c>
      <c r="L2259">
        <f t="shared" si="71"/>
        <v>10</v>
      </c>
    </row>
    <row r="2260" spans="1:12">
      <c r="A2260" t="s">
        <v>3853</v>
      </c>
      <c r="B2260" t="s">
        <v>1094</v>
      </c>
      <c r="C2260" t="s">
        <v>2826</v>
      </c>
      <c r="D2260" t="s">
        <v>2830</v>
      </c>
      <c r="E2260">
        <v>0</v>
      </c>
      <c r="F2260">
        <v>0</v>
      </c>
      <c r="G2260">
        <v>0</v>
      </c>
      <c r="H2260">
        <f t="shared" si="70"/>
        <v>0</v>
      </c>
      <c r="I2260">
        <v>3</v>
      </c>
      <c r="J2260">
        <v>0</v>
      </c>
      <c r="K2260">
        <v>0</v>
      </c>
      <c r="L2260">
        <f t="shared" si="71"/>
        <v>3</v>
      </c>
    </row>
    <row r="2261" spans="1:12">
      <c r="A2261" t="s">
        <v>3853</v>
      </c>
      <c r="B2261" t="s">
        <v>1094</v>
      </c>
      <c r="C2261" t="s">
        <v>2826</v>
      </c>
      <c r="D2261" t="s">
        <v>2864</v>
      </c>
      <c r="E2261">
        <v>0</v>
      </c>
      <c r="F2261">
        <v>0</v>
      </c>
      <c r="G2261">
        <v>0</v>
      </c>
      <c r="H2261">
        <f t="shared" si="70"/>
        <v>0</v>
      </c>
      <c r="I2261">
        <v>4</v>
      </c>
      <c r="J2261">
        <v>0</v>
      </c>
      <c r="K2261">
        <v>0</v>
      </c>
      <c r="L2261">
        <f t="shared" si="71"/>
        <v>4</v>
      </c>
    </row>
    <row r="2262" spans="1:12">
      <c r="A2262" t="s">
        <v>3853</v>
      </c>
      <c r="B2262" t="s">
        <v>1094</v>
      </c>
      <c r="C2262" t="s">
        <v>2826</v>
      </c>
      <c r="D2262" t="s">
        <v>2843</v>
      </c>
      <c r="E2262">
        <v>0</v>
      </c>
      <c r="F2262">
        <v>0</v>
      </c>
      <c r="G2262">
        <v>0</v>
      </c>
      <c r="H2262">
        <f t="shared" si="70"/>
        <v>0</v>
      </c>
      <c r="I2262">
        <v>8</v>
      </c>
      <c r="J2262">
        <v>0</v>
      </c>
      <c r="K2262">
        <v>0</v>
      </c>
      <c r="L2262">
        <f t="shared" si="71"/>
        <v>8</v>
      </c>
    </row>
    <row r="2263" spans="1:12">
      <c r="A2263" t="s">
        <v>3853</v>
      </c>
      <c r="B2263" t="s">
        <v>1094</v>
      </c>
      <c r="C2263" t="s">
        <v>2826</v>
      </c>
      <c r="D2263" t="s">
        <v>2884</v>
      </c>
      <c r="E2263">
        <v>0</v>
      </c>
      <c r="F2263">
        <v>0</v>
      </c>
      <c r="G2263">
        <v>0</v>
      </c>
      <c r="H2263">
        <f t="shared" si="70"/>
        <v>0</v>
      </c>
      <c r="I2263">
        <v>2</v>
      </c>
      <c r="J2263">
        <v>0</v>
      </c>
      <c r="K2263">
        <v>0</v>
      </c>
      <c r="L2263">
        <f t="shared" si="71"/>
        <v>2</v>
      </c>
    </row>
    <row r="2264" spans="1:12">
      <c r="A2264" t="s">
        <v>3853</v>
      </c>
      <c r="B2264" t="s">
        <v>1094</v>
      </c>
      <c r="C2264" t="s">
        <v>2826</v>
      </c>
      <c r="D2264" t="s">
        <v>2885</v>
      </c>
      <c r="E2264">
        <v>2</v>
      </c>
      <c r="F2264">
        <v>0</v>
      </c>
      <c r="G2264">
        <v>0</v>
      </c>
      <c r="H2264">
        <f t="shared" si="70"/>
        <v>2</v>
      </c>
      <c r="I2264">
        <v>165</v>
      </c>
      <c r="J2264">
        <v>0</v>
      </c>
      <c r="K2264">
        <v>0</v>
      </c>
      <c r="L2264">
        <f t="shared" si="71"/>
        <v>165</v>
      </c>
    </row>
    <row r="2265" spans="1:12">
      <c r="A2265" t="s">
        <v>3853</v>
      </c>
      <c r="B2265" t="s">
        <v>1094</v>
      </c>
      <c r="C2265" t="s">
        <v>2826</v>
      </c>
      <c r="D2265" t="s">
        <v>2832</v>
      </c>
      <c r="E2265">
        <v>0</v>
      </c>
      <c r="F2265">
        <v>0</v>
      </c>
      <c r="G2265">
        <v>0</v>
      </c>
      <c r="H2265">
        <f t="shared" si="70"/>
        <v>0</v>
      </c>
      <c r="I2265">
        <v>2</v>
      </c>
      <c r="J2265">
        <v>0</v>
      </c>
      <c r="K2265">
        <v>0</v>
      </c>
      <c r="L2265">
        <f t="shared" si="71"/>
        <v>2</v>
      </c>
    </row>
    <row r="2266" spans="1:12">
      <c r="A2266" t="s">
        <v>3853</v>
      </c>
      <c r="B2266" t="s">
        <v>1094</v>
      </c>
      <c r="C2266" t="s">
        <v>2826</v>
      </c>
      <c r="D2266" t="s">
        <v>2833</v>
      </c>
      <c r="E2266">
        <v>0</v>
      </c>
      <c r="F2266">
        <v>0</v>
      </c>
      <c r="G2266">
        <v>0</v>
      </c>
      <c r="H2266">
        <f t="shared" si="70"/>
        <v>0</v>
      </c>
      <c r="I2266">
        <v>9</v>
      </c>
      <c r="J2266">
        <v>0</v>
      </c>
      <c r="K2266">
        <v>0</v>
      </c>
      <c r="L2266">
        <f t="shared" si="71"/>
        <v>9</v>
      </c>
    </row>
    <row r="2267" spans="1:12">
      <c r="A2267" t="s">
        <v>3853</v>
      </c>
      <c r="B2267" t="s">
        <v>1094</v>
      </c>
      <c r="C2267" t="s">
        <v>2826</v>
      </c>
      <c r="D2267" t="s">
        <v>2834</v>
      </c>
      <c r="E2267">
        <v>0</v>
      </c>
      <c r="F2267">
        <v>0</v>
      </c>
      <c r="G2267">
        <v>0</v>
      </c>
      <c r="H2267">
        <f t="shared" si="70"/>
        <v>0</v>
      </c>
      <c r="I2267">
        <v>16</v>
      </c>
      <c r="J2267">
        <v>0</v>
      </c>
      <c r="K2267">
        <v>0</v>
      </c>
      <c r="L2267">
        <f t="shared" si="71"/>
        <v>16</v>
      </c>
    </row>
    <row r="2268" spans="1:12">
      <c r="A2268" t="s">
        <v>3853</v>
      </c>
      <c r="B2268" t="s">
        <v>1094</v>
      </c>
      <c r="C2268" t="s">
        <v>2826</v>
      </c>
      <c r="D2268" t="s">
        <v>2886</v>
      </c>
      <c r="E2268">
        <v>0</v>
      </c>
      <c r="F2268">
        <v>0</v>
      </c>
      <c r="G2268">
        <v>0</v>
      </c>
      <c r="H2268">
        <f t="shared" si="70"/>
        <v>0</v>
      </c>
      <c r="I2268">
        <v>14</v>
      </c>
      <c r="J2268">
        <v>0</v>
      </c>
      <c r="K2268">
        <v>0</v>
      </c>
      <c r="L2268">
        <f t="shared" si="71"/>
        <v>14</v>
      </c>
    </row>
    <row r="2269" spans="1:12">
      <c r="A2269" t="s">
        <v>3853</v>
      </c>
      <c r="B2269" t="s">
        <v>1094</v>
      </c>
      <c r="C2269" t="s">
        <v>2826</v>
      </c>
      <c r="D2269" t="s">
        <v>2844</v>
      </c>
      <c r="E2269">
        <v>0</v>
      </c>
      <c r="F2269">
        <v>0</v>
      </c>
      <c r="G2269">
        <v>0</v>
      </c>
      <c r="H2269">
        <f t="shared" si="70"/>
        <v>0</v>
      </c>
      <c r="I2269">
        <v>2</v>
      </c>
      <c r="J2269">
        <v>0</v>
      </c>
      <c r="K2269">
        <v>0</v>
      </c>
      <c r="L2269">
        <f t="shared" si="71"/>
        <v>2</v>
      </c>
    </row>
    <row r="2270" spans="1:12">
      <c r="A2270" t="s">
        <v>3853</v>
      </c>
      <c r="B2270" t="s">
        <v>1094</v>
      </c>
      <c r="C2270" t="s">
        <v>2826</v>
      </c>
      <c r="D2270" t="s">
        <v>2835</v>
      </c>
      <c r="E2270">
        <v>0</v>
      </c>
      <c r="F2270">
        <v>0</v>
      </c>
      <c r="G2270">
        <v>0</v>
      </c>
      <c r="H2270">
        <f t="shared" si="70"/>
        <v>0</v>
      </c>
      <c r="I2270">
        <v>5</v>
      </c>
      <c r="J2270">
        <v>0</v>
      </c>
      <c r="K2270">
        <v>0</v>
      </c>
      <c r="L2270">
        <f t="shared" si="71"/>
        <v>5</v>
      </c>
    </row>
    <row r="2271" spans="1:12">
      <c r="A2271" t="s">
        <v>3853</v>
      </c>
      <c r="B2271" t="s">
        <v>1094</v>
      </c>
      <c r="C2271" t="s">
        <v>2826</v>
      </c>
      <c r="D2271" t="s">
        <v>2849</v>
      </c>
      <c r="E2271">
        <v>0</v>
      </c>
      <c r="F2271">
        <v>0</v>
      </c>
      <c r="G2271">
        <v>0</v>
      </c>
      <c r="H2271">
        <f t="shared" si="70"/>
        <v>0</v>
      </c>
      <c r="I2271">
        <v>47</v>
      </c>
      <c r="J2271">
        <v>35</v>
      </c>
      <c r="K2271">
        <v>0</v>
      </c>
      <c r="L2271">
        <f t="shared" si="71"/>
        <v>82</v>
      </c>
    </row>
    <row r="2272" spans="1:12">
      <c r="A2272" t="s">
        <v>3853</v>
      </c>
      <c r="B2272" t="s">
        <v>1094</v>
      </c>
      <c r="C2272" t="s">
        <v>2826</v>
      </c>
      <c r="D2272" t="s">
        <v>2906</v>
      </c>
      <c r="E2272">
        <v>0</v>
      </c>
      <c r="F2272">
        <v>0</v>
      </c>
      <c r="G2272">
        <v>0</v>
      </c>
      <c r="H2272">
        <f t="shared" si="70"/>
        <v>0</v>
      </c>
      <c r="I2272">
        <v>8</v>
      </c>
      <c r="J2272">
        <v>0</v>
      </c>
      <c r="K2272">
        <v>0</v>
      </c>
      <c r="L2272">
        <f t="shared" si="71"/>
        <v>8</v>
      </c>
    </row>
    <row r="2273" spans="1:12">
      <c r="A2273" t="s">
        <v>3853</v>
      </c>
      <c r="B2273" t="s">
        <v>1094</v>
      </c>
      <c r="C2273" t="s">
        <v>2826</v>
      </c>
      <c r="D2273" t="s">
        <v>2836</v>
      </c>
      <c r="E2273">
        <v>0</v>
      </c>
      <c r="F2273">
        <v>0</v>
      </c>
      <c r="G2273">
        <v>0</v>
      </c>
      <c r="H2273">
        <f t="shared" si="70"/>
        <v>0</v>
      </c>
      <c r="I2273">
        <v>6</v>
      </c>
      <c r="J2273">
        <v>0</v>
      </c>
      <c r="K2273">
        <v>0</v>
      </c>
      <c r="L2273">
        <f t="shared" si="71"/>
        <v>6</v>
      </c>
    </row>
    <row r="2274" spans="1:12">
      <c r="A2274" t="s">
        <v>3853</v>
      </c>
      <c r="B2274" t="s">
        <v>1094</v>
      </c>
      <c r="C2274" t="s">
        <v>2826</v>
      </c>
      <c r="D2274" t="s">
        <v>2907</v>
      </c>
      <c r="E2274">
        <v>0</v>
      </c>
      <c r="F2274">
        <v>0</v>
      </c>
      <c r="G2274">
        <v>0</v>
      </c>
      <c r="H2274">
        <f t="shared" si="70"/>
        <v>0</v>
      </c>
      <c r="I2274">
        <v>3</v>
      </c>
      <c r="J2274">
        <v>0</v>
      </c>
      <c r="K2274">
        <v>0</v>
      </c>
      <c r="L2274">
        <f t="shared" si="71"/>
        <v>3</v>
      </c>
    </row>
    <row r="2275" spans="1:12">
      <c r="A2275" t="s">
        <v>3853</v>
      </c>
      <c r="B2275" t="s">
        <v>1094</v>
      </c>
      <c r="C2275" t="s">
        <v>2826</v>
      </c>
      <c r="D2275" t="s">
        <v>2908</v>
      </c>
      <c r="E2275">
        <v>0</v>
      </c>
      <c r="F2275">
        <v>0</v>
      </c>
      <c r="G2275">
        <v>0</v>
      </c>
      <c r="H2275">
        <f t="shared" si="70"/>
        <v>0</v>
      </c>
      <c r="I2275">
        <v>3</v>
      </c>
      <c r="J2275">
        <v>0</v>
      </c>
      <c r="K2275">
        <v>0</v>
      </c>
      <c r="L2275">
        <f t="shared" si="71"/>
        <v>3</v>
      </c>
    </row>
    <row r="2276" spans="1:12">
      <c r="A2276" t="s">
        <v>3853</v>
      </c>
      <c r="B2276" t="s">
        <v>1094</v>
      </c>
      <c r="C2276" t="s">
        <v>2817</v>
      </c>
      <c r="D2276" t="s">
        <v>2888</v>
      </c>
      <c r="E2276">
        <v>0</v>
      </c>
      <c r="F2276">
        <v>0</v>
      </c>
      <c r="G2276">
        <v>0</v>
      </c>
      <c r="H2276">
        <f t="shared" si="70"/>
        <v>0</v>
      </c>
      <c r="I2276">
        <v>1</v>
      </c>
      <c r="J2276">
        <v>0</v>
      </c>
      <c r="K2276">
        <v>0</v>
      </c>
      <c r="L2276">
        <f t="shared" si="71"/>
        <v>1</v>
      </c>
    </row>
    <row r="2277" spans="1:12">
      <c r="A2277" t="s">
        <v>3853</v>
      </c>
      <c r="B2277" t="s">
        <v>1094</v>
      </c>
      <c r="C2277" t="s">
        <v>2817</v>
      </c>
      <c r="D2277" t="s">
        <v>2909</v>
      </c>
      <c r="E2277">
        <v>0</v>
      </c>
      <c r="F2277">
        <v>0</v>
      </c>
      <c r="G2277">
        <v>0</v>
      </c>
      <c r="H2277">
        <f t="shared" si="70"/>
        <v>0</v>
      </c>
      <c r="I2277">
        <v>1</v>
      </c>
      <c r="J2277">
        <v>0</v>
      </c>
      <c r="K2277">
        <v>0</v>
      </c>
      <c r="L2277">
        <f t="shared" si="71"/>
        <v>1</v>
      </c>
    </row>
    <row r="2278" spans="1:12">
      <c r="A2278" t="s">
        <v>3853</v>
      </c>
      <c r="B2278" t="s">
        <v>1094</v>
      </c>
      <c r="C2278" t="s">
        <v>2820</v>
      </c>
      <c r="D2278" t="s">
        <v>2821</v>
      </c>
      <c r="E2278">
        <v>0</v>
      </c>
      <c r="F2278">
        <v>0</v>
      </c>
      <c r="G2278">
        <v>0</v>
      </c>
      <c r="H2278">
        <f t="shared" si="70"/>
        <v>0</v>
      </c>
      <c r="I2278">
        <v>5</v>
      </c>
      <c r="J2278">
        <v>0</v>
      </c>
      <c r="K2278">
        <v>0</v>
      </c>
      <c r="L2278">
        <f t="shared" si="71"/>
        <v>5</v>
      </c>
    </row>
    <row r="2279" spans="1:12">
      <c r="A2279" t="s">
        <v>3854</v>
      </c>
      <c r="B2279" t="s">
        <v>1435</v>
      </c>
      <c r="C2279" t="s">
        <v>2805</v>
      </c>
      <c r="D2279" t="s">
        <v>2806</v>
      </c>
      <c r="E2279">
        <v>124</v>
      </c>
      <c r="F2279">
        <v>0</v>
      </c>
      <c r="G2279">
        <v>0</v>
      </c>
      <c r="H2279">
        <f t="shared" si="70"/>
        <v>124</v>
      </c>
      <c r="I2279">
        <v>0</v>
      </c>
      <c r="J2279">
        <v>0</v>
      </c>
      <c r="K2279">
        <v>0</v>
      </c>
      <c r="L2279">
        <f t="shared" si="71"/>
        <v>0</v>
      </c>
    </row>
    <row r="2280" spans="1:12">
      <c r="A2280" t="s">
        <v>3854</v>
      </c>
      <c r="B2280" t="s">
        <v>1435</v>
      </c>
      <c r="C2280" t="s">
        <v>2805</v>
      </c>
      <c r="D2280" t="s">
        <v>449</v>
      </c>
      <c r="E2280">
        <v>111</v>
      </c>
      <c r="F2280">
        <v>0</v>
      </c>
      <c r="G2280">
        <v>0</v>
      </c>
      <c r="H2280">
        <f t="shared" si="70"/>
        <v>111</v>
      </c>
      <c r="I2280">
        <v>0</v>
      </c>
      <c r="J2280">
        <v>0</v>
      </c>
      <c r="K2280">
        <v>0</v>
      </c>
      <c r="L2280">
        <f t="shared" si="71"/>
        <v>0</v>
      </c>
    </row>
    <row r="2281" spans="1:12">
      <c r="A2281" t="s">
        <v>3854</v>
      </c>
      <c r="B2281" t="s">
        <v>1435</v>
      </c>
      <c r="C2281" t="s">
        <v>2805</v>
      </c>
      <c r="D2281" t="s">
        <v>2807</v>
      </c>
      <c r="E2281">
        <v>1</v>
      </c>
      <c r="F2281">
        <v>0</v>
      </c>
      <c r="G2281">
        <v>0</v>
      </c>
      <c r="H2281">
        <f t="shared" si="70"/>
        <v>1</v>
      </c>
      <c r="I2281">
        <v>0</v>
      </c>
      <c r="J2281">
        <v>0</v>
      </c>
      <c r="K2281">
        <v>0</v>
      </c>
      <c r="L2281">
        <f t="shared" si="71"/>
        <v>0</v>
      </c>
    </row>
    <row r="2282" spans="1:12">
      <c r="A2282" t="s">
        <v>3854</v>
      </c>
      <c r="B2282" t="s">
        <v>1435</v>
      </c>
      <c r="C2282" t="s">
        <v>2810</v>
      </c>
      <c r="D2282" t="s">
        <v>2811</v>
      </c>
      <c r="E2282">
        <v>4</v>
      </c>
      <c r="F2282">
        <v>0</v>
      </c>
      <c r="G2282">
        <v>0</v>
      </c>
      <c r="H2282">
        <f t="shared" si="70"/>
        <v>4</v>
      </c>
      <c r="I2282">
        <v>0</v>
      </c>
      <c r="J2282">
        <v>0</v>
      </c>
      <c r="K2282">
        <v>0</v>
      </c>
      <c r="L2282">
        <f t="shared" si="71"/>
        <v>0</v>
      </c>
    </row>
    <row r="2283" spans="1:12">
      <c r="A2283" t="s">
        <v>3854</v>
      </c>
      <c r="B2283" t="s">
        <v>1435</v>
      </c>
      <c r="C2283" t="s">
        <v>2810</v>
      </c>
      <c r="D2283" t="s">
        <v>2823</v>
      </c>
      <c r="E2283">
        <v>15</v>
      </c>
      <c r="F2283">
        <v>0</v>
      </c>
      <c r="G2283">
        <v>0</v>
      </c>
      <c r="H2283">
        <f t="shared" si="70"/>
        <v>15</v>
      </c>
      <c r="I2283">
        <v>0</v>
      </c>
      <c r="J2283">
        <v>0</v>
      </c>
      <c r="K2283">
        <v>0</v>
      </c>
      <c r="L2283">
        <f t="shared" si="71"/>
        <v>0</v>
      </c>
    </row>
    <row r="2284" spans="1:12">
      <c r="A2284" t="s">
        <v>3854</v>
      </c>
      <c r="B2284" t="s">
        <v>1435</v>
      </c>
      <c r="C2284" t="s">
        <v>2810</v>
      </c>
      <c r="D2284" t="s">
        <v>2812</v>
      </c>
      <c r="E2284">
        <v>109</v>
      </c>
      <c r="F2284">
        <v>5</v>
      </c>
      <c r="G2284">
        <v>0</v>
      </c>
      <c r="H2284">
        <f t="shared" si="70"/>
        <v>114</v>
      </c>
      <c r="I2284">
        <v>0</v>
      </c>
      <c r="J2284">
        <v>0</v>
      </c>
      <c r="K2284">
        <v>0</v>
      </c>
      <c r="L2284">
        <f t="shared" si="71"/>
        <v>0</v>
      </c>
    </row>
    <row r="2285" spans="1:12">
      <c r="A2285" t="s">
        <v>3854</v>
      </c>
      <c r="B2285" t="s">
        <v>1435</v>
      </c>
      <c r="C2285" t="s">
        <v>2810</v>
      </c>
      <c r="D2285" t="s">
        <v>2813</v>
      </c>
      <c r="E2285">
        <v>13</v>
      </c>
      <c r="F2285">
        <v>0</v>
      </c>
      <c r="G2285">
        <v>0</v>
      </c>
      <c r="H2285">
        <f t="shared" si="70"/>
        <v>13</v>
      </c>
      <c r="I2285">
        <v>0</v>
      </c>
      <c r="J2285">
        <v>0</v>
      </c>
      <c r="K2285">
        <v>0</v>
      </c>
      <c r="L2285">
        <f t="shared" si="71"/>
        <v>0</v>
      </c>
    </row>
    <row r="2286" spans="1:12">
      <c r="A2286" t="s">
        <v>3854</v>
      </c>
      <c r="B2286" t="s">
        <v>1435</v>
      </c>
      <c r="C2286" t="s">
        <v>2810</v>
      </c>
      <c r="D2286" t="s">
        <v>2847</v>
      </c>
      <c r="E2286">
        <v>157</v>
      </c>
      <c r="F2286">
        <v>0</v>
      </c>
      <c r="G2286">
        <v>0</v>
      </c>
      <c r="H2286">
        <f t="shared" si="70"/>
        <v>157</v>
      </c>
      <c r="I2286">
        <v>0</v>
      </c>
      <c r="J2286">
        <v>0</v>
      </c>
      <c r="K2286">
        <v>0</v>
      </c>
      <c r="L2286">
        <f t="shared" si="71"/>
        <v>0</v>
      </c>
    </row>
    <row r="2287" spans="1:12">
      <c r="A2287" t="s">
        <v>3854</v>
      </c>
      <c r="B2287" t="s">
        <v>1435</v>
      </c>
      <c r="C2287" t="s">
        <v>2810</v>
      </c>
      <c r="D2287" t="s">
        <v>2840</v>
      </c>
      <c r="E2287">
        <v>11</v>
      </c>
      <c r="F2287">
        <v>0</v>
      </c>
      <c r="G2287">
        <v>0</v>
      </c>
      <c r="H2287">
        <f t="shared" si="70"/>
        <v>11</v>
      </c>
      <c r="I2287">
        <v>0</v>
      </c>
      <c r="J2287">
        <v>0</v>
      </c>
      <c r="K2287">
        <v>0</v>
      </c>
      <c r="L2287">
        <f t="shared" si="71"/>
        <v>0</v>
      </c>
    </row>
    <row r="2288" spans="1:12">
      <c r="A2288" t="s">
        <v>3854</v>
      </c>
      <c r="B2288" t="s">
        <v>1435</v>
      </c>
      <c r="C2288" t="s">
        <v>2810</v>
      </c>
      <c r="D2288" t="s">
        <v>3003</v>
      </c>
      <c r="E2288">
        <v>2</v>
      </c>
      <c r="F2288">
        <v>0</v>
      </c>
      <c r="G2288">
        <v>0</v>
      </c>
      <c r="H2288">
        <f t="shared" si="70"/>
        <v>2</v>
      </c>
      <c r="I2288">
        <v>0</v>
      </c>
      <c r="J2288">
        <v>0</v>
      </c>
      <c r="K2288">
        <v>0</v>
      </c>
      <c r="L2288">
        <f t="shared" si="71"/>
        <v>0</v>
      </c>
    </row>
    <row r="2289" spans="1:12">
      <c r="A2289" t="s">
        <v>3854</v>
      </c>
      <c r="B2289" t="s">
        <v>1435</v>
      </c>
      <c r="C2289" t="s">
        <v>2816</v>
      </c>
      <c r="D2289" t="s">
        <v>1896</v>
      </c>
      <c r="E2289">
        <v>3</v>
      </c>
      <c r="F2289">
        <v>0</v>
      </c>
      <c r="G2289">
        <v>0</v>
      </c>
      <c r="H2289">
        <f t="shared" si="70"/>
        <v>3</v>
      </c>
      <c r="I2289">
        <v>0</v>
      </c>
      <c r="J2289">
        <v>0</v>
      </c>
      <c r="K2289">
        <v>0</v>
      </c>
      <c r="L2289">
        <f t="shared" si="71"/>
        <v>0</v>
      </c>
    </row>
    <row r="2290" spans="1:12">
      <c r="A2290" t="s">
        <v>3854</v>
      </c>
      <c r="B2290" t="s">
        <v>1435</v>
      </c>
      <c r="C2290" t="s">
        <v>2816</v>
      </c>
      <c r="D2290" t="s">
        <v>1897</v>
      </c>
      <c r="E2290">
        <v>30</v>
      </c>
      <c r="F2290">
        <v>0</v>
      </c>
      <c r="G2290">
        <v>0</v>
      </c>
      <c r="H2290">
        <f t="shared" si="70"/>
        <v>30</v>
      </c>
      <c r="I2290">
        <v>0</v>
      </c>
      <c r="J2290">
        <v>0</v>
      </c>
      <c r="K2290">
        <v>0</v>
      </c>
      <c r="L2290">
        <f t="shared" si="71"/>
        <v>0</v>
      </c>
    </row>
    <row r="2291" spans="1:12">
      <c r="A2291" t="s">
        <v>3857</v>
      </c>
      <c r="B2291" t="s">
        <v>1443</v>
      </c>
      <c r="C2291" t="s">
        <v>2805</v>
      </c>
      <c r="D2291" t="s">
        <v>2807</v>
      </c>
      <c r="E2291">
        <v>1</v>
      </c>
      <c r="F2291">
        <v>0</v>
      </c>
      <c r="G2291">
        <v>0</v>
      </c>
      <c r="H2291">
        <f t="shared" si="70"/>
        <v>1</v>
      </c>
      <c r="I2291">
        <v>0</v>
      </c>
      <c r="J2291">
        <v>0</v>
      </c>
      <c r="K2291">
        <v>0</v>
      </c>
      <c r="L2291">
        <f t="shared" si="71"/>
        <v>0</v>
      </c>
    </row>
    <row r="2292" spans="1:12">
      <c r="A2292" t="s">
        <v>3857</v>
      </c>
      <c r="B2292" t="s">
        <v>1443</v>
      </c>
      <c r="C2292" t="s">
        <v>2810</v>
      </c>
      <c r="D2292" t="s">
        <v>2811</v>
      </c>
      <c r="E2292">
        <v>1</v>
      </c>
      <c r="F2292">
        <v>0</v>
      </c>
      <c r="G2292">
        <v>0</v>
      </c>
      <c r="H2292">
        <f t="shared" si="70"/>
        <v>1</v>
      </c>
      <c r="I2292">
        <v>0</v>
      </c>
      <c r="J2292">
        <v>0</v>
      </c>
      <c r="K2292">
        <v>0</v>
      </c>
      <c r="L2292">
        <f t="shared" si="71"/>
        <v>0</v>
      </c>
    </row>
    <row r="2293" spans="1:12">
      <c r="A2293" t="s">
        <v>3857</v>
      </c>
      <c r="B2293" t="s">
        <v>1443</v>
      </c>
      <c r="C2293" t="s">
        <v>2810</v>
      </c>
      <c r="D2293" t="s">
        <v>2812</v>
      </c>
      <c r="E2293">
        <v>5</v>
      </c>
      <c r="F2293">
        <v>0</v>
      </c>
      <c r="G2293">
        <v>0</v>
      </c>
      <c r="H2293">
        <f t="shared" si="70"/>
        <v>5</v>
      </c>
      <c r="I2293">
        <v>0</v>
      </c>
      <c r="J2293">
        <v>0</v>
      </c>
      <c r="K2293">
        <v>0</v>
      </c>
      <c r="L2293">
        <f t="shared" si="71"/>
        <v>0</v>
      </c>
    </row>
    <row r="2294" spans="1:12">
      <c r="A2294" t="s">
        <v>3857</v>
      </c>
      <c r="B2294" t="s">
        <v>1443</v>
      </c>
      <c r="C2294" t="s">
        <v>2826</v>
      </c>
      <c r="D2294" t="s">
        <v>2871</v>
      </c>
      <c r="E2294">
        <v>0</v>
      </c>
      <c r="F2294">
        <v>0</v>
      </c>
      <c r="G2294">
        <v>0</v>
      </c>
      <c r="H2294">
        <f t="shared" si="70"/>
        <v>0</v>
      </c>
      <c r="I2294">
        <v>1</v>
      </c>
      <c r="J2294">
        <v>0</v>
      </c>
      <c r="K2294">
        <v>0</v>
      </c>
      <c r="L2294">
        <f t="shared" si="71"/>
        <v>1</v>
      </c>
    </row>
    <row r="2295" spans="1:12">
      <c r="A2295" t="s">
        <v>3857</v>
      </c>
      <c r="B2295" t="s">
        <v>1443</v>
      </c>
      <c r="C2295" t="s">
        <v>2826</v>
      </c>
      <c r="D2295" t="s">
        <v>2827</v>
      </c>
      <c r="E2295">
        <v>0</v>
      </c>
      <c r="F2295">
        <v>0</v>
      </c>
      <c r="G2295">
        <v>0</v>
      </c>
      <c r="H2295">
        <f t="shared" si="70"/>
        <v>0</v>
      </c>
      <c r="I2295">
        <v>3</v>
      </c>
      <c r="J2295">
        <v>1</v>
      </c>
      <c r="K2295">
        <v>0</v>
      </c>
      <c r="L2295">
        <f t="shared" si="71"/>
        <v>4</v>
      </c>
    </row>
    <row r="2296" spans="1:12">
      <c r="A2296" t="s">
        <v>3857</v>
      </c>
      <c r="B2296" t="s">
        <v>1443</v>
      </c>
      <c r="C2296" t="s">
        <v>2826</v>
      </c>
      <c r="D2296" t="s">
        <v>2828</v>
      </c>
      <c r="E2296">
        <v>0</v>
      </c>
      <c r="F2296">
        <v>0</v>
      </c>
      <c r="G2296">
        <v>0</v>
      </c>
      <c r="H2296">
        <f t="shared" si="70"/>
        <v>0</v>
      </c>
      <c r="I2296">
        <v>0</v>
      </c>
      <c r="J2296">
        <v>1</v>
      </c>
      <c r="K2296">
        <v>0</v>
      </c>
      <c r="L2296">
        <f t="shared" si="71"/>
        <v>1</v>
      </c>
    </row>
    <row r="2297" spans="1:12">
      <c r="A2297" t="s">
        <v>3857</v>
      </c>
      <c r="B2297" t="s">
        <v>1443</v>
      </c>
      <c r="C2297" t="s">
        <v>2826</v>
      </c>
      <c r="D2297" t="s">
        <v>2829</v>
      </c>
      <c r="E2297">
        <v>0</v>
      </c>
      <c r="F2297">
        <v>0</v>
      </c>
      <c r="G2297">
        <v>0</v>
      </c>
      <c r="H2297">
        <f t="shared" si="70"/>
        <v>0</v>
      </c>
      <c r="I2297">
        <v>1</v>
      </c>
      <c r="J2297">
        <v>1</v>
      </c>
      <c r="K2297">
        <v>0</v>
      </c>
      <c r="L2297">
        <f t="shared" si="71"/>
        <v>2</v>
      </c>
    </row>
    <row r="2298" spans="1:12">
      <c r="A2298" t="s">
        <v>3857</v>
      </c>
      <c r="B2298" t="s">
        <v>1443</v>
      </c>
      <c r="C2298" t="s">
        <v>2826</v>
      </c>
      <c r="D2298" t="s">
        <v>2891</v>
      </c>
      <c r="E2298">
        <v>0</v>
      </c>
      <c r="F2298">
        <v>0</v>
      </c>
      <c r="G2298">
        <v>0</v>
      </c>
      <c r="H2298">
        <f t="shared" si="70"/>
        <v>0</v>
      </c>
      <c r="I2298">
        <v>1</v>
      </c>
      <c r="J2298">
        <v>1</v>
      </c>
      <c r="K2298">
        <v>0</v>
      </c>
      <c r="L2298">
        <f t="shared" si="71"/>
        <v>2</v>
      </c>
    </row>
    <row r="2299" spans="1:12">
      <c r="A2299" t="s">
        <v>3857</v>
      </c>
      <c r="B2299" t="s">
        <v>1443</v>
      </c>
      <c r="C2299" t="s">
        <v>2826</v>
      </c>
      <c r="D2299" t="s">
        <v>2830</v>
      </c>
      <c r="E2299">
        <v>0</v>
      </c>
      <c r="F2299">
        <v>0</v>
      </c>
      <c r="G2299">
        <v>0</v>
      </c>
      <c r="H2299">
        <f t="shared" si="70"/>
        <v>0</v>
      </c>
      <c r="I2299">
        <v>0</v>
      </c>
      <c r="J2299">
        <v>2</v>
      </c>
      <c r="K2299">
        <v>0</v>
      </c>
      <c r="L2299">
        <f t="shared" si="71"/>
        <v>2</v>
      </c>
    </row>
    <row r="2300" spans="1:12">
      <c r="A2300" t="s">
        <v>3857</v>
      </c>
      <c r="B2300" t="s">
        <v>1443</v>
      </c>
      <c r="C2300" t="s">
        <v>2826</v>
      </c>
      <c r="D2300" t="s">
        <v>2864</v>
      </c>
      <c r="E2300">
        <v>0</v>
      </c>
      <c r="F2300">
        <v>0</v>
      </c>
      <c r="G2300">
        <v>0</v>
      </c>
      <c r="H2300">
        <f t="shared" si="70"/>
        <v>0</v>
      </c>
      <c r="I2300">
        <v>1</v>
      </c>
      <c r="J2300">
        <v>0</v>
      </c>
      <c r="K2300">
        <v>0</v>
      </c>
      <c r="L2300">
        <f t="shared" si="71"/>
        <v>1</v>
      </c>
    </row>
    <row r="2301" spans="1:12">
      <c r="A2301" t="s">
        <v>3857</v>
      </c>
      <c r="B2301" t="s">
        <v>1443</v>
      </c>
      <c r="C2301" t="s">
        <v>2826</v>
      </c>
      <c r="D2301" t="s">
        <v>2843</v>
      </c>
      <c r="E2301">
        <v>0</v>
      </c>
      <c r="F2301">
        <v>0</v>
      </c>
      <c r="G2301">
        <v>0</v>
      </c>
      <c r="H2301">
        <f t="shared" si="70"/>
        <v>0</v>
      </c>
      <c r="I2301">
        <v>3</v>
      </c>
      <c r="J2301">
        <v>0</v>
      </c>
      <c r="K2301">
        <v>0</v>
      </c>
      <c r="L2301">
        <f t="shared" si="71"/>
        <v>3</v>
      </c>
    </row>
    <row r="2302" spans="1:12">
      <c r="A2302" t="s">
        <v>3857</v>
      </c>
      <c r="B2302" t="s">
        <v>1443</v>
      </c>
      <c r="C2302" t="s">
        <v>2826</v>
      </c>
      <c r="D2302" t="s">
        <v>2884</v>
      </c>
      <c r="E2302">
        <v>0</v>
      </c>
      <c r="F2302">
        <v>0</v>
      </c>
      <c r="G2302">
        <v>0</v>
      </c>
      <c r="H2302">
        <f t="shared" si="70"/>
        <v>0</v>
      </c>
      <c r="I2302">
        <v>0</v>
      </c>
      <c r="J2302">
        <v>1</v>
      </c>
      <c r="K2302">
        <v>0</v>
      </c>
      <c r="L2302">
        <f t="shared" si="71"/>
        <v>1</v>
      </c>
    </row>
    <row r="2303" spans="1:12">
      <c r="A2303" t="s">
        <v>3857</v>
      </c>
      <c r="B2303" t="s">
        <v>1443</v>
      </c>
      <c r="C2303" t="s">
        <v>2826</v>
      </c>
      <c r="D2303" t="s">
        <v>2975</v>
      </c>
      <c r="E2303">
        <v>0</v>
      </c>
      <c r="F2303">
        <v>0</v>
      </c>
      <c r="G2303">
        <v>0</v>
      </c>
      <c r="H2303">
        <f t="shared" si="70"/>
        <v>0</v>
      </c>
      <c r="I2303">
        <v>17</v>
      </c>
      <c r="J2303">
        <v>0</v>
      </c>
      <c r="K2303">
        <v>0</v>
      </c>
      <c r="L2303">
        <f t="shared" si="71"/>
        <v>17</v>
      </c>
    </row>
    <row r="2304" spans="1:12">
      <c r="A2304" t="s">
        <v>3857</v>
      </c>
      <c r="B2304" t="s">
        <v>1443</v>
      </c>
      <c r="C2304" t="s">
        <v>2826</v>
      </c>
      <c r="D2304" t="s">
        <v>2885</v>
      </c>
      <c r="E2304">
        <v>0</v>
      </c>
      <c r="F2304">
        <v>0</v>
      </c>
      <c r="G2304">
        <v>0</v>
      </c>
      <c r="H2304">
        <f t="shared" si="70"/>
        <v>0</v>
      </c>
      <c r="I2304">
        <v>1</v>
      </c>
      <c r="J2304">
        <v>0</v>
      </c>
      <c r="K2304">
        <v>0</v>
      </c>
      <c r="L2304">
        <f t="shared" si="71"/>
        <v>1</v>
      </c>
    </row>
    <row r="2305" spans="1:12">
      <c r="A2305" t="s">
        <v>3857</v>
      </c>
      <c r="B2305" t="s">
        <v>1443</v>
      </c>
      <c r="C2305" t="s">
        <v>2826</v>
      </c>
      <c r="D2305" t="s">
        <v>2832</v>
      </c>
      <c r="E2305">
        <v>0</v>
      </c>
      <c r="F2305">
        <v>0</v>
      </c>
      <c r="G2305">
        <v>0</v>
      </c>
      <c r="H2305">
        <f t="shared" si="70"/>
        <v>0</v>
      </c>
      <c r="I2305">
        <v>0</v>
      </c>
      <c r="J2305">
        <v>1</v>
      </c>
      <c r="K2305">
        <v>0</v>
      </c>
      <c r="L2305">
        <f t="shared" si="71"/>
        <v>1</v>
      </c>
    </row>
    <row r="2306" spans="1:12">
      <c r="A2306" t="s">
        <v>3857</v>
      </c>
      <c r="B2306" t="s">
        <v>1443</v>
      </c>
      <c r="C2306" t="s">
        <v>2826</v>
      </c>
      <c r="D2306" t="s">
        <v>2834</v>
      </c>
      <c r="E2306">
        <v>0</v>
      </c>
      <c r="F2306">
        <v>0</v>
      </c>
      <c r="G2306">
        <v>0</v>
      </c>
      <c r="H2306">
        <f t="shared" si="70"/>
        <v>0</v>
      </c>
      <c r="I2306">
        <v>2</v>
      </c>
      <c r="J2306">
        <v>1</v>
      </c>
      <c r="K2306">
        <v>0</v>
      </c>
      <c r="L2306">
        <f t="shared" si="71"/>
        <v>3</v>
      </c>
    </row>
    <row r="2307" spans="1:12">
      <c r="A2307" t="s">
        <v>3857</v>
      </c>
      <c r="B2307" t="s">
        <v>1443</v>
      </c>
      <c r="C2307" t="s">
        <v>2826</v>
      </c>
      <c r="D2307" t="s">
        <v>2835</v>
      </c>
      <c r="E2307">
        <v>0</v>
      </c>
      <c r="F2307">
        <v>0</v>
      </c>
      <c r="G2307">
        <v>0</v>
      </c>
      <c r="H2307">
        <f t="shared" si="70"/>
        <v>0</v>
      </c>
      <c r="I2307">
        <v>2</v>
      </c>
      <c r="J2307">
        <v>0</v>
      </c>
      <c r="K2307">
        <v>0</v>
      </c>
      <c r="L2307">
        <f t="shared" si="71"/>
        <v>2</v>
      </c>
    </row>
    <row r="2308" spans="1:12">
      <c r="A2308" t="s">
        <v>3857</v>
      </c>
      <c r="B2308" t="s">
        <v>1443</v>
      </c>
      <c r="C2308" t="s">
        <v>2820</v>
      </c>
      <c r="D2308" t="s">
        <v>2952</v>
      </c>
      <c r="E2308">
        <v>0</v>
      </c>
      <c r="F2308">
        <v>0</v>
      </c>
      <c r="G2308">
        <v>0</v>
      </c>
      <c r="H2308">
        <f t="shared" ref="H2308:H2371" si="72">SUM(E2308:G2308)</f>
        <v>0</v>
      </c>
      <c r="I2308">
        <v>4</v>
      </c>
      <c r="J2308">
        <v>0</v>
      </c>
      <c r="K2308">
        <v>0</v>
      </c>
      <c r="L2308">
        <f t="shared" ref="L2308:L2371" si="73">SUM(I2308:K2308)</f>
        <v>4</v>
      </c>
    </row>
    <row r="2309" spans="1:12">
      <c r="A2309" t="s">
        <v>3857</v>
      </c>
      <c r="B2309" t="s">
        <v>1443</v>
      </c>
      <c r="C2309" t="s">
        <v>2820</v>
      </c>
      <c r="D2309" t="s">
        <v>2821</v>
      </c>
      <c r="E2309">
        <v>0</v>
      </c>
      <c r="F2309">
        <v>0</v>
      </c>
      <c r="G2309">
        <v>0</v>
      </c>
      <c r="H2309">
        <f t="shared" si="72"/>
        <v>0</v>
      </c>
      <c r="I2309">
        <v>2</v>
      </c>
      <c r="J2309">
        <v>0</v>
      </c>
      <c r="K2309">
        <v>0</v>
      </c>
      <c r="L2309">
        <f t="shared" si="73"/>
        <v>2</v>
      </c>
    </row>
    <row r="2310" spans="1:12">
      <c r="A2310" t="s">
        <v>3857</v>
      </c>
      <c r="B2310" t="s">
        <v>1443</v>
      </c>
      <c r="C2310" t="s">
        <v>2820</v>
      </c>
      <c r="D2310" t="s">
        <v>2949</v>
      </c>
      <c r="E2310">
        <v>0</v>
      </c>
      <c r="F2310">
        <v>0</v>
      </c>
      <c r="G2310">
        <v>0</v>
      </c>
      <c r="H2310">
        <f t="shared" si="72"/>
        <v>0</v>
      </c>
      <c r="I2310">
        <v>0</v>
      </c>
      <c r="J2310">
        <v>2</v>
      </c>
      <c r="K2310">
        <v>0</v>
      </c>
      <c r="L2310">
        <f t="shared" si="73"/>
        <v>2</v>
      </c>
    </row>
    <row r="2311" spans="1:12">
      <c r="A2311" t="s">
        <v>3858</v>
      </c>
      <c r="B2311" t="s">
        <v>1437</v>
      </c>
      <c r="C2311" t="s">
        <v>2805</v>
      </c>
      <c r="D2311" t="s">
        <v>2806</v>
      </c>
      <c r="E2311">
        <v>5</v>
      </c>
      <c r="F2311">
        <v>0</v>
      </c>
      <c r="G2311">
        <v>0</v>
      </c>
      <c r="H2311">
        <f t="shared" si="72"/>
        <v>5</v>
      </c>
      <c r="I2311">
        <v>9</v>
      </c>
      <c r="J2311">
        <v>0</v>
      </c>
      <c r="K2311">
        <v>0</v>
      </c>
      <c r="L2311">
        <f t="shared" si="73"/>
        <v>9</v>
      </c>
    </row>
    <row r="2312" spans="1:12">
      <c r="A2312" t="s">
        <v>3858</v>
      </c>
      <c r="B2312" t="s">
        <v>1437</v>
      </c>
      <c r="C2312" t="s">
        <v>2805</v>
      </c>
      <c r="D2312" t="s">
        <v>449</v>
      </c>
      <c r="E2312">
        <v>13</v>
      </c>
      <c r="F2312">
        <v>0</v>
      </c>
      <c r="G2312">
        <v>0</v>
      </c>
      <c r="H2312">
        <f t="shared" si="72"/>
        <v>13</v>
      </c>
      <c r="I2312">
        <v>18</v>
      </c>
      <c r="J2312">
        <v>0</v>
      </c>
      <c r="K2312">
        <v>0</v>
      </c>
      <c r="L2312">
        <f t="shared" si="73"/>
        <v>18</v>
      </c>
    </row>
    <row r="2313" spans="1:12">
      <c r="A2313" t="s">
        <v>3858</v>
      </c>
      <c r="B2313" t="s">
        <v>1437</v>
      </c>
      <c r="C2313" t="s">
        <v>2805</v>
      </c>
      <c r="D2313" t="s">
        <v>2807</v>
      </c>
      <c r="E2313">
        <v>2</v>
      </c>
      <c r="F2313">
        <v>0</v>
      </c>
      <c r="G2313">
        <v>0</v>
      </c>
      <c r="H2313">
        <f t="shared" si="72"/>
        <v>2</v>
      </c>
      <c r="I2313">
        <v>1</v>
      </c>
      <c r="J2313">
        <v>0</v>
      </c>
      <c r="K2313">
        <v>0</v>
      </c>
      <c r="L2313">
        <f t="shared" si="73"/>
        <v>1</v>
      </c>
    </row>
    <row r="2314" spans="1:12">
      <c r="A2314" t="s">
        <v>3858</v>
      </c>
      <c r="B2314" t="s">
        <v>1437</v>
      </c>
      <c r="C2314" t="s">
        <v>2805</v>
      </c>
      <c r="D2314" t="s">
        <v>2809</v>
      </c>
      <c r="E2314">
        <v>1</v>
      </c>
      <c r="F2314">
        <v>0</v>
      </c>
      <c r="G2314">
        <v>0</v>
      </c>
      <c r="H2314">
        <f t="shared" si="72"/>
        <v>1</v>
      </c>
      <c r="I2314">
        <v>0</v>
      </c>
      <c r="J2314">
        <v>0</v>
      </c>
      <c r="K2314">
        <v>0</v>
      </c>
      <c r="L2314">
        <f t="shared" si="73"/>
        <v>0</v>
      </c>
    </row>
    <row r="2315" spans="1:12">
      <c r="A2315" t="s">
        <v>3858</v>
      </c>
      <c r="B2315" t="s">
        <v>1437</v>
      </c>
      <c r="C2315" t="s">
        <v>2810</v>
      </c>
      <c r="D2315" t="s">
        <v>2811</v>
      </c>
      <c r="E2315">
        <v>19</v>
      </c>
      <c r="F2315">
        <v>0</v>
      </c>
      <c r="G2315">
        <v>0</v>
      </c>
      <c r="H2315">
        <f t="shared" si="72"/>
        <v>19</v>
      </c>
      <c r="I2315">
        <v>5</v>
      </c>
      <c r="J2315">
        <v>0</v>
      </c>
      <c r="K2315">
        <v>0</v>
      </c>
      <c r="L2315">
        <f t="shared" si="73"/>
        <v>5</v>
      </c>
    </row>
    <row r="2316" spans="1:12">
      <c r="A2316" t="s">
        <v>3858</v>
      </c>
      <c r="B2316" t="s">
        <v>1437</v>
      </c>
      <c r="C2316" t="s">
        <v>2810</v>
      </c>
      <c r="D2316" t="s">
        <v>2823</v>
      </c>
      <c r="E2316">
        <v>3</v>
      </c>
      <c r="F2316">
        <v>0</v>
      </c>
      <c r="G2316">
        <v>0</v>
      </c>
      <c r="H2316">
        <f t="shared" si="72"/>
        <v>3</v>
      </c>
      <c r="I2316">
        <v>5</v>
      </c>
      <c r="J2316">
        <v>0</v>
      </c>
      <c r="K2316">
        <v>0</v>
      </c>
      <c r="L2316">
        <f t="shared" si="73"/>
        <v>5</v>
      </c>
    </row>
    <row r="2317" spans="1:12">
      <c r="A2317" t="s">
        <v>3858</v>
      </c>
      <c r="B2317" t="s">
        <v>1437</v>
      </c>
      <c r="C2317" t="s">
        <v>2810</v>
      </c>
      <c r="D2317" t="s">
        <v>2812</v>
      </c>
      <c r="E2317">
        <v>0</v>
      </c>
      <c r="F2317">
        <v>0</v>
      </c>
      <c r="G2317">
        <v>0</v>
      </c>
      <c r="H2317">
        <f t="shared" si="72"/>
        <v>0</v>
      </c>
      <c r="I2317">
        <v>1</v>
      </c>
      <c r="J2317">
        <v>0</v>
      </c>
      <c r="K2317">
        <v>0</v>
      </c>
      <c r="L2317">
        <f t="shared" si="73"/>
        <v>1</v>
      </c>
    </row>
    <row r="2318" spans="1:12">
      <c r="A2318" t="s">
        <v>3858</v>
      </c>
      <c r="B2318" t="s">
        <v>1437</v>
      </c>
      <c r="C2318" t="s">
        <v>2810</v>
      </c>
      <c r="D2318" t="s">
        <v>2813</v>
      </c>
      <c r="E2318">
        <v>3</v>
      </c>
      <c r="F2318">
        <v>0</v>
      </c>
      <c r="G2318">
        <v>0</v>
      </c>
      <c r="H2318">
        <f t="shared" si="72"/>
        <v>3</v>
      </c>
      <c r="I2318">
        <v>0</v>
      </c>
      <c r="J2318">
        <v>0</v>
      </c>
      <c r="K2318">
        <v>0</v>
      </c>
      <c r="L2318">
        <f t="shared" si="73"/>
        <v>0</v>
      </c>
    </row>
    <row r="2319" spans="1:12">
      <c r="A2319" t="s">
        <v>3858</v>
      </c>
      <c r="B2319" t="s">
        <v>1437</v>
      </c>
      <c r="C2319" t="s">
        <v>2816</v>
      </c>
      <c r="D2319" t="s">
        <v>1897</v>
      </c>
      <c r="E2319">
        <v>4</v>
      </c>
      <c r="F2319">
        <v>0</v>
      </c>
      <c r="G2319">
        <v>0</v>
      </c>
      <c r="H2319">
        <f t="shared" si="72"/>
        <v>4</v>
      </c>
      <c r="I2319">
        <v>0</v>
      </c>
      <c r="J2319">
        <v>0</v>
      </c>
      <c r="K2319">
        <v>0</v>
      </c>
      <c r="L2319">
        <f t="shared" si="73"/>
        <v>0</v>
      </c>
    </row>
    <row r="2320" spans="1:12">
      <c r="A2320" t="s">
        <v>3858</v>
      </c>
      <c r="B2320" t="s">
        <v>1437</v>
      </c>
      <c r="C2320" t="s">
        <v>2841</v>
      </c>
      <c r="D2320" t="s">
        <v>2842</v>
      </c>
      <c r="E2320">
        <v>0</v>
      </c>
      <c r="F2320">
        <v>0</v>
      </c>
      <c r="G2320">
        <v>0</v>
      </c>
      <c r="H2320">
        <f t="shared" si="72"/>
        <v>0</v>
      </c>
      <c r="I2320">
        <v>17</v>
      </c>
      <c r="J2320">
        <v>0</v>
      </c>
      <c r="K2320">
        <v>0</v>
      </c>
      <c r="L2320">
        <f t="shared" si="73"/>
        <v>17</v>
      </c>
    </row>
    <row r="2321" spans="1:12">
      <c r="A2321" t="s">
        <v>3858</v>
      </c>
      <c r="B2321" t="s">
        <v>1437</v>
      </c>
      <c r="C2321" t="s">
        <v>2817</v>
      </c>
      <c r="D2321" t="s">
        <v>2909</v>
      </c>
      <c r="E2321">
        <v>3</v>
      </c>
      <c r="F2321">
        <v>0</v>
      </c>
      <c r="G2321">
        <v>0</v>
      </c>
      <c r="H2321">
        <f t="shared" si="72"/>
        <v>3</v>
      </c>
      <c r="I2321">
        <v>3</v>
      </c>
      <c r="J2321">
        <v>0</v>
      </c>
      <c r="K2321">
        <v>0</v>
      </c>
      <c r="L2321">
        <f t="shared" si="73"/>
        <v>3</v>
      </c>
    </row>
    <row r="2322" spans="1:12">
      <c r="A2322" t="s">
        <v>3859</v>
      </c>
      <c r="B2322" t="s">
        <v>1446</v>
      </c>
      <c r="C2322" t="s">
        <v>2810</v>
      </c>
      <c r="D2322" t="s">
        <v>2815</v>
      </c>
      <c r="E2322">
        <v>1</v>
      </c>
      <c r="F2322">
        <v>0</v>
      </c>
      <c r="G2322">
        <v>0</v>
      </c>
      <c r="H2322">
        <f t="shared" si="72"/>
        <v>1</v>
      </c>
      <c r="I2322">
        <v>0</v>
      </c>
      <c r="J2322">
        <v>0</v>
      </c>
      <c r="K2322">
        <v>0</v>
      </c>
      <c r="L2322">
        <f t="shared" si="73"/>
        <v>0</v>
      </c>
    </row>
    <row r="2323" spans="1:12">
      <c r="A2323" t="s">
        <v>3859</v>
      </c>
      <c r="B2323" t="s">
        <v>1446</v>
      </c>
      <c r="C2323" t="s">
        <v>2826</v>
      </c>
      <c r="D2323" t="s">
        <v>2830</v>
      </c>
      <c r="E2323">
        <v>0</v>
      </c>
      <c r="F2323">
        <v>0</v>
      </c>
      <c r="G2323">
        <v>0</v>
      </c>
      <c r="H2323">
        <f t="shared" si="72"/>
        <v>0</v>
      </c>
      <c r="I2323">
        <v>1</v>
      </c>
      <c r="J2323">
        <v>0</v>
      </c>
      <c r="K2323">
        <v>0</v>
      </c>
      <c r="L2323">
        <f t="shared" si="73"/>
        <v>1</v>
      </c>
    </row>
    <row r="2324" spans="1:12">
      <c r="A2324" t="s">
        <v>3859</v>
      </c>
      <c r="B2324" t="s">
        <v>1446</v>
      </c>
      <c r="C2324" t="s">
        <v>2826</v>
      </c>
      <c r="D2324" t="s">
        <v>2834</v>
      </c>
      <c r="E2324">
        <v>0</v>
      </c>
      <c r="F2324">
        <v>0</v>
      </c>
      <c r="G2324">
        <v>0</v>
      </c>
      <c r="H2324">
        <f t="shared" si="72"/>
        <v>0</v>
      </c>
      <c r="I2324">
        <v>1</v>
      </c>
      <c r="J2324">
        <v>0</v>
      </c>
      <c r="K2324">
        <v>0</v>
      </c>
      <c r="L2324">
        <f t="shared" si="73"/>
        <v>1</v>
      </c>
    </row>
    <row r="2325" spans="1:12">
      <c r="A2325" t="s">
        <v>3859</v>
      </c>
      <c r="B2325" t="s">
        <v>1446</v>
      </c>
      <c r="C2325" t="s">
        <v>2826</v>
      </c>
      <c r="D2325" t="s">
        <v>2836</v>
      </c>
      <c r="E2325">
        <v>0</v>
      </c>
      <c r="F2325">
        <v>0</v>
      </c>
      <c r="G2325">
        <v>0</v>
      </c>
      <c r="H2325">
        <f t="shared" si="72"/>
        <v>0</v>
      </c>
      <c r="I2325">
        <v>1</v>
      </c>
      <c r="J2325">
        <v>0</v>
      </c>
      <c r="K2325">
        <v>0</v>
      </c>
      <c r="L2325">
        <f t="shared" si="73"/>
        <v>1</v>
      </c>
    </row>
    <row r="2326" spans="1:12">
      <c r="A2326" t="s">
        <v>3859</v>
      </c>
      <c r="B2326" t="s">
        <v>1446</v>
      </c>
      <c r="C2326" t="s">
        <v>2817</v>
      </c>
      <c r="D2326" t="s">
        <v>2887</v>
      </c>
      <c r="E2326">
        <v>0</v>
      </c>
      <c r="F2326">
        <v>0</v>
      </c>
      <c r="G2326">
        <v>0</v>
      </c>
      <c r="H2326">
        <f t="shared" si="72"/>
        <v>0</v>
      </c>
      <c r="I2326">
        <v>0</v>
      </c>
      <c r="J2326">
        <v>1</v>
      </c>
      <c r="K2326">
        <v>0</v>
      </c>
      <c r="L2326">
        <f t="shared" si="73"/>
        <v>1</v>
      </c>
    </row>
    <row r="2327" spans="1:12">
      <c r="A2327" t="s">
        <v>3862</v>
      </c>
      <c r="B2327" t="s">
        <v>1450</v>
      </c>
      <c r="C2327" t="s">
        <v>2805</v>
      </c>
      <c r="D2327" t="s">
        <v>2806</v>
      </c>
      <c r="E2327">
        <v>6</v>
      </c>
      <c r="F2327">
        <v>0</v>
      </c>
      <c r="G2327">
        <v>0</v>
      </c>
      <c r="H2327">
        <f t="shared" si="72"/>
        <v>6</v>
      </c>
      <c r="I2327">
        <v>0</v>
      </c>
      <c r="J2327">
        <v>0</v>
      </c>
      <c r="K2327">
        <v>0</v>
      </c>
      <c r="L2327">
        <f t="shared" si="73"/>
        <v>0</v>
      </c>
    </row>
    <row r="2328" spans="1:12">
      <c r="A2328" t="s">
        <v>3862</v>
      </c>
      <c r="B2328" t="s">
        <v>1450</v>
      </c>
      <c r="C2328" t="s">
        <v>2805</v>
      </c>
      <c r="D2328" t="s">
        <v>449</v>
      </c>
      <c r="E2328">
        <v>2</v>
      </c>
      <c r="F2328">
        <v>0</v>
      </c>
      <c r="G2328">
        <v>0</v>
      </c>
      <c r="H2328">
        <f t="shared" si="72"/>
        <v>2</v>
      </c>
      <c r="I2328">
        <v>0</v>
      </c>
      <c r="J2328">
        <v>0</v>
      </c>
      <c r="K2328">
        <v>0</v>
      </c>
      <c r="L2328">
        <f t="shared" si="73"/>
        <v>0</v>
      </c>
    </row>
    <row r="2329" spans="1:12">
      <c r="A2329" t="s">
        <v>3862</v>
      </c>
      <c r="B2329" t="s">
        <v>1450</v>
      </c>
      <c r="C2329" t="s">
        <v>2805</v>
      </c>
      <c r="D2329" t="s">
        <v>2807</v>
      </c>
      <c r="E2329">
        <v>1</v>
      </c>
      <c r="F2329">
        <v>0</v>
      </c>
      <c r="G2329">
        <v>0</v>
      </c>
      <c r="H2329">
        <f t="shared" si="72"/>
        <v>1</v>
      </c>
      <c r="I2329">
        <v>1</v>
      </c>
      <c r="J2329">
        <v>0</v>
      </c>
      <c r="K2329">
        <v>0</v>
      </c>
      <c r="L2329">
        <f t="shared" si="73"/>
        <v>1</v>
      </c>
    </row>
    <row r="2330" spans="1:12">
      <c r="A2330" t="s">
        <v>3862</v>
      </c>
      <c r="B2330" t="s">
        <v>1450</v>
      </c>
      <c r="C2330" t="s">
        <v>2805</v>
      </c>
      <c r="D2330" t="s">
        <v>2809</v>
      </c>
      <c r="E2330">
        <v>1</v>
      </c>
      <c r="F2330">
        <v>0</v>
      </c>
      <c r="G2330">
        <v>0</v>
      </c>
      <c r="H2330">
        <f t="shared" si="72"/>
        <v>1</v>
      </c>
      <c r="I2330">
        <v>0</v>
      </c>
      <c r="J2330">
        <v>0</v>
      </c>
      <c r="K2330">
        <v>0</v>
      </c>
      <c r="L2330">
        <f t="shared" si="73"/>
        <v>0</v>
      </c>
    </row>
    <row r="2331" spans="1:12">
      <c r="A2331" t="s">
        <v>3862</v>
      </c>
      <c r="B2331" t="s">
        <v>1450</v>
      </c>
      <c r="C2331" t="s">
        <v>2810</v>
      </c>
      <c r="D2331" t="s">
        <v>2811</v>
      </c>
      <c r="E2331">
        <v>1</v>
      </c>
      <c r="F2331">
        <v>0</v>
      </c>
      <c r="G2331">
        <v>0</v>
      </c>
      <c r="H2331">
        <f t="shared" si="72"/>
        <v>1</v>
      </c>
      <c r="I2331">
        <v>1</v>
      </c>
      <c r="J2331">
        <v>0</v>
      </c>
      <c r="K2331">
        <v>0</v>
      </c>
      <c r="L2331">
        <f t="shared" si="73"/>
        <v>1</v>
      </c>
    </row>
    <row r="2332" spans="1:12">
      <c r="A2332" t="s">
        <v>3862</v>
      </c>
      <c r="B2332" t="s">
        <v>1450</v>
      </c>
      <c r="C2332" t="s">
        <v>2810</v>
      </c>
      <c r="D2332" t="s">
        <v>2823</v>
      </c>
      <c r="E2332">
        <v>2</v>
      </c>
      <c r="F2332">
        <v>0</v>
      </c>
      <c r="G2332">
        <v>0</v>
      </c>
      <c r="H2332">
        <f t="shared" si="72"/>
        <v>2</v>
      </c>
      <c r="I2332">
        <v>0</v>
      </c>
      <c r="J2332">
        <v>0</v>
      </c>
      <c r="K2332">
        <v>0</v>
      </c>
      <c r="L2332">
        <f t="shared" si="73"/>
        <v>0</v>
      </c>
    </row>
    <row r="2333" spans="1:12">
      <c r="A2333" t="s">
        <v>3862</v>
      </c>
      <c r="B2333" t="s">
        <v>1450</v>
      </c>
      <c r="C2333" t="s">
        <v>2810</v>
      </c>
      <c r="D2333" t="s">
        <v>2812</v>
      </c>
      <c r="E2333">
        <v>8</v>
      </c>
      <c r="F2333">
        <v>0</v>
      </c>
      <c r="G2333">
        <v>0</v>
      </c>
      <c r="H2333">
        <f t="shared" si="72"/>
        <v>8</v>
      </c>
      <c r="I2333">
        <v>0</v>
      </c>
      <c r="J2333">
        <v>0</v>
      </c>
      <c r="K2333">
        <v>0</v>
      </c>
      <c r="L2333">
        <f t="shared" si="73"/>
        <v>0</v>
      </c>
    </row>
    <row r="2334" spans="1:12">
      <c r="A2334" t="s">
        <v>3862</v>
      </c>
      <c r="B2334" t="s">
        <v>1450</v>
      </c>
      <c r="C2334" t="s">
        <v>2810</v>
      </c>
      <c r="D2334" t="s">
        <v>2813</v>
      </c>
      <c r="E2334">
        <v>9</v>
      </c>
      <c r="F2334">
        <v>0</v>
      </c>
      <c r="G2334">
        <v>0</v>
      </c>
      <c r="H2334">
        <f t="shared" si="72"/>
        <v>9</v>
      </c>
      <c r="I2334">
        <v>0</v>
      </c>
      <c r="J2334">
        <v>0</v>
      </c>
      <c r="K2334">
        <v>0</v>
      </c>
      <c r="L2334">
        <f t="shared" si="73"/>
        <v>0</v>
      </c>
    </row>
    <row r="2335" spans="1:12">
      <c r="A2335" t="s">
        <v>3862</v>
      </c>
      <c r="B2335" t="s">
        <v>1450</v>
      </c>
      <c r="C2335" t="s">
        <v>2810</v>
      </c>
      <c r="D2335" t="s">
        <v>2815</v>
      </c>
      <c r="E2335">
        <v>13</v>
      </c>
      <c r="F2335">
        <v>0</v>
      </c>
      <c r="G2335">
        <v>0</v>
      </c>
      <c r="H2335">
        <f t="shared" si="72"/>
        <v>13</v>
      </c>
      <c r="I2335">
        <v>0</v>
      </c>
      <c r="J2335">
        <v>0</v>
      </c>
      <c r="K2335">
        <v>0</v>
      </c>
      <c r="L2335">
        <f t="shared" si="73"/>
        <v>0</v>
      </c>
    </row>
    <row r="2336" spans="1:12">
      <c r="A2336" t="s">
        <v>3862</v>
      </c>
      <c r="B2336" t="s">
        <v>1450</v>
      </c>
      <c r="C2336" t="s">
        <v>2826</v>
      </c>
      <c r="D2336" t="s">
        <v>2843</v>
      </c>
      <c r="E2336">
        <v>0</v>
      </c>
      <c r="F2336">
        <v>0</v>
      </c>
      <c r="G2336">
        <v>0</v>
      </c>
      <c r="H2336">
        <f t="shared" si="72"/>
        <v>0</v>
      </c>
      <c r="I2336">
        <v>1</v>
      </c>
      <c r="J2336">
        <v>0</v>
      </c>
      <c r="K2336">
        <v>0</v>
      </c>
      <c r="L2336">
        <f t="shared" si="73"/>
        <v>1</v>
      </c>
    </row>
    <row r="2337" spans="1:12">
      <c r="A2337" t="s">
        <v>3862</v>
      </c>
      <c r="B2337" t="s">
        <v>1450</v>
      </c>
      <c r="C2337" t="s">
        <v>2826</v>
      </c>
      <c r="D2337" t="s">
        <v>2834</v>
      </c>
      <c r="E2337">
        <v>0</v>
      </c>
      <c r="F2337">
        <v>0</v>
      </c>
      <c r="G2337">
        <v>0</v>
      </c>
      <c r="H2337">
        <f t="shared" si="72"/>
        <v>0</v>
      </c>
      <c r="I2337">
        <v>1</v>
      </c>
      <c r="J2337">
        <v>0</v>
      </c>
      <c r="K2337">
        <v>0</v>
      </c>
      <c r="L2337">
        <f t="shared" si="73"/>
        <v>1</v>
      </c>
    </row>
    <row r="2338" spans="1:12">
      <c r="A2338" t="s">
        <v>3862</v>
      </c>
      <c r="B2338" t="s">
        <v>1450</v>
      </c>
      <c r="C2338" t="s">
        <v>2817</v>
      </c>
      <c r="D2338" t="s">
        <v>2888</v>
      </c>
      <c r="E2338">
        <v>11</v>
      </c>
      <c r="F2338">
        <v>0</v>
      </c>
      <c r="G2338">
        <v>0</v>
      </c>
      <c r="H2338">
        <f t="shared" si="72"/>
        <v>11</v>
      </c>
      <c r="I2338">
        <v>0</v>
      </c>
      <c r="J2338">
        <v>0</v>
      </c>
      <c r="K2338">
        <v>0</v>
      </c>
      <c r="L2338">
        <f t="shared" si="73"/>
        <v>0</v>
      </c>
    </row>
    <row r="2339" spans="1:12">
      <c r="A2339" t="s">
        <v>3863</v>
      </c>
      <c r="B2339" t="s">
        <v>1457</v>
      </c>
      <c r="C2339" t="s">
        <v>2805</v>
      </c>
      <c r="D2339" t="s">
        <v>2806</v>
      </c>
      <c r="E2339">
        <v>2</v>
      </c>
      <c r="F2339">
        <v>0</v>
      </c>
      <c r="G2339">
        <v>0</v>
      </c>
      <c r="H2339">
        <f t="shared" si="72"/>
        <v>2</v>
      </c>
      <c r="I2339">
        <v>0</v>
      </c>
      <c r="J2339">
        <v>0</v>
      </c>
      <c r="K2339">
        <v>0</v>
      </c>
      <c r="L2339">
        <f t="shared" si="73"/>
        <v>0</v>
      </c>
    </row>
    <row r="2340" spans="1:12">
      <c r="A2340" t="s">
        <v>3863</v>
      </c>
      <c r="B2340" t="s">
        <v>1457</v>
      </c>
      <c r="C2340" t="s">
        <v>2805</v>
      </c>
      <c r="D2340" t="s">
        <v>449</v>
      </c>
      <c r="E2340">
        <v>8</v>
      </c>
      <c r="F2340">
        <v>0</v>
      </c>
      <c r="G2340">
        <v>0</v>
      </c>
      <c r="H2340">
        <f t="shared" si="72"/>
        <v>8</v>
      </c>
      <c r="I2340">
        <v>0</v>
      </c>
      <c r="J2340">
        <v>0</v>
      </c>
      <c r="K2340">
        <v>0</v>
      </c>
      <c r="L2340">
        <f t="shared" si="73"/>
        <v>0</v>
      </c>
    </row>
    <row r="2341" spans="1:12">
      <c r="A2341" t="s">
        <v>3863</v>
      </c>
      <c r="B2341" t="s">
        <v>1457</v>
      </c>
      <c r="C2341" t="s">
        <v>2805</v>
      </c>
      <c r="D2341" t="s">
        <v>2807</v>
      </c>
      <c r="E2341">
        <v>2</v>
      </c>
      <c r="F2341">
        <v>0</v>
      </c>
      <c r="G2341">
        <v>0</v>
      </c>
      <c r="H2341">
        <f t="shared" si="72"/>
        <v>2</v>
      </c>
      <c r="I2341">
        <v>0</v>
      </c>
      <c r="J2341">
        <v>0</v>
      </c>
      <c r="K2341">
        <v>0</v>
      </c>
      <c r="L2341">
        <f t="shared" si="73"/>
        <v>0</v>
      </c>
    </row>
    <row r="2342" spans="1:12">
      <c r="A2342" t="s">
        <v>3863</v>
      </c>
      <c r="B2342" t="s">
        <v>1457</v>
      </c>
      <c r="C2342" t="s">
        <v>2810</v>
      </c>
      <c r="D2342" t="s">
        <v>2813</v>
      </c>
      <c r="E2342">
        <v>8</v>
      </c>
      <c r="F2342">
        <v>0</v>
      </c>
      <c r="G2342">
        <v>0</v>
      </c>
      <c r="H2342">
        <f t="shared" si="72"/>
        <v>8</v>
      </c>
      <c r="I2342">
        <v>0</v>
      </c>
      <c r="J2342">
        <v>0</v>
      </c>
      <c r="K2342">
        <v>0</v>
      </c>
      <c r="L2342">
        <f t="shared" si="73"/>
        <v>0</v>
      </c>
    </row>
    <row r="2343" spans="1:12">
      <c r="A2343" t="s">
        <v>3863</v>
      </c>
      <c r="B2343" t="s">
        <v>1457</v>
      </c>
      <c r="C2343" t="s">
        <v>2810</v>
      </c>
      <c r="D2343" t="s">
        <v>2814</v>
      </c>
      <c r="E2343">
        <v>3</v>
      </c>
      <c r="F2343">
        <v>0</v>
      </c>
      <c r="G2343">
        <v>0</v>
      </c>
      <c r="H2343">
        <f t="shared" si="72"/>
        <v>3</v>
      </c>
      <c r="I2343">
        <v>0</v>
      </c>
      <c r="J2343">
        <v>0</v>
      </c>
      <c r="K2343">
        <v>0</v>
      </c>
      <c r="L2343">
        <f t="shared" si="73"/>
        <v>0</v>
      </c>
    </row>
    <row r="2344" spans="1:12">
      <c r="A2344" t="s">
        <v>3863</v>
      </c>
      <c r="B2344" t="s">
        <v>1457</v>
      </c>
      <c r="C2344" t="s">
        <v>2816</v>
      </c>
      <c r="D2344" t="s">
        <v>1897</v>
      </c>
      <c r="E2344">
        <v>2</v>
      </c>
      <c r="F2344">
        <v>0</v>
      </c>
      <c r="G2344">
        <v>0</v>
      </c>
      <c r="H2344">
        <f t="shared" si="72"/>
        <v>2</v>
      </c>
      <c r="I2344">
        <v>0</v>
      </c>
      <c r="J2344">
        <v>0</v>
      </c>
      <c r="K2344">
        <v>0</v>
      </c>
      <c r="L2344">
        <f t="shared" si="73"/>
        <v>0</v>
      </c>
    </row>
    <row r="2345" spans="1:12">
      <c r="A2345" t="s">
        <v>3863</v>
      </c>
      <c r="B2345" t="s">
        <v>1457</v>
      </c>
      <c r="C2345" t="s">
        <v>2826</v>
      </c>
      <c r="D2345" t="s">
        <v>2858</v>
      </c>
      <c r="E2345">
        <v>2</v>
      </c>
      <c r="F2345">
        <v>0</v>
      </c>
      <c r="G2345">
        <v>0</v>
      </c>
      <c r="H2345">
        <f t="shared" si="72"/>
        <v>2</v>
      </c>
      <c r="I2345">
        <v>0</v>
      </c>
      <c r="J2345">
        <v>0</v>
      </c>
      <c r="K2345">
        <v>0</v>
      </c>
      <c r="L2345">
        <f t="shared" si="73"/>
        <v>0</v>
      </c>
    </row>
    <row r="2346" spans="1:12">
      <c r="A2346" t="s">
        <v>3863</v>
      </c>
      <c r="B2346" t="s">
        <v>1457</v>
      </c>
      <c r="C2346" t="s">
        <v>2826</v>
      </c>
      <c r="D2346" t="s">
        <v>2843</v>
      </c>
      <c r="E2346">
        <v>2</v>
      </c>
      <c r="F2346">
        <v>0</v>
      </c>
      <c r="G2346">
        <v>0</v>
      </c>
      <c r="H2346">
        <f t="shared" si="72"/>
        <v>2</v>
      </c>
      <c r="I2346">
        <v>0</v>
      </c>
      <c r="J2346">
        <v>0</v>
      </c>
      <c r="K2346">
        <v>0</v>
      </c>
      <c r="L2346">
        <f t="shared" si="73"/>
        <v>0</v>
      </c>
    </row>
    <row r="2347" spans="1:12">
      <c r="A2347" t="s">
        <v>3863</v>
      </c>
      <c r="B2347" t="s">
        <v>1457</v>
      </c>
      <c r="C2347" t="s">
        <v>2817</v>
      </c>
      <c r="D2347" t="s">
        <v>2877</v>
      </c>
      <c r="E2347">
        <v>1</v>
      </c>
      <c r="F2347">
        <v>0</v>
      </c>
      <c r="G2347">
        <v>0</v>
      </c>
      <c r="H2347">
        <f t="shared" si="72"/>
        <v>1</v>
      </c>
      <c r="I2347">
        <v>0</v>
      </c>
      <c r="J2347">
        <v>0</v>
      </c>
      <c r="K2347">
        <v>0</v>
      </c>
      <c r="L2347">
        <f t="shared" si="73"/>
        <v>0</v>
      </c>
    </row>
    <row r="2348" spans="1:12">
      <c r="A2348" t="s">
        <v>3863</v>
      </c>
      <c r="B2348" t="s">
        <v>1457</v>
      </c>
      <c r="C2348" t="s">
        <v>2817</v>
      </c>
      <c r="D2348" t="s">
        <v>2837</v>
      </c>
      <c r="E2348">
        <v>1</v>
      </c>
      <c r="F2348">
        <v>0</v>
      </c>
      <c r="G2348">
        <v>0</v>
      </c>
      <c r="H2348">
        <f t="shared" si="72"/>
        <v>1</v>
      </c>
      <c r="I2348">
        <v>0</v>
      </c>
      <c r="J2348">
        <v>0</v>
      </c>
      <c r="K2348">
        <v>0</v>
      </c>
      <c r="L2348">
        <f t="shared" si="73"/>
        <v>0</v>
      </c>
    </row>
    <row r="2349" spans="1:12">
      <c r="A2349" t="s">
        <v>3866</v>
      </c>
      <c r="B2349" t="s">
        <v>1458</v>
      </c>
      <c r="C2349" t="s">
        <v>2805</v>
      </c>
      <c r="D2349" t="s">
        <v>2806</v>
      </c>
      <c r="E2349">
        <v>0</v>
      </c>
      <c r="F2349">
        <v>0</v>
      </c>
      <c r="G2349">
        <v>0</v>
      </c>
      <c r="H2349">
        <f t="shared" si="72"/>
        <v>0</v>
      </c>
      <c r="I2349">
        <v>4</v>
      </c>
      <c r="J2349">
        <v>0</v>
      </c>
      <c r="K2349">
        <v>0</v>
      </c>
      <c r="L2349">
        <f t="shared" si="73"/>
        <v>4</v>
      </c>
    </row>
    <row r="2350" spans="1:12">
      <c r="A2350" t="s">
        <v>3866</v>
      </c>
      <c r="B2350" t="s">
        <v>1458</v>
      </c>
      <c r="C2350" t="s">
        <v>2805</v>
      </c>
      <c r="D2350" t="s">
        <v>449</v>
      </c>
      <c r="E2350">
        <v>3</v>
      </c>
      <c r="F2350">
        <v>0</v>
      </c>
      <c r="G2350">
        <v>0</v>
      </c>
      <c r="H2350">
        <f t="shared" si="72"/>
        <v>3</v>
      </c>
      <c r="I2350">
        <v>33</v>
      </c>
      <c r="J2350">
        <v>0</v>
      </c>
      <c r="K2350">
        <v>0</v>
      </c>
      <c r="L2350">
        <f t="shared" si="73"/>
        <v>33</v>
      </c>
    </row>
    <row r="2351" spans="1:12">
      <c r="A2351" t="s">
        <v>3866</v>
      </c>
      <c r="B2351" t="s">
        <v>1458</v>
      </c>
      <c r="C2351" t="s">
        <v>2805</v>
      </c>
      <c r="D2351" t="s">
        <v>2807</v>
      </c>
      <c r="E2351">
        <v>1</v>
      </c>
      <c r="F2351">
        <v>0</v>
      </c>
      <c r="G2351">
        <v>0</v>
      </c>
      <c r="H2351">
        <f t="shared" si="72"/>
        <v>1</v>
      </c>
      <c r="I2351">
        <v>1</v>
      </c>
      <c r="J2351">
        <v>0</v>
      </c>
      <c r="K2351">
        <v>0</v>
      </c>
      <c r="L2351">
        <f t="shared" si="73"/>
        <v>1</v>
      </c>
    </row>
    <row r="2352" spans="1:12">
      <c r="A2352" t="s">
        <v>3866</v>
      </c>
      <c r="B2352" t="s">
        <v>1458</v>
      </c>
      <c r="C2352" t="s">
        <v>2805</v>
      </c>
      <c r="D2352" t="s">
        <v>442</v>
      </c>
      <c r="E2352">
        <v>0</v>
      </c>
      <c r="F2352">
        <v>0</v>
      </c>
      <c r="G2352">
        <v>0</v>
      </c>
      <c r="H2352">
        <f t="shared" si="72"/>
        <v>0</v>
      </c>
      <c r="I2352">
        <v>1</v>
      </c>
      <c r="J2352">
        <v>0</v>
      </c>
      <c r="K2352">
        <v>0</v>
      </c>
      <c r="L2352">
        <f t="shared" si="73"/>
        <v>1</v>
      </c>
    </row>
    <row r="2353" spans="1:12">
      <c r="A2353" t="s">
        <v>3866</v>
      </c>
      <c r="B2353" t="s">
        <v>1458</v>
      </c>
      <c r="C2353" t="s">
        <v>2810</v>
      </c>
      <c r="D2353" t="s">
        <v>2811</v>
      </c>
      <c r="E2353">
        <v>7</v>
      </c>
      <c r="F2353">
        <v>0</v>
      </c>
      <c r="G2353">
        <v>0</v>
      </c>
      <c r="H2353">
        <f t="shared" si="72"/>
        <v>7</v>
      </c>
      <c r="I2353">
        <v>13</v>
      </c>
      <c r="J2353">
        <v>0</v>
      </c>
      <c r="K2353">
        <v>0</v>
      </c>
      <c r="L2353">
        <f t="shared" si="73"/>
        <v>13</v>
      </c>
    </row>
    <row r="2354" spans="1:12">
      <c r="A2354" t="s">
        <v>3866</v>
      </c>
      <c r="B2354" t="s">
        <v>1458</v>
      </c>
      <c r="C2354" t="s">
        <v>2810</v>
      </c>
      <c r="D2354" t="s">
        <v>1892</v>
      </c>
      <c r="E2354">
        <v>0</v>
      </c>
      <c r="F2354">
        <v>0</v>
      </c>
      <c r="G2354">
        <v>0</v>
      </c>
      <c r="H2354">
        <f t="shared" si="72"/>
        <v>0</v>
      </c>
      <c r="I2354">
        <v>5</v>
      </c>
      <c r="J2354">
        <v>0</v>
      </c>
      <c r="K2354">
        <v>0</v>
      </c>
      <c r="L2354">
        <f t="shared" si="73"/>
        <v>5</v>
      </c>
    </row>
    <row r="2355" spans="1:12">
      <c r="A2355" t="s">
        <v>3866</v>
      </c>
      <c r="B2355" t="s">
        <v>1458</v>
      </c>
      <c r="C2355" t="s">
        <v>2810</v>
      </c>
      <c r="D2355" t="s">
        <v>2823</v>
      </c>
      <c r="E2355">
        <v>1</v>
      </c>
      <c r="F2355">
        <v>0</v>
      </c>
      <c r="G2355">
        <v>0</v>
      </c>
      <c r="H2355">
        <f t="shared" si="72"/>
        <v>1</v>
      </c>
      <c r="I2355">
        <v>3</v>
      </c>
      <c r="J2355">
        <v>0</v>
      </c>
      <c r="K2355">
        <v>0</v>
      </c>
      <c r="L2355">
        <f t="shared" si="73"/>
        <v>3</v>
      </c>
    </row>
    <row r="2356" spans="1:12">
      <c r="A2356" t="s">
        <v>3866</v>
      </c>
      <c r="B2356" t="s">
        <v>1458</v>
      </c>
      <c r="C2356" t="s">
        <v>2810</v>
      </c>
      <c r="D2356" t="s">
        <v>2812</v>
      </c>
      <c r="E2356">
        <v>14</v>
      </c>
      <c r="F2356">
        <v>0</v>
      </c>
      <c r="G2356">
        <v>0</v>
      </c>
      <c r="H2356">
        <f t="shared" si="72"/>
        <v>14</v>
      </c>
      <c r="I2356">
        <v>1</v>
      </c>
      <c r="J2356">
        <v>0</v>
      </c>
      <c r="K2356">
        <v>0</v>
      </c>
      <c r="L2356">
        <f t="shared" si="73"/>
        <v>1</v>
      </c>
    </row>
    <row r="2357" spans="1:12">
      <c r="A2357" t="s">
        <v>3866</v>
      </c>
      <c r="B2357" t="s">
        <v>1458</v>
      </c>
      <c r="C2357" t="s">
        <v>2810</v>
      </c>
      <c r="D2357" t="s">
        <v>2813</v>
      </c>
      <c r="E2357">
        <v>6</v>
      </c>
      <c r="F2357">
        <v>0</v>
      </c>
      <c r="G2357">
        <v>0</v>
      </c>
      <c r="H2357">
        <f t="shared" si="72"/>
        <v>6</v>
      </c>
      <c r="I2357">
        <v>13</v>
      </c>
      <c r="J2357">
        <v>0</v>
      </c>
      <c r="K2357">
        <v>0</v>
      </c>
      <c r="L2357">
        <f t="shared" si="73"/>
        <v>13</v>
      </c>
    </row>
    <row r="2358" spans="1:12">
      <c r="A2358" t="s">
        <v>3866</v>
      </c>
      <c r="B2358" t="s">
        <v>1458</v>
      </c>
      <c r="C2358" t="s">
        <v>2816</v>
      </c>
      <c r="D2358" t="s">
        <v>1897</v>
      </c>
      <c r="E2358">
        <v>7</v>
      </c>
      <c r="F2358">
        <v>0</v>
      </c>
      <c r="G2358">
        <v>0</v>
      </c>
      <c r="H2358">
        <f t="shared" si="72"/>
        <v>7</v>
      </c>
      <c r="I2358">
        <v>9</v>
      </c>
      <c r="J2358">
        <v>0</v>
      </c>
      <c r="K2358">
        <v>0</v>
      </c>
      <c r="L2358">
        <f t="shared" si="73"/>
        <v>9</v>
      </c>
    </row>
    <row r="2359" spans="1:12">
      <c r="A2359" t="s">
        <v>3866</v>
      </c>
      <c r="B2359" t="s">
        <v>1458</v>
      </c>
      <c r="C2359" t="s">
        <v>2817</v>
      </c>
      <c r="D2359" t="s">
        <v>2887</v>
      </c>
      <c r="E2359">
        <v>0</v>
      </c>
      <c r="F2359">
        <v>0</v>
      </c>
      <c r="G2359">
        <v>0</v>
      </c>
      <c r="H2359">
        <f t="shared" si="72"/>
        <v>0</v>
      </c>
      <c r="I2359">
        <v>1</v>
      </c>
      <c r="J2359">
        <v>0</v>
      </c>
      <c r="K2359">
        <v>0</v>
      </c>
      <c r="L2359">
        <f t="shared" si="73"/>
        <v>1</v>
      </c>
    </row>
    <row r="2360" spans="1:12">
      <c r="A2360" t="s">
        <v>3866</v>
      </c>
      <c r="B2360" t="s">
        <v>1458</v>
      </c>
      <c r="C2360" t="s">
        <v>2820</v>
      </c>
      <c r="D2360" t="s">
        <v>2821</v>
      </c>
      <c r="E2360">
        <v>0</v>
      </c>
      <c r="F2360">
        <v>0</v>
      </c>
      <c r="G2360">
        <v>0</v>
      </c>
      <c r="H2360">
        <f t="shared" si="72"/>
        <v>0</v>
      </c>
      <c r="I2360">
        <v>1</v>
      </c>
      <c r="J2360">
        <v>0</v>
      </c>
      <c r="K2360">
        <v>0</v>
      </c>
      <c r="L2360">
        <f t="shared" si="73"/>
        <v>1</v>
      </c>
    </row>
    <row r="2361" spans="1:12">
      <c r="A2361" t="s">
        <v>3867</v>
      </c>
      <c r="B2361" t="s">
        <v>1463</v>
      </c>
      <c r="C2361" t="s">
        <v>2805</v>
      </c>
      <c r="D2361" t="s">
        <v>2806</v>
      </c>
      <c r="E2361">
        <v>20</v>
      </c>
      <c r="F2361">
        <v>0</v>
      </c>
      <c r="G2361">
        <v>0</v>
      </c>
      <c r="H2361">
        <f t="shared" si="72"/>
        <v>20</v>
      </c>
      <c r="I2361">
        <v>0</v>
      </c>
      <c r="J2361">
        <v>0</v>
      </c>
      <c r="K2361">
        <v>0</v>
      </c>
      <c r="L2361">
        <f t="shared" si="73"/>
        <v>0</v>
      </c>
    </row>
    <row r="2362" spans="1:12">
      <c r="A2362" t="s">
        <v>3867</v>
      </c>
      <c r="B2362" t="s">
        <v>1463</v>
      </c>
      <c r="C2362" t="s">
        <v>2805</v>
      </c>
      <c r="D2362" t="s">
        <v>449</v>
      </c>
      <c r="E2362">
        <v>79</v>
      </c>
      <c r="F2362">
        <v>0</v>
      </c>
      <c r="G2362">
        <v>0</v>
      </c>
      <c r="H2362">
        <f t="shared" si="72"/>
        <v>79</v>
      </c>
      <c r="I2362">
        <v>0</v>
      </c>
      <c r="J2362">
        <v>0</v>
      </c>
      <c r="K2362">
        <v>0</v>
      </c>
      <c r="L2362">
        <f t="shared" si="73"/>
        <v>0</v>
      </c>
    </row>
    <row r="2363" spans="1:12">
      <c r="A2363" t="s">
        <v>3867</v>
      </c>
      <c r="B2363" t="s">
        <v>1463</v>
      </c>
      <c r="C2363" t="s">
        <v>2805</v>
      </c>
      <c r="D2363" t="s">
        <v>2807</v>
      </c>
      <c r="E2363">
        <v>13</v>
      </c>
      <c r="F2363">
        <v>0</v>
      </c>
      <c r="G2363">
        <v>0</v>
      </c>
      <c r="H2363">
        <f t="shared" si="72"/>
        <v>13</v>
      </c>
      <c r="I2363">
        <v>0</v>
      </c>
      <c r="J2363">
        <v>0</v>
      </c>
      <c r="K2363">
        <v>0</v>
      </c>
      <c r="L2363">
        <f t="shared" si="73"/>
        <v>0</v>
      </c>
    </row>
    <row r="2364" spans="1:12">
      <c r="A2364" t="s">
        <v>3867</v>
      </c>
      <c r="B2364" t="s">
        <v>1463</v>
      </c>
      <c r="C2364" t="s">
        <v>2810</v>
      </c>
      <c r="D2364" t="s">
        <v>2811</v>
      </c>
      <c r="E2364">
        <v>2</v>
      </c>
      <c r="F2364">
        <v>0</v>
      </c>
      <c r="G2364">
        <v>0</v>
      </c>
      <c r="H2364">
        <f t="shared" si="72"/>
        <v>2</v>
      </c>
      <c r="I2364">
        <v>0</v>
      </c>
      <c r="J2364">
        <v>0</v>
      </c>
      <c r="K2364">
        <v>0</v>
      </c>
      <c r="L2364">
        <f t="shared" si="73"/>
        <v>0</v>
      </c>
    </row>
    <row r="2365" spans="1:12">
      <c r="A2365" t="s">
        <v>3867</v>
      </c>
      <c r="B2365" t="s">
        <v>1463</v>
      </c>
      <c r="C2365" t="s">
        <v>2810</v>
      </c>
      <c r="D2365" t="s">
        <v>2813</v>
      </c>
      <c r="E2365">
        <v>0</v>
      </c>
      <c r="F2365">
        <v>0</v>
      </c>
      <c r="G2365">
        <v>0</v>
      </c>
      <c r="H2365">
        <f t="shared" si="72"/>
        <v>0</v>
      </c>
      <c r="I2365">
        <v>1</v>
      </c>
      <c r="J2365">
        <v>0</v>
      </c>
      <c r="K2365">
        <v>0</v>
      </c>
      <c r="L2365">
        <f t="shared" si="73"/>
        <v>1</v>
      </c>
    </row>
    <row r="2366" spans="1:12">
      <c r="A2366" t="s">
        <v>3867</v>
      </c>
      <c r="B2366" t="s">
        <v>1463</v>
      </c>
      <c r="C2366" t="s">
        <v>2810</v>
      </c>
      <c r="D2366" t="s">
        <v>2840</v>
      </c>
      <c r="E2366">
        <v>1</v>
      </c>
      <c r="F2366">
        <v>0</v>
      </c>
      <c r="G2366">
        <v>0</v>
      </c>
      <c r="H2366">
        <f t="shared" si="72"/>
        <v>1</v>
      </c>
      <c r="I2366">
        <v>0</v>
      </c>
      <c r="J2366">
        <v>0</v>
      </c>
      <c r="K2366">
        <v>0</v>
      </c>
      <c r="L2366">
        <f t="shared" si="73"/>
        <v>0</v>
      </c>
    </row>
    <row r="2367" spans="1:12">
      <c r="A2367" t="s">
        <v>3867</v>
      </c>
      <c r="B2367" t="s">
        <v>1463</v>
      </c>
      <c r="C2367" t="s">
        <v>2826</v>
      </c>
      <c r="D2367" t="s">
        <v>2871</v>
      </c>
      <c r="E2367">
        <v>0</v>
      </c>
      <c r="F2367">
        <v>0</v>
      </c>
      <c r="G2367">
        <v>0</v>
      </c>
      <c r="H2367">
        <f t="shared" si="72"/>
        <v>0</v>
      </c>
      <c r="I2367">
        <v>1</v>
      </c>
      <c r="J2367">
        <v>0</v>
      </c>
      <c r="K2367">
        <v>0</v>
      </c>
      <c r="L2367">
        <f t="shared" si="73"/>
        <v>1</v>
      </c>
    </row>
    <row r="2368" spans="1:12">
      <c r="A2368" t="s">
        <v>3867</v>
      </c>
      <c r="B2368" t="s">
        <v>1463</v>
      </c>
      <c r="C2368" t="s">
        <v>2826</v>
      </c>
      <c r="D2368" t="s">
        <v>2827</v>
      </c>
      <c r="E2368">
        <v>0</v>
      </c>
      <c r="F2368">
        <v>0</v>
      </c>
      <c r="G2368">
        <v>0</v>
      </c>
      <c r="H2368">
        <f t="shared" si="72"/>
        <v>0</v>
      </c>
      <c r="I2368">
        <v>2</v>
      </c>
      <c r="J2368">
        <v>0</v>
      </c>
      <c r="K2368">
        <v>0</v>
      </c>
      <c r="L2368">
        <f t="shared" si="73"/>
        <v>2</v>
      </c>
    </row>
    <row r="2369" spans="1:12">
      <c r="A2369" t="s">
        <v>3867</v>
      </c>
      <c r="B2369" t="s">
        <v>1463</v>
      </c>
      <c r="C2369" t="s">
        <v>2826</v>
      </c>
      <c r="D2369" t="s">
        <v>2843</v>
      </c>
      <c r="E2369">
        <v>0</v>
      </c>
      <c r="F2369">
        <v>0</v>
      </c>
      <c r="G2369">
        <v>0</v>
      </c>
      <c r="H2369">
        <f t="shared" si="72"/>
        <v>0</v>
      </c>
      <c r="I2369">
        <v>1</v>
      </c>
      <c r="J2369">
        <v>0</v>
      </c>
      <c r="K2369">
        <v>0</v>
      </c>
      <c r="L2369">
        <f t="shared" si="73"/>
        <v>1</v>
      </c>
    </row>
    <row r="2370" spans="1:12">
      <c r="A2370" t="s">
        <v>3867</v>
      </c>
      <c r="B2370" t="s">
        <v>1463</v>
      </c>
      <c r="C2370" t="s">
        <v>2826</v>
      </c>
      <c r="D2370" t="s">
        <v>2885</v>
      </c>
      <c r="E2370">
        <v>0</v>
      </c>
      <c r="F2370">
        <v>0</v>
      </c>
      <c r="G2370">
        <v>0</v>
      </c>
      <c r="H2370">
        <f t="shared" si="72"/>
        <v>0</v>
      </c>
      <c r="I2370">
        <v>2</v>
      </c>
      <c r="J2370">
        <v>0</v>
      </c>
      <c r="K2370">
        <v>0</v>
      </c>
      <c r="L2370">
        <f t="shared" si="73"/>
        <v>2</v>
      </c>
    </row>
    <row r="2371" spans="1:12">
      <c r="A2371" t="s">
        <v>3867</v>
      </c>
      <c r="B2371" t="s">
        <v>1463</v>
      </c>
      <c r="C2371" t="s">
        <v>2826</v>
      </c>
      <c r="D2371" t="s">
        <v>2834</v>
      </c>
      <c r="E2371">
        <v>0</v>
      </c>
      <c r="F2371">
        <v>0</v>
      </c>
      <c r="G2371">
        <v>0</v>
      </c>
      <c r="H2371">
        <f t="shared" si="72"/>
        <v>0</v>
      </c>
      <c r="I2371">
        <v>2</v>
      </c>
      <c r="J2371">
        <v>0</v>
      </c>
      <c r="K2371">
        <v>0</v>
      </c>
      <c r="L2371">
        <f t="shared" si="73"/>
        <v>2</v>
      </c>
    </row>
    <row r="2372" spans="1:12">
      <c r="A2372" t="s">
        <v>3867</v>
      </c>
      <c r="B2372" t="s">
        <v>1463</v>
      </c>
      <c r="C2372" t="s">
        <v>2826</v>
      </c>
      <c r="D2372" t="s">
        <v>2849</v>
      </c>
      <c r="E2372">
        <v>0</v>
      </c>
      <c r="F2372">
        <v>0</v>
      </c>
      <c r="G2372">
        <v>0</v>
      </c>
      <c r="H2372">
        <f t="shared" ref="H2372:H2435" si="74">SUM(E2372:G2372)</f>
        <v>0</v>
      </c>
      <c r="I2372">
        <v>1</v>
      </c>
      <c r="J2372">
        <v>0</v>
      </c>
      <c r="K2372">
        <v>0</v>
      </c>
      <c r="L2372">
        <f t="shared" ref="L2372:L2435" si="75">SUM(I2372:K2372)</f>
        <v>1</v>
      </c>
    </row>
    <row r="2373" spans="1:12">
      <c r="A2373" t="s">
        <v>3870</v>
      </c>
      <c r="B2373" t="s">
        <v>1466</v>
      </c>
      <c r="C2373" t="s">
        <v>2805</v>
      </c>
      <c r="D2373" t="s">
        <v>449</v>
      </c>
      <c r="E2373">
        <v>1</v>
      </c>
      <c r="F2373">
        <v>0</v>
      </c>
      <c r="G2373">
        <v>0</v>
      </c>
      <c r="H2373">
        <f t="shared" si="74"/>
        <v>1</v>
      </c>
      <c r="I2373">
        <v>0</v>
      </c>
      <c r="J2373">
        <v>0</v>
      </c>
      <c r="K2373">
        <v>0</v>
      </c>
      <c r="L2373">
        <f t="shared" si="75"/>
        <v>0</v>
      </c>
    </row>
    <row r="2374" spans="1:12">
      <c r="A2374" t="s">
        <v>3870</v>
      </c>
      <c r="B2374" t="s">
        <v>1466</v>
      </c>
      <c r="C2374" t="s">
        <v>2805</v>
      </c>
      <c r="D2374" t="s">
        <v>2807</v>
      </c>
      <c r="E2374">
        <v>1</v>
      </c>
      <c r="F2374">
        <v>0</v>
      </c>
      <c r="G2374">
        <v>0</v>
      </c>
      <c r="H2374">
        <f t="shared" si="74"/>
        <v>1</v>
      </c>
      <c r="I2374">
        <v>0</v>
      </c>
      <c r="J2374">
        <v>0</v>
      </c>
      <c r="K2374">
        <v>0</v>
      </c>
      <c r="L2374">
        <f t="shared" si="75"/>
        <v>0</v>
      </c>
    </row>
    <row r="2375" spans="1:12">
      <c r="A2375" t="s">
        <v>3870</v>
      </c>
      <c r="B2375" t="s">
        <v>1466</v>
      </c>
      <c r="C2375" t="s">
        <v>2805</v>
      </c>
      <c r="D2375" t="s">
        <v>2809</v>
      </c>
      <c r="E2375">
        <v>10</v>
      </c>
      <c r="F2375">
        <v>0</v>
      </c>
      <c r="G2375">
        <v>0</v>
      </c>
      <c r="H2375">
        <f t="shared" si="74"/>
        <v>10</v>
      </c>
      <c r="I2375">
        <v>0</v>
      </c>
      <c r="J2375">
        <v>0</v>
      </c>
      <c r="K2375">
        <v>0</v>
      </c>
      <c r="L2375">
        <f t="shared" si="75"/>
        <v>0</v>
      </c>
    </row>
    <row r="2376" spans="1:12">
      <c r="A2376" t="s">
        <v>3870</v>
      </c>
      <c r="B2376" t="s">
        <v>1466</v>
      </c>
      <c r="C2376" t="s">
        <v>2810</v>
      </c>
      <c r="D2376" t="s">
        <v>2811</v>
      </c>
      <c r="E2376">
        <v>8</v>
      </c>
      <c r="F2376">
        <v>0</v>
      </c>
      <c r="G2376">
        <v>0</v>
      </c>
      <c r="H2376">
        <f t="shared" si="74"/>
        <v>8</v>
      </c>
      <c r="I2376">
        <v>1</v>
      </c>
      <c r="J2376">
        <v>0</v>
      </c>
      <c r="K2376">
        <v>0</v>
      </c>
      <c r="L2376">
        <f t="shared" si="75"/>
        <v>1</v>
      </c>
    </row>
    <row r="2377" spans="1:12">
      <c r="A2377" t="s">
        <v>3870</v>
      </c>
      <c r="B2377" t="s">
        <v>1466</v>
      </c>
      <c r="C2377" t="s">
        <v>2810</v>
      </c>
      <c r="D2377" t="s">
        <v>2812</v>
      </c>
      <c r="E2377">
        <v>27</v>
      </c>
      <c r="F2377">
        <v>0</v>
      </c>
      <c r="G2377">
        <v>0</v>
      </c>
      <c r="H2377">
        <f t="shared" si="74"/>
        <v>27</v>
      </c>
      <c r="I2377">
        <v>0</v>
      </c>
      <c r="J2377">
        <v>0</v>
      </c>
      <c r="K2377">
        <v>0</v>
      </c>
      <c r="L2377">
        <f t="shared" si="75"/>
        <v>0</v>
      </c>
    </row>
    <row r="2378" spans="1:12">
      <c r="A2378" t="s">
        <v>3870</v>
      </c>
      <c r="B2378" t="s">
        <v>1466</v>
      </c>
      <c r="C2378" t="s">
        <v>2810</v>
      </c>
      <c r="D2378" t="s">
        <v>2813</v>
      </c>
      <c r="E2378">
        <v>4</v>
      </c>
      <c r="F2378">
        <v>0</v>
      </c>
      <c r="G2378">
        <v>0</v>
      </c>
      <c r="H2378">
        <f t="shared" si="74"/>
        <v>4</v>
      </c>
      <c r="I2378">
        <v>1</v>
      </c>
      <c r="J2378">
        <v>0</v>
      </c>
      <c r="K2378">
        <v>0</v>
      </c>
      <c r="L2378">
        <f t="shared" si="75"/>
        <v>1</v>
      </c>
    </row>
    <row r="2379" spans="1:12">
      <c r="A2379" t="s">
        <v>3873</v>
      </c>
      <c r="B2379" t="s">
        <v>1028</v>
      </c>
      <c r="C2379" t="s">
        <v>2826</v>
      </c>
      <c r="D2379" t="s">
        <v>2871</v>
      </c>
      <c r="E2379">
        <v>0</v>
      </c>
      <c r="F2379">
        <v>0</v>
      </c>
      <c r="G2379">
        <v>0</v>
      </c>
      <c r="H2379">
        <f t="shared" si="74"/>
        <v>0</v>
      </c>
      <c r="I2379">
        <v>4</v>
      </c>
      <c r="J2379">
        <v>0</v>
      </c>
      <c r="K2379">
        <v>0</v>
      </c>
      <c r="L2379">
        <f t="shared" si="75"/>
        <v>4</v>
      </c>
    </row>
    <row r="2380" spans="1:12">
      <c r="A2380" t="s">
        <v>3873</v>
      </c>
      <c r="B2380" t="s">
        <v>1028</v>
      </c>
      <c r="C2380" t="s">
        <v>2826</v>
      </c>
      <c r="D2380" t="s">
        <v>2827</v>
      </c>
      <c r="E2380">
        <v>0</v>
      </c>
      <c r="F2380">
        <v>0</v>
      </c>
      <c r="G2380">
        <v>0</v>
      </c>
      <c r="H2380">
        <f t="shared" si="74"/>
        <v>0</v>
      </c>
      <c r="I2380">
        <v>5</v>
      </c>
      <c r="J2380">
        <v>0</v>
      </c>
      <c r="K2380">
        <v>0</v>
      </c>
      <c r="L2380">
        <f t="shared" si="75"/>
        <v>5</v>
      </c>
    </row>
    <row r="2381" spans="1:12">
      <c r="A2381" t="s">
        <v>3873</v>
      </c>
      <c r="B2381" t="s">
        <v>1028</v>
      </c>
      <c r="C2381" t="s">
        <v>2826</v>
      </c>
      <c r="D2381" t="s">
        <v>2829</v>
      </c>
      <c r="E2381">
        <v>0</v>
      </c>
      <c r="F2381">
        <v>0</v>
      </c>
      <c r="G2381">
        <v>0</v>
      </c>
      <c r="H2381">
        <f t="shared" si="74"/>
        <v>0</v>
      </c>
      <c r="I2381">
        <v>3</v>
      </c>
      <c r="J2381">
        <v>0</v>
      </c>
      <c r="K2381">
        <v>0</v>
      </c>
      <c r="L2381">
        <f t="shared" si="75"/>
        <v>3</v>
      </c>
    </row>
    <row r="2382" spans="1:12">
      <c r="A2382" t="s">
        <v>3873</v>
      </c>
      <c r="B2382" t="s">
        <v>1028</v>
      </c>
      <c r="C2382" t="s">
        <v>2826</v>
      </c>
      <c r="D2382" t="s">
        <v>2891</v>
      </c>
      <c r="E2382">
        <v>0</v>
      </c>
      <c r="F2382">
        <v>0</v>
      </c>
      <c r="G2382">
        <v>0</v>
      </c>
      <c r="H2382">
        <f t="shared" si="74"/>
        <v>0</v>
      </c>
      <c r="I2382">
        <v>2</v>
      </c>
      <c r="J2382">
        <v>0</v>
      </c>
      <c r="K2382">
        <v>0</v>
      </c>
      <c r="L2382">
        <f t="shared" si="75"/>
        <v>2</v>
      </c>
    </row>
    <row r="2383" spans="1:12">
      <c r="A2383" t="s">
        <v>3873</v>
      </c>
      <c r="B2383" t="s">
        <v>1028</v>
      </c>
      <c r="C2383" t="s">
        <v>2826</v>
      </c>
      <c r="D2383" t="s">
        <v>2830</v>
      </c>
      <c r="E2383">
        <v>0</v>
      </c>
      <c r="F2383">
        <v>0</v>
      </c>
      <c r="G2383">
        <v>0</v>
      </c>
      <c r="H2383">
        <f t="shared" si="74"/>
        <v>0</v>
      </c>
      <c r="I2383">
        <v>2</v>
      </c>
      <c r="J2383">
        <v>0</v>
      </c>
      <c r="K2383">
        <v>0</v>
      </c>
      <c r="L2383">
        <f t="shared" si="75"/>
        <v>2</v>
      </c>
    </row>
    <row r="2384" spans="1:12">
      <c r="A2384" t="s">
        <v>3873</v>
      </c>
      <c r="B2384" t="s">
        <v>1028</v>
      </c>
      <c r="C2384" t="s">
        <v>2826</v>
      </c>
      <c r="D2384" t="s">
        <v>2843</v>
      </c>
      <c r="E2384">
        <v>0</v>
      </c>
      <c r="F2384">
        <v>0</v>
      </c>
      <c r="G2384">
        <v>0</v>
      </c>
      <c r="H2384">
        <f t="shared" si="74"/>
        <v>0</v>
      </c>
      <c r="I2384">
        <v>3</v>
      </c>
      <c r="J2384">
        <v>0</v>
      </c>
      <c r="K2384">
        <v>0</v>
      </c>
      <c r="L2384">
        <f t="shared" si="75"/>
        <v>3</v>
      </c>
    </row>
    <row r="2385" spans="1:12">
      <c r="A2385" t="s">
        <v>3873</v>
      </c>
      <c r="B2385" t="s">
        <v>1028</v>
      </c>
      <c r="C2385" t="s">
        <v>2826</v>
      </c>
      <c r="D2385" t="s">
        <v>2884</v>
      </c>
      <c r="E2385">
        <v>0</v>
      </c>
      <c r="F2385">
        <v>0</v>
      </c>
      <c r="G2385">
        <v>0</v>
      </c>
      <c r="H2385">
        <f t="shared" si="74"/>
        <v>0</v>
      </c>
      <c r="I2385">
        <v>2</v>
      </c>
      <c r="J2385">
        <v>0</v>
      </c>
      <c r="K2385">
        <v>0</v>
      </c>
      <c r="L2385">
        <f t="shared" si="75"/>
        <v>2</v>
      </c>
    </row>
    <row r="2386" spans="1:12">
      <c r="A2386" t="s">
        <v>3873</v>
      </c>
      <c r="B2386" t="s">
        <v>1028</v>
      </c>
      <c r="C2386" t="s">
        <v>2826</v>
      </c>
      <c r="D2386" t="s">
        <v>2885</v>
      </c>
      <c r="E2386">
        <v>0</v>
      </c>
      <c r="F2386">
        <v>0</v>
      </c>
      <c r="G2386">
        <v>0</v>
      </c>
      <c r="H2386">
        <f t="shared" si="74"/>
        <v>0</v>
      </c>
      <c r="I2386">
        <v>2</v>
      </c>
      <c r="J2386">
        <v>0</v>
      </c>
      <c r="K2386">
        <v>0</v>
      </c>
      <c r="L2386">
        <f t="shared" si="75"/>
        <v>2</v>
      </c>
    </row>
    <row r="2387" spans="1:12">
      <c r="A2387" t="s">
        <v>3873</v>
      </c>
      <c r="B2387" t="s">
        <v>1028</v>
      </c>
      <c r="C2387" t="s">
        <v>2826</v>
      </c>
      <c r="D2387" t="s">
        <v>2832</v>
      </c>
      <c r="E2387">
        <v>0</v>
      </c>
      <c r="F2387">
        <v>0</v>
      </c>
      <c r="G2387">
        <v>0</v>
      </c>
      <c r="H2387">
        <f t="shared" si="74"/>
        <v>0</v>
      </c>
      <c r="I2387">
        <v>1</v>
      </c>
      <c r="J2387">
        <v>0</v>
      </c>
      <c r="K2387">
        <v>0</v>
      </c>
      <c r="L2387">
        <f t="shared" si="75"/>
        <v>1</v>
      </c>
    </row>
    <row r="2388" spans="1:12">
      <c r="A2388" t="s">
        <v>3873</v>
      </c>
      <c r="B2388" t="s">
        <v>1028</v>
      </c>
      <c r="C2388" t="s">
        <v>2826</v>
      </c>
      <c r="D2388" t="s">
        <v>2833</v>
      </c>
      <c r="E2388">
        <v>0</v>
      </c>
      <c r="F2388">
        <v>0</v>
      </c>
      <c r="G2388">
        <v>0</v>
      </c>
      <c r="H2388">
        <f t="shared" si="74"/>
        <v>0</v>
      </c>
      <c r="I2388">
        <v>2</v>
      </c>
      <c r="J2388">
        <v>0</v>
      </c>
      <c r="K2388">
        <v>0</v>
      </c>
      <c r="L2388">
        <f t="shared" si="75"/>
        <v>2</v>
      </c>
    </row>
    <row r="2389" spans="1:12">
      <c r="A2389" t="s">
        <v>3873</v>
      </c>
      <c r="B2389" t="s">
        <v>1028</v>
      </c>
      <c r="C2389" t="s">
        <v>2826</v>
      </c>
      <c r="D2389" t="s">
        <v>2834</v>
      </c>
      <c r="E2389">
        <v>0</v>
      </c>
      <c r="F2389">
        <v>0</v>
      </c>
      <c r="G2389">
        <v>0</v>
      </c>
      <c r="H2389">
        <f t="shared" si="74"/>
        <v>0</v>
      </c>
      <c r="I2389">
        <v>3</v>
      </c>
      <c r="J2389">
        <v>0</v>
      </c>
      <c r="K2389">
        <v>0</v>
      </c>
      <c r="L2389">
        <f t="shared" si="75"/>
        <v>3</v>
      </c>
    </row>
    <row r="2390" spans="1:12">
      <c r="A2390" t="s">
        <v>3873</v>
      </c>
      <c r="B2390" t="s">
        <v>1028</v>
      </c>
      <c r="C2390" t="s">
        <v>2826</v>
      </c>
      <c r="D2390" t="s">
        <v>2844</v>
      </c>
      <c r="E2390">
        <v>0</v>
      </c>
      <c r="F2390">
        <v>0</v>
      </c>
      <c r="G2390">
        <v>0</v>
      </c>
      <c r="H2390">
        <f t="shared" si="74"/>
        <v>0</v>
      </c>
      <c r="I2390">
        <v>4</v>
      </c>
      <c r="J2390">
        <v>0</v>
      </c>
      <c r="K2390">
        <v>0</v>
      </c>
      <c r="L2390">
        <f t="shared" si="75"/>
        <v>4</v>
      </c>
    </row>
    <row r="2391" spans="1:12">
      <c r="A2391" t="s">
        <v>3873</v>
      </c>
      <c r="B2391" t="s">
        <v>1028</v>
      </c>
      <c r="C2391" t="s">
        <v>2826</v>
      </c>
      <c r="D2391" t="s">
        <v>2835</v>
      </c>
      <c r="E2391">
        <v>0</v>
      </c>
      <c r="F2391">
        <v>0</v>
      </c>
      <c r="G2391">
        <v>0</v>
      </c>
      <c r="H2391">
        <f t="shared" si="74"/>
        <v>0</v>
      </c>
      <c r="I2391">
        <v>1</v>
      </c>
      <c r="J2391">
        <v>0</v>
      </c>
      <c r="K2391">
        <v>0</v>
      </c>
      <c r="L2391">
        <f t="shared" si="75"/>
        <v>1</v>
      </c>
    </row>
    <row r="2392" spans="1:12">
      <c r="A2392" t="s">
        <v>3873</v>
      </c>
      <c r="B2392" t="s">
        <v>1028</v>
      </c>
      <c r="C2392" t="s">
        <v>2826</v>
      </c>
      <c r="D2392" t="s">
        <v>2849</v>
      </c>
      <c r="E2392">
        <v>0</v>
      </c>
      <c r="F2392">
        <v>0</v>
      </c>
      <c r="G2392">
        <v>0</v>
      </c>
      <c r="H2392">
        <f t="shared" si="74"/>
        <v>0</v>
      </c>
      <c r="I2392">
        <v>5</v>
      </c>
      <c r="J2392">
        <v>0</v>
      </c>
      <c r="K2392">
        <v>0</v>
      </c>
      <c r="L2392">
        <f t="shared" si="75"/>
        <v>5</v>
      </c>
    </row>
    <row r="2393" spans="1:12">
      <c r="A2393" t="s">
        <v>3873</v>
      </c>
      <c r="B2393" t="s">
        <v>1028</v>
      </c>
      <c r="C2393" t="s">
        <v>2826</v>
      </c>
      <c r="D2393" t="s">
        <v>2836</v>
      </c>
      <c r="E2393">
        <v>0</v>
      </c>
      <c r="F2393">
        <v>0</v>
      </c>
      <c r="G2393">
        <v>0</v>
      </c>
      <c r="H2393">
        <f t="shared" si="74"/>
        <v>0</v>
      </c>
      <c r="I2393">
        <v>3</v>
      </c>
      <c r="J2393">
        <v>0</v>
      </c>
      <c r="K2393">
        <v>0</v>
      </c>
      <c r="L2393">
        <f t="shared" si="75"/>
        <v>3</v>
      </c>
    </row>
    <row r="2394" spans="1:12">
      <c r="A2394" t="s">
        <v>3873</v>
      </c>
      <c r="B2394" t="s">
        <v>1028</v>
      </c>
      <c r="C2394" t="s">
        <v>2826</v>
      </c>
      <c r="D2394" t="s">
        <v>2907</v>
      </c>
      <c r="E2394">
        <v>0</v>
      </c>
      <c r="F2394">
        <v>0</v>
      </c>
      <c r="G2394">
        <v>0</v>
      </c>
      <c r="H2394">
        <f t="shared" si="74"/>
        <v>0</v>
      </c>
      <c r="I2394">
        <v>1</v>
      </c>
      <c r="J2394">
        <v>0</v>
      </c>
      <c r="K2394">
        <v>0</v>
      </c>
      <c r="L2394">
        <f t="shared" si="75"/>
        <v>1</v>
      </c>
    </row>
    <row r="2395" spans="1:12">
      <c r="A2395" t="s">
        <v>3876</v>
      </c>
      <c r="B2395" t="s">
        <v>1470</v>
      </c>
      <c r="C2395" t="s">
        <v>2805</v>
      </c>
      <c r="D2395" t="s">
        <v>2806</v>
      </c>
      <c r="E2395">
        <v>86</v>
      </c>
      <c r="F2395">
        <v>0</v>
      </c>
      <c r="G2395">
        <v>0</v>
      </c>
      <c r="H2395">
        <f t="shared" si="74"/>
        <v>86</v>
      </c>
      <c r="I2395">
        <v>0</v>
      </c>
      <c r="J2395">
        <v>0</v>
      </c>
      <c r="K2395">
        <v>0</v>
      </c>
      <c r="L2395">
        <f t="shared" si="75"/>
        <v>0</v>
      </c>
    </row>
    <row r="2396" spans="1:12">
      <c r="A2396" t="s">
        <v>3876</v>
      </c>
      <c r="B2396" t="s">
        <v>1470</v>
      </c>
      <c r="C2396" t="s">
        <v>2805</v>
      </c>
      <c r="D2396" t="s">
        <v>449</v>
      </c>
      <c r="E2396">
        <v>261</v>
      </c>
      <c r="F2396">
        <v>0</v>
      </c>
      <c r="G2396">
        <v>0</v>
      </c>
      <c r="H2396">
        <f t="shared" si="74"/>
        <v>261</v>
      </c>
      <c r="I2396">
        <v>0</v>
      </c>
      <c r="J2396">
        <v>0</v>
      </c>
      <c r="K2396">
        <v>0</v>
      </c>
      <c r="L2396">
        <f t="shared" si="75"/>
        <v>0</v>
      </c>
    </row>
    <row r="2397" spans="1:12">
      <c r="A2397" t="s">
        <v>3876</v>
      </c>
      <c r="B2397" t="s">
        <v>1470</v>
      </c>
      <c r="C2397" t="s">
        <v>2805</v>
      </c>
      <c r="D2397" t="s">
        <v>2807</v>
      </c>
      <c r="E2397">
        <v>2</v>
      </c>
      <c r="F2397">
        <v>0</v>
      </c>
      <c r="G2397">
        <v>0</v>
      </c>
      <c r="H2397">
        <f t="shared" si="74"/>
        <v>2</v>
      </c>
      <c r="I2397">
        <v>0</v>
      </c>
      <c r="J2397">
        <v>0</v>
      </c>
      <c r="K2397">
        <v>0</v>
      </c>
      <c r="L2397">
        <f t="shared" si="75"/>
        <v>0</v>
      </c>
    </row>
    <row r="2398" spans="1:12">
      <c r="A2398" t="s">
        <v>3876</v>
      </c>
      <c r="B2398" t="s">
        <v>1470</v>
      </c>
      <c r="C2398" t="s">
        <v>2805</v>
      </c>
      <c r="D2398" t="s">
        <v>2937</v>
      </c>
      <c r="E2398">
        <v>20</v>
      </c>
      <c r="F2398">
        <v>0</v>
      </c>
      <c r="G2398">
        <v>0</v>
      </c>
      <c r="H2398">
        <f t="shared" si="74"/>
        <v>20</v>
      </c>
      <c r="I2398">
        <v>0</v>
      </c>
      <c r="J2398">
        <v>0</v>
      </c>
      <c r="K2398">
        <v>0</v>
      </c>
      <c r="L2398">
        <f t="shared" si="75"/>
        <v>0</v>
      </c>
    </row>
    <row r="2399" spans="1:12">
      <c r="A2399" t="s">
        <v>3876</v>
      </c>
      <c r="B2399" t="s">
        <v>1470</v>
      </c>
      <c r="C2399" t="s">
        <v>2810</v>
      </c>
      <c r="D2399" t="s">
        <v>2811</v>
      </c>
      <c r="E2399">
        <v>7</v>
      </c>
      <c r="F2399">
        <v>0</v>
      </c>
      <c r="G2399">
        <v>0</v>
      </c>
      <c r="H2399">
        <f t="shared" si="74"/>
        <v>7</v>
      </c>
      <c r="I2399">
        <v>0</v>
      </c>
      <c r="J2399">
        <v>0</v>
      </c>
      <c r="K2399">
        <v>0</v>
      </c>
      <c r="L2399">
        <f t="shared" si="75"/>
        <v>0</v>
      </c>
    </row>
    <row r="2400" spans="1:12">
      <c r="A2400" t="s">
        <v>3876</v>
      </c>
      <c r="B2400" t="s">
        <v>1470</v>
      </c>
      <c r="C2400" t="s">
        <v>2810</v>
      </c>
      <c r="D2400" t="s">
        <v>2812</v>
      </c>
      <c r="E2400">
        <v>111</v>
      </c>
      <c r="F2400">
        <v>0</v>
      </c>
      <c r="G2400">
        <v>0</v>
      </c>
      <c r="H2400">
        <f t="shared" si="74"/>
        <v>111</v>
      </c>
      <c r="I2400">
        <v>0</v>
      </c>
      <c r="J2400">
        <v>0</v>
      </c>
      <c r="K2400">
        <v>0</v>
      </c>
      <c r="L2400">
        <f t="shared" si="75"/>
        <v>0</v>
      </c>
    </row>
    <row r="2401" spans="1:12">
      <c r="A2401" t="s">
        <v>3876</v>
      </c>
      <c r="B2401" t="s">
        <v>1470</v>
      </c>
      <c r="C2401" t="s">
        <v>2810</v>
      </c>
      <c r="D2401" t="s">
        <v>2813</v>
      </c>
      <c r="E2401">
        <v>12</v>
      </c>
      <c r="F2401">
        <v>0</v>
      </c>
      <c r="G2401">
        <v>0</v>
      </c>
      <c r="H2401">
        <f t="shared" si="74"/>
        <v>12</v>
      </c>
      <c r="I2401">
        <v>0</v>
      </c>
      <c r="J2401">
        <v>0</v>
      </c>
      <c r="K2401">
        <v>0</v>
      </c>
      <c r="L2401">
        <f t="shared" si="75"/>
        <v>0</v>
      </c>
    </row>
    <row r="2402" spans="1:12">
      <c r="A2402" t="s">
        <v>3876</v>
      </c>
      <c r="B2402" t="s">
        <v>1470</v>
      </c>
      <c r="C2402" t="s">
        <v>2810</v>
      </c>
      <c r="D2402" t="s">
        <v>2814</v>
      </c>
      <c r="E2402">
        <v>2</v>
      </c>
      <c r="F2402">
        <v>0</v>
      </c>
      <c r="G2402">
        <v>0</v>
      </c>
      <c r="H2402">
        <f t="shared" si="74"/>
        <v>2</v>
      </c>
      <c r="I2402">
        <v>0</v>
      </c>
      <c r="J2402">
        <v>0</v>
      </c>
      <c r="K2402">
        <v>0</v>
      </c>
      <c r="L2402">
        <f t="shared" si="75"/>
        <v>0</v>
      </c>
    </row>
    <row r="2403" spans="1:12">
      <c r="A2403" t="s">
        <v>3876</v>
      </c>
      <c r="B2403" t="s">
        <v>1470</v>
      </c>
      <c r="C2403" t="s">
        <v>2810</v>
      </c>
      <c r="D2403" t="s">
        <v>2847</v>
      </c>
      <c r="E2403">
        <v>35</v>
      </c>
      <c r="F2403">
        <v>0</v>
      </c>
      <c r="G2403">
        <v>0</v>
      </c>
      <c r="H2403">
        <f t="shared" si="74"/>
        <v>35</v>
      </c>
      <c r="I2403">
        <v>0</v>
      </c>
      <c r="J2403">
        <v>0</v>
      </c>
      <c r="K2403">
        <v>0</v>
      </c>
      <c r="L2403">
        <f t="shared" si="75"/>
        <v>0</v>
      </c>
    </row>
    <row r="2404" spans="1:12">
      <c r="A2404" t="s">
        <v>3876</v>
      </c>
      <c r="B2404" t="s">
        <v>1470</v>
      </c>
      <c r="C2404" t="s">
        <v>2810</v>
      </c>
      <c r="D2404" t="s">
        <v>2840</v>
      </c>
      <c r="E2404">
        <v>1</v>
      </c>
      <c r="F2404">
        <v>0</v>
      </c>
      <c r="G2404">
        <v>0</v>
      </c>
      <c r="H2404">
        <f t="shared" si="74"/>
        <v>1</v>
      </c>
      <c r="I2404">
        <v>0</v>
      </c>
      <c r="J2404">
        <v>0</v>
      </c>
      <c r="K2404">
        <v>0</v>
      </c>
      <c r="L2404">
        <f t="shared" si="75"/>
        <v>0</v>
      </c>
    </row>
    <row r="2405" spans="1:12">
      <c r="A2405" t="s">
        <v>3876</v>
      </c>
      <c r="B2405" t="s">
        <v>1470</v>
      </c>
      <c r="C2405" t="s">
        <v>2810</v>
      </c>
      <c r="D2405" t="s">
        <v>2815</v>
      </c>
      <c r="E2405">
        <v>1</v>
      </c>
      <c r="F2405">
        <v>0</v>
      </c>
      <c r="G2405">
        <v>0</v>
      </c>
      <c r="H2405">
        <f t="shared" si="74"/>
        <v>1</v>
      </c>
      <c r="I2405">
        <v>0</v>
      </c>
      <c r="J2405">
        <v>0</v>
      </c>
      <c r="K2405">
        <v>0</v>
      </c>
      <c r="L2405">
        <f t="shared" si="75"/>
        <v>0</v>
      </c>
    </row>
    <row r="2406" spans="1:12">
      <c r="A2406" t="s">
        <v>3876</v>
      </c>
      <c r="B2406" t="s">
        <v>1470</v>
      </c>
      <c r="C2406" t="s">
        <v>2816</v>
      </c>
      <c r="D2406" t="s">
        <v>1897</v>
      </c>
      <c r="E2406">
        <v>3</v>
      </c>
      <c r="F2406">
        <v>0</v>
      </c>
      <c r="G2406">
        <v>0</v>
      </c>
      <c r="H2406">
        <f t="shared" si="74"/>
        <v>3</v>
      </c>
      <c r="I2406">
        <v>0</v>
      </c>
      <c r="J2406">
        <v>0</v>
      </c>
      <c r="K2406">
        <v>0</v>
      </c>
      <c r="L2406">
        <f t="shared" si="75"/>
        <v>0</v>
      </c>
    </row>
    <row r="2407" spans="1:12">
      <c r="A2407" t="s">
        <v>3876</v>
      </c>
      <c r="B2407" t="s">
        <v>1470</v>
      </c>
      <c r="C2407" t="s">
        <v>2826</v>
      </c>
      <c r="D2407" t="s">
        <v>2834</v>
      </c>
      <c r="E2407">
        <v>0</v>
      </c>
      <c r="F2407">
        <v>0</v>
      </c>
      <c r="G2407">
        <v>0</v>
      </c>
      <c r="H2407">
        <f t="shared" si="74"/>
        <v>0</v>
      </c>
      <c r="I2407">
        <v>1</v>
      </c>
      <c r="J2407">
        <v>0</v>
      </c>
      <c r="K2407">
        <v>0</v>
      </c>
      <c r="L2407">
        <f t="shared" si="75"/>
        <v>1</v>
      </c>
    </row>
    <row r="2408" spans="1:12">
      <c r="A2408" t="s">
        <v>3876</v>
      </c>
      <c r="B2408" t="s">
        <v>1470</v>
      </c>
      <c r="C2408" t="s">
        <v>2826</v>
      </c>
      <c r="D2408" t="s">
        <v>2849</v>
      </c>
      <c r="E2408">
        <v>0</v>
      </c>
      <c r="F2408">
        <v>0</v>
      </c>
      <c r="G2408">
        <v>0</v>
      </c>
      <c r="H2408">
        <f t="shared" si="74"/>
        <v>0</v>
      </c>
      <c r="I2408">
        <v>1</v>
      </c>
      <c r="J2408">
        <v>0</v>
      </c>
      <c r="K2408">
        <v>0</v>
      </c>
      <c r="L2408">
        <f t="shared" si="75"/>
        <v>1</v>
      </c>
    </row>
    <row r="2409" spans="1:12">
      <c r="A2409" t="s">
        <v>3876</v>
      </c>
      <c r="B2409" t="s">
        <v>1470</v>
      </c>
      <c r="C2409" t="s">
        <v>2817</v>
      </c>
      <c r="D2409" t="s">
        <v>2818</v>
      </c>
      <c r="E2409">
        <v>4</v>
      </c>
      <c r="F2409">
        <v>0</v>
      </c>
      <c r="G2409">
        <v>0</v>
      </c>
      <c r="H2409">
        <f t="shared" si="74"/>
        <v>4</v>
      </c>
      <c r="I2409">
        <v>0</v>
      </c>
      <c r="J2409">
        <v>0</v>
      </c>
      <c r="K2409">
        <v>0</v>
      </c>
      <c r="L2409">
        <f t="shared" si="75"/>
        <v>0</v>
      </c>
    </row>
    <row r="2410" spans="1:12">
      <c r="A2410" t="s">
        <v>3879</v>
      </c>
      <c r="B2410" t="s">
        <v>1464</v>
      </c>
      <c r="C2410" t="s">
        <v>2810</v>
      </c>
      <c r="D2410" t="s">
        <v>2811</v>
      </c>
      <c r="E2410">
        <v>0</v>
      </c>
      <c r="F2410">
        <v>0</v>
      </c>
      <c r="G2410">
        <v>0</v>
      </c>
      <c r="H2410">
        <f t="shared" si="74"/>
        <v>0</v>
      </c>
      <c r="I2410">
        <v>1</v>
      </c>
      <c r="J2410">
        <v>0</v>
      </c>
      <c r="K2410">
        <v>0</v>
      </c>
      <c r="L2410">
        <f t="shared" si="75"/>
        <v>1</v>
      </c>
    </row>
    <row r="2411" spans="1:12">
      <c r="A2411" t="s">
        <v>3880</v>
      </c>
      <c r="B2411" t="s">
        <v>1473</v>
      </c>
      <c r="C2411" t="s">
        <v>2805</v>
      </c>
      <c r="D2411" t="s">
        <v>2806</v>
      </c>
      <c r="E2411">
        <v>233</v>
      </c>
      <c r="F2411">
        <v>0</v>
      </c>
      <c r="G2411">
        <v>0</v>
      </c>
      <c r="H2411">
        <f t="shared" si="74"/>
        <v>233</v>
      </c>
      <c r="I2411">
        <v>4</v>
      </c>
      <c r="J2411">
        <v>0</v>
      </c>
      <c r="K2411">
        <v>0</v>
      </c>
      <c r="L2411">
        <f t="shared" si="75"/>
        <v>4</v>
      </c>
    </row>
    <row r="2412" spans="1:12">
      <c r="A2412" t="s">
        <v>3880</v>
      </c>
      <c r="B2412" t="s">
        <v>1473</v>
      </c>
      <c r="C2412" t="s">
        <v>2805</v>
      </c>
      <c r="D2412" t="s">
        <v>449</v>
      </c>
      <c r="E2412">
        <v>491</v>
      </c>
      <c r="F2412">
        <v>0</v>
      </c>
      <c r="G2412">
        <v>0</v>
      </c>
      <c r="H2412">
        <f t="shared" si="74"/>
        <v>491</v>
      </c>
      <c r="I2412">
        <v>3</v>
      </c>
      <c r="J2412">
        <v>0</v>
      </c>
      <c r="K2412">
        <v>0</v>
      </c>
      <c r="L2412">
        <f t="shared" si="75"/>
        <v>3</v>
      </c>
    </row>
    <row r="2413" spans="1:12">
      <c r="A2413" t="s">
        <v>3880</v>
      </c>
      <c r="B2413" t="s">
        <v>1473</v>
      </c>
      <c r="C2413" t="s">
        <v>2805</v>
      </c>
      <c r="D2413" t="s">
        <v>2807</v>
      </c>
      <c r="E2413">
        <v>9</v>
      </c>
      <c r="F2413">
        <v>0</v>
      </c>
      <c r="G2413">
        <v>0</v>
      </c>
      <c r="H2413">
        <f t="shared" si="74"/>
        <v>9</v>
      </c>
      <c r="I2413">
        <v>0</v>
      </c>
      <c r="J2413">
        <v>0</v>
      </c>
      <c r="K2413">
        <v>0</v>
      </c>
      <c r="L2413">
        <f t="shared" si="75"/>
        <v>0</v>
      </c>
    </row>
    <row r="2414" spans="1:12">
      <c r="A2414" t="s">
        <v>3880</v>
      </c>
      <c r="B2414" t="s">
        <v>1473</v>
      </c>
      <c r="C2414" t="s">
        <v>2805</v>
      </c>
      <c r="D2414" t="s">
        <v>2937</v>
      </c>
      <c r="E2414">
        <v>22</v>
      </c>
      <c r="F2414">
        <v>3</v>
      </c>
      <c r="G2414">
        <v>0</v>
      </c>
      <c r="H2414">
        <f t="shared" si="74"/>
        <v>25</v>
      </c>
      <c r="I2414">
        <v>0</v>
      </c>
      <c r="J2414">
        <v>0</v>
      </c>
      <c r="K2414">
        <v>0</v>
      </c>
      <c r="L2414">
        <f t="shared" si="75"/>
        <v>0</v>
      </c>
    </row>
    <row r="2415" spans="1:12">
      <c r="A2415" t="s">
        <v>3880</v>
      </c>
      <c r="B2415" t="s">
        <v>1473</v>
      </c>
      <c r="C2415" t="s">
        <v>2805</v>
      </c>
      <c r="D2415" t="s">
        <v>2846</v>
      </c>
      <c r="E2415">
        <v>7</v>
      </c>
      <c r="F2415">
        <v>0</v>
      </c>
      <c r="G2415">
        <v>0</v>
      </c>
      <c r="H2415">
        <f t="shared" si="74"/>
        <v>7</v>
      </c>
      <c r="I2415">
        <v>0</v>
      </c>
      <c r="J2415">
        <v>0</v>
      </c>
      <c r="K2415">
        <v>0</v>
      </c>
      <c r="L2415">
        <f t="shared" si="75"/>
        <v>0</v>
      </c>
    </row>
    <row r="2416" spans="1:12">
      <c r="A2416" t="s">
        <v>3880</v>
      </c>
      <c r="B2416" t="s">
        <v>1473</v>
      </c>
      <c r="C2416" t="s">
        <v>2810</v>
      </c>
      <c r="D2416" t="s">
        <v>2811</v>
      </c>
      <c r="E2416">
        <v>39</v>
      </c>
      <c r="F2416">
        <v>0</v>
      </c>
      <c r="G2416">
        <v>0</v>
      </c>
      <c r="H2416">
        <f t="shared" si="74"/>
        <v>39</v>
      </c>
      <c r="I2416">
        <v>0</v>
      </c>
      <c r="J2416">
        <v>0</v>
      </c>
      <c r="K2416">
        <v>0</v>
      </c>
      <c r="L2416">
        <f t="shared" si="75"/>
        <v>0</v>
      </c>
    </row>
    <row r="2417" spans="1:12">
      <c r="A2417" t="s">
        <v>3880</v>
      </c>
      <c r="B2417" t="s">
        <v>1473</v>
      </c>
      <c r="C2417" t="s">
        <v>2810</v>
      </c>
      <c r="D2417" t="s">
        <v>2812</v>
      </c>
      <c r="E2417">
        <v>1</v>
      </c>
      <c r="F2417">
        <v>0</v>
      </c>
      <c r="G2417">
        <v>0</v>
      </c>
      <c r="H2417">
        <f t="shared" si="74"/>
        <v>1</v>
      </c>
      <c r="I2417">
        <v>0</v>
      </c>
      <c r="J2417">
        <v>0</v>
      </c>
      <c r="K2417">
        <v>0</v>
      </c>
      <c r="L2417">
        <f t="shared" si="75"/>
        <v>0</v>
      </c>
    </row>
    <row r="2418" spans="1:12">
      <c r="A2418" t="s">
        <v>3880</v>
      </c>
      <c r="B2418" t="s">
        <v>1473</v>
      </c>
      <c r="C2418" t="s">
        <v>2810</v>
      </c>
      <c r="D2418" t="s">
        <v>2813</v>
      </c>
      <c r="E2418">
        <v>5</v>
      </c>
      <c r="F2418">
        <v>0</v>
      </c>
      <c r="G2418">
        <v>0</v>
      </c>
      <c r="H2418">
        <f t="shared" si="74"/>
        <v>5</v>
      </c>
      <c r="I2418">
        <v>0</v>
      </c>
      <c r="J2418">
        <v>0</v>
      </c>
      <c r="K2418">
        <v>0</v>
      </c>
      <c r="L2418">
        <f t="shared" si="75"/>
        <v>0</v>
      </c>
    </row>
    <row r="2419" spans="1:12">
      <c r="A2419" t="s">
        <v>3880</v>
      </c>
      <c r="B2419" t="s">
        <v>1473</v>
      </c>
      <c r="C2419" t="s">
        <v>2810</v>
      </c>
      <c r="D2419" t="s">
        <v>2847</v>
      </c>
      <c r="E2419">
        <v>12</v>
      </c>
      <c r="F2419">
        <v>0</v>
      </c>
      <c r="G2419">
        <v>0</v>
      </c>
      <c r="H2419">
        <f t="shared" si="74"/>
        <v>12</v>
      </c>
      <c r="I2419">
        <v>0</v>
      </c>
      <c r="J2419">
        <v>0</v>
      </c>
      <c r="K2419">
        <v>0</v>
      </c>
      <c r="L2419">
        <f t="shared" si="75"/>
        <v>0</v>
      </c>
    </row>
    <row r="2420" spans="1:12">
      <c r="A2420" t="s">
        <v>3880</v>
      </c>
      <c r="B2420" t="s">
        <v>1473</v>
      </c>
      <c r="C2420" t="s">
        <v>2810</v>
      </c>
      <c r="D2420" t="s">
        <v>2815</v>
      </c>
      <c r="E2420">
        <v>9</v>
      </c>
      <c r="F2420">
        <v>0</v>
      </c>
      <c r="G2420">
        <v>0</v>
      </c>
      <c r="H2420">
        <f t="shared" si="74"/>
        <v>9</v>
      </c>
      <c r="I2420">
        <v>5</v>
      </c>
      <c r="J2420">
        <v>0</v>
      </c>
      <c r="K2420">
        <v>0</v>
      </c>
      <c r="L2420">
        <f t="shared" si="75"/>
        <v>5</v>
      </c>
    </row>
    <row r="2421" spans="1:12">
      <c r="A2421" t="s">
        <v>3880</v>
      </c>
      <c r="B2421" t="s">
        <v>1473</v>
      </c>
      <c r="C2421" t="s">
        <v>2816</v>
      </c>
      <c r="D2421" t="s">
        <v>1897</v>
      </c>
      <c r="E2421">
        <v>48</v>
      </c>
      <c r="F2421">
        <v>0</v>
      </c>
      <c r="G2421">
        <v>0</v>
      </c>
      <c r="H2421">
        <f t="shared" si="74"/>
        <v>48</v>
      </c>
      <c r="I2421">
        <v>4</v>
      </c>
      <c r="J2421">
        <v>0</v>
      </c>
      <c r="K2421">
        <v>0</v>
      </c>
      <c r="L2421">
        <f t="shared" si="75"/>
        <v>4</v>
      </c>
    </row>
    <row r="2422" spans="1:12">
      <c r="A2422" t="s">
        <v>3880</v>
      </c>
      <c r="B2422" t="s">
        <v>1473</v>
      </c>
      <c r="C2422" t="s">
        <v>2826</v>
      </c>
      <c r="D2422" t="s">
        <v>2871</v>
      </c>
      <c r="E2422">
        <v>0</v>
      </c>
      <c r="F2422">
        <v>0</v>
      </c>
      <c r="G2422">
        <v>0</v>
      </c>
      <c r="H2422">
        <f t="shared" si="74"/>
        <v>0</v>
      </c>
      <c r="I2422">
        <v>1</v>
      </c>
      <c r="J2422">
        <v>0</v>
      </c>
      <c r="K2422">
        <v>0</v>
      </c>
      <c r="L2422">
        <f t="shared" si="75"/>
        <v>1</v>
      </c>
    </row>
    <row r="2423" spans="1:12">
      <c r="A2423" t="s">
        <v>3880</v>
      </c>
      <c r="B2423" t="s">
        <v>1473</v>
      </c>
      <c r="C2423" t="s">
        <v>2826</v>
      </c>
      <c r="D2423" t="s">
        <v>2827</v>
      </c>
      <c r="E2423">
        <v>0</v>
      </c>
      <c r="F2423">
        <v>0</v>
      </c>
      <c r="G2423">
        <v>0</v>
      </c>
      <c r="H2423">
        <f t="shared" si="74"/>
        <v>0</v>
      </c>
      <c r="I2423">
        <v>1</v>
      </c>
      <c r="J2423">
        <v>0</v>
      </c>
      <c r="K2423">
        <v>0</v>
      </c>
      <c r="L2423">
        <f t="shared" si="75"/>
        <v>1</v>
      </c>
    </row>
    <row r="2424" spans="1:12">
      <c r="A2424" t="s">
        <v>3880</v>
      </c>
      <c r="B2424" t="s">
        <v>1473</v>
      </c>
      <c r="C2424" t="s">
        <v>2826</v>
      </c>
      <c r="D2424" t="s">
        <v>2891</v>
      </c>
      <c r="E2424">
        <v>0</v>
      </c>
      <c r="F2424">
        <v>0</v>
      </c>
      <c r="G2424">
        <v>0</v>
      </c>
      <c r="H2424">
        <f t="shared" si="74"/>
        <v>0</v>
      </c>
      <c r="I2424">
        <v>1</v>
      </c>
      <c r="J2424">
        <v>0</v>
      </c>
      <c r="K2424">
        <v>0</v>
      </c>
      <c r="L2424">
        <f t="shared" si="75"/>
        <v>1</v>
      </c>
    </row>
    <row r="2425" spans="1:12">
      <c r="A2425" t="s">
        <v>3880</v>
      </c>
      <c r="B2425" t="s">
        <v>1473</v>
      </c>
      <c r="C2425" t="s">
        <v>2826</v>
      </c>
      <c r="D2425" t="s">
        <v>2843</v>
      </c>
      <c r="E2425">
        <v>0</v>
      </c>
      <c r="F2425">
        <v>0</v>
      </c>
      <c r="G2425">
        <v>0</v>
      </c>
      <c r="H2425">
        <f t="shared" si="74"/>
        <v>0</v>
      </c>
      <c r="I2425">
        <v>1</v>
      </c>
      <c r="J2425">
        <v>0</v>
      </c>
      <c r="K2425">
        <v>0</v>
      </c>
      <c r="L2425">
        <f t="shared" si="75"/>
        <v>1</v>
      </c>
    </row>
    <row r="2426" spans="1:12">
      <c r="A2426" t="s">
        <v>3880</v>
      </c>
      <c r="B2426" t="s">
        <v>1473</v>
      </c>
      <c r="C2426" t="s">
        <v>2826</v>
      </c>
      <c r="D2426" t="s">
        <v>2849</v>
      </c>
      <c r="E2426">
        <v>1</v>
      </c>
      <c r="F2426">
        <v>0</v>
      </c>
      <c r="G2426">
        <v>0</v>
      </c>
      <c r="H2426">
        <f t="shared" si="74"/>
        <v>1</v>
      </c>
      <c r="I2426">
        <v>0</v>
      </c>
      <c r="J2426">
        <v>0</v>
      </c>
      <c r="K2426">
        <v>0</v>
      </c>
      <c r="L2426">
        <f t="shared" si="75"/>
        <v>0</v>
      </c>
    </row>
    <row r="2427" spans="1:12">
      <c r="A2427" t="s">
        <v>3880</v>
      </c>
      <c r="B2427" t="s">
        <v>1473</v>
      </c>
      <c r="C2427" t="s">
        <v>2817</v>
      </c>
      <c r="D2427" t="s">
        <v>2888</v>
      </c>
      <c r="E2427">
        <v>4</v>
      </c>
      <c r="F2427">
        <v>0</v>
      </c>
      <c r="G2427">
        <v>0</v>
      </c>
      <c r="H2427">
        <f t="shared" si="74"/>
        <v>4</v>
      </c>
      <c r="I2427">
        <v>0</v>
      </c>
      <c r="J2427">
        <v>0</v>
      </c>
      <c r="K2427">
        <v>0</v>
      </c>
      <c r="L2427">
        <f t="shared" si="75"/>
        <v>0</v>
      </c>
    </row>
    <row r="2428" spans="1:12">
      <c r="A2428" t="s">
        <v>3880</v>
      </c>
      <c r="B2428" t="s">
        <v>1473</v>
      </c>
      <c r="C2428" t="s">
        <v>2817</v>
      </c>
      <c r="D2428" t="s">
        <v>2818</v>
      </c>
      <c r="E2428">
        <v>10</v>
      </c>
      <c r="F2428">
        <v>0</v>
      </c>
      <c r="G2428">
        <v>0</v>
      </c>
      <c r="H2428">
        <f t="shared" si="74"/>
        <v>10</v>
      </c>
      <c r="I2428">
        <v>0</v>
      </c>
      <c r="J2428">
        <v>0</v>
      </c>
      <c r="K2428">
        <v>0</v>
      </c>
      <c r="L2428">
        <f t="shared" si="75"/>
        <v>0</v>
      </c>
    </row>
    <row r="2429" spans="1:12">
      <c r="A2429" t="s">
        <v>3880</v>
      </c>
      <c r="B2429" t="s">
        <v>1473</v>
      </c>
      <c r="C2429" t="s">
        <v>2817</v>
      </c>
      <c r="D2429" t="s">
        <v>2837</v>
      </c>
      <c r="E2429">
        <v>8</v>
      </c>
      <c r="F2429">
        <v>0</v>
      </c>
      <c r="G2429">
        <v>0</v>
      </c>
      <c r="H2429">
        <f t="shared" si="74"/>
        <v>8</v>
      </c>
      <c r="I2429">
        <v>0</v>
      </c>
      <c r="J2429">
        <v>0</v>
      </c>
      <c r="K2429">
        <v>0</v>
      </c>
      <c r="L2429">
        <f t="shared" si="75"/>
        <v>0</v>
      </c>
    </row>
    <row r="2430" spans="1:12">
      <c r="A2430" t="s">
        <v>3889</v>
      </c>
      <c r="B2430" t="s">
        <v>1477</v>
      </c>
      <c r="C2430" t="s">
        <v>2805</v>
      </c>
      <c r="D2430" t="s">
        <v>449</v>
      </c>
      <c r="E2430">
        <v>6</v>
      </c>
      <c r="F2430">
        <v>0</v>
      </c>
      <c r="G2430">
        <v>0</v>
      </c>
      <c r="H2430">
        <f t="shared" si="74"/>
        <v>6</v>
      </c>
      <c r="I2430">
        <v>0</v>
      </c>
      <c r="J2430">
        <v>0</v>
      </c>
      <c r="K2430">
        <v>0</v>
      </c>
      <c r="L2430">
        <f t="shared" si="75"/>
        <v>0</v>
      </c>
    </row>
    <row r="2431" spans="1:12">
      <c r="A2431" t="s">
        <v>3889</v>
      </c>
      <c r="B2431" t="s">
        <v>1477</v>
      </c>
      <c r="C2431" t="s">
        <v>2810</v>
      </c>
      <c r="D2431" t="s">
        <v>1892</v>
      </c>
      <c r="E2431">
        <v>0</v>
      </c>
      <c r="F2431">
        <v>5</v>
      </c>
      <c r="G2431">
        <v>0</v>
      </c>
      <c r="H2431">
        <f t="shared" si="74"/>
        <v>5</v>
      </c>
      <c r="I2431">
        <v>0</v>
      </c>
      <c r="J2431">
        <v>0</v>
      </c>
      <c r="K2431">
        <v>0</v>
      </c>
      <c r="L2431">
        <f t="shared" si="75"/>
        <v>0</v>
      </c>
    </row>
    <row r="2432" spans="1:12">
      <c r="A2432" t="s">
        <v>3889</v>
      </c>
      <c r="B2432" t="s">
        <v>1477</v>
      </c>
      <c r="C2432" t="s">
        <v>2810</v>
      </c>
      <c r="D2432" t="s">
        <v>2812</v>
      </c>
      <c r="E2432">
        <v>1</v>
      </c>
      <c r="F2432">
        <v>0</v>
      </c>
      <c r="G2432">
        <v>0</v>
      </c>
      <c r="H2432">
        <f t="shared" si="74"/>
        <v>1</v>
      </c>
      <c r="I2432">
        <v>0</v>
      </c>
      <c r="J2432">
        <v>0</v>
      </c>
      <c r="K2432">
        <v>0</v>
      </c>
      <c r="L2432">
        <f t="shared" si="75"/>
        <v>0</v>
      </c>
    </row>
    <row r="2433" spans="1:12">
      <c r="A2433" t="s">
        <v>3889</v>
      </c>
      <c r="B2433" t="s">
        <v>1477</v>
      </c>
      <c r="C2433" t="s">
        <v>2810</v>
      </c>
      <c r="D2433" t="s">
        <v>2813</v>
      </c>
      <c r="E2433">
        <v>1</v>
      </c>
      <c r="F2433">
        <v>0</v>
      </c>
      <c r="G2433">
        <v>0</v>
      </c>
      <c r="H2433">
        <f t="shared" si="74"/>
        <v>1</v>
      </c>
      <c r="I2433">
        <v>0</v>
      </c>
      <c r="J2433">
        <v>0</v>
      </c>
      <c r="K2433">
        <v>0</v>
      </c>
      <c r="L2433">
        <f t="shared" si="75"/>
        <v>0</v>
      </c>
    </row>
    <row r="2434" spans="1:12">
      <c r="A2434" t="s">
        <v>3889</v>
      </c>
      <c r="B2434" t="s">
        <v>1477</v>
      </c>
      <c r="C2434" t="s">
        <v>2810</v>
      </c>
      <c r="D2434" t="s">
        <v>2847</v>
      </c>
      <c r="E2434">
        <v>1</v>
      </c>
      <c r="F2434">
        <v>0</v>
      </c>
      <c r="G2434">
        <v>0</v>
      </c>
      <c r="H2434">
        <f t="shared" si="74"/>
        <v>1</v>
      </c>
      <c r="I2434">
        <v>0</v>
      </c>
      <c r="J2434">
        <v>0</v>
      </c>
      <c r="K2434">
        <v>0</v>
      </c>
      <c r="L2434">
        <f t="shared" si="75"/>
        <v>0</v>
      </c>
    </row>
    <row r="2435" spans="1:12">
      <c r="A2435" t="s">
        <v>3890</v>
      </c>
      <c r="B2435" t="s">
        <v>1421</v>
      </c>
      <c r="C2435" t="s">
        <v>2841</v>
      </c>
      <c r="D2435" t="s">
        <v>3117</v>
      </c>
      <c r="E2435">
        <v>0</v>
      </c>
      <c r="F2435">
        <v>0</v>
      </c>
      <c r="G2435">
        <v>0</v>
      </c>
      <c r="H2435">
        <f t="shared" si="74"/>
        <v>0</v>
      </c>
      <c r="I2435">
        <v>1</v>
      </c>
      <c r="J2435">
        <v>0</v>
      </c>
      <c r="K2435">
        <v>0</v>
      </c>
      <c r="L2435">
        <f t="shared" si="75"/>
        <v>1</v>
      </c>
    </row>
    <row r="2436" spans="1:12">
      <c r="A2436" t="s">
        <v>3890</v>
      </c>
      <c r="B2436" t="s">
        <v>1421</v>
      </c>
      <c r="C2436" t="s">
        <v>2841</v>
      </c>
      <c r="D2436" t="s">
        <v>2842</v>
      </c>
      <c r="E2436">
        <v>0</v>
      </c>
      <c r="F2436">
        <v>0</v>
      </c>
      <c r="G2436">
        <v>0</v>
      </c>
      <c r="H2436">
        <f t="shared" ref="H2436:H2499" si="76">SUM(E2436:G2436)</f>
        <v>0</v>
      </c>
      <c r="I2436">
        <v>2</v>
      </c>
      <c r="J2436">
        <v>0</v>
      </c>
      <c r="K2436">
        <v>0</v>
      </c>
      <c r="L2436">
        <f t="shared" ref="L2436:L2499" si="77">SUM(I2436:K2436)</f>
        <v>2</v>
      </c>
    </row>
    <row r="2437" spans="1:12">
      <c r="A2437" t="s">
        <v>3890</v>
      </c>
      <c r="B2437" t="s">
        <v>1421</v>
      </c>
      <c r="C2437" t="s">
        <v>2826</v>
      </c>
      <c r="D2437" t="s">
        <v>2871</v>
      </c>
      <c r="E2437">
        <v>0</v>
      </c>
      <c r="F2437">
        <v>0</v>
      </c>
      <c r="G2437">
        <v>0</v>
      </c>
      <c r="H2437">
        <f t="shared" si="76"/>
        <v>0</v>
      </c>
      <c r="I2437">
        <v>1</v>
      </c>
      <c r="J2437">
        <v>1</v>
      </c>
      <c r="K2437">
        <v>0</v>
      </c>
      <c r="L2437">
        <f t="shared" si="77"/>
        <v>2</v>
      </c>
    </row>
    <row r="2438" spans="1:12">
      <c r="A2438" t="s">
        <v>3890</v>
      </c>
      <c r="B2438" t="s">
        <v>1421</v>
      </c>
      <c r="C2438" t="s">
        <v>2826</v>
      </c>
      <c r="D2438" t="s">
        <v>2827</v>
      </c>
      <c r="E2438">
        <v>0</v>
      </c>
      <c r="F2438">
        <v>0</v>
      </c>
      <c r="G2438">
        <v>0</v>
      </c>
      <c r="H2438">
        <f t="shared" si="76"/>
        <v>0</v>
      </c>
      <c r="I2438">
        <v>1</v>
      </c>
      <c r="J2438">
        <v>0</v>
      </c>
      <c r="K2438">
        <v>0</v>
      </c>
      <c r="L2438">
        <f t="shared" si="77"/>
        <v>1</v>
      </c>
    </row>
    <row r="2439" spans="1:12">
      <c r="A2439" t="s">
        <v>3890</v>
      </c>
      <c r="B2439" t="s">
        <v>1421</v>
      </c>
      <c r="C2439" t="s">
        <v>2826</v>
      </c>
      <c r="D2439" t="s">
        <v>2828</v>
      </c>
      <c r="E2439">
        <v>0</v>
      </c>
      <c r="F2439">
        <v>0</v>
      </c>
      <c r="G2439">
        <v>0</v>
      </c>
      <c r="H2439">
        <f t="shared" si="76"/>
        <v>0</v>
      </c>
      <c r="I2439">
        <v>0</v>
      </c>
      <c r="J2439">
        <v>1</v>
      </c>
      <c r="K2439">
        <v>0</v>
      </c>
      <c r="L2439">
        <f t="shared" si="77"/>
        <v>1</v>
      </c>
    </row>
    <row r="2440" spans="1:12">
      <c r="A2440" t="s">
        <v>3890</v>
      </c>
      <c r="B2440" t="s">
        <v>1421</v>
      </c>
      <c r="C2440" t="s">
        <v>2826</v>
      </c>
      <c r="D2440" t="s">
        <v>2891</v>
      </c>
      <c r="E2440">
        <v>0</v>
      </c>
      <c r="F2440">
        <v>0</v>
      </c>
      <c r="G2440">
        <v>0</v>
      </c>
      <c r="H2440">
        <f t="shared" si="76"/>
        <v>0</v>
      </c>
      <c r="I2440">
        <v>1</v>
      </c>
      <c r="J2440">
        <v>0</v>
      </c>
      <c r="K2440">
        <v>0</v>
      </c>
      <c r="L2440">
        <f t="shared" si="77"/>
        <v>1</v>
      </c>
    </row>
    <row r="2441" spans="1:12">
      <c r="A2441" t="s">
        <v>3890</v>
      </c>
      <c r="B2441" t="s">
        <v>1421</v>
      </c>
      <c r="C2441" t="s">
        <v>2826</v>
      </c>
      <c r="D2441" t="s">
        <v>2830</v>
      </c>
      <c r="E2441">
        <v>0</v>
      </c>
      <c r="F2441">
        <v>0</v>
      </c>
      <c r="G2441">
        <v>0</v>
      </c>
      <c r="H2441">
        <f t="shared" si="76"/>
        <v>0</v>
      </c>
      <c r="I2441">
        <v>0</v>
      </c>
      <c r="J2441">
        <v>1</v>
      </c>
      <c r="K2441">
        <v>0</v>
      </c>
      <c r="L2441">
        <f t="shared" si="77"/>
        <v>1</v>
      </c>
    </row>
    <row r="2442" spans="1:12">
      <c r="A2442" t="s">
        <v>3890</v>
      </c>
      <c r="B2442" t="s">
        <v>1421</v>
      </c>
      <c r="C2442" t="s">
        <v>2826</v>
      </c>
      <c r="D2442" t="s">
        <v>2843</v>
      </c>
      <c r="E2442">
        <v>0</v>
      </c>
      <c r="F2442">
        <v>0</v>
      </c>
      <c r="G2442">
        <v>0</v>
      </c>
      <c r="H2442">
        <f t="shared" si="76"/>
        <v>0</v>
      </c>
      <c r="I2442">
        <v>2</v>
      </c>
      <c r="J2442">
        <v>2</v>
      </c>
      <c r="K2442">
        <v>0</v>
      </c>
      <c r="L2442">
        <f t="shared" si="77"/>
        <v>4</v>
      </c>
    </row>
    <row r="2443" spans="1:12">
      <c r="A2443" t="s">
        <v>3890</v>
      </c>
      <c r="B2443" t="s">
        <v>1421</v>
      </c>
      <c r="C2443" t="s">
        <v>2826</v>
      </c>
      <c r="D2443" t="s">
        <v>2975</v>
      </c>
      <c r="E2443">
        <v>0</v>
      </c>
      <c r="F2443">
        <v>0</v>
      </c>
      <c r="G2443">
        <v>0</v>
      </c>
      <c r="H2443">
        <f t="shared" si="76"/>
        <v>0</v>
      </c>
      <c r="I2443">
        <v>10</v>
      </c>
      <c r="J2443">
        <v>0</v>
      </c>
      <c r="K2443">
        <v>0</v>
      </c>
      <c r="L2443">
        <f t="shared" si="77"/>
        <v>10</v>
      </c>
    </row>
    <row r="2444" spans="1:12">
      <c r="A2444" t="s">
        <v>3890</v>
      </c>
      <c r="B2444" t="s">
        <v>1421</v>
      </c>
      <c r="C2444" t="s">
        <v>2826</v>
      </c>
      <c r="D2444" t="s">
        <v>2832</v>
      </c>
      <c r="E2444">
        <v>0</v>
      </c>
      <c r="F2444">
        <v>0</v>
      </c>
      <c r="G2444">
        <v>0</v>
      </c>
      <c r="H2444">
        <f t="shared" si="76"/>
        <v>0</v>
      </c>
      <c r="I2444">
        <v>2</v>
      </c>
      <c r="J2444">
        <v>0</v>
      </c>
      <c r="K2444">
        <v>0</v>
      </c>
      <c r="L2444">
        <f t="shared" si="77"/>
        <v>2</v>
      </c>
    </row>
    <row r="2445" spans="1:12">
      <c r="A2445" t="s">
        <v>3890</v>
      </c>
      <c r="B2445" t="s">
        <v>1421</v>
      </c>
      <c r="C2445" t="s">
        <v>2826</v>
      </c>
      <c r="D2445" t="s">
        <v>2834</v>
      </c>
      <c r="E2445">
        <v>0</v>
      </c>
      <c r="F2445">
        <v>0</v>
      </c>
      <c r="G2445">
        <v>0</v>
      </c>
      <c r="H2445">
        <f t="shared" si="76"/>
        <v>0</v>
      </c>
      <c r="I2445">
        <v>1</v>
      </c>
      <c r="J2445">
        <v>1</v>
      </c>
      <c r="K2445">
        <v>0</v>
      </c>
      <c r="L2445">
        <f t="shared" si="77"/>
        <v>2</v>
      </c>
    </row>
    <row r="2446" spans="1:12">
      <c r="A2446" t="s">
        <v>3890</v>
      </c>
      <c r="B2446" t="s">
        <v>1421</v>
      </c>
      <c r="C2446" t="s">
        <v>2826</v>
      </c>
      <c r="D2446" t="s">
        <v>2844</v>
      </c>
      <c r="E2446">
        <v>0</v>
      </c>
      <c r="F2446">
        <v>0</v>
      </c>
      <c r="G2446">
        <v>0</v>
      </c>
      <c r="H2446">
        <f t="shared" si="76"/>
        <v>0</v>
      </c>
      <c r="I2446">
        <v>0</v>
      </c>
      <c r="J2446">
        <v>1</v>
      </c>
      <c r="K2446">
        <v>0</v>
      </c>
      <c r="L2446">
        <f t="shared" si="77"/>
        <v>1</v>
      </c>
    </row>
    <row r="2447" spans="1:12">
      <c r="A2447" t="s">
        <v>3890</v>
      </c>
      <c r="B2447" t="s">
        <v>1421</v>
      </c>
      <c r="C2447" t="s">
        <v>2826</v>
      </c>
      <c r="D2447" t="s">
        <v>2835</v>
      </c>
      <c r="E2447">
        <v>0</v>
      </c>
      <c r="F2447">
        <v>0</v>
      </c>
      <c r="G2447">
        <v>0</v>
      </c>
      <c r="H2447">
        <f t="shared" si="76"/>
        <v>0</v>
      </c>
      <c r="I2447">
        <v>2</v>
      </c>
      <c r="J2447">
        <v>0</v>
      </c>
      <c r="K2447">
        <v>0</v>
      </c>
      <c r="L2447">
        <f t="shared" si="77"/>
        <v>2</v>
      </c>
    </row>
    <row r="2448" spans="1:12">
      <c r="A2448" t="s">
        <v>3890</v>
      </c>
      <c r="B2448" t="s">
        <v>1421</v>
      </c>
      <c r="C2448" t="s">
        <v>2826</v>
      </c>
      <c r="D2448" t="s">
        <v>2917</v>
      </c>
      <c r="E2448">
        <v>0</v>
      </c>
      <c r="F2448">
        <v>0</v>
      </c>
      <c r="G2448">
        <v>0</v>
      </c>
      <c r="H2448">
        <f t="shared" si="76"/>
        <v>0</v>
      </c>
      <c r="I2448">
        <v>2</v>
      </c>
      <c r="J2448">
        <v>0</v>
      </c>
      <c r="K2448">
        <v>0</v>
      </c>
      <c r="L2448">
        <f t="shared" si="77"/>
        <v>2</v>
      </c>
    </row>
    <row r="2449" spans="1:12">
      <c r="A2449" t="s">
        <v>3890</v>
      </c>
      <c r="B2449" t="s">
        <v>1421</v>
      </c>
      <c r="C2449" t="s">
        <v>2826</v>
      </c>
      <c r="D2449" t="s">
        <v>2849</v>
      </c>
      <c r="E2449">
        <v>0</v>
      </c>
      <c r="F2449">
        <v>0</v>
      </c>
      <c r="G2449">
        <v>0</v>
      </c>
      <c r="H2449">
        <f t="shared" si="76"/>
        <v>0</v>
      </c>
      <c r="I2449">
        <v>0</v>
      </c>
      <c r="J2449">
        <v>1</v>
      </c>
      <c r="K2449">
        <v>0</v>
      </c>
      <c r="L2449">
        <f t="shared" si="77"/>
        <v>1</v>
      </c>
    </row>
    <row r="2450" spans="1:12">
      <c r="A2450" t="s">
        <v>3890</v>
      </c>
      <c r="B2450" t="s">
        <v>1421</v>
      </c>
      <c r="C2450" t="s">
        <v>2826</v>
      </c>
      <c r="D2450" t="s">
        <v>2836</v>
      </c>
      <c r="E2450">
        <v>0</v>
      </c>
      <c r="F2450">
        <v>0</v>
      </c>
      <c r="G2450">
        <v>0</v>
      </c>
      <c r="H2450">
        <f t="shared" si="76"/>
        <v>0</v>
      </c>
      <c r="I2450">
        <v>0</v>
      </c>
      <c r="J2450">
        <v>1</v>
      </c>
      <c r="K2450">
        <v>0</v>
      </c>
      <c r="L2450">
        <f t="shared" si="77"/>
        <v>1</v>
      </c>
    </row>
    <row r="2451" spans="1:12">
      <c r="A2451" t="s">
        <v>3890</v>
      </c>
      <c r="B2451" t="s">
        <v>1421</v>
      </c>
      <c r="C2451" t="s">
        <v>2817</v>
      </c>
      <c r="D2451" t="s">
        <v>2887</v>
      </c>
      <c r="E2451">
        <v>0</v>
      </c>
      <c r="F2451">
        <v>0</v>
      </c>
      <c r="G2451">
        <v>0</v>
      </c>
      <c r="H2451">
        <f t="shared" si="76"/>
        <v>0</v>
      </c>
      <c r="I2451">
        <v>1</v>
      </c>
      <c r="J2451">
        <v>0</v>
      </c>
      <c r="K2451">
        <v>0</v>
      </c>
      <c r="L2451">
        <f t="shared" si="77"/>
        <v>1</v>
      </c>
    </row>
    <row r="2452" spans="1:12">
      <c r="A2452" t="s">
        <v>3891</v>
      </c>
      <c r="B2452" t="s">
        <v>1479</v>
      </c>
      <c r="C2452" t="s">
        <v>2810</v>
      </c>
      <c r="D2452" t="s">
        <v>2847</v>
      </c>
      <c r="E2452">
        <v>9</v>
      </c>
      <c r="F2452">
        <v>0</v>
      </c>
      <c r="G2452">
        <v>0</v>
      </c>
      <c r="H2452">
        <f t="shared" si="76"/>
        <v>9</v>
      </c>
      <c r="I2452">
        <v>0</v>
      </c>
      <c r="J2452">
        <v>0</v>
      </c>
      <c r="K2452">
        <v>0</v>
      </c>
      <c r="L2452">
        <f t="shared" si="77"/>
        <v>0</v>
      </c>
    </row>
    <row r="2453" spans="1:12">
      <c r="A2453" t="s">
        <v>3898</v>
      </c>
      <c r="B2453" t="s">
        <v>1482</v>
      </c>
      <c r="C2453" t="s">
        <v>2805</v>
      </c>
      <c r="D2453" t="s">
        <v>2806</v>
      </c>
      <c r="E2453">
        <v>167</v>
      </c>
      <c r="F2453">
        <v>0</v>
      </c>
      <c r="G2453">
        <v>0</v>
      </c>
      <c r="H2453">
        <f t="shared" si="76"/>
        <v>167</v>
      </c>
      <c r="I2453">
        <v>0</v>
      </c>
      <c r="J2453">
        <v>0</v>
      </c>
      <c r="K2453">
        <v>0</v>
      </c>
      <c r="L2453">
        <f t="shared" si="77"/>
        <v>0</v>
      </c>
    </row>
    <row r="2454" spans="1:12">
      <c r="A2454" t="s">
        <v>3898</v>
      </c>
      <c r="B2454" t="s">
        <v>1482</v>
      </c>
      <c r="C2454" t="s">
        <v>2805</v>
      </c>
      <c r="D2454" t="s">
        <v>449</v>
      </c>
      <c r="E2454">
        <v>384</v>
      </c>
      <c r="F2454">
        <v>0</v>
      </c>
      <c r="G2454">
        <v>0</v>
      </c>
      <c r="H2454">
        <f t="shared" si="76"/>
        <v>384</v>
      </c>
      <c r="I2454">
        <v>0</v>
      </c>
      <c r="J2454">
        <v>0</v>
      </c>
      <c r="K2454">
        <v>0</v>
      </c>
      <c r="L2454">
        <f t="shared" si="77"/>
        <v>0</v>
      </c>
    </row>
    <row r="2455" spans="1:12">
      <c r="A2455" t="s">
        <v>3898</v>
      </c>
      <c r="B2455" t="s">
        <v>1482</v>
      </c>
      <c r="C2455" t="s">
        <v>2805</v>
      </c>
      <c r="D2455" t="s">
        <v>2807</v>
      </c>
      <c r="E2455">
        <v>9</v>
      </c>
      <c r="F2455">
        <v>0</v>
      </c>
      <c r="G2455">
        <v>0</v>
      </c>
      <c r="H2455">
        <f t="shared" si="76"/>
        <v>9</v>
      </c>
      <c r="I2455">
        <v>0</v>
      </c>
      <c r="J2455">
        <v>0</v>
      </c>
      <c r="K2455">
        <v>0</v>
      </c>
      <c r="L2455">
        <f t="shared" si="77"/>
        <v>0</v>
      </c>
    </row>
    <row r="2456" spans="1:12">
      <c r="A2456" t="s">
        <v>3898</v>
      </c>
      <c r="B2456" t="s">
        <v>1482</v>
      </c>
      <c r="C2456" t="s">
        <v>2805</v>
      </c>
      <c r="D2456" t="s">
        <v>442</v>
      </c>
      <c r="E2456">
        <v>1</v>
      </c>
      <c r="F2456">
        <v>0</v>
      </c>
      <c r="G2456">
        <v>0</v>
      </c>
      <c r="H2456">
        <f t="shared" si="76"/>
        <v>1</v>
      </c>
      <c r="I2456">
        <v>0</v>
      </c>
      <c r="J2456">
        <v>0</v>
      </c>
      <c r="K2456">
        <v>0</v>
      </c>
      <c r="L2456">
        <f t="shared" si="77"/>
        <v>0</v>
      </c>
    </row>
    <row r="2457" spans="1:12">
      <c r="A2457" t="s">
        <v>3898</v>
      </c>
      <c r="B2457" t="s">
        <v>1482</v>
      </c>
      <c r="C2457" t="s">
        <v>2810</v>
      </c>
      <c r="D2457" t="s">
        <v>2811</v>
      </c>
      <c r="E2457">
        <v>37</v>
      </c>
      <c r="F2457">
        <v>0</v>
      </c>
      <c r="G2457">
        <v>0</v>
      </c>
      <c r="H2457">
        <f t="shared" si="76"/>
        <v>37</v>
      </c>
      <c r="I2457">
        <v>0</v>
      </c>
      <c r="J2457">
        <v>0</v>
      </c>
      <c r="K2457">
        <v>0</v>
      </c>
      <c r="L2457">
        <f t="shared" si="77"/>
        <v>0</v>
      </c>
    </row>
    <row r="2458" spans="1:12">
      <c r="A2458" t="s">
        <v>3898</v>
      </c>
      <c r="B2458" t="s">
        <v>1482</v>
      </c>
      <c r="C2458" t="s">
        <v>2810</v>
      </c>
      <c r="D2458" t="s">
        <v>1892</v>
      </c>
      <c r="E2458">
        <v>2</v>
      </c>
      <c r="F2458">
        <v>0</v>
      </c>
      <c r="G2458">
        <v>0</v>
      </c>
      <c r="H2458">
        <f t="shared" si="76"/>
        <v>2</v>
      </c>
      <c r="I2458">
        <v>0</v>
      </c>
      <c r="J2458">
        <v>0</v>
      </c>
      <c r="K2458">
        <v>0</v>
      </c>
      <c r="L2458">
        <f t="shared" si="77"/>
        <v>0</v>
      </c>
    </row>
    <row r="2459" spans="1:12">
      <c r="A2459" t="s">
        <v>3898</v>
      </c>
      <c r="B2459" t="s">
        <v>1482</v>
      </c>
      <c r="C2459" t="s">
        <v>2810</v>
      </c>
      <c r="D2459" t="s">
        <v>2823</v>
      </c>
      <c r="E2459">
        <v>5</v>
      </c>
      <c r="F2459">
        <v>0</v>
      </c>
      <c r="G2459">
        <v>0</v>
      </c>
      <c r="H2459">
        <f t="shared" si="76"/>
        <v>5</v>
      </c>
      <c r="I2459">
        <v>0</v>
      </c>
      <c r="J2459">
        <v>0</v>
      </c>
      <c r="K2459">
        <v>0</v>
      </c>
      <c r="L2459">
        <f t="shared" si="77"/>
        <v>0</v>
      </c>
    </row>
    <row r="2460" spans="1:12">
      <c r="A2460" t="s">
        <v>3898</v>
      </c>
      <c r="B2460" t="s">
        <v>1482</v>
      </c>
      <c r="C2460" t="s">
        <v>2810</v>
      </c>
      <c r="D2460" t="s">
        <v>2812</v>
      </c>
      <c r="E2460">
        <v>18</v>
      </c>
      <c r="F2460">
        <v>0</v>
      </c>
      <c r="G2460">
        <v>0</v>
      </c>
      <c r="H2460">
        <f t="shared" si="76"/>
        <v>18</v>
      </c>
      <c r="I2460">
        <v>1</v>
      </c>
      <c r="J2460">
        <v>0</v>
      </c>
      <c r="K2460">
        <v>0</v>
      </c>
      <c r="L2460">
        <f t="shared" si="77"/>
        <v>1</v>
      </c>
    </row>
    <row r="2461" spans="1:12">
      <c r="A2461" t="s">
        <v>3898</v>
      </c>
      <c r="B2461" t="s">
        <v>1482</v>
      </c>
      <c r="C2461" t="s">
        <v>2810</v>
      </c>
      <c r="D2461" t="s">
        <v>2813</v>
      </c>
      <c r="E2461">
        <v>3</v>
      </c>
      <c r="F2461">
        <v>0</v>
      </c>
      <c r="G2461">
        <v>0</v>
      </c>
      <c r="H2461">
        <f t="shared" si="76"/>
        <v>3</v>
      </c>
      <c r="I2461">
        <v>0</v>
      </c>
      <c r="J2461">
        <v>0</v>
      </c>
      <c r="K2461">
        <v>0</v>
      </c>
      <c r="L2461">
        <f t="shared" si="77"/>
        <v>0</v>
      </c>
    </row>
    <row r="2462" spans="1:12">
      <c r="A2462" t="s">
        <v>3898</v>
      </c>
      <c r="B2462" t="s">
        <v>1482</v>
      </c>
      <c r="C2462" t="s">
        <v>2810</v>
      </c>
      <c r="D2462" t="s">
        <v>2814</v>
      </c>
      <c r="E2462">
        <v>1</v>
      </c>
      <c r="F2462">
        <v>0</v>
      </c>
      <c r="G2462">
        <v>0</v>
      </c>
      <c r="H2462">
        <f t="shared" si="76"/>
        <v>1</v>
      </c>
      <c r="I2462">
        <v>0</v>
      </c>
      <c r="J2462">
        <v>0</v>
      </c>
      <c r="K2462">
        <v>0</v>
      </c>
      <c r="L2462">
        <f t="shared" si="77"/>
        <v>0</v>
      </c>
    </row>
    <row r="2463" spans="1:12">
      <c r="A2463" t="s">
        <v>3898</v>
      </c>
      <c r="B2463" t="s">
        <v>1482</v>
      </c>
      <c r="C2463" t="s">
        <v>2810</v>
      </c>
      <c r="D2463" t="s">
        <v>2815</v>
      </c>
      <c r="E2463">
        <v>9</v>
      </c>
      <c r="F2463">
        <v>0</v>
      </c>
      <c r="G2463">
        <v>0</v>
      </c>
      <c r="H2463">
        <f t="shared" si="76"/>
        <v>9</v>
      </c>
      <c r="I2463">
        <v>0</v>
      </c>
      <c r="J2463">
        <v>0</v>
      </c>
      <c r="K2463">
        <v>0</v>
      </c>
      <c r="L2463">
        <f t="shared" si="77"/>
        <v>0</v>
      </c>
    </row>
    <row r="2464" spans="1:12">
      <c r="A2464" t="s">
        <v>3898</v>
      </c>
      <c r="B2464" t="s">
        <v>1482</v>
      </c>
      <c r="C2464" t="s">
        <v>2816</v>
      </c>
      <c r="D2464" t="s">
        <v>1897</v>
      </c>
      <c r="E2464">
        <v>18</v>
      </c>
      <c r="F2464">
        <v>0</v>
      </c>
      <c r="G2464">
        <v>0</v>
      </c>
      <c r="H2464">
        <f t="shared" si="76"/>
        <v>18</v>
      </c>
      <c r="I2464">
        <v>0</v>
      </c>
      <c r="J2464">
        <v>0</v>
      </c>
      <c r="K2464">
        <v>0</v>
      </c>
      <c r="L2464">
        <f t="shared" si="77"/>
        <v>0</v>
      </c>
    </row>
    <row r="2465" spans="1:12">
      <c r="A2465" t="s">
        <v>3898</v>
      </c>
      <c r="B2465" t="s">
        <v>1482</v>
      </c>
      <c r="C2465" t="s">
        <v>2816</v>
      </c>
      <c r="D2465" t="s">
        <v>2848</v>
      </c>
      <c r="E2465">
        <v>3</v>
      </c>
      <c r="F2465">
        <v>0</v>
      </c>
      <c r="G2465">
        <v>0</v>
      </c>
      <c r="H2465">
        <f t="shared" si="76"/>
        <v>3</v>
      </c>
      <c r="I2465">
        <v>0</v>
      </c>
      <c r="J2465">
        <v>0</v>
      </c>
      <c r="K2465">
        <v>0</v>
      </c>
      <c r="L2465">
        <f t="shared" si="77"/>
        <v>0</v>
      </c>
    </row>
    <row r="2466" spans="1:12">
      <c r="A2466" t="s">
        <v>3898</v>
      </c>
      <c r="B2466" t="s">
        <v>1482</v>
      </c>
      <c r="C2466" t="s">
        <v>2826</v>
      </c>
      <c r="D2466" t="s">
        <v>2891</v>
      </c>
      <c r="E2466">
        <v>0</v>
      </c>
      <c r="F2466">
        <v>0</v>
      </c>
      <c r="G2466">
        <v>0</v>
      </c>
      <c r="H2466">
        <f t="shared" si="76"/>
        <v>0</v>
      </c>
      <c r="I2466">
        <v>1</v>
      </c>
      <c r="J2466">
        <v>0</v>
      </c>
      <c r="K2466">
        <v>0</v>
      </c>
      <c r="L2466">
        <f t="shared" si="77"/>
        <v>1</v>
      </c>
    </row>
    <row r="2467" spans="1:12">
      <c r="A2467" t="s">
        <v>3898</v>
      </c>
      <c r="B2467" t="s">
        <v>1482</v>
      </c>
      <c r="C2467" t="s">
        <v>2826</v>
      </c>
      <c r="D2467" t="s">
        <v>2843</v>
      </c>
      <c r="E2467">
        <v>0</v>
      </c>
      <c r="F2467">
        <v>0</v>
      </c>
      <c r="G2467">
        <v>0</v>
      </c>
      <c r="H2467">
        <f t="shared" si="76"/>
        <v>0</v>
      </c>
      <c r="I2467">
        <v>1</v>
      </c>
      <c r="J2467">
        <v>0</v>
      </c>
      <c r="K2467">
        <v>0</v>
      </c>
      <c r="L2467">
        <f t="shared" si="77"/>
        <v>1</v>
      </c>
    </row>
    <row r="2468" spans="1:12">
      <c r="A2468" t="s">
        <v>3898</v>
      </c>
      <c r="B2468" t="s">
        <v>1482</v>
      </c>
      <c r="C2468" t="s">
        <v>2817</v>
      </c>
      <c r="D2468" t="s">
        <v>2818</v>
      </c>
      <c r="E2468">
        <v>25</v>
      </c>
      <c r="F2468">
        <v>0</v>
      </c>
      <c r="G2468">
        <v>0</v>
      </c>
      <c r="H2468">
        <f t="shared" si="76"/>
        <v>25</v>
      </c>
      <c r="I2468">
        <v>0</v>
      </c>
      <c r="J2468">
        <v>0</v>
      </c>
      <c r="K2468">
        <v>0</v>
      </c>
      <c r="L2468">
        <f t="shared" si="77"/>
        <v>0</v>
      </c>
    </row>
    <row r="2469" spans="1:12">
      <c r="A2469" t="s">
        <v>3899</v>
      </c>
      <c r="B2469" t="s">
        <v>1481</v>
      </c>
      <c r="C2469" t="s">
        <v>2810</v>
      </c>
      <c r="D2469" t="s">
        <v>2813</v>
      </c>
      <c r="E2469">
        <v>0</v>
      </c>
      <c r="F2469">
        <v>0</v>
      </c>
      <c r="G2469">
        <v>0</v>
      </c>
      <c r="H2469">
        <f t="shared" si="76"/>
        <v>0</v>
      </c>
      <c r="I2469">
        <v>3</v>
      </c>
      <c r="J2469">
        <v>0</v>
      </c>
      <c r="K2469">
        <v>0</v>
      </c>
      <c r="L2469">
        <f t="shared" si="77"/>
        <v>3</v>
      </c>
    </row>
    <row r="2470" spans="1:12">
      <c r="A2470" t="s">
        <v>3899</v>
      </c>
      <c r="B2470" t="s">
        <v>1481</v>
      </c>
      <c r="C2470" t="s">
        <v>2826</v>
      </c>
      <c r="D2470" t="s">
        <v>2871</v>
      </c>
      <c r="E2470">
        <v>0</v>
      </c>
      <c r="F2470">
        <v>0</v>
      </c>
      <c r="G2470">
        <v>0</v>
      </c>
      <c r="H2470">
        <f t="shared" si="76"/>
        <v>0</v>
      </c>
      <c r="I2470">
        <v>2</v>
      </c>
      <c r="J2470">
        <v>0</v>
      </c>
      <c r="K2470">
        <v>0</v>
      </c>
      <c r="L2470">
        <f t="shared" si="77"/>
        <v>2</v>
      </c>
    </row>
    <row r="2471" spans="1:12">
      <c r="A2471" t="s">
        <v>3899</v>
      </c>
      <c r="B2471" t="s">
        <v>1481</v>
      </c>
      <c r="C2471" t="s">
        <v>2826</v>
      </c>
      <c r="D2471" t="s">
        <v>2905</v>
      </c>
      <c r="E2471">
        <v>0</v>
      </c>
      <c r="F2471">
        <v>0</v>
      </c>
      <c r="G2471">
        <v>0</v>
      </c>
      <c r="H2471">
        <f t="shared" si="76"/>
        <v>0</v>
      </c>
      <c r="I2471">
        <v>1</v>
      </c>
      <c r="J2471">
        <v>0</v>
      </c>
      <c r="K2471">
        <v>0</v>
      </c>
      <c r="L2471">
        <f t="shared" si="77"/>
        <v>1</v>
      </c>
    </row>
    <row r="2472" spans="1:12">
      <c r="A2472" t="s">
        <v>3899</v>
      </c>
      <c r="B2472" t="s">
        <v>1481</v>
      </c>
      <c r="C2472" t="s">
        <v>2826</v>
      </c>
      <c r="D2472" t="s">
        <v>2827</v>
      </c>
      <c r="E2472">
        <v>0</v>
      </c>
      <c r="F2472">
        <v>0</v>
      </c>
      <c r="G2472">
        <v>0</v>
      </c>
      <c r="H2472">
        <f t="shared" si="76"/>
        <v>0</v>
      </c>
      <c r="I2472">
        <v>3</v>
      </c>
      <c r="J2472">
        <v>0</v>
      </c>
      <c r="K2472">
        <v>0</v>
      </c>
      <c r="L2472">
        <f t="shared" si="77"/>
        <v>3</v>
      </c>
    </row>
    <row r="2473" spans="1:12">
      <c r="A2473" t="s">
        <v>3899</v>
      </c>
      <c r="B2473" t="s">
        <v>1481</v>
      </c>
      <c r="C2473" t="s">
        <v>2826</v>
      </c>
      <c r="D2473" t="s">
        <v>2828</v>
      </c>
      <c r="E2473">
        <v>0</v>
      </c>
      <c r="F2473">
        <v>0</v>
      </c>
      <c r="G2473">
        <v>0</v>
      </c>
      <c r="H2473">
        <f t="shared" si="76"/>
        <v>0</v>
      </c>
      <c r="I2473">
        <v>1</v>
      </c>
      <c r="J2473">
        <v>0</v>
      </c>
      <c r="K2473">
        <v>0</v>
      </c>
      <c r="L2473">
        <f t="shared" si="77"/>
        <v>1</v>
      </c>
    </row>
    <row r="2474" spans="1:12">
      <c r="A2474" t="s">
        <v>3899</v>
      </c>
      <c r="B2474" t="s">
        <v>1481</v>
      </c>
      <c r="C2474" t="s">
        <v>2826</v>
      </c>
      <c r="D2474" t="s">
        <v>2830</v>
      </c>
      <c r="E2474">
        <v>0</v>
      </c>
      <c r="F2474">
        <v>0</v>
      </c>
      <c r="G2474">
        <v>0</v>
      </c>
      <c r="H2474">
        <f t="shared" si="76"/>
        <v>0</v>
      </c>
      <c r="I2474">
        <v>1</v>
      </c>
      <c r="J2474">
        <v>0</v>
      </c>
      <c r="K2474">
        <v>0</v>
      </c>
      <c r="L2474">
        <f t="shared" si="77"/>
        <v>1</v>
      </c>
    </row>
    <row r="2475" spans="1:12">
      <c r="A2475" t="s">
        <v>3899</v>
      </c>
      <c r="B2475" t="s">
        <v>1481</v>
      </c>
      <c r="C2475" t="s">
        <v>2826</v>
      </c>
      <c r="D2475" t="s">
        <v>2864</v>
      </c>
      <c r="E2475">
        <v>0</v>
      </c>
      <c r="F2475">
        <v>0</v>
      </c>
      <c r="G2475">
        <v>0</v>
      </c>
      <c r="H2475">
        <f t="shared" si="76"/>
        <v>0</v>
      </c>
      <c r="I2475">
        <v>1</v>
      </c>
      <c r="J2475">
        <v>0</v>
      </c>
      <c r="K2475">
        <v>0</v>
      </c>
      <c r="L2475">
        <f t="shared" si="77"/>
        <v>1</v>
      </c>
    </row>
    <row r="2476" spans="1:12">
      <c r="A2476" t="s">
        <v>3899</v>
      </c>
      <c r="B2476" t="s">
        <v>1481</v>
      </c>
      <c r="C2476" t="s">
        <v>2826</v>
      </c>
      <c r="D2476" t="s">
        <v>2831</v>
      </c>
      <c r="E2476">
        <v>0</v>
      </c>
      <c r="F2476">
        <v>0</v>
      </c>
      <c r="G2476">
        <v>0</v>
      </c>
      <c r="H2476">
        <f t="shared" si="76"/>
        <v>0</v>
      </c>
      <c r="I2476">
        <v>3</v>
      </c>
      <c r="J2476">
        <v>0</v>
      </c>
      <c r="K2476">
        <v>0</v>
      </c>
      <c r="L2476">
        <f t="shared" si="77"/>
        <v>3</v>
      </c>
    </row>
    <row r="2477" spans="1:12">
      <c r="A2477" t="s">
        <v>3899</v>
      </c>
      <c r="B2477" t="s">
        <v>1481</v>
      </c>
      <c r="C2477" t="s">
        <v>2826</v>
      </c>
      <c r="D2477" t="s">
        <v>2843</v>
      </c>
      <c r="E2477">
        <v>0</v>
      </c>
      <c r="F2477">
        <v>0</v>
      </c>
      <c r="G2477">
        <v>0</v>
      </c>
      <c r="H2477">
        <f t="shared" si="76"/>
        <v>0</v>
      </c>
      <c r="I2477">
        <v>1</v>
      </c>
      <c r="J2477">
        <v>0</v>
      </c>
      <c r="K2477">
        <v>0</v>
      </c>
      <c r="L2477">
        <f t="shared" si="77"/>
        <v>1</v>
      </c>
    </row>
    <row r="2478" spans="1:12">
      <c r="A2478" t="s">
        <v>3899</v>
      </c>
      <c r="B2478" t="s">
        <v>1481</v>
      </c>
      <c r="C2478" t="s">
        <v>2826</v>
      </c>
      <c r="D2478" t="s">
        <v>2885</v>
      </c>
      <c r="E2478">
        <v>0</v>
      </c>
      <c r="F2478">
        <v>0</v>
      </c>
      <c r="G2478">
        <v>0</v>
      </c>
      <c r="H2478">
        <f t="shared" si="76"/>
        <v>0</v>
      </c>
      <c r="I2478">
        <v>6</v>
      </c>
      <c r="J2478">
        <v>0</v>
      </c>
      <c r="K2478">
        <v>0</v>
      </c>
      <c r="L2478">
        <f t="shared" si="77"/>
        <v>6</v>
      </c>
    </row>
    <row r="2479" spans="1:12">
      <c r="A2479" t="s">
        <v>3899</v>
      </c>
      <c r="B2479" t="s">
        <v>1481</v>
      </c>
      <c r="C2479" t="s">
        <v>2826</v>
      </c>
      <c r="D2479" t="s">
        <v>2834</v>
      </c>
      <c r="E2479">
        <v>0</v>
      </c>
      <c r="F2479">
        <v>0</v>
      </c>
      <c r="G2479">
        <v>0</v>
      </c>
      <c r="H2479">
        <f t="shared" si="76"/>
        <v>0</v>
      </c>
      <c r="I2479">
        <v>2</v>
      </c>
      <c r="J2479">
        <v>0</v>
      </c>
      <c r="K2479">
        <v>0</v>
      </c>
      <c r="L2479">
        <f t="shared" si="77"/>
        <v>2</v>
      </c>
    </row>
    <row r="2480" spans="1:12">
      <c r="A2480" t="s">
        <v>3899</v>
      </c>
      <c r="B2480" t="s">
        <v>1481</v>
      </c>
      <c r="C2480" t="s">
        <v>2826</v>
      </c>
      <c r="D2480" t="s">
        <v>2849</v>
      </c>
      <c r="E2480">
        <v>0</v>
      </c>
      <c r="F2480">
        <v>0</v>
      </c>
      <c r="G2480">
        <v>0</v>
      </c>
      <c r="H2480">
        <f t="shared" si="76"/>
        <v>0</v>
      </c>
      <c r="I2480">
        <v>4</v>
      </c>
      <c r="J2480">
        <v>0</v>
      </c>
      <c r="K2480">
        <v>0</v>
      </c>
      <c r="L2480">
        <f t="shared" si="77"/>
        <v>4</v>
      </c>
    </row>
    <row r="2481" spans="1:12">
      <c r="A2481" t="s">
        <v>3899</v>
      </c>
      <c r="B2481" t="s">
        <v>1481</v>
      </c>
      <c r="C2481" t="s">
        <v>2826</v>
      </c>
      <c r="D2481" t="s">
        <v>2836</v>
      </c>
      <c r="E2481">
        <v>0</v>
      </c>
      <c r="F2481">
        <v>0</v>
      </c>
      <c r="G2481">
        <v>0</v>
      </c>
      <c r="H2481">
        <f t="shared" si="76"/>
        <v>0</v>
      </c>
      <c r="I2481">
        <v>2</v>
      </c>
      <c r="J2481">
        <v>0</v>
      </c>
      <c r="K2481">
        <v>0</v>
      </c>
      <c r="L2481">
        <f t="shared" si="77"/>
        <v>2</v>
      </c>
    </row>
    <row r="2482" spans="1:12">
      <c r="A2482" t="s">
        <v>3904</v>
      </c>
      <c r="B2482" t="s">
        <v>1746</v>
      </c>
      <c r="C2482" t="s">
        <v>2810</v>
      </c>
      <c r="D2482" t="s">
        <v>2813</v>
      </c>
      <c r="E2482">
        <v>1</v>
      </c>
      <c r="F2482">
        <v>0</v>
      </c>
      <c r="G2482">
        <v>0</v>
      </c>
      <c r="H2482">
        <f t="shared" si="76"/>
        <v>1</v>
      </c>
      <c r="I2482">
        <v>0</v>
      </c>
      <c r="J2482">
        <v>0</v>
      </c>
      <c r="K2482">
        <v>0</v>
      </c>
      <c r="L2482">
        <f t="shared" si="77"/>
        <v>0</v>
      </c>
    </row>
    <row r="2483" spans="1:12">
      <c r="A2483" t="s">
        <v>3904</v>
      </c>
      <c r="B2483" t="s">
        <v>1746</v>
      </c>
      <c r="C2483" t="s">
        <v>2810</v>
      </c>
      <c r="D2483" t="s">
        <v>2847</v>
      </c>
      <c r="E2483">
        <v>2</v>
      </c>
      <c r="F2483">
        <v>0</v>
      </c>
      <c r="G2483">
        <v>0</v>
      </c>
      <c r="H2483">
        <f t="shared" si="76"/>
        <v>2</v>
      </c>
      <c r="I2483">
        <v>0</v>
      </c>
      <c r="J2483">
        <v>0</v>
      </c>
      <c r="K2483">
        <v>0</v>
      </c>
      <c r="L2483">
        <f t="shared" si="77"/>
        <v>0</v>
      </c>
    </row>
    <row r="2484" spans="1:12">
      <c r="A2484" t="s">
        <v>3907</v>
      </c>
      <c r="B2484" t="s">
        <v>1485</v>
      </c>
      <c r="C2484" t="s">
        <v>2805</v>
      </c>
      <c r="D2484" t="s">
        <v>2806</v>
      </c>
      <c r="E2484">
        <v>59</v>
      </c>
      <c r="F2484">
        <v>0</v>
      </c>
      <c r="G2484">
        <v>0</v>
      </c>
      <c r="H2484">
        <f t="shared" si="76"/>
        <v>59</v>
      </c>
      <c r="I2484">
        <v>0</v>
      </c>
      <c r="J2484">
        <v>0</v>
      </c>
      <c r="K2484">
        <v>0</v>
      </c>
      <c r="L2484">
        <f t="shared" si="77"/>
        <v>0</v>
      </c>
    </row>
    <row r="2485" spans="1:12">
      <c r="A2485" t="s">
        <v>3907</v>
      </c>
      <c r="B2485" t="s">
        <v>1485</v>
      </c>
      <c r="C2485" t="s">
        <v>2805</v>
      </c>
      <c r="D2485" t="s">
        <v>449</v>
      </c>
      <c r="E2485">
        <v>63</v>
      </c>
      <c r="F2485">
        <v>0</v>
      </c>
      <c r="G2485">
        <v>0</v>
      </c>
      <c r="H2485">
        <f t="shared" si="76"/>
        <v>63</v>
      </c>
      <c r="I2485">
        <v>1</v>
      </c>
      <c r="J2485">
        <v>0</v>
      </c>
      <c r="K2485">
        <v>0</v>
      </c>
      <c r="L2485">
        <f t="shared" si="77"/>
        <v>1</v>
      </c>
    </row>
    <row r="2486" spans="1:12">
      <c r="A2486" t="s">
        <v>3907</v>
      </c>
      <c r="B2486" t="s">
        <v>1485</v>
      </c>
      <c r="C2486" t="s">
        <v>2805</v>
      </c>
      <c r="D2486" t="s">
        <v>2807</v>
      </c>
      <c r="E2486">
        <v>5</v>
      </c>
      <c r="F2486">
        <v>0</v>
      </c>
      <c r="G2486">
        <v>0</v>
      </c>
      <c r="H2486">
        <f t="shared" si="76"/>
        <v>5</v>
      </c>
      <c r="I2486">
        <v>0</v>
      </c>
      <c r="J2486">
        <v>0</v>
      </c>
      <c r="K2486">
        <v>0</v>
      </c>
      <c r="L2486">
        <f t="shared" si="77"/>
        <v>0</v>
      </c>
    </row>
    <row r="2487" spans="1:12">
      <c r="A2487" t="s">
        <v>3907</v>
      </c>
      <c r="B2487" t="s">
        <v>1485</v>
      </c>
      <c r="C2487" t="s">
        <v>2810</v>
      </c>
      <c r="D2487" t="s">
        <v>2811</v>
      </c>
      <c r="E2487">
        <v>14</v>
      </c>
      <c r="F2487">
        <v>0</v>
      </c>
      <c r="G2487">
        <v>0</v>
      </c>
      <c r="H2487">
        <f t="shared" si="76"/>
        <v>14</v>
      </c>
      <c r="I2487">
        <v>0</v>
      </c>
      <c r="J2487">
        <v>0</v>
      </c>
      <c r="K2487">
        <v>0</v>
      </c>
      <c r="L2487">
        <f t="shared" si="77"/>
        <v>0</v>
      </c>
    </row>
    <row r="2488" spans="1:12">
      <c r="A2488" t="s">
        <v>3907</v>
      </c>
      <c r="B2488" t="s">
        <v>1485</v>
      </c>
      <c r="C2488" t="s">
        <v>2810</v>
      </c>
      <c r="D2488" t="s">
        <v>1892</v>
      </c>
      <c r="E2488">
        <v>3</v>
      </c>
      <c r="F2488">
        <v>39</v>
      </c>
      <c r="G2488">
        <v>0</v>
      </c>
      <c r="H2488">
        <f t="shared" si="76"/>
        <v>42</v>
      </c>
      <c r="I2488">
        <v>0</v>
      </c>
      <c r="J2488">
        <v>18</v>
      </c>
      <c r="K2488">
        <v>0</v>
      </c>
      <c r="L2488">
        <f t="shared" si="77"/>
        <v>18</v>
      </c>
    </row>
    <row r="2489" spans="1:12">
      <c r="A2489" t="s">
        <v>3907</v>
      </c>
      <c r="B2489" t="s">
        <v>1485</v>
      </c>
      <c r="C2489" t="s">
        <v>2810</v>
      </c>
      <c r="D2489" t="s">
        <v>2823</v>
      </c>
      <c r="E2489">
        <v>4</v>
      </c>
      <c r="F2489">
        <v>17</v>
      </c>
      <c r="G2489">
        <v>0</v>
      </c>
      <c r="H2489">
        <f t="shared" si="76"/>
        <v>21</v>
      </c>
      <c r="I2489">
        <v>0</v>
      </c>
      <c r="J2489">
        <v>0</v>
      </c>
      <c r="K2489">
        <v>0</v>
      </c>
      <c r="L2489">
        <f t="shared" si="77"/>
        <v>0</v>
      </c>
    </row>
    <row r="2490" spans="1:12">
      <c r="A2490" t="s">
        <v>3907</v>
      </c>
      <c r="B2490" t="s">
        <v>1485</v>
      </c>
      <c r="C2490" t="s">
        <v>2810</v>
      </c>
      <c r="D2490" t="s">
        <v>2812</v>
      </c>
      <c r="E2490">
        <v>80</v>
      </c>
      <c r="F2490">
        <v>0</v>
      </c>
      <c r="G2490">
        <v>0</v>
      </c>
      <c r="H2490">
        <f t="shared" si="76"/>
        <v>80</v>
      </c>
      <c r="I2490">
        <v>18</v>
      </c>
      <c r="J2490">
        <v>0</v>
      </c>
      <c r="K2490">
        <v>0</v>
      </c>
      <c r="L2490">
        <f t="shared" si="77"/>
        <v>18</v>
      </c>
    </row>
    <row r="2491" spans="1:12">
      <c r="A2491" t="s">
        <v>3907</v>
      </c>
      <c r="B2491" t="s">
        <v>1485</v>
      </c>
      <c r="C2491" t="s">
        <v>2810</v>
      </c>
      <c r="D2491" t="s">
        <v>2813</v>
      </c>
      <c r="E2491">
        <v>32</v>
      </c>
      <c r="F2491">
        <v>0</v>
      </c>
      <c r="G2491">
        <v>0</v>
      </c>
      <c r="H2491">
        <f t="shared" si="76"/>
        <v>32</v>
      </c>
      <c r="I2491">
        <v>2</v>
      </c>
      <c r="J2491">
        <v>0</v>
      </c>
      <c r="K2491">
        <v>0</v>
      </c>
      <c r="L2491">
        <f t="shared" si="77"/>
        <v>2</v>
      </c>
    </row>
    <row r="2492" spans="1:12">
      <c r="A2492" t="s">
        <v>3907</v>
      </c>
      <c r="B2492" t="s">
        <v>1485</v>
      </c>
      <c r="C2492" t="s">
        <v>2810</v>
      </c>
      <c r="D2492" t="s">
        <v>2847</v>
      </c>
      <c r="E2492">
        <v>20</v>
      </c>
      <c r="F2492">
        <v>0</v>
      </c>
      <c r="G2492">
        <v>0</v>
      </c>
      <c r="H2492">
        <f t="shared" si="76"/>
        <v>20</v>
      </c>
      <c r="I2492">
        <v>0</v>
      </c>
      <c r="J2492">
        <v>0</v>
      </c>
      <c r="K2492">
        <v>0</v>
      </c>
      <c r="L2492">
        <f t="shared" si="77"/>
        <v>0</v>
      </c>
    </row>
    <row r="2493" spans="1:12">
      <c r="A2493" t="s">
        <v>3907</v>
      </c>
      <c r="B2493" t="s">
        <v>1485</v>
      </c>
      <c r="C2493" t="s">
        <v>2816</v>
      </c>
      <c r="D2493" t="s">
        <v>1897</v>
      </c>
      <c r="E2493">
        <v>3</v>
      </c>
      <c r="F2493">
        <v>0</v>
      </c>
      <c r="G2493">
        <v>0</v>
      </c>
      <c r="H2493">
        <f t="shared" si="76"/>
        <v>3</v>
      </c>
      <c r="I2493">
        <v>0</v>
      </c>
      <c r="J2493">
        <v>0</v>
      </c>
      <c r="K2493">
        <v>0</v>
      </c>
      <c r="L2493">
        <f t="shared" si="77"/>
        <v>0</v>
      </c>
    </row>
    <row r="2494" spans="1:12">
      <c r="A2494" t="s">
        <v>3907</v>
      </c>
      <c r="B2494" t="s">
        <v>1485</v>
      </c>
      <c r="C2494" t="s">
        <v>2817</v>
      </c>
      <c r="D2494" t="s">
        <v>2818</v>
      </c>
      <c r="E2494">
        <v>3</v>
      </c>
      <c r="F2494">
        <v>0</v>
      </c>
      <c r="G2494">
        <v>0</v>
      </c>
      <c r="H2494">
        <f t="shared" si="76"/>
        <v>3</v>
      </c>
      <c r="I2494">
        <v>0</v>
      </c>
      <c r="J2494">
        <v>0</v>
      </c>
      <c r="K2494">
        <v>0</v>
      </c>
      <c r="L2494">
        <f t="shared" si="77"/>
        <v>0</v>
      </c>
    </row>
    <row r="2495" spans="1:12">
      <c r="A2495" t="s">
        <v>3907</v>
      </c>
      <c r="B2495" t="s">
        <v>1485</v>
      </c>
      <c r="C2495" t="s">
        <v>2817</v>
      </c>
      <c r="D2495" t="s">
        <v>2837</v>
      </c>
      <c r="E2495">
        <v>2</v>
      </c>
      <c r="F2495">
        <v>0</v>
      </c>
      <c r="G2495">
        <v>0</v>
      </c>
      <c r="H2495">
        <f t="shared" si="76"/>
        <v>2</v>
      </c>
      <c r="I2495">
        <v>0</v>
      </c>
      <c r="J2495">
        <v>0</v>
      </c>
      <c r="K2495">
        <v>0</v>
      </c>
      <c r="L2495">
        <f t="shared" si="77"/>
        <v>0</v>
      </c>
    </row>
    <row r="2496" spans="1:12">
      <c r="A2496" t="s">
        <v>3910</v>
      </c>
      <c r="B2496" t="s">
        <v>1489</v>
      </c>
      <c r="C2496" t="s">
        <v>2826</v>
      </c>
      <c r="D2496" t="s">
        <v>2871</v>
      </c>
      <c r="E2496">
        <v>0</v>
      </c>
      <c r="F2496">
        <v>0</v>
      </c>
      <c r="G2496">
        <v>0</v>
      </c>
      <c r="H2496">
        <f t="shared" si="76"/>
        <v>0</v>
      </c>
      <c r="I2496">
        <v>1</v>
      </c>
      <c r="J2496">
        <v>0</v>
      </c>
      <c r="K2496">
        <v>0</v>
      </c>
      <c r="L2496">
        <f t="shared" si="77"/>
        <v>1</v>
      </c>
    </row>
    <row r="2497" spans="1:12">
      <c r="A2497" t="s">
        <v>3910</v>
      </c>
      <c r="B2497" t="s">
        <v>1489</v>
      </c>
      <c r="C2497" t="s">
        <v>2826</v>
      </c>
      <c r="D2497" t="s">
        <v>2827</v>
      </c>
      <c r="E2497">
        <v>0</v>
      </c>
      <c r="F2497">
        <v>0</v>
      </c>
      <c r="G2497">
        <v>0</v>
      </c>
      <c r="H2497">
        <f t="shared" si="76"/>
        <v>0</v>
      </c>
      <c r="I2497">
        <v>1</v>
      </c>
      <c r="J2497">
        <v>0</v>
      </c>
      <c r="K2497">
        <v>0</v>
      </c>
      <c r="L2497">
        <f t="shared" si="77"/>
        <v>1</v>
      </c>
    </row>
    <row r="2498" spans="1:12">
      <c r="A2498" t="s">
        <v>3910</v>
      </c>
      <c r="B2498" t="s">
        <v>1489</v>
      </c>
      <c r="C2498" t="s">
        <v>2826</v>
      </c>
      <c r="D2498" t="s">
        <v>2843</v>
      </c>
      <c r="E2498">
        <v>0</v>
      </c>
      <c r="F2498">
        <v>0</v>
      </c>
      <c r="G2498">
        <v>0</v>
      </c>
      <c r="H2498">
        <f t="shared" si="76"/>
        <v>0</v>
      </c>
      <c r="I2498">
        <v>1</v>
      </c>
      <c r="J2498">
        <v>0</v>
      </c>
      <c r="K2498">
        <v>0</v>
      </c>
      <c r="L2498">
        <f t="shared" si="77"/>
        <v>1</v>
      </c>
    </row>
    <row r="2499" spans="1:12">
      <c r="A2499" t="s">
        <v>3910</v>
      </c>
      <c r="B2499" t="s">
        <v>1489</v>
      </c>
      <c r="C2499" t="s">
        <v>2826</v>
      </c>
      <c r="D2499" t="s">
        <v>2885</v>
      </c>
      <c r="E2499">
        <v>0</v>
      </c>
      <c r="F2499">
        <v>0</v>
      </c>
      <c r="G2499">
        <v>0</v>
      </c>
      <c r="H2499">
        <f t="shared" si="76"/>
        <v>0</v>
      </c>
      <c r="I2499">
        <v>1</v>
      </c>
      <c r="J2499">
        <v>0</v>
      </c>
      <c r="K2499">
        <v>0</v>
      </c>
      <c r="L2499">
        <f t="shared" si="77"/>
        <v>1</v>
      </c>
    </row>
    <row r="2500" spans="1:12">
      <c r="A2500" t="s">
        <v>3910</v>
      </c>
      <c r="B2500" t="s">
        <v>1489</v>
      </c>
      <c r="C2500" t="s">
        <v>2826</v>
      </c>
      <c r="D2500" t="s">
        <v>2834</v>
      </c>
      <c r="E2500">
        <v>0</v>
      </c>
      <c r="F2500">
        <v>0</v>
      </c>
      <c r="G2500">
        <v>0</v>
      </c>
      <c r="H2500">
        <f t="shared" ref="H2500:H2563" si="78">SUM(E2500:G2500)</f>
        <v>0</v>
      </c>
      <c r="I2500">
        <v>1</v>
      </c>
      <c r="J2500">
        <v>0</v>
      </c>
      <c r="K2500">
        <v>0</v>
      </c>
      <c r="L2500">
        <f t="shared" ref="L2500:L2563" si="79">SUM(I2500:K2500)</f>
        <v>1</v>
      </c>
    </row>
    <row r="2501" spans="1:12">
      <c r="A2501" t="s">
        <v>3910</v>
      </c>
      <c r="B2501" t="s">
        <v>1489</v>
      </c>
      <c r="C2501" t="s">
        <v>2826</v>
      </c>
      <c r="D2501" t="s">
        <v>2849</v>
      </c>
      <c r="E2501">
        <v>0</v>
      </c>
      <c r="F2501">
        <v>0</v>
      </c>
      <c r="G2501">
        <v>0</v>
      </c>
      <c r="H2501">
        <f t="shared" si="78"/>
        <v>0</v>
      </c>
      <c r="I2501">
        <v>2</v>
      </c>
      <c r="J2501">
        <v>0</v>
      </c>
      <c r="K2501">
        <v>0</v>
      </c>
      <c r="L2501">
        <f t="shared" si="79"/>
        <v>2</v>
      </c>
    </row>
    <row r="2502" spans="1:12">
      <c r="A2502" t="s">
        <v>3913</v>
      </c>
      <c r="B2502" t="s">
        <v>1490</v>
      </c>
      <c r="C2502" t="s">
        <v>2805</v>
      </c>
      <c r="D2502" t="s">
        <v>2806</v>
      </c>
      <c r="E2502">
        <v>30</v>
      </c>
      <c r="F2502">
        <v>0</v>
      </c>
      <c r="G2502">
        <v>0</v>
      </c>
      <c r="H2502">
        <f t="shared" si="78"/>
        <v>30</v>
      </c>
      <c r="I2502">
        <v>0</v>
      </c>
      <c r="J2502">
        <v>0</v>
      </c>
      <c r="K2502">
        <v>0</v>
      </c>
      <c r="L2502">
        <f t="shared" si="79"/>
        <v>0</v>
      </c>
    </row>
    <row r="2503" spans="1:12">
      <c r="A2503" t="s">
        <v>3913</v>
      </c>
      <c r="B2503" t="s">
        <v>1490</v>
      </c>
      <c r="C2503" t="s">
        <v>2805</v>
      </c>
      <c r="D2503" t="s">
        <v>449</v>
      </c>
      <c r="E2503">
        <v>56</v>
      </c>
      <c r="F2503">
        <v>0</v>
      </c>
      <c r="G2503">
        <v>0</v>
      </c>
      <c r="H2503">
        <f t="shared" si="78"/>
        <v>56</v>
      </c>
      <c r="I2503">
        <v>0</v>
      </c>
      <c r="J2503">
        <v>0</v>
      </c>
      <c r="K2503">
        <v>0</v>
      </c>
      <c r="L2503">
        <f t="shared" si="79"/>
        <v>0</v>
      </c>
    </row>
    <row r="2504" spans="1:12">
      <c r="A2504" t="s">
        <v>3913</v>
      </c>
      <c r="B2504" t="s">
        <v>1490</v>
      </c>
      <c r="C2504" t="s">
        <v>2805</v>
      </c>
      <c r="D2504" t="s">
        <v>2807</v>
      </c>
      <c r="E2504">
        <v>14</v>
      </c>
      <c r="F2504">
        <v>0</v>
      </c>
      <c r="G2504">
        <v>0</v>
      </c>
      <c r="H2504">
        <f t="shared" si="78"/>
        <v>14</v>
      </c>
      <c r="I2504">
        <v>0</v>
      </c>
      <c r="J2504">
        <v>0</v>
      </c>
      <c r="K2504">
        <v>0</v>
      </c>
      <c r="L2504">
        <f t="shared" si="79"/>
        <v>0</v>
      </c>
    </row>
    <row r="2505" spans="1:12">
      <c r="A2505" t="s">
        <v>3913</v>
      </c>
      <c r="B2505" t="s">
        <v>1490</v>
      </c>
      <c r="C2505" t="s">
        <v>2810</v>
      </c>
      <c r="D2505" t="s">
        <v>2813</v>
      </c>
      <c r="E2505">
        <v>5</v>
      </c>
      <c r="F2505">
        <v>0</v>
      </c>
      <c r="G2505">
        <v>0</v>
      </c>
      <c r="H2505">
        <f t="shared" si="78"/>
        <v>5</v>
      </c>
      <c r="I2505">
        <v>0</v>
      </c>
      <c r="J2505">
        <v>0</v>
      </c>
      <c r="K2505">
        <v>0</v>
      </c>
      <c r="L2505">
        <f t="shared" si="79"/>
        <v>0</v>
      </c>
    </row>
    <row r="2506" spans="1:12">
      <c r="A2506" t="s">
        <v>3913</v>
      </c>
      <c r="B2506" t="s">
        <v>1490</v>
      </c>
      <c r="C2506" t="s">
        <v>2810</v>
      </c>
      <c r="D2506" t="s">
        <v>2814</v>
      </c>
      <c r="E2506">
        <v>2</v>
      </c>
      <c r="F2506">
        <v>0</v>
      </c>
      <c r="G2506">
        <v>0</v>
      </c>
      <c r="H2506">
        <f t="shared" si="78"/>
        <v>2</v>
      </c>
      <c r="I2506">
        <v>0</v>
      </c>
      <c r="J2506">
        <v>0</v>
      </c>
      <c r="K2506">
        <v>0</v>
      </c>
      <c r="L2506">
        <f t="shared" si="79"/>
        <v>0</v>
      </c>
    </row>
    <row r="2507" spans="1:12">
      <c r="A2507" t="s">
        <v>3913</v>
      </c>
      <c r="B2507" t="s">
        <v>1490</v>
      </c>
      <c r="C2507" t="s">
        <v>2826</v>
      </c>
      <c r="D2507" t="s">
        <v>2858</v>
      </c>
      <c r="E2507">
        <v>2</v>
      </c>
      <c r="F2507">
        <v>0</v>
      </c>
      <c r="G2507">
        <v>0</v>
      </c>
      <c r="H2507">
        <f t="shared" si="78"/>
        <v>2</v>
      </c>
      <c r="I2507">
        <v>0</v>
      </c>
      <c r="J2507">
        <v>0</v>
      </c>
      <c r="K2507">
        <v>0</v>
      </c>
      <c r="L2507">
        <f t="shared" si="79"/>
        <v>0</v>
      </c>
    </row>
    <row r="2508" spans="1:12">
      <c r="A2508" t="s">
        <v>3913</v>
      </c>
      <c r="B2508" t="s">
        <v>1490</v>
      </c>
      <c r="C2508" t="s">
        <v>2826</v>
      </c>
      <c r="D2508" t="s">
        <v>2843</v>
      </c>
      <c r="E2508">
        <v>2</v>
      </c>
      <c r="F2508">
        <v>0</v>
      </c>
      <c r="G2508">
        <v>0</v>
      </c>
      <c r="H2508">
        <f t="shared" si="78"/>
        <v>2</v>
      </c>
      <c r="I2508">
        <v>0</v>
      </c>
      <c r="J2508">
        <v>0</v>
      </c>
      <c r="K2508">
        <v>0</v>
      </c>
      <c r="L2508">
        <f t="shared" si="79"/>
        <v>0</v>
      </c>
    </row>
    <row r="2509" spans="1:12">
      <c r="A2509" t="s">
        <v>3913</v>
      </c>
      <c r="B2509" t="s">
        <v>1490</v>
      </c>
      <c r="C2509" t="s">
        <v>2817</v>
      </c>
      <c r="D2509" t="s">
        <v>2837</v>
      </c>
      <c r="E2509">
        <v>2</v>
      </c>
      <c r="F2509">
        <v>0</v>
      </c>
      <c r="G2509">
        <v>0</v>
      </c>
      <c r="H2509">
        <f t="shared" si="78"/>
        <v>2</v>
      </c>
      <c r="I2509">
        <v>1</v>
      </c>
      <c r="J2509">
        <v>0</v>
      </c>
      <c r="K2509">
        <v>0</v>
      </c>
      <c r="L2509">
        <f t="shared" si="79"/>
        <v>1</v>
      </c>
    </row>
    <row r="2510" spans="1:12">
      <c r="A2510" t="s">
        <v>3913</v>
      </c>
      <c r="B2510" t="s">
        <v>1490</v>
      </c>
      <c r="C2510" t="s">
        <v>2820</v>
      </c>
      <c r="D2510" t="s">
        <v>2821</v>
      </c>
      <c r="E2510">
        <v>1</v>
      </c>
      <c r="F2510">
        <v>0</v>
      </c>
      <c r="G2510">
        <v>0</v>
      </c>
      <c r="H2510">
        <f t="shared" si="78"/>
        <v>1</v>
      </c>
      <c r="I2510">
        <v>0</v>
      </c>
      <c r="J2510">
        <v>0</v>
      </c>
      <c r="K2510">
        <v>0</v>
      </c>
      <c r="L2510">
        <f t="shared" si="79"/>
        <v>0</v>
      </c>
    </row>
    <row r="2511" spans="1:12">
      <c r="A2511" t="s">
        <v>3914</v>
      </c>
      <c r="B2511" t="s">
        <v>1494</v>
      </c>
      <c r="C2511" t="s">
        <v>2805</v>
      </c>
      <c r="D2511" t="s">
        <v>449</v>
      </c>
      <c r="E2511">
        <v>19</v>
      </c>
      <c r="F2511">
        <v>0</v>
      </c>
      <c r="G2511">
        <v>0</v>
      </c>
      <c r="H2511">
        <f t="shared" si="78"/>
        <v>19</v>
      </c>
      <c r="I2511">
        <v>0</v>
      </c>
      <c r="J2511">
        <v>0</v>
      </c>
      <c r="K2511">
        <v>0</v>
      </c>
      <c r="L2511">
        <f t="shared" si="79"/>
        <v>0</v>
      </c>
    </row>
    <row r="2512" spans="1:12">
      <c r="A2512" t="s">
        <v>3914</v>
      </c>
      <c r="B2512" t="s">
        <v>1494</v>
      </c>
      <c r="C2512" t="s">
        <v>2805</v>
      </c>
      <c r="D2512" t="s">
        <v>2807</v>
      </c>
      <c r="E2512">
        <v>15</v>
      </c>
      <c r="F2512">
        <v>0</v>
      </c>
      <c r="G2512">
        <v>0</v>
      </c>
      <c r="H2512">
        <f t="shared" si="78"/>
        <v>15</v>
      </c>
      <c r="I2512">
        <v>0</v>
      </c>
      <c r="J2512">
        <v>0</v>
      </c>
      <c r="K2512">
        <v>0</v>
      </c>
      <c r="L2512">
        <f t="shared" si="79"/>
        <v>0</v>
      </c>
    </row>
    <row r="2513" spans="1:12">
      <c r="A2513" t="s">
        <v>3914</v>
      </c>
      <c r="B2513" t="s">
        <v>1494</v>
      </c>
      <c r="C2513" t="s">
        <v>2810</v>
      </c>
      <c r="D2513" t="s">
        <v>2811</v>
      </c>
      <c r="E2513">
        <v>15</v>
      </c>
      <c r="F2513">
        <v>0</v>
      </c>
      <c r="G2513">
        <v>0</v>
      </c>
      <c r="H2513">
        <f t="shared" si="78"/>
        <v>15</v>
      </c>
      <c r="I2513">
        <v>0</v>
      </c>
      <c r="J2513">
        <v>0</v>
      </c>
      <c r="K2513">
        <v>0</v>
      </c>
      <c r="L2513">
        <f t="shared" si="79"/>
        <v>0</v>
      </c>
    </row>
    <row r="2514" spans="1:12">
      <c r="A2514" t="s">
        <v>3914</v>
      </c>
      <c r="B2514" t="s">
        <v>1494</v>
      </c>
      <c r="C2514" t="s">
        <v>2810</v>
      </c>
      <c r="D2514" t="s">
        <v>2812</v>
      </c>
      <c r="E2514">
        <v>2</v>
      </c>
      <c r="F2514">
        <v>0</v>
      </c>
      <c r="G2514">
        <v>0</v>
      </c>
      <c r="H2514">
        <f t="shared" si="78"/>
        <v>2</v>
      </c>
      <c r="I2514">
        <v>0</v>
      </c>
      <c r="J2514">
        <v>0</v>
      </c>
      <c r="K2514">
        <v>0</v>
      </c>
      <c r="L2514">
        <f t="shared" si="79"/>
        <v>0</v>
      </c>
    </row>
    <row r="2515" spans="1:12">
      <c r="A2515" t="s">
        <v>3914</v>
      </c>
      <c r="B2515" t="s">
        <v>1494</v>
      </c>
      <c r="C2515" t="s">
        <v>2810</v>
      </c>
      <c r="D2515" t="s">
        <v>2813</v>
      </c>
      <c r="E2515">
        <v>2</v>
      </c>
      <c r="F2515">
        <v>0</v>
      </c>
      <c r="G2515">
        <v>0</v>
      </c>
      <c r="H2515">
        <f t="shared" si="78"/>
        <v>2</v>
      </c>
      <c r="I2515">
        <v>0</v>
      </c>
      <c r="J2515">
        <v>0</v>
      </c>
      <c r="K2515">
        <v>0</v>
      </c>
      <c r="L2515">
        <f t="shared" si="79"/>
        <v>0</v>
      </c>
    </row>
    <row r="2516" spans="1:12">
      <c r="A2516" t="s">
        <v>3914</v>
      </c>
      <c r="B2516" t="s">
        <v>1494</v>
      </c>
      <c r="C2516" t="s">
        <v>2810</v>
      </c>
      <c r="D2516" t="s">
        <v>2814</v>
      </c>
      <c r="E2516">
        <v>5</v>
      </c>
      <c r="F2516">
        <v>0</v>
      </c>
      <c r="G2516">
        <v>0</v>
      </c>
      <c r="H2516">
        <f t="shared" si="78"/>
        <v>5</v>
      </c>
      <c r="I2516">
        <v>0</v>
      </c>
      <c r="J2516">
        <v>0</v>
      </c>
      <c r="K2516">
        <v>0</v>
      </c>
      <c r="L2516">
        <f t="shared" si="79"/>
        <v>0</v>
      </c>
    </row>
    <row r="2517" spans="1:12">
      <c r="A2517" t="s">
        <v>3914</v>
      </c>
      <c r="B2517" t="s">
        <v>1494</v>
      </c>
      <c r="C2517" t="s">
        <v>2816</v>
      </c>
      <c r="D2517" t="s">
        <v>1896</v>
      </c>
      <c r="E2517">
        <v>1</v>
      </c>
      <c r="F2517">
        <v>0</v>
      </c>
      <c r="G2517">
        <v>0</v>
      </c>
      <c r="H2517">
        <f t="shared" si="78"/>
        <v>1</v>
      </c>
      <c r="I2517">
        <v>0</v>
      </c>
      <c r="J2517">
        <v>0</v>
      </c>
      <c r="K2517">
        <v>0</v>
      </c>
      <c r="L2517">
        <f t="shared" si="79"/>
        <v>0</v>
      </c>
    </row>
    <row r="2518" spans="1:12">
      <c r="A2518" t="s">
        <v>3914</v>
      </c>
      <c r="B2518" t="s">
        <v>1494</v>
      </c>
      <c r="C2518" t="s">
        <v>2817</v>
      </c>
      <c r="D2518" t="s">
        <v>2818</v>
      </c>
      <c r="E2518">
        <v>2</v>
      </c>
      <c r="F2518">
        <v>0</v>
      </c>
      <c r="G2518">
        <v>0</v>
      </c>
      <c r="H2518">
        <f t="shared" si="78"/>
        <v>2</v>
      </c>
      <c r="I2518">
        <v>0</v>
      </c>
      <c r="J2518">
        <v>0</v>
      </c>
      <c r="K2518">
        <v>0</v>
      </c>
      <c r="L2518">
        <f t="shared" si="79"/>
        <v>0</v>
      </c>
    </row>
    <row r="2519" spans="1:12">
      <c r="A2519" t="s">
        <v>3914</v>
      </c>
      <c r="B2519" t="s">
        <v>1494</v>
      </c>
      <c r="C2519" t="s">
        <v>2817</v>
      </c>
      <c r="D2519" t="s">
        <v>2837</v>
      </c>
      <c r="E2519">
        <v>2</v>
      </c>
      <c r="F2519">
        <v>0</v>
      </c>
      <c r="G2519">
        <v>0</v>
      </c>
      <c r="H2519">
        <f t="shared" si="78"/>
        <v>2</v>
      </c>
      <c r="I2519">
        <v>0</v>
      </c>
      <c r="J2519">
        <v>0</v>
      </c>
      <c r="K2519">
        <v>0</v>
      </c>
      <c r="L2519">
        <f t="shared" si="79"/>
        <v>0</v>
      </c>
    </row>
    <row r="2520" spans="1:12">
      <c r="A2520" t="s">
        <v>3915</v>
      </c>
      <c r="B2520" t="s">
        <v>1499</v>
      </c>
      <c r="C2520" t="s">
        <v>2805</v>
      </c>
      <c r="D2520" t="s">
        <v>2806</v>
      </c>
      <c r="E2520">
        <v>96</v>
      </c>
      <c r="F2520">
        <v>0</v>
      </c>
      <c r="G2520">
        <v>0</v>
      </c>
      <c r="H2520">
        <f t="shared" si="78"/>
        <v>96</v>
      </c>
      <c r="I2520">
        <v>0</v>
      </c>
      <c r="J2520">
        <v>0</v>
      </c>
      <c r="K2520">
        <v>0</v>
      </c>
      <c r="L2520">
        <f t="shared" si="79"/>
        <v>0</v>
      </c>
    </row>
    <row r="2521" spans="1:12">
      <c r="A2521" t="s">
        <v>3915</v>
      </c>
      <c r="B2521" t="s">
        <v>1499</v>
      </c>
      <c r="C2521" t="s">
        <v>2805</v>
      </c>
      <c r="D2521" t="s">
        <v>449</v>
      </c>
      <c r="E2521">
        <v>139</v>
      </c>
      <c r="F2521">
        <v>0</v>
      </c>
      <c r="G2521">
        <v>0</v>
      </c>
      <c r="H2521">
        <f t="shared" si="78"/>
        <v>139</v>
      </c>
      <c r="I2521">
        <v>0</v>
      </c>
      <c r="J2521">
        <v>0</v>
      </c>
      <c r="K2521">
        <v>0</v>
      </c>
      <c r="L2521">
        <f t="shared" si="79"/>
        <v>0</v>
      </c>
    </row>
    <row r="2522" spans="1:12">
      <c r="A2522" t="s">
        <v>3915</v>
      </c>
      <c r="B2522" t="s">
        <v>1499</v>
      </c>
      <c r="C2522" t="s">
        <v>2805</v>
      </c>
      <c r="D2522" t="s">
        <v>2807</v>
      </c>
      <c r="E2522">
        <v>2</v>
      </c>
      <c r="F2522">
        <v>0</v>
      </c>
      <c r="G2522">
        <v>0</v>
      </c>
      <c r="H2522">
        <f t="shared" si="78"/>
        <v>2</v>
      </c>
      <c r="I2522">
        <v>0</v>
      </c>
      <c r="J2522">
        <v>0</v>
      </c>
      <c r="K2522">
        <v>0</v>
      </c>
      <c r="L2522">
        <f t="shared" si="79"/>
        <v>0</v>
      </c>
    </row>
    <row r="2523" spans="1:12">
      <c r="A2523" t="s">
        <v>3915</v>
      </c>
      <c r="B2523" t="s">
        <v>1499</v>
      </c>
      <c r="C2523" t="s">
        <v>2805</v>
      </c>
      <c r="D2523" t="s">
        <v>2937</v>
      </c>
      <c r="E2523">
        <v>1</v>
      </c>
      <c r="F2523">
        <v>0</v>
      </c>
      <c r="G2523">
        <v>0</v>
      </c>
      <c r="H2523">
        <f t="shared" si="78"/>
        <v>1</v>
      </c>
      <c r="I2523">
        <v>0</v>
      </c>
      <c r="J2523">
        <v>0</v>
      </c>
      <c r="K2523">
        <v>0</v>
      </c>
      <c r="L2523">
        <f t="shared" si="79"/>
        <v>0</v>
      </c>
    </row>
    <row r="2524" spans="1:12">
      <c r="A2524" t="s">
        <v>3915</v>
      </c>
      <c r="B2524" t="s">
        <v>1499</v>
      </c>
      <c r="C2524" t="s">
        <v>2810</v>
      </c>
      <c r="D2524" t="s">
        <v>2811</v>
      </c>
      <c r="E2524">
        <v>6</v>
      </c>
      <c r="F2524">
        <v>0</v>
      </c>
      <c r="G2524">
        <v>0</v>
      </c>
      <c r="H2524">
        <f t="shared" si="78"/>
        <v>6</v>
      </c>
      <c r="I2524">
        <v>0</v>
      </c>
      <c r="J2524">
        <v>0</v>
      </c>
      <c r="K2524">
        <v>0</v>
      </c>
      <c r="L2524">
        <f t="shared" si="79"/>
        <v>0</v>
      </c>
    </row>
    <row r="2525" spans="1:12">
      <c r="A2525" t="s">
        <v>3915</v>
      </c>
      <c r="B2525" t="s">
        <v>1499</v>
      </c>
      <c r="C2525" t="s">
        <v>2810</v>
      </c>
      <c r="D2525" t="s">
        <v>2812</v>
      </c>
      <c r="E2525">
        <v>82</v>
      </c>
      <c r="F2525">
        <v>0</v>
      </c>
      <c r="G2525">
        <v>0</v>
      </c>
      <c r="H2525">
        <f t="shared" si="78"/>
        <v>82</v>
      </c>
      <c r="I2525">
        <v>0</v>
      </c>
      <c r="J2525">
        <v>0</v>
      </c>
      <c r="K2525">
        <v>0</v>
      </c>
      <c r="L2525">
        <f t="shared" si="79"/>
        <v>0</v>
      </c>
    </row>
    <row r="2526" spans="1:12">
      <c r="A2526" t="s">
        <v>3915</v>
      </c>
      <c r="B2526" t="s">
        <v>1499</v>
      </c>
      <c r="C2526" t="s">
        <v>2810</v>
      </c>
      <c r="D2526" t="s">
        <v>2813</v>
      </c>
      <c r="E2526">
        <v>7</v>
      </c>
      <c r="F2526">
        <v>0</v>
      </c>
      <c r="G2526">
        <v>0</v>
      </c>
      <c r="H2526">
        <f t="shared" si="78"/>
        <v>7</v>
      </c>
      <c r="I2526">
        <v>0</v>
      </c>
      <c r="J2526">
        <v>0</v>
      </c>
      <c r="K2526">
        <v>0</v>
      </c>
      <c r="L2526">
        <f t="shared" si="79"/>
        <v>0</v>
      </c>
    </row>
    <row r="2527" spans="1:12">
      <c r="A2527" t="s">
        <v>3915</v>
      </c>
      <c r="B2527" t="s">
        <v>1499</v>
      </c>
      <c r="C2527" t="s">
        <v>2810</v>
      </c>
      <c r="D2527" t="s">
        <v>2847</v>
      </c>
      <c r="E2527">
        <v>125</v>
      </c>
      <c r="F2527">
        <v>0</v>
      </c>
      <c r="G2527">
        <v>0</v>
      </c>
      <c r="H2527">
        <f t="shared" si="78"/>
        <v>125</v>
      </c>
      <c r="I2527">
        <v>0</v>
      </c>
      <c r="J2527">
        <v>0</v>
      </c>
      <c r="K2527">
        <v>0</v>
      </c>
      <c r="L2527">
        <f t="shared" si="79"/>
        <v>0</v>
      </c>
    </row>
    <row r="2528" spans="1:12">
      <c r="A2528" t="s">
        <v>3915</v>
      </c>
      <c r="B2528" t="s">
        <v>1499</v>
      </c>
      <c r="C2528" t="s">
        <v>2810</v>
      </c>
      <c r="D2528" t="s">
        <v>2840</v>
      </c>
      <c r="E2528">
        <v>13</v>
      </c>
      <c r="F2528">
        <v>0</v>
      </c>
      <c r="G2528">
        <v>0</v>
      </c>
      <c r="H2528">
        <f t="shared" si="78"/>
        <v>13</v>
      </c>
      <c r="I2528">
        <v>0</v>
      </c>
      <c r="J2528">
        <v>0</v>
      </c>
      <c r="K2528">
        <v>0</v>
      </c>
      <c r="L2528">
        <f t="shared" si="79"/>
        <v>0</v>
      </c>
    </row>
    <row r="2529" spans="1:12">
      <c r="A2529" t="s">
        <v>3915</v>
      </c>
      <c r="B2529" t="s">
        <v>1499</v>
      </c>
      <c r="C2529" t="s">
        <v>2816</v>
      </c>
      <c r="D2529" t="s">
        <v>1896</v>
      </c>
      <c r="E2529">
        <v>22</v>
      </c>
      <c r="F2529">
        <v>0</v>
      </c>
      <c r="G2529">
        <v>0</v>
      </c>
      <c r="H2529">
        <f t="shared" si="78"/>
        <v>22</v>
      </c>
      <c r="I2529">
        <v>0</v>
      </c>
      <c r="J2529">
        <v>0</v>
      </c>
      <c r="K2529">
        <v>0</v>
      </c>
      <c r="L2529">
        <f t="shared" si="79"/>
        <v>0</v>
      </c>
    </row>
    <row r="2530" spans="1:12">
      <c r="A2530" t="s">
        <v>3915</v>
      </c>
      <c r="B2530" t="s">
        <v>1499</v>
      </c>
      <c r="C2530" t="s">
        <v>2816</v>
      </c>
      <c r="D2530" t="s">
        <v>1897</v>
      </c>
      <c r="E2530">
        <v>28</v>
      </c>
      <c r="F2530">
        <v>0</v>
      </c>
      <c r="G2530">
        <v>0</v>
      </c>
      <c r="H2530">
        <f t="shared" si="78"/>
        <v>28</v>
      </c>
      <c r="I2530">
        <v>0</v>
      </c>
      <c r="J2530">
        <v>0</v>
      </c>
      <c r="K2530">
        <v>0</v>
      </c>
      <c r="L2530">
        <f t="shared" si="79"/>
        <v>0</v>
      </c>
    </row>
    <row r="2531" spans="1:12">
      <c r="A2531" t="s">
        <v>3915</v>
      </c>
      <c r="B2531" t="s">
        <v>1499</v>
      </c>
      <c r="C2531" t="s">
        <v>2817</v>
      </c>
      <c r="D2531" t="s">
        <v>2837</v>
      </c>
      <c r="E2531">
        <v>3</v>
      </c>
      <c r="F2531">
        <v>0</v>
      </c>
      <c r="G2531">
        <v>0</v>
      </c>
      <c r="H2531">
        <f t="shared" si="78"/>
        <v>3</v>
      </c>
      <c r="I2531">
        <v>0</v>
      </c>
      <c r="J2531">
        <v>0</v>
      </c>
      <c r="K2531">
        <v>0</v>
      </c>
      <c r="L2531">
        <f t="shared" si="79"/>
        <v>0</v>
      </c>
    </row>
    <row r="2532" spans="1:12">
      <c r="A2532" t="s">
        <v>3916</v>
      </c>
      <c r="B2532" t="s">
        <v>1496</v>
      </c>
      <c r="C2532" t="s">
        <v>2805</v>
      </c>
      <c r="D2532" t="s">
        <v>2806</v>
      </c>
      <c r="E2532">
        <v>66</v>
      </c>
      <c r="F2532">
        <v>0</v>
      </c>
      <c r="G2532">
        <v>0</v>
      </c>
      <c r="H2532">
        <f t="shared" si="78"/>
        <v>66</v>
      </c>
      <c r="I2532">
        <v>0</v>
      </c>
      <c r="J2532">
        <v>0</v>
      </c>
      <c r="K2532">
        <v>0</v>
      </c>
      <c r="L2532">
        <f t="shared" si="79"/>
        <v>0</v>
      </c>
    </row>
    <row r="2533" spans="1:12">
      <c r="A2533" t="s">
        <v>3916</v>
      </c>
      <c r="B2533" t="s">
        <v>1496</v>
      </c>
      <c r="C2533" t="s">
        <v>2805</v>
      </c>
      <c r="D2533" t="s">
        <v>449</v>
      </c>
      <c r="E2533">
        <v>65</v>
      </c>
      <c r="F2533">
        <v>0</v>
      </c>
      <c r="G2533">
        <v>0</v>
      </c>
      <c r="H2533">
        <f t="shared" si="78"/>
        <v>65</v>
      </c>
      <c r="I2533">
        <v>19</v>
      </c>
      <c r="J2533">
        <v>0</v>
      </c>
      <c r="K2533">
        <v>0</v>
      </c>
      <c r="L2533">
        <f t="shared" si="79"/>
        <v>19</v>
      </c>
    </row>
    <row r="2534" spans="1:12">
      <c r="A2534" t="s">
        <v>3916</v>
      </c>
      <c r="B2534" t="s">
        <v>1496</v>
      </c>
      <c r="C2534" t="s">
        <v>2805</v>
      </c>
      <c r="D2534" t="s">
        <v>2807</v>
      </c>
      <c r="E2534">
        <v>5</v>
      </c>
      <c r="F2534">
        <v>0</v>
      </c>
      <c r="G2534">
        <v>0</v>
      </c>
      <c r="H2534">
        <f t="shared" si="78"/>
        <v>5</v>
      </c>
      <c r="I2534">
        <v>0</v>
      </c>
      <c r="J2534">
        <v>0</v>
      </c>
      <c r="K2534">
        <v>0</v>
      </c>
      <c r="L2534">
        <f t="shared" si="79"/>
        <v>0</v>
      </c>
    </row>
    <row r="2535" spans="1:12">
      <c r="A2535" t="s">
        <v>3916</v>
      </c>
      <c r="B2535" t="s">
        <v>1496</v>
      </c>
      <c r="C2535" t="s">
        <v>2805</v>
      </c>
      <c r="D2535" t="s">
        <v>2809</v>
      </c>
      <c r="E2535">
        <v>3</v>
      </c>
      <c r="F2535">
        <v>0</v>
      </c>
      <c r="G2535">
        <v>0</v>
      </c>
      <c r="H2535">
        <f t="shared" si="78"/>
        <v>3</v>
      </c>
      <c r="I2535">
        <v>0</v>
      </c>
      <c r="J2535">
        <v>0</v>
      </c>
      <c r="K2535">
        <v>0</v>
      </c>
      <c r="L2535">
        <f t="shared" si="79"/>
        <v>0</v>
      </c>
    </row>
    <row r="2536" spans="1:12">
      <c r="A2536" t="s">
        <v>3916</v>
      </c>
      <c r="B2536" t="s">
        <v>1496</v>
      </c>
      <c r="C2536" t="s">
        <v>2810</v>
      </c>
      <c r="D2536" t="s">
        <v>2811</v>
      </c>
      <c r="E2536">
        <v>41</v>
      </c>
      <c r="F2536">
        <v>0</v>
      </c>
      <c r="G2536">
        <v>0</v>
      </c>
      <c r="H2536">
        <f t="shared" si="78"/>
        <v>41</v>
      </c>
      <c r="I2536">
        <v>0</v>
      </c>
      <c r="J2536">
        <v>0</v>
      </c>
      <c r="K2536">
        <v>0</v>
      </c>
      <c r="L2536">
        <f t="shared" si="79"/>
        <v>0</v>
      </c>
    </row>
    <row r="2537" spans="1:12">
      <c r="A2537" t="s">
        <v>3916</v>
      </c>
      <c r="B2537" t="s">
        <v>1496</v>
      </c>
      <c r="C2537" t="s">
        <v>2810</v>
      </c>
      <c r="D2537" t="s">
        <v>2823</v>
      </c>
      <c r="E2537">
        <v>0</v>
      </c>
      <c r="F2537">
        <v>9</v>
      </c>
      <c r="G2537">
        <v>0</v>
      </c>
      <c r="H2537">
        <f t="shared" si="78"/>
        <v>9</v>
      </c>
      <c r="I2537">
        <v>0</v>
      </c>
      <c r="J2537">
        <v>0</v>
      </c>
      <c r="K2537">
        <v>0</v>
      </c>
      <c r="L2537">
        <f t="shared" si="79"/>
        <v>0</v>
      </c>
    </row>
    <row r="2538" spans="1:12">
      <c r="A2538" t="s">
        <v>3916</v>
      </c>
      <c r="B2538" t="s">
        <v>1496</v>
      </c>
      <c r="C2538" t="s">
        <v>2810</v>
      </c>
      <c r="D2538" t="s">
        <v>2812</v>
      </c>
      <c r="E2538">
        <v>46</v>
      </c>
      <c r="F2538">
        <v>0</v>
      </c>
      <c r="G2538">
        <v>0</v>
      </c>
      <c r="H2538">
        <f t="shared" si="78"/>
        <v>46</v>
      </c>
      <c r="I2538">
        <v>0</v>
      </c>
      <c r="J2538">
        <v>0</v>
      </c>
      <c r="K2538">
        <v>0</v>
      </c>
      <c r="L2538">
        <f t="shared" si="79"/>
        <v>0</v>
      </c>
    </row>
    <row r="2539" spans="1:12">
      <c r="A2539" t="s">
        <v>3916</v>
      </c>
      <c r="B2539" t="s">
        <v>1496</v>
      </c>
      <c r="C2539" t="s">
        <v>2810</v>
      </c>
      <c r="D2539" t="s">
        <v>2813</v>
      </c>
      <c r="E2539">
        <v>19</v>
      </c>
      <c r="F2539">
        <v>0</v>
      </c>
      <c r="G2539">
        <v>0</v>
      </c>
      <c r="H2539">
        <f t="shared" si="78"/>
        <v>19</v>
      </c>
      <c r="I2539">
        <v>0</v>
      </c>
      <c r="J2539">
        <v>0</v>
      </c>
      <c r="K2539">
        <v>0</v>
      </c>
      <c r="L2539">
        <f t="shared" si="79"/>
        <v>0</v>
      </c>
    </row>
    <row r="2540" spans="1:12">
      <c r="A2540" t="s">
        <v>3916</v>
      </c>
      <c r="B2540" t="s">
        <v>1496</v>
      </c>
      <c r="C2540" t="s">
        <v>2810</v>
      </c>
      <c r="D2540" t="s">
        <v>2814</v>
      </c>
      <c r="E2540">
        <v>0</v>
      </c>
      <c r="F2540">
        <v>0</v>
      </c>
      <c r="G2540">
        <v>0</v>
      </c>
      <c r="H2540">
        <f t="shared" si="78"/>
        <v>0</v>
      </c>
      <c r="I2540">
        <v>3</v>
      </c>
      <c r="J2540">
        <v>0</v>
      </c>
      <c r="K2540">
        <v>0</v>
      </c>
      <c r="L2540">
        <f t="shared" si="79"/>
        <v>3</v>
      </c>
    </row>
    <row r="2541" spans="1:12">
      <c r="A2541" t="s">
        <v>3916</v>
      </c>
      <c r="B2541" t="s">
        <v>1496</v>
      </c>
      <c r="C2541" t="s">
        <v>2810</v>
      </c>
      <c r="D2541" t="s">
        <v>2847</v>
      </c>
      <c r="E2541">
        <v>51</v>
      </c>
      <c r="F2541">
        <v>0</v>
      </c>
      <c r="G2541">
        <v>0</v>
      </c>
      <c r="H2541">
        <f t="shared" si="78"/>
        <v>51</v>
      </c>
      <c r="I2541">
        <v>0</v>
      </c>
      <c r="J2541">
        <v>0</v>
      </c>
      <c r="K2541">
        <v>0</v>
      </c>
      <c r="L2541">
        <f t="shared" si="79"/>
        <v>0</v>
      </c>
    </row>
    <row r="2542" spans="1:12">
      <c r="A2542" t="s">
        <v>3916</v>
      </c>
      <c r="B2542" t="s">
        <v>1496</v>
      </c>
      <c r="C2542" t="s">
        <v>2810</v>
      </c>
      <c r="D2542" t="s">
        <v>2840</v>
      </c>
      <c r="E2542">
        <v>4</v>
      </c>
      <c r="F2542">
        <v>0</v>
      </c>
      <c r="G2542">
        <v>0</v>
      </c>
      <c r="H2542">
        <f t="shared" si="78"/>
        <v>4</v>
      </c>
      <c r="I2542">
        <v>0</v>
      </c>
      <c r="J2542">
        <v>0</v>
      </c>
      <c r="K2542">
        <v>0</v>
      </c>
      <c r="L2542">
        <f t="shared" si="79"/>
        <v>0</v>
      </c>
    </row>
    <row r="2543" spans="1:12">
      <c r="A2543" t="s">
        <v>3916</v>
      </c>
      <c r="B2543" t="s">
        <v>1496</v>
      </c>
      <c r="C2543" t="s">
        <v>2810</v>
      </c>
      <c r="D2543" t="s">
        <v>2815</v>
      </c>
      <c r="E2543">
        <v>2</v>
      </c>
      <c r="F2543">
        <v>0</v>
      </c>
      <c r="G2543">
        <v>0</v>
      </c>
      <c r="H2543">
        <f t="shared" si="78"/>
        <v>2</v>
      </c>
      <c r="I2543">
        <v>0</v>
      </c>
      <c r="J2543">
        <v>0</v>
      </c>
      <c r="K2543">
        <v>0</v>
      </c>
      <c r="L2543">
        <f t="shared" si="79"/>
        <v>0</v>
      </c>
    </row>
    <row r="2544" spans="1:12">
      <c r="A2544" t="s">
        <v>3916</v>
      </c>
      <c r="B2544" t="s">
        <v>1496</v>
      </c>
      <c r="C2544" t="s">
        <v>2816</v>
      </c>
      <c r="D2544" t="s">
        <v>1897</v>
      </c>
      <c r="E2544">
        <v>1</v>
      </c>
      <c r="F2544">
        <v>0</v>
      </c>
      <c r="G2544">
        <v>0</v>
      </c>
      <c r="H2544">
        <f t="shared" si="78"/>
        <v>1</v>
      </c>
      <c r="I2544">
        <v>5</v>
      </c>
      <c r="J2544">
        <v>0</v>
      </c>
      <c r="K2544">
        <v>0</v>
      </c>
      <c r="L2544">
        <f t="shared" si="79"/>
        <v>5</v>
      </c>
    </row>
    <row r="2545" spans="1:12">
      <c r="A2545" t="s">
        <v>3916</v>
      </c>
      <c r="B2545" t="s">
        <v>1496</v>
      </c>
      <c r="C2545" t="s">
        <v>2826</v>
      </c>
      <c r="D2545" t="s">
        <v>2827</v>
      </c>
      <c r="E2545">
        <v>0</v>
      </c>
      <c r="F2545">
        <v>0</v>
      </c>
      <c r="G2545">
        <v>0</v>
      </c>
      <c r="H2545">
        <f t="shared" si="78"/>
        <v>0</v>
      </c>
      <c r="I2545">
        <v>1</v>
      </c>
      <c r="J2545">
        <v>0</v>
      </c>
      <c r="K2545">
        <v>0</v>
      </c>
      <c r="L2545">
        <f t="shared" si="79"/>
        <v>1</v>
      </c>
    </row>
    <row r="2546" spans="1:12">
      <c r="A2546" t="s">
        <v>3916</v>
      </c>
      <c r="B2546" t="s">
        <v>1496</v>
      </c>
      <c r="C2546" t="s">
        <v>2817</v>
      </c>
      <c r="D2546" t="s">
        <v>2818</v>
      </c>
      <c r="E2546">
        <v>2</v>
      </c>
      <c r="F2546">
        <v>0</v>
      </c>
      <c r="G2546">
        <v>0</v>
      </c>
      <c r="H2546">
        <f t="shared" si="78"/>
        <v>2</v>
      </c>
      <c r="I2546">
        <v>0</v>
      </c>
      <c r="J2546">
        <v>0</v>
      </c>
      <c r="K2546">
        <v>0</v>
      </c>
      <c r="L2546">
        <f t="shared" si="79"/>
        <v>0</v>
      </c>
    </row>
    <row r="2547" spans="1:12">
      <c r="A2547" t="s">
        <v>3916</v>
      </c>
      <c r="B2547" t="s">
        <v>1496</v>
      </c>
      <c r="C2547" t="s">
        <v>2817</v>
      </c>
      <c r="D2547" t="s">
        <v>2837</v>
      </c>
      <c r="E2547">
        <v>6</v>
      </c>
      <c r="F2547">
        <v>0</v>
      </c>
      <c r="G2547">
        <v>0</v>
      </c>
      <c r="H2547">
        <f t="shared" si="78"/>
        <v>6</v>
      </c>
      <c r="I2547">
        <v>0</v>
      </c>
      <c r="J2547">
        <v>0</v>
      </c>
      <c r="K2547">
        <v>0</v>
      </c>
      <c r="L2547">
        <f t="shared" si="79"/>
        <v>0</v>
      </c>
    </row>
    <row r="2548" spans="1:12">
      <c r="A2548" t="s">
        <v>3921</v>
      </c>
      <c r="B2548" t="s">
        <v>1501</v>
      </c>
      <c r="C2548" t="s">
        <v>2805</v>
      </c>
      <c r="D2548" t="s">
        <v>2806</v>
      </c>
      <c r="E2548">
        <v>277</v>
      </c>
      <c r="F2548">
        <v>0</v>
      </c>
      <c r="G2548">
        <v>0</v>
      </c>
      <c r="H2548">
        <f t="shared" si="78"/>
        <v>277</v>
      </c>
      <c r="I2548">
        <v>0</v>
      </c>
      <c r="J2548">
        <v>0</v>
      </c>
      <c r="K2548">
        <v>0</v>
      </c>
      <c r="L2548">
        <f t="shared" si="79"/>
        <v>0</v>
      </c>
    </row>
    <row r="2549" spans="1:12">
      <c r="A2549" t="s">
        <v>3921</v>
      </c>
      <c r="B2549" t="s">
        <v>1501</v>
      </c>
      <c r="C2549" t="s">
        <v>2805</v>
      </c>
      <c r="D2549" t="s">
        <v>449</v>
      </c>
      <c r="E2549">
        <v>672</v>
      </c>
      <c r="F2549">
        <v>0</v>
      </c>
      <c r="G2549">
        <v>0</v>
      </c>
      <c r="H2549">
        <f t="shared" si="78"/>
        <v>672</v>
      </c>
      <c r="I2549">
        <v>5</v>
      </c>
      <c r="J2549">
        <v>0</v>
      </c>
      <c r="K2549">
        <v>0</v>
      </c>
      <c r="L2549">
        <f t="shared" si="79"/>
        <v>5</v>
      </c>
    </row>
    <row r="2550" spans="1:12">
      <c r="A2550" t="s">
        <v>3921</v>
      </c>
      <c r="B2550" t="s">
        <v>1501</v>
      </c>
      <c r="C2550" t="s">
        <v>2805</v>
      </c>
      <c r="D2550" t="s">
        <v>2807</v>
      </c>
      <c r="E2550">
        <v>5</v>
      </c>
      <c r="F2550">
        <v>0</v>
      </c>
      <c r="G2550">
        <v>0</v>
      </c>
      <c r="H2550">
        <f t="shared" si="78"/>
        <v>5</v>
      </c>
      <c r="I2550">
        <v>0</v>
      </c>
      <c r="J2550">
        <v>0</v>
      </c>
      <c r="K2550">
        <v>0</v>
      </c>
      <c r="L2550">
        <f t="shared" si="79"/>
        <v>0</v>
      </c>
    </row>
    <row r="2551" spans="1:12">
      <c r="A2551" t="s">
        <v>3921</v>
      </c>
      <c r="B2551" t="s">
        <v>1501</v>
      </c>
      <c r="C2551" t="s">
        <v>2810</v>
      </c>
      <c r="D2551" t="s">
        <v>2811</v>
      </c>
      <c r="E2551">
        <v>19</v>
      </c>
      <c r="F2551">
        <v>0</v>
      </c>
      <c r="G2551">
        <v>0</v>
      </c>
      <c r="H2551">
        <f t="shared" si="78"/>
        <v>19</v>
      </c>
      <c r="I2551">
        <v>0</v>
      </c>
      <c r="J2551">
        <v>0</v>
      </c>
      <c r="K2551">
        <v>0</v>
      </c>
      <c r="L2551">
        <f t="shared" si="79"/>
        <v>0</v>
      </c>
    </row>
    <row r="2552" spans="1:12">
      <c r="A2552" t="s">
        <v>3921</v>
      </c>
      <c r="B2552" t="s">
        <v>1501</v>
      </c>
      <c r="C2552" t="s">
        <v>2810</v>
      </c>
      <c r="D2552" t="s">
        <v>2813</v>
      </c>
      <c r="E2552">
        <v>2</v>
      </c>
      <c r="F2552">
        <v>0</v>
      </c>
      <c r="G2552">
        <v>0</v>
      </c>
      <c r="H2552">
        <f t="shared" si="78"/>
        <v>2</v>
      </c>
      <c r="I2552">
        <v>0</v>
      </c>
      <c r="J2552">
        <v>0</v>
      </c>
      <c r="K2552">
        <v>0</v>
      </c>
      <c r="L2552">
        <f t="shared" si="79"/>
        <v>0</v>
      </c>
    </row>
    <row r="2553" spans="1:12">
      <c r="A2553" t="s">
        <v>3921</v>
      </c>
      <c r="B2553" t="s">
        <v>1501</v>
      </c>
      <c r="C2553" t="s">
        <v>2810</v>
      </c>
      <c r="D2553" t="s">
        <v>2814</v>
      </c>
      <c r="E2553">
        <v>4</v>
      </c>
      <c r="F2553">
        <v>0</v>
      </c>
      <c r="G2553">
        <v>0</v>
      </c>
      <c r="H2553">
        <f t="shared" si="78"/>
        <v>4</v>
      </c>
      <c r="I2553">
        <v>0</v>
      </c>
      <c r="J2553">
        <v>0</v>
      </c>
      <c r="K2553">
        <v>0</v>
      </c>
      <c r="L2553">
        <f t="shared" si="79"/>
        <v>0</v>
      </c>
    </row>
    <row r="2554" spans="1:12">
      <c r="A2554" t="s">
        <v>3921</v>
      </c>
      <c r="B2554" t="s">
        <v>1501</v>
      </c>
      <c r="C2554" t="s">
        <v>2816</v>
      </c>
      <c r="D2554" t="s">
        <v>1896</v>
      </c>
      <c r="E2554">
        <v>7</v>
      </c>
      <c r="F2554">
        <v>0</v>
      </c>
      <c r="G2554">
        <v>0</v>
      </c>
      <c r="H2554">
        <f t="shared" si="78"/>
        <v>7</v>
      </c>
      <c r="I2554">
        <v>0</v>
      </c>
      <c r="J2554">
        <v>0</v>
      </c>
      <c r="K2554">
        <v>0</v>
      </c>
      <c r="L2554">
        <f t="shared" si="79"/>
        <v>0</v>
      </c>
    </row>
    <row r="2555" spans="1:12">
      <c r="A2555" t="s">
        <v>3921</v>
      </c>
      <c r="B2555" t="s">
        <v>1501</v>
      </c>
      <c r="C2555" t="s">
        <v>2816</v>
      </c>
      <c r="D2555" t="s">
        <v>1897</v>
      </c>
      <c r="E2555">
        <v>13</v>
      </c>
      <c r="F2555">
        <v>0</v>
      </c>
      <c r="G2555">
        <v>0</v>
      </c>
      <c r="H2555">
        <f t="shared" si="78"/>
        <v>13</v>
      </c>
      <c r="I2555">
        <v>0</v>
      </c>
      <c r="J2555">
        <v>0</v>
      </c>
      <c r="K2555">
        <v>0</v>
      </c>
      <c r="L2555">
        <f t="shared" si="79"/>
        <v>0</v>
      </c>
    </row>
    <row r="2556" spans="1:12">
      <c r="A2556" t="s">
        <v>3921</v>
      </c>
      <c r="B2556" t="s">
        <v>1501</v>
      </c>
      <c r="C2556" t="s">
        <v>2826</v>
      </c>
      <c r="D2556" t="s">
        <v>2871</v>
      </c>
      <c r="E2556">
        <v>0</v>
      </c>
      <c r="F2556">
        <v>0</v>
      </c>
      <c r="G2556">
        <v>0</v>
      </c>
      <c r="H2556">
        <f t="shared" si="78"/>
        <v>0</v>
      </c>
      <c r="I2556">
        <v>2</v>
      </c>
      <c r="J2556">
        <v>0</v>
      </c>
      <c r="K2556">
        <v>0</v>
      </c>
      <c r="L2556">
        <f t="shared" si="79"/>
        <v>2</v>
      </c>
    </row>
    <row r="2557" spans="1:12">
      <c r="A2557" t="s">
        <v>3921</v>
      </c>
      <c r="B2557" t="s">
        <v>1501</v>
      </c>
      <c r="C2557" t="s">
        <v>2826</v>
      </c>
      <c r="D2557" t="s">
        <v>2829</v>
      </c>
      <c r="E2557">
        <v>0</v>
      </c>
      <c r="F2557">
        <v>0</v>
      </c>
      <c r="G2557">
        <v>0</v>
      </c>
      <c r="H2557">
        <f t="shared" si="78"/>
        <v>0</v>
      </c>
      <c r="I2557">
        <v>1</v>
      </c>
      <c r="J2557">
        <v>0</v>
      </c>
      <c r="K2557">
        <v>0</v>
      </c>
      <c r="L2557">
        <f t="shared" si="79"/>
        <v>1</v>
      </c>
    </row>
    <row r="2558" spans="1:12">
      <c r="A2558" t="s">
        <v>3921</v>
      </c>
      <c r="B2558" t="s">
        <v>1501</v>
      </c>
      <c r="C2558" t="s">
        <v>2826</v>
      </c>
      <c r="D2558" t="s">
        <v>2891</v>
      </c>
      <c r="E2558">
        <v>0</v>
      </c>
      <c r="F2558">
        <v>0</v>
      </c>
      <c r="G2558">
        <v>0</v>
      </c>
      <c r="H2558">
        <f t="shared" si="78"/>
        <v>0</v>
      </c>
      <c r="I2558">
        <v>1</v>
      </c>
      <c r="J2558">
        <v>0</v>
      </c>
      <c r="K2558">
        <v>0</v>
      </c>
      <c r="L2558">
        <f t="shared" si="79"/>
        <v>1</v>
      </c>
    </row>
    <row r="2559" spans="1:12">
      <c r="A2559" t="s">
        <v>3921</v>
      </c>
      <c r="B2559" t="s">
        <v>1501</v>
      </c>
      <c r="C2559" t="s">
        <v>2826</v>
      </c>
      <c r="D2559" t="s">
        <v>2843</v>
      </c>
      <c r="E2559">
        <v>5</v>
      </c>
      <c r="F2559">
        <v>0</v>
      </c>
      <c r="G2559">
        <v>0</v>
      </c>
      <c r="H2559">
        <f t="shared" si="78"/>
        <v>5</v>
      </c>
      <c r="I2559">
        <v>2</v>
      </c>
      <c r="J2559">
        <v>0</v>
      </c>
      <c r="K2559">
        <v>0</v>
      </c>
      <c r="L2559">
        <f t="shared" si="79"/>
        <v>2</v>
      </c>
    </row>
    <row r="2560" spans="1:12">
      <c r="A2560" t="s">
        <v>3921</v>
      </c>
      <c r="B2560" t="s">
        <v>1501</v>
      </c>
      <c r="C2560" t="s">
        <v>2826</v>
      </c>
      <c r="D2560" t="s">
        <v>2834</v>
      </c>
      <c r="E2560">
        <v>1</v>
      </c>
      <c r="F2560">
        <v>0</v>
      </c>
      <c r="G2560">
        <v>0</v>
      </c>
      <c r="H2560">
        <f t="shared" si="78"/>
        <v>1</v>
      </c>
      <c r="I2560">
        <v>0</v>
      </c>
      <c r="J2560">
        <v>0</v>
      </c>
      <c r="K2560">
        <v>0</v>
      </c>
      <c r="L2560">
        <f t="shared" si="79"/>
        <v>0</v>
      </c>
    </row>
    <row r="2561" spans="1:12">
      <c r="A2561" t="s">
        <v>3921</v>
      </c>
      <c r="B2561" t="s">
        <v>1501</v>
      </c>
      <c r="C2561" t="s">
        <v>2817</v>
      </c>
      <c r="D2561" t="s">
        <v>2818</v>
      </c>
      <c r="E2561">
        <v>62</v>
      </c>
      <c r="F2561">
        <v>0</v>
      </c>
      <c r="G2561">
        <v>0</v>
      </c>
      <c r="H2561">
        <f t="shared" si="78"/>
        <v>62</v>
      </c>
      <c r="I2561">
        <v>0</v>
      </c>
      <c r="J2561">
        <v>0</v>
      </c>
      <c r="K2561">
        <v>0</v>
      </c>
      <c r="L2561">
        <f t="shared" si="79"/>
        <v>0</v>
      </c>
    </row>
    <row r="2562" spans="1:12">
      <c r="A2562" t="s">
        <v>3921</v>
      </c>
      <c r="B2562" t="s">
        <v>1501</v>
      </c>
      <c r="C2562" t="s">
        <v>2817</v>
      </c>
      <c r="D2562" t="s">
        <v>2837</v>
      </c>
      <c r="E2562">
        <v>1</v>
      </c>
      <c r="F2562">
        <v>0</v>
      </c>
      <c r="G2562">
        <v>0</v>
      </c>
      <c r="H2562">
        <f t="shared" si="78"/>
        <v>1</v>
      </c>
      <c r="I2562">
        <v>0</v>
      </c>
      <c r="J2562">
        <v>0</v>
      </c>
      <c r="K2562">
        <v>0</v>
      </c>
      <c r="L2562">
        <f t="shared" si="79"/>
        <v>0</v>
      </c>
    </row>
    <row r="2563" spans="1:12">
      <c r="A2563" t="s">
        <v>3921</v>
      </c>
      <c r="B2563" t="s">
        <v>1501</v>
      </c>
      <c r="C2563" t="s">
        <v>2817</v>
      </c>
      <c r="D2563" t="s">
        <v>2819</v>
      </c>
      <c r="E2563">
        <v>6</v>
      </c>
      <c r="F2563">
        <v>0</v>
      </c>
      <c r="G2563">
        <v>0</v>
      </c>
      <c r="H2563">
        <f t="shared" si="78"/>
        <v>6</v>
      </c>
      <c r="I2563">
        <v>0</v>
      </c>
      <c r="J2563">
        <v>0</v>
      </c>
      <c r="K2563">
        <v>0</v>
      </c>
      <c r="L2563">
        <f t="shared" si="79"/>
        <v>0</v>
      </c>
    </row>
    <row r="2564" spans="1:12">
      <c r="A2564" t="s">
        <v>3922</v>
      </c>
      <c r="B2564" t="s">
        <v>1506</v>
      </c>
      <c r="C2564" t="s">
        <v>2805</v>
      </c>
      <c r="D2564" t="s">
        <v>2806</v>
      </c>
      <c r="E2564">
        <v>9</v>
      </c>
      <c r="F2564">
        <v>0</v>
      </c>
      <c r="G2564">
        <v>0</v>
      </c>
      <c r="H2564">
        <f t="shared" ref="H2564:H2627" si="80">SUM(E2564:G2564)</f>
        <v>9</v>
      </c>
      <c r="I2564">
        <v>0</v>
      </c>
      <c r="J2564">
        <v>0</v>
      </c>
      <c r="K2564">
        <v>0</v>
      </c>
      <c r="L2564">
        <f t="shared" ref="L2564:L2627" si="81">SUM(I2564:K2564)</f>
        <v>0</v>
      </c>
    </row>
    <row r="2565" spans="1:12">
      <c r="A2565" t="s">
        <v>3922</v>
      </c>
      <c r="B2565" t="s">
        <v>1506</v>
      </c>
      <c r="C2565" t="s">
        <v>2805</v>
      </c>
      <c r="D2565" t="s">
        <v>449</v>
      </c>
      <c r="E2565">
        <v>51</v>
      </c>
      <c r="F2565">
        <v>0</v>
      </c>
      <c r="G2565">
        <v>0</v>
      </c>
      <c r="H2565">
        <f t="shared" si="80"/>
        <v>51</v>
      </c>
      <c r="I2565">
        <v>1</v>
      </c>
      <c r="J2565">
        <v>0</v>
      </c>
      <c r="K2565">
        <v>0</v>
      </c>
      <c r="L2565">
        <f t="shared" si="81"/>
        <v>1</v>
      </c>
    </row>
    <row r="2566" spans="1:12">
      <c r="A2566" t="s">
        <v>3922</v>
      </c>
      <c r="B2566" t="s">
        <v>1506</v>
      </c>
      <c r="C2566" t="s">
        <v>2805</v>
      </c>
      <c r="D2566" t="s">
        <v>2807</v>
      </c>
      <c r="E2566">
        <v>15</v>
      </c>
      <c r="F2566">
        <v>0</v>
      </c>
      <c r="G2566">
        <v>0</v>
      </c>
      <c r="H2566">
        <f t="shared" si="80"/>
        <v>15</v>
      </c>
      <c r="I2566">
        <v>1</v>
      </c>
      <c r="J2566">
        <v>0</v>
      </c>
      <c r="K2566">
        <v>0</v>
      </c>
      <c r="L2566">
        <f t="shared" si="81"/>
        <v>1</v>
      </c>
    </row>
    <row r="2567" spans="1:12">
      <c r="A2567" t="s">
        <v>3922</v>
      </c>
      <c r="B2567" t="s">
        <v>1506</v>
      </c>
      <c r="C2567" t="s">
        <v>2810</v>
      </c>
      <c r="D2567" t="s">
        <v>2812</v>
      </c>
      <c r="E2567">
        <v>3</v>
      </c>
      <c r="F2567">
        <v>0</v>
      </c>
      <c r="G2567">
        <v>0</v>
      </c>
      <c r="H2567">
        <f t="shared" si="80"/>
        <v>3</v>
      </c>
      <c r="I2567">
        <v>0</v>
      </c>
      <c r="J2567">
        <v>0</v>
      </c>
      <c r="K2567">
        <v>0</v>
      </c>
      <c r="L2567">
        <f t="shared" si="81"/>
        <v>0</v>
      </c>
    </row>
    <row r="2568" spans="1:12">
      <c r="A2568" t="s">
        <v>3922</v>
      </c>
      <c r="B2568" t="s">
        <v>1506</v>
      </c>
      <c r="C2568" t="s">
        <v>2810</v>
      </c>
      <c r="D2568" t="s">
        <v>2813</v>
      </c>
      <c r="E2568">
        <v>7</v>
      </c>
      <c r="F2568">
        <v>0</v>
      </c>
      <c r="G2568">
        <v>0</v>
      </c>
      <c r="H2568">
        <f t="shared" si="80"/>
        <v>7</v>
      </c>
      <c r="I2568">
        <v>0</v>
      </c>
      <c r="J2568">
        <v>0</v>
      </c>
      <c r="K2568">
        <v>0</v>
      </c>
      <c r="L2568">
        <f t="shared" si="81"/>
        <v>0</v>
      </c>
    </row>
    <row r="2569" spans="1:12">
      <c r="A2569" t="s">
        <v>3922</v>
      </c>
      <c r="B2569" t="s">
        <v>1506</v>
      </c>
      <c r="C2569" t="s">
        <v>2810</v>
      </c>
      <c r="D2569" t="s">
        <v>2814</v>
      </c>
      <c r="E2569">
        <v>4</v>
      </c>
      <c r="F2569">
        <v>0</v>
      </c>
      <c r="G2569">
        <v>0</v>
      </c>
      <c r="H2569">
        <f t="shared" si="80"/>
        <v>4</v>
      </c>
      <c r="I2569">
        <v>0</v>
      </c>
      <c r="J2569">
        <v>0</v>
      </c>
      <c r="K2569">
        <v>0</v>
      </c>
      <c r="L2569">
        <f t="shared" si="81"/>
        <v>0</v>
      </c>
    </row>
    <row r="2570" spans="1:12">
      <c r="A2570" t="s">
        <v>3922</v>
      </c>
      <c r="B2570" t="s">
        <v>1506</v>
      </c>
      <c r="C2570" t="s">
        <v>2810</v>
      </c>
      <c r="D2570" t="s">
        <v>2815</v>
      </c>
      <c r="E2570">
        <v>5</v>
      </c>
      <c r="F2570">
        <v>0</v>
      </c>
      <c r="G2570">
        <v>0</v>
      </c>
      <c r="H2570">
        <f t="shared" si="80"/>
        <v>5</v>
      </c>
      <c r="I2570">
        <v>0</v>
      </c>
      <c r="J2570">
        <v>0</v>
      </c>
      <c r="K2570">
        <v>0</v>
      </c>
      <c r="L2570">
        <f t="shared" si="81"/>
        <v>0</v>
      </c>
    </row>
    <row r="2571" spans="1:12">
      <c r="A2571" t="s">
        <v>3922</v>
      </c>
      <c r="B2571" t="s">
        <v>1506</v>
      </c>
      <c r="C2571" t="s">
        <v>2826</v>
      </c>
      <c r="D2571" t="s">
        <v>2891</v>
      </c>
      <c r="E2571">
        <v>0</v>
      </c>
      <c r="F2571">
        <v>0</v>
      </c>
      <c r="G2571">
        <v>0</v>
      </c>
      <c r="H2571">
        <f t="shared" si="80"/>
        <v>0</v>
      </c>
      <c r="I2571">
        <v>1</v>
      </c>
      <c r="J2571">
        <v>0</v>
      </c>
      <c r="K2571">
        <v>0</v>
      </c>
      <c r="L2571">
        <f t="shared" si="81"/>
        <v>1</v>
      </c>
    </row>
    <row r="2572" spans="1:12">
      <c r="A2572" t="s">
        <v>3922</v>
      </c>
      <c r="B2572" t="s">
        <v>1506</v>
      </c>
      <c r="C2572" t="s">
        <v>2826</v>
      </c>
      <c r="D2572" t="s">
        <v>2872</v>
      </c>
      <c r="E2572">
        <v>0</v>
      </c>
      <c r="F2572">
        <v>0</v>
      </c>
      <c r="G2572">
        <v>0</v>
      </c>
      <c r="H2572">
        <f t="shared" si="80"/>
        <v>0</v>
      </c>
      <c r="I2572">
        <v>3</v>
      </c>
      <c r="J2572">
        <v>0</v>
      </c>
      <c r="K2572">
        <v>0</v>
      </c>
      <c r="L2572">
        <f t="shared" si="81"/>
        <v>3</v>
      </c>
    </row>
    <row r="2573" spans="1:12">
      <c r="A2573" t="s">
        <v>3922</v>
      </c>
      <c r="B2573" t="s">
        <v>1506</v>
      </c>
      <c r="C2573" t="s">
        <v>2826</v>
      </c>
      <c r="D2573" t="s">
        <v>2858</v>
      </c>
      <c r="E2573">
        <v>3</v>
      </c>
      <c r="F2573">
        <v>0</v>
      </c>
      <c r="G2573">
        <v>0</v>
      </c>
      <c r="H2573">
        <f t="shared" si="80"/>
        <v>3</v>
      </c>
      <c r="I2573">
        <v>0</v>
      </c>
      <c r="J2573">
        <v>0</v>
      </c>
      <c r="K2573">
        <v>0</v>
      </c>
      <c r="L2573">
        <f t="shared" si="81"/>
        <v>0</v>
      </c>
    </row>
    <row r="2574" spans="1:12">
      <c r="A2574" t="s">
        <v>3922</v>
      </c>
      <c r="B2574" t="s">
        <v>1506</v>
      </c>
      <c r="C2574" t="s">
        <v>2826</v>
      </c>
      <c r="D2574" t="s">
        <v>2830</v>
      </c>
      <c r="E2574">
        <v>1</v>
      </c>
      <c r="F2574">
        <v>0</v>
      </c>
      <c r="G2574">
        <v>0</v>
      </c>
      <c r="H2574">
        <f t="shared" si="80"/>
        <v>1</v>
      </c>
      <c r="I2574">
        <v>0</v>
      </c>
      <c r="J2574">
        <v>0</v>
      </c>
      <c r="K2574">
        <v>0</v>
      </c>
      <c r="L2574">
        <f t="shared" si="81"/>
        <v>0</v>
      </c>
    </row>
    <row r="2575" spans="1:12">
      <c r="A2575" t="s">
        <v>3922</v>
      </c>
      <c r="B2575" t="s">
        <v>1506</v>
      </c>
      <c r="C2575" t="s">
        <v>2826</v>
      </c>
      <c r="D2575" t="s">
        <v>2843</v>
      </c>
      <c r="E2575">
        <v>4</v>
      </c>
      <c r="F2575">
        <v>0</v>
      </c>
      <c r="G2575">
        <v>0</v>
      </c>
      <c r="H2575">
        <f t="shared" si="80"/>
        <v>4</v>
      </c>
      <c r="I2575">
        <v>1</v>
      </c>
      <c r="J2575">
        <v>0</v>
      </c>
      <c r="K2575">
        <v>0</v>
      </c>
      <c r="L2575">
        <f t="shared" si="81"/>
        <v>1</v>
      </c>
    </row>
    <row r="2576" spans="1:12">
      <c r="A2576" t="s">
        <v>3922</v>
      </c>
      <c r="B2576" t="s">
        <v>1506</v>
      </c>
      <c r="C2576" t="s">
        <v>2826</v>
      </c>
      <c r="D2576" t="s">
        <v>2834</v>
      </c>
      <c r="E2576">
        <v>2</v>
      </c>
      <c r="F2576">
        <v>0</v>
      </c>
      <c r="G2576">
        <v>0</v>
      </c>
      <c r="H2576">
        <f t="shared" si="80"/>
        <v>2</v>
      </c>
      <c r="I2576">
        <v>1</v>
      </c>
      <c r="J2576">
        <v>0</v>
      </c>
      <c r="K2576">
        <v>0</v>
      </c>
      <c r="L2576">
        <f t="shared" si="81"/>
        <v>1</v>
      </c>
    </row>
    <row r="2577" spans="1:12">
      <c r="A2577" t="s">
        <v>3922</v>
      </c>
      <c r="B2577" t="s">
        <v>1506</v>
      </c>
      <c r="C2577" t="s">
        <v>2826</v>
      </c>
      <c r="D2577" t="s">
        <v>2849</v>
      </c>
      <c r="E2577">
        <v>2</v>
      </c>
      <c r="F2577">
        <v>0</v>
      </c>
      <c r="G2577">
        <v>0</v>
      </c>
      <c r="H2577">
        <f t="shared" si="80"/>
        <v>2</v>
      </c>
      <c r="I2577">
        <v>0</v>
      </c>
      <c r="J2577">
        <v>0</v>
      </c>
      <c r="K2577">
        <v>0</v>
      </c>
      <c r="L2577">
        <f t="shared" si="81"/>
        <v>0</v>
      </c>
    </row>
    <row r="2578" spans="1:12">
      <c r="A2578" t="s">
        <v>3922</v>
      </c>
      <c r="B2578" t="s">
        <v>1506</v>
      </c>
      <c r="C2578" t="s">
        <v>2826</v>
      </c>
      <c r="D2578" t="s">
        <v>2836</v>
      </c>
      <c r="E2578">
        <v>0</v>
      </c>
      <c r="F2578">
        <v>0</v>
      </c>
      <c r="G2578">
        <v>0</v>
      </c>
      <c r="H2578">
        <f t="shared" si="80"/>
        <v>0</v>
      </c>
      <c r="I2578">
        <v>1</v>
      </c>
      <c r="J2578">
        <v>0</v>
      </c>
      <c r="K2578">
        <v>0</v>
      </c>
      <c r="L2578">
        <f t="shared" si="81"/>
        <v>1</v>
      </c>
    </row>
    <row r="2579" spans="1:12">
      <c r="A2579" t="s">
        <v>3922</v>
      </c>
      <c r="B2579" t="s">
        <v>1506</v>
      </c>
      <c r="C2579" t="s">
        <v>2820</v>
      </c>
      <c r="D2579" t="s">
        <v>2821</v>
      </c>
      <c r="E2579">
        <v>2</v>
      </c>
      <c r="F2579">
        <v>0</v>
      </c>
      <c r="G2579">
        <v>0</v>
      </c>
      <c r="H2579">
        <f t="shared" si="80"/>
        <v>2</v>
      </c>
      <c r="I2579">
        <v>0</v>
      </c>
      <c r="J2579">
        <v>0</v>
      </c>
      <c r="K2579">
        <v>0</v>
      </c>
      <c r="L2579">
        <f t="shared" si="81"/>
        <v>0</v>
      </c>
    </row>
    <row r="2580" spans="1:12">
      <c r="A2580" t="s">
        <v>3922</v>
      </c>
      <c r="B2580" t="s">
        <v>1506</v>
      </c>
      <c r="C2580" t="s">
        <v>2820</v>
      </c>
      <c r="D2580" t="s">
        <v>2949</v>
      </c>
      <c r="E2580">
        <v>2</v>
      </c>
      <c r="F2580">
        <v>0</v>
      </c>
      <c r="G2580">
        <v>0</v>
      </c>
      <c r="H2580">
        <f t="shared" si="80"/>
        <v>2</v>
      </c>
      <c r="I2580">
        <v>0</v>
      </c>
      <c r="J2580">
        <v>0</v>
      </c>
      <c r="K2580">
        <v>0</v>
      </c>
      <c r="L2580">
        <f t="shared" si="81"/>
        <v>0</v>
      </c>
    </row>
    <row r="2581" spans="1:12">
      <c r="A2581" t="s">
        <v>3923</v>
      </c>
      <c r="B2581" t="s">
        <v>1510</v>
      </c>
      <c r="C2581" t="s">
        <v>2805</v>
      </c>
      <c r="D2581" t="s">
        <v>2806</v>
      </c>
      <c r="E2581">
        <v>49</v>
      </c>
      <c r="F2581">
        <v>0</v>
      </c>
      <c r="G2581">
        <v>0</v>
      </c>
      <c r="H2581">
        <f t="shared" si="80"/>
        <v>49</v>
      </c>
      <c r="I2581">
        <v>0</v>
      </c>
      <c r="J2581">
        <v>0</v>
      </c>
      <c r="K2581">
        <v>0</v>
      </c>
      <c r="L2581">
        <f t="shared" si="81"/>
        <v>0</v>
      </c>
    </row>
    <row r="2582" spans="1:12">
      <c r="A2582" t="s">
        <v>3923</v>
      </c>
      <c r="B2582" t="s">
        <v>1510</v>
      </c>
      <c r="C2582" t="s">
        <v>2805</v>
      </c>
      <c r="D2582" t="s">
        <v>449</v>
      </c>
      <c r="E2582">
        <v>129</v>
      </c>
      <c r="F2582">
        <v>0</v>
      </c>
      <c r="G2582">
        <v>0</v>
      </c>
      <c r="H2582">
        <f t="shared" si="80"/>
        <v>129</v>
      </c>
      <c r="I2582">
        <v>0</v>
      </c>
      <c r="J2582">
        <v>0</v>
      </c>
      <c r="K2582">
        <v>0</v>
      </c>
      <c r="L2582">
        <f t="shared" si="81"/>
        <v>0</v>
      </c>
    </row>
    <row r="2583" spans="1:12">
      <c r="A2583" t="s">
        <v>3923</v>
      </c>
      <c r="B2583" t="s">
        <v>1510</v>
      </c>
      <c r="C2583" t="s">
        <v>2810</v>
      </c>
      <c r="D2583" t="s">
        <v>2813</v>
      </c>
      <c r="E2583">
        <v>3</v>
      </c>
      <c r="F2583">
        <v>0</v>
      </c>
      <c r="G2583">
        <v>0</v>
      </c>
      <c r="H2583">
        <f t="shared" si="80"/>
        <v>3</v>
      </c>
      <c r="I2583">
        <v>0</v>
      </c>
      <c r="J2583">
        <v>0</v>
      </c>
      <c r="K2583">
        <v>0</v>
      </c>
      <c r="L2583">
        <f t="shared" si="81"/>
        <v>0</v>
      </c>
    </row>
    <row r="2584" spans="1:12">
      <c r="A2584" t="s">
        <v>3923</v>
      </c>
      <c r="B2584" t="s">
        <v>1510</v>
      </c>
      <c r="C2584" t="s">
        <v>2810</v>
      </c>
      <c r="D2584" t="s">
        <v>2815</v>
      </c>
      <c r="E2584">
        <v>2</v>
      </c>
      <c r="F2584">
        <v>0</v>
      </c>
      <c r="G2584">
        <v>0</v>
      </c>
      <c r="H2584">
        <f t="shared" si="80"/>
        <v>2</v>
      </c>
      <c r="I2584">
        <v>0</v>
      </c>
      <c r="J2584">
        <v>0</v>
      </c>
      <c r="K2584">
        <v>0</v>
      </c>
      <c r="L2584">
        <f t="shared" si="81"/>
        <v>0</v>
      </c>
    </row>
    <row r="2585" spans="1:12">
      <c r="A2585" t="s">
        <v>3923</v>
      </c>
      <c r="B2585" t="s">
        <v>1510</v>
      </c>
      <c r="C2585" t="s">
        <v>2816</v>
      </c>
      <c r="D2585" t="s">
        <v>1897</v>
      </c>
      <c r="E2585">
        <v>4</v>
      </c>
      <c r="F2585">
        <v>0</v>
      </c>
      <c r="G2585">
        <v>0</v>
      </c>
      <c r="H2585">
        <f t="shared" si="80"/>
        <v>4</v>
      </c>
      <c r="I2585">
        <v>0</v>
      </c>
      <c r="J2585">
        <v>0</v>
      </c>
      <c r="K2585">
        <v>0</v>
      </c>
      <c r="L2585">
        <f t="shared" si="81"/>
        <v>0</v>
      </c>
    </row>
    <row r="2586" spans="1:12">
      <c r="A2586" t="s">
        <v>3923</v>
      </c>
      <c r="B2586" t="s">
        <v>1510</v>
      </c>
      <c r="C2586" t="s">
        <v>2817</v>
      </c>
      <c r="D2586" t="s">
        <v>2877</v>
      </c>
      <c r="E2586">
        <v>6</v>
      </c>
      <c r="F2586">
        <v>0</v>
      </c>
      <c r="G2586">
        <v>0</v>
      </c>
      <c r="H2586">
        <f t="shared" si="80"/>
        <v>6</v>
      </c>
      <c r="I2586">
        <v>0</v>
      </c>
      <c r="J2586">
        <v>0</v>
      </c>
      <c r="K2586">
        <v>0</v>
      </c>
      <c r="L2586">
        <f t="shared" si="81"/>
        <v>0</v>
      </c>
    </row>
    <row r="2587" spans="1:12">
      <c r="A2587" t="s">
        <v>3923</v>
      </c>
      <c r="B2587" t="s">
        <v>1510</v>
      </c>
      <c r="C2587" t="s">
        <v>2817</v>
      </c>
      <c r="D2587" t="s">
        <v>2818</v>
      </c>
      <c r="E2587">
        <v>59</v>
      </c>
      <c r="F2587">
        <v>0</v>
      </c>
      <c r="G2587">
        <v>0</v>
      </c>
      <c r="H2587">
        <f t="shared" si="80"/>
        <v>59</v>
      </c>
      <c r="I2587">
        <v>0</v>
      </c>
      <c r="J2587">
        <v>0</v>
      </c>
      <c r="K2587">
        <v>0</v>
      </c>
      <c r="L2587">
        <f t="shared" si="81"/>
        <v>0</v>
      </c>
    </row>
    <row r="2588" spans="1:12">
      <c r="A2588" t="s">
        <v>3926</v>
      </c>
      <c r="B2588" t="s">
        <v>1511</v>
      </c>
      <c r="C2588" t="s">
        <v>2805</v>
      </c>
      <c r="D2588" t="s">
        <v>2806</v>
      </c>
      <c r="E2588">
        <v>278</v>
      </c>
      <c r="F2588">
        <v>0</v>
      </c>
      <c r="G2588">
        <v>0</v>
      </c>
      <c r="H2588">
        <f t="shared" si="80"/>
        <v>278</v>
      </c>
      <c r="I2588">
        <v>0</v>
      </c>
      <c r="J2588">
        <v>0</v>
      </c>
      <c r="K2588">
        <v>0</v>
      </c>
      <c r="L2588">
        <f t="shared" si="81"/>
        <v>0</v>
      </c>
    </row>
    <row r="2589" spans="1:12">
      <c r="A2589" t="s">
        <v>3926</v>
      </c>
      <c r="B2589" t="s">
        <v>1511</v>
      </c>
      <c r="C2589" t="s">
        <v>2805</v>
      </c>
      <c r="D2589" t="s">
        <v>449</v>
      </c>
      <c r="E2589">
        <v>684</v>
      </c>
      <c r="F2589">
        <v>0</v>
      </c>
      <c r="G2589">
        <v>0</v>
      </c>
      <c r="H2589">
        <f t="shared" si="80"/>
        <v>684</v>
      </c>
      <c r="I2589">
        <v>0</v>
      </c>
      <c r="J2589">
        <v>0</v>
      </c>
      <c r="K2589">
        <v>0</v>
      </c>
      <c r="L2589">
        <f t="shared" si="81"/>
        <v>0</v>
      </c>
    </row>
    <row r="2590" spans="1:12">
      <c r="A2590" t="s">
        <v>3926</v>
      </c>
      <c r="B2590" t="s">
        <v>1511</v>
      </c>
      <c r="C2590" t="s">
        <v>2805</v>
      </c>
      <c r="D2590" t="s">
        <v>2807</v>
      </c>
      <c r="E2590">
        <v>7</v>
      </c>
      <c r="F2590">
        <v>0</v>
      </c>
      <c r="G2590">
        <v>0</v>
      </c>
      <c r="H2590">
        <f t="shared" si="80"/>
        <v>7</v>
      </c>
      <c r="I2590">
        <v>0</v>
      </c>
      <c r="J2590">
        <v>0</v>
      </c>
      <c r="K2590">
        <v>0</v>
      </c>
      <c r="L2590">
        <f t="shared" si="81"/>
        <v>0</v>
      </c>
    </row>
    <row r="2591" spans="1:12">
      <c r="A2591" t="s">
        <v>3926</v>
      </c>
      <c r="B2591" t="s">
        <v>1511</v>
      </c>
      <c r="C2591" t="s">
        <v>2805</v>
      </c>
      <c r="D2591" t="s">
        <v>2808</v>
      </c>
      <c r="E2591">
        <v>33</v>
      </c>
      <c r="F2591">
        <v>0</v>
      </c>
      <c r="G2591">
        <v>0</v>
      </c>
      <c r="H2591">
        <f t="shared" si="80"/>
        <v>33</v>
      </c>
      <c r="I2591">
        <v>0</v>
      </c>
      <c r="J2591">
        <v>0</v>
      </c>
      <c r="K2591">
        <v>0</v>
      </c>
      <c r="L2591">
        <f t="shared" si="81"/>
        <v>0</v>
      </c>
    </row>
    <row r="2592" spans="1:12">
      <c r="A2592" t="s">
        <v>3926</v>
      </c>
      <c r="B2592" t="s">
        <v>1511</v>
      </c>
      <c r="C2592" t="s">
        <v>2805</v>
      </c>
      <c r="D2592" t="s">
        <v>2809</v>
      </c>
      <c r="E2592">
        <v>1</v>
      </c>
      <c r="F2592">
        <v>0</v>
      </c>
      <c r="G2592">
        <v>0</v>
      </c>
      <c r="H2592">
        <f t="shared" si="80"/>
        <v>1</v>
      </c>
      <c r="I2592">
        <v>0</v>
      </c>
      <c r="J2592">
        <v>0</v>
      </c>
      <c r="K2592">
        <v>0</v>
      </c>
      <c r="L2592">
        <f t="shared" si="81"/>
        <v>0</v>
      </c>
    </row>
    <row r="2593" spans="1:12">
      <c r="A2593" t="s">
        <v>3926</v>
      </c>
      <c r="B2593" t="s">
        <v>1511</v>
      </c>
      <c r="C2593" t="s">
        <v>2810</v>
      </c>
      <c r="D2593" t="s">
        <v>2811</v>
      </c>
      <c r="E2593">
        <v>32</v>
      </c>
      <c r="F2593">
        <v>0</v>
      </c>
      <c r="G2593">
        <v>0</v>
      </c>
      <c r="H2593">
        <f t="shared" si="80"/>
        <v>32</v>
      </c>
      <c r="I2593">
        <v>0</v>
      </c>
      <c r="J2593">
        <v>0</v>
      </c>
      <c r="K2593">
        <v>0</v>
      </c>
      <c r="L2593">
        <f t="shared" si="81"/>
        <v>0</v>
      </c>
    </row>
    <row r="2594" spans="1:12">
      <c r="A2594" t="s">
        <v>3926</v>
      </c>
      <c r="B2594" t="s">
        <v>1511</v>
      </c>
      <c r="C2594" t="s">
        <v>2810</v>
      </c>
      <c r="D2594" t="s">
        <v>2823</v>
      </c>
      <c r="E2594">
        <v>1</v>
      </c>
      <c r="F2594">
        <v>0</v>
      </c>
      <c r="G2594">
        <v>0</v>
      </c>
      <c r="H2594">
        <f t="shared" si="80"/>
        <v>1</v>
      </c>
      <c r="I2594">
        <v>0</v>
      </c>
      <c r="J2594">
        <v>0</v>
      </c>
      <c r="K2594">
        <v>0</v>
      </c>
      <c r="L2594">
        <f t="shared" si="81"/>
        <v>0</v>
      </c>
    </row>
    <row r="2595" spans="1:12">
      <c r="A2595" t="s">
        <v>3926</v>
      </c>
      <c r="B2595" t="s">
        <v>1511</v>
      </c>
      <c r="C2595" t="s">
        <v>2810</v>
      </c>
      <c r="D2595" t="s">
        <v>2812</v>
      </c>
      <c r="E2595">
        <v>23</v>
      </c>
      <c r="F2595">
        <v>0</v>
      </c>
      <c r="G2595">
        <v>0</v>
      </c>
      <c r="H2595">
        <f t="shared" si="80"/>
        <v>23</v>
      </c>
      <c r="I2595">
        <v>0</v>
      </c>
      <c r="J2595">
        <v>0</v>
      </c>
      <c r="K2595">
        <v>0</v>
      </c>
      <c r="L2595">
        <f t="shared" si="81"/>
        <v>0</v>
      </c>
    </row>
    <row r="2596" spans="1:12">
      <c r="A2596" t="s">
        <v>3926</v>
      </c>
      <c r="B2596" t="s">
        <v>1511</v>
      </c>
      <c r="C2596" t="s">
        <v>2810</v>
      </c>
      <c r="D2596" t="s">
        <v>2813</v>
      </c>
      <c r="E2596">
        <v>14</v>
      </c>
      <c r="F2596">
        <v>0</v>
      </c>
      <c r="G2596">
        <v>0</v>
      </c>
      <c r="H2596">
        <f t="shared" si="80"/>
        <v>14</v>
      </c>
      <c r="I2596">
        <v>0</v>
      </c>
      <c r="J2596">
        <v>0</v>
      </c>
      <c r="K2596">
        <v>0</v>
      </c>
      <c r="L2596">
        <f t="shared" si="81"/>
        <v>0</v>
      </c>
    </row>
    <row r="2597" spans="1:12">
      <c r="A2597" t="s">
        <v>3926</v>
      </c>
      <c r="B2597" t="s">
        <v>1511</v>
      </c>
      <c r="C2597" t="s">
        <v>2810</v>
      </c>
      <c r="D2597" t="s">
        <v>2814</v>
      </c>
      <c r="E2597">
        <v>7</v>
      </c>
      <c r="F2597">
        <v>0</v>
      </c>
      <c r="G2597">
        <v>0</v>
      </c>
      <c r="H2597">
        <f t="shared" si="80"/>
        <v>7</v>
      </c>
      <c r="I2597">
        <v>0</v>
      </c>
      <c r="J2597">
        <v>0</v>
      </c>
      <c r="K2597">
        <v>0</v>
      </c>
      <c r="L2597">
        <f t="shared" si="81"/>
        <v>0</v>
      </c>
    </row>
    <row r="2598" spans="1:12">
      <c r="A2598" t="s">
        <v>3926</v>
      </c>
      <c r="B2598" t="s">
        <v>1511</v>
      </c>
      <c r="C2598" t="s">
        <v>2810</v>
      </c>
      <c r="D2598" t="s">
        <v>2847</v>
      </c>
      <c r="E2598">
        <v>41</v>
      </c>
      <c r="F2598">
        <v>0</v>
      </c>
      <c r="G2598">
        <v>0</v>
      </c>
      <c r="H2598">
        <f t="shared" si="80"/>
        <v>41</v>
      </c>
      <c r="I2598">
        <v>0</v>
      </c>
      <c r="J2598">
        <v>0</v>
      </c>
      <c r="K2598">
        <v>0</v>
      </c>
      <c r="L2598">
        <f t="shared" si="81"/>
        <v>0</v>
      </c>
    </row>
    <row r="2599" spans="1:12">
      <c r="A2599" t="s">
        <v>3926</v>
      </c>
      <c r="B2599" t="s">
        <v>1511</v>
      </c>
      <c r="C2599" t="s">
        <v>2810</v>
      </c>
      <c r="D2599" t="s">
        <v>2815</v>
      </c>
      <c r="E2599">
        <v>6</v>
      </c>
      <c r="F2599">
        <v>0</v>
      </c>
      <c r="G2599">
        <v>0</v>
      </c>
      <c r="H2599">
        <f t="shared" si="80"/>
        <v>6</v>
      </c>
      <c r="I2599">
        <v>0</v>
      </c>
      <c r="J2599">
        <v>0</v>
      </c>
      <c r="K2599">
        <v>0</v>
      </c>
      <c r="L2599">
        <f t="shared" si="81"/>
        <v>0</v>
      </c>
    </row>
    <row r="2600" spans="1:12">
      <c r="A2600" t="s">
        <v>3926</v>
      </c>
      <c r="B2600" t="s">
        <v>1511</v>
      </c>
      <c r="C2600" t="s">
        <v>2816</v>
      </c>
      <c r="D2600" t="s">
        <v>1897</v>
      </c>
      <c r="E2600">
        <v>107</v>
      </c>
      <c r="F2600">
        <v>0</v>
      </c>
      <c r="G2600">
        <v>0</v>
      </c>
      <c r="H2600">
        <f t="shared" si="80"/>
        <v>107</v>
      </c>
      <c r="I2600">
        <v>0</v>
      </c>
      <c r="J2600">
        <v>0</v>
      </c>
      <c r="K2600">
        <v>0</v>
      </c>
      <c r="L2600">
        <f t="shared" si="81"/>
        <v>0</v>
      </c>
    </row>
    <row r="2601" spans="1:12">
      <c r="A2601" t="s">
        <v>3926</v>
      </c>
      <c r="B2601" t="s">
        <v>1511</v>
      </c>
      <c r="C2601" t="s">
        <v>2826</v>
      </c>
      <c r="D2601" t="s">
        <v>2891</v>
      </c>
      <c r="E2601">
        <v>0</v>
      </c>
      <c r="F2601">
        <v>0</v>
      </c>
      <c r="G2601">
        <v>0</v>
      </c>
      <c r="H2601">
        <f t="shared" si="80"/>
        <v>0</v>
      </c>
      <c r="I2601">
        <v>1</v>
      </c>
      <c r="J2601">
        <v>0</v>
      </c>
      <c r="K2601">
        <v>0</v>
      </c>
      <c r="L2601">
        <f t="shared" si="81"/>
        <v>1</v>
      </c>
    </row>
    <row r="2602" spans="1:12">
      <c r="A2602" t="s">
        <v>3926</v>
      </c>
      <c r="B2602" t="s">
        <v>1511</v>
      </c>
      <c r="C2602" t="s">
        <v>2826</v>
      </c>
      <c r="D2602" t="s">
        <v>2843</v>
      </c>
      <c r="E2602">
        <v>0</v>
      </c>
      <c r="F2602">
        <v>0</v>
      </c>
      <c r="G2602">
        <v>0</v>
      </c>
      <c r="H2602">
        <f t="shared" si="80"/>
        <v>0</v>
      </c>
      <c r="I2602">
        <v>1</v>
      </c>
      <c r="J2602">
        <v>0</v>
      </c>
      <c r="K2602">
        <v>0</v>
      </c>
      <c r="L2602">
        <f t="shared" si="81"/>
        <v>1</v>
      </c>
    </row>
    <row r="2603" spans="1:12">
      <c r="A2603" t="s">
        <v>3926</v>
      </c>
      <c r="B2603" t="s">
        <v>1511</v>
      </c>
      <c r="C2603" t="s">
        <v>2817</v>
      </c>
      <c r="D2603" t="s">
        <v>2818</v>
      </c>
      <c r="E2603">
        <v>8</v>
      </c>
      <c r="F2603">
        <v>0</v>
      </c>
      <c r="G2603">
        <v>0</v>
      </c>
      <c r="H2603">
        <f t="shared" si="80"/>
        <v>8</v>
      </c>
      <c r="I2603">
        <v>0</v>
      </c>
      <c r="J2603">
        <v>0</v>
      </c>
      <c r="K2603">
        <v>0</v>
      </c>
      <c r="L2603">
        <f t="shared" si="81"/>
        <v>0</v>
      </c>
    </row>
    <row r="2604" spans="1:12">
      <c r="A2604" t="s">
        <v>3926</v>
      </c>
      <c r="B2604" t="s">
        <v>1511</v>
      </c>
      <c r="C2604" t="s">
        <v>2817</v>
      </c>
      <c r="D2604" t="s">
        <v>2837</v>
      </c>
      <c r="E2604">
        <v>48</v>
      </c>
      <c r="F2604">
        <v>0</v>
      </c>
      <c r="G2604">
        <v>0</v>
      </c>
      <c r="H2604">
        <f t="shared" si="80"/>
        <v>48</v>
      </c>
      <c r="I2604">
        <v>0</v>
      </c>
      <c r="J2604">
        <v>0</v>
      </c>
      <c r="K2604">
        <v>0</v>
      </c>
      <c r="L2604">
        <f t="shared" si="81"/>
        <v>0</v>
      </c>
    </row>
    <row r="2605" spans="1:12">
      <c r="A2605" t="s">
        <v>3926</v>
      </c>
      <c r="B2605" t="s">
        <v>1511</v>
      </c>
      <c r="C2605" t="s">
        <v>2817</v>
      </c>
      <c r="D2605" t="s">
        <v>2819</v>
      </c>
      <c r="E2605">
        <v>9</v>
      </c>
      <c r="F2605">
        <v>0</v>
      </c>
      <c r="G2605">
        <v>0</v>
      </c>
      <c r="H2605">
        <f t="shared" si="80"/>
        <v>9</v>
      </c>
      <c r="I2605">
        <v>0</v>
      </c>
      <c r="J2605">
        <v>0</v>
      </c>
      <c r="K2605">
        <v>0</v>
      </c>
      <c r="L2605">
        <f t="shared" si="81"/>
        <v>0</v>
      </c>
    </row>
    <row r="2606" spans="1:12">
      <c r="A2606" t="s">
        <v>3926</v>
      </c>
      <c r="B2606" t="s">
        <v>1511</v>
      </c>
      <c r="C2606" t="s">
        <v>2817</v>
      </c>
      <c r="D2606" t="s">
        <v>2909</v>
      </c>
      <c r="E2606">
        <v>1</v>
      </c>
      <c r="F2606">
        <v>0</v>
      </c>
      <c r="G2606">
        <v>0</v>
      </c>
      <c r="H2606">
        <f t="shared" si="80"/>
        <v>1</v>
      </c>
      <c r="I2606">
        <v>0</v>
      </c>
      <c r="J2606">
        <v>0</v>
      </c>
      <c r="K2606">
        <v>0</v>
      </c>
      <c r="L2606">
        <f t="shared" si="81"/>
        <v>0</v>
      </c>
    </row>
    <row r="2607" spans="1:12">
      <c r="A2607" t="s">
        <v>3931</v>
      </c>
      <c r="B2607" t="s">
        <v>1518</v>
      </c>
      <c r="C2607" t="s">
        <v>2805</v>
      </c>
      <c r="D2607" t="s">
        <v>2806</v>
      </c>
      <c r="E2607">
        <v>7</v>
      </c>
      <c r="F2607">
        <v>0</v>
      </c>
      <c r="G2607">
        <v>0</v>
      </c>
      <c r="H2607">
        <f t="shared" si="80"/>
        <v>7</v>
      </c>
      <c r="I2607">
        <v>0</v>
      </c>
      <c r="J2607">
        <v>0</v>
      </c>
      <c r="K2607">
        <v>0</v>
      </c>
      <c r="L2607">
        <f t="shared" si="81"/>
        <v>0</v>
      </c>
    </row>
    <row r="2608" spans="1:12">
      <c r="A2608" t="s">
        <v>3931</v>
      </c>
      <c r="B2608" t="s">
        <v>1518</v>
      </c>
      <c r="C2608" t="s">
        <v>2805</v>
      </c>
      <c r="D2608" t="s">
        <v>449</v>
      </c>
      <c r="E2608">
        <v>36</v>
      </c>
      <c r="F2608">
        <v>0</v>
      </c>
      <c r="G2608">
        <v>0</v>
      </c>
      <c r="H2608">
        <f t="shared" si="80"/>
        <v>36</v>
      </c>
      <c r="I2608">
        <v>0</v>
      </c>
      <c r="J2608">
        <v>0</v>
      </c>
      <c r="K2608">
        <v>0</v>
      </c>
      <c r="L2608">
        <f t="shared" si="81"/>
        <v>0</v>
      </c>
    </row>
    <row r="2609" spans="1:12">
      <c r="A2609" t="s">
        <v>3931</v>
      </c>
      <c r="B2609" t="s">
        <v>1518</v>
      </c>
      <c r="C2609" t="s">
        <v>2805</v>
      </c>
      <c r="D2609" t="s">
        <v>2807</v>
      </c>
      <c r="E2609">
        <v>6</v>
      </c>
      <c r="F2609">
        <v>0</v>
      </c>
      <c r="G2609">
        <v>0</v>
      </c>
      <c r="H2609">
        <f t="shared" si="80"/>
        <v>6</v>
      </c>
      <c r="I2609">
        <v>0</v>
      </c>
      <c r="J2609">
        <v>0</v>
      </c>
      <c r="K2609">
        <v>0</v>
      </c>
      <c r="L2609">
        <f t="shared" si="81"/>
        <v>0</v>
      </c>
    </row>
    <row r="2610" spans="1:12">
      <c r="A2610" t="s">
        <v>3931</v>
      </c>
      <c r="B2610" t="s">
        <v>1518</v>
      </c>
      <c r="C2610" t="s">
        <v>2810</v>
      </c>
      <c r="D2610" t="s">
        <v>2811</v>
      </c>
      <c r="E2610">
        <v>25</v>
      </c>
      <c r="F2610">
        <v>0</v>
      </c>
      <c r="G2610">
        <v>0</v>
      </c>
      <c r="H2610">
        <f t="shared" si="80"/>
        <v>25</v>
      </c>
      <c r="I2610">
        <v>0</v>
      </c>
      <c r="J2610">
        <v>0</v>
      </c>
      <c r="K2610">
        <v>0</v>
      </c>
      <c r="L2610">
        <f t="shared" si="81"/>
        <v>0</v>
      </c>
    </row>
    <row r="2611" spans="1:12">
      <c r="A2611" t="s">
        <v>3931</v>
      </c>
      <c r="B2611" t="s">
        <v>1518</v>
      </c>
      <c r="C2611" t="s">
        <v>2810</v>
      </c>
      <c r="D2611" t="s">
        <v>2812</v>
      </c>
      <c r="E2611">
        <v>15</v>
      </c>
      <c r="F2611">
        <v>0</v>
      </c>
      <c r="G2611">
        <v>0</v>
      </c>
      <c r="H2611">
        <f t="shared" si="80"/>
        <v>15</v>
      </c>
      <c r="I2611">
        <v>0</v>
      </c>
      <c r="J2611">
        <v>0</v>
      </c>
      <c r="K2611">
        <v>0</v>
      </c>
      <c r="L2611">
        <f t="shared" si="81"/>
        <v>0</v>
      </c>
    </row>
    <row r="2612" spans="1:12">
      <c r="A2612" t="s">
        <v>3931</v>
      </c>
      <c r="B2612" t="s">
        <v>1518</v>
      </c>
      <c r="C2612" t="s">
        <v>2810</v>
      </c>
      <c r="D2612" t="s">
        <v>2813</v>
      </c>
      <c r="E2612">
        <v>23</v>
      </c>
      <c r="F2612">
        <v>0</v>
      </c>
      <c r="G2612">
        <v>0</v>
      </c>
      <c r="H2612">
        <f t="shared" si="80"/>
        <v>23</v>
      </c>
      <c r="I2612">
        <v>0</v>
      </c>
      <c r="J2612">
        <v>0</v>
      </c>
      <c r="K2612">
        <v>0</v>
      </c>
      <c r="L2612">
        <f t="shared" si="81"/>
        <v>0</v>
      </c>
    </row>
    <row r="2613" spans="1:12">
      <c r="A2613" t="s">
        <v>3931</v>
      </c>
      <c r="B2613" t="s">
        <v>1518</v>
      </c>
      <c r="C2613" t="s">
        <v>2810</v>
      </c>
      <c r="D2613" t="s">
        <v>2815</v>
      </c>
      <c r="E2613">
        <v>2</v>
      </c>
      <c r="F2613">
        <v>0</v>
      </c>
      <c r="G2613">
        <v>0</v>
      </c>
      <c r="H2613">
        <f t="shared" si="80"/>
        <v>2</v>
      </c>
      <c r="I2613">
        <v>0</v>
      </c>
      <c r="J2613">
        <v>0</v>
      </c>
      <c r="K2613">
        <v>0</v>
      </c>
      <c r="L2613">
        <f t="shared" si="81"/>
        <v>0</v>
      </c>
    </row>
    <row r="2614" spans="1:12">
      <c r="A2614" t="s">
        <v>3931</v>
      </c>
      <c r="B2614" t="s">
        <v>1518</v>
      </c>
      <c r="C2614" t="s">
        <v>2826</v>
      </c>
      <c r="D2614" t="s">
        <v>2828</v>
      </c>
      <c r="E2614">
        <v>0</v>
      </c>
      <c r="F2614">
        <v>0</v>
      </c>
      <c r="G2614">
        <v>0</v>
      </c>
      <c r="H2614">
        <f t="shared" si="80"/>
        <v>0</v>
      </c>
      <c r="I2614">
        <v>1</v>
      </c>
      <c r="J2614">
        <v>0</v>
      </c>
      <c r="K2614">
        <v>0</v>
      </c>
      <c r="L2614">
        <f t="shared" si="81"/>
        <v>1</v>
      </c>
    </row>
    <row r="2615" spans="1:12">
      <c r="A2615" t="s">
        <v>3931</v>
      </c>
      <c r="B2615" t="s">
        <v>1518</v>
      </c>
      <c r="C2615" t="s">
        <v>2826</v>
      </c>
      <c r="D2615" t="s">
        <v>2891</v>
      </c>
      <c r="E2615">
        <v>0</v>
      </c>
      <c r="F2615">
        <v>0</v>
      </c>
      <c r="G2615">
        <v>0</v>
      </c>
      <c r="H2615">
        <f t="shared" si="80"/>
        <v>0</v>
      </c>
      <c r="I2615">
        <v>1</v>
      </c>
      <c r="J2615">
        <v>0</v>
      </c>
      <c r="K2615">
        <v>0</v>
      </c>
      <c r="L2615">
        <f t="shared" si="81"/>
        <v>1</v>
      </c>
    </row>
    <row r="2616" spans="1:12">
      <c r="A2616" t="s">
        <v>3931</v>
      </c>
      <c r="B2616" t="s">
        <v>1518</v>
      </c>
      <c r="C2616" t="s">
        <v>2826</v>
      </c>
      <c r="D2616" t="s">
        <v>2858</v>
      </c>
      <c r="E2616">
        <v>1</v>
      </c>
      <c r="F2616">
        <v>0</v>
      </c>
      <c r="G2616">
        <v>0</v>
      </c>
      <c r="H2616">
        <f t="shared" si="80"/>
        <v>1</v>
      </c>
      <c r="I2616">
        <v>0</v>
      </c>
      <c r="J2616">
        <v>0</v>
      </c>
      <c r="K2616">
        <v>0</v>
      </c>
      <c r="L2616">
        <f t="shared" si="81"/>
        <v>0</v>
      </c>
    </row>
    <row r="2617" spans="1:12">
      <c r="A2617" t="s">
        <v>3931</v>
      </c>
      <c r="B2617" t="s">
        <v>1518</v>
      </c>
      <c r="C2617" t="s">
        <v>2826</v>
      </c>
      <c r="D2617" t="s">
        <v>2843</v>
      </c>
      <c r="E2617">
        <v>0</v>
      </c>
      <c r="F2617">
        <v>0</v>
      </c>
      <c r="G2617">
        <v>0</v>
      </c>
      <c r="H2617">
        <f t="shared" si="80"/>
        <v>0</v>
      </c>
      <c r="I2617">
        <v>2</v>
      </c>
      <c r="J2617">
        <v>0</v>
      </c>
      <c r="K2617">
        <v>0</v>
      </c>
      <c r="L2617">
        <f t="shared" si="81"/>
        <v>2</v>
      </c>
    </row>
    <row r="2618" spans="1:12">
      <c r="A2618" t="s">
        <v>3931</v>
      </c>
      <c r="B2618" t="s">
        <v>1518</v>
      </c>
      <c r="C2618" t="s">
        <v>2826</v>
      </c>
      <c r="D2618" t="s">
        <v>2885</v>
      </c>
      <c r="E2618">
        <v>0</v>
      </c>
      <c r="F2618">
        <v>0</v>
      </c>
      <c r="G2618">
        <v>0</v>
      </c>
      <c r="H2618">
        <f t="shared" si="80"/>
        <v>0</v>
      </c>
      <c r="I2618">
        <v>1</v>
      </c>
      <c r="J2618">
        <v>0</v>
      </c>
      <c r="K2618">
        <v>0</v>
      </c>
      <c r="L2618">
        <f t="shared" si="81"/>
        <v>1</v>
      </c>
    </row>
    <row r="2619" spans="1:12">
      <c r="A2619" t="s">
        <v>3931</v>
      </c>
      <c r="B2619" t="s">
        <v>1518</v>
      </c>
      <c r="C2619" t="s">
        <v>2826</v>
      </c>
      <c r="D2619" t="s">
        <v>2836</v>
      </c>
      <c r="E2619">
        <v>0</v>
      </c>
      <c r="F2619">
        <v>0</v>
      </c>
      <c r="G2619">
        <v>0</v>
      </c>
      <c r="H2619">
        <f t="shared" si="80"/>
        <v>0</v>
      </c>
      <c r="I2619">
        <v>1</v>
      </c>
      <c r="J2619">
        <v>0</v>
      </c>
      <c r="K2619">
        <v>0</v>
      </c>
      <c r="L2619">
        <f t="shared" si="81"/>
        <v>1</v>
      </c>
    </row>
    <row r="2620" spans="1:12">
      <c r="A2620" t="s">
        <v>3932</v>
      </c>
      <c r="B2620" t="s">
        <v>1523</v>
      </c>
      <c r="C2620" t="s">
        <v>2805</v>
      </c>
      <c r="D2620" t="s">
        <v>449</v>
      </c>
      <c r="E2620">
        <v>17</v>
      </c>
      <c r="F2620">
        <v>0</v>
      </c>
      <c r="G2620">
        <v>0</v>
      </c>
      <c r="H2620">
        <f t="shared" si="80"/>
        <v>17</v>
      </c>
      <c r="I2620">
        <v>0</v>
      </c>
      <c r="J2620">
        <v>0</v>
      </c>
      <c r="K2620">
        <v>0</v>
      </c>
      <c r="L2620">
        <f t="shared" si="81"/>
        <v>0</v>
      </c>
    </row>
    <row r="2621" spans="1:12">
      <c r="A2621" t="s">
        <v>3932</v>
      </c>
      <c r="B2621" t="s">
        <v>1523</v>
      </c>
      <c r="C2621" t="s">
        <v>2805</v>
      </c>
      <c r="D2621" t="s">
        <v>2807</v>
      </c>
      <c r="E2621">
        <v>7</v>
      </c>
      <c r="F2621">
        <v>0</v>
      </c>
      <c r="G2621">
        <v>0</v>
      </c>
      <c r="H2621">
        <f t="shared" si="80"/>
        <v>7</v>
      </c>
      <c r="I2621">
        <v>0</v>
      </c>
      <c r="J2621">
        <v>0</v>
      </c>
      <c r="K2621">
        <v>0</v>
      </c>
      <c r="L2621">
        <f t="shared" si="81"/>
        <v>0</v>
      </c>
    </row>
    <row r="2622" spans="1:12">
      <c r="A2622" t="s">
        <v>3932</v>
      </c>
      <c r="B2622" t="s">
        <v>1523</v>
      </c>
      <c r="C2622" t="s">
        <v>2810</v>
      </c>
      <c r="D2622" t="s">
        <v>2815</v>
      </c>
      <c r="E2622">
        <v>4</v>
      </c>
      <c r="F2622">
        <v>0</v>
      </c>
      <c r="G2622">
        <v>0</v>
      </c>
      <c r="H2622">
        <f t="shared" si="80"/>
        <v>4</v>
      </c>
      <c r="I2622">
        <v>2</v>
      </c>
      <c r="J2622">
        <v>0</v>
      </c>
      <c r="K2622">
        <v>0</v>
      </c>
      <c r="L2622">
        <f t="shared" si="81"/>
        <v>2</v>
      </c>
    </row>
    <row r="2623" spans="1:12">
      <c r="A2623" t="s">
        <v>3932</v>
      </c>
      <c r="B2623" t="s">
        <v>1523</v>
      </c>
      <c r="C2623" t="s">
        <v>2826</v>
      </c>
      <c r="D2623" t="s">
        <v>2871</v>
      </c>
      <c r="E2623">
        <v>0</v>
      </c>
      <c r="F2623">
        <v>0</v>
      </c>
      <c r="G2623">
        <v>0</v>
      </c>
      <c r="H2623">
        <f t="shared" si="80"/>
        <v>0</v>
      </c>
      <c r="I2623">
        <v>1</v>
      </c>
      <c r="J2623">
        <v>0</v>
      </c>
      <c r="K2623">
        <v>0</v>
      </c>
      <c r="L2623">
        <f t="shared" si="81"/>
        <v>1</v>
      </c>
    </row>
    <row r="2624" spans="1:12">
      <c r="A2624" t="s">
        <v>3932</v>
      </c>
      <c r="B2624" t="s">
        <v>1523</v>
      </c>
      <c r="C2624" t="s">
        <v>2826</v>
      </c>
      <c r="D2624" t="s">
        <v>2843</v>
      </c>
      <c r="E2624">
        <v>1</v>
      </c>
      <c r="F2624">
        <v>0</v>
      </c>
      <c r="G2624">
        <v>0</v>
      </c>
      <c r="H2624">
        <f t="shared" si="80"/>
        <v>1</v>
      </c>
      <c r="I2624">
        <v>1</v>
      </c>
      <c r="J2624">
        <v>0</v>
      </c>
      <c r="K2624">
        <v>0</v>
      </c>
      <c r="L2624">
        <f t="shared" si="81"/>
        <v>1</v>
      </c>
    </row>
    <row r="2625" spans="1:12">
      <c r="A2625" t="s">
        <v>3932</v>
      </c>
      <c r="B2625" t="s">
        <v>1523</v>
      </c>
      <c r="C2625" t="s">
        <v>2826</v>
      </c>
      <c r="D2625" t="s">
        <v>2834</v>
      </c>
      <c r="E2625">
        <v>1</v>
      </c>
      <c r="F2625">
        <v>0</v>
      </c>
      <c r="G2625">
        <v>0</v>
      </c>
      <c r="H2625">
        <f t="shared" si="80"/>
        <v>1</v>
      </c>
      <c r="I2625">
        <v>0</v>
      </c>
      <c r="J2625">
        <v>0</v>
      </c>
      <c r="K2625">
        <v>0</v>
      </c>
      <c r="L2625">
        <f t="shared" si="81"/>
        <v>0</v>
      </c>
    </row>
    <row r="2626" spans="1:12">
      <c r="A2626" t="s">
        <v>3932</v>
      </c>
      <c r="B2626" t="s">
        <v>1523</v>
      </c>
      <c r="C2626" t="s">
        <v>2817</v>
      </c>
      <c r="D2626" t="s">
        <v>2877</v>
      </c>
      <c r="E2626">
        <v>1</v>
      </c>
      <c r="F2626">
        <v>0</v>
      </c>
      <c r="G2626">
        <v>0</v>
      </c>
      <c r="H2626">
        <f t="shared" si="80"/>
        <v>1</v>
      </c>
      <c r="I2626">
        <v>0</v>
      </c>
      <c r="J2626">
        <v>0</v>
      </c>
      <c r="K2626">
        <v>0</v>
      </c>
      <c r="L2626">
        <f t="shared" si="81"/>
        <v>0</v>
      </c>
    </row>
    <row r="2627" spans="1:12">
      <c r="A2627" t="s">
        <v>3932</v>
      </c>
      <c r="B2627" t="s">
        <v>1523</v>
      </c>
      <c r="C2627" t="s">
        <v>2820</v>
      </c>
      <c r="D2627" t="s">
        <v>2949</v>
      </c>
      <c r="E2627">
        <v>2</v>
      </c>
      <c r="F2627">
        <v>0</v>
      </c>
      <c r="G2627">
        <v>0</v>
      </c>
      <c r="H2627">
        <f t="shared" si="80"/>
        <v>2</v>
      </c>
      <c r="I2627">
        <v>0</v>
      </c>
      <c r="J2627">
        <v>0</v>
      </c>
      <c r="K2627">
        <v>0</v>
      </c>
      <c r="L2627">
        <f t="shared" si="81"/>
        <v>0</v>
      </c>
    </row>
    <row r="2628" spans="1:12">
      <c r="A2628" t="s">
        <v>3933</v>
      </c>
      <c r="B2628" t="s">
        <v>1524</v>
      </c>
      <c r="C2628" t="s">
        <v>2805</v>
      </c>
      <c r="D2628" t="s">
        <v>2806</v>
      </c>
      <c r="E2628">
        <v>20</v>
      </c>
      <c r="F2628">
        <v>0</v>
      </c>
      <c r="G2628">
        <v>0</v>
      </c>
      <c r="H2628">
        <f t="shared" ref="H2628:H2691" si="82">SUM(E2628:G2628)</f>
        <v>20</v>
      </c>
      <c r="I2628">
        <v>0</v>
      </c>
      <c r="J2628">
        <v>0</v>
      </c>
      <c r="K2628">
        <v>0</v>
      </c>
      <c r="L2628">
        <f t="shared" ref="L2628:L2691" si="83">SUM(I2628:K2628)</f>
        <v>0</v>
      </c>
    </row>
    <row r="2629" spans="1:12">
      <c r="A2629" t="s">
        <v>3933</v>
      </c>
      <c r="B2629" t="s">
        <v>1524</v>
      </c>
      <c r="C2629" t="s">
        <v>2805</v>
      </c>
      <c r="D2629" t="s">
        <v>449</v>
      </c>
      <c r="E2629">
        <v>63</v>
      </c>
      <c r="F2629">
        <v>0</v>
      </c>
      <c r="G2629">
        <v>0</v>
      </c>
      <c r="H2629">
        <f t="shared" si="82"/>
        <v>63</v>
      </c>
      <c r="I2629">
        <v>11</v>
      </c>
      <c r="J2629">
        <v>0</v>
      </c>
      <c r="K2629">
        <v>0</v>
      </c>
      <c r="L2629">
        <f t="shared" si="83"/>
        <v>11</v>
      </c>
    </row>
    <row r="2630" spans="1:12">
      <c r="A2630" t="s">
        <v>3933</v>
      </c>
      <c r="B2630" t="s">
        <v>1524</v>
      </c>
      <c r="C2630" t="s">
        <v>2805</v>
      </c>
      <c r="D2630" t="s">
        <v>2807</v>
      </c>
      <c r="E2630">
        <v>5</v>
      </c>
      <c r="F2630">
        <v>0</v>
      </c>
      <c r="G2630">
        <v>0</v>
      </c>
      <c r="H2630">
        <f t="shared" si="82"/>
        <v>5</v>
      </c>
      <c r="I2630">
        <v>0</v>
      </c>
      <c r="J2630">
        <v>0</v>
      </c>
      <c r="K2630">
        <v>0</v>
      </c>
      <c r="L2630">
        <f t="shared" si="83"/>
        <v>0</v>
      </c>
    </row>
    <row r="2631" spans="1:12">
      <c r="A2631" t="s">
        <v>3933</v>
      </c>
      <c r="B2631" t="s">
        <v>1524</v>
      </c>
      <c r="C2631" t="s">
        <v>2810</v>
      </c>
      <c r="D2631" t="s">
        <v>2811</v>
      </c>
      <c r="E2631">
        <v>16</v>
      </c>
      <c r="F2631">
        <v>0</v>
      </c>
      <c r="G2631">
        <v>0</v>
      </c>
      <c r="H2631">
        <f t="shared" si="82"/>
        <v>16</v>
      </c>
      <c r="I2631">
        <v>1</v>
      </c>
      <c r="J2631">
        <v>0</v>
      </c>
      <c r="K2631">
        <v>0</v>
      </c>
      <c r="L2631">
        <f t="shared" si="83"/>
        <v>1</v>
      </c>
    </row>
    <row r="2632" spans="1:12">
      <c r="A2632" t="s">
        <v>3933</v>
      </c>
      <c r="B2632" t="s">
        <v>1524</v>
      </c>
      <c r="C2632" t="s">
        <v>2810</v>
      </c>
      <c r="D2632" t="s">
        <v>1892</v>
      </c>
      <c r="E2632">
        <v>0</v>
      </c>
      <c r="F2632">
        <v>6</v>
      </c>
      <c r="G2632">
        <v>0</v>
      </c>
      <c r="H2632">
        <f t="shared" si="82"/>
        <v>6</v>
      </c>
      <c r="I2632">
        <v>0</v>
      </c>
      <c r="J2632">
        <v>8</v>
      </c>
      <c r="K2632">
        <v>0</v>
      </c>
      <c r="L2632">
        <f t="shared" si="83"/>
        <v>8</v>
      </c>
    </row>
    <row r="2633" spans="1:12">
      <c r="A2633" t="s">
        <v>3933</v>
      </c>
      <c r="B2633" t="s">
        <v>1524</v>
      </c>
      <c r="C2633" t="s">
        <v>2810</v>
      </c>
      <c r="D2633" t="s">
        <v>2823</v>
      </c>
      <c r="E2633">
        <v>0</v>
      </c>
      <c r="F2633">
        <v>19</v>
      </c>
      <c r="G2633">
        <v>0</v>
      </c>
      <c r="H2633">
        <f t="shared" si="82"/>
        <v>19</v>
      </c>
      <c r="I2633">
        <v>0</v>
      </c>
      <c r="J2633">
        <v>0</v>
      </c>
      <c r="K2633">
        <v>0</v>
      </c>
      <c r="L2633">
        <f t="shared" si="83"/>
        <v>0</v>
      </c>
    </row>
    <row r="2634" spans="1:12">
      <c r="A2634" t="s">
        <v>3933</v>
      </c>
      <c r="B2634" t="s">
        <v>1524</v>
      </c>
      <c r="C2634" t="s">
        <v>2810</v>
      </c>
      <c r="D2634" t="s">
        <v>2812</v>
      </c>
      <c r="E2634">
        <v>223</v>
      </c>
      <c r="F2634">
        <v>4</v>
      </c>
      <c r="G2634">
        <v>0</v>
      </c>
      <c r="H2634">
        <f t="shared" si="82"/>
        <v>227</v>
      </c>
      <c r="I2634">
        <v>10</v>
      </c>
      <c r="J2634">
        <v>0</v>
      </c>
      <c r="K2634">
        <v>0</v>
      </c>
      <c r="L2634">
        <f t="shared" si="83"/>
        <v>10</v>
      </c>
    </row>
    <row r="2635" spans="1:12">
      <c r="A2635" t="s">
        <v>3933</v>
      </c>
      <c r="B2635" t="s">
        <v>1524</v>
      </c>
      <c r="C2635" t="s">
        <v>2810</v>
      </c>
      <c r="D2635" t="s">
        <v>2813</v>
      </c>
      <c r="E2635">
        <v>32</v>
      </c>
      <c r="F2635">
        <v>0</v>
      </c>
      <c r="G2635">
        <v>0</v>
      </c>
      <c r="H2635">
        <f t="shared" si="82"/>
        <v>32</v>
      </c>
      <c r="I2635">
        <v>0</v>
      </c>
      <c r="J2635">
        <v>0</v>
      </c>
      <c r="K2635">
        <v>0</v>
      </c>
      <c r="L2635">
        <f t="shared" si="83"/>
        <v>0</v>
      </c>
    </row>
    <row r="2636" spans="1:12">
      <c r="A2636" t="s">
        <v>3933</v>
      </c>
      <c r="B2636" t="s">
        <v>1524</v>
      </c>
      <c r="C2636" t="s">
        <v>2810</v>
      </c>
      <c r="D2636" t="s">
        <v>2814</v>
      </c>
      <c r="E2636">
        <v>2</v>
      </c>
      <c r="F2636">
        <v>0</v>
      </c>
      <c r="G2636">
        <v>0</v>
      </c>
      <c r="H2636">
        <f t="shared" si="82"/>
        <v>2</v>
      </c>
      <c r="I2636">
        <v>0</v>
      </c>
      <c r="J2636">
        <v>0</v>
      </c>
      <c r="K2636">
        <v>0</v>
      </c>
      <c r="L2636">
        <f t="shared" si="83"/>
        <v>0</v>
      </c>
    </row>
    <row r="2637" spans="1:12">
      <c r="A2637" t="s">
        <v>3933</v>
      </c>
      <c r="B2637" t="s">
        <v>1524</v>
      </c>
      <c r="C2637" t="s">
        <v>2810</v>
      </c>
      <c r="D2637" t="s">
        <v>2847</v>
      </c>
      <c r="E2637">
        <v>47</v>
      </c>
      <c r="F2637">
        <v>0</v>
      </c>
      <c r="G2637">
        <v>0</v>
      </c>
      <c r="H2637">
        <f t="shared" si="82"/>
        <v>47</v>
      </c>
      <c r="I2637">
        <v>0</v>
      </c>
      <c r="J2637">
        <v>0</v>
      </c>
      <c r="K2637">
        <v>0</v>
      </c>
      <c r="L2637">
        <f t="shared" si="83"/>
        <v>0</v>
      </c>
    </row>
    <row r="2638" spans="1:12">
      <c r="A2638" t="s">
        <v>3933</v>
      </c>
      <c r="B2638" t="s">
        <v>1524</v>
      </c>
      <c r="C2638" t="s">
        <v>2816</v>
      </c>
      <c r="D2638" t="s">
        <v>2904</v>
      </c>
      <c r="E2638">
        <v>2</v>
      </c>
      <c r="F2638">
        <v>0</v>
      </c>
      <c r="G2638">
        <v>0</v>
      </c>
      <c r="H2638">
        <f t="shared" si="82"/>
        <v>2</v>
      </c>
      <c r="I2638">
        <v>0</v>
      </c>
      <c r="J2638">
        <v>0</v>
      </c>
      <c r="K2638">
        <v>0</v>
      </c>
      <c r="L2638">
        <f t="shared" si="83"/>
        <v>0</v>
      </c>
    </row>
    <row r="2639" spans="1:12">
      <c r="A2639" t="s">
        <v>3933</v>
      </c>
      <c r="B2639" t="s">
        <v>1524</v>
      </c>
      <c r="C2639" t="s">
        <v>2817</v>
      </c>
      <c r="D2639" t="s">
        <v>2909</v>
      </c>
      <c r="E2639">
        <v>2</v>
      </c>
      <c r="F2639">
        <v>0</v>
      </c>
      <c r="G2639">
        <v>0</v>
      </c>
      <c r="H2639">
        <f t="shared" si="82"/>
        <v>2</v>
      </c>
      <c r="I2639">
        <v>0</v>
      </c>
      <c r="J2639">
        <v>0</v>
      </c>
      <c r="K2639">
        <v>0</v>
      </c>
      <c r="L2639">
        <f t="shared" si="83"/>
        <v>0</v>
      </c>
    </row>
    <row r="2640" spans="1:12">
      <c r="A2640" t="s">
        <v>3933</v>
      </c>
      <c r="B2640" t="s">
        <v>1524</v>
      </c>
      <c r="C2640" t="s">
        <v>2820</v>
      </c>
      <c r="D2640" t="s">
        <v>2821</v>
      </c>
      <c r="E2640">
        <v>2</v>
      </c>
      <c r="F2640">
        <v>0</v>
      </c>
      <c r="G2640">
        <v>0</v>
      </c>
      <c r="H2640">
        <f t="shared" si="82"/>
        <v>2</v>
      </c>
      <c r="I2640">
        <v>0</v>
      </c>
      <c r="J2640">
        <v>0</v>
      </c>
      <c r="K2640">
        <v>0</v>
      </c>
      <c r="L2640">
        <f t="shared" si="83"/>
        <v>0</v>
      </c>
    </row>
    <row r="2641" spans="1:12">
      <c r="A2641" t="s">
        <v>3934</v>
      </c>
      <c r="B2641" t="s">
        <v>1530</v>
      </c>
      <c r="C2641" t="s">
        <v>2805</v>
      </c>
      <c r="D2641" t="s">
        <v>2806</v>
      </c>
      <c r="E2641">
        <v>24</v>
      </c>
      <c r="F2641">
        <v>0</v>
      </c>
      <c r="G2641">
        <v>0</v>
      </c>
      <c r="H2641">
        <f t="shared" si="82"/>
        <v>24</v>
      </c>
      <c r="I2641">
        <v>17</v>
      </c>
      <c r="J2641">
        <v>0</v>
      </c>
      <c r="K2641">
        <v>0</v>
      </c>
      <c r="L2641">
        <f t="shared" si="83"/>
        <v>17</v>
      </c>
    </row>
    <row r="2642" spans="1:12">
      <c r="A2642" t="s">
        <v>3934</v>
      </c>
      <c r="B2642" t="s">
        <v>1530</v>
      </c>
      <c r="C2642" t="s">
        <v>2805</v>
      </c>
      <c r="D2642" t="s">
        <v>449</v>
      </c>
      <c r="E2642">
        <v>55</v>
      </c>
      <c r="F2642">
        <v>0</v>
      </c>
      <c r="G2642">
        <v>0</v>
      </c>
      <c r="H2642">
        <f t="shared" si="82"/>
        <v>55</v>
      </c>
      <c r="I2642">
        <v>13</v>
      </c>
      <c r="J2642">
        <v>0</v>
      </c>
      <c r="K2642">
        <v>0</v>
      </c>
      <c r="L2642">
        <f t="shared" si="83"/>
        <v>13</v>
      </c>
    </row>
    <row r="2643" spans="1:12">
      <c r="A2643" t="s">
        <v>3934</v>
      </c>
      <c r="B2643" t="s">
        <v>1530</v>
      </c>
      <c r="C2643" t="s">
        <v>2805</v>
      </c>
      <c r="D2643" t="s">
        <v>2807</v>
      </c>
      <c r="E2643">
        <v>1</v>
      </c>
      <c r="F2643">
        <v>0</v>
      </c>
      <c r="G2643">
        <v>0</v>
      </c>
      <c r="H2643">
        <f t="shared" si="82"/>
        <v>1</v>
      </c>
      <c r="I2643">
        <v>0</v>
      </c>
      <c r="J2643">
        <v>0</v>
      </c>
      <c r="K2643">
        <v>0</v>
      </c>
      <c r="L2643">
        <f t="shared" si="83"/>
        <v>0</v>
      </c>
    </row>
    <row r="2644" spans="1:12">
      <c r="A2644" t="s">
        <v>3934</v>
      </c>
      <c r="B2644" t="s">
        <v>1530</v>
      </c>
      <c r="C2644" t="s">
        <v>2805</v>
      </c>
      <c r="D2644" t="s">
        <v>2809</v>
      </c>
      <c r="E2644">
        <v>3</v>
      </c>
      <c r="F2644">
        <v>0</v>
      </c>
      <c r="G2644">
        <v>0</v>
      </c>
      <c r="H2644">
        <f t="shared" si="82"/>
        <v>3</v>
      </c>
      <c r="I2644">
        <v>0</v>
      </c>
      <c r="J2644">
        <v>0</v>
      </c>
      <c r="K2644">
        <v>0</v>
      </c>
      <c r="L2644">
        <f t="shared" si="83"/>
        <v>0</v>
      </c>
    </row>
    <row r="2645" spans="1:12">
      <c r="A2645" t="s">
        <v>3934</v>
      </c>
      <c r="B2645" t="s">
        <v>1530</v>
      </c>
      <c r="C2645" t="s">
        <v>2805</v>
      </c>
      <c r="D2645" t="s">
        <v>442</v>
      </c>
      <c r="E2645">
        <v>0</v>
      </c>
      <c r="F2645">
        <v>0</v>
      </c>
      <c r="G2645">
        <v>0</v>
      </c>
      <c r="H2645">
        <f t="shared" si="82"/>
        <v>0</v>
      </c>
      <c r="I2645">
        <v>2</v>
      </c>
      <c r="J2645">
        <v>0</v>
      </c>
      <c r="K2645">
        <v>0</v>
      </c>
      <c r="L2645">
        <f t="shared" si="83"/>
        <v>2</v>
      </c>
    </row>
    <row r="2646" spans="1:12">
      <c r="A2646" t="s">
        <v>3934</v>
      </c>
      <c r="B2646" t="s">
        <v>1530</v>
      </c>
      <c r="C2646" t="s">
        <v>2810</v>
      </c>
      <c r="D2646" t="s">
        <v>2811</v>
      </c>
      <c r="E2646">
        <v>12</v>
      </c>
      <c r="F2646">
        <v>0</v>
      </c>
      <c r="G2646">
        <v>0</v>
      </c>
      <c r="H2646">
        <f t="shared" si="82"/>
        <v>12</v>
      </c>
      <c r="I2646">
        <v>1</v>
      </c>
      <c r="J2646">
        <v>0</v>
      </c>
      <c r="K2646">
        <v>0</v>
      </c>
      <c r="L2646">
        <f t="shared" si="83"/>
        <v>1</v>
      </c>
    </row>
    <row r="2647" spans="1:12">
      <c r="A2647" t="s">
        <v>3934</v>
      </c>
      <c r="B2647" t="s">
        <v>1530</v>
      </c>
      <c r="C2647" t="s">
        <v>2810</v>
      </c>
      <c r="D2647" t="s">
        <v>1892</v>
      </c>
      <c r="E2647">
        <v>0</v>
      </c>
      <c r="F2647">
        <v>0</v>
      </c>
      <c r="G2647">
        <v>0</v>
      </c>
      <c r="H2647">
        <f t="shared" si="82"/>
        <v>0</v>
      </c>
      <c r="I2647">
        <v>14</v>
      </c>
      <c r="J2647">
        <v>5</v>
      </c>
      <c r="K2647">
        <v>0</v>
      </c>
      <c r="L2647">
        <f t="shared" si="83"/>
        <v>19</v>
      </c>
    </row>
    <row r="2648" spans="1:12">
      <c r="A2648" t="s">
        <v>3934</v>
      </c>
      <c r="B2648" t="s">
        <v>1530</v>
      </c>
      <c r="C2648" t="s">
        <v>2810</v>
      </c>
      <c r="D2648" t="s">
        <v>2823</v>
      </c>
      <c r="E2648">
        <v>1</v>
      </c>
      <c r="F2648">
        <v>0</v>
      </c>
      <c r="G2648">
        <v>0</v>
      </c>
      <c r="H2648">
        <f t="shared" si="82"/>
        <v>1</v>
      </c>
      <c r="I2648">
        <v>5</v>
      </c>
      <c r="J2648">
        <v>0</v>
      </c>
      <c r="K2648">
        <v>0</v>
      </c>
      <c r="L2648">
        <f t="shared" si="83"/>
        <v>5</v>
      </c>
    </row>
    <row r="2649" spans="1:12">
      <c r="A2649" t="s">
        <v>3934</v>
      </c>
      <c r="B2649" t="s">
        <v>1530</v>
      </c>
      <c r="C2649" t="s">
        <v>2810</v>
      </c>
      <c r="D2649" t="s">
        <v>2812</v>
      </c>
      <c r="E2649">
        <v>64</v>
      </c>
      <c r="F2649">
        <v>0</v>
      </c>
      <c r="G2649">
        <v>0</v>
      </c>
      <c r="H2649">
        <f t="shared" si="82"/>
        <v>64</v>
      </c>
      <c r="I2649">
        <v>26</v>
      </c>
      <c r="J2649">
        <v>0</v>
      </c>
      <c r="K2649">
        <v>0</v>
      </c>
      <c r="L2649">
        <f t="shared" si="83"/>
        <v>26</v>
      </c>
    </row>
    <row r="2650" spans="1:12">
      <c r="A2650" t="s">
        <v>3934</v>
      </c>
      <c r="B2650" t="s">
        <v>1530</v>
      </c>
      <c r="C2650" t="s">
        <v>2810</v>
      </c>
      <c r="D2650" t="s">
        <v>2813</v>
      </c>
      <c r="E2650">
        <v>34</v>
      </c>
      <c r="F2650">
        <v>0</v>
      </c>
      <c r="G2650">
        <v>0</v>
      </c>
      <c r="H2650">
        <f t="shared" si="82"/>
        <v>34</v>
      </c>
      <c r="I2650">
        <v>3</v>
      </c>
      <c r="J2650">
        <v>0</v>
      </c>
      <c r="K2650">
        <v>0</v>
      </c>
      <c r="L2650">
        <f t="shared" si="83"/>
        <v>3</v>
      </c>
    </row>
    <row r="2651" spans="1:12">
      <c r="A2651" t="s">
        <v>3934</v>
      </c>
      <c r="B2651" t="s">
        <v>1530</v>
      </c>
      <c r="C2651" t="s">
        <v>2816</v>
      </c>
      <c r="D2651" t="s">
        <v>1897</v>
      </c>
      <c r="E2651">
        <v>0</v>
      </c>
      <c r="F2651">
        <v>0</v>
      </c>
      <c r="G2651">
        <v>0</v>
      </c>
      <c r="H2651">
        <f t="shared" si="82"/>
        <v>0</v>
      </c>
      <c r="I2651">
        <v>2</v>
      </c>
      <c r="J2651">
        <v>0</v>
      </c>
      <c r="K2651">
        <v>0</v>
      </c>
      <c r="L2651">
        <f t="shared" si="83"/>
        <v>2</v>
      </c>
    </row>
    <row r="2652" spans="1:12">
      <c r="A2652" t="s">
        <v>3934</v>
      </c>
      <c r="B2652" t="s">
        <v>1530</v>
      </c>
      <c r="C2652" t="s">
        <v>2826</v>
      </c>
      <c r="D2652" t="s">
        <v>2834</v>
      </c>
      <c r="E2652">
        <v>1</v>
      </c>
      <c r="F2652">
        <v>0</v>
      </c>
      <c r="G2652">
        <v>0</v>
      </c>
      <c r="H2652">
        <f t="shared" si="82"/>
        <v>1</v>
      </c>
      <c r="I2652">
        <v>0</v>
      </c>
      <c r="J2652">
        <v>0</v>
      </c>
      <c r="K2652">
        <v>0</v>
      </c>
      <c r="L2652">
        <f t="shared" si="83"/>
        <v>0</v>
      </c>
    </row>
    <row r="2653" spans="1:12">
      <c r="A2653" t="s">
        <v>3934</v>
      </c>
      <c r="B2653" t="s">
        <v>1530</v>
      </c>
      <c r="C2653" t="s">
        <v>2817</v>
      </c>
      <c r="D2653" t="s">
        <v>2887</v>
      </c>
      <c r="E2653">
        <v>1</v>
      </c>
      <c r="F2653">
        <v>0</v>
      </c>
      <c r="G2653">
        <v>0</v>
      </c>
      <c r="H2653">
        <f t="shared" si="82"/>
        <v>1</v>
      </c>
      <c r="I2653">
        <v>0</v>
      </c>
      <c r="J2653">
        <v>1</v>
      </c>
      <c r="K2653">
        <v>0</v>
      </c>
      <c r="L2653">
        <f t="shared" si="83"/>
        <v>1</v>
      </c>
    </row>
    <row r="2654" spans="1:12">
      <c r="A2654" t="s">
        <v>3934</v>
      </c>
      <c r="B2654" t="s">
        <v>1530</v>
      </c>
      <c r="C2654" t="s">
        <v>2817</v>
      </c>
      <c r="D2654" t="s">
        <v>2818</v>
      </c>
      <c r="E2654">
        <v>1</v>
      </c>
      <c r="F2654">
        <v>0</v>
      </c>
      <c r="G2654">
        <v>0</v>
      </c>
      <c r="H2654">
        <f t="shared" si="82"/>
        <v>1</v>
      </c>
      <c r="I2654">
        <v>0</v>
      </c>
      <c r="J2654">
        <v>0</v>
      </c>
      <c r="K2654">
        <v>0</v>
      </c>
      <c r="L2654">
        <f t="shared" si="83"/>
        <v>0</v>
      </c>
    </row>
    <row r="2655" spans="1:12">
      <c r="A2655" t="s">
        <v>3937</v>
      </c>
      <c r="B2655" t="s">
        <v>1411</v>
      </c>
      <c r="C2655" t="s">
        <v>2805</v>
      </c>
      <c r="D2655" t="s">
        <v>2806</v>
      </c>
      <c r="E2655">
        <v>287</v>
      </c>
      <c r="F2655">
        <v>0</v>
      </c>
      <c r="G2655">
        <v>0</v>
      </c>
      <c r="H2655">
        <f t="shared" si="82"/>
        <v>287</v>
      </c>
      <c r="I2655">
        <v>0</v>
      </c>
      <c r="J2655">
        <v>0</v>
      </c>
      <c r="K2655">
        <v>0</v>
      </c>
      <c r="L2655">
        <f t="shared" si="83"/>
        <v>0</v>
      </c>
    </row>
    <row r="2656" spans="1:12">
      <c r="A2656" t="s">
        <v>3937</v>
      </c>
      <c r="B2656" t="s">
        <v>1411</v>
      </c>
      <c r="C2656" t="s">
        <v>2805</v>
      </c>
      <c r="D2656" t="s">
        <v>449</v>
      </c>
      <c r="E2656">
        <v>451</v>
      </c>
      <c r="F2656">
        <v>0</v>
      </c>
      <c r="G2656">
        <v>0</v>
      </c>
      <c r="H2656">
        <f t="shared" si="82"/>
        <v>451</v>
      </c>
      <c r="I2656">
        <v>0</v>
      </c>
      <c r="J2656">
        <v>0</v>
      </c>
      <c r="K2656">
        <v>0</v>
      </c>
      <c r="L2656">
        <f t="shared" si="83"/>
        <v>0</v>
      </c>
    </row>
    <row r="2657" spans="1:12">
      <c r="A2657" t="s">
        <v>3937</v>
      </c>
      <c r="B2657" t="s">
        <v>1411</v>
      </c>
      <c r="C2657" t="s">
        <v>2805</v>
      </c>
      <c r="D2657" t="s">
        <v>2807</v>
      </c>
      <c r="E2657">
        <v>5</v>
      </c>
      <c r="F2657">
        <v>0</v>
      </c>
      <c r="G2657">
        <v>0</v>
      </c>
      <c r="H2657">
        <f t="shared" si="82"/>
        <v>5</v>
      </c>
      <c r="I2657">
        <v>0</v>
      </c>
      <c r="J2657">
        <v>0</v>
      </c>
      <c r="K2657">
        <v>0</v>
      </c>
      <c r="L2657">
        <f t="shared" si="83"/>
        <v>0</v>
      </c>
    </row>
    <row r="2658" spans="1:12">
      <c r="A2658" t="s">
        <v>3937</v>
      </c>
      <c r="B2658" t="s">
        <v>1411</v>
      </c>
      <c r="C2658" t="s">
        <v>2805</v>
      </c>
      <c r="D2658" t="s">
        <v>2846</v>
      </c>
      <c r="E2658">
        <v>5</v>
      </c>
      <c r="F2658">
        <v>0</v>
      </c>
      <c r="G2658">
        <v>0</v>
      </c>
      <c r="H2658">
        <f t="shared" si="82"/>
        <v>5</v>
      </c>
      <c r="I2658">
        <v>0</v>
      </c>
      <c r="J2658">
        <v>0</v>
      </c>
      <c r="K2658">
        <v>0</v>
      </c>
      <c r="L2658">
        <f t="shared" si="83"/>
        <v>0</v>
      </c>
    </row>
    <row r="2659" spans="1:12">
      <c r="A2659" t="s">
        <v>3937</v>
      </c>
      <c r="B2659" t="s">
        <v>1411</v>
      </c>
      <c r="C2659" t="s">
        <v>2810</v>
      </c>
      <c r="D2659" t="s">
        <v>2811</v>
      </c>
      <c r="E2659">
        <v>21</v>
      </c>
      <c r="F2659">
        <v>0</v>
      </c>
      <c r="G2659">
        <v>0</v>
      </c>
      <c r="H2659">
        <f t="shared" si="82"/>
        <v>21</v>
      </c>
      <c r="I2659">
        <v>0</v>
      </c>
      <c r="J2659">
        <v>0</v>
      </c>
      <c r="K2659">
        <v>0</v>
      </c>
      <c r="L2659">
        <f t="shared" si="83"/>
        <v>0</v>
      </c>
    </row>
    <row r="2660" spans="1:12">
      <c r="A2660" t="s">
        <v>3937</v>
      </c>
      <c r="B2660" t="s">
        <v>1411</v>
      </c>
      <c r="C2660" t="s">
        <v>2810</v>
      </c>
      <c r="D2660" t="s">
        <v>2813</v>
      </c>
      <c r="E2660">
        <v>2</v>
      </c>
      <c r="F2660">
        <v>0</v>
      </c>
      <c r="G2660">
        <v>0</v>
      </c>
      <c r="H2660">
        <f t="shared" si="82"/>
        <v>2</v>
      </c>
      <c r="I2660">
        <v>0</v>
      </c>
      <c r="J2660">
        <v>0</v>
      </c>
      <c r="K2660">
        <v>0</v>
      </c>
      <c r="L2660">
        <f t="shared" si="83"/>
        <v>0</v>
      </c>
    </row>
    <row r="2661" spans="1:12">
      <c r="A2661" t="s">
        <v>3937</v>
      </c>
      <c r="B2661" t="s">
        <v>1411</v>
      </c>
      <c r="C2661" t="s">
        <v>2816</v>
      </c>
      <c r="D2661" t="s">
        <v>1897</v>
      </c>
      <c r="E2661">
        <v>63</v>
      </c>
      <c r="F2661">
        <v>0</v>
      </c>
      <c r="G2661">
        <v>0</v>
      </c>
      <c r="H2661">
        <f t="shared" si="82"/>
        <v>63</v>
      </c>
      <c r="I2661">
        <v>0</v>
      </c>
      <c r="J2661">
        <v>0</v>
      </c>
      <c r="K2661">
        <v>0</v>
      </c>
      <c r="L2661">
        <f t="shared" si="83"/>
        <v>0</v>
      </c>
    </row>
    <row r="2662" spans="1:12">
      <c r="A2662" t="s">
        <v>3937</v>
      </c>
      <c r="B2662" t="s">
        <v>1411</v>
      </c>
      <c r="C2662" t="s">
        <v>2817</v>
      </c>
      <c r="D2662" t="s">
        <v>2930</v>
      </c>
      <c r="E2662">
        <v>7</v>
      </c>
      <c r="F2662">
        <v>0</v>
      </c>
      <c r="G2662">
        <v>0</v>
      </c>
      <c r="H2662">
        <f t="shared" si="82"/>
        <v>7</v>
      </c>
      <c r="I2662">
        <v>0</v>
      </c>
      <c r="J2662">
        <v>0</v>
      </c>
      <c r="K2662">
        <v>0</v>
      </c>
      <c r="L2662">
        <f t="shared" si="83"/>
        <v>0</v>
      </c>
    </row>
    <row r="2663" spans="1:12">
      <c r="A2663" t="s">
        <v>3937</v>
      </c>
      <c r="B2663" t="s">
        <v>1411</v>
      </c>
      <c r="C2663" t="s">
        <v>2817</v>
      </c>
      <c r="D2663" t="s">
        <v>2877</v>
      </c>
      <c r="E2663">
        <v>9</v>
      </c>
      <c r="F2663">
        <v>0</v>
      </c>
      <c r="G2663">
        <v>0</v>
      </c>
      <c r="H2663">
        <f t="shared" si="82"/>
        <v>9</v>
      </c>
      <c r="I2663">
        <v>0</v>
      </c>
      <c r="J2663">
        <v>0</v>
      </c>
      <c r="K2663">
        <v>0</v>
      </c>
      <c r="L2663">
        <f t="shared" si="83"/>
        <v>0</v>
      </c>
    </row>
    <row r="2664" spans="1:12">
      <c r="A2664" t="s">
        <v>3937</v>
      </c>
      <c r="B2664" t="s">
        <v>1411</v>
      </c>
      <c r="C2664" t="s">
        <v>2817</v>
      </c>
      <c r="D2664" t="s">
        <v>2818</v>
      </c>
      <c r="E2664">
        <v>58</v>
      </c>
      <c r="F2664">
        <v>0</v>
      </c>
      <c r="G2664">
        <v>0</v>
      </c>
      <c r="H2664">
        <f t="shared" si="82"/>
        <v>58</v>
      </c>
      <c r="I2664">
        <v>0</v>
      </c>
      <c r="J2664">
        <v>0</v>
      </c>
      <c r="K2664">
        <v>0</v>
      </c>
      <c r="L2664">
        <f t="shared" si="83"/>
        <v>0</v>
      </c>
    </row>
    <row r="2665" spans="1:12">
      <c r="A2665" t="s">
        <v>3937</v>
      </c>
      <c r="B2665" t="s">
        <v>1411</v>
      </c>
      <c r="C2665" t="s">
        <v>2817</v>
      </c>
      <c r="D2665" t="s">
        <v>2837</v>
      </c>
      <c r="E2665">
        <v>2</v>
      </c>
      <c r="F2665">
        <v>0</v>
      </c>
      <c r="G2665">
        <v>0</v>
      </c>
      <c r="H2665">
        <f t="shared" si="82"/>
        <v>2</v>
      </c>
      <c r="I2665">
        <v>0</v>
      </c>
      <c r="J2665">
        <v>0</v>
      </c>
      <c r="K2665">
        <v>0</v>
      </c>
      <c r="L2665">
        <f t="shared" si="83"/>
        <v>0</v>
      </c>
    </row>
    <row r="2666" spans="1:12">
      <c r="A2666" t="s">
        <v>3938</v>
      </c>
      <c r="B2666" t="s">
        <v>353</v>
      </c>
      <c r="C2666" t="s">
        <v>2826</v>
      </c>
      <c r="D2666" t="s">
        <v>2871</v>
      </c>
      <c r="E2666">
        <v>0</v>
      </c>
      <c r="F2666">
        <v>0</v>
      </c>
      <c r="G2666">
        <v>0</v>
      </c>
      <c r="H2666">
        <f t="shared" si="82"/>
        <v>0</v>
      </c>
      <c r="I2666">
        <v>1</v>
      </c>
      <c r="J2666">
        <v>0</v>
      </c>
      <c r="K2666">
        <v>0</v>
      </c>
      <c r="L2666">
        <f t="shared" si="83"/>
        <v>1</v>
      </c>
    </row>
    <row r="2667" spans="1:12">
      <c r="A2667" t="s">
        <v>3938</v>
      </c>
      <c r="B2667" t="s">
        <v>353</v>
      </c>
      <c r="C2667" t="s">
        <v>2826</v>
      </c>
      <c r="D2667" t="s">
        <v>2905</v>
      </c>
      <c r="E2667">
        <v>0</v>
      </c>
      <c r="F2667">
        <v>0</v>
      </c>
      <c r="G2667">
        <v>0</v>
      </c>
      <c r="H2667">
        <f t="shared" si="82"/>
        <v>0</v>
      </c>
      <c r="I2667">
        <v>1</v>
      </c>
      <c r="J2667">
        <v>1</v>
      </c>
      <c r="K2667">
        <v>0</v>
      </c>
      <c r="L2667">
        <f t="shared" si="83"/>
        <v>2</v>
      </c>
    </row>
    <row r="2668" spans="1:12">
      <c r="A2668" t="s">
        <v>3938</v>
      </c>
      <c r="B2668" t="s">
        <v>353</v>
      </c>
      <c r="C2668" t="s">
        <v>2826</v>
      </c>
      <c r="D2668" t="s">
        <v>2827</v>
      </c>
      <c r="E2668">
        <v>0</v>
      </c>
      <c r="F2668">
        <v>0</v>
      </c>
      <c r="G2668">
        <v>0</v>
      </c>
      <c r="H2668">
        <f t="shared" si="82"/>
        <v>0</v>
      </c>
      <c r="I2668">
        <v>2</v>
      </c>
      <c r="J2668">
        <v>0</v>
      </c>
      <c r="K2668">
        <v>0</v>
      </c>
      <c r="L2668">
        <f t="shared" si="83"/>
        <v>2</v>
      </c>
    </row>
    <row r="2669" spans="1:12">
      <c r="A2669" t="s">
        <v>3938</v>
      </c>
      <c r="B2669" t="s">
        <v>353</v>
      </c>
      <c r="C2669" t="s">
        <v>2826</v>
      </c>
      <c r="D2669" t="s">
        <v>2828</v>
      </c>
      <c r="E2669">
        <v>0</v>
      </c>
      <c r="F2669">
        <v>0</v>
      </c>
      <c r="G2669">
        <v>0</v>
      </c>
      <c r="H2669">
        <f t="shared" si="82"/>
        <v>0</v>
      </c>
      <c r="I2669">
        <v>1</v>
      </c>
      <c r="J2669">
        <v>1</v>
      </c>
      <c r="K2669">
        <v>0</v>
      </c>
      <c r="L2669">
        <f t="shared" si="83"/>
        <v>2</v>
      </c>
    </row>
    <row r="2670" spans="1:12">
      <c r="A2670" t="s">
        <v>3938</v>
      </c>
      <c r="B2670" t="s">
        <v>353</v>
      </c>
      <c r="C2670" t="s">
        <v>2826</v>
      </c>
      <c r="D2670" t="s">
        <v>2829</v>
      </c>
      <c r="E2670">
        <v>0</v>
      </c>
      <c r="F2670">
        <v>0</v>
      </c>
      <c r="G2670">
        <v>0</v>
      </c>
      <c r="H2670">
        <f t="shared" si="82"/>
        <v>0</v>
      </c>
      <c r="I2670">
        <v>1</v>
      </c>
      <c r="J2670">
        <v>1</v>
      </c>
      <c r="K2670">
        <v>0</v>
      </c>
      <c r="L2670">
        <f t="shared" si="83"/>
        <v>2</v>
      </c>
    </row>
    <row r="2671" spans="1:12">
      <c r="A2671" t="s">
        <v>3938</v>
      </c>
      <c r="B2671" t="s">
        <v>353</v>
      </c>
      <c r="C2671" t="s">
        <v>2826</v>
      </c>
      <c r="D2671" t="s">
        <v>2891</v>
      </c>
      <c r="E2671">
        <v>0</v>
      </c>
      <c r="F2671">
        <v>0</v>
      </c>
      <c r="G2671">
        <v>0</v>
      </c>
      <c r="H2671">
        <f t="shared" si="82"/>
        <v>0</v>
      </c>
      <c r="I2671">
        <v>0</v>
      </c>
      <c r="J2671">
        <v>1</v>
      </c>
      <c r="K2671">
        <v>0</v>
      </c>
      <c r="L2671">
        <f t="shared" si="83"/>
        <v>1</v>
      </c>
    </row>
    <row r="2672" spans="1:12">
      <c r="A2672" t="s">
        <v>3938</v>
      </c>
      <c r="B2672" t="s">
        <v>353</v>
      </c>
      <c r="C2672" t="s">
        <v>2826</v>
      </c>
      <c r="D2672" t="s">
        <v>2830</v>
      </c>
      <c r="E2672">
        <v>0</v>
      </c>
      <c r="F2672">
        <v>0</v>
      </c>
      <c r="G2672">
        <v>0</v>
      </c>
      <c r="H2672">
        <f t="shared" si="82"/>
        <v>0</v>
      </c>
      <c r="I2672">
        <v>0</v>
      </c>
      <c r="J2672">
        <v>1</v>
      </c>
      <c r="K2672">
        <v>0</v>
      </c>
      <c r="L2672">
        <f t="shared" si="83"/>
        <v>1</v>
      </c>
    </row>
    <row r="2673" spans="1:12">
      <c r="A2673" t="s">
        <v>3938</v>
      </c>
      <c r="B2673" t="s">
        <v>353</v>
      </c>
      <c r="C2673" t="s">
        <v>2826</v>
      </c>
      <c r="D2673" t="s">
        <v>2831</v>
      </c>
      <c r="E2673">
        <v>0</v>
      </c>
      <c r="F2673">
        <v>0</v>
      </c>
      <c r="G2673">
        <v>0</v>
      </c>
      <c r="H2673">
        <f t="shared" si="82"/>
        <v>0</v>
      </c>
      <c r="I2673">
        <v>1</v>
      </c>
      <c r="J2673">
        <v>0</v>
      </c>
      <c r="K2673">
        <v>0</v>
      </c>
      <c r="L2673">
        <f t="shared" si="83"/>
        <v>1</v>
      </c>
    </row>
    <row r="2674" spans="1:12">
      <c r="A2674" t="s">
        <v>3938</v>
      </c>
      <c r="B2674" t="s">
        <v>353</v>
      </c>
      <c r="C2674" t="s">
        <v>2826</v>
      </c>
      <c r="D2674" t="s">
        <v>2843</v>
      </c>
      <c r="E2674">
        <v>0</v>
      </c>
      <c r="F2674">
        <v>0</v>
      </c>
      <c r="G2674">
        <v>0</v>
      </c>
      <c r="H2674">
        <f t="shared" si="82"/>
        <v>0</v>
      </c>
      <c r="I2674">
        <v>4</v>
      </c>
      <c r="J2674">
        <v>1</v>
      </c>
      <c r="K2674">
        <v>0</v>
      </c>
      <c r="L2674">
        <f t="shared" si="83"/>
        <v>5</v>
      </c>
    </row>
    <row r="2675" spans="1:12">
      <c r="A2675" t="s">
        <v>3938</v>
      </c>
      <c r="B2675" t="s">
        <v>353</v>
      </c>
      <c r="C2675" t="s">
        <v>2826</v>
      </c>
      <c r="D2675" t="s">
        <v>2975</v>
      </c>
      <c r="E2675">
        <v>0</v>
      </c>
      <c r="F2675">
        <v>0</v>
      </c>
      <c r="G2675">
        <v>0</v>
      </c>
      <c r="H2675">
        <f t="shared" si="82"/>
        <v>0</v>
      </c>
      <c r="I2675">
        <v>8</v>
      </c>
      <c r="J2675">
        <v>0</v>
      </c>
      <c r="K2675">
        <v>0</v>
      </c>
      <c r="L2675">
        <f t="shared" si="83"/>
        <v>8</v>
      </c>
    </row>
    <row r="2676" spans="1:12">
      <c r="A2676" t="s">
        <v>3938</v>
      </c>
      <c r="B2676" t="s">
        <v>353</v>
      </c>
      <c r="C2676" t="s">
        <v>2826</v>
      </c>
      <c r="D2676" t="s">
        <v>2885</v>
      </c>
      <c r="E2676">
        <v>0</v>
      </c>
      <c r="F2676">
        <v>0</v>
      </c>
      <c r="G2676">
        <v>0</v>
      </c>
      <c r="H2676">
        <f t="shared" si="82"/>
        <v>0</v>
      </c>
      <c r="I2676">
        <v>1</v>
      </c>
      <c r="J2676">
        <v>0</v>
      </c>
      <c r="K2676">
        <v>0</v>
      </c>
      <c r="L2676">
        <f t="shared" si="83"/>
        <v>1</v>
      </c>
    </row>
    <row r="2677" spans="1:12">
      <c r="A2677" t="s">
        <v>3938</v>
      </c>
      <c r="B2677" t="s">
        <v>353</v>
      </c>
      <c r="C2677" t="s">
        <v>2826</v>
      </c>
      <c r="D2677" t="s">
        <v>2832</v>
      </c>
      <c r="E2677">
        <v>0</v>
      </c>
      <c r="F2677">
        <v>0</v>
      </c>
      <c r="G2677">
        <v>0</v>
      </c>
      <c r="H2677">
        <f t="shared" si="82"/>
        <v>0</v>
      </c>
      <c r="I2677">
        <v>3</v>
      </c>
      <c r="J2677">
        <v>2</v>
      </c>
      <c r="K2677">
        <v>0</v>
      </c>
      <c r="L2677">
        <f t="shared" si="83"/>
        <v>5</v>
      </c>
    </row>
    <row r="2678" spans="1:12">
      <c r="A2678" t="s">
        <v>3938</v>
      </c>
      <c r="B2678" t="s">
        <v>353</v>
      </c>
      <c r="C2678" t="s">
        <v>2826</v>
      </c>
      <c r="D2678" t="s">
        <v>2834</v>
      </c>
      <c r="E2678">
        <v>0</v>
      </c>
      <c r="F2678">
        <v>0</v>
      </c>
      <c r="G2678">
        <v>0</v>
      </c>
      <c r="H2678">
        <f t="shared" si="82"/>
        <v>0</v>
      </c>
      <c r="I2678">
        <v>1</v>
      </c>
      <c r="J2678">
        <v>1</v>
      </c>
      <c r="K2678">
        <v>0</v>
      </c>
      <c r="L2678">
        <f t="shared" si="83"/>
        <v>2</v>
      </c>
    </row>
    <row r="2679" spans="1:12">
      <c r="A2679" t="s">
        <v>3938</v>
      </c>
      <c r="B2679" t="s">
        <v>353</v>
      </c>
      <c r="C2679" t="s">
        <v>2826</v>
      </c>
      <c r="D2679" t="s">
        <v>2886</v>
      </c>
      <c r="E2679">
        <v>0</v>
      </c>
      <c r="F2679">
        <v>0</v>
      </c>
      <c r="G2679">
        <v>0</v>
      </c>
      <c r="H2679">
        <f t="shared" si="82"/>
        <v>0</v>
      </c>
      <c r="I2679">
        <v>0</v>
      </c>
      <c r="J2679">
        <v>1</v>
      </c>
      <c r="K2679">
        <v>0</v>
      </c>
      <c r="L2679">
        <f t="shared" si="83"/>
        <v>1</v>
      </c>
    </row>
    <row r="2680" spans="1:12">
      <c r="A2680" t="s">
        <v>3938</v>
      </c>
      <c r="B2680" t="s">
        <v>353</v>
      </c>
      <c r="C2680" t="s">
        <v>2826</v>
      </c>
      <c r="D2680" t="s">
        <v>2844</v>
      </c>
      <c r="E2680">
        <v>0</v>
      </c>
      <c r="F2680">
        <v>0</v>
      </c>
      <c r="G2680">
        <v>0</v>
      </c>
      <c r="H2680">
        <f t="shared" si="82"/>
        <v>0</v>
      </c>
      <c r="I2680">
        <v>0</v>
      </c>
      <c r="J2680">
        <v>1</v>
      </c>
      <c r="K2680">
        <v>0</v>
      </c>
      <c r="L2680">
        <f t="shared" si="83"/>
        <v>1</v>
      </c>
    </row>
    <row r="2681" spans="1:12">
      <c r="A2681" t="s">
        <v>3938</v>
      </c>
      <c r="B2681" t="s">
        <v>353</v>
      </c>
      <c r="C2681" t="s">
        <v>2826</v>
      </c>
      <c r="D2681" t="s">
        <v>2916</v>
      </c>
      <c r="E2681">
        <v>0</v>
      </c>
      <c r="F2681">
        <v>0</v>
      </c>
      <c r="G2681">
        <v>0</v>
      </c>
      <c r="H2681">
        <f t="shared" si="82"/>
        <v>0</v>
      </c>
      <c r="I2681">
        <v>3</v>
      </c>
      <c r="J2681">
        <v>2</v>
      </c>
      <c r="K2681">
        <v>0</v>
      </c>
      <c r="L2681">
        <f t="shared" si="83"/>
        <v>5</v>
      </c>
    </row>
    <row r="2682" spans="1:12">
      <c r="A2682" t="s">
        <v>3938</v>
      </c>
      <c r="B2682" t="s">
        <v>353</v>
      </c>
      <c r="C2682" t="s">
        <v>2826</v>
      </c>
      <c r="D2682" t="s">
        <v>2835</v>
      </c>
      <c r="E2682">
        <v>0</v>
      </c>
      <c r="F2682">
        <v>0</v>
      </c>
      <c r="G2682">
        <v>0</v>
      </c>
      <c r="H2682">
        <f t="shared" si="82"/>
        <v>0</v>
      </c>
      <c r="I2682">
        <v>1</v>
      </c>
      <c r="J2682">
        <v>1</v>
      </c>
      <c r="K2682">
        <v>0</v>
      </c>
      <c r="L2682">
        <f t="shared" si="83"/>
        <v>2</v>
      </c>
    </row>
    <row r="2683" spans="1:12">
      <c r="A2683" t="s">
        <v>3938</v>
      </c>
      <c r="B2683" t="s">
        <v>353</v>
      </c>
      <c r="C2683" t="s">
        <v>2826</v>
      </c>
      <c r="D2683" t="s">
        <v>2917</v>
      </c>
      <c r="E2683">
        <v>0</v>
      </c>
      <c r="F2683">
        <v>0</v>
      </c>
      <c r="G2683">
        <v>0</v>
      </c>
      <c r="H2683">
        <f t="shared" si="82"/>
        <v>0</v>
      </c>
      <c r="I2683">
        <v>3</v>
      </c>
      <c r="J2683">
        <v>0</v>
      </c>
      <c r="K2683">
        <v>0</v>
      </c>
      <c r="L2683">
        <f t="shared" si="83"/>
        <v>3</v>
      </c>
    </row>
    <row r="2684" spans="1:12">
      <c r="A2684" t="s">
        <v>3938</v>
      </c>
      <c r="B2684" t="s">
        <v>353</v>
      </c>
      <c r="C2684" t="s">
        <v>2826</v>
      </c>
      <c r="D2684" t="s">
        <v>2849</v>
      </c>
      <c r="E2684">
        <v>0</v>
      </c>
      <c r="F2684">
        <v>0</v>
      </c>
      <c r="G2684">
        <v>0</v>
      </c>
      <c r="H2684">
        <f t="shared" si="82"/>
        <v>0</v>
      </c>
      <c r="I2684">
        <v>1</v>
      </c>
      <c r="J2684">
        <v>3</v>
      </c>
      <c r="K2684">
        <v>0</v>
      </c>
      <c r="L2684">
        <f t="shared" si="83"/>
        <v>4</v>
      </c>
    </row>
    <row r="2685" spans="1:12">
      <c r="A2685" t="s">
        <v>3938</v>
      </c>
      <c r="B2685" t="s">
        <v>353</v>
      </c>
      <c r="C2685" t="s">
        <v>2826</v>
      </c>
      <c r="D2685" t="s">
        <v>2836</v>
      </c>
      <c r="E2685">
        <v>0</v>
      </c>
      <c r="F2685">
        <v>0</v>
      </c>
      <c r="G2685">
        <v>0</v>
      </c>
      <c r="H2685">
        <f t="shared" si="82"/>
        <v>0</v>
      </c>
      <c r="I2685">
        <v>0</v>
      </c>
      <c r="J2685">
        <v>1</v>
      </c>
      <c r="K2685">
        <v>0</v>
      </c>
      <c r="L2685">
        <f t="shared" si="83"/>
        <v>1</v>
      </c>
    </row>
    <row r="2686" spans="1:12">
      <c r="A2686" t="s">
        <v>3938</v>
      </c>
      <c r="B2686" t="s">
        <v>353</v>
      </c>
      <c r="C2686" t="s">
        <v>2817</v>
      </c>
      <c r="D2686" t="s">
        <v>2887</v>
      </c>
      <c r="E2686">
        <v>0</v>
      </c>
      <c r="F2686">
        <v>0</v>
      </c>
      <c r="G2686">
        <v>0</v>
      </c>
      <c r="H2686">
        <f t="shared" si="82"/>
        <v>0</v>
      </c>
      <c r="I2686">
        <v>0</v>
      </c>
      <c r="J2686">
        <v>1</v>
      </c>
      <c r="K2686">
        <v>0</v>
      </c>
      <c r="L2686">
        <f t="shared" si="83"/>
        <v>1</v>
      </c>
    </row>
    <row r="2687" spans="1:12">
      <c r="A2687" t="s">
        <v>3938</v>
      </c>
      <c r="B2687" t="s">
        <v>353</v>
      </c>
      <c r="C2687" t="s">
        <v>2820</v>
      </c>
      <c r="D2687" t="s">
        <v>2952</v>
      </c>
      <c r="E2687">
        <v>0</v>
      </c>
      <c r="F2687">
        <v>0</v>
      </c>
      <c r="G2687">
        <v>0</v>
      </c>
      <c r="H2687">
        <f t="shared" si="82"/>
        <v>0</v>
      </c>
      <c r="I2687">
        <v>3</v>
      </c>
      <c r="J2687">
        <v>0</v>
      </c>
      <c r="K2687">
        <v>0</v>
      </c>
      <c r="L2687">
        <f t="shared" si="83"/>
        <v>3</v>
      </c>
    </row>
    <row r="2688" spans="1:12">
      <c r="A2688" t="s">
        <v>3938</v>
      </c>
      <c r="B2688" t="s">
        <v>353</v>
      </c>
      <c r="C2688" t="s">
        <v>2820</v>
      </c>
      <c r="D2688" t="s">
        <v>2949</v>
      </c>
      <c r="E2688">
        <v>0</v>
      </c>
      <c r="F2688">
        <v>0</v>
      </c>
      <c r="G2688">
        <v>0</v>
      </c>
      <c r="H2688">
        <f t="shared" si="82"/>
        <v>0</v>
      </c>
      <c r="I2688">
        <v>0</v>
      </c>
      <c r="J2688">
        <v>2</v>
      </c>
      <c r="K2688">
        <v>0</v>
      </c>
      <c r="L2688">
        <f t="shared" si="83"/>
        <v>2</v>
      </c>
    </row>
    <row r="2689" spans="1:12">
      <c r="A2689" t="s">
        <v>3939</v>
      </c>
      <c r="B2689" t="s">
        <v>1532</v>
      </c>
      <c r="C2689" t="s">
        <v>2805</v>
      </c>
      <c r="D2689" t="s">
        <v>2806</v>
      </c>
      <c r="E2689">
        <v>5</v>
      </c>
      <c r="F2689">
        <v>0</v>
      </c>
      <c r="G2689">
        <v>0</v>
      </c>
      <c r="H2689">
        <f t="shared" si="82"/>
        <v>5</v>
      </c>
      <c r="I2689">
        <v>0</v>
      </c>
      <c r="J2689">
        <v>0</v>
      </c>
      <c r="K2689">
        <v>0</v>
      </c>
      <c r="L2689">
        <f t="shared" si="83"/>
        <v>0</v>
      </c>
    </row>
    <row r="2690" spans="1:12">
      <c r="A2690" t="s">
        <v>3939</v>
      </c>
      <c r="B2690" t="s">
        <v>1532</v>
      </c>
      <c r="C2690" t="s">
        <v>2805</v>
      </c>
      <c r="D2690" t="s">
        <v>449</v>
      </c>
      <c r="E2690">
        <v>45</v>
      </c>
      <c r="F2690">
        <v>0</v>
      </c>
      <c r="G2690">
        <v>0</v>
      </c>
      <c r="H2690">
        <f t="shared" si="82"/>
        <v>45</v>
      </c>
      <c r="I2690">
        <v>1</v>
      </c>
      <c r="J2690">
        <v>0</v>
      </c>
      <c r="K2690">
        <v>0</v>
      </c>
      <c r="L2690">
        <f t="shared" si="83"/>
        <v>1</v>
      </c>
    </row>
    <row r="2691" spans="1:12">
      <c r="A2691" t="s">
        <v>3939</v>
      </c>
      <c r="B2691" t="s">
        <v>1532</v>
      </c>
      <c r="C2691" t="s">
        <v>2805</v>
      </c>
      <c r="D2691" t="s">
        <v>2807</v>
      </c>
      <c r="E2691">
        <v>1</v>
      </c>
      <c r="F2691">
        <v>0</v>
      </c>
      <c r="G2691">
        <v>0</v>
      </c>
      <c r="H2691">
        <f t="shared" si="82"/>
        <v>1</v>
      </c>
      <c r="I2691">
        <v>0</v>
      </c>
      <c r="J2691">
        <v>0</v>
      </c>
      <c r="K2691">
        <v>0</v>
      </c>
      <c r="L2691">
        <f t="shared" si="83"/>
        <v>0</v>
      </c>
    </row>
    <row r="2692" spans="1:12">
      <c r="A2692" t="s">
        <v>3939</v>
      </c>
      <c r="B2692" t="s">
        <v>1532</v>
      </c>
      <c r="C2692" t="s">
        <v>2810</v>
      </c>
      <c r="D2692" t="s">
        <v>2815</v>
      </c>
      <c r="E2692">
        <v>3</v>
      </c>
      <c r="F2692">
        <v>0</v>
      </c>
      <c r="G2692">
        <v>0</v>
      </c>
      <c r="H2692">
        <f t="shared" ref="H2692:H2755" si="84">SUM(E2692:G2692)</f>
        <v>3</v>
      </c>
      <c r="I2692">
        <v>0</v>
      </c>
      <c r="J2692">
        <v>0</v>
      </c>
      <c r="K2692">
        <v>0</v>
      </c>
      <c r="L2692">
        <f t="shared" ref="L2692:L2755" si="85">SUM(I2692:K2692)</f>
        <v>0</v>
      </c>
    </row>
    <row r="2693" spans="1:12">
      <c r="A2693" t="s">
        <v>3939</v>
      </c>
      <c r="B2693" t="s">
        <v>1532</v>
      </c>
      <c r="C2693" t="s">
        <v>2826</v>
      </c>
      <c r="D2693" t="s">
        <v>2858</v>
      </c>
      <c r="E2693">
        <v>3</v>
      </c>
      <c r="F2693">
        <v>0</v>
      </c>
      <c r="G2693">
        <v>0</v>
      </c>
      <c r="H2693">
        <f t="shared" si="84"/>
        <v>3</v>
      </c>
      <c r="I2693">
        <v>0</v>
      </c>
      <c r="J2693">
        <v>0</v>
      </c>
      <c r="K2693">
        <v>0</v>
      </c>
      <c r="L2693">
        <f t="shared" si="85"/>
        <v>0</v>
      </c>
    </row>
    <row r="2694" spans="1:12">
      <c r="A2694" t="s">
        <v>3939</v>
      </c>
      <c r="B2694" t="s">
        <v>1532</v>
      </c>
      <c r="C2694" t="s">
        <v>2826</v>
      </c>
      <c r="D2694" t="s">
        <v>2843</v>
      </c>
      <c r="E2694">
        <v>1</v>
      </c>
      <c r="F2694">
        <v>0</v>
      </c>
      <c r="G2694">
        <v>0</v>
      </c>
      <c r="H2694">
        <f t="shared" si="84"/>
        <v>1</v>
      </c>
      <c r="I2694">
        <v>0</v>
      </c>
      <c r="J2694">
        <v>0</v>
      </c>
      <c r="K2694">
        <v>0</v>
      </c>
      <c r="L2694">
        <f t="shared" si="85"/>
        <v>0</v>
      </c>
    </row>
    <row r="2695" spans="1:12">
      <c r="A2695" t="s">
        <v>3939</v>
      </c>
      <c r="B2695" t="s">
        <v>1532</v>
      </c>
      <c r="C2695" t="s">
        <v>2817</v>
      </c>
      <c r="D2695" t="s">
        <v>2837</v>
      </c>
      <c r="E2695">
        <v>2</v>
      </c>
      <c r="F2695">
        <v>0</v>
      </c>
      <c r="G2695">
        <v>0</v>
      </c>
      <c r="H2695">
        <f t="shared" si="84"/>
        <v>2</v>
      </c>
      <c r="I2695">
        <v>0</v>
      </c>
      <c r="J2695">
        <v>0</v>
      </c>
      <c r="K2695">
        <v>0</v>
      </c>
      <c r="L2695">
        <f t="shared" si="85"/>
        <v>0</v>
      </c>
    </row>
    <row r="2696" spans="1:12">
      <c r="A2696" t="s">
        <v>3939</v>
      </c>
      <c r="B2696" t="s">
        <v>1532</v>
      </c>
      <c r="C2696" t="s">
        <v>2820</v>
      </c>
      <c r="D2696" t="s">
        <v>2821</v>
      </c>
      <c r="E2696">
        <v>1</v>
      </c>
      <c r="F2696">
        <v>0</v>
      </c>
      <c r="G2696">
        <v>0</v>
      </c>
      <c r="H2696">
        <f t="shared" si="84"/>
        <v>1</v>
      </c>
      <c r="I2696">
        <v>0</v>
      </c>
      <c r="J2696">
        <v>0</v>
      </c>
      <c r="K2696">
        <v>0</v>
      </c>
      <c r="L2696">
        <f t="shared" si="85"/>
        <v>0</v>
      </c>
    </row>
    <row r="2697" spans="1:12">
      <c r="A2697" t="s">
        <v>3940</v>
      </c>
      <c r="B2697" t="s">
        <v>1536</v>
      </c>
      <c r="C2697" t="s">
        <v>2805</v>
      </c>
      <c r="D2697" t="s">
        <v>2806</v>
      </c>
      <c r="E2697">
        <v>2</v>
      </c>
      <c r="F2697">
        <v>0</v>
      </c>
      <c r="G2697">
        <v>0</v>
      </c>
      <c r="H2697">
        <f t="shared" si="84"/>
        <v>2</v>
      </c>
      <c r="I2697">
        <v>0</v>
      </c>
      <c r="J2697">
        <v>0</v>
      </c>
      <c r="K2697">
        <v>0</v>
      </c>
      <c r="L2697">
        <f t="shared" si="85"/>
        <v>0</v>
      </c>
    </row>
    <row r="2698" spans="1:12">
      <c r="A2698" t="s">
        <v>3940</v>
      </c>
      <c r="B2698" t="s">
        <v>1536</v>
      </c>
      <c r="C2698" t="s">
        <v>2805</v>
      </c>
      <c r="D2698" t="s">
        <v>449</v>
      </c>
      <c r="E2698">
        <v>6</v>
      </c>
      <c r="F2698">
        <v>0</v>
      </c>
      <c r="G2698">
        <v>0</v>
      </c>
      <c r="H2698">
        <f t="shared" si="84"/>
        <v>6</v>
      </c>
      <c r="I2698">
        <v>0</v>
      </c>
      <c r="J2698">
        <v>0</v>
      </c>
      <c r="K2698">
        <v>0</v>
      </c>
      <c r="L2698">
        <f t="shared" si="85"/>
        <v>0</v>
      </c>
    </row>
    <row r="2699" spans="1:12">
      <c r="A2699" t="s">
        <v>3940</v>
      </c>
      <c r="B2699" t="s">
        <v>1536</v>
      </c>
      <c r="C2699" t="s">
        <v>2805</v>
      </c>
      <c r="D2699" t="s">
        <v>2807</v>
      </c>
      <c r="E2699">
        <v>1</v>
      </c>
      <c r="F2699">
        <v>0</v>
      </c>
      <c r="G2699">
        <v>0</v>
      </c>
      <c r="H2699">
        <f t="shared" si="84"/>
        <v>1</v>
      </c>
      <c r="I2699">
        <v>0</v>
      </c>
      <c r="J2699">
        <v>0</v>
      </c>
      <c r="K2699">
        <v>0</v>
      </c>
      <c r="L2699">
        <f t="shared" si="85"/>
        <v>0</v>
      </c>
    </row>
    <row r="2700" spans="1:12">
      <c r="A2700" t="s">
        <v>3940</v>
      </c>
      <c r="B2700" t="s">
        <v>1536</v>
      </c>
      <c r="C2700" t="s">
        <v>2805</v>
      </c>
      <c r="D2700" t="s">
        <v>2809</v>
      </c>
      <c r="E2700">
        <v>0</v>
      </c>
      <c r="F2700">
        <v>0</v>
      </c>
      <c r="G2700">
        <v>0</v>
      </c>
      <c r="H2700">
        <f t="shared" si="84"/>
        <v>0</v>
      </c>
      <c r="I2700">
        <v>1</v>
      </c>
      <c r="J2700">
        <v>0</v>
      </c>
      <c r="K2700">
        <v>0</v>
      </c>
      <c r="L2700">
        <f t="shared" si="85"/>
        <v>1</v>
      </c>
    </row>
    <row r="2701" spans="1:12">
      <c r="A2701" t="s">
        <v>3940</v>
      </c>
      <c r="B2701" t="s">
        <v>1536</v>
      </c>
      <c r="C2701" t="s">
        <v>2810</v>
      </c>
      <c r="D2701" t="s">
        <v>2811</v>
      </c>
      <c r="E2701">
        <v>3</v>
      </c>
      <c r="F2701">
        <v>0</v>
      </c>
      <c r="G2701">
        <v>0</v>
      </c>
      <c r="H2701">
        <f t="shared" si="84"/>
        <v>3</v>
      </c>
      <c r="I2701">
        <v>9</v>
      </c>
      <c r="J2701">
        <v>0</v>
      </c>
      <c r="K2701">
        <v>0</v>
      </c>
      <c r="L2701">
        <f t="shared" si="85"/>
        <v>9</v>
      </c>
    </row>
    <row r="2702" spans="1:12">
      <c r="A2702" t="s">
        <v>3940</v>
      </c>
      <c r="B2702" t="s">
        <v>1536</v>
      </c>
      <c r="C2702" t="s">
        <v>2810</v>
      </c>
      <c r="D2702" t="s">
        <v>1892</v>
      </c>
      <c r="E2702">
        <v>0</v>
      </c>
      <c r="F2702">
        <v>0</v>
      </c>
      <c r="G2702">
        <v>0</v>
      </c>
      <c r="H2702">
        <f t="shared" si="84"/>
        <v>0</v>
      </c>
      <c r="I2702">
        <v>0</v>
      </c>
      <c r="J2702">
        <v>10</v>
      </c>
      <c r="K2702">
        <v>0</v>
      </c>
      <c r="L2702">
        <f t="shared" si="85"/>
        <v>10</v>
      </c>
    </row>
    <row r="2703" spans="1:12">
      <c r="A2703" t="s">
        <v>3940</v>
      </c>
      <c r="B2703" t="s">
        <v>1536</v>
      </c>
      <c r="C2703" t="s">
        <v>2810</v>
      </c>
      <c r="D2703" t="s">
        <v>2812</v>
      </c>
      <c r="E2703">
        <v>11</v>
      </c>
      <c r="F2703">
        <v>0</v>
      </c>
      <c r="G2703">
        <v>0</v>
      </c>
      <c r="H2703">
        <f t="shared" si="84"/>
        <v>11</v>
      </c>
      <c r="I2703">
        <v>2</v>
      </c>
      <c r="J2703">
        <v>0</v>
      </c>
      <c r="K2703">
        <v>0</v>
      </c>
      <c r="L2703">
        <f t="shared" si="85"/>
        <v>2</v>
      </c>
    </row>
    <row r="2704" spans="1:12">
      <c r="A2704" t="s">
        <v>3940</v>
      </c>
      <c r="B2704" t="s">
        <v>1536</v>
      </c>
      <c r="C2704" t="s">
        <v>2810</v>
      </c>
      <c r="D2704" t="s">
        <v>2813</v>
      </c>
      <c r="E2704">
        <v>8</v>
      </c>
      <c r="F2704">
        <v>0</v>
      </c>
      <c r="G2704">
        <v>0</v>
      </c>
      <c r="H2704">
        <f t="shared" si="84"/>
        <v>8</v>
      </c>
      <c r="I2704">
        <v>0</v>
      </c>
      <c r="J2704">
        <v>0</v>
      </c>
      <c r="K2704">
        <v>0</v>
      </c>
      <c r="L2704">
        <f t="shared" si="85"/>
        <v>0</v>
      </c>
    </row>
    <row r="2705" spans="1:12">
      <c r="A2705" t="s">
        <v>3940</v>
      </c>
      <c r="B2705" t="s">
        <v>1536</v>
      </c>
      <c r="C2705" t="s">
        <v>2810</v>
      </c>
      <c r="D2705" t="s">
        <v>2847</v>
      </c>
      <c r="E2705">
        <v>6</v>
      </c>
      <c r="F2705">
        <v>0</v>
      </c>
      <c r="G2705">
        <v>0</v>
      </c>
      <c r="H2705">
        <f t="shared" si="84"/>
        <v>6</v>
      </c>
      <c r="I2705">
        <v>0</v>
      </c>
      <c r="J2705">
        <v>0</v>
      </c>
      <c r="K2705">
        <v>0</v>
      </c>
      <c r="L2705">
        <f t="shared" si="85"/>
        <v>0</v>
      </c>
    </row>
    <row r="2706" spans="1:12">
      <c r="A2706" t="s">
        <v>3940</v>
      </c>
      <c r="B2706" t="s">
        <v>1536</v>
      </c>
      <c r="C2706" t="s">
        <v>2810</v>
      </c>
      <c r="D2706" t="s">
        <v>2815</v>
      </c>
      <c r="E2706">
        <v>5</v>
      </c>
      <c r="F2706">
        <v>0</v>
      </c>
      <c r="G2706">
        <v>0</v>
      </c>
      <c r="H2706">
        <f t="shared" si="84"/>
        <v>5</v>
      </c>
      <c r="I2706">
        <v>0</v>
      </c>
      <c r="J2706">
        <v>0</v>
      </c>
      <c r="K2706">
        <v>0</v>
      </c>
      <c r="L2706">
        <f t="shared" si="85"/>
        <v>0</v>
      </c>
    </row>
    <row r="2707" spans="1:12">
      <c r="A2707" t="s">
        <v>3941</v>
      </c>
      <c r="B2707" t="s">
        <v>1538</v>
      </c>
      <c r="C2707" t="s">
        <v>2805</v>
      </c>
      <c r="D2707" t="s">
        <v>449</v>
      </c>
      <c r="E2707">
        <v>30</v>
      </c>
      <c r="F2707">
        <v>0</v>
      </c>
      <c r="G2707">
        <v>0</v>
      </c>
      <c r="H2707">
        <f t="shared" si="84"/>
        <v>30</v>
      </c>
      <c r="I2707">
        <v>0</v>
      </c>
      <c r="J2707">
        <v>0</v>
      </c>
      <c r="K2707">
        <v>0</v>
      </c>
      <c r="L2707">
        <f t="shared" si="85"/>
        <v>0</v>
      </c>
    </row>
    <row r="2708" spans="1:12">
      <c r="A2708" t="s">
        <v>3941</v>
      </c>
      <c r="B2708" t="s">
        <v>1538</v>
      </c>
      <c r="C2708" t="s">
        <v>2805</v>
      </c>
      <c r="D2708" t="s">
        <v>2807</v>
      </c>
      <c r="E2708">
        <v>19</v>
      </c>
      <c r="F2708">
        <v>0</v>
      </c>
      <c r="G2708">
        <v>0</v>
      </c>
      <c r="H2708">
        <f t="shared" si="84"/>
        <v>19</v>
      </c>
      <c r="I2708">
        <v>0</v>
      </c>
      <c r="J2708">
        <v>0</v>
      </c>
      <c r="K2708">
        <v>0</v>
      </c>
      <c r="L2708">
        <f t="shared" si="85"/>
        <v>0</v>
      </c>
    </row>
    <row r="2709" spans="1:12">
      <c r="A2709" t="s">
        <v>3941</v>
      </c>
      <c r="B2709" t="s">
        <v>1538</v>
      </c>
      <c r="C2709" t="s">
        <v>2810</v>
      </c>
      <c r="D2709" t="s">
        <v>2811</v>
      </c>
      <c r="E2709">
        <v>19</v>
      </c>
      <c r="F2709">
        <v>0</v>
      </c>
      <c r="G2709">
        <v>0</v>
      </c>
      <c r="H2709">
        <f t="shared" si="84"/>
        <v>19</v>
      </c>
      <c r="I2709">
        <v>0</v>
      </c>
      <c r="J2709">
        <v>0</v>
      </c>
      <c r="K2709">
        <v>0</v>
      </c>
      <c r="L2709">
        <f t="shared" si="85"/>
        <v>0</v>
      </c>
    </row>
    <row r="2710" spans="1:12">
      <c r="A2710" t="s">
        <v>3941</v>
      </c>
      <c r="B2710" t="s">
        <v>1538</v>
      </c>
      <c r="C2710" t="s">
        <v>2810</v>
      </c>
      <c r="D2710" t="s">
        <v>2812</v>
      </c>
      <c r="E2710">
        <v>11</v>
      </c>
      <c r="F2710">
        <v>0</v>
      </c>
      <c r="G2710">
        <v>0</v>
      </c>
      <c r="H2710">
        <f t="shared" si="84"/>
        <v>11</v>
      </c>
      <c r="I2710">
        <v>0</v>
      </c>
      <c r="J2710">
        <v>0</v>
      </c>
      <c r="K2710">
        <v>0</v>
      </c>
      <c r="L2710">
        <f t="shared" si="85"/>
        <v>0</v>
      </c>
    </row>
    <row r="2711" spans="1:12">
      <c r="A2711" t="s">
        <v>3941</v>
      </c>
      <c r="B2711" t="s">
        <v>1538</v>
      </c>
      <c r="C2711" t="s">
        <v>2810</v>
      </c>
      <c r="D2711" t="s">
        <v>2813</v>
      </c>
      <c r="E2711">
        <v>3</v>
      </c>
      <c r="F2711">
        <v>0</v>
      </c>
      <c r="G2711">
        <v>0</v>
      </c>
      <c r="H2711">
        <f t="shared" si="84"/>
        <v>3</v>
      </c>
      <c r="I2711">
        <v>0</v>
      </c>
      <c r="J2711">
        <v>0</v>
      </c>
      <c r="K2711">
        <v>0</v>
      </c>
      <c r="L2711">
        <f t="shared" si="85"/>
        <v>0</v>
      </c>
    </row>
    <row r="2712" spans="1:12">
      <c r="A2712" t="s">
        <v>3942</v>
      </c>
      <c r="B2712" t="s">
        <v>1542</v>
      </c>
      <c r="C2712" t="s">
        <v>2805</v>
      </c>
      <c r="D2712" t="s">
        <v>2806</v>
      </c>
      <c r="E2712">
        <v>5</v>
      </c>
      <c r="F2712">
        <v>0</v>
      </c>
      <c r="G2712">
        <v>0</v>
      </c>
      <c r="H2712">
        <f t="shared" si="84"/>
        <v>5</v>
      </c>
      <c r="I2712">
        <v>0</v>
      </c>
      <c r="J2712">
        <v>0</v>
      </c>
      <c r="K2712">
        <v>0</v>
      </c>
      <c r="L2712">
        <f t="shared" si="85"/>
        <v>0</v>
      </c>
    </row>
    <row r="2713" spans="1:12">
      <c r="A2713" t="s">
        <v>3942</v>
      </c>
      <c r="B2713" t="s">
        <v>1542</v>
      </c>
      <c r="C2713" t="s">
        <v>2805</v>
      </c>
      <c r="D2713" t="s">
        <v>449</v>
      </c>
      <c r="E2713">
        <v>46</v>
      </c>
      <c r="F2713">
        <v>0</v>
      </c>
      <c r="G2713">
        <v>0</v>
      </c>
      <c r="H2713">
        <f t="shared" si="84"/>
        <v>46</v>
      </c>
      <c r="I2713">
        <v>0</v>
      </c>
      <c r="J2713">
        <v>0</v>
      </c>
      <c r="K2713">
        <v>0</v>
      </c>
      <c r="L2713">
        <f t="shared" si="85"/>
        <v>0</v>
      </c>
    </row>
    <row r="2714" spans="1:12">
      <c r="A2714" t="s">
        <v>3942</v>
      </c>
      <c r="B2714" t="s">
        <v>1542</v>
      </c>
      <c r="C2714" t="s">
        <v>2805</v>
      </c>
      <c r="D2714" t="s">
        <v>2807</v>
      </c>
      <c r="E2714">
        <v>3</v>
      </c>
      <c r="F2714">
        <v>0</v>
      </c>
      <c r="G2714">
        <v>0</v>
      </c>
      <c r="H2714">
        <f t="shared" si="84"/>
        <v>3</v>
      </c>
      <c r="I2714">
        <v>0</v>
      </c>
      <c r="J2714">
        <v>0</v>
      </c>
      <c r="K2714">
        <v>0</v>
      </c>
      <c r="L2714">
        <f t="shared" si="85"/>
        <v>0</v>
      </c>
    </row>
    <row r="2715" spans="1:12">
      <c r="A2715" t="s">
        <v>3942</v>
      </c>
      <c r="B2715" t="s">
        <v>1542</v>
      </c>
      <c r="C2715" t="s">
        <v>2810</v>
      </c>
      <c r="D2715" t="s">
        <v>2811</v>
      </c>
      <c r="E2715">
        <v>23</v>
      </c>
      <c r="F2715">
        <v>0</v>
      </c>
      <c r="G2715">
        <v>0</v>
      </c>
      <c r="H2715">
        <f t="shared" si="84"/>
        <v>23</v>
      </c>
      <c r="I2715">
        <v>0</v>
      </c>
      <c r="J2715">
        <v>0</v>
      </c>
      <c r="K2715">
        <v>0</v>
      </c>
      <c r="L2715">
        <f t="shared" si="85"/>
        <v>0</v>
      </c>
    </row>
    <row r="2716" spans="1:12">
      <c r="A2716" t="s">
        <v>3942</v>
      </c>
      <c r="B2716" t="s">
        <v>1542</v>
      </c>
      <c r="C2716" t="s">
        <v>2810</v>
      </c>
      <c r="D2716" t="s">
        <v>2812</v>
      </c>
      <c r="E2716">
        <v>8</v>
      </c>
      <c r="F2716">
        <v>0</v>
      </c>
      <c r="G2716">
        <v>0</v>
      </c>
      <c r="H2716">
        <f t="shared" si="84"/>
        <v>8</v>
      </c>
      <c r="I2716">
        <v>0</v>
      </c>
      <c r="J2716">
        <v>0</v>
      </c>
      <c r="K2716">
        <v>0</v>
      </c>
      <c r="L2716">
        <f t="shared" si="85"/>
        <v>0</v>
      </c>
    </row>
    <row r="2717" spans="1:12">
      <c r="A2717" t="s">
        <v>3942</v>
      </c>
      <c r="B2717" t="s">
        <v>1542</v>
      </c>
      <c r="C2717" t="s">
        <v>2810</v>
      </c>
      <c r="D2717" t="s">
        <v>2813</v>
      </c>
      <c r="E2717">
        <v>10</v>
      </c>
      <c r="F2717">
        <v>0</v>
      </c>
      <c r="G2717">
        <v>0</v>
      </c>
      <c r="H2717">
        <f t="shared" si="84"/>
        <v>10</v>
      </c>
      <c r="I2717">
        <v>0</v>
      </c>
      <c r="J2717">
        <v>0</v>
      </c>
      <c r="K2717">
        <v>0</v>
      </c>
      <c r="L2717">
        <f t="shared" si="85"/>
        <v>0</v>
      </c>
    </row>
    <row r="2718" spans="1:12">
      <c r="A2718" t="s">
        <v>3942</v>
      </c>
      <c r="B2718" t="s">
        <v>1542</v>
      </c>
      <c r="C2718" t="s">
        <v>2816</v>
      </c>
      <c r="D2718" t="s">
        <v>1897</v>
      </c>
      <c r="E2718">
        <v>9</v>
      </c>
      <c r="F2718">
        <v>0</v>
      </c>
      <c r="G2718">
        <v>0</v>
      </c>
      <c r="H2718">
        <f t="shared" si="84"/>
        <v>9</v>
      </c>
      <c r="I2718">
        <v>0</v>
      </c>
      <c r="J2718">
        <v>0</v>
      </c>
      <c r="K2718">
        <v>0</v>
      </c>
      <c r="L2718">
        <f t="shared" si="85"/>
        <v>0</v>
      </c>
    </row>
    <row r="2719" spans="1:12">
      <c r="A2719" t="s">
        <v>3942</v>
      </c>
      <c r="B2719" t="s">
        <v>1542</v>
      </c>
      <c r="C2719" t="s">
        <v>2817</v>
      </c>
      <c r="D2719" t="s">
        <v>2818</v>
      </c>
      <c r="E2719">
        <v>2</v>
      </c>
      <c r="F2719">
        <v>0</v>
      </c>
      <c r="G2719">
        <v>0</v>
      </c>
      <c r="H2719">
        <f t="shared" si="84"/>
        <v>2</v>
      </c>
      <c r="I2719">
        <v>0</v>
      </c>
      <c r="J2719">
        <v>0</v>
      </c>
      <c r="K2719">
        <v>0</v>
      </c>
      <c r="L2719">
        <f t="shared" si="85"/>
        <v>0</v>
      </c>
    </row>
    <row r="2720" spans="1:12">
      <c r="A2720" t="s">
        <v>3945</v>
      </c>
      <c r="B2720" t="s">
        <v>1544</v>
      </c>
      <c r="C2720" t="s">
        <v>2805</v>
      </c>
      <c r="D2720" t="s">
        <v>2806</v>
      </c>
      <c r="E2720">
        <v>6</v>
      </c>
      <c r="F2720">
        <v>0</v>
      </c>
      <c r="G2720">
        <v>0</v>
      </c>
      <c r="H2720">
        <f t="shared" si="84"/>
        <v>6</v>
      </c>
      <c r="I2720">
        <v>0</v>
      </c>
      <c r="J2720">
        <v>0</v>
      </c>
      <c r="K2720">
        <v>0</v>
      </c>
      <c r="L2720">
        <f t="shared" si="85"/>
        <v>0</v>
      </c>
    </row>
    <row r="2721" spans="1:12">
      <c r="A2721" t="s">
        <v>3945</v>
      </c>
      <c r="B2721" t="s">
        <v>1544</v>
      </c>
      <c r="C2721" t="s">
        <v>2805</v>
      </c>
      <c r="D2721" t="s">
        <v>449</v>
      </c>
      <c r="E2721">
        <v>43</v>
      </c>
      <c r="F2721">
        <v>0</v>
      </c>
      <c r="G2721">
        <v>0</v>
      </c>
      <c r="H2721">
        <f t="shared" si="84"/>
        <v>43</v>
      </c>
      <c r="I2721">
        <v>0</v>
      </c>
      <c r="J2721">
        <v>0</v>
      </c>
      <c r="K2721">
        <v>0</v>
      </c>
      <c r="L2721">
        <f t="shared" si="85"/>
        <v>0</v>
      </c>
    </row>
    <row r="2722" spans="1:12">
      <c r="A2722" t="s">
        <v>3945</v>
      </c>
      <c r="B2722" t="s">
        <v>1544</v>
      </c>
      <c r="C2722" t="s">
        <v>2805</v>
      </c>
      <c r="D2722" t="s">
        <v>2807</v>
      </c>
      <c r="E2722">
        <v>7</v>
      </c>
      <c r="F2722">
        <v>0</v>
      </c>
      <c r="G2722">
        <v>0</v>
      </c>
      <c r="H2722">
        <f t="shared" si="84"/>
        <v>7</v>
      </c>
      <c r="I2722">
        <v>0</v>
      </c>
      <c r="J2722">
        <v>0</v>
      </c>
      <c r="K2722">
        <v>0</v>
      </c>
      <c r="L2722">
        <f t="shared" si="85"/>
        <v>0</v>
      </c>
    </row>
    <row r="2723" spans="1:12">
      <c r="A2723" t="s">
        <v>3945</v>
      </c>
      <c r="B2723" t="s">
        <v>1544</v>
      </c>
      <c r="C2723" t="s">
        <v>2810</v>
      </c>
      <c r="D2723" t="s">
        <v>2814</v>
      </c>
      <c r="E2723">
        <v>2</v>
      </c>
      <c r="F2723">
        <v>0</v>
      </c>
      <c r="G2723">
        <v>0</v>
      </c>
      <c r="H2723">
        <f t="shared" si="84"/>
        <v>2</v>
      </c>
      <c r="I2723">
        <v>0</v>
      </c>
      <c r="J2723">
        <v>0</v>
      </c>
      <c r="K2723">
        <v>0</v>
      </c>
      <c r="L2723">
        <f t="shared" si="85"/>
        <v>0</v>
      </c>
    </row>
    <row r="2724" spans="1:12">
      <c r="A2724" t="s">
        <v>3945</v>
      </c>
      <c r="B2724" t="s">
        <v>1544</v>
      </c>
      <c r="C2724" t="s">
        <v>2826</v>
      </c>
      <c r="D2724" t="s">
        <v>2858</v>
      </c>
      <c r="E2724">
        <v>2</v>
      </c>
      <c r="F2724">
        <v>0</v>
      </c>
      <c r="G2724">
        <v>0</v>
      </c>
      <c r="H2724">
        <f t="shared" si="84"/>
        <v>2</v>
      </c>
      <c r="I2724">
        <v>0</v>
      </c>
      <c r="J2724">
        <v>0</v>
      </c>
      <c r="K2724">
        <v>0</v>
      </c>
      <c r="L2724">
        <f t="shared" si="85"/>
        <v>0</v>
      </c>
    </row>
    <row r="2725" spans="1:12">
      <c r="A2725" t="s">
        <v>3945</v>
      </c>
      <c r="B2725" t="s">
        <v>1544</v>
      </c>
      <c r="C2725" t="s">
        <v>2826</v>
      </c>
      <c r="D2725" t="s">
        <v>2843</v>
      </c>
      <c r="E2725">
        <v>1</v>
      </c>
      <c r="F2725">
        <v>0</v>
      </c>
      <c r="G2725">
        <v>0</v>
      </c>
      <c r="H2725">
        <f t="shared" si="84"/>
        <v>1</v>
      </c>
      <c r="I2725">
        <v>1</v>
      </c>
      <c r="J2725">
        <v>0</v>
      </c>
      <c r="K2725">
        <v>0</v>
      </c>
      <c r="L2725">
        <f t="shared" si="85"/>
        <v>1</v>
      </c>
    </row>
    <row r="2726" spans="1:12">
      <c r="A2726" t="s">
        <v>3945</v>
      </c>
      <c r="B2726" t="s">
        <v>1544</v>
      </c>
      <c r="C2726" t="s">
        <v>2826</v>
      </c>
      <c r="D2726" t="s">
        <v>2834</v>
      </c>
      <c r="E2726">
        <v>1</v>
      </c>
      <c r="F2726">
        <v>0</v>
      </c>
      <c r="G2726">
        <v>0</v>
      </c>
      <c r="H2726">
        <f t="shared" si="84"/>
        <v>1</v>
      </c>
      <c r="I2726">
        <v>1</v>
      </c>
      <c r="J2726">
        <v>0</v>
      </c>
      <c r="K2726">
        <v>0</v>
      </c>
      <c r="L2726">
        <f t="shared" si="85"/>
        <v>1</v>
      </c>
    </row>
    <row r="2727" spans="1:12">
      <c r="A2727" t="s">
        <v>3945</v>
      </c>
      <c r="B2727" t="s">
        <v>1544</v>
      </c>
      <c r="C2727" t="s">
        <v>2817</v>
      </c>
      <c r="D2727" t="s">
        <v>2877</v>
      </c>
      <c r="E2727">
        <v>1</v>
      </c>
      <c r="F2727">
        <v>0</v>
      </c>
      <c r="G2727">
        <v>0</v>
      </c>
      <c r="H2727">
        <f t="shared" si="84"/>
        <v>1</v>
      </c>
      <c r="I2727">
        <v>0</v>
      </c>
      <c r="J2727">
        <v>0</v>
      </c>
      <c r="K2727">
        <v>0</v>
      </c>
      <c r="L2727">
        <f t="shared" si="85"/>
        <v>0</v>
      </c>
    </row>
    <row r="2728" spans="1:12">
      <c r="A2728" t="s">
        <v>3945</v>
      </c>
      <c r="B2728" t="s">
        <v>1544</v>
      </c>
      <c r="C2728" t="s">
        <v>2820</v>
      </c>
      <c r="D2728" t="s">
        <v>2821</v>
      </c>
      <c r="E2728">
        <v>1</v>
      </c>
      <c r="F2728">
        <v>0</v>
      </c>
      <c r="G2728">
        <v>0</v>
      </c>
      <c r="H2728">
        <f t="shared" si="84"/>
        <v>1</v>
      </c>
      <c r="I2728">
        <v>0</v>
      </c>
      <c r="J2728">
        <v>0</v>
      </c>
      <c r="K2728">
        <v>0</v>
      </c>
      <c r="L2728">
        <f t="shared" si="85"/>
        <v>0</v>
      </c>
    </row>
    <row r="2729" spans="1:12">
      <c r="A2729" t="s">
        <v>3946</v>
      </c>
      <c r="B2729" t="s">
        <v>1549</v>
      </c>
      <c r="C2729" t="s">
        <v>2805</v>
      </c>
      <c r="D2729" t="s">
        <v>449</v>
      </c>
      <c r="E2729">
        <v>9</v>
      </c>
      <c r="F2729">
        <v>0</v>
      </c>
      <c r="G2729">
        <v>0</v>
      </c>
      <c r="H2729">
        <f t="shared" si="84"/>
        <v>9</v>
      </c>
      <c r="I2729">
        <v>0</v>
      </c>
      <c r="J2729">
        <v>0</v>
      </c>
      <c r="K2729">
        <v>0</v>
      </c>
      <c r="L2729">
        <f t="shared" si="85"/>
        <v>0</v>
      </c>
    </row>
    <row r="2730" spans="1:12">
      <c r="A2730" t="s">
        <v>3946</v>
      </c>
      <c r="B2730" t="s">
        <v>1549</v>
      </c>
      <c r="C2730" t="s">
        <v>2805</v>
      </c>
      <c r="D2730" t="s">
        <v>2807</v>
      </c>
      <c r="E2730">
        <v>5</v>
      </c>
      <c r="F2730">
        <v>0</v>
      </c>
      <c r="G2730">
        <v>0</v>
      </c>
      <c r="H2730">
        <f t="shared" si="84"/>
        <v>5</v>
      </c>
      <c r="I2730">
        <v>0</v>
      </c>
      <c r="J2730">
        <v>0</v>
      </c>
      <c r="K2730">
        <v>0</v>
      </c>
      <c r="L2730">
        <f t="shared" si="85"/>
        <v>0</v>
      </c>
    </row>
    <row r="2731" spans="1:12">
      <c r="A2731" t="s">
        <v>3946</v>
      </c>
      <c r="B2731" t="s">
        <v>1549</v>
      </c>
      <c r="C2731" t="s">
        <v>2810</v>
      </c>
      <c r="D2731" t="s">
        <v>2811</v>
      </c>
      <c r="E2731">
        <v>14</v>
      </c>
      <c r="F2731">
        <v>0</v>
      </c>
      <c r="G2731">
        <v>0</v>
      </c>
      <c r="H2731">
        <f t="shared" si="84"/>
        <v>14</v>
      </c>
      <c r="I2731">
        <v>0</v>
      </c>
      <c r="J2731">
        <v>0</v>
      </c>
      <c r="K2731">
        <v>0</v>
      </c>
      <c r="L2731">
        <f t="shared" si="85"/>
        <v>0</v>
      </c>
    </row>
    <row r="2732" spans="1:12">
      <c r="A2732" t="s">
        <v>3946</v>
      </c>
      <c r="B2732" t="s">
        <v>1549</v>
      </c>
      <c r="C2732" t="s">
        <v>2810</v>
      </c>
      <c r="D2732" t="s">
        <v>1892</v>
      </c>
      <c r="E2732">
        <v>7</v>
      </c>
      <c r="F2732">
        <v>0</v>
      </c>
      <c r="G2732">
        <v>0</v>
      </c>
      <c r="H2732">
        <f t="shared" si="84"/>
        <v>7</v>
      </c>
      <c r="I2732">
        <v>0</v>
      </c>
      <c r="J2732">
        <v>0</v>
      </c>
      <c r="K2732">
        <v>0</v>
      </c>
      <c r="L2732">
        <f t="shared" si="85"/>
        <v>0</v>
      </c>
    </row>
    <row r="2733" spans="1:12">
      <c r="A2733" t="s">
        <v>3946</v>
      </c>
      <c r="B2733" t="s">
        <v>1549</v>
      </c>
      <c r="C2733" t="s">
        <v>2810</v>
      </c>
      <c r="D2733" t="s">
        <v>2823</v>
      </c>
      <c r="E2733">
        <v>0</v>
      </c>
      <c r="F2733">
        <v>10</v>
      </c>
      <c r="G2733">
        <v>0</v>
      </c>
      <c r="H2733">
        <f t="shared" si="84"/>
        <v>10</v>
      </c>
      <c r="I2733">
        <v>0</v>
      </c>
      <c r="J2733">
        <v>0</v>
      </c>
      <c r="K2733">
        <v>0</v>
      </c>
      <c r="L2733">
        <f t="shared" si="85"/>
        <v>0</v>
      </c>
    </row>
    <row r="2734" spans="1:12">
      <c r="A2734" t="s">
        <v>3946</v>
      </c>
      <c r="B2734" t="s">
        <v>1549</v>
      </c>
      <c r="C2734" t="s">
        <v>2810</v>
      </c>
      <c r="D2734" t="s">
        <v>2812</v>
      </c>
      <c r="E2734">
        <v>14</v>
      </c>
      <c r="F2734">
        <v>0</v>
      </c>
      <c r="G2734">
        <v>0</v>
      </c>
      <c r="H2734">
        <f t="shared" si="84"/>
        <v>14</v>
      </c>
      <c r="I2734">
        <v>0</v>
      </c>
      <c r="J2734">
        <v>0</v>
      </c>
      <c r="K2734">
        <v>0</v>
      </c>
      <c r="L2734">
        <f t="shared" si="85"/>
        <v>0</v>
      </c>
    </row>
    <row r="2735" spans="1:12">
      <c r="A2735" t="s">
        <v>3946</v>
      </c>
      <c r="B2735" t="s">
        <v>1549</v>
      </c>
      <c r="C2735" t="s">
        <v>2810</v>
      </c>
      <c r="D2735" t="s">
        <v>2813</v>
      </c>
      <c r="E2735">
        <v>1</v>
      </c>
      <c r="F2735">
        <v>0</v>
      </c>
      <c r="G2735">
        <v>0</v>
      </c>
      <c r="H2735">
        <f t="shared" si="84"/>
        <v>1</v>
      </c>
      <c r="I2735">
        <v>0</v>
      </c>
      <c r="J2735">
        <v>0</v>
      </c>
      <c r="K2735">
        <v>0</v>
      </c>
      <c r="L2735">
        <f t="shared" si="85"/>
        <v>0</v>
      </c>
    </row>
    <row r="2736" spans="1:12">
      <c r="A2736" t="s">
        <v>3946</v>
      </c>
      <c r="B2736" t="s">
        <v>1549</v>
      </c>
      <c r="C2736" t="s">
        <v>2810</v>
      </c>
      <c r="D2736" t="s">
        <v>2847</v>
      </c>
      <c r="E2736">
        <v>67</v>
      </c>
      <c r="F2736">
        <v>0</v>
      </c>
      <c r="G2736">
        <v>0</v>
      </c>
      <c r="H2736">
        <f t="shared" si="84"/>
        <v>67</v>
      </c>
      <c r="I2736">
        <v>0</v>
      </c>
      <c r="J2736">
        <v>0</v>
      </c>
      <c r="K2736">
        <v>0</v>
      </c>
      <c r="L2736">
        <f t="shared" si="85"/>
        <v>0</v>
      </c>
    </row>
    <row r="2737" spans="1:12">
      <c r="A2737" t="s">
        <v>3947</v>
      </c>
      <c r="B2737" t="s">
        <v>1121</v>
      </c>
      <c r="C2737" t="s">
        <v>2805</v>
      </c>
      <c r="D2737" t="s">
        <v>2806</v>
      </c>
      <c r="E2737">
        <v>90</v>
      </c>
      <c r="F2737">
        <v>0</v>
      </c>
      <c r="G2737">
        <v>0</v>
      </c>
      <c r="H2737">
        <f t="shared" si="84"/>
        <v>90</v>
      </c>
      <c r="I2737">
        <v>0</v>
      </c>
      <c r="J2737">
        <v>0</v>
      </c>
      <c r="K2737">
        <v>0</v>
      </c>
      <c r="L2737">
        <f t="shared" si="85"/>
        <v>0</v>
      </c>
    </row>
    <row r="2738" spans="1:12">
      <c r="A2738" t="s">
        <v>3947</v>
      </c>
      <c r="B2738" t="s">
        <v>1121</v>
      </c>
      <c r="C2738" t="s">
        <v>2805</v>
      </c>
      <c r="D2738" t="s">
        <v>449</v>
      </c>
      <c r="E2738">
        <v>203</v>
      </c>
      <c r="F2738">
        <v>0</v>
      </c>
      <c r="G2738">
        <v>0</v>
      </c>
      <c r="H2738">
        <f t="shared" si="84"/>
        <v>203</v>
      </c>
      <c r="I2738">
        <v>0</v>
      </c>
      <c r="J2738">
        <v>0</v>
      </c>
      <c r="K2738">
        <v>0</v>
      </c>
      <c r="L2738">
        <f t="shared" si="85"/>
        <v>0</v>
      </c>
    </row>
    <row r="2739" spans="1:12">
      <c r="A2739" t="s">
        <v>3947</v>
      </c>
      <c r="B2739" t="s">
        <v>1121</v>
      </c>
      <c r="C2739" t="s">
        <v>2805</v>
      </c>
      <c r="D2739" t="s">
        <v>2807</v>
      </c>
      <c r="E2739">
        <v>11</v>
      </c>
      <c r="F2739">
        <v>0</v>
      </c>
      <c r="G2739">
        <v>0</v>
      </c>
      <c r="H2739">
        <f t="shared" si="84"/>
        <v>11</v>
      </c>
      <c r="I2739">
        <v>0</v>
      </c>
      <c r="J2739">
        <v>0</v>
      </c>
      <c r="K2739">
        <v>0</v>
      </c>
      <c r="L2739">
        <f t="shared" si="85"/>
        <v>0</v>
      </c>
    </row>
    <row r="2740" spans="1:12">
      <c r="A2740" t="s">
        <v>3947</v>
      </c>
      <c r="B2740" t="s">
        <v>1121</v>
      </c>
      <c r="C2740" t="s">
        <v>2810</v>
      </c>
      <c r="D2740" t="s">
        <v>2811</v>
      </c>
      <c r="E2740">
        <v>44</v>
      </c>
      <c r="F2740">
        <v>0</v>
      </c>
      <c r="G2740">
        <v>0</v>
      </c>
      <c r="H2740">
        <f t="shared" si="84"/>
        <v>44</v>
      </c>
      <c r="I2740">
        <v>1</v>
      </c>
      <c r="J2740">
        <v>0</v>
      </c>
      <c r="K2740">
        <v>0</v>
      </c>
      <c r="L2740">
        <f t="shared" si="85"/>
        <v>1</v>
      </c>
    </row>
    <row r="2741" spans="1:12">
      <c r="A2741" t="s">
        <v>3947</v>
      </c>
      <c r="B2741" t="s">
        <v>1121</v>
      </c>
      <c r="C2741" t="s">
        <v>2810</v>
      </c>
      <c r="D2741" t="s">
        <v>2823</v>
      </c>
      <c r="E2741">
        <v>0</v>
      </c>
      <c r="F2741">
        <v>4</v>
      </c>
      <c r="G2741">
        <v>0</v>
      </c>
      <c r="H2741">
        <f t="shared" si="84"/>
        <v>4</v>
      </c>
      <c r="I2741">
        <v>0</v>
      </c>
      <c r="J2741">
        <v>0</v>
      </c>
      <c r="K2741">
        <v>0</v>
      </c>
      <c r="L2741">
        <f t="shared" si="85"/>
        <v>0</v>
      </c>
    </row>
    <row r="2742" spans="1:12">
      <c r="A2742" t="s">
        <v>3947</v>
      </c>
      <c r="B2742" t="s">
        <v>1121</v>
      </c>
      <c r="C2742" t="s">
        <v>2810</v>
      </c>
      <c r="D2742" t="s">
        <v>2812</v>
      </c>
      <c r="E2742">
        <v>18</v>
      </c>
      <c r="F2742">
        <v>0</v>
      </c>
      <c r="G2742">
        <v>0</v>
      </c>
      <c r="H2742">
        <f t="shared" si="84"/>
        <v>18</v>
      </c>
      <c r="I2742">
        <v>0</v>
      </c>
      <c r="J2742">
        <v>0</v>
      </c>
      <c r="K2742">
        <v>0</v>
      </c>
      <c r="L2742">
        <f t="shared" si="85"/>
        <v>0</v>
      </c>
    </row>
    <row r="2743" spans="1:12">
      <c r="A2743" t="s">
        <v>3947</v>
      </c>
      <c r="B2743" t="s">
        <v>1121</v>
      </c>
      <c r="C2743" t="s">
        <v>2810</v>
      </c>
      <c r="D2743" t="s">
        <v>2813</v>
      </c>
      <c r="E2743">
        <v>26</v>
      </c>
      <c r="F2743">
        <v>0</v>
      </c>
      <c r="G2743">
        <v>0</v>
      </c>
      <c r="H2743">
        <f t="shared" si="84"/>
        <v>26</v>
      </c>
      <c r="I2743">
        <v>1</v>
      </c>
      <c r="J2743">
        <v>0</v>
      </c>
      <c r="K2743">
        <v>0</v>
      </c>
      <c r="L2743">
        <f t="shared" si="85"/>
        <v>1</v>
      </c>
    </row>
    <row r="2744" spans="1:12">
      <c r="A2744" t="s">
        <v>3947</v>
      </c>
      <c r="B2744" t="s">
        <v>1121</v>
      </c>
      <c r="C2744" t="s">
        <v>2810</v>
      </c>
      <c r="D2744" t="s">
        <v>2847</v>
      </c>
      <c r="E2744">
        <v>2</v>
      </c>
      <c r="F2744">
        <v>0</v>
      </c>
      <c r="G2744">
        <v>0</v>
      </c>
      <c r="H2744">
        <f t="shared" si="84"/>
        <v>2</v>
      </c>
      <c r="I2744">
        <v>0</v>
      </c>
      <c r="J2744">
        <v>0</v>
      </c>
      <c r="K2744">
        <v>0</v>
      </c>
      <c r="L2744">
        <f t="shared" si="85"/>
        <v>0</v>
      </c>
    </row>
    <row r="2745" spans="1:12">
      <c r="A2745" t="s">
        <v>3947</v>
      </c>
      <c r="B2745" t="s">
        <v>1121</v>
      </c>
      <c r="C2745" t="s">
        <v>2810</v>
      </c>
      <c r="D2745" t="s">
        <v>2815</v>
      </c>
      <c r="E2745">
        <v>13</v>
      </c>
      <c r="F2745">
        <v>0</v>
      </c>
      <c r="G2745">
        <v>0</v>
      </c>
      <c r="H2745">
        <f t="shared" si="84"/>
        <v>13</v>
      </c>
      <c r="I2745">
        <v>0</v>
      </c>
      <c r="J2745">
        <v>0</v>
      </c>
      <c r="K2745">
        <v>0</v>
      </c>
      <c r="L2745">
        <f t="shared" si="85"/>
        <v>0</v>
      </c>
    </row>
    <row r="2746" spans="1:12">
      <c r="A2746" t="s">
        <v>3947</v>
      </c>
      <c r="B2746" t="s">
        <v>1121</v>
      </c>
      <c r="C2746" t="s">
        <v>2816</v>
      </c>
      <c r="D2746" t="s">
        <v>1897</v>
      </c>
      <c r="E2746">
        <v>23</v>
      </c>
      <c r="F2746">
        <v>0</v>
      </c>
      <c r="G2746">
        <v>0</v>
      </c>
      <c r="H2746">
        <f t="shared" si="84"/>
        <v>23</v>
      </c>
      <c r="I2746">
        <v>0</v>
      </c>
      <c r="J2746">
        <v>0</v>
      </c>
      <c r="K2746">
        <v>0</v>
      </c>
      <c r="L2746">
        <f t="shared" si="85"/>
        <v>0</v>
      </c>
    </row>
    <row r="2747" spans="1:12">
      <c r="A2747" t="s">
        <v>3947</v>
      </c>
      <c r="B2747" t="s">
        <v>1121</v>
      </c>
      <c r="C2747" t="s">
        <v>2826</v>
      </c>
      <c r="D2747" t="s">
        <v>2871</v>
      </c>
      <c r="E2747">
        <v>0</v>
      </c>
      <c r="F2747">
        <v>0</v>
      </c>
      <c r="G2747">
        <v>0</v>
      </c>
      <c r="H2747">
        <f t="shared" si="84"/>
        <v>0</v>
      </c>
      <c r="I2747">
        <v>1</v>
      </c>
      <c r="J2747">
        <v>0</v>
      </c>
      <c r="K2747">
        <v>0</v>
      </c>
      <c r="L2747">
        <f t="shared" si="85"/>
        <v>1</v>
      </c>
    </row>
    <row r="2748" spans="1:12">
      <c r="A2748" t="s">
        <v>3947</v>
      </c>
      <c r="B2748" t="s">
        <v>1121</v>
      </c>
      <c r="C2748" t="s">
        <v>2826</v>
      </c>
      <c r="D2748" t="s">
        <v>2843</v>
      </c>
      <c r="E2748">
        <v>0</v>
      </c>
      <c r="F2748">
        <v>0</v>
      </c>
      <c r="G2748">
        <v>0</v>
      </c>
      <c r="H2748">
        <f t="shared" si="84"/>
        <v>0</v>
      </c>
      <c r="I2748">
        <v>1</v>
      </c>
      <c r="J2748">
        <v>0</v>
      </c>
      <c r="K2748">
        <v>0</v>
      </c>
      <c r="L2748">
        <f t="shared" si="85"/>
        <v>1</v>
      </c>
    </row>
    <row r="2749" spans="1:12">
      <c r="A2749" t="s">
        <v>3947</v>
      </c>
      <c r="B2749" t="s">
        <v>1121</v>
      </c>
      <c r="C2749" t="s">
        <v>2826</v>
      </c>
      <c r="D2749" t="s">
        <v>2834</v>
      </c>
      <c r="E2749">
        <v>0</v>
      </c>
      <c r="F2749">
        <v>0</v>
      </c>
      <c r="G2749">
        <v>0</v>
      </c>
      <c r="H2749">
        <f t="shared" si="84"/>
        <v>0</v>
      </c>
      <c r="I2749">
        <v>1</v>
      </c>
      <c r="J2749">
        <v>0</v>
      </c>
      <c r="K2749">
        <v>0</v>
      </c>
      <c r="L2749">
        <f t="shared" si="85"/>
        <v>1</v>
      </c>
    </row>
    <row r="2750" spans="1:12">
      <c r="A2750" t="s">
        <v>3947</v>
      </c>
      <c r="B2750" t="s">
        <v>1121</v>
      </c>
      <c r="C2750" t="s">
        <v>2826</v>
      </c>
      <c r="D2750" t="s">
        <v>2886</v>
      </c>
      <c r="E2750">
        <v>0</v>
      </c>
      <c r="F2750">
        <v>0</v>
      </c>
      <c r="G2750">
        <v>0</v>
      </c>
      <c r="H2750">
        <f t="shared" si="84"/>
        <v>0</v>
      </c>
      <c r="I2750">
        <v>1</v>
      </c>
      <c r="J2750">
        <v>0</v>
      </c>
      <c r="K2750">
        <v>0</v>
      </c>
      <c r="L2750">
        <f t="shared" si="85"/>
        <v>1</v>
      </c>
    </row>
    <row r="2751" spans="1:12">
      <c r="A2751" t="s">
        <v>3947</v>
      </c>
      <c r="B2751" t="s">
        <v>1121</v>
      </c>
      <c r="C2751" t="s">
        <v>2817</v>
      </c>
      <c r="D2751" t="s">
        <v>2837</v>
      </c>
      <c r="E2751">
        <v>17</v>
      </c>
      <c r="F2751">
        <v>0</v>
      </c>
      <c r="G2751">
        <v>0</v>
      </c>
      <c r="H2751">
        <f t="shared" si="84"/>
        <v>17</v>
      </c>
      <c r="I2751">
        <v>0</v>
      </c>
      <c r="J2751">
        <v>0</v>
      </c>
      <c r="K2751">
        <v>0</v>
      </c>
      <c r="L2751">
        <f t="shared" si="85"/>
        <v>0</v>
      </c>
    </row>
    <row r="2752" spans="1:12">
      <c r="A2752" t="s">
        <v>3948</v>
      </c>
      <c r="B2752" t="s">
        <v>1600</v>
      </c>
      <c r="C2752" t="s">
        <v>2805</v>
      </c>
      <c r="D2752" t="s">
        <v>2806</v>
      </c>
      <c r="E2752">
        <v>14</v>
      </c>
      <c r="F2752">
        <v>0</v>
      </c>
      <c r="G2752">
        <v>0</v>
      </c>
      <c r="H2752">
        <f t="shared" si="84"/>
        <v>14</v>
      </c>
      <c r="I2752">
        <v>0</v>
      </c>
      <c r="J2752">
        <v>0</v>
      </c>
      <c r="K2752">
        <v>0</v>
      </c>
      <c r="L2752">
        <f t="shared" si="85"/>
        <v>0</v>
      </c>
    </row>
    <row r="2753" spans="1:12">
      <c r="A2753" t="s">
        <v>3948</v>
      </c>
      <c r="B2753" t="s">
        <v>1600</v>
      </c>
      <c r="C2753" t="s">
        <v>2805</v>
      </c>
      <c r="D2753" t="s">
        <v>449</v>
      </c>
      <c r="E2753">
        <v>26</v>
      </c>
      <c r="F2753">
        <v>0</v>
      </c>
      <c r="G2753">
        <v>0</v>
      </c>
      <c r="H2753">
        <f t="shared" si="84"/>
        <v>26</v>
      </c>
      <c r="I2753">
        <v>0</v>
      </c>
      <c r="J2753">
        <v>0</v>
      </c>
      <c r="K2753">
        <v>0</v>
      </c>
      <c r="L2753">
        <f t="shared" si="85"/>
        <v>0</v>
      </c>
    </row>
    <row r="2754" spans="1:12">
      <c r="A2754" t="s">
        <v>3948</v>
      </c>
      <c r="B2754" t="s">
        <v>1600</v>
      </c>
      <c r="C2754" t="s">
        <v>2805</v>
      </c>
      <c r="D2754" t="s">
        <v>2807</v>
      </c>
      <c r="E2754">
        <v>4</v>
      </c>
      <c r="F2754">
        <v>0</v>
      </c>
      <c r="G2754">
        <v>0</v>
      </c>
      <c r="H2754">
        <f t="shared" si="84"/>
        <v>4</v>
      </c>
      <c r="I2754">
        <v>0</v>
      </c>
      <c r="J2754">
        <v>0</v>
      </c>
      <c r="K2754">
        <v>0</v>
      </c>
      <c r="L2754">
        <f t="shared" si="85"/>
        <v>0</v>
      </c>
    </row>
    <row r="2755" spans="1:12">
      <c r="A2755" t="s">
        <v>3948</v>
      </c>
      <c r="B2755" t="s">
        <v>1600</v>
      </c>
      <c r="C2755" t="s">
        <v>2805</v>
      </c>
      <c r="D2755" t="s">
        <v>2809</v>
      </c>
      <c r="E2755">
        <v>1</v>
      </c>
      <c r="F2755">
        <v>0</v>
      </c>
      <c r="G2755">
        <v>0</v>
      </c>
      <c r="H2755">
        <f t="shared" si="84"/>
        <v>1</v>
      </c>
      <c r="I2755">
        <v>0</v>
      </c>
      <c r="J2755">
        <v>0</v>
      </c>
      <c r="K2755">
        <v>0</v>
      </c>
      <c r="L2755">
        <f t="shared" si="85"/>
        <v>0</v>
      </c>
    </row>
    <row r="2756" spans="1:12">
      <c r="A2756" t="s">
        <v>3948</v>
      </c>
      <c r="B2756" t="s">
        <v>1600</v>
      </c>
      <c r="C2756" t="s">
        <v>2805</v>
      </c>
      <c r="D2756" t="s">
        <v>2846</v>
      </c>
      <c r="E2756">
        <v>1</v>
      </c>
      <c r="F2756">
        <v>0</v>
      </c>
      <c r="G2756">
        <v>0</v>
      </c>
      <c r="H2756">
        <f t="shared" ref="H2756:H2819" si="86">SUM(E2756:G2756)</f>
        <v>1</v>
      </c>
      <c r="I2756">
        <v>0</v>
      </c>
      <c r="J2756">
        <v>0</v>
      </c>
      <c r="K2756">
        <v>0</v>
      </c>
      <c r="L2756">
        <f t="shared" ref="L2756:L2819" si="87">SUM(I2756:K2756)</f>
        <v>0</v>
      </c>
    </row>
    <row r="2757" spans="1:12">
      <c r="A2757" t="s">
        <v>3948</v>
      </c>
      <c r="B2757" t="s">
        <v>1600</v>
      </c>
      <c r="C2757" t="s">
        <v>2805</v>
      </c>
      <c r="D2757" t="s">
        <v>2863</v>
      </c>
      <c r="E2757">
        <v>2</v>
      </c>
      <c r="F2757">
        <v>0</v>
      </c>
      <c r="G2757">
        <v>0</v>
      </c>
      <c r="H2757">
        <f t="shared" si="86"/>
        <v>2</v>
      </c>
      <c r="I2757">
        <v>0</v>
      </c>
      <c r="J2757">
        <v>0</v>
      </c>
      <c r="K2757">
        <v>0</v>
      </c>
      <c r="L2757">
        <f t="shared" si="87"/>
        <v>0</v>
      </c>
    </row>
    <row r="2758" spans="1:12">
      <c r="A2758" t="s">
        <v>3948</v>
      </c>
      <c r="B2758" t="s">
        <v>1600</v>
      </c>
      <c r="C2758" t="s">
        <v>2810</v>
      </c>
      <c r="D2758" t="s">
        <v>2811</v>
      </c>
      <c r="E2758">
        <v>20</v>
      </c>
      <c r="F2758">
        <v>0</v>
      </c>
      <c r="G2758">
        <v>0</v>
      </c>
      <c r="H2758">
        <f t="shared" si="86"/>
        <v>20</v>
      </c>
      <c r="I2758">
        <v>0</v>
      </c>
      <c r="J2758">
        <v>0</v>
      </c>
      <c r="K2758">
        <v>0</v>
      </c>
      <c r="L2758">
        <f t="shared" si="87"/>
        <v>0</v>
      </c>
    </row>
    <row r="2759" spans="1:12">
      <c r="A2759" t="s">
        <v>3948</v>
      </c>
      <c r="B2759" t="s">
        <v>1600</v>
      </c>
      <c r="C2759" t="s">
        <v>2810</v>
      </c>
      <c r="D2759" t="s">
        <v>2812</v>
      </c>
      <c r="E2759">
        <v>2</v>
      </c>
      <c r="F2759">
        <v>0</v>
      </c>
      <c r="G2759">
        <v>0</v>
      </c>
      <c r="H2759">
        <f t="shared" si="86"/>
        <v>2</v>
      </c>
      <c r="I2759">
        <v>0</v>
      </c>
      <c r="J2759">
        <v>0</v>
      </c>
      <c r="K2759">
        <v>0</v>
      </c>
      <c r="L2759">
        <f t="shared" si="87"/>
        <v>0</v>
      </c>
    </row>
    <row r="2760" spans="1:12">
      <c r="A2760" t="s">
        <v>3948</v>
      </c>
      <c r="B2760" t="s">
        <v>1600</v>
      </c>
      <c r="C2760" t="s">
        <v>2810</v>
      </c>
      <c r="D2760" t="s">
        <v>2813</v>
      </c>
      <c r="E2760">
        <v>9</v>
      </c>
      <c r="F2760">
        <v>0</v>
      </c>
      <c r="G2760">
        <v>0</v>
      </c>
      <c r="H2760">
        <f t="shared" si="86"/>
        <v>9</v>
      </c>
      <c r="I2760">
        <v>0</v>
      </c>
      <c r="J2760">
        <v>0</v>
      </c>
      <c r="K2760">
        <v>0</v>
      </c>
      <c r="L2760">
        <f t="shared" si="87"/>
        <v>0</v>
      </c>
    </row>
    <row r="2761" spans="1:12">
      <c r="A2761" t="s">
        <v>3948</v>
      </c>
      <c r="B2761" t="s">
        <v>1600</v>
      </c>
      <c r="C2761" t="s">
        <v>2810</v>
      </c>
      <c r="D2761" t="s">
        <v>2814</v>
      </c>
      <c r="E2761">
        <v>4</v>
      </c>
      <c r="F2761">
        <v>0</v>
      </c>
      <c r="G2761">
        <v>0</v>
      </c>
      <c r="H2761">
        <f t="shared" si="86"/>
        <v>4</v>
      </c>
      <c r="I2761">
        <v>0</v>
      </c>
      <c r="J2761">
        <v>0</v>
      </c>
      <c r="K2761">
        <v>0</v>
      </c>
      <c r="L2761">
        <f t="shared" si="87"/>
        <v>0</v>
      </c>
    </row>
    <row r="2762" spans="1:12">
      <c r="A2762" t="s">
        <v>3948</v>
      </c>
      <c r="B2762" t="s">
        <v>1600</v>
      </c>
      <c r="C2762" t="s">
        <v>2810</v>
      </c>
      <c r="D2762" t="s">
        <v>2847</v>
      </c>
      <c r="E2762">
        <v>4</v>
      </c>
      <c r="F2762">
        <v>0</v>
      </c>
      <c r="G2762">
        <v>0</v>
      </c>
      <c r="H2762">
        <f t="shared" si="86"/>
        <v>4</v>
      </c>
      <c r="I2762">
        <v>0</v>
      </c>
      <c r="J2762">
        <v>0</v>
      </c>
      <c r="K2762">
        <v>0</v>
      </c>
      <c r="L2762">
        <f t="shared" si="87"/>
        <v>0</v>
      </c>
    </row>
    <row r="2763" spans="1:12">
      <c r="A2763" t="s">
        <v>3948</v>
      </c>
      <c r="B2763" t="s">
        <v>1600</v>
      </c>
      <c r="C2763" t="s">
        <v>2810</v>
      </c>
      <c r="D2763" t="s">
        <v>2840</v>
      </c>
      <c r="E2763">
        <v>4</v>
      </c>
      <c r="F2763">
        <v>0</v>
      </c>
      <c r="G2763">
        <v>0</v>
      </c>
      <c r="H2763">
        <f t="shared" si="86"/>
        <v>4</v>
      </c>
      <c r="I2763">
        <v>0</v>
      </c>
      <c r="J2763">
        <v>0</v>
      </c>
      <c r="K2763">
        <v>0</v>
      </c>
      <c r="L2763">
        <f t="shared" si="87"/>
        <v>0</v>
      </c>
    </row>
    <row r="2764" spans="1:12">
      <c r="A2764" t="s">
        <v>3948</v>
      </c>
      <c r="B2764" t="s">
        <v>1600</v>
      </c>
      <c r="C2764" t="s">
        <v>2810</v>
      </c>
      <c r="D2764" t="s">
        <v>2815</v>
      </c>
      <c r="E2764">
        <v>8</v>
      </c>
      <c r="F2764">
        <v>0</v>
      </c>
      <c r="G2764">
        <v>0</v>
      </c>
      <c r="H2764">
        <f t="shared" si="86"/>
        <v>8</v>
      </c>
      <c r="I2764">
        <v>0</v>
      </c>
      <c r="J2764">
        <v>0</v>
      </c>
      <c r="K2764">
        <v>0</v>
      </c>
      <c r="L2764">
        <f t="shared" si="87"/>
        <v>0</v>
      </c>
    </row>
    <row r="2765" spans="1:12">
      <c r="A2765" t="s">
        <v>3948</v>
      </c>
      <c r="B2765" t="s">
        <v>1600</v>
      </c>
      <c r="C2765" t="s">
        <v>2826</v>
      </c>
      <c r="D2765" t="s">
        <v>2827</v>
      </c>
      <c r="E2765">
        <v>0</v>
      </c>
      <c r="F2765">
        <v>0</v>
      </c>
      <c r="G2765">
        <v>0</v>
      </c>
      <c r="H2765">
        <f t="shared" si="86"/>
        <v>0</v>
      </c>
      <c r="I2765">
        <v>1</v>
      </c>
      <c r="J2765">
        <v>0</v>
      </c>
      <c r="K2765">
        <v>0</v>
      </c>
      <c r="L2765">
        <f t="shared" si="87"/>
        <v>1</v>
      </c>
    </row>
    <row r="2766" spans="1:12">
      <c r="A2766" t="s">
        <v>3948</v>
      </c>
      <c r="B2766" t="s">
        <v>1600</v>
      </c>
      <c r="C2766" t="s">
        <v>2826</v>
      </c>
      <c r="D2766" t="s">
        <v>2843</v>
      </c>
      <c r="E2766">
        <v>0</v>
      </c>
      <c r="F2766">
        <v>0</v>
      </c>
      <c r="G2766">
        <v>0</v>
      </c>
      <c r="H2766">
        <f t="shared" si="86"/>
        <v>0</v>
      </c>
      <c r="I2766">
        <v>1</v>
      </c>
      <c r="J2766">
        <v>0</v>
      </c>
      <c r="K2766">
        <v>0</v>
      </c>
      <c r="L2766">
        <f t="shared" si="87"/>
        <v>1</v>
      </c>
    </row>
    <row r="2767" spans="1:12">
      <c r="A2767" t="s">
        <v>3948</v>
      </c>
      <c r="B2767" t="s">
        <v>1600</v>
      </c>
      <c r="C2767" t="s">
        <v>2826</v>
      </c>
      <c r="D2767" t="s">
        <v>2834</v>
      </c>
      <c r="E2767">
        <v>0</v>
      </c>
      <c r="F2767">
        <v>0</v>
      </c>
      <c r="G2767">
        <v>0</v>
      </c>
      <c r="H2767">
        <f t="shared" si="86"/>
        <v>0</v>
      </c>
      <c r="I2767">
        <v>1</v>
      </c>
      <c r="J2767">
        <v>0</v>
      </c>
      <c r="K2767">
        <v>0</v>
      </c>
      <c r="L2767">
        <f t="shared" si="87"/>
        <v>1</v>
      </c>
    </row>
    <row r="2768" spans="1:12">
      <c r="A2768" t="s">
        <v>3948</v>
      </c>
      <c r="B2768" t="s">
        <v>1600</v>
      </c>
      <c r="C2768" t="s">
        <v>2826</v>
      </c>
      <c r="D2768" t="s">
        <v>2849</v>
      </c>
      <c r="E2768">
        <v>0</v>
      </c>
      <c r="F2768">
        <v>0</v>
      </c>
      <c r="G2768">
        <v>0</v>
      </c>
      <c r="H2768">
        <f t="shared" si="86"/>
        <v>0</v>
      </c>
      <c r="I2768">
        <v>1</v>
      </c>
      <c r="J2768">
        <v>0</v>
      </c>
      <c r="K2768">
        <v>0</v>
      </c>
      <c r="L2768">
        <f t="shared" si="87"/>
        <v>1</v>
      </c>
    </row>
    <row r="2769" spans="1:12">
      <c r="A2769" t="s">
        <v>3948</v>
      </c>
      <c r="B2769" t="s">
        <v>1600</v>
      </c>
      <c r="C2769" t="s">
        <v>2817</v>
      </c>
      <c r="D2769" t="s">
        <v>2877</v>
      </c>
      <c r="E2769">
        <v>1</v>
      </c>
      <c r="F2769">
        <v>0</v>
      </c>
      <c r="G2769">
        <v>0</v>
      </c>
      <c r="H2769">
        <f t="shared" si="86"/>
        <v>1</v>
      </c>
      <c r="I2769">
        <v>0</v>
      </c>
      <c r="J2769">
        <v>0</v>
      </c>
      <c r="K2769">
        <v>0</v>
      </c>
      <c r="L2769">
        <f t="shared" si="87"/>
        <v>0</v>
      </c>
    </row>
    <row r="2770" spans="1:12">
      <c r="A2770" t="s">
        <v>3948</v>
      </c>
      <c r="B2770" t="s">
        <v>1600</v>
      </c>
      <c r="C2770" t="s">
        <v>2817</v>
      </c>
      <c r="D2770" t="s">
        <v>2818</v>
      </c>
      <c r="E2770">
        <v>1</v>
      </c>
      <c r="F2770">
        <v>0</v>
      </c>
      <c r="G2770">
        <v>0</v>
      </c>
      <c r="H2770">
        <f t="shared" si="86"/>
        <v>1</v>
      </c>
      <c r="I2770">
        <v>0</v>
      </c>
      <c r="J2770">
        <v>0</v>
      </c>
      <c r="K2770">
        <v>0</v>
      </c>
      <c r="L2770">
        <f t="shared" si="87"/>
        <v>0</v>
      </c>
    </row>
    <row r="2771" spans="1:12">
      <c r="A2771" t="s">
        <v>3948</v>
      </c>
      <c r="B2771" t="s">
        <v>1600</v>
      </c>
      <c r="C2771" t="s">
        <v>2817</v>
      </c>
      <c r="D2771" t="s">
        <v>2819</v>
      </c>
      <c r="E2771">
        <v>1</v>
      </c>
      <c r="F2771">
        <v>0</v>
      </c>
      <c r="G2771">
        <v>0</v>
      </c>
      <c r="H2771">
        <f t="shared" si="86"/>
        <v>1</v>
      </c>
      <c r="I2771">
        <v>0</v>
      </c>
      <c r="J2771">
        <v>0</v>
      </c>
      <c r="K2771">
        <v>0</v>
      </c>
      <c r="L2771">
        <f t="shared" si="87"/>
        <v>0</v>
      </c>
    </row>
    <row r="2772" spans="1:12">
      <c r="A2772" t="s">
        <v>3949</v>
      </c>
      <c r="B2772" t="s">
        <v>355</v>
      </c>
      <c r="C2772" t="s">
        <v>2841</v>
      </c>
      <c r="D2772" t="s">
        <v>3117</v>
      </c>
      <c r="E2772">
        <v>0</v>
      </c>
      <c r="F2772">
        <v>0</v>
      </c>
      <c r="G2772">
        <v>0</v>
      </c>
      <c r="H2772">
        <f t="shared" si="86"/>
        <v>0</v>
      </c>
      <c r="I2772">
        <v>1</v>
      </c>
      <c r="J2772">
        <v>0</v>
      </c>
      <c r="K2772">
        <v>0</v>
      </c>
      <c r="L2772">
        <f t="shared" si="87"/>
        <v>1</v>
      </c>
    </row>
    <row r="2773" spans="1:12">
      <c r="A2773" t="s">
        <v>3949</v>
      </c>
      <c r="B2773" t="s">
        <v>355</v>
      </c>
      <c r="C2773" t="s">
        <v>2841</v>
      </c>
      <c r="D2773" t="s">
        <v>2842</v>
      </c>
      <c r="E2773">
        <v>0</v>
      </c>
      <c r="F2773">
        <v>0</v>
      </c>
      <c r="G2773">
        <v>0</v>
      </c>
      <c r="H2773">
        <f t="shared" si="86"/>
        <v>0</v>
      </c>
      <c r="I2773">
        <v>11</v>
      </c>
      <c r="J2773">
        <v>2</v>
      </c>
      <c r="K2773">
        <v>0</v>
      </c>
      <c r="L2773">
        <f t="shared" si="87"/>
        <v>13</v>
      </c>
    </row>
    <row r="2774" spans="1:12">
      <c r="A2774" t="s">
        <v>3949</v>
      </c>
      <c r="B2774" t="s">
        <v>355</v>
      </c>
      <c r="C2774" t="s">
        <v>2826</v>
      </c>
      <c r="D2774" t="s">
        <v>2843</v>
      </c>
      <c r="E2774">
        <v>0</v>
      </c>
      <c r="F2774">
        <v>0</v>
      </c>
      <c r="G2774">
        <v>0</v>
      </c>
      <c r="H2774">
        <f t="shared" si="86"/>
        <v>0</v>
      </c>
      <c r="I2774">
        <v>1</v>
      </c>
      <c r="J2774">
        <v>0</v>
      </c>
      <c r="K2774">
        <v>0</v>
      </c>
      <c r="L2774">
        <f t="shared" si="87"/>
        <v>1</v>
      </c>
    </row>
    <row r="2775" spans="1:12">
      <c r="A2775" t="s">
        <v>3949</v>
      </c>
      <c r="B2775" t="s">
        <v>355</v>
      </c>
      <c r="C2775" t="s">
        <v>2826</v>
      </c>
      <c r="D2775" t="s">
        <v>2975</v>
      </c>
      <c r="E2775">
        <v>0</v>
      </c>
      <c r="F2775">
        <v>0</v>
      </c>
      <c r="G2775">
        <v>0</v>
      </c>
      <c r="H2775">
        <f t="shared" si="86"/>
        <v>0</v>
      </c>
      <c r="I2775">
        <v>1</v>
      </c>
      <c r="J2775">
        <v>0</v>
      </c>
      <c r="K2775">
        <v>0</v>
      </c>
      <c r="L2775">
        <f t="shared" si="87"/>
        <v>1</v>
      </c>
    </row>
    <row r="2776" spans="1:12">
      <c r="A2776" t="s">
        <v>3949</v>
      </c>
      <c r="B2776" t="s">
        <v>355</v>
      </c>
      <c r="C2776" t="s">
        <v>2826</v>
      </c>
      <c r="D2776" t="s">
        <v>2832</v>
      </c>
      <c r="E2776">
        <v>0</v>
      </c>
      <c r="F2776">
        <v>0</v>
      </c>
      <c r="G2776">
        <v>0</v>
      </c>
      <c r="H2776">
        <f t="shared" si="86"/>
        <v>0</v>
      </c>
      <c r="I2776">
        <v>1</v>
      </c>
      <c r="J2776">
        <v>0</v>
      </c>
      <c r="K2776">
        <v>0</v>
      </c>
      <c r="L2776">
        <f t="shared" si="87"/>
        <v>1</v>
      </c>
    </row>
    <row r="2777" spans="1:12">
      <c r="A2777" t="s">
        <v>3949</v>
      </c>
      <c r="B2777" t="s">
        <v>355</v>
      </c>
      <c r="C2777" t="s">
        <v>2826</v>
      </c>
      <c r="D2777" t="s">
        <v>2834</v>
      </c>
      <c r="E2777">
        <v>0</v>
      </c>
      <c r="F2777">
        <v>0</v>
      </c>
      <c r="G2777">
        <v>0</v>
      </c>
      <c r="H2777">
        <f t="shared" si="86"/>
        <v>0</v>
      </c>
      <c r="I2777">
        <v>1</v>
      </c>
      <c r="J2777">
        <v>0</v>
      </c>
      <c r="K2777">
        <v>0</v>
      </c>
      <c r="L2777">
        <f t="shared" si="87"/>
        <v>1</v>
      </c>
    </row>
    <row r="2778" spans="1:12">
      <c r="A2778" t="s">
        <v>3949</v>
      </c>
      <c r="B2778" t="s">
        <v>355</v>
      </c>
      <c r="C2778" t="s">
        <v>2826</v>
      </c>
      <c r="D2778" t="s">
        <v>2835</v>
      </c>
      <c r="E2778">
        <v>0</v>
      </c>
      <c r="F2778">
        <v>0</v>
      </c>
      <c r="G2778">
        <v>0</v>
      </c>
      <c r="H2778">
        <f t="shared" si="86"/>
        <v>0</v>
      </c>
      <c r="I2778">
        <v>1</v>
      </c>
      <c r="J2778">
        <v>0</v>
      </c>
      <c r="K2778">
        <v>0</v>
      </c>
      <c r="L2778">
        <f t="shared" si="87"/>
        <v>1</v>
      </c>
    </row>
    <row r="2779" spans="1:12">
      <c r="A2779" t="s">
        <v>3949</v>
      </c>
      <c r="B2779" t="s">
        <v>355</v>
      </c>
      <c r="C2779" t="s">
        <v>2826</v>
      </c>
      <c r="D2779" t="s">
        <v>2917</v>
      </c>
      <c r="E2779">
        <v>0</v>
      </c>
      <c r="F2779">
        <v>0</v>
      </c>
      <c r="G2779">
        <v>0</v>
      </c>
      <c r="H2779">
        <f t="shared" si="86"/>
        <v>0</v>
      </c>
      <c r="I2779">
        <v>1</v>
      </c>
      <c r="J2779">
        <v>0</v>
      </c>
      <c r="K2779">
        <v>0</v>
      </c>
      <c r="L2779">
        <f t="shared" si="87"/>
        <v>1</v>
      </c>
    </row>
    <row r="2780" spans="1:12">
      <c r="A2780" t="s">
        <v>3950</v>
      </c>
      <c r="B2780" t="s">
        <v>1604</v>
      </c>
      <c r="C2780" t="s">
        <v>2805</v>
      </c>
      <c r="D2780" t="s">
        <v>2806</v>
      </c>
      <c r="E2780">
        <v>44</v>
      </c>
      <c r="F2780">
        <v>0</v>
      </c>
      <c r="G2780">
        <v>0</v>
      </c>
      <c r="H2780">
        <f t="shared" si="86"/>
        <v>44</v>
      </c>
      <c r="I2780">
        <v>0</v>
      </c>
      <c r="J2780">
        <v>0</v>
      </c>
      <c r="K2780">
        <v>0</v>
      </c>
      <c r="L2780">
        <f t="shared" si="87"/>
        <v>0</v>
      </c>
    </row>
    <row r="2781" spans="1:12">
      <c r="A2781" t="s">
        <v>3950</v>
      </c>
      <c r="B2781" t="s">
        <v>1604</v>
      </c>
      <c r="C2781" t="s">
        <v>2805</v>
      </c>
      <c r="D2781" t="s">
        <v>449</v>
      </c>
      <c r="E2781">
        <v>39</v>
      </c>
      <c r="F2781">
        <v>0</v>
      </c>
      <c r="G2781">
        <v>0</v>
      </c>
      <c r="H2781">
        <f t="shared" si="86"/>
        <v>39</v>
      </c>
      <c r="I2781">
        <v>0</v>
      </c>
      <c r="J2781">
        <v>0</v>
      </c>
      <c r="K2781">
        <v>0</v>
      </c>
      <c r="L2781">
        <f t="shared" si="87"/>
        <v>0</v>
      </c>
    </row>
    <row r="2782" spans="1:12">
      <c r="A2782" t="s">
        <v>3950</v>
      </c>
      <c r="B2782" t="s">
        <v>1604</v>
      </c>
      <c r="C2782" t="s">
        <v>2805</v>
      </c>
      <c r="D2782" t="s">
        <v>2807</v>
      </c>
      <c r="E2782">
        <v>1</v>
      </c>
      <c r="F2782">
        <v>0</v>
      </c>
      <c r="G2782">
        <v>0</v>
      </c>
      <c r="H2782">
        <f t="shared" si="86"/>
        <v>1</v>
      </c>
      <c r="I2782">
        <v>0</v>
      </c>
      <c r="J2782">
        <v>0</v>
      </c>
      <c r="K2782">
        <v>0</v>
      </c>
      <c r="L2782">
        <f t="shared" si="87"/>
        <v>0</v>
      </c>
    </row>
    <row r="2783" spans="1:12">
      <c r="A2783" t="s">
        <v>3950</v>
      </c>
      <c r="B2783" t="s">
        <v>1604</v>
      </c>
      <c r="C2783" t="s">
        <v>2810</v>
      </c>
      <c r="D2783" t="s">
        <v>2811</v>
      </c>
      <c r="E2783">
        <v>3</v>
      </c>
      <c r="F2783">
        <v>0</v>
      </c>
      <c r="G2783">
        <v>0</v>
      </c>
      <c r="H2783">
        <f t="shared" si="86"/>
        <v>3</v>
      </c>
      <c r="I2783">
        <v>0</v>
      </c>
      <c r="J2783">
        <v>0</v>
      </c>
      <c r="K2783">
        <v>0</v>
      </c>
      <c r="L2783">
        <f t="shared" si="87"/>
        <v>0</v>
      </c>
    </row>
    <row r="2784" spans="1:12">
      <c r="A2784" t="s">
        <v>3950</v>
      </c>
      <c r="B2784" t="s">
        <v>1604</v>
      </c>
      <c r="C2784" t="s">
        <v>2810</v>
      </c>
      <c r="D2784" t="s">
        <v>1892</v>
      </c>
      <c r="E2784">
        <v>2</v>
      </c>
      <c r="F2784">
        <v>22</v>
      </c>
      <c r="G2784">
        <v>0</v>
      </c>
      <c r="H2784">
        <f t="shared" si="86"/>
        <v>24</v>
      </c>
      <c r="I2784">
        <v>0</v>
      </c>
      <c r="J2784">
        <v>0</v>
      </c>
      <c r="K2784">
        <v>0</v>
      </c>
      <c r="L2784">
        <f t="shared" si="87"/>
        <v>0</v>
      </c>
    </row>
    <row r="2785" spans="1:12">
      <c r="A2785" t="s">
        <v>3950</v>
      </c>
      <c r="B2785" t="s">
        <v>1604</v>
      </c>
      <c r="C2785" t="s">
        <v>2810</v>
      </c>
      <c r="D2785" t="s">
        <v>2823</v>
      </c>
      <c r="E2785">
        <v>4</v>
      </c>
      <c r="F2785">
        <v>17</v>
      </c>
      <c r="G2785">
        <v>0</v>
      </c>
      <c r="H2785">
        <f t="shared" si="86"/>
        <v>21</v>
      </c>
      <c r="I2785">
        <v>0</v>
      </c>
      <c r="J2785">
        <v>0</v>
      </c>
      <c r="K2785">
        <v>0</v>
      </c>
      <c r="L2785">
        <f t="shared" si="87"/>
        <v>0</v>
      </c>
    </row>
    <row r="2786" spans="1:12">
      <c r="A2786" t="s">
        <v>3950</v>
      </c>
      <c r="B2786" t="s">
        <v>1604</v>
      </c>
      <c r="C2786" t="s">
        <v>2810</v>
      </c>
      <c r="D2786" t="s">
        <v>2812</v>
      </c>
      <c r="E2786">
        <v>55</v>
      </c>
      <c r="F2786">
        <v>0</v>
      </c>
      <c r="G2786">
        <v>0</v>
      </c>
      <c r="H2786">
        <f t="shared" si="86"/>
        <v>55</v>
      </c>
      <c r="I2786">
        <v>0</v>
      </c>
      <c r="J2786">
        <v>0</v>
      </c>
      <c r="K2786">
        <v>0</v>
      </c>
      <c r="L2786">
        <f t="shared" si="87"/>
        <v>0</v>
      </c>
    </row>
    <row r="2787" spans="1:12">
      <c r="A2787" t="s">
        <v>3950</v>
      </c>
      <c r="B2787" t="s">
        <v>1604</v>
      </c>
      <c r="C2787" t="s">
        <v>2810</v>
      </c>
      <c r="D2787" t="s">
        <v>2813</v>
      </c>
      <c r="E2787">
        <v>5</v>
      </c>
      <c r="F2787">
        <v>0</v>
      </c>
      <c r="G2787">
        <v>0</v>
      </c>
      <c r="H2787">
        <f t="shared" si="86"/>
        <v>5</v>
      </c>
      <c r="I2787">
        <v>0</v>
      </c>
      <c r="J2787">
        <v>0</v>
      </c>
      <c r="K2787">
        <v>0</v>
      </c>
      <c r="L2787">
        <f t="shared" si="87"/>
        <v>0</v>
      </c>
    </row>
    <row r="2788" spans="1:12">
      <c r="A2788" t="s">
        <v>3950</v>
      </c>
      <c r="B2788" t="s">
        <v>1604</v>
      </c>
      <c r="C2788" t="s">
        <v>2810</v>
      </c>
      <c r="D2788" t="s">
        <v>2847</v>
      </c>
      <c r="E2788">
        <v>28</v>
      </c>
      <c r="F2788">
        <v>0</v>
      </c>
      <c r="G2788">
        <v>0</v>
      </c>
      <c r="H2788">
        <f t="shared" si="86"/>
        <v>28</v>
      </c>
      <c r="I2788">
        <v>0</v>
      </c>
      <c r="J2788">
        <v>0</v>
      </c>
      <c r="K2788">
        <v>0</v>
      </c>
      <c r="L2788">
        <f t="shared" si="87"/>
        <v>0</v>
      </c>
    </row>
    <row r="2789" spans="1:12">
      <c r="A2789" t="s">
        <v>3950</v>
      </c>
      <c r="B2789" t="s">
        <v>1604</v>
      </c>
      <c r="C2789" t="s">
        <v>2820</v>
      </c>
      <c r="D2789" t="s">
        <v>2821</v>
      </c>
      <c r="E2789">
        <v>3</v>
      </c>
      <c r="F2789">
        <v>0</v>
      </c>
      <c r="G2789">
        <v>0</v>
      </c>
      <c r="H2789">
        <f t="shared" si="86"/>
        <v>3</v>
      </c>
      <c r="I2789">
        <v>0</v>
      </c>
      <c r="J2789">
        <v>0</v>
      </c>
      <c r="K2789">
        <v>0</v>
      </c>
      <c r="L2789">
        <f t="shared" si="87"/>
        <v>0</v>
      </c>
    </row>
    <row r="2790" spans="1:12">
      <c r="A2790" t="s">
        <v>3951</v>
      </c>
      <c r="B2790" t="s">
        <v>1602</v>
      </c>
      <c r="C2790" t="s">
        <v>2841</v>
      </c>
      <c r="D2790" t="s">
        <v>2842</v>
      </c>
      <c r="E2790">
        <v>0</v>
      </c>
      <c r="F2790">
        <v>0</v>
      </c>
      <c r="G2790">
        <v>0</v>
      </c>
      <c r="H2790">
        <f t="shared" si="86"/>
        <v>0</v>
      </c>
      <c r="I2790">
        <v>3</v>
      </c>
      <c r="J2790">
        <v>0</v>
      </c>
      <c r="K2790">
        <v>0</v>
      </c>
      <c r="L2790">
        <f t="shared" si="87"/>
        <v>3</v>
      </c>
    </row>
    <row r="2791" spans="1:12">
      <c r="A2791" t="s">
        <v>3951</v>
      </c>
      <c r="B2791" t="s">
        <v>1602</v>
      </c>
      <c r="C2791" t="s">
        <v>2826</v>
      </c>
      <c r="D2791" t="s">
        <v>2871</v>
      </c>
      <c r="E2791">
        <v>0</v>
      </c>
      <c r="F2791">
        <v>0</v>
      </c>
      <c r="G2791">
        <v>0</v>
      </c>
      <c r="H2791">
        <f t="shared" si="86"/>
        <v>0</v>
      </c>
      <c r="I2791">
        <v>2</v>
      </c>
      <c r="J2791">
        <v>0</v>
      </c>
      <c r="K2791">
        <v>0</v>
      </c>
      <c r="L2791">
        <f t="shared" si="87"/>
        <v>2</v>
      </c>
    </row>
    <row r="2792" spans="1:12">
      <c r="A2792" t="s">
        <v>3951</v>
      </c>
      <c r="B2792" t="s">
        <v>1602</v>
      </c>
      <c r="C2792" t="s">
        <v>2826</v>
      </c>
      <c r="D2792" t="s">
        <v>2905</v>
      </c>
      <c r="E2792">
        <v>0</v>
      </c>
      <c r="F2792">
        <v>0</v>
      </c>
      <c r="G2792">
        <v>0</v>
      </c>
      <c r="H2792">
        <f t="shared" si="86"/>
        <v>0</v>
      </c>
      <c r="I2792">
        <v>2</v>
      </c>
      <c r="J2792">
        <v>0</v>
      </c>
      <c r="K2792">
        <v>0</v>
      </c>
      <c r="L2792">
        <f t="shared" si="87"/>
        <v>2</v>
      </c>
    </row>
    <row r="2793" spans="1:12">
      <c r="A2793" t="s">
        <v>3951</v>
      </c>
      <c r="B2793" t="s">
        <v>1602</v>
      </c>
      <c r="C2793" t="s">
        <v>2826</v>
      </c>
      <c r="D2793" t="s">
        <v>2827</v>
      </c>
      <c r="E2793">
        <v>0</v>
      </c>
      <c r="F2793">
        <v>0</v>
      </c>
      <c r="G2793">
        <v>0</v>
      </c>
      <c r="H2793">
        <f t="shared" si="86"/>
        <v>0</v>
      </c>
      <c r="I2793">
        <v>4</v>
      </c>
      <c r="J2793">
        <v>0</v>
      </c>
      <c r="K2793">
        <v>0</v>
      </c>
      <c r="L2793">
        <f t="shared" si="87"/>
        <v>4</v>
      </c>
    </row>
    <row r="2794" spans="1:12">
      <c r="A2794" t="s">
        <v>3951</v>
      </c>
      <c r="B2794" t="s">
        <v>1602</v>
      </c>
      <c r="C2794" t="s">
        <v>2826</v>
      </c>
      <c r="D2794" t="s">
        <v>2829</v>
      </c>
      <c r="E2794">
        <v>0</v>
      </c>
      <c r="F2794">
        <v>0</v>
      </c>
      <c r="G2794">
        <v>0</v>
      </c>
      <c r="H2794">
        <f t="shared" si="86"/>
        <v>0</v>
      </c>
      <c r="I2794">
        <v>2</v>
      </c>
      <c r="J2794">
        <v>0</v>
      </c>
      <c r="K2794">
        <v>0</v>
      </c>
      <c r="L2794">
        <f t="shared" si="87"/>
        <v>2</v>
      </c>
    </row>
    <row r="2795" spans="1:12">
      <c r="A2795" t="s">
        <v>3951</v>
      </c>
      <c r="B2795" t="s">
        <v>1602</v>
      </c>
      <c r="C2795" t="s">
        <v>2826</v>
      </c>
      <c r="D2795" t="s">
        <v>2891</v>
      </c>
      <c r="E2795">
        <v>0</v>
      </c>
      <c r="F2795">
        <v>0</v>
      </c>
      <c r="G2795">
        <v>0</v>
      </c>
      <c r="H2795">
        <f t="shared" si="86"/>
        <v>0</v>
      </c>
      <c r="I2795">
        <v>2</v>
      </c>
      <c r="J2795">
        <v>0</v>
      </c>
      <c r="K2795">
        <v>0</v>
      </c>
      <c r="L2795">
        <f t="shared" si="87"/>
        <v>2</v>
      </c>
    </row>
    <row r="2796" spans="1:12">
      <c r="A2796" t="s">
        <v>3951</v>
      </c>
      <c r="B2796" t="s">
        <v>1602</v>
      </c>
      <c r="C2796" t="s">
        <v>2826</v>
      </c>
      <c r="D2796" t="s">
        <v>2830</v>
      </c>
      <c r="E2796">
        <v>0</v>
      </c>
      <c r="F2796">
        <v>0</v>
      </c>
      <c r="G2796">
        <v>0</v>
      </c>
      <c r="H2796">
        <f t="shared" si="86"/>
        <v>0</v>
      </c>
      <c r="I2796">
        <v>1</v>
      </c>
      <c r="J2796">
        <v>0</v>
      </c>
      <c r="K2796">
        <v>0</v>
      </c>
      <c r="L2796">
        <f t="shared" si="87"/>
        <v>1</v>
      </c>
    </row>
    <row r="2797" spans="1:12">
      <c r="A2797" t="s">
        <v>3951</v>
      </c>
      <c r="B2797" t="s">
        <v>1602</v>
      </c>
      <c r="C2797" t="s">
        <v>2826</v>
      </c>
      <c r="D2797" t="s">
        <v>2864</v>
      </c>
      <c r="E2797">
        <v>0</v>
      </c>
      <c r="F2797">
        <v>0</v>
      </c>
      <c r="G2797">
        <v>0</v>
      </c>
      <c r="H2797">
        <f t="shared" si="86"/>
        <v>0</v>
      </c>
      <c r="I2797">
        <v>2</v>
      </c>
      <c r="J2797">
        <v>0</v>
      </c>
      <c r="K2797">
        <v>0</v>
      </c>
      <c r="L2797">
        <f t="shared" si="87"/>
        <v>2</v>
      </c>
    </row>
    <row r="2798" spans="1:12">
      <c r="A2798" t="s">
        <v>3951</v>
      </c>
      <c r="B2798" t="s">
        <v>1602</v>
      </c>
      <c r="C2798" t="s">
        <v>2826</v>
      </c>
      <c r="D2798" t="s">
        <v>2831</v>
      </c>
      <c r="E2798">
        <v>0</v>
      </c>
      <c r="F2798">
        <v>0</v>
      </c>
      <c r="G2798">
        <v>0</v>
      </c>
      <c r="H2798">
        <f t="shared" si="86"/>
        <v>0</v>
      </c>
      <c r="I2798">
        <v>1</v>
      </c>
      <c r="J2798">
        <v>0</v>
      </c>
      <c r="K2798">
        <v>0</v>
      </c>
      <c r="L2798">
        <f t="shared" si="87"/>
        <v>1</v>
      </c>
    </row>
    <row r="2799" spans="1:12">
      <c r="A2799" t="s">
        <v>3951</v>
      </c>
      <c r="B2799" t="s">
        <v>1602</v>
      </c>
      <c r="C2799" t="s">
        <v>2826</v>
      </c>
      <c r="D2799" t="s">
        <v>2843</v>
      </c>
      <c r="E2799">
        <v>0</v>
      </c>
      <c r="F2799">
        <v>0</v>
      </c>
      <c r="G2799">
        <v>0</v>
      </c>
      <c r="H2799">
        <f t="shared" si="86"/>
        <v>0</v>
      </c>
      <c r="I2799">
        <v>2</v>
      </c>
      <c r="J2799">
        <v>0</v>
      </c>
      <c r="K2799">
        <v>0</v>
      </c>
      <c r="L2799">
        <f t="shared" si="87"/>
        <v>2</v>
      </c>
    </row>
    <row r="2800" spans="1:12">
      <c r="A2800" t="s">
        <v>3951</v>
      </c>
      <c r="B2800" t="s">
        <v>1602</v>
      </c>
      <c r="C2800" t="s">
        <v>2826</v>
      </c>
      <c r="D2800" t="s">
        <v>2885</v>
      </c>
      <c r="E2800">
        <v>0</v>
      </c>
      <c r="F2800">
        <v>0</v>
      </c>
      <c r="G2800">
        <v>0</v>
      </c>
      <c r="H2800">
        <f t="shared" si="86"/>
        <v>0</v>
      </c>
      <c r="I2800">
        <v>5</v>
      </c>
      <c r="J2800">
        <v>0</v>
      </c>
      <c r="K2800">
        <v>0</v>
      </c>
      <c r="L2800">
        <f t="shared" si="87"/>
        <v>5</v>
      </c>
    </row>
    <row r="2801" spans="1:12">
      <c r="A2801" t="s">
        <v>3951</v>
      </c>
      <c r="B2801" t="s">
        <v>1602</v>
      </c>
      <c r="C2801" t="s">
        <v>2826</v>
      </c>
      <c r="D2801" t="s">
        <v>2834</v>
      </c>
      <c r="E2801">
        <v>0</v>
      </c>
      <c r="F2801">
        <v>0</v>
      </c>
      <c r="G2801">
        <v>0</v>
      </c>
      <c r="H2801">
        <f t="shared" si="86"/>
        <v>0</v>
      </c>
      <c r="I2801">
        <v>3</v>
      </c>
      <c r="J2801">
        <v>0</v>
      </c>
      <c r="K2801">
        <v>0</v>
      </c>
      <c r="L2801">
        <f t="shared" si="87"/>
        <v>3</v>
      </c>
    </row>
    <row r="2802" spans="1:12">
      <c r="A2802" t="s">
        <v>3951</v>
      </c>
      <c r="B2802" t="s">
        <v>1602</v>
      </c>
      <c r="C2802" t="s">
        <v>2826</v>
      </c>
      <c r="D2802" t="s">
        <v>2844</v>
      </c>
      <c r="E2802">
        <v>0</v>
      </c>
      <c r="F2802">
        <v>0</v>
      </c>
      <c r="G2802">
        <v>0</v>
      </c>
      <c r="H2802">
        <f t="shared" si="86"/>
        <v>0</v>
      </c>
      <c r="I2802">
        <v>2</v>
      </c>
      <c r="J2802">
        <v>0</v>
      </c>
      <c r="K2802">
        <v>0</v>
      </c>
      <c r="L2802">
        <f t="shared" si="87"/>
        <v>2</v>
      </c>
    </row>
    <row r="2803" spans="1:12">
      <c r="A2803" t="s">
        <v>3951</v>
      </c>
      <c r="B2803" t="s">
        <v>1602</v>
      </c>
      <c r="C2803" t="s">
        <v>2826</v>
      </c>
      <c r="D2803" t="s">
        <v>2835</v>
      </c>
      <c r="E2803">
        <v>0</v>
      </c>
      <c r="F2803">
        <v>0</v>
      </c>
      <c r="G2803">
        <v>0</v>
      </c>
      <c r="H2803">
        <f t="shared" si="86"/>
        <v>0</v>
      </c>
      <c r="I2803">
        <v>1</v>
      </c>
      <c r="J2803">
        <v>0</v>
      </c>
      <c r="K2803">
        <v>0</v>
      </c>
      <c r="L2803">
        <f t="shared" si="87"/>
        <v>1</v>
      </c>
    </row>
    <row r="2804" spans="1:12">
      <c r="A2804" t="s">
        <v>3951</v>
      </c>
      <c r="B2804" t="s">
        <v>1602</v>
      </c>
      <c r="C2804" t="s">
        <v>2826</v>
      </c>
      <c r="D2804" t="s">
        <v>2849</v>
      </c>
      <c r="E2804">
        <v>0</v>
      </c>
      <c r="F2804">
        <v>0</v>
      </c>
      <c r="G2804">
        <v>0</v>
      </c>
      <c r="H2804">
        <f t="shared" si="86"/>
        <v>0</v>
      </c>
      <c r="I2804">
        <v>4</v>
      </c>
      <c r="J2804">
        <v>0</v>
      </c>
      <c r="K2804">
        <v>0</v>
      </c>
      <c r="L2804">
        <f t="shared" si="87"/>
        <v>4</v>
      </c>
    </row>
    <row r="2805" spans="1:12">
      <c r="A2805" t="s">
        <v>3951</v>
      </c>
      <c r="B2805" t="s">
        <v>1602</v>
      </c>
      <c r="C2805" t="s">
        <v>2826</v>
      </c>
      <c r="D2805" t="s">
        <v>2836</v>
      </c>
      <c r="E2805">
        <v>0</v>
      </c>
      <c r="F2805">
        <v>0</v>
      </c>
      <c r="G2805">
        <v>0</v>
      </c>
      <c r="H2805">
        <f t="shared" si="86"/>
        <v>0</v>
      </c>
      <c r="I2805">
        <v>1</v>
      </c>
      <c r="J2805">
        <v>0</v>
      </c>
      <c r="K2805">
        <v>0</v>
      </c>
      <c r="L2805">
        <f t="shared" si="87"/>
        <v>1</v>
      </c>
    </row>
    <row r="2806" spans="1:12">
      <c r="A2806" t="s">
        <v>3954</v>
      </c>
      <c r="B2806" t="s">
        <v>1556</v>
      </c>
      <c r="C2806" t="s">
        <v>2805</v>
      </c>
      <c r="D2806" t="s">
        <v>2806</v>
      </c>
      <c r="E2806">
        <v>100</v>
      </c>
      <c r="F2806">
        <v>0</v>
      </c>
      <c r="G2806">
        <v>0</v>
      </c>
      <c r="H2806">
        <f t="shared" si="86"/>
        <v>100</v>
      </c>
      <c r="I2806">
        <v>0</v>
      </c>
      <c r="J2806">
        <v>0</v>
      </c>
      <c r="K2806">
        <v>0</v>
      </c>
      <c r="L2806">
        <f t="shared" si="87"/>
        <v>0</v>
      </c>
    </row>
    <row r="2807" spans="1:12">
      <c r="A2807" t="s">
        <v>3954</v>
      </c>
      <c r="B2807" t="s">
        <v>1556</v>
      </c>
      <c r="C2807" t="s">
        <v>2805</v>
      </c>
      <c r="D2807" t="s">
        <v>449</v>
      </c>
      <c r="E2807">
        <v>109</v>
      </c>
      <c r="F2807">
        <v>0</v>
      </c>
      <c r="G2807">
        <v>0</v>
      </c>
      <c r="H2807">
        <f t="shared" si="86"/>
        <v>109</v>
      </c>
      <c r="I2807">
        <v>4</v>
      </c>
      <c r="J2807">
        <v>0</v>
      </c>
      <c r="K2807">
        <v>0</v>
      </c>
      <c r="L2807">
        <f t="shared" si="87"/>
        <v>4</v>
      </c>
    </row>
    <row r="2808" spans="1:12">
      <c r="A2808" t="s">
        <v>3954</v>
      </c>
      <c r="B2808" t="s">
        <v>1556</v>
      </c>
      <c r="C2808" t="s">
        <v>2805</v>
      </c>
      <c r="D2808" t="s">
        <v>2807</v>
      </c>
      <c r="E2808">
        <v>2</v>
      </c>
      <c r="F2808">
        <v>0</v>
      </c>
      <c r="G2808">
        <v>0</v>
      </c>
      <c r="H2808">
        <f t="shared" si="86"/>
        <v>2</v>
      </c>
      <c r="I2808">
        <v>0</v>
      </c>
      <c r="J2808">
        <v>0</v>
      </c>
      <c r="K2808">
        <v>0</v>
      </c>
      <c r="L2808">
        <f t="shared" si="87"/>
        <v>0</v>
      </c>
    </row>
    <row r="2809" spans="1:12">
      <c r="A2809" t="s">
        <v>3954</v>
      </c>
      <c r="B2809" t="s">
        <v>1556</v>
      </c>
      <c r="C2809" t="s">
        <v>2805</v>
      </c>
      <c r="D2809" t="s">
        <v>442</v>
      </c>
      <c r="E2809">
        <v>1</v>
      </c>
      <c r="F2809">
        <v>0</v>
      </c>
      <c r="G2809">
        <v>0</v>
      </c>
      <c r="H2809">
        <f t="shared" si="86"/>
        <v>1</v>
      </c>
      <c r="I2809">
        <v>0</v>
      </c>
      <c r="J2809">
        <v>0</v>
      </c>
      <c r="K2809">
        <v>0</v>
      </c>
      <c r="L2809">
        <f t="shared" si="87"/>
        <v>0</v>
      </c>
    </row>
    <row r="2810" spans="1:12">
      <c r="A2810" t="s">
        <v>3954</v>
      </c>
      <c r="B2810" t="s">
        <v>1556</v>
      </c>
      <c r="C2810" t="s">
        <v>2810</v>
      </c>
      <c r="D2810" t="s">
        <v>2811</v>
      </c>
      <c r="E2810">
        <v>6</v>
      </c>
      <c r="F2810">
        <v>0</v>
      </c>
      <c r="G2810">
        <v>0</v>
      </c>
      <c r="H2810">
        <f t="shared" si="86"/>
        <v>6</v>
      </c>
      <c r="I2810">
        <v>0</v>
      </c>
      <c r="J2810">
        <v>0</v>
      </c>
      <c r="K2810">
        <v>0</v>
      </c>
      <c r="L2810">
        <f t="shared" si="87"/>
        <v>0</v>
      </c>
    </row>
    <row r="2811" spans="1:12">
      <c r="A2811" t="s">
        <v>3954</v>
      </c>
      <c r="B2811" t="s">
        <v>1556</v>
      </c>
      <c r="C2811" t="s">
        <v>2810</v>
      </c>
      <c r="D2811" t="s">
        <v>1892</v>
      </c>
      <c r="E2811">
        <v>13</v>
      </c>
      <c r="F2811">
        <v>18</v>
      </c>
      <c r="G2811">
        <v>0</v>
      </c>
      <c r="H2811">
        <f t="shared" si="86"/>
        <v>31</v>
      </c>
      <c r="I2811">
        <v>0</v>
      </c>
      <c r="J2811">
        <v>0</v>
      </c>
      <c r="K2811">
        <v>0</v>
      </c>
      <c r="L2811">
        <f t="shared" si="87"/>
        <v>0</v>
      </c>
    </row>
    <row r="2812" spans="1:12">
      <c r="A2812" t="s">
        <v>3954</v>
      </c>
      <c r="B2812" t="s">
        <v>1556</v>
      </c>
      <c r="C2812" t="s">
        <v>2810</v>
      </c>
      <c r="D2812" t="s">
        <v>2823</v>
      </c>
      <c r="E2812">
        <v>0</v>
      </c>
      <c r="F2812">
        <v>24</v>
      </c>
      <c r="G2812">
        <v>0</v>
      </c>
      <c r="H2812">
        <f t="shared" si="86"/>
        <v>24</v>
      </c>
      <c r="I2812">
        <v>0</v>
      </c>
      <c r="J2812">
        <v>0</v>
      </c>
      <c r="K2812">
        <v>0</v>
      </c>
      <c r="L2812">
        <f t="shared" si="87"/>
        <v>0</v>
      </c>
    </row>
    <row r="2813" spans="1:12">
      <c r="A2813" t="s">
        <v>3954</v>
      </c>
      <c r="B2813" t="s">
        <v>1556</v>
      </c>
      <c r="C2813" t="s">
        <v>2810</v>
      </c>
      <c r="D2813" t="s">
        <v>2812</v>
      </c>
      <c r="E2813">
        <v>57</v>
      </c>
      <c r="F2813">
        <v>0</v>
      </c>
      <c r="G2813">
        <v>0</v>
      </c>
      <c r="H2813">
        <f t="shared" si="86"/>
        <v>57</v>
      </c>
      <c r="I2813">
        <v>0</v>
      </c>
      <c r="J2813">
        <v>0</v>
      </c>
      <c r="K2813">
        <v>0</v>
      </c>
      <c r="L2813">
        <f t="shared" si="87"/>
        <v>0</v>
      </c>
    </row>
    <row r="2814" spans="1:12">
      <c r="A2814" t="s">
        <v>3954</v>
      </c>
      <c r="B2814" t="s">
        <v>1556</v>
      </c>
      <c r="C2814" t="s">
        <v>2810</v>
      </c>
      <c r="D2814" t="s">
        <v>2813</v>
      </c>
      <c r="E2814">
        <v>13</v>
      </c>
      <c r="F2814">
        <v>0</v>
      </c>
      <c r="G2814">
        <v>0</v>
      </c>
      <c r="H2814">
        <f t="shared" si="86"/>
        <v>13</v>
      </c>
      <c r="I2814">
        <v>0</v>
      </c>
      <c r="J2814">
        <v>0</v>
      </c>
      <c r="K2814">
        <v>0</v>
      </c>
      <c r="L2814">
        <f t="shared" si="87"/>
        <v>0</v>
      </c>
    </row>
    <row r="2815" spans="1:12">
      <c r="A2815" t="s">
        <v>3954</v>
      </c>
      <c r="B2815" t="s">
        <v>1556</v>
      </c>
      <c r="C2815" t="s">
        <v>2810</v>
      </c>
      <c r="D2815" t="s">
        <v>2847</v>
      </c>
      <c r="E2815">
        <v>19</v>
      </c>
      <c r="F2815">
        <v>0</v>
      </c>
      <c r="G2815">
        <v>0</v>
      </c>
      <c r="H2815">
        <f t="shared" si="86"/>
        <v>19</v>
      </c>
      <c r="I2815">
        <v>0</v>
      </c>
      <c r="J2815">
        <v>0</v>
      </c>
      <c r="K2815">
        <v>0</v>
      </c>
      <c r="L2815">
        <f t="shared" si="87"/>
        <v>0</v>
      </c>
    </row>
    <row r="2816" spans="1:12">
      <c r="A2816" t="s">
        <v>3954</v>
      </c>
      <c r="B2816" t="s">
        <v>1556</v>
      </c>
      <c r="C2816" t="s">
        <v>2810</v>
      </c>
      <c r="D2816" t="s">
        <v>2840</v>
      </c>
      <c r="E2816">
        <v>1</v>
      </c>
      <c r="F2816">
        <v>0</v>
      </c>
      <c r="G2816">
        <v>0</v>
      </c>
      <c r="H2816">
        <f t="shared" si="86"/>
        <v>1</v>
      </c>
      <c r="I2816">
        <v>0</v>
      </c>
      <c r="J2816">
        <v>0</v>
      </c>
      <c r="K2816">
        <v>0</v>
      </c>
      <c r="L2816">
        <f t="shared" si="87"/>
        <v>0</v>
      </c>
    </row>
    <row r="2817" spans="1:12">
      <c r="A2817" t="s">
        <v>3954</v>
      </c>
      <c r="B2817" t="s">
        <v>1556</v>
      </c>
      <c r="C2817" t="s">
        <v>2810</v>
      </c>
      <c r="D2817" t="s">
        <v>2815</v>
      </c>
      <c r="E2817">
        <v>1</v>
      </c>
      <c r="F2817">
        <v>0</v>
      </c>
      <c r="G2817">
        <v>0</v>
      </c>
      <c r="H2817">
        <f t="shared" si="86"/>
        <v>1</v>
      </c>
      <c r="I2817">
        <v>0</v>
      </c>
      <c r="J2817">
        <v>0</v>
      </c>
      <c r="K2817">
        <v>0</v>
      </c>
      <c r="L2817">
        <f t="shared" si="87"/>
        <v>0</v>
      </c>
    </row>
    <row r="2818" spans="1:12">
      <c r="A2818" t="s">
        <v>3954</v>
      </c>
      <c r="B2818" t="s">
        <v>1556</v>
      </c>
      <c r="C2818" t="s">
        <v>2817</v>
      </c>
      <c r="D2818" t="s">
        <v>2818</v>
      </c>
      <c r="E2818">
        <v>2</v>
      </c>
      <c r="F2818">
        <v>0</v>
      </c>
      <c r="G2818">
        <v>0</v>
      </c>
      <c r="H2818">
        <f t="shared" si="86"/>
        <v>2</v>
      </c>
      <c r="I2818">
        <v>0</v>
      </c>
      <c r="J2818">
        <v>0</v>
      </c>
      <c r="K2818">
        <v>0</v>
      </c>
      <c r="L2818">
        <f t="shared" si="87"/>
        <v>0</v>
      </c>
    </row>
    <row r="2819" spans="1:12">
      <c r="A2819" t="s">
        <v>3954</v>
      </c>
      <c r="B2819" t="s">
        <v>1556</v>
      </c>
      <c r="C2819" t="s">
        <v>2817</v>
      </c>
      <c r="D2819" t="s">
        <v>2837</v>
      </c>
      <c r="E2819">
        <v>8</v>
      </c>
      <c r="F2819">
        <v>0</v>
      </c>
      <c r="G2819">
        <v>0</v>
      </c>
      <c r="H2819">
        <f t="shared" si="86"/>
        <v>8</v>
      </c>
      <c r="I2819">
        <v>0</v>
      </c>
      <c r="J2819">
        <v>0</v>
      </c>
      <c r="K2819">
        <v>0</v>
      </c>
      <c r="L2819">
        <f t="shared" si="87"/>
        <v>0</v>
      </c>
    </row>
    <row r="2820" spans="1:12">
      <c r="A2820" t="s">
        <v>3955</v>
      </c>
      <c r="B2820" t="s">
        <v>1558</v>
      </c>
      <c r="C2820" t="s">
        <v>2805</v>
      </c>
      <c r="D2820" t="s">
        <v>2807</v>
      </c>
      <c r="E2820">
        <v>14</v>
      </c>
      <c r="F2820">
        <v>0</v>
      </c>
      <c r="G2820">
        <v>0</v>
      </c>
      <c r="H2820">
        <f t="shared" ref="H2820:H2883" si="88">SUM(E2820:G2820)</f>
        <v>14</v>
      </c>
      <c r="I2820">
        <v>0</v>
      </c>
      <c r="J2820">
        <v>0</v>
      </c>
      <c r="K2820">
        <v>0</v>
      </c>
      <c r="L2820">
        <f t="shared" ref="L2820:L2883" si="89">SUM(I2820:K2820)</f>
        <v>0</v>
      </c>
    </row>
    <row r="2821" spans="1:12">
      <c r="A2821" t="s">
        <v>3955</v>
      </c>
      <c r="B2821" t="s">
        <v>1558</v>
      </c>
      <c r="C2821" t="s">
        <v>2810</v>
      </c>
      <c r="D2821" t="s">
        <v>2811</v>
      </c>
      <c r="E2821">
        <v>3</v>
      </c>
      <c r="F2821">
        <v>0</v>
      </c>
      <c r="G2821">
        <v>0</v>
      </c>
      <c r="H2821">
        <f t="shared" si="88"/>
        <v>3</v>
      </c>
      <c r="I2821">
        <v>0</v>
      </c>
      <c r="J2821">
        <v>0</v>
      </c>
      <c r="K2821">
        <v>0</v>
      </c>
      <c r="L2821">
        <f t="shared" si="89"/>
        <v>0</v>
      </c>
    </row>
    <row r="2822" spans="1:12">
      <c r="A2822" t="s">
        <v>3955</v>
      </c>
      <c r="B2822" t="s">
        <v>1558</v>
      </c>
      <c r="C2822" t="s">
        <v>2826</v>
      </c>
      <c r="D2822" t="s">
        <v>2871</v>
      </c>
      <c r="E2822">
        <v>0</v>
      </c>
      <c r="F2822">
        <v>0</v>
      </c>
      <c r="G2822">
        <v>0</v>
      </c>
      <c r="H2822">
        <f t="shared" si="88"/>
        <v>0</v>
      </c>
      <c r="I2822">
        <v>4</v>
      </c>
      <c r="J2822">
        <v>0</v>
      </c>
      <c r="K2822">
        <v>0</v>
      </c>
      <c r="L2822">
        <f t="shared" si="89"/>
        <v>4</v>
      </c>
    </row>
    <row r="2823" spans="1:12">
      <c r="A2823" t="s">
        <v>3955</v>
      </c>
      <c r="B2823" t="s">
        <v>1558</v>
      </c>
      <c r="C2823" t="s">
        <v>2826</v>
      </c>
      <c r="D2823" t="s">
        <v>2905</v>
      </c>
      <c r="E2823">
        <v>0</v>
      </c>
      <c r="F2823">
        <v>0</v>
      </c>
      <c r="G2823">
        <v>0</v>
      </c>
      <c r="H2823">
        <f t="shared" si="88"/>
        <v>0</v>
      </c>
      <c r="I2823">
        <v>2</v>
      </c>
      <c r="J2823">
        <v>0</v>
      </c>
      <c r="K2823">
        <v>0</v>
      </c>
      <c r="L2823">
        <f t="shared" si="89"/>
        <v>2</v>
      </c>
    </row>
    <row r="2824" spans="1:12">
      <c r="A2824" t="s">
        <v>3955</v>
      </c>
      <c r="B2824" t="s">
        <v>1558</v>
      </c>
      <c r="C2824" t="s">
        <v>2826</v>
      </c>
      <c r="D2824" t="s">
        <v>2827</v>
      </c>
      <c r="E2824">
        <v>0</v>
      </c>
      <c r="F2824">
        <v>0</v>
      </c>
      <c r="G2824">
        <v>0</v>
      </c>
      <c r="H2824">
        <f t="shared" si="88"/>
        <v>0</v>
      </c>
      <c r="I2824">
        <v>2</v>
      </c>
      <c r="J2824">
        <v>0</v>
      </c>
      <c r="K2824">
        <v>0</v>
      </c>
      <c r="L2824">
        <f t="shared" si="89"/>
        <v>2</v>
      </c>
    </row>
    <row r="2825" spans="1:12">
      <c r="A2825" t="s">
        <v>3955</v>
      </c>
      <c r="B2825" t="s">
        <v>1558</v>
      </c>
      <c r="C2825" t="s">
        <v>2826</v>
      </c>
      <c r="D2825" t="s">
        <v>2828</v>
      </c>
      <c r="E2825">
        <v>0</v>
      </c>
      <c r="F2825">
        <v>0</v>
      </c>
      <c r="G2825">
        <v>0</v>
      </c>
      <c r="H2825">
        <f t="shared" si="88"/>
        <v>0</v>
      </c>
      <c r="I2825">
        <v>1</v>
      </c>
      <c r="J2825">
        <v>0</v>
      </c>
      <c r="K2825">
        <v>0</v>
      </c>
      <c r="L2825">
        <f t="shared" si="89"/>
        <v>1</v>
      </c>
    </row>
    <row r="2826" spans="1:12">
      <c r="A2826" t="s">
        <v>3955</v>
      </c>
      <c r="B2826" t="s">
        <v>1558</v>
      </c>
      <c r="C2826" t="s">
        <v>2826</v>
      </c>
      <c r="D2826" t="s">
        <v>2829</v>
      </c>
      <c r="E2826">
        <v>0</v>
      </c>
      <c r="F2826">
        <v>0</v>
      </c>
      <c r="G2826">
        <v>0</v>
      </c>
      <c r="H2826">
        <f t="shared" si="88"/>
        <v>0</v>
      </c>
      <c r="I2826">
        <v>2</v>
      </c>
      <c r="J2826">
        <v>0</v>
      </c>
      <c r="K2826">
        <v>0</v>
      </c>
      <c r="L2826">
        <f t="shared" si="89"/>
        <v>2</v>
      </c>
    </row>
    <row r="2827" spans="1:12">
      <c r="A2827" t="s">
        <v>3955</v>
      </c>
      <c r="B2827" t="s">
        <v>1558</v>
      </c>
      <c r="C2827" t="s">
        <v>2826</v>
      </c>
      <c r="D2827" t="s">
        <v>2891</v>
      </c>
      <c r="E2827">
        <v>0</v>
      </c>
      <c r="F2827">
        <v>0</v>
      </c>
      <c r="G2827">
        <v>0</v>
      </c>
      <c r="H2827">
        <f t="shared" si="88"/>
        <v>0</v>
      </c>
      <c r="I2827">
        <v>4</v>
      </c>
      <c r="J2827">
        <v>0</v>
      </c>
      <c r="K2827">
        <v>0</v>
      </c>
      <c r="L2827">
        <f t="shared" si="89"/>
        <v>4</v>
      </c>
    </row>
    <row r="2828" spans="1:12">
      <c r="A2828" t="s">
        <v>3955</v>
      </c>
      <c r="B2828" t="s">
        <v>1558</v>
      </c>
      <c r="C2828" t="s">
        <v>2826</v>
      </c>
      <c r="D2828" t="s">
        <v>2830</v>
      </c>
      <c r="E2828">
        <v>0</v>
      </c>
      <c r="F2828">
        <v>0</v>
      </c>
      <c r="G2828">
        <v>0</v>
      </c>
      <c r="H2828">
        <f t="shared" si="88"/>
        <v>0</v>
      </c>
      <c r="I2828">
        <v>1</v>
      </c>
      <c r="J2828">
        <v>0</v>
      </c>
      <c r="K2828">
        <v>0</v>
      </c>
      <c r="L2828">
        <f t="shared" si="89"/>
        <v>1</v>
      </c>
    </row>
    <row r="2829" spans="1:12">
      <c r="A2829" t="s">
        <v>3955</v>
      </c>
      <c r="B2829" t="s">
        <v>1558</v>
      </c>
      <c r="C2829" t="s">
        <v>2826</v>
      </c>
      <c r="D2829" t="s">
        <v>2864</v>
      </c>
      <c r="E2829">
        <v>0</v>
      </c>
      <c r="F2829">
        <v>0</v>
      </c>
      <c r="G2829">
        <v>0</v>
      </c>
      <c r="H2829">
        <f t="shared" si="88"/>
        <v>0</v>
      </c>
      <c r="I2829">
        <v>1</v>
      </c>
      <c r="J2829">
        <v>0</v>
      </c>
      <c r="K2829">
        <v>0</v>
      </c>
      <c r="L2829">
        <f t="shared" si="89"/>
        <v>1</v>
      </c>
    </row>
    <row r="2830" spans="1:12">
      <c r="A2830" t="s">
        <v>3955</v>
      </c>
      <c r="B2830" t="s">
        <v>1558</v>
      </c>
      <c r="C2830" t="s">
        <v>2826</v>
      </c>
      <c r="D2830" t="s">
        <v>2843</v>
      </c>
      <c r="E2830">
        <v>0</v>
      </c>
      <c r="F2830">
        <v>0</v>
      </c>
      <c r="G2830">
        <v>0</v>
      </c>
      <c r="H2830">
        <f t="shared" si="88"/>
        <v>0</v>
      </c>
      <c r="I2830">
        <v>4</v>
      </c>
      <c r="J2830">
        <v>0</v>
      </c>
      <c r="K2830">
        <v>0</v>
      </c>
      <c r="L2830">
        <f t="shared" si="89"/>
        <v>4</v>
      </c>
    </row>
    <row r="2831" spans="1:12">
      <c r="A2831" t="s">
        <v>3955</v>
      </c>
      <c r="B2831" t="s">
        <v>1558</v>
      </c>
      <c r="C2831" t="s">
        <v>2826</v>
      </c>
      <c r="D2831" t="s">
        <v>2884</v>
      </c>
      <c r="E2831">
        <v>0</v>
      </c>
      <c r="F2831">
        <v>0</v>
      </c>
      <c r="G2831">
        <v>0</v>
      </c>
      <c r="H2831">
        <f t="shared" si="88"/>
        <v>0</v>
      </c>
      <c r="I2831">
        <v>1</v>
      </c>
      <c r="J2831">
        <v>0</v>
      </c>
      <c r="K2831">
        <v>0</v>
      </c>
      <c r="L2831">
        <f t="shared" si="89"/>
        <v>1</v>
      </c>
    </row>
    <row r="2832" spans="1:12">
      <c r="A2832" t="s">
        <v>3955</v>
      </c>
      <c r="B2832" t="s">
        <v>1558</v>
      </c>
      <c r="C2832" t="s">
        <v>2826</v>
      </c>
      <c r="D2832" t="s">
        <v>2885</v>
      </c>
      <c r="E2832">
        <v>0</v>
      </c>
      <c r="F2832">
        <v>0</v>
      </c>
      <c r="G2832">
        <v>0</v>
      </c>
      <c r="H2832">
        <f t="shared" si="88"/>
        <v>0</v>
      </c>
      <c r="I2832">
        <v>14</v>
      </c>
      <c r="J2832">
        <v>0</v>
      </c>
      <c r="K2832">
        <v>0</v>
      </c>
      <c r="L2832">
        <f t="shared" si="89"/>
        <v>14</v>
      </c>
    </row>
    <row r="2833" spans="1:12">
      <c r="A2833" t="s">
        <v>3955</v>
      </c>
      <c r="B2833" t="s">
        <v>1558</v>
      </c>
      <c r="C2833" t="s">
        <v>2826</v>
      </c>
      <c r="D2833" t="s">
        <v>2832</v>
      </c>
      <c r="E2833">
        <v>0</v>
      </c>
      <c r="F2833">
        <v>0</v>
      </c>
      <c r="G2833">
        <v>0</v>
      </c>
      <c r="H2833">
        <f t="shared" si="88"/>
        <v>0</v>
      </c>
      <c r="I2833">
        <v>2</v>
      </c>
      <c r="J2833">
        <v>0</v>
      </c>
      <c r="K2833">
        <v>0</v>
      </c>
      <c r="L2833">
        <f t="shared" si="89"/>
        <v>2</v>
      </c>
    </row>
    <row r="2834" spans="1:12">
      <c r="A2834" t="s">
        <v>3955</v>
      </c>
      <c r="B2834" t="s">
        <v>1558</v>
      </c>
      <c r="C2834" t="s">
        <v>2826</v>
      </c>
      <c r="D2834" t="s">
        <v>2833</v>
      </c>
      <c r="E2834">
        <v>0</v>
      </c>
      <c r="F2834">
        <v>0</v>
      </c>
      <c r="G2834">
        <v>0</v>
      </c>
      <c r="H2834">
        <f t="shared" si="88"/>
        <v>0</v>
      </c>
      <c r="I2834">
        <v>2</v>
      </c>
      <c r="J2834">
        <v>0</v>
      </c>
      <c r="K2834">
        <v>0</v>
      </c>
      <c r="L2834">
        <f t="shared" si="89"/>
        <v>2</v>
      </c>
    </row>
    <row r="2835" spans="1:12">
      <c r="A2835" t="s">
        <v>3955</v>
      </c>
      <c r="B2835" t="s">
        <v>1558</v>
      </c>
      <c r="C2835" t="s">
        <v>2826</v>
      </c>
      <c r="D2835" t="s">
        <v>2834</v>
      </c>
      <c r="E2835">
        <v>0</v>
      </c>
      <c r="F2835">
        <v>0</v>
      </c>
      <c r="G2835">
        <v>0</v>
      </c>
      <c r="H2835">
        <f t="shared" si="88"/>
        <v>0</v>
      </c>
      <c r="I2835">
        <v>4</v>
      </c>
      <c r="J2835">
        <v>0</v>
      </c>
      <c r="K2835">
        <v>0</v>
      </c>
      <c r="L2835">
        <f t="shared" si="89"/>
        <v>4</v>
      </c>
    </row>
    <row r="2836" spans="1:12">
      <c r="A2836" t="s">
        <v>3955</v>
      </c>
      <c r="B2836" t="s">
        <v>1558</v>
      </c>
      <c r="C2836" t="s">
        <v>2826</v>
      </c>
      <c r="D2836" t="s">
        <v>2886</v>
      </c>
      <c r="E2836">
        <v>0</v>
      </c>
      <c r="F2836">
        <v>0</v>
      </c>
      <c r="G2836">
        <v>0</v>
      </c>
      <c r="H2836">
        <f t="shared" si="88"/>
        <v>0</v>
      </c>
      <c r="I2836">
        <v>4</v>
      </c>
      <c r="J2836">
        <v>0</v>
      </c>
      <c r="K2836">
        <v>0</v>
      </c>
      <c r="L2836">
        <f t="shared" si="89"/>
        <v>4</v>
      </c>
    </row>
    <row r="2837" spans="1:12">
      <c r="A2837" t="s">
        <v>3955</v>
      </c>
      <c r="B2837" t="s">
        <v>1558</v>
      </c>
      <c r="C2837" t="s">
        <v>2826</v>
      </c>
      <c r="D2837" t="s">
        <v>2917</v>
      </c>
      <c r="E2837">
        <v>0</v>
      </c>
      <c r="F2837">
        <v>0</v>
      </c>
      <c r="G2837">
        <v>0</v>
      </c>
      <c r="H2837">
        <f t="shared" si="88"/>
        <v>0</v>
      </c>
      <c r="I2837">
        <v>1</v>
      </c>
      <c r="J2837">
        <v>0</v>
      </c>
      <c r="K2837">
        <v>0</v>
      </c>
      <c r="L2837">
        <f t="shared" si="89"/>
        <v>1</v>
      </c>
    </row>
    <row r="2838" spans="1:12">
      <c r="A2838" t="s">
        <v>3955</v>
      </c>
      <c r="B2838" t="s">
        <v>1558</v>
      </c>
      <c r="C2838" t="s">
        <v>2826</v>
      </c>
      <c r="D2838" t="s">
        <v>2849</v>
      </c>
      <c r="E2838">
        <v>0</v>
      </c>
      <c r="F2838">
        <v>0</v>
      </c>
      <c r="G2838">
        <v>0</v>
      </c>
      <c r="H2838">
        <f t="shared" si="88"/>
        <v>0</v>
      </c>
      <c r="I2838">
        <v>8</v>
      </c>
      <c r="J2838">
        <v>0</v>
      </c>
      <c r="K2838">
        <v>0</v>
      </c>
      <c r="L2838">
        <f t="shared" si="89"/>
        <v>8</v>
      </c>
    </row>
    <row r="2839" spans="1:12">
      <c r="A2839" t="s">
        <v>3955</v>
      </c>
      <c r="B2839" t="s">
        <v>1558</v>
      </c>
      <c r="C2839" t="s">
        <v>2826</v>
      </c>
      <c r="D2839" t="s">
        <v>2836</v>
      </c>
      <c r="E2839">
        <v>0</v>
      </c>
      <c r="F2839">
        <v>0</v>
      </c>
      <c r="G2839">
        <v>0</v>
      </c>
      <c r="H2839">
        <f t="shared" si="88"/>
        <v>0</v>
      </c>
      <c r="I2839">
        <v>2</v>
      </c>
      <c r="J2839">
        <v>0</v>
      </c>
      <c r="K2839">
        <v>0</v>
      </c>
      <c r="L2839">
        <f t="shared" si="89"/>
        <v>2</v>
      </c>
    </row>
    <row r="2840" spans="1:12">
      <c r="A2840" t="s">
        <v>3955</v>
      </c>
      <c r="B2840" t="s">
        <v>1558</v>
      </c>
      <c r="C2840" t="s">
        <v>2826</v>
      </c>
      <c r="D2840" t="s">
        <v>2907</v>
      </c>
      <c r="E2840">
        <v>0</v>
      </c>
      <c r="F2840">
        <v>0</v>
      </c>
      <c r="G2840">
        <v>0</v>
      </c>
      <c r="H2840">
        <f t="shared" si="88"/>
        <v>0</v>
      </c>
      <c r="I2840">
        <v>3</v>
      </c>
      <c r="J2840">
        <v>0</v>
      </c>
      <c r="K2840">
        <v>0</v>
      </c>
      <c r="L2840">
        <f t="shared" si="89"/>
        <v>3</v>
      </c>
    </row>
    <row r="2841" spans="1:12">
      <c r="A2841" t="s">
        <v>3962</v>
      </c>
      <c r="B2841" t="s">
        <v>1561</v>
      </c>
      <c r="C2841" t="s">
        <v>2805</v>
      </c>
      <c r="D2841" t="s">
        <v>2806</v>
      </c>
      <c r="E2841">
        <v>122</v>
      </c>
      <c r="F2841">
        <v>0</v>
      </c>
      <c r="G2841">
        <v>0</v>
      </c>
      <c r="H2841">
        <f t="shared" si="88"/>
        <v>122</v>
      </c>
      <c r="I2841">
        <v>0</v>
      </c>
      <c r="J2841">
        <v>0</v>
      </c>
      <c r="K2841">
        <v>0</v>
      </c>
      <c r="L2841">
        <f t="shared" si="89"/>
        <v>0</v>
      </c>
    </row>
    <row r="2842" spans="1:12">
      <c r="A2842" t="s">
        <v>3962</v>
      </c>
      <c r="B2842" t="s">
        <v>1561</v>
      </c>
      <c r="C2842" t="s">
        <v>2805</v>
      </c>
      <c r="D2842" t="s">
        <v>449</v>
      </c>
      <c r="E2842">
        <v>94</v>
      </c>
      <c r="F2842">
        <v>0</v>
      </c>
      <c r="G2842">
        <v>0</v>
      </c>
      <c r="H2842">
        <f t="shared" si="88"/>
        <v>94</v>
      </c>
      <c r="I2842">
        <v>0</v>
      </c>
      <c r="J2842">
        <v>0</v>
      </c>
      <c r="K2842">
        <v>0</v>
      </c>
      <c r="L2842">
        <f t="shared" si="89"/>
        <v>0</v>
      </c>
    </row>
    <row r="2843" spans="1:12">
      <c r="A2843" t="s">
        <v>3962</v>
      </c>
      <c r="B2843" t="s">
        <v>1561</v>
      </c>
      <c r="C2843" t="s">
        <v>2805</v>
      </c>
      <c r="D2843" t="s">
        <v>2807</v>
      </c>
      <c r="E2843">
        <v>1</v>
      </c>
      <c r="F2843">
        <v>0</v>
      </c>
      <c r="G2843">
        <v>0</v>
      </c>
      <c r="H2843">
        <f t="shared" si="88"/>
        <v>1</v>
      </c>
      <c r="I2843">
        <v>0</v>
      </c>
      <c r="J2843">
        <v>0</v>
      </c>
      <c r="K2843">
        <v>0</v>
      </c>
      <c r="L2843">
        <f t="shared" si="89"/>
        <v>0</v>
      </c>
    </row>
    <row r="2844" spans="1:12">
      <c r="A2844" t="s">
        <v>3962</v>
      </c>
      <c r="B2844" t="s">
        <v>1561</v>
      </c>
      <c r="C2844" t="s">
        <v>2805</v>
      </c>
      <c r="D2844" t="s">
        <v>442</v>
      </c>
      <c r="E2844">
        <v>5</v>
      </c>
      <c r="F2844">
        <v>0</v>
      </c>
      <c r="G2844">
        <v>0</v>
      </c>
      <c r="H2844">
        <f t="shared" si="88"/>
        <v>5</v>
      </c>
      <c r="I2844">
        <v>0</v>
      </c>
      <c r="J2844">
        <v>0</v>
      </c>
      <c r="K2844">
        <v>0</v>
      </c>
      <c r="L2844">
        <f t="shared" si="89"/>
        <v>0</v>
      </c>
    </row>
    <row r="2845" spans="1:12">
      <c r="A2845" t="s">
        <v>3962</v>
      </c>
      <c r="B2845" t="s">
        <v>1561</v>
      </c>
      <c r="C2845" t="s">
        <v>2805</v>
      </c>
      <c r="D2845" t="s">
        <v>2937</v>
      </c>
      <c r="E2845">
        <v>0</v>
      </c>
      <c r="F2845">
        <v>5</v>
      </c>
      <c r="G2845">
        <v>0</v>
      </c>
      <c r="H2845">
        <f t="shared" si="88"/>
        <v>5</v>
      </c>
      <c r="I2845">
        <v>0</v>
      </c>
      <c r="J2845">
        <v>0</v>
      </c>
      <c r="K2845">
        <v>0</v>
      </c>
      <c r="L2845">
        <f t="shared" si="89"/>
        <v>0</v>
      </c>
    </row>
    <row r="2846" spans="1:12">
      <c r="A2846" t="s">
        <v>3962</v>
      </c>
      <c r="B2846" t="s">
        <v>1561</v>
      </c>
      <c r="C2846" t="s">
        <v>2810</v>
      </c>
      <c r="D2846" t="s">
        <v>2811</v>
      </c>
      <c r="E2846">
        <v>3</v>
      </c>
      <c r="F2846">
        <v>0</v>
      </c>
      <c r="G2846">
        <v>0</v>
      </c>
      <c r="H2846">
        <f t="shared" si="88"/>
        <v>3</v>
      </c>
      <c r="I2846">
        <v>0</v>
      </c>
      <c r="J2846">
        <v>0</v>
      </c>
      <c r="K2846">
        <v>0</v>
      </c>
      <c r="L2846">
        <f t="shared" si="89"/>
        <v>0</v>
      </c>
    </row>
    <row r="2847" spans="1:12">
      <c r="A2847" t="s">
        <v>3962</v>
      </c>
      <c r="B2847" t="s">
        <v>1561</v>
      </c>
      <c r="C2847" t="s">
        <v>2810</v>
      </c>
      <c r="D2847" t="s">
        <v>1892</v>
      </c>
      <c r="E2847">
        <v>48</v>
      </c>
      <c r="F2847">
        <v>26</v>
      </c>
      <c r="G2847">
        <v>0</v>
      </c>
      <c r="H2847">
        <f t="shared" si="88"/>
        <v>74</v>
      </c>
      <c r="I2847">
        <v>0</v>
      </c>
      <c r="J2847">
        <v>0</v>
      </c>
      <c r="K2847">
        <v>0</v>
      </c>
      <c r="L2847">
        <f t="shared" si="89"/>
        <v>0</v>
      </c>
    </row>
    <row r="2848" spans="1:12">
      <c r="A2848" t="s">
        <v>3962</v>
      </c>
      <c r="B2848" t="s">
        <v>1561</v>
      </c>
      <c r="C2848" t="s">
        <v>2810</v>
      </c>
      <c r="D2848" t="s">
        <v>2823</v>
      </c>
      <c r="E2848">
        <v>0</v>
      </c>
      <c r="F2848">
        <v>30</v>
      </c>
      <c r="G2848">
        <v>0</v>
      </c>
      <c r="H2848">
        <f t="shared" si="88"/>
        <v>30</v>
      </c>
      <c r="I2848">
        <v>0</v>
      </c>
      <c r="J2848">
        <v>0</v>
      </c>
      <c r="K2848">
        <v>0</v>
      </c>
      <c r="L2848">
        <f t="shared" si="89"/>
        <v>0</v>
      </c>
    </row>
    <row r="2849" spans="1:12">
      <c r="A2849" t="s">
        <v>3962</v>
      </c>
      <c r="B2849" t="s">
        <v>1561</v>
      </c>
      <c r="C2849" t="s">
        <v>2810</v>
      </c>
      <c r="D2849" t="s">
        <v>2812</v>
      </c>
      <c r="E2849">
        <v>78</v>
      </c>
      <c r="F2849">
        <v>0</v>
      </c>
      <c r="G2849">
        <v>0</v>
      </c>
      <c r="H2849">
        <f t="shared" si="88"/>
        <v>78</v>
      </c>
      <c r="I2849">
        <v>0</v>
      </c>
      <c r="J2849">
        <v>0</v>
      </c>
      <c r="K2849">
        <v>0</v>
      </c>
      <c r="L2849">
        <f t="shared" si="89"/>
        <v>0</v>
      </c>
    </row>
    <row r="2850" spans="1:12">
      <c r="A2850" t="s">
        <v>3962</v>
      </c>
      <c r="B2850" t="s">
        <v>1561</v>
      </c>
      <c r="C2850" t="s">
        <v>2810</v>
      </c>
      <c r="D2850" t="s">
        <v>2813</v>
      </c>
      <c r="E2850">
        <v>41</v>
      </c>
      <c r="F2850">
        <v>0</v>
      </c>
      <c r="G2850">
        <v>0</v>
      </c>
      <c r="H2850">
        <f t="shared" si="88"/>
        <v>41</v>
      </c>
      <c r="I2850">
        <v>0</v>
      </c>
      <c r="J2850">
        <v>0</v>
      </c>
      <c r="K2850">
        <v>0</v>
      </c>
      <c r="L2850">
        <f t="shared" si="89"/>
        <v>0</v>
      </c>
    </row>
    <row r="2851" spans="1:12">
      <c r="A2851" t="s">
        <v>3962</v>
      </c>
      <c r="B2851" t="s">
        <v>1561</v>
      </c>
      <c r="C2851" t="s">
        <v>2810</v>
      </c>
      <c r="D2851" t="s">
        <v>2847</v>
      </c>
      <c r="E2851">
        <v>22</v>
      </c>
      <c r="F2851">
        <v>0</v>
      </c>
      <c r="G2851">
        <v>0</v>
      </c>
      <c r="H2851">
        <f t="shared" si="88"/>
        <v>22</v>
      </c>
      <c r="I2851">
        <v>0</v>
      </c>
      <c r="J2851">
        <v>0</v>
      </c>
      <c r="K2851">
        <v>0</v>
      </c>
      <c r="L2851">
        <f t="shared" si="89"/>
        <v>0</v>
      </c>
    </row>
    <row r="2852" spans="1:12">
      <c r="A2852" t="s">
        <v>3962</v>
      </c>
      <c r="B2852" t="s">
        <v>1561</v>
      </c>
      <c r="C2852" t="s">
        <v>2816</v>
      </c>
      <c r="D2852" t="s">
        <v>1897</v>
      </c>
      <c r="E2852">
        <v>2</v>
      </c>
      <c r="F2852">
        <v>0</v>
      </c>
      <c r="G2852">
        <v>0</v>
      </c>
      <c r="H2852">
        <f t="shared" si="88"/>
        <v>2</v>
      </c>
      <c r="I2852">
        <v>0</v>
      </c>
      <c r="J2852">
        <v>0</v>
      </c>
      <c r="K2852">
        <v>0</v>
      </c>
      <c r="L2852">
        <f t="shared" si="89"/>
        <v>0</v>
      </c>
    </row>
    <row r="2853" spans="1:12">
      <c r="A2853" t="s">
        <v>3962</v>
      </c>
      <c r="B2853" t="s">
        <v>1561</v>
      </c>
      <c r="C2853" t="s">
        <v>2817</v>
      </c>
      <c r="D2853" t="s">
        <v>2837</v>
      </c>
      <c r="E2853">
        <v>1</v>
      </c>
      <c r="F2853">
        <v>0</v>
      </c>
      <c r="G2853">
        <v>0</v>
      </c>
      <c r="H2853">
        <f t="shared" si="88"/>
        <v>1</v>
      </c>
      <c r="I2853">
        <v>0</v>
      </c>
      <c r="J2853">
        <v>0</v>
      </c>
      <c r="K2853">
        <v>0</v>
      </c>
      <c r="L2853">
        <f t="shared" si="89"/>
        <v>0</v>
      </c>
    </row>
    <row r="2854" spans="1:12">
      <c r="A2854" t="s">
        <v>3963</v>
      </c>
      <c r="B2854" t="s">
        <v>1562</v>
      </c>
      <c r="C2854" t="s">
        <v>2805</v>
      </c>
      <c r="D2854" t="s">
        <v>2806</v>
      </c>
      <c r="E2854">
        <v>73</v>
      </c>
      <c r="F2854">
        <v>0</v>
      </c>
      <c r="G2854">
        <v>0</v>
      </c>
      <c r="H2854">
        <f t="shared" si="88"/>
        <v>73</v>
      </c>
      <c r="I2854">
        <v>0</v>
      </c>
      <c r="J2854">
        <v>0</v>
      </c>
      <c r="K2854">
        <v>0</v>
      </c>
      <c r="L2854">
        <f t="shared" si="89"/>
        <v>0</v>
      </c>
    </row>
    <row r="2855" spans="1:12">
      <c r="A2855" t="s">
        <v>3963</v>
      </c>
      <c r="B2855" t="s">
        <v>1562</v>
      </c>
      <c r="C2855" t="s">
        <v>2805</v>
      </c>
      <c r="D2855" t="s">
        <v>449</v>
      </c>
      <c r="E2855">
        <v>57</v>
      </c>
      <c r="F2855">
        <v>0</v>
      </c>
      <c r="G2855">
        <v>0</v>
      </c>
      <c r="H2855">
        <f t="shared" si="88"/>
        <v>57</v>
      </c>
      <c r="I2855">
        <v>0</v>
      </c>
      <c r="J2855">
        <v>0</v>
      </c>
      <c r="K2855">
        <v>0</v>
      </c>
      <c r="L2855">
        <f t="shared" si="89"/>
        <v>0</v>
      </c>
    </row>
    <row r="2856" spans="1:12">
      <c r="A2856" t="s">
        <v>3963</v>
      </c>
      <c r="B2856" t="s">
        <v>1562</v>
      </c>
      <c r="C2856" t="s">
        <v>2805</v>
      </c>
      <c r="D2856" t="s">
        <v>2807</v>
      </c>
      <c r="E2856">
        <v>2</v>
      </c>
      <c r="F2856">
        <v>0</v>
      </c>
      <c r="G2856">
        <v>0</v>
      </c>
      <c r="H2856">
        <f t="shared" si="88"/>
        <v>2</v>
      </c>
      <c r="I2856">
        <v>0</v>
      </c>
      <c r="J2856">
        <v>0</v>
      </c>
      <c r="K2856">
        <v>0</v>
      </c>
      <c r="L2856">
        <f t="shared" si="89"/>
        <v>0</v>
      </c>
    </row>
    <row r="2857" spans="1:12">
      <c r="A2857" t="s">
        <v>3963</v>
      </c>
      <c r="B2857" t="s">
        <v>1562</v>
      </c>
      <c r="C2857" t="s">
        <v>2805</v>
      </c>
      <c r="D2857" t="s">
        <v>2809</v>
      </c>
      <c r="E2857">
        <v>1</v>
      </c>
      <c r="F2857">
        <v>0</v>
      </c>
      <c r="G2857">
        <v>0</v>
      </c>
      <c r="H2857">
        <f t="shared" si="88"/>
        <v>1</v>
      </c>
      <c r="I2857">
        <v>0</v>
      </c>
      <c r="J2857">
        <v>0</v>
      </c>
      <c r="K2857">
        <v>0</v>
      </c>
      <c r="L2857">
        <f t="shared" si="89"/>
        <v>0</v>
      </c>
    </row>
    <row r="2858" spans="1:12">
      <c r="A2858" t="s">
        <v>3963</v>
      </c>
      <c r="B2858" t="s">
        <v>1562</v>
      </c>
      <c r="C2858" t="s">
        <v>2810</v>
      </c>
      <c r="D2858" t="s">
        <v>2811</v>
      </c>
      <c r="E2858">
        <v>14</v>
      </c>
      <c r="F2858">
        <v>0</v>
      </c>
      <c r="G2858">
        <v>0</v>
      </c>
      <c r="H2858">
        <f t="shared" si="88"/>
        <v>14</v>
      </c>
      <c r="I2858">
        <v>0</v>
      </c>
      <c r="J2858">
        <v>0</v>
      </c>
      <c r="K2858">
        <v>0</v>
      </c>
      <c r="L2858">
        <f t="shared" si="89"/>
        <v>0</v>
      </c>
    </row>
    <row r="2859" spans="1:12">
      <c r="A2859" t="s">
        <v>3963</v>
      </c>
      <c r="B2859" t="s">
        <v>1562</v>
      </c>
      <c r="C2859" t="s">
        <v>2810</v>
      </c>
      <c r="D2859" t="s">
        <v>2823</v>
      </c>
      <c r="E2859">
        <v>26</v>
      </c>
      <c r="F2859">
        <v>9</v>
      </c>
      <c r="G2859">
        <v>0</v>
      </c>
      <c r="H2859">
        <f t="shared" si="88"/>
        <v>35</v>
      </c>
      <c r="I2859">
        <v>0</v>
      </c>
      <c r="J2859">
        <v>13</v>
      </c>
      <c r="K2859">
        <v>0</v>
      </c>
      <c r="L2859">
        <f t="shared" si="89"/>
        <v>13</v>
      </c>
    </row>
    <row r="2860" spans="1:12">
      <c r="A2860" t="s">
        <v>3963</v>
      </c>
      <c r="B2860" t="s">
        <v>1562</v>
      </c>
      <c r="C2860" t="s">
        <v>2810</v>
      </c>
      <c r="D2860" t="s">
        <v>2812</v>
      </c>
      <c r="E2860">
        <v>73</v>
      </c>
      <c r="F2860">
        <v>0</v>
      </c>
      <c r="G2860">
        <v>0</v>
      </c>
      <c r="H2860">
        <f t="shared" si="88"/>
        <v>73</v>
      </c>
      <c r="I2860">
        <v>6</v>
      </c>
      <c r="J2860">
        <v>0</v>
      </c>
      <c r="K2860">
        <v>0</v>
      </c>
      <c r="L2860">
        <f t="shared" si="89"/>
        <v>6</v>
      </c>
    </row>
    <row r="2861" spans="1:12">
      <c r="A2861" t="s">
        <v>3963</v>
      </c>
      <c r="B2861" t="s">
        <v>1562</v>
      </c>
      <c r="C2861" t="s">
        <v>2810</v>
      </c>
      <c r="D2861" t="s">
        <v>2813</v>
      </c>
      <c r="E2861">
        <v>34</v>
      </c>
      <c r="F2861">
        <v>0</v>
      </c>
      <c r="G2861">
        <v>0</v>
      </c>
      <c r="H2861">
        <f t="shared" si="88"/>
        <v>34</v>
      </c>
      <c r="I2861">
        <v>0</v>
      </c>
      <c r="J2861">
        <v>0</v>
      </c>
      <c r="K2861">
        <v>0</v>
      </c>
      <c r="L2861">
        <f t="shared" si="89"/>
        <v>0</v>
      </c>
    </row>
    <row r="2862" spans="1:12">
      <c r="A2862" t="s">
        <v>3963</v>
      </c>
      <c r="B2862" t="s">
        <v>1562</v>
      </c>
      <c r="C2862" t="s">
        <v>2810</v>
      </c>
      <c r="D2862" t="s">
        <v>2847</v>
      </c>
      <c r="E2862">
        <v>30</v>
      </c>
      <c r="F2862">
        <v>0</v>
      </c>
      <c r="G2862">
        <v>0</v>
      </c>
      <c r="H2862">
        <f t="shared" si="88"/>
        <v>30</v>
      </c>
      <c r="I2862">
        <v>0</v>
      </c>
      <c r="J2862">
        <v>0</v>
      </c>
      <c r="K2862">
        <v>0</v>
      </c>
      <c r="L2862">
        <f t="shared" si="89"/>
        <v>0</v>
      </c>
    </row>
    <row r="2863" spans="1:12">
      <c r="A2863" t="s">
        <v>3963</v>
      </c>
      <c r="B2863" t="s">
        <v>1562</v>
      </c>
      <c r="C2863" t="s">
        <v>2810</v>
      </c>
      <c r="D2863" t="s">
        <v>2815</v>
      </c>
      <c r="E2863">
        <v>4</v>
      </c>
      <c r="F2863">
        <v>0</v>
      </c>
      <c r="G2863">
        <v>0</v>
      </c>
      <c r="H2863">
        <f t="shared" si="88"/>
        <v>4</v>
      </c>
      <c r="I2863">
        <v>8</v>
      </c>
      <c r="J2863">
        <v>0</v>
      </c>
      <c r="K2863">
        <v>0</v>
      </c>
      <c r="L2863">
        <f t="shared" si="89"/>
        <v>8</v>
      </c>
    </row>
    <row r="2864" spans="1:12">
      <c r="A2864" t="s">
        <v>3963</v>
      </c>
      <c r="B2864" t="s">
        <v>1562</v>
      </c>
      <c r="C2864" t="s">
        <v>2816</v>
      </c>
      <c r="D2864" t="s">
        <v>1897</v>
      </c>
      <c r="E2864">
        <v>14</v>
      </c>
      <c r="F2864">
        <v>0</v>
      </c>
      <c r="G2864">
        <v>0</v>
      </c>
      <c r="H2864">
        <f t="shared" si="88"/>
        <v>14</v>
      </c>
      <c r="I2864">
        <v>0</v>
      </c>
      <c r="J2864">
        <v>0</v>
      </c>
      <c r="K2864">
        <v>0</v>
      </c>
      <c r="L2864">
        <f t="shared" si="89"/>
        <v>0</v>
      </c>
    </row>
    <row r="2865" spans="1:12">
      <c r="A2865" t="s">
        <v>3963</v>
      </c>
      <c r="B2865" t="s">
        <v>1562</v>
      </c>
      <c r="C2865" t="s">
        <v>2817</v>
      </c>
      <c r="D2865" t="s">
        <v>2818</v>
      </c>
      <c r="E2865">
        <v>4</v>
      </c>
      <c r="F2865">
        <v>0</v>
      </c>
      <c r="G2865">
        <v>0</v>
      </c>
      <c r="H2865">
        <f t="shared" si="88"/>
        <v>4</v>
      </c>
      <c r="I2865">
        <v>0</v>
      </c>
      <c r="J2865">
        <v>0</v>
      </c>
      <c r="K2865">
        <v>0</v>
      </c>
      <c r="L2865">
        <f t="shared" si="89"/>
        <v>0</v>
      </c>
    </row>
    <row r="2866" spans="1:12">
      <c r="A2866" t="s">
        <v>3963</v>
      </c>
      <c r="B2866" t="s">
        <v>1562</v>
      </c>
      <c r="C2866" t="s">
        <v>2817</v>
      </c>
      <c r="D2866" t="s">
        <v>2837</v>
      </c>
      <c r="E2866">
        <v>4</v>
      </c>
      <c r="F2866">
        <v>0</v>
      </c>
      <c r="G2866">
        <v>0</v>
      </c>
      <c r="H2866">
        <f t="shared" si="88"/>
        <v>4</v>
      </c>
      <c r="I2866">
        <v>0</v>
      </c>
      <c r="J2866">
        <v>0</v>
      </c>
      <c r="K2866">
        <v>0</v>
      </c>
      <c r="L2866">
        <f t="shared" si="89"/>
        <v>0</v>
      </c>
    </row>
    <row r="2867" spans="1:12">
      <c r="A2867" t="s">
        <v>3964</v>
      </c>
      <c r="B2867" t="s">
        <v>1564</v>
      </c>
      <c r="C2867" t="s">
        <v>2805</v>
      </c>
      <c r="D2867" t="s">
        <v>2806</v>
      </c>
      <c r="E2867">
        <v>8</v>
      </c>
      <c r="F2867">
        <v>0</v>
      </c>
      <c r="G2867">
        <v>0</v>
      </c>
      <c r="H2867">
        <f t="shared" si="88"/>
        <v>8</v>
      </c>
      <c r="I2867">
        <v>9</v>
      </c>
      <c r="J2867">
        <v>0</v>
      </c>
      <c r="K2867">
        <v>0</v>
      </c>
      <c r="L2867">
        <f t="shared" si="89"/>
        <v>9</v>
      </c>
    </row>
    <row r="2868" spans="1:12">
      <c r="A2868" t="s">
        <v>3964</v>
      </c>
      <c r="B2868" t="s">
        <v>1564</v>
      </c>
      <c r="C2868" t="s">
        <v>2805</v>
      </c>
      <c r="D2868" t="s">
        <v>449</v>
      </c>
      <c r="E2868">
        <v>38</v>
      </c>
      <c r="F2868">
        <v>0</v>
      </c>
      <c r="G2868">
        <v>0</v>
      </c>
      <c r="H2868">
        <f t="shared" si="88"/>
        <v>38</v>
      </c>
      <c r="I2868">
        <v>52</v>
      </c>
      <c r="J2868">
        <v>0</v>
      </c>
      <c r="K2868">
        <v>0</v>
      </c>
      <c r="L2868">
        <f t="shared" si="89"/>
        <v>52</v>
      </c>
    </row>
    <row r="2869" spans="1:12">
      <c r="A2869" t="s">
        <v>3964</v>
      </c>
      <c r="B2869" t="s">
        <v>1564</v>
      </c>
      <c r="C2869" t="s">
        <v>2805</v>
      </c>
      <c r="D2869" t="s">
        <v>2807</v>
      </c>
      <c r="E2869">
        <v>6</v>
      </c>
      <c r="F2869">
        <v>0</v>
      </c>
      <c r="G2869">
        <v>0</v>
      </c>
      <c r="H2869">
        <f t="shared" si="88"/>
        <v>6</v>
      </c>
      <c r="I2869">
        <v>1</v>
      </c>
      <c r="J2869">
        <v>0</v>
      </c>
      <c r="K2869">
        <v>0</v>
      </c>
      <c r="L2869">
        <f t="shared" si="89"/>
        <v>1</v>
      </c>
    </row>
    <row r="2870" spans="1:12">
      <c r="A2870" t="s">
        <v>3964</v>
      </c>
      <c r="B2870" t="s">
        <v>1564</v>
      </c>
      <c r="C2870" t="s">
        <v>2805</v>
      </c>
      <c r="D2870" t="s">
        <v>2809</v>
      </c>
      <c r="E2870">
        <v>18</v>
      </c>
      <c r="F2870">
        <v>0</v>
      </c>
      <c r="G2870">
        <v>0</v>
      </c>
      <c r="H2870">
        <f t="shared" si="88"/>
        <v>18</v>
      </c>
      <c r="I2870">
        <v>5</v>
      </c>
      <c r="J2870">
        <v>0</v>
      </c>
      <c r="K2870">
        <v>0</v>
      </c>
      <c r="L2870">
        <f t="shared" si="89"/>
        <v>5</v>
      </c>
    </row>
    <row r="2871" spans="1:12">
      <c r="A2871" t="s">
        <v>3964</v>
      </c>
      <c r="B2871" t="s">
        <v>1564</v>
      </c>
      <c r="C2871" t="s">
        <v>2810</v>
      </c>
      <c r="D2871" t="s">
        <v>2811</v>
      </c>
      <c r="E2871">
        <v>58</v>
      </c>
      <c r="F2871">
        <v>0</v>
      </c>
      <c r="G2871">
        <v>0</v>
      </c>
      <c r="H2871">
        <f t="shared" si="88"/>
        <v>58</v>
      </c>
      <c r="I2871">
        <v>11</v>
      </c>
      <c r="J2871">
        <v>0</v>
      </c>
      <c r="K2871">
        <v>0</v>
      </c>
      <c r="L2871">
        <f t="shared" si="89"/>
        <v>11</v>
      </c>
    </row>
    <row r="2872" spans="1:12">
      <c r="A2872" t="s">
        <v>3964</v>
      </c>
      <c r="B2872" t="s">
        <v>1564</v>
      </c>
      <c r="C2872" t="s">
        <v>2810</v>
      </c>
      <c r="D2872" t="s">
        <v>2823</v>
      </c>
      <c r="E2872">
        <v>0</v>
      </c>
      <c r="F2872">
        <v>3</v>
      </c>
      <c r="G2872">
        <v>0</v>
      </c>
      <c r="H2872">
        <f t="shared" si="88"/>
        <v>3</v>
      </c>
      <c r="I2872">
        <v>0</v>
      </c>
      <c r="J2872">
        <v>0</v>
      </c>
      <c r="K2872">
        <v>0</v>
      </c>
      <c r="L2872">
        <f t="shared" si="89"/>
        <v>0</v>
      </c>
    </row>
    <row r="2873" spans="1:12">
      <c r="A2873" t="s">
        <v>3964</v>
      </c>
      <c r="B2873" t="s">
        <v>1564</v>
      </c>
      <c r="C2873" t="s">
        <v>2810</v>
      </c>
      <c r="D2873" t="s">
        <v>2812</v>
      </c>
      <c r="E2873">
        <v>21</v>
      </c>
      <c r="F2873">
        <v>0</v>
      </c>
      <c r="G2873">
        <v>0</v>
      </c>
      <c r="H2873">
        <f t="shared" si="88"/>
        <v>21</v>
      </c>
      <c r="I2873">
        <v>9</v>
      </c>
      <c r="J2873">
        <v>0</v>
      </c>
      <c r="K2873">
        <v>0</v>
      </c>
      <c r="L2873">
        <f t="shared" si="89"/>
        <v>9</v>
      </c>
    </row>
    <row r="2874" spans="1:12">
      <c r="A2874" t="s">
        <v>3964</v>
      </c>
      <c r="B2874" t="s">
        <v>1564</v>
      </c>
      <c r="C2874" t="s">
        <v>2810</v>
      </c>
      <c r="D2874" t="s">
        <v>2813</v>
      </c>
      <c r="E2874">
        <v>7</v>
      </c>
      <c r="F2874">
        <v>0</v>
      </c>
      <c r="G2874">
        <v>0</v>
      </c>
      <c r="H2874">
        <f t="shared" si="88"/>
        <v>7</v>
      </c>
      <c r="I2874">
        <v>2</v>
      </c>
      <c r="J2874">
        <v>0</v>
      </c>
      <c r="K2874">
        <v>0</v>
      </c>
      <c r="L2874">
        <f t="shared" si="89"/>
        <v>2</v>
      </c>
    </row>
    <row r="2875" spans="1:12">
      <c r="A2875" t="s">
        <v>3964</v>
      </c>
      <c r="B2875" t="s">
        <v>1564</v>
      </c>
      <c r="C2875" t="s">
        <v>2816</v>
      </c>
      <c r="D2875" t="s">
        <v>3199</v>
      </c>
      <c r="E2875">
        <v>0</v>
      </c>
      <c r="F2875">
        <v>0</v>
      </c>
      <c r="G2875">
        <v>0</v>
      </c>
      <c r="H2875">
        <f t="shared" si="88"/>
        <v>0</v>
      </c>
      <c r="I2875">
        <v>2</v>
      </c>
      <c r="J2875">
        <v>0</v>
      </c>
      <c r="K2875">
        <v>0</v>
      </c>
      <c r="L2875">
        <f t="shared" si="89"/>
        <v>2</v>
      </c>
    </row>
    <row r="2876" spans="1:12">
      <c r="A2876" t="s">
        <v>3964</v>
      </c>
      <c r="B2876" t="s">
        <v>1564</v>
      </c>
      <c r="C2876" t="s">
        <v>2841</v>
      </c>
      <c r="D2876" t="s">
        <v>2842</v>
      </c>
      <c r="E2876">
        <v>0</v>
      </c>
      <c r="F2876">
        <v>0</v>
      </c>
      <c r="G2876">
        <v>0</v>
      </c>
      <c r="H2876">
        <f t="shared" si="88"/>
        <v>0</v>
      </c>
      <c r="I2876">
        <v>6</v>
      </c>
      <c r="J2876">
        <v>0</v>
      </c>
      <c r="K2876">
        <v>0</v>
      </c>
      <c r="L2876">
        <f t="shared" si="89"/>
        <v>6</v>
      </c>
    </row>
    <row r="2877" spans="1:12">
      <c r="A2877" t="s">
        <v>3964</v>
      </c>
      <c r="B2877" t="s">
        <v>1564</v>
      </c>
      <c r="C2877" t="s">
        <v>2826</v>
      </c>
      <c r="D2877" t="s">
        <v>2849</v>
      </c>
      <c r="E2877">
        <v>1</v>
      </c>
      <c r="F2877">
        <v>0</v>
      </c>
      <c r="G2877">
        <v>0</v>
      </c>
      <c r="H2877">
        <f t="shared" si="88"/>
        <v>1</v>
      </c>
      <c r="I2877">
        <v>7</v>
      </c>
      <c r="J2877">
        <v>0</v>
      </c>
      <c r="K2877">
        <v>0</v>
      </c>
      <c r="L2877">
        <f t="shared" si="89"/>
        <v>7</v>
      </c>
    </row>
    <row r="2878" spans="1:12">
      <c r="A2878" t="s">
        <v>3964</v>
      </c>
      <c r="B2878" t="s">
        <v>1564</v>
      </c>
      <c r="C2878" t="s">
        <v>2817</v>
      </c>
      <c r="D2878" t="s">
        <v>2888</v>
      </c>
      <c r="E2878">
        <v>1</v>
      </c>
      <c r="F2878">
        <v>0</v>
      </c>
      <c r="G2878">
        <v>0</v>
      </c>
      <c r="H2878">
        <f t="shared" si="88"/>
        <v>1</v>
      </c>
      <c r="I2878">
        <v>0</v>
      </c>
      <c r="J2878">
        <v>0</v>
      </c>
      <c r="K2878">
        <v>0</v>
      </c>
      <c r="L2878">
        <f t="shared" si="89"/>
        <v>0</v>
      </c>
    </row>
    <row r="2879" spans="1:12">
      <c r="A2879" t="s">
        <v>3964</v>
      </c>
      <c r="B2879" t="s">
        <v>1564</v>
      </c>
      <c r="C2879" t="s">
        <v>2820</v>
      </c>
      <c r="D2879" t="s">
        <v>2949</v>
      </c>
      <c r="E2879">
        <v>0</v>
      </c>
      <c r="F2879">
        <v>0</v>
      </c>
      <c r="G2879">
        <v>0</v>
      </c>
      <c r="H2879">
        <f t="shared" si="88"/>
        <v>0</v>
      </c>
      <c r="I2879">
        <v>1</v>
      </c>
      <c r="J2879">
        <v>0</v>
      </c>
      <c r="K2879">
        <v>0</v>
      </c>
      <c r="L2879">
        <f t="shared" si="89"/>
        <v>1</v>
      </c>
    </row>
    <row r="2880" spans="1:12">
      <c r="A2880" t="s">
        <v>3965</v>
      </c>
      <c r="B2880" t="s">
        <v>1566</v>
      </c>
      <c r="C2880" t="s">
        <v>2805</v>
      </c>
      <c r="D2880" t="s">
        <v>2806</v>
      </c>
      <c r="E2880">
        <v>2</v>
      </c>
      <c r="F2880">
        <v>0</v>
      </c>
      <c r="G2880">
        <v>0</v>
      </c>
      <c r="H2880">
        <f t="shared" si="88"/>
        <v>2</v>
      </c>
      <c r="I2880">
        <v>0</v>
      </c>
      <c r="J2880">
        <v>0</v>
      </c>
      <c r="K2880">
        <v>0</v>
      </c>
      <c r="L2880">
        <f t="shared" si="89"/>
        <v>0</v>
      </c>
    </row>
    <row r="2881" spans="1:12">
      <c r="A2881" t="s">
        <v>3965</v>
      </c>
      <c r="B2881" t="s">
        <v>1566</v>
      </c>
      <c r="C2881" t="s">
        <v>2805</v>
      </c>
      <c r="D2881" t="s">
        <v>449</v>
      </c>
      <c r="E2881">
        <v>6</v>
      </c>
      <c r="F2881">
        <v>0</v>
      </c>
      <c r="G2881">
        <v>0</v>
      </c>
      <c r="H2881">
        <f t="shared" si="88"/>
        <v>6</v>
      </c>
      <c r="I2881">
        <v>0</v>
      </c>
      <c r="J2881">
        <v>0</v>
      </c>
      <c r="K2881">
        <v>0</v>
      </c>
      <c r="L2881">
        <f t="shared" si="89"/>
        <v>0</v>
      </c>
    </row>
    <row r="2882" spans="1:12">
      <c r="A2882" t="s">
        <v>3965</v>
      </c>
      <c r="B2882" t="s">
        <v>1566</v>
      </c>
      <c r="C2882" t="s">
        <v>2805</v>
      </c>
      <c r="D2882" t="s">
        <v>2807</v>
      </c>
      <c r="E2882">
        <v>5</v>
      </c>
      <c r="F2882">
        <v>0</v>
      </c>
      <c r="G2882">
        <v>0</v>
      </c>
      <c r="H2882">
        <f t="shared" si="88"/>
        <v>5</v>
      </c>
      <c r="I2882">
        <v>0</v>
      </c>
      <c r="J2882">
        <v>0</v>
      </c>
      <c r="K2882">
        <v>0</v>
      </c>
      <c r="L2882">
        <f t="shared" si="89"/>
        <v>0</v>
      </c>
    </row>
    <row r="2883" spans="1:12">
      <c r="A2883" t="s">
        <v>3965</v>
      </c>
      <c r="B2883" t="s">
        <v>1566</v>
      </c>
      <c r="C2883" t="s">
        <v>2810</v>
      </c>
      <c r="D2883" t="s">
        <v>2815</v>
      </c>
      <c r="E2883">
        <v>2</v>
      </c>
      <c r="F2883">
        <v>0</v>
      </c>
      <c r="G2883">
        <v>0</v>
      </c>
      <c r="H2883">
        <f t="shared" si="88"/>
        <v>2</v>
      </c>
      <c r="I2883">
        <v>0</v>
      </c>
      <c r="J2883">
        <v>0</v>
      </c>
      <c r="K2883">
        <v>0</v>
      </c>
      <c r="L2883">
        <f t="shared" si="89"/>
        <v>0</v>
      </c>
    </row>
    <row r="2884" spans="1:12">
      <c r="A2884" t="s">
        <v>3965</v>
      </c>
      <c r="B2884" t="s">
        <v>1566</v>
      </c>
      <c r="C2884" t="s">
        <v>2826</v>
      </c>
      <c r="D2884" t="s">
        <v>2843</v>
      </c>
      <c r="E2884">
        <v>1</v>
      </c>
      <c r="F2884">
        <v>0</v>
      </c>
      <c r="G2884">
        <v>0</v>
      </c>
      <c r="H2884">
        <f t="shared" ref="H2884:H2947" si="90">SUM(E2884:G2884)</f>
        <v>1</v>
      </c>
      <c r="I2884">
        <v>0</v>
      </c>
      <c r="J2884">
        <v>0</v>
      </c>
      <c r="K2884">
        <v>0</v>
      </c>
      <c r="L2884">
        <f t="shared" ref="L2884:L2947" si="91">SUM(I2884:K2884)</f>
        <v>0</v>
      </c>
    </row>
    <row r="2885" spans="1:12">
      <c r="A2885" t="s">
        <v>3965</v>
      </c>
      <c r="B2885" t="s">
        <v>1566</v>
      </c>
      <c r="C2885" t="s">
        <v>2817</v>
      </c>
      <c r="D2885" t="s">
        <v>2818</v>
      </c>
      <c r="E2885">
        <v>5</v>
      </c>
      <c r="F2885">
        <v>0</v>
      </c>
      <c r="G2885">
        <v>0</v>
      </c>
      <c r="H2885">
        <f t="shared" si="90"/>
        <v>5</v>
      </c>
      <c r="I2885">
        <v>0</v>
      </c>
      <c r="J2885">
        <v>0</v>
      </c>
      <c r="K2885">
        <v>0</v>
      </c>
      <c r="L2885">
        <f t="shared" si="91"/>
        <v>0</v>
      </c>
    </row>
    <row r="2886" spans="1:12">
      <c r="A2886" t="s">
        <v>3965</v>
      </c>
      <c r="B2886" t="s">
        <v>1566</v>
      </c>
      <c r="C2886" t="s">
        <v>2820</v>
      </c>
      <c r="D2886" t="s">
        <v>2821</v>
      </c>
      <c r="E2886">
        <v>1</v>
      </c>
      <c r="F2886">
        <v>0</v>
      </c>
      <c r="G2886">
        <v>0</v>
      </c>
      <c r="H2886">
        <f t="shared" si="90"/>
        <v>1</v>
      </c>
      <c r="I2886">
        <v>0</v>
      </c>
      <c r="J2886">
        <v>0</v>
      </c>
      <c r="K2886">
        <v>0</v>
      </c>
      <c r="L2886">
        <f t="shared" si="91"/>
        <v>0</v>
      </c>
    </row>
    <row r="2887" spans="1:12">
      <c r="A2887" t="s">
        <v>3968</v>
      </c>
      <c r="B2887" t="s">
        <v>1567</v>
      </c>
      <c r="C2887" t="s">
        <v>2805</v>
      </c>
      <c r="D2887" t="s">
        <v>2806</v>
      </c>
      <c r="E2887">
        <v>157</v>
      </c>
      <c r="F2887">
        <v>0</v>
      </c>
      <c r="G2887">
        <v>0</v>
      </c>
      <c r="H2887">
        <f t="shared" si="90"/>
        <v>157</v>
      </c>
      <c r="I2887">
        <v>4</v>
      </c>
      <c r="J2887">
        <v>0</v>
      </c>
      <c r="K2887">
        <v>0</v>
      </c>
      <c r="L2887">
        <f t="shared" si="91"/>
        <v>4</v>
      </c>
    </row>
    <row r="2888" spans="1:12">
      <c r="A2888" t="s">
        <v>3968</v>
      </c>
      <c r="B2888" t="s">
        <v>1567</v>
      </c>
      <c r="C2888" t="s">
        <v>2805</v>
      </c>
      <c r="D2888" t="s">
        <v>449</v>
      </c>
      <c r="E2888">
        <v>518</v>
      </c>
      <c r="F2888">
        <v>0</v>
      </c>
      <c r="G2888">
        <v>0</v>
      </c>
      <c r="H2888">
        <f t="shared" si="90"/>
        <v>518</v>
      </c>
      <c r="I2888">
        <v>0</v>
      </c>
      <c r="J2888">
        <v>0</v>
      </c>
      <c r="K2888">
        <v>0</v>
      </c>
      <c r="L2888">
        <f t="shared" si="91"/>
        <v>0</v>
      </c>
    </row>
    <row r="2889" spans="1:12">
      <c r="A2889" t="s">
        <v>3968</v>
      </c>
      <c r="B2889" t="s">
        <v>1567</v>
      </c>
      <c r="C2889" t="s">
        <v>2805</v>
      </c>
      <c r="D2889" t="s">
        <v>2807</v>
      </c>
      <c r="E2889">
        <v>6</v>
      </c>
      <c r="F2889">
        <v>0</v>
      </c>
      <c r="G2889">
        <v>0</v>
      </c>
      <c r="H2889">
        <f t="shared" si="90"/>
        <v>6</v>
      </c>
      <c r="I2889">
        <v>0</v>
      </c>
      <c r="J2889">
        <v>0</v>
      </c>
      <c r="K2889">
        <v>0</v>
      </c>
      <c r="L2889">
        <f t="shared" si="91"/>
        <v>0</v>
      </c>
    </row>
    <row r="2890" spans="1:12">
      <c r="A2890" t="s">
        <v>3968</v>
      </c>
      <c r="B2890" t="s">
        <v>1567</v>
      </c>
      <c r="C2890" t="s">
        <v>2805</v>
      </c>
      <c r="D2890" t="s">
        <v>2846</v>
      </c>
      <c r="E2890">
        <v>1</v>
      </c>
      <c r="F2890">
        <v>0</v>
      </c>
      <c r="G2890">
        <v>0</v>
      </c>
      <c r="H2890">
        <f t="shared" si="90"/>
        <v>1</v>
      </c>
      <c r="I2890">
        <v>0</v>
      </c>
      <c r="J2890">
        <v>0</v>
      </c>
      <c r="K2890">
        <v>0</v>
      </c>
      <c r="L2890">
        <f t="shared" si="91"/>
        <v>0</v>
      </c>
    </row>
    <row r="2891" spans="1:12">
      <c r="A2891" t="s">
        <v>3968</v>
      </c>
      <c r="B2891" t="s">
        <v>1567</v>
      </c>
      <c r="C2891" t="s">
        <v>2810</v>
      </c>
      <c r="D2891" t="s">
        <v>2811</v>
      </c>
      <c r="E2891">
        <v>25</v>
      </c>
      <c r="F2891">
        <v>0</v>
      </c>
      <c r="G2891">
        <v>0</v>
      </c>
      <c r="H2891">
        <f t="shared" si="90"/>
        <v>25</v>
      </c>
      <c r="I2891">
        <v>0</v>
      </c>
      <c r="J2891">
        <v>0</v>
      </c>
      <c r="K2891">
        <v>0</v>
      </c>
      <c r="L2891">
        <f t="shared" si="91"/>
        <v>0</v>
      </c>
    </row>
    <row r="2892" spans="1:12">
      <c r="A2892" t="s">
        <v>3968</v>
      </c>
      <c r="B2892" t="s">
        <v>1567</v>
      </c>
      <c r="C2892" t="s">
        <v>2810</v>
      </c>
      <c r="D2892" t="s">
        <v>2813</v>
      </c>
      <c r="E2892">
        <v>4</v>
      </c>
      <c r="F2892">
        <v>0</v>
      </c>
      <c r="G2892">
        <v>0</v>
      </c>
      <c r="H2892">
        <f t="shared" si="90"/>
        <v>4</v>
      </c>
      <c r="I2892">
        <v>0</v>
      </c>
      <c r="J2892">
        <v>0</v>
      </c>
      <c r="K2892">
        <v>0</v>
      </c>
      <c r="L2892">
        <f t="shared" si="91"/>
        <v>0</v>
      </c>
    </row>
    <row r="2893" spans="1:12">
      <c r="A2893" t="s">
        <v>3968</v>
      </c>
      <c r="B2893" t="s">
        <v>1567</v>
      </c>
      <c r="C2893" t="s">
        <v>2810</v>
      </c>
      <c r="D2893" t="s">
        <v>2814</v>
      </c>
      <c r="E2893">
        <v>8</v>
      </c>
      <c r="F2893">
        <v>0</v>
      </c>
      <c r="G2893">
        <v>0</v>
      </c>
      <c r="H2893">
        <f t="shared" si="90"/>
        <v>8</v>
      </c>
      <c r="I2893">
        <v>0</v>
      </c>
      <c r="J2893">
        <v>0</v>
      </c>
      <c r="K2893">
        <v>0</v>
      </c>
      <c r="L2893">
        <f t="shared" si="91"/>
        <v>0</v>
      </c>
    </row>
    <row r="2894" spans="1:12">
      <c r="A2894" t="s">
        <v>3968</v>
      </c>
      <c r="B2894" t="s">
        <v>1567</v>
      </c>
      <c r="C2894" t="s">
        <v>2810</v>
      </c>
      <c r="D2894" t="s">
        <v>2815</v>
      </c>
      <c r="E2894">
        <v>9</v>
      </c>
      <c r="F2894">
        <v>0</v>
      </c>
      <c r="G2894">
        <v>0</v>
      </c>
      <c r="H2894">
        <f t="shared" si="90"/>
        <v>9</v>
      </c>
      <c r="I2894">
        <v>0</v>
      </c>
      <c r="J2894">
        <v>0</v>
      </c>
      <c r="K2894">
        <v>0</v>
      </c>
      <c r="L2894">
        <f t="shared" si="91"/>
        <v>0</v>
      </c>
    </row>
    <row r="2895" spans="1:12">
      <c r="A2895" t="s">
        <v>3968</v>
      </c>
      <c r="B2895" t="s">
        <v>1567</v>
      </c>
      <c r="C2895" t="s">
        <v>2816</v>
      </c>
      <c r="D2895" t="s">
        <v>1897</v>
      </c>
      <c r="E2895">
        <v>143</v>
      </c>
      <c r="F2895">
        <v>0</v>
      </c>
      <c r="G2895">
        <v>0</v>
      </c>
      <c r="H2895">
        <f t="shared" si="90"/>
        <v>143</v>
      </c>
      <c r="I2895">
        <v>0</v>
      </c>
      <c r="J2895">
        <v>0</v>
      </c>
      <c r="K2895">
        <v>0</v>
      </c>
      <c r="L2895">
        <f t="shared" si="91"/>
        <v>0</v>
      </c>
    </row>
    <row r="2896" spans="1:12">
      <c r="A2896" t="s">
        <v>3968</v>
      </c>
      <c r="B2896" t="s">
        <v>1567</v>
      </c>
      <c r="C2896" t="s">
        <v>2816</v>
      </c>
      <c r="D2896" t="s">
        <v>2848</v>
      </c>
      <c r="E2896">
        <v>13</v>
      </c>
      <c r="F2896">
        <v>0</v>
      </c>
      <c r="G2896">
        <v>0</v>
      </c>
      <c r="H2896">
        <f t="shared" si="90"/>
        <v>13</v>
      </c>
      <c r="I2896">
        <v>0</v>
      </c>
      <c r="J2896">
        <v>0</v>
      </c>
      <c r="K2896">
        <v>0</v>
      </c>
      <c r="L2896">
        <f t="shared" si="91"/>
        <v>0</v>
      </c>
    </row>
    <row r="2897" spans="1:12">
      <c r="A2897" t="s">
        <v>3968</v>
      </c>
      <c r="B2897" t="s">
        <v>1567</v>
      </c>
      <c r="C2897" t="s">
        <v>2817</v>
      </c>
      <c r="D2897" t="s">
        <v>2818</v>
      </c>
      <c r="E2897">
        <v>24</v>
      </c>
      <c r="F2897">
        <v>0</v>
      </c>
      <c r="G2897">
        <v>0</v>
      </c>
      <c r="H2897">
        <f t="shared" si="90"/>
        <v>24</v>
      </c>
      <c r="I2897">
        <v>0</v>
      </c>
      <c r="J2897">
        <v>0</v>
      </c>
      <c r="K2897">
        <v>0</v>
      </c>
      <c r="L2897">
        <f t="shared" si="91"/>
        <v>0</v>
      </c>
    </row>
    <row r="2898" spans="1:12">
      <c r="A2898" t="s">
        <v>3968</v>
      </c>
      <c r="B2898" t="s">
        <v>1567</v>
      </c>
      <c r="C2898" t="s">
        <v>2817</v>
      </c>
      <c r="D2898" t="s">
        <v>2837</v>
      </c>
      <c r="E2898">
        <v>4</v>
      </c>
      <c r="F2898">
        <v>0</v>
      </c>
      <c r="G2898">
        <v>0</v>
      </c>
      <c r="H2898">
        <f t="shared" si="90"/>
        <v>4</v>
      </c>
      <c r="I2898">
        <v>0</v>
      </c>
      <c r="J2898">
        <v>0</v>
      </c>
      <c r="K2898">
        <v>0</v>
      </c>
      <c r="L2898">
        <f t="shared" si="91"/>
        <v>0</v>
      </c>
    </row>
    <row r="2899" spans="1:12">
      <c r="A2899" t="s">
        <v>3968</v>
      </c>
      <c r="B2899" t="s">
        <v>1567</v>
      </c>
      <c r="C2899" t="s">
        <v>2817</v>
      </c>
      <c r="D2899" t="s">
        <v>2819</v>
      </c>
      <c r="E2899">
        <v>4</v>
      </c>
      <c r="F2899">
        <v>0</v>
      </c>
      <c r="G2899">
        <v>0</v>
      </c>
      <c r="H2899">
        <f t="shared" si="90"/>
        <v>4</v>
      </c>
      <c r="I2899">
        <v>0</v>
      </c>
      <c r="J2899">
        <v>0</v>
      </c>
      <c r="K2899">
        <v>0</v>
      </c>
      <c r="L2899">
        <f t="shared" si="91"/>
        <v>0</v>
      </c>
    </row>
    <row r="2900" spans="1:12">
      <c r="A2900" t="s">
        <v>3969</v>
      </c>
      <c r="B2900" t="s">
        <v>1571</v>
      </c>
      <c r="C2900" t="s">
        <v>2805</v>
      </c>
      <c r="D2900" t="s">
        <v>2806</v>
      </c>
      <c r="E2900">
        <v>5</v>
      </c>
      <c r="F2900">
        <v>0</v>
      </c>
      <c r="G2900">
        <v>0</v>
      </c>
      <c r="H2900">
        <f t="shared" si="90"/>
        <v>5</v>
      </c>
      <c r="I2900">
        <v>0</v>
      </c>
      <c r="J2900">
        <v>0</v>
      </c>
      <c r="K2900">
        <v>0</v>
      </c>
      <c r="L2900">
        <f t="shared" si="91"/>
        <v>0</v>
      </c>
    </row>
    <row r="2901" spans="1:12">
      <c r="A2901" t="s">
        <v>3969</v>
      </c>
      <c r="B2901" t="s">
        <v>1571</v>
      </c>
      <c r="C2901" t="s">
        <v>2805</v>
      </c>
      <c r="D2901" t="s">
        <v>449</v>
      </c>
      <c r="E2901">
        <v>18</v>
      </c>
      <c r="F2901">
        <v>0</v>
      </c>
      <c r="G2901">
        <v>0</v>
      </c>
      <c r="H2901">
        <f t="shared" si="90"/>
        <v>18</v>
      </c>
      <c r="I2901">
        <v>0</v>
      </c>
      <c r="J2901">
        <v>0</v>
      </c>
      <c r="K2901">
        <v>0</v>
      </c>
      <c r="L2901">
        <f t="shared" si="91"/>
        <v>0</v>
      </c>
    </row>
    <row r="2902" spans="1:12">
      <c r="A2902" t="s">
        <v>3969</v>
      </c>
      <c r="B2902" t="s">
        <v>1571</v>
      </c>
      <c r="C2902" t="s">
        <v>2805</v>
      </c>
      <c r="D2902" t="s">
        <v>2807</v>
      </c>
      <c r="E2902">
        <v>11</v>
      </c>
      <c r="F2902">
        <v>0</v>
      </c>
      <c r="G2902">
        <v>0</v>
      </c>
      <c r="H2902">
        <f t="shared" si="90"/>
        <v>11</v>
      </c>
      <c r="I2902">
        <v>0</v>
      </c>
      <c r="J2902">
        <v>0</v>
      </c>
      <c r="K2902">
        <v>0</v>
      </c>
      <c r="L2902">
        <f t="shared" si="91"/>
        <v>0</v>
      </c>
    </row>
    <row r="2903" spans="1:12">
      <c r="A2903" t="s">
        <v>3969</v>
      </c>
      <c r="B2903" t="s">
        <v>1571</v>
      </c>
      <c r="C2903" t="s">
        <v>2810</v>
      </c>
      <c r="D2903" t="s">
        <v>2812</v>
      </c>
      <c r="E2903">
        <v>2</v>
      </c>
      <c r="F2903">
        <v>0</v>
      </c>
      <c r="G2903">
        <v>0</v>
      </c>
      <c r="H2903">
        <f t="shared" si="90"/>
        <v>2</v>
      </c>
      <c r="I2903">
        <v>0</v>
      </c>
      <c r="J2903">
        <v>0</v>
      </c>
      <c r="K2903">
        <v>0</v>
      </c>
      <c r="L2903">
        <f t="shared" si="91"/>
        <v>0</v>
      </c>
    </row>
    <row r="2904" spans="1:12">
      <c r="A2904" t="s">
        <v>3969</v>
      </c>
      <c r="B2904" t="s">
        <v>1571</v>
      </c>
      <c r="C2904" t="s">
        <v>2810</v>
      </c>
      <c r="D2904" t="s">
        <v>2813</v>
      </c>
      <c r="E2904">
        <v>2</v>
      </c>
      <c r="F2904">
        <v>0</v>
      </c>
      <c r="G2904">
        <v>0</v>
      </c>
      <c r="H2904">
        <f t="shared" si="90"/>
        <v>2</v>
      </c>
      <c r="I2904">
        <v>0</v>
      </c>
      <c r="J2904">
        <v>0</v>
      </c>
      <c r="K2904">
        <v>0</v>
      </c>
      <c r="L2904">
        <f t="shared" si="91"/>
        <v>0</v>
      </c>
    </row>
    <row r="2905" spans="1:12">
      <c r="A2905" t="s">
        <v>3969</v>
      </c>
      <c r="B2905" t="s">
        <v>1571</v>
      </c>
      <c r="C2905" t="s">
        <v>2810</v>
      </c>
      <c r="D2905" t="s">
        <v>2814</v>
      </c>
      <c r="E2905">
        <v>3</v>
      </c>
      <c r="F2905">
        <v>0</v>
      </c>
      <c r="G2905">
        <v>0</v>
      </c>
      <c r="H2905">
        <f t="shared" si="90"/>
        <v>3</v>
      </c>
      <c r="I2905">
        <v>0</v>
      </c>
      <c r="J2905">
        <v>0</v>
      </c>
      <c r="K2905">
        <v>0</v>
      </c>
      <c r="L2905">
        <f t="shared" si="91"/>
        <v>0</v>
      </c>
    </row>
    <row r="2906" spans="1:12">
      <c r="A2906" t="s">
        <v>3969</v>
      </c>
      <c r="B2906" t="s">
        <v>1571</v>
      </c>
      <c r="C2906" t="s">
        <v>2810</v>
      </c>
      <c r="D2906" t="s">
        <v>2815</v>
      </c>
      <c r="E2906">
        <v>6</v>
      </c>
      <c r="F2906">
        <v>0</v>
      </c>
      <c r="G2906">
        <v>0</v>
      </c>
      <c r="H2906">
        <f t="shared" si="90"/>
        <v>6</v>
      </c>
      <c r="I2906">
        <v>0</v>
      </c>
      <c r="J2906">
        <v>0</v>
      </c>
      <c r="K2906">
        <v>0</v>
      </c>
      <c r="L2906">
        <f t="shared" si="91"/>
        <v>0</v>
      </c>
    </row>
    <row r="2907" spans="1:12">
      <c r="A2907" t="s">
        <v>3969</v>
      </c>
      <c r="B2907" t="s">
        <v>1571</v>
      </c>
      <c r="C2907" t="s">
        <v>2826</v>
      </c>
      <c r="D2907" t="s">
        <v>2858</v>
      </c>
      <c r="E2907">
        <v>2</v>
      </c>
      <c r="F2907">
        <v>0</v>
      </c>
      <c r="G2907">
        <v>0</v>
      </c>
      <c r="H2907">
        <f t="shared" si="90"/>
        <v>2</v>
      </c>
      <c r="I2907">
        <v>0</v>
      </c>
      <c r="J2907">
        <v>0</v>
      </c>
      <c r="K2907">
        <v>0</v>
      </c>
      <c r="L2907">
        <f t="shared" si="91"/>
        <v>0</v>
      </c>
    </row>
    <row r="2908" spans="1:12">
      <c r="A2908" t="s">
        <v>3969</v>
      </c>
      <c r="B2908" t="s">
        <v>1571</v>
      </c>
      <c r="C2908" t="s">
        <v>2826</v>
      </c>
      <c r="D2908" t="s">
        <v>2843</v>
      </c>
      <c r="E2908">
        <v>1</v>
      </c>
      <c r="F2908">
        <v>0</v>
      </c>
      <c r="G2908">
        <v>0</v>
      </c>
      <c r="H2908">
        <f t="shared" si="90"/>
        <v>1</v>
      </c>
      <c r="I2908">
        <v>1</v>
      </c>
      <c r="J2908">
        <v>0</v>
      </c>
      <c r="K2908">
        <v>0</v>
      </c>
      <c r="L2908">
        <f t="shared" si="91"/>
        <v>1</v>
      </c>
    </row>
    <row r="2909" spans="1:12">
      <c r="A2909" t="s">
        <v>3969</v>
      </c>
      <c r="B2909" t="s">
        <v>1571</v>
      </c>
      <c r="C2909" t="s">
        <v>2826</v>
      </c>
      <c r="D2909" t="s">
        <v>2834</v>
      </c>
      <c r="E2909">
        <v>1</v>
      </c>
      <c r="F2909">
        <v>0</v>
      </c>
      <c r="G2909">
        <v>0</v>
      </c>
      <c r="H2909">
        <f t="shared" si="90"/>
        <v>1</v>
      </c>
      <c r="I2909">
        <v>1</v>
      </c>
      <c r="J2909">
        <v>0</v>
      </c>
      <c r="K2909">
        <v>0</v>
      </c>
      <c r="L2909">
        <f t="shared" si="91"/>
        <v>1</v>
      </c>
    </row>
    <row r="2910" spans="1:12">
      <c r="A2910" t="s">
        <v>3969</v>
      </c>
      <c r="B2910" t="s">
        <v>1571</v>
      </c>
      <c r="C2910" t="s">
        <v>2826</v>
      </c>
      <c r="D2910" t="s">
        <v>2849</v>
      </c>
      <c r="E2910">
        <v>1</v>
      </c>
      <c r="F2910">
        <v>0</v>
      </c>
      <c r="G2910">
        <v>0</v>
      </c>
      <c r="H2910">
        <f t="shared" si="90"/>
        <v>1</v>
      </c>
      <c r="I2910">
        <v>1</v>
      </c>
      <c r="J2910">
        <v>0</v>
      </c>
      <c r="K2910">
        <v>0</v>
      </c>
      <c r="L2910">
        <f t="shared" si="91"/>
        <v>1</v>
      </c>
    </row>
    <row r="2911" spans="1:12">
      <c r="A2911" t="s">
        <v>3970</v>
      </c>
      <c r="B2911" t="s">
        <v>1574</v>
      </c>
      <c r="C2911" t="s">
        <v>2810</v>
      </c>
      <c r="D2911" t="s">
        <v>2812</v>
      </c>
      <c r="E2911">
        <v>22</v>
      </c>
      <c r="F2911">
        <v>0</v>
      </c>
      <c r="G2911">
        <v>0</v>
      </c>
      <c r="H2911">
        <f t="shared" si="90"/>
        <v>22</v>
      </c>
      <c r="I2911">
        <v>0</v>
      </c>
      <c r="J2911">
        <v>0</v>
      </c>
      <c r="K2911">
        <v>0</v>
      </c>
      <c r="L2911">
        <f t="shared" si="91"/>
        <v>0</v>
      </c>
    </row>
    <row r="2912" spans="1:12">
      <c r="A2912" t="s">
        <v>3970</v>
      </c>
      <c r="B2912" t="s">
        <v>1574</v>
      </c>
      <c r="C2912" t="s">
        <v>2810</v>
      </c>
      <c r="D2912" t="s">
        <v>2813</v>
      </c>
      <c r="E2912">
        <v>3</v>
      </c>
      <c r="F2912">
        <v>0</v>
      </c>
      <c r="G2912">
        <v>0</v>
      </c>
      <c r="H2912">
        <f t="shared" si="90"/>
        <v>3</v>
      </c>
      <c r="I2912">
        <v>0</v>
      </c>
      <c r="J2912">
        <v>0</v>
      </c>
      <c r="K2912">
        <v>0</v>
      </c>
      <c r="L2912">
        <f t="shared" si="91"/>
        <v>0</v>
      </c>
    </row>
    <row r="2913" spans="1:12">
      <c r="A2913" t="s">
        <v>3970</v>
      </c>
      <c r="B2913" t="s">
        <v>1574</v>
      </c>
      <c r="C2913" t="s">
        <v>2810</v>
      </c>
      <c r="D2913" t="s">
        <v>2847</v>
      </c>
      <c r="E2913">
        <v>109</v>
      </c>
      <c r="F2913">
        <v>0</v>
      </c>
      <c r="G2913">
        <v>0</v>
      </c>
      <c r="H2913">
        <f t="shared" si="90"/>
        <v>109</v>
      </c>
      <c r="I2913">
        <v>0</v>
      </c>
      <c r="J2913">
        <v>0</v>
      </c>
      <c r="K2913">
        <v>0</v>
      </c>
      <c r="L2913">
        <f t="shared" si="91"/>
        <v>0</v>
      </c>
    </row>
    <row r="2914" spans="1:12">
      <c r="A2914" t="s">
        <v>3971</v>
      </c>
      <c r="B2914" t="s">
        <v>3972</v>
      </c>
      <c r="C2914" t="s">
        <v>2805</v>
      </c>
      <c r="D2914" t="s">
        <v>2806</v>
      </c>
      <c r="E2914">
        <v>190</v>
      </c>
      <c r="F2914">
        <v>0</v>
      </c>
      <c r="G2914">
        <v>0</v>
      </c>
      <c r="H2914">
        <f t="shared" si="90"/>
        <v>190</v>
      </c>
      <c r="I2914">
        <v>0</v>
      </c>
      <c r="J2914">
        <v>0</v>
      </c>
      <c r="K2914">
        <v>0</v>
      </c>
      <c r="L2914">
        <f t="shared" si="91"/>
        <v>0</v>
      </c>
    </row>
    <row r="2915" spans="1:12">
      <c r="A2915" t="s">
        <v>3971</v>
      </c>
      <c r="B2915" t="s">
        <v>3972</v>
      </c>
      <c r="C2915" t="s">
        <v>2805</v>
      </c>
      <c r="D2915" t="s">
        <v>449</v>
      </c>
      <c r="E2915">
        <v>205</v>
      </c>
      <c r="F2915">
        <v>0</v>
      </c>
      <c r="G2915">
        <v>0</v>
      </c>
      <c r="H2915">
        <f t="shared" si="90"/>
        <v>205</v>
      </c>
      <c r="I2915">
        <v>0</v>
      </c>
      <c r="J2915">
        <v>0</v>
      </c>
      <c r="K2915">
        <v>0</v>
      </c>
      <c r="L2915">
        <f t="shared" si="91"/>
        <v>0</v>
      </c>
    </row>
    <row r="2916" spans="1:12">
      <c r="A2916" t="s">
        <v>3971</v>
      </c>
      <c r="B2916" t="s">
        <v>3972</v>
      </c>
      <c r="C2916" t="s">
        <v>2805</v>
      </c>
      <c r="D2916" t="s">
        <v>2807</v>
      </c>
      <c r="E2916">
        <v>11</v>
      </c>
      <c r="F2916">
        <v>0</v>
      </c>
      <c r="G2916">
        <v>0</v>
      </c>
      <c r="H2916">
        <f t="shared" si="90"/>
        <v>11</v>
      </c>
      <c r="I2916">
        <v>0</v>
      </c>
      <c r="J2916">
        <v>0</v>
      </c>
      <c r="K2916">
        <v>0</v>
      </c>
      <c r="L2916">
        <f t="shared" si="91"/>
        <v>0</v>
      </c>
    </row>
    <row r="2917" spans="1:12">
      <c r="A2917" t="s">
        <v>3971</v>
      </c>
      <c r="B2917" t="s">
        <v>3972</v>
      </c>
      <c r="C2917" t="s">
        <v>2805</v>
      </c>
      <c r="D2917" t="s">
        <v>2809</v>
      </c>
      <c r="E2917">
        <v>1</v>
      </c>
      <c r="F2917">
        <v>0</v>
      </c>
      <c r="G2917">
        <v>0</v>
      </c>
      <c r="H2917">
        <f t="shared" si="90"/>
        <v>1</v>
      </c>
      <c r="I2917">
        <v>0</v>
      </c>
      <c r="J2917">
        <v>0</v>
      </c>
      <c r="K2917">
        <v>0</v>
      </c>
      <c r="L2917">
        <f t="shared" si="91"/>
        <v>0</v>
      </c>
    </row>
    <row r="2918" spans="1:12">
      <c r="A2918" t="s">
        <v>3971</v>
      </c>
      <c r="B2918" t="s">
        <v>3972</v>
      </c>
      <c r="C2918" t="s">
        <v>2805</v>
      </c>
      <c r="D2918" t="s">
        <v>442</v>
      </c>
      <c r="E2918">
        <v>1</v>
      </c>
      <c r="F2918">
        <v>0</v>
      </c>
      <c r="G2918">
        <v>0</v>
      </c>
      <c r="H2918">
        <f t="shared" si="90"/>
        <v>1</v>
      </c>
      <c r="I2918">
        <v>0</v>
      </c>
      <c r="J2918">
        <v>0</v>
      </c>
      <c r="K2918">
        <v>0</v>
      </c>
      <c r="L2918">
        <f t="shared" si="91"/>
        <v>0</v>
      </c>
    </row>
    <row r="2919" spans="1:12">
      <c r="A2919" t="s">
        <v>3971</v>
      </c>
      <c r="B2919" t="s">
        <v>3972</v>
      </c>
      <c r="C2919" t="s">
        <v>2810</v>
      </c>
      <c r="D2919" t="s">
        <v>2811</v>
      </c>
      <c r="E2919">
        <v>39</v>
      </c>
      <c r="F2919">
        <v>0</v>
      </c>
      <c r="G2919">
        <v>0</v>
      </c>
      <c r="H2919">
        <f t="shared" si="90"/>
        <v>39</v>
      </c>
      <c r="I2919">
        <v>0</v>
      </c>
      <c r="J2919">
        <v>0</v>
      </c>
      <c r="K2919">
        <v>0</v>
      </c>
      <c r="L2919">
        <f t="shared" si="91"/>
        <v>0</v>
      </c>
    </row>
    <row r="2920" spans="1:12">
      <c r="A2920" t="s">
        <v>3971</v>
      </c>
      <c r="B2920" t="s">
        <v>3972</v>
      </c>
      <c r="C2920" t="s">
        <v>2810</v>
      </c>
      <c r="D2920" t="s">
        <v>1892</v>
      </c>
      <c r="E2920">
        <v>9</v>
      </c>
      <c r="F2920">
        <v>139</v>
      </c>
      <c r="G2920">
        <v>0</v>
      </c>
      <c r="H2920">
        <f t="shared" si="90"/>
        <v>148</v>
      </c>
      <c r="I2920">
        <v>0</v>
      </c>
      <c r="J2920">
        <v>0</v>
      </c>
      <c r="K2920">
        <v>0</v>
      </c>
      <c r="L2920">
        <f t="shared" si="91"/>
        <v>0</v>
      </c>
    </row>
    <row r="2921" spans="1:12">
      <c r="A2921" t="s">
        <v>3971</v>
      </c>
      <c r="B2921" t="s">
        <v>3972</v>
      </c>
      <c r="C2921" t="s">
        <v>2810</v>
      </c>
      <c r="D2921" t="s">
        <v>2823</v>
      </c>
      <c r="E2921">
        <v>1</v>
      </c>
      <c r="F2921">
        <v>57</v>
      </c>
      <c r="G2921">
        <v>0</v>
      </c>
      <c r="H2921">
        <f t="shared" si="90"/>
        <v>58</v>
      </c>
      <c r="I2921">
        <v>0</v>
      </c>
      <c r="J2921">
        <v>0</v>
      </c>
      <c r="K2921">
        <v>0</v>
      </c>
      <c r="L2921">
        <f t="shared" si="91"/>
        <v>0</v>
      </c>
    </row>
    <row r="2922" spans="1:12">
      <c r="A2922" t="s">
        <v>3971</v>
      </c>
      <c r="B2922" t="s">
        <v>3972</v>
      </c>
      <c r="C2922" t="s">
        <v>2810</v>
      </c>
      <c r="D2922" t="s">
        <v>2812</v>
      </c>
      <c r="E2922">
        <v>461</v>
      </c>
      <c r="F2922">
        <v>0</v>
      </c>
      <c r="G2922">
        <v>0</v>
      </c>
      <c r="H2922">
        <f t="shared" si="90"/>
        <v>461</v>
      </c>
      <c r="I2922">
        <v>0</v>
      </c>
      <c r="J2922">
        <v>0</v>
      </c>
      <c r="K2922">
        <v>0</v>
      </c>
      <c r="L2922">
        <f t="shared" si="91"/>
        <v>0</v>
      </c>
    </row>
    <row r="2923" spans="1:12">
      <c r="A2923" t="s">
        <v>3971</v>
      </c>
      <c r="B2923" t="s">
        <v>3972</v>
      </c>
      <c r="C2923" t="s">
        <v>2810</v>
      </c>
      <c r="D2923" t="s">
        <v>2813</v>
      </c>
      <c r="E2923">
        <v>57</v>
      </c>
      <c r="F2923">
        <v>0</v>
      </c>
      <c r="G2923">
        <v>0</v>
      </c>
      <c r="H2923">
        <f t="shared" si="90"/>
        <v>57</v>
      </c>
      <c r="I2923">
        <v>0</v>
      </c>
      <c r="J2923">
        <v>0</v>
      </c>
      <c r="K2923">
        <v>0</v>
      </c>
      <c r="L2923">
        <f t="shared" si="91"/>
        <v>0</v>
      </c>
    </row>
    <row r="2924" spans="1:12">
      <c r="A2924" t="s">
        <v>3971</v>
      </c>
      <c r="B2924" t="s">
        <v>3972</v>
      </c>
      <c r="C2924" t="s">
        <v>2810</v>
      </c>
      <c r="D2924" t="s">
        <v>2814</v>
      </c>
      <c r="E2924">
        <v>2</v>
      </c>
      <c r="F2924">
        <v>0</v>
      </c>
      <c r="G2924">
        <v>0</v>
      </c>
      <c r="H2924">
        <f t="shared" si="90"/>
        <v>2</v>
      </c>
      <c r="I2924">
        <v>0</v>
      </c>
      <c r="J2924">
        <v>0</v>
      </c>
      <c r="K2924">
        <v>0</v>
      </c>
      <c r="L2924">
        <f t="shared" si="91"/>
        <v>0</v>
      </c>
    </row>
    <row r="2925" spans="1:12">
      <c r="A2925" t="s">
        <v>3971</v>
      </c>
      <c r="B2925" t="s">
        <v>3972</v>
      </c>
      <c r="C2925" t="s">
        <v>2810</v>
      </c>
      <c r="D2925" t="s">
        <v>2847</v>
      </c>
      <c r="E2925">
        <v>350</v>
      </c>
      <c r="F2925">
        <v>0</v>
      </c>
      <c r="G2925">
        <v>0</v>
      </c>
      <c r="H2925">
        <f t="shared" si="90"/>
        <v>350</v>
      </c>
      <c r="I2925">
        <v>0</v>
      </c>
      <c r="J2925">
        <v>0</v>
      </c>
      <c r="K2925">
        <v>0</v>
      </c>
      <c r="L2925">
        <f t="shared" si="91"/>
        <v>0</v>
      </c>
    </row>
    <row r="2926" spans="1:12">
      <c r="A2926" t="s">
        <v>3971</v>
      </c>
      <c r="B2926" t="s">
        <v>3972</v>
      </c>
      <c r="C2926" t="s">
        <v>2810</v>
      </c>
      <c r="D2926" t="s">
        <v>2815</v>
      </c>
      <c r="E2926">
        <v>9</v>
      </c>
      <c r="F2926">
        <v>0</v>
      </c>
      <c r="G2926">
        <v>0</v>
      </c>
      <c r="H2926">
        <f t="shared" si="90"/>
        <v>9</v>
      </c>
      <c r="I2926">
        <v>0</v>
      </c>
      <c r="J2926">
        <v>0</v>
      </c>
      <c r="K2926">
        <v>0</v>
      </c>
      <c r="L2926">
        <f t="shared" si="91"/>
        <v>0</v>
      </c>
    </row>
    <row r="2927" spans="1:12">
      <c r="A2927" t="s">
        <v>3971</v>
      </c>
      <c r="B2927" t="s">
        <v>3972</v>
      </c>
      <c r="C2927" t="s">
        <v>2816</v>
      </c>
      <c r="D2927" t="s">
        <v>1897</v>
      </c>
      <c r="E2927">
        <v>3</v>
      </c>
      <c r="F2927">
        <v>0</v>
      </c>
      <c r="G2927">
        <v>0</v>
      </c>
      <c r="H2927">
        <f t="shared" si="90"/>
        <v>3</v>
      </c>
      <c r="I2927">
        <v>0</v>
      </c>
      <c r="J2927">
        <v>0</v>
      </c>
      <c r="K2927">
        <v>0</v>
      </c>
      <c r="L2927">
        <f t="shared" si="91"/>
        <v>0</v>
      </c>
    </row>
    <row r="2928" spans="1:12">
      <c r="A2928" t="s">
        <v>3971</v>
      </c>
      <c r="B2928" t="s">
        <v>3972</v>
      </c>
      <c r="C2928" t="s">
        <v>2826</v>
      </c>
      <c r="D2928" t="s">
        <v>2871</v>
      </c>
      <c r="E2928">
        <v>0</v>
      </c>
      <c r="F2928">
        <v>0</v>
      </c>
      <c r="G2928">
        <v>0</v>
      </c>
      <c r="H2928">
        <f t="shared" si="90"/>
        <v>0</v>
      </c>
      <c r="I2928">
        <v>1</v>
      </c>
      <c r="J2928">
        <v>0</v>
      </c>
      <c r="K2928">
        <v>0</v>
      </c>
      <c r="L2928">
        <f t="shared" si="91"/>
        <v>1</v>
      </c>
    </row>
    <row r="2929" spans="1:12">
      <c r="A2929" t="s">
        <v>3971</v>
      </c>
      <c r="B2929" t="s">
        <v>3972</v>
      </c>
      <c r="C2929" t="s">
        <v>2826</v>
      </c>
      <c r="D2929" t="s">
        <v>2834</v>
      </c>
      <c r="E2929">
        <v>1</v>
      </c>
      <c r="F2929">
        <v>0</v>
      </c>
      <c r="G2929">
        <v>0</v>
      </c>
      <c r="H2929">
        <f t="shared" si="90"/>
        <v>1</v>
      </c>
      <c r="I2929">
        <v>0</v>
      </c>
      <c r="J2929">
        <v>0</v>
      </c>
      <c r="K2929">
        <v>0</v>
      </c>
      <c r="L2929">
        <f t="shared" si="91"/>
        <v>0</v>
      </c>
    </row>
    <row r="2930" spans="1:12">
      <c r="A2930" t="s">
        <v>3971</v>
      </c>
      <c r="B2930" t="s">
        <v>3972</v>
      </c>
      <c r="C2930" t="s">
        <v>2817</v>
      </c>
      <c r="D2930" t="s">
        <v>2818</v>
      </c>
      <c r="E2930">
        <v>5</v>
      </c>
      <c r="F2930">
        <v>0</v>
      </c>
      <c r="G2930">
        <v>0</v>
      </c>
      <c r="H2930">
        <f t="shared" si="90"/>
        <v>5</v>
      </c>
      <c r="I2930">
        <v>0</v>
      </c>
      <c r="J2930">
        <v>0</v>
      </c>
      <c r="K2930">
        <v>0</v>
      </c>
      <c r="L2930">
        <f t="shared" si="91"/>
        <v>0</v>
      </c>
    </row>
    <row r="2931" spans="1:12">
      <c r="A2931" t="s">
        <v>3971</v>
      </c>
      <c r="B2931" t="s">
        <v>3972</v>
      </c>
      <c r="C2931" t="s">
        <v>2817</v>
      </c>
      <c r="D2931" t="s">
        <v>2837</v>
      </c>
      <c r="E2931">
        <v>6</v>
      </c>
      <c r="F2931">
        <v>0</v>
      </c>
      <c r="G2931">
        <v>0</v>
      </c>
      <c r="H2931">
        <f t="shared" si="90"/>
        <v>6</v>
      </c>
      <c r="I2931">
        <v>0</v>
      </c>
      <c r="J2931">
        <v>0</v>
      </c>
      <c r="K2931">
        <v>0</v>
      </c>
      <c r="L2931">
        <f t="shared" si="91"/>
        <v>0</v>
      </c>
    </row>
    <row r="2932" spans="1:12">
      <c r="A2932" t="s">
        <v>3973</v>
      </c>
      <c r="B2932" t="s">
        <v>1580</v>
      </c>
      <c r="C2932" t="s">
        <v>2805</v>
      </c>
      <c r="D2932" t="s">
        <v>2806</v>
      </c>
      <c r="E2932">
        <v>164</v>
      </c>
      <c r="F2932">
        <v>0</v>
      </c>
      <c r="G2932">
        <v>0</v>
      </c>
      <c r="H2932">
        <f t="shared" si="90"/>
        <v>164</v>
      </c>
      <c r="I2932">
        <v>0</v>
      </c>
      <c r="J2932">
        <v>0</v>
      </c>
      <c r="K2932">
        <v>0</v>
      </c>
      <c r="L2932">
        <f t="shared" si="91"/>
        <v>0</v>
      </c>
    </row>
    <row r="2933" spans="1:12">
      <c r="A2933" t="s">
        <v>3973</v>
      </c>
      <c r="B2933" t="s">
        <v>1580</v>
      </c>
      <c r="C2933" t="s">
        <v>2805</v>
      </c>
      <c r="D2933" t="s">
        <v>449</v>
      </c>
      <c r="E2933">
        <v>359</v>
      </c>
      <c r="F2933">
        <v>0</v>
      </c>
      <c r="G2933">
        <v>0</v>
      </c>
      <c r="H2933">
        <f t="shared" si="90"/>
        <v>359</v>
      </c>
      <c r="I2933">
        <v>0</v>
      </c>
      <c r="J2933">
        <v>0</v>
      </c>
      <c r="K2933">
        <v>0</v>
      </c>
      <c r="L2933">
        <f t="shared" si="91"/>
        <v>0</v>
      </c>
    </row>
    <row r="2934" spans="1:12">
      <c r="A2934" t="s">
        <v>3973</v>
      </c>
      <c r="B2934" t="s">
        <v>1580</v>
      </c>
      <c r="C2934" t="s">
        <v>2805</v>
      </c>
      <c r="D2934" t="s">
        <v>2807</v>
      </c>
      <c r="E2934">
        <v>7</v>
      </c>
      <c r="F2934">
        <v>0</v>
      </c>
      <c r="G2934">
        <v>0</v>
      </c>
      <c r="H2934">
        <f t="shared" si="90"/>
        <v>7</v>
      </c>
      <c r="I2934">
        <v>0</v>
      </c>
      <c r="J2934">
        <v>0</v>
      </c>
      <c r="K2934">
        <v>0</v>
      </c>
      <c r="L2934">
        <f t="shared" si="91"/>
        <v>0</v>
      </c>
    </row>
    <row r="2935" spans="1:12">
      <c r="A2935" t="s">
        <v>3973</v>
      </c>
      <c r="B2935" t="s">
        <v>1580</v>
      </c>
      <c r="C2935" t="s">
        <v>2805</v>
      </c>
      <c r="D2935" t="s">
        <v>2809</v>
      </c>
      <c r="E2935">
        <v>4</v>
      </c>
      <c r="F2935">
        <v>0</v>
      </c>
      <c r="G2935">
        <v>0</v>
      </c>
      <c r="H2935">
        <f t="shared" si="90"/>
        <v>4</v>
      </c>
      <c r="I2935">
        <v>0</v>
      </c>
      <c r="J2935">
        <v>0</v>
      </c>
      <c r="K2935">
        <v>0</v>
      </c>
      <c r="L2935">
        <f t="shared" si="91"/>
        <v>0</v>
      </c>
    </row>
    <row r="2936" spans="1:12">
      <c r="A2936" t="s">
        <v>3973</v>
      </c>
      <c r="B2936" t="s">
        <v>1580</v>
      </c>
      <c r="C2936" t="s">
        <v>2805</v>
      </c>
      <c r="D2936" t="s">
        <v>2937</v>
      </c>
      <c r="E2936">
        <v>7</v>
      </c>
      <c r="F2936">
        <v>7</v>
      </c>
      <c r="G2936">
        <v>0</v>
      </c>
      <c r="H2936">
        <f t="shared" si="90"/>
        <v>14</v>
      </c>
      <c r="I2936">
        <v>0</v>
      </c>
      <c r="J2936">
        <v>0</v>
      </c>
      <c r="K2936">
        <v>0</v>
      </c>
      <c r="L2936">
        <f t="shared" si="91"/>
        <v>0</v>
      </c>
    </row>
    <row r="2937" spans="1:12">
      <c r="A2937" t="s">
        <v>3973</v>
      </c>
      <c r="B2937" t="s">
        <v>1580</v>
      </c>
      <c r="C2937" t="s">
        <v>2810</v>
      </c>
      <c r="D2937" t="s">
        <v>2811</v>
      </c>
      <c r="E2937">
        <v>7</v>
      </c>
      <c r="F2937">
        <v>0</v>
      </c>
      <c r="G2937">
        <v>0</v>
      </c>
      <c r="H2937">
        <f t="shared" si="90"/>
        <v>7</v>
      </c>
      <c r="I2937">
        <v>0</v>
      </c>
      <c r="J2937">
        <v>0</v>
      </c>
      <c r="K2937">
        <v>0</v>
      </c>
      <c r="L2937">
        <f t="shared" si="91"/>
        <v>0</v>
      </c>
    </row>
    <row r="2938" spans="1:12">
      <c r="A2938" t="s">
        <v>3973</v>
      </c>
      <c r="B2938" t="s">
        <v>1580</v>
      </c>
      <c r="C2938" t="s">
        <v>2810</v>
      </c>
      <c r="D2938" t="s">
        <v>2823</v>
      </c>
      <c r="E2938">
        <v>9</v>
      </c>
      <c r="F2938">
        <v>0</v>
      </c>
      <c r="G2938">
        <v>0</v>
      </c>
      <c r="H2938">
        <f t="shared" si="90"/>
        <v>9</v>
      </c>
      <c r="I2938">
        <v>0</v>
      </c>
      <c r="J2938">
        <v>0</v>
      </c>
      <c r="K2938">
        <v>0</v>
      </c>
      <c r="L2938">
        <f t="shared" si="91"/>
        <v>0</v>
      </c>
    </row>
    <row r="2939" spans="1:12">
      <c r="A2939" t="s">
        <v>3973</v>
      </c>
      <c r="B2939" t="s">
        <v>1580</v>
      </c>
      <c r="C2939" t="s">
        <v>2810</v>
      </c>
      <c r="D2939" t="s">
        <v>2812</v>
      </c>
      <c r="E2939">
        <v>151</v>
      </c>
      <c r="F2939">
        <v>0</v>
      </c>
      <c r="G2939">
        <v>0</v>
      </c>
      <c r="H2939">
        <f t="shared" si="90"/>
        <v>151</v>
      </c>
      <c r="I2939">
        <v>0</v>
      </c>
      <c r="J2939">
        <v>0</v>
      </c>
      <c r="K2939">
        <v>0</v>
      </c>
      <c r="L2939">
        <f t="shared" si="91"/>
        <v>0</v>
      </c>
    </row>
    <row r="2940" spans="1:12">
      <c r="A2940" t="s">
        <v>3973</v>
      </c>
      <c r="B2940" t="s">
        <v>1580</v>
      </c>
      <c r="C2940" t="s">
        <v>2810</v>
      </c>
      <c r="D2940" t="s">
        <v>2813</v>
      </c>
      <c r="E2940">
        <v>29</v>
      </c>
      <c r="F2940">
        <v>0</v>
      </c>
      <c r="G2940">
        <v>0</v>
      </c>
      <c r="H2940">
        <f t="shared" si="90"/>
        <v>29</v>
      </c>
      <c r="I2940">
        <v>0</v>
      </c>
      <c r="J2940">
        <v>0</v>
      </c>
      <c r="K2940">
        <v>0</v>
      </c>
      <c r="L2940">
        <f t="shared" si="91"/>
        <v>0</v>
      </c>
    </row>
    <row r="2941" spans="1:12">
      <c r="A2941" t="s">
        <v>3973</v>
      </c>
      <c r="B2941" t="s">
        <v>1580</v>
      </c>
      <c r="C2941" t="s">
        <v>2810</v>
      </c>
      <c r="D2941" t="s">
        <v>2814</v>
      </c>
      <c r="E2941">
        <v>5</v>
      </c>
      <c r="F2941">
        <v>0</v>
      </c>
      <c r="G2941">
        <v>0</v>
      </c>
      <c r="H2941">
        <f t="shared" si="90"/>
        <v>5</v>
      </c>
      <c r="I2941">
        <v>0</v>
      </c>
      <c r="J2941">
        <v>0</v>
      </c>
      <c r="K2941">
        <v>0</v>
      </c>
      <c r="L2941">
        <f t="shared" si="91"/>
        <v>0</v>
      </c>
    </row>
    <row r="2942" spans="1:12">
      <c r="A2942" t="s">
        <v>3973</v>
      </c>
      <c r="B2942" t="s">
        <v>1580</v>
      </c>
      <c r="C2942" t="s">
        <v>2810</v>
      </c>
      <c r="D2942" t="s">
        <v>2815</v>
      </c>
      <c r="E2942">
        <v>7</v>
      </c>
      <c r="F2942">
        <v>0</v>
      </c>
      <c r="G2942">
        <v>0</v>
      </c>
      <c r="H2942">
        <f t="shared" si="90"/>
        <v>7</v>
      </c>
      <c r="I2942">
        <v>0</v>
      </c>
      <c r="J2942">
        <v>0</v>
      </c>
      <c r="K2942">
        <v>0</v>
      </c>
      <c r="L2942">
        <f t="shared" si="91"/>
        <v>0</v>
      </c>
    </row>
    <row r="2943" spans="1:12">
      <c r="A2943" t="s">
        <v>3973</v>
      </c>
      <c r="B2943" t="s">
        <v>1580</v>
      </c>
      <c r="C2943" t="s">
        <v>2816</v>
      </c>
      <c r="D2943" t="s">
        <v>1897</v>
      </c>
      <c r="E2943">
        <v>45</v>
      </c>
      <c r="F2943">
        <v>0</v>
      </c>
      <c r="G2943">
        <v>0</v>
      </c>
      <c r="H2943">
        <f t="shared" si="90"/>
        <v>45</v>
      </c>
      <c r="I2943">
        <v>0</v>
      </c>
      <c r="J2943">
        <v>0</v>
      </c>
      <c r="K2943">
        <v>0</v>
      </c>
      <c r="L2943">
        <f t="shared" si="91"/>
        <v>0</v>
      </c>
    </row>
    <row r="2944" spans="1:12">
      <c r="A2944" t="s">
        <v>3973</v>
      </c>
      <c r="B2944" t="s">
        <v>1580</v>
      </c>
      <c r="C2944" t="s">
        <v>2817</v>
      </c>
      <c r="D2944" t="s">
        <v>2818</v>
      </c>
      <c r="E2944">
        <v>10</v>
      </c>
      <c r="F2944">
        <v>0</v>
      </c>
      <c r="G2944">
        <v>0</v>
      </c>
      <c r="H2944">
        <f t="shared" si="90"/>
        <v>10</v>
      </c>
      <c r="I2944">
        <v>0</v>
      </c>
      <c r="J2944">
        <v>0</v>
      </c>
      <c r="K2944">
        <v>0</v>
      </c>
      <c r="L2944">
        <f t="shared" si="91"/>
        <v>0</v>
      </c>
    </row>
    <row r="2945" spans="1:12">
      <c r="A2945" t="s">
        <v>3973</v>
      </c>
      <c r="B2945" t="s">
        <v>1580</v>
      </c>
      <c r="C2945" t="s">
        <v>2817</v>
      </c>
      <c r="D2945" t="s">
        <v>2837</v>
      </c>
      <c r="E2945">
        <v>3</v>
      </c>
      <c r="F2945">
        <v>0</v>
      </c>
      <c r="G2945">
        <v>0</v>
      </c>
      <c r="H2945">
        <f t="shared" si="90"/>
        <v>3</v>
      </c>
      <c r="I2945">
        <v>0</v>
      </c>
      <c r="J2945">
        <v>0</v>
      </c>
      <c r="K2945">
        <v>0</v>
      </c>
      <c r="L2945">
        <f t="shared" si="91"/>
        <v>0</v>
      </c>
    </row>
    <row r="2946" spans="1:12">
      <c r="A2946" t="s">
        <v>3973</v>
      </c>
      <c r="B2946" t="s">
        <v>1580</v>
      </c>
      <c r="C2946" t="s">
        <v>2820</v>
      </c>
      <c r="D2946" t="s">
        <v>2821</v>
      </c>
      <c r="E2946">
        <v>1</v>
      </c>
      <c r="F2946">
        <v>0</v>
      </c>
      <c r="G2946">
        <v>0</v>
      </c>
      <c r="H2946">
        <f t="shared" si="90"/>
        <v>1</v>
      </c>
      <c r="I2946">
        <v>0</v>
      </c>
      <c r="J2946">
        <v>0</v>
      </c>
      <c r="K2946">
        <v>0</v>
      </c>
      <c r="L2946">
        <f t="shared" si="91"/>
        <v>0</v>
      </c>
    </row>
    <row r="2947" spans="1:12">
      <c r="A2947" t="s">
        <v>3974</v>
      </c>
      <c r="B2947" t="s">
        <v>1587</v>
      </c>
      <c r="C2947" t="s">
        <v>2805</v>
      </c>
      <c r="D2947" t="s">
        <v>2806</v>
      </c>
      <c r="E2947">
        <v>81</v>
      </c>
      <c r="F2947">
        <v>0</v>
      </c>
      <c r="G2947">
        <v>0</v>
      </c>
      <c r="H2947">
        <f t="shared" si="90"/>
        <v>81</v>
      </c>
      <c r="I2947">
        <v>0</v>
      </c>
      <c r="J2947">
        <v>0</v>
      </c>
      <c r="K2947">
        <v>0</v>
      </c>
      <c r="L2947">
        <f t="shared" si="91"/>
        <v>0</v>
      </c>
    </row>
    <row r="2948" spans="1:12">
      <c r="A2948" t="s">
        <v>3974</v>
      </c>
      <c r="B2948" t="s">
        <v>1587</v>
      </c>
      <c r="C2948" t="s">
        <v>2805</v>
      </c>
      <c r="D2948" t="s">
        <v>449</v>
      </c>
      <c r="E2948">
        <v>216</v>
      </c>
      <c r="F2948">
        <v>0</v>
      </c>
      <c r="G2948">
        <v>0</v>
      </c>
      <c r="H2948">
        <f t="shared" ref="H2948:H3011" si="92">SUM(E2948:G2948)</f>
        <v>216</v>
      </c>
      <c r="I2948">
        <v>0</v>
      </c>
      <c r="J2948">
        <v>0</v>
      </c>
      <c r="K2948">
        <v>0</v>
      </c>
      <c r="L2948">
        <f t="shared" ref="L2948:L3011" si="93">SUM(I2948:K2948)</f>
        <v>0</v>
      </c>
    </row>
    <row r="2949" spans="1:12">
      <c r="A2949" t="s">
        <v>3974</v>
      </c>
      <c r="B2949" t="s">
        <v>1587</v>
      </c>
      <c r="C2949" t="s">
        <v>2805</v>
      </c>
      <c r="D2949" t="s">
        <v>2807</v>
      </c>
      <c r="E2949">
        <v>9</v>
      </c>
      <c r="F2949">
        <v>0</v>
      </c>
      <c r="G2949">
        <v>0</v>
      </c>
      <c r="H2949">
        <f t="shared" si="92"/>
        <v>9</v>
      </c>
      <c r="I2949">
        <v>0</v>
      </c>
      <c r="J2949">
        <v>0</v>
      </c>
      <c r="K2949">
        <v>0</v>
      </c>
      <c r="L2949">
        <f t="shared" si="93"/>
        <v>0</v>
      </c>
    </row>
    <row r="2950" spans="1:12">
      <c r="A2950" t="s">
        <v>3974</v>
      </c>
      <c r="B2950" t="s">
        <v>1587</v>
      </c>
      <c r="C2950" t="s">
        <v>2810</v>
      </c>
      <c r="D2950" t="s">
        <v>2811</v>
      </c>
      <c r="E2950">
        <v>36</v>
      </c>
      <c r="F2950">
        <v>0</v>
      </c>
      <c r="G2950">
        <v>0</v>
      </c>
      <c r="H2950">
        <f t="shared" si="92"/>
        <v>36</v>
      </c>
      <c r="I2950">
        <v>0</v>
      </c>
      <c r="J2950">
        <v>0</v>
      </c>
      <c r="K2950">
        <v>0</v>
      </c>
      <c r="L2950">
        <f t="shared" si="93"/>
        <v>0</v>
      </c>
    </row>
    <row r="2951" spans="1:12">
      <c r="A2951" t="s">
        <v>3974</v>
      </c>
      <c r="B2951" t="s">
        <v>1587</v>
      </c>
      <c r="C2951" t="s">
        <v>2810</v>
      </c>
      <c r="D2951" t="s">
        <v>2812</v>
      </c>
      <c r="E2951">
        <v>2</v>
      </c>
      <c r="F2951">
        <v>0</v>
      </c>
      <c r="G2951">
        <v>0</v>
      </c>
      <c r="H2951">
        <f t="shared" si="92"/>
        <v>2</v>
      </c>
      <c r="I2951">
        <v>0</v>
      </c>
      <c r="J2951">
        <v>0</v>
      </c>
      <c r="K2951">
        <v>0</v>
      </c>
      <c r="L2951">
        <f t="shared" si="93"/>
        <v>0</v>
      </c>
    </row>
    <row r="2952" spans="1:12">
      <c r="A2952" t="s">
        <v>3974</v>
      </c>
      <c r="B2952" t="s">
        <v>1587</v>
      </c>
      <c r="C2952" t="s">
        <v>2810</v>
      </c>
      <c r="D2952" t="s">
        <v>2813</v>
      </c>
      <c r="E2952">
        <v>13</v>
      </c>
      <c r="F2952">
        <v>0</v>
      </c>
      <c r="G2952">
        <v>0</v>
      </c>
      <c r="H2952">
        <f t="shared" si="92"/>
        <v>13</v>
      </c>
      <c r="I2952">
        <v>0</v>
      </c>
      <c r="J2952">
        <v>0</v>
      </c>
      <c r="K2952">
        <v>0</v>
      </c>
      <c r="L2952">
        <f t="shared" si="93"/>
        <v>0</v>
      </c>
    </row>
    <row r="2953" spans="1:12">
      <c r="A2953" t="s">
        <v>3974</v>
      </c>
      <c r="B2953" t="s">
        <v>1587</v>
      </c>
      <c r="C2953" t="s">
        <v>2810</v>
      </c>
      <c r="D2953" t="s">
        <v>2814</v>
      </c>
      <c r="E2953">
        <v>1</v>
      </c>
      <c r="F2953">
        <v>0</v>
      </c>
      <c r="G2953">
        <v>0</v>
      </c>
      <c r="H2953">
        <f t="shared" si="92"/>
        <v>1</v>
      </c>
      <c r="I2953">
        <v>0</v>
      </c>
      <c r="J2953">
        <v>0</v>
      </c>
      <c r="K2953">
        <v>0</v>
      </c>
      <c r="L2953">
        <f t="shared" si="93"/>
        <v>0</v>
      </c>
    </row>
    <row r="2954" spans="1:12">
      <c r="A2954" t="s">
        <v>3974</v>
      </c>
      <c r="B2954" t="s">
        <v>1587</v>
      </c>
      <c r="C2954" t="s">
        <v>2810</v>
      </c>
      <c r="D2954" t="s">
        <v>2815</v>
      </c>
      <c r="E2954">
        <v>2</v>
      </c>
      <c r="F2954">
        <v>0</v>
      </c>
      <c r="G2954">
        <v>0</v>
      </c>
      <c r="H2954">
        <f t="shared" si="92"/>
        <v>2</v>
      </c>
      <c r="I2954">
        <v>0</v>
      </c>
      <c r="J2954">
        <v>0</v>
      </c>
      <c r="K2954">
        <v>0</v>
      </c>
      <c r="L2954">
        <f t="shared" si="93"/>
        <v>0</v>
      </c>
    </row>
    <row r="2955" spans="1:12">
      <c r="A2955" t="s">
        <v>3974</v>
      </c>
      <c r="B2955" t="s">
        <v>1587</v>
      </c>
      <c r="C2955" t="s">
        <v>2816</v>
      </c>
      <c r="D2955" t="s">
        <v>1897</v>
      </c>
      <c r="E2955">
        <v>34</v>
      </c>
      <c r="F2955">
        <v>0</v>
      </c>
      <c r="G2955">
        <v>0</v>
      </c>
      <c r="H2955">
        <f t="shared" si="92"/>
        <v>34</v>
      </c>
      <c r="I2955">
        <v>0</v>
      </c>
      <c r="J2955">
        <v>0</v>
      </c>
      <c r="K2955">
        <v>0</v>
      </c>
      <c r="L2955">
        <f t="shared" si="93"/>
        <v>0</v>
      </c>
    </row>
    <row r="2956" spans="1:12">
      <c r="A2956" t="s">
        <v>3974</v>
      </c>
      <c r="B2956" t="s">
        <v>1587</v>
      </c>
      <c r="C2956" t="s">
        <v>2817</v>
      </c>
      <c r="D2956" t="s">
        <v>2818</v>
      </c>
      <c r="E2956">
        <v>14</v>
      </c>
      <c r="F2956">
        <v>0</v>
      </c>
      <c r="G2956">
        <v>0</v>
      </c>
      <c r="H2956">
        <f t="shared" si="92"/>
        <v>14</v>
      </c>
      <c r="I2956">
        <v>0</v>
      </c>
      <c r="J2956">
        <v>0</v>
      </c>
      <c r="K2956">
        <v>0</v>
      </c>
      <c r="L2956">
        <f t="shared" si="93"/>
        <v>0</v>
      </c>
    </row>
    <row r="2957" spans="1:12">
      <c r="A2957" t="s">
        <v>3974</v>
      </c>
      <c r="B2957" t="s">
        <v>1587</v>
      </c>
      <c r="C2957" t="s">
        <v>2817</v>
      </c>
      <c r="D2957" t="s">
        <v>2837</v>
      </c>
      <c r="E2957">
        <v>2</v>
      </c>
      <c r="F2957">
        <v>0</v>
      </c>
      <c r="G2957">
        <v>0</v>
      </c>
      <c r="H2957">
        <f t="shared" si="92"/>
        <v>2</v>
      </c>
      <c r="I2957">
        <v>0</v>
      </c>
      <c r="J2957">
        <v>0</v>
      </c>
      <c r="K2957">
        <v>0</v>
      </c>
      <c r="L2957">
        <f t="shared" si="93"/>
        <v>0</v>
      </c>
    </row>
    <row r="2958" spans="1:12">
      <c r="A2958" t="s">
        <v>3975</v>
      </c>
      <c r="B2958" t="s">
        <v>1594</v>
      </c>
      <c r="C2958" t="s">
        <v>2805</v>
      </c>
      <c r="D2958" t="s">
        <v>2806</v>
      </c>
      <c r="E2958">
        <v>26</v>
      </c>
      <c r="F2958">
        <v>0</v>
      </c>
      <c r="G2958">
        <v>0</v>
      </c>
      <c r="H2958">
        <f t="shared" si="92"/>
        <v>26</v>
      </c>
      <c r="I2958">
        <v>11</v>
      </c>
      <c r="J2958">
        <v>0</v>
      </c>
      <c r="K2958">
        <v>0</v>
      </c>
      <c r="L2958">
        <f t="shared" si="93"/>
        <v>11</v>
      </c>
    </row>
    <row r="2959" spans="1:12">
      <c r="A2959" t="s">
        <v>3975</v>
      </c>
      <c r="B2959" t="s">
        <v>1594</v>
      </c>
      <c r="C2959" t="s">
        <v>2805</v>
      </c>
      <c r="D2959" t="s">
        <v>449</v>
      </c>
      <c r="E2959">
        <v>33</v>
      </c>
      <c r="F2959">
        <v>0</v>
      </c>
      <c r="G2959">
        <v>0</v>
      </c>
      <c r="H2959">
        <f t="shared" si="92"/>
        <v>33</v>
      </c>
      <c r="I2959">
        <v>29</v>
      </c>
      <c r="J2959">
        <v>0</v>
      </c>
      <c r="K2959">
        <v>0</v>
      </c>
      <c r="L2959">
        <f t="shared" si="93"/>
        <v>29</v>
      </c>
    </row>
    <row r="2960" spans="1:12">
      <c r="A2960" t="s">
        <v>3975</v>
      </c>
      <c r="B2960" t="s">
        <v>1594</v>
      </c>
      <c r="C2960" t="s">
        <v>2805</v>
      </c>
      <c r="D2960" t="s">
        <v>2807</v>
      </c>
      <c r="E2960">
        <v>5</v>
      </c>
      <c r="F2960">
        <v>0</v>
      </c>
      <c r="G2960">
        <v>0</v>
      </c>
      <c r="H2960">
        <f t="shared" si="92"/>
        <v>5</v>
      </c>
      <c r="I2960">
        <v>2</v>
      </c>
      <c r="J2960">
        <v>0</v>
      </c>
      <c r="K2960">
        <v>0</v>
      </c>
      <c r="L2960">
        <f t="shared" si="93"/>
        <v>2</v>
      </c>
    </row>
    <row r="2961" spans="1:12">
      <c r="A2961" t="s">
        <v>3975</v>
      </c>
      <c r="B2961" t="s">
        <v>1594</v>
      </c>
      <c r="C2961" t="s">
        <v>2810</v>
      </c>
      <c r="D2961" t="s">
        <v>2811</v>
      </c>
      <c r="E2961">
        <v>44</v>
      </c>
      <c r="F2961">
        <v>0</v>
      </c>
      <c r="G2961">
        <v>0</v>
      </c>
      <c r="H2961">
        <f t="shared" si="92"/>
        <v>44</v>
      </c>
      <c r="I2961">
        <v>18</v>
      </c>
      <c r="J2961">
        <v>0</v>
      </c>
      <c r="K2961">
        <v>0</v>
      </c>
      <c r="L2961">
        <f t="shared" si="93"/>
        <v>18</v>
      </c>
    </row>
    <row r="2962" spans="1:12">
      <c r="A2962" t="s">
        <v>3975</v>
      </c>
      <c r="B2962" t="s">
        <v>1594</v>
      </c>
      <c r="C2962" t="s">
        <v>2810</v>
      </c>
      <c r="D2962" t="s">
        <v>1892</v>
      </c>
      <c r="E2962">
        <v>1</v>
      </c>
      <c r="F2962">
        <v>0</v>
      </c>
      <c r="G2962">
        <v>0</v>
      </c>
      <c r="H2962">
        <f t="shared" si="92"/>
        <v>1</v>
      </c>
      <c r="I2962">
        <v>0</v>
      </c>
      <c r="J2962">
        <v>0</v>
      </c>
      <c r="K2962">
        <v>0</v>
      </c>
      <c r="L2962">
        <f t="shared" si="93"/>
        <v>0</v>
      </c>
    </row>
    <row r="2963" spans="1:12">
      <c r="A2963" t="s">
        <v>3975</v>
      </c>
      <c r="B2963" t="s">
        <v>1594</v>
      </c>
      <c r="C2963" t="s">
        <v>2810</v>
      </c>
      <c r="D2963" t="s">
        <v>2823</v>
      </c>
      <c r="E2963">
        <v>6</v>
      </c>
      <c r="F2963">
        <v>9</v>
      </c>
      <c r="G2963">
        <v>0</v>
      </c>
      <c r="H2963">
        <f t="shared" si="92"/>
        <v>15</v>
      </c>
      <c r="I2963">
        <v>5</v>
      </c>
      <c r="J2963">
        <v>14</v>
      </c>
      <c r="K2963">
        <v>0</v>
      </c>
      <c r="L2963">
        <f t="shared" si="93"/>
        <v>19</v>
      </c>
    </row>
    <row r="2964" spans="1:12">
      <c r="A2964" t="s">
        <v>3975</v>
      </c>
      <c r="B2964" t="s">
        <v>1594</v>
      </c>
      <c r="C2964" t="s">
        <v>2810</v>
      </c>
      <c r="D2964" t="s">
        <v>2812</v>
      </c>
      <c r="E2964">
        <v>30</v>
      </c>
      <c r="F2964">
        <v>0</v>
      </c>
      <c r="G2964">
        <v>0</v>
      </c>
      <c r="H2964">
        <f t="shared" si="92"/>
        <v>30</v>
      </c>
      <c r="I2964">
        <v>34</v>
      </c>
      <c r="J2964">
        <v>0</v>
      </c>
      <c r="K2964">
        <v>0</v>
      </c>
      <c r="L2964">
        <f t="shared" si="93"/>
        <v>34</v>
      </c>
    </row>
    <row r="2965" spans="1:12">
      <c r="A2965" t="s">
        <v>3975</v>
      </c>
      <c r="B2965" t="s">
        <v>1594</v>
      </c>
      <c r="C2965" t="s">
        <v>2810</v>
      </c>
      <c r="D2965" t="s">
        <v>2813</v>
      </c>
      <c r="E2965">
        <v>20</v>
      </c>
      <c r="F2965">
        <v>0</v>
      </c>
      <c r="G2965">
        <v>0</v>
      </c>
      <c r="H2965">
        <f t="shared" si="92"/>
        <v>20</v>
      </c>
      <c r="I2965">
        <v>5</v>
      </c>
      <c r="J2965">
        <v>0</v>
      </c>
      <c r="K2965">
        <v>0</v>
      </c>
      <c r="L2965">
        <f t="shared" si="93"/>
        <v>5</v>
      </c>
    </row>
    <row r="2966" spans="1:12">
      <c r="A2966" t="s">
        <v>3975</v>
      </c>
      <c r="B2966" t="s">
        <v>1594</v>
      </c>
      <c r="C2966" t="s">
        <v>2817</v>
      </c>
      <c r="D2966" t="s">
        <v>2887</v>
      </c>
      <c r="E2966">
        <v>0</v>
      </c>
      <c r="F2966">
        <v>0</v>
      </c>
      <c r="G2966">
        <v>0</v>
      </c>
      <c r="H2966">
        <f t="shared" si="92"/>
        <v>0</v>
      </c>
      <c r="I2966">
        <v>3</v>
      </c>
      <c r="J2966">
        <v>0</v>
      </c>
      <c r="K2966">
        <v>0</v>
      </c>
      <c r="L2966">
        <f t="shared" si="93"/>
        <v>3</v>
      </c>
    </row>
    <row r="2967" spans="1:12">
      <c r="A2967" t="s">
        <v>3975</v>
      </c>
      <c r="B2967" t="s">
        <v>1594</v>
      </c>
      <c r="C2967" t="s">
        <v>2817</v>
      </c>
      <c r="D2967" t="s">
        <v>2818</v>
      </c>
      <c r="E2967">
        <v>17</v>
      </c>
      <c r="F2967">
        <v>0</v>
      </c>
      <c r="G2967">
        <v>0</v>
      </c>
      <c r="H2967">
        <f t="shared" si="92"/>
        <v>17</v>
      </c>
      <c r="I2967">
        <v>0</v>
      </c>
      <c r="J2967">
        <v>0</v>
      </c>
      <c r="K2967">
        <v>0</v>
      </c>
      <c r="L2967">
        <f t="shared" si="93"/>
        <v>0</v>
      </c>
    </row>
    <row r="2968" spans="1:12">
      <c r="A2968" t="s">
        <v>3976</v>
      </c>
      <c r="B2968" t="s">
        <v>1591</v>
      </c>
      <c r="C2968" t="s">
        <v>2805</v>
      </c>
      <c r="D2968" t="s">
        <v>2806</v>
      </c>
      <c r="E2968">
        <v>182</v>
      </c>
      <c r="F2968">
        <v>0</v>
      </c>
      <c r="G2968">
        <v>0</v>
      </c>
      <c r="H2968">
        <f t="shared" si="92"/>
        <v>182</v>
      </c>
      <c r="I2968">
        <v>0</v>
      </c>
      <c r="J2968">
        <v>0</v>
      </c>
      <c r="K2968">
        <v>0</v>
      </c>
      <c r="L2968">
        <f t="shared" si="93"/>
        <v>0</v>
      </c>
    </row>
    <row r="2969" spans="1:12">
      <c r="A2969" t="s">
        <v>3976</v>
      </c>
      <c r="B2969" t="s">
        <v>1591</v>
      </c>
      <c r="C2969" t="s">
        <v>2805</v>
      </c>
      <c r="D2969" t="s">
        <v>449</v>
      </c>
      <c r="E2969">
        <v>332</v>
      </c>
      <c r="F2969">
        <v>0</v>
      </c>
      <c r="G2969">
        <v>0</v>
      </c>
      <c r="H2969">
        <f t="shared" si="92"/>
        <v>332</v>
      </c>
      <c r="I2969">
        <v>6</v>
      </c>
      <c r="J2969">
        <v>0</v>
      </c>
      <c r="K2969">
        <v>0</v>
      </c>
      <c r="L2969">
        <f t="shared" si="93"/>
        <v>6</v>
      </c>
    </row>
    <row r="2970" spans="1:12">
      <c r="A2970" t="s">
        <v>3976</v>
      </c>
      <c r="B2970" t="s">
        <v>1591</v>
      </c>
      <c r="C2970" t="s">
        <v>2805</v>
      </c>
      <c r="D2970" t="s">
        <v>2807</v>
      </c>
      <c r="E2970">
        <v>13</v>
      </c>
      <c r="F2970">
        <v>0</v>
      </c>
      <c r="G2970">
        <v>0</v>
      </c>
      <c r="H2970">
        <f t="shared" si="92"/>
        <v>13</v>
      </c>
      <c r="I2970">
        <v>0</v>
      </c>
      <c r="J2970">
        <v>0</v>
      </c>
      <c r="K2970">
        <v>0</v>
      </c>
      <c r="L2970">
        <f t="shared" si="93"/>
        <v>0</v>
      </c>
    </row>
    <row r="2971" spans="1:12">
      <c r="A2971" t="s">
        <v>3976</v>
      </c>
      <c r="B2971" t="s">
        <v>1591</v>
      </c>
      <c r="C2971" t="s">
        <v>2805</v>
      </c>
      <c r="D2971" t="s">
        <v>2937</v>
      </c>
      <c r="E2971">
        <v>0</v>
      </c>
      <c r="F2971">
        <v>11</v>
      </c>
      <c r="G2971">
        <v>0</v>
      </c>
      <c r="H2971">
        <f t="shared" si="92"/>
        <v>11</v>
      </c>
      <c r="I2971">
        <v>0</v>
      </c>
      <c r="J2971">
        <v>0</v>
      </c>
      <c r="K2971">
        <v>0</v>
      </c>
      <c r="L2971">
        <f t="shared" si="93"/>
        <v>0</v>
      </c>
    </row>
    <row r="2972" spans="1:12">
      <c r="A2972" t="s">
        <v>3976</v>
      </c>
      <c r="B2972" t="s">
        <v>1591</v>
      </c>
      <c r="C2972" t="s">
        <v>2810</v>
      </c>
      <c r="D2972" t="s">
        <v>2811</v>
      </c>
      <c r="E2972">
        <v>51</v>
      </c>
      <c r="F2972">
        <v>0</v>
      </c>
      <c r="G2972">
        <v>0</v>
      </c>
      <c r="H2972">
        <f t="shared" si="92"/>
        <v>51</v>
      </c>
      <c r="I2972">
        <v>1</v>
      </c>
      <c r="J2972">
        <v>0</v>
      </c>
      <c r="K2972">
        <v>0</v>
      </c>
      <c r="L2972">
        <f t="shared" si="93"/>
        <v>1</v>
      </c>
    </row>
    <row r="2973" spans="1:12">
      <c r="A2973" t="s">
        <v>3976</v>
      </c>
      <c r="B2973" t="s">
        <v>1591</v>
      </c>
      <c r="C2973" t="s">
        <v>2810</v>
      </c>
      <c r="D2973" t="s">
        <v>2823</v>
      </c>
      <c r="E2973">
        <v>0</v>
      </c>
      <c r="F2973">
        <v>13</v>
      </c>
      <c r="G2973">
        <v>0</v>
      </c>
      <c r="H2973">
        <f t="shared" si="92"/>
        <v>13</v>
      </c>
      <c r="I2973">
        <v>0</v>
      </c>
      <c r="J2973">
        <v>0</v>
      </c>
      <c r="K2973">
        <v>0</v>
      </c>
      <c r="L2973">
        <f t="shared" si="93"/>
        <v>0</v>
      </c>
    </row>
    <row r="2974" spans="1:12">
      <c r="A2974" t="s">
        <v>3976</v>
      </c>
      <c r="B2974" t="s">
        <v>1591</v>
      </c>
      <c r="C2974" t="s">
        <v>2810</v>
      </c>
      <c r="D2974" t="s">
        <v>2812</v>
      </c>
      <c r="E2974">
        <v>55</v>
      </c>
      <c r="F2974">
        <v>0</v>
      </c>
      <c r="G2974">
        <v>0</v>
      </c>
      <c r="H2974">
        <f t="shared" si="92"/>
        <v>55</v>
      </c>
      <c r="I2974">
        <v>0</v>
      </c>
      <c r="J2974">
        <v>0</v>
      </c>
      <c r="K2974">
        <v>0</v>
      </c>
      <c r="L2974">
        <f t="shared" si="93"/>
        <v>0</v>
      </c>
    </row>
    <row r="2975" spans="1:12">
      <c r="A2975" t="s">
        <v>3976</v>
      </c>
      <c r="B2975" t="s">
        <v>1591</v>
      </c>
      <c r="C2975" t="s">
        <v>2810</v>
      </c>
      <c r="D2975" t="s">
        <v>2813</v>
      </c>
      <c r="E2975">
        <v>15</v>
      </c>
      <c r="F2975">
        <v>0</v>
      </c>
      <c r="G2975">
        <v>0</v>
      </c>
      <c r="H2975">
        <f t="shared" si="92"/>
        <v>15</v>
      </c>
      <c r="I2975">
        <v>0</v>
      </c>
      <c r="J2975">
        <v>0</v>
      </c>
      <c r="K2975">
        <v>0</v>
      </c>
      <c r="L2975">
        <f t="shared" si="93"/>
        <v>0</v>
      </c>
    </row>
    <row r="2976" spans="1:12">
      <c r="A2976" t="s">
        <v>3976</v>
      </c>
      <c r="B2976" t="s">
        <v>1591</v>
      </c>
      <c r="C2976" t="s">
        <v>2810</v>
      </c>
      <c r="D2976" t="s">
        <v>2814</v>
      </c>
      <c r="E2976">
        <v>11</v>
      </c>
      <c r="F2976">
        <v>0</v>
      </c>
      <c r="G2976">
        <v>0</v>
      </c>
      <c r="H2976">
        <f t="shared" si="92"/>
        <v>11</v>
      </c>
      <c r="I2976">
        <v>0</v>
      </c>
      <c r="J2976">
        <v>0</v>
      </c>
      <c r="K2976">
        <v>0</v>
      </c>
      <c r="L2976">
        <f t="shared" si="93"/>
        <v>0</v>
      </c>
    </row>
    <row r="2977" spans="1:12">
      <c r="A2977" t="s">
        <v>3976</v>
      </c>
      <c r="B2977" t="s">
        <v>1591</v>
      </c>
      <c r="C2977" t="s">
        <v>2810</v>
      </c>
      <c r="D2977" t="s">
        <v>2847</v>
      </c>
      <c r="E2977">
        <v>15</v>
      </c>
      <c r="F2977">
        <v>0</v>
      </c>
      <c r="G2977">
        <v>0</v>
      </c>
      <c r="H2977">
        <f t="shared" si="92"/>
        <v>15</v>
      </c>
      <c r="I2977">
        <v>0</v>
      </c>
      <c r="J2977">
        <v>0</v>
      </c>
      <c r="K2977">
        <v>0</v>
      </c>
      <c r="L2977">
        <f t="shared" si="93"/>
        <v>0</v>
      </c>
    </row>
    <row r="2978" spans="1:12">
      <c r="A2978" t="s">
        <v>3976</v>
      </c>
      <c r="B2978" t="s">
        <v>1591</v>
      </c>
      <c r="C2978" t="s">
        <v>2810</v>
      </c>
      <c r="D2978" t="s">
        <v>2840</v>
      </c>
      <c r="E2978">
        <v>12</v>
      </c>
      <c r="F2978">
        <v>0</v>
      </c>
      <c r="G2978">
        <v>0</v>
      </c>
      <c r="H2978">
        <f t="shared" si="92"/>
        <v>12</v>
      </c>
      <c r="I2978">
        <v>0</v>
      </c>
      <c r="J2978">
        <v>0</v>
      </c>
      <c r="K2978">
        <v>0</v>
      </c>
      <c r="L2978">
        <f t="shared" si="93"/>
        <v>0</v>
      </c>
    </row>
    <row r="2979" spans="1:12">
      <c r="A2979" t="s">
        <v>3976</v>
      </c>
      <c r="B2979" t="s">
        <v>1591</v>
      </c>
      <c r="C2979" t="s">
        <v>2810</v>
      </c>
      <c r="D2979" t="s">
        <v>2815</v>
      </c>
      <c r="E2979">
        <v>73</v>
      </c>
      <c r="F2979">
        <v>0</v>
      </c>
      <c r="G2979">
        <v>0</v>
      </c>
      <c r="H2979">
        <f t="shared" si="92"/>
        <v>73</v>
      </c>
      <c r="I2979">
        <v>0</v>
      </c>
      <c r="J2979">
        <v>0</v>
      </c>
      <c r="K2979">
        <v>0</v>
      </c>
      <c r="L2979">
        <f t="shared" si="93"/>
        <v>0</v>
      </c>
    </row>
    <row r="2980" spans="1:12">
      <c r="A2980" t="s">
        <v>3976</v>
      </c>
      <c r="B2980" t="s">
        <v>1591</v>
      </c>
      <c r="C2980" t="s">
        <v>2816</v>
      </c>
      <c r="D2980" t="s">
        <v>1896</v>
      </c>
      <c r="E2980">
        <v>11</v>
      </c>
      <c r="F2980">
        <v>0</v>
      </c>
      <c r="G2980">
        <v>0</v>
      </c>
      <c r="H2980">
        <f t="shared" si="92"/>
        <v>11</v>
      </c>
      <c r="I2980">
        <v>0</v>
      </c>
      <c r="J2980">
        <v>0</v>
      </c>
      <c r="K2980">
        <v>0</v>
      </c>
      <c r="L2980">
        <f t="shared" si="93"/>
        <v>0</v>
      </c>
    </row>
    <row r="2981" spans="1:12">
      <c r="A2981" t="s">
        <v>3976</v>
      </c>
      <c r="B2981" t="s">
        <v>1591</v>
      </c>
      <c r="C2981" t="s">
        <v>2816</v>
      </c>
      <c r="D2981" t="s">
        <v>1897</v>
      </c>
      <c r="E2981">
        <v>25</v>
      </c>
      <c r="F2981">
        <v>0</v>
      </c>
      <c r="G2981">
        <v>0</v>
      </c>
      <c r="H2981">
        <f t="shared" si="92"/>
        <v>25</v>
      </c>
      <c r="I2981">
        <v>0</v>
      </c>
      <c r="J2981">
        <v>0</v>
      </c>
      <c r="K2981">
        <v>0</v>
      </c>
      <c r="L2981">
        <f t="shared" si="93"/>
        <v>0</v>
      </c>
    </row>
    <row r="2982" spans="1:12">
      <c r="A2982" t="s">
        <v>3976</v>
      </c>
      <c r="B2982" t="s">
        <v>1591</v>
      </c>
      <c r="C2982" t="s">
        <v>2826</v>
      </c>
      <c r="D2982" t="s">
        <v>2834</v>
      </c>
      <c r="E2982">
        <v>0</v>
      </c>
      <c r="F2982">
        <v>0</v>
      </c>
      <c r="G2982">
        <v>0</v>
      </c>
      <c r="H2982">
        <f t="shared" si="92"/>
        <v>0</v>
      </c>
      <c r="I2982">
        <v>1</v>
      </c>
      <c r="J2982">
        <v>0</v>
      </c>
      <c r="K2982">
        <v>0</v>
      </c>
      <c r="L2982">
        <f t="shared" si="93"/>
        <v>1</v>
      </c>
    </row>
    <row r="2983" spans="1:12">
      <c r="A2983" t="s">
        <v>3976</v>
      </c>
      <c r="B2983" t="s">
        <v>1591</v>
      </c>
      <c r="C2983" t="s">
        <v>2826</v>
      </c>
      <c r="D2983" t="s">
        <v>2849</v>
      </c>
      <c r="E2983">
        <v>0</v>
      </c>
      <c r="F2983">
        <v>0</v>
      </c>
      <c r="G2983">
        <v>0</v>
      </c>
      <c r="H2983">
        <f t="shared" si="92"/>
        <v>0</v>
      </c>
      <c r="I2983">
        <v>1</v>
      </c>
      <c r="J2983">
        <v>0</v>
      </c>
      <c r="K2983">
        <v>0</v>
      </c>
      <c r="L2983">
        <f t="shared" si="93"/>
        <v>1</v>
      </c>
    </row>
    <row r="2984" spans="1:12">
      <c r="A2984" t="s">
        <v>3976</v>
      </c>
      <c r="B2984" t="s">
        <v>1591</v>
      </c>
      <c r="C2984" t="s">
        <v>2817</v>
      </c>
      <c r="D2984" t="s">
        <v>2877</v>
      </c>
      <c r="E2984">
        <v>2</v>
      </c>
      <c r="F2984">
        <v>0</v>
      </c>
      <c r="G2984">
        <v>0</v>
      </c>
      <c r="H2984">
        <f t="shared" si="92"/>
        <v>2</v>
      </c>
      <c r="I2984">
        <v>0</v>
      </c>
      <c r="J2984">
        <v>0</v>
      </c>
      <c r="K2984">
        <v>0</v>
      </c>
      <c r="L2984">
        <f t="shared" si="93"/>
        <v>0</v>
      </c>
    </row>
    <row r="2985" spans="1:12">
      <c r="A2985" t="s">
        <v>3976</v>
      </c>
      <c r="B2985" t="s">
        <v>1591</v>
      </c>
      <c r="C2985" t="s">
        <v>2817</v>
      </c>
      <c r="D2985" t="s">
        <v>2818</v>
      </c>
      <c r="E2985">
        <v>1</v>
      </c>
      <c r="F2985">
        <v>0</v>
      </c>
      <c r="G2985">
        <v>0</v>
      </c>
      <c r="H2985">
        <f t="shared" si="92"/>
        <v>1</v>
      </c>
      <c r="I2985">
        <v>0</v>
      </c>
      <c r="J2985">
        <v>0</v>
      </c>
      <c r="K2985">
        <v>0</v>
      </c>
      <c r="L2985">
        <f t="shared" si="93"/>
        <v>0</v>
      </c>
    </row>
    <row r="2986" spans="1:12">
      <c r="A2986" t="s">
        <v>3976</v>
      </c>
      <c r="B2986" t="s">
        <v>1591</v>
      </c>
      <c r="C2986" t="s">
        <v>2817</v>
      </c>
      <c r="D2986" t="s">
        <v>2837</v>
      </c>
      <c r="E2986">
        <v>11</v>
      </c>
      <c r="F2986">
        <v>0</v>
      </c>
      <c r="G2986">
        <v>0</v>
      </c>
      <c r="H2986">
        <f t="shared" si="92"/>
        <v>11</v>
      </c>
      <c r="I2986">
        <v>0</v>
      </c>
      <c r="J2986">
        <v>0</v>
      </c>
      <c r="K2986">
        <v>0</v>
      </c>
      <c r="L2986">
        <f t="shared" si="93"/>
        <v>0</v>
      </c>
    </row>
    <row r="2987" spans="1:12">
      <c r="A2987" t="s">
        <v>3976</v>
      </c>
      <c r="B2987" t="s">
        <v>1591</v>
      </c>
      <c r="C2987" t="s">
        <v>2820</v>
      </c>
      <c r="D2987" t="s">
        <v>2821</v>
      </c>
      <c r="E2987">
        <v>0</v>
      </c>
      <c r="F2987">
        <v>0</v>
      </c>
      <c r="G2987">
        <v>0</v>
      </c>
      <c r="H2987">
        <f t="shared" si="92"/>
        <v>0</v>
      </c>
      <c r="I2987">
        <v>1</v>
      </c>
      <c r="J2987">
        <v>0</v>
      </c>
      <c r="K2987">
        <v>0</v>
      </c>
      <c r="L2987">
        <f t="shared" si="93"/>
        <v>1</v>
      </c>
    </row>
    <row r="2988" spans="1:12">
      <c r="A2988" t="s">
        <v>3979</v>
      </c>
      <c r="B2988" t="s">
        <v>1598</v>
      </c>
      <c r="C2988" t="s">
        <v>2805</v>
      </c>
      <c r="D2988" t="s">
        <v>2806</v>
      </c>
      <c r="E2988">
        <v>39</v>
      </c>
      <c r="F2988">
        <v>0</v>
      </c>
      <c r="G2988">
        <v>0</v>
      </c>
      <c r="H2988">
        <f t="shared" si="92"/>
        <v>39</v>
      </c>
      <c r="I2988">
        <v>0</v>
      </c>
      <c r="J2988">
        <v>0</v>
      </c>
      <c r="K2988">
        <v>0</v>
      </c>
      <c r="L2988">
        <f t="shared" si="93"/>
        <v>0</v>
      </c>
    </row>
    <row r="2989" spans="1:12">
      <c r="A2989" t="s">
        <v>3979</v>
      </c>
      <c r="B2989" t="s">
        <v>1598</v>
      </c>
      <c r="C2989" t="s">
        <v>2805</v>
      </c>
      <c r="D2989" t="s">
        <v>449</v>
      </c>
      <c r="E2989">
        <v>235</v>
      </c>
      <c r="F2989">
        <v>0</v>
      </c>
      <c r="G2989">
        <v>0</v>
      </c>
      <c r="H2989">
        <f t="shared" si="92"/>
        <v>235</v>
      </c>
      <c r="I2989">
        <v>0</v>
      </c>
      <c r="J2989">
        <v>0</v>
      </c>
      <c r="K2989">
        <v>0</v>
      </c>
      <c r="L2989">
        <f t="shared" si="93"/>
        <v>0</v>
      </c>
    </row>
    <row r="2990" spans="1:12">
      <c r="A2990" t="s">
        <v>3979</v>
      </c>
      <c r="B2990" t="s">
        <v>1598</v>
      </c>
      <c r="C2990" t="s">
        <v>2805</v>
      </c>
      <c r="D2990" t="s">
        <v>2807</v>
      </c>
      <c r="E2990">
        <v>41</v>
      </c>
      <c r="F2990">
        <v>0</v>
      </c>
      <c r="G2990">
        <v>0</v>
      </c>
      <c r="H2990">
        <f t="shared" si="92"/>
        <v>41</v>
      </c>
      <c r="I2990">
        <v>2</v>
      </c>
      <c r="J2990">
        <v>0</v>
      </c>
      <c r="K2990">
        <v>0</v>
      </c>
      <c r="L2990">
        <f t="shared" si="93"/>
        <v>2</v>
      </c>
    </row>
    <row r="2991" spans="1:12">
      <c r="A2991" t="s">
        <v>3979</v>
      </c>
      <c r="B2991" t="s">
        <v>1598</v>
      </c>
      <c r="C2991" t="s">
        <v>2805</v>
      </c>
      <c r="D2991" t="s">
        <v>2809</v>
      </c>
      <c r="E2991">
        <v>20</v>
      </c>
      <c r="F2991">
        <v>0</v>
      </c>
      <c r="G2991">
        <v>0</v>
      </c>
      <c r="H2991">
        <f t="shared" si="92"/>
        <v>20</v>
      </c>
      <c r="I2991">
        <v>0</v>
      </c>
      <c r="J2991">
        <v>0</v>
      </c>
      <c r="K2991">
        <v>0</v>
      </c>
      <c r="L2991">
        <f t="shared" si="93"/>
        <v>0</v>
      </c>
    </row>
    <row r="2992" spans="1:12">
      <c r="A2992" t="s">
        <v>3979</v>
      </c>
      <c r="B2992" t="s">
        <v>1598</v>
      </c>
      <c r="C2992" t="s">
        <v>2810</v>
      </c>
      <c r="D2992" t="s">
        <v>2811</v>
      </c>
      <c r="E2992">
        <v>41</v>
      </c>
      <c r="F2992">
        <v>0</v>
      </c>
      <c r="G2992">
        <v>0</v>
      </c>
      <c r="H2992">
        <f t="shared" si="92"/>
        <v>41</v>
      </c>
      <c r="I2992">
        <v>2</v>
      </c>
      <c r="J2992">
        <v>0</v>
      </c>
      <c r="K2992">
        <v>0</v>
      </c>
      <c r="L2992">
        <f t="shared" si="93"/>
        <v>2</v>
      </c>
    </row>
    <row r="2993" spans="1:12">
      <c r="A2993" t="s">
        <v>3979</v>
      </c>
      <c r="B2993" t="s">
        <v>1598</v>
      </c>
      <c r="C2993" t="s">
        <v>2810</v>
      </c>
      <c r="D2993" t="s">
        <v>2812</v>
      </c>
      <c r="E2993">
        <v>8</v>
      </c>
      <c r="F2993">
        <v>0</v>
      </c>
      <c r="G2993">
        <v>0</v>
      </c>
      <c r="H2993">
        <f t="shared" si="92"/>
        <v>8</v>
      </c>
      <c r="I2993">
        <v>0</v>
      </c>
      <c r="J2993">
        <v>0</v>
      </c>
      <c r="K2993">
        <v>0</v>
      </c>
      <c r="L2993">
        <f t="shared" si="93"/>
        <v>0</v>
      </c>
    </row>
    <row r="2994" spans="1:12">
      <c r="A2994" t="s">
        <v>3979</v>
      </c>
      <c r="B2994" t="s">
        <v>1598</v>
      </c>
      <c r="C2994" t="s">
        <v>2810</v>
      </c>
      <c r="D2994" t="s">
        <v>2813</v>
      </c>
      <c r="E2994">
        <v>16</v>
      </c>
      <c r="F2994">
        <v>0</v>
      </c>
      <c r="G2994">
        <v>0</v>
      </c>
      <c r="H2994">
        <f t="shared" si="92"/>
        <v>16</v>
      </c>
      <c r="I2994">
        <v>1</v>
      </c>
      <c r="J2994">
        <v>0</v>
      </c>
      <c r="K2994">
        <v>0</v>
      </c>
      <c r="L2994">
        <f t="shared" si="93"/>
        <v>1</v>
      </c>
    </row>
    <row r="2995" spans="1:12">
      <c r="A2995" t="s">
        <v>3979</v>
      </c>
      <c r="B2995" t="s">
        <v>1598</v>
      </c>
      <c r="C2995" t="s">
        <v>2826</v>
      </c>
      <c r="D2995" t="s">
        <v>2831</v>
      </c>
      <c r="E2995">
        <v>0</v>
      </c>
      <c r="F2995">
        <v>0</v>
      </c>
      <c r="G2995">
        <v>0</v>
      </c>
      <c r="H2995">
        <f t="shared" si="92"/>
        <v>0</v>
      </c>
      <c r="I2995">
        <v>1</v>
      </c>
      <c r="J2995">
        <v>0</v>
      </c>
      <c r="K2995">
        <v>0</v>
      </c>
      <c r="L2995">
        <f t="shared" si="93"/>
        <v>1</v>
      </c>
    </row>
    <row r="2996" spans="1:12">
      <c r="A2996" t="s">
        <v>3979</v>
      </c>
      <c r="B2996" t="s">
        <v>1598</v>
      </c>
      <c r="C2996" t="s">
        <v>2826</v>
      </c>
      <c r="D2996" t="s">
        <v>2843</v>
      </c>
      <c r="E2996">
        <v>0</v>
      </c>
      <c r="F2996">
        <v>0</v>
      </c>
      <c r="G2996">
        <v>0</v>
      </c>
      <c r="H2996">
        <f t="shared" si="92"/>
        <v>0</v>
      </c>
      <c r="I2996">
        <v>1</v>
      </c>
      <c r="J2996">
        <v>0</v>
      </c>
      <c r="K2996">
        <v>0</v>
      </c>
      <c r="L2996">
        <f t="shared" si="93"/>
        <v>1</v>
      </c>
    </row>
    <row r="2997" spans="1:12">
      <c r="A2997" t="s">
        <v>3979</v>
      </c>
      <c r="B2997" t="s">
        <v>1598</v>
      </c>
      <c r="C2997" t="s">
        <v>2826</v>
      </c>
      <c r="D2997" t="s">
        <v>2835</v>
      </c>
      <c r="E2997">
        <v>0</v>
      </c>
      <c r="F2997">
        <v>0</v>
      </c>
      <c r="G2997">
        <v>0</v>
      </c>
      <c r="H2997">
        <f t="shared" si="92"/>
        <v>0</v>
      </c>
      <c r="I2997">
        <v>1</v>
      </c>
      <c r="J2997">
        <v>0</v>
      </c>
      <c r="K2997">
        <v>0</v>
      </c>
      <c r="L2997">
        <f t="shared" si="93"/>
        <v>1</v>
      </c>
    </row>
    <row r="2998" spans="1:12">
      <c r="A2998" t="s">
        <v>3979</v>
      </c>
      <c r="B2998" t="s">
        <v>1598</v>
      </c>
      <c r="C2998" t="s">
        <v>2826</v>
      </c>
      <c r="D2998" t="s">
        <v>2849</v>
      </c>
      <c r="E2998">
        <v>0</v>
      </c>
      <c r="F2998">
        <v>0</v>
      </c>
      <c r="G2998">
        <v>0</v>
      </c>
      <c r="H2998">
        <f t="shared" si="92"/>
        <v>0</v>
      </c>
      <c r="I2998">
        <v>1</v>
      </c>
      <c r="J2998">
        <v>0</v>
      </c>
      <c r="K2998">
        <v>0</v>
      </c>
      <c r="L2998">
        <f t="shared" si="93"/>
        <v>1</v>
      </c>
    </row>
    <row r="2999" spans="1:12">
      <c r="A2999" t="s">
        <v>3979</v>
      </c>
      <c r="B2999" t="s">
        <v>1598</v>
      </c>
      <c r="C2999" t="s">
        <v>2817</v>
      </c>
      <c r="D2999" t="s">
        <v>2888</v>
      </c>
      <c r="E2999">
        <v>5</v>
      </c>
      <c r="F2999">
        <v>0</v>
      </c>
      <c r="G2999">
        <v>0</v>
      </c>
      <c r="H2999">
        <f t="shared" si="92"/>
        <v>5</v>
      </c>
      <c r="I2999">
        <v>0</v>
      </c>
      <c r="J2999">
        <v>0</v>
      </c>
      <c r="K2999">
        <v>0</v>
      </c>
      <c r="L2999">
        <f t="shared" si="93"/>
        <v>0</v>
      </c>
    </row>
    <row r="3000" spans="1:12">
      <c r="A3000" t="s">
        <v>3979</v>
      </c>
      <c r="B3000" t="s">
        <v>1598</v>
      </c>
      <c r="C3000" t="s">
        <v>2817</v>
      </c>
      <c r="D3000" t="s">
        <v>2909</v>
      </c>
      <c r="E3000">
        <v>25</v>
      </c>
      <c r="F3000">
        <v>0</v>
      </c>
      <c r="G3000">
        <v>0</v>
      </c>
      <c r="H3000">
        <f t="shared" si="92"/>
        <v>25</v>
      </c>
      <c r="I3000">
        <v>3</v>
      </c>
      <c r="J3000">
        <v>0</v>
      </c>
      <c r="K3000">
        <v>0</v>
      </c>
      <c r="L3000">
        <f t="shared" si="93"/>
        <v>3</v>
      </c>
    </row>
    <row r="3001" spans="1:12">
      <c r="A3001" t="s">
        <v>3980</v>
      </c>
      <c r="B3001" t="s">
        <v>354</v>
      </c>
      <c r="C3001" t="s">
        <v>2805</v>
      </c>
      <c r="D3001" t="s">
        <v>449</v>
      </c>
      <c r="E3001">
        <v>0</v>
      </c>
      <c r="F3001">
        <v>0</v>
      </c>
      <c r="G3001">
        <v>0</v>
      </c>
      <c r="H3001">
        <f t="shared" si="92"/>
        <v>0</v>
      </c>
      <c r="I3001">
        <v>1</v>
      </c>
      <c r="J3001">
        <v>0</v>
      </c>
      <c r="K3001">
        <v>0</v>
      </c>
      <c r="L3001">
        <f t="shared" si="93"/>
        <v>1</v>
      </c>
    </row>
    <row r="3002" spans="1:12">
      <c r="A3002" t="s">
        <v>3980</v>
      </c>
      <c r="B3002" t="s">
        <v>354</v>
      </c>
      <c r="C3002" t="s">
        <v>2805</v>
      </c>
      <c r="D3002" t="s">
        <v>2807</v>
      </c>
      <c r="E3002">
        <v>1</v>
      </c>
      <c r="F3002">
        <v>0</v>
      </c>
      <c r="G3002">
        <v>0</v>
      </c>
      <c r="H3002">
        <f t="shared" si="92"/>
        <v>1</v>
      </c>
      <c r="I3002">
        <v>0</v>
      </c>
      <c r="J3002">
        <v>0</v>
      </c>
      <c r="K3002">
        <v>0</v>
      </c>
      <c r="L3002">
        <f t="shared" si="93"/>
        <v>0</v>
      </c>
    </row>
    <row r="3003" spans="1:12">
      <c r="A3003" t="s">
        <v>3980</v>
      </c>
      <c r="B3003" t="s">
        <v>354</v>
      </c>
      <c r="C3003" t="s">
        <v>2810</v>
      </c>
      <c r="D3003" t="s">
        <v>2811</v>
      </c>
      <c r="E3003">
        <v>1</v>
      </c>
      <c r="F3003">
        <v>0</v>
      </c>
      <c r="G3003">
        <v>0</v>
      </c>
      <c r="H3003">
        <f t="shared" si="92"/>
        <v>1</v>
      </c>
      <c r="I3003">
        <v>0</v>
      </c>
      <c r="J3003">
        <v>0</v>
      </c>
      <c r="K3003">
        <v>0</v>
      </c>
      <c r="L3003">
        <f t="shared" si="93"/>
        <v>0</v>
      </c>
    </row>
    <row r="3004" spans="1:12">
      <c r="A3004" t="s">
        <v>3980</v>
      </c>
      <c r="B3004" t="s">
        <v>354</v>
      </c>
      <c r="C3004" t="s">
        <v>2810</v>
      </c>
      <c r="D3004" t="s">
        <v>2812</v>
      </c>
      <c r="E3004">
        <v>1</v>
      </c>
      <c r="F3004">
        <v>0</v>
      </c>
      <c r="G3004">
        <v>0</v>
      </c>
      <c r="H3004">
        <f t="shared" si="92"/>
        <v>1</v>
      </c>
      <c r="I3004">
        <v>1</v>
      </c>
      <c r="J3004">
        <v>0</v>
      </c>
      <c r="K3004">
        <v>0</v>
      </c>
      <c r="L3004">
        <f t="shared" si="93"/>
        <v>1</v>
      </c>
    </row>
    <row r="3005" spans="1:12">
      <c r="A3005" t="s">
        <v>3980</v>
      </c>
      <c r="B3005" t="s">
        <v>354</v>
      </c>
      <c r="C3005" t="s">
        <v>2841</v>
      </c>
      <c r="D3005" t="s">
        <v>3116</v>
      </c>
      <c r="E3005">
        <v>0</v>
      </c>
      <c r="F3005">
        <v>0</v>
      </c>
      <c r="G3005">
        <v>0</v>
      </c>
      <c r="H3005">
        <f t="shared" si="92"/>
        <v>0</v>
      </c>
      <c r="I3005">
        <v>1</v>
      </c>
      <c r="J3005">
        <v>0</v>
      </c>
      <c r="K3005">
        <v>0</v>
      </c>
      <c r="L3005">
        <f t="shared" si="93"/>
        <v>1</v>
      </c>
    </row>
    <row r="3006" spans="1:12">
      <c r="A3006" t="s">
        <v>3980</v>
      </c>
      <c r="B3006" t="s">
        <v>354</v>
      </c>
      <c r="C3006" t="s">
        <v>2841</v>
      </c>
      <c r="D3006" t="s">
        <v>3981</v>
      </c>
      <c r="E3006">
        <v>0</v>
      </c>
      <c r="F3006">
        <v>0</v>
      </c>
      <c r="G3006">
        <v>0</v>
      </c>
      <c r="H3006">
        <f t="shared" si="92"/>
        <v>0</v>
      </c>
      <c r="I3006">
        <v>1</v>
      </c>
      <c r="J3006">
        <v>0</v>
      </c>
      <c r="K3006">
        <v>0</v>
      </c>
      <c r="L3006">
        <f t="shared" si="93"/>
        <v>1</v>
      </c>
    </row>
    <row r="3007" spans="1:12">
      <c r="A3007" t="s">
        <v>3980</v>
      </c>
      <c r="B3007" t="s">
        <v>354</v>
      </c>
      <c r="C3007" t="s">
        <v>2841</v>
      </c>
      <c r="D3007" t="s">
        <v>2842</v>
      </c>
      <c r="E3007">
        <v>0</v>
      </c>
      <c r="F3007">
        <v>0</v>
      </c>
      <c r="G3007">
        <v>0</v>
      </c>
      <c r="H3007">
        <f t="shared" si="92"/>
        <v>0</v>
      </c>
      <c r="I3007">
        <v>2</v>
      </c>
      <c r="J3007">
        <v>0</v>
      </c>
      <c r="K3007">
        <v>0</v>
      </c>
      <c r="L3007">
        <f t="shared" si="93"/>
        <v>2</v>
      </c>
    </row>
    <row r="3008" spans="1:12">
      <c r="A3008" t="s">
        <v>3980</v>
      </c>
      <c r="B3008" t="s">
        <v>354</v>
      </c>
      <c r="C3008" t="s">
        <v>2826</v>
      </c>
      <c r="D3008" t="s">
        <v>2871</v>
      </c>
      <c r="E3008">
        <v>0</v>
      </c>
      <c r="F3008">
        <v>0</v>
      </c>
      <c r="G3008">
        <v>0</v>
      </c>
      <c r="H3008">
        <f t="shared" si="92"/>
        <v>0</v>
      </c>
      <c r="I3008">
        <v>4</v>
      </c>
      <c r="J3008">
        <v>2</v>
      </c>
      <c r="K3008">
        <v>0</v>
      </c>
      <c r="L3008">
        <f t="shared" si="93"/>
        <v>6</v>
      </c>
    </row>
    <row r="3009" spans="1:12">
      <c r="A3009" t="s">
        <v>3980</v>
      </c>
      <c r="B3009" t="s">
        <v>354</v>
      </c>
      <c r="C3009" t="s">
        <v>2826</v>
      </c>
      <c r="D3009" t="s">
        <v>2827</v>
      </c>
      <c r="E3009">
        <v>0</v>
      </c>
      <c r="F3009">
        <v>0</v>
      </c>
      <c r="G3009">
        <v>0</v>
      </c>
      <c r="H3009">
        <f t="shared" si="92"/>
        <v>0</v>
      </c>
      <c r="I3009">
        <v>4</v>
      </c>
      <c r="J3009">
        <v>1</v>
      </c>
      <c r="K3009">
        <v>0</v>
      </c>
      <c r="L3009">
        <f t="shared" si="93"/>
        <v>5</v>
      </c>
    </row>
    <row r="3010" spans="1:12">
      <c r="A3010" t="s">
        <v>3980</v>
      </c>
      <c r="B3010" t="s">
        <v>354</v>
      </c>
      <c r="C3010" t="s">
        <v>2826</v>
      </c>
      <c r="D3010" t="s">
        <v>2828</v>
      </c>
      <c r="E3010">
        <v>0</v>
      </c>
      <c r="F3010">
        <v>0</v>
      </c>
      <c r="G3010">
        <v>0</v>
      </c>
      <c r="H3010">
        <f t="shared" si="92"/>
        <v>0</v>
      </c>
      <c r="I3010">
        <v>2</v>
      </c>
      <c r="J3010">
        <v>1</v>
      </c>
      <c r="K3010">
        <v>0</v>
      </c>
      <c r="L3010">
        <f t="shared" si="93"/>
        <v>3</v>
      </c>
    </row>
    <row r="3011" spans="1:12">
      <c r="A3011" t="s">
        <v>3980</v>
      </c>
      <c r="B3011" t="s">
        <v>354</v>
      </c>
      <c r="C3011" t="s">
        <v>2826</v>
      </c>
      <c r="D3011" t="s">
        <v>2829</v>
      </c>
      <c r="E3011">
        <v>0</v>
      </c>
      <c r="F3011">
        <v>0</v>
      </c>
      <c r="G3011">
        <v>0</v>
      </c>
      <c r="H3011">
        <f t="shared" si="92"/>
        <v>0</v>
      </c>
      <c r="I3011">
        <v>1</v>
      </c>
      <c r="J3011">
        <v>2</v>
      </c>
      <c r="K3011">
        <v>0</v>
      </c>
      <c r="L3011">
        <f t="shared" si="93"/>
        <v>3</v>
      </c>
    </row>
    <row r="3012" spans="1:12">
      <c r="A3012" t="s">
        <v>3980</v>
      </c>
      <c r="B3012" t="s">
        <v>354</v>
      </c>
      <c r="C3012" t="s">
        <v>2826</v>
      </c>
      <c r="D3012" t="s">
        <v>2891</v>
      </c>
      <c r="E3012">
        <v>0</v>
      </c>
      <c r="F3012">
        <v>0</v>
      </c>
      <c r="G3012">
        <v>0</v>
      </c>
      <c r="H3012">
        <f t="shared" ref="H3012:H3075" si="94">SUM(E3012:G3012)</f>
        <v>0</v>
      </c>
      <c r="I3012">
        <v>1</v>
      </c>
      <c r="J3012">
        <v>3</v>
      </c>
      <c r="K3012">
        <v>0</v>
      </c>
      <c r="L3012">
        <f t="shared" ref="L3012:L3075" si="95">SUM(I3012:K3012)</f>
        <v>4</v>
      </c>
    </row>
    <row r="3013" spans="1:12">
      <c r="A3013" t="s">
        <v>3980</v>
      </c>
      <c r="B3013" t="s">
        <v>354</v>
      </c>
      <c r="C3013" t="s">
        <v>2826</v>
      </c>
      <c r="D3013" t="s">
        <v>2830</v>
      </c>
      <c r="E3013">
        <v>0</v>
      </c>
      <c r="F3013">
        <v>0</v>
      </c>
      <c r="G3013">
        <v>0</v>
      </c>
      <c r="H3013">
        <f t="shared" si="94"/>
        <v>0</v>
      </c>
      <c r="I3013">
        <v>1</v>
      </c>
      <c r="J3013">
        <v>0</v>
      </c>
      <c r="K3013">
        <v>0</v>
      </c>
      <c r="L3013">
        <f t="shared" si="95"/>
        <v>1</v>
      </c>
    </row>
    <row r="3014" spans="1:12">
      <c r="A3014" t="s">
        <v>3980</v>
      </c>
      <c r="B3014" t="s">
        <v>354</v>
      </c>
      <c r="C3014" t="s">
        <v>2826</v>
      </c>
      <c r="D3014" t="s">
        <v>2864</v>
      </c>
      <c r="E3014">
        <v>0</v>
      </c>
      <c r="F3014">
        <v>0</v>
      </c>
      <c r="G3014">
        <v>0</v>
      </c>
      <c r="H3014">
        <f t="shared" si="94"/>
        <v>0</v>
      </c>
      <c r="I3014">
        <v>1</v>
      </c>
      <c r="J3014">
        <v>0</v>
      </c>
      <c r="K3014">
        <v>0</v>
      </c>
      <c r="L3014">
        <f t="shared" si="95"/>
        <v>1</v>
      </c>
    </row>
    <row r="3015" spans="1:12">
      <c r="A3015" t="s">
        <v>3980</v>
      </c>
      <c r="B3015" t="s">
        <v>354</v>
      </c>
      <c r="C3015" t="s">
        <v>2826</v>
      </c>
      <c r="D3015" t="s">
        <v>2831</v>
      </c>
      <c r="E3015">
        <v>0</v>
      </c>
      <c r="F3015">
        <v>0</v>
      </c>
      <c r="G3015">
        <v>0</v>
      </c>
      <c r="H3015">
        <f t="shared" si="94"/>
        <v>0</v>
      </c>
      <c r="I3015">
        <v>1</v>
      </c>
      <c r="J3015">
        <v>1</v>
      </c>
      <c r="K3015">
        <v>0</v>
      </c>
      <c r="L3015">
        <f t="shared" si="95"/>
        <v>2</v>
      </c>
    </row>
    <row r="3016" spans="1:12">
      <c r="A3016" t="s">
        <v>3980</v>
      </c>
      <c r="B3016" t="s">
        <v>354</v>
      </c>
      <c r="C3016" t="s">
        <v>2826</v>
      </c>
      <c r="D3016" t="s">
        <v>2843</v>
      </c>
      <c r="E3016">
        <v>0</v>
      </c>
      <c r="F3016">
        <v>0</v>
      </c>
      <c r="G3016">
        <v>0</v>
      </c>
      <c r="H3016">
        <f t="shared" si="94"/>
        <v>0</v>
      </c>
      <c r="I3016">
        <v>6</v>
      </c>
      <c r="J3016">
        <v>1</v>
      </c>
      <c r="K3016">
        <v>0</v>
      </c>
      <c r="L3016">
        <f t="shared" si="95"/>
        <v>7</v>
      </c>
    </row>
    <row r="3017" spans="1:12">
      <c r="A3017" t="s">
        <v>3980</v>
      </c>
      <c r="B3017" t="s">
        <v>354</v>
      </c>
      <c r="C3017" t="s">
        <v>2826</v>
      </c>
      <c r="D3017" t="s">
        <v>2884</v>
      </c>
      <c r="E3017">
        <v>0</v>
      </c>
      <c r="F3017">
        <v>0</v>
      </c>
      <c r="G3017">
        <v>0</v>
      </c>
      <c r="H3017">
        <f t="shared" si="94"/>
        <v>0</v>
      </c>
      <c r="I3017">
        <v>1</v>
      </c>
      <c r="J3017">
        <v>3</v>
      </c>
      <c r="K3017">
        <v>0</v>
      </c>
      <c r="L3017">
        <f t="shared" si="95"/>
        <v>4</v>
      </c>
    </row>
    <row r="3018" spans="1:12">
      <c r="A3018" t="s">
        <v>3980</v>
      </c>
      <c r="B3018" t="s">
        <v>354</v>
      </c>
      <c r="C3018" t="s">
        <v>2826</v>
      </c>
      <c r="D3018" t="s">
        <v>2885</v>
      </c>
      <c r="E3018">
        <v>0</v>
      </c>
      <c r="F3018">
        <v>0</v>
      </c>
      <c r="G3018">
        <v>0</v>
      </c>
      <c r="H3018">
        <f t="shared" si="94"/>
        <v>0</v>
      </c>
      <c r="I3018">
        <v>1</v>
      </c>
      <c r="J3018">
        <v>0</v>
      </c>
      <c r="K3018">
        <v>0</v>
      </c>
      <c r="L3018">
        <f t="shared" si="95"/>
        <v>1</v>
      </c>
    </row>
    <row r="3019" spans="1:12">
      <c r="A3019" t="s">
        <v>3980</v>
      </c>
      <c r="B3019" t="s">
        <v>354</v>
      </c>
      <c r="C3019" t="s">
        <v>2826</v>
      </c>
      <c r="D3019" t="s">
        <v>2832</v>
      </c>
      <c r="E3019">
        <v>0</v>
      </c>
      <c r="F3019">
        <v>0</v>
      </c>
      <c r="G3019">
        <v>0</v>
      </c>
      <c r="H3019">
        <f t="shared" si="94"/>
        <v>0</v>
      </c>
      <c r="I3019">
        <v>3</v>
      </c>
      <c r="J3019">
        <v>2</v>
      </c>
      <c r="K3019">
        <v>0</v>
      </c>
      <c r="L3019">
        <f t="shared" si="95"/>
        <v>5</v>
      </c>
    </row>
    <row r="3020" spans="1:12">
      <c r="A3020" t="s">
        <v>3980</v>
      </c>
      <c r="B3020" t="s">
        <v>354</v>
      </c>
      <c r="C3020" t="s">
        <v>2826</v>
      </c>
      <c r="D3020" t="s">
        <v>2833</v>
      </c>
      <c r="E3020">
        <v>0</v>
      </c>
      <c r="F3020">
        <v>0</v>
      </c>
      <c r="G3020">
        <v>0</v>
      </c>
      <c r="H3020">
        <f t="shared" si="94"/>
        <v>0</v>
      </c>
      <c r="I3020">
        <v>0</v>
      </c>
      <c r="J3020">
        <v>1</v>
      </c>
      <c r="K3020">
        <v>0</v>
      </c>
      <c r="L3020">
        <f t="shared" si="95"/>
        <v>1</v>
      </c>
    </row>
    <row r="3021" spans="1:12">
      <c r="A3021" t="s">
        <v>3980</v>
      </c>
      <c r="B3021" t="s">
        <v>354</v>
      </c>
      <c r="C3021" t="s">
        <v>2826</v>
      </c>
      <c r="D3021" t="s">
        <v>2834</v>
      </c>
      <c r="E3021">
        <v>0</v>
      </c>
      <c r="F3021">
        <v>0</v>
      </c>
      <c r="G3021">
        <v>0</v>
      </c>
      <c r="H3021">
        <f t="shared" si="94"/>
        <v>0</v>
      </c>
      <c r="I3021">
        <v>2</v>
      </c>
      <c r="J3021">
        <v>2</v>
      </c>
      <c r="K3021">
        <v>0</v>
      </c>
      <c r="L3021">
        <f t="shared" si="95"/>
        <v>4</v>
      </c>
    </row>
    <row r="3022" spans="1:12">
      <c r="A3022" t="s">
        <v>3980</v>
      </c>
      <c r="B3022" t="s">
        <v>354</v>
      </c>
      <c r="C3022" t="s">
        <v>2826</v>
      </c>
      <c r="D3022" t="s">
        <v>2835</v>
      </c>
      <c r="E3022">
        <v>0</v>
      </c>
      <c r="F3022">
        <v>0</v>
      </c>
      <c r="G3022">
        <v>0</v>
      </c>
      <c r="H3022">
        <f t="shared" si="94"/>
        <v>0</v>
      </c>
      <c r="I3022">
        <v>1</v>
      </c>
      <c r="J3022">
        <v>0</v>
      </c>
      <c r="K3022">
        <v>0</v>
      </c>
      <c r="L3022">
        <f t="shared" si="95"/>
        <v>1</v>
      </c>
    </row>
    <row r="3023" spans="1:12">
      <c r="A3023" t="s">
        <v>3980</v>
      </c>
      <c r="B3023" t="s">
        <v>354</v>
      </c>
      <c r="C3023" t="s">
        <v>2826</v>
      </c>
      <c r="D3023" t="s">
        <v>2836</v>
      </c>
      <c r="E3023">
        <v>0</v>
      </c>
      <c r="F3023">
        <v>0</v>
      </c>
      <c r="G3023">
        <v>0</v>
      </c>
      <c r="H3023">
        <f t="shared" si="94"/>
        <v>0</v>
      </c>
      <c r="I3023">
        <v>0</v>
      </c>
      <c r="J3023">
        <v>4</v>
      </c>
      <c r="K3023">
        <v>0</v>
      </c>
      <c r="L3023">
        <f t="shared" si="95"/>
        <v>4</v>
      </c>
    </row>
    <row r="3024" spans="1:12">
      <c r="A3024" t="s">
        <v>3980</v>
      </c>
      <c r="B3024" t="s">
        <v>354</v>
      </c>
      <c r="C3024" t="s">
        <v>2817</v>
      </c>
      <c r="D3024" t="s">
        <v>2887</v>
      </c>
      <c r="E3024">
        <v>0</v>
      </c>
      <c r="F3024">
        <v>0</v>
      </c>
      <c r="G3024">
        <v>0</v>
      </c>
      <c r="H3024">
        <f t="shared" si="94"/>
        <v>0</v>
      </c>
      <c r="I3024">
        <v>0</v>
      </c>
      <c r="J3024">
        <v>3</v>
      </c>
      <c r="K3024">
        <v>0</v>
      </c>
      <c r="L3024">
        <f t="shared" si="95"/>
        <v>3</v>
      </c>
    </row>
    <row r="3025" spans="1:12">
      <c r="A3025" t="s">
        <v>3980</v>
      </c>
      <c r="B3025" t="s">
        <v>354</v>
      </c>
      <c r="C3025" t="s">
        <v>2820</v>
      </c>
      <c r="D3025" t="s">
        <v>2952</v>
      </c>
      <c r="E3025">
        <v>0</v>
      </c>
      <c r="F3025">
        <v>0</v>
      </c>
      <c r="G3025">
        <v>0</v>
      </c>
      <c r="H3025">
        <f t="shared" si="94"/>
        <v>0</v>
      </c>
      <c r="I3025">
        <v>4</v>
      </c>
      <c r="J3025">
        <v>0</v>
      </c>
      <c r="K3025">
        <v>0</v>
      </c>
      <c r="L3025">
        <f t="shared" si="95"/>
        <v>4</v>
      </c>
    </row>
    <row r="3026" spans="1:12">
      <c r="A3026" t="s">
        <v>3980</v>
      </c>
      <c r="B3026" t="s">
        <v>354</v>
      </c>
      <c r="C3026" t="s">
        <v>2820</v>
      </c>
      <c r="D3026" t="s">
        <v>2821</v>
      </c>
      <c r="E3026">
        <v>0</v>
      </c>
      <c r="F3026">
        <v>0</v>
      </c>
      <c r="G3026">
        <v>0</v>
      </c>
      <c r="H3026">
        <f t="shared" si="94"/>
        <v>0</v>
      </c>
      <c r="I3026">
        <v>3</v>
      </c>
      <c r="J3026">
        <v>0</v>
      </c>
      <c r="K3026">
        <v>0</v>
      </c>
      <c r="L3026">
        <f t="shared" si="95"/>
        <v>3</v>
      </c>
    </row>
    <row r="3027" spans="1:12">
      <c r="A3027" t="s">
        <v>3980</v>
      </c>
      <c r="B3027" t="s">
        <v>354</v>
      </c>
      <c r="C3027" t="s">
        <v>2820</v>
      </c>
      <c r="D3027" t="s">
        <v>2949</v>
      </c>
      <c r="E3027">
        <v>0</v>
      </c>
      <c r="F3027">
        <v>0</v>
      </c>
      <c r="G3027">
        <v>0</v>
      </c>
      <c r="H3027">
        <f t="shared" si="94"/>
        <v>0</v>
      </c>
      <c r="I3027">
        <v>0</v>
      </c>
      <c r="J3027">
        <v>4</v>
      </c>
      <c r="K3027">
        <v>0</v>
      </c>
      <c r="L3027">
        <f t="shared" si="95"/>
        <v>4</v>
      </c>
    </row>
    <row r="3028" spans="1:12">
      <c r="A3028" t="s">
        <v>3982</v>
      </c>
      <c r="B3028" t="s">
        <v>1418</v>
      </c>
      <c r="C3028" t="s">
        <v>2805</v>
      </c>
      <c r="D3028" t="s">
        <v>2806</v>
      </c>
      <c r="E3028">
        <v>214</v>
      </c>
      <c r="F3028">
        <v>0</v>
      </c>
      <c r="G3028">
        <v>0</v>
      </c>
      <c r="H3028">
        <f t="shared" si="94"/>
        <v>214</v>
      </c>
      <c r="I3028">
        <v>2</v>
      </c>
      <c r="J3028">
        <v>0</v>
      </c>
      <c r="K3028">
        <v>0</v>
      </c>
      <c r="L3028">
        <f t="shared" si="95"/>
        <v>2</v>
      </c>
    </row>
    <row r="3029" spans="1:12">
      <c r="A3029" t="s">
        <v>3982</v>
      </c>
      <c r="B3029" t="s">
        <v>1418</v>
      </c>
      <c r="C3029" t="s">
        <v>2805</v>
      </c>
      <c r="D3029" t="s">
        <v>449</v>
      </c>
      <c r="E3029">
        <v>437</v>
      </c>
      <c r="F3029">
        <v>0</v>
      </c>
      <c r="G3029">
        <v>0</v>
      </c>
      <c r="H3029">
        <f t="shared" si="94"/>
        <v>437</v>
      </c>
      <c r="I3029">
        <v>0</v>
      </c>
      <c r="J3029">
        <v>0</v>
      </c>
      <c r="K3029">
        <v>0</v>
      </c>
      <c r="L3029">
        <f t="shared" si="95"/>
        <v>0</v>
      </c>
    </row>
    <row r="3030" spans="1:12">
      <c r="A3030" t="s">
        <v>3982</v>
      </c>
      <c r="B3030" t="s">
        <v>1418</v>
      </c>
      <c r="C3030" t="s">
        <v>2805</v>
      </c>
      <c r="D3030" t="s">
        <v>2807</v>
      </c>
      <c r="E3030">
        <v>11</v>
      </c>
      <c r="F3030">
        <v>0</v>
      </c>
      <c r="G3030">
        <v>0</v>
      </c>
      <c r="H3030">
        <f t="shared" si="94"/>
        <v>11</v>
      </c>
      <c r="I3030">
        <v>0</v>
      </c>
      <c r="J3030">
        <v>0</v>
      </c>
      <c r="K3030">
        <v>0</v>
      </c>
      <c r="L3030">
        <f t="shared" si="95"/>
        <v>0</v>
      </c>
    </row>
    <row r="3031" spans="1:12">
      <c r="A3031" t="s">
        <v>3982</v>
      </c>
      <c r="B3031" t="s">
        <v>1418</v>
      </c>
      <c r="C3031" t="s">
        <v>2810</v>
      </c>
      <c r="D3031" t="s">
        <v>2811</v>
      </c>
      <c r="E3031">
        <v>43</v>
      </c>
      <c r="F3031">
        <v>0</v>
      </c>
      <c r="G3031">
        <v>0</v>
      </c>
      <c r="H3031">
        <f t="shared" si="94"/>
        <v>43</v>
      </c>
      <c r="I3031">
        <v>0</v>
      </c>
      <c r="J3031">
        <v>0</v>
      </c>
      <c r="K3031">
        <v>0</v>
      </c>
      <c r="L3031">
        <f t="shared" si="95"/>
        <v>0</v>
      </c>
    </row>
    <row r="3032" spans="1:12">
      <c r="A3032" t="s">
        <v>3982</v>
      </c>
      <c r="B3032" t="s">
        <v>1418</v>
      </c>
      <c r="C3032" t="s">
        <v>2810</v>
      </c>
      <c r="D3032" t="s">
        <v>2812</v>
      </c>
      <c r="E3032">
        <v>15</v>
      </c>
      <c r="F3032">
        <v>0</v>
      </c>
      <c r="G3032">
        <v>0</v>
      </c>
      <c r="H3032">
        <f t="shared" si="94"/>
        <v>15</v>
      </c>
      <c r="I3032">
        <v>0</v>
      </c>
      <c r="J3032">
        <v>0</v>
      </c>
      <c r="K3032">
        <v>0</v>
      </c>
      <c r="L3032">
        <f t="shared" si="95"/>
        <v>0</v>
      </c>
    </row>
    <row r="3033" spans="1:12">
      <c r="A3033" t="s">
        <v>3982</v>
      </c>
      <c r="B3033" t="s">
        <v>1418</v>
      </c>
      <c r="C3033" t="s">
        <v>2810</v>
      </c>
      <c r="D3033" t="s">
        <v>2813</v>
      </c>
      <c r="E3033">
        <v>5</v>
      </c>
      <c r="F3033">
        <v>0</v>
      </c>
      <c r="G3033">
        <v>0</v>
      </c>
      <c r="H3033">
        <f t="shared" si="94"/>
        <v>5</v>
      </c>
      <c r="I3033">
        <v>0</v>
      </c>
      <c r="J3033">
        <v>0</v>
      </c>
      <c r="K3033">
        <v>0</v>
      </c>
      <c r="L3033">
        <f t="shared" si="95"/>
        <v>0</v>
      </c>
    </row>
    <row r="3034" spans="1:12">
      <c r="A3034" t="s">
        <v>3982</v>
      </c>
      <c r="B3034" t="s">
        <v>1418</v>
      </c>
      <c r="C3034" t="s">
        <v>2810</v>
      </c>
      <c r="D3034" t="s">
        <v>2847</v>
      </c>
      <c r="E3034">
        <v>3</v>
      </c>
      <c r="F3034">
        <v>0</v>
      </c>
      <c r="G3034">
        <v>0</v>
      </c>
      <c r="H3034">
        <f t="shared" si="94"/>
        <v>3</v>
      </c>
      <c r="I3034">
        <v>0</v>
      </c>
      <c r="J3034">
        <v>0</v>
      </c>
      <c r="K3034">
        <v>0</v>
      </c>
      <c r="L3034">
        <f t="shared" si="95"/>
        <v>0</v>
      </c>
    </row>
    <row r="3035" spans="1:12">
      <c r="A3035" t="s">
        <v>3982</v>
      </c>
      <c r="B3035" t="s">
        <v>1418</v>
      </c>
      <c r="C3035" t="s">
        <v>2810</v>
      </c>
      <c r="D3035" t="s">
        <v>2840</v>
      </c>
      <c r="E3035">
        <v>4</v>
      </c>
      <c r="F3035">
        <v>0</v>
      </c>
      <c r="G3035">
        <v>0</v>
      </c>
      <c r="H3035">
        <f t="shared" si="94"/>
        <v>4</v>
      </c>
      <c r="I3035">
        <v>0</v>
      </c>
      <c r="J3035">
        <v>0</v>
      </c>
      <c r="K3035">
        <v>0</v>
      </c>
      <c r="L3035">
        <f t="shared" si="95"/>
        <v>0</v>
      </c>
    </row>
    <row r="3036" spans="1:12">
      <c r="A3036" t="s">
        <v>3982</v>
      </c>
      <c r="B3036" t="s">
        <v>1418</v>
      </c>
      <c r="C3036" t="s">
        <v>2810</v>
      </c>
      <c r="D3036" t="s">
        <v>2815</v>
      </c>
      <c r="E3036">
        <v>7</v>
      </c>
      <c r="F3036">
        <v>0</v>
      </c>
      <c r="G3036">
        <v>0</v>
      </c>
      <c r="H3036">
        <f t="shared" si="94"/>
        <v>7</v>
      </c>
      <c r="I3036">
        <v>0</v>
      </c>
      <c r="J3036">
        <v>0</v>
      </c>
      <c r="K3036">
        <v>0</v>
      </c>
      <c r="L3036">
        <f t="shared" si="95"/>
        <v>0</v>
      </c>
    </row>
    <row r="3037" spans="1:12">
      <c r="A3037" t="s">
        <v>3982</v>
      </c>
      <c r="B3037" t="s">
        <v>1418</v>
      </c>
      <c r="C3037" t="s">
        <v>2816</v>
      </c>
      <c r="D3037" t="s">
        <v>1897</v>
      </c>
      <c r="E3037">
        <v>37</v>
      </c>
      <c r="F3037">
        <v>0</v>
      </c>
      <c r="G3037">
        <v>0</v>
      </c>
      <c r="H3037">
        <f t="shared" si="94"/>
        <v>37</v>
      </c>
      <c r="I3037">
        <v>0</v>
      </c>
      <c r="J3037">
        <v>0</v>
      </c>
      <c r="K3037">
        <v>0</v>
      </c>
      <c r="L3037">
        <f t="shared" si="95"/>
        <v>0</v>
      </c>
    </row>
    <row r="3038" spans="1:12">
      <c r="A3038" t="s">
        <v>3982</v>
      </c>
      <c r="B3038" t="s">
        <v>1418</v>
      </c>
      <c r="C3038" t="s">
        <v>2816</v>
      </c>
      <c r="D3038" t="s">
        <v>2848</v>
      </c>
      <c r="E3038">
        <v>7</v>
      </c>
      <c r="F3038">
        <v>0</v>
      </c>
      <c r="G3038">
        <v>0</v>
      </c>
      <c r="H3038">
        <f t="shared" si="94"/>
        <v>7</v>
      </c>
      <c r="I3038">
        <v>0</v>
      </c>
      <c r="J3038">
        <v>0</v>
      </c>
      <c r="K3038">
        <v>0</v>
      </c>
      <c r="L3038">
        <f t="shared" si="95"/>
        <v>0</v>
      </c>
    </row>
    <row r="3039" spans="1:12">
      <c r="A3039" t="s">
        <v>3982</v>
      </c>
      <c r="B3039" t="s">
        <v>1418</v>
      </c>
      <c r="C3039" t="s">
        <v>2826</v>
      </c>
      <c r="D3039" t="s">
        <v>2827</v>
      </c>
      <c r="E3039">
        <v>0</v>
      </c>
      <c r="F3039">
        <v>0</v>
      </c>
      <c r="G3039">
        <v>0</v>
      </c>
      <c r="H3039">
        <f t="shared" si="94"/>
        <v>0</v>
      </c>
      <c r="I3039">
        <v>1</v>
      </c>
      <c r="J3039">
        <v>0</v>
      </c>
      <c r="K3039">
        <v>0</v>
      </c>
      <c r="L3039">
        <f t="shared" si="95"/>
        <v>1</v>
      </c>
    </row>
    <row r="3040" spans="1:12">
      <c r="A3040" t="s">
        <v>3982</v>
      </c>
      <c r="B3040" t="s">
        <v>1418</v>
      </c>
      <c r="C3040" t="s">
        <v>2826</v>
      </c>
      <c r="D3040" t="s">
        <v>2830</v>
      </c>
      <c r="E3040">
        <v>0</v>
      </c>
      <c r="F3040">
        <v>0</v>
      </c>
      <c r="G3040">
        <v>0</v>
      </c>
      <c r="H3040">
        <f t="shared" si="94"/>
        <v>0</v>
      </c>
      <c r="I3040">
        <v>1</v>
      </c>
      <c r="J3040">
        <v>0</v>
      </c>
      <c r="K3040">
        <v>0</v>
      </c>
      <c r="L3040">
        <f t="shared" si="95"/>
        <v>1</v>
      </c>
    </row>
    <row r="3041" spans="1:12">
      <c r="A3041" t="s">
        <v>3982</v>
      </c>
      <c r="B3041" t="s">
        <v>1418</v>
      </c>
      <c r="C3041" t="s">
        <v>2826</v>
      </c>
      <c r="D3041" t="s">
        <v>2843</v>
      </c>
      <c r="E3041">
        <v>0</v>
      </c>
      <c r="F3041">
        <v>0</v>
      </c>
      <c r="G3041">
        <v>0</v>
      </c>
      <c r="H3041">
        <f t="shared" si="94"/>
        <v>0</v>
      </c>
      <c r="I3041">
        <v>1</v>
      </c>
      <c r="J3041">
        <v>0</v>
      </c>
      <c r="K3041">
        <v>0</v>
      </c>
      <c r="L3041">
        <f t="shared" si="95"/>
        <v>1</v>
      </c>
    </row>
    <row r="3042" spans="1:12">
      <c r="A3042" t="s">
        <v>3982</v>
      </c>
      <c r="B3042" t="s">
        <v>1418</v>
      </c>
      <c r="C3042" t="s">
        <v>2826</v>
      </c>
      <c r="D3042" t="s">
        <v>2834</v>
      </c>
      <c r="E3042">
        <v>0</v>
      </c>
      <c r="F3042">
        <v>0</v>
      </c>
      <c r="G3042">
        <v>0</v>
      </c>
      <c r="H3042">
        <f t="shared" si="94"/>
        <v>0</v>
      </c>
      <c r="I3042">
        <v>1</v>
      </c>
      <c r="J3042">
        <v>0</v>
      </c>
      <c r="K3042">
        <v>0</v>
      </c>
      <c r="L3042">
        <f t="shared" si="95"/>
        <v>1</v>
      </c>
    </row>
    <row r="3043" spans="1:12">
      <c r="A3043" t="s">
        <v>3982</v>
      </c>
      <c r="B3043" t="s">
        <v>1418</v>
      </c>
      <c r="C3043" t="s">
        <v>2826</v>
      </c>
      <c r="D3043" t="s">
        <v>2835</v>
      </c>
      <c r="E3043">
        <v>0</v>
      </c>
      <c r="F3043">
        <v>0</v>
      </c>
      <c r="G3043">
        <v>0</v>
      </c>
      <c r="H3043">
        <f t="shared" si="94"/>
        <v>0</v>
      </c>
      <c r="I3043">
        <v>1</v>
      </c>
      <c r="J3043">
        <v>0</v>
      </c>
      <c r="K3043">
        <v>0</v>
      </c>
      <c r="L3043">
        <f t="shared" si="95"/>
        <v>1</v>
      </c>
    </row>
    <row r="3044" spans="1:12">
      <c r="A3044" t="s">
        <v>3982</v>
      </c>
      <c r="B3044" t="s">
        <v>1418</v>
      </c>
      <c r="C3044" t="s">
        <v>2817</v>
      </c>
      <c r="D3044" t="s">
        <v>2818</v>
      </c>
      <c r="E3044">
        <v>5</v>
      </c>
      <c r="F3044">
        <v>0</v>
      </c>
      <c r="G3044">
        <v>0</v>
      </c>
      <c r="H3044">
        <f t="shared" si="94"/>
        <v>5</v>
      </c>
      <c r="I3044">
        <v>0</v>
      </c>
      <c r="J3044">
        <v>0</v>
      </c>
      <c r="K3044">
        <v>0</v>
      </c>
      <c r="L3044">
        <f t="shared" si="95"/>
        <v>0</v>
      </c>
    </row>
    <row r="3045" spans="1:12">
      <c r="A3045" t="s">
        <v>3982</v>
      </c>
      <c r="B3045" t="s">
        <v>1418</v>
      </c>
      <c r="C3045" t="s">
        <v>2817</v>
      </c>
      <c r="D3045" t="s">
        <v>2837</v>
      </c>
      <c r="E3045">
        <v>21</v>
      </c>
      <c r="F3045">
        <v>0</v>
      </c>
      <c r="G3045">
        <v>0</v>
      </c>
      <c r="H3045">
        <f t="shared" si="94"/>
        <v>21</v>
      </c>
      <c r="I3045">
        <v>0</v>
      </c>
      <c r="J3045">
        <v>0</v>
      </c>
      <c r="K3045">
        <v>0</v>
      </c>
      <c r="L3045">
        <f t="shared" si="95"/>
        <v>0</v>
      </c>
    </row>
    <row r="3046" spans="1:12">
      <c r="A3046" t="s">
        <v>3999</v>
      </c>
      <c r="B3046" t="s">
        <v>1608</v>
      </c>
      <c r="C3046" t="s">
        <v>2805</v>
      </c>
      <c r="D3046" t="s">
        <v>2806</v>
      </c>
      <c r="E3046">
        <v>25</v>
      </c>
      <c r="F3046">
        <v>0</v>
      </c>
      <c r="G3046">
        <v>0</v>
      </c>
      <c r="H3046">
        <f t="shared" si="94"/>
        <v>25</v>
      </c>
      <c r="I3046">
        <v>0</v>
      </c>
      <c r="J3046">
        <v>0</v>
      </c>
      <c r="K3046">
        <v>0</v>
      </c>
      <c r="L3046">
        <f t="shared" si="95"/>
        <v>0</v>
      </c>
    </row>
    <row r="3047" spans="1:12">
      <c r="A3047" t="s">
        <v>3999</v>
      </c>
      <c r="B3047" t="s">
        <v>1608</v>
      </c>
      <c r="C3047" t="s">
        <v>2805</v>
      </c>
      <c r="D3047" t="s">
        <v>449</v>
      </c>
      <c r="E3047">
        <v>211</v>
      </c>
      <c r="F3047">
        <v>0</v>
      </c>
      <c r="G3047">
        <v>0</v>
      </c>
      <c r="H3047">
        <f t="shared" si="94"/>
        <v>211</v>
      </c>
      <c r="I3047">
        <v>0</v>
      </c>
      <c r="J3047">
        <v>0</v>
      </c>
      <c r="K3047">
        <v>0</v>
      </c>
      <c r="L3047">
        <f t="shared" si="95"/>
        <v>0</v>
      </c>
    </row>
    <row r="3048" spans="1:12">
      <c r="A3048" t="s">
        <v>3999</v>
      </c>
      <c r="B3048" t="s">
        <v>1608</v>
      </c>
      <c r="C3048" t="s">
        <v>2805</v>
      </c>
      <c r="D3048" t="s">
        <v>2807</v>
      </c>
      <c r="E3048">
        <v>38</v>
      </c>
      <c r="F3048">
        <v>0</v>
      </c>
      <c r="G3048">
        <v>0</v>
      </c>
      <c r="H3048">
        <f t="shared" si="94"/>
        <v>38</v>
      </c>
      <c r="I3048">
        <v>0</v>
      </c>
      <c r="J3048">
        <v>2</v>
      </c>
      <c r="K3048">
        <v>0</v>
      </c>
      <c r="L3048">
        <f t="shared" si="95"/>
        <v>2</v>
      </c>
    </row>
    <row r="3049" spans="1:12">
      <c r="A3049" t="s">
        <v>3999</v>
      </c>
      <c r="B3049" t="s">
        <v>1608</v>
      </c>
      <c r="C3049" t="s">
        <v>2805</v>
      </c>
      <c r="D3049" t="s">
        <v>2846</v>
      </c>
      <c r="E3049">
        <v>8</v>
      </c>
      <c r="F3049">
        <v>0</v>
      </c>
      <c r="G3049">
        <v>0</v>
      </c>
      <c r="H3049">
        <f t="shared" si="94"/>
        <v>8</v>
      </c>
      <c r="I3049">
        <v>0</v>
      </c>
      <c r="J3049">
        <v>0</v>
      </c>
      <c r="K3049">
        <v>0</v>
      </c>
      <c r="L3049">
        <f t="shared" si="95"/>
        <v>0</v>
      </c>
    </row>
    <row r="3050" spans="1:12">
      <c r="A3050" t="s">
        <v>3999</v>
      </c>
      <c r="B3050" t="s">
        <v>1608</v>
      </c>
      <c r="C3050" t="s">
        <v>2810</v>
      </c>
      <c r="D3050" t="s">
        <v>2811</v>
      </c>
      <c r="E3050">
        <v>38</v>
      </c>
      <c r="F3050">
        <v>0</v>
      </c>
      <c r="G3050">
        <v>0</v>
      </c>
      <c r="H3050">
        <f t="shared" si="94"/>
        <v>38</v>
      </c>
      <c r="I3050">
        <v>0</v>
      </c>
      <c r="J3050">
        <v>0</v>
      </c>
      <c r="K3050">
        <v>0</v>
      </c>
      <c r="L3050">
        <f t="shared" si="95"/>
        <v>0</v>
      </c>
    </row>
    <row r="3051" spans="1:12">
      <c r="A3051" t="s">
        <v>3999</v>
      </c>
      <c r="B3051" t="s">
        <v>1608</v>
      </c>
      <c r="C3051" t="s">
        <v>2810</v>
      </c>
      <c r="D3051" t="s">
        <v>2812</v>
      </c>
      <c r="E3051">
        <v>25</v>
      </c>
      <c r="F3051">
        <v>0</v>
      </c>
      <c r="G3051">
        <v>0</v>
      </c>
      <c r="H3051">
        <f t="shared" si="94"/>
        <v>25</v>
      </c>
      <c r="I3051">
        <v>0</v>
      </c>
      <c r="J3051">
        <v>0</v>
      </c>
      <c r="K3051">
        <v>0</v>
      </c>
      <c r="L3051">
        <f t="shared" si="95"/>
        <v>0</v>
      </c>
    </row>
    <row r="3052" spans="1:12">
      <c r="A3052" t="s">
        <v>3999</v>
      </c>
      <c r="B3052" t="s">
        <v>1608</v>
      </c>
      <c r="C3052" t="s">
        <v>2810</v>
      </c>
      <c r="D3052" t="s">
        <v>2813</v>
      </c>
      <c r="E3052">
        <v>84</v>
      </c>
      <c r="F3052">
        <v>0</v>
      </c>
      <c r="G3052">
        <v>0</v>
      </c>
      <c r="H3052">
        <f t="shared" si="94"/>
        <v>84</v>
      </c>
      <c r="I3052">
        <v>4</v>
      </c>
      <c r="J3052">
        <v>0</v>
      </c>
      <c r="K3052">
        <v>0</v>
      </c>
      <c r="L3052">
        <f t="shared" si="95"/>
        <v>4</v>
      </c>
    </row>
    <row r="3053" spans="1:12">
      <c r="A3053" t="s">
        <v>3999</v>
      </c>
      <c r="B3053" t="s">
        <v>1608</v>
      </c>
      <c r="C3053" t="s">
        <v>2810</v>
      </c>
      <c r="D3053" t="s">
        <v>2815</v>
      </c>
      <c r="E3053">
        <v>0</v>
      </c>
      <c r="F3053">
        <v>0</v>
      </c>
      <c r="G3053">
        <v>0</v>
      </c>
      <c r="H3053">
        <f t="shared" si="94"/>
        <v>0</v>
      </c>
      <c r="I3053">
        <v>1</v>
      </c>
      <c r="J3053">
        <v>0</v>
      </c>
      <c r="K3053">
        <v>0</v>
      </c>
      <c r="L3053">
        <f t="shared" si="95"/>
        <v>1</v>
      </c>
    </row>
    <row r="3054" spans="1:12">
      <c r="A3054" t="s">
        <v>3999</v>
      </c>
      <c r="B3054" t="s">
        <v>1608</v>
      </c>
      <c r="C3054" t="s">
        <v>2816</v>
      </c>
      <c r="D3054" t="s">
        <v>1897</v>
      </c>
      <c r="E3054">
        <v>15</v>
      </c>
      <c r="F3054">
        <v>0</v>
      </c>
      <c r="G3054">
        <v>0</v>
      </c>
      <c r="H3054">
        <f t="shared" si="94"/>
        <v>15</v>
      </c>
      <c r="I3054">
        <v>0</v>
      </c>
      <c r="J3054">
        <v>0</v>
      </c>
      <c r="K3054">
        <v>0</v>
      </c>
      <c r="L3054">
        <f t="shared" si="95"/>
        <v>0</v>
      </c>
    </row>
    <row r="3055" spans="1:12">
      <c r="A3055" t="s">
        <v>3999</v>
      </c>
      <c r="B3055" t="s">
        <v>1608</v>
      </c>
      <c r="C3055" t="s">
        <v>2826</v>
      </c>
      <c r="D3055" t="s">
        <v>2849</v>
      </c>
      <c r="E3055">
        <v>2</v>
      </c>
      <c r="F3055">
        <v>0</v>
      </c>
      <c r="G3055">
        <v>0</v>
      </c>
      <c r="H3055">
        <f t="shared" si="94"/>
        <v>2</v>
      </c>
      <c r="I3055">
        <v>0</v>
      </c>
      <c r="J3055">
        <v>0</v>
      </c>
      <c r="K3055">
        <v>0</v>
      </c>
      <c r="L3055">
        <f t="shared" si="95"/>
        <v>0</v>
      </c>
    </row>
    <row r="3056" spans="1:12">
      <c r="A3056" t="s">
        <v>3999</v>
      </c>
      <c r="B3056" t="s">
        <v>1608</v>
      </c>
      <c r="C3056" t="s">
        <v>2817</v>
      </c>
      <c r="D3056" t="s">
        <v>2887</v>
      </c>
      <c r="E3056">
        <v>0</v>
      </c>
      <c r="F3056">
        <v>0</v>
      </c>
      <c r="G3056">
        <v>0</v>
      </c>
      <c r="H3056">
        <f t="shared" si="94"/>
        <v>0</v>
      </c>
      <c r="I3056">
        <v>3</v>
      </c>
      <c r="J3056">
        <v>0</v>
      </c>
      <c r="K3056">
        <v>0</v>
      </c>
      <c r="L3056">
        <f t="shared" si="95"/>
        <v>3</v>
      </c>
    </row>
    <row r="3057" spans="1:12">
      <c r="A3057" t="s">
        <v>3999</v>
      </c>
      <c r="B3057" t="s">
        <v>1608</v>
      </c>
      <c r="C3057" t="s">
        <v>2817</v>
      </c>
      <c r="D3057" t="s">
        <v>2877</v>
      </c>
      <c r="E3057">
        <v>7</v>
      </c>
      <c r="F3057">
        <v>0</v>
      </c>
      <c r="G3057">
        <v>0</v>
      </c>
      <c r="H3057">
        <f t="shared" si="94"/>
        <v>7</v>
      </c>
      <c r="I3057">
        <v>0</v>
      </c>
      <c r="J3057">
        <v>0</v>
      </c>
      <c r="K3057">
        <v>0</v>
      </c>
      <c r="L3057">
        <f t="shared" si="95"/>
        <v>0</v>
      </c>
    </row>
    <row r="3058" spans="1:12">
      <c r="A3058" t="s">
        <v>4006</v>
      </c>
      <c r="B3058" t="s">
        <v>1614</v>
      </c>
      <c r="C3058" t="s">
        <v>2805</v>
      </c>
      <c r="D3058" t="s">
        <v>2806</v>
      </c>
      <c r="E3058">
        <v>126</v>
      </c>
      <c r="F3058">
        <v>0</v>
      </c>
      <c r="G3058">
        <v>0</v>
      </c>
      <c r="H3058">
        <f t="shared" si="94"/>
        <v>126</v>
      </c>
      <c r="I3058">
        <v>14</v>
      </c>
      <c r="J3058">
        <v>0</v>
      </c>
      <c r="K3058">
        <v>0</v>
      </c>
      <c r="L3058">
        <f t="shared" si="95"/>
        <v>14</v>
      </c>
    </row>
    <row r="3059" spans="1:12">
      <c r="A3059" t="s">
        <v>4006</v>
      </c>
      <c r="B3059" t="s">
        <v>1614</v>
      </c>
      <c r="C3059" t="s">
        <v>2805</v>
      </c>
      <c r="D3059" t="s">
        <v>449</v>
      </c>
      <c r="E3059">
        <v>126</v>
      </c>
      <c r="F3059">
        <v>0</v>
      </c>
      <c r="G3059">
        <v>0</v>
      </c>
      <c r="H3059">
        <f t="shared" si="94"/>
        <v>126</v>
      </c>
      <c r="I3059">
        <v>0</v>
      </c>
      <c r="J3059">
        <v>0</v>
      </c>
      <c r="K3059">
        <v>0</v>
      </c>
      <c r="L3059">
        <f t="shared" si="95"/>
        <v>0</v>
      </c>
    </row>
    <row r="3060" spans="1:12">
      <c r="A3060" t="s">
        <v>4006</v>
      </c>
      <c r="B3060" t="s">
        <v>1614</v>
      </c>
      <c r="C3060" t="s">
        <v>2805</v>
      </c>
      <c r="D3060" t="s">
        <v>2807</v>
      </c>
      <c r="E3060">
        <v>4</v>
      </c>
      <c r="F3060">
        <v>0</v>
      </c>
      <c r="G3060">
        <v>0</v>
      </c>
      <c r="H3060">
        <f t="shared" si="94"/>
        <v>4</v>
      </c>
      <c r="I3060">
        <v>0</v>
      </c>
      <c r="J3060">
        <v>0</v>
      </c>
      <c r="K3060">
        <v>0</v>
      </c>
      <c r="L3060">
        <f t="shared" si="95"/>
        <v>0</v>
      </c>
    </row>
    <row r="3061" spans="1:12">
      <c r="A3061" t="s">
        <v>4006</v>
      </c>
      <c r="B3061" t="s">
        <v>1614</v>
      </c>
      <c r="C3061" t="s">
        <v>2810</v>
      </c>
      <c r="D3061" t="s">
        <v>2811</v>
      </c>
      <c r="E3061">
        <v>37</v>
      </c>
      <c r="F3061">
        <v>0</v>
      </c>
      <c r="G3061">
        <v>0</v>
      </c>
      <c r="H3061">
        <f t="shared" si="94"/>
        <v>37</v>
      </c>
      <c r="I3061">
        <v>2</v>
      </c>
      <c r="J3061">
        <v>0</v>
      </c>
      <c r="K3061">
        <v>0</v>
      </c>
      <c r="L3061">
        <f t="shared" si="95"/>
        <v>2</v>
      </c>
    </row>
    <row r="3062" spans="1:12">
      <c r="A3062" t="s">
        <v>4006</v>
      </c>
      <c r="B3062" t="s">
        <v>1614</v>
      </c>
      <c r="C3062" t="s">
        <v>2810</v>
      </c>
      <c r="D3062" t="s">
        <v>1892</v>
      </c>
      <c r="E3062">
        <v>0</v>
      </c>
      <c r="F3062">
        <v>0</v>
      </c>
      <c r="G3062">
        <v>0</v>
      </c>
      <c r="H3062">
        <f t="shared" si="94"/>
        <v>0</v>
      </c>
      <c r="I3062">
        <v>0</v>
      </c>
      <c r="J3062">
        <v>5</v>
      </c>
      <c r="K3062">
        <v>0</v>
      </c>
      <c r="L3062">
        <f t="shared" si="95"/>
        <v>5</v>
      </c>
    </row>
    <row r="3063" spans="1:12">
      <c r="A3063" t="s">
        <v>4006</v>
      </c>
      <c r="B3063" t="s">
        <v>1614</v>
      </c>
      <c r="C3063" t="s">
        <v>2810</v>
      </c>
      <c r="D3063" t="s">
        <v>2823</v>
      </c>
      <c r="E3063">
        <v>0</v>
      </c>
      <c r="F3063">
        <v>29</v>
      </c>
      <c r="G3063">
        <v>0</v>
      </c>
      <c r="H3063">
        <f t="shared" si="94"/>
        <v>29</v>
      </c>
      <c r="I3063">
        <v>0</v>
      </c>
      <c r="J3063">
        <v>0</v>
      </c>
      <c r="K3063">
        <v>0</v>
      </c>
      <c r="L3063">
        <f t="shared" si="95"/>
        <v>0</v>
      </c>
    </row>
    <row r="3064" spans="1:12">
      <c r="A3064" t="s">
        <v>4006</v>
      </c>
      <c r="B3064" t="s">
        <v>1614</v>
      </c>
      <c r="C3064" t="s">
        <v>2810</v>
      </c>
      <c r="D3064" t="s">
        <v>2812</v>
      </c>
      <c r="E3064">
        <v>57</v>
      </c>
      <c r="F3064">
        <v>0</v>
      </c>
      <c r="G3064">
        <v>0</v>
      </c>
      <c r="H3064">
        <f t="shared" si="94"/>
        <v>57</v>
      </c>
      <c r="I3064">
        <v>5</v>
      </c>
      <c r="J3064">
        <v>0</v>
      </c>
      <c r="K3064">
        <v>0</v>
      </c>
      <c r="L3064">
        <f t="shared" si="95"/>
        <v>5</v>
      </c>
    </row>
    <row r="3065" spans="1:12">
      <c r="A3065" t="s">
        <v>4006</v>
      </c>
      <c r="B3065" t="s">
        <v>1614</v>
      </c>
      <c r="C3065" t="s">
        <v>2810</v>
      </c>
      <c r="D3065" t="s">
        <v>2813</v>
      </c>
      <c r="E3065">
        <v>53</v>
      </c>
      <c r="F3065">
        <v>0</v>
      </c>
      <c r="G3065">
        <v>0</v>
      </c>
      <c r="H3065">
        <f t="shared" si="94"/>
        <v>53</v>
      </c>
      <c r="I3065">
        <v>0</v>
      </c>
      <c r="J3065">
        <v>0</v>
      </c>
      <c r="K3065">
        <v>0</v>
      </c>
      <c r="L3065">
        <f t="shared" si="95"/>
        <v>0</v>
      </c>
    </row>
    <row r="3066" spans="1:12">
      <c r="A3066" t="s">
        <v>4006</v>
      </c>
      <c r="B3066" t="s">
        <v>1614</v>
      </c>
      <c r="C3066" t="s">
        <v>2810</v>
      </c>
      <c r="D3066" t="s">
        <v>2814</v>
      </c>
      <c r="E3066">
        <v>1</v>
      </c>
      <c r="F3066">
        <v>0</v>
      </c>
      <c r="G3066">
        <v>0</v>
      </c>
      <c r="H3066">
        <f t="shared" si="94"/>
        <v>1</v>
      </c>
      <c r="I3066">
        <v>0</v>
      </c>
      <c r="J3066">
        <v>0</v>
      </c>
      <c r="K3066">
        <v>0</v>
      </c>
      <c r="L3066">
        <f t="shared" si="95"/>
        <v>0</v>
      </c>
    </row>
    <row r="3067" spans="1:12">
      <c r="A3067" t="s">
        <v>4006</v>
      </c>
      <c r="B3067" t="s">
        <v>1614</v>
      </c>
      <c r="C3067" t="s">
        <v>2810</v>
      </c>
      <c r="D3067" t="s">
        <v>2847</v>
      </c>
      <c r="E3067">
        <v>79</v>
      </c>
      <c r="F3067">
        <v>0</v>
      </c>
      <c r="G3067">
        <v>0</v>
      </c>
      <c r="H3067">
        <f t="shared" si="94"/>
        <v>79</v>
      </c>
      <c r="I3067">
        <v>0</v>
      </c>
      <c r="J3067">
        <v>0</v>
      </c>
      <c r="K3067">
        <v>0</v>
      </c>
      <c r="L3067">
        <f t="shared" si="95"/>
        <v>0</v>
      </c>
    </row>
    <row r="3068" spans="1:12">
      <c r="A3068" t="s">
        <v>4006</v>
      </c>
      <c r="B3068" t="s">
        <v>1614</v>
      </c>
      <c r="C3068" t="s">
        <v>2810</v>
      </c>
      <c r="D3068" t="s">
        <v>2815</v>
      </c>
      <c r="E3068">
        <v>11</v>
      </c>
      <c r="F3068">
        <v>0</v>
      </c>
      <c r="G3068">
        <v>0</v>
      </c>
      <c r="H3068">
        <f t="shared" si="94"/>
        <v>11</v>
      </c>
      <c r="I3068">
        <v>0</v>
      </c>
      <c r="J3068">
        <v>0</v>
      </c>
      <c r="K3068">
        <v>0</v>
      </c>
      <c r="L3068">
        <f t="shared" si="95"/>
        <v>0</v>
      </c>
    </row>
    <row r="3069" spans="1:12">
      <c r="A3069" t="s">
        <v>4006</v>
      </c>
      <c r="B3069" t="s">
        <v>1614</v>
      </c>
      <c r="C3069" t="s">
        <v>2816</v>
      </c>
      <c r="D3069" t="s">
        <v>1897</v>
      </c>
      <c r="E3069">
        <v>7</v>
      </c>
      <c r="F3069">
        <v>0</v>
      </c>
      <c r="G3069">
        <v>0</v>
      </c>
      <c r="H3069">
        <f t="shared" si="94"/>
        <v>7</v>
      </c>
      <c r="I3069">
        <v>0</v>
      </c>
      <c r="J3069">
        <v>0</v>
      </c>
      <c r="K3069">
        <v>0</v>
      </c>
      <c r="L3069">
        <f t="shared" si="95"/>
        <v>0</v>
      </c>
    </row>
    <row r="3070" spans="1:12">
      <c r="A3070" t="s">
        <v>4006</v>
      </c>
      <c r="B3070" t="s">
        <v>1614</v>
      </c>
      <c r="C3070" t="s">
        <v>2817</v>
      </c>
      <c r="D3070" t="s">
        <v>2818</v>
      </c>
      <c r="E3070">
        <v>15</v>
      </c>
      <c r="F3070">
        <v>0</v>
      </c>
      <c r="G3070">
        <v>0</v>
      </c>
      <c r="H3070">
        <f t="shared" si="94"/>
        <v>15</v>
      </c>
      <c r="I3070">
        <v>1</v>
      </c>
      <c r="J3070">
        <v>0</v>
      </c>
      <c r="K3070">
        <v>0</v>
      </c>
      <c r="L3070">
        <f t="shared" si="95"/>
        <v>1</v>
      </c>
    </row>
    <row r="3071" spans="1:12">
      <c r="A3071" t="s">
        <v>4006</v>
      </c>
      <c r="B3071" t="s">
        <v>1614</v>
      </c>
      <c r="C3071" t="s">
        <v>2820</v>
      </c>
      <c r="D3071" t="s">
        <v>2821</v>
      </c>
      <c r="E3071">
        <v>1</v>
      </c>
      <c r="F3071">
        <v>0</v>
      </c>
      <c r="G3071">
        <v>0</v>
      </c>
      <c r="H3071">
        <f t="shared" si="94"/>
        <v>1</v>
      </c>
      <c r="I3071">
        <v>0</v>
      </c>
      <c r="J3071">
        <v>0</v>
      </c>
      <c r="K3071">
        <v>0</v>
      </c>
      <c r="L3071">
        <f t="shared" si="95"/>
        <v>0</v>
      </c>
    </row>
    <row r="3072" spans="1:12">
      <c r="A3072" t="s">
        <v>4011</v>
      </c>
      <c r="B3072" t="s">
        <v>356</v>
      </c>
      <c r="C3072" t="s">
        <v>2805</v>
      </c>
      <c r="D3072" t="s">
        <v>2806</v>
      </c>
      <c r="E3072">
        <v>4</v>
      </c>
      <c r="F3072">
        <v>0</v>
      </c>
      <c r="G3072">
        <v>0</v>
      </c>
      <c r="H3072">
        <f t="shared" si="94"/>
        <v>4</v>
      </c>
      <c r="I3072">
        <v>0</v>
      </c>
      <c r="J3072">
        <v>0</v>
      </c>
      <c r="K3072">
        <v>0</v>
      </c>
      <c r="L3072">
        <f t="shared" si="95"/>
        <v>0</v>
      </c>
    </row>
    <row r="3073" spans="1:12">
      <c r="A3073" t="s">
        <v>4011</v>
      </c>
      <c r="B3073" t="s">
        <v>356</v>
      </c>
      <c r="C3073" t="s">
        <v>2805</v>
      </c>
      <c r="D3073" t="s">
        <v>449</v>
      </c>
      <c r="E3073">
        <v>18</v>
      </c>
      <c r="F3073">
        <v>0</v>
      </c>
      <c r="G3073">
        <v>0</v>
      </c>
      <c r="H3073">
        <f t="shared" si="94"/>
        <v>18</v>
      </c>
      <c r="I3073">
        <v>0</v>
      </c>
      <c r="J3073">
        <v>0</v>
      </c>
      <c r="K3073">
        <v>0</v>
      </c>
      <c r="L3073">
        <f t="shared" si="95"/>
        <v>0</v>
      </c>
    </row>
    <row r="3074" spans="1:12">
      <c r="A3074" t="s">
        <v>4011</v>
      </c>
      <c r="B3074" t="s">
        <v>356</v>
      </c>
      <c r="C3074" t="s">
        <v>2805</v>
      </c>
      <c r="D3074" t="s">
        <v>2807</v>
      </c>
      <c r="E3074">
        <v>2</v>
      </c>
      <c r="F3074">
        <v>0</v>
      </c>
      <c r="G3074">
        <v>0</v>
      </c>
      <c r="H3074">
        <f t="shared" si="94"/>
        <v>2</v>
      </c>
      <c r="I3074">
        <v>0</v>
      </c>
      <c r="J3074">
        <v>0</v>
      </c>
      <c r="K3074">
        <v>0</v>
      </c>
      <c r="L3074">
        <f t="shared" si="95"/>
        <v>0</v>
      </c>
    </row>
    <row r="3075" spans="1:12">
      <c r="A3075" t="s">
        <v>4011</v>
      </c>
      <c r="B3075" t="s">
        <v>356</v>
      </c>
      <c r="C3075" t="s">
        <v>2810</v>
      </c>
      <c r="D3075" t="s">
        <v>2811</v>
      </c>
      <c r="E3075">
        <v>8</v>
      </c>
      <c r="F3075">
        <v>0</v>
      </c>
      <c r="G3075">
        <v>0</v>
      </c>
      <c r="H3075">
        <f t="shared" si="94"/>
        <v>8</v>
      </c>
      <c r="I3075">
        <v>0</v>
      </c>
      <c r="J3075">
        <v>0</v>
      </c>
      <c r="K3075">
        <v>0</v>
      </c>
      <c r="L3075">
        <f t="shared" si="95"/>
        <v>0</v>
      </c>
    </row>
    <row r="3076" spans="1:12">
      <c r="A3076" t="s">
        <v>4011</v>
      </c>
      <c r="B3076" t="s">
        <v>356</v>
      </c>
      <c r="C3076" t="s">
        <v>2810</v>
      </c>
      <c r="D3076" t="s">
        <v>2896</v>
      </c>
      <c r="E3076">
        <v>3</v>
      </c>
      <c r="F3076">
        <v>0</v>
      </c>
      <c r="G3076">
        <v>0</v>
      </c>
      <c r="H3076">
        <f t="shared" ref="H3076:H3139" si="96">SUM(E3076:G3076)</f>
        <v>3</v>
      </c>
      <c r="I3076">
        <v>0</v>
      </c>
      <c r="J3076">
        <v>0</v>
      </c>
      <c r="K3076">
        <v>0</v>
      </c>
      <c r="L3076">
        <f t="shared" ref="L3076:L3139" si="97">SUM(I3076:K3076)</f>
        <v>0</v>
      </c>
    </row>
    <row r="3077" spans="1:12">
      <c r="A3077" t="s">
        <v>4011</v>
      </c>
      <c r="B3077" t="s">
        <v>356</v>
      </c>
      <c r="C3077" t="s">
        <v>2841</v>
      </c>
      <c r="D3077" t="s">
        <v>2842</v>
      </c>
      <c r="E3077">
        <v>0</v>
      </c>
      <c r="F3077">
        <v>0</v>
      </c>
      <c r="G3077">
        <v>0</v>
      </c>
      <c r="H3077">
        <f t="shared" si="96"/>
        <v>0</v>
      </c>
      <c r="I3077">
        <v>1</v>
      </c>
      <c r="J3077">
        <v>0</v>
      </c>
      <c r="K3077">
        <v>0</v>
      </c>
      <c r="L3077">
        <f t="shared" si="97"/>
        <v>1</v>
      </c>
    </row>
    <row r="3078" spans="1:12">
      <c r="A3078" t="s">
        <v>4014</v>
      </c>
      <c r="B3078" t="s">
        <v>1621</v>
      </c>
      <c r="C3078" t="s">
        <v>2805</v>
      </c>
      <c r="D3078" t="s">
        <v>2806</v>
      </c>
      <c r="E3078">
        <v>3</v>
      </c>
      <c r="F3078">
        <v>0</v>
      </c>
      <c r="G3078">
        <v>0</v>
      </c>
      <c r="H3078">
        <f t="shared" si="96"/>
        <v>3</v>
      </c>
      <c r="I3078">
        <v>0</v>
      </c>
      <c r="J3078">
        <v>0</v>
      </c>
      <c r="K3078">
        <v>0</v>
      </c>
      <c r="L3078">
        <f t="shared" si="97"/>
        <v>0</v>
      </c>
    </row>
    <row r="3079" spans="1:12">
      <c r="A3079" t="s">
        <v>4014</v>
      </c>
      <c r="B3079" t="s">
        <v>1621</v>
      </c>
      <c r="C3079" t="s">
        <v>2805</v>
      </c>
      <c r="D3079" t="s">
        <v>449</v>
      </c>
      <c r="E3079">
        <v>7</v>
      </c>
      <c r="F3079">
        <v>0</v>
      </c>
      <c r="G3079">
        <v>0</v>
      </c>
      <c r="H3079">
        <f t="shared" si="96"/>
        <v>7</v>
      </c>
      <c r="I3079">
        <v>0</v>
      </c>
      <c r="J3079">
        <v>0</v>
      </c>
      <c r="K3079">
        <v>0</v>
      </c>
      <c r="L3079">
        <f t="shared" si="97"/>
        <v>0</v>
      </c>
    </row>
    <row r="3080" spans="1:12">
      <c r="A3080" t="s">
        <v>4014</v>
      </c>
      <c r="B3080" t="s">
        <v>1621</v>
      </c>
      <c r="C3080" t="s">
        <v>2805</v>
      </c>
      <c r="D3080" t="s">
        <v>2807</v>
      </c>
      <c r="E3080">
        <v>2</v>
      </c>
      <c r="F3080">
        <v>0</v>
      </c>
      <c r="G3080">
        <v>0</v>
      </c>
      <c r="H3080">
        <f t="shared" si="96"/>
        <v>2</v>
      </c>
      <c r="I3080">
        <v>0</v>
      </c>
      <c r="J3080">
        <v>0</v>
      </c>
      <c r="K3080">
        <v>0</v>
      </c>
      <c r="L3080">
        <f t="shared" si="97"/>
        <v>0</v>
      </c>
    </row>
    <row r="3081" spans="1:12">
      <c r="A3081" t="s">
        <v>4014</v>
      </c>
      <c r="B3081" t="s">
        <v>1621</v>
      </c>
      <c r="C3081" t="s">
        <v>2810</v>
      </c>
      <c r="D3081" t="s">
        <v>2811</v>
      </c>
      <c r="E3081">
        <v>6</v>
      </c>
      <c r="F3081">
        <v>0</v>
      </c>
      <c r="G3081">
        <v>0</v>
      </c>
      <c r="H3081">
        <f t="shared" si="96"/>
        <v>6</v>
      </c>
      <c r="I3081">
        <v>0</v>
      </c>
      <c r="J3081">
        <v>0</v>
      </c>
      <c r="K3081">
        <v>0</v>
      </c>
      <c r="L3081">
        <f t="shared" si="97"/>
        <v>0</v>
      </c>
    </row>
    <row r="3082" spans="1:12">
      <c r="A3082" t="s">
        <v>4014</v>
      </c>
      <c r="B3082" t="s">
        <v>1621</v>
      </c>
      <c r="C3082" t="s">
        <v>2810</v>
      </c>
      <c r="D3082" t="s">
        <v>2823</v>
      </c>
      <c r="E3082">
        <v>0</v>
      </c>
      <c r="F3082">
        <v>1</v>
      </c>
      <c r="G3082">
        <v>0</v>
      </c>
      <c r="H3082">
        <f t="shared" si="96"/>
        <v>1</v>
      </c>
      <c r="I3082">
        <v>0</v>
      </c>
      <c r="J3082">
        <v>0</v>
      </c>
      <c r="K3082">
        <v>0</v>
      </c>
      <c r="L3082">
        <f t="shared" si="97"/>
        <v>0</v>
      </c>
    </row>
    <row r="3083" spans="1:12">
      <c r="A3083" t="s">
        <v>4014</v>
      </c>
      <c r="B3083" t="s">
        <v>1621</v>
      </c>
      <c r="C3083" t="s">
        <v>2810</v>
      </c>
      <c r="D3083" t="s">
        <v>2812</v>
      </c>
      <c r="E3083">
        <v>26</v>
      </c>
      <c r="F3083">
        <v>0</v>
      </c>
      <c r="G3083">
        <v>0</v>
      </c>
      <c r="H3083">
        <f t="shared" si="96"/>
        <v>26</v>
      </c>
      <c r="I3083">
        <v>0</v>
      </c>
      <c r="J3083">
        <v>0</v>
      </c>
      <c r="K3083">
        <v>0</v>
      </c>
      <c r="L3083">
        <f t="shared" si="97"/>
        <v>0</v>
      </c>
    </row>
    <row r="3084" spans="1:12">
      <c r="A3084" t="s">
        <v>4014</v>
      </c>
      <c r="B3084" t="s">
        <v>1621</v>
      </c>
      <c r="C3084" t="s">
        <v>2810</v>
      </c>
      <c r="D3084" t="s">
        <v>2813</v>
      </c>
      <c r="E3084">
        <v>11</v>
      </c>
      <c r="F3084">
        <v>0</v>
      </c>
      <c r="G3084">
        <v>0</v>
      </c>
      <c r="H3084">
        <f t="shared" si="96"/>
        <v>11</v>
      </c>
      <c r="I3084">
        <v>0</v>
      </c>
      <c r="J3084">
        <v>0</v>
      </c>
      <c r="K3084">
        <v>0</v>
      </c>
      <c r="L3084">
        <f t="shared" si="97"/>
        <v>0</v>
      </c>
    </row>
    <row r="3085" spans="1:12">
      <c r="A3085" t="s">
        <v>4014</v>
      </c>
      <c r="B3085" t="s">
        <v>1621</v>
      </c>
      <c r="C3085" t="s">
        <v>2810</v>
      </c>
      <c r="D3085" t="s">
        <v>2847</v>
      </c>
      <c r="E3085">
        <v>33</v>
      </c>
      <c r="F3085">
        <v>0</v>
      </c>
      <c r="G3085">
        <v>0</v>
      </c>
      <c r="H3085">
        <f t="shared" si="96"/>
        <v>33</v>
      </c>
      <c r="I3085">
        <v>0</v>
      </c>
      <c r="J3085">
        <v>0</v>
      </c>
      <c r="K3085">
        <v>0</v>
      </c>
      <c r="L3085">
        <f t="shared" si="97"/>
        <v>0</v>
      </c>
    </row>
    <row r="3086" spans="1:12">
      <c r="A3086" t="s">
        <v>4014</v>
      </c>
      <c r="B3086" t="s">
        <v>1621</v>
      </c>
      <c r="C3086" t="s">
        <v>2810</v>
      </c>
      <c r="D3086" t="s">
        <v>2840</v>
      </c>
      <c r="E3086">
        <v>27</v>
      </c>
      <c r="F3086">
        <v>0</v>
      </c>
      <c r="G3086">
        <v>0</v>
      </c>
      <c r="H3086">
        <f t="shared" si="96"/>
        <v>27</v>
      </c>
      <c r="I3086">
        <v>0</v>
      </c>
      <c r="J3086">
        <v>0</v>
      </c>
      <c r="K3086">
        <v>0</v>
      </c>
      <c r="L3086">
        <f t="shared" si="97"/>
        <v>0</v>
      </c>
    </row>
    <row r="3087" spans="1:12">
      <c r="A3087" t="s">
        <v>4021</v>
      </c>
      <c r="B3087" t="s">
        <v>1625</v>
      </c>
      <c r="C3087" t="s">
        <v>2805</v>
      </c>
      <c r="D3087" t="s">
        <v>2806</v>
      </c>
      <c r="E3087">
        <v>6</v>
      </c>
      <c r="F3087">
        <v>0</v>
      </c>
      <c r="G3087">
        <v>0</v>
      </c>
      <c r="H3087">
        <f t="shared" si="96"/>
        <v>6</v>
      </c>
      <c r="I3087">
        <v>0</v>
      </c>
      <c r="J3087">
        <v>0</v>
      </c>
      <c r="K3087">
        <v>0</v>
      </c>
      <c r="L3087">
        <f t="shared" si="97"/>
        <v>0</v>
      </c>
    </row>
    <row r="3088" spans="1:12">
      <c r="A3088" t="s">
        <v>4021</v>
      </c>
      <c r="B3088" t="s">
        <v>1625</v>
      </c>
      <c r="C3088" t="s">
        <v>2805</v>
      </c>
      <c r="D3088" t="s">
        <v>2807</v>
      </c>
      <c r="E3088">
        <v>2</v>
      </c>
      <c r="F3088">
        <v>0</v>
      </c>
      <c r="G3088">
        <v>0</v>
      </c>
      <c r="H3088">
        <f t="shared" si="96"/>
        <v>2</v>
      </c>
      <c r="I3088">
        <v>0</v>
      </c>
      <c r="J3088">
        <v>0</v>
      </c>
      <c r="K3088">
        <v>0</v>
      </c>
      <c r="L3088">
        <f t="shared" si="97"/>
        <v>0</v>
      </c>
    </row>
    <row r="3089" spans="1:12">
      <c r="A3089" t="s">
        <v>4021</v>
      </c>
      <c r="B3089" t="s">
        <v>1625</v>
      </c>
      <c r="C3089" t="s">
        <v>2810</v>
      </c>
      <c r="D3089" t="s">
        <v>2811</v>
      </c>
      <c r="E3089">
        <v>7</v>
      </c>
      <c r="F3089">
        <v>0</v>
      </c>
      <c r="G3089">
        <v>0</v>
      </c>
      <c r="H3089">
        <f t="shared" si="96"/>
        <v>7</v>
      </c>
      <c r="I3089">
        <v>0</v>
      </c>
      <c r="J3089">
        <v>0</v>
      </c>
      <c r="K3089">
        <v>0</v>
      </c>
      <c r="L3089">
        <f t="shared" si="97"/>
        <v>0</v>
      </c>
    </row>
    <row r="3090" spans="1:12">
      <c r="A3090" t="s">
        <v>4021</v>
      </c>
      <c r="B3090" t="s">
        <v>1625</v>
      </c>
      <c r="C3090" t="s">
        <v>2810</v>
      </c>
      <c r="D3090" t="s">
        <v>2823</v>
      </c>
      <c r="E3090">
        <v>0</v>
      </c>
      <c r="F3090">
        <v>10</v>
      </c>
      <c r="G3090">
        <v>0</v>
      </c>
      <c r="H3090">
        <f t="shared" si="96"/>
        <v>10</v>
      </c>
      <c r="I3090">
        <v>0</v>
      </c>
      <c r="J3090">
        <v>0</v>
      </c>
      <c r="K3090">
        <v>0</v>
      </c>
      <c r="L3090">
        <f t="shared" si="97"/>
        <v>0</v>
      </c>
    </row>
    <row r="3091" spans="1:12">
      <c r="A3091" t="s">
        <v>4021</v>
      </c>
      <c r="B3091" t="s">
        <v>1625</v>
      </c>
      <c r="C3091" t="s">
        <v>2810</v>
      </c>
      <c r="D3091" t="s">
        <v>2812</v>
      </c>
      <c r="E3091">
        <v>154</v>
      </c>
      <c r="F3091">
        <v>0</v>
      </c>
      <c r="G3091">
        <v>0</v>
      </c>
      <c r="H3091">
        <f t="shared" si="96"/>
        <v>154</v>
      </c>
      <c r="I3091">
        <v>0</v>
      </c>
      <c r="J3091">
        <v>0</v>
      </c>
      <c r="K3091">
        <v>0</v>
      </c>
      <c r="L3091">
        <f t="shared" si="97"/>
        <v>0</v>
      </c>
    </row>
    <row r="3092" spans="1:12">
      <c r="A3092" t="s">
        <v>4021</v>
      </c>
      <c r="B3092" t="s">
        <v>1625</v>
      </c>
      <c r="C3092" t="s">
        <v>2810</v>
      </c>
      <c r="D3092" t="s">
        <v>2813</v>
      </c>
      <c r="E3092">
        <v>4</v>
      </c>
      <c r="F3092">
        <v>0</v>
      </c>
      <c r="G3092">
        <v>0</v>
      </c>
      <c r="H3092">
        <f t="shared" si="96"/>
        <v>4</v>
      </c>
      <c r="I3092">
        <v>0</v>
      </c>
      <c r="J3092">
        <v>0</v>
      </c>
      <c r="K3092">
        <v>0</v>
      </c>
      <c r="L3092">
        <f t="shared" si="97"/>
        <v>0</v>
      </c>
    </row>
    <row r="3093" spans="1:12">
      <c r="A3093" t="s">
        <v>4021</v>
      </c>
      <c r="B3093" t="s">
        <v>1625</v>
      </c>
      <c r="C3093" t="s">
        <v>2810</v>
      </c>
      <c r="D3093" t="s">
        <v>2847</v>
      </c>
      <c r="E3093">
        <v>244</v>
      </c>
      <c r="F3093">
        <v>0</v>
      </c>
      <c r="G3093">
        <v>0</v>
      </c>
      <c r="H3093">
        <f t="shared" si="96"/>
        <v>244</v>
      </c>
      <c r="I3093">
        <v>0</v>
      </c>
      <c r="J3093">
        <v>0</v>
      </c>
      <c r="K3093">
        <v>0</v>
      </c>
      <c r="L3093">
        <f t="shared" si="97"/>
        <v>0</v>
      </c>
    </row>
    <row r="3094" spans="1:12">
      <c r="A3094" t="s">
        <v>4021</v>
      </c>
      <c r="B3094" t="s">
        <v>1625</v>
      </c>
      <c r="C3094" t="s">
        <v>2810</v>
      </c>
      <c r="D3094" t="s">
        <v>2815</v>
      </c>
      <c r="E3094">
        <v>9</v>
      </c>
      <c r="F3094">
        <v>0</v>
      </c>
      <c r="G3094">
        <v>0</v>
      </c>
      <c r="H3094">
        <f t="shared" si="96"/>
        <v>9</v>
      </c>
      <c r="I3094">
        <v>0</v>
      </c>
      <c r="J3094">
        <v>0</v>
      </c>
      <c r="K3094">
        <v>0</v>
      </c>
      <c r="L3094">
        <f t="shared" si="97"/>
        <v>0</v>
      </c>
    </row>
    <row r="3095" spans="1:12">
      <c r="A3095" t="s">
        <v>4028</v>
      </c>
      <c r="B3095" t="s">
        <v>1627</v>
      </c>
      <c r="C3095" t="s">
        <v>2805</v>
      </c>
      <c r="D3095" t="s">
        <v>2806</v>
      </c>
      <c r="E3095">
        <v>11</v>
      </c>
      <c r="F3095">
        <v>0</v>
      </c>
      <c r="G3095">
        <v>0</v>
      </c>
      <c r="H3095">
        <f t="shared" si="96"/>
        <v>11</v>
      </c>
      <c r="I3095">
        <v>0</v>
      </c>
      <c r="J3095">
        <v>0</v>
      </c>
      <c r="K3095">
        <v>0</v>
      </c>
      <c r="L3095">
        <f t="shared" si="97"/>
        <v>0</v>
      </c>
    </row>
    <row r="3096" spans="1:12">
      <c r="A3096" t="s">
        <v>4028</v>
      </c>
      <c r="B3096" t="s">
        <v>1627</v>
      </c>
      <c r="C3096" t="s">
        <v>2805</v>
      </c>
      <c r="D3096" t="s">
        <v>449</v>
      </c>
      <c r="E3096">
        <v>27</v>
      </c>
      <c r="F3096">
        <v>0</v>
      </c>
      <c r="G3096">
        <v>0</v>
      </c>
      <c r="H3096">
        <f t="shared" si="96"/>
        <v>27</v>
      </c>
      <c r="I3096">
        <v>0</v>
      </c>
      <c r="J3096">
        <v>0</v>
      </c>
      <c r="K3096">
        <v>0</v>
      </c>
      <c r="L3096">
        <f t="shared" si="97"/>
        <v>0</v>
      </c>
    </row>
    <row r="3097" spans="1:12">
      <c r="A3097" t="s">
        <v>4028</v>
      </c>
      <c r="B3097" t="s">
        <v>1627</v>
      </c>
      <c r="C3097" t="s">
        <v>2805</v>
      </c>
      <c r="D3097" t="s">
        <v>2807</v>
      </c>
      <c r="E3097">
        <v>9</v>
      </c>
      <c r="F3097">
        <v>0</v>
      </c>
      <c r="G3097">
        <v>0</v>
      </c>
      <c r="H3097">
        <f t="shared" si="96"/>
        <v>9</v>
      </c>
      <c r="I3097">
        <v>0</v>
      </c>
      <c r="J3097">
        <v>0</v>
      </c>
      <c r="K3097">
        <v>0</v>
      </c>
      <c r="L3097">
        <f t="shared" si="97"/>
        <v>0</v>
      </c>
    </row>
    <row r="3098" spans="1:12">
      <c r="A3098" t="s">
        <v>4028</v>
      </c>
      <c r="B3098" t="s">
        <v>1627</v>
      </c>
      <c r="C3098" t="s">
        <v>2810</v>
      </c>
      <c r="D3098" t="s">
        <v>2813</v>
      </c>
      <c r="E3098">
        <v>2</v>
      </c>
      <c r="F3098">
        <v>0</v>
      </c>
      <c r="G3098">
        <v>0</v>
      </c>
      <c r="H3098">
        <f t="shared" si="96"/>
        <v>2</v>
      </c>
      <c r="I3098">
        <v>0</v>
      </c>
      <c r="J3098">
        <v>0</v>
      </c>
      <c r="K3098">
        <v>0</v>
      </c>
      <c r="L3098">
        <f t="shared" si="97"/>
        <v>0</v>
      </c>
    </row>
    <row r="3099" spans="1:12">
      <c r="A3099" t="s">
        <v>4028</v>
      </c>
      <c r="B3099" t="s">
        <v>1627</v>
      </c>
      <c r="C3099" t="s">
        <v>2810</v>
      </c>
      <c r="D3099" t="s">
        <v>2814</v>
      </c>
      <c r="E3099">
        <v>20</v>
      </c>
      <c r="F3099">
        <v>0</v>
      </c>
      <c r="G3099">
        <v>0</v>
      </c>
      <c r="H3099">
        <f t="shared" si="96"/>
        <v>20</v>
      </c>
      <c r="I3099">
        <v>0</v>
      </c>
      <c r="J3099">
        <v>0</v>
      </c>
      <c r="K3099">
        <v>0</v>
      </c>
      <c r="L3099">
        <f t="shared" si="97"/>
        <v>0</v>
      </c>
    </row>
    <row r="3100" spans="1:12">
      <c r="A3100" t="s">
        <v>4028</v>
      </c>
      <c r="B3100" t="s">
        <v>1627</v>
      </c>
      <c r="C3100" t="s">
        <v>2810</v>
      </c>
      <c r="D3100" t="s">
        <v>2815</v>
      </c>
      <c r="E3100">
        <v>23</v>
      </c>
      <c r="F3100">
        <v>0</v>
      </c>
      <c r="G3100">
        <v>0</v>
      </c>
      <c r="H3100">
        <f t="shared" si="96"/>
        <v>23</v>
      </c>
      <c r="I3100">
        <v>0</v>
      </c>
      <c r="J3100">
        <v>0</v>
      </c>
      <c r="K3100">
        <v>0</v>
      </c>
      <c r="L3100">
        <f t="shared" si="97"/>
        <v>0</v>
      </c>
    </row>
    <row r="3101" spans="1:12">
      <c r="A3101" t="s">
        <v>4028</v>
      </c>
      <c r="B3101" t="s">
        <v>1627</v>
      </c>
      <c r="C3101" t="s">
        <v>2826</v>
      </c>
      <c r="D3101" t="s">
        <v>2858</v>
      </c>
      <c r="E3101">
        <v>2</v>
      </c>
      <c r="F3101">
        <v>0</v>
      </c>
      <c r="G3101">
        <v>0</v>
      </c>
      <c r="H3101">
        <f t="shared" si="96"/>
        <v>2</v>
      </c>
      <c r="I3101">
        <v>1</v>
      </c>
      <c r="J3101">
        <v>0</v>
      </c>
      <c r="K3101">
        <v>0</v>
      </c>
      <c r="L3101">
        <f t="shared" si="97"/>
        <v>1</v>
      </c>
    </row>
    <row r="3102" spans="1:12">
      <c r="A3102" t="s">
        <v>4028</v>
      </c>
      <c r="B3102" t="s">
        <v>1627</v>
      </c>
      <c r="C3102" t="s">
        <v>2826</v>
      </c>
      <c r="D3102" t="s">
        <v>2843</v>
      </c>
      <c r="E3102">
        <v>2</v>
      </c>
      <c r="F3102">
        <v>0</v>
      </c>
      <c r="G3102">
        <v>0</v>
      </c>
      <c r="H3102">
        <f t="shared" si="96"/>
        <v>2</v>
      </c>
      <c r="I3102">
        <v>1</v>
      </c>
      <c r="J3102">
        <v>0</v>
      </c>
      <c r="K3102">
        <v>0</v>
      </c>
      <c r="L3102">
        <f t="shared" si="97"/>
        <v>1</v>
      </c>
    </row>
    <row r="3103" spans="1:12">
      <c r="A3103" t="s">
        <v>4028</v>
      </c>
      <c r="B3103" t="s">
        <v>1627</v>
      </c>
      <c r="C3103" t="s">
        <v>2826</v>
      </c>
      <c r="D3103" t="s">
        <v>2834</v>
      </c>
      <c r="E3103">
        <v>1</v>
      </c>
      <c r="F3103">
        <v>0</v>
      </c>
      <c r="G3103">
        <v>0</v>
      </c>
      <c r="H3103">
        <f t="shared" si="96"/>
        <v>1</v>
      </c>
      <c r="I3103">
        <v>2</v>
      </c>
      <c r="J3103">
        <v>0</v>
      </c>
      <c r="K3103">
        <v>0</v>
      </c>
      <c r="L3103">
        <f t="shared" si="97"/>
        <v>2</v>
      </c>
    </row>
    <row r="3104" spans="1:12">
      <c r="A3104" t="s">
        <v>4028</v>
      </c>
      <c r="B3104" t="s">
        <v>1627</v>
      </c>
      <c r="C3104" t="s">
        <v>2817</v>
      </c>
      <c r="D3104" t="s">
        <v>2877</v>
      </c>
      <c r="E3104">
        <v>1</v>
      </c>
      <c r="F3104">
        <v>0</v>
      </c>
      <c r="G3104">
        <v>0</v>
      </c>
      <c r="H3104">
        <f t="shared" si="96"/>
        <v>1</v>
      </c>
      <c r="I3104">
        <v>0</v>
      </c>
      <c r="J3104">
        <v>0</v>
      </c>
      <c r="K3104">
        <v>0</v>
      </c>
      <c r="L3104">
        <f t="shared" si="97"/>
        <v>0</v>
      </c>
    </row>
    <row r="3105" spans="1:12">
      <c r="A3105" t="s">
        <v>4028</v>
      </c>
      <c r="B3105" t="s">
        <v>1627</v>
      </c>
      <c r="C3105" t="s">
        <v>2820</v>
      </c>
      <c r="D3105" t="s">
        <v>2821</v>
      </c>
      <c r="E3105">
        <v>1</v>
      </c>
      <c r="F3105">
        <v>0</v>
      </c>
      <c r="G3105">
        <v>0</v>
      </c>
      <c r="H3105">
        <f t="shared" si="96"/>
        <v>1</v>
      </c>
      <c r="I3105">
        <v>0</v>
      </c>
      <c r="J3105">
        <v>0</v>
      </c>
      <c r="K3105">
        <v>0</v>
      </c>
      <c r="L3105">
        <f t="shared" si="97"/>
        <v>0</v>
      </c>
    </row>
    <row r="3106" spans="1:12">
      <c r="A3106" t="s">
        <v>4033</v>
      </c>
      <c r="B3106" t="s">
        <v>1631</v>
      </c>
      <c r="C3106" t="s">
        <v>2805</v>
      </c>
      <c r="D3106" t="s">
        <v>2806</v>
      </c>
      <c r="E3106">
        <v>12</v>
      </c>
      <c r="F3106">
        <v>0</v>
      </c>
      <c r="G3106">
        <v>0</v>
      </c>
      <c r="H3106">
        <f t="shared" si="96"/>
        <v>12</v>
      </c>
      <c r="I3106">
        <v>0</v>
      </c>
      <c r="J3106">
        <v>0</v>
      </c>
      <c r="K3106">
        <v>0</v>
      </c>
      <c r="L3106">
        <f t="shared" si="97"/>
        <v>0</v>
      </c>
    </row>
    <row r="3107" spans="1:12">
      <c r="A3107" t="s">
        <v>4033</v>
      </c>
      <c r="B3107" t="s">
        <v>1631</v>
      </c>
      <c r="C3107" t="s">
        <v>2805</v>
      </c>
      <c r="D3107" t="s">
        <v>449</v>
      </c>
      <c r="E3107">
        <v>111</v>
      </c>
      <c r="F3107">
        <v>0</v>
      </c>
      <c r="G3107">
        <v>0</v>
      </c>
      <c r="H3107">
        <f t="shared" si="96"/>
        <v>111</v>
      </c>
      <c r="I3107">
        <v>5</v>
      </c>
      <c r="J3107">
        <v>0</v>
      </c>
      <c r="K3107">
        <v>0</v>
      </c>
      <c r="L3107">
        <f t="shared" si="97"/>
        <v>5</v>
      </c>
    </row>
    <row r="3108" spans="1:12">
      <c r="A3108" t="s">
        <v>4033</v>
      </c>
      <c r="B3108" t="s">
        <v>1631</v>
      </c>
      <c r="C3108" t="s">
        <v>2805</v>
      </c>
      <c r="D3108" t="s">
        <v>2807</v>
      </c>
      <c r="E3108">
        <v>4</v>
      </c>
      <c r="F3108">
        <v>0</v>
      </c>
      <c r="G3108">
        <v>0</v>
      </c>
      <c r="H3108">
        <f t="shared" si="96"/>
        <v>4</v>
      </c>
      <c r="I3108">
        <v>0</v>
      </c>
      <c r="J3108">
        <v>0</v>
      </c>
      <c r="K3108">
        <v>0</v>
      </c>
      <c r="L3108">
        <f t="shared" si="97"/>
        <v>0</v>
      </c>
    </row>
    <row r="3109" spans="1:12">
      <c r="A3109" t="s">
        <v>4033</v>
      </c>
      <c r="B3109" t="s">
        <v>1631</v>
      </c>
      <c r="C3109" t="s">
        <v>2810</v>
      </c>
      <c r="D3109" t="s">
        <v>2811</v>
      </c>
      <c r="E3109">
        <v>16</v>
      </c>
      <c r="F3109">
        <v>0</v>
      </c>
      <c r="G3109">
        <v>0</v>
      </c>
      <c r="H3109">
        <f t="shared" si="96"/>
        <v>16</v>
      </c>
      <c r="I3109">
        <v>0</v>
      </c>
      <c r="J3109">
        <v>0</v>
      </c>
      <c r="K3109">
        <v>0</v>
      </c>
      <c r="L3109">
        <f t="shared" si="97"/>
        <v>0</v>
      </c>
    </row>
    <row r="3110" spans="1:12">
      <c r="A3110" t="s">
        <v>4033</v>
      </c>
      <c r="B3110" t="s">
        <v>1631</v>
      </c>
      <c r="C3110" t="s">
        <v>2810</v>
      </c>
      <c r="D3110" t="s">
        <v>2812</v>
      </c>
      <c r="E3110">
        <v>5</v>
      </c>
      <c r="F3110">
        <v>0</v>
      </c>
      <c r="G3110">
        <v>0</v>
      </c>
      <c r="H3110">
        <f t="shared" si="96"/>
        <v>5</v>
      </c>
      <c r="I3110">
        <v>0</v>
      </c>
      <c r="J3110">
        <v>0</v>
      </c>
      <c r="K3110">
        <v>0</v>
      </c>
      <c r="L3110">
        <f t="shared" si="97"/>
        <v>0</v>
      </c>
    </row>
    <row r="3111" spans="1:12">
      <c r="A3111" t="s">
        <v>4033</v>
      </c>
      <c r="B3111" t="s">
        <v>1631</v>
      </c>
      <c r="C3111" t="s">
        <v>2810</v>
      </c>
      <c r="D3111" t="s">
        <v>2813</v>
      </c>
      <c r="E3111">
        <v>4</v>
      </c>
      <c r="F3111">
        <v>0</v>
      </c>
      <c r="G3111">
        <v>0</v>
      </c>
      <c r="H3111">
        <f t="shared" si="96"/>
        <v>4</v>
      </c>
      <c r="I3111">
        <v>1</v>
      </c>
      <c r="J3111">
        <v>0</v>
      </c>
      <c r="K3111">
        <v>0</v>
      </c>
      <c r="L3111">
        <f t="shared" si="97"/>
        <v>1</v>
      </c>
    </row>
    <row r="3112" spans="1:12">
      <c r="A3112" t="s">
        <v>4033</v>
      </c>
      <c r="B3112" t="s">
        <v>1631</v>
      </c>
      <c r="C3112" t="s">
        <v>2810</v>
      </c>
      <c r="D3112" t="s">
        <v>2847</v>
      </c>
      <c r="E3112">
        <v>22</v>
      </c>
      <c r="F3112">
        <v>0</v>
      </c>
      <c r="G3112">
        <v>0</v>
      </c>
      <c r="H3112">
        <f t="shared" si="96"/>
        <v>22</v>
      </c>
      <c r="I3112">
        <v>0</v>
      </c>
      <c r="J3112">
        <v>0</v>
      </c>
      <c r="K3112">
        <v>0</v>
      </c>
      <c r="L3112">
        <f t="shared" si="97"/>
        <v>0</v>
      </c>
    </row>
    <row r="3113" spans="1:12">
      <c r="A3113" t="s">
        <v>4033</v>
      </c>
      <c r="B3113" t="s">
        <v>1631</v>
      </c>
      <c r="C3113" t="s">
        <v>2810</v>
      </c>
      <c r="D3113" t="s">
        <v>2815</v>
      </c>
      <c r="E3113">
        <v>2</v>
      </c>
      <c r="F3113">
        <v>0</v>
      </c>
      <c r="G3113">
        <v>0</v>
      </c>
      <c r="H3113">
        <f t="shared" si="96"/>
        <v>2</v>
      </c>
      <c r="I3113">
        <v>0</v>
      </c>
      <c r="J3113">
        <v>0</v>
      </c>
      <c r="K3113">
        <v>0</v>
      </c>
      <c r="L3113">
        <f t="shared" si="97"/>
        <v>0</v>
      </c>
    </row>
    <row r="3114" spans="1:12">
      <c r="A3114" t="s">
        <v>4033</v>
      </c>
      <c r="B3114" t="s">
        <v>1631</v>
      </c>
      <c r="C3114" t="s">
        <v>2816</v>
      </c>
      <c r="D3114" t="s">
        <v>1897</v>
      </c>
      <c r="E3114">
        <v>3</v>
      </c>
      <c r="F3114">
        <v>0</v>
      </c>
      <c r="G3114">
        <v>0</v>
      </c>
      <c r="H3114">
        <f t="shared" si="96"/>
        <v>3</v>
      </c>
      <c r="I3114">
        <v>0</v>
      </c>
      <c r="J3114">
        <v>0</v>
      </c>
      <c r="K3114">
        <v>0</v>
      </c>
      <c r="L3114">
        <f t="shared" si="97"/>
        <v>0</v>
      </c>
    </row>
    <row r="3115" spans="1:12">
      <c r="A3115" t="s">
        <v>4033</v>
      </c>
      <c r="B3115" t="s">
        <v>1631</v>
      </c>
      <c r="C3115" t="s">
        <v>2826</v>
      </c>
      <c r="D3115" t="s">
        <v>2871</v>
      </c>
      <c r="E3115">
        <v>0</v>
      </c>
      <c r="F3115">
        <v>0</v>
      </c>
      <c r="G3115">
        <v>0</v>
      </c>
      <c r="H3115">
        <f t="shared" si="96"/>
        <v>0</v>
      </c>
      <c r="I3115">
        <v>2</v>
      </c>
      <c r="J3115">
        <v>0</v>
      </c>
      <c r="K3115">
        <v>0</v>
      </c>
      <c r="L3115">
        <f t="shared" si="97"/>
        <v>2</v>
      </c>
    </row>
    <row r="3116" spans="1:12">
      <c r="A3116" t="s">
        <v>4033</v>
      </c>
      <c r="B3116" t="s">
        <v>1631</v>
      </c>
      <c r="C3116" t="s">
        <v>2826</v>
      </c>
      <c r="D3116" t="s">
        <v>2827</v>
      </c>
      <c r="E3116">
        <v>0</v>
      </c>
      <c r="F3116">
        <v>0</v>
      </c>
      <c r="G3116">
        <v>0</v>
      </c>
      <c r="H3116">
        <f t="shared" si="96"/>
        <v>0</v>
      </c>
      <c r="I3116">
        <v>2</v>
      </c>
      <c r="J3116">
        <v>0</v>
      </c>
      <c r="K3116">
        <v>0</v>
      </c>
      <c r="L3116">
        <f t="shared" si="97"/>
        <v>2</v>
      </c>
    </row>
    <row r="3117" spans="1:12">
      <c r="A3117" t="s">
        <v>4033</v>
      </c>
      <c r="B3117" t="s">
        <v>1631</v>
      </c>
      <c r="C3117" t="s">
        <v>2826</v>
      </c>
      <c r="D3117" t="s">
        <v>2829</v>
      </c>
      <c r="E3117">
        <v>0</v>
      </c>
      <c r="F3117">
        <v>0</v>
      </c>
      <c r="G3117">
        <v>0</v>
      </c>
      <c r="H3117">
        <f t="shared" si="96"/>
        <v>0</v>
      </c>
      <c r="I3117">
        <v>1</v>
      </c>
      <c r="J3117">
        <v>0</v>
      </c>
      <c r="K3117">
        <v>0</v>
      </c>
      <c r="L3117">
        <f t="shared" si="97"/>
        <v>1</v>
      </c>
    </row>
    <row r="3118" spans="1:12">
      <c r="A3118" t="s">
        <v>4033</v>
      </c>
      <c r="B3118" t="s">
        <v>1631</v>
      </c>
      <c r="C3118" t="s">
        <v>2826</v>
      </c>
      <c r="D3118" t="s">
        <v>2891</v>
      </c>
      <c r="E3118">
        <v>0</v>
      </c>
      <c r="F3118">
        <v>0</v>
      </c>
      <c r="G3118">
        <v>0</v>
      </c>
      <c r="H3118">
        <f t="shared" si="96"/>
        <v>0</v>
      </c>
      <c r="I3118">
        <v>1</v>
      </c>
      <c r="J3118">
        <v>0</v>
      </c>
      <c r="K3118">
        <v>0</v>
      </c>
      <c r="L3118">
        <f t="shared" si="97"/>
        <v>1</v>
      </c>
    </row>
    <row r="3119" spans="1:12">
      <c r="A3119" t="s">
        <v>4033</v>
      </c>
      <c r="B3119" t="s">
        <v>1631</v>
      </c>
      <c r="C3119" t="s">
        <v>2826</v>
      </c>
      <c r="D3119" t="s">
        <v>2830</v>
      </c>
      <c r="E3119">
        <v>0</v>
      </c>
      <c r="F3119">
        <v>0</v>
      </c>
      <c r="G3119">
        <v>0</v>
      </c>
      <c r="H3119">
        <f t="shared" si="96"/>
        <v>0</v>
      </c>
      <c r="I3119">
        <v>1</v>
      </c>
      <c r="J3119">
        <v>0</v>
      </c>
      <c r="K3119">
        <v>0</v>
      </c>
      <c r="L3119">
        <f t="shared" si="97"/>
        <v>1</v>
      </c>
    </row>
    <row r="3120" spans="1:12">
      <c r="A3120" t="s">
        <v>4033</v>
      </c>
      <c r="B3120" t="s">
        <v>1631</v>
      </c>
      <c r="C3120" t="s">
        <v>2826</v>
      </c>
      <c r="D3120" t="s">
        <v>2831</v>
      </c>
      <c r="E3120">
        <v>0</v>
      </c>
      <c r="F3120">
        <v>0</v>
      </c>
      <c r="G3120">
        <v>0</v>
      </c>
      <c r="H3120">
        <f t="shared" si="96"/>
        <v>0</v>
      </c>
      <c r="I3120">
        <v>1</v>
      </c>
      <c r="J3120">
        <v>0</v>
      </c>
      <c r="K3120">
        <v>0</v>
      </c>
      <c r="L3120">
        <f t="shared" si="97"/>
        <v>1</v>
      </c>
    </row>
    <row r="3121" spans="1:12">
      <c r="A3121" t="s">
        <v>4033</v>
      </c>
      <c r="B3121" t="s">
        <v>1631</v>
      </c>
      <c r="C3121" t="s">
        <v>2826</v>
      </c>
      <c r="D3121" t="s">
        <v>2843</v>
      </c>
      <c r="E3121">
        <v>0</v>
      </c>
      <c r="F3121">
        <v>0</v>
      </c>
      <c r="G3121">
        <v>0</v>
      </c>
      <c r="H3121">
        <f t="shared" si="96"/>
        <v>0</v>
      </c>
      <c r="I3121">
        <v>1</v>
      </c>
      <c r="J3121">
        <v>0</v>
      </c>
      <c r="K3121">
        <v>0</v>
      </c>
      <c r="L3121">
        <f t="shared" si="97"/>
        <v>1</v>
      </c>
    </row>
    <row r="3122" spans="1:12">
      <c r="A3122" t="s">
        <v>4033</v>
      </c>
      <c r="B3122" t="s">
        <v>1631</v>
      </c>
      <c r="C3122" t="s">
        <v>2826</v>
      </c>
      <c r="D3122" t="s">
        <v>2834</v>
      </c>
      <c r="E3122">
        <v>0</v>
      </c>
      <c r="F3122">
        <v>0</v>
      </c>
      <c r="G3122">
        <v>0</v>
      </c>
      <c r="H3122">
        <f t="shared" si="96"/>
        <v>0</v>
      </c>
      <c r="I3122">
        <v>1</v>
      </c>
      <c r="J3122">
        <v>0</v>
      </c>
      <c r="K3122">
        <v>0</v>
      </c>
      <c r="L3122">
        <f t="shared" si="97"/>
        <v>1</v>
      </c>
    </row>
    <row r="3123" spans="1:12">
      <c r="A3123" t="s">
        <v>4033</v>
      </c>
      <c r="B3123" t="s">
        <v>1631</v>
      </c>
      <c r="C3123" t="s">
        <v>2826</v>
      </c>
      <c r="D3123" t="s">
        <v>2835</v>
      </c>
      <c r="E3123">
        <v>0</v>
      </c>
      <c r="F3123">
        <v>0</v>
      </c>
      <c r="G3123">
        <v>0</v>
      </c>
      <c r="H3123">
        <f t="shared" si="96"/>
        <v>0</v>
      </c>
      <c r="I3123">
        <v>1</v>
      </c>
      <c r="J3123">
        <v>0</v>
      </c>
      <c r="K3123">
        <v>0</v>
      </c>
      <c r="L3123">
        <f t="shared" si="97"/>
        <v>1</v>
      </c>
    </row>
    <row r="3124" spans="1:12">
      <c r="A3124" t="s">
        <v>4033</v>
      </c>
      <c r="B3124" t="s">
        <v>1631</v>
      </c>
      <c r="C3124" t="s">
        <v>2826</v>
      </c>
      <c r="D3124" t="s">
        <v>2849</v>
      </c>
      <c r="E3124">
        <v>0</v>
      </c>
      <c r="F3124">
        <v>0</v>
      </c>
      <c r="G3124">
        <v>0</v>
      </c>
      <c r="H3124">
        <f t="shared" si="96"/>
        <v>0</v>
      </c>
      <c r="I3124">
        <v>1</v>
      </c>
      <c r="J3124">
        <v>0</v>
      </c>
      <c r="K3124">
        <v>0</v>
      </c>
      <c r="L3124">
        <f t="shared" si="97"/>
        <v>1</v>
      </c>
    </row>
    <row r="3125" spans="1:12">
      <c r="A3125" t="s">
        <v>4033</v>
      </c>
      <c r="B3125" t="s">
        <v>1631</v>
      </c>
      <c r="C3125" t="s">
        <v>2826</v>
      </c>
      <c r="D3125" t="s">
        <v>2836</v>
      </c>
      <c r="E3125">
        <v>0</v>
      </c>
      <c r="F3125">
        <v>0</v>
      </c>
      <c r="G3125">
        <v>0</v>
      </c>
      <c r="H3125">
        <f t="shared" si="96"/>
        <v>0</v>
      </c>
      <c r="I3125">
        <v>1</v>
      </c>
      <c r="J3125">
        <v>0</v>
      </c>
      <c r="K3125">
        <v>0</v>
      </c>
      <c r="L3125">
        <f t="shared" si="97"/>
        <v>1</v>
      </c>
    </row>
    <row r="3126" spans="1:12">
      <c r="A3126" t="s">
        <v>4034</v>
      </c>
      <c r="B3126" t="s">
        <v>1636</v>
      </c>
      <c r="C3126" t="s">
        <v>2810</v>
      </c>
      <c r="D3126" t="s">
        <v>2813</v>
      </c>
      <c r="E3126">
        <v>3</v>
      </c>
      <c r="F3126">
        <v>0</v>
      </c>
      <c r="G3126">
        <v>0</v>
      </c>
      <c r="H3126">
        <f t="shared" si="96"/>
        <v>3</v>
      </c>
      <c r="I3126">
        <v>0</v>
      </c>
      <c r="J3126">
        <v>0</v>
      </c>
      <c r="K3126">
        <v>0</v>
      </c>
      <c r="L3126">
        <f t="shared" si="97"/>
        <v>0</v>
      </c>
    </row>
    <row r="3127" spans="1:12">
      <c r="A3127" t="s">
        <v>4035</v>
      </c>
      <c r="B3127" t="s">
        <v>1639</v>
      </c>
      <c r="C3127" t="s">
        <v>2805</v>
      </c>
      <c r="D3127" t="s">
        <v>2806</v>
      </c>
      <c r="E3127">
        <v>21</v>
      </c>
      <c r="F3127">
        <v>0</v>
      </c>
      <c r="G3127">
        <v>0</v>
      </c>
      <c r="H3127">
        <f t="shared" si="96"/>
        <v>21</v>
      </c>
      <c r="I3127">
        <v>0</v>
      </c>
      <c r="J3127">
        <v>0</v>
      </c>
      <c r="K3127">
        <v>0</v>
      </c>
      <c r="L3127">
        <f t="shared" si="97"/>
        <v>0</v>
      </c>
    </row>
    <row r="3128" spans="1:12">
      <c r="A3128" t="s">
        <v>4035</v>
      </c>
      <c r="B3128" t="s">
        <v>1639</v>
      </c>
      <c r="C3128" t="s">
        <v>2805</v>
      </c>
      <c r="D3128" t="s">
        <v>449</v>
      </c>
      <c r="E3128">
        <v>40</v>
      </c>
      <c r="F3128">
        <v>0</v>
      </c>
      <c r="G3128">
        <v>0</v>
      </c>
      <c r="H3128">
        <f t="shared" si="96"/>
        <v>40</v>
      </c>
      <c r="I3128">
        <v>0</v>
      </c>
      <c r="J3128">
        <v>0</v>
      </c>
      <c r="K3128">
        <v>0</v>
      </c>
      <c r="L3128">
        <f t="shared" si="97"/>
        <v>0</v>
      </c>
    </row>
    <row r="3129" spans="1:12">
      <c r="A3129" t="s">
        <v>4035</v>
      </c>
      <c r="B3129" t="s">
        <v>1639</v>
      </c>
      <c r="C3129" t="s">
        <v>2805</v>
      </c>
      <c r="D3129" t="s">
        <v>2807</v>
      </c>
      <c r="E3129">
        <v>1</v>
      </c>
      <c r="F3129">
        <v>0</v>
      </c>
      <c r="G3129">
        <v>0</v>
      </c>
      <c r="H3129">
        <f t="shared" si="96"/>
        <v>1</v>
      </c>
      <c r="I3129">
        <v>0</v>
      </c>
      <c r="J3129">
        <v>0</v>
      </c>
      <c r="K3129">
        <v>0</v>
      </c>
      <c r="L3129">
        <f t="shared" si="97"/>
        <v>0</v>
      </c>
    </row>
    <row r="3130" spans="1:12">
      <c r="A3130" t="s">
        <v>4035</v>
      </c>
      <c r="B3130" t="s">
        <v>1639</v>
      </c>
      <c r="C3130" t="s">
        <v>2805</v>
      </c>
      <c r="D3130" t="s">
        <v>2937</v>
      </c>
      <c r="E3130">
        <v>8</v>
      </c>
      <c r="F3130">
        <v>0</v>
      </c>
      <c r="G3130">
        <v>0</v>
      </c>
      <c r="H3130">
        <f t="shared" si="96"/>
        <v>8</v>
      </c>
      <c r="I3130">
        <v>0</v>
      </c>
      <c r="J3130">
        <v>0</v>
      </c>
      <c r="K3130">
        <v>0</v>
      </c>
      <c r="L3130">
        <f t="shared" si="97"/>
        <v>0</v>
      </c>
    </row>
    <row r="3131" spans="1:12">
      <c r="A3131" t="s">
        <v>4035</v>
      </c>
      <c r="B3131" t="s">
        <v>1639</v>
      </c>
      <c r="C3131" t="s">
        <v>2810</v>
      </c>
      <c r="D3131" t="s">
        <v>2811</v>
      </c>
      <c r="E3131">
        <v>4</v>
      </c>
      <c r="F3131">
        <v>0</v>
      </c>
      <c r="G3131">
        <v>0</v>
      </c>
      <c r="H3131">
        <f t="shared" si="96"/>
        <v>4</v>
      </c>
      <c r="I3131">
        <v>0</v>
      </c>
      <c r="J3131">
        <v>0</v>
      </c>
      <c r="K3131">
        <v>0</v>
      </c>
      <c r="L3131">
        <f t="shared" si="97"/>
        <v>0</v>
      </c>
    </row>
    <row r="3132" spans="1:12">
      <c r="A3132" t="s">
        <v>4035</v>
      </c>
      <c r="B3132" t="s">
        <v>1639</v>
      </c>
      <c r="C3132" t="s">
        <v>2816</v>
      </c>
      <c r="D3132" t="s">
        <v>1897</v>
      </c>
      <c r="E3132">
        <v>15</v>
      </c>
      <c r="F3132">
        <v>0</v>
      </c>
      <c r="G3132">
        <v>0</v>
      </c>
      <c r="H3132">
        <f t="shared" si="96"/>
        <v>15</v>
      </c>
      <c r="I3132">
        <v>0</v>
      </c>
      <c r="J3132">
        <v>0</v>
      </c>
      <c r="K3132">
        <v>0</v>
      </c>
      <c r="L3132">
        <f t="shared" si="97"/>
        <v>0</v>
      </c>
    </row>
    <row r="3133" spans="1:12">
      <c r="A3133" t="s">
        <v>4042</v>
      </c>
      <c r="B3133" t="s">
        <v>1641</v>
      </c>
      <c r="C3133" t="s">
        <v>2805</v>
      </c>
      <c r="D3133" t="s">
        <v>2806</v>
      </c>
      <c r="E3133">
        <v>246</v>
      </c>
      <c r="F3133">
        <v>0</v>
      </c>
      <c r="G3133">
        <v>0</v>
      </c>
      <c r="H3133">
        <f t="shared" si="96"/>
        <v>246</v>
      </c>
      <c r="I3133">
        <v>0</v>
      </c>
      <c r="J3133">
        <v>0</v>
      </c>
      <c r="K3133">
        <v>0</v>
      </c>
      <c r="L3133">
        <f t="shared" si="97"/>
        <v>0</v>
      </c>
    </row>
    <row r="3134" spans="1:12">
      <c r="A3134" t="s">
        <v>4042</v>
      </c>
      <c r="B3134" t="s">
        <v>1641</v>
      </c>
      <c r="C3134" t="s">
        <v>2805</v>
      </c>
      <c r="D3134" t="s">
        <v>449</v>
      </c>
      <c r="E3134">
        <v>203</v>
      </c>
      <c r="F3134">
        <v>0</v>
      </c>
      <c r="G3134">
        <v>0</v>
      </c>
      <c r="H3134">
        <f t="shared" si="96"/>
        <v>203</v>
      </c>
      <c r="I3134">
        <v>0</v>
      </c>
      <c r="J3134">
        <v>0</v>
      </c>
      <c r="K3134">
        <v>0</v>
      </c>
      <c r="L3134">
        <f t="shared" si="97"/>
        <v>0</v>
      </c>
    </row>
    <row r="3135" spans="1:12">
      <c r="A3135" t="s">
        <v>4042</v>
      </c>
      <c r="B3135" t="s">
        <v>1641</v>
      </c>
      <c r="C3135" t="s">
        <v>2805</v>
      </c>
      <c r="D3135" t="s">
        <v>2807</v>
      </c>
      <c r="E3135">
        <v>5</v>
      </c>
      <c r="F3135">
        <v>0</v>
      </c>
      <c r="G3135">
        <v>0</v>
      </c>
      <c r="H3135">
        <f t="shared" si="96"/>
        <v>5</v>
      </c>
      <c r="I3135">
        <v>0</v>
      </c>
      <c r="J3135">
        <v>0</v>
      </c>
      <c r="K3135">
        <v>0</v>
      </c>
      <c r="L3135">
        <f t="shared" si="97"/>
        <v>0</v>
      </c>
    </row>
    <row r="3136" spans="1:12">
      <c r="A3136" t="s">
        <v>4042</v>
      </c>
      <c r="B3136" t="s">
        <v>1641</v>
      </c>
      <c r="C3136" t="s">
        <v>2805</v>
      </c>
      <c r="D3136" t="s">
        <v>2808</v>
      </c>
      <c r="E3136">
        <v>1</v>
      </c>
      <c r="F3136">
        <v>0</v>
      </c>
      <c r="G3136">
        <v>0</v>
      </c>
      <c r="H3136">
        <f t="shared" si="96"/>
        <v>1</v>
      </c>
      <c r="I3136">
        <v>0</v>
      </c>
      <c r="J3136">
        <v>0</v>
      </c>
      <c r="K3136">
        <v>0</v>
      </c>
      <c r="L3136">
        <f t="shared" si="97"/>
        <v>0</v>
      </c>
    </row>
    <row r="3137" spans="1:12">
      <c r="A3137" t="s">
        <v>4042</v>
      </c>
      <c r="B3137" t="s">
        <v>1641</v>
      </c>
      <c r="C3137" t="s">
        <v>2805</v>
      </c>
      <c r="D3137" t="s">
        <v>2809</v>
      </c>
      <c r="E3137">
        <v>4</v>
      </c>
      <c r="F3137">
        <v>0</v>
      </c>
      <c r="G3137">
        <v>0</v>
      </c>
      <c r="H3137">
        <f t="shared" si="96"/>
        <v>4</v>
      </c>
      <c r="I3137">
        <v>0</v>
      </c>
      <c r="J3137">
        <v>0</v>
      </c>
      <c r="K3137">
        <v>0</v>
      </c>
      <c r="L3137">
        <f t="shared" si="97"/>
        <v>0</v>
      </c>
    </row>
    <row r="3138" spans="1:12">
      <c r="A3138" t="s">
        <v>4042</v>
      </c>
      <c r="B3138" t="s">
        <v>1641</v>
      </c>
      <c r="C3138" t="s">
        <v>2805</v>
      </c>
      <c r="D3138" t="s">
        <v>442</v>
      </c>
      <c r="E3138">
        <v>5</v>
      </c>
      <c r="F3138">
        <v>0</v>
      </c>
      <c r="G3138">
        <v>0</v>
      </c>
      <c r="H3138">
        <f t="shared" si="96"/>
        <v>5</v>
      </c>
      <c r="I3138">
        <v>0</v>
      </c>
      <c r="J3138">
        <v>0</v>
      </c>
      <c r="K3138">
        <v>0</v>
      </c>
      <c r="L3138">
        <f t="shared" si="97"/>
        <v>0</v>
      </c>
    </row>
    <row r="3139" spans="1:12">
      <c r="A3139" t="s">
        <v>4042</v>
      </c>
      <c r="B3139" t="s">
        <v>1641</v>
      </c>
      <c r="C3139" t="s">
        <v>2805</v>
      </c>
      <c r="D3139" t="s">
        <v>2937</v>
      </c>
      <c r="E3139">
        <v>1</v>
      </c>
      <c r="F3139">
        <v>0</v>
      </c>
      <c r="G3139">
        <v>0</v>
      </c>
      <c r="H3139">
        <f t="shared" si="96"/>
        <v>1</v>
      </c>
      <c r="I3139">
        <v>0</v>
      </c>
      <c r="J3139">
        <v>0</v>
      </c>
      <c r="K3139">
        <v>0</v>
      </c>
      <c r="L3139">
        <f t="shared" si="97"/>
        <v>0</v>
      </c>
    </row>
    <row r="3140" spans="1:12">
      <c r="A3140" t="s">
        <v>4042</v>
      </c>
      <c r="B3140" t="s">
        <v>1641</v>
      </c>
      <c r="C3140" t="s">
        <v>2805</v>
      </c>
      <c r="D3140" t="s">
        <v>2846</v>
      </c>
      <c r="E3140">
        <v>2</v>
      </c>
      <c r="F3140">
        <v>0</v>
      </c>
      <c r="G3140">
        <v>0</v>
      </c>
      <c r="H3140">
        <f t="shared" ref="H3140:H3203" si="98">SUM(E3140:G3140)</f>
        <v>2</v>
      </c>
      <c r="I3140">
        <v>0</v>
      </c>
      <c r="J3140">
        <v>0</v>
      </c>
      <c r="K3140">
        <v>0</v>
      </c>
      <c r="L3140">
        <f t="shared" ref="L3140:L3203" si="99">SUM(I3140:K3140)</f>
        <v>0</v>
      </c>
    </row>
    <row r="3141" spans="1:12">
      <c r="A3141" t="s">
        <v>4042</v>
      </c>
      <c r="B3141" t="s">
        <v>1641</v>
      </c>
      <c r="C3141" t="s">
        <v>2810</v>
      </c>
      <c r="D3141" t="s">
        <v>2811</v>
      </c>
      <c r="E3141">
        <v>47</v>
      </c>
      <c r="F3141">
        <v>0</v>
      </c>
      <c r="G3141">
        <v>0</v>
      </c>
      <c r="H3141">
        <f t="shared" si="98"/>
        <v>47</v>
      </c>
      <c r="I3141">
        <v>0</v>
      </c>
      <c r="J3141">
        <v>0</v>
      </c>
      <c r="K3141">
        <v>0</v>
      </c>
      <c r="L3141">
        <f t="shared" si="99"/>
        <v>0</v>
      </c>
    </row>
    <row r="3142" spans="1:12">
      <c r="A3142" t="s">
        <v>4042</v>
      </c>
      <c r="B3142" t="s">
        <v>1641</v>
      </c>
      <c r="C3142" t="s">
        <v>2810</v>
      </c>
      <c r="D3142" t="s">
        <v>1892</v>
      </c>
      <c r="E3142">
        <v>43</v>
      </c>
      <c r="F3142">
        <v>0</v>
      </c>
      <c r="G3142">
        <v>0</v>
      </c>
      <c r="H3142">
        <f t="shared" si="98"/>
        <v>43</v>
      </c>
      <c r="I3142">
        <v>0</v>
      </c>
      <c r="J3142">
        <v>0</v>
      </c>
      <c r="K3142">
        <v>0</v>
      </c>
      <c r="L3142">
        <f t="shared" si="99"/>
        <v>0</v>
      </c>
    </row>
    <row r="3143" spans="1:12">
      <c r="A3143" t="s">
        <v>4042</v>
      </c>
      <c r="B3143" t="s">
        <v>1641</v>
      </c>
      <c r="C3143" t="s">
        <v>2810</v>
      </c>
      <c r="D3143" t="s">
        <v>2823</v>
      </c>
      <c r="E3143">
        <v>2</v>
      </c>
      <c r="F3143">
        <v>54</v>
      </c>
      <c r="G3143">
        <v>0</v>
      </c>
      <c r="H3143">
        <f t="shared" si="98"/>
        <v>56</v>
      </c>
      <c r="I3143">
        <v>0</v>
      </c>
      <c r="J3143">
        <v>0</v>
      </c>
      <c r="K3143">
        <v>0</v>
      </c>
      <c r="L3143">
        <f t="shared" si="99"/>
        <v>0</v>
      </c>
    </row>
    <row r="3144" spans="1:12">
      <c r="A3144" t="s">
        <v>4042</v>
      </c>
      <c r="B3144" t="s">
        <v>1641</v>
      </c>
      <c r="C3144" t="s">
        <v>2810</v>
      </c>
      <c r="D3144" t="s">
        <v>2812</v>
      </c>
      <c r="E3144">
        <v>79</v>
      </c>
      <c r="F3144">
        <v>0</v>
      </c>
      <c r="G3144">
        <v>0</v>
      </c>
      <c r="H3144">
        <f t="shared" si="98"/>
        <v>79</v>
      </c>
      <c r="I3144">
        <v>0</v>
      </c>
      <c r="J3144">
        <v>0</v>
      </c>
      <c r="K3144">
        <v>0</v>
      </c>
      <c r="L3144">
        <f t="shared" si="99"/>
        <v>0</v>
      </c>
    </row>
    <row r="3145" spans="1:12">
      <c r="A3145" t="s">
        <v>4042</v>
      </c>
      <c r="B3145" t="s">
        <v>1641</v>
      </c>
      <c r="C3145" t="s">
        <v>2810</v>
      </c>
      <c r="D3145" t="s">
        <v>2813</v>
      </c>
      <c r="E3145">
        <v>78</v>
      </c>
      <c r="F3145">
        <v>0</v>
      </c>
      <c r="G3145">
        <v>0</v>
      </c>
      <c r="H3145">
        <f t="shared" si="98"/>
        <v>78</v>
      </c>
      <c r="I3145">
        <v>0</v>
      </c>
      <c r="J3145">
        <v>0</v>
      </c>
      <c r="K3145">
        <v>0</v>
      </c>
      <c r="L3145">
        <f t="shared" si="99"/>
        <v>0</v>
      </c>
    </row>
    <row r="3146" spans="1:12">
      <c r="A3146" t="s">
        <v>4042</v>
      </c>
      <c r="B3146" t="s">
        <v>1641</v>
      </c>
      <c r="C3146" t="s">
        <v>2810</v>
      </c>
      <c r="D3146" t="s">
        <v>2847</v>
      </c>
      <c r="E3146">
        <v>53</v>
      </c>
      <c r="F3146">
        <v>0</v>
      </c>
      <c r="G3146">
        <v>0</v>
      </c>
      <c r="H3146">
        <f t="shared" si="98"/>
        <v>53</v>
      </c>
      <c r="I3146">
        <v>0</v>
      </c>
      <c r="J3146">
        <v>0</v>
      </c>
      <c r="K3146">
        <v>0</v>
      </c>
      <c r="L3146">
        <f t="shared" si="99"/>
        <v>0</v>
      </c>
    </row>
    <row r="3147" spans="1:12">
      <c r="A3147" t="s">
        <v>4042</v>
      </c>
      <c r="B3147" t="s">
        <v>1641</v>
      </c>
      <c r="C3147" t="s">
        <v>2810</v>
      </c>
      <c r="D3147" t="s">
        <v>2815</v>
      </c>
      <c r="E3147">
        <v>4</v>
      </c>
      <c r="F3147">
        <v>0</v>
      </c>
      <c r="G3147">
        <v>0</v>
      </c>
      <c r="H3147">
        <f t="shared" si="98"/>
        <v>4</v>
      </c>
      <c r="I3147">
        <v>0</v>
      </c>
      <c r="J3147">
        <v>0</v>
      </c>
      <c r="K3147">
        <v>0</v>
      </c>
      <c r="L3147">
        <f t="shared" si="99"/>
        <v>0</v>
      </c>
    </row>
    <row r="3148" spans="1:12">
      <c r="A3148" t="s">
        <v>4042</v>
      </c>
      <c r="B3148" t="s">
        <v>1641</v>
      </c>
      <c r="C3148" t="s">
        <v>2816</v>
      </c>
      <c r="D3148" t="s">
        <v>2904</v>
      </c>
      <c r="E3148">
        <v>0</v>
      </c>
      <c r="F3148">
        <v>0</v>
      </c>
      <c r="G3148">
        <v>0</v>
      </c>
      <c r="H3148">
        <f t="shared" si="98"/>
        <v>0</v>
      </c>
      <c r="I3148">
        <v>1</v>
      </c>
      <c r="J3148">
        <v>0</v>
      </c>
      <c r="K3148">
        <v>0</v>
      </c>
      <c r="L3148">
        <f t="shared" si="99"/>
        <v>1</v>
      </c>
    </row>
    <row r="3149" spans="1:12">
      <c r="A3149" t="s">
        <v>4042</v>
      </c>
      <c r="B3149" t="s">
        <v>1641</v>
      </c>
      <c r="C3149" t="s">
        <v>2826</v>
      </c>
      <c r="D3149" t="s">
        <v>2827</v>
      </c>
      <c r="E3149">
        <v>0</v>
      </c>
      <c r="F3149">
        <v>0</v>
      </c>
      <c r="G3149">
        <v>0</v>
      </c>
      <c r="H3149">
        <f t="shared" si="98"/>
        <v>0</v>
      </c>
      <c r="I3149">
        <v>1</v>
      </c>
      <c r="J3149">
        <v>0</v>
      </c>
      <c r="K3149">
        <v>0</v>
      </c>
      <c r="L3149">
        <f t="shared" si="99"/>
        <v>1</v>
      </c>
    </row>
    <row r="3150" spans="1:12">
      <c r="A3150" t="s">
        <v>4042</v>
      </c>
      <c r="B3150" t="s">
        <v>1641</v>
      </c>
      <c r="C3150" t="s">
        <v>2826</v>
      </c>
      <c r="D3150" t="s">
        <v>2843</v>
      </c>
      <c r="E3150">
        <v>0</v>
      </c>
      <c r="F3150">
        <v>0</v>
      </c>
      <c r="G3150">
        <v>0</v>
      </c>
      <c r="H3150">
        <f t="shared" si="98"/>
        <v>0</v>
      </c>
      <c r="I3150">
        <v>1</v>
      </c>
      <c r="J3150">
        <v>0</v>
      </c>
      <c r="K3150">
        <v>0</v>
      </c>
      <c r="L3150">
        <f t="shared" si="99"/>
        <v>1</v>
      </c>
    </row>
    <row r="3151" spans="1:12">
      <c r="A3151" t="s">
        <v>4042</v>
      </c>
      <c r="B3151" t="s">
        <v>1641</v>
      </c>
      <c r="C3151" t="s">
        <v>2826</v>
      </c>
      <c r="D3151" t="s">
        <v>2849</v>
      </c>
      <c r="E3151">
        <v>0</v>
      </c>
      <c r="F3151">
        <v>0</v>
      </c>
      <c r="G3151">
        <v>0</v>
      </c>
      <c r="H3151">
        <f t="shared" si="98"/>
        <v>0</v>
      </c>
      <c r="I3151">
        <v>1</v>
      </c>
      <c r="J3151">
        <v>0</v>
      </c>
      <c r="K3151">
        <v>0</v>
      </c>
      <c r="L3151">
        <f t="shared" si="99"/>
        <v>1</v>
      </c>
    </row>
    <row r="3152" spans="1:12">
      <c r="A3152" t="s">
        <v>4042</v>
      </c>
      <c r="B3152" t="s">
        <v>1641</v>
      </c>
      <c r="C3152" t="s">
        <v>2817</v>
      </c>
      <c r="D3152" t="s">
        <v>2818</v>
      </c>
      <c r="E3152">
        <v>7</v>
      </c>
      <c r="F3152">
        <v>0</v>
      </c>
      <c r="G3152">
        <v>0</v>
      </c>
      <c r="H3152">
        <f t="shared" si="98"/>
        <v>7</v>
      </c>
      <c r="I3152">
        <v>0</v>
      </c>
      <c r="J3152">
        <v>0</v>
      </c>
      <c r="K3152">
        <v>0</v>
      </c>
      <c r="L3152">
        <f t="shared" si="99"/>
        <v>0</v>
      </c>
    </row>
    <row r="3153" spans="1:12">
      <c r="A3153" t="s">
        <v>4042</v>
      </c>
      <c r="B3153" t="s">
        <v>1641</v>
      </c>
      <c r="C3153" t="s">
        <v>2817</v>
      </c>
      <c r="D3153" t="s">
        <v>2837</v>
      </c>
      <c r="E3153">
        <v>10</v>
      </c>
      <c r="F3153">
        <v>0</v>
      </c>
      <c r="G3153">
        <v>0</v>
      </c>
      <c r="H3153">
        <f t="shared" si="98"/>
        <v>10</v>
      </c>
      <c r="I3153">
        <v>0</v>
      </c>
      <c r="J3153">
        <v>0</v>
      </c>
      <c r="K3153">
        <v>0</v>
      </c>
      <c r="L3153">
        <f t="shared" si="99"/>
        <v>0</v>
      </c>
    </row>
    <row r="3154" spans="1:12">
      <c r="A3154" t="s">
        <v>4051</v>
      </c>
      <c r="B3154" t="s">
        <v>1634</v>
      </c>
      <c r="C3154" t="s">
        <v>2805</v>
      </c>
      <c r="D3154" t="s">
        <v>2806</v>
      </c>
      <c r="E3154">
        <v>44</v>
      </c>
      <c r="F3154">
        <v>0</v>
      </c>
      <c r="G3154">
        <v>0</v>
      </c>
      <c r="H3154">
        <f t="shared" si="98"/>
        <v>44</v>
      </c>
      <c r="I3154">
        <v>0</v>
      </c>
      <c r="J3154">
        <v>0</v>
      </c>
      <c r="K3154">
        <v>0</v>
      </c>
      <c r="L3154">
        <f t="shared" si="99"/>
        <v>0</v>
      </c>
    </row>
    <row r="3155" spans="1:12">
      <c r="A3155" t="s">
        <v>4051</v>
      </c>
      <c r="B3155" t="s">
        <v>1634</v>
      </c>
      <c r="C3155" t="s">
        <v>2805</v>
      </c>
      <c r="D3155" t="s">
        <v>449</v>
      </c>
      <c r="E3155">
        <v>79</v>
      </c>
      <c r="F3155">
        <v>0</v>
      </c>
      <c r="G3155">
        <v>0</v>
      </c>
      <c r="H3155">
        <f t="shared" si="98"/>
        <v>79</v>
      </c>
      <c r="I3155">
        <v>3</v>
      </c>
      <c r="J3155">
        <v>0</v>
      </c>
      <c r="K3155">
        <v>0</v>
      </c>
      <c r="L3155">
        <f t="shared" si="99"/>
        <v>3</v>
      </c>
    </row>
    <row r="3156" spans="1:12">
      <c r="A3156" t="s">
        <v>4051</v>
      </c>
      <c r="B3156" t="s">
        <v>1634</v>
      </c>
      <c r="C3156" t="s">
        <v>2805</v>
      </c>
      <c r="D3156" t="s">
        <v>2807</v>
      </c>
      <c r="E3156">
        <v>1</v>
      </c>
      <c r="F3156">
        <v>0</v>
      </c>
      <c r="G3156">
        <v>0</v>
      </c>
      <c r="H3156">
        <f t="shared" si="98"/>
        <v>1</v>
      </c>
      <c r="I3156">
        <v>0</v>
      </c>
      <c r="J3156">
        <v>0</v>
      </c>
      <c r="K3156">
        <v>0</v>
      </c>
      <c r="L3156">
        <f t="shared" si="99"/>
        <v>0</v>
      </c>
    </row>
    <row r="3157" spans="1:12">
      <c r="A3157" t="s">
        <v>4051</v>
      </c>
      <c r="B3157" t="s">
        <v>1634</v>
      </c>
      <c r="C3157" t="s">
        <v>2810</v>
      </c>
      <c r="D3157" t="s">
        <v>2811</v>
      </c>
      <c r="E3157">
        <v>2</v>
      </c>
      <c r="F3157">
        <v>0</v>
      </c>
      <c r="G3157">
        <v>0</v>
      </c>
      <c r="H3157">
        <f t="shared" si="98"/>
        <v>2</v>
      </c>
      <c r="I3157">
        <v>0</v>
      </c>
      <c r="J3157">
        <v>0</v>
      </c>
      <c r="K3157">
        <v>0</v>
      </c>
      <c r="L3157">
        <f t="shared" si="99"/>
        <v>0</v>
      </c>
    </row>
    <row r="3158" spans="1:12">
      <c r="A3158" t="s">
        <v>4051</v>
      </c>
      <c r="B3158" t="s">
        <v>1634</v>
      </c>
      <c r="C3158" t="s">
        <v>2810</v>
      </c>
      <c r="D3158" t="s">
        <v>1892</v>
      </c>
      <c r="E3158">
        <v>2</v>
      </c>
      <c r="F3158">
        <v>0</v>
      </c>
      <c r="G3158">
        <v>0</v>
      </c>
      <c r="H3158">
        <f t="shared" si="98"/>
        <v>2</v>
      </c>
      <c r="I3158">
        <v>0</v>
      </c>
      <c r="J3158">
        <v>3</v>
      </c>
      <c r="K3158">
        <v>0</v>
      </c>
      <c r="L3158">
        <f t="shared" si="99"/>
        <v>3</v>
      </c>
    </row>
    <row r="3159" spans="1:12">
      <c r="A3159" t="s">
        <v>4051</v>
      </c>
      <c r="B3159" t="s">
        <v>1634</v>
      </c>
      <c r="C3159" t="s">
        <v>2810</v>
      </c>
      <c r="D3159" t="s">
        <v>2823</v>
      </c>
      <c r="E3159">
        <v>1</v>
      </c>
      <c r="F3159">
        <v>7</v>
      </c>
      <c r="G3159">
        <v>0</v>
      </c>
      <c r="H3159">
        <f t="shared" si="98"/>
        <v>8</v>
      </c>
      <c r="I3159">
        <v>0</v>
      </c>
      <c r="J3159">
        <v>0</v>
      </c>
      <c r="K3159">
        <v>0</v>
      </c>
      <c r="L3159">
        <f t="shared" si="99"/>
        <v>0</v>
      </c>
    </row>
    <row r="3160" spans="1:12">
      <c r="A3160" t="s">
        <v>4051</v>
      </c>
      <c r="B3160" t="s">
        <v>1634</v>
      </c>
      <c r="C3160" t="s">
        <v>2810</v>
      </c>
      <c r="D3160" t="s">
        <v>2812</v>
      </c>
      <c r="E3160">
        <v>65</v>
      </c>
      <c r="F3160">
        <v>0</v>
      </c>
      <c r="G3160">
        <v>0</v>
      </c>
      <c r="H3160">
        <f t="shared" si="98"/>
        <v>65</v>
      </c>
      <c r="I3160">
        <v>0</v>
      </c>
      <c r="J3160">
        <v>0</v>
      </c>
      <c r="K3160">
        <v>0</v>
      </c>
      <c r="L3160">
        <f t="shared" si="99"/>
        <v>0</v>
      </c>
    </row>
    <row r="3161" spans="1:12">
      <c r="A3161" t="s">
        <v>4051</v>
      </c>
      <c r="B3161" t="s">
        <v>1634</v>
      </c>
      <c r="C3161" t="s">
        <v>2810</v>
      </c>
      <c r="D3161" t="s">
        <v>2813</v>
      </c>
      <c r="E3161">
        <v>22</v>
      </c>
      <c r="F3161">
        <v>0</v>
      </c>
      <c r="G3161">
        <v>0</v>
      </c>
      <c r="H3161">
        <f t="shared" si="98"/>
        <v>22</v>
      </c>
      <c r="I3161">
        <v>0</v>
      </c>
      <c r="J3161">
        <v>0</v>
      </c>
      <c r="K3161">
        <v>0</v>
      </c>
      <c r="L3161">
        <f t="shared" si="99"/>
        <v>0</v>
      </c>
    </row>
    <row r="3162" spans="1:12">
      <c r="A3162" t="s">
        <v>4051</v>
      </c>
      <c r="B3162" t="s">
        <v>1634</v>
      </c>
      <c r="C3162" t="s">
        <v>2810</v>
      </c>
      <c r="D3162" t="s">
        <v>2847</v>
      </c>
      <c r="E3162">
        <v>57</v>
      </c>
      <c r="F3162">
        <v>0</v>
      </c>
      <c r="G3162">
        <v>0</v>
      </c>
      <c r="H3162">
        <f t="shared" si="98"/>
        <v>57</v>
      </c>
      <c r="I3162">
        <v>0</v>
      </c>
      <c r="J3162">
        <v>0</v>
      </c>
      <c r="K3162">
        <v>0</v>
      </c>
      <c r="L3162">
        <f t="shared" si="99"/>
        <v>0</v>
      </c>
    </row>
    <row r="3163" spans="1:12">
      <c r="A3163" t="s">
        <v>4051</v>
      </c>
      <c r="B3163" t="s">
        <v>1634</v>
      </c>
      <c r="C3163" t="s">
        <v>2816</v>
      </c>
      <c r="D3163" t="s">
        <v>1897</v>
      </c>
      <c r="E3163">
        <v>34</v>
      </c>
      <c r="F3163">
        <v>0</v>
      </c>
      <c r="G3163">
        <v>0</v>
      </c>
      <c r="H3163">
        <f t="shared" si="98"/>
        <v>34</v>
      </c>
      <c r="I3163">
        <v>0</v>
      </c>
      <c r="J3163">
        <v>0</v>
      </c>
      <c r="K3163">
        <v>0</v>
      </c>
      <c r="L3163">
        <f t="shared" si="99"/>
        <v>0</v>
      </c>
    </row>
    <row r="3164" spans="1:12">
      <c r="A3164" t="s">
        <v>4051</v>
      </c>
      <c r="B3164" t="s">
        <v>1634</v>
      </c>
      <c r="C3164" t="s">
        <v>2817</v>
      </c>
      <c r="D3164" t="s">
        <v>2837</v>
      </c>
      <c r="E3164">
        <v>2</v>
      </c>
      <c r="F3164">
        <v>0</v>
      </c>
      <c r="G3164">
        <v>0</v>
      </c>
      <c r="H3164">
        <f t="shared" si="98"/>
        <v>2</v>
      </c>
      <c r="I3164">
        <v>0</v>
      </c>
      <c r="J3164">
        <v>0</v>
      </c>
      <c r="K3164">
        <v>0</v>
      </c>
      <c r="L3164">
        <f t="shared" si="99"/>
        <v>0</v>
      </c>
    </row>
    <row r="3165" spans="1:12">
      <c r="A3165" t="s">
        <v>4051</v>
      </c>
      <c r="B3165" t="s">
        <v>1634</v>
      </c>
      <c r="C3165" t="s">
        <v>2820</v>
      </c>
      <c r="D3165" t="s">
        <v>2821</v>
      </c>
      <c r="E3165">
        <v>2</v>
      </c>
      <c r="F3165">
        <v>0</v>
      </c>
      <c r="G3165">
        <v>0</v>
      </c>
      <c r="H3165">
        <f t="shared" si="98"/>
        <v>2</v>
      </c>
      <c r="I3165">
        <v>0</v>
      </c>
      <c r="J3165">
        <v>0</v>
      </c>
      <c r="K3165">
        <v>0</v>
      </c>
      <c r="L3165">
        <f t="shared" si="99"/>
        <v>0</v>
      </c>
    </row>
    <row r="3166" spans="1:12">
      <c r="A3166" t="s">
        <v>4052</v>
      </c>
      <c r="B3166" t="s">
        <v>1650</v>
      </c>
      <c r="C3166" t="s">
        <v>2805</v>
      </c>
      <c r="D3166" t="s">
        <v>2807</v>
      </c>
      <c r="E3166">
        <v>1</v>
      </c>
      <c r="F3166">
        <v>0</v>
      </c>
      <c r="G3166">
        <v>0</v>
      </c>
      <c r="H3166">
        <f t="shared" si="98"/>
        <v>1</v>
      </c>
      <c r="I3166">
        <v>0</v>
      </c>
      <c r="J3166">
        <v>0</v>
      </c>
      <c r="K3166">
        <v>0</v>
      </c>
      <c r="L3166">
        <f t="shared" si="99"/>
        <v>0</v>
      </c>
    </row>
    <row r="3167" spans="1:12">
      <c r="A3167" t="s">
        <v>4052</v>
      </c>
      <c r="B3167" t="s">
        <v>1650</v>
      </c>
      <c r="C3167" t="s">
        <v>2810</v>
      </c>
      <c r="D3167" t="s">
        <v>2811</v>
      </c>
      <c r="E3167">
        <v>3</v>
      </c>
      <c r="F3167">
        <v>0</v>
      </c>
      <c r="G3167">
        <v>0</v>
      </c>
      <c r="H3167">
        <f t="shared" si="98"/>
        <v>3</v>
      </c>
      <c r="I3167">
        <v>0</v>
      </c>
      <c r="J3167">
        <v>0</v>
      </c>
      <c r="K3167">
        <v>0</v>
      </c>
      <c r="L3167">
        <f t="shared" si="99"/>
        <v>0</v>
      </c>
    </row>
    <row r="3168" spans="1:12">
      <c r="A3168" t="s">
        <v>4052</v>
      </c>
      <c r="B3168" t="s">
        <v>1650</v>
      </c>
      <c r="C3168" t="s">
        <v>2810</v>
      </c>
      <c r="D3168" t="s">
        <v>2812</v>
      </c>
      <c r="E3168">
        <v>27</v>
      </c>
      <c r="F3168">
        <v>0</v>
      </c>
      <c r="G3168">
        <v>0</v>
      </c>
      <c r="H3168">
        <f t="shared" si="98"/>
        <v>27</v>
      </c>
      <c r="I3168">
        <v>0</v>
      </c>
      <c r="J3168">
        <v>0</v>
      </c>
      <c r="K3168">
        <v>0</v>
      </c>
      <c r="L3168">
        <f t="shared" si="99"/>
        <v>0</v>
      </c>
    </row>
    <row r="3169" spans="1:12">
      <c r="A3169" t="s">
        <v>4052</v>
      </c>
      <c r="B3169" t="s">
        <v>1650</v>
      </c>
      <c r="C3169" t="s">
        <v>2810</v>
      </c>
      <c r="D3169" t="s">
        <v>2813</v>
      </c>
      <c r="E3169">
        <v>2</v>
      </c>
      <c r="F3169">
        <v>0</v>
      </c>
      <c r="G3169">
        <v>0</v>
      </c>
      <c r="H3169">
        <f t="shared" si="98"/>
        <v>2</v>
      </c>
      <c r="I3169">
        <v>0</v>
      </c>
      <c r="J3169">
        <v>0</v>
      </c>
      <c r="K3169">
        <v>0</v>
      </c>
      <c r="L3169">
        <f t="shared" si="99"/>
        <v>0</v>
      </c>
    </row>
    <row r="3170" spans="1:12">
      <c r="A3170" t="s">
        <v>4052</v>
      </c>
      <c r="B3170" t="s">
        <v>1650</v>
      </c>
      <c r="C3170" t="s">
        <v>2810</v>
      </c>
      <c r="D3170" t="s">
        <v>2847</v>
      </c>
      <c r="E3170">
        <v>116</v>
      </c>
      <c r="F3170">
        <v>0</v>
      </c>
      <c r="G3170">
        <v>0</v>
      </c>
      <c r="H3170">
        <f t="shared" si="98"/>
        <v>116</v>
      </c>
      <c r="I3170">
        <v>0</v>
      </c>
      <c r="J3170">
        <v>0</v>
      </c>
      <c r="K3170">
        <v>0</v>
      </c>
      <c r="L3170">
        <f t="shared" si="99"/>
        <v>0</v>
      </c>
    </row>
    <row r="3171" spans="1:12">
      <c r="A3171" t="s">
        <v>4053</v>
      </c>
      <c r="B3171" t="s">
        <v>1652</v>
      </c>
      <c r="C3171" t="s">
        <v>2841</v>
      </c>
      <c r="D3171" t="s">
        <v>2842</v>
      </c>
      <c r="E3171">
        <v>0</v>
      </c>
      <c r="F3171">
        <v>0</v>
      </c>
      <c r="G3171">
        <v>0</v>
      </c>
      <c r="H3171">
        <f t="shared" si="98"/>
        <v>0</v>
      </c>
      <c r="I3171">
        <v>4</v>
      </c>
      <c r="J3171">
        <v>2</v>
      </c>
      <c r="K3171">
        <v>0</v>
      </c>
      <c r="L3171">
        <f t="shared" si="99"/>
        <v>6</v>
      </c>
    </row>
    <row r="3172" spans="1:12">
      <c r="A3172" t="s">
        <v>4053</v>
      </c>
      <c r="B3172" t="s">
        <v>1652</v>
      </c>
      <c r="C3172" t="s">
        <v>2826</v>
      </c>
      <c r="D3172" t="s">
        <v>2871</v>
      </c>
      <c r="E3172">
        <v>0</v>
      </c>
      <c r="F3172">
        <v>0</v>
      </c>
      <c r="G3172">
        <v>0</v>
      </c>
      <c r="H3172">
        <f t="shared" si="98"/>
        <v>0</v>
      </c>
      <c r="I3172">
        <v>1</v>
      </c>
      <c r="J3172">
        <v>0</v>
      </c>
      <c r="K3172">
        <v>0</v>
      </c>
      <c r="L3172">
        <f t="shared" si="99"/>
        <v>1</v>
      </c>
    </row>
    <row r="3173" spans="1:12">
      <c r="A3173" t="s">
        <v>4053</v>
      </c>
      <c r="B3173" t="s">
        <v>1652</v>
      </c>
      <c r="C3173" t="s">
        <v>2826</v>
      </c>
      <c r="D3173" t="s">
        <v>2905</v>
      </c>
      <c r="E3173">
        <v>0</v>
      </c>
      <c r="F3173">
        <v>0</v>
      </c>
      <c r="G3173">
        <v>0</v>
      </c>
      <c r="H3173">
        <f t="shared" si="98"/>
        <v>0</v>
      </c>
      <c r="I3173">
        <v>1</v>
      </c>
      <c r="J3173">
        <v>0</v>
      </c>
      <c r="K3173">
        <v>0</v>
      </c>
      <c r="L3173">
        <f t="shared" si="99"/>
        <v>1</v>
      </c>
    </row>
    <row r="3174" spans="1:12">
      <c r="A3174" t="s">
        <v>4053</v>
      </c>
      <c r="B3174" t="s">
        <v>1652</v>
      </c>
      <c r="C3174" t="s">
        <v>2826</v>
      </c>
      <c r="D3174" t="s">
        <v>2827</v>
      </c>
      <c r="E3174">
        <v>0</v>
      </c>
      <c r="F3174">
        <v>0</v>
      </c>
      <c r="G3174">
        <v>0</v>
      </c>
      <c r="H3174">
        <f t="shared" si="98"/>
        <v>0</v>
      </c>
      <c r="I3174">
        <v>1</v>
      </c>
      <c r="J3174">
        <v>1</v>
      </c>
      <c r="K3174">
        <v>0</v>
      </c>
      <c r="L3174">
        <f t="shared" si="99"/>
        <v>2</v>
      </c>
    </row>
    <row r="3175" spans="1:12">
      <c r="A3175" t="s">
        <v>4053</v>
      </c>
      <c r="B3175" t="s">
        <v>1652</v>
      </c>
      <c r="C3175" t="s">
        <v>2826</v>
      </c>
      <c r="D3175" t="s">
        <v>2829</v>
      </c>
      <c r="E3175">
        <v>0</v>
      </c>
      <c r="F3175">
        <v>0</v>
      </c>
      <c r="G3175">
        <v>0</v>
      </c>
      <c r="H3175">
        <f t="shared" si="98"/>
        <v>0</v>
      </c>
      <c r="I3175">
        <v>1</v>
      </c>
      <c r="J3175">
        <v>0</v>
      </c>
      <c r="K3175">
        <v>0</v>
      </c>
      <c r="L3175">
        <f t="shared" si="99"/>
        <v>1</v>
      </c>
    </row>
    <row r="3176" spans="1:12">
      <c r="A3176" t="s">
        <v>4053</v>
      </c>
      <c r="B3176" t="s">
        <v>1652</v>
      </c>
      <c r="C3176" t="s">
        <v>2826</v>
      </c>
      <c r="D3176" t="s">
        <v>2891</v>
      </c>
      <c r="E3176">
        <v>0</v>
      </c>
      <c r="F3176">
        <v>0</v>
      </c>
      <c r="G3176">
        <v>0</v>
      </c>
      <c r="H3176">
        <f t="shared" si="98"/>
        <v>0</v>
      </c>
      <c r="I3176">
        <v>0</v>
      </c>
      <c r="J3176">
        <v>1</v>
      </c>
      <c r="K3176">
        <v>0</v>
      </c>
      <c r="L3176">
        <f t="shared" si="99"/>
        <v>1</v>
      </c>
    </row>
    <row r="3177" spans="1:12">
      <c r="A3177" t="s">
        <v>4053</v>
      </c>
      <c r="B3177" t="s">
        <v>1652</v>
      </c>
      <c r="C3177" t="s">
        <v>2826</v>
      </c>
      <c r="D3177" t="s">
        <v>2864</v>
      </c>
      <c r="E3177">
        <v>0</v>
      </c>
      <c r="F3177">
        <v>0</v>
      </c>
      <c r="G3177">
        <v>0</v>
      </c>
      <c r="H3177">
        <f t="shared" si="98"/>
        <v>0</v>
      </c>
      <c r="I3177">
        <v>1</v>
      </c>
      <c r="J3177">
        <v>0</v>
      </c>
      <c r="K3177">
        <v>0</v>
      </c>
      <c r="L3177">
        <f t="shared" si="99"/>
        <v>1</v>
      </c>
    </row>
    <row r="3178" spans="1:12">
      <c r="A3178" t="s">
        <v>4053</v>
      </c>
      <c r="B3178" t="s">
        <v>1652</v>
      </c>
      <c r="C3178" t="s">
        <v>2826</v>
      </c>
      <c r="D3178" t="s">
        <v>2843</v>
      </c>
      <c r="E3178">
        <v>0</v>
      </c>
      <c r="F3178">
        <v>0</v>
      </c>
      <c r="G3178">
        <v>0</v>
      </c>
      <c r="H3178">
        <f t="shared" si="98"/>
        <v>0</v>
      </c>
      <c r="I3178">
        <v>1</v>
      </c>
      <c r="J3178">
        <v>0</v>
      </c>
      <c r="K3178">
        <v>0</v>
      </c>
      <c r="L3178">
        <f t="shared" si="99"/>
        <v>1</v>
      </c>
    </row>
    <row r="3179" spans="1:12">
      <c r="A3179" t="s">
        <v>4053</v>
      </c>
      <c r="B3179" t="s">
        <v>1652</v>
      </c>
      <c r="C3179" t="s">
        <v>2826</v>
      </c>
      <c r="D3179" t="s">
        <v>2834</v>
      </c>
      <c r="E3179">
        <v>0</v>
      </c>
      <c r="F3179">
        <v>0</v>
      </c>
      <c r="G3179">
        <v>0</v>
      </c>
      <c r="H3179">
        <f t="shared" si="98"/>
        <v>0</v>
      </c>
      <c r="I3179">
        <v>1</v>
      </c>
      <c r="J3179">
        <v>1</v>
      </c>
      <c r="K3179">
        <v>0</v>
      </c>
      <c r="L3179">
        <f t="shared" si="99"/>
        <v>2</v>
      </c>
    </row>
    <row r="3180" spans="1:12">
      <c r="A3180" t="s">
        <v>4053</v>
      </c>
      <c r="B3180" t="s">
        <v>1652</v>
      </c>
      <c r="C3180" t="s">
        <v>2826</v>
      </c>
      <c r="D3180" t="s">
        <v>2886</v>
      </c>
      <c r="E3180">
        <v>0</v>
      </c>
      <c r="F3180">
        <v>0</v>
      </c>
      <c r="G3180">
        <v>0</v>
      </c>
      <c r="H3180">
        <f t="shared" si="98"/>
        <v>0</v>
      </c>
      <c r="I3180">
        <v>1</v>
      </c>
      <c r="J3180">
        <v>0</v>
      </c>
      <c r="K3180">
        <v>0</v>
      </c>
      <c r="L3180">
        <f t="shared" si="99"/>
        <v>1</v>
      </c>
    </row>
    <row r="3181" spans="1:12">
      <c r="A3181" t="s">
        <v>4053</v>
      </c>
      <c r="B3181" t="s">
        <v>1652</v>
      </c>
      <c r="C3181" t="s">
        <v>2826</v>
      </c>
      <c r="D3181" t="s">
        <v>2835</v>
      </c>
      <c r="E3181">
        <v>0</v>
      </c>
      <c r="F3181">
        <v>0</v>
      </c>
      <c r="G3181">
        <v>0</v>
      </c>
      <c r="H3181">
        <f t="shared" si="98"/>
        <v>0</v>
      </c>
      <c r="I3181">
        <v>1</v>
      </c>
      <c r="J3181">
        <v>0</v>
      </c>
      <c r="K3181">
        <v>0</v>
      </c>
      <c r="L3181">
        <f t="shared" si="99"/>
        <v>1</v>
      </c>
    </row>
    <row r="3182" spans="1:12">
      <c r="A3182" t="s">
        <v>4053</v>
      </c>
      <c r="B3182" t="s">
        <v>1652</v>
      </c>
      <c r="C3182" t="s">
        <v>2826</v>
      </c>
      <c r="D3182" t="s">
        <v>2917</v>
      </c>
      <c r="E3182">
        <v>0</v>
      </c>
      <c r="F3182">
        <v>0</v>
      </c>
      <c r="G3182">
        <v>0</v>
      </c>
      <c r="H3182">
        <f t="shared" si="98"/>
        <v>0</v>
      </c>
      <c r="I3182">
        <v>1</v>
      </c>
      <c r="J3182">
        <v>0</v>
      </c>
      <c r="K3182">
        <v>0</v>
      </c>
      <c r="L3182">
        <f t="shared" si="99"/>
        <v>1</v>
      </c>
    </row>
    <row r="3183" spans="1:12">
      <c r="A3183" t="s">
        <v>4053</v>
      </c>
      <c r="B3183" t="s">
        <v>1652</v>
      </c>
      <c r="C3183" t="s">
        <v>2820</v>
      </c>
      <c r="D3183" t="s">
        <v>2952</v>
      </c>
      <c r="E3183">
        <v>0</v>
      </c>
      <c r="F3183">
        <v>0</v>
      </c>
      <c r="G3183">
        <v>0</v>
      </c>
      <c r="H3183">
        <f t="shared" si="98"/>
        <v>0</v>
      </c>
      <c r="I3183">
        <v>1</v>
      </c>
      <c r="J3183">
        <v>0</v>
      </c>
      <c r="K3183">
        <v>0</v>
      </c>
      <c r="L3183">
        <f t="shared" si="99"/>
        <v>1</v>
      </c>
    </row>
    <row r="3184" spans="1:12">
      <c r="A3184" t="s">
        <v>4053</v>
      </c>
      <c r="B3184" t="s">
        <v>1652</v>
      </c>
      <c r="C3184" t="s">
        <v>2820</v>
      </c>
      <c r="D3184" t="s">
        <v>2821</v>
      </c>
      <c r="E3184">
        <v>0</v>
      </c>
      <c r="F3184">
        <v>0</v>
      </c>
      <c r="G3184">
        <v>0</v>
      </c>
      <c r="H3184">
        <f t="shared" si="98"/>
        <v>0</v>
      </c>
      <c r="I3184">
        <v>0</v>
      </c>
      <c r="J3184">
        <v>1</v>
      </c>
      <c r="K3184">
        <v>0</v>
      </c>
      <c r="L3184">
        <f t="shared" si="99"/>
        <v>1</v>
      </c>
    </row>
    <row r="3185" spans="1:12">
      <c r="A3185" t="s">
        <v>4053</v>
      </c>
      <c r="B3185" t="s">
        <v>1652</v>
      </c>
      <c r="C3185" t="s">
        <v>2820</v>
      </c>
      <c r="D3185" t="s">
        <v>2949</v>
      </c>
      <c r="E3185">
        <v>0</v>
      </c>
      <c r="F3185">
        <v>0</v>
      </c>
      <c r="G3185">
        <v>0</v>
      </c>
      <c r="H3185">
        <f t="shared" si="98"/>
        <v>0</v>
      </c>
      <c r="I3185">
        <v>0</v>
      </c>
      <c r="J3185">
        <v>1</v>
      </c>
      <c r="K3185">
        <v>0</v>
      </c>
      <c r="L3185">
        <f t="shared" si="99"/>
        <v>1</v>
      </c>
    </row>
    <row r="3186" spans="1:12">
      <c r="A3186" t="s">
        <v>4058</v>
      </c>
      <c r="B3186" t="s">
        <v>967</v>
      </c>
      <c r="C3186" t="s">
        <v>2805</v>
      </c>
      <c r="D3186" t="s">
        <v>2806</v>
      </c>
      <c r="E3186">
        <v>66</v>
      </c>
      <c r="F3186">
        <v>0</v>
      </c>
      <c r="G3186">
        <v>0</v>
      </c>
      <c r="H3186">
        <f t="shared" si="98"/>
        <v>66</v>
      </c>
      <c r="I3186">
        <v>0</v>
      </c>
      <c r="J3186">
        <v>0</v>
      </c>
      <c r="K3186">
        <v>0</v>
      </c>
      <c r="L3186">
        <f t="shared" si="99"/>
        <v>0</v>
      </c>
    </row>
    <row r="3187" spans="1:12">
      <c r="A3187" t="s">
        <v>4058</v>
      </c>
      <c r="B3187" t="s">
        <v>967</v>
      </c>
      <c r="C3187" t="s">
        <v>2805</v>
      </c>
      <c r="D3187" t="s">
        <v>449</v>
      </c>
      <c r="E3187">
        <v>189</v>
      </c>
      <c r="F3187">
        <v>0</v>
      </c>
      <c r="G3187">
        <v>0</v>
      </c>
      <c r="H3187">
        <f t="shared" si="98"/>
        <v>189</v>
      </c>
      <c r="I3187">
        <v>0</v>
      </c>
      <c r="J3187">
        <v>0</v>
      </c>
      <c r="K3187">
        <v>0</v>
      </c>
      <c r="L3187">
        <f t="shared" si="99"/>
        <v>0</v>
      </c>
    </row>
    <row r="3188" spans="1:12">
      <c r="A3188" t="s">
        <v>4058</v>
      </c>
      <c r="B3188" t="s">
        <v>967</v>
      </c>
      <c r="C3188" t="s">
        <v>2805</v>
      </c>
      <c r="D3188" t="s">
        <v>2807</v>
      </c>
      <c r="E3188">
        <v>75</v>
      </c>
      <c r="F3188">
        <v>0</v>
      </c>
      <c r="G3188">
        <v>0</v>
      </c>
      <c r="H3188">
        <f t="shared" si="98"/>
        <v>75</v>
      </c>
      <c r="I3188">
        <v>1</v>
      </c>
      <c r="J3188">
        <v>0</v>
      </c>
      <c r="K3188">
        <v>0</v>
      </c>
      <c r="L3188">
        <f t="shared" si="99"/>
        <v>1</v>
      </c>
    </row>
    <row r="3189" spans="1:12">
      <c r="A3189" t="s">
        <v>4058</v>
      </c>
      <c r="B3189" t="s">
        <v>967</v>
      </c>
      <c r="C3189" t="s">
        <v>2805</v>
      </c>
      <c r="D3189" t="s">
        <v>2937</v>
      </c>
      <c r="E3189">
        <v>4</v>
      </c>
      <c r="F3189">
        <v>0</v>
      </c>
      <c r="G3189">
        <v>0</v>
      </c>
      <c r="H3189">
        <f t="shared" si="98"/>
        <v>4</v>
      </c>
      <c r="I3189">
        <v>0</v>
      </c>
      <c r="J3189">
        <v>0</v>
      </c>
      <c r="K3189">
        <v>0</v>
      </c>
      <c r="L3189">
        <f t="shared" si="99"/>
        <v>0</v>
      </c>
    </row>
    <row r="3190" spans="1:12">
      <c r="A3190" t="s">
        <v>4058</v>
      </c>
      <c r="B3190" t="s">
        <v>967</v>
      </c>
      <c r="C3190" t="s">
        <v>2805</v>
      </c>
      <c r="D3190" t="s">
        <v>2846</v>
      </c>
      <c r="E3190">
        <v>2</v>
      </c>
      <c r="F3190">
        <v>0</v>
      </c>
      <c r="G3190">
        <v>0</v>
      </c>
      <c r="H3190">
        <f t="shared" si="98"/>
        <v>2</v>
      </c>
      <c r="I3190">
        <v>0</v>
      </c>
      <c r="J3190">
        <v>0</v>
      </c>
      <c r="K3190">
        <v>0</v>
      </c>
      <c r="L3190">
        <f t="shared" si="99"/>
        <v>0</v>
      </c>
    </row>
    <row r="3191" spans="1:12">
      <c r="A3191" t="s">
        <v>4058</v>
      </c>
      <c r="B3191" t="s">
        <v>967</v>
      </c>
      <c r="C3191" t="s">
        <v>2810</v>
      </c>
      <c r="D3191" t="s">
        <v>2811</v>
      </c>
      <c r="E3191">
        <v>75</v>
      </c>
      <c r="F3191">
        <v>0</v>
      </c>
      <c r="G3191">
        <v>0</v>
      </c>
      <c r="H3191">
        <f t="shared" si="98"/>
        <v>75</v>
      </c>
      <c r="I3191">
        <v>1</v>
      </c>
      <c r="J3191">
        <v>0</v>
      </c>
      <c r="K3191">
        <v>0</v>
      </c>
      <c r="L3191">
        <f t="shared" si="99"/>
        <v>1</v>
      </c>
    </row>
    <row r="3192" spans="1:12">
      <c r="A3192" t="s">
        <v>4058</v>
      </c>
      <c r="B3192" t="s">
        <v>967</v>
      </c>
      <c r="C3192" t="s">
        <v>2810</v>
      </c>
      <c r="D3192" t="s">
        <v>2812</v>
      </c>
      <c r="E3192">
        <v>9</v>
      </c>
      <c r="F3192">
        <v>0</v>
      </c>
      <c r="G3192">
        <v>0</v>
      </c>
      <c r="H3192">
        <f t="shared" si="98"/>
        <v>9</v>
      </c>
      <c r="I3192">
        <v>0</v>
      </c>
      <c r="J3192">
        <v>0</v>
      </c>
      <c r="K3192">
        <v>0</v>
      </c>
      <c r="L3192">
        <f t="shared" si="99"/>
        <v>0</v>
      </c>
    </row>
    <row r="3193" spans="1:12">
      <c r="A3193" t="s">
        <v>4058</v>
      </c>
      <c r="B3193" t="s">
        <v>967</v>
      </c>
      <c r="C3193" t="s">
        <v>2810</v>
      </c>
      <c r="D3193" t="s">
        <v>2813</v>
      </c>
      <c r="E3193">
        <v>1</v>
      </c>
      <c r="F3193">
        <v>0</v>
      </c>
      <c r="G3193">
        <v>0</v>
      </c>
      <c r="H3193">
        <f t="shared" si="98"/>
        <v>1</v>
      </c>
      <c r="I3193">
        <v>0</v>
      </c>
      <c r="J3193">
        <v>0</v>
      </c>
      <c r="K3193">
        <v>0</v>
      </c>
      <c r="L3193">
        <f t="shared" si="99"/>
        <v>0</v>
      </c>
    </row>
    <row r="3194" spans="1:12">
      <c r="A3194" t="s">
        <v>4058</v>
      </c>
      <c r="B3194" t="s">
        <v>967</v>
      </c>
      <c r="C3194" t="s">
        <v>2810</v>
      </c>
      <c r="D3194" t="s">
        <v>2814</v>
      </c>
      <c r="E3194">
        <v>5</v>
      </c>
      <c r="F3194">
        <v>0</v>
      </c>
      <c r="G3194">
        <v>0</v>
      </c>
      <c r="H3194">
        <f t="shared" si="98"/>
        <v>5</v>
      </c>
      <c r="I3194">
        <v>0</v>
      </c>
      <c r="J3194">
        <v>0</v>
      </c>
      <c r="K3194">
        <v>0</v>
      </c>
      <c r="L3194">
        <f t="shared" si="99"/>
        <v>0</v>
      </c>
    </row>
    <row r="3195" spans="1:12">
      <c r="A3195" t="s">
        <v>4058</v>
      </c>
      <c r="B3195" t="s">
        <v>967</v>
      </c>
      <c r="C3195" t="s">
        <v>2816</v>
      </c>
      <c r="D3195" t="s">
        <v>1897</v>
      </c>
      <c r="E3195">
        <v>24</v>
      </c>
      <c r="F3195">
        <v>0</v>
      </c>
      <c r="G3195">
        <v>0</v>
      </c>
      <c r="H3195">
        <f t="shared" si="98"/>
        <v>24</v>
      </c>
      <c r="I3195">
        <v>0</v>
      </c>
      <c r="J3195">
        <v>0</v>
      </c>
      <c r="K3195">
        <v>0</v>
      </c>
      <c r="L3195">
        <f t="shared" si="99"/>
        <v>0</v>
      </c>
    </row>
    <row r="3196" spans="1:12">
      <c r="A3196" t="s">
        <v>4058</v>
      </c>
      <c r="B3196" t="s">
        <v>967</v>
      </c>
      <c r="C3196" t="s">
        <v>2817</v>
      </c>
      <c r="D3196" t="s">
        <v>2877</v>
      </c>
      <c r="E3196">
        <v>15</v>
      </c>
      <c r="F3196">
        <v>0</v>
      </c>
      <c r="G3196">
        <v>0</v>
      </c>
      <c r="H3196">
        <f t="shared" si="98"/>
        <v>15</v>
      </c>
      <c r="I3196">
        <v>0</v>
      </c>
      <c r="J3196">
        <v>0</v>
      </c>
      <c r="K3196">
        <v>0</v>
      </c>
      <c r="L3196">
        <f t="shared" si="99"/>
        <v>0</v>
      </c>
    </row>
    <row r="3197" spans="1:12">
      <c r="A3197" t="s">
        <v>4058</v>
      </c>
      <c r="B3197" t="s">
        <v>967</v>
      </c>
      <c r="C3197" t="s">
        <v>2817</v>
      </c>
      <c r="D3197" t="s">
        <v>2818</v>
      </c>
      <c r="E3197">
        <v>4</v>
      </c>
      <c r="F3197">
        <v>0</v>
      </c>
      <c r="G3197">
        <v>0</v>
      </c>
      <c r="H3197">
        <f t="shared" si="98"/>
        <v>4</v>
      </c>
      <c r="I3197">
        <v>0</v>
      </c>
      <c r="J3197">
        <v>0</v>
      </c>
      <c r="K3197">
        <v>0</v>
      </c>
      <c r="L3197">
        <f t="shared" si="99"/>
        <v>0</v>
      </c>
    </row>
    <row r="3198" spans="1:12">
      <c r="A3198" t="s">
        <v>4059</v>
      </c>
      <c r="B3198" t="s">
        <v>1655</v>
      </c>
      <c r="C3198" t="s">
        <v>2841</v>
      </c>
      <c r="D3198" t="s">
        <v>3117</v>
      </c>
      <c r="E3198">
        <v>0</v>
      </c>
      <c r="F3198">
        <v>0</v>
      </c>
      <c r="G3198">
        <v>0</v>
      </c>
      <c r="H3198">
        <f t="shared" si="98"/>
        <v>0</v>
      </c>
      <c r="I3198">
        <v>0</v>
      </c>
      <c r="J3198">
        <v>2</v>
      </c>
      <c r="K3198">
        <v>0</v>
      </c>
      <c r="L3198">
        <f t="shared" si="99"/>
        <v>2</v>
      </c>
    </row>
    <row r="3199" spans="1:12">
      <c r="A3199" t="s">
        <v>4059</v>
      </c>
      <c r="B3199" t="s">
        <v>1655</v>
      </c>
      <c r="C3199" t="s">
        <v>2841</v>
      </c>
      <c r="D3199" t="s">
        <v>2842</v>
      </c>
      <c r="E3199">
        <v>0</v>
      </c>
      <c r="F3199">
        <v>0</v>
      </c>
      <c r="G3199">
        <v>0</v>
      </c>
      <c r="H3199">
        <f t="shared" si="98"/>
        <v>0</v>
      </c>
      <c r="I3199">
        <v>4</v>
      </c>
      <c r="J3199">
        <v>2</v>
      </c>
      <c r="K3199">
        <v>0</v>
      </c>
      <c r="L3199">
        <f t="shared" si="99"/>
        <v>6</v>
      </c>
    </row>
    <row r="3200" spans="1:12">
      <c r="A3200" t="s">
        <v>4059</v>
      </c>
      <c r="B3200" t="s">
        <v>1655</v>
      </c>
      <c r="C3200" t="s">
        <v>2826</v>
      </c>
      <c r="D3200" t="s">
        <v>2905</v>
      </c>
      <c r="E3200">
        <v>0</v>
      </c>
      <c r="F3200">
        <v>0</v>
      </c>
      <c r="G3200">
        <v>0</v>
      </c>
      <c r="H3200">
        <f t="shared" si="98"/>
        <v>0</v>
      </c>
      <c r="I3200">
        <v>0</v>
      </c>
      <c r="J3200">
        <v>1</v>
      </c>
      <c r="K3200">
        <v>0</v>
      </c>
      <c r="L3200">
        <f t="shared" si="99"/>
        <v>1</v>
      </c>
    </row>
    <row r="3201" spans="1:12">
      <c r="A3201" t="s">
        <v>4059</v>
      </c>
      <c r="B3201" t="s">
        <v>1655</v>
      </c>
      <c r="C3201" t="s">
        <v>2826</v>
      </c>
      <c r="D3201" t="s">
        <v>2827</v>
      </c>
      <c r="E3201">
        <v>0</v>
      </c>
      <c r="F3201">
        <v>0</v>
      </c>
      <c r="G3201">
        <v>0</v>
      </c>
      <c r="H3201">
        <f t="shared" si="98"/>
        <v>0</v>
      </c>
      <c r="I3201">
        <v>2</v>
      </c>
      <c r="J3201">
        <v>0</v>
      </c>
      <c r="K3201">
        <v>0</v>
      </c>
      <c r="L3201">
        <f t="shared" si="99"/>
        <v>2</v>
      </c>
    </row>
    <row r="3202" spans="1:12">
      <c r="A3202" t="s">
        <v>4059</v>
      </c>
      <c r="B3202" t="s">
        <v>1655</v>
      </c>
      <c r="C3202" t="s">
        <v>2826</v>
      </c>
      <c r="D3202" t="s">
        <v>2828</v>
      </c>
      <c r="E3202">
        <v>0</v>
      </c>
      <c r="F3202">
        <v>0</v>
      </c>
      <c r="G3202">
        <v>0</v>
      </c>
      <c r="H3202">
        <f t="shared" si="98"/>
        <v>0</v>
      </c>
      <c r="I3202">
        <v>0</v>
      </c>
      <c r="J3202">
        <v>1</v>
      </c>
      <c r="K3202">
        <v>0</v>
      </c>
      <c r="L3202">
        <f t="shared" si="99"/>
        <v>1</v>
      </c>
    </row>
    <row r="3203" spans="1:12">
      <c r="A3203" t="s">
        <v>4059</v>
      </c>
      <c r="B3203" t="s">
        <v>1655</v>
      </c>
      <c r="C3203" t="s">
        <v>2826</v>
      </c>
      <c r="D3203" t="s">
        <v>2829</v>
      </c>
      <c r="E3203">
        <v>0</v>
      </c>
      <c r="F3203">
        <v>0</v>
      </c>
      <c r="G3203">
        <v>0</v>
      </c>
      <c r="H3203">
        <f t="shared" si="98"/>
        <v>0</v>
      </c>
      <c r="I3203">
        <v>2</v>
      </c>
      <c r="J3203">
        <v>0</v>
      </c>
      <c r="K3203">
        <v>0</v>
      </c>
      <c r="L3203">
        <f t="shared" si="99"/>
        <v>2</v>
      </c>
    </row>
    <row r="3204" spans="1:12">
      <c r="A3204" t="s">
        <v>4059</v>
      </c>
      <c r="B3204" t="s">
        <v>1655</v>
      </c>
      <c r="C3204" t="s">
        <v>2826</v>
      </c>
      <c r="D3204" t="s">
        <v>2891</v>
      </c>
      <c r="E3204">
        <v>0</v>
      </c>
      <c r="F3204">
        <v>0</v>
      </c>
      <c r="G3204">
        <v>0</v>
      </c>
      <c r="H3204">
        <f t="shared" ref="H3204:H3267" si="100">SUM(E3204:G3204)</f>
        <v>0</v>
      </c>
      <c r="I3204">
        <v>0</v>
      </c>
      <c r="J3204">
        <v>1</v>
      </c>
      <c r="K3204">
        <v>0</v>
      </c>
      <c r="L3204">
        <f t="shared" ref="L3204:L3267" si="101">SUM(I3204:K3204)</f>
        <v>1</v>
      </c>
    </row>
    <row r="3205" spans="1:12">
      <c r="A3205" t="s">
        <v>4059</v>
      </c>
      <c r="B3205" t="s">
        <v>1655</v>
      </c>
      <c r="C3205" t="s">
        <v>2826</v>
      </c>
      <c r="D3205" t="s">
        <v>2864</v>
      </c>
      <c r="E3205">
        <v>0</v>
      </c>
      <c r="F3205">
        <v>0</v>
      </c>
      <c r="G3205">
        <v>0</v>
      </c>
      <c r="H3205">
        <f t="shared" si="100"/>
        <v>0</v>
      </c>
      <c r="I3205">
        <v>1</v>
      </c>
      <c r="J3205">
        <v>0</v>
      </c>
      <c r="K3205">
        <v>0</v>
      </c>
      <c r="L3205">
        <f t="shared" si="101"/>
        <v>1</v>
      </c>
    </row>
    <row r="3206" spans="1:12">
      <c r="A3206" t="s">
        <v>4059</v>
      </c>
      <c r="B3206" t="s">
        <v>1655</v>
      </c>
      <c r="C3206" t="s">
        <v>2826</v>
      </c>
      <c r="D3206" t="s">
        <v>2831</v>
      </c>
      <c r="E3206">
        <v>0</v>
      </c>
      <c r="F3206">
        <v>0</v>
      </c>
      <c r="G3206">
        <v>0</v>
      </c>
      <c r="H3206">
        <f t="shared" si="100"/>
        <v>0</v>
      </c>
      <c r="I3206">
        <v>0</v>
      </c>
      <c r="J3206">
        <v>1</v>
      </c>
      <c r="K3206">
        <v>0</v>
      </c>
      <c r="L3206">
        <f t="shared" si="101"/>
        <v>1</v>
      </c>
    </row>
    <row r="3207" spans="1:12">
      <c r="A3207" t="s">
        <v>4059</v>
      </c>
      <c r="B3207" t="s">
        <v>1655</v>
      </c>
      <c r="C3207" t="s">
        <v>2826</v>
      </c>
      <c r="D3207" t="s">
        <v>2843</v>
      </c>
      <c r="E3207">
        <v>0</v>
      </c>
      <c r="F3207">
        <v>0</v>
      </c>
      <c r="G3207">
        <v>0</v>
      </c>
      <c r="H3207">
        <f t="shared" si="100"/>
        <v>0</v>
      </c>
      <c r="I3207">
        <v>2</v>
      </c>
      <c r="J3207">
        <v>0</v>
      </c>
      <c r="K3207">
        <v>0</v>
      </c>
      <c r="L3207">
        <f t="shared" si="101"/>
        <v>2</v>
      </c>
    </row>
    <row r="3208" spans="1:12">
      <c r="A3208" t="s">
        <v>4059</v>
      </c>
      <c r="B3208" t="s">
        <v>1655</v>
      </c>
      <c r="C3208" t="s">
        <v>2826</v>
      </c>
      <c r="D3208" t="s">
        <v>2834</v>
      </c>
      <c r="E3208">
        <v>0</v>
      </c>
      <c r="F3208">
        <v>0</v>
      </c>
      <c r="G3208">
        <v>0</v>
      </c>
      <c r="H3208">
        <f t="shared" si="100"/>
        <v>0</v>
      </c>
      <c r="I3208">
        <v>1</v>
      </c>
      <c r="J3208">
        <v>0</v>
      </c>
      <c r="K3208">
        <v>0</v>
      </c>
      <c r="L3208">
        <f t="shared" si="101"/>
        <v>1</v>
      </c>
    </row>
    <row r="3209" spans="1:12">
      <c r="A3209" t="s">
        <v>4059</v>
      </c>
      <c r="B3209" t="s">
        <v>1655</v>
      </c>
      <c r="C3209" t="s">
        <v>2826</v>
      </c>
      <c r="D3209" t="s">
        <v>2886</v>
      </c>
      <c r="E3209">
        <v>0</v>
      </c>
      <c r="F3209">
        <v>0</v>
      </c>
      <c r="G3209">
        <v>0</v>
      </c>
      <c r="H3209">
        <f t="shared" si="100"/>
        <v>0</v>
      </c>
      <c r="I3209">
        <v>1</v>
      </c>
      <c r="J3209">
        <v>1</v>
      </c>
      <c r="K3209">
        <v>0</v>
      </c>
      <c r="L3209">
        <f t="shared" si="101"/>
        <v>2</v>
      </c>
    </row>
    <row r="3210" spans="1:12">
      <c r="A3210" t="s">
        <v>4059</v>
      </c>
      <c r="B3210" t="s">
        <v>1655</v>
      </c>
      <c r="C3210" t="s">
        <v>2826</v>
      </c>
      <c r="D3210" t="s">
        <v>2844</v>
      </c>
      <c r="E3210">
        <v>0</v>
      </c>
      <c r="F3210">
        <v>0</v>
      </c>
      <c r="G3210">
        <v>0</v>
      </c>
      <c r="H3210">
        <f t="shared" si="100"/>
        <v>0</v>
      </c>
      <c r="I3210">
        <v>1</v>
      </c>
      <c r="J3210">
        <v>0</v>
      </c>
      <c r="K3210">
        <v>0</v>
      </c>
      <c r="L3210">
        <f t="shared" si="101"/>
        <v>1</v>
      </c>
    </row>
    <row r="3211" spans="1:12">
      <c r="A3211" t="s">
        <v>4059</v>
      </c>
      <c r="B3211" t="s">
        <v>1655</v>
      </c>
      <c r="C3211" t="s">
        <v>2826</v>
      </c>
      <c r="D3211" t="s">
        <v>2835</v>
      </c>
      <c r="E3211">
        <v>0</v>
      </c>
      <c r="F3211">
        <v>0</v>
      </c>
      <c r="G3211">
        <v>0</v>
      </c>
      <c r="H3211">
        <f t="shared" si="100"/>
        <v>0</v>
      </c>
      <c r="I3211">
        <v>2</v>
      </c>
      <c r="J3211">
        <v>0</v>
      </c>
      <c r="K3211">
        <v>0</v>
      </c>
      <c r="L3211">
        <f t="shared" si="101"/>
        <v>2</v>
      </c>
    </row>
    <row r="3212" spans="1:12">
      <c r="A3212" t="s">
        <v>4059</v>
      </c>
      <c r="B3212" t="s">
        <v>1655</v>
      </c>
      <c r="C3212" t="s">
        <v>2826</v>
      </c>
      <c r="D3212" t="s">
        <v>2917</v>
      </c>
      <c r="E3212">
        <v>0</v>
      </c>
      <c r="F3212">
        <v>0</v>
      </c>
      <c r="G3212">
        <v>0</v>
      </c>
      <c r="H3212">
        <f t="shared" si="100"/>
        <v>0</v>
      </c>
      <c r="I3212">
        <v>1</v>
      </c>
      <c r="J3212">
        <v>0</v>
      </c>
      <c r="K3212">
        <v>0</v>
      </c>
      <c r="L3212">
        <f t="shared" si="101"/>
        <v>1</v>
      </c>
    </row>
    <row r="3213" spans="1:12">
      <c r="A3213" t="s">
        <v>4059</v>
      </c>
      <c r="B3213" t="s">
        <v>1655</v>
      </c>
      <c r="C3213" t="s">
        <v>2826</v>
      </c>
      <c r="D3213" t="s">
        <v>2849</v>
      </c>
      <c r="E3213">
        <v>0</v>
      </c>
      <c r="F3213">
        <v>0</v>
      </c>
      <c r="G3213">
        <v>0</v>
      </c>
      <c r="H3213">
        <f t="shared" si="100"/>
        <v>0</v>
      </c>
      <c r="I3213">
        <v>1</v>
      </c>
      <c r="J3213">
        <v>0</v>
      </c>
      <c r="K3213">
        <v>0</v>
      </c>
      <c r="L3213">
        <f t="shared" si="101"/>
        <v>1</v>
      </c>
    </row>
    <row r="3214" spans="1:12">
      <c r="A3214" t="s">
        <v>4059</v>
      </c>
      <c r="B3214" t="s">
        <v>1655</v>
      </c>
      <c r="C3214" t="s">
        <v>2826</v>
      </c>
      <c r="D3214" t="s">
        <v>2836</v>
      </c>
      <c r="E3214">
        <v>0</v>
      </c>
      <c r="F3214">
        <v>0</v>
      </c>
      <c r="G3214">
        <v>0</v>
      </c>
      <c r="H3214">
        <f t="shared" si="100"/>
        <v>0</v>
      </c>
      <c r="I3214">
        <v>0</v>
      </c>
      <c r="J3214">
        <v>2</v>
      </c>
      <c r="K3214">
        <v>0</v>
      </c>
      <c r="L3214">
        <f t="shared" si="101"/>
        <v>2</v>
      </c>
    </row>
    <row r="3215" spans="1:12">
      <c r="A3215" t="s">
        <v>4059</v>
      </c>
      <c r="B3215" t="s">
        <v>1655</v>
      </c>
      <c r="C3215" t="s">
        <v>2817</v>
      </c>
      <c r="D3215" t="s">
        <v>2887</v>
      </c>
      <c r="E3215">
        <v>0</v>
      </c>
      <c r="F3215">
        <v>0</v>
      </c>
      <c r="G3215">
        <v>0</v>
      </c>
      <c r="H3215">
        <f t="shared" si="100"/>
        <v>0</v>
      </c>
      <c r="I3215">
        <v>0</v>
      </c>
      <c r="J3215">
        <v>1</v>
      </c>
      <c r="K3215">
        <v>0</v>
      </c>
      <c r="L3215">
        <f t="shared" si="101"/>
        <v>1</v>
      </c>
    </row>
    <row r="3216" spans="1:12">
      <c r="A3216" t="s">
        <v>4059</v>
      </c>
      <c r="B3216" t="s">
        <v>1655</v>
      </c>
      <c r="C3216" t="s">
        <v>2820</v>
      </c>
      <c r="D3216" t="s">
        <v>2821</v>
      </c>
      <c r="E3216">
        <v>0</v>
      </c>
      <c r="F3216">
        <v>0</v>
      </c>
      <c r="G3216">
        <v>0</v>
      </c>
      <c r="H3216">
        <f t="shared" si="100"/>
        <v>0</v>
      </c>
      <c r="I3216">
        <v>0</v>
      </c>
      <c r="J3216">
        <v>1</v>
      </c>
      <c r="K3216">
        <v>0</v>
      </c>
      <c r="L3216">
        <f t="shared" si="101"/>
        <v>1</v>
      </c>
    </row>
    <row r="3217" spans="1:12">
      <c r="A3217" t="s">
        <v>4066</v>
      </c>
      <c r="B3217" t="s">
        <v>1658</v>
      </c>
      <c r="C3217" t="s">
        <v>2805</v>
      </c>
      <c r="D3217" t="s">
        <v>2806</v>
      </c>
      <c r="E3217">
        <v>187</v>
      </c>
      <c r="F3217">
        <v>0</v>
      </c>
      <c r="G3217">
        <v>0</v>
      </c>
      <c r="H3217">
        <f t="shared" si="100"/>
        <v>187</v>
      </c>
      <c r="I3217">
        <v>3</v>
      </c>
      <c r="J3217">
        <v>0</v>
      </c>
      <c r="K3217">
        <v>0</v>
      </c>
      <c r="L3217">
        <f t="shared" si="101"/>
        <v>3</v>
      </c>
    </row>
    <row r="3218" spans="1:12">
      <c r="A3218" t="s">
        <v>4066</v>
      </c>
      <c r="B3218" t="s">
        <v>1658</v>
      </c>
      <c r="C3218" t="s">
        <v>2805</v>
      </c>
      <c r="D3218" t="s">
        <v>449</v>
      </c>
      <c r="E3218">
        <v>178</v>
      </c>
      <c r="F3218">
        <v>0</v>
      </c>
      <c r="G3218">
        <v>0</v>
      </c>
      <c r="H3218">
        <f t="shared" si="100"/>
        <v>178</v>
      </c>
      <c r="I3218">
        <v>1</v>
      </c>
      <c r="J3218">
        <v>0</v>
      </c>
      <c r="K3218">
        <v>0</v>
      </c>
      <c r="L3218">
        <f t="shared" si="101"/>
        <v>1</v>
      </c>
    </row>
    <row r="3219" spans="1:12">
      <c r="A3219" t="s">
        <v>4066</v>
      </c>
      <c r="B3219" t="s">
        <v>1658</v>
      </c>
      <c r="C3219" t="s">
        <v>2805</v>
      </c>
      <c r="D3219" t="s">
        <v>2807</v>
      </c>
      <c r="E3219">
        <v>3</v>
      </c>
      <c r="F3219">
        <v>0</v>
      </c>
      <c r="G3219">
        <v>0</v>
      </c>
      <c r="H3219">
        <f t="shared" si="100"/>
        <v>3</v>
      </c>
      <c r="I3219">
        <v>0</v>
      </c>
      <c r="J3219">
        <v>0</v>
      </c>
      <c r="K3219">
        <v>0</v>
      </c>
      <c r="L3219">
        <f t="shared" si="101"/>
        <v>0</v>
      </c>
    </row>
    <row r="3220" spans="1:12">
      <c r="A3220" t="s">
        <v>4066</v>
      </c>
      <c r="B3220" t="s">
        <v>1658</v>
      </c>
      <c r="C3220" t="s">
        <v>2805</v>
      </c>
      <c r="D3220" t="s">
        <v>442</v>
      </c>
      <c r="E3220">
        <v>4</v>
      </c>
      <c r="F3220">
        <v>0</v>
      </c>
      <c r="G3220">
        <v>0</v>
      </c>
      <c r="H3220">
        <f t="shared" si="100"/>
        <v>4</v>
      </c>
      <c r="I3220">
        <v>0</v>
      </c>
      <c r="J3220">
        <v>0</v>
      </c>
      <c r="K3220">
        <v>0</v>
      </c>
      <c r="L3220">
        <f t="shared" si="101"/>
        <v>0</v>
      </c>
    </row>
    <row r="3221" spans="1:12">
      <c r="A3221" t="s">
        <v>4066</v>
      </c>
      <c r="B3221" t="s">
        <v>1658</v>
      </c>
      <c r="C3221" t="s">
        <v>2810</v>
      </c>
      <c r="D3221" t="s">
        <v>2811</v>
      </c>
      <c r="E3221">
        <v>10</v>
      </c>
      <c r="F3221">
        <v>0</v>
      </c>
      <c r="G3221">
        <v>0</v>
      </c>
      <c r="H3221">
        <f t="shared" si="100"/>
        <v>10</v>
      </c>
      <c r="I3221">
        <v>3</v>
      </c>
      <c r="J3221">
        <v>0</v>
      </c>
      <c r="K3221">
        <v>0</v>
      </c>
      <c r="L3221">
        <f t="shared" si="101"/>
        <v>3</v>
      </c>
    </row>
    <row r="3222" spans="1:12">
      <c r="A3222" t="s">
        <v>4066</v>
      </c>
      <c r="B3222" t="s">
        <v>1658</v>
      </c>
      <c r="C3222" t="s">
        <v>2810</v>
      </c>
      <c r="D3222" t="s">
        <v>1892</v>
      </c>
      <c r="E3222">
        <v>39</v>
      </c>
      <c r="F3222">
        <v>0</v>
      </c>
      <c r="G3222">
        <v>0</v>
      </c>
      <c r="H3222">
        <f t="shared" si="100"/>
        <v>39</v>
      </c>
      <c r="I3222">
        <v>0</v>
      </c>
      <c r="J3222">
        <v>0</v>
      </c>
      <c r="K3222">
        <v>0</v>
      </c>
      <c r="L3222">
        <f t="shared" si="101"/>
        <v>0</v>
      </c>
    </row>
    <row r="3223" spans="1:12">
      <c r="A3223" t="s">
        <v>4066</v>
      </c>
      <c r="B3223" t="s">
        <v>1658</v>
      </c>
      <c r="C3223" t="s">
        <v>2810</v>
      </c>
      <c r="D3223" t="s">
        <v>2823</v>
      </c>
      <c r="E3223">
        <v>2</v>
      </c>
      <c r="F3223">
        <v>18</v>
      </c>
      <c r="G3223">
        <v>0</v>
      </c>
      <c r="H3223">
        <f t="shared" si="100"/>
        <v>20</v>
      </c>
      <c r="I3223">
        <v>0</v>
      </c>
      <c r="J3223">
        <v>4</v>
      </c>
      <c r="K3223">
        <v>0</v>
      </c>
      <c r="L3223">
        <f t="shared" si="101"/>
        <v>4</v>
      </c>
    </row>
    <row r="3224" spans="1:12">
      <c r="A3224" t="s">
        <v>4066</v>
      </c>
      <c r="B3224" t="s">
        <v>1658</v>
      </c>
      <c r="C3224" t="s">
        <v>2810</v>
      </c>
      <c r="D3224" t="s">
        <v>2812</v>
      </c>
      <c r="E3224">
        <v>40</v>
      </c>
      <c r="F3224">
        <v>0</v>
      </c>
      <c r="G3224">
        <v>0</v>
      </c>
      <c r="H3224">
        <f t="shared" si="100"/>
        <v>40</v>
      </c>
      <c r="I3224">
        <v>2</v>
      </c>
      <c r="J3224">
        <v>0</v>
      </c>
      <c r="K3224">
        <v>0</v>
      </c>
      <c r="L3224">
        <f t="shared" si="101"/>
        <v>2</v>
      </c>
    </row>
    <row r="3225" spans="1:12">
      <c r="A3225" t="s">
        <v>4066</v>
      </c>
      <c r="B3225" t="s">
        <v>1658</v>
      </c>
      <c r="C3225" t="s">
        <v>2810</v>
      </c>
      <c r="D3225" t="s">
        <v>2813</v>
      </c>
      <c r="E3225">
        <v>19</v>
      </c>
      <c r="F3225">
        <v>0</v>
      </c>
      <c r="G3225">
        <v>0</v>
      </c>
      <c r="H3225">
        <f t="shared" si="100"/>
        <v>19</v>
      </c>
      <c r="I3225">
        <v>10</v>
      </c>
      <c r="J3225">
        <v>0</v>
      </c>
      <c r="K3225">
        <v>0</v>
      </c>
      <c r="L3225">
        <f t="shared" si="101"/>
        <v>10</v>
      </c>
    </row>
    <row r="3226" spans="1:12">
      <c r="A3226" t="s">
        <v>4066</v>
      </c>
      <c r="B3226" t="s">
        <v>1658</v>
      </c>
      <c r="C3226" t="s">
        <v>2810</v>
      </c>
      <c r="D3226" t="s">
        <v>2847</v>
      </c>
      <c r="E3226">
        <v>38</v>
      </c>
      <c r="F3226">
        <v>0</v>
      </c>
      <c r="G3226">
        <v>0</v>
      </c>
      <c r="H3226">
        <f t="shared" si="100"/>
        <v>38</v>
      </c>
      <c r="I3226">
        <v>0</v>
      </c>
      <c r="J3226">
        <v>0</v>
      </c>
      <c r="K3226">
        <v>0</v>
      </c>
      <c r="L3226">
        <f t="shared" si="101"/>
        <v>0</v>
      </c>
    </row>
    <row r="3227" spans="1:12">
      <c r="A3227" t="s">
        <v>4066</v>
      </c>
      <c r="B3227" t="s">
        <v>1658</v>
      </c>
      <c r="C3227" t="s">
        <v>2810</v>
      </c>
      <c r="D3227" t="s">
        <v>2815</v>
      </c>
      <c r="E3227">
        <v>12</v>
      </c>
      <c r="F3227">
        <v>0</v>
      </c>
      <c r="G3227">
        <v>0</v>
      </c>
      <c r="H3227">
        <f t="shared" si="100"/>
        <v>12</v>
      </c>
      <c r="I3227">
        <v>1</v>
      </c>
      <c r="J3227">
        <v>0</v>
      </c>
      <c r="K3227">
        <v>0</v>
      </c>
      <c r="L3227">
        <f t="shared" si="101"/>
        <v>1</v>
      </c>
    </row>
    <row r="3228" spans="1:12">
      <c r="A3228" t="s">
        <v>4066</v>
      </c>
      <c r="B3228" t="s">
        <v>1658</v>
      </c>
      <c r="C3228" t="s">
        <v>2841</v>
      </c>
      <c r="D3228" t="s">
        <v>2842</v>
      </c>
      <c r="E3228">
        <v>0</v>
      </c>
      <c r="F3228">
        <v>0</v>
      </c>
      <c r="G3228">
        <v>0</v>
      </c>
      <c r="H3228">
        <f t="shared" si="100"/>
        <v>0</v>
      </c>
      <c r="I3228">
        <v>5</v>
      </c>
      <c r="J3228">
        <v>0</v>
      </c>
      <c r="K3228">
        <v>0</v>
      </c>
      <c r="L3228">
        <f t="shared" si="101"/>
        <v>5</v>
      </c>
    </row>
    <row r="3229" spans="1:12">
      <c r="A3229" t="s">
        <v>4066</v>
      </c>
      <c r="B3229" t="s">
        <v>1658</v>
      </c>
      <c r="C3229" t="s">
        <v>2817</v>
      </c>
      <c r="D3229" t="s">
        <v>2818</v>
      </c>
      <c r="E3229">
        <v>10</v>
      </c>
      <c r="F3229">
        <v>0</v>
      </c>
      <c r="G3229">
        <v>0</v>
      </c>
      <c r="H3229">
        <f t="shared" si="100"/>
        <v>10</v>
      </c>
      <c r="I3229">
        <v>0</v>
      </c>
      <c r="J3229">
        <v>0</v>
      </c>
      <c r="K3229">
        <v>0</v>
      </c>
      <c r="L3229">
        <f t="shared" si="101"/>
        <v>0</v>
      </c>
    </row>
    <row r="3230" spans="1:12">
      <c r="A3230" t="s">
        <v>4066</v>
      </c>
      <c r="B3230" t="s">
        <v>1658</v>
      </c>
      <c r="C3230" t="s">
        <v>2817</v>
      </c>
      <c r="D3230" t="s">
        <v>2837</v>
      </c>
      <c r="E3230">
        <v>10</v>
      </c>
      <c r="F3230">
        <v>0</v>
      </c>
      <c r="G3230">
        <v>0</v>
      </c>
      <c r="H3230">
        <f t="shared" si="100"/>
        <v>10</v>
      </c>
      <c r="I3230">
        <v>0</v>
      </c>
      <c r="J3230">
        <v>0</v>
      </c>
      <c r="K3230">
        <v>0</v>
      </c>
      <c r="L3230">
        <f t="shared" si="101"/>
        <v>0</v>
      </c>
    </row>
    <row r="3231" spans="1:12">
      <c r="A3231" t="s">
        <v>4066</v>
      </c>
      <c r="B3231" t="s">
        <v>1658</v>
      </c>
      <c r="C3231" t="s">
        <v>2817</v>
      </c>
      <c r="D3231" t="s">
        <v>2909</v>
      </c>
      <c r="E3231">
        <v>0</v>
      </c>
      <c r="F3231">
        <v>0</v>
      </c>
      <c r="G3231">
        <v>0</v>
      </c>
      <c r="H3231">
        <f t="shared" si="100"/>
        <v>0</v>
      </c>
      <c r="I3231">
        <v>3</v>
      </c>
      <c r="J3231">
        <v>0</v>
      </c>
      <c r="K3231">
        <v>0</v>
      </c>
      <c r="L3231">
        <f t="shared" si="101"/>
        <v>3</v>
      </c>
    </row>
    <row r="3232" spans="1:12">
      <c r="A3232" t="s">
        <v>4066</v>
      </c>
      <c r="B3232" t="s">
        <v>1658</v>
      </c>
      <c r="C3232" t="s">
        <v>2820</v>
      </c>
      <c r="D3232" t="s">
        <v>2821</v>
      </c>
      <c r="E3232">
        <v>2</v>
      </c>
      <c r="F3232">
        <v>0</v>
      </c>
      <c r="G3232">
        <v>0</v>
      </c>
      <c r="H3232">
        <f t="shared" si="100"/>
        <v>2</v>
      </c>
      <c r="I3232">
        <v>0</v>
      </c>
      <c r="J3232">
        <v>0</v>
      </c>
      <c r="K3232">
        <v>0</v>
      </c>
      <c r="L3232">
        <f t="shared" si="101"/>
        <v>0</v>
      </c>
    </row>
    <row r="3233" spans="1:12">
      <c r="A3233" t="s">
        <v>4069</v>
      </c>
      <c r="B3233" t="s">
        <v>1660</v>
      </c>
      <c r="C3233" t="s">
        <v>2805</v>
      </c>
      <c r="D3233" t="s">
        <v>2806</v>
      </c>
      <c r="E3233">
        <v>6</v>
      </c>
      <c r="F3233">
        <v>0</v>
      </c>
      <c r="G3233">
        <v>0</v>
      </c>
      <c r="H3233">
        <f t="shared" si="100"/>
        <v>6</v>
      </c>
      <c r="I3233">
        <v>18</v>
      </c>
      <c r="J3233">
        <v>0</v>
      </c>
      <c r="K3233">
        <v>0</v>
      </c>
      <c r="L3233">
        <f t="shared" si="101"/>
        <v>18</v>
      </c>
    </row>
    <row r="3234" spans="1:12">
      <c r="A3234" t="s">
        <v>4069</v>
      </c>
      <c r="B3234" t="s">
        <v>1660</v>
      </c>
      <c r="C3234" t="s">
        <v>2805</v>
      </c>
      <c r="D3234" t="s">
        <v>449</v>
      </c>
      <c r="E3234">
        <v>29</v>
      </c>
      <c r="F3234">
        <v>0</v>
      </c>
      <c r="G3234">
        <v>0</v>
      </c>
      <c r="H3234">
        <f t="shared" si="100"/>
        <v>29</v>
      </c>
      <c r="I3234">
        <v>141</v>
      </c>
      <c r="J3234">
        <v>0</v>
      </c>
      <c r="K3234">
        <v>0</v>
      </c>
      <c r="L3234">
        <f t="shared" si="101"/>
        <v>141</v>
      </c>
    </row>
    <row r="3235" spans="1:12">
      <c r="A3235" t="s">
        <v>4069</v>
      </c>
      <c r="B3235" t="s">
        <v>1660</v>
      </c>
      <c r="C3235" t="s">
        <v>2805</v>
      </c>
      <c r="D3235" t="s">
        <v>2807</v>
      </c>
      <c r="E3235">
        <v>15</v>
      </c>
      <c r="F3235">
        <v>0</v>
      </c>
      <c r="G3235">
        <v>0</v>
      </c>
      <c r="H3235">
        <f t="shared" si="100"/>
        <v>15</v>
      </c>
      <c r="I3235">
        <v>45</v>
      </c>
      <c r="J3235">
        <v>0</v>
      </c>
      <c r="K3235">
        <v>0</v>
      </c>
      <c r="L3235">
        <f t="shared" si="101"/>
        <v>45</v>
      </c>
    </row>
    <row r="3236" spans="1:12">
      <c r="A3236" t="s">
        <v>4069</v>
      </c>
      <c r="B3236" t="s">
        <v>1660</v>
      </c>
      <c r="C3236" t="s">
        <v>2805</v>
      </c>
      <c r="D3236" t="s">
        <v>2809</v>
      </c>
      <c r="E3236">
        <v>5</v>
      </c>
      <c r="F3236">
        <v>0</v>
      </c>
      <c r="G3236">
        <v>0</v>
      </c>
      <c r="H3236">
        <f t="shared" si="100"/>
        <v>5</v>
      </c>
      <c r="I3236">
        <v>12</v>
      </c>
      <c r="J3236">
        <v>0</v>
      </c>
      <c r="K3236">
        <v>0</v>
      </c>
      <c r="L3236">
        <f t="shared" si="101"/>
        <v>12</v>
      </c>
    </row>
    <row r="3237" spans="1:12">
      <c r="A3237" t="s">
        <v>4069</v>
      </c>
      <c r="B3237" t="s">
        <v>1660</v>
      </c>
      <c r="C3237" t="s">
        <v>2805</v>
      </c>
      <c r="D3237" t="s">
        <v>442</v>
      </c>
      <c r="E3237">
        <v>1</v>
      </c>
      <c r="F3237">
        <v>0</v>
      </c>
      <c r="G3237">
        <v>0</v>
      </c>
      <c r="H3237">
        <f t="shared" si="100"/>
        <v>1</v>
      </c>
      <c r="I3237">
        <v>11</v>
      </c>
      <c r="J3237">
        <v>0</v>
      </c>
      <c r="K3237">
        <v>0</v>
      </c>
      <c r="L3237">
        <f t="shared" si="101"/>
        <v>11</v>
      </c>
    </row>
    <row r="3238" spans="1:12">
      <c r="A3238" t="s">
        <v>4069</v>
      </c>
      <c r="B3238" t="s">
        <v>1660</v>
      </c>
      <c r="C3238" t="s">
        <v>2810</v>
      </c>
      <c r="D3238" t="s">
        <v>2811</v>
      </c>
      <c r="E3238">
        <v>16</v>
      </c>
      <c r="F3238">
        <v>0</v>
      </c>
      <c r="G3238">
        <v>0</v>
      </c>
      <c r="H3238">
        <f t="shared" si="100"/>
        <v>16</v>
      </c>
      <c r="I3238">
        <v>48</v>
      </c>
      <c r="J3238">
        <v>0</v>
      </c>
      <c r="K3238">
        <v>0</v>
      </c>
      <c r="L3238">
        <f t="shared" si="101"/>
        <v>48</v>
      </c>
    </row>
    <row r="3239" spans="1:12">
      <c r="A3239" t="s">
        <v>4069</v>
      </c>
      <c r="B3239" t="s">
        <v>1660</v>
      </c>
      <c r="C3239" t="s">
        <v>2810</v>
      </c>
      <c r="D3239" t="s">
        <v>1892</v>
      </c>
      <c r="E3239">
        <v>12</v>
      </c>
      <c r="F3239">
        <v>1</v>
      </c>
      <c r="G3239">
        <v>0</v>
      </c>
      <c r="H3239">
        <f t="shared" si="100"/>
        <v>13</v>
      </c>
      <c r="I3239">
        <v>101</v>
      </c>
      <c r="J3239">
        <v>5</v>
      </c>
      <c r="K3239">
        <v>0</v>
      </c>
      <c r="L3239">
        <f t="shared" si="101"/>
        <v>106</v>
      </c>
    </row>
    <row r="3240" spans="1:12">
      <c r="A3240" t="s">
        <v>4069</v>
      </c>
      <c r="B3240" t="s">
        <v>1660</v>
      </c>
      <c r="C3240" t="s">
        <v>2810</v>
      </c>
      <c r="D3240" t="s">
        <v>2823</v>
      </c>
      <c r="E3240">
        <v>2</v>
      </c>
      <c r="F3240">
        <v>0</v>
      </c>
      <c r="G3240">
        <v>0</v>
      </c>
      <c r="H3240">
        <f t="shared" si="100"/>
        <v>2</v>
      </c>
      <c r="I3240">
        <v>20</v>
      </c>
      <c r="J3240">
        <v>7</v>
      </c>
      <c r="K3240">
        <v>0</v>
      </c>
      <c r="L3240">
        <f t="shared" si="101"/>
        <v>27</v>
      </c>
    </row>
    <row r="3241" spans="1:12">
      <c r="A3241" t="s">
        <v>4069</v>
      </c>
      <c r="B3241" t="s">
        <v>1660</v>
      </c>
      <c r="C3241" t="s">
        <v>2810</v>
      </c>
      <c r="D3241" t="s">
        <v>2812</v>
      </c>
      <c r="E3241">
        <v>61</v>
      </c>
      <c r="F3241">
        <v>0</v>
      </c>
      <c r="G3241">
        <v>0</v>
      </c>
      <c r="H3241">
        <f t="shared" si="100"/>
        <v>61</v>
      </c>
      <c r="I3241">
        <v>92</v>
      </c>
      <c r="J3241">
        <v>0</v>
      </c>
      <c r="K3241">
        <v>0</v>
      </c>
      <c r="L3241">
        <f t="shared" si="101"/>
        <v>92</v>
      </c>
    </row>
    <row r="3242" spans="1:12">
      <c r="A3242" t="s">
        <v>4069</v>
      </c>
      <c r="B3242" t="s">
        <v>1660</v>
      </c>
      <c r="C3242" t="s">
        <v>2810</v>
      </c>
      <c r="D3242" t="s">
        <v>2813</v>
      </c>
      <c r="E3242">
        <v>9</v>
      </c>
      <c r="F3242">
        <v>0</v>
      </c>
      <c r="G3242">
        <v>0</v>
      </c>
      <c r="H3242">
        <f t="shared" si="100"/>
        <v>9</v>
      </c>
      <c r="I3242">
        <v>19</v>
      </c>
      <c r="J3242">
        <v>0</v>
      </c>
      <c r="K3242">
        <v>0</v>
      </c>
      <c r="L3242">
        <f t="shared" si="101"/>
        <v>19</v>
      </c>
    </row>
    <row r="3243" spans="1:12">
      <c r="A3243" t="s">
        <v>4069</v>
      </c>
      <c r="B3243" t="s">
        <v>1660</v>
      </c>
      <c r="C3243" t="s">
        <v>2816</v>
      </c>
      <c r="D3243" t="s">
        <v>1897</v>
      </c>
      <c r="E3243">
        <v>16</v>
      </c>
      <c r="F3243">
        <v>0</v>
      </c>
      <c r="G3243">
        <v>0</v>
      </c>
      <c r="H3243">
        <f t="shared" si="100"/>
        <v>16</v>
      </c>
      <c r="I3243">
        <v>32</v>
      </c>
      <c r="J3243">
        <v>0</v>
      </c>
      <c r="K3243">
        <v>0</v>
      </c>
      <c r="L3243">
        <f t="shared" si="101"/>
        <v>32</v>
      </c>
    </row>
    <row r="3244" spans="1:12">
      <c r="A3244" t="s">
        <v>4069</v>
      </c>
      <c r="B3244" t="s">
        <v>1660</v>
      </c>
      <c r="C3244" t="s">
        <v>2841</v>
      </c>
      <c r="D3244" t="s">
        <v>2842</v>
      </c>
      <c r="E3244">
        <v>0</v>
      </c>
      <c r="F3244">
        <v>0</v>
      </c>
      <c r="G3244">
        <v>0</v>
      </c>
      <c r="H3244">
        <f t="shared" si="100"/>
        <v>0</v>
      </c>
      <c r="I3244">
        <v>3</v>
      </c>
      <c r="J3244">
        <v>0</v>
      </c>
      <c r="K3244">
        <v>0</v>
      </c>
      <c r="L3244">
        <f t="shared" si="101"/>
        <v>3</v>
      </c>
    </row>
    <row r="3245" spans="1:12">
      <c r="A3245" t="s">
        <v>4069</v>
      </c>
      <c r="B3245" t="s">
        <v>1660</v>
      </c>
      <c r="C3245" t="s">
        <v>2826</v>
      </c>
      <c r="D3245" t="s">
        <v>2871</v>
      </c>
      <c r="E3245">
        <v>0</v>
      </c>
      <c r="F3245">
        <v>0</v>
      </c>
      <c r="G3245">
        <v>0</v>
      </c>
      <c r="H3245">
        <f t="shared" si="100"/>
        <v>0</v>
      </c>
      <c r="I3245">
        <v>0</v>
      </c>
      <c r="J3245">
        <v>1</v>
      </c>
      <c r="K3245">
        <v>0</v>
      </c>
      <c r="L3245">
        <f t="shared" si="101"/>
        <v>1</v>
      </c>
    </row>
    <row r="3246" spans="1:12">
      <c r="A3246" t="s">
        <v>4069</v>
      </c>
      <c r="B3246" t="s">
        <v>1660</v>
      </c>
      <c r="C3246" t="s">
        <v>2826</v>
      </c>
      <c r="D3246" t="s">
        <v>2905</v>
      </c>
      <c r="E3246">
        <v>0</v>
      </c>
      <c r="F3246">
        <v>0</v>
      </c>
      <c r="G3246">
        <v>0</v>
      </c>
      <c r="H3246">
        <f t="shared" si="100"/>
        <v>0</v>
      </c>
      <c r="I3246">
        <v>2</v>
      </c>
      <c r="J3246">
        <v>3</v>
      </c>
      <c r="K3246">
        <v>0</v>
      </c>
      <c r="L3246">
        <f t="shared" si="101"/>
        <v>5</v>
      </c>
    </row>
    <row r="3247" spans="1:12">
      <c r="A3247" t="s">
        <v>4069</v>
      </c>
      <c r="B3247" t="s">
        <v>1660</v>
      </c>
      <c r="C3247" t="s">
        <v>2826</v>
      </c>
      <c r="D3247" t="s">
        <v>2827</v>
      </c>
      <c r="E3247">
        <v>0</v>
      </c>
      <c r="F3247">
        <v>0</v>
      </c>
      <c r="G3247">
        <v>0</v>
      </c>
      <c r="H3247">
        <f t="shared" si="100"/>
        <v>0</v>
      </c>
      <c r="I3247">
        <v>2</v>
      </c>
      <c r="J3247">
        <v>2</v>
      </c>
      <c r="K3247">
        <v>0</v>
      </c>
      <c r="L3247">
        <f t="shared" si="101"/>
        <v>4</v>
      </c>
    </row>
    <row r="3248" spans="1:12">
      <c r="A3248" t="s">
        <v>4069</v>
      </c>
      <c r="B3248" t="s">
        <v>1660</v>
      </c>
      <c r="C3248" t="s">
        <v>2826</v>
      </c>
      <c r="D3248" t="s">
        <v>2828</v>
      </c>
      <c r="E3248">
        <v>0</v>
      </c>
      <c r="F3248">
        <v>0</v>
      </c>
      <c r="G3248">
        <v>0</v>
      </c>
      <c r="H3248">
        <f t="shared" si="100"/>
        <v>0</v>
      </c>
      <c r="I3248">
        <v>1</v>
      </c>
      <c r="J3248">
        <v>2</v>
      </c>
      <c r="K3248">
        <v>0</v>
      </c>
      <c r="L3248">
        <f t="shared" si="101"/>
        <v>3</v>
      </c>
    </row>
    <row r="3249" spans="1:12">
      <c r="A3249" t="s">
        <v>4069</v>
      </c>
      <c r="B3249" t="s">
        <v>1660</v>
      </c>
      <c r="C3249" t="s">
        <v>2826</v>
      </c>
      <c r="D3249" t="s">
        <v>2829</v>
      </c>
      <c r="E3249">
        <v>0</v>
      </c>
      <c r="F3249">
        <v>0</v>
      </c>
      <c r="G3249">
        <v>0</v>
      </c>
      <c r="H3249">
        <f t="shared" si="100"/>
        <v>0</v>
      </c>
      <c r="I3249">
        <v>2</v>
      </c>
      <c r="J3249">
        <v>1</v>
      </c>
      <c r="K3249">
        <v>0</v>
      </c>
      <c r="L3249">
        <f t="shared" si="101"/>
        <v>3</v>
      </c>
    </row>
    <row r="3250" spans="1:12">
      <c r="A3250" t="s">
        <v>4069</v>
      </c>
      <c r="B3250" t="s">
        <v>1660</v>
      </c>
      <c r="C3250" t="s">
        <v>2826</v>
      </c>
      <c r="D3250" t="s">
        <v>2891</v>
      </c>
      <c r="E3250">
        <v>0</v>
      </c>
      <c r="F3250">
        <v>0</v>
      </c>
      <c r="G3250">
        <v>0</v>
      </c>
      <c r="H3250">
        <f t="shared" si="100"/>
        <v>0</v>
      </c>
      <c r="I3250">
        <v>0</v>
      </c>
      <c r="J3250">
        <v>2</v>
      </c>
      <c r="K3250">
        <v>0</v>
      </c>
      <c r="L3250">
        <f t="shared" si="101"/>
        <v>2</v>
      </c>
    </row>
    <row r="3251" spans="1:12">
      <c r="A3251" t="s">
        <v>4069</v>
      </c>
      <c r="B3251" t="s">
        <v>1660</v>
      </c>
      <c r="C3251" t="s">
        <v>2826</v>
      </c>
      <c r="D3251" t="s">
        <v>4070</v>
      </c>
      <c r="E3251">
        <v>0</v>
      </c>
      <c r="F3251">
        <v>0</v>
      </c>
      <c r="G3251">
        <v>0</v>
      </c>
      <c r="H3251">
        <f t="shared" si="100"/>
        <v>0</v>
      </c>
      <c r="I3251">
        <v>1</v>
      </c>
      <c r="J3251">
        <v>5</v>
      </c>
      <c r="K3251">
        <v>0</v>
      </c>
      <c r="L3251">
        <f t="shared" si="101"/>
        <v>6</v>
      </c>
    </row>
    <row r="3252" spans="1:12">
      <c r="A3252" t="s">
        <v>4069</v>
      </c>
      <c r="B3252" t="s">
        <v>1660</v>
      </c>
      <c r="C3252" t="s">
        <v>2826</v>
      </c>
      <c r="D3252" t="s">
        <v>2830</v>
      </c>
      <c r="E3252">
        <v>0</v>
      </c>
      <c r="F3252">
        <v>0</v>
      </c>
      <c r="G3252">
        <v>0</v>
      </c>
      <c r="H3252">
        <f t="shared" si="100"/>
        <v>0</v>
      </c>
      <c r="I3252">
        <v>1</v>
      </c>
      <c r="J3252">
        <v>0</v>
      </c>
      <c r="K3252">
        <v>0</v>
      </c>
      <c r="L3252">
        <f t="shared" si="101"/>
        <v>1</v>
      </c>
    </row>
    <row r="3253" spans="1:12">
      <c r="A3253" t="s">
        <v>4069</v>
      </c>
      <c r="B3253" t="s">
        <v>1660</v>
      </c>
      <c r="C3253" t="s">
        <v>2826</v>
      </c>
      <c r="D3253" t="s">
        <v>2864</v>
      </c>
      <c r="E3253">
        <v>0</v>
      </c>
      <c r="F3253">
        <v>0</v>
      </c>
      <c r="G3253">
        <v>0</v>
      </c>
      <c r="H3253">
        <f t="shared" si="100"/>
        <v>0</v>
      </c>
      <c r="I3253">
        <v>2</v>
      </c>
      <c r="J3253">
        <v>4</v>
      </c>
      <c r="K3253">
        <v>0</v>
      </c>
      <c r="L3253">
        <f t="shared" si="101"/>
        <v>6</v>
      </c>
    </row>
    <row r="3254" spans="1:12">
      <c r="A3254" t="s">
        <v>4069</v>
      </c>
      <c r="B3254" t="s">
        <v>1660</v>
      </c>
      <c r="C3254" t="s">
        <v>2826</v>
      </c>
      <c r="D3254" t="s">
        <v>2831</v>
      </c>
      <c r="E3254">
        <v>0</v>
      </c>
      <c r="F3254">
        <v>0</v>
      </c>
      <c r="G3254">
        <v>0</v>
      </c>
      <c r="H3254">
        <f t="shared" si="100"/>
        <v>0</v>
      </c>
      <c r="I3254">
        <v>0</v>
      </c>
      <c r="J3254">
        <v>1</v>
      </c>
      <c r="K3254">
        <v>0</v>
      </c>
      <c r="L3254">
        <f t="shared" si="101"/>
        <v>1</v>
      </c>
    </row>
    <row r="3255" spans="1:12">
      <c r="A3255" t="s">
        <v>4069</v>
      </c>
      <c r="B3255" t="s">
        <v>1660</v>
      </c>
      <c r="C3255" t="s">
        <v>2826</v>
      </c>
      <c r="D3255" t="s">
        <v>2843</v>
      </c>
      <c r="E3255">
        <v>0</v>
      </c>
      <c r="F3255">
        <v>0</v>
      </c>
      <c r="G3255">
        <v>0</v>
      </c>
      <c r="H3255">
        <f t="shared" si="100"/>
        <v>0</v>
      </c>
      <c r="I3255">
        <v>5</v>
      </c>
      <c r="J3255">
        <v>0</v>
      </c>
      <c r="K3255">
        <v>0</v>
      </c>
      <c r="L3255">
        <f t="shared" si="101"/>
        <v>5</v>
      </c>
    </row>
    <row r="3256" spans="1:12">
      <c r="A3256" t="s">
        <v>4069</v>
      </c>
      <c r="B3256" t="s">
        <v>1660</v>
      </c>
      <c r="C3256" t="s">
        <v>2826</v>
      </c>
      <c r="D3256" t="s">
        <v>2832</v>
      </c>
      <c r="E3256">
        <v>0</v>
      </c>
      <c r="F3256">
        <v>0</v>
      </c>
      <c r="G3256">
        <v>0</v>
      </c>
      <c r="H3256">
        <f t="shared" si="100"/>
        <v>0</v>
      </c>
      <c r="I3256">
        <v>5</v>
      </c>
      <c r="J3256">
        <v>1</v>
      </c>
      <c r="K3256">
        <v>0</v>
      </c>
      <c r="L3256">
        <f t="shared" si="101"/>
        <v>6</v>
      </c>
    </row>
    <row r="3257" spans="1:12">
      <c r="A3257" t="s">
        <v>4069</v>
      </c>
      <c r="B3257" t="s">
        <v>1660</v>
      </c>
      <c r="C3257" t="s">
        <v>2826</v>
      </c>
      <c r="D3257" t="s">
        <v>2834</v>
      </c>
      <c r="E3257">
        <v>0</v>
      </c>
      <c r="F3257">
        <v>0</v>
      </c>
      <c r="G3257">
        <v>0</v>
      </c>
      <c r="H3257">
        <f t="shared" si="100"/>
        <v>0</v>
      </c>
      <c r="I3257">
        <v>1</v>
      </c>
      <c r="J3257">
        <v>2</v>
      </c>
      <c r="K3257">
        <v>0</v>
      </c>
      <c r="L3257">
        <f t="shared" si="101"/>
        <v>3</v>
      </c>
    </row>
    <row r="3258" spans="1:12">
      <c r="A3258" t="s">
        <v>4069</v>
      </c>
      <c r="B3258" t="s">
        <v>1660</v>
      </c>
      <c r="C3258" t="s">
        <v>2826</v>
      </c>
      <c r="D3258" t="s">
        <v>2886</v>
      </c>
      <c r="E3258">
        <v>0</v>
      </c>
      <c r="F3258">
        <v>0</v>
      </c>
      <c r="G3258">
        <v>0</v>
      </c>
      <c r="H3258">
        <f t="shared" si="100"/>
        <v>0</v>
      </c>
      <c r="I3258">
        <v>0</v>
      </c>
      <c r="J3258">
        <v>2</v>
      </c>
      <c r="K3258">
        <v>0</v>
      </c>
      <c r="L3258">
        <f t="shared" si="101"/>
        <v>2</v>
      </c>
    </row>
    <row r="3259" spans="1:12">
      <c r="A3259" t="s">
        <v>4069</v>
      </c>
      <c r="B3259" t="s">
        <v>1660</v>
      </c>
      <c r="C3259" t="s">
        <v>2826</v>
      </c>
      <c r="D3259" t="s">
        <v>2844</v>
      </c>
      <c r="E3259">
        <v>0</v>
      </c>
      <c r="F3259">
        <v>0</v>
      </c>
      <c r="G3259">
        <v>0</v>
      </c>
      <c r="H3259">
        <f t="shared" si="100"/>
        <v>0</v>
      </c>
      <c r="I3259">
        <v>1</v>
      </c>
      <c r="J3259">
        <v>2</v>
      </c>
      <c r="K3259">
        <v>0</v>
      </c>
      <c r="L3259">
        <f t="shared" si="101"/>
        <v>3</v>
      </c>
    </row>
    <row r="3260" spans="1:12">
      <c r="A3260" t="s">
        <v>4069</v>
      </c>
      <c r="B3260" t="s">
        <v>1660</v>
      </c>
      <c r="C3260" t="s">
        <v>2826</v>
      </c>
      <c r="D3260" t="s">
        <v>2835</v>
      </c>
      <c r="E3260">
        <v>0</v>
      </c>
      <c r="F3260">
        <v>0</v>
      </c>
      <c r="G3260">
        <v>0</v>
      </c>
      <c r="H3260">
        <f t="shared" si="100"/>
        <v>0</v>
      </c>
      <c r="I3260">
        <v>3</v>
      </c>
      <c r="J3260">
        <v>1</v>
      </c>
      <c r="K3260">
        <v>0</v>
      </c>
      <c r="L3260">
        <f t="shared" si="101"/>
        <v>4</v>
      </c>
    </row>
    <row r="3261" spans="1:12">
      <c r="A3261" t="s">
        <v>4069</v>
      </c>
      <c r="B3261" t="s">
        <v>1660</v>
      </c>
      <c r="C3261" t="s">
        <v>2826</v>
      </c>
      <c r="D3261" t="s">
        <v>2849</v>
      </c>
      <c r="E3261">
        <v>0</v>
      </c>
      <c r="F3261">
        <v>0</v>
      </c>
      <c r="G3261">
        <v>0</v>
      </c>
      <c r="H3261">
        <f t="shared" si="100"/>
        <v>0</v>
      </c>
      <c r="I3261">
        <v>23</v>
      </c>
      <c r="J3261">
        <v>0</v>
      </c>
      <c r="K3261">
        <v>0</v>
      </c>
      <c r="L3261">
        <f t="shared" si="101"/>
        <v>23</v>
      </c>
    </row>
    <row r="3262" spans="1:12">
      <c r="A3262" t="s">
        <v>4069</v>
      </c>
      <c r="B3262" t="s">
        <v>1660</v>
      </c>
      <c r="C3262" t="s">
        <v>2826</v>
      </c>
      <c r="D3262" t="s">
        <v>2836</v>
      </c>
      <c r="E3262">
        <v>0</v>
      </c>
      <c r="F3262">
        <v>0</v>
      </c>
      <c r="G3262">
        <v>0</v>
      </c>
      <c r="H3262">
        <f t="shared" si="100"/>
        <v>0</v>
      </c>
      <c r="I3262">
        <v>0</v>
      </c>
      <c r="J3262">
        <v>2</v>
      </c>
      <c r="K3262">
        <v>0</v>
      </c>
      <c r="L3262">
        <f t="shared" si="101"/>
        <v>2</v>
      </c>
    </row>
    <row r="3263" spans="1:12">
      <c r="A3263" t="s">
        <v>4069</v>
      </c>
      <c r="B3263" t="s">
        <v>1660</v>
      </c>
      <c r="C3263" t="s">
        <v>2817</v>
      </c>
      <c r="D3263" t="s">
        <v>2887</v>
      </c>
      <c r="E3263">
        <v>0</v>
      </c>
      <c r="F3263">
        <v>0</v>
      </c>
      <c r="G3263">
        <v>0</v>
      </c>
      <c r="H3263">
        <f t="shared" si="100"/>
        <v>0</v>
      </c>
      <c r="I3263">
        <v>4</v>
      </c>
      <c r="J3263">
        <v>0</v>
      </c>
      <c r="K3263">
        <v>0</v>
      </c>
      <c r="L3263">
        <f t="shared" si="101"/>
        <v>4</v>
      </c>
    </row>
    <row r="3264" spans="1:12">
      <c r="A3264" t="s">
        <v>4069</v>
      </c>
      <c r="B3264" t="s">
        <v>1660</v>
      </c>
      <c r="C3264" t="s">
        <v>2817</v>
      </c>
      <c r="D3264" t="s">
        <v>2877</v>
      </c>
      <c r="E3264">
        <v>0</v>
      </c>
      <c r="F3264">
        <v>0</v>
      </c>
      <c r="G3264">
        <v>0</v>
      </c>
      <c r="H3264">
        <f t="shared" si="100"/>
        <v>0</v>
      </c>
      <c r="I3264">
        <v>1</v>
      </c>
      <c r="J3264">
        <v>0</v>
      </c>
      <c r="K3264">
        <v>0</v>
      </c>
      <c r="L3264">
        <f t="shared" si="101"/>
        <v>1</v>
      </c>
    </row>
    <row r="3265" spans="1:12">
      <c r="A3265" t="s">
        <v>4069</v>
      </c>
      <c r="B3265" t="s">
        <v>1660</v>
      </c>
      <c r="C3265" t="s">
        <v>2817</v>
      </c>
      <c r="D3265" t="s">
        <v>2818</v>
      </c>
      <c r="E3265">
        <v>0</v>
      </c>
      <c r="F3265">
        <v>0</v>
      </c>
      <c r="G3265">
        <v>0</v>
      </c>
      <c r="H3265">
        <f t="shared" si="100"/>
        <v>0</v>
      </c>
      <c r="I3265">
        <v>1</v>
      </c>
      <c r="J3265">
        <v>0</v>
      </c>
      <c r="K3265">
        <v>0</v>
      </c>
      <c r="L3265">
        <f t="shared" si="101"/>
        <v>1</v>
      </c>
    </row>
    <row r="3266" spans="1:12">
      <c r="A3266" t="s">
        <v>4069</v>
      </c>
      <c r="B3266" t="s">
        <v>1660</v>
      </c>
      <c r="C3266" t="s">
        <v>2817</v>
      </c>
      <c r="D3266" t="s">
        <v>2909</v>
      </c>
      <c r="E3266">
        <v>0</v>
      </c>
      <c r="F3266">
        <v>0</v>
      </c>
      <c r="G3266">
        <v>0</v>
      </c>
      <c r="H3266">
        <f t="shared" si="100"/>
        <v>0</v>
      </c>
      <c r="I3266">
        <v>3</v>
      </c>
      <c r="J3266">
        <v>0</v>
      </c>
      <c r="K3266">
        <v>0</v>
      </c>
      <c r="L3266">
        <f t="shared" si="101"/>
        <v>3</v>
      </c>
    </row>
    <row r="3267" spans="1:12">
      <c r="A3267" t="s">
        <v>4069</v>
      </c>
      <c r="B3267" t="s">
        <v>1660</v>
      </c>
      <c r="C3267" t="s">
        <v>2820</v>
      </c>
      <c r="D3267" t="s">
        <v>2952</v>
      </c>
      <c r="E3267">
        <v>0</v>
      </c>
      <c r="F3267">
        <v>0</v>
      </c>
      <c r="G3267">
        <v>0</v>
      </c>
      <c r="H3267">
        <f t="shared" si="100"/>
        <v>0</v>
      </c>
      <c r="I3267">
        <v>4</v>
      </c>
      <c r="J3267">
        <v>0</v>
      </c>
      <c r="K3267">
        <v>0</v>
      </c>
      <c r="L3267">
        <f t="shared" si="101"/>
        <v>4</v>
      </c>
    </row>
    <row r="3268" spans="1:12">
      <c r="A3268" t="s">
        <v>4069</v>
      </c>
      <c r="B3268" t="s">
        <v>1660</v>
      </c>
      <c r="C3268" t="s">
        <v>2820</v>
      </c>
      <c r="D3268" t="s">
        <v>2821</v>
      </c>
      <c r="E3268">
        <v>0</v>
      </c>
      <c r="F3268">
        <v>0</v>
      </c>
      <c r="G3268">
        <v>0</v>
      </c>
      <c r="H3268">
        <f t="shared" ref="H3268:H3331" si="102">SUM(E3268:G3268)</f>
        <v>0</v>
      </c>
      <c r="I3268">
        <v>12</v>
      </c>
      <c r="J3268">
        <v>0</v>
      </c>
      <c r="K3268">
        <v>0</v>
      </c>
      <c r="L3268">
        <f t="shared" ref="L3268:L3331" si="103">SUM(I3268:K3268)</f>
        <v>12</v>
      </c>
    </row>
    <row r="3269" spans="1:12">
      <c r="A3269" t="s">
        <v>4069</v>
      </c>
      <c r="B3269" t="s">
        <v>1660</v>
      </c>
      <c r="C3269" t="s">
        <v>2820</v>
      </c>
      <c r="D3269" t="s">
        <v>2949</v>
      </c>
      <c r="E3269">
        <v>0</v>
      </c>
      <c r="F3269">
        <v>0</v>
      </c>
      <c r="G3269">
        <v>0</v>
      </c>
      <c r="H3269">
        <f t="shared" si="102"/>
        <v>0</v>
      </c>
      <c r="I3269">
        <v>2</v>
      </c>
      <c r="J3269">
        <v>4</v>
      </c>
      <c r="K3269">
        <v>0</v>
      </c>
      <c r="L3269">
        <f t="shared" si="103"/>
        <v>6</v>
      </c>
    </row>
    <row r="3270" spans="1:12">
      <c r="A3270" t="s">
        <v>4071</v>
      </c>
      <c r="B3270" t="s">
        <v>1667</v>
      </c>
      <c r="C3270" t="s">
        <v>2805</v>
      </c>
      <c r="D3270" t="s">
        <v>2806</v>
      </c>
      <c r="E3270">
        <v>104</v>
      </c>
      <c r="F3270">
        <v>0</v>
      </c>
      <c r="G3270">
        <v>0</v>
      </c>
      <c r="H3270">
        <f t="shared" si="102"/>
        <v>104</v>
      </c>
      <c r="I3270">
        <v>3</v>
      </c>
      <c r="J3270">
        <v>0</v>
      </c>
      <c r="K3270">
        <v>0</v>
      </c>
      <c r="L3270">
        <f t="shared" si="103"/>
        <v>3</v>
      </c>
    </row>
    <row r="3271" spans="1:12">
      <c r="A3271" t="s">
        <v>4071</v>
      </c>
      <c r="B3271" t="s">
        <v>1667</v>
      </c>
      <c r="C3271" t="s">
        <v>2805</v>
      </c>
      <c r="D3271" t="s">
        <v>449</v>
      </c>
      <c r="E3271">
        <v>125</v>
      </c>
      <c r="F3271">
        <v>0</v>
      </c>
      <c r="G3271">
        <v>0</v>
      </c>
      <c r="H3271">
        <f t="shared" si="102"/>
        <v>125</v>
      </c>
      <c r="I3271">
        <v>7</v>
      </c>
      <c r="J3271">
        <v>0</v>
      </c>
      <c r="K3271">
        <v>0</v>
      </c>
      <c r="L3271">
        <f t="shared" si="103"/>
        <v>7</v>
      </c>
    </row>
    <row r="3272" spans="1:12">
      <c r="A3272" t="s">
        <v>4071</v>
      </c>
      <c r="B3272" t="s">
        <v>1667</v>
      </c>
      <c r="C3272" t="s">
        <v>2805</v>
      </c>
      <c r="D3272" t="s">
        <v>2807</v>
      </c>
      <c r="E3272">
        <v>4</v>
      </c>
      <c r="F3272">
        <v>0</v>
      </c>
      <c r="G3272">
        <v>0</v>
      </c>
      <c r="H3272">
        <f t="shared" si="102"/>
        <v>4</v>
      </c>
      <c r="I3272">
        <v>0</v>
      </c>
      <c r="J3272">
        <v>0</v>
      </c>
      <c r="K3272">
        <v>0</v>
      </c>
      <c r="L3272">
        <f t="shared" si="103"/>
        <v>0</v>
      </c>
    </row>
    <row r="3273" spans="1:12">
      <c r="A3273" t="s">
        <v>4071</v>
      </c>
      <c r="B3273" t="s">
        <v>1667</v>
      </c>
      <c r="C3273" t="s">
        <v>2805</v>
      </c>
      <c r="D3273" t="s">
        <v>2809</v>
      </c>
      <c r="E3273">
        <v>3</v>
      </c>
      <c r="F3273">
        <v>0</v>
      </c>
      <c r="G3273">
        <v>0</v>
      </c>
      <c r="H3273">
        <f t="shared" si="102"/>
        <v>3</v>
      </c>
      <c r="I3273">
        <v>0</v>
      </c>
      <c r="J3273">
        <v>0</v>
      </c>
      <c r="K3273">
        <v>0</v>
      </c>
      <c r="L3273">
        <f t="shared" si="103"/>
        <v>0</v>
      </c>
    </row>
    <row r="3274" spans="1:12">
      <c r="A3274" t="s">
        <v>4071</v>
      </c>
      <c r="B3274" t="s">
        <v>1667</v>
      </c>
      <c r="C3274" t="s">
        <v>2805</v>
      </c>
      <c r="D3274" t="s">
        <v>442</v>
      </c>
      <c r="E3274">
        <v>2</v>
      </c>
      <c r="F3274">
        <v>0</v>
      </c>
      <c r="G3274">
        <v>0</v>
      </c>
      <c r="H3274">
        <f t="shared" si="102"/>
        <v>2</v>
      </c>
      <c r="I3274">
        <v>2</v>
      </c>
      <c r="J3274">
        <v>0</v>
      </c>
      <c r="K3274">
        <v>0</v>
      </c>
      <c r="L3274">
        <f t="shared" si="103"/>
        <v>2</v>
      </c>
    </row>
    <row r="3275" spans="1:12">
      <c r="A3275" t="s">
        <v>4071</v>
      </c>
      <c r="B3275" t="s">
        <v>1667</v>
      </c>
      <c r="C3275" t="s">
        <v>2810</v>
      </c>
      <c r="D3275" t="s">
        <v>2811</v>
      </c>
      <c r="E3275">
        <v>44</v>
      </c>
      <c r="F3275">
        <v>0</v>
      </c>
      <c r="G3275">
        <v>0</v>
      </c>
      <c r="H3275">
        <f t="shared" si="102"/>
        <v>44</v>
      </c>
      <c r="I3275">
        <v>0</v>
      </c>
      <c r="J3275">
        <v>0</v>
      </c>
      <c r="K3275">
        <v>0</v>
      </c>
      <c r="L3275">
        <f t="shared" si="103"/>
        <v>0</v>
      </c>
    </row>
    <row r="3276" spans="1:12">
      <c r="A3276" t="s">
        <v>4071</v>
      </c>
      <c r="B3276" t="s">
        <v>1667</v>
      </c>
      <c r="C3276" t="s">
        <v>2810</v>
      </c>
      <c r="D3276" t="s">
        <v>1892</v>
      </c>
      <c r="E3276">
        <v>22</v>
      </c>
      <c r="F3276">
        <v>79</v>
      </c>
      <c r="G3276">
        <v>0</v>
      </c>
      <c r="H3276">
        <f t="shared" si="102"/>
        <v>101</v>
      </c>
      <c r="I3276">
        <v>14</v>
      </c>
      <c r="J3276">
        <v>10</v>
      </c>
      <c r="K3276">
        <v>0</v>
      </c>
      <c r="L3276">
        <f t="shared" si="103"/>
        <v>24</v>
      </c>
    </row>
    <row r="3277" spans="1:12">
      <c r="A3277" t="s">
        <v>4071</v>
      </c>
      <c r="B3277" t="s">
        <v>1667</v>
      </c>
      <c r="C3277" t="s">
        <v>2810</v>
      </c>
      <c r="D3277" t="s">
        <v>2823</v>
      </c>
      <c r="E3277">
        <v>0</v>
      </c>
      <c r="F3277">
        <v>7</v>
      </c>
      <c r="G3277">
        <v>0</v>
      </c>
      <c r="H3277">
        <f t="shared" si="102"/>
        <v>7</v>
      </c>
      <c r="I3277">
        <v>0</v>
      </c>
      <c r="J3277">
        <v>61</v>
      </c>
      <c r="K3277">
        <v>0</v>
      </c>
      <c r="L3277">
        <f t="shared" si="103"/>
        <v>61</v>
      </c>
    </row>
    <row r="3278" spans="1:12">
      <c r="A3278" t="s">
        <v>4071</v>
      </c>
      <c r="B3278" t="s">
        <v>1667</v>
      </c>
      <c r="C3278" t="s">
        <v>2810</v>
      </c>
      <c r="D3278" t="s">
        <v>2812</v>
      </c>
      <c r="E3278">
        <v>123</v>
      </c>
      <c r="F3278">
        <v>16</v>
      </c>
      <c r="G3278">
        <v>0</v>
      </c>
      <c r="H3278">
        <f t="shared" si="102"/>
        <v>139</v>
      </c>
      <c r="I3278">
        <v>10</v>
      </c>
      <c r="J3278">
        <v>0</v>
      </c>
      <c r="K3278">
        <v>0</v>
      </c>
      <c r="L3278">
        <f t="shared" si="103"/>
        <v>10</v>
      </c>
    </row>
    <row r="3279" spans="1:12">
      <c r="A3279" t="s">
        <v>4071</v>
      </c>
      <c r="B3279" t="s">
        <v>1667</v>
      </c>
      <c r="C3279" t="s">
        <v>2810</v>
      </c>
      <c r="D3279" t="s">
        <v>2813</v>
      </c>
      <c r="E3279">
        <v>30</v>
      </c>
      <c r="F3279">
        <v>0</v>
      </c>
      <c r="G3279">
        <v>0</v>
      </c>
      <c r="H3279">
        <f t="shared" si="102"/>
        <v>30</v>
      </c>
      <c r="I3279">
        <v>0</v>
      </c>
      <c r="J3279">
        <v>0</v>
      </c>
      <c r="K3279">
        <v>0</v>
      </c>
      <c r="L3279">
        <f t="shared" si="103"/>
        <v>0</v>
      </c>
    </row>
    <row r="3280" spans="1:12">
      <c r="A3280" t="s">
        <v>4071</v>
      </c>
      <c r="B3280" t="s">
        <v>1667</v>
      </c>
      <c r="C3280" t="s">
        <v>2810</v>
      </c>
      <c r="D3280" t="s">
        <v>2814</v>
      </c>
      <c r="E3280">
        <v>3</v>
      </c>
      <c r="F3280">
        <v>0</v>
      </c>
      <c r="G3280">
        <v>0</v>
      </c>
      <c r="H3280">
        <f t="shared" si="102"/>
        <v>3</v>
      </c>
      <c r="I3280">
        <v>0</v>
      </c>
      <c r="J3280">
        <v>0</v>
      </c>
      <c r="K3280">
        <v>0</v>
      </c>
      <c r="L3280">
        <f t="shared" si="103"/>
        <v>0</v>
      </c>
    </row>
    <row r="3281" spans="1:12">
      <c r="A3281" t="s">
        <v>4071</v>
      </c>
      <c r="B3281" t="s">
        <v>1667</v>
      </c>
      <c r="C3281" t="s">
        <v>2810</v>
      </c>
      <c r="D3281" t="s">
        <v>2847</v>
      </c>
      <c r="E3281">
        <v>6</v>
      </c>
      <c r="F3281">
        <v>0</v>
      </c>
      <c r="G3281">
        <v>0</v>
      </c>
      <c r="H3281">
        <f t="shared" si="102"/>
        <v>6</v>
      </c>
      <c r="I3281">
        <v>0</v>
      </c>
      <c r="J3281">
        <v>0</v>
      </c>
      <c r="K3281">
        <v>0</v>
      </c>
      <c r="L3281">
        <f t="shared" si="103"/>
        <v>0</v>
      </c>
    </row>
    <row r="3282" spans="1:12">
      <c r="A3282" t="s">
        <v>4071</v>
      </c>
      <c r="B3282" t="s">
        <v>1667</v>
      </c>
      <c r="C3282" t="s">
        <v>2826</v>
      </c>
      <c r="D3282" t="s">
        <v>2843</v>
      </c>
      <c r="E3282">
        <v>0</v>
      </c>
      <c r="F3282">
        <v>0</v>
      </c>
      <c r="G3282">
        <v>0</v>
      </c>
      <c r="H3282">
        <f t="shared" si="102"/>
        <v>0</v>
      </c>
      <c r="I3282">
        <v>1</v>
      </c>
      <c r="J3282">
        <v>0</v>
      </c>
      <c r="K3282">
        <v>0</v>
      </c>
      <c r="L3282">
        <f t="shared" si="103"/>
        <v>1</v>
      </c>
    </row>
    <row r="3283" spans="1:12">
      <c r="A3283" t="s">
        <v>4071</v>
      </c>
      <c r="B3283" t="s">
        <v>1667</v>
      </c>
      <c r="C3283" t="s">
        <v>2826</v>
      </c>
      <c r="D3283" t="s">
        <v>2832</v>
      </c>
      <c r="E3283">
        <v>0</v>
      </c>
      <c r="F3283">
        <v>0</v>
      </c>
      <c r="G3283">
        <v>0</v>
      </c>
      <c r="H3283">
        <f t="shared" si="102"/>
        <v>0</v>
      </c>
      <c r="I3283">
        <v>1</v>
      </c>
      <c r="J3283">
        <v>0</v>
      </c>
      <c r="K3283">
        <v>0</v>
      </c>
      <c r="L3283">
        <f t="shared" si="103"/>
        <v>1</v>
      </c>
    </row>
    <row r="3284" spans="1:12">
      <c r="A3284" t="s">
        <v>4071</v>
      </c>
      <c r="B3284" t="s">
        <v>1667</v>
      </c>
      <c r="C3284" t="s">
        <v>2817</v>
      </c>
      <c r="D3284" t="s">
        <v>2818</v>
      </c>
      <c r="E3284">
        <v>8</v>
      </c>
      <c r="F3284">
        <v>0</v>
      </c>
      <c r="G3284">
        <v>0</v>
      </c>
      <c r="H3284">
        <f t="shared" si="102"/>
        <v>8</v>
      </c>
      <c r="I3284">
        <v>0</v>
      </c>
      <c r="J3284">
        <v>0</v>
      </c>
      <c r="K3284">
        <v>0</v>
      </c>
      <c r="L3284">
        <f t="shared" si="103"/>
        <v>0</v>
      </c>
    </row>
    <row r="3285" spans="1:12">
      <c r="A3285" t="s">
        <v>4071</v>
      </c>
      <c r="B3285" t="s">
        <v>1667</v>
      </c>
      <c r="C3285" t="s">
        <v>2820</v>
      </c>
      <c r="D3285" t="s">
        <v>2821</v>
      </c>
      <c r="E3285">
        <v>2</v>
      </c>
      <c r="F3285">
        <v>0</v>
      </c>
      <c r="G3285">
        <v>0</v>
      </c>
      <c r="H3285">
        <f t="shared" si="102"/>
        <v>2</v>
      </c>
      <c r="I3285">
        <v>0</v>
      </c>
      <c r="J3285">
        <v>0</v>
      </c>
      <c r="K3285">
        <v>0</v>
      </c>
      <c r="L3285">
        <f t="shared" si="103"/>
        <v>0</v>
      </c>
    </row>
    <row r="3286" spans="1:12">
      <c r="A3286" t="s">
        <v>4078</v>
      </c>
      <c r="B3286" t="s">
        <v>4079</v>
      </c>
      <c r="C3286" t="s">
        <v>2805</v>
      </c>
      <c r="D3286" t="s">
        <v>2806</v>
      </c>
      <c r="E3286">
        <v>48</v>
      </c>
      <c r="F3286">
        <v>0</v>
      </c>
      <c r="G3286">
        <v>0</v>
      </c>
      <c r="H3286">
        <f t="shared" si="102"/>
        <v>48</v>
      </c>
      <c r="I3286">
        <v>0</v>
      </c>
      <c r="J3286">
        <v>0</v>
      </c>
      <c r="K3286">
        <v>0</v>
      </c>
      <c r="L3286">
        <f t="shared" si="103"/>
        <v>0</v>
      </c>
    </row>
    <row r="3287" spans="1:12">
      <c r="A3287" t="s">
        <v>4078</v>
      </c>
      <c r="B3287" t="s">
        <v>4079</v>
      </c>
      <c r="C3287" t="s">
        <v>2805</v>
      </c>
      <c r="D3287" t="s">
        <v>449</v>
      </c>
      <c r="E3287">
        <v>129</v>
      </c>
      <c r="F3287">
        <v>0</v>
      </c>
      <c r="G3287">
        <v>0</v>
      </c>
      <c r="H3287">
        <f t="shared" si="102"/>
        <v>129</v>
      </c>
      <c r="I3287">
        <v>0</v>
      </c>
      <c r="J3287">
        <v>0</v>
      </c>
      <c r="K3287">
        <v>0</v>
      </c>
      <c r="L3287">
        <f t="shared" si="103"/>
        <v>0</v>
      </c>
    </row>
    <row r="3288" spans="1:12">
      <c r="A3288" t="s">
        <v>4078</v>
      </c>
      <c r="B3288" t="s">
        <v>4079</v>
      </c>
      <c r="C3288" t="s">
        <v>2805</v>
      </c>
      <c r="D3288" t="s">
        <v>2807</v>
      </c>
      <c r="E3288">
        <v>5</v>
      </c>
      <c r="F3288">
        <v>0</v>
      </c>
      <c r="G3288">
        <v>0</v>
      </c>
      <c r="H3288">
        <f t="shared" si="102"/>
        <v>5</v>
      </c>
      <c r="I3288">
        <v>0</v>
      </c>
      <c r="J3288">
        <v>0</v>
      </c>
      <c r="K3288">
        <v>0</v>
      </c>
      <c r="L3288">
        <f t="shared" si="103"/>
        <v>0</v>
      </c>
    </row>
    <row r="3289" spans="1:12">
      <c r="A3289" t="s">
        <v>4078</v>
      </c>
      <c r="B3289" t="s">
        <v>4079</v>
      </c>
      <c r="C3289" t="s">
        <v>2810</v>
      </c>
      <c r="D3289" t="s">
        <v>2811</v>
      </c>
      <c r="E3289">
        <v>20</v>
      </c>
      <c r="F3289">
        <v>0</v>
      </c>
      <c r="G3289">
        <v>0</v>
      </c>
      <c r="H3289">
        <f t="shared" si="102"/>
        <v>20</v>
      </c>
      <c r="I3289">
        <v>0</v>
      </c>
      <c r="J3289">
        <v>0</v>
      </c>
      <c r="K3289">
        <v>0</v>
      </c>
      <c r="L3289">
        <f t="shared" si="103"/>
        <v>0</v>
      </c>
    </row>
    <row r="3290" spans="1:12">
      <c r="A3290" t="s">
        <v>4078</v>
      </c>
      <c r="B3290" t="s">
        <v>4079</v>
      </c>
      <c r="C3290" t="s">
        <v>2810</v>
      </c>
      <c r="D3290" t="s">
        <v>2823</v>
      </c>
      <c r="E3290">
        <v>3</v>
      </c>
      <c r="F3290">
        <v>0</v>
      </c>
      <c r="G3290">
        <v>0</v>
      </c>
      <c r="H3290">
        <f t="shared" si="102"/>
        <v>3</v>
      </c>
      <c r="I3290">
        <v>0</v>
      </c>
      <c r="J3290">
        <v>0</v>
      </c>
      <c r="K3290">
        <v>0</v>
      </c>
      <c r="L3290">
        <f t="shared" si="103"/>
        <v>0</v>
      </c>
    </row>
    <row r="3291" spans="1:12">
      <c r="A3291" t="s">
        <v>4078</v>
      </c>
      <c r="B3291" t="s">
        <v>4079</v>
      </c>
      <c r="C3291" t="s">
        <v>2810</v>
      </c>
      <c r="D3291" t="s">
        <v>2813</v>
      </c>
      <c r="E3291">
        <v>10</v>
      </c>
      <c r="F3291">
        <v>0</v>
      </c>
      <c r="G3291">
        <v>0</v>
      </c>
      <c r="H3291">
        <f t="shared" si="102"/>
        <v>10</v>
      </c>
      <c r="I3291">
        <v>0</v>
      </c>
      <c r="J3291">
        <v>0</v>
      </c>
      <c r="K3291">
        <v>0</v>
      </c>
      <c r="L3291">
        <f t="shared" si="103"/>
        <v>0</v>
      </c>
    </row>
    <row r="3292" spans="1:12">
      <c r="A3292" t="s">
        <v>4078</v>
      </c>
      <c r="B3292" t="s">
        <v>4079</v>
      </c>
      <c r="C3292" t="s">
        <v>2810</v>
      </c>
      <c r="D3292" t="s">
        <v>2814</v>
      </c>
      <c r="E3292">
        <v>5</v>
      </c>
      <c r="F3292">
        <v>0</v>
      </c>
      <c r="G3292">
        <v>0</v>
      </c>
      <c r="H3292">
        <f t="shared" si="102"/>
        <v>5</v>
      </c>
      <c r="I3292">
        <v>0</v>
      </c>
      <c r="J3292">
        <v>0</v>
      </c>
      <c r="K3292">
        <v>0</v>
      </c>
      <c r="L3292">
        <f t="shared" si="103"/>
        <v>0</v>
      </c>
    </row>
    <row r="3293" spans="1:12">
      <c r="A3293" t="s">
        <v>4078</v>
      </c>
      <c r="B3293" t="s">
        <v>4079</v>
      </c>
      <c r="C3293" t="s">
        <v>2810</v>
      </c>
      <c r="D3293" t="s">
        <v>2815</v>
      </c>
      <c r="E3293">
        <v>11</v>
      </c>
      <c r="F3293">
        <v>0</v>
      </c>
      <c r="G3293">
        <v>0</v>
      </c>
      <c r="H3293">
        <f t="shared" si="102"/>
        <v>11</v>
      </c>
      <c r="I3293">
        <v>0</v>
      </c>
      <c r="J3293">
        <v>0</v>
      </c>
      <c r="K3293">
        <v>0</v>
      </c>
      <c r="L3293">
        <f t="shared" si="103"/>
        <v>0</v>
      </c>
    </row>
    <row r="3294" spans="1:12">
      <c r="A3294" t="s">
        <v>4078</v>
      </c>
      <c r="B3294" t="s">
        <v>4079</v>
      </c>
      <c r="C3294" t="s">
        <v>2817</v>
      </c>
      <c r="D3294" t="s">
        <v>2818</v>
      </c>
      <c r="E3294">
        <v>1</v>
      </c>
      <c r="F3294">
        <v>0</v>
      </c>
      <c r="G3294">
        <v>0</v>
      </c>
      <c r="H3294">
        <f t="shared" si="102"/>
        <v>1</v>
      </c>
      <c r="I3294">
        <v>0</v>
      </c>
      <c r="J3294">
        <v>0</v>
      </c>
      <c r="K3294">
        <v>0</v>
      </c>
      <c r="L3294">
        <f t="shared" si="103"/>
        <v>0</v>
      </c>
    </row>
    <row r="3295" spans="1:12">
      <c r="A3295" t="s">
        <v>4078</v>
      </c>
      <c r="B3295" t="s">
        <v>4079</v>
      </c>
      <c r="C3295" t="s">
        <v>2817</v>
      </c>
      <c r="D3295" t="s">
        <v>2819</v>
      </c>
      <c r="E3295">
        <v>3</v>
      </c>
      <c r="F3295">
        <v>0</v>
      </c>
      <c r="G3295">
        <v>0</v>
      </c>
      <c r="H3295">
        <f t="shared" si="102"/>
        <v>3</v>
      </c>
      <c r="I3295">
        <v>0</v>
      </c>
      <c r="J3295">
        <v>0</v>
      </c>
      <c r="K3295">
        <v>0</v>
      </c>
      <c r="L3295">
        <f t="shared" si="103"/>
        <v>0</v>
      </c>
    </row>
    <row r="3296" spans="1:12">
      <c r="A3296" t="s">
        <v>4094</v>
      </c>
      <c r="B3296" t="s">
        <v>1673</v>
      </c>
      <c r="C3296" t="s">
        <v>2805</v>
      </c>
      <c r="D3296" t="s">
        <v>2806</v>
      </c>
      <c r="E3296">
        <v>5</v>
      </c>
      <c r="F3296">
        <v>0</v>
      </c>
      <c r="G3296">
        <v>0</v>
      </c>
      <c r="H3296">
        <f t="shared" si="102"/>
        <v>5</v>
      </c>
      <c r="I3296">
        <v>0</v>
      </c>
      <c r="J3296">
        <v>0</v>
      </c>
      <c r="K3296">
        <v>0</v>
      </c>
      <c r="L3296">
        <f t="shared" si="103"/>
        <v>0</v>
      </c>
    </row>
    <row r="3297" spans="1:12">
      <c r="A3297" t="s">
        <v>4094</v>
      </c>
      <c r="B3297" t="s">
        <v>1673</v>
      </c>
      <c r="C3297" t="s">
        <v>2805</v>
      </c>
      <c r="D3297" t="s">
        <v>449</v>
      </c>
      <c r="E3297">
        <v>52</v>
      </c>
      <c r="F3297">
        <v>0</v>
      </c>
      <c r="G3297">
        <v>0</v>
      </c>
      <c r="H3297">
        <f t="shared" si="102"/>
        <v>52</v>
      </c>
      <c r="I3297">
        <v>0</v>
      </c>
      <c r="J3297">
        <v>0</v>
      </c>
      <c r="K3297">
        <v>0</v>
      </c>
      <c r="L3297">
        <f t="shared" si="103"/>
        <v>0</v>
      </c>
    </row>
    <row r="3298" spans="1:12">
      <c r="A3298" t="s">
        <v>4094</v>
      </c>
      <c r="B3298" t="s">
        <v>1673</v>
      </c>
      <c r="C3298" t="s">
        <v>2805</v>
      </c>
      <c r="D3298" t="s">
        <v>2807</v>
      </c>
      <c r="E3298">
        <v>24</v>
      </c>
      <c r="F3298">
        <v>0</v>
      </c>
      <c r="G3298">
        <v>0</v>
      </c>
      <c r="H3298">
        <f t="shared" si="102"/>
        <v>24</v>
      </c>
      <c r="I3298">
        <v>0</v>
      </c>
      <c r="J3298">
        <v>0</v>
      </c>
      <c r="K3298">
        <v>0</v>
      </c>
      <c r="L3298">
        <f t="shared" si="103"/>
        <v>0</v>
      </c>
    </row>
    <row r="3299" spans="1:12">
      <c r="A3299" t="s">
        <v>4094</v>
      </c>
      <c r="B3299" t="s">
        <v>1673</v>
      </c>
      <c r="C3299" t="s">
        <v>2810</v>
      </c>
      <c r="D3299" t="s">
        <v>2815</v>
      </c>
      <c r="E3299">
        <v>13</v>
      </c>
      <c r="F3299">
        <v>0</v>
      </c>
      <c r="G3299">
        <v>0</v>
      </c>
      <c r="H3299">
        <f t="shared" si="102"/>
        <v>13</v>
      </c>
      <c r="I3299">
        <v>0</v>
      </c>
      <c r="J3299">
        <v>0</v>
      </c>
      <c r="K3299">
        <v>0</v>
      </c>
      <c r="L3299">
        <f t="shared" si="103"/>
        <v>0</v>
      </c>
    </row>
    <row r="3300" spans="1:12">
      <c r="A3300" t="s">
        <v>4094</v>
      </c>
      <c r="B3300" t="s">
        <v>1673</v>
      </c>
      <c r="C3300" t="s">
        <v>2816</v>
      </c>
      <c r="D3300" t="s">
        <v>1897</v>
      </c>
      <c r="E3300">
        <v>12</v>
      </c>
      <c r="F3300">
        <v>0</v>
      </c>
      <c r="G3300">
        <v>0</v>
      </c>
      <c r="H3300">
        <f t="shared" si="102"/>
        <v>12</v>
      </c>
      <c r="I3300">
        <v>0</v>
      </c>
      <c r="J3300">
        <v>0</v>
      </c>
      <c r="K3300">
        <v>0</v>
      </c>
      <c r="L3300">
        <f t="shared" si="103"/>
        <v>0</v>
      </c>
    </row>
    <row r="3301" spans="1:12">
      <c r="A3301" t="s">
        <v>4094</v>
      </c>
      <c r="B3301" t="s">
        <v>1673</v>
      </c>
      <c r="C3301" t="s">
        <v>2841</v>
      </c>
      <c r="D3301" t="s">
        <v>2842</v>
      </c>
      <c r="E3301">
        <v>0</v>
      </c>
      <c r="F3301">
        <v>0</v>
      </c>
      <c r="G3301">
        <v>0</v>
      </c>
      <c r="H3301">
        <f t="shared" si="102"/>
        <v>0</v>
      </c>
      <c r="I3301">
        <v>18</v>
      </c>
      <c r="J3301">
        <v>0</v>
      </c>
      <c r="K3301">
        <v>0</v>
      </c>
      <c r="L3301">
        <f t="shared" si="103"/>
        <v>18</v>
      </c>
    </row>
    <row r="3302" spans="1:12">
      <c r="A3302" t="s">
        <v>4094</v>
      </c>
      <c r="B3302" t="s">
        <v>1673</v>
      </c>
      <c r="C3302" t="s">
        <v>2826</v>
      </c>
      <c r="D3302" t="s">
        <v>2858</v>
      </c>
      <c r="E3302">
        <v>1</v>
      </c>
      <c r="F3302">
        <v>0</v>
      </c>
      <c r="G3302">
        <v>0</v>
      </c>
      <c r="H3302">
        <f t="shared" si="102"/>
        <v>1</v>
      </c>
      <c r="I3302">
        <v>1</v>
      </c>
      <c r="J3302">
        <v>0</v>
      </c>
      <c r="K3302">
        <v>0</v>
      </c>
      <c r="L3302">
        <f t="shared" si="103"/>
        <v>1</v>
      </c>
    </row>
    <row r="3303" spans="1:12">
      <c r="A3303" t="s">
        <v>4094</v>
      </c>
      <c r="B3303" t="s">
        <v>1673</v>
      </c>
      <c r="C3303" t="s">
        <v>2826</v>
      </c>
      <c r="D3303" t="s">
        <v>2843</v>
      </c>
      <c r="E3303">
        <v>1</v>
      </c>
      <c r="F3303">
        <v>0</v>
      </c>
      <c r="G3303">
        <v>0</v>
      </c>
      <c r="H3303">
        <f t="shared" si="102"/>
        <v>1</v>
      </c>
      <c r="I3303">
        <v>1</v>
      </c>
      <c r="J3303">
        <v>0</v>
      </c>
      <c r="K3303">
        <v>0</v>
      </c>
      <c r="L3303">
        <f t="shared" si="103"/>
        <v>1</v>
      </c>
    </row>
    <row r="3304" spans="1:12">
      <c r="A3304" t="s">
        <v>4094</v>
      </c>
      <c r="B3304" t="s">
        <v>1673</v>
      </c>
      <c r="C3304" t="s">
        <v>2826</v>
      </c>
      <c r="D3304" t="s">
        <v>2834</v>
      </c>
      <c r="E3304">
        <v>1</v>
      </c>
      <c r="F3304">
        <v>0</v>
      </c>
      <c r="G3304">
        <v>0</v>
      </c>
      <c r="H3304">
        <f t="shared" si="102"/>
        <v>1</v>
      </c>
      <c r="I3304">
        <v>1</v>
      </c>
      <c r="J3304">
        <v>0</v>
      </c>
      <c r="K3304">
        <v>0</v>
      </c>
      <c r="L3304">
        <f t="shared" si="103"/>
        <v>1</v>
      </c>
    </row>
    <row r="3305" spans="1:12">
      <c r="A3305" t="s">
        <v>4094</v>
      </c>
      <c r="B3305" t="s">
        <v>1673</v>
      </c>
      <c r="C3305" t="s">
        <v>2817</v>
      </c>
      <c r="D3305" t="s">
        <v>2887</v>
      </c>
      <c r="E3305">
        <v>0</v>
      </c>
      <c r="F3305">
        <v>0</v>
      </c>
      <c r="G3305">
        <v>0</v>
      </c>
      <c r="H3305">
        <f t="shared" si="102"/>
        <v>0</v>
      </c>
      <c r="I3305">
        <v>1</v>
      </c>
      <c r="J3305">
        <v>0</v>
      </c>
      <c r="K3305">
        <v>0</v>
      </c>
      <c r="L3305">
        <f t="shared" si="103"/>
        <v>1</v>
      </c>
    </row>
    <row r="3306" spans="1:12">
      <c r="A3306" t="s">
        <v>4094</v>
      </c>
      <c r="B3306" t="s">
        <v>1673</v>
      </c>
      <c r="C3306" t="s">
        <v>2817</v>
      </c>
      <c r="D3306" t="s">
        <v>2818</v>
      </c>
      <c r="E3306">
        <v>2</v>
      </c>
      <c r="F3306">
        <v>0</v>
      </c>
      <c r="G3306">
        <v>0</v>
      </c>
      <c r="H3306">
        <f t="shared" si="102"/>
        <v>2</v>
      </c>
      <c r="I3306">
        <v>0</v>
      </c>
      <c r="J3306">
        <v>0</v>
      </c>
      <c r="K3306">
        <v>0</v>
      </c>
      <c r="L3306">
        <f t="shared" si="103"/>
        <v>0</v>
      </c>
    </row>
    <row r="3307" spans="1:12">
      <c r="A3307" t="s">
        <v>4094</v>
      </c>
      <c r="B3307" t="s">
        <v>1673</v>
      </c>
      <c r="C3307" t="s">
        <v>2820</v>
      </c>
      <c r="D3307" t="s">
        <v>2821</v>
      </c>
      <c r="E3307">
        <v>1</v>
      </c>
      <c r="F3307">
        <v>0</v>
      </c>
      <c r="G3307">
        <v>0</v>
      </c>
      <c r="H3307">
        <f t="shared" si="102"/>
        <v>1</v>
      </c>
      <c r="I3307">
        <v>0</v>
      </c>
      <c r="J3307">
        <v>0</v>
      </c>
      <c r="K3307">
        <v>0</v>
      </c>
      <c r="L3307">
        <f t="shared" si="103"/>
        <v>0</v>
      </c>
    </row>
    <row r="3308" spans="1:12">
      <c r="A3308" t="s">
        <v>4095</v>
      </c>
      <c r="B3308" t="s">
        <v>1677</v>
      </c>
      <c r="C3308" t="s">
        <v>2805</v>
      </c>
      <c r="D3308" t="s">
        <v>2806</v>
      </c>
      <c r="E3308">
        <v>22</v>
      </c>
      <c r="F3308">
        <v>0</v>
      </c>
      <c r="G3308">
        <v>0</v>
      </c>
      <c r="H3308">
        <f t="shared" si="102"/>
        <v>22</v>
      </c>
      <c r="I3308">
        <v>0</v>
      </c>
      <c r="J3308">
        <v>0</v>
      </c>
      <c r="K3308">
        <v>0</v>
      </c>
      <c r="L3308">
        <f t="shared" si="103"/>
        <v>0</v>
      </c>
    </row>
    <row r="3309" spans="1:12">
      <c r="A3309" t="s">
        <v>4095</v>
      </c>
      <c r="B3309" t="s">
        <v>1677</v>
      </c>
      <c r="C3309" t="s">
        <v>2805</v>
      </c>
      <c r="D3309" t="s">
        <v>449</v>
      </c>
      <c r="E3309">
        <v>79</v>
      </c>
      <c r="F3309">
        <v>0</v>
      </c>
      <c r="G3309">
        <v>0</v>
      </c>
      <c r="H3309">
        <f t="shared" si="102"/>
        <v>79</v>
      </c>
      <c r="I3309">
        <v>0</v>
      </c>
      <c r="J3309">
        <v>0</v>
      </c>
      <c r="K3309">
        <v>0</v>
      </c>
      <c r="L3309">
        <f t="shared" si="103"/>
        <v>0</v>
      </c>
    </row>
    <row r="3310" spans="1:12">
      <c r="A3310" t="s">
        <v>4095</v>
      </c>
      <c r="B3310" t="s">
        <v>1677</v>
      </c>
      <c r="C3310" t="s">
        <v>2805</v>
      </c>
      <c r="D3310" t="s">
        <v>2807</v>
      </c>
      <c r="E3310">
        <v>14</v>
      </c>
      <c r="F3310">
        <v>0</v>
      </c>
      <c r="G3310">
        <v>0</v>
      </c>
      <c r="H3310">
        <f t="shared" si="102"/>
        <v>14</v>
      </c>
      <c r="I3310">
        <v>0</v>
      </c>
      <c r="J3310">
        <v>0</v>
      </c>
      <c r="K3310">
        <v>0</v>
      </c>
      <c r="L3310">
        <f t="shared" si="103"/>
        <v>0</v>
      </c>
    </row>
    <row r="3311" spans="1:12">
      <c r="A3311" t="s">
        <v>4095</v>
      </c>
      <c r="B3311" t="s">
        <v>1677</v>
      </c>
      <c r="C3311" t="s">
        <v>2810</v>
      </c>
      <c r="D3311" t="s">
        <v>2811</v>
      </c>
      <c r="E3311">
        <v>0</v>
      </c>
      <c r="F3311">
        <v>2</v>
      </c>
      <c r="G3311">
        <v>0</v>
      </c>
      <c r="H3311">
        <f t="shared" si="102"/>
        <v>2</v>
      </c>
      <c r="I3311">
        <v>0</v>
      </c>
      <c r="J3311">
        <v>0</v>
      </c>
      <c r="K3311">
        <v>0</v>
      </c>
      <c r="L3311">
        <f t="shared" si="103"/>
        <v>0</v>
      </c>
    </row>
    <row r="3312" spans="1:12">
      <c r="A3312" t="s">
        <v>4095</v>
      </c>
      <c r="B3312" t="s">
        <v>1677</v>
      </c>
      <c r="C3312" t="s">
        <v>2810</v>
      </c>
      <c r="D3312" t="s">
        <v>2812</v>
      </c>
      <c r="E3312">
        <v>18</v>
      </c>
      <c r="F3312">
        <v>0</v>
      </c>
      <c r="G3312">
        <v>0</v>
      </c>
      <c r="H3312">
        <f t="shared" si="102"/>
        <v>18</v>
      </c>
      <c r="I3312">
        <v>0</v>
      </c>
      <c r="J3312">
        <v>0</v>
      </c>
      <c r="K3312">
        <v>0</v>
      </c>
      <c r="L3312">
        <f t="shared" si="103"/>
        <v>0</v>
      </c>
    </row>
    <row r="3313" spans="1:12">
      <c r="A3313" t="s">
        <v>4095</v>
      </c>
      <c r="B3313" t="s">
        <v>1677</v>
      </c>
      <c r="C3313" t="s">
        <v>2810</v>
      </c>
      <c r="D3313" t="s">
        <v>2813</v>
      </c>
      <c r="E3313">
        <v>12</v>
      </c>
      <c r="F3313">
        <v>0</v>
      </c>
      <c r="G3313">
        <v>0</v>
      </c>
      <c r="H3313">
        <f t="shared" si="102"/>
        <v>12</v>
      </c>
      <c r="I3313">
        <v>0</v>
      </c>
      <c r="J3313">
        <v>0</v>
      </c>
      <c r="K3313">
        <v>0</v>
      </c>
      <c r="L3313">
        <f t="shared" si="103"/>
        <v>0</v>
      </c>
    </row>
    <row r="3314" spans="1:12">
      <c r="A3314" t="s">
        <v>4095</v>
      </c>
      <c r="B3314" t="s">
        <v>1677</v>
      </c>
      <c r="C3314" t="s">
        <v>2810</v>
      </c>
      <c r="D3314" t="s">
        <v>2814</v>
      </c>
      <c r="E3314">
        <v>3</v>
      </c>
      <c r="F3314">
        <v>0</v>
      </c>
      <c r="G3314">
        <v>0</v>
      </c>
      <c r="H3314">
        <f t="shared" si="102"/>
        <v>3</v>
      </c>
      <c r="I3314">
        <v>0</v>
      </c>
      <c r="J3314">
        <v>0</v>
      </c>
      <c r="K3314">
        <v>0</v>
      </c>
      <c r="L3314">
        <f t="shared" si="103"/>
        <v>0</v>
      </c>
    </row>
    <row r="3315" spans="1:12">
      <c r="A3315" t="s">
        <v>4095</v>
      </c>
      <c r="B3315" t="s">
        <v>1677</v>
      </c>
      <c r="C3315" t="s">
        <v>2810</v>
      </c>
      <c r="D3315" t="s">
        <v>3819</v>
      </c>
      <c r="E3315">
        <v>0</v>
      </c>
      <c r="F3315">
        <v>1</v>
      </c>
      <c r="G3315">
        <v>0</v>
      </c>
      <c r="H3315">
        <f t="shared" si="102"/>
        <v>1</v>
      </c>
      <c r="I3315">
        <v>0</v>
      </c>
      <c r="J3315">
        <v>0</v>
      </c>
      <c r="K3315">
        <v>0</v>
      </c>
      <c r="L3315">
        <f t="shared" si="103"/>
        <v>0</v>
      </c>
    </row>
    <row r="3316" spans="1:12">
      <c r="A3316" t="s">
        <v>4095</v>
      </c>
      <c r="B3316" t="s">
        <v>1677</v>
      </c>
      <c r="C3316" t="s">
        <v>2826</v>
      </c>
      <c r="D3316" t="s">
        <v>2843</v>
      </c>
      <c r="E3316">
        <v>1</v>
      </c>
      <c r="F3316">
        <v>0</v>
      </c>
      <c r="G3316">
        <v>0</v>
      </c>
      <c r="H3316">
        <f t="shared" si="102"/>
        <v>1</v>
      </c>
      <c r="I3316">
        <v>2</v>
      </c>
      <c r="J3316">
        <v>0</v>
      </c>
      <c r="K3316">
        <v>0</v>
      </c>
      <c r="L3316">
        <f t="shared" si="103"/>
        <v>2</v>
      </c>
    </row>
    <row r="3317" spans="1:12">
      <c r="A3317" t="s">
        <v>4095</v>
      </c>
      <c r="B3317" t="s">
        <v>1677</v>
      </c>
      <c r="C3317" t="s">
        <v>2826</v>
      </c>
      <c r="D3317" t="s">
        <v>2834</v>
      </c>
      <c r="E3317">
        <v>1</v>
      </c>
      <c r="F3317">
        <v>0</v>
      </c>
      <c r="G3317">
        <v>0</v>
      </c>
      <c r="H3317">
        <f t="shared" si="102"/>
        <v>1</v>
      </c>
      <c r="I3317">
        <v>1</v>
      </c>
      <c r="J3317">
        <v>0</v>
      </c>
      <c r="K3317">
        <v>0</v>
      </c>
      <c r="L3317">
        <f t="shared" si="103"/>
        <v>1</v>
      </c>
    </row>
    <row r="3318" spans="1:12">
      <c r="A3318" t="s">
        <v>4095</v>
      </c>
      <c r="B3318" t="s">
        <v>1677</v>
      </c>
      <c r="C3318" t="s">
        <v>2826</v>
      </c>
      <c r="D3318" t="s">
        <v>2849</v>
      </c>
      <c r="E3318">
        <v>0</v>
      </c>
      <c r="F3318">
        <v>0</v>
      </c>
      <c r="G3318">
        <v>0</v>
      </c>
      <c r="H3318">
        <f t="shared" si="102"/>
        <v>0</v>
      </c>
      <c r="I3318">
        <v>1</v>
      </c>
      <c r="J3318">
        <v>0</v>
      </c>
      <c r="K3318">
        <v>0</v>
      </c>
      <c r="L3318">
        <f t="shared" si="103"/>
        <v>1</v>
      </c>
    </row>
    <row r="3319" spans="1:12">
      <c r="A3319" t="s">
        <v>4095</v>
      </c>
      <c r="B3319" t="s">
        <v>1677</v>
      </c>
      <c r="C3319" t="s">
        <v>2817</v>
      </c>
      <c r="D3319" t="s">
        <v>2887</v>
      </c>
      <c r="E3319">
        <v>0</v>
      </c>
      <c r="F3319">
        <v>0</v>
      </c>
      <c r="G3319">
        <v>0</v>
      </c>
      <c r="H3319">
        <f t="shared" si="102"/>
        <v>0</v>
      </c>
      <c r="I3319">
        <v>1</v>
      </c>
      <c r="J3319">
        <v>0</v>
      </c>
      <c r="K3319">
        <v>0</v>
      </c>
      <c r="L3319">
        <f t="shared" si="103"/>
        <v>1</v>
      </c>
    </row>
    <row r="3320" spans="1:12">
      <c r="A3320" t="s">
        <v>4095</v>
      </c>
      <c r="B3320" t="s">
        <v>1677</v>
      </c>
      <c r="C3320" t="s">
        <v>2820</v>
      </c>
      <c r="D3320" t="s">
        <v>2821</v>
      </c>
      <c r="E3320">
        <v>1</v>
      </c>
      <c r="F3320">
        <v>0</v>
      </c>
      <c r="G3320">
        <v>0</v>
      </c>
      <c r="H3320">
        <f t="shared" si="102"/>
        <v>1</v>
      </c>
      <c r="I3320">
        <v>0</v>
      </c>
      <c r="J3320">
        <v>0</v>
      </c>
      <c r="K3320">
        <v>0</v>
      </c>
      <c r="L3320">
        <f t="shared" si="103"/>
        <v>0</v>
      </c>
    </row>
    <row r="3321" spans="1:12">
      <c r="A3321" t="s">
        <v>4096</v>
      </c>
      <c r="B3321" t="s">
        <v>1681</v>
      </c>
      <c r="C3321" t="s">
        <v>2826</v>
      </c>
      <c r="D3321" t="s">
        <v>2871</v>
      </c>
      <c r="E3321">
        <v>0</v>
      </c>
      <c r="F3321">
        <v>0</v>
      </c>
      <c r="G3321">
        <v>0</v>
      </c>
      <c r="H3321">
        <f t="shared" si="102"/>
        <v>0</v>
      </c>
      <c r="I3321">
        <v>1</v>
      </c>
      <c r="J3321">
        <v>0</v>
      </c>
      <c r="K3321">
        <v>0</v>
      </c>
      <c r="L3321">
        <f t="shared" si="103"/>
        <v>1</v>
      </c>
    </row>
    <row r="3322" spans="1:12">
      <c r="A3322" t="s">
        <v>4096</v>
      </c>
      <c r="B3322" t="s">
        <v>1681</v>
      </c>
      <c r="C3322" t="s">
        <v>2826</v>
      </c>
      <c r="D3322" t="s">
        <v>2827</v>
      </c>
      <c r="E3322">
        <v>0</v>
      </c>
      <c r="F3322">
        <v>0</v>
      </c>
      <c r="G3322">
        <v>0</v>
      </c>
      <c r="H3322">
        <f t="shared" si="102"/>
        <v>0</v>
      </c>
      <c r="I3322">
        <v>2</v>
      </c>
      <c r="J3322">
        <v>0</v>
      </c>
      <c r="K3322">
        <v>0</v>
      </c>
      <c r="L3322">
        <f t="shared" si="103"/>
        <v>2</v>
      </c>
    </row>
    <row r="3323" spans="1:12">
      <c r="A3323" t="s">
        <v>4096</v>
      </c>
      <c r="B3323" t="s">
        <v>1681</v>
      </c>
      <c r="C3323" t="s">
        <v>2826</v>
      </c>
      <c r="D3323" t="s">
        <v>2829</v>
      </c>
      <c r="E3323">
        <v>0</v>
      </c>
      <c r="F3323">
        <v>0</v>
      </c>
      <c r="G3323">
        <v>0</v>
      </c>
      <c r="H3323">
        <f t="shared" si="102"/>
        <v>0</v>
      </c>
      <c r="I3323">
        <v>1</v>
      </c>
      <c r="J3323">
        <v>0</v>
      </c>
      <c r="K3323">
        <v>0</v>
      </c>
      <c r="L3323">
        <f t="shared" si="103"/>
        <v>1</v>
      </c>
    </row>
    <row r="3324" spans="1:12">
      <c r="A3324" t="s">
        <v>4096</v>
      </c>
      <c r="B3324" t="s">
        <v>1681</v>
      </c>
      <c r="C3324" t="s">
        <v>2826</v>
      </c>
      <c r="D3324" t="s">
        <v>2891</v>
      </c>
      <c r="E3324">
        <v>0</v>
      </c>
      <c r="F3324">
        <v>0</v>
      </c>
      <c r="G3324">
        <v>0</v>
      </c>
      <c r="H3324">
        <f t="shared" si="102"/>
        <v>0</v>
      </c>
      <c r="I3324">
        <v>2</v>
      </c>
      <c r="J3324">
        <v>0</v>
      </c>
      <c r="K3324">
        <v>0</v>
      </c>
      <c r="L3324">
        <f t="shared" si="103"/>
        <v>2</v>
      </c>
    </row>
    <row r="3325" spans="1:12">
      <c r="A3325" t="s">
        <v>4096</v>
      </c>
      <c r="B3325" t="s">
        <v>1681</v>
      </c>
      <c r="C3325" t="s">
        <v>2826</v>
      </c>
      <c r="D3325" t="s">
        <v>2830</v>
      </c>
      <c r="E3325">
        <v>0</v>
      </c>
      <c r="F3325">
        <v>0</v>
      </c>
      <c r="G3325">
        <v>0</v>
      </c>
      <c r="H3325">
        <f t="shared" si="102"/>
        <v>0</v>
      </c>
      <c r="I3325">
        <v>1</v>
      </c>
      <c r="J3325">
        <v>0</v>
      </c>
      <c r="K3325">
        <v>0</v>
      </c>
      <c r="L3325">
        <f t="shared" si="103"/>
        <v>1</v>
      </c>
    </row>
    <row r="3326" spans="1:12">
      <c r="A3326" t="s">
        <v>4096</v>
      </c>
      <c r="B3326" t="s">
        <v>1681</v>
      </c>
      <c r="C3326" t="s">
        <v>2826</v>
      </c>
      <c r="D3326" t="s">
        <v>2843</v>
      </c>
      <c r="E3326">
        <v>0</v>
      </c>
      <c r="F3326">
        <v>0</v>
      </c>
      <c r="G3326">
        <v>0</v>
      </c>
      <c r="H3326">
        <f t="shared" si="102"/>
        <v>0</v>
      </c>
      <c r="I3326">
        <v>1</v>
      </c>
      <c r="J3326">
        <v>0</v>
      </c>
      <c r="K3326">
        <v>0</v>
      </c>
      <c r="L3326">
        <f t="shared" si="103"/>
        <v>1</v>
      </c>
    </row>
    <row r="3327" spans="1:12">
      <c r="A3327" t="s">
        <v>4096</v>
      </c>
      <c r="B3327" t="s">
        <v>1681</v>
      </c>
      <c r="C3327" t="s">
        <v>2826</v>
      </c>
      <c r="D3327" t="s">
        <v>2885</v>
      </c>
      <c r="E3327">
        <v>0</v>
      </c>
      <c r="F3327">
        <v>0</v>
      </c>
      <c r="G3327">
        <v>0</v>
      </c>
      <c r="H3327">
        <f t="shared" si="102"/>
        <v>0</v>
      </c>
      <c r="I3327">
        <v>2</v>
      </c>
      <c r="J3327">
        <v>0</v>
      </c>
      <c r="K3327">
        <v>0</v>
      </c>
      <c r="L3327">
        <f t="shared" si="103"/>
        <v>2</v>
      </c>
    </row>
    <row r="3328" spans="1:12">
      <c r="A3328" t="s">
        <v>4096</v>
      </c>
      <c r="B3328" t="s">
        <v>1681</v>
      </c>
      <c r="C3328" t="s">
        <v>2826</v>
      </c>
      <c r="D3328" t="s">
        <v>2834</v>
      </c>
      <c r="E3328">
        <v>0</v>
      </c>
      <c r="F3328">
        <v>0</v>
      </c>
      <c r="G3328">
        <v>0</v>
      </c>
      <c r="H3328">
        <f t="shared" si="102"/>
        <v>0</v>
      </c>
      <c r="I3328">
        <v>3</v>
      </c>
      <c r="J3328">
        <v>0</v>
      </c>
      <c r="K3328">
        <v>0</v>
      </c>
      <c r="L3328">
        <f t="shared" si="103"/>
        <v>3</v>
      </c>
    </row>
    <row r="3329" spans="1:12">
      <c r="A3329" t="s">
        <v>4096</v>
      </c>
      <c r="B3329" t="s">
        <v>1681</v>
      </c>
      <c r="C3329" t="s">
        <v>2826</v>
      </c>
      <c r="D3329" t="s">
        <v>2849</v>
      </c>
      <c r="E3329">
        <v>0</v>
      </c>
      <c r="F3329">
        <v>0</v>
      </c>
      <c r="G3329">
        <v>0</v>
      </c>
      <c r="H3329">
        <f t="shared" si="102"/>
        <v>0</v>
      </c>
      <c r="I3329">
        <v>2</v>
      </c>
      <c r="J3329">
        <v>0</v>
      </c>
      <c r="K3329">
        <v>0</v>
      </c>
      <c r="L3329">
        <f t="shared" si="103"/>
        <v>2</v>
      </c>
    </row>
    <row r="3330" spans="1:12">
      <c r="A3330" t="s">
        <v>4096</v>
      </c>
      <c r="B3330" t="s">
        <v>1681</v>
      </c>
      <c r="C3330" t="s">
        <v>2826</v>
      </c>
      <c r="D3330" t="s">
        <v>2836</v>
      </c>
      <c r="E3330">
        <v>0</v>
      </c>
      <c r="F3330">
        <v>0</v>
      </c>
      <c r="G3330">
        <v>0</v>
      </c>
      <c r="H3330">
        <f t="shared" si="102"/>
        <v>0</v>
      </c>
      <c r="I3330">
        <v>1</v>
      </c>
      <c r="J3330">
        <v>0</v>
      </c>
      <c r="K3330">
        <v>0</v>
      </c>
      <c r="L3330">
        <f t="shared" si="103"/>
        <v>1</v>
      </c>
    </row>
    <row r="3331" spans="1:12">
      <c r="A3331" t="s">
        <v>4117</v>
      </c>
      <c r="B3331" t="s">
        <v>1682</v>
      </c>
      <c r="C3331" t="s">
        <v>2805</v>
      </c>
      <c r="D3331" t="s">
        <v>449</v>
      </c>
      <c r="E3331">
        <v>10</v>
      </c>
      <c r="F3331">
        <v>0</v>
      </c>
      <c r="G3331">
        <v>0</v>
      </c>
      <c r="H3331">
        <f t="shared" si="102"/>
        <v>10</v>
      </c>
      <c r="I3331">
        <v>0</v>
      </c>
      <c r="J3331">
        <v>0</v>
      </c>
      <c r="K3331">
        <v>0</v>
      </c>
      <c r="L3331">
        <f t="shared" si="103"/>
        <v>0</v>
      </c>
    </row>
    <row r="3332" spans="1:12">
      <c r="A3332" t="s">
        <v>4117</v>
      </c>
      <c r="B3332" t="s">
        <v>1682</v>
      </c>
      <c r="C3332" t="s">
        <v>2841</v>
      </c>
      <c r="D3332" t="s">
        <v>3117</v>
      </c>
      <c r="E3332">
        <v>2</v>
      </c>
      <c r="F3332">
        <v>0</v>
      </c>
      <c r="G3332">
        <v>0</v>
      </c>
      <c r="H3332">
        <f t="shared" ref="H3332:H3395" si="104">SUM(E3332:G3332)</f>
        <v>2</v>
      </c>
      <c r="I3332">
        <v>0</v>
      </c>
      <c r="J3332">
        <v>0</v>
      </c>
      <c r="K3332">
        <v>0</v>
      </c>
      <c r="L3332">
        <f t="shared" ref="L3332:L3395" si="105">SUM(I3332:K3332)</f>
        <v>0</v>
      </c>
    </row>
    <row r="3333" spans="1:12">
      <c r="A3333" t="s">
        <v>4117</v>
      </c>
      <c r="B3333" t="s">
        <v>1682</v>
      </c>
      <c r="C3333" t="s">
        <v>2826</v>
      </c>
      <c r="D3333" t="s">
        <v>2827</v>
      </c>
      <c r="E3333">
        <v>0</v>
      </c>
      <c r="F3333">
        <v>0</v>
      </c>
      <c r="G3333">
        <v>0</v>
      </c>
      <c r="H3333">
        <f t="shared" si="104"/>
        <v>0</v>
      </c>
      <c r="I3333">
        <v>1</v>
      </c>
      <c r="J3333">
        <v>0</v>
      </c>
      <c r="K3333">
        <v>0</v>
      </c>
      <c r="L3333">
        <f t="shared" si="105"/>
        <v>1</v>
      </c>
    </row>
    <row r="3334" spans="1:12">
      <c r="A3334" t="s">
        <v>4117</v>
      </c>
      <c r="B3334" t="s">
        <v>1682</v>
      </c>
      <c r="C3334" t="s">
        <v>2826</v>
      </c>
      <c r="D3334" t="s">
        <v>2843</v>
      </c>
      <c r="E3334">
        <v>0</v>
      </c>
      <c r="F3334">
        <v>0</v>
      </c>
      <c r="G3334">
        <v>0</v>
      </c>
      <c r="H3334">
        <f t="shared" si="104"/>
        <v>0</v>
      </c>
      <c r="I3334">
        <v>1</v>
      </c>
      <c r="J3334">
        <v>0</v>
      </c>
      <c r="K3334">
        <v>0</v>
      </c>
      <c r="L3334">
        <f t="shared" si="105"/>
        <v>1</v>
      </c>
    </row>
    <row r="3335" spans="1:12">
      <c r="A3335" t="s">
        <v>4117</v>
      </c>
      <c r="B3335" t="s">
        <v>1682</v>
      </c>
      <c r="C3335" t="s">
        <v>2826</v>
      </c>
      <c r="D3335" t="s">
        <v>2835</v>
      </c>
      <c r="E3335">
        <v>0</v>
      </c>
      <c r="F3335">
        <v>0</v>
      </c>
      <c r="G3335">
        <v>0</v>
      </c>
      <c r="H3335">
        <f t="shared" si="104"/>
        <v>0</v>
      </c>
      <c r="I3335">
        <v>1</v>
      </c>
      <c r="J3335">
        <v>0</v>
      </c>
      <c r="K3335">
        <v>0</v>
      </c>
      <c r="L3335">
        <f t="shared" si="105"/>
        <v>1</v>
      </c>
    </row>
    <row r="3336" spans="1:12">
      <c r="A3336" t="s">
        <v>4126</v>
      </c>
      <c r="B3336" t="s">
        <v>1684</v>
      </c>
      <c r="C3336" t="s">
        <v>2805</v>
      </c>
      <c r="D3336" t="s">
        <v>2806</v>
      </c>
      <c r="E3336">
        <v>9</v>
      </c>
      <c r="F3336">
        <v>0</v>
      </c>
      <c r="G3336">
        <v>0</v>
      </c>
      <c r="H3336">
        <f t="shared" si="104"/>
        <v>9</v>
      </c>
      <c r="I3336">
        <v>0</v>
      </c>
      <c r="J3336">
        <v>0</v>
      </c>
      <c r="K3336">
        <v>0</v>
      </c>
      <c r="L3336">
        <f t="shared" si="105"/>
        <v>0</v>
      </c>
    </row>
    <row r="3337" spans="1:12">
      <c r="A3337" t="s">
        <v>4126</v>
      </c>
      <c r="B3337" t="s">
        <v>1684</v>
      </c>
      <c r="C3337" t="s">
        <v>2805</v>
      </c>
      <c r="D3337" t="s">
        <v>449</v>
      </c>
      <c r="E3337">
        <v>70</v>
      </c>
      <c r="F3337">
        <v>0</v>
      </c>
      <c r="G3337">
        <v>0</v>
      </c>
      <c r="H3337">
        <f t="shared" si="104"/>
        <v>70</v>
      </c>
      <c r="I3337">
        <v>0</v>
      </c>
      <c r="J3337">
        <v>0</v>
      </c>
      <c r="K3337">
        <v>0</v>
      </c>
      <c r="L3337">
        <f t="shared" si="105"/>
        <v>0</v>
      </c>
    </row>
    <row r="3338" spans="1:12">
      <c r="A3338" t="s">
        <v>4126</v>
      </c>
      <c r="B3338" t="s">
        <v>1684</v>
      </c>
      <c r="C3338" t="s">
        <v>2805</v>
      </c>
      <c r="D3338" t="s">
        <v>2807</v>
      </c>
      <c r="E3338">
        <v>6</v>
      </c>
      <c r="F3338">
        <v>0</v>
      </c>
      <c r="G3338">
        <v>0</v>
      </c>
      <c r="H3338">
        <f t="shared" si="104"/>
        <v>6</v>
      </c>
      <c r="I3338">
        <v>0</v>
      </c>
      <c r="J3338">
        <v>0</v>
      </c>
      <c r="K3338">
        <v>0</v>
      </c>
      <c r="L3338">
        <f t="shared" si="105"/>
        <v>0</v>
      </c>
    </row>
    <row r="3339" spans="1:12">
      <c r="A3339" t="s">
        <v>4126</v>
      </c>
      <c r="B3339" t="s">
        <v>1684</v>
      </c>
      <c r="C3339" t="s">
        <v>2810</v>
      </c>
      <c r="D3339" t="s">
        <v>2811</v>
      </c>
      <c r="E3339">
        <v>6</v>
      </c>
      <c r="F3339">
        <v>0</v>
      </c>
      <c r="G3339">
        <v>0</v>
      </c>
      <c r="H3339">
        <f t="shared" si="104"/>
        <v>6</v>
      </c>
      <c r="I3339">
        <v>0</v>
      </c>
      <c r="J3339">
        <v>0</v>
      </c>
      <c r="K3339">
        <v>0</v>
      </c>
      <c r="L3339">
        <f t="shared" si="105"/>
        <v>0</v>
      </c>
    </row>
    <row r="3340" spans="1:12">
      <c r="A3340" t="s">
        <v>4126</v>
      </c>
      <c r="B3340" t="s">
        <v>1684</v>
      </c>
      <c r="C3340" t="s">
        <v>2810</v>
      </c>
      <c r="D3340" t="s">
        <v>2813</v>
      </c>
      <c r="E3340">
        <v>8</v>
      </c>
      <c r="F3340">
        <v>0</v>
      </c>
      <c r="G3340">
        <v>0</v>
      </c>
      <c r="H3340">
        <f t="shared" si="104"/>
        <v>8</v>
      </c>
      <c r="I3340">
        <v>0</v>
      </c>
      <c r="J3340">
        <v>0</v>
      </c>
      <c r="K3340">
        <v>0</v>
      </c>
      <c r="L3340">
        <f t="shared" si="105"/>
        <v>0</v>
      </c>
    </row>
    <row r="3341" spans="1:12">
      <c r="A3341" t="s">
        <v>4133</v>
      </c>
      <c r="B3341" t="s">
        <v>1686</v>
      </c>
      <c r="C3341" t="s">
        <v>2805</v>
      </c>
      <c r="D3341" t="s">
        <v>449</v>
      </c>
      <c r="E3341">
        <v>2</v>
      </c>
      <c r="F3341">
        <v>0</v>
      </c>
      <c r="G3341">
        <v>0</v>
      </c>
      <c r="H3341">
        <f t="shared" si="104"/>
        <v>2</v>
      </c>
      <c r="I3341">
        <v>0</v>
      </c>
      <c r="J3341">
        <v>0</v>
      </c>
      <c r="K3341">
        <v>0</v>
      </c>
      <c r="L3341">
        <f t="shared" si="105"/>
        <v>0</v>
      </c>
    </row>
    <row r="3342" spans="1:12">
      <c r="A3342" t="s">
        <v>4133</v>
      </c>
      <c r="B3342" t="s">
        <v>1686</v>
      </c>
      <c r="C3342" t="s">
        <v>2805</v>
      </c>
      <c r="D3342" t="s">
        <v>2807</v>
      </c>
      <c r="E3342">
        <v>4</v>
      </c>
      <c r="F3342">
        <v>0</v>
      </c>
      <c r="G3342">
        <v>0</v>
      </c>
      <c r="H3342">
        <f t="shared" si="104"/>
        <v>4</v>
      </c>
      <c r="I3342">
        <v>0</v>
      </c>
      <c r="J3342">
        <v>0</v>
      </c>
      <c r="K3342">
        <v>0</v>
      </c>
      <c r="L3342">
        <f t="shared" si="105"/>
        <v>0</v>
      </c>
    </row>
    <row r="3343" spans="1:12">
      <c r="A3343" t="s">
        <v>4133</v>
      </c>
      <c r="B3343" t="s">
        <v>1686</v>
      </c>
      <c r="C3343" t="s">
        <v>2810</v>
      </c>
      <c r="D3343" t="s">
        <v>2811</v>
      </c>
      <c r="E3343">
        <v>15</v>
      </c>
      <c r="F3343">
        <v>0</v>
      </c>
      <c r="G3343">
        <v>0</v>
      </c>
      <c r="H3343">
        <f t="shared" si="104"/>
        <v>15</v>
      </c>
      <c r="I3343">
        <v>0</v>
      </c>
      <c r="J3343">
        <v>0</v>
      </c>
      <c r="K3343">
        <v>0</v>
      </c>
      <c r="L3343">
        <f t="shared" si="105"/>
        <v>0</v>
      </c>
    </row>
    <row r="3344" spans="1:12">
      <c r="A3344" t="s">
        <v>4136</v>
      </c>
      <c r="B3344" t="s">
        <v>1690</v>
      </c>
      <c r="C3344" t="s">
        <v>2810</v>
      </c>
      <c r="D3344" t="s">
        <v>2813</v>
      </c>
      <c r="E3344">
        <v>3</v>
      </c>
      <c r="F3344">
        <v>0</v>
      </c>
      <c r="G3344">
        <v>0</v>
      </c>
      <c r="H3344">
        <f t="shared" si="104"/>
        <v>3</v>
      </c>
      <c r="I3344">
        <v>0</v>
      </c>
      <c r="J3344">
        <v>0</v>
      </c>
      <c r="K3344">
        <v>0</v>
      </c>
      <c r="L3344">
        <f t="shared" si="105"/>
        <v>0</v>
      </c>
    </row>
    <row r="3345" spans="1:12">
      <c r="A3345" t="s">
        <v>4136</v>
      </c>
      <c r="B3345" t="s">
        <v>1690</v>
      </c>
      <c r="C3345" t="s">
        <v>2810</v>
      </c>
      <c r="D3345" t="s">
        <v>2814</v>
      </c>
      <c r="E3345">
        <v>1</v>
      </c>
      <c r="F3345">
        <v>0</v>
      </c>
      <c r="G3345">
        <v>0</v>
      </c>
      <c r="H3345">
        <f t="shared" si="104"/>
        <v>1</v>
      </c>
      <c r="I3345">
        <v>0</v>
      </c>
      <c r="J3345">
        <v>0</v>
      </c>
      <c r="K3345">
        <v>0</v>
      </c>
      <c r="L3345">
        <f t="shared" si="105"/>
        <v>0</v>
      </c>
    </row>
    <row r="3346" spans="1:12">
      <c r="A3346" t="s">
        <v>4136</v>
      </c>
      <c r="B3346" t="s">
        <v>1690</v>
      </c>
      <c r="C3346" t="s">
        <v>2810</v>
      </c>
      <c r="D3346" t="s">
        <v>2847</v>
      </c>
      <c r="E3346">
        <v>7</v>
      </c>
      <c r="F3346">
        <v>0</v>
      </c>
      <c r="G3346">
        <v>0</v>
      </c>
      <c r="H3346">
        <f t="shared" si="104"/>
        <v>7</v>
      </c>
      <c r="I3346">
        <v>0</v>
      </c>
      <c r="J3346">
        <v>0</v>
      </c>
      <c r="K3346">
        <v>0</v>
      </c>
      <c r="L3346">
        <f t="shared" si="105"/>
        <v>0</v>
      </c>
    </row>
    <row r="3347" spans="1:12">
      <c r="A3347" t="s">
        <v>4143</v>
      </c>
      <c r="B3347" t="s">
        <v>1692</v>
      </c>
      <c r="C3347" t="s">
        <v>2805</v>
      </c>
      <c r="D3347" t="s">
        <v>2806</v>
      </c>
      <c r="E3347">
        <v>1</v>
      </c>
      <c r="F3347">
        <v>0</v>
      </c>
      <c r="G3347">
        <v>0</v>
      </c>
      <c r="H3347">
        <f t="shared" si="104"/>
        <v>1</v>
      </c>
      <c r="I3347">
        <v>0</v>
      </c>
      <c r="J3347">
        <v>0</v>
      </c>
      <c r="K3347">
        <v>0</v>
      </c>
      <c r="L3347">
        <f t="shared" si="105"/>
        <v>0</v>
      </c>
    </row>
    <row r="3348" spans="1:12">
      <c r="A3348" t="s">
        <v>4143</v>
      </c>
      <c r="B3348" t="s">
        <v>1692</v>
      </c>
      <c r="C3348" t="s">
        <v>2805</v>
      </c>
      <c r="D3348" t="s">
        <v>449</v>
      </c>
      <c r="E3348">
        <v>0</v>
      </c>
      <c r="F3348">
        <v>0</v>
      </c>
      <c r="G3348">
        <v>0</v>
      </c>
      <c r="H3348">
        <f t="shared" si="104"/>
        <v>0</v>
      </c>
      <c r="I3348">
        <v>2</v>
      </c>
      <c r="J3348">
        <v>0</v>
      </c>
      <c r="K3348">
        <v>0</v>
      </c>
      <c r="L3348">
        <f t="shared" si="105"/>
        <v>2</v>
      </c>
    </row>
    <row r="3349" spans="1:12">
      <c r="A3349" t="s">
        <v>4143</v>
      </c>
      <c r="B3349" t="s">
        <v>1692</v>
      </c>
      <c r="C3349" t="s">
        <v>2805</v>
      </c>
      <c r="D3349" t="s">
        <v>2807</v>
      </c>
      <c r="E3349">
        <v>1</v>
      </c>
      <c r="F3349">
        <v>0</v>
      </c>
      <c r="G3349">
        <v>0</v>
      </c>
      <c r="H3349">
        <f t="shared" si="104"/>
        <v>1</v>
      </c>
      <c r="I3349">
        <v>0</v>
      </c>
      <c r="J3349">
        <v>0</v>
      </c>
      <c r="K3349">
        <v>0</v>
      </c>
      <c r="L3349">
        <f t="shared" si="105"/>
        <v>0</v>
      </c>
    </row>
    <row r="3350" spans="1:12">
      <c r="A3350" t="s">
        <v>4143</v>
      </c>
      <c r="B3350" t="s">
        <v>1692</v>
      </c>
      <c r="C3350" t="s">
        <v>2810</v>
      </c>
      <c r="D3350" t="s">
        <v>2811</v>
      </c>
      <c r="E3350">
        <v>8</v>
      </c>
      <c r="F3350">
        <v>0</v>
      </c>
      <c r="G3350">
        <v>0</v>
      </c>
      <c r="H3350">
        <f t="shared" si="104"/>
        <v>8</v>
      </c>
      <c r="I3350">
        <v>0</v>
      </c>
      <c r="J3350">
        <v>0</v>
      </c>
      <c r="K3350">
        <v>0</v>
      </c>
      <c r="L3350">
        <f t="shared" si="105"/>
        <v>0</v>
      </c>
    </row>
    <row r="3351" spans="1:12">
      <c r="A3351" t="s">
        <v>4143</v>
      </c>
      <c r="B3351" t="s">
        <v>1692</v>
      </c>
      <c r="C3351" t="s">
        <v>2810</v>
      </c>
      <c r="D3351" t="s">
        <v>2812</v>
      </c>
      <c r="E3351">
        <v>3</v>
      </c>
      <c r="F3351">
        <v>0</v>
      </c>
      <c r="G3351">
        <v>0</v>
      </c>
      <c r="H3351">
        <f t="shared" si="104"/>
        <v>3</v>
      </c>
      <c r="I3351">
        <v>0</v>
      </c>
      <c r="J3351">
        <v>0</v>
      </c>
      <c r="K3351">
        <v>0</v>
      </c>
      <c r="L3351">
        <f t="shared" si="105"/>
        <v>0</v>
      </c>
    </row>
    <row r="3352" spans="1:12">
      <c r="A3352" t="s">
        <v>4143</v>
      </c>
      <c r="B3352" t="s">
        <v>1692</v>
      </c>
      <c r="C3352" t="s">
        <v>2810</v>
      </c>
      <c r="D3352" t="s">
        <v>2813</v>
      </c>
      <c r="E3352">
        <v>1</v>
      </c>
      <c r="F3352">
        <v>0</v>
      </c>
      <c r="G3352">
        <v>0</v>
      </c>
      <c r="H3352">
        <f t="shared" si="104"/>
        <v>1</v>
      </c>
      <c r="I3352">
        <v>0</v>
      </c>
      <c r="J3352">
        <v>0</v>
      </c>
      <c r="K3352">
        <v>0</v>
      </c>
      <c r="L3352">
        <f t="shared" si="105"/>
        <v>0</v>
      </c>
    </row>
    <row r="3353" spans="1:12">
      <c r="A3353" t="s">
        <v>4148</v>
      </c>
      <c r="B3353" t="s">
        <v>1700</v>
      </c>
      <c r="C3353" t="s">
        <v>2810</v>
      </c>
      <c r="D3353" t="s">
        <v>2811</v>
      </c>
      <c r="E3353">
        <v>0</v>
      </c>
      <c r="F3353">
        <v>0</v>
      </c>
      <c r="G3353">
        <v>0</v>
      </c>
      <c r="H3353">
        <f t="shared" si="104"/>
        <v>0</v>
      </c>
      <c r="I3353">
        <v>1</v>
      </c>
      <c r="J3353">
        <v>0</v>
      </c>
      <c r="K3353">
        <v>0</v>
      </c>
      <c r="L3353">
        <f t="shared" si="105"/>
        <v>1</v>
      </c>
    </row>
    <row r="3354" spans="1:12">
      <c r="A3354" t="s">
        <v>4148</v>
      </c>
      <c r="B3354" t="s">
        <v>1700</v>
      </c>
      <c r="C3354" t="s">
        <v>2810</v>
      </c>
      <c r="D3354" t="s">
        <v>2812</v>
      </c>
      <c r="E3354">
        <v>1</v>
      </c>
      <c r="F3354">
        <v>0</v>
      </c>
      <c r="G3354">
        <v>0</v>
      </c>
      <c r="H3354">
        <f t="shared" si="104"/>
        <v>1</v>
      </c>
      <c r="I3354">
        <v>0</v>
      </c>
      <c r="J3354">
        <v>0</v>
      </c>
      <c r="K3354">
        <v>0</v>
      </c>
      <c r="L3354">
        <f t="shared" si="105"/>
        <v>0</v>
      </c>
    </row>
    <row r="3355" spans="1:12">
      <c r="A3355" t="s">
        <v>4148</v>
      </c>
      <c r="B3355" t="s">
        <v>1700</v>
      </c>
      <c r="C3355" t="s">
        <v>2810</v>
      </c>
      <c r="D3355" t="s">
        <v>2813</v>
      </c>
      <c r="E3355">
        <v>2</v>
      </c>
      <c r="F3355">
        <v>0</v>
      </c>
      <c r="G3355">
        <v>0</v>
      </c>
      <c r="H3355">
        <f t="shared" si="104"/>
        <v>2</v>
      </c>
      <c r="I3355">
        <v>0</v>
      </c>
      <c r="J3355">
        <v>0</v>
      </c>
      <c r="K3355">
        <v>0</v>
      </c>
      <c r="L3355">
        <f t="shared" si="105"/>
        <v>0</v>
      </c>
    </row>
    <row r="3356" spans="1:12">
      <c r="A3356" t="s">
        <v>4155</v>
      </c>
      <c r="B3356" t="s">
        <v>1702</v>
      </c>
      <c r="C3356" t="s">
        <v>2805</v>
      </c>
      <c r="D3356" t="s">
        <v>2806</v>
      </c>
      <c r="E3356">
        <v>483</v>
      </c>
      <c r="F3356">
        <v>0</v>
      </c>
      <c r="G3356">
        <v>0</v>
      </c>
      <c r="H3356">
        <f t="shared" si="104"/>
        <v>483</v>
      </c>
      <c r="I3356">
        <v>0</v>
      </c>
      <c r="J3356">
        <v>0</v>
      </c>
      <c r="K3356">
        <v>0</v>
      </c>
      <c r="L3356">
        <f t="shared" si="105"/>
        <v>0</v>
      </c>
    </row>
    <row r="3357" spans="1:12">
      <c r="A3357" t="s">
        <v>4155</v>
      </c>
      <c r="B3357" t="s">
        <v>1702</v>
      </c>
      <c r="C3357" t="s">
        <v>2805</v>
      </c>
      <c r="D3357" t="s">
        <v>449</v>
      </c>
      <c r="E3357">
        <v>788</v>
      </c>
      <c r="F3357">
        <v>0</v>
      </c>
      <c r="G3357">
        <v>0</v>
      </c>
      <c r="H3357">
        <f t="shared" si="104"/>
        <v>788</v>
      </c>
      <c r="I3357">
        <v>0</v>
      </c>
      <c r="J3357">
        <v>0</v>
      </c>
      <c r="K3357">
        <v>0</v>
      </c>
      <c r="L3357">
        <f t="shared" si="105"/>
        <v>0</v>
      </c>
    </row>
    <row r="3358" spans="1:12">
      <c r="A3358" t="s">
        <v>4155</v>
      </c>
      <c r="B3358" t="s">
        <v>1702</v>
      </c>
      <c r="C3358" t="s">
        <v>2805</v>
      </c>
      <c r="D3358" t="s">
        <v>2807</v>
      </c>
      <c r="E3358">
        <v>10</v>
      </c>
      <c r="F3358">
        <v>0</v>
      </c>
      <c r="G3358">
        <v>0</v>
      </c>
      <c r="H3358">
        <f t="shared" si="104"/>
        <v>10</v>
      </c>
      <c r="I3358">
        <v>0</v>
      </c>
      <c r="J3358">
        <v>0</v>
      </c>
      <c r="K3358">
        <v>0</v>
      </c>
      <c r="L3358">
        <f t="shared" si="105"/>
        <v>0</v>
      </c>
    </row>
    <row r="3359" spans="1:12">
      <c r="A3359" t="s">
        <v>4155</v>
      </c>
      <c r="B3359" t="s">
        <v>1702</v>
      </c>
      <c r="C3359" t="s">
        <v>2805</v>
      </c>
      <c r="D3359" t="s">
        <v>2937</v>
      </c>
      <c r="E3359">
        <v>1</v>
      </c>
      <c r="F3359">
        <v>0</v>
      </c>
      <c r="G3359">
        <v>0</v>
      </c>
      <c r="H3359">
        <f t="shared" si="104"/>
        <v>1</v>
      </c>
      <c r="I3359">
        <v>0</v>
      </c>
      <c r="J3359">
        <v>0</v>
      </c>
      <c r="K3359">
        <v>0</v>
      </c>
      <c r="L3359">
        <f t="shared" si="105"/>
        <v>0</v>
      </c>
    </row>
    <row r="3360" spans="1:12">
      <c r="A3360" t="s">
        <v>4155</v>
      </c>
      <c r="B3360" t="s">
        <v>1702</v>
      </c>
      <c r="C3360" t="s">
        <v>2810</v>
      </c>
      <c r="D3360" t="s">
        <v>2811</v>
      </c>
      <c r="E3360">
        <v>41</v>
      </c>
      <c r="F3360">
        <v>0</v>
      </c>
      <c r="G3360">
        <v>0</v>
      </c>
      <c r="H3360">
        <f t="shared" si="104"/>
        <v>41</v>
      </c>
      <c r="I3360">
        <v>0</v>
      </c>
      <c r="J3360">
        <v>0</v>
      </c>
      <c r="K3360">
        <v>0</v>
      </c>
      <c r="L3360">
        <f t="shared" si="105"/>
        <v>0</v>
      </c>
    </row>
    <row r="3361" spans="1:12">
      <c r="A3361" t="s">
        <v>4155</v>
      </c>
      <c r="B3361" t="s">
        <v>1702</v>
      </c>
      <c r="C3361" t="s">
        <v>2810</v>
      </c>
      <c r="D3361" t="s">
        <v>2813</v>
      </c>
      <c r="E3361">
        <v>6</v>
      </c>
      <c r="F3361">
        <v>0</v>
      </c>
      <c r="G3361">
        <v>0</v>
      </c>
      <c r="H3361">
        <f t="shared" si="104"/>
        <v>6</v>
      </c>
      <c r="I3361">
        <v>0</v>
      </c>
      <c r="J3361">
        <v>0</v>
      </c>
      <c r="K3361">
        <v>0</v>
      </c>
      <c r="L3361">
        <f t="shared" si="105"/>
        <v>0</v>
      </c>
    </row>
    <row r="3362" spans="1:12">
      <c r="A3362" t="s">
        <v>4155</v>
      </c>
      <c r="B3362" t="s">
        <v>1702</v>
      </c>
      <c r="C3362" t="s">
        <v>2810</v>
      </c>
      <c r="D3362" t="s">
        <v>2814</v>
      </c>
      <c r="E3362">
        <v>3</v>
      </c>
      <c r="F3362">
        <v>0</v>
      </c>
      <c r="G3362">
        <v>0</v>
      </c>
      <c r="H3362">
        <f t="shared" si="104"/>
        <v>3</v>
      </c>
      <c r="I3362">
        <v>0</v>
      </c>
      <c r="J3362">
        <v>0</v>
      </c>
      <c r="K3362">
        <v>0</v>
      </c>
      <c r="L3362">
        <f t="shared" si="105"/>
        <v>0</v>
      </c>
    </row>
    <row r="3363" spans="1:12">
      <c r="A3363" t="s">
        <v>4155</v>
      </c>
      <c r="B3363" t="s">
        <v>1702</v>
      </c>
      <c r="C3363" t="s">
        <v>2810</v>
      </c>
      <c r="D3363" t="s">
        <v>2815</v>
      </c>
      <c r="E3363">
        <v>19</v>
      </c>
      <c r="F3363">
        <v>0</v>
      </c>
      <c r="G3363">
        <v>0</v>
      </c>
      <c r="H3363">
        <f t="shared" si="104"/>
        <v>19</v>
      </c>
      <c r="I3363">
        <v>0</v>
      </c>
      <c r="J3363">
        <v>0</v>
      </c>
      <c r="K3363">
        <v>0</v>
      </c>
      <c r="L3363">
        <f t="shared" si="105"/>
        <v>0</v>
      </c>
    </row>
    <row r="3364" spans="1:12">
      <c r="A3364" t="s">
        <v>4155</v>
      </c>
      <c r="B3364" t="s">
        <v>1702</v>
      </c>
      <c r="C3364" t="s">
        <v>2816</v>
      </c>
      <c r="D3364" t="s">
        <v>1897</v>
      </c>
      <c r="E3364">
        <v>45</v>
      </c>
      <c r="F3364">
        <v>0</v>
      </c>
      <c r="G3364">
        <v>0</v>
      </c>
      <c r="H3364">
        <f t="shared" si="104"/>
        <v>45</v>
      </c>
      <c r="I3364">
        <v>0</v>
      </c>
      <c r="J3364">
        <v>0</v>
      </c>
      <c r="K3364">
        <v>0</v>
      </c>
      <c r="L3364">
        <f t="shared" si="105"/>
        <v>0</v>
      </c>
    </row>
    <row r="3365" spans="1:12">
      <c r="A3365" t="s">
        <v>4155</v>
      </c>
      <c r="B3365" t="s">
        <v>1702</v>
      </c>
      <c r="C3365" t="s">
        <v>2817</v>
      </c>
      <c r="D3365" t="s">
        <v>2877</v>
      </c>
      <c r="E3365">
        <v>8</v>
      </c>
      <c r="F3365">
        <v>0</v>
      </c>
      <c r="G3365">
        <v>0</v>
      </c>
      <c r="H3365">
        <f t="shared" si="104"/>
        <v>8</v>
      </c>
      <c r="I3365">
        <v>0</v>
      </c>
      <c r="J3365">
        <v>0</v>
      </c>
      <c r="K3365">
        <v>0</v>
      </c>
      <c r="L3365">
        <f t="shared" si="105"/>
        <v>0</v>
      </c>
    </row>
    <row r="3366" spans="1:12">
      <c r="A3366" t="s">
        <v>4155</v>
      </c>
      <c r="B3366" t="s">
        <v>1702</v>
      </c>
      <c r="C3366" t="s">
        <v>2817</v>
      </c>
      <c r="D3366" t="s">
        <v>2818</v>
      </c>
      <c r="E3366">
        <v>88</v>
      </c>
      <c r="F3366">
        <v>0</v>
      </c>
      <c r="G3366">
        <v>0</v>
      </c>
      <c r="H3366">
        <f t="shared" si="104"/>
        <v>88</v>
      </c>
      <c r="I3366">
        <v>0</v>
      </c>
      <c r="J3366">
        <v>0</v>
      </c>
      <c r="K3366">
        <v>0</v>
      </c>
      <c r="L3366">
        <f t="shared" si="105"/>
        <v>0</v>
      </c>
    </row>
    <row r="3367" spans="1:12">
      <c r="A3367" t="s">
        <v>4155</v>
      </c>
      <c r="B3367" t="s">
        <v>1702</v>
      </c>
      <c r="C3367" t="s">
        <v>2817</v>
      </c>
      <c r="D3367" t="s">
        <v>2837</v>
      </c>
      <c r="E3367">
        <v>27</v>
      </c>
      <c r="F3367">
        <v>0</v>
      </c>
      <c r="G3367">
        <v>0</v>
      </c>
      <c r="H3367">
        <f t="shared" si="104"/>
        <v>27</v>
      </c>
      <c r="I3367">
        <v>0</v>
      </c>
      <c r="J3367">
        <v>0</v>
      </c>
      <c r="K3367">
        <v>0</v>
      </c>
      <c r="L3367">
        <f t="shared" si="105"/>
        <v>0</v>
      </c>
    </row>
    <row r="3368" spans="1:12">
      <c r="A3368" t="s">
        <v>4155</v>
      </c>
      <c r="B3368" t="s">
        <v>1702</v>
      </c>
      <c r="C3368" t="s">
        <v>2817</v>
      </c>
      <c r="D3368" t="s">
        <v>2819</v>
      </c>
      <c r="E3368">
        <v>1</v>
      </c>
      <c r="F3368">
        <v>0</v>
      </c>
      <c r="G3368">
        <v>0</v>
      </c>
      <c r="H3368">
        <f t="shared" si="104"/>
        <v>1</v>
      </c>
      <c r="I3368">
        <v>0</v>
      </c>
      <c r="J3368">
        <v>0</v>
      </c>
      <c r="K3368">
        <v>0</v>
      </c>
      <c r="L3368">
        <f t="shared" si="105"/>
        <v>0</v>
      </c>
    </row>
    <row r="3369" spans="1:12">
      <c r="A3369" t="s">
        <v>4166</v>
      </c>
      <c r="B3369" t="s">
        <v>815</v>
      </c>
      <c r="C3369" t="s">
        <v>2805</v>
      </c>
      <c r="D3369" t="s">
        <v>2806</v>
      </c>
      <c r="E3369">
        <v>561</v>
      </c>
      <c r="F3369">
        <v>0</v>
      </c>
      <c r="G3369">
        <v>0</v>
      </c>
      <c r="H3369">
        <f t="shared" si="104"/>
        <v>561</v>
      </c>
      <c r="I3369">
        <v>13</v>
      </c>
      <c r="J3369">
        <v>0</v>
      </c>
      <c r="K3369">
        <v>0</v>
      </c>
      <c r="L3369">
        <f t="shared" si="105"/>
        <v>13</v>
      </c>
    </row>
    <row r="3370" spans="1:12">
      <c r="A3370" t="s">
        <v>4166</v>
      </c>
      <c r="B3370" t="s">
        <v>815</v>
      </c>
      <c r="C3370" t="s">
        <v>2805</v>
      </c>
      <c r="D3370" t="s">
        <v>449</v>
      </c>
      <c r="E3370">
        <v>292</v>
      </c>
      <c r="F3370">
        <v>0</v>
      </c>
      <c r="G3370">
        <v>0</v>
      </c>
      <c r="H3370">
        <f t="shared" si="104"/>
        <v>292</v>
      </c>
      <c r="I3370">
        <v>6</v>
      </c>
      <c r="J3370">
        <v>0</v>
      </c>
      <c r="K3370">
        <v>0</v>
      </c>
      <c r="L3370">
        <f t="shared" si="105"/>
        <v>6</v>
      </c>
    </row>
    <row r="3371" spans="1:12">
      <c r="A3371" t="s">
        <v>4166</v>
      </c>
      <c r="B3371" t="s">
        <v>815</v>
      </c>
      <c r="C3371" t="s">
        <v>2805</v>
      </c>
      <c r="D3371" t="s">
        <v>2807</v>
      </c>
      <c r="E3371">
        <v>5</v>
      </c>
      <c r="F3371">
        <v>0</v>
      </c>
      <c r="G3371">
        <v>0</v>
      </c>
      <c r="H3371">
        <f t="shared" si="104"/>
        <v>5</v>
      </c>
      <c r="I3371">
        <v>0</v>
      </c>
      <c r="J3371">
        <v>0</v>
      </c>
      <c r="K3371">
        <v>0</v>
      </c>
      <c r="L3371">
        <f t="shared" si="105"/>
        <v>0</v>
      </c>
    </row>
    <row r="3372" spans="1:12">
      <c r="A3372" t="s">
        <v>4166</v>
      </c>
      <c r="B3372" t="s">
        <v>815</v>
      </c>
      <c r="C3372" t="s">
        <v>2805</v>
      </c>
      <c r="D3372" t="s">
        <v>2809</v>
      </c>
      <c r="E3372">
        <v>1</v>
      </c>
      <c r="F3372">
        <v>0</v>
      </c>
      <c r="G3372">
        <v>0</v>
      </c>
      <c r="H3372">
        <f t="shared" si="104"/>
        <v>1</v>
      </c>
      <c r="I3372">
        <v>0</v>
      </c>
      <c r="J3372">
        <v>0</v>
      </c>
      <c r="K3372">
        <v>0</v>
      </c>
      <c r="L3372">
        <f t="shared" si="105"/>
        <v>0</v>
      </c>
    </row>
    <row r="3373" spans="1:12">
      <c r="A3373" t="s">
        <v>4166</v>
      </c>
      <c r="B3373" t="s">
        <v>815</v>
      </c>
      <c r="C3373" t="s">
        <v>2805</v>
      </c>
      <c r="D3373" t="s">
        <v>442</v>
      </c>
      <c r="E3373">
        <v>9</v>
      </c>
      <c r="F3373">
        <v>0</v>
      </c>
      <c r="G3373">
        <v>0</v>
      </c>
      <c r="H3373">
        <f t="shared" si="104"/>
        <v>9</v>
      </c>
      <c r="I3373">
        <v>0</v>
      </c>
      <c r="J3373">
        <v>0</v>
      </c>
      <c r="K3373">
        <v>0</v>
      </c>
      <c r="L3373">
        <f t="shared" si="105"/>
        <v>0</v>
      </c>
    </row>
    <row r="3374" spans="1:12">
      <c r="A3374" t="s">
        <v>4166</v>
      </c>
      <c r="B3374" t="s">
        <v>815</v>
      </c>
      <c r="C3374" t="s">
        <v>2810</v>
      </c>
      <c r="D3374" t="s">
        <v>2811</v>
      </c>
      <c r="E3374">
        <v>29</v>
      </c>
      <c r="F3374">
        <v>0</v>
      </c>
      <c r="G3374">
        <v>0</v>
      </c>
      <c r="H3374">
        <f t="shared" si="104"/>
        <v>29</v>
      </c>
      <c r="I3374">
        <v>2</v>
      </c>
      <c r="J3374">
        <v>0</v>
      </c>
      <c r="K3374">
        <v>0</v>
      </c>
      <c r="L3374">
        <f t="shared" si="105"/>
        <v>2</v>
      </c>
    </row>
    <row r="3375" spans="1:12">
      <c r="A3375" t="s">
        <v>4166</v>
      </c>
      <c r="B3375" t="s">
        <v>815</v>
      </c>
      <c r="C3375" t="s">
        <v>2810</v>
      </c>
      <c r="D3375" t="s">
        <v>1892</v>
      </c>
      <c r="E3375">
        <v>77</v>
      </c>
      <c r="F3375">
        <v>31</v>
      </c>
      <c r="G3375">
        <v>0</v>
      </c>
      <c r="H3375">
        <f t="shared" si="104"/>
        <v>108</v>
      </c>
      <c r="I3375">
        <v>1</v>
      </c>
      <c r="J3375">
        <v>2</v>
      </c>
      <c r="K3375">
        <v>0</v>
      </c>
      <c r="L3375">
        <f t="shared" si="105"/>
        <v>3</v>
      </c>
    </row>
    <row r="3376" spans="1:12">
      <c r="A3376" t="s">
        <v>4166</v>
      </c>
      <c r="B3376" t="s">
        <v>815</v>
      </c>
      <c r="C3376" t="s">
        <v>2810</v>
      </c>
      <c r="D3376" t="s">
        <v>2823</v>
      </c>
      <c r="E3376">
        <v>20</v>
      </c>
      <c r="F3376">
        <v>71</v>
      </c>
      <c r="G3376">
        <v>0</v>
      </c>
      <c r="H3376">
        <f t="shared" si="104"/>
        <v>91</v>
      </c>
      <c r="I3376">
        <v>0</v>
      </c>
      <c r="J3376">
        <v>4</v>
      </c>
      <c r="K3376">
        <v>0</v>
      </c>
      <c r="L3376">
        <f t="shared" si="105"/>
        <v>4</v>
      </c>
    </row>
    <row r="3377" spans="1:12">
      <c r="A3377" t="s">
        <v>4166</v>
      </c>
      <c r="B3377" t="s">
        <v>815</v>
      </c>
      <c r="C3377" t="s">
        <v>2810</v>
      </c>
      <c r="D3377" t="s">
        <v>2812</v>
      </c>
      <c r="E3377">
        <v>102</v>
      </c>
      <c r="F3377">
        <v>0</v>
      </c>
      <c r="G3377">
        <v>0</v>
      </c>
      <c r="H3377">
        <f t="shared" si="104"/>
        <v>102</v>
      </c>
      <c r="I3377">
        <v>1</v>
      </c>
      <c r="J3377">
        <v>0</v>
      </c>
      <c r="K3377">
        <v>0</v>
      </c>
      <c r="L3377">
        <f t="shared" si="105"/>
        <v>1</v>
      </c>
    </row>
    <row r="3378" spans="1:12">
      <c r="A3378" t="s">
        <v>4166</v>
      </c>
      <c r="B3378" t="s">
        <v>815</v>
      </c>
      <c r="C3378" t="s">
        <v>2810</v>
      </c>
      <c r="D3378" t="s">
        <v>2813</v>
      </c>
      <c r="E3378">
        <v>65</v>
      </c>
      <c r="F3378">
        <v>0</v>
      </c>
      <c r="G3378">
        <v>0</v>
      </c>
      <c r="H3378">
        <f t="shared" si="104"/>
        <v>65</v>
      </c>
      <c r="I3378">
        <v>1</v>
      </c>
      <c r="J3378">
        <v>0</v>
      </c>
      <c r="K3378">
        <v>0</v>
      </c>
      <c r="L3378">
        <f t="shared" si="105"/>
        <v>1</v>
      </c>
    </row>
    <row r="3379" spans="1:12">
      <c r="A3379" t="s">
        <v>4166</v>
      </c>
      <c r="B3379" t="s">
        <v>815</v>
      </c>
      <c r="C3379" t="s">
        <v>2810</v>
      </c>
      <c r="D3379" t="s">
        <v>2847</v>
      </c>
      <c r="E3379">
        <v>53</v>
      </c>
      <c r="F3379">
        <v>0</v>
      </c>
      <c r="G3379">
        <v>0</v>
      </c>
      <c r="H3379">
        <f t="shared" si="104"/>
        <v>53</v>
      </c>
      <c r="I3379">
        <v>0</v>
      </c>
      <c r="J3379">
        <v>0</v>
      </c>
      <c r="K3379">
        <v>0</v>
      </c>
      <c r="L3379">
        <f t="shared" si="105"/>
        <v>0</v>
      </c>
    </row>
    <row r="3380" spans="1:12">
      <c r="A3380" t="s">
        <v>4166</v>
      </c>
      <c r="B3380" t="s">
        <v>815</v>
      </c>
      <c r="C3380" t="s">
        <v>2810</v>
      </c>
      <c r="D3380" t="s">
        <v>2840</v>
      </c>
      <c r="E3380">
        <v>5</v>
      </c>
      <c r="F3380">
        <v>0</v>
      </c>
      <c r="G3380">
        <v>0</v>
      </c>
      <c r="H3380">
        <f t="shared" si="104"/>
        <v>5</v>
      </c>
      <c r="I3380">
        <v>0</v>
      </c>
      <c r="J3380">
        <v>0</v>
      </c>
      <c r="K3380">
        <v>0</v>
      </c>
      <c r="L3380">
        <f t="shared" si="105"/>
        <v>0</v>
      </c>
    </row>
    <row r="3381" spans="1:12">
      <c r="A3381" t="s">
        <v>4166</v>
      </c>
      <c r="B3381" t="s">
        <v>815</v>
      </c>
      <c r="C3381" t="s">
        <v>2816</v>
      </c>
      <c r="D3381" t="s">
        <v>1897</v>
      </c>
      <c r="E3381">
        <v>36</v>
      </c>
      <c r="F3381">
        <v>0</v>
      </c>
      <c r="G3381">
        <v>0</v>
      </c>
      <c r="H3381">
        <f t="shared" si="104"/>
        <v>36</v>
      </c>
      <c r="I3381">
        <v>0</v>
      </c>
      <c r="J3381">
        <v>0</v>
      </c>
      <c r="K3381">
        <v>0</v>
      </c>
      <c r="L3381">
        <f t="shared" si="105"/>
        <v>0</v>
      </c>
    </row>
    <row r="3382" spans="1:12">
      <c r="A3382" t="s">
        <v>4166</v>
      </c>
      <c r="B3382" t="s">
        <v>815</v>
      </c>
      <c r="C3382" t="s">
        <v>2817</v>
      </c>
      <c r="D3382" t="s">
        <v>2818</v>
      </c>
      <c r="E3382">
        <v>12</v>
      </c>
      <c r="F3382">
        <v>0</v>
      </c>
      <c r="G3382">
        <v>0</v>
      </c>
      <c r="H3382">
        <f t="shared" si="104"/>
        <v>12</v>
      </c>
      <c r="I3382">
        <v>0</v>
      </c>
      <c r="J3382">
        <v>0</v>
      </c>
      <c r="K3382">
        <v>0</v>
      </c>
      <c r="L3382">
        <f t="shared" si="105"/>
        <v>0</v>
      </c>
    </row>
    <row r="3383" spans="1:12">
      <c r="A3383" t="s">
        <v>4166</v>
      </c>
      <c r="B3383" t="s">
        <v>815</v>
      </c>
      <c r="C3383" t="s">
        <v>2817</v>
      </c>
      <c r="D3383" t="s">
        <v>2837</v>
      </c>
      <c r="E3383">
        <v>21</v>
      </c>
      <c r="F3383">
        <v>0</v>
      </c>
      <c r="G3383">
        <v>0</v>
      </c>
      <c r="H3383">
        <f t="shared" si="104"/>
        <v>21</v>
      </c>
      <c r="I3383">
        <v>0</v>
      </c>
      <c r="J3383">
        <v>0</v>
      </c>
      <c r="K3383">
        <v>0</v>
      </c>
      <c r="L3383">
        <f t="shared" si="105"/>
        <v>0</v>
      </c>
    </row>
    <row r="3384" spans="1:12">
      <c r="A3384" t="s">
        <v>4166</v>
      </c>
      <c r="B3384" t="s">
        <v>815</v>
      </c>
      <c r="C3384" t="s">
        <v>2820</v>
      </c>
      <c r="D3384" t="s">
        <v>2821</v>
      </c>
      <c r="E3384">
        <v>3</v>
      </c>
      <c r="F3384">
        <v>0</v>
      </c>
      <c r="G3384">
        <v>0</v>
      </c>
      <c r="H3384">
        <f t="shared" si="104"/>
        <v>3</v>
      </c>
      <c r="I3384">
        <v>0</v>
      </c>
      <c r="J3384">
        <v>0</v>
      </c>
      <c r="K3384">
        <v>0</v>
      </c>
      <c r="L3384">
        <f t="shared" si="105"/>
        <v>0</v>
      </c>
    </row>
    <row r="3385" spans="1:12">
      <c r="A3385" t="s">
        <v>4173</v>
      </c>
      <c r="B3385" t="s">
        <v>1708</v>
      </c>
      <c r="C3385" t="s">
        <v>2805</v>
      </c>
      <c r="D3385" t="s">
        <v>449</v>
      </c>
      <c r="E3385">
        <v>7</v>
      </c>
      <c r="F3385">
        <v>0</v>
      </c>
      <c r="G3385">
        <v>0</v>
      </c>
      <c r="H3385">
        <f t="shared" si="104"/>
        <v>7</v>
      </c>
      <c r="I3385">
        <v>0</v>
      </c>
      <c r="J3385">
        <v>0</v>
      </c>
      <c r="K3385">
        <v>0</v>
      </c>
      <c r="L3385">
        <f t="shared" si="105"/>
        <v>0</v>
      </c>
    </row>
    <row r="3386" spans="1:12">
      <c r="A3386" t="s">
        <v>4173</v>
      </c>
      <c r="B3386" t="s">
        <v>1708</v>
      </c>
      <c r="C3386" t="s">
        <v>2805</v>
      </c>
      <c r="D3386" t="s">
        <v>2809</v>
      </c>
      <c r="E3386">
        <v>2</v>
      </c>
      <c r="F3386">
        <v>0</v>
      </c>
      <c r="G3386">
        <v>0</v>
      </c>
      <c r="H3386">
        <f t="shared" si="104"/>
        <v>2</v>
      </c>
      <c r="I3386">
        <v>0</v>
      </c>
      <c r="J3386">
        <v>0</v>
      </c>
      <c r="K3386">
        <v>0</v>
      </c>
      <c r="L3386">
        <f t="shared" si="105"/>
        <v>0</v>
      </c>
    </row>
    <row r="3387" spans="1:12">
      <c r="A3387" t="s">
        <v>4173</v>
      </c>
      <c r="B3387" t="s">
        <v>1708</v>
      </c>
      <c r="C3387" t="s">
        <v>2810</v>
      </c>
      <c r="D3387" t="s">
        <v>2823</v>
      </c>
      <c r="E3387">
        <v>0</v>
      </c>
      <c r="F3387">
        <v>6</v>
      </c>
      <c r="G3387">
        <v>0</v>
      </c>
      <c r="H3387">
        <f t="shared" si="104"/>
        <v>6</v>
      </c>
      <c r="I3387">
        <v>0</v>
      </c>
      <c r="J3387">
        <v>0</v>
      </c>
      <c r="K3387">
        <v>0</v>
      </c>
      <c r="L3387">
        <f t="shared" si="105"/>
        <v>0</v>
      </c>
    </row>
    <row r="3388" spans="1:12">
      <c r="A3388" t="s">
        <v>4173</v>
      </c>
      <c r="B3388" t="s">
        <v>1708</v>
      </c>
      <c r="C3388" t="s">
        <v>2810</v>
      </c>
      <c r="D3388" t="s">
        <v>2812</v>
      </c>
      <c r="E3388">
        <v>2</v>
      </c>
      <c r="F3388">
        <v>0</v>
      </c>
      <c r="G3388">
        <v>0</v>
      </c>
      <c r="H3388">
        <f t="shared" si="104"/>
        <v>2</v>
      </c>
      <c r="I3388">
        <v>0</v>
      </c>
      <c r="J3388">
        <v>0</v>
      </c>
      <c r="K3388">
        <v>0</v>
      </c>
      <c r="L3388">
        <f t="shared" si="105"/>
        <v>0</v>
      </c>
    </row>
    <row r="3389" spans="1:12">
      <c r="A3389" t="s">
        <v>4173</v>
      </c>
      <c r="B3389" t="s">
        <v>1708</v>
      </c>
      <c r="C3389" t="s">
        <v>2810</v>
      </c>
      <c r="D3389" t="s">
        <v>2847</v>
      </c>
      <c r="E3389">
        <v>10</v>
      </c>
      <c r="F3389">
        <v>0</v>
      </c>
      <c r="G3389">
        <v>0</v>
      </c>
      <c r="H3389">
        <f t="shared" si="104"/>
        <v>10</v>
      </c>
      <c r="I3389">
        <v>0</v>
      </c>
      <c r="J3389">
        <v>0</v>
      </c>
      <c r="K3389">
        <v>0</v>
      </c>
      <c r="L3389">
        <f t="shared" si="105"/>
        <v>0</v>
      </c>
    </row>
    <row r="3390" spans="1:12">
      <c r="A3390" t="s">
        <v>4178</v>
      </c>
      <c r="B3390" t="s">
        <v>357</v>
      </c>
      <c r="C3390" t="s">
        <v>2805</v>
      </c>
      <c r="D3390" t="s">
        <v>449</v>
      </c>
      <c r="E3390">
        <v>2</v>
      </c>
      <c r="F3390">
        <v>0</v>
      </c>
      <c r="G3390">
        <v>0</v>
      </c>
      <c r="H3390">
        <f t="shared" si="104"/>
        <v>2</v>
      </c>
      <c r="I3390">
        <v>5</v>
      </c>
      <c r="J3390">
        <v>0</v>
      </c>
      <c r="K3390">
        <v>0</v>
      </c>
      <c r="L3390">
        <f t="shared" si="105"/>
        <v>5</v>
      </c>
    </row>
    <row r="3391" spans="1:12">
      <c r="A3391" t="s">
        <v>4178</v>
      </c>
      <c r="B3391" t="s">
        <v>357</v>
      </c>
      <c r="C3391" t="s">
        <v>2805</v>
      </c>
      <c r="D3391" t="s">
        <v>2807</v>
      </c>
      <c r="E3391">
        <v>0</v>
      </c>
      <c r="F3391">
        <v>0</v>
      </c>
      <c r="G3391">
        <v>0</v>
      </c>
      <c r="H3391">
        <f t="shared" si="104"/>
        <v>0</v>
      </c>
      <c r="I3391">
        <v>11</v>
      </c>
      <c r="J3391">
        <v>0</v>
      </c>
      <c r="K3391">
        <v>0</v>
      </c>
      <c r="L3391">
        <f t="shared" si="105"/>
        <v>11</v>
      </c>
    </row>
    <row r="3392" spans="1:12">
      <c r="A3392" t="s">
        <v>4178</v>
      </c>
      <c r="B3392" t="s">
        <v>357</v>
      </c>
      <c r="C3392" t="s">
        <v>2810</v>
      </c>
      <c r="D3392" t="s">
        <v>2811</v>
      </c>
      <c r="E3392">
        <v>0</v>
      </c>
      <c r="F3392">
        <v>0</v>
      </c>
      <c r="G3392">
        <v>0</v>
      </c>
      <c r="H3392">
        <f t="shared" si="104"/>
        <v>0</v>
      </c>
      <c r="I3392">
        <v>2</v>
      </c>
      <c r="J3392">
        <v>0</v>
      </c>
      <c r="K3392">
        <v>0</v>
      </c>
      <c r="L3392">
        <f t="shared" si="105"/>
        <v>2</v>
      </c>
    </row>
    <row r="3393" spans="1:12">
      <c r="A3393" t="s">
        <v>4178</v>
      </c>
      <c r="B3393" t="s">
        <v>357</v>
      </c>
      <c r="C3393" t="s">
        <v>2810</v>
      </c>
      <c r="D3393" t="s">
        <v>2812</v>
      </c>
      <c r="E3393">
        <v>0</v>
      </c>
      <c r="F3393">
        <v>0</v>
      </c>
      <c r="G3393">
        <v>0</v>
      </c>
      <c r="H3393">
        <f t="shared" si="104"/>
        <v>0</v>
      </c>
      <c r="I3393">
        <v>2</v>
      </c>
      <c r="J3393">
        <v>0</v>
      </c>
      <c r="K3393">
        <v>0</v>
      </c>
      <c r="L3393">
        <f t="shared" si="105"/>
        <v>2</v>
      </c>
    </row>
    <row r="3394" spans="1:12">
      <c r="A3394" t="s">
        <v>4178</v>
      </c>
      <c r="B3394" t="s">
        <v>357</v>
      </c>
      <c r="C3394" t="s">
        <v>2810</v>
      </c>
      <c r="D3394" t="s">
        <v>2813</v>
      </c>
      <c r="E3394">
        <v>0</v>
      </c>
      <c r="F3394">
        <v>0</v>
      </c>
      <c r="G3394">
        <v>0</v>
      </c>
      <c r="H3394">
        <f t="shared" si="104"/>
        <v>0</v>
      </c>
      <c r="I3394">
        <v>2</v>
      </c>
      <c r="J3394">
        <v>0</v>
      </c>
      <c r="K3394">
        <v>0</v>
      </c>
      <c r="L3394">
        <f t="shared" si="105"/>
        <v>2</v>
      </c>
    </row>
    <row r="3395" spans="1:12">
      <c r="A3395" t="s">
        <v>4178</v>
      </c>
      <c r="B3395" t="s">
        <v>357</v>
      </c>
      <c r="C3395" t="s">
        <v>2810</v>
      </c>
      <c r="D3395" t="s">
        <v>2814</v>
      </c>
      <c r="E3395">
        <v>2</v>
      </c>
      <c r="F3395">
        <v>0</v>
      </c>
      <c r="G3395">
        <v>0</v>
      </c>
      <c r="H3395">
        <f t="shared" si="104"/>
        <v>2</v>
      </c>
      <c r="I3395">
        <v>0</v>
      </c>
      <c r="J3395">
        <v>0</v>
      </c>
      <c r="K3395">
        <v>0</v>
      </c>
      <c r="L3395">
        <f t="shared" si="105"/>
        <v>0</v>
      </c>
    </row>
    <row r="3396" spans="1:12">
      <c r="A3396" t="s">
        <v>4178</v>
      </c>
      <c r="B3396" t="s">
        <v>357</v>
      </c>
      <c r="C3396" t="s">
        <v>2826</v>
      </c>
      <c r="D3396" t="s">
        <v>2871</v>
      </c>
      <c r="E3396">
        <v>0</v>
      </c>
      <c r="F3396">
        <v>0</v>
      </c>
      <c r="G3396">
        <v>0</v>
      </c>
      <c r="H3396">
        <f t="shared" ref="H3396:H3459" si="106">SUM(E3396:G3396)</f>
        <v>0</v>
      </c>
      <c r="I3396">
        <v>13</v>
      </c>
      <c r="J3396">
        <v>0</v>
      </c>
      <c r="K3396">
        <v>0</v>
      </c>
      <c r="L3396">
        <f t="shared" ref="L3396:L3459" si="107">SUM(I3396:K3396)</f>
        <v>13</v>
      </c>
    </row>
    <row r="3397" spans="1:12">
      <c r="A3397" t="s">
        <v>4178</v>
      </c>
      <c r="B3397" t="s">
        <v>357</v>
      </c>
      <c r="C3397" t="s">
        <v>2826</v>
      </c>
      <c r="D3397" t="s">
        <v>2905</v>
      </c>
      <c r="E3397">
        <v>0</v>
      </c>
      <c r="F3397">
        <v>0</v>
      </c>
      <c r="G3397">
        <v>0</v>
      </c>
      <c r="H3397">
        <f t="shared" si="106"/>
        <v>0</v>
      </c>
      <c r="I3397">
        <v>13</v>
      </c>
      <c r="J3397">
        <v>0</v>
      </c>
      <c r="K3397">
        <v>0</v>
      </c>
      <c r="L3397">
        <f t="shared" si="107"/>
        <v>13</v>
      </c>
    </row>
    <row r="3398" spans="1:12">
      <c r="A3398" t="s">
        <v>4178</v>
      </c>
      <c r="B3398" t="s">
        <v>357</v>
      </c>
      <c r="C3398" t="s">
        <v>2826</v>
      </c>
      <c r="D3398" t="s">
        <v>2827</v>
      </c>
      <c r="E3398">
        <v>0</v>
      </c>
      <c r="F3398">
        <v>0</v>
      </c>
      <c r="G3398">
        <v>0</v>
      </c>
      <c r="H3398">
        <f t="shared" si="106"/>
        <v>0</v>
      </c>
      <c r="I3398">
        <v>14</v>
      </c>
      <c r="J3398">
        <v>0</v>
      </c>
      <c r="K3398">
        <v>0</v>
      </c>
      <c r="L3398">
        <f t="shared" si="107"/>
        <v>14</v>
      </c>
    </row>
    <row r="3399" spans="1:12">
      <c r="A3399" t="s">
        <v>4178</v>
      </c>
      <c r="B3399" t="s">
        <v>357</v>
      </c>
      <c r="C3399" t="s">
        <v>2826</v>
      </c>
      <c r="D3399" t="s">
        <v>2828</v>
      </c>
      <c r="E3399">
        <v>0</v>
      </c>
      <c r="F3399">
        <v>0</v>
      </c>
      <c r="G3399">
        <v>0</v>
      </c>
      <c r="H3399">
        <f t="shared" si="106"/>
        <v>0</v>
      </c>
      <c r="I3399">
        <v>3</v>
      </c>
      <c r="J3399">
        <v>0</v>
      </c>
      <c r="K3399">
        <v>0</v>
      </c>
      <c r="L3399">
        <f t="shared" si="107"/>
        <v>3</v>
      </c>
    </row>
    <row r="3400" spans="1:12">
      <c r="A3400" t="s">
        <v>4178</v>
      </c>
      <c r="B3400" t="s">
        <v>357</v>
      </c>
      <c r="C3400" t="s">
        <v>2826</v>
      </c>
      <c r="D3400" t="s">
        <v>2829</v>
      </c>
      <c r="E3400">
        <v>0</v>
      </c>
      <c r="F3400">
        <v>0</v>
      </c>
      <c r="G3400">
        <v>0</v>
      </c>
      <c r="H3400">
        <f t="shared" si="106"/>
        <v>0</v>
      </c>
      <c r="I3400">
        <v>6</v>
      </c>
      <c r="J3400">
        <v>0</v>
      </c>
      <c r="K3400">
        <v>0</v>
      </c>
      <c r="L3400">
        <f t="shared" si="107"/>
        <v>6</v>
      </c>
    </row>
    <row r="3401" spans="1:12">
      <c r="A3401" t="s">
        <v>4178</v>
      </c>
      <c r="B3401" t="s">
        <v>357</v>
      </c>
      <c r="C3401" t="s">
        <v>2826</v>
      </c>
      <c r="D3401" t="s">
        <v>2891</v>
      </c>
      <c r="E3401">
        <v>0</v>
      </c>
      <c r="F3401">
        <v>0</v>
      </c>
      <c r="G3401">
        <v>0</v>
      </c>
      <c r="H3401">
        <f t="shared" si="106"/>
        <v>0</v>
      </c>
      <c r="I3401">
        <v>6</v>
      </c>
      <c r="J3401">
        <v>0</v>
      </c>
      <c r="K3401">
        <v>0</v>
      </c>
      <c r="L3401">
        <f t="shared" si="107"/>
        <v>6</v>
      </c>
    </row>
    <row r="3402" spans="1:12">
      <c r="A3402" t="s">
        <v>4178</v>
      </c>
      <c r="B3402" t="s">
        <v>357</v>
      </c>
      <c r="C3402" t="s">
        <v>2826</v>
      </c>
      <c r="D3402" t="s">
        <v>2858</v>
      </c>
      <c r="E3402">
        <v>0</v>
      </c>
      <c r="F3402">
        <v>0</v>
      </c>
      <c r="G3402">
        <v>0</v>
      </c>
      <c r="H3402">
        <f t="shared" si="106"/>
        <v>0</v>
      </c>
      <c r="I3402">
        <v>8</v>
      </c>
      <c r="J3402">
        <v>0</v>
      </c>
      <c r="K3402">
        <v>0</v>
      </c>
      <c r="L3402">
        <f t="shared" si="107"/>
        <v>8</v>
      </c>
    </row>
    <row r="3403" spans="1:12">
      <c r="A3403" t="s">
        <v>4178</v>
      </c>
      <c r="B3403" t="s">
        <v>357</v>
      </c>
      <c r="C3403" t="s">
        <v>2826</v>
      </c>
      <c r="D3403" t="s">
        <v>2830</v>
      </c>
      <c r="E3403">
        <v>0</v>
      </c>
      <c r="F3403">
        <v>0</v>
      </c>
      <c r="G3403">
        <v>0</v>
      </c>
      <c r="H3403">
        <f t="shared" si="106"/>
        <v>0</v>
      </c>
      <c r="I3403">
        <v>6</v>
      </c>
      <c r="J3403">
        <v>0</v>
      </c>
      <c r="K3403">
        <v>0</v>
      </c>
      <c r="L3403">
        <f t="shared" si="107"/>
        <v>6</v>
      </c>
    </row>
    <row r="3404" spans="1:12">
      <c r="A3404" t="s">
        <v>4178</v>
      </c>
      <c r="B3404" t="s">
        <v>357</v>
      </c>
      <c r="C3404" t="s">
        <v>2826</v>
      </c>
      <c r="D3404" t="s">
        <v>2864</v>
      </c>
      <c r="E3404">
        <v>0</v>
      </c>
      <c r="F3404">
        <v>0</v>
      </c>
      <c r="G3404">
        <v>0</v>
      </c>
      <c r="H3404">
        <f t="shared" si="106"/>
        <v>0</v>
      </c>
      <c r="I3404">
        <v>10</v>
      </c>
      <c r="J3404">
        <v>0</v>
      </c>
      <c r="K3404">
        <v>0</v>
      </c>
      <c r="L3404">
        <f t="shared" si="107"/>
        <v>10</v>
      </c>
    </row>
    <row r="3405" spans="1:12">
      <c r="A3405" t="s">
        <v>4178</v>
      </c>
      <c r="B3405" t="s">
        <v>357</v>
      </c>
      <c r="C3405" t="s">
        <v>2826</v>
      </c>
      <c r="D3405" t="s">
        <v>2843</v>
      </c>
      <c r="E3405">
        <v>0</v>
      </c>
      <c r="F3405">
        <v>0</v>
      </c>
      <c r="G3405">
        <v>0</v>
      </c>
      <c r="H3405">
        <f t="shared" si="106"/>
        <v>0</v>
      </c>
      <c r="I3405">
        <v>6</v>
      </c>
      <c r="J3405">
        <v>0</v>
      </c>
      <c r="K3405">
        <v>0</v>
      </c>
      <c r="L3405">
        <f t="shared" si="107"/>
        <v>6</v>
      </c>
    </row>
    <row r="3406" spans="1:12">
      <c r="A3406" t="s">
        <v>4178</v>
      </c>
      <c r="B3406" t="s">
        <v>357</v>
      </c>
      <c r="C3406" t="s">
        <v>2826</v>
      </c>
      <c r="D3406" t="s">
        <v>2884</v>
      </c>
      <c r="E3406">
        <v>0</v>
      </c>
      <c r="F3406">
        <v>0</v>
      </c>
      <c r="G3406">
        <v>0</v>
      </c>
      <c r="H3406">
        <f t="shared" si="106"/>
        <v>0</v>
      </c>
      <c r="I3406">
        <v>8</v>
      </c>
      <c r="J3406">
        <v>0</v>
      </c>
      <c r="K3406">
        <v>0</v>
      </c>
      <c r="L3406">
        <f t="shared" si="107"/>
        <v>8</v>
      </c>
    </row>
    <row r="3407" spans="1:12">
      <c r="A3407" t="s">
        <v>4178</v>
      </c>
      <c r="B3407" t="s">
        <v>357</v>
      </c>
      <c r="C3407" t="s">
        <v>2826</v>
      </c>
      <c r="D3407" t="s">
        <v>2885</v>
      </c>
      <c r="E3407">
        <v>0</v>
      </c>
      <c r="F3407">
        <v>0</v>
      </c>
      <c r="G3407">
        <v>0</v>
      </c>
      <c r="H3407">
        <f t="shared" si="106"/>
        <v>0</v>
      </c>
      <c r="I3407">
        <v>34</v>
      </c>
      <c r="J3407">
        <v>0</v>
      </c>
      <c r="K3407">
        <v>0</v>
      </c>
      <c r="L3407">
        <f t="shared" si="107"/>
        <v>34</v>
      </c>
    </row>
    <row r="3408" spans="1:12">
      <c r="A3408" t="s">
        <v>4178</v>
      </c>
      <c r="B3408" t="s">
        <v>357</v>
      </c>
      <c r="C3408" t="s">
        <v>2826</v>
      </c>
      <c r="D3408" t="s">
        <v>2833</v>
      </c>
      <c r="E3408">
        <v>0</v>
      </c>
      <c r="F3408">
        <v>0</v>
      </c>
      <c r="G3408">
        <v>0</v>
      </c>
      <c r="H3408">
        <f t="shared" si="106"/>
        <v>0</v>
      </c>
      <c r="I3408">
        <v>2</v>
      </c>
      <c r="J3408">
        <v>0</v>
      </c>
      <c r="K3408">
        <v>0</v>
      </c>
      <c r="L3408">
        <f t="shared" si="107"/>
        <v>2</v>
      </c>
    </row>
    <row r="3409" spans="1:12">
      <c r="A3409" t="s">
        <v>4178</v>
      </c>
      <c r="B3409" t="s">
        <v>357</v>
      </c>
      <c r="C3409" t="s">
        <v>2826</v>
      </c>
      <c r="D3409" t="s">
        <v>2834</v>
      </c>
      <c r="E3409">
        <v>0</v>
      </c>
      <c r="F3409">
        <v>0</v>
      </c>
      <c r="G3409">
        <v>0</v>
      </c>
      <c r="H3409">
        <f t="shared" si="106"/>
        <v>0</v>
      </c>
      <c r="I3409">
        <v>14</v>
      </c>
      <c r="J3409">
        <v>0</v>
      </c>
      <c r="K3409">
        <v>0</v>
      </c>
      <c r="L3409">
        <f t="shared" si="107"/>
        <v>14</v>
      </c>
    </row>
    <row r="3410" spans="1:12">
      <c r="A3410" t="s">
        <v>4178</v>
      </c>
      <c r="B3410" t="s">
        <v>357</v>
      </c>
      <c r="C3410" t="s">
        <v>2826</v>
      </c>
      <c r="D3410" t="s">
        <v>2886</v>
      </c>
      <c r="E3410">
        <v>0</v>
      </c>
      <c r="F3410">
        <v>0</v>
      </c>
      <c r="G3410">
        <v>0</v>
      </c>
      <c r="H3410">
        <f t="shared" si="106"/>
        <v>0</v>
      </c>
      <c r="I3410">
        <v>6</v>
      </c>
      <c r="J3410">
        <v>0</v>
      </c>
      <c r="K3410">
        <v>0</v>
      </c>
      <c r="L3410">
        <f t="shared" si="107"/>
        <v>6</v>
      </c>
    </row>
    <row r="3411" spans="1:12">
      <c r="A3411" t="s">
        <v>4178</v>
      </c>
      <c r="B3411" t="s">
        <v>357</v>
      </c>
      <c r="C3411" t="s">
        <v>2826</v>
      </c>
      <c r="D3411" t="s">
        <v>2835</v>
      </c>
      <c r="E3411">
        <v>0</v>
      </c>
      <c r="F3411">
        <v>0</v>
      </c>
      <c r="G3411">
        <v>0</v>
      </c>
      <c r="H3411">
        <f t="shared" si="106"/>
        <v>0</v>
      </c>
      <c r="I3411">
        <v>4</v>
      </c>
      <c r="J3411">
        <v>0</v>
      </c>
      <c r="K3411">
        <v>0</v>
      </c>
      <c r="L3411">
        <f t="shared" si="107"/>
        <v>4</v>
      </c>
    </row>
    <row r="3412" spans="1:12">
      <c r="A3412" t="s">
        <v>4178</v>
      </c>
      <c r="B3412" t="s">
        <v>357</v>
      </c>
      <c r="C3412" t="s">
        <v>2826</v>
      </c>
      <c r="D3412" t="s">
        <v>2849</v>
      </c>
      <c r="E3412">
        <v>0</v>
      </c>
      <c r="F3412">
        <v>0</v>
      </c>
      <c r="G3412">
        <v>0</v>
      </c>
      <c r="H3412">
        <f t="shared" si="106"/>
        <v>0</v>
      </c>
      <c r="I3412">
        <v>24</v>
      </c>
      <c r="J3412">
        <v>0</v>
      </c>
      <c r="K3412">
        <v>0</v>
      </c>
      <c r="L3412">
        <f t="shared" si="107"/>
        <v>24</v>
      </c>
    </row>
    <row r="3413" spans="1:12">
      <c r="A3413" t="s">
        <v>4178</v>
      </c>
      <c r="B3413" t="s">
        <v>357</v>
      </c>
      <c r="C3413" t="s">
        <v>2826</v>
      </c>
      <c r="D3413" t="s">
        <v>2906</v>
      </c>
      <c r="E3413">
        <v>0</v>
      </c>
      <c r="F3413">
        <v>0</v>
      </c>
      <c r="G3413">
        <v>0</v>
      </c>
      <c r="H3413">
        <f t="shared" si="106"/>
        <v>0</v>
      </c>
      <c r="I3413">
        <v>3</v>
      </c>
      <c r="J3413">
        <v>0</v>
      </c>
      <c r="K3413">
        <v>0</v>
      </c>
      <c r="L3413">
        <f t="shared" si="107"/>
        <v>3</v>
      </c>
    </row>
    <row r="3414" spans="1:12">
      <c r="A3414" t="s">
        <v>4178</v>
      </c>
      <c r="B3414" t="s">
        <v>357</v>
      </c>
      <c r="C3414" t="s">
        <v>2826</v>
      </c>
      <c r="D3414" t="s">
        <v>2836</v>
      </c>
      <c r="E3414">
        <v>0</v>
      </c>
      <c r="F3414">
        <v>0</v>
      </c>
      <c r="G3414">
        <v>0</v>
      </c>
      <c r="H3414">
        <f t="shared" si="106"/>
        <v>0</v>
      </c>
      <c r="I3414">
        <v>8</v>
      </c>
      <c r="J3414">
        <v>0</v>
      </c>
      <c r="K3414">
        <v>0</v>
      </c>
      <c r="L3414">
        <f t="shared" si="107"/>
        <v>8</v>
      </c>
    </row>
    <row r="3415" spans="1:12">
      <c r="A3415" t="s">
        <v>4179</v>
      </c>
      <c r="B3415" t="s">
        <v>1710</v>
      </c>
      <c r="C3415" t="s">
        <v>2805</v>
      </c>
      <c r="D3415" t="s">
        <v>449</v>
      </c>
      <c r="E3415">
        <v>11</v>
      </c>
      <c r="F3415">
        <v>0</v>
      </c>
      <c r="G3415">
        <v>0</v>
      </c>
      <c r="H3415">
        <f t="shared" si="106"/>
        <v>11</v>
      </c>
      <c r="I3415">
        <v>0</v>
      </c>
      <c r="J3415">
        <v>0</v>
      </c>
      <c r="K3415">
        <v>0</v>
      </c>
      <c r="L3415">
        <f t="shared" si="107"/>
        <v>0</v>
      </c>
    </row>
    <row r="3416" spans="1:12">
      <c r="A3416" t="s">
        <v>4179</v>
      </c>
      <c r="B3416" t="s">
        <v>1710</v>
      </c>
      <c r="C3416" t="s">
        <v>2805</v>
      </c>
      <c r="D3416" t="s">
        <v>2807</v>
      </c>
      <c r="E3416">
        <v>2</v>
      </c>
      <c r="F3416">
        <v>0</v>
      </c>
      <c r="G3416">
        <v>0</v>
      </c>
      <c r="H3416">
        <f t="shared" si="106"/>
        <v>2</v>
      </c>
      <c r="I3416">
        <v>0</v>
      </c>
      <c r="J3416">
        <v>0</v>
      </c>
      <c r="K3416">
        <v>0</v>
      </c>
      <c r="L3416">
        <f t="shared" si="107"/>
        <v>0</v>
      </c>
    </row>
    <row r="3417" spans="1:12">
      <c r="A3417" t="s">
        <v>4179</v>
      </c>
      <c r="B3417" t="s">
        <v>1710</v>
      </c>
      <c r="C3417" t="s">
        <v>2810</v>
      </c>
      <c r="D3417" t="s">
        <v>2811</v>
      </c>
      <c r="E3417">
        <v>2</v>
      </c>
      <c r="F3417">
        <v>0</v>
      </c>
      <c r="G3417">
        <v>0</v>
      </c>
      <c r="H3417">
        <f t="shared" si="106"/>
        <v>2</v>
      </c>
      <c r="I3417">
        <v>0</v>
      </c>
      <c r="J3417">
        <v>0</v>
      </c>
      <c r="K3417">
        <v>0</v>
      </c>
      <c r="L3417">
        <f t="shared" si="107"/>
        <v>0</v>
      </c>
    </row>
    <row r="3418" spans="1:12">
      <c r="A3418" t="s">
        <v>4186</v>
      </c>
      <c r="B3418" t="s">
        <v>1729</v>
      </c>
      <c r="C3418" t="s">
        <v>2805</v>
      </c>
      <c r="D3418" t="s">
        <v>2806</v>
      </c>
      <c r="E3418">
        <v>11</v>
      </c>
      <c r="F3418">
        <v>0</v>
      </c>
      <c r="G3418">
        <v>0</v>
      </c>
      <c r="H3418">
        <f t="shared" si="106"/>
        <v>11</v>
      </c>
      <c r="I3418">
        <v>0</v>
      </c>
      <c r="J3418">
        <v>0</v>
      </c>
      <c r="K3418">
        <v>0</v>
      </c>
      <c r="L3418">
        <f t="shared" si="107"/>
        <v>0</v>
      </c>
    </row>
    <row r="3419" spans="1:12">
      <c r="A3419" t="s">
        <v>4186</v>
      </c>
      <c r="B3419" t="s">
        <v>1729</v>
      </c>
      <c r="C3419" t="s">
        <v>2805</v>
      </c>
      <c r="D3419" t="s">
        <v>449</v>
      </c>
      <c r="E3419">
        <v>66</v>
      </c>
      <c r="F3419">
        <v>0</v>
      </c>
      <c r="G3419">
        <v>0</v>
      </c>
      <c r="H3419">
        <f t="shared" si="106"/>
        <v>66</v>
      </c>
      <c r="I3419">
        <v>1</v>
      </c>
      <c r="J3419">
        <v>0</v>
      </c>
      <c r="K3419">
        <v>0</v>
      </c>
      <c r="L3419">
        <f t="shared" si="107"/>
        <v>1</v>
      </c>
    </row>
    <row r="3420" spans="1:12">
      <c r="A3420" t="s">
        <v>4186</v>
      </c>
      <c r="B3420" t="s">
        <v>1729</v>
      </c>
      <c r="C3420" t="s">
        <v>2805</v>
      </c>
      <c r="D3420" t="s">
        <v>2807</v>
      </c>
      <c r="E3420">
        <v>29</v>
      </c>
      <c r="F3420">
        <v>0</v>
      </c>
      <c r="G3420">
        <v>0</v>
      </c>
      <c r="H3420">
        <f t="shared" si="106"/>
        <v>29</v>
      </c>
      <c r="I3420">
        <v>1</v>
      </c>
      <c r="J3420">
        <v>0</v>
      </c>
      <c r="K3420">
        <v>0</v>
      </c>
      <c r="L3420">
        <f t="shared" si="107"/>
        <v>1</v>
      </c>
    </row>
    <row r="3421" spans="1:12">
      <c r="A3421" t="s">
        <v>4186</v>
      </c>
      <c r="B3421" t="s">
        <v>1729</v>
      </c>
      <c r="C3421" t="s">
        <v>2810</v>
      </c>
      <c r="D3421" t="s">
        <v>2813</v>
      </c>
      <c r="E3421">
        <v>9</v>
      </c>
      <c r="F3421">
        <v>0</v>
      </c>
      <c r="G3421">
        <v>0</v>
      </c>
      <c r="H3421">
        <f t="shared" si="106"/>
        <v>9</v>
      </c>
      <c r="I3421">
        <v>0</v>
      </c>
      <c r="J3421">
        <v>0</v>
      </c>
      <c r="K3421">
        <v>0</v>
      </c>
      <c r="L3421">
        <f t="shared" si="107"/>
        <v>0</v>
      </c>
    </row>
    <row r="3422" spans="1:12">
      <c r="A3422" t="s">
        <v>4186</v>
      </c>
      <c r="B3422" t="s">
        <v>1729</v>
      </c>
      <c r="C3422" t="s">
        <v>2810</v>
      </c>
      <c r="D3422" t="s">
        <v>2814</v>
      </c>
      <c r="E3422">
        <v>18</v>
      </c>
      <c r="F3422">
        <v>0</v>
      </c>
      <c r="G3422">
        <v>0</v>
      </c>
      <c r="H3422">
        <f t="shared" si="106"/>
        <v>18</v>
      </c>
      <c r="I3422">
        <v>0</v>
      </c>
      <c r="J3422">
        <v>0</v>
      </c>
      <c r="K3422">
        <v>0</v>
      </c>
      <c r="L3422">
        <f t="shared" si="107"/>
        <v>0</v>
      </c>
    </row>
    <row r="3423" spans="1:12">
      <c r="A3423" t="s">
        <v>4186</v>
      </c>
      <c r="B3423" t="s">
        <v>1729</v>
      </c>
      <c r="C3423" t="s">
        <v>2810</v>
      </c>
      <c r="D3423" t="s">
        <v>2815</v>
      </c>
      <c r="E3423">
        <v>2</v>
      </c>
      <c r="F3423">
        <v>0</v>
      </c>
      <c r="G3423">
        <v>0</v>
      </c>
      <c r="H3423">
        <f t="shared" si="106"/>
        <v>2</v>
      </c>
      <c r="I3423">
        <v>0</v>
      </c>
      <c r="J3423">
        <v>0</v>
      </c>
      <c r="K3423">
        <v>0</v>
      </c>
      <c r="L3423">
        <f t="shared" si="107"/>
        <v>0</v>
      </c>
    </row>
    <row r="3424" spans="1:12">
      <c r="A3424" t="s">
        <v>4186</v>
      </c>
      <c r="B3424" t="s">
        <v>1729</v>
      </c>
      <c r="C3424" t="s">
        <v>2826</v>
      </c>
      <c r="D3424" t="s">
        <v>2827</v>
      </c>
      <c r="E3424">
        <v>0</v>
      </c>
      <c r="F3424">
        <v>0</v>
      </c>
      <c r="G3424">
        <v>0</v>
      </c>
      <c r="H3424">
        <f t="shared" si="106"/>
        <v>0</v>
      </c>
      <c r="I3424">
        <v>1</v>
      </c>
      <c r="J3424">
        <v>0</v>
      </c>
      <c r="K3424">
        <v>0</v>
      </c>
      <c r="L3424">
        <f t="shared" si="107"/>
        <v>1</v>
      </c>
    </row>
    <row r="3425" spans="1:12">
      <c r="A3425" t="s">
        <v>4186</v>
      </c>
      <c r="B3425" t="s">
        <v>1729</v>
      </c>
      <c r="C3425" t="s">
        <v>2826</v>
      </c>
      <c r="D3425" t="s">
        <v>2830</v>
      </c>
      <c r="E3425">
        <v>2</v>
      </c>
      <c r="F3425">
        <v>0</v>
      </c>
      <c r="G3425">
        <v>0</v>
      </c>
      <c r="H3425">
        <f t="shared" si="106"/>
        <v>2</v>
      </c>
      <c r="I3425">
        <v>0</v>
      </c>
      <c r="J3425">
        <v>0</v>
      </c>
      <c r="K3425">
        <v>0</v>
      </c>
      <c r="L3425">
        <f t="shared" si="107"/>
        <v>0</v>
      </c>
    </row>
    <row r="3426" spans="1:12">
      <c r="A3426" t="s">
        <v>4186</v>
      </c>
      <c r="B3426" t="s">
        <v>1729</v>
      </c>
      <c r="C3426" t="s">
        <v>2826</v>
      </c>
      <c r="D3426" t="s">
        <v>2843</v>
      </c>
      <c r="E3426">
        <v>4</v>
      </c>
      <c r="F3426">
        <v>0</v>
      </c>
      <c r="G3426">
        <v>0</v>
      </c>
      <c r="H3426">
        <f t="shared" si="106"/>
        <v>4</v>
      </c>
      <c r="I3426">
        <v>1</v>
      </c>
      <c r="J3426">
        <v>0</v>
      </c>
      <c r="K3426">
        <v>0</v>
      </c>
      <c r="L3426">
        <f t="shared" si="107"/>
        <v>1</v>
      </c>
    </row>
    <row r="3427" spans="1:12">
      <c r="A3427" t="s">
        <v>4186</v>
      </c>
      <c r="B3427" t="s">
        <v>1729</v>
      </c>
      <c r="C3427" t="s">
        <v>2826</v>
      </c>
      <c r="D3427" t="s">
        <v>2834</v>
      </c>
      <c r="E3427">
        <v>2</v>
      </c>
      <c r="F3427">
        <v>0</v>
      </c>
      <c r="G3427">
        <v>0</v>
      </c>
      <c r="H3427">
        <f t="shared" si="106"/>
        <v>2</v>
      </c>
      <c r="I3427">
        <v>1</v>
      </c>
      <c r="J3427">
        <v>0</v>
      </c>
      <c r="K3427">
        <v>0</v>
      </c>
      <c r="L3427">
        <f t="shared" si="107"/>
        <v>1</v>
      </c>
    </row>
    <row r="3428" spans="1:12">
      <c r="A3428" t="s">
        <v>4186</v>
      </c>
      <c r="B3428" t="s">
        <v>1729</v>
      </c>
      <c r="C3428" t="s">
        <v>2817</v>
      </c>
      <c r="D3428" t="s">
        <v>2837</v>
      </c>
      <c r="E3428">
        <v>7</v>
      </c>
      <c r="F3428">
        <v>0</v>
      </c>
      <c r="G3428">
        <v>0</v>
      </c>
      <c r="H3428">
        <f t="shared" si="106"/>
        <v>7</v>
      </c>
      <c r="I3428">
        <v>0</v>
      </c>
      <c r="J3428">
        <v>0</v>
      </c>
      <c r="K3428">
        <v>0</v>
      </c>
      <c r="L3428">
        <f t="shared" si="107"/>
        <v>0</v>
      </c>
    </row>
    <row r="3429" spans="1:12">
      <c r="A3429" t="s">
        <v>4186</v>
      </c>
      <c r="B3429" t="s">
        <v>1729</v>
      </c>
      <c r="C3429" t="s">
        <v>2820</v>
      </c>
      <c r="D3429" t="s">
        <v>2821</v>
      </c>
      <c r="E3429">
        <v>2</v>
      </c>
      <c r="F3429">
        <v>0</v>
      </c>
      <c r="G3429">
        <v>0</v>
      </c>
      <c r="H3429">
        <f t="shared" si="106"/>
        <v>2</v>
      </c>
      <c r="I3429">
        <v>0</v>
      </c>
      <c r="J3429">
        <v>0</v>
      </c>
      <c r="K3429">
        <v>0</v>
      </c>
      <c r="L3429">
        <f t="shared" si="107"/>
        <v>0</v>
      </c>
    </row>
    <row r="3430" spans="1:12">
      <c r="A3430" t="s">
        <v>4193</v>
      </c>
      <c r="B3430" t="s">
        <v>1730</v>
      </c>
      <c r="C3430" t="s">
        <v>2805</v>
      </c>
      <c r="D3430" t="s">
        <v>2806</v>
      </c>
      <c r="E3430">
        <v>4</v>
      </c>
      <c r="F3430">
        <v>0</v>
      </c>
      <c r="G3430">
        <v>0</v>
      </c>
      <c r="H3430">
        <f t="shared" si="106"/>
        <v>4</v>
      </c>
      <c r="I3430">
        <v>0</v>
      </c>
      <c r="J3430">
        <v>0</v>
      </c>
      <c r="K3430">
        <v>0</v>
      </c>
      <c r="L3430">
        <f t="shared" si="107"/>
        <v>0</v>
      </c>
    </row>
    <row r="3431" spans="1:12">
      <c r="A3431" t="s">
        <v>4193</v>
      </c>
      <c r="B3431" t="s">
        <v>1730</v>
      </c>
      <c r="C3431" t="s">
        <v>2805</v>
      </c>
      <c r="D3431" t="s">
        <v>449</v>
      </c>
      <c r="E3431">
        <v>11</v>
      </c>
      <c r="F3431">
        <v>0</v>
      </c>
      <c r="G3431">
        <v>0</v>
      </c>
      <c r="H3431">
        <f t="shared" si="106"/>
        <v>11</v>
      </c>
      <c r="I3431">
        <v>2</v>
      </c>
      <c r="J3431">
        <v>0</v>
      </c>
      <c r="K3431">
        <v>0</v>
      </c>
      <c r="L3431">
        <f t="shared" si="107"/>
        <v>2</v>
      </c>
    </row>
    <row r="3432" spans="1:12">
      <c r="A3432" t="s">
        <v>4193</v>
      </c>
      <c r="B3432" t="s">
        <v>1730</v>
      </c>
      <c r="C3432" t="s">
        <v>2805</v>
      </c>
      <c r="D3432" t="s">
        <v>2807</v>
      </c>
      <c r="E3432">
        <v>1</v>
      </c>
      <c r="F3432">
        <v>0</v>
      </c>
      <c r="G3432">
        <v>0</v>
      </c>
      <c r="H3432">
        <f t="shared" si="106"/>
        <v>1</v>
      </c>
      <c r="I3432">
        <v>0</v>
      </c>
      <c r="J3432">
        <v>0</v>
      </c>
      <c r="K3432">
        <v>0</v>
      </c>
      <c r="L3432">
        <f t="shared" si="107"/>
        <v>0</v>
      </c>
    </row>
    <row r="3433" spans="1:12">
      <c r="A3433" t="s">
        <v>4193</v>
      </c>
      <c r="B3433" t="s">
        <v>1730</v>
      </c>
      <c r="C3433" t="s">
        <v>2810</v>
      </c>
      <c r="D3433" t="s">
        <v>2811</v>
      </c>
      <c r="E3433">
        <v>6</v>
      </c>
      <c r="F3433">
        <v>0</v>
      </c>
      <c r="G3433">
        <v>0</v>
      </c>
      <c r="H3433">
        <f t="shared" si="106"/>
        <v>6</v>
      </c>
      <c r="I3433">
        <v>0</v>
      </c>
      <c r="J3433">
        <v>0</v>
      </c>
      <c r="K3433">
        <v>0</v>
      </c>
      <c r="L3433">
        <f t="shared" si="107"/>
        <v>0</v>
      </c>
    </row>
    <row r="3434" spans="1:12">
      <c r="A3434" t="s">
        <v>4193</v>
      </c>
      <c r="B3434" t="s">
        <v>1730</v>
      </c>
      <c r="C3434" t="s">
        <v>2810</v>
      </c>
      <c r="D3434" t="s">
        <v>2812</v>
      </c>
      <c r="E3434">
        <v>5</v>
      </c>
      <c r="F3434">
        <v>0</v>
      </c>
      <c r="G3434">
        <v>0</v>
      </c>
      <c r="H3434">
        <f t="shared" si="106"/>
        <v>5</v>
      </c>
      <c r="I3434">
        <v>0</v>
      </c>
      <c r="J3434">
        <v>0</v>
      </c>
      <c r="K3434">
        <v>0</v>
      </c>
      <c r="L3434">
        <f t="shared" si="107"/>
        <v>0</v>
      </c>
    </row>
    <row r="3435" spans="1:12">
      <c r="A3435" t="s">
        <v>4212</v>
      </c>
      <c r="B3435" t="s">
        <v>1722</v>
      </c>
      <c r="C3435" t="s">
        <v>2805</v>
      </c>
      <c r="D3435" t="s">
        <v>2806</v>
      </c>
      <c r="E3435">
        <v>13</v>
      </c>
      <c r="F3435">
        <v>0</v>
      </c>
      <c r="G3435">
        <v>0</v>
      </c>
      <c r="H3435">
        <f t="shared" si="106"/>
        <v>13</v>
      </c>
      <c r="I3435">
        <v>0</v>
      </c>
      <c r="J3435">
        <v>0</v>
      </c>
      <c r="K3435">
        <v>0</v>
      </c>
      <c r="L3435">
        <f t="shared" si="107"/>
        <v>0</v>
      </c>
    </row>
    <row r="3436" spans="1:12">
      <c r="A3436" t="s">
        <v>4212</v>
      </c>
      <c r="B3436" t="s">
        <v>1722</v>
      </c>
      <c r="C3436" t="s">
        <v>2805</v>
      </c>
      <c r="D3436" t="s">
        <v>449</v>
      </c>
      <c r="E3436">
        <v>5</v>
      </c>
      <c r="F3436">
        <v>0</v>
      </c>
      <c r="G3436">
        <v>0</v>
      </c>
      <c r="H3436">
        <f t="shared" si="106"/>
        <v>5</v>
      </c>
      <c r="I3436">
        <v>0</v>
      </c>
      <c r="J3436">
        <v>0</v>
      </c>
      <c r="K3436">
        <v>0</v>
      </c>
      <c r="L3436">
        <f t="shared" si="107"/>
        <v>0</v>
      </c>
    </row>
    <row r="3437" spans="1:12">
      <c r="A3437" t="s">
        <v>4212</v>
      </c>
      <c r="B3437" t="s">
        <v>1722</v>
      </c>
      <c r="C3437" t="s">
        <v>2805</v>
      </c>
      <c r="D3437" t="s">
        <v>2807</v>
      </c>
      <c r="E3437">
        <v>1</v>
      </c>
      <c r="F3437">
        <v>0</v>
      </c>
      <c r="G3437">
        <v>0</v>
      </c>
      <c r="H3437">
        <f t="shared" si="106"/>
        <v>1</v>
      </c>
      <c r="I3437">
        <v>0</v>
      </c>
      <c r="J3437">
        <v>0</v>
      </c>
      <c r="K3437">
        <v>0</v>
      </c>
      <c r="L3437">
        <f t="shared" si="107"/>
        <v>0</v>
      </c>
    </row>
    <row r="3438" spans="1:12">
      <c r="A3438" t="s">
        <v>4212</v>
      </c>
      <c r="B3438" t="s">
        <v>1722</v>
      </c>
      <c r="C3438" t="s">
        <v>2810</v>
      </c>
      <c r="D3438" t="s">
        <v>2811</v>
      </c>
      <c r="E3438">
        <v>3</v>
      </c>
      <c r="F3438">
        <v>0</v>
      </c>
      <c r="G3438">
        <v>0</v>
      </c>
      <c r="H3438">
        <f t="shared" si="106"/>
        <v>3</v>
      </c>
      <c r="I3438">
        <v>0</v>
      </c>
      <c r="J3438">
        <v>0</v>
      </c>
      <c r="K3438">
        <v>0</v>
      </c>
      <c r="L3438">
        <f t="shared" si="107"/>
        <v>0</v>
      </c>
    </row>
    <row r="3439" spans="1:12">
      <c r="A3439" t="s">
        <v>4212</v>
      </c>
      <c r="B3439" t="s">
        <v>1722</v>
      </c>
      <c r="C3439" t="s">
        <v>2810</v>
      </c>
      <c r="D3439" t="s">
        <v>2812</v>
      </c>
      <c r="E3439">
        <v>13</v>
      </c>
      <c r="F3439">
        <v>0</v>
      </c>
      <c r="G3439">
        <v>0</v>
      </c>
      <c r="H3439">
        <f t="shared" si="106"/>
        <v>13</v>
      </c>
      <c r="I3439">
        <v>5</v>
      </c>
      <c r="J3439">
        <v>0</v>
      </c>
      <c r="K3439">
        <v>0</v>
      </c>
      <c r="L3439">
        <f t="shared" si="107"/>
        <v>5</v>
      </c>
    </row>
    <row r="3440" spans="1:12">
      <c r="A3440" t="s">
        <v>4212</v>
      </c>
      <c r="B3440" t="s">
        <v>1722</v>
      </c>
      <c r="C3440" t="s">
        <v>2810</v>
      </c>
      <c r="D3440" t="s">
        <v>2813</v>
      </c>
      <c r="E3440">
        <v>6</v>
      </c>
      <c r="F3440">
        <v>0</v>
      </c>
      <c r="G3440">
        <v>0</v>
      </c>
      <c r="H3440">
        <f t="shared" si="106"/>
        <v>6</v>
      </c>
      <c r="I3440">
        <v>0</v>
      </c>
      <c r="J3440">
        <v>0</v>
      </c>
      <c r="K3440">
        <v>0</v>
      </c>
      <c r="L3440">
        <f t="shared" si="107"/>
        <v>0</v>
      </c>
    </row>
    <row r="3441" spans="1:12">
      <c r="A3441" t="s">
        <v>4212</v>
      </c>
      <c r="B3441" t="s">
        <v>1722</v>
      </c>
      <c r="C3441" t="s">
        <v>2810</v>
      </c>
      <c r="D3441" t="s">
        <v>2847</v>
      </c>
      <c r="E3441">
        <v>33</v>
      </c>
      <c r="F3441">
        <v>0</v>
      </c>
      <c r="G3441">
        <v>0</v>
      </c>
      <c r="H3441">
        <f t="shared" si="106"/>
        <v>33</v>
      </c>
      <c r="I3441">
        <v>0</v>
      </c>
      <c r="J3441">
        <v>0</v>
      </c>
      <c r="K3441">
        <v>0</v>
      </c>
      <c r="L3441">
        <f t="shared" si="107"/>
        <v>0</v>
      </c>
    </row>
    <row r="3442" spans="1:12">
      <c r="A3442" t="s">
        <v>4212</v>
      </c>
      <c r="B3442" t="s">
        <v>1722</v>
      </c>
      <c r="C3442" t="s">
        <v>2810</v>
      </c>
      <c r="D3442" t="s">
        <v>2815</v>
      </c>
      <c r="E3442">
        <v>3</v>
      </c>
      <c r="F3442">
        <v>0</v>
      </c>
      <c r="G3442">
        <v>0</v>
      </c>
      <c r="H3442">
        <f t="shared" si="106"/>
        <v>3</v>
      </c>
      <c r="I3442">
        <v>0</v>
      </c>
      <c r="J3442">
        <v>0</v>
      </c>
      <c r="K3442">
        <v>0</v>
      </c>
      <c r="L3442">
        <f t="shared" si="107"/>
        <v>0</v>
      </c>
    </row>
    <row r="3443" spans="1:12">
      <c r="A3443" t="s">
        <v>4215</v>
      </c>
      <c r="B3443" t="s">
        <v>1718</v>
      </c>
      <c r="C3443" t="s">
        <v>2805</v>
      </c>
      <c r="D3443" t="s">
        <v>2806</v>
      </c>
      <c r="E3443">
        <v>38</v>
      </c>
      <c r="F3443">
        <v>0</v>
      </c>
      <c r="G3443">
        <v>0</v>
      </c>
      <c r="H3443">
        <f t="shared" si="106"/>
        <v>38</v>
      </c>
      <c r="I3443">
        <v>0</v>
      </c>
      <c r="J3443">
        <v>0</v>
      </c>
      <c r="K3443">
        <v>0</v>
      </c>
      <c r="L3443">
        <f t="shared" si="107"/>
        <v>0</v>
      </c>
    </row>
    <row r="3444" spans="1:12">
      <c r="A3444" t="s">
        <v>4215</v>
      </c>
      <c r="B3444" t="s">
        <v>1718</v>
      </c>
      <c r="C3444" t="s">
        <v>2805</v>
      </c>
      <c r="D3444" t="s">
        <v>449</v>
      </c>
      <c r="E3444">
        <v>137</v>
      </c>
      <c r="F3444">
        <v>0</v>
      </c>
      <c r="G3444">
        <v>0</v>
      </c>
      <c r="H3444">
        <f t="shared" si="106"/>
        <v>137</v>
      </c>
      <c r="I3444">
        <v>0</v>
      </c>
      <c r="J3444">
        <v>0</v>
      </c>
      <c r="K3444">
        <v>0</v>
      </c>
      <c r="L3444">
        <f t="shared" si="107"/>
        <v>0</v>
      </c>
    </row>
    <row r="3445" spans="1:12">
      <c r="A3445" t="s">
        <v>4215</v>
      </c>
      <c r="B3445" t="s">
        <v>1718</v>
      </c>
      <c r="C3445" t="s">
        <v>2805</v>
      </c>
      <c r="D3445" t="s">
        <v>2807</v>
      </c>
      <c r="E3445">
        <v>5</v>
      </c>
      <c r="F3445">
        <v>0</v>
      </c>
      <c r="G3445">
        <v>0</v>
      </c>
      <c r="H3445">
        <f t="shared" si="106"/>
        <v>5</v>
      </c>
      <c r="I3445">
        <v>0</v>
      </c>
      <c r="J3445">
        <v>0</v>
      </c>
      <c r="K3445">
        <v>0</v>
      </c>
      <c r="L3445">
        <f t="shared" si="107"/>
        <v>0</v>
      </c>
    </row>
    <row r="3446" spans="1:12">
      <c r="A3446" t="s">
        <v>4215</v>
      </c>
      <c r="B3446" t="s">
        <v>1718</v>
      </c>
      <c r="C3446" t="s">
        <v>2810</v>
      </c>
      <c r="D3446" t="s">
        <v>2811</v>
      </c>
      <c r="E3446">
        <v>19</v>
      </c>
      <c r="F3446">
        <v>0</v>
      </c>
      <c r="G3446">
        <v>0</v>
      </c>
      <c r="H3446">
        <f t="shared" si="106"/>
        <v>19</v>
      </c>
      <c r="I3446">
        <v>0</v>
      </c>
      <c r="J3446">
        <v>0</v>
      </c>
      <c r="K3446">
        <v>0</v>
      </c>
      <c r="L3446">
        <f t="shared" si="107"/>
        <v>0</v>
      </c>
    </row>
    <row r="3447" spans="1:12">
      <c r="A3447" t="s">
        <v>4215</v>
      </c>
      <c r="B3447" t="s">
        <v>1718</v>
      </c>
      <c r="C3447" t="s">
        <v>2816</v>
      </c>
      <c r="D3447" t="s">
        <v>1897</v>
      </c>
      <c r="E3447">
        <v>3</v>
      </c>
      <c r="F3447">
        <v>0</v>
      </c>
      <c r="G3447">
        <v>0</v>
      </c>
      <c r="H3447">
        <f t="shared" si="106"/>
        <v>3</v>
      </c>
      <c r="I3447">
        <v>0</v>
      </c>
      <c r="J3447">
        <v>0</v>
      </c>
      <c r="K3447">
        <v>0</v>
      </c>
      <c r="L3447">
        <f t="shared" si="107"/>
        <v>0</v>
      </c>
    </row>
    <row r="3448" spans="1:12">
      <c r="A3448" t="s">
        <v>4215</v>
      </c>
      <c r="B3448" t="s">
        <v>1718</v>
      </c>
      <c r="C3448" t="s">
        <v>2826</v>
      </c>
      <c r="D3448" t="s">
        <v>2829</v>
      </c>
      <c r="E3448">
        <v>0</v>
      </c>
      <c r="F3448">
        <v>0</v>
      </c>
      <c r="G3448">
        <v>0</v>
      </c>
      <c r="H3448">
        <f t="shared" si="106"/>
        <v>0</v>
      </c>
      <c r="I3448">
        <v>1</v>
      </c>
      <c r="J3448">
        <v>0</v>
      </c>
      <c r="K3448">
        <v>0</v>
      </c>
      <c r="L3448">
        <f t="shared" si="107"/>
        <v>1</v>
      </c>
    </row>
    <row r="3449" spans="1:12">
      <c r="A3449" t="s">
        <v>4215</v>
      </c>
      <c r="B3449" t="s">
        <v>1718</v>
      </c>
      <c r="C3449" t="s">
        <v>2817</v>
      </c>
      <c r="D3449" t="s">
        <v>2837</v>
      </c>
      <c r="E3449">
        <v>3</v>
      </c>
      <c r="F3449">
        <v>0</v>
      </c>
      <c r="G3449">
        <v>0</v>
      </c>
      <c r="H3449">
        <f t="shared" si="106"/>
        <v>3</v>
      </c>
      <c r="I3449">
        <v>0</v>
      </c>
      <c r="J3449">
        <v>0</v>
      </c>
      <c r="K3449">
        <v>0</v>
      </c>
      <c r="L3449">
        <f t="shared" si="107"/>
        <v>0</v>
      </c>
    </row>
    <row r="3450" spans="1:12">
      <c r="A3450" t="s">
        <v>4216</v>
      </c>
      <c r="B3450" t="s">
        <v>1743</v>
      </c>
      <c r="C3450" t="s">
        <v>2805</v>
      </c>
      <c r="D3450" t="s">
        <v>2806</v>
      </c>
      <c r="E3450">
        <v>25</v>
      </c>
      <c r="F3450">
        <v>0</v>
      </c>
      <c r="G3450">
        <v>0</v>
      </c>
      <c r="H3450">
        <f t="shared" si="106"/>
        <v>25</v>
      </c>
      <c r="I3450">
        <v>7</v>
      </c>
      <c r="J3450">
        <v>0</v>
      </c>
      <c r="K3450">
        <v>0</v>
      </c>
      <c r="L3450">
        <f t="shared" si="107"/>
        <v>7</v>
      </c>
    </row>
    <row r="3451" spans="1:12">
      <c r="A3451" t="s">
        <v>4216</v>
      </c>
      <c r="B3451" t="s">
        <v>1743</v>
      </c>
      <c r="C3451" t="s">
        <v>2805</v>
      </c>
      <c r="D3451" t="s">
        <v>449</v>
      </c>
      <c r="E3451">
        <v>71</v>
      </c>
      <c r="F3451">
        <v>0</v>
      </c>
      <c r="G3451">
        <v>0</v>
      </c>
      <c r="H3451">
        <f t="shared" si="106"/>
        <v>71</v>
      </c>
      <c r="I3451">
        <v>40</v>
      </c>
      <c r="J3451">
        <v>0</v>
      </c>
      <c r="K3451">
        <v>0</v>
      </c>
      <c r="L3451">
        <f t="shared" si="107"/>
        <v>40</v>
      </c>
    </row>
    <row r="3452" spans="1:12">
      <c r="A3452" t="s">
        <v>4216</v>
      </c>
      <c r="B3452" t="s">
        <v>1743</v>
      </c>
      <c r="C3452" t="s">
        <v>2805</v>
      </c>
      <c r="D3452" t="s">
        <v>2807</v>
      </c>
      <c r="E3452">
        <v>2</v>
      </c>
      <c r="F3452">
        <v>0</v>
      </c>
      <c r="G3452">
        <v>0</v>
      </c>
      <c r="H3452">
        <f t="shared" si="106"/>
        <v>2</v>
      </c>
      <c r="I3452">
        <v>1</v>
      </c>
      <c r="J3452">
        <v>0</v>
      </c>
      <c r="K3452">
        <v>0</v>
      </c>
      <c r="L3452">
        <f t="shared" si="107"/>
        <v>1</v>
      </c>
    </row>
    <row r="3453" spans="1:12">
      <c r="A3453" t="s">
        <v>4216</v>
      </c>
      <c r="B3453" t="s">
        <v>1743</v>
      </c>
      <c r="C3453" t="s">
        <v>2805</v>
      </c>
      <c r="D3453" t="s">
        <v>442</v>
      </c>
      <c r="E3453">
        <v>0</v>
      </c>
      <c r="F3453">
        <v>0</v>
      </c>
      <c r="G3453">
        <v>0</v>
      </c>
      <c r="H3453">
        <f t="shared" si="106"/>
        <v>0</v>
      </c>
      <c r="I3453">
        <v>1</v>
      </c>
      <c r="J3453">
        <v>0</v>
      </c>
      <c r="K3453">
        <v>0</v>
      </c>
      <c r="L3453">
        <f t="shared" si="107"/>
        <v>1</v>
      </c>
    </row>
    <row r="3454" spans="1:12">
      <c r="A3454" t="s">
        <v>4216</v>
      </c>
      <c r="B3454" t="s">
        <v>1743</v>
      </c>
      <c r="C3454" t="s">
        <v>2810</v>
      </c>
      <c r="D3454" t="s">
        <v>2811</v>
      </c>
      <c r="E3454">
        <v>14</v>
      </c>
      <c r="F3454">
        <v>0</v>
      </c>
      <c r="G3454">
        <v>0</v>
      </c>
      <c r="H3454">
        <f t="shared" si="106"/>
        <v>14</v>
      </c>
      <c r="I3454">
        <v>11</v>
      </c>
      <c r="J3454">
        <v>0</v>
      </c>
      <c r="K3454">
        <v>0</v>
      </c>
      <c r="L3454">
        <f t="shared" si="107"/>
        <v>11</v>
      </c>
    </row>
    <row r="3455" spans="1:12">
      <c r="A3455" t="s">
        <v>4216</v>
      </c>
      <c r="B3455" t="s">
        <v>1743</v>
      </c>
      <c r="C3455" t="s">
        <v>2810</v>
      </c>
      <c r="D3455" t="s">
        <v>1892</v>
      </c>
      <c r="E3455">
        <v>0</v>
      </c>
      <c r="F3455">
        <v>0</v>
      </c>
      <c r="G3455">
        <v>0</v>
      </c>
      <c r="H3455">
        <f t="shared" si="106"/>
        <v>0</v>
      </c>
      <c r="I3455">
        <v>4</v>
      </c>
      <c r="J3455">
        <v>0</v>
      </c>
      <c r="K3455">
        <v>0</v>
      </c>
      <c r="L3455">
        <f t="shared" si="107"/>
        <v>4</v>
      </c>
    </row>
    <row r="3456" spans="1:12">
      <c r="A3456" t="s">
        <v>4216</v>
      </c>
      <c r="B3456" t="s">
        <v>1743</v>
      </c>
      <c r="C3456" t="s">
        <v>2810</v>
      </c>
      <c r="D3456" t="s">
        <v>2812</v>
      </c>
      <c r="E3456">
        <v>2</v>
      </c>
      <c r="F3456">
        <v>0</v>
      </c>
      <c r="G3456">
        <v>0</v>
      </c>
      <c r="H3456">
        <f t="shared" si="106"/>
        <v>2</v>
      </c>
      <c r="I3456">
        <v>1</v>
      </c>
      <c r="J3456">
        <v>0</v>
      </c>
      <c r="K3456">
        <v>0</v>
      </c>
      <c r="L3456">
        <f t="shared" si="107"/>
        <v>1</v>
      </c>
    </row>
    <row r="3457" spans="1:12">
      <c r="A3457" t="s">
        <v>4216</v>
      </c>
      <c r="B3457" t="s">
        <v>1743</v>
      </c>
      <c r="C3457" t="s">
        <v>2810</v>
      </c>
      <c r="D3457" t="s">
        <v>2813</v>
      </c>
      <c r="E3457">
        <v>11</v>
      </c>
      <c r="F3457">
        <v>0</v>
      </c>
      <c r="G3457">
        <v>0</v>
      </c>
      <c r="H3457">
        <f t="shared" si="106"/>
        <v>11</v>
      </c>
      <c r="I3457">
        <v>6</v>
      </c>
      <c r="J3457">
        <v>0</v>
      </c>
      <c r="K3457">
        <v>0</v>
      </c>
      <c r="L3457">
        <f t="shared" si="107"/>
        <v>6</v>
      </c>
    </row>
    <row r="3458" spans="1:12">
      <c r="A3458" t="s">
        <v>4216</v>
      </c>
      <c r="B3458" t="s">
        <v>1743</v>
      </c>
      <c r="C3458" t="s">
        <v>2816</v>
      </c>
      <c r="D3458" t="s">
        <v>1897</v>
      </c>
      <c r="E3458">
        <v>3</v>
      </c>
      <c r="F3458">
        <v>0</v>
      </c>
      <c r="G3458">
        <v>0</v>
      </c>
      <c r="H3458">
        <f t="shared" si="106"/>
        <v>3</v>
      </c>
      <c r="I3458">
        <v>0</v>
      </c>
      <c r="J3458">
        <v>0</v>
      </c>
      <c r="K3458">
        <v>0</v>
      </c>
      <c r="L3458">
        <f t="shared" si="107"/>
        <v>0</v>
      </c>
    </row>
    <row r="3459" spans="1:12">
      <c r="A3459" t="s">
        <v>4216</v>
      </c>
      <c r="B3459" t="s">
        <v>1743</v>
      </c>
      <c r="C3459" t="s">
        <v>2826</v>
      </c>
      <c r="D3459" t="s">
        <v>2827</v>
      </c>
      <c r="E3459">
        <v>0</v>
      </c>
      <c r="F3459">
        <v>0</v>
      </c>
      <c r="G3459">
        <v>0</v>
      </c>
      <c r="H3459">
        <f t="shared" si="106"/>
        <v>0</v>
      </c>
      <c r="I3459">
        <v>3</v>
      </c>
      <c r="J3459">
        <v>0</v>
      </c>
      <c r="K3459">
        <v>0</v>
      </c>
      <c r="L3459">
        <f t="shared" si="107"/>
        <v>3</v>
      </c>
    </row>
    <row r="3460" spans="1:12">
      <c r="A3460" t="s">
        <v>4216</v>
      </c>
      <c r="B3460" t="s">
        <v>1743</v>
      </c>
      <c r="C3460" t="s">
        <v>2817</v>
      </c>
      <c r="D3460" t="s">
        <v>2887</v>
      </c>
      <c r="E3460">
        <v>0</v>
      </c>
      <c r="F3460">
        <v>0</v>
      </c>
      <c r="G3460">
        <v>0</v>
      </c>
      <c r="H3460">
        <f t="shared" ref="H3460:H3523" si="108">SUM(E3460:G3460)</f>
        <v>0</v>
      </c>
      <c r="I3460">
        <v>4</v>
      </c>
      <c r="J3460">
        <v>0</v>
      </c>
      <c r="K3460">
        <v>0</v>
      </c>
      <c r="L3460">
        <f t="shared" ref="L3460:L3523" si="109">SUM(I3460:K3460)</f>
        <v>4</v>
      </c>
    </row>
    <row r="3461" spans="1:12">
      <c r="A3461" t="s">
        <v>4216</v>
      </c>
      <c r="B3461" t="s">
        <v>1743</v>
      </c>
      <c r="C3461" t="s">
        <v>2817</v>
      </c>
      <c r="D3461" t="s">
        <v>2888</v>
      </c>
      <c r="E3461">
        <v>9</v>
      </c>
      <c r="F3461">
        <v>0</v>
      </c>
      <c r="G3461">
        <v>0</v>
      </c>
      <c r="H3461">
        <f t="shared" si="108"/>
        <v>9</v>
      </c>
      <c r="I3461">
        <v>0</v>
      </c>
      <c r="J3461">
        <v>0</v>
      </c>
      <c r="K3461">
        <v>0</v>
      </c>
      <c r="L3461">
        <f t="shared" si="109"/>
        <v>0</v>
      </c>
    </row>
    <row r="3462" spans="1:12">
      <c r="A3462" t="s">
        <v>4216</v>
      </c>
      <c r="B3462" t="s">
        <v>1743</v>
      </c>
      <c r="C3462" t="s">
        <v>2817</v>
      </c>
      <c r="D3462" t="s">
        <v>2909</v>
      </c>
      <c r="E3462">
        <v>1</v>
      </c>
      <c r="F3462">
        <v>0</v>
      </c>
      <c r="G3462">
        <v>0</v>
      </c>
      <c r="H3462">
        <f t="shared" si="108"/>
        <v>1</v>
      </c>
      <c r="I3462">
        <v>1</v>
      </c>
      <c r="J3462">
        <v>0</v>
      </c>
      <c r="K3462">
        <v>0</v>
      </c>
      <c r="L3462">
        <f t="shared" si="109"/>
        <v>1</v>
      </c>
    </row>
    <row r="3463" spans="1:12">
      <c r="A3463" t="s">
        <v>4216</v>
      </c>
      <c r="B3463" t="s">
        <v>1743</v>
      </c>
      <c r="C3463" t="s">
        <v>2820</v>
      </c>
      <c r="D3463" t="s">
        <v>2821</v>
      </c>
      <c r="E3463">
        <v>0</v>
      </c>
      <c r="F3463">
        <v>0</v>
      </c>
      <c r="G3463">
        <v>0</v>
      </c>
      <c r="H3463">
        <f t="shared" si="108"/>
        <v>0</v>
      </c>
      <c r="I3463">
        <v>1</v>
      </c>
      <c r="J3463">
        <v>0</v>
      </c>
      <c r="K3463">
        <v>0</v>
      </c>
      <c r="L3463">
        <f t="shared" si="109"/>
        <v>1</v>
      </c>
    </row>
    <row r="3464" spans="1:12">
      <c r="A3464" t="s">
        <v>4219</v>
      </c>
      <c r="B3464" t="s">
        <v>358</v>
      </c>
      <c r="C3464" t="s">
        <v>2805</v>
      </c>
      <c r="D3464" t="s">
        <v>2806</v>
      </c>
      <c r="E3464">
        <v>15</v>
      </c>
      <c r="F3464">
        <v>0</v>
      </c>
      <c r="G3464">
        <v>0</v>
      </c>
      <c r="H3464">
        <f t="shared" si="108"/>
        <v>15</v>
      </c>
      <c r="I3464">
        <v>0</v>
      </c>
      <c r="J3464">
        <v>0</v>
      </c>
      <c r="K3464">
        <v>0</v>
      </c>
      <c r="L3464">
        <f t="shared" si="109"/>
        <v>0</v>
      </c>
    </row>
    <row r="3465" spans="1:12">
      <c r="A3465" t="s">
        <v>4219</v>
      </c>
      <c r="B3465" t="s">
        <v>358</v>
      </c>
      <c r="C3465" t="s">
        <v>2805</v>
      </c>
      <c r="D3465" t="s">
        <v>449</v>
      </c>
      <c r="E3465">
        <v>76</v>
      </c>
      <c r="F3465">
        <v>0</v>
      </c>
      <c r="G3465">
        <v>0</v>
      </c>
      <c r="H3465">
        <f t="shared" si="108"/>
        <v>76</v>
      </c>
      <c r="I3465">
        <v>0</v>
      </c>
      <c r="J3465">
        <v>0</v>
      </c>
      <c r="K3465">
        <v>0</v>
      </c>
      <c r="L3465">
        <f t="shared" si="109"/>
        <v>0</v>
      </c>
    </row>
    <row r="3466" spans="1:12">
      <c r="A3466" t="s">
        <v>4219</v>
      </c>
      <c r="B3466" t="s">
        <v>358</v>
      </c>
      <c r="C3466" t="s">
        <v>2805</v>
      </c>
      <c r="D3466" t="s">
        <v>2807</v>
      </c>
      <c r="E3466">
        <v>12</v>
      </c>
      <c r="F3466">
        <v>0</v>
      </c>
      <c r="G3466">
        <v>0</v>
      </c>
      <c r="H3466">
        <f t="shared" si="108"/>
        <v>12</v>
      </c>
      <c r="I3466">
        <v>0</v>
      </c>
      <c r="J3466">
        <v>0</v>
      </c>
      <c r="K3466">
        <v>0</v>
      </c>
      <c r="L3466">
        <f t="shared" si="109"/>
        <v>0</v>
      </c>
    </row>
    <row r="3467" spans="1:12">
      <c r="A3467" t="s">
        <v>4219</v>
      </c>
      <c r="B3467" t="s">
        <v>358</v>
      </c>
      <c r="C3467" t="s">
        <v>2810</v>
      </c>
      <c r="D3467" t="s">
        <v>2811</v>
      </c>
      <c r="E3467">
        <v>24</v>
      </c>
      <c r="F3467">
        <v>0</v>
      </c>
      <c r="G3467">
        <v>0</v>
      </c>
      <c r="H3467">
        <f t="shared" si="108"/>
        <v>24</v>
      </c>
      <c r="I3467">
        <v>1</v>
      </c>
      <c r="J3467">
        <v>0</v>
      </c>
      <c r="K3467">
        <v>0</v>
      </c>
      <c r="L3467">
        <f t="shared" si="109"/>
        <v>1</v>
      </c>
    </row>
    <row r="3468" spans="1:12">
      <c r="A3468" t="s">
        <v>4219</v>
      </c>
      <c r="B3468" t="s">
        <v>358</v>
      </c>
      <c r="C3468" t="s">
        <v>2810</v>
      </c>
      <c r="D3468" t="s">
        <v>2814</v>
      </c>
      <c r="E3468">
        <v>1</v>
      </c>
      <c r="F3468">
        <v>0</v>
      </c>
      <c r="G3468">
        <v>0</v>
      </c>
      <c r="H3468">
        <f t="shared" si="108"/>
        <v>1</v>
      </c>
      <c r="I3468">
        <v>0</v>
      </c>
      <c r="J3468">
        <v>0</v>
      </c>
      <c r="K3468">
        <v>0</v>
      </c>
      <c r="L3468">
        <f t="shared" si="109"/>
        <v>0</v>
      </c>
    </row>
    <row r="3469" spans="1:12">
      <c r="A3469" t="s">
        <v>4219</v>
      </c>
      <c r="B3469" t="s">
        <v>358</v>
      </c>
      <c r="C3469" t="s">
        <v>2826</v>
      </c>
      <c r="D3469" t="s">
        <v>2871</v>
      </c>
      <c r="E3469">
        <v>0</v>
      </c>
      <c r="F3469">
        <v>0</v>
      </c>
      <c r="G3469">
        <v>0</v>
      </c>
      <c r="H3469">
        <f t="shared" si="108"/>
        <v>0</v>
      </c>
      <c r="I3469">
        <v>1</v>
      </c>
      <c r="J3469">
        <v>0</v>
      </c>
      <c r="K3469">
        <v>0</v>
      </c>
      <c r="L3469">
        <f t="shared" si="109"/>
        <v>1</v>
      </c>
    </row>
    <row r="3470" spans="1:12">
      <c r="A3470" t="s">
        <v>4219</v>
      </c>
      <c r="B3470" t="s">
        <v>358</v>
      </c>
      <c r="C3470" t="s">
        <v>2826</v>
      </c>
      <c r="D3470" t="s">
        <v>2827</v>
      </c>
      <c r="E3470">
        <v>0</v>
      </c>
      <c r="F3470">
        <v>0</v>
      </c>
      <c r="G3470">
        <v>0</v>
      </c>
      <c r="H3470">
        <f t="shared" si="108"/>
        <v>0</v>
      </c>
      <c r="I3470">
        <v>3</v>
      </c>
      <c r="J3470">
        <v>0</v>
      </c>
      <c r="K3470">
        <v>0</v>
      </c>
      <c r="L3470">
        <f t="shared" si="109"/>
        <v>3</v>
      </c>
    </row>
    <row r="3471" spans="1:12">
      <c r="A3471" t="s">
        <v>4219</v>
      </c>
      <c r="B3471" t="s">
        <v>358</v>
      </c>
      <c r="C3471" t="s">
        <v>2826</v>
      </c>
      <c r="D3471" t="s">
        <v>2828</v>
      </c>
      <c r="E3471">
        <v>0</v>
      </c>
      <c r="F3471">
        <v>0</v>
      </c>
      <c r="G3471">
        <v>0</v>
      </c>
      <c r="H3471">
        <f t="shared" si="108"/>
        <v>0</v>
      </c>
      <c r="I3471">
        <v>3</v>
      </c>
      <c r="J3471">
        <v>0</v>
      </c>
      <c r="K3471">
        <v>0</v>
      </c>
      <c r="L3471">
        <f t="shared" si="109"/>
        <v>3</v>
      </c>
    </row>
    <row r="3472" spans="1:12">
      <c r="A3472" t="s">
        <v>4219</v>
      </c>
      <c r="B3472" t="s">
        <v>358</v>
      </c>
      <c r="C3472" t="s">
        <v>2826</v>
      </c>
      <c r="D3472" t="s">
        <v>2829</v>
      </c>
      <c r="E3472">
        <v>0</v>
      </c>
      <c r="F3472">
        <v>0</v>
      </c>
      <c r="G3472">
        <v>0</v>
      </c>
      <c r="H3472">
        <f t="shared" si="108"/>
        <v>0</v>
      </c>
      <c r="I3472">
        <v>3</v>
      </c>
      <c r="J3472">
        <v>0</v>
      </c>
      <c r="K3472">
        <v>0</v>
      </c>
      <c r="L3472">
        <f t="shared" si="109"/>
        <v>3</v>
      </c>
    </row>
    <row r="3473" spans="1:12">
      <c r="A3473" t="s">
        <v>4219</v>
      </c>
      <c r="B3473" t="s">
        <v>358</v>
      </c>
      <c r="C3473" t="s">
        <v>2826</v>
      </c>
      <c r="D3473" t="s">
        <v>2891</v>
      </c>
      <c r="E3473">
        <v>0</v>
      </c>
      <c r="F3473">
        <v>0</v>
      </c>
      <c r="G3473">
        <v>0</v>
      </c>
      <c r="H3473">
        <f t="shared" si="108"/>
        <v>0</v>
      </c>
      <c r="I3473">
        <v>2</v>
      </c>
      <c r="J3473">
        <v>0</v>
      </c>
      <c r="K3473">
        <v>0</v>
      </c>
      <c r="L3473">
        <f t="shared" si="109"/>
        <v>2</v>
      </c>
    </row>
    <row r="3474" spans="1:12">
      <c r="A3474" t="s">
        <v>4219</v>
      </c>
      <c r="B3474" t="s">
        <v>358</v>
      </c>
      <c r="C3474" t="s">
        <v>2826</v>
      </c>
      <c r="D3474" t="s">
        <v>2872</v>
      </c>
      <c r="E3474">
        <v>0</v>
      </c>
      <c r="F3474">
        <v>0</v>
      </c>
      <c r="G3474">
        <v>0</v>
      </c>
      <c r="H3474">
        <f t="shared" si="108"/>
        <v>0</v>
      </c>
      <c r="I3474">
        <v>2</v>
      </c>
      <c r="J3474">
        <v>0</v>
      </c>
      <c r="K3474">
        <v>0</v>
      </c>
      <c r="L3474">
        <f t="shared" si="109"/>
        <v>2</v>
      </c>
    </row>
    <row r="3475" spans="1:12">
      <c r="A3475" t="s">
        <v>4219</v>
      </c>
      <c r="B3475" t="s">
        <v>358</v>
      </c>
      <c r="C3475" t="s">
        <v>2826</v>
      </c>
      <c r="D3475" t="s">
        <v>2858</v>
      </c>
      <c r="E3475">
        <v>0</v>
      </c>
      <c r="F3475">
        <v>0</v>
      </c>
      <c r="G3475">
        <v>0</v>
      </c>
      <c r="H3475">
        <f t="shared" si="108"/>
        <v>0</v>
      </c>
      <c r="I3475">
        <v>3</v>
      </c>
      <c r="J3475">
        <v>0</v>
      </c>
      <c r="K3475">
        <v>0</v>
      </c>
      <c r="L3475">
        <f t="shared" si="109"/>
        <v>3</v>
      </c>
    </row>
    <row r="3476" spans="1:12">
      <c r="A3476" t="s">
        <v>4219</v>
      </c>
      <c r="B3476" t="s">
        <v>358</v>
      </c>
      <c r="C3476" t="s">
        <v>2826</v>
      </c>
      <c r="D3476" t="s">
        <v>2830</v>
      </c>
      <c r="E3476">
        <v>1</v>
      </c>
      <c r="F3476">
        <v>0</v>
      </c>
      <c r="G3476">
        <v>0</v>
      </c>
      <c r="H3476">
        <f t="shared" si="108"/>
        <v>1</v>
      </c>
      <c r="I3476">
        <v>1</v>
      </c>
      <c r="J3476">
        <v>0</v>
      </c>
      <c r="K3476">
        <v>0</v>
      </c>
      <c r="L3476">
        <f t="shared" si="109"/>
        <v>1</v>
      </c>
    </row>
    <row r="3477" spans="1:12">
      <c r="A3477" t="s">
        <v>4219</v>
      </c>
      <c r="B3477" t="s">
        <v>358</v>
      </c>
      <c r="C3477" t="s">
        <v>2826</v>
      </c>
      <c r="D3477" t="s">
        <v>2864</v>
      </c>
      <c r="E3477">
        <v>0</v>
      </c>
      <c r="F3477">
        <v>0</v>
      </c>
      <c r="G3477">
        <v>0</v>
      </c>
      <c r="H3477">
        <f t="shared" si="108"/>
        <v>0</v>
      </c>
      <c r="I3477">
        <v>3</v>
      </c>
      <c r="J3477">
        <v>0</v>
      </c>
      <c r="K3477">
        <v>0</v>
      </c>
      <c r="L3477">
        <f t="shared" si="109"/>
        <v>3</v>
      </c>
    </row>
    <row r="3478" spans="1:12">
      <c r="A3478" t="s">
        <v>4219</v>
      </c>
      <c r="B3478" t="s">
        <v>358</v>
      </c>
      <c r="C3478" t="s">
        <v>2826</v>
      </c>
      <c r="D3478" t="s">
        <v>2831</v>
      </c>
      <c r="E3478">
        <v>0</v>
      </c>
      <c r="F3478">
        <v>0</v>
      </c>
      <c r="G3478">
        <v>0</v>
      </c>
      <c r="H3478">
        <f t="shared" si="108"/>
        <v>0</v>
      </c>
      <c r="I3478">
        <v>3</v>
      </c>
      <c r="J3478">
        <v>0</v>
      </c>
      <c r="K3478">
        <v>0</v>
      </c>
      <c r="L3478">
        <f t="shared" si="109"/>
        <v>3</v>
      </c>
    </row>
    <row r="3479" spans="1:12">
      <c r="A3479" t="s">
        <v>4219</v>
      </c>
      <c r="B3479" t="s">
        <v>358</v>
      </c>
      <c r="C3479" t="s">
        <v>2826</v>
      </c>
      <c r="D3479" t="s">
        <v>2843</v>
      </c>
      <c r="E3479">
        <v>0</v>
      </c>
      <c r="F3479">
        <v>0</v>
      </c>
      <c r="G3479">
        <v>0</v>
      </c>
      <c r="H3479">
        <f t="shared" si="108"/>
        <v>0</v>
      </c>
      <c r="I3479">
        <v>5</v>
      </c>
      <c r="J3479">
        <v>0</v>
      </c>
      <c r="K3479">
        <v>0</v>
      </c>
      <c r="L3479">
        <f t="shared" si="109"/>
        <v>5</v>
      </c>
    </row>
    <row r="3480" spans="1:12">
      <c r="A3480" t="s">
        <v>4219</v>
      </c>
      <c r="B3480" t="s">
        <v>358</v>
      </c>
      <c r="C3480" t="s">
        <v>2826</v>
      </c>
      <c r="D3480" t="s">
        <v>2884</v>
      </c>
      <c r="E3480">
        <v>1</v>
      </c>
      <c r="F3480">
        <v>0</v>
      </c>
      <c r="G3480">
        <v>0</v>
      </c>
      <c r="H3480">
        <f t="shared" si="108"/>
        <v>1</v>
      </c>
      <c r="I3480">
        <v>0</v>
      </c>
      <c r="J3480">
        <v>0</v>
      </c>
      <c r="K3480">
        <v>0</v>
      </c>
      <c r="L3480">
        <f t="shared" si="109"/>
        <v>0</v>
      </c>
    </row>
    <row r="3481" spans="1:12">
      <c r="A3481" t="s">
        <v>4219</v>
      </c>
      <c r="B3481" t="s">
        <v>358</v>
      </c>
      <c r="C3481" t="s">
        <v>2826</v>
      </c>
      <c r="D3481" t="s">
        <v>2885</v>
      </c>
      <c r="E3481">
        <v>0</v>
      </c>
      <c r="F3481">
        <v>0</v>
      </c>
      <c r="G3481">
        <v>0</v>
      </c>
      <c r="H3481">
        <f t="shared" si="108"/>
        <v>0</v>
      </c>
      <c r="I3481">
        <v>2</v>
      </c>
      <c r="J3481">
        <v>0</v>
      </c>
      <c r="K3481">
        <v>0</v>
      </c>
      <c r="L3481">
        <f t="shared" si="109"/>
        <v>2</v>
      </c>
    </row>
    <row r="3482" spans="1:12">
      <c r="A3482" t="s">
        <v>4219</v>
      </c>
      <c r="B3482" t="s">
        <v>358</v>
      </c>
      <c r="C3482" t="s">
        <v>2826</v>
      </c>
      <c r="D3482" t="s">
        <v>2833</v>
      </c>
      <c r="E3482">
        <v>0</v>
      </c>
      <c r="F3482">
        <v>0</v>
      </c>
      <c r="G3482">
        <v>0</v>
      </c>
      <c r="H3482">
        <f t="shared" si="108"/>
        <v>0</v>
      </c>
      <c r="I3482">
        <v>2</v>
      </c>
      <c r="J3482">
        <v>0</v>
      </c>
      <c r="K3482">
        <v>0</v>
      </c>
      <c r="L3482">
        <f t="shared" si="109"/>
        <v>2</v>
      </c>
    </row>
    <row r="3483" spans="1:12">
      <c r="A3483" t="s">
        <v>4219</v>
      </c>
      <c r="B3483" t="s">
        <v>358</v>
      </c>
      <c r="C3483" t="s">
        <v>2826</v>
      </c>
      <c r="D3483" t="s">
        <v>2834</v>
      </c>
      <c r="E3483">
        <v>0</v>
      </c>
      <c r="F3483">
        <v>0</v>
      </c>
      <c r="G3483">
        <v>0</v>
      </c>
      <c r="H3483">
        <f t="shared" si="108"/>
        <v>0</v>
      </c>
      <c r="I3483">
        <v>2</v>
      </c>
      <c r="J3483">
        <v>0</v>
      </c>
      <c r="K3483">
        <v>0</v>
      </c>
      <c r="L3483">
        <f t="shared" si="109"/>
        <v>2</v>
      </c>
    </row>
    <row r="3484" spans="1:12">
      <c r="A3484" t="s">
        <v>4219</v>
      </c>
      <c r="B3484" t="s">
        <v>358</v>
      </c>
      <c r="C3484" t="s">
        <v>2826</v>
      </c>
      <c r="D3484" t="s">
        <v>2844</v>
      </c>
      <c r="E3484">
        <v>0</v>
      </c>
      <c r="F3484">
        <v>0</v>
      </c>
      <c r="G3484">
        <v>0</v>
      </c>
      <c r="H3484">
        <f t="shared" si="108"/>
        <v>0</v>
      </c>
      <c r="I3484">
        <v>2</v>
      </c>
      <c r="J3484">
        <v>0</v>
      </c>
      <c r="K3484">
        <v>0</v>
      </c>
      <c r="L3484">
        <f t="shared" si="109"/>
        <v>2</v>
      </c>
    </row>
    <row r="3485" spans="1:12">
      <c r="A3485" t="s">
        <v>4219</v>
      </c>
      <c r="B3485" t="s">
        <v>358</v>
      </c>
      <c r="C3485" t="s">
        <v>2826</v>
      </c>
      <c r="D3485" t="s">
        <v>2835</v>
      </c>
      <c r="E3485">
        <v>0</v>
      </c>
      <c r="F3485">
        <v>0</v>
      </c>
      <c r="G3485">
        <v>0</v>
      </c>
      <c r="H3485">
        <f t="shared" si="108"/>
        <v>0</v>
      </c>
      <c r="I3485">
        <v>1</v>
      </c>
      <c r="J3485">
        <v>0</v>
      </c>
      <c r="K3485">
        <v>0</v>
      </c>
      <c r="L3485">
        <f t="shared" si="109"/>
        <v>1</v>
      </c>
    </row>
    <row r="3486" spans="1:12">
      <c r="A3486" t="s">
        <v>4219</v>
      </c>
      <c r="B3486" t="s">
        <v>358</v>
      </c>
      <c r="C3486" t="s">
        <v>2826</v>
      </c>
      <c r="D3486" t="s">
        <v>2917</v>
      </c>
      <c r="E3486">
        <v>0</v>
      </c>
      <c r="F3486">
        <v>0</v>
      </c>
      <c r="G3486">
        <v>0</v>
      </c>
      <c r="H3486">
        <f t="shared" si="108"/>
        <v>0</v>
      </c>
      <c r="I3486">
        <v>1</v>
      </c>
      <c r="J3486">
        <v>0</v>
      </c>
      <c r="K3486">
        <v>0</v>
      </c>
      <c r="L3486">
        <f t="shared" si="109"/>
        <v>1</v>
      </c>
    </row>
    <row r="3487" spans="1:12">
      <c r="A3487" t="s">
        <v>4219</v>
      </c>
      <c r="B3487" t="s">
        <v>358</v>
      </c>
      <c r="C3487" t="s">
        <v>2826</v>
      </c>
      <c r="D3487" t="s">
        <v>2849</v>
      </c>
      <c r="E3487">
        <v>4</v>
      </c>
      <c r="F3487">
        <v>0</v>
      </c>
      <c r="G3487">
        <v>0</v>
      </c>
      <c r="H3487">
        <f t="shared" si="108"/>
        <v>4</v>
      </c>
      <c r="I3487">
        <v>1</v>
      </c>
      <c r="J3487">
        <v>0</v>
      </c>
      <c r="K3487">
        <v>0</v>
      </c>
      <c r="L3487">
        <f t="shared" si="109"/>
        <v>1</v>
      </c>
    </row>
    <row r="3488" spans="1:12">
      <c r="A3488" t="s">
        <v>4219</v>
      </c>
      <c r="B3488" t="s">
        <v>358</v>
      </c>
      <c r="C3488" t="s">
        <v>2820</v>
      </c>
      <c r="D3488" t="s">
        <v>2821</v>
      </c>
      <c r="E3488">
        <v>1</v>
      </c>
      <c r="F3488">
        <v>0</v>
      </c>
      <c r="G3488">
        <v>0</v>
      </c>
      <c r="H3488">
        <f t="shared" si="108"/>
        <v>1</v>
      </c>
      <c r="I3488">
        <v>6</v>
      </c>
      <c r="J3488">
        <v>0</v>
      </c>
      <c r="K3488">
        <v>0</v>
      </c>
      <c r="L3488">
        <f t="shared" si="109"/>
        <v>6</v>
      </c>
    </row>
    <row r="3489" spans="1:12">
      <c r="A3489" t="s">
        <v>4228</v>
      </c>
      <c r="B3489" t="s">
        <v>1474</v>
      </c>
      <c r="C3489" t="s">
        <v>2810</v>
      </c>
      <c r="D3489" t="s">
        <v>2811</v>
      </c>
      <c r="E3489">
        <v>2</v>
      </c>
      <c r="F3489">
        <v>0</v>
      </c>
      <c r="G3489">
        <v>0</v>
      </c>
      <c r="H3489">
        <f t="shared" si="108"/>
        <v>2</v>
      </c>
      <c r="I3489">
        <v>0</v>
      </c>
      <c r="J3489">
        <v>0</v>
      </c>
      <c r="K3489">
        <v>0</v>
      </c>
      <c r="L3489">
        <f t="shared" si="109"/>
        <v>0</v>
      </c>
    </row>
    <row r="3490" spans="1:12">
      <c r="A3490" t="s">
        <v>4228</v>
      </c>
      <c r="B3490" t="s">
        <v>1474</v>
      </c>
      <c r="C3490" t="s">
        <v>2841</v>
      </c>
      <c r="D3490" t="s">
        <v>3116</v>
      </c>
      <c r="E3490">
        <v>0</v>
      </c>
      <c r="F3490">
        <v>0</v>
      </c>
      <c r="G3490">
        <v>0</v>
      </c>
      <c r="H3490">
        <f t="shared" si="108"/>
        <v>0</v>
      </c>
      <c r="I3490">
        <v>1</v>
      </c>
      <c r="J3490">
        <v>0</v>
      </c>
      <c r="K3490">
        <v>0</v>
      </c>
      <c r="L3490">
        <f t="shared" si="109"/>
        <v>1</v>
      </c>
    </row>
    <row r="3491" spans="1:12">
      <c r="A3491" t="s">
        <v>4228</v>
      </c>
      <c r="B3491" t="s">
        <v>1474</v>
      </c>
      <c r="C3491" t="s">
        <v>2841</v>
      </c>
      <c r="D3491" t="s">
        <v>3117</v>
      </c>
      <c r="E3491">
        <v>0</v>
      </c>
      <c r="F3491">
        <v>0</v>
      </c>
      <c r="G3491">
        <v>0</v>
      </c>
      <c r="H3491">
        <f t="shared" si="108"/>
        <v>0</v>
      </c>
      <c r="I3491">
        <v>1</v>
      </c>
      <c r="J3491">
        <v>18</v>
      </c>
      <c r="K3491">
        <v>0</v>
      </c>
      <c r="L3491">
        <f t="shared" si="109"/>
        <v>19</v>
      </c>
    </row>
    <row r="3492" spans="1:12">
      <c r="A3492" t="s">
        <v>4228</v>
      </c>
      <c r="B3492" t="s">
        <v>1474</v>
      </c>
      <c r="C3492" t="s">
        <v>2841</v>
      </c>
      <c r="D3492" t="s">
        <v>2842</v>
      </c>
      <c r="E3492">
        <v>0</v>
      </c>
      <c r="F3492">
        <v>0</v>
      </c>
      <c r="G3492">
        <v>0</v>
      </c>
      <c r="H3492">
        <f t="shared" si="108"/>
        <v>0</v>
      </c>
      <c r="I3492">
        <v>21</v>
      </c>
      <c r="J3492">
        <v>0</v>
      </c>
      <c r="K3492">
        <v>0</v>
      </c>
      <c r="L3492">
        <f t="shared" si="109"/>
        <v>21</v>
      </c>
    </row>
    <row r="3493" spans="1:12">
      <c r="A3493" t="s">
        <v>4228</v>
      </c>
      <c r="B3493" t="s">
        <v>1474</v>
      </c>
      <c r="C3493" t="s">
        <v>2826</v>
      </c>
      <c r="D3493" t="s">
        <v>2871</v>
      </c>
      <c r="E3493">
        <v>0</v>
      </c>
      <c r="F3493">
        <v>0</v>
      </c>
      <c r="G3493">
        <v>0</v>
      </c>
      <c r="H3493">
        <f t="shared" si="108"/>
        <v>0</v>
      </c>
      <c r="I3493">
        <v>2</v>
      </c>
      <c r="J3493">
        <v>0</v>
      </c>
      <c r="K3493">
        <v>0</v>
      </c>
      <c r="L3493">
        <f t="shared" si="109"/>
        <v>2</v>
      </c>
    </row>
    <row r="3494" spans="1:12">
      <c r="A3494" t="s">
        <v>4228</v>
      </c>
      <c r="B3494" t="s">
        <v>1474</v>
      </c>
      <c r="C3494" t="s">
        <v>2826</v>
      </c>
      <c r="D3494" t="s">
        <v>2905</v>
      </c>
      <c r="E3494">
        <v>0</v>
      </c>
      <c r="F3494">
        <v>0</v>
      </c>
      <c r="G3494">
        <v>0</v>
      </c>
      <c r="H3494">
        <f t="shared" si="108"/>
        <v>0</v>
      </c>
      <c r="I3494">
        <v>2</v>
      </c>
      <c r="J3494">
        <v>0</v>
      </c>
      <c r="K3494">
        <v>0</v>
      </c>
      <c r="L3494">
        <f t="shared" si="109"/>
        <v>2</v>
      </c>
    </row>
    <row r="3495" spans="1:12">
      <c r="A3495" t="s">
        <v>4228</v>
      </c>
      <c r="B3495" t="s">
        <v>1474</v>
      </c>
      <c r="C3495" t="s">
        <v>2826</v>
      </c>
      <c r="D3495" t="s">
        <v>2827</v>
      </c>
      <c r="E3495">
        <v>0</v>
      </c>
      <c r="F3495">
        <v>0</v>
      </c>
      <c r="G3495">
        <v>0</v>
      </c>
      <c r="H3495">
        <f t="shared" si="108"/>
        <v>0</v>
      </c>
      <c r="I3495">
        <v>3</v>
      </c>
      <c r="J3495">
        <v>0</v>
      </c>
      <c r="K3495">
        <v>0</v>
      </c>
      <c r="L3495">
        <f t="shared" si="109"/>
        <v>3</v>
      </c>
    </row>
    <row r="3496" spans="1:12">
      <c r="A3496" t="s">
        <v>4228</v>
      </c>
      <c r="B3496" t="s">
        <v>1474</v>
      </c>
      <c r="C3496" t="s">
        <v>2826</v>
      </c>
      <c r="D3496" t="s">
        <v>2828</v>
      </c>
      <c r="E3496">
        <v>0</v>
      </c>
      <c r="F3496">
        <v>0</v>
      </c>
      <c r="G3496">
        <v>0</v>
      </c>
      <c r="H3496">
        <f t="shared" si="108"/>
        <v>0</v>
      </c>
      <c r="I3496">
        <v>0</v>
      </c>
      <c r="J3496">
        <v>1</v>
      </c>
      <c r="K3496">
        <v>0</v>
      </c>
      <c r="L3496">
        <f t="shared" si="109"/>
        <v>1</v>
      </c>
    </row>
    <row r="3497" spans="1:12">
      <c r="A3497" t="s">
        <v>4228</v>
      </c>
      <c r="B3497" t="s">
        <v>1474</v>
      </c>
      <c r="C3497" t="s">
        <v>2826</v>
      </c>
      <c r="D3497" t="s">
        <v>2829</v>
      </c>
      <c r="E3497">
        <v>0</v>
      </c>
      <c r="F3497">
        <v>0</v>
      </c>
      <c r="G3497">
        <v>0</v>
      </c>
      <c r="H3497">
        <f t="shared" si="108"/>
        <v>0</v>
      </c>
      <c r="I3497">
        <v>1</v>
      </c>
      <c r="J3497">
        <v>0</v>
      </c>
      <c r="K3497">
        <v>0</v>
      </c>
      <c r="L3497">
        <f t="shared" si="109"/>
        <v>1</v>
      </c>
    </row>
    <row r="3498" spans="1:12">
      <c r="A3498" t="s">
        <v>4228</v>
      </c>
      <c r="B3498" t="s">
        <v>1474</v>
      </c>
      <c r="C3498" t="s">
        <v>2826</v>
      </c>
      <c r="D3498" t="s">
        <v>2891</v>
      </c>
      <c r="E3498">
        <v>0</v>
      </c>
      <c r="F3498">
        <v>0</v>
      </c>
      <c r="G3498">
        <v>0</v>
      </c>
      <c r="H3498">
        <f t="shared" si="108"/>
        <v>0</v>
      </c>
      <c r="I3498">
        <v>1</v>
      </c>
      <c r="J3498">
        <v>1</v>
      </c>
      <c r="K3498">
        <v>0</v>
      </c>
      <c r="L3498">
        <f t="shared" si="109"/>
        <v>2</v>
      </c>
    </row>
    <row r="3499" spans="1:12">
      <c r="A3499" t="s">
        <v>4228</v>
      </c>
      <c r="B3499" t="s">
        <v>1474</v>
      </c>
      <c r="C3499" t="s">
        <v>2826</v>
      </c>
      <c r="D3499" t="s">
        <v>2843</v>
      </c>
      <c r="E3499">
        <v>0</v>
      </c>
      <c r="F3499">
        <v>0</v>
      </c>
      <c r="G3499">
        <v>0</v>
      </c>
      <c r="H3499">
        <f t="shared" si="108"/>
        <v>0</v>
      </c>
      <c r="I3499">
        <v>2</v>
      </c>
      <c r="J3499">
        <v>0</v>
      </c>
      <c r="K3499">
        <v>0</v>
      </c>
      <c r="L3499">
        <f t="shared" si="109"/>
        <v>2</v>
      </c>
    </row>
    <row r="3500" spans="1:12">
      <c r="A3500" t="s">
        <v>4228</v>
      </c>
      <c r="B3500" t="s">
        <v>1474</v>
      </c>
      <c r="C3500" t="s">
        <v>2826</v>
      </c>
      <c r="D3500" t="s">
        <v>2832</v>
      </c>
      <c r="E3500">
        <v>0</v>
      </c>
      <c r="F3500">
        <v>0</v>
      </c>
      <c r="G3500">
        <v>0</v>
      </c>
      <c r="H3500">
        <f t="shared" si="108"/>
        <v>0</v>
      </c>
      <c r="I3500">
        <v>0</v>
      </c>
      <c r="J3500">
        <v>1</v>
      </c>
      <c r="K3500">
        <v>0</v>
      </c>
      <c r="L3500">
        <f t="shared" si="109"/>
        <v>1</v>
      </c>
    </row>
    <row r="3501" spans="1:12">
      <c r="A3501" t="s">
        <v>4228</v>
      </c>
      <c r="B3501" t="s">
        <v>1474</v>
      </c>
      <c r="C3501" t="s">
        <v>2826</v>
      </c>
      <c r="D3501" t="s">
        <v>2835</v>
      </c>
      <c r="E3501">
        <v>0</v>
      </c>
      <c r="F3501">
        <v>0</v>
      </c>
      <c r="G3501">
        <v>0</v>
      </c>
      <c r="H3501">
        <f t="shared" si="108"/>
        <v>0</v>
      </c>
      <c r="I3501">
        <v>2</v>
      </c>
      <c r="J3501">
        <v>1</v>
      </c>
      <c r="K3501">
        <v>0</v>
      </c>
      <c r="L3501">
        <f t="shared" si="109"/>
        <v>3</v>
      </c>
    </row>
    <row r="3502" spans="1:12">
      <c r="A3502" t="s">
        <v>4228</v>
      </c>
      <c r="B3502" t="s">
        <v>1474</v>
      </c>
      <c r="C3502" t="s">
        <v>2826</v>
      </c>
      <c r="D3502" t="s">
        <v>2917</v>
      </c>
      <c r="E3502">
        <v>0</v>
      </c>
      <c r="F3502">
        <v>0</v>
      </c>
      <c r="G3502">
        <v>0</v>
      </c>
      <c r="H3502">
        <f t="shared" si="108"/>
        <v>0</v>
      </c>
      <c r="I3502">
        <v>0</v>
      </c>
      <c r="J3502">
        <v>1</v>
      </c>
      <c r="K3502">
        <v>0</v>
      </c>
      <c r="L3502">
        <f t="shared" si="109"/>
        <v>1</v>
      </c>
    </row>
    <row r="3503" spans="1:12">
      <c r="A3503" t="s">
        <v>4228</v>
      </c>
      <c r="B3503" t="s">
        <v>1474</v>
      </c>
      <c r="C3503" t="s">
        <v>2826</v>
      </c>
      <c r="D3503" t="s">
        <v>2849</v>
      </c>
      <c r="E3503">
        <v>0</v>
      </c>
      <c r="F3503">
        <v>0</v>
      </c>
      <c r="G3503">
        <v>0</v>
      </c>
      <c r="H3503">
        <f t="shared" si="108"/>
        <v>0</v>
      </c>
      <c r="I3503">
        <v>0</v>
      </c>
      <c r="J3503">
        <v>1</v>
      </c>
      <c r="K3503">
        <v>0</v>
      </c>
      <c r="L3503">
        <f t="shared" si="109"/>
        <v>1</v>
      </c>
    </row>
    <row r="3504" spans="1:12">
      <c r="A3504" t="s">
        <v>4228</v>
      </c>
      <c r="B3504" t="s">
        <v>1474</v>
      </c>
      <c r="C3504" t="s">
        <v>2817</v>
      </c>
      <c r="D3504" t="s">
        <v>2887</v>
      </c>
      <c r="E3504">
        <v>0</v>
      </c>
      <c r="F3504">
        <v>0</v>
      </c>
      <c r="G3504">
        <v>0</v>
      </c>
      <c r="H3504">
        <f t="shared" si="108"/>
        <v>0</v>
      </c>
      <c r="I3504">
        <v>1</v>
      </c>
      <c r="J3504">
        <v>0</v>
      </c>
      <c r="K3504">
        <v>0</v>
      </c>
      <c r="L3504">
        <f t="shared" si="109"/>
        <v>1</v>
      </c>
    </row>
    <row r="3505" spans="1:12">
      <c r="A3505" t="s">
        <v>4228</v>
      </c>
      <c r="B3505" t="s">
        <v>1474</v>
      </c>
      <c r="C3505" t="s">
        <v>2820</v>
      </c>
      <c r="D3505" t="s">
        <v>2952</v>
      </c>
      <c r="E3505">
        <v>0</v>
      </c>
      <c r="F3505">
        <v>0</v>
      </c>
      <c r="G3505">
        <v>0</v>
      </c>
      <c r="H3505">
        <f t="shared" si="108"/>
        <v>0</v>
      </c>
      <c r="I3505">
        <v>1</v>
      </c>
      <c r="J3505">
        <v>0</v>
      </c>
      <c r="K3505">
        <v>0</v>
      </c>
      <c r="L3505">
        <f t="shared" si="109"/>
        <v>1</v>
      </c>
    </row>
    <row r="3506" spans="1:12">
      <c r="A3506" t="s">
        <v>4228</v>
      </c>
      <c r="B3506" t="s">
        <v>1474</v>
      </c>
      <c r="C3506" t="s">
        <v>2820</v>
      </c>
      <c r="D3506" t="s">
        <v>2949</v>
      </c>
      <c r="E3506">
        <v>0</v>
      </c>
      <c r="F3506">
        <v>0</v>
      </c>
      <c r="G3506">
        <v>0</v>
      </c>
      <c r="H3506">
        <f t="shared" si="108"/>
        <v>0</v>
      </c>
      <c r="I3506">
        <v>0</v>
      </c>
      <c r="J3506">
        <v>1</v>
      </c>
      <c r="K3506">
        <v>0</v>
      </c>
      <c r="L3506">
        <f t="shared" si="109"/>
        <v>1</v>
      </c>
    </row>
    <row r="3507" spans="1:12">
      <c r="A3507" t="s">
        <v>4229</v>
      </c>
      <c r="B3507" t="s">
        <v>352</v>
      </c>
      <c r="C3507" t="s">
        <v>2841</v>
      </c>
      <c r="D3507" t="s">
        <v>3116</v>
      </c>
      <c r="E3507">
        <v>0</v>
      </c>
      <c r="F3507">
        <v>0</v>
      </c>
      <c r="G3507">
        <v>0</v>
      </c>
      <c r="H3507">
        <f t="shared" si="108"/>
        <v>0</v>
      </c>
      <c r="I3507">
        <v>1</v>
      </c>
      <c r="J3507">
        <v>0</v>
      </c>
      <c r="K3507">
        <v>0</v>
      </c>
      <c r="L3507">
        <f t="shared" si="109"/>
        <v>1</v>
      </c>
    </row>
    <row r="3508" spans="1:12">
      <c r="A3508" t="s">
        <v>4229</v>
      </c>
      <c r="B3508" t="s">
        <v>352</v>
      </c>
      <c r="C3508" t="s">
        <v>2841</v>
      </c>
      <c r="D3508" t="s">
        <v>3981</v>
      </c>
      <c r="E3508">
        <v>0</v>
      </c>
      <c r="F3508">
        <v>0</v>
      </c>
      <c r="G3508">
        <v>0</v>
      </c>
      <c r="H3508">
        <f t="shared" si="108"/>
        <v>0</v>
      </c>
      <c r="I3508">
        <v>1</v>
      </c>
      <c r="J3508">
        <v>0</v>
      </c>
      <c r="K3508">
        <v>0</v>
      </c>
      <c r="L3508">
        <f t="shared" si="109"/>
        <v>1</v>
      </c>
    </row>
    <row r="3509" spans="1:12">
      <c r="A3509" t="s">
        <v>4229</v>
      </c>
      <c r="B3509" t="s">
        <v>352</v>
      </c>
      <c r="C3509" t="s">
        <v>2841</v>
      </c>
      <c r="D3509" t="s">
        <v>3117</v>
      </c>
      <c r="E3509">
        <v>0</v>
      </c>
      <c r="F3509">
        <v>0</v>
      </c>
      <c r="G3509">
        <v>0</v>
      </c>
      <c r="H3509">
        <f t="shared" si="108"/>
        <v>0</v>
      </c>
      <c r="I3509">
        <v>16</v>
      </c>
      <c r="J3509">
        <v>0</v>
      </c>
      <c r="K3509">
        <v>0</v>
      </c>
      <c r="L3509">
        <f t="shared" si="109"/>
        <v>16</v>
      </c>
    </row>
    <row r="3510" spans="1:12">
      <c r="A3510" t="s">
        <v>4229</v>
      </c>
      <c r="B3510" t="s">
        <v>352</v>
      </c>
      <c r="C3510" t="s">
        <v>2841</v>
      </c>
      <c r="D3510" t="s">
        <v>2842</v>
      </c>
      <c r="E3510">
        <v>0</v>
      </c>
      <c r="F3510">
        <v>0</v>
      </c>
      <c r="G3510">
        <v>0</v>
      </c>
      <c r="H3510">
        <f t="shared" si="108"/>
        <v>0</v>
      </c>
      <c r="I3510">
        <v>53</v>
      </c>
      <c r="J3510">
        <v>38</v>
      </c>
      <c r="K3510">
        <v>0</v>
      </c>
      <c r="L3510">
        <f t="shared" si="109"/>
        <v>91</v>
      </c>
    </row>
    <row r="3511" spans="1:12">
      <c r="A3511" t="s">
        <v>4229</v>
      </c>
      <c r="B3511" t="s">
        <v>352</v>
      </c>
      <c r="C3511" t="s">
        <v>2826</v>
      </c>
      <c r="D3511" t="s">
        <v>2871</v>
      </c>
      <c r="E3511">
        <v>0</v>
      </c>
      <c r="F3511">
        <v>0</v>
      </c>
      <c r="G3511">
        <v>0</v>
      </c>
      <c r="H3511">
        <f t="shared" si="108"/>
        <v>0</v>
      </c>
      <c r="I3511">
        <v>2</v>
      </c>
      <c r="J3511">
        <v>2</v>
      </c>
      <c r="K3511">
        <v>0</v>
      </c>
      <c r="L3511">
        <f t="shared" si="109"/>
        <v>4</v>
      </c>
    </row>
    <row r="3512" spans="1:12">
      <c r="A3512" t="s">
        <v>4229</v>
      </c>
      <c r="B3512" t="s">
        <v>352</v>
      </c>
      <c r="C3512" t="s">
        <v>2826</v>
      </c>
      <c r="D3512" t="s">
        <v>2905</v>
      </c>
      <c r="E3512">
        <v>0</v>
      </c>
      <c r="F3512">
        <v>0</v>
      </c>
      <c r="G3512">
        <v>0</v>
      </c>
      <c r="H3512">
        <f t="shared" si="108"/>
        <v>0</v>
      </c>
      <c r="I3512">
        <v>3</v>
      </c>
      <c r="J3512">
        <v>1</v>
      </c>
      <c r="K3512">
        <v>0</v>
      </c>
      <c r="L3512">
        <f t="shared" si="109"/>
        <v>4</v>
      </c>
    </row>
    <row r="3513" spans="1:12">
      <c r="A3513" t="s">
        <v>4229</v>
      </c>
      <c r="B3513" t="s">
        <v>352</v>
      </c>
      <c r="C3513" t="s">
        <v>2826</v>
      </c>
      <c r="D3513" t="s">
        <v>2827</v>
      </c>
      <c r="E3513">
        <v>0</v>
      </c>
      <c r="F3513">
        <v>0</v>
      </c>
      <c r="G3513">
        <v>0</v>
      </c>
      <c r="H3513">
        <f t="shared" si="108"/>
        <v>0</v>
      </c>
      <c r="I3513">
        <v>3</v>
      </c>
      <c r="J3513">
        <v>1</v>
      </c>
      <c r="K3513">
        <v>0</v>
      </c>
      <c r="L3513">
        <f t="shared" si="109"/>
        <v>4</v>
      </c>
    </row>
    <row r="3514" spans="1:12">
      <c r="A3514" t="s">
        <v>4229</v>
      </c>
      <c r="B3514" t="s">
        <v>352</v>
      </c>
      <c r="C3514" t="s">
        <v>2826</v>
      </c>
      <c r="D3514" t="s">
        <v>2828</v>
      </c>
      <c r="E3514">
        <v>0</v>
      </c>
      <c r="F3514">
        <v>0</v>
      </c>
      <c r="G3514">
        <v>0</v>
      </c>
      <c r="H3514">
        <f t="shared" si="108"/>
        <v>0</v>
      </c>
      <c r="I3514">
        <v>1</v>
      </c>
      <c r="J3514">
        <v>1</v>
      </c>
      <c r="K3514">
        <v>0</v>
      </c>
      <c r="L3514">
        <f t="shared" si="109"/>
        <v>2</v>
      </c>
    </row>
    <row r="3515" spans="1:12">
      <c r="A3515" t="s">
        <v>4229</v>
      </c>
      <c r="B3515" t="s">
        <v>352</v>
      </c>
      <c r="C3515" t="s">
        <v>2826</v>
      </c>
      <c r="D3515" t="s">
        <v>2829</v>
      </c>
      <c r="E3515">
        <v>0</v>
      </c>
      <c r="F3515">
        <v>0</v>
      </c>
      <c r="G3515">
        <v>0</v>
      </c>
      <c r="H3515">
        <f t="shared" si="108"/>
        <v>0</v>
      </c>
      <c r="I3515">
        <v>2</v>
      </c>
      <c r="J3515">
        <v>0</v>
      </c>
      <c r="K3515">
        <v>0</v>
      </c>
      <c r="L3515">
        <f t="shared" si="109"/>
        <v>2</v>
      </c>
    </row>
    <row r="3516" spans="1:12">
      <c r="A3516" t="s">
        <v>4229</v>
      </c>
      <c r="B3516" t="s">
        <v>352</v>
      </c>
      <c r="C3516" t="s">
        <v>2826</v>
      </c>
      <c r="D3516" t="s">
        <v>2891</v>
      </c>
      <c r="E3516">
        <v>0</v>
      </c>
      <c r="F3516">
        <v>0</v>
      </c>
      <c r="G3516">
        <v>0</v>
      </c>
      <c r="H3516">
        <f t="shared" si="108"/>
        <v>0</v>
      </c>
      <c r="I3516">
        <v>3</v>
      </c>
      <c r="J3516">
        <v>0</v>
      </c>
      <c r="K3516">
        <v>0</v>
      </c>
      <c r="L3516">
        <f t="shared" si="109"/>
        <v>3</v>
      </c>
    </row>
    <row r="3517" spans="1:12">
      <c r="A3517" t="s">
        <v>4229</v>
      </c>
      <c r="B3517" t="s">
        <v>352</v>
      </c>
      <c r="C3517" t="s">
        <v>2826</v>
      </c>
      <c r="D3517" t="s">
        <v>2872</v>
      </c>
      <c r="E3517">
        <v>0</v>
      </c>
      <c r="F3517">
        <v>0</v>
      </c>
      <c r="G3517">
        <v>0</v>
      </c>
      <c r="H3517">
        <f t="shared" si="108"/>
        <v>0</v>
      </c>
      <c r="I3517">
        <v>1</v>
      </c>
      <c r="J3517">
        <v>0</v>
      </c>
      <c r="K3517">
        <v>0</v>
      </c>
      <c r="L3517">
        <f t="shared" si="109"/>
        <v>1</v>
      </c>
    </row>
    <row r="3518" spans="1:12">
      <c r="A3518" t="s">
        <v>4229</v>
      </c>
      <c r="B3518" t="s">
        <v>352</v>
      </c>
      <c r="C3518" t="s">
        <v>2826</v>
      </c>
      <c r="D3518" t="s">
        <v>2858</v>
      </c>
      <c r="E3518">
        <v>0</v>
      </c>
      <c r="F3518">
        <v>0</v>
      </c>
      <c r="G3518">
        <v>0</v>
      </c>
      <c r="H3518">
        <f t="shared" si="108"/>
        <v>0</v>
      </c>
      <c r="I3518">
        <v>1</v>
      </c>
      <c r="J3518">
        <v>0</v>
      </c>
      <c r="K3518">
        <v>0</v>
      </c>
      <c r="L3518">
        <f t="shared" si="109"/>
        <v>1</v>
      </c>
    </row>
    <row r="3519" spans="1:12">
      <c r="A3519" t="s">
        <v>4229</v>
      </c>
      <c r="B3519" t="s">
        <v>352</v>
      </c>
      <c r="C3519" t="s">
        <v>2826</v>
      </c>
      <c r="D3519" t="s">
        <v>2830</v>
      </c>
      <c r="E3519">
        <v>0</v>
      </c>
      <c r="F3519">
        <v>0</v>
      </c>
      <c r="G3519">
        <v>0</v>
      </c>
      <c r="H3519">
        <f t="shared" si="108"/>
        <v>0</v>
      </c>
      <c r="I3519">
        <v>1</v>
      </c>
      <c r="J3519">
        <v>0</v>
      </c>
      <c r="K3519">
        <v>0</v>
      </c>
      <c r="L3519">
        <f t="shared" si="109"/>
        <v>1</v>
      </c>
    </row>
    <row r="3520" spans="1:12">
      <c r="A3520" t="s">
        <v>4229</v>
      </c>
      <c r="B3520" t="s">
        <v>352</v>
      </c>
      <c r="C3520" t="s">
        <v>2826</v>
      </c>
      <c r="D3520" t="s">
        <v>2864</v>
      </c>
      <c r="E3520">
        <v>0</v>
      </c>
      <c r="F3520">
        <v>0</v>
      </c>
      <c r="G3520">
        <v>0</v>
      </c>
      <c r="H3520">
        <f t="shared" si="108"/>
        <v>0</v>
      </c>
      <c r="I3520">
        <v>2</v>
      </c>
      <c r="J3520">
        <v>2</v>
      </c>
      <c r="K3520">
        <v>0</v>
      </c>
      <c r="L3520">
        <f t="shared" si="109"/>
        <v>4</v>
      </c>
    </row>
    <row r="3521" spans="1:12">
      <c r="A3521" t="s">
        <v>4229</v>
      </c>
      <c r="B3521" t="s">
        <v>352</v>
      </c>
      <c r="C3521" t="s">
        <v>2826</v>
      </c>
      <c r="D3521" t="s">
        <v>2831</v>
      </c>
      <c r="E3521">
        <v>0</v>
      </c>
      <c r="F3521">
        <v>0</v>
      </c>
      <c r="G3521">
        <v>0</v>
      </c>
      <c r="H3521">
        <f t="shared" si="108"/>
        <v>0</v>
      </c>
      <c r="I3521">
        <v>0</v>
      </c>
      <c r="J3521">
        <v>1</v>
      </c>
      <c r="K3521">
        <v>0</v>
      </c>
      <c r="L3521">
        <f t="shared" si="109"/>
        <v>1</v>
      </c>
    </row>
    <row r="3522" spans="1:12">
      <c r="A3522" t="s">
        <v>4229</v>
      </c>
      <c r="B3522" t="s">
        <v>352</v>
      </c>
      <c r="C3522" t="s">
        <v>2826</v>
      </c>
      <c r="D3522" t="s">
        <v>2843</v>
      </c>
      <c r="E3522">
        <v>0</v>
      </c>
      <c r="F3522">
        <v>0</v>
      </c>
      <c r="G3522">
        <v>0</v>
      </c>
      <c r="H3522">
        <f t="shared" si="108"/>
        <v>0</v>
      </c>
      <c r="I3522">
        <v>4</v>
      </c>
      <c r="J3522">
        <v>1</v>
      </c>
      <c r="K3522">
        <v>0</v>
      </c>
      <c r="L3522">
        <f t="shared" si="109"/>
        <v>5</v>
      </c>
    </row>
    <row r="3523" spans="1:12">
      <c r="A3523" t="s">
        <v>4229</v>
      </c>
      <c r="B3523" t="s">
        <v>352</v>
      </c>
      <c r="C3523" t="s">
        <v>2826</v>
      </c>
      <c r="D3523" t="s">
        <v>2884</v>
      </c>
      <c r="E3523">
        <v>0</v>
      </c>
      <c r="F3523">
        <v>0</v>
      </c>
      <c r="G3523">
        <v>0</v>
      </c>
      <c r="H3523">
        <f t="shared" si="108"/>
        <v>0</v>
      </c>
      <c r="I3523">
        <v>2</v>
      </c>
      <c r="J3523">
        <v>1</v>
      </c>
      <c r="K3523">
        <v>0</v>
      </c>
      <c r="L3523">
        <f t="shared" si="109"/>
        <v>3</v>
      </c>
    </row>
    <row r="3524" spans="1:12">
      <c r="A3524" t="s">
        <v>4229</v>
      </c>
      <c r="B3524" t="s">
        <v>352</v>
      </c>
      <c r="C3524" t="s">
        <v>2826</v>
      </c>
      <c r="D3524" t="s">
        <v>2885</v>
      </c>
      <c r="E3524">
        <v>0</v>
      </c>
      <c r="F3524">
        <v>0</v>
      </c>
      <c r="G3524">
        <v>0</v>
      </c>
      <c r="H3524">
        <f t="shared" ref="H3524:H3560" si="110">SUM(E3524:G3524)</f>
        <v>0</v>
      </c>
      <c r="I3524">
        <v>1</v>
      </c>
      <c r="J3524">
        <v>0</v>
      </c>
      <c r="K3524">
        <v>0</v>
      </c>
      <c r="L3524">
        <f t="shared" ref="L3524:L3560" si="111">SUM(I3524:K3524)</f>
        <v>1</v>
      </c>
    </row>
    <row r="3525" spans="1:12">
      <c r="A3525" t="s">
        <v>4229</v>
      </c>
      <c r="B3525" t="s">
        <v>352</v>
      </c>
      <c r="C3525" t="s">
        <v>2826</v>
      </c>
      <c r="D3525" t="s">
        <v>2832</v>
      </c>
      <c r="E3525">
        <v>0</v>
      </c>
      <c r="F3525">
        <v>0</v>
      </c>
      <c r="G3525">
        <v>0</v>
      </c>
      <c r="H3525">
        <f t="shared" si="110"/>
        <v>0</v>
      </c>
      <c r="I3525">
        <v>2</v>
      </c>
      <c r="J3525">
        <v>1</v>
      </c>
      <c r="K3525">
        <v>0</v>
      </c>
      <c r="L3525">
        <f t="shared" si="111"/>
        <v>3</v>
      </c>
    </row>
    <row r="3526" spans="1:12">
      <c r="A3526" t="s">
        <v>4229</v>
      </c>
      <c r="B3526" t="s">
        <v>352</v>
      </c>
      <c r="C3526" t="s">
        <v>2826</v>
      </c>
      <c r="D3526" t="s">
        <v>2833</v>
      </c>
      <c r="E3526">
        <v>0</v>
      </c>
      <c r="F3526">
        <v>0</v>
      </c>
      <c r="G3526">
        <v>0</v>
      </c>
      <c r="H3526">
        <f t="shared" si="110"/>
        <v>0</v>
      </c>
      <c r="I3526">
        <v>1</v>
      </c>
      <c r="J3526">
        <v>0</v>
      </c>
      <c r="K3526">
        <v>0</v>
      </c>
      <c r="L3526">
        <f t="shared" si="111"/>
        <v>1</v>
      </c>
    </row>
    <row r="3527" spans="1:12">
      <c r="A3527" t="s">
        <v>4229</v>
      </c>
      <c r="B3527" t="s">
        <v>352</v>
      </c>
      <c r="C3527" t="s">
        <v>2826</v>
      </c>
      <c r="D3527" t="s">
        <v>2834</v>
      </c>
      <c r="E3527">
        <v>0</v>
      </c>
      <c r="F3527">
        <v>0</v>
      </c>
      <c r="G3527">
        <v>0</v>
      </c>
      <c r="H3527">
        <f t="shared" si="110"/>
        <v>0</v>
      </c>
      <c r="I3527">
        <v>1</v>
      </c>
      <c r="J3527">
        <v>1</v>
      </c>
      <c r="K3527">
        <v>0</v>
      </c>
      <c r="L3527">
        <f t="shared" si="111"/>
        <v>2</v>
      </c>
    </row>
    <row r="3528" spans="1:12">
      <c r="A3528" t="s">
        <v>4229</v>
      </c>
      <c r="B3528" t="s">
        <v>352</v>
      </c>
      <c r="C3528" t="s">
        <v>2826</v>
      </c>
      <c r="D3528" t="s">
        <v>2886</v>
      </c>
      <c r="E3528">
        <v>0</v>
      </c>
      <c r="F3528">
        <v>0</v>
      </c>
      <c r="G3528">
        <v>0</v>
      </c>
      <c r="H3528">
        <f t="shared" si="110"/>
        <v>0</v>
      </c>
      <c r="I3528">
        <v>2</v>
      </c>
      <c r="J3528">
        <v>1</v>
      </c>
      <c r="K3528">
        <v>0</v>
      </c>
      <c r="L3528">
        <f t="shared" si="111"/>
        <v>3</v>
      </c>
    </row>
    <row r="3529" spans="1:12">
      <c r="A3529" t="s">
        <v>4229</v>
      </c>
      <c r="B3529" t="s">
        <v>352</v>
      </c>
      <c r="C3529" t="s">
        <v>2826</v>
      </c>
      <c r="D3529" t="s">
        <v>2844</v>
      </c>
      <c r="E3529">
        <v>0</v>
      </c>
      <c r="F3529">
        <v>0</v>
      </c>
      <c r="G3529">
        <v>0</v>
      </c>
      <c r="H3529">
        <f t="shared" si="110"/>
        <v>0</v>
      </c>
      <c r="I3529">
        <v>2</v>
      </c>
      <c r="J3529">
        <v>1</v>
      </c>
      <c r="K3529">
        <v>0</v>
      </c>
      <c r="L3529">
        <f t="shared" si="111"/>
        <v>3</v>
      </c>
    </row>
    <row r="3530" spans="1:12">
      <c r="A3530" t="s">
        <v>4229</v>
      </c>
      <c r="B3530" t="s">
        <v>352</v>
      </c>
      <c r="C3530" t="s">
        <v>2826</v>
      </c>
      <c r="D3530" t="s">
        <v>2916</v>
      </c>
      <c r="E3530">
        <v>0</v>
      </c>
      <c r="F3530">
        <v>0</v>
      </c>
      <c r="G3530">
        <v>0</v>
      </c>
      <c r="H3530">
        <f t="shared" si="110"/>
        <v>0</v>
      </c>
      <c r="I3530">
        <v>1</v>
      </c>
      <c r="J3530">
        <v>1</v>
      </c>
      <c r="K3530">
        <v>0</v>
      </c>
      <c r="L3530">
        <f t="shared" si="111"/>
        <v>2</v>
      </c>
    </row>
    <row r="3531" spans="1:12">
      <c r="A3531" t="s">
        <v>4229</v>
      </c>
      <c r="B3531" t="s">
        <v>352</v>
      </c>
      <c r="C3531" t="s">
        <v>2826</v>
      </c>
      <c r="D3531" t="s">
        <v>2852</v>
      </c>
      <c r="E3531">
        <v>0</v>
      </c>
      <c r="F3531">
        <v>0</v>
      </c>
      <c r="G3531">
        <v>0</v>
      </c>
      <c r="H3531">
        <f t="shared" si="110"/>
        <v>0</v>
      </c>
      <c r="I3531">
        <v>1</v>
      </c>
      <c r="J3531">
        <v>0</v>
      </c>
      <c r="K3531">
        <v>0</v>
      </c>
      <c r="L3531">
        <f t="shared" si="111"/>
        <v>1</v>
      </c>
    </row>
    <row r="3532" spans="1:12">
      <c r="A3532" t="s">
        <v>4229</v>
      </c>
      <c r="B3532" t="s">
        <v>352</v>
      </c>
      <c r="C3532" t="s">
        <v>2826</v>
      </c>
      <c r="D3532" t="s">
        <v>2835</v>
      </c>
      <c r="E3532">
        <v>0</v>
      </c>
      <c r="F3532">
        <v>0</v>
      </c>
      <c r="G3532">
        <v>0</v>
      </c>
      <c r="H3532">
        <f t="shared" si="110"/>
        <v>0</v>
      </c>
      <c r="I3532">
        <v>2</v>
      </c>
      <c r="J3532">
        <v>0</v>
      </c>
      <c r="K3532">
        <v>0</v>
      </c>
      <c r="L3532">
        <f t="shared" si="111"/>
        <v>2</v>
      </c>
    </row>
    <row r="3533" spans="1:12">
      <c r="A3533" t="s">
        <v>4229</v>
      </c>
      <c r="B3533" t="s">
        <v>352</v>
      </c>
      <c r="C3533" t="s">
        <v>2826</v>
      </c>
      <c r="D3533" t="s">
        <v>2917</v>
      </c>
      <c r="E3533">
        <v>0</v>
      </c>
      <c r="F3533">
        <v>0</v>
      </c>
      <c r="G3533">
        <v>0</v>
      </c>
      <c r="H3533">
        <f t="shared" si="110"/>
        <v>0</v>
      </c>
      <c r="I3533">
        <v>1</v>
      </c>
      <c r="J3533">
        <v>1</v>
      </c>
      <c r="K3533">
        <v>0</v>
      </c>
      <c r="L3533">
        <f t="shared" si="111"/>
        <v>2</v>
      </c>
    </row>
    <row r="3534" spans="1:12">
      <c r="A3534" t="s">
        <v>4229</v>
      </c>
      <c r="B3534" t="s">
        <v>352</v>
      </c>
      <c r="C3534" t="s">
        <v>2826</v>
      </c>
      <c r="D3534" t="s">
        <v>2849</v>
      </c>
      <c r="E3534">
        <v>0</v>
      </c>
      <c r="F3534">
        <v>0</v>
      </c>
      <c r="G3534">
        <v>0</v>
      </c>
      <c r="H3534">
        <f t="shared" si="110"/>
        <v>0</v>
      </c>
      <c r="I3534">
        <v>1</v>
      </c>
      <c r="J3534">
        <v>1</v>
      </c>
      <c r="K3534">
        <v>0</v>
      </c>
      <c r="L3534">
        <f t="shared" si="111"/>
        <v>2</v>
      </c>
    </row>
    <row r="3535" spans="1:12">
      <c r="A3535" t="s">
        <v>4229</v>
      </c>
      <c r="B3535" t="s">
        <v>352</v>
      </c>
      <c r="C3535" t="s">
        <v>2826</v>
      </c>
      <c r="D3535" t="s">
        <v>2836</v>
      </c>
      <c r="E3535">
        <v>0</v>
      </c>
      <c r="F3535">
        <v>0</v>
      </c>
      <c r="G3535">
        <v>0</v>
      </c>
      <c r="H3535">
        <f t="shared" si="110"/>
        <v>0</v>
      </c>
      <c r="I3535">
        <v>0</v>
      </c>
      <c r="J3535">
        <v>2</v>
      </c>
      <c r="K3535">
        <v>0</v>
      </c>
      <c r="L3535">
        <f t="shared" si="111"/>
        <v>2</v>
      </c>
    </row>
    <row r="3536" spans="1:12">
      <c r="A3536" t="s">
        <v>4229</v>
      </c>
      <c r="B3536" t="s">
        <v>352</v>
      </c>
      <c r="C3536" t="s">
        <v>2817</v>
      </c>
      <c r="D3536" t="s">
        <v>2887</v>
      </c>
      <c r="E3536">
        <v>0</v>
      </c>
      <c r="F3536">
        <v>0</v>
      </c>
      <c r="G3536">
        <v>0</v>
      </c>
      <c r="H3536">
        <f t="shared" si="110"/>
        <v>0</v>
      </c>
      <c r="I3536">
        <v>1</v>
      </c>
      <c r="J3536">
        <v>0</v>
      </c>
      <c r="K3536">
        <v>0</v>
      </c>
      <c r="L3536">
        <f t="shared" si="111"/>
        <v>1</v>
      </c>
    </row>
    <row r="3537" spans="1:12">
      <c r="A3537" t="s">
        <v>4229</v>
      </c>
      <c r="B3537" t="s">
        <v>352</v>
      </c>
      <c r="C3537" t="s">
        <v>2820</v>
      </c>
      <c r="D3537" t="s">
        <v>2952</v>
      </c>
      <c r="E3537">
        <v>0</v>
      </c>
      <c r="F3537">
        <v>0</v>
      </c>
      <c r="G3537">
        <v>0</v>
      </c>
      <c r="H3537">
        <f t="shared" si="110"/>
        <v>0</v>
      </c>
      <c r="I3537">
        <v>3</v>
      </c>
      <c r="J3537">
        <v>0</v>
      </c>
      <c r="K3537">
        <v>0</v>
      </c>
      <c r="L3537">
        <f t="shared" si="111"/>
        <v>3</v>
      </c>
    </row>
    <row r="3538" spans="1:12">
      <c r="A3538" t="s">
        <v>4229</v>
      </c>
      <c r="B3538" t="s">
        <v>352</v>
      </c>
      <c r="C3538" t="s">
        <v>2820</v>
      </c>
      <c r="D3538" t="s">
        <v>2821</v>
      </c>
      <c r="E3538">
        <v>0</v>
      </c>
      <c r="F3538">
        <v>0</v>
      </c>
      <c r="G3538">
        <v>0</v>
      </c>
      <c r="H3538">
        <f t="shared" si="110"/>
        <v>0</v>
      </c>
      <c r="I3538">
        <v>1</v>
      </c>
      <c r="J3538">
        <v>1</v>
      </c>
      <c r="K3538">
        <v>0</v>
      </c>
      <c r="L3538">
        <f t="shared" si="111"/>
        <v>2</v>
      </c>
    </row>
    <row r="3539" spans="1:12">
      <c r="A3539" t="s">
        <v>4229</v>
      </c>
      <c r="B3539" t="s">
        <v>352</v>
      </c>
      <c r="C3539" t="s">
        <v>2820</v>
      </c>
      <c r="D3539" t="s">
        <v>2949</v>
      </c>
      <c r="E3539">
        <v>0</v>
      </c>
      <c r="F3539">
        <v>0</v>
      </c>
      <c r="G3539">
        <v>0</v>
      </c>
      <c r="H3539">
        <f t="shared" si="110"/>
        <v>0</v>
      </c>
      <c r="I3539">
        <v>1</v>
      </c>
      <c r="J3539">
        <v>1</v>
      </c>
      <c r="K3539">
        <v>0</v>
      </c>
      <c r="L3539">
        <f t="shared" si="111"/>
        <v>2</v>
      </c>
    </row>
    <row r="3540" spans="1:12">
      <c r="A3540" t="s">
        <v>4236</v>
      </c>
      <c r="B3540" t="s">
        <v>1728</v>
      </c>
      <c r="C3540" t="s">
        <v>2805</v>
      </c>
      <c r="D3540" t="s">
        <v>2806</v>
      </c>
      <c r="E3540">
        <v>8</v>
      </c>
      <c r="F3540">
        <v>0</v>
      </c>
      <c r="G3540">
        <v>0</v>
      </c>
      <c r="H3540">
        <f t="shared" si="110"/>
        <v>8</v>
      </c>
      <c r="I3540">
        <v>0</v>
      </c>
      <c r="J3540">
        <v>0</v>
      </c>
      <c r="K3540">
        <v>0</v>
      </c>
      <c r="L3540">
        <f t="shared" si="111"/>
        <v>0</v>
      </c>
    </row>
    <row r="3541" spans="1:12">
      <c r="A3541" t="s">
        <v>4236</v>
      </c>
      <c r="B3541" t="s">
        <v>1728</v>
      </c>
      <c r="C3541" t="s">
        <v>2805</v>
      </c>
      <c r="D3541" t="s">
        <v>449</v>
      </c>
      <c r="E3541">
        <v>14</v>
      </c>
      <c r="F3541">
        <v>0</v>
      </c>
      <c r="G3541">
        <v>0</v>
      </c>
      <c r="H3541">
        <f t="shared" si="110"/>
        <v>14</v>
      </c>
      <c r="I3541">
        <v>0</v>
      </c>
      <c r="J3541">
        <v>0</v>
      </c>
      <c r="K3541">
        <v>0</v>
      </c>
      <c r="L3541">
        <f t="shared" si="111"/>
        <v>0</v>
      </c>
    </row>
    <row r="3542" spans="1:12">
      <c r="A3542" t="s">
        <v>4236</v>
      </c>
      <c r="B3542" t="s">
        <v>1728</v>
      </c>
      <c r="C3542" t="s">
        <v>2805</v>
      </c>
      <c r="D3542" t="s">
        <v>2807</v>
      </c>
      <c r="E3542">
        <v>5</v>
      </c>
      <c r="F3542">
        <v>0</v>
      </c>
      <c r="G3542">
        <v>0</v>
      </c>
      <c r="H3542">
        <f t="shared" si="110"/>
        <v>5</v>
      </c>
      <c r="I3542">
        <v>1</v>
      </c>
      <c r="J3542">
        <v>0</v>
      </c>
      <c r="K3542">
        <v>0</v>
      </c>
      <c r="L3542">
        <f t="shared" si="111"/>
        <v>1</v>
      </c>
    </row>
    <row r="3543" spans="1:12">
      <c r="A3543" t="s">
        <v>4236</v>
      </c>
      <c r="B3543" t="s">
        <v>1728</v>
      </c>
      <c r="C3543" t="s">
        <v>2810</v>
      </c>
      <c r="D3543" t="s">
        <v>2815</v>
      </c>
      <c r="E3543">
        <v>13</v>
      </c>
      <c r="F3543">
        <v>0</v>
      </c>
      <c r="G3543">
        <v>0</v>
      </c>
      <c r="H3543">
        <f t="shared" si="110"/>
        <v>13</v>
      </c>
      <c r="I3543">
        <v>0</v>
      </c>
      <c r="J3543">
        <v>0</v>
      </c>
      <c r="K3543">
        <v>0</v>
      </c>
      <c r="L3543">
        <f t="shared" si="111"/>
        <v>0</v>
      </c>
    </row>
    <row r="3544" spans="1:12">
      <c r="A3544" t="s">
        <v>4236</v>
      </c>
      <c r="B3544" t="s">
        <v>1728</v>
      </c>
      <c r="C3544" t="s">
        <v>2826</v>
      </c>
      <c r="D3544" t="s">
        <v>2858</v>
      </c>
      <c r="E3544">
        <v>1</v>
      </c>
      <c r="F3544">
        <v>0</v>
      </c>
      <c r="G3544">
        <v>0</v>
      </c>
      <c r="H3544">
        <f t="shared" si="110"/>
        <v>1</v>
      </c>
      <c r="I3544">
        <v>0</v>
      </c>
      <c r="J3544">
        <v>0</v>
      </c>
      <c r="K3544">
        <v>0</v>
      </c>
      <c r="L3544">
        <f t="shared" si="111"/>
        <v>0</v>
      </c>
    </row>
    <row r="3545" spans="1:12">
      <c r="A3545" t="s">
        <v>4236</v>
      </c>
      <c r="B3545" t="s">
        <v>1728</v>
      </c>
      <c r="C3545" t="s">
        <v>2826</v>
      </c>
      <c r="D3545" t="s">
        <v>2830</v>
      </c>
      <c r="E3545">
        <v>0</v>
      </c>
      <c r="F3545">
        <v>1</v>
      </c>
      <c r="G3545">
        <v>0</v>
      </c>
      <c r="H3545">
        <f t="shared" si="110"/>
        <v>1</v>
      </c>
      <c r="I3545">
        <v>0</v>
      </c>
      <c r="J3545">
        <v>0</v>
      </c>
      <c r="K3545">
        <v>0</v>
      </c>
      <c r="L3545">
        <f t="shared" si="111"/>
        <v>0</v>
      </c>
    </row>
    <row r="3546" spans="1:12">
      <c r="A3546" t="s">
        <v>4236</v>
      </c>
      <c r="B3546" t="s">
        <v>1728</v>
      </c>
      <c r="C3546" t="s">
        <v>2826</v>
      </c>
      <c r="D3546" t="s">
        <v>2843</v>
      </c>
      <c r="E3546">
        <v>1</v>
      </c>
      <c r="F3546">
        <v>0</v>
      </c>
      <c r="G3546">
        <v>0</v>
      </c>
      <c r="H3546">
        <f t="shared" si="110"/>
        <v>1</v>
      </c>
      <c r="I3546">
        <v>0</v>
      </c>
      <c r="J3546">
        <v>0</v>
      </c>
      <c r="K3546">
        <v>0</v>
      </c>
      <c r="L3546">
        <f t="shared" si="111"/>
        <v>0</v>
      </c>
    </row>
    <row r="3547" spans="1:12">
      <c r="A3547" t="s">
        <v>4236</v>
      </c>
      <c r="B3547" t="s">
        <v>1728</v>
      </c>
      <c r="C3547" t="s">
        <v>2820</v>
      </c>
      <c r="D3547" t="s">
        <v>2949</v>
      </c>
      <c r="E3547">
        <v>1</v>
      </c>
      <c r="F3547">
        <v>0</v>
      </c>
      <c r="G3547">
        <v>0</v>
      </c>
      <c r="H3547">
        <f t="shared" si="110"/>
        <v>1</v>
      </c>
      <c r="I3547">
        <v>0</v>
      </c>
      <c r="J3547">
        <v>0</v>
      </c>
      <c r="K3547">
        <v>0</v>
      </c>
      <c r="L3547">
        <f t="shared" si="111"/>
        <v>0</v>
      </c>
    </row>
    <row r="3548" spans="1:12">
      <c r="A3548" t="s">
        <v>4251</v>
      </c>
      <c r="B3548" t="s">
        <v>1737</v>
      </c>
      <c r="C3548" t="s">
        <v>2805</v>
      </c>
      <c r="D3548" t="s">
        <v>2806</v>
      </c>
      <c r="E3548">
        <v>238</v>
      </c>
      <c r="F3548">
        <v>0</v>
      </c>
      <c r="G3548">
        <v>0</v>
      </c>
      <c r="H3548">
        <f t="shared" si="110"/>
        <v>238</v>
      </c>
      <c r="I3548">
        <v>0</v>
      </c>
      <c r="J3548">
        <v>0</v>
      </c>
      <c r="K3548">
        <v>0</v>
      </c>
      <c r="L3548">
        <f t="shared" si="111"/>
        <v>0</v>
      </c>
    </row>
    <row r="3549" spans="1:12">
      <c r="A3549" t="s">
        <v>4251</v>
      </c>
      <c r="B3549" t="s">
        <v>1737</v>
      </c>
      <c r="C3549" t="s">
        <v>2805</v>
      </c>
      <c r="D3549" t="s">
        <v>449</v>
      </c>
      <c r="E3549">
        <v>457</v>
      </c>
      <c r="F3549">
        <v>0</v>
      </c>
      <c r="G3549">
        <v>0</v>
      </c>
      <c r="H3549">
        <f t="shared" si="110"/>
        <v>457</v>
      </c>
      <c r="I3549">
        <v>0</v>
      </c>
      <c r="J3549">
        <v>0</v>
      </c>
      <c r="K3549">
        <v>0</v>
      </c>
      <c r="L3549">
        <f t="shared" si="111"/>
        <v>0</v>
      </c>
    </row>
    <row r="3550" spans="1:12">
      <c r="A3550" t="s">
        <v>4251</v>
      </c>
      <c r="B3550" t="s">
        <v>1737</v>
      </c>
      <c r="C3550" t="s">
        <v>2805</v>
      </c>
      <c r="D3550" t="s">
        <v>2807</v>
      </c>
      <c r="E3550">
        <v>19</v>
      </c>
      <c r="F3550">
        <v>0</v>
      </c>
      <c r="G3550">
        <v>0</v>
      </c>
      <c r="H3550">
        <f t="shared" si="110"/>
        <v>19</v>
      </c>
      <c r="I3550">
        <v>0</v>
      </c>
      <c r="J3550">
        <v>0</v>
      </c>
      <c r="K3550">
        <v>0</v>
      </c>
      <c r="L3550">
        <f t="shared" si="111"/>
        <v>0</v>
      </c>
    </row>
    <row r="3551" spans="1:12">
      <c r="A3551" t="s">
        <v>4251</v>
      </c>
      <c r="B3551" t="s">
        <v>1737</v>
      </c>
      <c r="C3551" t="s">
        <v>2810</v>
      </c>
      <c r="D3551" t="s">
        <v>2811</v>
      </c>
      <c r="E3551">
        <v>19</v>
      </c>
      <c r="F3551">
        <v>0</v>
      </c>
      <c r="G3551">
        <v>0</v>
      </c>
      <c r="H3551">
        <f t="shared" si="110"/>
        <v>19</v>
      </c>
      <c r="I3551">
        <v>0</v>
      </c>
      <c r="J3551">
        <v>0</v>
      </c>
      <c r="K3551">
        <v>0</v>
      </c>
      <c r="L3551">
        <f t="shared" si="111"/>
        <v>0</v>
      </c>
    </row>
    <row r="3552" spans="1:12">
      <c r="A3552" t="s">
        <v>4251</v>
      </c>
      <c r="B3552" t="s">
        <v>1737</v>
      </c>
      <c r="C3552" t="s">
        <v>2810</v>
      </c>
      <c r="D3552" t="s">
        <v>2823</v>
      </c>
      <c r="E3552">
        <v>2</v>
      </c>
      <c r="F3552">
        <v>0</v>
      </c>
      <c r="G3552">
        <v>0</v>
      </c>
      <c r="H3552">
        <f t="shared" si="110"/>
        <v>2</v>
      </c>
      <c r="I3552">
        <v>0</v>
      </c>
      <c r="J3552">
        <v>0</v>
      </c>
      <c r="K3552">
        <v>0</v>
      </c>
      <c r="L3552">
        <f t="shared" si="111"/>
        <v>0</v>
      </c>
    </row>
    <row r="3553" spans="1:12">
      <c r="A3553" t="s">
        <v>4251</v>
      </c>
      <c r="B3553" t="s">
        <v>1737</v>
      </c>
      <c r="C3553" t="s">
        <v>2810</v>
      </c>
      <c r="D3553" t="s">
        <v>2812</v>
      </c>
      <c r="E3553">
        <v>50</v>
      </c>
      <c r="F3553">
        <v>0</v>
      </c>
      <c r="G3553">
        <v>0</v>
      </c>
      <c r="H3553">
        <f t="shared" si="110"/>
        <v>50</v>
      </c>
      <c r="I3553">
        <v>0</v>
      </c>
      <c r="J3553">
        <v>0</v>
      </c>
      <c r="K3553">
        <v>0</v>
      </c>
      <c r="L3553">
        <f t="shared" si="111"/>
        <v>0</v>
      </c>
    </row>
    <row r="3554" spans="1:12">
      <c r="A3554" t="s">
        <v>4251</v>
      </c>
      <c r="B3554" t="s">
        <v>1737</v>
      </c>
      <c r="C3554" t="s">
        <v>2810</v>
      </c>
      <c r="D3554" t="s">
        <v>2813</v>
      </c>
      <c r="E3554">
        <v>9</v>
      </c>
      <c r="F3554">
        <v>0</v>
      </c>
      <c r="G3554">
        <v>0</v>
      </c>
      <c r="H3554">
        <f t="shared" si="110"/>
        <v>9</v>
      </c>
      <c r="I3554">
        <v>0</v>
      </c>
      <c r="J3554">
        <v>0</v>
      </c>
      <c r="K3554">
        <v>0</v>
      </c>
      <c r="L3554">
        <f t="shared" si="111"/>
        <v>0</v>
      </c>
    </row>
    <row r="3555" spans="1:12">
      <c r="A3555" t="s">
        <v>4251</v>
      </c>
      <c r="B3555" t="s">
        <v>1737</v>
      </c>
      <c r="C3555" t="s">
        <v>2810</v>
      </c>
      <c r="D3555" t="s">
        <v>2814</v>
      </c>
      <c r="E3555">
        <v>14</v>
      </c>
      <c r="F3555">
        <v>0</v>
      </c>
      <c r="G3555">
        <v>0</v>
      </c>
      <c r="H3555">
        <f t="shared" si="110"/>
        <v>14</v>
      </c>
      <c r="I3555">
        <v>0</v>
      </c>
      <c r="J3555">
        <v>0</v>
      </c>
      <c r="K3555">
        <v>0</v>
      </c>
      <c r="L3555">
        <f t="shared" si="111"/>
        <v>0</v>
      </c>
    </row>
    <row r="3556" spans="1:12">
      <c r="A3556" t="s">
        <v>4251</v>
      </c>
      <c r="B3556" t="s">
        <v>1737</v>
      </c>
      <c r="C3556" t="s">
        <v>2816</v>
      </c>
      <c r="D3556" t="s">
        <v>1897</v>
      </c>
      <c r="E3556">
        <v>5</v>
      </c>
      <c r="F3556">
        <v>0</v>
      </c>
      <c r="G3556">
        <v>0</v>
      </c>
      <c r="H3556">
        <f t="shared" si="110"/>
        <v>5</v>
      </c>
      <c r="I3556">
        <v>0</v>
      </c>
      <c r="J3556">
        <v>0</v>
      </c>
      <c r="K3556">
        <v>0</v>
      </c>
      <c r="L3556">
        <f t="shared" si="111"/>
        <v>0</v>
      </c>
    </row>
    <row r="3557" spans="1:12">
      <c r="A3557" t="s">
        <v>4251</v>
      </c>
      <c r="B3557" t="s">
        <v>1737</v>
      </c>
      <c r="C3557" t="s">
        <v>2816</v>
      </c>
      <c r="D3557" t="s">
        <v>3199</v>
      </c>
      <c r="E3557">
        <v>1</v>
      </c>
      <c r="F3557">
        <v>0</v>
      </c>
      <c r="G3557">
        <v>0</v>
      </c>
      <c r="H3557">
        <f t="shared" si="110"/>
        <v>1</v>
      </c>
      <c r="I3557">
        <v>0</v>
      </c>
      <c r="J3557">
        <v>0</v>
      </c>
      <c r="K3557">
        <v>0</v>
      </c>
      <c r="L3557">
        <f t="shared" si="111"/>
        <v>0</v>
      </c>
    </row>
    <row r="3558" spans="1:12">
      <c r="A3558" t="s">
        <v>4251</v>
      </c>
      <c r="B3558" t="s">
        <v>1737</v>
      </c>
      <c r="C3558" t="s">
        <v>2817</v>
      </c>
      <c r="D3558" t="s">
        <v>2888</v>
      </c>
      <c r="E3558">
        <v>6</v>
      </c>
      <c r="F3558">
        <v>0</v>
      </c>
      <c r="G3558">
        <v>0</v>
      </c>
      <c r="H3558">
        <f t="shared" si="110"/>
        <v>6</v>
      </c>
      <c r="I3558">
        <v>0</v>
      </c>
      <c r="J3558">
        <v>0</v>
      </c>
      <c r="K3558">
        <v>0</v>
      </c>
      <c r="L3558">
        <f t="shared" si="111"/>
        <v>0</v>
      </c>
    </row>
    <row r="3559" spans="1:12">
      <c r="A3559" t="s">
        <v>4251</v>
      </c>
      <c r="B3559" t="s">
        <v>1737</v>
      </c>
      <c r="C3559" t="s">
        <v>2817</v>
      </c>
      <c r="D3559" t="s">
        <v>2818</v>
      </c>
      <c r="E3559">
        <v>24</v>
      </c>
      <c r="F3559">
        <v>0</v>
      </c>
      <c r="G3559">
        <v>0</v>
      </c>
      <c r="H3559">
        <f t="shared" si="110"/>
        <v>24</v>
      </c>
      <c r="I3559">
        <v>0</v>
      </c>
      <c r="J3559">
        <v>0</v>
      </c>
      <c r="K3559">
        <v>0</v>
      </c>
      <c r="L3559">
        <f t="shared" si="111"/>
        <v>0</v>
      </c>
    </row>
    <row r="3560" spans="1:12">
      <c r="A3560" t="s">
        <v>4251</v>
      </c>
      <c r="B3560" t="s">
        <v>1737</v>
      </c>
      <c r="C3560" t="s">
        <v>2817</v>
      </c>
      <c r="D3560" t="s">
        <v>2909</v>
      </c>
      <c r="E3560">
        <v>3</v>
      </c>
      <c r="F3560">
        <v>0</v>
      </c>
      <c r="G3560">
        <v>0</v>
      </c>
      <c r="H3560">
        <f t="shared" si="110"/>
        <v>3</v>
      </c>
      <c r="I3560">
        <v>0</v>
      </c>
      <c r="J3560">
        <v>0</v>
      </c>
      <c r="K3560">
        <v>0</v>
      </c>
      <c r="L3560">
        <f t="shared" si="111"/>
        <v>0</v>
      </c>
    </row>
  </sheetData>
  <mergeCells count="2">
    <mergeCell ref="E1:G1"/>
    <mergeCell ref="I1:K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50"/>
  <sheetViews>
    <sheetView workbookViewId="0">
      <selection sqref="A1:H2"/>
    </sheetView>
  </sheetViews>
  <sheetFormatPr defaultRowHeight="15"/>
  <cols>
    <col min="2" max="2" width="22.5703125" customWidth="1"/>
    <col min="3" max="3" width="25.5703125" bestFit="1" customWidth="1"/>
    <col min="4" max="4" width="26.5703125" bestFit="1" customWidth="1"/>
  </cols>
  <sheetData>
    <row r="1" spans="1:8">
      <c r="A1" s="1198" t="s">
        <v>2791</v>
      </c>
      <c r="B1" s="1198" t="s">
        <v>2792</v>
      </c>
      <c r="C1" s="1198" t="s">
        <v>2793</v>
      </c>
      <c r="D1" s="1198" t="s">
        <v>2794</v>
      </c>
      <c r="E1" s="1196" t="s">
        <v>2795</v>
      </c>
      <c r="F1" s="1197"/>
      <c r="G1" s="1196" t="s">
        <v>2796</v>
      </c>
      <c r="H1" s="1197"/>
    </row>
    <row r="2" spans="1:8" ht="33.75">
      <c r="A2" s="1199"/>
      <c r="B2" s="1199"/>
      <c r="C2" s="1199"/>
      <c r="D2" s="1199"/>
      <c r="E2" s="957" t="s">
        <v>4254</v>
      </c>
      <c r="F2" s="957" t="s">
        <v>4255</v>
      </c>
      <c r="G2" s="957" t="s">
        <v>4254</v>
      </c>
      <c r="H2" s="957" t="s">
        <v>4255</v>
      </c>
    </row>
    <row r="3" spans="1:8">
      <c r="A3" s="959" t="s">
        <v>2803</v>
      </c>
      <c r="B3" s="960" t="s">
        <v>2804</v>
      </c>
      <c r="C3" s="960" t="s">
        <v>4256</v>
      </c>
      <c r="D3" s="960" t="s">
        <v>1906</v>
      </c>
      <c r="E3" s="959">
        <v>19</v>
      </c>
      <c r="F3" s="959">
        <v>301</v>
      </c>
      <c r="G3" s="959">
        <v>0</v>
      </c>
      <c r="H3" s="959">
        <v>2</v>
      </c>
    </row>
    <row r="4" spans="1:8">
      <c r="A4" s="959" t="s">
        <v>2803</v>
      </c>
      <c r="B4" s="960" t="s">
        <v>2804</v>
      </c>
      <c r="C4" s="960" t="s">
        <v>4257</v>
      </c>
      <c r="D4" s="960" t="s">
        <v>4258</v>
      </c>
      <c r="E4" s="959">
        <v>1</v>
      </c>
      <c r="F4" s="959">
        <v>10</v>
      </c>
      <c r="G4" s="959">
        <v>0</v>
      </c>
      <c r="H4" s="959">
        <v>0</v>
      </c>
    </row>
    <row r="5" spans="1:8">
      <c r="A5" s="959" t="s">
        <v>2822</v>
      </c>
      <c r="B5" s="960" t="s">
        <v>672</v>
      </c>
      <c r="C5" s="960" t="s">
        <v>4256</v>
      </c>
      <c r="D5" s="960" t="s">
        <v>470</v>
      </c>
      <c r="E5" s="959">
        <v>0</v>
      </c>
      <c r="F5" s="959">
        <v>0</v>
      </c>
      <c r="G5" s="959">
        <v>0</v>
      </c>
      <c r="H5" s="959">
        <v>1</v>
      </c>
    </row>
    <row r="6" spans="1:8">
      <c r="A6" s="959" t="s">
        <v>2822</v>
      </c>
      <c r="B6" s="960" t="s">
        <v>672</v>
      </c>
      <c r="C6" s="960" t="s">
        <v>4256</v>
      </c>
      <c r="D6" s="960" t="s">
        <v>1904</v>
      </c>
      <c r="E6" s="959">
        <v>0</v>
      </c>
      <c r="F6" s="959">
        <v>1</v>
      </c>
      <c r="G6" s="959">
        <v>0</v>
      </c>
      <c r="H6" s="959">
        <v>2</v>
      </c>
    </row>
    <row r="7" spans="1:8">
      <c r="A7" s="959" t="s">
        <v>2822</v>
      </c>
      <c r="B7" s="960" t="s">
        <v>672</v>
      </c>
      <c r="C7" s="960" t="s">
        <v>4256</v>
      </c>
      <c r="D7" s="960" t="s">
        <v>4259</v>
      </c>
      <c r="E7" s="959">
        <v>0</v>
      </c>
      <c r="F7" s="959">
        <v>1</v>
      </c>
      <c r="G7" s="959">
        <v>0</v>
      </c>
      <c r="H7" s="959">
        <v>8</v>
      </c>
    </row>
    <row r="8" spans="1:8">
      <c r="A8" s="959" t="s">
        <v>2822</v>
      </c>
      <c r="B8" s="960" t="s">
        <v>672</v>
      </c>
      <c r="C8" s="960" t="s">
        <v>4256</v>
      </c>
      <c r="D8" s="960" t="s">
        <v>4260</v>
      </c>
      <c r="E8" s="959">
        <v>0</v>
      </c>
      <c r="F8" s="959">
        <v>3</v>
      </c>
      <c r="G8" s="959">
        <v>0</v>
      </c>
      <c r="H8" s="959">
        <v>5</v>
      </c>
    </row>
    <row r="9" spans="1:8">
      <c r="A9" s="959" t="s">
        <v>2822</v>
      </c>
      <c r="B9" s="960" t="s">
        <v>672</v>
      </c>
      <c r="C9" s="960" t="s">
        <v>4256</v>
      </c>
      <c r="D9" s="960" t="s">
        <v>1906</v>
      </c>
      <c r="E9" s="959">
        <v>0</v>
      </c>
      <c r="F9" s="959">
        <v>3</v>
      </c>
      <c r="G9" s="959">
        <v>0</v>
      </c>
      <c r="H9" s="959">
        <v>0</v>
      </c>
    </row>
    <row r="10" spans="1:8">
      <c r="A10" s="959" t="s">
        <v>2822</v>
      </c>
      <c r="B10" s="960" t="s">
        <v>672</v>
      </c>
      <c r="C10" s="960" t="s">
        <v>4256</v>
      </c>
      <c r="D10" s="960" t="s">
        <v>4261</v>
      </c>
      <c r="E10" s="959">
        <v>0</v>
      </c>
      <c r="F10" s="959">
        <v>1</v>
      </c>
      <c r="G10" s="959">
        <v>0</v>
      </c>
      <c r="H10" s="959">
        <v>0</v>
      </c>
    </row>
    <row r="11" spans="1:8">
      <c r="A11" s="959" t="s">
        <v>2822</v>
      </c>
      <c r="B11" s="960" t="s">
        <v>672</v>
      </c>
      <c r="C11" s="960" t="s">
        <v>4257</v>
      </c>
      <c r="D11" s="960" t="s">
        <v>4258</v>
      </c>
      <c r="E11" s="959">
        <v>0</v>
      </c>
      <c r="F11" s="959">
        <v>22</v>
      </c>
      <c r="G11" s="959">
        <v>0</v>
      </c>
      <c r="H11" s="959">
        <v>1</v>
      </c>
    </row>
    <row r="12" spans="1:8">
      <c r="A12" s="959" t="s">
        <v>2822</v>
      </c>
      <c r="B12" s="960" t="s">
        <v>672</v>
      </c>
      <c r="C12" s="960" t="s">
        <v>4262</v>
      </c>
      <c r="D12" s="960" t="s">
        <v>4263</v>
      </c>
      <c r="E12" s="959">
        <v>6</v>
      </c>
      <c r="F12" s="959">
        <v>21</v>
      </c>
      <c r="G12" s="959">
        <v>0</v>
      </c>
      <c r="H12" s="959">
        <v>0</v>
      </c>
    </row>
    <row r="13" spans="1:8">
      <c r="A13" s="959" t="s">
        <v>2824</v>
      </c>
      <c r="B13" s="960" t="s">
        <v>2825</v>
      </c>
      <c r="C13" s="960" t="s">
        <v>4256</v>
      </c>
      <c r="D13" s="960" t="s">
        <v>1906</v>
      </c>
      <c r="E13" s="959">
        <v>15</v>
      </c>
      <c r="F13" s="959">
        <v>215</v>
      </c>
      <c r="G13" s="959">
        <v>0</v>
      </c>
      <c r="H13" s="959">
        <v>0</v>
      </c>
    </row>
    <row r="14" spans="1:8">
      <c r="A14" s="959" t="s">
        <v>2824</v>
      </c>
      <c r="B14" s="960" t="s">
        <v>2825</v>
      </c>
      <c r="C14" s="960" t="s">
        <v>4256</v>
      </c>
      <c r="D14" s="960" t="s">
        <v>4264</v>
      </c>
      <c r="E14" s="959">
        <v>0</v>
      </c>
      <c r="F14" s="959">
        <v>0</v>
      </c>
      <c r="G14" s="959">
        <v>1</v>
      </c>
      <c r="H14" s="959">
        <v>7</v>
      </c>
    </row>
    <row r="15" spans="1:8">
      <c r="A15" s="959" t="s">
        <v>2824</v>
      </c>
      <c r="B15" s="960" t="s">
        <v>2825</v>
      </c>
      <c r="C15" s="960" t="s">
        <v>4257</v>
      </c>
      <c r="D15" s="960" t="s">
        <v>4258</v>
      </c>
      <c r="E15" s="959">
        <v>7</v>
      </c>
      <c r="F15" s="959">
        <v>89</v>
      </c>
      <c r="G15" s="959">
        <v>0</v>
      </c>
      <c r="H15" s="959">
        <v>3</v>
      </c>
    </row>
    <row r="16" spans="1:8">
      <c r="A16" s="959" t="s">
        <v>2824</v>
      </c>
      <c r="B16" s="960" t="s">
        <v>2825</v>
      </c>
      <c r="C16" s="960" t="s">
        <v>4262</v>
      </c>
      <c r="D16" s="960" t="s">
        <v>4263</v>
      </c>
      <c r="E16" s="959">
        <v>0</v>
      </c>
      <c r="F16" s="959">
        <v>1</v>
      </c>
      <c r="G16" s="959">
        <v>0</v>
      </c>
      <c r="H16" s="959">
        <v>0</v>
      </c>
    </row>
    <row r="17" spans="1:8">
      <c r="A17" s="959" t="s">
        <v>2838</v>
      </c>
      <c r="B17" s="960" t="s">
        <v>2839</v>
      </c>
      <c r="C17" s="960" t="s">
        <v>4256</v>
      </c>
      <c r="D17" s="960" t="s">
        <v>470</v>
      </c>
      <c r="E17" s="959">
        <v>0</v>
      </c>
      <c r="F17" s="959">
        <v>2</v>
      </c>
      <c r="G17" s="959">
        <v>7</v>
      </c>
      <c r="H17" s="959">
        <v>150</v>
      </c>
    </row>
    <row r="18" spans="1:8">
      <c r="A18" s="959" t="s">
        <v>2838</v>
      </c>
      <c r="B18" s="960" t="s">
        <v>2839</v>
      </c>
      <c r="C18" s="960" t="s">
        <v>4256</v>
      </c>
      <c r="D18" s="960" t="s">
        <v>1904</v>
      </c>
      <c r="E18" s="959">
        <v>0</v>
      </c>
      <c r="F18" s="959">
        <v>0</v>
      </c>
      <c r="G18" s="959">
        <v>0</v>
      </c>
      <c r="H18" s="959">
        <v>32</v>
      </c>
    </row>
    <row r="19" spans="1:8">
      <c r="A19" s="959" t="s">
        <v>2838</v>
      </c>
      <c r="B19" s="960" t="s">
        <v>2839</v>
      </c>
      <c r="C19" s="960" t="s">
        <v>4256</v>
      </c>
      <c r="D19" s="960" t="s">
        <v>4260</v>
      </c>
      <c r="E19" s="959">
        <v>0</v>
      </c>
      <c r="F19" s="959">
        <v>0</v>
      </c>
      <c r="G19" s="959">
        <v>0</v>
      </c>
      <c r="H19" s="959">
        <v>1</v>
      </c>
    </row>
    <row r="20" spans="1:8">
      <c r="A20" s="959" t="s">
        <v>2838</v>
      </c>
      <c r="B20" s="960" t="s">
        <v>2839</v>
      </c>
      <c r="C20" s="960" t="s">
        <v>4256</v>
      </c>
      <c r="D20" s="960" t="s">
        <v>1906</v>
      </c>
      <c r="E20" s="959">
        <v>3</v>
      </c>
      <c r="F20" s="959">
        <v>14</v>
      </c>
      <c r="G20" s="959">
        <v>2</v>
      </c>
      <c r="H20" s="959">
        <v>6</v>
      </c>
    </row>
    <row r="21" spans="1:8">
      <c r="A21" s="959" t="s">
        <v>2838</v>
      </c>
      <c r="B21" s="960" t="s">
        <v>2839</v>
      </c>
      <c r="C21" s="960" t="s">
        <v>4257</v>
      </c>
      <c r="D21" s="960" t="s">
        <v>4258</v>
      </c>
      <c r="E21" s="959">
        <v>2</v>
      </c>
      <c r="F21" s="959">
        <v>32</v>
      </c>
      <c r="G21" s="959">
        <v>1</v>
      </c>
      <c r="H21" s="959">
        <v>8</v>
      </c>
    </row>
    <row r="22" spans="1:8">
      <c r="A22" s="959" t="s">
        <v>2845</v>
      </c>
      <c r="B22" s="960" t="s">
        <v>694</v>
      </c>
      <c r="C22" s="960" t="s">
        <v>4256</v>
      </c>
      <c r="D22" s="960" t="s">
        <v>4260</v>
      </c>
      <c r="E22" s="959">
        <v>0</v>
      </c>
      <c r="F22" s="959">
        <v>1</v>
      </c>
      <c r="G22" s="959">
        <v>0</v>
      </c>
      <c r="H22" s="959">
        <v>0</v>
      </c>
    </row>
    <row r="23" spans="1:8">
      <c r="A23" s="959" t="s">
        <v>2845</v>
      </c>
      <c r="B23" s="960" t="s">
        <v>694</v>
      </c>
      <c r="C23" s="960" t="s">
        <v>4256</v>
      </c>
      <c r="D23" s="960" t="s">
        <v>4265</v>
      </c>
      <c r="E23" s="959">
        <v>0</v>
      </c>
      <c r="F23" s="959">
        <v>1</v>
      </c>
      <c r="G23" s="959">
        <v>0</v>
      </c>
      <c r="H23" s="959">
        <v>0</v>
      </c>
    </row>
    <row r="24" spans="1:8">
      <c r="A24" s="959" t="s">
        <v>2845</v>
      </c>
      <c r="B24" s="960" t="s">
        <v>694</v>
      </c>
      <c r="C24" s="960" t="s">
        <v>4256</v>
      </c>
      <c r="D24" s="960" t="s">
        <v>1906</v>
      </c>
      <c r="E24" s="959">
        <v>0</v>
      </c>
      <c r="F24" s="959">
        <v>1</v>
      </c>
      <c r="G24" s="959">
        <v>0</v>
      </c>
      <c r="H24" s="959">
        <v>0</v>
      </c>
    </row>
    <row r="25" spans="1:8">
      <c r="A25" s="959" t="s">
        <v>2845</v>
      </c>
      <c r="B25" s="960" t="s">
        <v>694</v>
      </c>
      <c r="C25" s="960" t="s">
        <v>4257</v>
      </c>
      <c r="D25" s="960" t="s">
        <v>4258</v>
      </c>
      <c r="E25" s="959">
        <v>0</v>
      </c>
      <c r="F25" s="959">
        <v>4</v>
      </c>
      <c r="G25" s="959">
        <v>0</v>
      </c>
      <c r="H25" s="959">
        <v>0</v>
      </c>
    </row>
    <row r="26" spans="1:8">
      <c r="A26" s="959" t="s">
        <v>2845</v>
      </c>
      <c r="B26" s="960" t="s">
        <v>694</v>
      </c>
      <c r="C26" s="960" t="s">
        <v>4262</v>
      </c>
      <c r="D26" s="960" t="s">
        <v>4263</v>
      </c>
      <c r="E26" s="959">
        <v>3</v>
      </c>
      <c r="F26" s="959">
        <v>14</v>
      </c>
      <c r="G26" s="959">
        <v>0</v>
      </c>
      <c r="H26" s="959">
        <v>0</v>
      </c>
    </row>
    <row r="27" spans="1:8">
      <c r="A27" s="959" t="s">
        <v>2850</v>
      </c>
      <c r="B27" s="960" t="s">
        <v>2851</v>
      </c>
      <c r="C27" s="960" t="s">
        <v>4257</v>
      </c>
      <c r="D27" s="960" t="s">
        <v>4258</v>
      </c>
      <c r="E27" s="959">
        <v>1</v>
      </c>
      <c r="F27" s="959">
        <v>32</v>
      </c>
      <c r="G27" s="959">
        <v>0</v>
      </c>
      <c r="H27" s="959">
        <v>1</v>
      </c>
    </row>
    <row r="28" spans="1:8">
      <c r="A28" s="959" t="s">
        <v>2850</v>
      </c>
      <c r="B28" s="960" t="s">
        <v>2851</v>
      </c>
      <c r="C28" s="960" t="s">
        <v>4262</v>
      </c>
      <c r="D28" s="960" t="s">
        <v>4263</v>
      </c>
      <c r="E28" s="959">
        <v>1</v>
      </c>
      <c r="F28" s="959">
        <v>43</v>
      </c>
      <c r="G28" s="959">
        <v>0</v>
      </c>
      <c r="H28" s="959">
        <v>0</v>
      </c>
    </row>
    <row r="29" spans="1:8">
      <c r="A29" s="959" t="s">
        <v>2854</v>
      </c>
      <c r="B29" s="960" t="s">
        <v>2855</v>
      </c>
      <c r="C29" s="960" t="s">
        <v>4256</v>
      </c>
      <c r="D29" s="960" t="s">
        <v>4259</v>
      </c>
      <c r="E29" s="959">
        <v>0</v>
      </c>
      <c r="F29" s="959">
        <v>0</v>
      </c>
      <c r="G29" s="959">
        <v>0</v>
      </c>
      <c r="H29" s="959">
        <v>1</v>
      </c>
    </row>
    <row r="30" spans="1:8">
      <c r="A30" s="959" t="s">
        <v>2854</v>
      </c>
      <c r="B30" s="960" t="s">
        <v>2855</v>
      </c>
      <c r="C30" s="960" t="s">
        <v>4256</v>
      </c>
      <c r="D30" s="960" t="s">
        <v>1906</v>
      </c>
      <c r="E30" s="959">
        <v>17</v>
      </c>
      <c r="F30" s="959">
        <v>185</v>
      </c>
      <c r="G30" s="959">
        <v>0</v>
      </c>
      <c r="H30" s="959">
        <v>0</v>
      </c>
    </row>
    <row r="31" spans="1:8">
      <c r="A31" s="959" t="s">
        <v>2854</v>
      </c>
      <c r="B31" s="960" t="s">
        <v>2855</v>
      </c>
      <c r="C31" s="960" t="s">
        <v>4256</v>
      </c>
      <c r="D31" s="960" t="s">
        <v>4264</v>
      </c>
      <c r="E31" s="959">
        <v>0</v>
      </c>
      <c r="F31" s="959">
        <v>3</v>
      </c>
      <c r="G31" s="959">
        <v>0</v>
      </c>
      <c r="H31" s="959">
        <v>4</v>
      </c>
    </row>
    <row r="32" spans="1:8">
      <c r="A32" s="959" t="s">
        <v>2854</v>
      </c>
      <c r="B32" s="960" t="s">
        <v>2855</v>
      </c>
      <c r="C32" s="960" t="s">
        <v>4256</v>
      </c>
      <c r="D32" s="960" t="s">
        <v>1907</v>
      </c>
      <c r="E32" s="959">
        <v>0</v>
      </c>
      <c r="F32" s="959">
        <v>1</v>
      </c>
      <c r="G32" s="959">
        <v>0</v>
      </c>
      <c r="H32" s="959">
        <v>3</v>
      </c>
    </row>
    <row r="33" spans="1:8">
      <c r="A33" s="959" t="s">
        <v>2854</v>
      </c>
      <c r="B33" s="960" t="s">
        <v>2855</v>
      </c>
      <c r="C33" s="960" t="s">
        <v>4256</v>
      </c>
      <c r="D33" s="961" t="s">
        <v>4266</v>
      </c>
      <c r="E33" s="959">
        <v>0</v>
      </c>
      <c r="F33" s="959">
        <v>0</v>
      </c>
      <c r="G33" s="959">
        <v>0</v>
      </c>
      <c r="H33" s="959">
        <v>3</v>
      </c>
    </row>
    <row r="34" spans="1:8">
      <c r="A34" s="959" t="s">
        <v>2854</v>
      </c>
      <c r="B34" s="960" t="s">
        <v>2855</v>
      </c>
      <c r="C34" s="960" t="s">
        <v>4257</v>
      </c>
      <c r="D34" s="960" t="s">
        <v>4258</v>
      </c>
      <c r="E34" s="959">
        <v>6</v>
      </c>
      <c r="F34" s="959">
        <v>79</v>
      </c>
      <c r="G34" s="959">
        <v>0</v>
      </c>
      <c r="H34" s="959">
        <v>2</v>
      </c>
    </row>
    <row r="35" spans="1:8">
      <c r="A35" s="959" t="s">
        <v>2854</v>
      </c>
      <c r="B35" s="960" t="s">
        <v>2855</v>
      </c>
      <c r="C35" s="960" t="s">
        <v>4262</v>
      </c>
      <c r="D35" s="960" t="s">
        <v>4263</v>
      </c>
      <c r="E35" s="959">
        <v>77</v>
      </c>
      <c r="F35" s="959">
        <v>1301</v>
      </c>
      <c r="G35" s="959">
        <v>0</v>
      </c>
      <c r="H35" s="959">
        <v>1</v>
      </c>
    </row>
    <row r="36" spans="1:8">
      <c r="A36" s="959" t="s">
        <v>2854</v>
      </c>
      <c r="B36" s="960" t="s">
        <v>2855</v>
      </c>
      <c r="C36" s="960" t="s">
        <v>4267</v>
      </c>
      <c r="D36" s="960" t="s">
        <v>4268</v>
      </c>
      <c r="E36" s="959">
        <v>0</v>
      </c>
      <c r="F36" s="959">
        <v>2</v>
      </c>
      <c r="G36" s="959">
        <v>0</v>
      </c>
      <c r="H36" s="959">
        <v>0</v>
      </c>
    </row>
    <row r="37" spans="1:8">
      <c r="A37" s="959" t="s">
        <v>2856</v>
      </c>
      <c r="B37" s="960" t="s">
        <v>2857</v>
      </c>
      <c r="C37" s="960" t="s">
        <v>4256</v>
      </c>
      <c r="D37" s="960" t="s">
        <v>470</v>
      </c>
      <c r="E37" s="959">
        <v>0</v>
      </c>
      <c r="F37" s="959">
        <v>0</v>
      </c>
      <c r="G37" s="959">
        <v>9</v>
      </c>
      <c r="H37" s="959">
        <v>1</v>
      </c>
    </row>
    <row r="38" spans="1:8">
      <c r="A38" s="959" t="s">
        <v>2856</v>
      </c>
      <c r="B38" s="960" t="s">
        <v>2857</v>
      </c>
      <c r="C38" s="960" t="s">
        <v>4256</v>
      </c>
      <c r="D38" s="960" t="s">
        <v>1904</v>
      </c>
      <c r="E38" s="959">
        <v>0</v>
      </c>
      <c r="F38" s="959">
        <v>0</v>
      </c>
      <c r="G38" s="959">
        <v>3</v>
      </c>
      <c r="H38" s="959">
        <v>15</v>
      </c>
    </row>
    <row r="39" spans="1:8">
      <c r="A39" s="959" t="s">
        <v>2856</v>
      </c>
      <c r="B39" s="960" t="s">
        <v>2857</v>
      </c>
      <c r="C39" s="960" t="s">
        <v>4256</v>
      </c>
      <c r="D39" s="960" t="s">
        <v>1907</v>
      </c>
      <c r="E39" s="959">
        <v>0</v>
      </c>
      <c r="F39" s="959">
        <v>0</v>
      </c>
      <c r="G39" s="959">
        <v>0</v>
      </c>
      <c r="H39" s="959">
        <v>1</v>
      </c>
    </row>
    <row r="40" spans="1:8">
      <c r="A40" s="959" t="s">
        <v>2856</v>
      </c>
      <c r="B40" s="960" t="s">
        <v>2857</v>
      </c>
      <c r="C40" s="960" t="s">
        <v>4257</v>
      </c>
      <c r="D40" s="960" t="s">
        <v>4258</v>
      </c>
      <c r="E40" s="959">
        <v>0</v>
      </c>
      <c r="F40" s="959">
        <v>1</v>
      </c>
      <c r="G40" s="959">
        <v>0</v>
      </c>
      <c r="H40" s="959">
        <v>0</v>
      </c>
    </row>
    <row r="41" spans="1:8">
      <c r="A41" s="959" t="s">
        <v>2859</v>
      </c>
      <c r="B41" s="960" t="s">
        <v>2860</v>
      </c>
      <c r="C41" s="960" t="s">
        <v>4256</v>
      </c>
      <c r="D41" s="960" t="s">
        <v>470</v>
      </c>
      <c r="E41" s="959">
        <v>0</v>
      </c>
      <c r="F41" s="959">
        <v>0</v>
      </c>
      <c r="G41" s="959">
        <v>0</v>
      </c>
      <c r="H41" s="959">
        <v>5</v>
      </c>
    </row>
    <row r="42" spans="1:8">
      <c r="A42" s="959" t="s">
        <v>2859</v>
      </c>
      <c r="B42" s="960" t="s">
        <v>2860</v>
      </c>
      <c r="C42" s="960" t="s">
        <v>4256</v>
      </c>
      <c r="D42" s="960" t="s">
        <v>1904</v>
      </c>
      <c r="E42" s="959">
        <v>0</v>
      </c>
      <c r="F42" s="959">
        <v>0</v>
      </c>
      <c r="G42" s="959">
        <v>8</v>
      </c>
      <c r="H42" s="959">
        <v>218</v>
      </c>
    </row>
    <row r="43" spans="1:8">
      <c r="A43" s="959" t="s">
        <v>2859</v>
      </c>
      <c r="B43" s="960" t="s">
        <v>2860</v>
      </c>
      <c r="C43" s="960" t="s">
        <v>4256</v>
      </c>
      <c r="D43" s="960" t="s">
        <v>4269</v>
      </c>
      <c r="E43" s="959">
        <v>0</v>
      </c>
      <c r="F43" s="959">
        <v>0</v>
      </c>
      <c r="G43" s="959">
        <v>2</v>
      </c>
      <c r="H43" s="959">
        <v>25</v>
      </c>
    </row>
    <row r="44" spans="1:8">
      <c r="A44" s="959" t="s">
        <v>2859</v>
      </c>
      <c r="B44" s="960" t="s">
        <v>2860</v>
      </c>
      <c r="C44" s="960" t="s">
        <v>4256</v>
      </c>
      <c r="D44" s="960" t="s">
        <v>4270</v>
      </c>
      <c r="E44" s="959">
        <v>0</v>
      </c>
      <c r="F44" s="959">
        <v>1</v>
      </c>
      <c r="G44" s="959">
        <v>34</v>
      </c>
      <c r="H44" s="959">
        <v>62</v>
      </c>
    </row>
    <row r="45" spans="1:8">
      <c r="A45" s="959" t="s">
        <v>2859</v>
      </c>
      <c r="B45" s="960" t="s">
        <v>2860</v>
      </c>
      <c r="C45" s="960" t="s">
        <v>4256</v>
      </c>
      <c r="D45" s="960" t="s">
        <v>4259</v>
      </c>
      <c r="E45" s="959">
        <v>0</v>
      </c>
      <c r="F45" s="959">
        <v>0</v>
      </c>
      <c r="G45" s="959">
        <v>25</v>
      </c>
      <c r="H45" s="959">
        <v>13</v>
      </c>
    </row>
    <row r="46" spans="1:8">
      <c r="A46" s="959" t="s">
        <v>2859</v>
      </c>
      <c r="B46" s="960" t="s">
        <v>2860</v>
      </c>
      <c r="C46" s="960" t="s">
        <v>4256</v>
      </c>
      <c r="D46" s="960" t="s">
        <v>4260</v>
      </c>
      <c r="E46" s="959">
        <v>0</v>
      </c>
      <c r="F46" s="959">
        <v>1</v>
      </c>
      <c r="G46" s="959">
        <v>120</v>
      </c>
      <c r="H46" s="959">
        <v>1359</v>
      </c>
    </row>
    <row r="47" spans="1:8">
      <c r="A47" s="959" t="s">
        <v>2859</v>
      </c>
      <c r="B47" s="960" t="s">
        <v>2860</v>
      </c>
      <c r="C47" s="960" t="s">
        <v>4256</v>
      </c>
      <c r="D47" s="960" t="s">
        <v>4265</v>
      </c>
      <c r="E47" s="959">
        <v>0</v>
      </c>
      <c r="F47" s="959">
        <v>0</v>
      </c>
      <c r="G47" s="959">
        <v>0</v>
      </c>
      <c r="H47" s="959">
        <v>5</v>
      </c>
    </row>
    <row r="48" spans="1:8">
      <c r="A48" s="959" t="s">
        <v>2859</v>
      </c>
      <c r="B48" s="960" t="s">
        <v>2860</v>
      </c>
      <c r="C48" s="960" t="s">
        <v>4256</v>
      </c>
      <c r="D48" s="960" t="s">
        <v>4271</v>
      </c>
      <c r="E48" s="959">
        <v>0</v>
      </c>
      <c r="F48" s="959">
        <v>0</v>
      </c>
      <c r="G48" s="959">
        <v>0</v>
      </c>
      <c r="H48" s="959">
        <v>5</v>
      </c>
    </row>
    <row r="49" spans="1:8">
      <c r="A49" s="959" t="s">
        <v>2859</v>
      </c>
      <c r="B49" s="960" t="s">
        <v>2860</v>
      </c>
      <c r="C49" s="960" t="s">
        <v>4256</v>
      </c>
      <c r="D49" s="960" t="s">
        <v>4272</v>
      </c>
      <c r="E49" s="959">
        <v>0</v>
      </c>
      <c r="F49" s="959">
        <v>0</v>
      </c>
      <c r="G49" s="959">
        <v>0</v>
      </c>
      <c r="H49" s="959">
        <v>1</v>
      </c>
    </row>
    <row r="50" spans="1:8">
      <c r="A50" s="959" t="s">
        <v>2859</v>
      </c>
      <c r="B50" s="960" t="s">
        <v>2860</v>
      </c>
      <c r="C50" s="960" t="s">
        <v>4256</v>
      </c>
      <c r="D50" s="960" t="s">
        <v>1906</v>
      </c>
      <c r="E50" s="959">
        <v>6</v>
      </c>
      <c r="F50" s="959">
        <v>84</v>
      </c>
      <c r="G50" s="959">
        <v>8</v>
      </c>
      <c r="H50" s="959">
        <v>109</v>
      </c>
    </row>
    <row r="51" spans="1:8">
      <c r="A51" s="959" t="s">
        <v>2859</v>
      </c>
      <c r="B51" s="960" t="s">
        <v>2860</v>
      </c>
      <c r="C51" s="960" t="s">
        <v>4256</v>
      </c>
      <c r="D51" s="960" t="s">
        <v>4264</v>
      </c>
      <c r="E51" s="959">
        <v>0</v>
      </c>
      <c r="F51" s="959">
        <v>0</v>
      </c>
      <c r="G51" s="959">
        <v>0</v>
      </c>
      <c r="H51" s="959">
        <v>4</v>
      </c>
    </row>
    <row r="52" spans="1:8">
      <c r="A52" s="959" t="s">
        <v>2859</v>
      </c>
      <c r="B52" s="960" t="s">
        <v>2860</v>
      </c>
      <c r="C52" s="960" t="s">
        <v>4256</v>
      </c>
      <c r="D52" s="960" t="s">
        <v>4261</v>
      </c>
      <c r="E52" s="959">
        <v>0</v>
      </c>
      <c r="F52" s="959">
        <v>4</v>
      </c>
      <c r="G52" s="959">
        <v>102</v>
      </c>
      <c r="H52" s="959">
        <v>958</v>
      </c>
    </row>
    <row r="53" spans="1:8">
      <c r="A53" s="959" t="s">
        <v>2859</v>
      </c>
      <c r="B53" s="960" t="s">
        <v>2860</v>
      </c>
      <c r="C53" s="960" t="s">
        <v>4256</v>
      </c>
      <c r="D53" s="960" t="s">
        <v>4273</v>
      </c>
      <c r="E53" s="959">
        <v>0</v>
      </c>
      <c r="F53" s="959">
        <v>0</v>
      </c>
      <c r="G53" s="959">
        <v>0</v>
      </c>
      <c r="H53" s="959">
        <v>2</v>
      </c>
    </row>
    <row r="54" spans="1:8">
      <c r="A54" s="959" t="s">
        <v>2859</v>
      </c>
      <c r="B54" s="960" t="s">
        <v>2860</v>
      </c>
      <c r="C54" s="960" t="s">
        <v>4257</v>
      </c>
      <c r="D54" s="960" t="s">
        <v>4258</v>
      </c>
      <c r="E54" s="959">
        <v>41</v>
      </c>
      <c r="F54" s="959">
        <v>315</v>
      </c>
      <c r="G54" s="959">
        <v>24</v>
      </c>
      <c r="H54" s="959">
        <v>88</v>
      </c>
    </row>
    <row r="55" spans="1:8">
      <c r="A55" s="959" t="s">
        <v>2859</v>
      </c>
      <c r="B55" s="960" t="s">
        <v>2860</v>
      </c>
      <c r="C55" s="960" t="s">
        <v>4267</v>
      </c>
      <c r="D55" s="960" t="s">
        <v>4268</v>
      </c>
      <c r="E55" s="959">
        <v>0</v>
      </c>
      <c r="F55" s="959">
        <v>0</v>
      </c>
      <c r="G55" s="959">
        <v>0</v>
      </c>
      <c r="H55" s="959">
        <v>4</v>
      </c>
    </row>
    <row r="56" spans="1:8">
      <c r="A56" s="959" t="s">
        <v>2861</v>
      </c>
      <c r="B56" s="960" t="s">
        <v>2862</v>
      </c>
      <c r="C56" s="960" t="s">
        <v>4256</v>
      </c>
      <c r="D56" s="960" t="s">
        <v>470</v>
      </c>
      <c r="E56" s="959">
        <v>0</v>
      </c>
      <c r="F56" s="959">
        <v>0</v>
      </c>
      <c r="G56" s="959">
        <v>1</v>
      </c>
      <c r="H56" s="959">
        <v>27</v>
      </c>
    </row>
    <row r="57" spans="1:8">
      <c r="A57" s="959" t="s">
        <v>2861</v>
      </c>
      <c r="B57" s="960" t="s">
        <v>2862</v>
      </c>
      <c r="C57" s="960" t="s">
        <v>4256</v>
      </c>
      <c r="D57" s="960" t="s">
        <v>1904</v>
      </c>
      <c r="E57" s="959">
        <v>0</v>
      </c>
      <c r="F57" s="959">
        <v>0</v>
      </c>
      <c r="G57" s="959">
        <v>6</v>
      </c>
      <c r="H57" s="959">
        <v>175</v>
      </c>
    </row>
    <row r="58" spans="1:8">
      <c r="A58" s="959" t="s">
        <v>2861</v>
      </c>
      <c r="B58" s="960" t="s">
        <v>2862</v>
      </c>
      <c r="C58" s="960" t="s">
        <v>4256</v>
      </c>
      <c r="D58" s="960" t="s">
        <v>4270</v>
      </c>
      <c r="E58" s="959">
        <v>0</v>
      </c>
      <c r="F58" s="959">
        <v>0</v>
      </c>
      <c r="G58" s="959">
        <v>2</v>
      </c>
      <c r="H58" s="959">
        <v>0</v>
      </c>
    </row>
    <row r="59" spans="1:8">
      <c r="A59" s="959" t="s">
        <v>2861</v>
      </c>
      <c r="B59" s="960" t="s">
        <v>2862</v>
      </c>
      <c r="C59" s="960" t="s">
        <v>4256</v>
      </c>
      <c r="D59" s="960" t="s">
        <v>4259</v>
      </c>
      <c r="E59" s="959">
        <v>0</v>
      </c>
      <c r="F59" s="959">
        <v>0</v>
      </c>
      <c r="G59" s="959">
        <v>0</v>
      </c>
      <c r="H59" s="959">
        <v>1</v>
      </c>
    </row>
    <row r="60" spans="1:8">
      <c r="A60" s="959" t="s">
        <v>2861</v>
      </c>
      <c r="B60" s="960" t="s">
        <v>2862</v>
      </c>
      <c r="C60" s="960" t="s">
        <v>4256</v>
      </c>
      <c r="D60" s="960" t="s">
        <v>4260</v>
      </c>
      <c r="E60" s="959">
        <v>0</v>
      </c>
      <c r="F60" s="959">
        <v>1</v>
      </c>
      <c r="G60" s="959">
        <v>2</v>
      </c>
      <c r="H60" s="959">
        <v>38</v>
      </c>
    </row>
    <row r="61" spans="1:8">
      <c r="A61" s="959" t="s">
        <v>2861</v>
      </c>
      <c r="B61" s="960" t="s">
        <v>2862</v>
      </c>
      <c r="C61" s="960" t="s">
        <v>4256</v>
      </c>
      <c r="D61" s="960" t="s">
        <v>4271</v>
      </c>
      <c r="E61" s="959">
        <v>0</v>
      </c>
      <c r="F61" s="959">
        <v>0</v>
      </c>
      <c r="G61" s="959">
        <v>0</v>
      </c>
      <c r="H61" s="959">
        <v>1</v>
      </c>
    </row>
    <row r="62" spans="1:8">
      <c r="A62" s="959" t="s">
        <v>2861</v>
      </c>
      <c r="B62" s="960" t="s">
        <v>2862</v>
      </c>
      <c r="C62" s="960" t="s">
        <v>4256</v>
      </c>
      <c r="D62" s="960" t="s">
        <v>1906</v>
      </c>
      <c r="E62" s="959">
        <v>0</v>
      </c>
      <c r="F62" s="959">
        <v>0</v>
      </c>
      <c r="G62" s="959">
        <v>15</v>
      </c>
      <c r="H62" s="959">
        <v>193</v>
      </c>
    </row>
    <row r="63" spans="1:8">
      <c r="A63" s="959" t="s">
        <v>2861</v>
      </c>
      <c r="B63" s="960" t="s">
        <v>2862</v>
      </c>
      <c r="C63" s="960" t="s">
        <v>4256</v>
      </c>
      <c r="D63" s="960" t="s">
        <v>4261</v>
      </c>
      <c r="E63" s="959">
        <v>0</v>
      </c>
      <c r="F63" s="959">
        <v>1</v>
      </c>
      <c r="G63" s="959">
        <v>3</v>
      </c>
      <c r="H63" s="959">
        <v>49</v>
      </c>
    </row>
    <row r="64" spans="1:8">
      <c r="A64" s="959" t="s">
        <v>2861</v>
      </c>
      <c r="B64" s="960" t="s">
        <v>2862</v>
      </c>
      <c r="C64" s="960" t="s">
        <v>4257</v>
      </c>
      <c r="D64" s="960" t="s">
        <v>4258</v>
      </c>
      <c r="E64" s="959">
        <v>0</v>
      </c>
      <c r="F64" s="959">
        <v>0</v>
      </c>
      <c r="G64" s="959">
        <v>0</v>
      </c>
      <c r="H64" s="959">
        <v>1</v>
      </c>
    </row>
    <row r="65" spans="1:8">
      <c r="A65" s="959" t="s">
        <v>2865</v>
      </c>
      <c r="B65" s="960" t="s">
        <v>2866</v>
      </c>
      <c r="C65" s="960" t="s">
        <v>4256</v>
      </c>
      <c r="D65" s="960" t="s">
        <v>470</v>
      </c>
      <c r="E65" s="959">
        <v>5</v>
      </c>
      <c r="F65" s="959">
        <v>0</v>
      </c>
      <c r="G65" s="959">
        <v>0</v>
      </c>
      <c r="H65" s="959">
        <v>5</v>
      </c>
    </row>
    <row r="66" spans="1:8">
      <c r="A66" s="959" t="s">
        <v>2865</v>
      </c>
      <c r="B66" s="960" t="s">
        <v>2866</v>
      </c>
      <c r="C66" s="960" t="s">
        <v>4256</v>
      </c>
      <c r="D66" s="960" t="s">
        <v>1904</v>
      </c>
      <c r="E66" s="959">
        <v>0</v>
      </c>
      <c r="F66" s="959">
        <v>0</v>
      </c>
      <c r="G66" s="959">
        <v>0</v>
      </c>
      <c r="H66" s="959">
        <v>2</v>
      </c>
    </row>
    <row r="67" spans="1:8">
      <c r="A67" s="959" t="s">
        <v>2867</v>
      </c>
      <c r="B67" s="960" t="s">
        <v>2868</v>
      </c>
      <c r="C67" s="960" t="s">
        <v>4256</v>
      </c>
      <c r="D67" s="960" t="s">
        <v>4265</v>
      </c>
      <c r="E67" s="959">
        <v>0</v>
      </c>
      <c r="F67" s="959">
        <v>0</v>
      </c>
      <c r="G67" s="959">
        <v>0</v>
      </c>
      <c r="H67" s="959">
        <v>1</v>
      </c>
    </row>
    <row r="68" spans="1:8">
      <c r="A68" s="959" t="s">
        <v>2867</v>
      </c>
      <c r="B68" s="960" t="s">
        <v>2868</v>
      </c>
      <c r="C68" s="960" t="s">
        <v>4256</v>
      </c>
      <c r="D68" s="960" t="s">
        <v>1906</v>
      </c>
      <c r="E68" s="959">
        <v>7</v>
      </c>
      <c r="F68" s="959">
        <v>91</v>
      </c>
      <c r="G68" s="959">
        <v>0</v>
      </c>
      <c r="H68" s="959">
        <v>1</v>
      </c>
    </row>
    <row r="69" spans="1:8">
      <c r="A69" s="959" t="s">
        <v>2867</v>
      </c>
      <c r="B69" s="960" t="s">
        <v>2868</v>
      </c>
      <c r="C69" s="960" t="s">
        <v>4257</v>
      </c>
      <c r="D69" s="960" t="s">
        <v>4258</v>
      </c>
      <c r="E69" s="959">
        <v>32</v>
      </c>
      <c r="F69" s="959">
        <v>846</v>
      </c>
      <c r="G69" s="959">
        <v>3</v>
      </c>
      <c r="H69" s="959">
        <v>32</v>
      </c>
    </row>
    <row r="70" spans="1:8">
      <c r="A70" s="959" t="s">
        <v>2867</v>
      </c>
      <c r="B70" s="960" t="s">
        <v>2868</v>
      </c>
      <c r="C70" s="960" t="s">
        <v>4262</v>
      </c>
      <c r="D70" s="960" t="s">
        <v>4263</v>
      </c>
      <c r="E70" s="959">
        <v>0</v>
      </c>
      <c r="F70" s="959">
        <v>5</v>
      </c>
      <c r="G70" s="959">
        <v>0</v>
      </c>
      <c r="H70" s="959">
        <v>20</v>
      </c>
    </row>
    <row r="71" spans="1:8">
      <c r="A71" s="959" t="s">
        <v>2869</v>
      </c>
      <c r="B71" s="960" t="s">
        <v>2870</v>
      </c>
      <c r="C71" s="960" t="s">
        <v>4256</v>
      </c>
      <c r="D71" s="960" t="s">
        <v>470</v>
      </c>
      <c r="E71" s="959">
        <v>0</v>
      </c>
      <c r="F71" s="959">
        <v>0</v>
      </c>
      <c r="G71" s="959">
        <v>0</v>
      </c>
      <c r="H71" s="959">
        <v>3</v>
      </c>
    </row>
    <row r="72" spans="1:8">
      <c r="A72" s="959" t="s">
        <v>2869</v>
      </c>
      <c r="B72" s="960" t="s">
        <v>2870</v>
      </c>
      <c r="C72" s="960" t="s">
        <v>4256</v>
      </c>
      <c r="D72" s="960" t="s">
        <v>1904</v>
      </c>
      <c r="E72" s="959">
        <v>0</v>
      </c>
      <c r="F72" s="959">
        <v>0</v>
      </c>
      <c r="G72" s="959">
        <v>13</v>
      </c>
      <c r="H72" s="959">
        <v>374</v>
      </c>
    </row>
    <row r="73" spans="1:8">
      <c r="A73" s="959" t="s">
        <v>2869</v>
      </c>
      <c r="B73" s="960" t="s">
        <v>2870</v>
      </c>
      <c r="C73" s="960" t="s">
        <v>4256</v>
      </c>
      <c r="D73" s="960" t="s">
        <v>4270</v>
      </c>
      <c r="E73" s="959">
        <v>0</v>
      </c>
      <c r="F73" s="959">
        <v>0</v>
      </c>
      <c r="G73" s="959">
        <v>0</v>
      </c>
      <c r="H73" s="959">
        <v>6</v>
      </c>
    </row>
    <row r="74" spans="1:8">
      <c r="A74" s="959" t="s">
        <v>2869</v>
      </c>
      <c r="B74" s="960" t="s">
        <v>2870</v>
      </c>
      <c r="C74" s="960" t="s">
        <v>4256</v>
      </c>
      <c r="D74" s="960" t="s">
        <v>4260</v>
      </c>
      <c r="E74" s="959">
        <v>0</v>
      </c>
      <c r="F74" s="959">
        <v>0</v>
      </c>
      <c r="G74" s="959">
        <v>1</v>
      </c>
      <c r="H74" s="959">
        <v>29</v>
      </c>
    </row>
    <row r="75" spans="1:8">
      <c r="A75" s="959" t="s">
        <v>2869</v>
      </c>
      <c r="B75" s="960" t="s">
        <v>2870</v>
      </c>
      <c r="C75" s="960" t="s">
        <v>4256</v>
      </c>
      <c r="D75" s="960" t="s">
        <v>4265</v>
      </c>
      <c r="E75" s="959">
        <v>0</v>
      </c>
      <c r="F75" s="959">
        <v>0</v>
      </c>
      <c r="G75" s="959">
        <v>0</v>
      </c>
      <c r="H75" s="959">
        <v>7</v>
      </c>
    </row>
    <row r="76" spans="1:8">
      <c r="A76" s="959" t="s">
        <v>2869</v>
      </c>
      <c r="B76" s="960" t="s">
        <v>2870</v>
      </c>
      <c r="C76" s="960" t="s">
        <v>4256</v>
      </c>
      <c r="D76" s="960" t="s">
        <v>1906</v>
      </c>
      <c r="E76" s="959">
        <v>0</v>
      </c>
      <c r="F76" s="959">
        <v>0</v>
      </c>
      <c r="G76" s="959">
        <v>1</v>
      </c>
      <c r="H76" s="959">
        <v>16</v>
      </c>
    </row>
    <row r="77" spans="1:8">
      <c r="A77" s="959" t="s">
        <v>2869</v>
      </c>
      <c r="B77" s="960" t="s">
        <v>2870</v>
      </c>
      <c r="C77" s="960" t="s">
        <v>4256</v>
      </c>
      <c r="D77" s="960" t="s">
        <v>4261</v>
      </c>
      <c r="E77" s="959">
        <v>0</v>
      </c>
      <c r="F77" s="959">
        <v>0</v>
      </c>
      <c r="G77" s="959">
        <v>4</v>
      </c>
      <c r="H77" s="959">
        <v>63</v>
      </c>
    </row>
    <row r="78" spans="1:8">
      <c r="A78" s="959" t="s">
        <v>2869</v>
      </c>
      <c r="B78" s="960" t="s">
        <v>2870</v>
      </c>
      <c r="C78" s="960" t="s">
        <v>4256</v>
      </c>
      <c r="D78" s="961" t="s">
        <v>4266</v>
      </c>
      <c r="E78" s="959">
        <v>0</v>
      </c>
      <c r="F78" s="959">
        <v>0</v>
      </c>
      <c r="G78" s="959">
        <v>0</v>
      </c>
      <c r="H78" s="959">
        <v>4</v>
      </c>
    </row>
    <row r="79" spans="1:8">
      <c r="A79" s="959" t="s">
        <v>2869</v>
      </c>
      <c r="B79" s="960" t="s">
        <v>2870</v>
      </c>
      <c r="C79" s="960" t="s">
        <v>4257</v>
      </c>
      <c r="D79" s="960" t="s">
        <v>4258</v>
      </c>
      <c r="E79" s="959">
        <v>1</v>
      </c>
      <c r="F79" s="959">
        <v>2</v>
      </c>
      <c r="G79" s="959">
        <v>0</v>
      </c>
      <c r="H79" s="959">
        <v>2</v>
      </c>
    </row>
    <row r="80" spans="1:8">
      <c r="A80" s="959" t="s">
        <v>2873</v>
      </c>
      <c r="B80" s="960" t="s">
        <v>2874</v>
      </c>
      <c r="C80" s="960" t="s">
        <v>4256</v>
      </c>
      <c r="D80" s="960" t="s">
        <v>470</v>
      </c>
      <c r="E80" s="959">
        <v>0</v>
      </c>
      <c r="F80" s="959">
        <v>0</v>
      </c>
      <c r="G80" s="959">
        <v>9</v>
      </c>
      <c r="H80" s="959">
        <v>67</v>
      </c>
    </row>
    <row r="81" spans="1:8">
      <c r="A81" s="959" t="s">
        <v>2873</v>
      </c>
      <c r="B81" s="960" t="s">
        <v>2874</v>
      </c>
      <c r="C81" s="960" t="s">
        <v>4256</v>
      </c>
      <c r="D81" s="960" t="s">
        <v>1904</v>
      </c>
      <c r="E81" s="959">
        <v>0</v>
      </c>
      <c r="F81" s="959">
        <v>0</v>
      </c>
      <c r="G81" s="959">
        <v>50</v>
      </c>
      <c r="H81" s="959">
        <v>427</v>
      </c>
    </row>
    <row r="82" spans="1:8">
      <c r="A82" s="959" t="s">
        <v>2873</v>
      </c>
      <c r="B82" s="960" t="s">
        <v>2874</v>
      </c>
      <c r="C82" s="960" t="s">
        <v>4256</v>
      </c>
      <c r="D82" s="960" t="s">
        <v>4270</v>
      </c>
      <c r="E82" s="959">
        <v>0</v>
      </c>
      <c r="F82" s="959">
        <v>0</v>
      </c>
      <c r="G82" s="959">
        <v>11</v>
      </c>
      <c r="H82" s="959">
        <v>2</v>
      </c>
    </row>
    <row r="83" spans="1:8">
      <c r="A83" s="959" t="s">
        <v>2873</v>
      </c>
      <c r="B83" s="960" t="s">
        <v>2874</v>
      </c>
      <c r="C83" s="960" t="s">
        <v>4256</v>
      </c>
      <c r="D83" s="960" t="s">
        <v>4260</v>
      </c>
      <c r="E83" s="959">
        <v>0</v>
      </c>
      <c r="F83" s="959">
        <v>0</v>
      </c>
      <c r="G83" s="959">
        <v>18</v>
      </c>
      <c r="H83" s="959">
        <v>286</v>
      </c>
    </row>
    <row r="84" spans="1:8">
      <c r="A84" s="959" t="s">
        <v>2873</v>
      </c>
      <c r="B84" s="960" t="s">
        <v>2874</v>
      </c>
      <c r="C84" s="960" t="s">
        <v>4256</v>
      </c>
      <c r="D84" s="960" t="s">
        <v>4271</v>
      </c>
      <c r="E84" s="959">
        <v>0</v>
      </c>
      <c r="F84" s="959">
        <v>0</v>
      </c>
      <c r="G84" s="959">
        <v>0</v>
      </c>
      <c r="H84" s="959">
        <v>1</v>
      </c>
    </row>
    <row r="85" spans="1:8">
      <c r="A85" s="959" t="s">
        <v>2873</v>
      </c>
      <c r="B85" s="960" t="s">
        <v>2874</v>
      </c>
      <c r="C85" s="960" t="s">
        <v>4256</v>
      </c>
      <c r="D85" s="960" t="s">
        <v>1906</v>
      </c>
      <c r="E85" s="959">
        <v>0</v>
      </c>
      <c r="F85" s="959">
        <v>0</v>
      </c>
      <c r="G85" s="959">
        <v>0</v>
      </c>
      <c r="H85" s="959">
        <v>6</v>
      </c>
    </row>
    <row r="86" spans="1:8">
      <c r="A86" s="959" t="s">
        <v>2873</v>
      </c>
      <c r="B86" s="960" t="s">
        <v>2874</v>
      </c>
      <c r="C86" s="960" t="s">
        <v>4256</v>
      </c>
      <c r="D86" s="960" t="s">
        <v>4264</v>
      </c>
      <c r="E86" s="959">
        <v>0</v>
      </c>
      <c r="F86" s="959">
        <v>0</v>
      </c>
      <c r="G86" s="959">
        <v>0</v>
      </c>
      <c r="H86" s="959">
        <v>1</v>
      </c>
    </row>
    <row r="87" spans="1:8">
      <c r="A87" s="959" t="s">
        <v>2873</v>
      </c>
      <c r="B87" s="960" t="s">
        <v>2874</v>
      </c>
      <c r="C87" s="960" t="s">
        <v>4256</v>
      </c>
      <c r="D87" s="960" t="s">
        <v>4261</v>
      </c>
      <c r="E87" s="959">
        <v>0</v>
      </c>
      <c r="F87" s="959">
        <v>0</v>
      </c>
      <c r="G87" s="959">
        <v>26</v>
      </c>
      <c r="H87" s="959">
        <v>335</v>
      </c>
    </row>
    <row r="88" spans="1:8">
      <c r="A88" s="959" t="s">
        <v>2873</v>
      </c>
      <c r="B88" s="960" t="s">
        <v>2874</v>
      </c>
      <c r="C88" s="960" t="s">
        <v>4256</v>
      </c>
      <c r="D88" s="961" t="s">
        <v>4266</v>
      </c>
      <c r="E88" s="959">
        <v>0</v>
      </c>
      <c r="F88" s="959">
        <v>0</v>
      </c>
      <c r="G88" s="959">
        <v>0</v>
      </c>
      <c r="H88" s="959">
        <v>1</v>
      </c>
    </row>
    <row r="89" spans="1:8">
      <c r="A89" s="959" t="s">
        <v>2873</v>
      </c>
      <c r="B89" s="960" t="s">
        <v>2874</v>
      </c>
      <c r="C89" s="960" t="s">
        <v>4257</v>
      </c>
      <c r="D89" s="960" t="s">
        <v>4258</v>
      </c>
      <c r="E89" s="959">
        <v>0</v>
      </c>
      <c r="F89" s="959">
        <v>1</v>
      </c>
      <c r="G89" s="959">
        <v>1</v>
      </c>
      <c r="H89" s="959">
        <v>7</v>
      </c>
    </row>
    <row r="90" spans="1:8">
      <c r="A90" s="959" t="s">
        <v>2873</v>
      </c>
      <c r="B90" s="960" t="s">
        <v>2874</v>
      </c>
      <c r="C90" s="960" t="s">
        <v>4267</v>
      </c>
      <c r="D90" s="960" t="s">
        <v>4268</v>
      </c>
      <c r="E90" s="959">
        <v>0</v>
      </c>
      <c r="F90" s="959">
        <v>0</v>
      </c>
      <c r="G90" s="959">
        <v>0</v>
      </c>
      <c r="H90" s="959">
        <v>6</v>
      </c>
    </row>
    <row r="91" spans="1:8">
      <c r="A91" s="959" t="s">
        <v>2875</v>
      </c>
      <c r="B91" s="960" t="s">
        <v>2876</v>
      </c>
      <c r="C91" s="960" t="s">
        <v>4256</v>
      </c>
      <c r="D91" s="960" t="s">
        <v>4272</v>
      </c>
      <c r="E91" s="959">
        <v>0</v>
      </c>
      <c r="F91" s="959">
        <v>1</v>
      </c>
      <c r="G91" s="959">
        <v>0</v>
      </c>
      <c r="H91" s="959">
        <v>0</v>
      </c>
    </row>
    <row r="92" spans="1:8">
      <c r="A92" s="959" t="s">
        <v>2875</v>
      </c>
      <c r="B92" s="960" t="s">
        <v>2876</v>
      </c>
      <c r="C92" s="960" t="s">
        <v>4256</v>
      </c>
      <c r="D92" s="960" t="s">
        <v>1906</v>
      </c>
      <c r="E92" s="959">
        <v>24</v>
      </c>
      <c r="F92" s="959">
        <v>373</v>
      </c>
      <c r="G92" s="959">
        <v>2</v>
      </c>
      <c r="H92" s="959">
        <v>21</v>
      </c>
    </row>
    <row r="93" spans="1:8">
      <c r="A93" s="959" t="s">
        <v>2875</v>
      </c>
      <c r="B93" s="960" t="s">
        <v>2876</v>
      </c>
      <c r="C93" s="960" t="s">
        <v>4256</v>
      </c>
      <c r="D93" s="960" t="s">
        <v>4264</v>
      </c>
      <c r="E93" s="959">
        <v>0</v>
      </c>
      <c r="F93" s="959">
        <v>5</v>
      </c>
      <c r="G93" s="959">
        <v>0</v>
      </c>
      <c r="H93" s="959">
        <v>1</v>
      </c>
    </row>
    <row r="94" spans="1:8">
      <c r="A94" s="959" t="s">
        <v>2875</v>
      </c>
      <c r="B94" s="960" t="s">
        <v>2876</v>
      </c>
      <c r="C94" s="960" t="s">
        <v>4256</v>
      </c>
      <c r="D94" s="960" t="s">
        <v>4274</v>
      </c>
      <c r="E94" s="959">
        <v>0</v>
      </c>
      <c r="F94" s="959">
        <v>3</v>
      </c>
      <c r="G94" s="959">
        <v>0</v>
      </c>
      <c r="H94" s="959">
        <v>1</v>
      </c>
    </row>
    <row r="95" spans="1:8">
      <c r="A95" s="959" t="s">
        <v>2875</v>
      </c>
      <c r="B95" s="960" t="s">
        <v>2876</v>
      </c>
      <c r="C95" s="960" t="s">
        <v>4257</v>
      </c>
      <c r="D95" s="960" t="s">
        <v>4258</v>
      </c>
      <c r="E95" s="959">
        <v>41</v>
      </c>
      <c r="F95" s="959">
        <v>670</v>
      </c>
      <c r="G95" s="959">
        <v>12</v>
      </c>
      <c r="H95" s="959">
        <v>164</v>
      </c>
    </row>
    <row r="96" spans="1:8">
      <c r="A96" s="959" t="s">
        <v>2875</v>
      </c>
      <c r="B96" s="960" t="s">
        <v>2876</v>
      </c>
      <c r="C96" s="960" t="s">
        <v>4262</v>
      </c>
      <c r="D96" s="960" t="s">
        <v>4263</v>
      </c>
      <c r="E96" s="959">
        <v>0</v>
      </c>
      <c r="F96" s="959">
        <v>14</v>
      </c>
      <c r="G96" s="959">
        <v>0</v>
      </c>
      <c r="H96" s="959">
        <v>8</v>
      </c>
    </row>
    <row r="97" spans="1:8">
      <c r="A97" s="959" t="s">
        <v>2878</v>
      </c>
      <c r="B97" s="960" t="s">
        <v>2879</v>
      </c>
      <c r="C97" s="960" t="s">
        <v>4275</v>
      </c>
      <c r="D97" s="960" t="s">
        <v>4276</v>
      </c>
      <c r="E97" s="959">
        <v>2</v>
      </c>
      <c r="F97" s="959">
        <v>44</v>
      </c>
      <c r="G97" s="959">
        <v>0</v>
      </c>
      <c r="H97" s="959">
        <v>0</v>
      </c>
    </row>
    <row r="98" spans="1:8">
      <c r="A98" s="959" t="s">
        <v>2878</v>
      </c>
      <c r="B98" s="960" t="s">
        <v>2879</v>
      </c>
      <c r="C98" s="960" t="s">
        <v>4256</v>
      </c>
      <c r="D98" s="960" t="s">
        <v>4260</v>
      </c>
      <c r="E98" s="959">
        <v>0</v>
      </c>
      <c r="F98" s="959">
        <v>0</v>
      </c>
      <c r="G98" s="959">
        <v>0</v>
      </c>
      <c r="H98" s="959">
        <v>2</v>
      </c>
    </row>
    <row r="99" spans="1:8">
      <c r="A99" s="959" t="s">
        <v>2878</v>
      </c>
      <c r="B99" s="960" t="s">
        <v>2879</v>
      </c>
      <c r="C99" s="960" t="s">
        <v>4256</v>
      </c>
      <c r="D99" s="960" t="s">
        <v>1906</v>
      </c>
      <c r="E99" s="959">
        <v>0</v>
      </c>
      <c r="F99" s="959">
        <v>17</v>
      </c>
      <c r="G99" s="959">
        <v>0</v>
      </c>
      <c r="H99" s="959">
        <v>0</v>
      </c>
    </row>
    <row r="100" spans="1:8">
      <c r="A100" s="959" t="s">
        <v>2878</v>
      </c>
      <c r="B100" s="960" t="s">
        <v>2879</v>
      </c>
      <c r="C100" s="960" t="s">
        <v>4256</v>
      </c>
      <c r="D100" s="960" t="s">
        <v>1907</v>
      </c>
      <c r="E100" s="959">
        <v>0</v>
      </c>
      <c r="F100" s="959">
        <v>1</v>
      </c>
      <c r="G100" s="959">
        <v>0</v>
      </c>
      <c r="H100" s="959">
        <v>0</v>
      </c>
    </row>
    <row r="101" spans="1:8">
      <c r="A101" s="959" t="s">
        <v>2878</v>
      </c>
      <c r="B101" s="960" t="s">
        <v>2879</v>
      </c>
      <c r="C101" s="960" t="s">
        <v>4257</v>
      </c>
      <c r="D101" s="960" t="s">
        <v>4258</v>
      </c>
      <c r="E101" s="959">
        <v>6</v>
      </c>
      <c r="F101" s="959">
        <v>110</v>
      </c>
      <c r="G101" s="959">
        <v>0</v>
      </c>
      <c r="H101" s="959">
        <v>1</v>
      </c>
    </row>
    <row r="102" spans="1:8">
      <c r="A102" s="959" t="s">
        <v>2878</v>
      </c>
      <c r="B102" s="960" t="s">
        <v>2879</v>
      </c>
      <c r="C102" s="960" t="s">
        <v>4262</v>
      </c>
      <c r="D102" s="960" t="s">
        <v>4263</v>
      </c>
      <c r="E102" s="959">
        <v>17</v>
      </c>
      <c r="F102" s="959">
        <v>268</v>
      </c>
      <c r="G102" s="959">
        <v>0</v>
      </c>
      <c r="H102" s="959">
        <v>4</v>
      </c>
    </row>
    <row r="103" spans="1:8">
      <c r="A103" s="959" t="s">
        <v>2878</v>
      </c>
      <c r="B103" s="960" t="s">
        <v>2879</v>
      </c>
      <c r="C103" s="960" t="s">
        <v>4267</v>
      </c>
      <c r="D103" s="960" t="s">
        <v>4268</v>
      </c>
      <c r="E103" s="959">
        <v>0</v>
      </c>
      <c r="F103" s="959">
        <v>0</v>
      </c>
      <c r="G103" s="959">
        <v>0</v>
      </c>
      <c r="H103" s="959">
        <v>6</v>
      </c>
    </row>
    <row r="104" spans="1:8">
      <c r="A104" s="959" t="s">
        <v>2880</v>
      </c>
      <c r="B104" s="960" t="s">
        <v>2881</v>
      </c>
      <c r="C104" s="960" t="s">
        <v>4275</v>
      </c>
      <c r="D104" s="960" t="s">
        <v>4276</v>
      </c>
      <c r="E104" s="959">
        <v>0</v>
      </c>
      <c r="F104" s="959">
        <v>1</v>
      </c>
      <c r="G104" s="959">
        <v>0</v>
      </c>
      <c r="H104" s="959">
        <v>0</v>
      </c>
    </row>
    <row r="105" spans="1:8">
      <c r="A105" s="959" t="s">
        <v>2880</v>
      </c>
      <c r="B105" s="960" t="s">
        <v>2881</v>
      </c>
      <c r="C105" s="960" t="s">
        <v>4256</v>
      </c>
      <c r="D105" s="960" t="s">
        <v>470</v>
      </c>
      <c r="E105" s="959">
        <v>0</v>
      </c>
      <c r="F105" s="959">
        <v>0</v>
      </c>
      <c r="G105" s="959">
        <v>1</v>
      </c>
      <c r="H105" s="959">
        <v>0</v>
      </c>
    </row>
    <row r="106" spans="1:8">
      <c r="A106" s="959" t="s">
        <v>2880</v>
      </c>
      <c r="B106" s="960" t="s">
        <v>2881</v>
      </c>
      <c r="C106" s="960" t="s">
        <v>4256</v>
      </c>
      <c r="D106" s="960" t="s">
        <v>4260</v>
      </c>
      <c r="E106" s="959">
        <v>0</v>
      </c>
      <c r="F106" s="959">
        <v>0</v>
      </c>
      <c r="G106" s="959">
        <v>0</v>
      </c>
      <c r="H106" s="959">
        <v>1</v>
      </c>
    </row>
    <row r="107" spans="1:8">
      <c r="A107" s="959" t="s">
        <v>2880</v>
      </c>
      <c r="B107" s="960" t="s">
        <v>2881</v>
      </c>
      <c r="C107" s="960" t="s">
        <v>4256</v>
      </c>
      <c r="D107" s="960" t="s">
        <v>1906</v>
      </c>
      <c r="E107" s="959">
        <v>3</v>
      </c>
      <c r="F107" s="959">
        <v>40</v>
      </c>
      <c r="G107" s="959">
        <v>0</v>
      </c>
      <c r="H107" s="959">
        <v>6</v>
      </c>
    </row>
    <row r="108" spans="1:8">
      <c r="A108" s="959" t="s">
        <v>2880</v>
      </c>
      <c r="B108" s="960" t="s">
        <v>2881</v>
      </c>
      <c r="C108" s="960" t="s">
        <v>4256</v>
      </c>
      <c r="D108" s="960" t="s">
        <v>1907</v>
      </c>
      <c r="E108" s="959">
        <v>1</v>
      </c>
      <c r="F108" s="959">
        <v>20</v>
      </c>
      <c r="G108" s="959">
        <v>2</v>
      </c>
      <c r="H108" s="959">
        <v>31</v>
      </c>
    </row>
    <row r="109" spans="1:8">
      <c r="A109" s="959" t="s">
        <v>2880</v>
      </c>
      <c r="B109" s="960" t="s">
        <v>2881</v>
      </c>
      <c r="C109" s="960" t="s">
        <v>4257</v>
      </c>
      <c r="D109" s="960" t="s">
        <v>4258</v>
      </c>
      <c r="E109" s="959">
        <v>1</v>
      </c>
      <c r="F109" s="959">
        <v>7</v>
      </c>
      <c r="G109" s="959">
        <v>0</v>
      </c>
      <c r="H109" s="959">
        <v>5</v>
      </c>
    </row>
    <row r="110" spans="1:8">
      <c r="A110" s="959" t="s">
        <v>2880</v>
      </c>
      <c r="B110" s="960" t="s">
        <v>2881</v>
      </c>
      <c r="C110" s="960" t="s">
        <v>4262</v>
      </c>
      <c r="D110" s="960" t="s">
        <v>4263</v>
      </c>
      <c r="E110" s="959">
        <v>0</v>
      </c>
      <c r="F110" s="959">
        <v>32</v>
      </c>
      <c r="G110" s="959">
        <v>0</v>
      </c>
      <c r="H110" s="959">
        <v>0</v>
      </c>
    </row>
    <row r="111" spans="1:8">
      <c r="A111" s="959" t="s">
        <v>2882</v>
      </c>
      <c r="B111" s="960" t="s">
        <v>2883</v>
      </c>
      <c r="C111" s="960" t="s">
        <v>4256</v>
      </c>
      <c r="D111" s="960" t="s">
        <v>470</v>
      </c>
      <c r="E111" s="959">
        <v>0</v>
      </c>
      <c r="F111" s="959">
        <v>0</v>
      </c>
      <c r="G111" s="959">
        <v>4</v>
      </c>
      <c r="H111" s="959">
        <v>18</v>
      </c>
    </row>
    <row r="112" spans="1:8">
      <c r="A112" s="959" t="s">
        <v>2882</v>
      </c>
      <c r="B112" s="960" t="s">
        <v>2883</v>
      </c>
      <c r="C112" s="960" t="s">
        <v>4256</v>
      </c>
      <c r="D112" s="960" t="s">
        <v>1904</v>
      </c>
      <c r="E112" s="959">
        <v>0</v>
      </c>
      <c r="F112" s="959">
        <v>0</v>
      </c>
      <c r="G112" s="959">
        <v>0</v>
      </c>
      <c r="H112" s="959">
        <v>9</v>
      </c>
    </row>
    <row r="113" spans="1:8">
      <c r="A113" s="959" t="s">
        <v>2882</v>
      </c>
      <c r="B113" s="960" t="s">
        <v>2883</v>
      </c>
      <c r="C113" s="960" t="s">
        <v>4257</v>
      </c>
      <c r="D113" s="960" t="s">
        <v>4258</v>
      </c>
      <c r="E113" s="959">
        <v>1</v>
      </c>
      <c r="F113" s="959">
        <v>21</v>
      </c>
      <c r="G113" s="959">
        <v>0</v>
      </c>
      <c r="H113" s="959">
        <v>0</v>
      </c>
    </row>
    <row r="114" spans="1:8">
      <c r="A114" s="959" t="s">
        <v>2882</v>
      </c>
      <c r="B114" s="960" t="s">
        <v>2883</v>
      </c>
      <c r="C114" s="960" t="s">
        <v>4262</v>
      </c>
      <c r="D114" s="960" t="s">
        <v>4263</v>
      </c>
      <c r="E114" s="959">
        <v>0</v>
      </c>
      <c r="F114" s="959">
        <v>1</v>
      </c>
      <c r="G114" s="959">
        <v>0</v>
      </c>
      <c r="H114" s="959">
        <v>0</v>
      </c>
    </row>
    <row r="115" spans="1:8">
      <c r="A115" s="959" t="s">
        <v>2889</v>
      </c>
      <c r="B115" s="960" t="s">
        <v>2890</v>
      </c>
      <c r="C115" s="960" t="s">
        <v>4275</v>
      </c>
      <c r="D115" s="960" t="s">
        <v>4276</v>
      </c>
      <c r="E115" s="959">
        <v>1</v>
      </c>
      <c r="F115" s="959">
        <v>53</v>
      </c>
      <c r="G115" s="959">
        <v>0</v>
      </c>
      <c r="H115" s="959">
        <v>1</v>
      </c>
    </row>
    <row r="116" spans="1:8">
      <c r="A116" s="959" t="s">
        <v>2889</v>
      </c>
      <c r="B116" s="960" t="s">
        <v>2890</v>
      </c>
      <c r="C116" s="960" t="s">
        <v>4277</v>
      </c>
      <c r="D116" s="960" t="s">
        <v>4278</v>
      </c>
      <c r="E116" s="959">
        <v>0</v>
      </c>
      <c r="F116" s="959">
        <v>0</v>
      </c>
      <c r="G116" s="959">
        <v>7</v>
      </c>
      <c r="H116" s="959">
        <v>226</v>
      </c>
    </row>
    <row r="117" spans="1:8">
      <c r="A117" s="959" t="s">
        <v>2889</v>
      </c>
      <c r="B117" s="960" t="s">
        <v>2890</v>
      </c>
      <c r="C117" s="960" t="s">
        <v>4277</v>
      </c>
      <c r="D117" s="960" t="s">
        <v>4279</v>
      </c>
      <c r="E117" s="959">
        <v>0</v>
      </c>
      <c r="F117" s="959">
        <v>0</v>
      </c>
      <c r="G117" s="959">
        <v>14</v>
      </c>
      <c r="H117" s="959">
        <v>683</v>
      </c>
    </row>
    <row r="118" spans="1:8">
      <c r="A118" s="959" t="s">
        <v>2889</v>
      </c>
      <c r="B118" s="960" t="s">
        <v>2890</v>
      </c>
      <c r="C118" s="960" t="s">
        <v>4277</v>
      </c>
      <c r="D118" s="960" t="s">
        <v>4280</v>
      </c>
      <c r="E118" s="959">
        <v>0</v>
      </c>
      <c r="F118" s="959">
        <v>0</v>
      </c>
      <c r="G118" s="959">
        <v>0</v>
      </c>
      <c r="H118" s="959">
        <v>1</v>
      </c>
    </row>
    <row r="119" spans="1:8">
      <c r="A119" s="959" t="s">
        <v>2889</v>
      </c>
      <c r="B119" s="960" t="s">
        <v>2890</v>
      </c>
      <c r="C119" s="960" t="s">
        <v>4256</v>
      </c>
      <c r="D119" s="960" t="s">
        <v>4281</v>
      </c>
      <c r="E119" s="959">
        <v>0</v>
      </c>
      <c r="F119" s="959">
        <v>0</v>
      </c>
      <c r="G119" s="959">
        <v>0</v>
      </c>
      <c r="H119" s="959">
        <v>7</v>
      </c>
    </row>
    <row r="120" spans="1:8">
      <c r="A120" s="959" t="s">
        <v>2889</v>
      </c>
      <c r="B120" s="960" t="s">
        <v>2890</v>
      </c>
      <c r="C120" s="960" t="s">
        <v>4256</v>
      </c>
      <c r="D120" s="960" t="s">
        <v>1906</v>
      </c>
      <c r="E120" s="959">
        <v>0</v>
      </c>
      <c r="F120" s="959">
        <v>4</v>
      </c>
      <c r="G120" s="959">
        <v>0</v>
      </c>
      <c r="H120" s="959">
        <v>4</v>
      </c>
    </row>
    <row r="121" spans="1:8">
      <c r="A121" s="959" t="s">
        <v>2889</v>
      </c>
      <c r="B121" s="960" t="s">
        <v>2890</v>
      </c>
      <c r="C121" s="960" t="s">
        <v>4257</v>
      </c>
      <c r="D121" s="960" t="s">
        <v>4258</v>
      </c>
      <c r="E121" s="959">
        <v>9</v>
      </c>
      <c r="F121" s="959">
        <v>219</v>
      </c>
      <c r="G121" s="959">
        <v>1</v>
      </c>
      <c r="H121" s="959">
        <v>20</v>
      </c>
    </row>
    <row r="122" spans="1:8">
      <c r="A122" s="959" t="s">
        <v>2889</v>
      </c>
      <c r="B122" s="960" t="s">
        <v>2890</v>
      </c>
      <c r="C122" s="960" t="s">
        <v>4267</v>
      </c>
      <c r="D122" s="960" t="s">
        <v>4268</v>
      </c>
      <c r="E122" s="959">
        <v>0</v>
      </c>
      <c r="F122" s="959">
        <v>0</v>
      </c>
      <c r="G122" s="959">
        <v>0</v>
      </c>
      <c r="H122" s="959">
        <v>13</v>
      </c>
    </row>
    <row r="123" spans="1:8">
      <c r="A123" s="959" t="s">
        <v>2892</v>
      </c>
      <c r="B123" s="960" t="s">
        <v>2893</v>
      </c>
      <c r="C123" s="960" t="s">
        <v>4256</v>
      </c>
      <c r="D123" s="960" t="s">
        <v>470</v>
      </c>
      <c r="E123" s="959">
        <v>0</v>
      </c>
      <c r="F123" s="959">
        <v>0</v>
      </c>
      <c r="G123" s="959">
        <v>0</v>
      </c>
      <c r="H123" s="959">
        <v>4</v>
      </c>
    </row>
    <row r="124" spans="1:8">
      <c r="A124" s="959" t="s">
        <v>2892</v>
      </c>
      <c r="B124" s="960" t="s">
        <v>2893</v>
      </c>
      <c r="C124" s="960" t="s">
        <v>4256</v>
      </c>
      <c r="D124" s="960" t="s">
        <v>1904</v>
      </c>
      <c r="E124" s="959">
        <v>0</v>
      </c>
      <c r="F124" s="959">
        <v>0</v>
      </c>
      <c r="G124" s="959">
        <v>1</v>
      </c>
      <c r="H124" s="959">
        <v>0</v>
      </c>
    </row>
    <row r="125" spans="1:8">
      <c r="A125" s="959" t="s">
        <v>2892</v>
      </c>
      <c r="B125" s="960" t="s">
        <v>2893</v>
      </c>
      <c r="C125" s="960" t="s">
        <v>4256</v>
      </c>
      <c r="D125" s="960" t="s">
        <v>4269</v>
      </c>
      <c r="E125" s="959">
        <v>0</v>
      </c>
      <c r="F125" s="959">
        <v>0</v>
      </c>
      <c r="G125" s="959">
        <v>10</v>
      </c>
      <c r="H125" s="959">
        <v>0</v>
      </c>
    </row>
    <row r="126" spans="1:8">
      <c r="A126" s="959" t="s">
        <v>2892</v>
      </c>
      <c r="B126" s="960" t="s">
        <v>2893</v>
      </c>
      <c r="C126" s="960" t="s">
        <v>4256</v>
      </c>
      <c r="D126" s="960" t="s">
        <v>4270</v>
      </c>
      <c r="E126" s="959">
        <v>0</v>
      </c>
      <c r="F126" s="959">
        <v>0</v>
      </c>
      <c r="G126" s="959">
        <v>18</v>
      </c>
      <c r="H126" s="959">
        <v>0</v>
      </c>
    </row>
    <row r="127" spans="1:8">
      <c r="A127" s="959" t="s">
        <v>2892</v>
      </c>
      <c r="B127" s="960" t="s">
        <v>2893</v>
      </c>
      <c r="C127" s="960" t="s">
        <v>4256</v>
      </c>
      <c r="D127" s="960" t="s">
        <v>4259</v>
      </c>
      <c r="E127" s="959">
        <v>0</v>
      </c>
      <c r="F127" s="959">
        <v>0</v>
      </c>
      <c r="G127" s="959">
        <v>5</v>
      </c>
      <c r="H127" s="959">
        <v>0</v>
      </c>
    </row>
    <row r="128" spans="1:8">
      <c r="A128" s="959" t="s">
        <v>2892</v>
      </c>
      <c r="B128" s="960" t="s">
        <v>2893</v>
      </c>
      <c r="C128" s="960" t="s">
        <v>4256</v>
      </c>
      <c r="D128" s="960" t="s">
        <v>4260</v>
      </c>
      <c r="E128" s="959">
        <v>0</v>
      </c>
      <c r="F128" s="959">
        <v>0</v>
      </c>
      <c r="G128" s="959">
        <v>10</v>
      </c>
      <c r="H128" s="959">
        <v>37</v>
      </c>
    </row>
    <row r="129" spans="1:8">
      <c r="A129" s="959" t="s">
        <v>2892</v>
      </c>
      <c r="B129" s="960" t="s">
        <v>2893</v>
      </c>
      <c r="C129" s="960" t="s">
        <v>4256</v>
      </c>
      <c r="D129" s="960" t="s">
        <v>1906</v>
      </c>
      <c r="E129" s="959">
        <v>9</v>
      </c>
      <c r="F129" s="959">
        <v>117</v>
      </c>
      <c r="G129" s="959">
        <v>24</v>
      </c>
      <c r="H129" s="959">
        <v>324</v>
      </c>
    </row>
    <row r="130" spans="1:8">
      <c r="A130" s="959" t="s">
        <v>2892</v>
      </c>
      <c r="B130" s="960" t="s">
        <v>2893</v>
      </c>
      <c r="C130" s="960" t="s">
        <v>4256</v>
      </c>
      <c r="D130" s="960" t="s">
        <v>4261</v>
      </c>
      <c r="E130" s="959">
        <v>0</v>
      </c>
      <c r="F130" s="959">
        <v>0</v>
      </c>
      <c r="G130" s="959">
        <v>6</v>
      </c>
      <c r="H130" s="959">
        <v>21</v>
      </c>
    </row>
    <row r="131" spans="1:8">
      <c r="A131" s="959" t="s">
        <v>2892</v>
      </c>
      <c r="B131" s="960" t="s">
        <v>2893</v>
      </c>
      <c r="C131" s="960" t="s">
        <v>4256</v>
      </c>
      <c r="D131" s="960" t="s">
        <v>4274</v>
      </c>
      <c r="E131" s="959">
        <v>0</v>
      </c>
      <c r="F131" s="959">
        <v>0</v>
      </c>
      <c r="G131" s="959">
        <v>0</v>
      </c>
      <c r="H131" s="959">
        <v>2</v>
      </c>
    </row>
    <row r="132" spans="1:8">
      <c r="A132" s="959" t="s">
        <v>2892</v>
      </c>
      <c r="B132" s="960" t="s">
        <v>2893</v>
      </c>
      <c r="C132" s="960" t="s">
        <v>4256</v>
      </c>
      <c r="D132" s="961" t="s">
        <v>4266</v>
      </c>
      <c r="E132" s="959">
        <v>0</v>
      </c>
      <c r="F132" s="959">
        <v>0</v>
      </c>
      <c r="G132" s="959">
        <v>0</v>
      </c>
      <c r="H132" s="959">
        <v>2</v>
      </c>
    </row>
    <row r="133" spans="1:8">
      <c r="A133" s="959" t="s">
        <v>2892</v>
      </c>
      <c r="B133" s="960" t="s">
        <v>2893</v>
      </c>
      <c r="C133" s="960" t="s">
        <v>4257</v>
      </c>
      <c r="D133" s="960" t="s">
        <v>4258</v>
      </c>
      <c r="E133" s="959">
        <v>27</v>
      </c>
      <c r="F133" s="959">
        <v>546</v>
      </c>
      <c r="G133" s="959">
        <v>5</v>
      </c>
      <c r="H133" s="959">
        <v>2</v>
      </c>
    </row>
    <row r="134" spans="1:8">
      <c r="A134" s="959" t="s">
        <v>2892</v>
      </c>
      <c r="B134" s="960" t="s">
        <v>2893</v>
      </c>
      <c r="C134" s="960" t="s">
        <v>4267</v>
      </c>
      <c r="D134" s="960" t="s">
        <v>4268</v>
      </c>
      <c r="E134" s="959">
        <v>0</v>
      </c>
      <c r="F134" s="959">
        <v>0</v>
      </c>
      <c r="G134" s="959">
        <v>0</v>
      </c>
      <c r="H134" s="959">
        <v>6</v>
      </c>
    </row>
    <row r="135" spans="1:8">
      <c r="A135" s="959" t="s">
        <v>2894</v>
      </c>
      <c r="B135" s="960" t="s">
        <v>2895</v>
      </c>
      <c r="C135" s="960" t="s">
        <v>4256</v>
      </c>
      <c r="D135" s="960" t="s">
        <v>470</v>
      </c>
      <c r="E135" s="959">
        <v>0</v>
      </c>
      <c r="F135" s="959">
        <v>0</v>
      </c>
      <c r="G135" s="959">
        <v>4</v>
      </c>
      <c r="H135" s="959">
        <v>82</v>
      </c>
    </row>
    <row r="136" spans="1:8">
      <c r="A136" s="959" t="s">
        <v>2894</v>
      </c>
      <c r="B136" s="960" t="s">
        <v>2895</v>
      </c>
      <c r="C136" s="960" t="s">
        <v>4256</v>
      </c>
      <c r="D136" s="960" t="s">
        <v>1904</v>
      </c>
      <c r="E136" s="959">
        <v>0</v>
      </c>
      <c r="F136" s="959">
        <v>0</v>
      </c>
      <c r="G136" s="959">
        <v>12</v>
      </c>
      <c r="H136" s="959">
        <v>263</v>
      </c>
    </row>
    <row r="137" spans="1:8">
      <c r="A137" s="959" t="s">
        <v>2894</v>
      </c>
      <c r="B137" s="960" t="s">
        <v>2895</v>
      </c>
      <c r="C137" s="960" t="s">
        <v>4256</v>
      </c>
      <c r="D137" s="960" t="s">
        <v>4269</v>
      </c>
      <c r="E137" s="959">
        <v>0</v>
      </c>
      <c r="F137" s="959">
        <v>0</v>
      </c>
      <c r="G137" s="959">
        <v>0</v>
      </c>
      <c r="H137" s="959">
        <v>1</v>
      </c>
    </row>
    <row r="138" spans="1:8">
      <c r="A138" s="959" t="s">
        <v>2894</v>
      </c>
      <c r="B138" s="960" t="s">
        <v>2895</v>
      </c>
      <c r="C138" s="960" t="s">
        <v>4256</v>
      </c>
      <c r="D138" s="960" t="s">
        <v>4270</v>
      </c>
      <c r="E138" s="959">
        <v>0</v>
      </c>
      <c r="F138" s="959">
        <v>0</v>
      </c>
      <c r="G138" s="959">
        <v>40</v>
      </c>
      <c r="H138" s="959">
        <v>49</v>
      </c>
    </row>
    <row r="139" spans="1:8">
      <c r="A139" s="959" t="s">
        <v>2894</v>
      </c>
      <c r="B139" s="960" t="s">
        <v>2895</v>
      </c>
      <c r="C139" s="960" t="s">
        <v>4256</v>
      </c>
      <c r="D139" s="960" t="s">
        <v>4259</v>
      </c>
      <c r="E139" s="959">
        <v>1</v>
      </c>
      <c r="F139" s="959">
        <v>0</v>
      </c>
      <c r="G139" s="959">
        <v>20</v>
      </c>
      <c r="H139" s="959">
        <v>37</v>
      </c>
    </row>
    <row r="140" spans="1:8">
      <c r="A140" s="959" t="s">
        <v>2894</v>
      </c>
      <c r="B140" s="960" t="s">
        <v>2895</v>
      </c>
      <c r="C140" s="960" t="s">
        <v>4256</v>
      </c>
      <c r="D140" s="960" t="s">
        <v>4260</v>
      </c>
      <c r="E140" s="959">
        <v>1</v>
      </c>
      <c r="F140" s="959">
        <v>0</v>
      </c>
      <c r="G140" s="959">
        <v>136</v>
      </c>
      <c r="H140" s="959">
        <v>1157</v>
      </c>
    </row>
    <row r="141" spans="1:8">
      <c r="A141" s="959" t="s">
        <v>2894</v>
      </c>
      <c r="B141" s="960" t="s">
        <v>2895</v>
      </c>
      <c r="C141" s="960" t="s">
        <v>4256</v>
      </c>
      <c r="D141" s="960" t="s">
        <v>4265</v>
      </c>
      <c r="E141" s="959">
        <v>0</v>
      </c>
      <c r="F141" s="959">
        <v>0</v>
      </c>
      <c r="G141" s="959">
        <v>1</v>
      </c>
      <c r="H141" s="959">
        <v>9</v>
      </c>
    </row>
    <row r="142" spans="1:8">
      <c r="A142" s="959" t="s">
        <v>2894</v>
      </c>
      <c r="B142" s="960" t="s">
        <v>2895</v>
      </c>
      <c r="C142" s="960" t="s">
        <v>4256</v>
      </c>
      <c r="D142" s="960" t="s">
        <v>4272</v>
      </c>
      <c r="E142" s="959">
        <v>0</v>
      </c>
      <c r="F142" s="959">
        <v>0</v>
      </c>
      <c r="G142" s="959">
        <v>0</v>
      </c>
      <c r="H142" s="959">
        <v>5</v>
      </c>
    </row>
    <row r="143" spans="1:8">
      <c r="A143" s="959" t="s">
        <v>2894</v>
      </c>
      <c r="B143" s="960" t="s">
        <v>2895</v>
      </c>
      <c r="C143" s="960" t="s">
        <v>4256</v>
      </c>
      <c r="D143" s="960" t="s">
        <v>1906</v>
      </c>
      <c r="E143" s="959">
        <v>0</v>
      </c>
      <c r="F143" s="959">
        <v>1</v>
      </c>
      <c r="G143" s="959">
        <v>7</v>
      </c>
      <c r="H143" s="959">
        <v>92</v>
      </c>
    </row>
    <row r="144" spans="1:8">
      <c r="A144" s="959" t="s">
        <v>2894</v>
      </c>
      <c r="B144" s="960" t="s">
        <v>2895</v>
      </c>
      <c r="C144" s="960" t="s">
        <v>4256</v>
      </c>
      <c r="D144" s="960" t="s">
        <v>4264</v>
      </c>
      <c r="E144" s="959">
        <v>0</v>
      </c>
      <c r="F144" s="959">
        <v>0</v>
      </c>
      <c r="G144" s="959">
        <v>0</v>
      </c>
      <c r="H144" s="959">
        <v>1</v>
      </c>
    </row>
    <row r="145" spans="1:8">
      <c r="A145" s="959" t="s">
        <v>2894</v>
      </c>
      <c r="B145" s="960" t="s">
        <v>2895</v>
      </c>
      <c r="C145" s="960" t="s">
        <v>4256</v>
      </c>
      <c r="D145" s="960" t="s">
        <v>4261</v>
      </c>
      <c r="E145" s="959">
        <v>0</v>
      </c>
      <c r="F145" s="959">
        <v>1</v>
      </c>
      <c r="G145" s="959">
        <v>88</v>
      </c>
      <c r="H145" s="959">
        <v>1240</v>
      </c>
    </row>
    <row r="146" spans="1:8">
      <c r="A146" s="959" t="s">
        <v>2894</v>
      </c>
      <c r="B146" s="960" t="s">
        <v>2895</v>
      </c>
      <c r="C146" s="960" t="s">
        <v>4256</v>
      </c>
      <c r="D146" s="961" t="s">
        <v>4266</v>
      </c>
      <c r="E146" s="959">
        <v>0</v>
      </c>
      <c r="F146" s="959">
        <v>0</v>
      </c>
      <c r="G146" s="959">
        <v>1</v>
      </c>
      <c r="H146" s="959">
        <v>11</v>
      </c>
    </row>
    <row r="147" spans="1:8">
      <c r="A147" s="959" t="s">
        <v>2894</v>
      </c>
      <c r="B147" s="960" t="s">
        <v>2895</v>
      </c>
      <c r="C147" s="960" t="s">
        <v>4257</v>
      </c>
      <c r="D147" s="960" t="s">
        <v>4258</v>
      </c>
      <c r="E147" s="959">
        <v>1</v>
      </c>
      <c r="F147" s="959">
        <v>16</v>
      </c>
      <c r="G147" s="959">
        <v>2</v>
      </c>
      <c r="H147" s="959">
        <v>33</v>
      </c>
    </row>
    <row r="148" spans="1:8">
      <c r="A148" s="959" t="s">
        <v>2894</v>
      </c>
      <c r="B148" s="960" t="s">
        <v>2895</v>
      </c>
      <c r="C148" s="960" t="s">
        <v>4262</v>
      </c>
      <c r="D148" s="960" t="s">
        <v>4263</v>
      </c>
      <c r="E148" s="959">
        <v>0</v>
      </c>
      <c r="F148" s="959">
        <v>33</v>
      </c>
      <c r="G148" s="959">
        <v>4</v>
      </c>
      <c r="H148" s="959">
        <v>102</v>
      </c>
    </row>
    <row r="149" spans="1:8">
      <c r="A149" s="959" t="s">
        <v>2894</v>
      </c>
      <c r="B149" s="960" t="s">
        <v>2895</v>
      </c>
      <c r="C149" s="960" t="s">
        <v>4267</v>
      </c>
      <c r="D149" s="960" t="s">
        <v>4268</v>
      </c>
      <c r="E149" s="959">
        <v>0</v>
      </c>
      <c r="F149" s="959">
        <v>0</v>
      </c>
      <c r="G149" s="959">
        <v>0</v>
      </c>
      <c r="H149" s="959">
        <v>1</v>
      </c>
    </row>
    <row r="150" spans="1:8">
      <c r="A150" s="959" t="s">
        <v>2898</v>
      </c>
      <c r="B150" s="960" t="s">
        <v>2899</v>
      </c>
      <c r="C150" s="960" t="s">
        <v>4256</v>
      </c>
      <c r="D150" s="960" t="s">
        <v>470</v>
      </c>
      <c r="E150" s="959">
        <v>0</v>
      </c>
      <c r="F150" s="959">
        <v>0</v>
      </c>
      <c r="G150" s="959">
        <v>2</v>
      </c>
      <c r="H150" s="959">
        <v>25</v>
      </c>
    </row>
    <row r="151" spans="1:8">
      <c r="A151" s="959" t="s">
        <v>2898</v>
      </c>
      <c r="B151" s="960" t="s">
        <v>2899</v>
      </c>
      <c r="C151" s="960" t="s">
        <v>4256</v>
      </c>
      <c r="D151" s="960" t="s">
        <v>1904</v>
      </c>
      <c r="E151" s="959">
        <v>0</v>
      </c>
      <c r="F151" s="959">
        <v>3</v>
      </c>
      <c r="G151" s="959">
        <v>11</v>
      </c>
      <c r="H151" s="959">
        <v>215</v>
      </c>
    </row>
    <row r="152" spans="1:8">
      <c r="A152" s="959" t="s">
        <v>2898</v>
      </c>
      <c r="B152" s="960" t="s">
        <v>2899</v>
      </c>
      <c r="C152" s="960" t="s">
        <v>4256</v>
      </c>
      <c r="D152" s="960" t="s">
        <v>4270</v>
      </c>
      <c r="E152" s="959">
        <v>0</v>
      </c>
      <c r="F152" s="959">
        <v>0</v>
      </c>
      <c r="G152" s="959">
        <v>0</v>
      </c>
      <c r="H152" s="959">
        <v>1</v>
      </c>
    </row>
    <row r="153" spans="1:8">
      <c r="A153" s="959" t="s">
        <v>2898</v>
      </c>
      <c r="B153" s="960" t="s">
        <v>2899</v>
      </c>
      <c r="C153" s="960" t="s">
        <v>4256</v>
      </c>
      <c r="D153" s="960" t="s">
        <v>4260</v>
      </c>
      <c r="E153" s="959">
        <v>0</v>
      </c>
      <c r="F153" s="959">
        <v>0</v>
      </c>
      <c r="G153" s="959">
        <v>0</v>
      </c>
      <c r="H153" s="959">
        <v>5</v>
      </c>
    </row>
    <row r="154" spans="1:8">
      <c r="A154" s="959" t="s">
        <v>2898</v>
      </c>
      <c r="B154" s="960" t="s">
        <v>2899</v>
      </c>
      <c r="C154" s="960" t="s">
        <v>4256</v>
      </c>
      <c r="D154" s="960" t="s">
        <v>4271</v>
      </c>
      <c r="E154" s="959">
        <v>0</v>
      </c>
      <c r="F154" s="959">
        <v>0</v>
      </c>
      <c r="G154" s="959">
        <v>0</v>
      </c>
      <c r="H154" s="959">
        <v>3</v>
      </c>
    </row>
    <row r="155" spans="1:8">
      <c r="A155" s="959" t="s">
        <v>2898</v>
      </c>
      <c r="B155" s="960" t="s">
        <v>2899</v>
      </c>
      <c r="C155" s="960" t="s">
        <v>4256</v>
      </c>
      <c r="D155" s="960" t="s">
        <v>1906</v>
      </c>
      <c r="E155" s="959">
        <v>0</v>
      </c>
      <c r="F155" s="959">
        <v>0</v>
      </c>
      <c r="G155" s="959">
        <v>1</v>
      </c>
      <c r="H155" s="959">
        <v>11</v>
      </c>
    </row>
    <row r="156" spans="1:8">
      <c r="A156" s="959" t="s">
        <v>2898</v>
      </c>
      <c r="B156" s="960" t="s">
        <v>2899</v>
      </c>
      <c r="C156" s="960" t="s">
        <v>4256</v>
      </c>
      <c r="D156" s="960" t="s">
        <v>4261</v>
      </c>
      <c r="E156" s="959">
        <v>0</v>
      </c>
      <c r="F156" s="959">
        <v>0</v>
      </c>
      <c r="G156" s="959">
        <v>3</v>
      </c>
      <c r="H156" s="959">
        <v>24</v>
      </c>
    </row>
    <row r="157" spans="1:8">
      <c r="A157" s="959" t="s">
        <v>2898</v>
      </c>
      <c r="B157" s="960" t="s">
        <v>2899</v>
      </c>
      <c r="C157" s="960" t="s">
        <v>4257</v>
      </c>
      <c r="D157" s="960" t="s">
        <v>4258</v>
      </c>
      <c r="E157" s="959">
        <v>0</v>
      </c>
      <c r="F157" s="959">
        <v>3</v>
      </c>
      <c r="G157" s="959">
        <v>0</v>
      </c>
      <c r="H157" s="959">
        <v>1</v>
      </c>
    </row>
    <row r="158" spans="1:8">
      <c r="A158" s="959" t="s">
        <v>2900</v>
      </c>
      <c r="B158" s="960" t="s">
        <v>2901</v>
      </c>
      <c r="C158" s="960" t="s">
        <v>4275</v>
      </c>
      <c r="D158" s="960" t="s">
        <v>4276</v>
      </c>
      <c r="E158" s="959">
        <v>4</v>
      </c>
      <c r="F158" s="959">
        <v>100</v>
      </c>
      <c r="G158" s="959">
        <v>0</v>
      </c>
      <c r="H158" s="959">
        <v>5</v>
      </c>
    </row>
    <row r="159" spans="1:8">
      <c r="A159" s="959" t="s">
        <v>2900</v>
      </c>
      <c r="B159" s="960" t="s">
        <v>2901</v>
      </c>
      <c r="C159" s="960" t="s">
        <v>4256</v>
      </c>
      <c r="D159" s="960" t="s">
        <v>1906</v>
      </c>
      <c r="E159" s="959">
        <v>4</v>
      </c>
      <c r="F159" s="959">
        <v>26</v>
      </c>
      <c r="G159" s="959">
        <v>4</v>
      </c>
      <c r="H159" s="959">
        <v>28</v>
      </c>
    </row>
    <row r="160" spans="1:8">
      <c r="A160" s="959" t="s">
        <v>2900</v>
      </c>
      <c r="B160" s="960" t="s">
        <v>2901</v>
      </c>
      <c r="C160" s="960" t="s">
        <v>4256</v>
      </c>
      <c r="D160" s="960" t="s">
        <v>4264</v>
      </c>
      <c r="E160" s="959">
        <v>0</v>
      </c>
      <c r="F160" s="959">
        <v>2</v>
      </c>
      <c r="G160" s="959">
        <v>2</v>
      </c>
      <c r="H160" s="959">
        <v>23</v>
      </c>
    </row>
    <row r="161" spans="1:8">
      <c r="A161" s="959" t="s">
        <v>2900</v>
      </c>
      <c r="B161" s="960" t="s">
        <v>2901</v>
      </c>
      <c r="C161" s="960" t="s">
        <v>4256</v>
      </c>
      <c r="D161" s="960" t="s">
        <v>1907</v>
      </c>
      <c r="E161" s="959">
        <v>1</v>
      </c>
      <c r="F161" s="959">
        <v>14</v>
      </c>
      <c r="G161" s="959">
        <v>65</v>
      </c>
      <c r="H161" s="959">
        <v>725</v>
      </c>
    </row>
    <row r="162" spans="1:8">
      <c r="A162" s="959" t="s">
        <v>2900</v>
      </c>
      <c r="B162" s="960" t="s">
        <v>2901</v>
      </c>
      <c r="C162" s="960" t="s">
        <v>4257</v>
      </c>
      <c r="D162" s="960" t="s">
        <v>4258</v>
      </c>
      <c r="E162" s="959">
        <v>6</v>
      </c>
      <c r="F162" s="959">
        <v>125</v>
      </c>
      <c r="G162" s="959">
        <v>10</v>
      </c>
      <c r="H162" s="959">
        <v>133</v>
      </c>
    </row>
    <row r="163" spans="1:8">
      <c r="A163" s="959" t="s">
        <v>2900</v>
      </c>
      <c r="B163" s="960" t="s">
        <v>2901</v>
      </c>
      <c r="C163" s="960" t="s">
        <v>4262</v>
      </c>
      <c r="D163" s="960" t="s">
        <v>4263</v>
      </c>
      <c r="E163" s="959">
        <v>2</v>
      </c>
      <c r="F163" s="959">
        <v>5</v>
      </c>
      <c r="G163" s="959">
        <v>0</v>
      </c>
      <c r="H163" s="959">
        <v>0</v>
      </c>
    </row>
    <row r="164" spans="1:8">
      <c r="A164" s="959" t="s">
        <v>2902</v>
      </c>
      <c r="B164" s="960" t="s">
        <v>2903</v>
      </c>
      <c r="C164" s="960" t="s">
        <v>4275</v>
      </c>
      <c r="D164" s="960" t="s">
        <v>4276</v>
      </c>
      <c r="E164" s="959">
        <v>1</v>
      </c>
      <c r="F164" s="959">
        <v>20</v>
      </c>
      <c r="G164" s="959">
        <v>0</v>
      </c>
      <c r="H164" s="959">
        <v>1</v>
      </c>
    </row>
    <row r="165" spans="1:8">
      <c r="A165" s="959" t="s">
        <v>2902</v>
      </c>
      <c r="B165" s="960" t="s">
        <v>2903</v>
      </c>
      <c r="C165" s="960" t="s">
        <v>4277</v>
      </c>
      <c r="D165" s="960" t="s">
        <v>4278</v>
      </c>
      <c r="E165" s="959">
        <v>0</v>
      </c>
      <c r="F165" s="959">
        <v>0</v>
      </c>
      <c r="G165" s="959">
        <v>0</v>
      </c>
      <c r="H165" s="959">
        <v>83</v>
      </c>
    </row>
    <row r="166" spans="1:8">
      <c r="A166" s="959" t="s">
        <v>2902</v>
      </c>
      <c r="B166" s="960" t="s">
        <v>2903</v>
      </c>
      <c r="C166" s="960" t="s">
        <v>4277</v>
      </c>
      <c r="D166" s="960" t="s">
        <v>4279</v>
      </c>
      <c r="E166" s="959">
        <v>0</v>
      </c>
      <c r="F166" s="959">
        <v>0</v>
      </c>
      <c r="G166" s="959">
        <v>0</v>
      </c>
      <c r="H166" s="959">
        <v>125</v>
      </c>
    </row>
    <row r="167" spans="1:8">
      <c r="A167" s="959" t="s">
        <v>2902</v>
      </c>
      <c r="B167" s="960" t="s">
        <v>2903</v>
      </c>
      <c r="C167" s="960" t="s">
        <v>4256</v>
      </c>
      <c r="D167" s="960" t="s">
        <v>1906</v>
      </c>
      <c r="E167" s="959">
        <v>0</v>
      </c>
      <c r="F167" s="959">
        <v>3</v>
      </c>
      <c r="G167" s="959">
        <v>3</v>
      </c>
      <c r="H167" s="959">
        <v>34</v>
      </c>
    </row>
    <row r="168" spans="1:8">
      <c r="A168" s="959" t="s">
        <v>2902</v>
      </c>
      <c r="B168" s="960" t="s">
        <v>2903</v>
      </c>
      <c r="C168" s="960" t="s">
        <v>4257</v>
      </c>
      <c r="D168" s="960" t="s">
        <v>4258</v>
      </c>
      <c r="E168" s="959">
        <v>47</v>
      </c>
      <c r="F168" s="959">
        <v>529</v>
      </c>
      <c r="G168" s="959">
        <v>9</v>
      </c>
      <c r="H168" s="959">
        <v>61</v>
      </c>
    </row>
    <row r="169" spans="1:8">
      <c r="A169" s="959" t="s">
        <v>2902</v>
      </c>
      <c r="B169" s="960" t="s">
        <v>2903</v>
      </c>
      <c r="C169" s="960" t="s">
        <v>4267</v>
      </c>
      <c r="D169" s="960" t="s">
        <v>4268</v>
      </c>
      <c r="E169" s="959">
        <v>0</v>
      </c>
      <c r="F169" s="959">
        <v>0</v>
      </c>
      <c r="G169" s="959">
        <v>0</v>
      </c>
      <c r="H169" s="959">
        <v>2</v>
      </c>
    </row>
    <row r="170" spans="1:8">
      <c r="A170" s="959" t="s">
        <v>2910</v>
      </c>
      <c r="B170" s="960" t="s">
        <v>2911</v>
      </c>
      <c r="C170" s="960" t="s">
        <v>4275</v>
      </c>
      <c r="D170" s="960" t="s">
        <v>4276</v>
      </c>
      <c r="E170" s="959">
        <v>8</v>
      </c>
      <c r="F170" s="959">
        <v>110</v>
      </c>
      <c r="G170" s="959">
        <v>0</v>
      </c>
      <c r="H170" s="959">
        <v>6</v>
      </c>
    </row>
    <row r="171" spans="1:8">
      <c r="A171" s="959" t="s">
        <v>2910</v>
      </c>
      <c r="B171" s="960" t="s">
        <v>2911</v>
      </c>
      <c r="C171" s="960" t="s">
        <v>4277</v>
      </c>
      <c r="D171" s="960" t="s">
        <v>4278</v>
      </c>
      <c r="E171" s="959">
        <v>0</v>
      </c>
      <c r="F171" s="959">
        <v>0</v>
      </c>
      <c r="G171" s="959">
        <v>3</v>
      </c>
      <c r="H171" s="959">
        <v>42</v>
      </c>
    </row>
    <row r="172" spans="1:8">
      <c r="A172" s="959" t="s">
        <v>2910</v>
      </c>
      <c r="B172" s="960" t="s">
        <v>2911</v>
      </c>
      <c r="C172" s="960" t="s">
        <v>4277</v>
      </c>
      <c r="D172" s="960" t="s">
        <v>4279</v>
      </c>
      <c r="E172" s="959">
        <v>0</v>
      </c>
      <c r="F172" s="959">
        <v>0</v>
      </c>
      <c r="G172" s="959">
        <v>1</v>
      </c>
      <c r="H172" s="959">
        <v>127</v>
      </c>
    </row>
    <row r="173" spans="1:8">
      <c r="A173" s="959" t="s">
        <v>2910</v>
      </c>
      <c r="B173" s="960" t="s">
        <v>2911</v>
      </c>
      <c r="C173" s="960" t="s">
        <v>4256</v>
      </c>
      <c r="D173" s="960" t="s">
        <v>1906</v>
      </c>
      <c r="E173" s="959">
        <v>1</v>
      </c>
      <c r="F173" s="959">
        <v>33</v>
      </c>
      <c r="G173" s="959">
        <v>0</v>
      </c>
      <c r="H173" s="959">
        <v>6</v>
      </c>
    </row>
    <row r="174" spans="1:8">
      <c r="A174" s="959" t="s">
        <v>2910</v>
      </c>
      <c r="B174" s="960" t="s">
        <v>2911</v>
      </c>
      <c r="C174" s="960" t="s">
        <v>4257</v>
      </c>
      <c r="D174" s="960" t="s">
        <v>4258</v>
      </c>
      <c r="E174" s="959">
        <v>79</v>
      </c>
      <c r="F174" s="959">
        <v>740</v>
      </c>
      <c r="G174" s="959">
        <v>10</v>
      </c>
      <c r="H174" s="959">
        <v>130</v>
      </c>
    </row>
    <row r="175" spans="1:8">
      <c r="A175" s="959" t="s">
        <v>2910</v>
      </c>
      <c r="B175" s="960" t="s">
        <v>2911</v>
      </c>
      <c r="C175" s="960" t="s">
        <v>4267</v>
      </c>
      <c r="D175" s="960" t="s">
        <v>4268</v>
      </c>
      <c r="E175" s="959">
        <v>0</v>
      </c>
      <c r="F175" s="959">
        <v>0</v>
      </c>
      <c r="G175" s="959">
        <v>0</v>
      </c>
      <c r="H175" s="959">
        <v>3</v>
      </c>
    </row>
    <row r="176" spans="1:8">
      <c r="A176" s="959" t="s">
        <v>2913</v>
      </c>
      <c r="B176" s="960" t="s">
        <v>2914</v>
      </c>
      <c r="C176" s="960" t="s">
        <v>4275</v>
      </c>
      <c r="D176" s="960" t="s">
        <v>4276</v>
      </c>
      <c r="E176" s="959">
        <v>2</v>
      </c>
      <c r="F176" s="959">
        <v>4</v>
      </c>
      <c r="G176" s="959">
        <v>1</v>
      </c>
      <c r="H176" s="959">
        <v>11</v>
      </c>
    </row>
    <row r="177" spans="1:8">
      <c r="A177" s="959" t="s">
        <v>2913</v>
      </c>
      <c r="B177" s="960" t="s">
        <v>2914</v>
      </c>
      <c r="C177" s="960" t="s">
        <v>4256</v>
      </c>
      <c r="D177" s="960" t="s">
        <v>4260</v>
      </c>
      <c r="E177" s="959">
        <v>0</v>
      </c>
      <c r="F177" s="959">
        <v>0</v>
      </c>
      <c r="G177" s="959">
        <v>0</v>
      </c>
      <c r="H177" s="959">
        <v>1</v>
      </c>
    </row>
    <row r="178" spans="1:8">
      <c r="A178" s="959" t="s">
        <v>2913</v>
      </c>
      <c r="B178" s="960" t="s">
        <v>2914</v>
      </c>
      <c r="C178" s="960" t="s">
        <v>4256</v>
      </c>
      <c r="D178" s="960" t="s">
        <v>1906</v>
      </c>
      <c r="E178" s="959">
        <v>5</v>
      </c>
      <c r="F178" s="959">
        <v>57</v>
      </c>
      <c r="G178" s="959">
        <v>8</v>
      </c>
      <c r="H178" s="959">
        <v>75</v>
      </c>
    </row>
    <row r="179" spans="1:8">
      <c r="A179" s="959" t="s">
        <v>2913</v>
      </c>
      <c r="B179" s="960" t="s">
        <v>2914</v>
      </c>
      <c r="C179" s="960" t="s">
        <v>4256</v>
      </c>
      <c r="D179" s="960" t="s">
        <v>4264</v>
      </c>
      <c r="E179" s="959">
        <v>0</v>
      </c>
      <c r="F179" s="959">
        <v>0</v>
      </c>
      <c r="G179" s="959">
        <v>0</v>
      </c>
      <c r="H179" s="959">
        <v>1</v>
      </c>
    </row>
    <row r="180" spans="1:8">
      <c r="A180" s="959" t="s">
        <v>2913</v>
      </c>
      <c r="B180" s="960" t="s">
        <v>2914</v>
      </c>
      <c r="C180" s="960" t="s">
        <v>4256</v>
      </c>
      <c r="D180" s="960" t="s">
        <v>1907</v>
      </c>
      <c r="E180" s="959">
        <v>15</v>
      </c>
      <c r="F180" s="959">
        <v>290</v>
      </c>
      <c r="G180" s="959">
        <v>22</v>
      </c>
      <c r="H180" s="959">
        <v>325</v>
      </c>
    </row>
    <row r="181" spans="1:8">
      <c r="A181" s="959" t="s">
        <v>2913</v>
      </c>
      <c r="B181" s="960" t="s">
        <v>2914</v>
      </c>
      <c r="C181" s="960" t="s">
        <v>4257</v>
      </c>
      <c r="D181" s="960" t="s">
        <v>4258</v>
      </c>
      <c r="E181" s="959">
        <v>6</v>
      </c>
      <c r="F181" s="959">
        <v>100</v>
      </c>
      <c r="G181" s="959">
        <v>9</v>
      </c>
      <c r="H181" s="959">
        <v>103</v>
      </c>
    </row>
    <row r="182" spans="1:8">
      <c r="A182" s="959" t="s">
        <v>2913</v>
      </c>
      <c r="B182" s="960" t="s">
        <v>2914</v>
      </c>
      <c r="C182" s="960" t="s">
        <v>4262</v>
      </c>
      <c r="D182" s="960" t="s">
        <v>4263</v>
      </c>
      <c r="E182" s="959">
        <v>0</v>
      </c>
      <c r="F182" s="959">
        <v>3</v>
      </c>
      <c r="G182" s="959">
        <v>0</v>
      </c>
      <c r="H182" s="959">
        <v>0</v>
      </c>
    </row>
    <row r="183" spans="1:8">
      <c r="A183" s="959" t="s">
        <v>2915</v>
      </c>
      <c r="B183" s="960" t="s">
        <v>707</v>
      </c>
      <c r="C183" s="960" t="s">
        <v>4256</v>
      </c>
      <c r="D183" s="960" t="s">
        <v>4259</v>
      </c>
      <c r="E183" s="959">
        <v>0</v>
      </c>
      <c r="F183" s="959">
        <v>0</v>
      </c>
      <c r="G183" s="959">
        <v>0</v>
      </c>
      <c r="H183" s="959">
        <v>2</v>
      </c>
    </row>
    <row r="184" spans="1:8">
      <c r="A184" s="959" t="s">
        <v>2915</v>
      </c>
      <c r="B184" s="960" t="s">
        <v>707</v>
      </c>
      <c r="C184" s="960" t="s">
        <v>4256</v>
      </c>
      <c r="D184" s="960" t="s">
        <v>4260</v>
      </c>
      <c r="E184" s="959">
        <v>0</v>
      </c>
      <c r="F184" s="959">
        <v>0</v>
      </c>
      <c r="G184" s="959">
        <v>0</v>
      </c>
      <c r="H184" s="959">
        <v>1</v>
      </c>
    </row>
    <row r="185" spans="1:8">
      <c r="A185" s="959" t="s">
        <v>2915</v>
      </c>
      <c r="B185" s="960" t="s">
        <v>707</v>
      </c>
      <c r="C185" s="960" t="s">
        <v>4262</v>
      </c>
      <c r="D185" s="960" t="s">
        <v>4263</v>
      </c>
      <c r="E185" s="959">
        <v>3</v>
      </c>
      <c r="F185" s="959">
        <v>68</v>
      </c>
      <c r="G185" s="959">
        <v>0</v>
      </c>
      <c r="H185" s="959">
        <v>19</v>
      </c>
    </row>
    <row r="186" spans="1:8">
      <c r="A186" s="959" t="s">
        <v>2918</v>
      </c>
      <c r="B186" s="960" t="s">
        <v>2919</v>
      </c>
      <c r="C186" s="960" t="s">
        <v>4275</v>
      </c>
      <c r="D186" s="960" t="s">
        <v>4276</v>
      </c>
      <c r="E186" s="959">
        <v>0</v>
      </c>
      <c r="F186" s="959">
        <v>4</v>
      </c>
      <c r="G186" s="959">
        <v>0</v>
      </c>
      <c r="H186" s="959">
        <v>0</v>
      </c>
    </row>
    <row r="187" spans="1:8">
      <c r="A187" s="959" t="s">
        <v>2918</v>
      </c>
      <c r="B187" s="960" t="s">
        <v>2919</v>
      </c>
      <c r="C187" s="960" t="s">
        <v>4277</v>
      </c>
      <c r="D187" s="960" t="s">
        <v>4278</v>
      </c>
      <c r="E187" s="959">
        <v>0</v>
      </c>
      <c r="F187" s="959">
        <v>0</v>
      </c>
      <c r="G187" s="959">
        <v>0</v>
      </c>
      <c r="H187" s="959">
        <v>1</v>
      </c>
    </row>
    <row r="188" spans="1:8">
      <c r="A188" s="959" t="s">
        <v>2918</v>
      </c>
      <c r="B188" s="960" t="s">
        <v>2919</v>
      </c>
      <c r="C188" s="960" t="s">
        <v>4256</v>
      </c>
      <c r="D188" s="960" t="s">
        <v>1906</v>
      </c>
      <c r="E188" s="959">
        <v>1</v>
      </c>
      <c r="F188" s="959">
        <v>15</v>
      </c>
      <c r="G188" s="959">
        <v>0</v>
      </c>
      <c r="H188" s="959">
        <v>2</v>
      </c>
    </row>
    <row r="189" spans="1:8">
      <c r="A189" s="959" t="s">
        <v>2918</v>
      </c>
      <c r="B189" s="960" t="s">
        <v>2919</v>
      </c>
      <c r="C189" s="960" t="s">
        <v>4257</v>
      </c>
      <c r="D189" s="960" t="s">
        <v>4258</v>
      </c>
      <c r="E189" s="959">
        <v>28</v>
      </c>
      <c r="F189" s="959">
        <v>365</v>
      </c>
      <c r="G189" s="959">
        <v>0</v>
      </c>
      <c r="H189" s="959">
        <v>5</v>
      </c>
    </row>
    <row r="190" spans="1:8">
      <c r="A190" s="959" t="s">
        <v>2920</v>
      </c>
      <c r="B190" s="960" t="s">
        <v>2921</v>
      </c>
      <c r="C190" s="960" t="s">
        <v>4256</v>
      </c>
      <c r="D190" s="960" t="s">
        <v>470</v>
      </c>
      <c r="E190" s="959">
        <v>0</v>
      </c>
      <c r="F190" s="959">
        <v>0</v>
      </c>
      <c r="G190" s="959">
        <v>0</v>
      </c>
      <c r="H190" s="959">
        <v>5</v>
      </c>
    </row>
    <row r="191" spans="1:8">
      <c r="A191" s="959" t="s">
        <v>2920</v>
      </c>
      <c r="B191" s="960" t="s">
        <v>2921</v>
      </c>
      <c r="C191" s="960" t="s">
        <v>4256</v>
      </c>
      <c r="D191" s="960" t="s">
        <v>1904</v>
      </c>
      <c r="E191" s="959">
        <v>0</v>
      </c>
      <c r="F191" s="959">
        <v>0</v>
      </c>
      <c r="G191" s="959">
        <v>3</v>
      </c>
      <c r="H191" s="959">
        <v>38</v>
      </c>
    </row>
    <row r="192" spans="1:8">
      <c r="A192" s="959" t="s">
        <v>2920</v>
      </c>
      <c r="B192" s="960" t="s">
        <v>2921</v>
      </c>
      <c r="C192" s="960" t="s">
        <v>4256</v>
      </c>
      <c r="D192" s="960" t="s">
        <v>4270</v>
      </c>
      <c r="E192" s="959">
        <v>0</v>
      </c>
      <c r="F192" s="959">
        <v>0</v>
      </c>
      <c r="G192" s="959">
        <v>0</v>
      </c>
      <c r="H192" s="959">
        <v>1</v>
      </c>
    </row>
    <row r="193" spans="1:8">
      <c r="A193" s="959" t="s">
        <v>2920</v>
      </c>
      <c r="B193" s="960" t="s">
        <v>2921</v>
      </c>
      <c r="C193" s="960" t="s">
        <v>4256</v>
      </c>
      <c r="D193" s="960" t="s">
        <v>4260</v>
      </c>
      <c r="E193" s="959">
        <v>0</v>
      </c>
      <c r="F193" s="959">
        <v>0</v>
      </c>
      <c r="G193" s="959">
        <v>13</v>
      </c>
      <c r="H193" s="959">
        <v>158</v>
      </c>
    </row>
    <row r="194" spans="1:8">
      <c r="A194" s="959" t="s">
        <v>2920</v>
      </c>
      <c r="B194" s="960" t="s">
        <v>2921</v>
      </c>
      <c r="C194" s="960" t="s">
        <v>4256</v>
      </c>
      <c r="D194" s="960" t="s">
        <v>4265</v>
      </c>
      <c r="E194" s="959">
        <v>0</v>
      </c>
      <c r="F194" s="959">
        <v>0</v>
      </c>
      <c r="G194" s="959">
        <v>0</v>
      </c>
      <c r="H194" s="959">
        <v>1</v>
      </c>
    </row>
    <row r="195" spans="1:8">
      <c r="A195" s="959" t="s">
        <v>2920</v>
      </c>
      <c r="B195" s="960" t="s">
        <v>2921</v>
      </c>
      <c r="C195" s="960" t="s">
        <v>4256</v>
      </c>
      <c r="D195" s="960" t="s">
        <v>1906</v>
      </c>
      <c r="E195" s="959">
        <v>0</v>
      </c>
      <c r="F195" s="959">
        <v>2</v>
      </c>
      <c r="G195" s="959">
        <v>0</v>
      </c>
      <c r="H195" s="959">
        <v>3</v>
      </c>
    </row>
    <row r="196" spans="1:8">
      <c r="A196" s="959" t="s">
        <v>2920</v>
      </c>
      <c r="B196" s="960" t="s">
        <v>2921</v>
      </c>
      <c r="C196" s="960" t="s">
        <v>4256</v>
      </c>
      <c r="D196" s="960" t="s">
        <v>4261</v>
      </c>
      <c r="E196" s="959">
        <v>0</v>
      </c>
      <c r="F196" s="959">
        <v>0</v>
      </c>
      <c r="G196" s="959">
        <v>2</v>
      </c>
      <c r="H196" s="959">
        <v>24</v>
      </c>
    </row>
    <row r="197" spans="1:8">
      <c r="A197" s="959" t="s">
        <v>2920</v>
      </c>
      <c r="B197" s="960" t="s">
        <v>2921</v>
      </c>
      <c r="C197" s="960" t="s">
        <v>4257</v>
      </c>
      <c r="D197" s="960" t="s">
        <v>4258</v>
      </c>
      <c r="E197" s="959">
        <v>0</v>
      </c>
      <c r="F197" s="959">
        <v>12</v>
      </c>
      <c r="G197" s="959">
        <v>0</v>
      </c>
      <c r="H197" s="959">
        <v>7</v>
      </c>
    </row>
    <row r="198" spans="1:8">
      <c r="A198" s="959" t="s">
        <v>2922</v>
      </c>
      <c r="B198" s="960" t="s">
        <v>2923</v>
      </c>
      <c r="C198" s="960" t="s">
        <v>4256</v>
      </c>
      <c r="D198" s="960" t="s">
        <v>470</v>
      </c>
      <c r="E198" s="959">
        <v>0</v>
      </c>
      <c r="F198" s="959">
        <v>0</v>
      </c>
      <c r="G198" s="959">
        <v>3</v>
      </c>
      <c r="H198" s="959">
        <v>0</v>
      </c>
    </row>
    <row r="199" spans="1:8">
      <c r="A199" s="959" t="s">
        <v>2922</v>
      </c>
      <c r="B199" s="960" t="s">
        <v>2923</v>
      </c>
      <c r="C199" s="960" t="s">
        <v>4256</v>
      </c>
      <c r="D199" s="960" t="s">
        <v>1904</v>
      </c>
      <c r="E199" s="959">
        <v>0</v>
      </c>
      <c r="F199" s="959">
        <v>0</v>
      </c>
      <c r="G199" s="959">
        <v>2</v>
      </c>
      <c r="H199" s="959">
        <v>32</v>
      </c>
    </row>
    <row r="200" spans="1:8">
      <c r="A200" s="959" t="s">
        <v>2922</v>
      </c>
      <c r="B200" s="960" t="s">
        <v>2923</v>
      </c>
      <c r="C200" s="960" t="s">
        <v>4256</v>
      </c>
      <c r="D200" s="960" t="s">
        <v>4270</v>
      </c>
      <c r="E200" s="959">
        <v>0</v>
      </c>
      <c r="F200" s="959">
        <v>0</v>
      </c>
      <c r="G200" s="959">
        <v>18</v>
      </c>
      <c r="H200" s="959">
        <v>14</v>
      </c>
    </row>
    <row r="201" spans="1:8">
      <c r="A201" s="959" t="s">
        <v>2922</v>
      </c>
      <c r="B201" s="960" t="s">
        <v>2923</v>
      </c>
      <c r="C201" s="960" t="s">
        <v>4256</v>
      </c>
      <c r="D201" s="960" t="s">
        <v>4259</v>
      </c>
      <c r="E201" s="959">
        <v>0</v>
      </c>
      <c r="F201" s="959">
        <v>0</v>
      </c>
      <c r="G201" s="959">
        <v>2</v>
      </c>
      <c r="H201" s="959">
        <v>0</v>
      </c>
    </row>
    <row r="202" spans="1:8">
      <c r="A202" s="959" t="s">
        <v>2922</v>
      </c>
      <c r="B202" s="960" t="s">
        <v>2923</v>
      </c>
      <c r="C202" s="960" t="s">
        <v>4256</v>
      </c>
      <c r="D202" s="960" t="s">
        <v>4260</v>
      </c>
      <c r="E202" s="959">
        <v>0</v>
      </c>
      <c r="F202" s="959">
        <v>0</v>
      </c>
      <c r="G202" s="959">
        <v>13</v>
      </c>
      <c r="H202" s="959">
        <v>137</v>
      </c>
    </row>
    <row r="203" spans="1:8">
      <c r="A203" s="959" t="s">
        <v>2922</v>
      </c>
      <c r="B203" s="960" t="s">
        <v>2923</v>
      </c>
      <c r="C203" s="960" t="s">
        <v>4256</v>
      </c>
      <c r="D203" s="960" t="s">
        <v>4272</v>
      </c>
      <c r="E203" s="959">
        <v>0</v>
      </c>
      <c r="F203" s="959">
        <v>0</v>
      </c>
      <c r="G203" s="959">
        <v>0</v>
      </c>
      <c r="H203" s="959">
        <v>1</v>
      </c>
    </row>
    <row r="204" spans="1:8">
      <c r="A204" s="959" t="s">
        <v>2922</v>
      </c>
      <c r="B204" s="960" t="s">
        <v>2923</v>
      </c>
      <c r="C204" s="960" t="s">
        <v>4256</v>
      </c>
      <c r="D204" s="960" t="s">
        <v>1906</v>
      </c>
      <c r="E204" s="959">
        <v>3</v>
      </c>
      <c r="F204" s="959">
        <v>37</v>
      </c>
      <c r="G204" s="959">
        <v>7</v>
      </c>
      <c r="H204" s="959">
        <v>91</v>
      </c>
    </row>
    <row r="205" spans="1:8">
      <c r="A205" s="959" t="s">
        <v>2922</v>
      </c>
      <c r="B205" s="960" t="s">
        <v>2923</v>
      </c>
      <c r="C205" s="960" t="s">
        <v>4256</v>
      </c>
      <c r="D205" s="960" t="s">
        <v>4261</v>
      </c>
      <c r="E205" s="959">
        <v>0</v>
      </c>
      <c r="F205" s="959">
        <v>0</v>
      </c>
      <c r="G205" s="959">
        <v>7</v>
      </c>
      <c r="H205" s="959">
        <v>77</v>
      </c>
    </row>
    <row r="206" spans="1:8">
      <c r="A206" s="959" t="s">
        <v>2922</v>
      </c>
      <c r="B206" s="960" t="s">
        <v>2923</v>
      </c>
      <c r="C206" s="960" t="s">
        <v>4256</v>
      </c>
      <c r="D206" s="961" t="s">
        <v>4266</v>
      </c>
      <c r="E206" s="959">
        <v>0</v>
      </c>
      <c r="F206" s="959">
        <v>0</v>
      </c>
      <c r="G206" s="959">
        <v>1</v>
      </c>
      <c r="H206" s="959">
        <v>12</v>
      </c>
    </row>
    <row r="207" spans="1:8">
      <c r="A207" s="959" t="s">
        <v>2922</v>
      </c>
      <c r="B207" s="960" t="s">
        <v>2923</v>
      </c>
      <c r="C207" s="960" t="s">
        <v>4257</v>
      </c>
      <c r="D207" s="960" t="s">
        <v>4258</v>
      </c>
      <c r="E207" s="959">
        <v>12</v>
      </c>
      <c r="F207" s="959">
        <v>308</v>
      </c>
      <c r="G207" s="959">
        <v>8</v>
      </c>
      <c r="H207" s="959">
        <v>4</v>
      </c>
    </row>
    <row r="208" spans="1:8">
      <c r="A208" s="959" t="s">
        <v>2922</v>
      </c>
      <c r="B208" s="960" t="s">
        <v>2923</v>
      </c>
      <c r="C208" s="960" t="s">
        <v>4267</v>
      </c>
      <c r="D208" s="960" t="s">
        <v>4268</v>
      </c>
      <c r="E208" s="959">
        <v>0</v>
      </c>
      <c r="F208" s="959">
        <v>0</v>
      </c>
      <c r="G208" s="959">
        <v>0</v>
      </c>
      <c r="H208" s="959">
        <v>8</v>
      </c>
    </row>
    <row r="209" spans="1:8">
      <c r="A209" s="959" t="s">
        <v>2924</v>
      </c>
      <c r="B209" s="960" t="s">
        <v>2925</v>
      </c>
      <c r="C209" s="960" t="s">
        <v>4275</v>
      </c>
      <c r="D209" s="960" t="s">
        <v>4276</v>
      </c>
      <c r="E209" s="959">
        <v>1</v>
      </c>
      <c r="F209" s="959">
        <v>0</v>
      </c>
      <c r="G209" s="959">
        <v>0</v>
      </c>
      <c r="H209" s="959">
        <v>0</v>
      </c>
    </row>
    <row r="210" spans="1:8">
      <c r="A210" s="959" t="s">
        <v>2924</v>
      </c>
      <c r="B210" s="960" t="s">
        <v>2925</v>
      </c>
      <c r="C210" s="960" t="s">
        <v>4256</v>
      </c>
      <c r="D210" s="960" t="s">
        <v>4259</v>
      </c>
      <c r="E210" s="959">
        <v>0</v>
      </c>
      <c r="F210" s="959">
        <v>0</v>
      </c>
      <c r="G210" s="959">
        <v>0</v>
      </c>
      <c r="H210" s="959">
        <v>2</v>
      </c>
    </row>
    <row r="211" spans="1:8">
      <c r="A211" s="959" t="s">
        <v>2924</v>
      </c>
      <c r="B211" s="960" t="s">
        <v>2925</v>
      </c>
      <c r="C211" s="960" t="s">
        <v>4256</v>
      </c>
      <c r="D211" s="960" t="s">
        <v>1906</v>
      </c>
      <c r="E211" s="959">
        <v>2</v>
      </c>
      <c r="F211" s="959">
        <v>53</v>
      </c>
      <c r="G211" s="959">
        <v>2</v>
      </c>
      <c r="H211" s="959">
        <v>29</v>
      </c>
    </row>
    <row r="212" spans="1:8">
      <c r="A212" s="959" t="s">
        <v>2924</v>
      </c>
      <c r="B212" s="960" t="s">
        <v>2925</v>
      </c>
      <c r="C212" s="960" t="s">
        <v>4256</v>
      </c>
      <c r="D212" s="960" t="s">
        <v>4264</v>
      </c>
      <c r="E212" s="959">
        <v>0</v>
      </c>
      <c r="F212" s="959">
        <v>0</v>
      </c>
      <c r="G212" s="959">
        <v>0</v>
      </c>
      <c r="H212" s="959">
        <v>2</v>
      </c>
    </row>
    <row r="213" spans="1:8">
      <c r="A213" s="959" t="s">
        <v>2924</v>
      </c>
      <c r="B213" s="960" t="s">
        <v>2925</v>
      </c>
      <c r="C213" s="960" t="s">
        <v>4256</v>
      </c>
      <c r="D213" s="960" t="s">
        <v>1907</v>
      </c>
      <c r="E213" s="959">
        <v>9</v>
      </c>
      <c r="F213" s="959">
        <v>224</v>
      </c>
      <c r="G213" s="959">
        <v>10</v>
      </c>
      <c r="H213" s="959">
        <v>140</v>
      </c>
    </row>
    <row r="214" spans="1:8">
      <c r="A214" s="959" t="s">
        <v>2924</v>
      </c>
      <c r="B214" s="960" t="s">
        <v>2925</v>
      </c>
      <c r="C214" s="960" t="s">
        <v>4257</v>
      </c>
      <c r="D214" s="960" t="s">
        <v>4258</v>
      </c>
      <c r="E214" s="959">
        <v>3</v>
      </c>
      <c r="F214" s="959">
        <v>65</v>
      </c>
      <c r="G214" s="959">
        <v>2</v>
      </c>
      <c r="H214" s="959">
        <v>37</v>
      </c>
    </row>
    <row r="215" spans="1:8">
      <c r="A215" s="959" t="s">
        <v>2924</v>
      </c>
      <c r="B215" s="960" t="s">
        <v>2925</v>
      </c>
      <c r="C215" s="960" t="s">
        <v>4262</v>
      </c>
      <c r="D215" s="960" t="s">
        <v>4263</v>
      </c>
      <c r="E215" s="959">
        <v>0</v>
      </c>
      <c r="F215" s="959">
        <v>6</v>
      </c>
      <c r="G215" s="959">
        <v>0</v>
      </c>
      <c r="H215" s="959">
        <v>0</v>
      </c>
    </row>
    <row r="216" spans="1:8">
      <c r="A216" s="959" t="s">
        <v>2926</v>
      </c>
      <c r="B216" s="960" t="s">
        <v>2927</v>
      </c>
      <c r="C216" s="960" t="s">
        <v>4256</v>
      </c>
      <c r="D216" s="960" t="s">
        <v>470</v>
      </c>
      <c r="E216" s="959">
        <v>0</v>
      </c>
      <c r="F216" s="959">
        <v>0</v>
      </c>
      <c r="G216" s="959">
        <v>6</v>
      </c>
      <c r="H216" s="959">
        <v>36</v>
      </c>
    </row>
    <row r="217" spans="1:8">
      <c r="A217" s="959" t="s">
        <v>2926</v>
      </c>
      <c r="B217" s="960" t="s">
        <v>2927</v>
      </c>
      <c r="C217" s="960" t="s">
        <v>4256</v>
      </c>
      <c r="D217" s="960" t="s">
        <v>1904</v>
      </c>
      <c r="E217" s="959">
        <v>0</v>
      </c>
      <c r="F217" s="959">
        <v>0</v>
      </c>
      <c r="G217" s="959">
        <v>0</v>
      </c>
      <c r="H217" s="959">
        <v>5</v>
      </c>
    </row>
    <row r="218" spans="1:8">
      <c r="A218" s="959" t="s">
        <v>2926</v>
      </c>
      <c r="B218" s="960" t="s">
        <v>2927</v>
      </c>
      <c r="C218" s="960" t="s">
        <v>4256</v>
      </c>
      <c r="D218" s="960" t="s">
        <v>4270</v>
      </c>
      <c r="E218" s="959">
        <v>0</v>
      </c>
      <c r="F218" s="959">
        <v>0</v>
      </c>
      <c r="G218" s="959">
        <v>3</v>
      </c>
      <c r="H218" s="959">
        <v>16</v>
      </c>
    </row>
    <row r="219" spans="1:8">
      <c r="A219" s="959" t="s">
        <v>2926</v>
      </c>
      <c r="B219" s="960" t="s">
        <v>2927</v>
      </c>
      <c r="C219" s="960" t="s">
        <v>4256</v>
      </c>
      <c r="D219" s="960" t="s">
        <v>4259</v>
      </c>
      <c r="E219" s="959">
        <v>0</v>
      </c>
      <c r="F219" s="959">
        <v>0</v>
      </c>
      <c r="G219" s="959">
        <v>5</v>
      </c>
      <c r="H219" s="959">
        <v>2</v>
      </c>
    </row>
    <row r="220" spans="1:8">
      <c r="A220" s="959" t="s">
        <v>2926</v>
      </c>
      <c r="B220" s="960" t="s">
        <v>2927</v>
      </c>
      <c r="C220" s="960" t="s">
        <v>4256</v>
      </c>
      <c r="D220" s="960" t="s">
        <v>4260</v>
      </c>
      <c r="E220" s="959">
        <v>0</v>
      </c>
      <c r="F220" s="959">
        <v>2</v>
      </c>
      <c r="G220" s="959">
        <v>6</v>
      </c>
      <c r="H220" s="959">
        <v>98</v>
      </c>
    </row>
    <row r="221" spans="1:8">
      <c r="A221" s="959" t="s">
        <v>2926</v>
      </c>
      <c r="B221" s="960" t="s">
        <v>2927</v>
      </c>
      <c r="C221" s="960" t="s">
        <v>4256</v>
      </c>
      <c r="D221" s="960" t="s">
        <v>1906</v>
      </c>
      <c r="E221" s="959">
        <v>6</v>
      </c>
      <c r="F221" s="959">
        <v>83</v>
      </c>
      <c r="G221" s="959">
        <v>1</v>
      </c>
      <c r="H221" s="959">
        <v>12</v>
      </c>
    </row>
    <row r="222" spans="1:8">
      <c r="A222" s="959" t="s">
        <v>2926</v>
      </c>
      <c r="B222" s="960" t="s">
        <v>2927</v>
      </c>
      <c r="C222" s="960" t="s">
        <v>4256</v>
      </c>
      <c r="D222" s="960" t="s">
        <v>4264</v>
      </c>
      <c r="E222" s="959">
        <v>0</v>
      </c>
      <c r="F222" s="959">
        <v>0</v>
      </c>
      <c r="G222" s="959">
        <v>1</v>
      </c>
      <c r="H222" s="959">
        <v>12</v>
      </c>
    </row>
    <row r="223" spans="1:8">
      <c r="A223" s="959" t="s">
        <v>2926</v>
      </c>
      <c r="B223" s="960" t="s">
        <v>2927</v>
      </c>
      <c r="C223" s="960" t="s">
        <v>4256</v>
      </c>
      <c r="D223" s="960" t="s">
        <v>4261</v>
      </c>
      <c r="E223" s="959">
        <v>0</v>
      </c>
      <c r="F223" s="959">
        <v>0</v>
      </c>
      <c r="G223" s="959">
        <v>5</v>
      </c>
      <c r="H223" s="959">
        <v>57</v>
      </c>
    </row>
    <row r="224" spans="1:8">
      <c r="A224" s="959" t="s">
        <v>2926</v>
      </c>
      <c r="B224" s="960" t="s">
        <v>2927</v>
      </c>
      <c r="C224" s="960" t="s">
        <v>4257</v>
      </c>
      <c r="D224" s="960" t="s">
        <v>4258</v>
      </c>
      <c r="E224" s="959">
        <v>12</v>
      </c>
      <c r="F224" s="959">
        <v>158</v>
      </c>
      <c r="G224" s="959">
        <v>0</v>
      </c>
      <c r="H224" s="959">
        <v>5</v>
      </c>
    </row>
    <row r="225" spans="1:8">
      <c r="A225" s="959" t="s">
        <v>2926</v>
      </c>
      <c r="B225" s="960" t="s">
        <v>2927</v>
      </c>
      <c r="C225" s="960" t="s">
        <v>4262</v>
      </c>
      <c r="D225" s="960" t="s">
        <v>4263</v>
      </c>
      <c r="E225" s="959">
        <v>4</v>
      </c>
      <c r="F225" s="959">
        <v>12</v>
      </c>
      <c r="G225" s="959">
        <v>0</v>
      </c>
      <c r="H225" s="959">
        <v>17</v>
      </c>
    </row>
    <row r="226" spans="1:8">
      <c r="A226" s="959" t="s">
        <v>2926</v>
      </c>
      <c r="B226" s="960" t="s">
        <v>2927</v>
      </c>
      <c r="C226" s="960" t="s">
        <v>4267</v>
      </c>
      <c r="D226" s="960" t="s">
        <v>4268</v>
      </c>
      <c r="E226" s="959">
        <v>0</v>
      </c>
      <c r="F226" s="959">
        <v>0</v>
      </c>
      <c r="G226" s="959">
        <v>0</v>
      </c>
      <c r="H226" s="959">
        <v>27</v>
      </c>
    </row>
    <row r="227" spans="1:8">
      <c r="A227" s="959" t="s">
        <v>2928</v>
      </c>
      <c r="B227" s="960" t="s">
        <v>2929</v>
      </c>
      <c r="C227" s="960" t="s">
        <v>4256</v>
      </c>
      <c r="D227" s="960" t="s">
        <v>470</v>
      </c>
      <c r="E227" s="959">
        <v>0</v>
      </c>
      <c r="F227" s="959">
        <v>0</v>
      </c>
      <c r="G227" s="959">
        <v>19</v>
      </c>
      <c r="H227" s="959">
        <v>64</v>
      </c>
    </row>
    <row r="228" spans="1:8">
      <c r="A228" s="959" t="s">
        <v>2928</v>
      </c>
      <c r="B228" s="960" t="s">
        <v>2929</v>
      </c>
      <c r="C228" s="960" t="s">
        <v>4256</v>
      </c>
      <c r="D228" s="960" t="s">
        <v>1904</v>
      </c>
      <c r="E228" s="959">
        <v>0</v>
      </c>
      <c r="F228" s="959">
        <v>0</v>
      </c>
      <c r="G228" s="959">
        <v>4</v>
      </c>
      <c r="H228" s="959">
        <v>92</v>
      </c>
    </row>
    <row r="229" spans="1:8">
      <c r="A229" s="959" t="s">
        <v>2928</v>
      </c>
      <c r="B229" s="960" t="s">
        <v>2929</v>
      </c>
      <c r="C229" s="960" t="s">
        <v>4256</v>
      </c>
      <c r="D229" s="960" t="s">
        <v>4269</v>
      </c>
      <c r="E229" s="959">
        <v>0</v>
      </c>
      <c r="F229" s="959">
        <v>0</v>
      </c>
      <c r="G229" s="959">
        <v>2</v>
      </c>
      <c r="H229" s="959">
        <v>0</v>
      </c>
    </row>
    <row r="230" spans="1:8">
      <c r="A230" s="959" t="s">
        <v>2928</v>
      </c>
      <c r="B230" s="960" t="s">
        <v>2929</v>
      </c>
      <c r="C230" s="960" t="s">
        <v>4256</v>
      </c>
      <c r="D230" s="960" t="s">
        <v>4270</v>
      </c>
      <c r="E230" s="959">
        <v>0</v>
      </c>
      <c r="F230" s="959">
        <v>0</v>
      </c>
      <c r="G230" s="959">
        <v>8</v>
      </c>
      <c r="H230" s="959">
        <v>3</v>
      </c>
    </row>
    <row r="231" spans="1:8">
      <c r="A231" s="959" t="s">
        <v>2928</v>
      </c>
      <c r="B231" s="960" t="s">
        <v>2929</v>
      </c>
      <c r="C231" s="960" t="s">
        <v>4256</v>
      </c>
      <c r="D231" s="960" t="s">
        <v>4259</v>
      </c>
      <c r="E231" s="959">
        <v>0</v>
      </c>
      <c r="F231" s="959">
        <v>0</v>
      </c>
      <c r="G231" s="959">
        <v>1</v>
      </c>
      <c r="H231" s="959">
        <v>0</v>
      </c>
    </row>
    <row r="232" spans="1:8">
      <c r="A232" s="959" t="s">
        <v>2928</v>
      </c>
      <c r="B232" s="960" t="s">
        <v>2929</v>
      </c>
      <c r="C232" s="960" t="s">
        <v>4256</v>
      </c>
      <c r="D232" s="960" t="s">
        <v>4260</v>
      </c>
      <c r="E232" s="959">
        <v>0</v>
      </c>
      <c r="F232" s="959">
        <v>0</v>
      </c>
      <c r="G232" s="959">
        <v>6</v>
      </c>
      <c r="H232" s="959">
        <v>63</v>
      </c>
    </row>
    <row r="233" spans="1:8">
      <c r="A233" s="959" t="s">
        <v>2928</v>
      </c>
      <c r="B233" s="960" t="s">
        <v>2929</v>
      </c>
      <c r="C233" s="960" t="s">
        <v>4256</v>
      </c>
      <c r="D233" s="960" t="s">
        <v>4271</v>
      </c>
      <c r="E233" s="959">
        <v>0</v>
      </c>
      <c r="F233" s="959">
        <v>2</v>
      </c>
      <c r="G233" s="959">
        <v>12</v>
      </c>
      <c r="H233" s="959">
        <v>156</v>
      </c>
    </row>
    <row r="234" spans="1:8">
      <c r="A234" s="959" t="s">
        <v>2928</v>
      </c>
      <c r="B234" s="960" t="s">
        <v>2929</v>
      </c>
      <c r="C234" s="960" t="s">
        <v>4256</v>
      </c>
      <c r="D234" s="960" t="s">
        <v>4272</v>
      </c>
      <c r="E234" s="959">
        <v>0</v>
      </c>
      <c r="F234" s="959">
        <v>0</v>
      </c>
      <c r="G234" s="959">
        <v>0</v>
      </c>
      <c r="H234" s="959">
        <v>4</v>
      </c>
    </row>
    <row r="235" spans="1:8">
      <c r="A235" s="959" t="s">
        <v>2928</v>
      </c>
      <c r="B235" s="960" t="s">
        <v>2929</v>
      </c>
      <c r="C235" s="960" t="s">
        <v>4256</v>
      </c>
      <c r="D235" s="960" t="s">
        <v>1906</v>
      </c>
      <c r="E235" s="959">
        <v>0</v>
      </c>
      <c r="F235" s="959">
        <v>0</v>
      </c>
      <c r="G235" s="959">
        <v>2</v>
      </c>
      <c r="H235" s="959">
        <v>28</v>
      </c>
    </row>
    <row r="236" spans="1:8">
      <c r="A236" s="959" t="s">
        <v>2928</v>
      </c>
      <c r="B236" s="960" t="s">
        <v>2929</v>
      </c>
      <c r="C236" s="960" t="s">
        <v>4256</v>
      </c>
      <c r="D236" s="960" t="s">
        <v>4264</v>
      </c>
      <c r="E236" s="959">
        <v>0</v>
      </c>
      <c r="F236" s="959">
        <v>0</v>
      </c>
      <c r="G236" s="959">
        <v>0</v>
      </c>
      <c r="H236" s="959">
        <v>1</v>
      </c>
    </row>
    <row r="237" spans="1:8">
      <c r="A237" s="959" t="s">
        <v>2928</v>
      </c>
      <c r="B237" s="960" t="s">
        <v>2929</v>
      </c>
      <c r="C237" s="960" t="s">
        <v>4256</v>
      </c>
      <c r="D237" s="960" t="s">
        <v>4261</v>
      </c>
      <c r="E237" s="959">
        <v>0</v>
      </c>
      <c r="F237" s="959">
        <v>0</v>
      </c>
      <c r="G237" s="959">
        <v>4</v>
      </c>
      <c r="H237" s="959">
        <v>137</v>
      </c>
    </row>
    <row r="238" spans="1:8">
      <c r="A238" s="959" t="s">
        <v>2928</v>
      </c>
      <c r="B238" s="960" t="s">
        <v>2929</v>
      </c>
      <c r="C238" s="960" t="s">
        <v>4257</v>
      </c>
      <c r="D238" s="960" t="s">
        <v>4258</v>
      </c>
      <c r="E238" s="959">
        <v>0</v>
      </c>
      <c r="F238" s="959">
        <v>6</v>
      </c>
      <c r="G238" s="959">
        <v>1</v>
      </c>
      <c r="H238" s="959">
        <v>10</v>
      </c>
    </row>
    <row r="239" spans="1:8">
      <c r="A239" s="959" t="s">
        <v>2928</v>
      </c>
      <c r="B239" s="960" t="s">
        <v>2929</v>
      </c>
      <c r="C239" s="960" t="s">
        <v>4262</v>
      </c>
      <c r="D239" s="960" t="s">
        <v>4263</v>
      </c>
      <c r="E239" s="959">
        <v>0</v>
      </c>
      <c r="F239" s="959">
        <v>1</v>
      </c>
      <c r="G239" s="959">
        <v>0</v>
      </c>
      <c r="H239" s="959">
        <v>1</v>
      </c>
    </row>
    <row r="240" spans="1:8">
      <c r="A240" s="959" t="s">
        <v>2928</v>
      </c>
      <c r="B240" s="960" t="s">
        <v>2929</v>
      </c>
      <c r="C240" s="960" t="s">
        <v>4267</v>
      </c>
      <c r="D240" s="960" t="s">
        <v>4268</v>
      </c>
      <c r="E240" s="959">
        <v>0</v>
      </c>
      <c r="F240" s="959">
        <v>0</v>
      </c>
      <c r="G240" s="959">
        <v>0</v>
      </c>
      <c r="H240" s="959">
        <v>25</v>
      </c>
    </row>
    <row r="241" spans="1:8">
      <c r="A241" s="959" t="s">
        <v>2931</v>
      </c>
      <c r="B241" s="960" t="s">
        <v>2932</v>
      </c>
      <c r="C241" s="960" t="s">
        <v>4262</v>
      </c>
      <c r="D241" s="960" t="s">
        <v>4263</v>
      </c>
      <c r="E241" s="959">
        <v>1</v>
      </c>
      <c r="F241" s="959">
        <v>0</v>
      </c>
      <c r="G241" s="959">
        <v>0</v>
      </c>
      <c r="H241" s="959">
        <v>0</v>
      </c>
    </row>
    <row r="242" spans="1:8">
      <c r="A242" s="959" t="s">
        <v>2933</v>
      </c>
      <c r="B242" s="960" t="s">
        <v>2934</v>
      </c>
      <c r="C242" s="960" t="s">
        <v>4275</v>
      </c>
      <c r="D242" s="960" t="s">
        <v>4276</v>
      </c>
      <c r="E242" s="959">
        <v>1</v>
      </c>
      <c r="F242" s="959">
        <v>20</v>
      </c>
      <c r="G242" s="959">
        <v>0</v>
      </c>
      <c r="H242" s="959">
        <v>0</v>
      </c>
    </row>
    <row r="243" spans="1:8">
      <c r="A243" s="959" t="s">
        <v>2933</v>
      </c>
      <c r="B243" s="960" t="s">
        <v>2934</v>
      </c>
      <c r="C243" s="960" t="s">
        <v>4256</v>
      </c>
      <c r="D243" s="960" t="s">
        <v>4259</v>
      </c>
      <c r="E243" s="959">
        <v>0</v>
      </c>
      <c r="F243" s="959">
        <v>0</v>
      </c>
      <c r="G243" s="959">
        <v>0</v>
      </c>
      <c r="H243" s="959">
        <v>1</v>
      </c>
    </row>
    <row r="244" spans="1:8">
      <c r="A244" s="959" t="s">
        <v>2933</v>
      </c>
      <c r="B244" s="960" t="s">
        <v>2934</v>
      </c>
      <c r="C244" s="960" t="s">
        <v>4256</v>
      </c>
      <c r="D244" s="960" t="s">
        <v>1906</v>
      </c>
      <c r="E244" s="959">
        <v>6</v>
      </c>
      <c r="F244" s="959">
        <v>62</v>
      </c>
      <c r="G244" s="959">
        <v>0</v>
      </c>
      <c r="H244" s="959">
        <v>1</v>
      </c>
    </row>
    <row r="245" spans="1:8">
      <c r="A245" s="959" t="s">
        <v>2933</v>
      </c>
      <c r="B245" s="960" t="s">
        <v>2934</v>
      </c>
      <c r="C245" s="960" t="s">
        <v>4256</v>
      </c>
      <c r="D245" s="960" t="s">
        <v>1907</v>
      </c>
      <c r="E245" s="959">
        <v>0</v>
      </c>
      <c r="F245" s="959">
        <v>2</v>
      </c>
      <c r="G245" s="959">
        <v>2</v>
      </c>
      <c r="H245" s="959">
        <v>20</v>
      </c>
    </row>
    <row r="246" spans="1:8">
      <c r="A246" s="959" t="s">
        <v>2933</v>
      </c>
      <c r="B246" s="960" t="s">
        <v>2934</v>
      </c>
      <c r="C246" s="960" t="s">
        <v>4257</v>
      </c>
      <c r="D246" s="960" t="s">
        <v>4258</v>
      </c>
      <c r="E246" s="959">
        <v>3</v>
      </c>
      <c r="F246" s="959">
        <v>44</v>
      </c>
      <c r="G246" s="959">
        <v>0</v>
      </c>
      <c r="H246" s="959">
        <v>0</v>
      </c>
    </row>
    <row r="247" spans="1:8">
      <c r="A247" s="959" t="s">
        <v>2933</v>
      </c>
      <c r="B247" s="960" t="s">
        <v>2934</v>
      </c>
      <c r="C247" s="960" t="s">
        <v>4262</v>
      </c>
      <c r="D247" s="960" t="s">
        <v>4263</v>
      </c>
      <c r="E247" s="959">
        <v>22</v>
      </c>
      <c r="F247" s="959">
        <v>179</v>
      </c>
      <c r="G247" s="959">
        <v>0</v>
      </c>
      <c r="H247" s="959">
        <v>0</v>
      </c>
    </row>
    <row r="248" spans="1:8">
      <c r="A248" s="959" t="s">
        <v>2935</v>
      </c>
      <c r="B248" s="960" t="s">
        <v>2936</v>
      </c>
      <c r="C248" s="960" t="s">
        <v>4256</v>
      </c>
      <c r="D248" s="960" t="s">
        <v>470</v>
      </c>
      <c r="E248" s="959">
        <v>0</v>
      </c>
      <c r="F248" s="959">
        <v>0</v>
      </c>
      <c r="G248" s="959">
        <v>8</v>
      </c>
      <c r="H248" s="959">
        <v>58</v>
      </c>
    </row>
    <row r="249" spans="1:8">
      <c r="A249" s="959" t="s">
        <v>2935</v>
      </c>
      <c r="B249" s="960" t="s">
        <v>2936</v>
      </c>
      <c r="C249" s="960" t="s">
        <v>4256</v>
      </c>
      <c r="D249" s="960" t="s">
        <v>1904</v>
      </c>
      <c r="E249" s="959">
        <v>0</v>
      </c>
      <c r="F249" s="959">
        <v>0</v>
      </c>
      <c r="G249" s="959">
        <v>1</v>
      </c>
      <c r="H249" s="959">
        <v>19</v>
      </c>
    </row>
    <row r="250" spans="1:8">
      <c r="A250" s="959" t="s">
        <v>2935</v>
      </c>
      <c r="B250" s="960" t="s">
        <v>2936</v>
      </c>
      <c r="C250" s="960" t="s">
        <v>4256</v>
      </c>
      <c r="D250" s="960" t="s">
        <v>4259</v>
      </c>
      <c r="E250" s="959">
        <v>0</v>
      </c>
      <c r="F250" s="959">
        <v>0</v>
      </c>
      <c r="G250" s="959">
        <v>2</v>
      </c>
      <c r="H250" s="959">
        <v>16</v>
      </c>
    </row>
    <row r="251" spans="1:8">
      <c r="A251" s="959" t="s">
        <v>2935</v>
      </c>
      <c r="B251" s="960" t="s">
        <v>2936</v>
      </c>
      <c r="C251" s="960" t="s">
        <v>4256</v>
      </c>
      <c r="D251" s="960" t="s">
        <v>4260</v>
      </c>
      <c r="E251" s="959">
        <v>0</v>
      </c>
      <c r="F251" s="959">
        <v>0</v>
      </c>
      <c r="G251" s="959">
        <v>3</v>
      </c>
      <c r="H251" s="959">
        <v>24</v>
      </c>
    </row>
    <row r="252" spans="1:8">
      <c r="A252" s="959" t="s">
        <v>2935</v>
      </c>
      <c r="B252" s="960" t="s">
        <v>2936</v>
      </c>
      <c r="C252" s="960" t="s">
        <v>4256</v>
      </c>
      <c r="D252" s="960" t="s">
        <v>4265</v>
      </c>
      <c r="E252" s="959">
        <v>0</v>
      </c>
      <c r="F252" s="959">
        <v>0</v>
      </c>
      <c r="G252" s="959">
        <v>0</v>
      </c>
      <c r="H252" s="959">
        <v>17</v>
      </c>
    </row>
    <row r="253" spans="1:8">
      <c r="A253" s="959" t="s">
        <v>2935</v>
      </c>
      <c r="B253" s="960" t="s">
        <v>2936</v>
      </c>
      <c r="C253" s="960" t="s">
        <v>4256</v>
      </c>
      <c r="D253" s="960" t="s">
        <v>4271</v>
      </c>
      <c r="E253" s="959">
        <v>0</v>
      </c>
      <c r="F253" s="959">
        <v>0</v>
      </c>
      <c r="G253" s="959">
        <v>0</v>
      </c>
      <c r="H253" s="959">
        <v>5</v>
      </c>
    </row>
    <row r="254" spans="1:8">
      <c r="A254" s="959" t="s">
        <v>2935</v>
      </c>
      <c r="B254" s="960" t="s">
        <v>2936</v>
      </c>
      <c r="C254" s="960" t="s">
        <v>4256</v>
      </c>
      <c r="D254" s="960" t="s">
        <v>4272</v>
      </c>
      <c r="E254" s="959">
        <v>0</v>
      </c>
      <c r="F254" s="959">
        <v>0</v>
      </c>
      <c r="G254" s="959">
        <v>0</v>
      </c>
      <c r="H254" s="959">
        <v>1</v>
      </c>
    </row>
    <row r="255" spans="1:8">
      <c r="A255" s="959" t="s">
        <v>2935</v>
      </c>
      <c r="B255" s="960" t="s">
        <v>2936</v>
      </c>
      <c r="C255" s="960" t="s">
        <v>4256</v>
      </c>
      <c r="D255" s="960" t="s">
        <v>1906</v>
      </c>
      <c r="E255" s="959">
        <v>0</v>
      </c>
      <c r="F255" s="959">
        <v>0</v>
      </c>
      <c r="G255" s="959">
        <v>5</v>
      </c>
      <c r="H255" s="959">
        <v>30</v>
      </c>
    </row>
    <row r="256" spans="1:8">
      <c r="A256" s="959" t="s">
        <v>2935</v>
      </c>
      <c r="B256" s="960" t="s">
        <v>2936</v>
      </c>
      <c r="C256" s="960" t="s">
        <v>4256</v>
      </c>
      <c r="D256" s="960" t="s">
        <v>4261</v>
      </c>
      <c r="E256" s="959">
        <v>0</v>
      </c>
      <c r="F256" s="959">
        <v>0</v>
      </c>
      <c r="G256" s="959">
        <v>3</v>
      </c>
      <c r="H256" s="959">
        <v>57</v>
      </c>
    </row>
    <row r="257" spans="1:8">
      <c r="A257" s="959" t="s">
        <v>2935</v>
      </c>
      <c r="B257" s="960" t="s">
        <v>2936</v>
      </c>
      <c r="C257" s="960" t="s">
        <v>4257</v>
      </c>
      <c r="D257" s="960" t="s">
        <v>4258</v>
      </c>
      <c r="E257" s="959">
        <v>0</v>
      </c>
      <c r="F257" s="959">
        <v>2</v>
      </c>
      <c r="G257" s="959">
        <v>1</v>
      </c>
      <c r="H257" s="959">
        <v>46</v>
      </c>
    </row>
    <row r="258" spans="1:8">
      <c r="A258" s="959" t="s">
        <v>2935</v>
      </c>
      <c r="B258" s="960" t="s">
        <v>2936</v>
      </c>
      <c r="C258" s="960" t="s">
        <v>4262</v>
      </c>
      <c r="D258" s="960" t="s">
        <v>4263</v>
      </c>
      <c r="E258" s="959">
        <v>0</v>
      </c>
      <c r="F258" s="959">
        <v>21</v>
      </c>
      <c r="G258" s="959">
        <v>0</v>
      </c>
      <c r="H258" s="959">
        <v>9</v>
      </c>
    </row>
    <row r="259" spans="1:8">
      <c r="A259" s="959" t="s">
        <v>2938</v>
      </c>
      <c r="B259" s="960" t="s">
        <v>2939</v>
      </c>
      <c r="C259" s="960" t="s">
        <v>4256</v>
      </c>
      <c r="D259" s="960" t="s">
        <v>4270</v>
      </c>
      <c r="E259" s="959">
        <v>5</v>
      </c>
      <c r="F259" s="959">
        <v>4</v>
      </c>
      <c r="G259" s="959">
        <v>0</v>
      </c>
      <c r="H259" s="959">
        <v>54</v>
      </c>
    </row>
    <row r="260" spans="1:8">
      <c r="A260" s="959" t="s">
        <v>2938</v>
      </c>
      <c r="B260" s="960" t="s">
        <v>2939</v>
      </c>
      <c r="C260" s="960" t="s">
        <v>4256</v>
      </c>
      <c r="D260" s="960" t="s">
        <v>4259</v>
      </c>
      <c r="E260" s="959">
        <v>0</v>
      </c>
      <c r="F260" s="959">
        <v>0</v>
      </c>
      <c r="G260" s="959">
        <v>7</v>
      </c>
      <c r="H260" s="959">
        <v>44</v>
      </c>
    </row>
    <row r="261" spans="1:8">
      <c r="A261" s="959" t="s">
        <v>2938</v>
      </c>
      <c r="B261" s="960" t="s">
        <v>2939</v>
      </c>
      <c r="C261" s="960" t="s">
        <v>4256</v>
      </c>
      <c r="D261" s="960" t="s">
        <v>1906</v>
      </c>
      <c r="E261" s="959">
        <v>22</v>
      </c>
      <c r="F261" s="959">
        <v>314</v>
      </c>
      <c r="G261" s="959">
        <v>2</v>
      </c>
      <c r="H261" s="959">
        <v>26</v>
      </c>
    </row>
    <row r="262" spans="1:8">
      <c r="A262" s="959" t="s">
        <v>2938</v>
      </c>
      <c r="B262" s="960" t="s">
        <v>2939</v>
      </c>
      <c r="C262" s="960" t="s">
        <v>4256</v>
      </c>
      <c r="D262" s="960" t="s">
        <v>4261</v>
      </c>
      <c r="E262" s="959">
        <v>0</v>
      </c>
      <c r="F262" s="959">
        <v>0</v>
      </c>
      <c r="G262" s="959">
        <v>0</v>
      </c>
      <c r="H262" s="959">
        <v>18</v>
      </c>
    </row>
    <row r="263" spans="1:8">
      <c r="A263" s="959" t="s">
        <v>2938</v>
      </c>
      <c r="B263" s="960" t="s">
        <v>2939</v>
      </c>
      <c r="C263" s="960" t="s">
        <v>4257</v>
      </c>
      <c r="D263" s="960" t="s">
        <v>4258</v>
      </c>
      <c r="E263" s="959">
        <v>200</v>
      </c>
      <c r="F263" s="959">
        <v>491</v>
      </c>
      <c r="G263" s="959">
        <v>14</v>
      </c>
      <c r="H263" s="959">
        <v>52</v>
      </c>
    </row>
    <row r="264" spans="1:8">
      <c r="A264" s="959" t="s">
        <v>2940</v>
      </c>
      <c r="B264" s="960" t="s">
        <v>2941</v>
      </c>
      <c r="C264" s="960" t="s">
        <v>4256</v>
      </c>
      <c r="D264" s="960" t="s">
        <v>470</v>
      </c>
      <c r="E264" s="959">
        <v>0</v>
      </c>
      <c r="F264" s="959">
        <v>0</v>
      </c>
      <c r="G264" s="959">
        <v>0</v>
      </c>
      <c r="H264" s="959">
        <v>7</v>
      </c>
    </row>
    <row r="265" spans="1:8">
      <c r="A265" s="959" t="s">
        <v>2940</v>
      </c>
      <c r="B265" s="960" t="s">
        <v>2941</v>
      </c>
      <c r="C265" s="960" t="s">
        <v>4256</v>
      </c>
      <c r="D265" s="960" t="s">
        <v>1904</v>
      </c>
      <c r="E265" s="959">
        <v>0</v>
      </c>
      <c r="F265" s="959">
        <v>0</v>
      </c>
      <c r="G265" s="959">
        <v>16</v>
      </c>
      <c r="H265" s="959">
        <v>162</v>
      </c>
    </row>
    <row r="266" spans="1:8">
      <c r="A266" s="959" t="s">
        <v>2940</v>
      </c>
      <c r="B266" s="960" t="s">
        <v>2941</v>
      </c>
      <c r="C266" s="960" t="s">
        <v>4256</v>
      </c>
      <c r="D266" s="960" t="s">
        <v>4270</v>
      </c>
      <c r="E266" s="959">
        <v>0</v>
      </c>
      <c r="F266" s="959">
        <v>0</v>
      </c>
      <c r="G266" s="959">
        <v>8</v>
      </c>
      <c r="H266" s="959">
        <v>10</v>
      </c>
    </row>
    <row r="267" spans="1:8">
      <c r="A267" s="959" t="s">
        <v>2940</v>
      </c>
      <c r="B267" s="960" t="s">
        <v>2941</v>
      </c>
      <c r="C267" s="960" t="s">
        <v>4256</v>
      </c>
      <c r="D267" s="960" t="s">
        <v>4260</v>
      </c>
      <c r="E267" s="959">
        <v>0</v>
      </c>
      <c r="F267" s="959">
        <v>1</v>
      </c>
      <c r="G267" s="959">
        <v>17</v>
      </c>
      <c r="H267" s="959">
        <v>261</v>
      </c>
    </row>
    <row r="268" spans="1:8">
      <c r="A268" s="959" t="s">
        <v>2940</v>
      </c>
      <c r="B268" s="960" t="s">
        <v>2941</v>
      </c>
      <c r="C268" s="960" t="s">
        <v>4256</v>
      </c>
      <c r="D268" s="960" t="s">
        <v>4265</v>
      </c>
      <c r="E268" s="959">
        <v>0</v>
      </c>
      <c r="F268" s="959">
        <v>0</v>
      </c>
      <c r="G268" s="959">
        <v>4</v>
      </c>
      <c r="H268" s="959">
        <v>2</v>
      </c>
    </row>
    <row r="269" spans="1:8">
      <c r="A269" s="959" t="s">
        <v>2940</v>
      </c>
      <c r="B269" s="960" t="s">
        <v>2941</v>
      </c>
      <c r="C269" s="960" t="s">
        <v>4256</v>
      </c>
      <c r="D269" s="960" t="s">
        <v>4271</v>
      </c>
      <c r="E269" s="959">
        <v>0</v>
      </c>
      <c r="F269" s="959">
        <v>0</v>
      </c>
      <c r="G269" s="959">
        <v>5</v>
      </c>
      <c r="H269" s="959">
        <v>63</v>
      </c>
    </row>
    <row r="270" spans="1:8">
      <c r="A270" s="959" t="s">
        <v>2940</v>
      </c>
      <c r="B270" s="960" t="s">
        <v>2941</v>
      </c>
      <c r="C270" s="960" t="s">
        <v>4256</v>
      </c>
      <c r="D270" s="960" t="s">
        <v>1906</v>
      </c>
      <c r="E270" s="959">
        <v>0</v>
      </c>
      <c r="F270" s="959">
        <v>0</v>
      </c>
      <c r="G270" s="959">
        <v>7</v>
      </c>
      <c r="H270" s="959">
        <v>98</v>
      </c>
    </row>
    <row r="271" spans="1:8">
      <c r="A271" s="959" t="s">
        <v>2940</v>
      </c>
      <c r="B271" s="960" t="s">
        <v>2941</v>
      </c>
      <c r="C271" s="960" t="s">
        <v>4256</v>
      </c>
      <c r="D271" s="960" t="s">
        <v>4264</v>
      </c>
      <c r="E271" s="959">
        <v>0</v>
      </c>
      <c r="F271" s="959">
        <v>1</v>
      </c>
      <c r="G271" s="959">
        <v>1</v>
      </c>
      <c r="H271" s="959">
        <v>9</v>
      </c>
    </row>
    <row r="272" spans="1:8">
      <c r="A272" s="959" t="s">
        <v>2940</v>
      </c>
      <c r="B272" s="960" t="s">
        <v>2941</v>
      </c>
      <c r="C272" s="960" t="s">
        <v>4256</v>
      </c>
      <c r="D272" s="960" t="s">
        <v>4261</v>
      </c>
      <c r="E272" s="959">
        <v>0</v>
      </c>
      <c r="F272" s="959">
        <v>3</v>
      </c>
      <c r="G272" s="959">
        <v>14</v>
      </c>
      <c r="H272" s="959">
        <v>220</v>
      </c>
    </row>
    <row r="273" spans="1:8">
      <c r="A273" s="959" t="s">
        <v>2940</v>
      </c>
      <c r="B273" s="960" t="s">
        <v>2941</v>
      </c>
      <c r="C273" s="960" t="s">
        <v>4256</v>
      </c>
      <c r="D273" s="960" t="s">
        <v>4274</v>
      </c>
      <c r="E273" s="959">
        <v>0</v>
      </c>
      <c r="F273" s="959">
        <v>0</v>
      </c>
      <c r="G273" s="959">
        <v>0</v>
      </c>
      <c r="H273" s="959">
        <v>2</v>
      </c>
    </row>
    <row r="274" spans="1:8">
      <c r="A274" s="959" t="s">
        <v>2940</v>
      </c>
      <c r="B274" s="960" t="s">
        <v>2941</v>
      </c>
      <c r="C274" s="960" t="s">
        <v>4257</v>
      </c>
      <c r="D274" s="960" t="s">
        <v>4258</v>
      </c>
      <c r="E274" s="959">
        <v>1</v>
      </c>
      <c r="F274" s="959">
        <v>11</v>
      </c>
      <c r="G274" s="959">
        <v>2</v>
      </c>
      <c r="H274" s="959">
        <v>32</v>
      </c>
    </row>
    <row r="275" spans="1:8">
      <c r="A275" s="959" t="s">
        <v>2940</v>
      </c>
      <c r="B275" s="960" t="s">
        <v>2941</v>
      </c>
      <c r="C275" s="960" t="s">
        <v>4267</v>
      </c>
      <c r="D275" s="960" t="s">
        <v>4268</v>
      </c>
      <c r="E275" s="959">
        <v>0</v>
      </c>
      <c r="F275" s="959">
        <v>0</v>
      </c>
      <c r="G275" s="959">
        <v>0</v>
      </c>
      <c r="H275" s="959">
        <v>4</v>
      </c>
    </row>
    <row r="276" spans="1:8">
      <c r="A276" s="959" t="s">
        <v>2942</v>
      </c>
      <c r="B276" s="960" t="s">
        <v>2943</v>
      </c>
      <c r="C276" s="960" t="s">
        <v>4275</v>
      </c>
      <c r="D276" s="960" t="s">
        <v>4276</v>
      </c>
      <c r="E276" s="959">
        <v>0</v>
      </c>
      <c r="F276" s="959">
        <v>1</v>
      </c>
      <c r="G276" s="959">
        <v>0</v>
      </c>
      <c r="H276" s="959">
        <v>0</v>
      </c>
    </row>
    <row r="277" spans="1:8">
      <c r="A277" s="959" t="s">
        <v>2942</v>
      </c>
      <c r="B277" s="960" t="s">
        <v>2943</v>
      </c>
      <c r="C277" s="960" t="s">
        <v>4256</v>
      </c>
      <c r="D277" s="960" t="s">
        <v>4260</v>
      </c>
      <c r="E277" s="959">
        <v>0</v>
      </c>
      <c r="F277" s="959">
        <v>0</v>
      </c>
      <c r="G277" s="959">
        <v>0</v>
      </c>
      <c r="H277" s="959">
        <v>2</v>
      </c>
    </row>
    <row r="278" spans="1:8">
      <c r="A278" s="959" t="s">
        <v>2942</v>
      </c>
      <c r="B278" s="960" t="s">
        <v>2943</v>
      </c>
      <c r="C278" s="960" t="s">
        <v>4256</v>
      </c>
      <c r="D278" s="960" t="s">
        <v>1906</v>
      </c>
      <c r="E278" s="959">
        <v>0</v>
      </c>
      <c r="F278" s="959">
        <v>0</v>
      </c>
      <c r="G278" s="959">
        <v>0</v>
      </c>
      <c r="H278" s="959">
        <v>2</v>
      </c>
    </row>
    <row r="279" spans="1:8">
      <c r="A279" s="959" t="s">
        <v>2942</v>
      </c>
      <c r="B279" s="960" t="s">
        <v>2943</v>
      </c>
      <c r="C279" s="960" t="s">
        <v>4256</v>
      </c>
      <c r="D279" s="960" t="s">
        <v>1907</v>
      </c>
      <c r="E279" s="959">
        <v>1</v>
      </c>
      <c r="F279" s="959">
        <v>13</v>
      </c>
      <c r="G279" s="959">
        <v>2</v>
      </c>
      <c r="H279" s="959">
        <v>32</v>
      </c>
    </row>
    <row r="280" spans="1:8">
      <c r="A280" s="959" t="s">
        <v>2942</v>
      </c>
      <c r="B280" s="960" t="s">
        <v>2943</v>
      </c>
      <c r="C280" s="960" t="s">
        <v>4257</v>
      </c>
      <c r="D280" s="960" t="s">
        <v>4258</v>
      </c>
      <c r="E280" s="959">
        <v>1</v>
      </c>
      <c r="F280" s="959">
        <v>14</v>
      </c>
      <c r="G280" s="959">
        <v>2</v>
      </c>
      <c r="H280" s="959">
        <v>32</v>
      </c>
    </row>
    <row r="281" spans="1:8">
      <c r="A281" s="959" t="s">
        <v>2944</v>
      </c>
      <c r="B281" s="960" t="s">
        <v>2945</v>
      </c>
      <c r="C281" s="960" t="s">
        <v>4256</v>
      </c>
      <c r="D281" s="960" t="s">
        <v>1906</v>
      </c>
      <c r="E281" s="959">
        <v>3</v>
      </c>
      <c r="F281" s="959">
        <v>37</v>
      </c>
      <c r="G281" s="959">
        <v>0</v>
      </c>
      <c r="H281" s="959">
        <v>0</v>
      </c>
    </row>
    <row r="282" spans="1:8">
      <c r="A282" s="959" t="s">
        <v>2944</v>
      </c>
      <c r="B282" s="960" t="s">
        <v>2945</v>
      </c>
      <c r="C282" s="960" t="s">
        <v>4257</v>
      </c>
      <c r="D282" s="960" t="s">
        <v>4258</v>
      </c>
      <c r="E282" s="959">
        <v>1</v>
      </c>
      <c r="F282" s="959">
        <v>17</v>
      </c>
      <c r="G282" s="959">
        <v>0</v>
      </c>
      <c r="H282" s="959">
        <v>0</v>
      </c>
    </row>
    <row r="283" spans="1:8">
      <c r="A283" s="959" t="s">
        <v>2944</v>
      </c>
      <c r="B283" s="960" t="s">
        <v>2945</v>
      </c>
      <c r="C283" s="960" t="s">
        <v>4262</v>
      </c>
      <c r="D283" s="960" t="s">
        <v>4263</v>
      </c>
      <c r="E283" s="959">
        <v>0</v>
      </c>
      <c r="F283" s="959">
        <v>2</v>
      </c>
      <c r="G283" s="959">
        <v>0</v>
      </c>
      <c r="H283" s="959">
        <v>2</v>
      </c>
    </row>
    <row r="284" spans="1:8">
      <c r="A284" s="959" t="s">
        <v>2947</v>
      </c>
      <c r="B284" s="960" t="s">
        <v>2948</v>
      </c>
      <c r="C284" s="960" t="s">
        <v>4256</v>
      </c>
      <c r="D284" s="960" t="s">
        <v>470</v>
      </c>
      <c r="E284" s="959">
        <v>0</v>
      </c>
      <c r="F284" s="959">
        <v>0</v>
      </c>
      <c r="G284" s="959">
        <v>2</v>
      </c>
      <c r="H284" s="959">
        <v>71</v>
      </c>
    </row>
    <row r="285" spans="1:8">
      <c r="A285" s="959" t="s">
        <v>2947</v>
      </c>
      <c r="B285" s="960" t="s">
        <v>2948</v>
      </c>
      <c r="C285" s="960" t="s">
        <v>4256</v>
      </c>
      <c r="D285" s="960" t="s">
        <v>1904</v>
      </c>
      <c r="E285" s="959">
        <v>0</v>
      </c>
      <c r="F285" s="959">
        <v>0</v>
      </c>
      <c r="G285" s="959">
        <v>7</v>
      </c>
      <c r="H285" s="959">
        <v>60</v>
      </c>
    </row>
    <row r="286" spans="1:8">
      <c r="A286" s="959" t="s">
        <v>2947</v>
      </c>
      <c r="B286" s="960" t="s">
        <v>2948</v>
      </c>
      <c r="C286" s="960" t="s">
        <v>4256</v>
      </c>
      <c r="D286" s="960" t="s">
        <v>4269</v>
      </c>
      <c r="E286" s="959">
        <v>0</v>
      </c>
      <c r="F286" s="959">
        <v>0</v>
      </c>
      <c r="G286" s="959">
        <v>1</v>
      </c>
      <c r="H286" s="959">
        <v>0</v>
      </c>
    </row>
    <row r="287" spans="1:8">
      <c r="A287" s="959" t="s">
        <v>2947</v>
      </c>
      <c r="B287" s="960" t="s">
        <v>2948</v>
      </c>
      <c r="C287" s="960" t="s">
        <v>4256</v>
      </c>
      <c r="D287" s="960" t="s">
        <v>4270</v>
      </c>
      <c r="E287" s="959">
        <v>0</v>
      </c>
      <c r="F287" s="959">
        <v>0</v>
      </c>
      <c r="G287" s="959">
        <v>0</v>
      </c>
      <c r="H287" s="959">
        <v>2</v>
      </c>
    </row>
    <row r="288" spans="1:8">
      <c r="A288" s="959" t="s">
        <v>2947</v>
      </c>
      <c r="B288" s="960" t="s">
        <v>2948</v>
      </c>
      <c r="C288" s="960" t="s">
        <v>4256</v>
      </c>
      <c r="D288" s="960" t="s">
        <v>4260</v>
      </c>
      <c r="E288" s="959">
        <v>0</v>
      </c>
      <c r="F288" s="959">
        <v>0</v>
      </c>
      <c r="G288" s="959">
        <v>12</v>
      </c>
      <c r="H288" s="959">
        <v>91</v>
      </c>
    </row>
    <row r="289" spans="1:8">
      <c r="A289" s="959" t="s">
        <v>2947</v>
      </c>
      <c r="B289" s="960" t="s">
        <v>2948</v>
      </c>
      <c r="C289" s="960" t="s">
        <v>4256</v>
      </c>
      <c r="D289" s="960" t="s">
        <v>4265</v>
      </c>
      <c r="E289" s="959">
        <v>0</v>
      </c>
      <c r="F289" s="959">
        <v>0</v>
      </c>
      <c r="G289" s="959">
        <v>2</v>
      </c>
      <c r="H289" s="959">
        <v>1</v>
      </c>
    </row>
    <row r="290" spans="1:8">
      <c r="A290" s="959" t="s">
        <v>2947</v>
      </c>
      <c r="B290" s="960" t="s">
        <v>2948</v>
      </c>
      <c r="C290" s="960" t="s">
        <v>4256</v>
      </c>
      <c r="D290" s="960" t="s">
        <v>1906</v>
      </c>
      <c r="E290" s="959">
        <v>0</v>
      </c>
      <c r="F290" s="959">
        <v>1</v>
      </c>
      <c r="G290" s="959">
        <v>0</v>
      </c>
      <c r="H290" s="959">
        <v>5</v>
      </c>
    </row>
    <row r="291" spans="1:8">
      <c r="A291" s="959" t="s">
        <v>2947</v>
      </c>
      <c r="B291" s="960" t="s">
        <v>2948</v>
      </c>
      <c r="C291" s="960" t="s">
        <v>4256</v>
      </c>
      <c r="D291" s="960" t="s">
        <v>4261</v>
      </c>
      <c r="E291" s="959">
        <v>0</v>
      </c>
      <c r="F291" s="959">
        <v>0</v>
      </c>
      <c r="G291" s="959">
        <v>11</v>
      </c>
      <c r="H291" s="959">
        <v>144</v>
      </c>
    </row>
    <row r="292" spans="1:8">
      <c r="A292" s="959" t="s">
        <v>2947</v>
      </c>
      <c r="B292" s="960" t="s">
        <v>2948</v>
      </c>
      <c r="C292" s="960" t="s">
        <v>4257</v>
      </c>
      <c r="D292" s="960" t="s">
        <v>4258</v>
      </c>
      <c r="E292" s="959">
        <v>0</v>
      </c>
      <c r="F292" s="959">
        <v>8</v>
      </c>
      <c r="G292" s="959">
        <v>4</v>
      </c>
      <c r="H292" s="959">
        <v>62</v>
      </c>
    </row>
    <row r="293" spans="1:8">
      <c r="A293" s="959" t="s">
        <v>2950</v>
      </c>
      <c r="B293" s="960" t="s">
        <v>2951</v>
      </c>
      <c r="C293" s="960" t="s">
        <v>4275</v>
      </c>
      <c r="D293" s="960" t="s">
        <v>4276</v>
      </c>
      <c r="E293" s="959">
        <v>5</v>
      </c>
      <c r="F293" s="959">
        <v>62</v>
      </c>
      <c r="G293" s="959">
        <v>0</v>
      </c>
      <c r="H293" s="959">
        <v>0</v>
      </c>
    </row>
    <row r="294" spans="1:8">
      <c r="A294" s="959" t="s">
        <v>2950</v>
      </c>
      <c r="B294" s="960" t="s">
        <v>2951</v>
      </c>
      <c r="C294" s="960" t="s">
        <v>4256</v>
      </c>
      <c r="D294" s="960" t="s">
        <v>1907</v>
      </c>
      <c r="E294" s="959">
        <v>0</v>
      </c>
      <c r="F294" s="959">
        <v>0</v>
      </c>
      <c r="G294" s="959">
        <v>0</v>
      </c>
      <c r="H294" s="959">
        <v>2</v>
      </c>
    </row>
    <row r="295" spans="1:8">
      <c r="A295" s="959" t="s">
        <v>2950</v>
      </c>
      <c r="B295" s="960" t="s">
        <v>2951</v>
      </c>
      <c r="C295" s="960" t="s">
        <v>4257</v>
      </c>
      <c r="D295" s="960" t="s">
        <v>4258</v>
      </c>
      <c r="E295" s="959">
        <v>1</v>
      </c>
      <c r="F295" s="959">
        <v>25</v>
      </c>
      <c r="G295" s="959">
        <v>0</v>
      </c>
      <c r="H295" s="959">
        <v>3</v>
      </c>
    </row>
    <row r="296" spans="1:8">
      <c r="A296" s="959" t="s">
        <v>2950</v>
      </c>
      <c r="B296" s="960" t="s">
        <v>2951</v>
      </c>
      <c r="C296" s="960" t="s">
        <v>4262</v>
      </c>
      <c r="D296" s="960" t="s">
        <v>4263</v>
      </c>
      <c r="E296" s="959">
        <v>2</v>
      </c>
      <c r="F296" s="959">
        <v>4</v>
      </c>
      <c r="G296" s="959">
        <v>0</v>
      </c>
      <c r="H296" s="959">
        <v>0</v>
      </c>
    </row>
    <row r="297" spans="1:8">
      <c r="A297" s="959" t="s">
        <v>2953</v>
      </c>
      <c r="B297" s="960" t="s">
        <v>2954</v>
      </c>
      <c r="C297" s="960" t="s">
        <v>4256</v>
      </c>
      <c r="D297" s="960" t="s">
        <v>1907</v>
      </c>
      <c r="E297" s="959">
        <v>6</v>
      </c>
      <c r="F297" s="959">
        <v>65</v>
      </c>
      <c r="G297" s="959">
        <v>4</v>
      </c>
      <c r="H297" s="959">
        <v>44</v>
      </c>
    </row>
    <row r="298" spans="1:8">
      <c r="A298" s="959" t="s">
        <v>2953</v>
      </c>
      <c r="B298" s="960" t="s">
        <v>2954</v>
      </c>
      <c r="C298" s="960" t="s">
        <v>4257</v>
      </c>
      <c r="D298" s="960" t="s">
        <v>4258</v>
      </c>
      <c r="E298" s="959">
        <v>0</v>
      </c>
      <c r="F298" s="959">
        <v>0</v>
      </c>
      <c r="G298" s="959">
        <v>0</v>
      </c>
      <c r="H298" s="959">
        <v>1</v>
      </c>
    </row>
    <row r="299" spans="1:8">
      <c r="A299" s="959" t="s">
        <v>2953</v>
      </c>
      <c r="B299" s="960" t="s">
        <v>2954</v>
      </c>
      <c r="C299" s="960" t="s">
        <v>4262</v>
      </c>
      <c r="D299" s="960" t="s">
        <v>4263</v>
      </c>
      <c r="E299" s="959">
        <v>0</v>
      </c>
      <c r="F299" s="959">
        <v>1</v>
      </c>
      <c r="G299" s="959">
        <v>0</v>
      </c>
      <c r="H299" s="959">
        <v>0</v>
      </c>
    </row>
    <row r="300" spans="1:8">
      <c r="A300" s="959" t="s">
        <v>2955</v>
      </c>
      <c r="B300" s="960" t="s">
        <v>2956</v>
      </c>
      <c r="C300" s="960" t="s">
        <v>4275</v>
      </c>
      <c r="D300" s="960" t="s">
        <v>4276</v>
      </c>
      <c r="E300" s="959">
        <v>13</v>
      </c>
      <c r="F300" s="959">
        <v>472</v>
      </c>
      <c r="G300" s="959">
        <v>0</v>
      </c>
      <c r="H300" s="959">
        <v>2</v>
      </c>
    </row>
    <row r="301" spans="1:8">
      <c r="A301" s="959" t="s">
        <v>2955</v>
      </c>
      <c r="B301" s="960" t="s">
        <v>2956</v>
      </c>
      <c r="C301" s="960" t="s">
        <v>4277</v>
      </c>
      <c r="D301" s="960" t="s">
        <v>4278</v>
      </c>
      <c r="E301" s="959">
        <v>0</v>
      </c>
      <c r="F301" s="959">
        <v>0</v>
      </c>
      <c r="G301" s="959">
        <v>0</v>
      </c>
      <c r="H301" s="959">
        <v>1</v>
      </c>
    </row>
    <row r="302" spans="1:8">
      <c r="A302" s="959" t="s">
        <v>2955</v>
      </c>
      <c r="B302" s="960" t="s">
        <v>2956</v>
      </c>
      <c r="C302" s="960" t="s">
        <v>4256</v>
      </c>
      <c r="D302" s="960" t="s">
        <v>1906</v>
      </c>
      <c r="E302" s="959">
        <v>18</v>
      </c>
      <c r="F302" s="959">
        <v>225</v>
      </c>
      <c r="G302" s="959">
        <v>23</v>
      </c>
      <c r="H302" s="959">
        <v>139</v>
      </c>
    </row>
    <row r="303" spans="1:8">
      <c r="A303" s="959" t="s">
        <v>2955</v>
      </c>
      <c r="B303" s="960" t="s">
        <v>2956</v>
      </c>
      <c r="C303" s="960" t="s">
        <v>4256</v>
      </c>
      <c r="D303" s="960" t="s">
        <v>4264</v>
      </c>
      <c r="E303" s="959">
        <v>0</v>
      </c>
      <c r="F303" s="959">
        <v>0</v>
      </c>
      <c r="G303" s="959">
        <v>0</v>
      </c>
      <c r="H303" s="959">
        <v>1</v>
      </c>
    </row>
    <row r="304" spans="1:8">
      <c r="A304" s="959" t="s">
        <v>2955</v>
      </c>
      <c r="B304" s="960" t="s">
        <v>2956</v>
      </c>
      <c r="C304" s="960" t="s">
        <v>4257</v>
      </c>
      <c r="D304" s="960" t="s">
        <v>4258</v>
      </c>
      <c r="E304" s="959">
        <v>137</v>
      </c>
      <c r="F304" s="959">
        <v>2122</v>
      </c>
      <c r="G304" s="959">
        <v>3</v>
      </c>
      <c r="H304" s="959">
        <v>43</v>
      </c>
    </row>
    <row r="305" spans="1:8">
      <c r="A305" s="959" t="s">
        <v>2955</v>
      </c>
      <c r="B305" s="960" t="s">
        <v>2956</v>
      </c>
      <c r="C305" s="960" t="s">
        <v>4262</v>
      </c>
      <c r="D305" s="960" t="s">
        <v>4263</v>
      </c>
      <c r="E305" s="959">
        <v>0</v>
      </c>
      <c r="F305" s="959">
        <v>1</v>
      </c>
      <c r="G305" s="959">
        <v>0</v>
      </c>
      <c r="H305" s="959">
        <v>0</v>
      </c>
    </row>
    <row r="306" spans="1:8">
      <c r="A306" s="959" t="s">
        <v>2957</v>
      </c>
      <c r="B306" s="960" t="s">
        <v>2958</v>
      </c>
      <c r="C306" s="960" t="s">
        <v>4256</v>
      </c>
      <c r="D306" s="960" t="s">
        <v>4260</v>
      </c>
      <c r="E306" s="959">
        <v>0</v>
      </c>
      <c r="F306" s="959">
        <v>1</v>
      </c>
      <c r="G306" s="959">
        <v>0</v>
      </c>
      <c r="H306" s="959">
        <v>0</v>
      </c>
    </row>
    <row r="307" spans="1:8">
      <c r="A307" s="959" t="s">
        <v>2957</v>
      </c>
      <c r="B307" s="960" t="s">
        <v>2958</v>
      </c>
      <c r="C307" s="960" t="s">
        <v>4256</v>
      </c>
      <c r="D307" s="960" t="s">
        <v>1907</v>
      </c>
      <c r="E307" s="959">
        <v>0</v>
      </c>
      <c r="F307" s="959">
        <v>4</v>
      </c>
      <c r="G307" s="959">
        <v>0</v>
      </c>
      <c r="H307" s="959">
        <v>1</v>
      </c>
    </row>
    <row r="308" spans="1:8">
      <c r="A308" s="959" t="s">
        <v>2957</v>
      </c>
      <c r="B308" s="960" t="s">
        <v>2958</v>
      </c>
      <c r="C308" s="960" t="s">
        <v>4257</v>
      </c>
      <c r="D308" s="960" t="s">
        <v>4258</v>
      </c>
      <c r="E308" s="959">
        <v>0</v>
      </c>
      <c r="F308" s="959">
        <v>1</v>
      </c>
      <c r="G308" s="959">
        <v>0</v>
      </c>
      <c r="H308" s="959">
        <v>3</v>
      </c>
    </row>
    <row r="309" spans="1:8">
      <c r="A309" s="959" t="s">
        <v>2959</v>
      </c>
      <c r="B309" s="960" t="s">
        <v>2960</v>
      </c>
      <c r="C309" s="960" t="s">
        <v>4275</v>
      </c>
      <c r="D309" s="960" t="s">
        <v>4276</v>
      </c>
      <c r="E309" s="959">
        <v>3</v>
      </c>
      <c r="F309" s="959">
        <v>39</v>
      </c>
      <c r="G309" s="959">
        <v>0</v>
      </c>
      <c r="H309" s="959">
        <v>1</v>
      </c>
    </row>
    <row r="310" spans="1:8">
      <c r="A310" s="959" t="s">
        <v>2959</v>
      </c>
      <c r="B310" s="960" t="s">
        <v>2960</v>
      </c>
      <c r="C310" s="960" t="s">
        <v>4277</v>
      </c>
      <c r="D310" s="960" t="s">
        <v>4278</v>
      </c>
      <c r="E310" s="959">
        <v>0</v>
      </c>
      <c r="F310" s="959">
        <v>0</v>
      </c>
      <c r="G310" s="959">
        <v>0</v>
      </c>
      <c r="H310" s="959">
        <v>34</v>
      </c>
    </row>
    <row r="311" spans="1:8">
      <c r="A311" s="959" t="s">
        <v>2959</v>
      </c>
      <c r="B311" s="960" t="s">
        <v>2960</v>
      </c>
      <c r="C311" s="960" t="s">
        <v>4277</v>
      </c>
      <c r="D311" s="960" t="s">
        <v>4279</v>
      </c>
      <c r="E311" s="959">
        <v>0</v>
      </c>
      <c r="F311" s="959">
        <v>0</v>
      </c>
      <c r="G311" s="959">
        <v>4</v>
      </c>
      <c r="H311" s="959">
        <v>57</v>
      </c>
    </row>
    <row r="312" spans="1:8">
      <c r="A312" s="959" t="s">
        <v>2959</v>
      </c>
      <c r="B312" s="960" t="s">
        <v>2960</v>
      </c>
      <c r="C312" s="960" t="s">
        <v>4256</v>
      </c>
      <c r="D312" s="960" t="s">
        <v>4260</v>
      </c>
      <c r="E312" s="959">
        <v>0</v>
      </c>
      <c r="F312" s="959">
        <v>0</v>
      </c>
      <c r="G312" s="959">
        <v>0</v>
      </c>
      <c r="H312" s="959">
        <v>2</v>
      </c>
    </row>
    <row r="313" spans="1:8">
      <c r="A313" s="959" t="s">
        <v>2959</v>
      </c>
      <c r="B313" s="960" t="s">
        <v>2960</v>
      </c>
      <c r="C313" s="960" t="s">
        <v>4256</v>
      </c>
      <c r="D313" s="960" t="s">
        <v>1906</v>
      </c>
      <c r="E313" s="959">
        <v>2</v>
      </c>
      <c r="F313" s="959">
        <v>42</v>
      </c>
      <c r="G313" s="959">
        <v>0</v>
      </c>
      <c r="H313" s="959">
        <v>5</v>
      </c>
    </row>
    <row r="314" spans="1:8">
      <c r="A314" s="959" t="s">
        <v>2959</v>
      </c>
      <c r="B314" s="960" t="s">
        <v>2960</v>
      </c>
      <c r="C314" s="960" t="s">
        <v>4257</v>
      </c>
      <c r="D314" s="960" t="s">
        <v>4258</v>
      </c>
      <c r="E314" s="959">
        <v>168</v>
      </c>
      <c r="F314" s="959">
        <v>1567</v>
      </c>
      <c r="G314" s="959">
        <v>8</v>
      </c>
      <c r="H314" s="959">
        <v>105</v>
      </c>
    </row>
    <row r="315" spans="1:8">
      <c r="A315" s="959" t="s">
        <v>2961</v>
      </c>
      <c r="B315" s="960" t="s">
        <v>2962</v>
      </c>
      <c r="C315" s="960" t="s">
        <v>4275</v>
      </c>
      <c r="D315" s="960" t="s">
        <v>4276</v>
      </c>
      <c r="E315" s="959">
        <v>1</v>
      </c>
      <c r="F315" s="959">
        <v>18</v>
      </c>
      <c r="G315" s="959">
        <v>0</v>
      </c>
      <c r="H315" s="959">
        <v>0</v>
      </c>
    </row>
    <row r="316" spans="1:8">
      <c r="A316" s="959" t="s">
        <v>2961</v>
      </c>
      <c r="B316" s="960" t="s">
        <v>2962</v>
      </c>
      <c r="C316" s="960" t="s">
        <v>4277</v>
      </c>
      <c r="D316" s="960" t="s">
        <v>4278</v>
      </c>
      <c r="E316" s="959">
        <v>0</v>
      </c>
      <c r="F316" s="959">
        <v>0</v>
      </c>
      <c r="G316" s="959">
        <v>1</v>
      </c>
      <c r="H316" s="959">
        <v>160</v>
      </c>
    </row>
    <row r="317" spans="1:8">
      <c r="A317" s="959" t="s">
        <v>2961</v>
      </c>
      <c r="B317" s="960" t="s">
        <v>2962</v>
      </c>
      <c r="C317" s="960" t="s">
        <v>4277</v>
      </c>
      <c r="D317" s="960" t="s">
        <v>4279</v>
      </c>
      <c r="E317" s="959">
        <v>0</v>
      </c>
      <c r="F317" s="959">
        <v>0</v>
      </c>
      <c r="G317" s="959">
        <v>14</v>
      </c>
      <c r="H317" s="959">
        <v>242</v>
      </c>
    </row>
    <row r="318" spans="1:8">
      <c r="A318" s="959" t="s">
        <v>2961</v>
      </c>
      <c r="B318" s="960" t="s">
        <v>2962</v>
      </c>
      <c r="C318" s="960" t="s">
        <v>4256</v>
      </c>
      <c r="D318" s="960" t="s">
        <v>470</v>
      </c>
      <c r="E318" s="959">
        <v>0</v>
      </c>
      <c r="F318" s="959">
        <v>0</v>
      </c>
      <c r="G318" s="959">
        <v>0</v>
      </c>
      <c r="H318" s="959">
        <v>1</v>
      </c>
    </row>
    <row r="319" spans="1:8">
      <c r="A319" s="959" t="s">
        <v>2961</v>
      </c>
      <c r="B319" s="960" t="s">
        <v>2962</v>
      </c>
      <c r="C319" s="960" t="s">
        <v>4256</v>
      </c>
      <c r="D319" s="960" t="s">
        <v>4260</v>
      </c>
      <c r="E319" s="959">
        <v>0</v>
      </c>
      <c r="F319" s="959">
        <v>0</v>
      </c>
      <c r="G319" s="959">
        <v>0</v>
      </c>
      <c r="H319" s="959">
        <v>3</v>
      </c>
    </row>
    <row r="320" spans="1:8">
      <c r="A320" s="959" t="s">
        <v>2961</v>
      </c>
      <c r="B320" s="960" t="s">
        <v>2962</v>
      </c>
      <c r="C320" s="960" t="s">
        <v>4256</v>
      </c>
      <c r="D320" s="960" t="s">
        <v>4265</v>
      </c>
      <c r="E320" s="959">
        <v>0</v>
      </c>
      <c r="F320" s="959">
        <v>0</v>
      </c>
      <c r="G320" s="959">
        <v>0</v>
      </c>
      <c r="H320" s="959">
        <v>1</v>
      </c>
    </row>
    <row r="321" spans="1:8">
      <c r="A321" s="959" t="s">
        <v>2961</v>
      </c>
      <c r="B321" s="960" t="s">
        <v>2962</v>
      </c>
      <c r="C321" s="960" t="s">
        <v>4256</v>
      </c>
      <c r="D321" s="960" t="s">
        <v>4272</v>
      </c>
      <c r="E321" s="959">
        <v>0</v>
      </c>
      <c r="F321" s="959">
        <v>0</v>
      </c>
      <c r="G321" s="959">
        <v>0</v>
      </c>
      <c r="H321" s="959">
        <v>5</v>
      </c>
    </row>
    <row r="322" spans="1:8">
      <c r="A322" s="959" t="s">
        <v>2961</v>
      </c>
      <c r="B322" s="960" t="s">
        <v>2962</v>
      </c>
      <c r="C322" s="960" t="s">
        <v>4256</v>
      </c>
      <c r="D322" s="960" t="s">
        <v>1906</v>
      </c>
      <c r="E322" s="959">
        <v>0</v>
      </c>
      <c r="F322" s="959">
        <v>2</v>
      </c>
      <c r="G322" s="959">
        <v>0</v>
      </c>
      <c r="H322" s="959">
        <v>5</v>
      </c>
    </row>
    <row r="323" spans="1:8">
      <c r="A323" s="959" t="s">
        <v>2961</v>
      </c>
      <c r="B323" s="960" t="s">
        <v>2962</v>
      </c>
      <c r="C323" s="960" t="s">
        <v>4257</v>
      </c>
      <c r="D323" s="960" t="s">
        <v>4258</v>
      </c>
      <c r="E323" s="959">
        <v>20</v>
      </c>
      <c r="F323" s="959">
        <v>620</v>
      </c>
      <c r="G323" s="959">
        <v>4</v>
      </c>
      <c r="H323" s="959">
        <v>87</v>
      </c>
    </row>
    <row r="324" spans="1:8">
      <c r="A324" s="959" t="s">
        <v>2961</v>
      </c>
      <c r="B324" s="960" t="s">
        <v>2962</v>
      </c>
      <c r="C324" s="960" t="s">
        <v>4262</v>
      </c>
      <c r="D324" s="960" t="s">
        <v>4263</v>
      </c>
      <c r="E324" s="959">
        <v>0</v>
      </c>
      <c r="F324" s="959">
        <v>1</v>
      </c>
      <c r="G324" s="959">
        <v>0</v>
      </c>
      <c r="H324" s="959">
        <v>0</v>
      </c>
    </row>
    <row r="325" spans="1:8">
      <c r="A325" s="959" t="s">
        <v>2961</v>
      </c>
      <c r="B325" s="960" t="s">
        <v>2962</v>
      </c>
      <c r="C325" s="960" t="s">
        <v>4267</v>
      </c>
      <c r="D325" s="960" t="s">
        <v>4268</v>
      </c>
      <c r="E325" s="959">
        <v>0</v>
      </c>
      <c r="F325" s="959">
        <v>0</v>
      </c>
      <c r="G325" s="959">
        <v>0</v>
      </c>
      <c r="H325" s="959">
        <v>18</v>
      </c>
    </row>
    <row r="326" spans="1:8">
      <c r="A326" s="959" t="s">
        <v>2963</v>
      </c>
      <c r="B326" s="960" t="s">
        <v>2964</v>
      </c>
      <c r="C326" s="960" t="s">
        <v>4256</v>
      </c>
      <c r="D326" s="960" t="s">
        <v>1907</v>
      </c>
      <c r="E326" s="959">
        <v>2</v>
      </c>
      <c r="F326" s="959">
        <v>25</v>
      </c>
      <c r="G326" s="959">
        <v>2</v>
      </c>
      <c r="H326" s="959">
        <v>21</v>
      </c>
    </row>
    <row r="327" spans="1:8">
      <c r="A327" s="959" t="s">
        <v>2965</v>
      </c>
      <c r="B327" s="960" t="s">
        <v>2966</v>
      </c>
      <c r="C327" s="960" t="s">
        <v>4256</v>
      </c>
      <c r="D327" s="960" t="s">
        <v>470</v>
      </c>
      <c r="E327" s="959">
        <v>7</v>
      </c>
      <c r="F327" s="959">
        <v>0</v>
      </c>
      <c r="G327" s="959">
        <v>14</v>
      </c>
      <c r="H327" s="959">
        <v>245</v>
      </c>
    </row>
    <row r="328" spans="1:8">
      <c r="A328" s="959" t="s">
        <v>2965</v>
      </c>
      <c r="B328" s="960" t="s">
        <v>2966</v>
      </c>
      <c r="C328" s="960" t="s">
        <v>4256</v>
      </c>
      <c r="D328" s="960" t="s">
        <v>1904</v>
      </c>
      <c r="E328" s="959">
        <v>0</v>
      </c>
      <c r="F328" s="959">
        <v>0</v>
      </c>
      <c r="G328" s="959">
        <v>1</v>
      </c>
      <c r="H328" s="959">
        <v>85</v>
      </c>
    </row>
    <row r="329" spans="1:8">
      <c r="A329" s="959" t="s">
        <v>2965</v>
      </c>
      <c r="B329" s="960" t="s">
        <v>2966</v>
      </c>
      <c r="C329" s="960" t="s">
        <v>4256</v>
      </c>
      <c r="D329" s="960" t="s">
        <v>4260</v>
      </c>
      <c r="E329" s="959">
        <v>0</v>
      </c>
      <c r="F329" s="959">
        <v>0</v>
      </c>
      <c r="G329" s="959">
        <v>0</v>
      </c>
      <c r="H329" s="959">
        <v>5</v>
      </c>
    </row>
    <row r="330" spans="1:8">
      <c r="A330" s="959" t="s">
        <v>2965</v>
      </c>
      <c r="B330" s="960" t="s">
        <v>2966</v>
      </c>
      <c r="C330" s="960" t="s">
        <v>4256</v>
      </c>
      <c r="D330" s="960" t="s">
        <v>1906</v>
      </c>
      <c r="E330" s="959">
        <v>6</v>
      </c>
      <c r="F330" s="959">
        <v>37</v>
      </c>
      <c r="G330" s="959">
        <v>5</v>
      </c>
      <c r="H330" s="959">
        <v>6</v>
      </c>
    </row>
    <row r="331" spans="1:8">
      <c r="A331" s="959" t="s">
        <v>2965</v>
      </c>
      <c r="B331" s="960" t="s">
        <v>2966</v>
      </c>
      <c r="C331" s="960" t="s">
        <v>4256</v>
      </c>
      <c r="D331" s="960" t="s">
        <v>4264</v>
      </c>
      <c r="E331" s="959">
        <v>0</v>
      </c>
      <c r="F331" s="959">
        <v>0</v>
      </c>
      <c r="G331" s="959">
        <v>0</v>
      </c>
      <c r="H331" s="959">
        <v>3</v>
      </c>
    </row>
    <row r="332" spans="1:8">
      <c r="A332" s="959" t="s">
        <v>2965</v>
      </c>
      <c r="B332" s="960" t="s">
        <v>2966</v>
      </c>
      <c r="C332" s="960" t="s">
        <v>4257</v>
      </c>
      <c r="D332" s="960" t="s">
        <v>4258</v>
      </c>
      <c r="E332" s="959">
        <v>3</v>
      </c>
      <c r="F332" s="959">
        <v>5</v>
      </c>
      <c r="G332" s="959">
        <v>0</v>
      </c>
      <c r="H332" s="959">
        <v>1</v>
      </c>
    </row>
    <row r="333" spans="1:8">
      <c r="A333" s="959" t="s">
        <v>2967</v>
      </c>
      <c r="B333" s="960" t="s">
        <v>2968</v>
      </c>
      <c r="C333" s="960" t="s">
        <v>4256</v>
      </c>
      <c r="D333" s="960" t="s">
        <v>470</v>
      </c>
      <c r="E333" s="959">
        <v>0</v>
      </c>
      <c r="F333" s="959">
        <v>0</v>
      </c>
      <c r="G333" s="959">
        <v>15</v>
      </c>
      <c r="H333" s="959">
        <v>126</v>
      </c>
    </row>
    <row r="334" spans="1:8">
      <c r="A334" s="959" t="s">
        <v>2967</v>
      </c>
      <c r="B334" s="960" t="s">
        <v>2968</v>
      </c>
      <c r="C334" s="960" t="s">
        <v>4256</v>
      </c>
      <c r="D334" s="960" t="s">
        <v>1904</v>
      </c>
      <c r="E334" s="959">
        <v>0</v>
      </c>
      <c r="F334" s="959">
        <v>0</v>
      </c>
      <c r="G334" s="959">
        <v>1</v>
      </c>
      <c r="H334" s="959">
        <v>71</v>
      </c>
    </row>
    <row r="335" spans="1:8">
      <c r="A335" s="959" t="s">
        <v>2967</v>
      </c>
      <c r="B335" s="960" t="s">
        <v>2968</v>
      </c>
      <c r="C335" s="960" t="s">
        <v>4256</v>
      </c>
      <c r="D335" s="960" t="s">
        <v>4269</v>
      </c>
      <c r="E335" s="959">
        <v>0</v>
      </c>
      <c r="F335" s="959">
        <v>0</v>
      </c>
      <c r="G335" s="959">
        <v>0</v>
      </c>
      <c r="H335" s="959">
        <v>1</v>
      </c>
    </row>
    <row r="336" spans="1:8">
      <c r="A336" s="959" t="s">
        <v>2967</v>
      </c>
      <c r="B336" s="960" t="s">
        <v>2968</v>
      </c>
      <c r="C336" s="960" t="s">
        <v>4256</v>
      </c>
      <c r="D336" s="960" t="s">
        <v>4259</v>
      </c>
      <c r="E336" s="959">
        <v>0</v>
      </c>
      <c r="F336" s="959">
        <v>0</v>
      </c>
      <c r="G336" s="959">
        <v>0</v>
      </c>
      <c r="H336" s="959">
        <v>2</v>
      </c>
    </row>
    <row r="337" spans="1:8">
      <c r="A337" s="959" t="s">
        <v>2967</v>
      </c>
      <c r="B337" s="960" t="s">
        <v>2968</v>
      </c>
      <c r="C337" s="960" t="s">
        <v>4256</v>
      </c>
      <c r="D337" s="960" t="s">
        <v>4260</v>
      </c>
      <c r="E337" s="959">
        <v>0</v>
      </c>
      <c r="F337" s="959">
        <v>0</v>
      </c>
      <c r="G337" s="959">
        <v>0</v>
      </c>
      <c r="H337" s="959">
        <v>12</v>
      </c>
    </row>
    <row r="338" spans="1:8">
      <c r="A338" s="959" t="s">
        <v>2967</v>
      </c>
      <c r="B338" s="960" t="s">
        <v>2968</v>
      </c>
      <c r="C338" s="960" t="s">
        <v>4256</v>
      </c>
      <c r="D338" s="960" t="s">
        <v>4265</v>
      </c>
      <c r="E338" s="959">
        <v>0</v>
      </c>
      <c r="F338" s="959">
        <v>0</v>
      </c>
      <c r="G338" s="959">
        <v>0</v>
      </c>
      <c r="H338" s="959">
        <v>3</v>
      </c>
    </row>
    <row r="339" spans="1:8">
      <c r="A339" s="959" t="s">
        <v>2967</v>
      </c>
      <c r="B339" s="960" t="s">
        <v>2968</v>
      </c>
      <c r="C339" s="960" t="s">
        <v>4256</v>
      </c>
      <c r="D339" s="960" t="s">
        <v>1906</v>
      </c>
      <c r="E339" s="959">
        <v>49</v>
      </c>
      <c r="F339" s="959">
        <v>745</v>
      </c>
      <c r="G339" s="959">
        <v>3</v>
      </c>
      <c r="H339" s="959">
        <v>37</v>
      </c>
    </row>
    <row r="340" spans="1:8">
      <c r="A340" s="959" t="s">
        <v>2967</v>
      </c>
      <c r="B340" s="960" t="s">
        <v>2968</v>
      </c>
      <c r="C340" s="960" t="s">
        <v>4256</v>
      </c>
      <c r="D340" s="960" t="s">
        <v>1907</v>
      </c>
      <c r="E340" s="959">
        <v>0</v>
      </c>
      <c r="F340" s="959">
        <v>0</v>
      </c>
      <c r="G340" s="959">
        <v>0</v>
      </c>
      <c r="H340" s="959">
        <v>2</v>
      </c>
    </row>
    <row r="341" spans="1:8">
      <c r="A341" s="959" t="s">
        <v>2967</v>
      </c>
      <c r="B341" s="960" t="s">
        <v>2968</v>
      </c>
      <c r="C341" s="960" t="s">
        <v>4256</v>
      </c>
      <c r="D341" s="960" t="s">
        <v>4261</v>
      </c>
      <c r="E341" s="959">
        <v>0</v>
      </c>
      <c r="F341" s="959">
        <v>0</v>
      </c>
      <c r="G341" s="959">
        <v>0</v>
      </c>
      <c r="H341" s="959">
        <v>10</v>
      </c>
    </row>
    <row r="342" spans="1:8">
      <c r="A342" s="959" t="s">
        <v>2967</v>
      </c>
      <c r="B342" s="960" t="s">
        <v>2968</v>
      </c>
      <c r="C342" s="960" t="s">
        <v>4256</v>
      </c>
      <c r="D342" s="960" t="s">
        <v>4274</v>
      </c>
      <c r="E342" s="959">
        <v>0</v>
      </c>
      <c r="F342" s="959">
        <v>1</v>
      </c>
      <c r="G342" s="959">
        <v>0</v>
      </c>
      <c r="H342" s="959">
        <v>0</v>
      </c>
    </row>
    <row r="343" spans="1:8">
      <c r="A343" s="959" t="s">
        <v>2967</v>
      </c>
      <c r="B343" s="960" t="s">
        <v>2968</v>
      </c>
      <c r="C343" s="960" t="s">
        <v>4257</v>
      </c>
      <c r="D343" s="960" t="s">
        <v>4258</v>
      </c>
      <c r="E343" s="959">
        <v>46</v>
      </c>
      <c r="F343" s="959">
        <v>693</v>
      </c>
      <c r="G343" s="959">
        <v>6</v>
      </c>
      <c r="H343" s="959">
        <v>81</v>
      </c>
    </row>
    <row r="344" spans="1:8">
      <c r="A344" s="959" t="s">
        <v>2967</v>
      </c>
      <c r="B344" s="960" t="s">
        <v>2968</v>
      </c>
      <c r="C344" s="960" t="s">
        <v>4262</v>
      </c>
      <c r="D344" s="960" t="s">
        <v>4263</v>
      </c>
      <c r="E344" s="959">
        <v>0</v>
      </c>
      <c r="F344" s="959">
        <v>6</v>
      </c>
      <c r="G344" s="959">
        <v>0</v>
      </c>
      <c r="H344" s="959">
        <v>7</v>
      </c>
    </row>
    <row r="345" spans="1:8">
      <c r="A345" s="959" t="s">
        <v>2967</v>
      </c>
      <c r="B345" s="960" t="s">
        <v>2968</v>
      </c>
      <c r="C345" s="960" t="s">
        <v>4267</v>
      </c>
      <c r="D345" s="960" t="s">
        <v>4268</v>
      </c>
      <c r="E345" s="959">
        <v>0</v>
      </c>
      <c r="F345" s="959">
        <v>0</v>
      </c>
      <c r="G345" s="959">
        <v>0</v>
      </c>
      <c r="H345" s="959">
        <v>4</v>
      </c>
    </row>
    <row r="346" spans="1:8">
      <c r="A346" s="959" t="s">
        <v>2969</v>
      </c>
      <c r="B346" s="960" t="s">
        <v>2970</v>
      </c>
      <c r="C346" s="960" t="s">
        <v>4275</v>
      </c>
      <c r="D346" s="960" t="s">
        <v>4276</v>
      </c>
      <c r="E346" s="959">
        <v>0</v>
      </c>
      <c r="F346" s="959">
        <v>5</v>
      </c>
      <c r="G346" s="959">
        <v>0</v>
      </c>
      <c r="H346" s="959">
        <v>0</v>
      </c>
    </row>
    <row r="347" spans="1:8">
      <c r="A347" s="959" t="s">
        <v>2969</v>
      </c>
      <c r="B347" s="960" t="s">
        <v>2970</v>
      </c>
      <c r="C347" s="960" t="s">
        <v>4256</v>
      </c>
      <c r="D347" s="960" t="s">
        <v>4259</v>
      </c>
      <c r="E347" s="959">
        <v>0</v>
      </c>
      <c r="F347" s="959">
        <v>0</v>
      </c>
      <c r="G347" s="959">
        <v>0</v>
      </c>
      <c r="H347" s="959">
        <v>1</v>
      </c>
    </row>
    <row r="348" spans="1:8">
      <c r="A348" s="959" t="s">
        <v>2969</v>
      </c>
      <c r="B348" s="960" t="s">
        <v>2970</v>
      </c>
      <c r="C348" s="960" t="s">
        <v>4256</v>
      </c>
      <c r="D348" s="960" t="s">
        <v>4260</v>
      </c>
      <c r="E348" s="959">
        <v>0</v>
      </c>
      <c r="F348" s="959">
        <v>0</v>
      </c>
      <c r="G348" s="959">
        <v>0</v>
      </c>
      <c r="H348" s="959">
        <v>4</v>
      </c>
    </row>
    <row r="349" spans="1:8">
      <c r="A349" s="959" t="s">
        <v>2969</v>
      </c>
      <c r="B349" s="960" t="s">
        <v>2970</v>
      </c>
      <c r="C349" s="960" t="s">
        <v>4256</v>
      </c>
      <c r="D349" s="960" t="s">
        <v>1906</v>
      </c>
      <c r="E349" s="959">
        <v>0</v>
      </c>
      <c r="F349" s="959">
        <v>1</v>
      </c>
      <c r="G349" s="959">
        <v>0</v>
      </c>
      <c r="H349" s="959">
        <v>0</v>
      </c>
    </row>
    <row r="350" spans="1:8">
      <c r="A350" s="959" t="s">
        <v>2969</v>
      </c>
      <c r="B350" s="960" t="s">
        <v>2970</v>
      </c>
      <c r="C350" s="960" t="s">
        <v>4257</v>
      </c>
      <c r="D350" s="960" t="s">
        <v>4258</v>
      </c>
      <c r="E350" s="959">
        <v>2</v>
      </c>
      <c r="F350" s="959">
        <v>50</v>
      </c>
      <c r="G350" s="959">
        <v>0</v>
      </c>
      <c r="H350" s="959">
        <v>2</v>
      </c>
    </row>
    <row r="351" spans="1:8">
      <c r="A351" s="959" t="s">
        <v>2969</v>
      </c>
      <c r="B351" s="960" t="s">
        <v>2970</v>
      </c>
      <c r="C351" s="960" t="s">
        <v>4262</v>
      </c>
      <c r="D351" s="960" t="s">
        <v>4263</v>
      </c>
      <c r="E351" s="959">
        <v>28</v>
      </c>
      <c r="F351" s="959">
        <v>482</v>
      </c>
      <c r="G351" s="959">
        <v>0</v>
      </c>
      <c r="H351" s="959">
        <v>0</v>
      </c>
    </row>
    <row r="352" spans="1:8">
      <c r="A352" s="959" t="s">
        <v>2971</v>
      </c>
      <c r="B352" s="960" t="s">
        <v>2972</v>
      </c>
      <c r="C352" s="960" t="s">
        <v>4256</v>
      </c>
      <c r="D352" s="960" t="s">
        <v>1906</v>
      </c>
      <c r="E352" s="959">
        <v>0</v>
      </c>
      <c r="F352" s="959">
        <v>6</v>
      </c>
      <c r="G352" s="959">
        <v>0</v>
      </c>
      <c r="H352" s="959">
        <v>0</v>
      </c>
    </row>
    <row r="353" spans="1:8">
      <c r="A353" s="959" t="s">
        <v>2971</v>
      </c>
      <c r="B353" s="960" t="s">
        <v>2972</v>
      </c>
      <c r="C353" s="960" t="s">
        <v>4256</v>
      </c>
      <c r="D353" s="960" t="s">
        <v>1907</v>
      </c>
      <c r="E353" s="959">
        <v>1</v>
      </c>
      <c r="F353" s="959">
        <v>15</v>
      </c>
      <c r="G353" s="959">
        <v>1</v>
      </c>
      <c r="H353" s="959">
        <v>12</v>
      </c>
    </row>
    <row r="354" spans="1:8">
      <c r="A354" s="959" t="s">
        <v>2971</v>
      </c>
      <c r="B354" s="960" t="s">
        <v>2972</v>
      </c>
      <c r="C354" s="960" t="s">
        <v>4257</v>
      </c>
      <c r="D354" s="960" t="s">
        <v>4258</v>
      </c>
      <c r="E354" s="959">
        <v>0</v>
      </c>
      <c r="F354" s="959">
        <v>2</v>
      </c>
      <c r="G354" s="959">
        <v>0</v>
      </c>
      <c r="H354" s="959">
        <v>0</v>
      </c>
    </row>
    <row r="355" spans="1:8">
      <c r="A355" s="959" t="s">
        <v>2971</v>
      </c>
      <c r="B355" s="960" t="s">
        <v>2972</v>
      </c>
      <c r="C355" s="960" t="s">
        <v>4262</v>
      </c>
      <c r="D355" s="960" t="s">
        <v>4263</v>
      </c>
      <c r="E355" s="959">
        <v>0</v>
      </c>
      <c r="F355" s="959">
        <v>0</v>
      </c>
      <c r="G355" s="959">
        <v>0</v>
      </c>
      <c r="H355" s="959">
        <v>3</v>
      </c>
    </row>
    <row r="356" spans="1:8">
      <c r="A356" s="959" t="s">
        <v>2973</v>
      </c>
      <c r="B356" s="960" t="s">
        <v>2974</v>
      </c>
      <c r="C356" s="960" t="s">
        <v>4256</v>
      </c>
      <c r="D356" s="960" t="s">
        <v>470</v>
      </c>
      <c r="E356" s="959">
        <v>0</v>
      </c>
      <c r="F356" s="959">
        <v>0</v>
      </c>
      <c r="G356" s="959">
        <v>0</v>
      </c>
      <c r="H356" s="959">
        <v>2</v>
      </c>
    </row>
    <row r="357" spans="1:8">
      <c r="A357" s="959" t="s">
        <v>2973</v>
      </c>
      <c r="B357" s="960" t="s">
        <v>2974</v>
      </c>
      <c r="C357" s="960" t="s">
        <v>4256</v>
      </c>
      <c r="D357" s="960" t="s">
        <v>1904</v>
      </c>
      <c r="E357" s="959">
        <v>0</v>
      </c>
      <c r="F357" s="959">
        <v>0</v>
      </c>
      <c r="G357" s="959">
        <v>0</v>
      </c>
      <c r="H357" s="959">
        <v>1</v>
      </c>
    </row>
    <row r="358" spans="1:8">
      <c r="A358" s="959" t="s">
        <v>2973</v>
      </c>
      <c r="B358" s="960" t="s">
        <v>2974</v>
      </c>
      <c r="C358" s="960" t="s">
        <v>4256</v>
      </c>
      <c r="D358" s="960" t="s">
        <v>4282</v>
      </c>
      <c r="E358" s="959">
        <v>0</v>
      </c>
      <c r="F358" s="959">
        <v>86</v>
      </c>
      <c r="G358" s="959">
        <v>0</v>
      </c>
      <c r="H358" s="959">
        <v>0</v>
      </c>
    </row>
    <row r="359" spans="1:8">
      <c r="A359" s="959" t="s">
        <v>2973</v>
      </c>
      <c r="B359" s="960" t="s">
        <v>2974</v>
      </c>
      <c r="C359" s="960" t="s">
        <v>4257</v>
      </c>
      <c r="D359" s="960" t="s">
        <v>4258</v>
      </c>
      <c r="E359" s="959">
        <v>9</v>
      </c>
      <c r="F359" s="959">
        <v>1</v>
      </c>
      <c r="G359" s="959">
        <v>7</v>
      </c>
      <c r="H359" s="959">
        <v>1</v>
      </c>
    </row>
    <row r="360" spans="1:8">
      <c r="A360" s="959" t="s">
        <v>2973</v>
      </c>
      <c r="B360" s="960" t="s">
        <v>2974</v>
      </c>
      <c r="C360" s="960" t="s">
        <v>4267</v>
      </c>
      <c r="D360" s="960" t="s">
        <v>4268</v>
      </c>
      <c r="E360" s="959">
        <v>0</v>
      </c>
      <c r="F360" s="959">
        <v>0</v>
      </c>
      <c r="G360" s="959">
        <v>0</v>
      </c>
      <c r="H360" s="959">
        <v>80</v>
      </c>
    </row>
    <row r="361" spans="1:8">
      <c r="A361" s="959" t="s">
        <v>2976</v>
      </c>
      <c r="B361" s="960" t="s">
        <v>334</v>
      </c>
      <c r="C361" s="960" t="s">
        <v>4275</v>
      </c>
      <c r="D361" s="960" t="s">
        <v>4276</v>
      </c>
      <c r="E361" s="959">
        <v>0</v>
      </c>
      <c r="F361" s="959">
        <v>1</v>
      </c>
      <c r="G361" s="959">
        <v>0</v>
      </c>
      <c r="H361" s="959">
        <v>0</v>
      </c>
    </row>
    <row r="362" spans="1:8">
      <c r="A362" s="959" t="s">
        <v>2976</v>
      </c>
      <c r="B362" s="960" t="s">
        <v>334</v>
      </c>
      <c r="C362" s="960" t="s">
        <v>4277</v>
      </c>
      <c r="D362" s="960" t="s">
        <v>4280</v>
      </c>
      <c r="E362" s="959">
        <v>0</v>
      </c>
      <c r="F362" s="959">
        <v>0</v>
      </c>
      <c r="G362" s="959">
        <v>0</v>
      </c>
      <c r="H362" s="959">
        <v>1</v>
      </c>
    </row>
    <row r="363" spans="1:8">
      <c r="A363" s="959" t="s">
        <v>2976</v>
      </c>
      <c r="B363" s="960" t="s">
        <v>334</v>
      </c>
      <c r="C363" s="960" t="s">
        <v>4262</v>
      </c>
      <c r="D363" s="960" t="s">
        <v>4263</v>
      </c>
      <c r="E363" s="959">
        <v>0</v>
      </c>
      <c r="F363" s="959">
        <v>1</v>
      </c>
      <c r="G363" s="959">
        <v>0</v>
      </c>
      <c r="H363" s="959">
        <v>0</v>
      </c>
    </row>
    <row r="364" spans="1:8">
      <c r="A364" s="959" t="s">
        <v>2977</v>
      </c>
      <c r="B364" s="960" t="s">
        <v>742</v>
      </c>
      <c r="C364" s="960" t="s">
        <v>4275</v>
      </c>
      <c r="D364" s="960" t="s">
        <v>4276</v>
      </c>
      <c r="E364" s="959">
        <v>0</v>
      </c>
      <c r="F364" s="959">
        <v>4</v>
      </c>
      <c r="G364" s="959">
        <v>0</v>
      </c>
      <c r="H364" s="959">
        <v>0</v>
      </c>
    </row>
    <row r="365" spans="1:8">
      <c r="A365" s="959" t="s">
        <v>2977</v>
      </c>
      <c r="B365" s="960" t="s">
        <v>742</v>
      </c>
      <c r="C365" s="960" t="s">
        <v>4277</v>
      </c>
      <c r="D365" s="960" t="s">
        <v>4278</v>
      </c>
      <c r="E365" s="959">
        <v>0</v>
      </c>
      <c r="F365" s="959">
        <v>0</v>
      </c>
      <c r="G365" s="959">
        <v>0</v>
      </c>
      <c r="H365" s="959">
        <v>1</v>
      </c>
    </row>
    <row r="366" spans="1:8">
      <c r="A366" s="959" t="s">
        <v>2977</v>
      </c>
      <c r="B366" s="960" t="s">
        <v>742</v>
      </c>
      <c r="C366" s="960" t="s">
        <v>4256</v>
      </c>
      <c r="D366" s="960" t="s">
        <v>4259</v>
      </c>
      <c r="E366" s="959">
        <v>0</v>
      </c>
      <c r="F366" s="959">
        <v>2</v>
      </c>
      <c r="G366" s="959">
        <v>0</v>
      </c>
      <c r="H366" s="959">
        <v>3</v>
      </c>
    </row>
    <row r="367" spans="1:8">
      <c r="A367" s="959" t="s">
        <v>2977</v>
      </c>
      <c r="B367" s="960" t="s">
        <v>742</v>
      </c>
      <c r="C367" s="960" t="s">
        <v>4256</v>
      </c>
      <c r="D367" s="960" t="s">
        <v>4260</v>
      </c>
      <c r="E367" s="959">
        <v>0</v>
      </c>
      <c r="F367" s="959">
        <v>1</v>
      </c>
      <c r="G367" s="959">
        <v>0</v>
      </c>
      <c r="H367" s="959">
        <v>1</v>
      </c>
    </row>
    <row r="368" spans="1:8">
      <c r="A368" s="959" t="s">
        <v>2977</v>
      </c>
      <c r="B368" s="960" t="s">
        <v>742</v>
      </c>
      <c r="C368" s="960" t="s">
        <v>4256</v>
      </c>
      <c r="D368" s="960" t="s">
        <v>4265</v>
      </c>
      <c r="E368" s="959">
        <v>0</v>
      </c>
      <c r="F368" s="959">
        <v>1</v>
      </c>
      <c r="G368" s="959">
        <v>0</v>
      </c>
      <c r="H368" s="959">
        <v>0</v>
      </c>
    </row>
    <row r="369" spans="1:8">
      <c r="A369" s="959" t="s">
        <v>2977</v>
      </c>
      <c r="B369" s="960" t="s">
        <v>742</v>
      </c>
      <c r="C369" s="960" t="s">
        <v>4256</v>
      </c>
      <c r="D369" s="960" t="s">
        <v>4271</v>
      </c>
      <c r="E369" s="959">
        <v>0</v>
      </c>
      <c r="F369" s="959">
        <v>1</v>
      </c>
      <c r="G369" s="959">
        <v>0</v>
      </c>
      <c r="H369" s="959">
        <v>0</v>
      </c>
    </row>
    <row r="370" spans="1:8">
      <c r="A370" s="959" t="s">
        <v>2977</v>
      </c>
      <c r="B370" s="960" t="s">
        <v>742</v>
      </c>
      <c r="C370" s="960" t="s">
        <v>4262</v>
      </c>
      <c r="D370" s="960" t="s">
        <v>4263</v>
      </c>
      <c r="E370" s="959">
        <v>3</v>
      </c>
      <c r="F370" s="959">
        <v>4</v>
      </c>
      <c r="G370" s="959">
        <v>0</v>
      </c>
      <c r="H370" s="959">
        <v>0</v>
      </c>
    </row>
    <row r="371" spans="1:8">
      <c r="A371" s="959" t="s">
        <v>2978</v>
      </c>
      <c r="B371" s="960" t="s">
        <v>751</v>
      </c>
      <c r="C371" s="960" t="s">
        <v>4256</v>
      </c>
      <c r="D371" s="960" t="s">
        <v>1906</v>
      </c>
      <c r="E371" s="959">
        <v>0</v>
      </c>
      <c r="F371" s="959">
        <v>5</v>
      </c>
      <c r="G371" s="959">
        <v>0</v>
      </c>
      <c r="H371" s="959">
        <v>0</v>
      </c>
    </row>
    <row r="372" spans="1:8">
      <c r="A372" s="959" t="s">
        <v>2978</v>
      </c>
      <c r="B372" s="960" t="s">
        <v>751</v>
      </c>
      <c r="C372" s="960" t="s">
        <v>4256</v>
      </c>
      <c r="D372" s="960" t="s">
        <v>4264</v>
      </c>
      <c r="E372" s="959">
        <v>0</v>
      </c>
      <c r="F372" s="959">
        <v>0</v>
      </c>
      <c r="G372" s="959">
        <v>1</v>
      </c>
      <c r="H372" s="959">
        <v>8</v>
      </c>
    </row>
    <row r="373" spans="1:8">
      <c r="A373" s="959" t="s">
        <v>2978</v>
      </c>
      <c r="B373" s="960" t="s">
        <v>751</v>
      </c>
      <c r="C373" s="960" t="s">
        <v>4257</v>
      </c>
      <c r="D373" s="960" t="s">
        <v>4258</v>
      </c>
      <c r="E373" s="959">
        <v>0</v>
      </c>
      <c r="F373" s="959">
        <v>1</v>
      </c>
      <c r="G373" s="959">
        <v>0</v>
      </c>
      <c r="H373" s="959">
        <v>0</v>
      </c>
    </row>
    <row r="374" spans="1:8">
      <c r="A374" s="959" t="s">
        <v>4283</v>
      </c>
      <c r="B374" s="960" t="s">
        <v>4284</v>
      </c>
      <c r="C374" s="960" t="s">
        <v>4256</v>
      </c>
      <c r="D374" s="960" t="s">
        <v>1907</v>
      </c>
      <c r="E374" s="959">
        <v>0</v>
      </c>
      <c r="F374" s="959">
        <v>12</v>
      </c>
      <c r="G374" s="959">
        <v>0</v>
      </c>
      <c r="H374" s="959">
        <v>4</v>
      </c>
    </row>
    <row r="375" spans="1:8">
      <c r="A375" s="959" t="s">
        <v>4283</v>
      </c>
      <c r="B375" s="960" t="s">
        <v>4284</v>
      </c>
      <c r="C375" s="960" t="s">
        <v>4257</v>
      </c>
      <c r="D375" s="960" t="s">
        <v>4258</v>
      </c>
      <c r="E375" s="959">
        <v>0</v>
      </c>
      <c r="F375" s="959">
        <v>2</v>
      </c>
      <c r="G375" s="959">
        <v>0</v>
      </c>
      <c r="H375" s="959">
        <v>0</v>
      </c>
    </row>
    <row r="376" spans="1:8">
      <c r="A376" s="959" t="s">
        <v>4283</v>
      </c>
      <c r="B376" s="960" t="s">
        <v>4284</v>
      </c>
      <c r="C376" s="960" t="s">
        <v>4262</v>
      </c>
      <c r="D376" s="960" t="s">
        <v>4263</v>
      </c>
      <c r="E376" s="959">
        <v>0</v>
      </c>
      <c r="F376" s="959">
        <v>1</v>
      </c>
      <c r="G376" s="959">
        <v>0</v>
      </c>
      <c r="H376" s="959">
        <v>0</v>
      </c>
    </row>
    <row r="377" spans="1:8">
      <c r="A377" s="959" t="s">
        <v>2980</v>
      </c>
      <c r="B377" s="960" t="s">
        <v>761</v>
      </c>
      <c r="C377" s="960" t="s">
        <v>4256</v>
      </c>
      <c r="D377" s="960" t="s">
        <v>470</v>
      </c>
      <c r="E377" s="959">
        <v>0</v>
      </c>
      <c r="F377" s="959">
        <v>0</v>
      </c>
      <c r="G377" s="959">
        <v>0</v>
      </c>
      <c r="H377" s="959">
        <v>1</v>
      </c>
    </row>
    <row r="378" spans="1:8">
      <c r="A378" s="959" t="s">
        <v>2980</v>
      </c>
      <c r="B378" s="960" t="s">
        <v>761</v>
      </c>
      <c r="C378" s="960" t="s">
        <v>4256</v>
      </c>
      <c r="D378" s="960" t="s">
        <v>1904</v>
      </c>
      <c r="E378" s="959">
        <v>0</v>
      </c>
      <c r="F378" s="959">
        <v>0</v>
      </c>
      <c r="G378" s="959">
        <v>0</v>
      </c>
      <c r="H378" s="959">
        <v>1</v>
      </c>
    </row>
    <row r="379" spans="1:8">
      <c r="A379" s="959" t="s">
        <v>2980</v>
      </c>
      <c r="B379" s="960" t="s">
        <v>761</v>
      </c>
      <c r="C379" s="960" t="s">
        <v>4256</v>
      </c>
      <c r="D379" s="960" t="s">
        <v>4259</v>
      </c>
      <c r="E379" s="959">
        <v>0</v>
      </c>
      <c r="F379" s="959">
        <v>1</v>
      </c>
      <c r="G379" s="959">
        <v>0</v>
      </c>
      <c r="H379" s="959">
        <v>0</v>
      </c>
    </row>
    <row r="380" spans="1:8">
      <c r="A380" s="959" t="s">
        <v>2980</v>
      </c>
      <c r="B380" s="960" t="s">
        <v>761</v>
      </c>
      <c r="C380" s="960" t="s">
        <v>4256</v>
      </c>
      <c r="D380" s="960" t="s">
        <v>4260</v>
      </c>
      <c r="E380" s="959">
        <v>0</v>
      </c>
      <c r="F380" s="959">
        <v>0</v>
      </c>
      <c r="G380" s="959">
        <v>0</v>
      </c>
      <c r="H380" s="959">
        <v>1</v>
      </c>
    </row>
    <row r="381" spans="1:8">
      <c r="A381" s="959" t="s">
        <v>2980</v>
      </c>
      <c r="B381" s="960" t="s">
        <v>761</v>
      </c>
      <c r="C381" s="960" t="s">
        <v>4262</v>
      </c>
      <c r="D381" s="960" t="s">
        <v>4263</v>
      </c>
      <c r="E381" s="959">
        <v>0</v>
      </c>
      <c r="F381" s="959">
        <v>0</v>
      </c>
      <c r="G381" s="959">
        <v>0</v>
      </c>
      <c r="H381" s="959">
        <v>1</v>
      </c>
    </row>
    <row r="382" spans="1:8">
      <c r="A382" s="959" t="s">
        <v>2981</v>
      </c>
      <c r="B382" s="960" t="s">
        <v>2982</v>
      </c>
      <c r="C382" s="960" t="s">
        <v>4256</v>
      </c>
      <c r="D382" s="960" t="s">
        <v>470</v>
      </c>
      <c r="E382" s="959">
        <v>0</v>
      </c>
      <c r="F382" s="959">
        <v>0</v>
      </c>
      <c r="G382" s="959">
        <v>44</v>
      </c>
      <c r="H382" s="959">
        <v>141</v>
      </c>
    </row>
    <row r="383" spans="1:8">
      <c r="A383" s="959" t="s">
        <v>2981</v>
      </c>
      <c r="B383" s="960" t="s">
        <v>2982</v>
      </c>
      <c r="C383" s="960" t="s">
        <v>4256</v>
      </c>
      <c r="D383" s="960" t="s">
        <v>4260</v>
      </c>
      <c r="E383" s="959">
        <v>0</v>
      </c>
      <c r="F383" s="959">
        <v>0</v>
      </c>
      <c r="G383" s="959">
        <v>0</v>
      </c>
      <c r="H383" s="959">
        <v>5</v>
      </c>
    </row>
    <row r="384" spans="1:8">
      <c r="A384" s="959" t="s">
        <v>2981</v>
      </c>
      <c r="B384" s="960" t="s">
        <v>2982</v>
      </c>
      <c r="C384" s="960" t="s">
        <v>4256</v>
      </c>
      <c r="D384" s="960" t="s">
        <v>4261</v>
      </c>
      <c r="E384" s="959">
        <v>0</v>
      </c>
      <c r="F384" s="959">
        <v>0</v>
      </c>
      <c r="G384" s="959">
        <v>0</v>
      </c>
      <c r="H384" s="959">
        <v>1</v>
      </c>
    </row>
    <row r="385" spans="1:8">
      <c r="A385" s="959" t="s">
        <v>2981</v>
      </c>
      <c r="B385" s="960" t="s">
        <v>2982</v>
      </c>
      <c r="C385" s="960" t="s">
        <v>4267</v>
      </c>
      <c r="D385" s="960" t="s">
        <v>4268</v>
      </c>
      <c r="E385" s="959">
        <v>0</v>
      </c>
      <c r="F385" s="959">
        <v>0</v>
      </c>
      <c r="G385" s="959">
        <v>0</v>
      </c>
      <c r="H385" s="959">
        <v>13</v>
      </c>
    </row>
    <row r="386" spans="1:8">
      <c r="A386" s="959" t="s">
        <v>2983</v>
      </c>
      <c r="B386" s="960" t="s">
        <v>2984</v>
      </c>
      <c r="C386" s="960" t="s">
        <v>4256</v>
      </c>
      <c r="D386" s="960" t="s">
        <v>1906</v>
      </c>
      <c r="E386" s="959">
        <v>10</v>
      </c>
      <c r="F386" s="959">
        <v>213</v>
      </c>
      <c r="G386" s="959">
        <v>0</v>
      </c>
      <c r="H386" s="959">
        <v>2</v>
      </c>
    </row>
    <row r="387" spans="1:8">
      <c r="A387" s="959" t="s">
        <v>2983</v>
      </c>
      <c r="B387" s="960" t="s">
        <v>2984</v>
      </c>
      <c r="C387" s="960" t="s">
        <v>4256</v>
      </c>
      <c r="D387" s="960" t="s">
        <v>4264</v>
      </c>
      <c r="E387" s="959">
        <v>0</v>
      </c>
      <c r="F387" s="959">
        <v>1</v>
      </c>
      <c r="G387" s="959">
        <v>0</v>
      </c>
      <c r="H387" s="959">
        <v>0</v>
      </c>
    </row>
    <row r="388" spans="1:8">
      <c r="A388" s="959" t="s">
        <v>2983</v>
      </c>
      <c r="B388" s="960" t="s">
        <v>2984</v>
      </c>
      <c r="C388" s="960" t="s">
        <v>4256</v>
      </c>
      <c r="D388" s="960" t="s">
        <v>1907</v>
      </c>
      <c r="E388" s="959">
        <v>1</v>
      </c>
      <c r="F388" s="959">
        <v>17</v>
      </c>
      <c r="G388" s="959">
        <v>0</v>
      </c>
      <c r="H388" s="959">
        <v>4</v>
      </c>
    </row>
    <row r="389" spans="1:8">
      <c r="A389" s="959" t="s">
        <v>2983</v>
      </c>
      <c r="B389" s="960" t="s">
        <v>2984</v>
      </c>
      <c r="C389" s="960" t="s">
        <v>4257</v>
      </c>
      <c r="D389" s="960" t="s">
        <v>4258</v>
      </c>
      <c r="E389" s="959">
        <v>13</v>
      </c>
      <c r="F389" s="959">
        <v>246</v>
      </c>
      <c r="G389" s="959">
        <v>1</v>
      </c>
      <c r="H389" s="959">
        <v>13</v>
      </c>
    </row>
    <row r="390" spans="1:8">
      <c r="A390" s="959" t="s">
        <v>2983</v>
      </c>
      <c r="B390" s="960" t="s">
        <v>2984</v>
      </c>
      <c r="C390" s="960" t="s">
        <v>4262</v>
      </c>
      <c r="D390" s="960" t="s">
        <v>4263</v>
      </c>
      <c r="E390" s="959">
        <v>0</v>
      </c>
      <c r="F390" s="959">
        <v>13</v>
      </c>
      <c r="G390" s="959">
        <v>0</v>
      </c>
      <c r="H390" s="959">
        <v>0</v>
      </c>
    </row>
    <row r="391" spans="1:8">
      <c r="A391" s="959" t="s">
        <v>2985</v>
      </c>
      <c r="B391" s="960" t="s">
        <v>767</v>
      </c>
      <c r="C391" s="960" t="s">
        <v>4256</v>
      </c>
      <c r="D391" s="960" t="s">
        <v>4260</v>
      </c>
      <c r="E391" s="959">
        <v>0</v>
      </c>
      <c r="F391" s="959">
        <v>0</v>
      </c>
      <c r="G391" s="959">
        <v>0</v>
      </c>
      <c r="H391" s="959">
        <v>2</v>
      </c>
    </row>
    <row r="392" spans="1:8">
      <c r="A392" s="959" t="s">
        <v>2985</v>
      </c>
      <c r="B392" s="960" t="s">
        <v>767</v>
      </c>
      <c r="C392" s="960" t="s">
        <v>4256</v>
      </c>
      <c r="D392" s="960" t="s">
        <v>1906</v>
      </c>
      <c r="E392" s="959">
        <v>0</v>
      </c>
      <c r="F392" s="959">
        <v>6</v>
      </c>
      <c r="G392" s="959">
        <v>0</v>
      </c>
      <c r="H392" s="959">
        <v>0</v>
      </c>
    </row>
    <row r="393" spans="1:8">
      <c r="A393" s="959" t="s">
        <v>2985</v>
      </c>
      <c r="B393" s="960" t="s">
        <v>767</v>
      </c>
      <c r="C393" s="960" t="s">
        <v>4257</v>
      </c>
      <c r="D393" s="960" t="s">
        <v>4258</v>
      </c>
      <c r="E393" s="959">
        <v>0</v>
      </c>
      <c r="F393" s="959">
        <v>3</v>
      </c>
      <c r="G393" s="959">
        <v>0</v>
      </c>
      <c r="H393" s="959">
        <v>0</v>
      </c>
    </row>
    <row r="394" spans="1:8">
      <c r="A394" s="959" t="s">
        <v>2985</v>
      </c>
      <c r="B394" s="960" t="s">
        <v>767</v>
      </c>
      <c r="C394" s="960" t="s">
        <v>4262</v>
      </c>
      <c r="D394" s="960" t="s">
        <v>4263</v>
      </c>
      <c r="E394" s="959">
        <v>1</v>
      </c>
      <c r="F394" s="959">
        <v>47</v>
      </c>
      <c r="G394" s="959">
        <v>0</v>
      </c>
      <c r="H394" s="959">
        <v>0</v>
      </c>
    </row>
    <row r="395" spans="1:8">
      <c r="A395" s="959" t="s">
        <v>2986</v>
      </c>
      <c r="B395" s="960" t="s">
        <v>2987</v>
      </c>
      <c r="C395" s="960" t="s">
        <v>4256</v>
      </c>
      <c r="D395" s="960" t="s">
        <v>470</v>
      </c>
      <c r="E395" s="959">
        <v>0</v>
      </c>
      <c r="F395" s="959">
        <v>0</v>
      </c>
      <c r="G395" s="959">
        <v>10</v>
      </c>
      <c r="H395" s="959">
        <v>59</v>
      </c>
    </row>
    <row r="396" spans="1:8">
      <c r="A396" s="959" t="s">
        <v>2986</v>
      </c>
      <c r="B396" s="960" t="s">
        <v>2987</v>
      </c>
      <c r="C396" s="960" t="s">
        <v>4256</v>
      </c>
      <c r="D396" s="960" t="s">
        <v>1904</v>
      </c>
      <c r="E396" s="959">
        <v>0</v>
      </c>
      <c r="F396" s="959">
        <v>0</v>
      </c>
      <c r="G396" s="959">
        <v>12</v>
      </c>
      <c r="H396" s="959">
        <v>183</v>
      </c>
    </row>
    <row r="397" spans="1:8">
      <c r="A397" s="959" t="s">
        <v>2986</v>
      </c>
      <c r="B397" s="960" t="s">
        <v>2987</v>
      </c>
      <c r="C397" s="960" t="s">
        <v>4256</v>
      </c>
      <c r="D397" s="960" t="s">
        <v>4270</v>
      </c>
      <c r="E397" s="959">
        <v>0</v>
      </c>
      <c r="F397" s="959">
        <v>0</v>
      </c>
      <c r="G397" s="959">
        <v>8</v>
      </c>
      <c r="H397" s="959">
        <v>11</v>
      </c>
    </row>
    <row r="398" spans="1:8">
      <c r="A398" s="959" t="s">
        <v>2986</v>
      </c>
      <c r="B398" s="960" t="s">
        <v>2987</v>
      </c>
      <c r="C398" s="960" t="s">
        <v>4256</v>
      </c>
      <c r="D398" s="960" t="s">
        <v>4260</v>
      </c>
      <c r="E398" s="959">
        <v>0</v>
      </c>
      <c r="F398" s="959">
        <v>3</v>
      </c>
      <c r="G398" s="959">
        <v>3</v>
      </c>
      <c r="H398" s="959">
        <v>28</v>
      </c>
    </row>
    <row r="399" spans="1:8">
      <c r="A399" s="959" t="s">
        <v>2986</v>
      </c>
      <c r="B399" s="960" t="s">
        <v>2987</v>
      </c>
      <c r="C399" s="960" t="s">
        <v>4256</v>
      </c>
      <c r="D399" s="960" t="s">
        <v>4272</v>
      </c>
      <c r="E399" s="959">
        <v>0</v>
      </c>
      <c r="F399" s="959">
        <v>0</v>
      </c>
      <c r="G399" s="959">
        <v>0</v>
      </c>
      <c r="H399" s="959">
        <v>1</v>
      </c>
    </row>
    <row r="400" spans="1:8">
      <c r="A400" s="959" t="s">
        <v>2986</v>
      </c>
      <c r="B400" s="960" t="s">
        <v>2987</v>
      </c>
      <c r="C400" s="960" t="s">
        <v>4256</v>
      </c>
      <c r="D400" s="960" t="s">
        <v>1906</v>
      </c>
      <c r="E400" s="959">
        <v>8</v>
      </c>
      <c r="F400" s="959">
        <v>109</v>
      </c>
      <c r="G400" s="959">
        <v>2</v>
      </c>
      <c r="H400" s="959">
        <v>22</v>
      </c>
    </row>
    <row r="401" spans="1:8">
      <c r="A401" s="959" t="s">
        <v>2986</v>
      </c>
      <c r="B401" s="960" t="s">
        <v>2987</v>
      </c>
      <c r="C401" s="960" t="s">
        <v>4256</v>
      </c>
      <c r="D401" s="960" t="s">
        <v>4261</v>
      </c>
      <c r="E401" s="959">
        <v>0</v>
      </c>
      <c r="F401" s="959">
        <v>0</v>
      </c>
      <c r="G401" s="959">
        <v>0</v>
      </c>
      <c r="H401" s="959">
        <v>55</v>
      </c>
    </row>
    <row r="402" spans="1:8">
      <c r="A402" s="959" t="s">
        <v>2986</v>
      </c>
      <c r="B402" s="960" t="s">
        <v>2987</v>
      </c>
      <c r="C402" s="960" t="s">
        <v>4257</v>
      </c>
      <c r="D402" s="960" t="s">
        <v>4258</v>
      </c>
      <c r="E402" s="959">
        <v>4</v>
      </c>
      <c r="F402" s="959">
        <v>54</v>
      </c>
      <c r="G402" s="959">
        <v>0</v>
      </c>
      <c r="H402" s="959">
        <v>4</v>
      </c>
    </row>
    <row r="403" spans="1:8">
      <c r="A403" s="959" t="s">
        <v>2986</v>
      </c>
      <c r="B403" s="960" t="s">
        <v>2987</v>
      </c>
      <c r="C403" s="960" t="s">
        <v>4267</v>
      </c>
      <c r="D403" s="960" t="s">
        <v>4268</v>
      </c>
      <c r="E403" s="959">
        <v>0</v>
      </c>
      <c r="F403" s="959">
        <v>0</v>
      </c>
      <c r="G403" s="959">
        <v>0</v>
      </c>
      <c r="H403" s="959">
        <v>1</v>
      </c>
    </row>
    <row r="404" spans="1:8">
      <c r="A404" s="959" t="s">
        <v>2988</v>
      </c>
      <c r="B404" s="960" t="s">
        <v>2989</v>
      </c>
      <c r="C404" s="960" t="s">
        <v>4256</v>
      </c>
      <c r="D404" s="960" t="s">
        <v>470</v>
      </c>
      <c r="E404" s="959">
        <v>0</v>
      </c>
      <c r="F404" s="959">
        <v>0</v>
      </c>
      <c r="G404" s="959">
        <v>0</v>
      </c>
      <c r="H404" s="959">
        <v>3</v>
      </c>
    </row>
    <row r="405" spans="1:8">
      <c r="A405" s="959" t="s">
        <v>2988</v>
      </c>
      <c r="B405" s="960" t="s">
        <v>2989</v>
      </c>
      <c r="C405" s="960" t="s">
        <v>4256</v>
      </c>
      <c r="D405" s="960" t="s">
        <v>1904</v>
      </c>
      <c r="E405" s="959">
        <v>0</v>
      </c>
      <c r="F405" s="959">
        <v>0</v>
      </c>
      <c r="G405" s="959">
        <v>0</v>
      </c>
      <c r="H405" s="959">
        <v>1</v>
      </c>
    </row>
    <row r="406" spans="1:8">
      <c r="A406" s="959" t="s">
        <v>2988</v>
      </c>
      <c r="B406" s="960" t="s">
        <v>2989</v>
      </c>
      <c r="C406" s="960" t="s">
        <v>4256</v>
      </c>
      <c r="D406" s="960" t="s">
        <v>4259</v>
      </c>
      <c r="E406" s="959">
        <v>0</v>
      </c>
      <c r="F406" s="959">
        <v>1</v>
      </c>
      <c r="G406" s="959">
        <v>0</v>
      </c>
      <c r="H406" s="959">
        <v>0</v>
      </c>
    </row>
    <row r="407" spans="1:8">
      <c r="A407" s="959" t="s">
        <v>2988</v>
      </c>
      <c r="B407" s="960" t="s">
        <v>2989</v>
      </c>
      <c r="C407" s="960" t="s">
        <v>4256</v>
      </c>
      <c r="D407" s="960" t="s">
        <v>1906</v>
      </c>
      <c r="E407" s="959">
        <v>2</v>
      </c>
      <c r="F407" s="959">
        <v>27</v>
      </c>
      <c r="G407" s="959">
        <v>0</v>
      </c>
      <c r="H407" s="959">
        <v>1</v>
      </c>
    </row>
    <row r="408" spans="1:8">
      <c r="A408" s="959" t="s">
        <v>2988</v>
      </c>
      <c r="B408" s="960" t="s">
        <v>2989</v>
      </c>
      <c r="C408" s="960" t="s">
        <v>4256</v>
      </c>
      <c r="D408" s="960" t="s">
        <v>4264</v>
      </c>
      <c r="E408" s="959">
        <v>0</v>
      </c>
      <c r="F408" s="959">
        <v>1</v>
      </c>
      <c r="G408" s="959">
        <v>0</v>
      </c>
      <c r="H408" s="959">
        <v>4</v>
      </c>
    </row>
    <row r="409" spans="1:8">
      <c r="A409" s="959" t="s">
        <v>2988</v>
      </c>
      <c r="B409" s="960" t="s">
        <v>2989</v>
      </c>
      <c r="C409" s="960" t="s">
        <v>4256</v>
      </c>
      <c r="D409" s="960" t="s">
        <v>4274</v>
      </c>
      <c r="E409" s="959">
        <v>0</v>
      </c>
      <c r="F409" s="959">
        <v>2</v>
      </c>
      <c r="G409" s="959">
        <v>1</v>
      </c>
      <c r="H409" s="959">
        <v>10</v>
      </c>
    </row>
    <row r="410" spans="1:8">
      <c r="A410" s="959" t="s">
        <v>2988</v>
      </c>
      <c r="B410" s="960" t="s">
        <v>2989</v>
      </c>
      <c r="C410" s="960" t="s">
        <v>4257</v>
      </c>
      <c r="D410" s="960" t="s">
        <v>4258</v>
      </c>
      <c r="E410" s="959">
        <v>5</v>
      </c>
      <c r="F410" s="959">
        <v>66</v>
      </c>
      <c r="G410" s="959">
        <v>0</v>
      </c>
      <c r="H410" s="959">
        <v>0</v>
      </c>
    </row>
    <row r="411" spans="1:8">
      <c r="A411" s="959" t="s">
        <v>2988</v>
      </c>
      <c r="B411" s="960" t="s">
        <v>2989</v>
      </c>
      <c r="C411" s="960" t="s">
        <v>4262</v>
      </c>
      <c r="D411" s="960" t="s">
        <v>4263</v>
      </c>
      <c r="E411" s="959">
        <v>3</v>
      </c>
      <c r="F411" s="959">
        <v>97</v>
      </c>
      <c r="G411" s="959">
        <v>0</v>
      </c>
      <c r="H411" s="959">
        <v>9</v>
      </c>
    </row>
    <row r="412" spans="1:8">
      <c r="A412" s="959" t="s">
        <v>2990</v>
      </c>
      <c r="B412" s="960" t="s">
        <v>2991</v>
      </c>
      <c r="C412" s="960" t="s">
        <v>4256</v>
      </c>
      <c r="D412" s="960" t="s">
        <v>4259</v>
      </c>
      <c r="E412" s="959">
        <v>0</v>
      </c>
      <c r="F412" s="959">
        <v>0</v>
      </c>
      <c r="G412" s="959">
        <v>10</v>
      </c>
      <c r="H412" s="959">
        <v>19</v>
      </c>
    </row>
    <row r="413" spans="1:8">
      <c r="A413" s="959" t="s">
        <v>2990</v>
      </c>
      <c r="B413" s="960" t="s">
        <v>2991</v>
      </c>
      <c r="C413" s="960" t="s">
        <v>4256</v>
      </c>
      <c r="D413" s="960" t="s">
        <v>4260</v>
      </c>
      <c r="E413" s="959">
        <v>0</v>
      </c>
      <c r="F413" s="959">
        <v>0</v>
      </c>
      <c r="G413" s="959">
        <v>0</v>
      </c>
      <c r="H413" s="959">
        <v>14</v>
      </c>
    </row>
    <row r="414" spans="1:8">
      <c r="A414" s="959" t="s">
        <v>2990</v>
      </c>
      <c r="B414" s="960" t="s">
        <v>2991</v>
      </c>
      <c r="C414" s="960" t="s">
        <v>4256</v>
      </c>
      <c r="D414" s="960" t="s">
        <v>4265</v>
      </c>
      <c r="E414" s="959">
        <v>0</v>
      </c>
      <c r="F414" s="959">
        <v>0</v>
      </c>
      <c r="G414" s="959">
        <v>0</v>
      </c>
      <c r="H414" s="959">
        <v>6</v>
      </c>
    </row>
    <row r="415" spans="1:8">
      <c r="A415" s="959" t="s">
        <v>2990</v>
      </c>
      <c r="B415" s="960" t="s">
        <v>2991</v>
      </c>
      <c r="C415" s="960" t="s">
        <v>4256</v>
      </c>
      <c r="D415" s="960" t="s">
        <v>1906</v>
      </c>
      <c r="E415" s="959">
        <v>27</v>
      </c>
      <c r="F415" s="959">
        <v>364</v>
      </c>
      <c r="G415" s="959">
        <v>7</v>
      </c>
      <c r="H415" s="959">
        <v>87</v>
      </c>
    </row>
    <row r="416" spans="1:8">
      <c r="A416" s="959" t="s">
        <v>2990</v>
      </c>
      <c r="B416" s="960" t="s">
        <v>2991</v>
      </c>
      <c r="C416" s="960" t="s">
        <v>4256</v>
      </c>
      <c r="D416" s="960" t="s">
        <v>4264</v>
      </c>
      <c r="E416" s="959">
        <v>1</v>
      </c>
      <c r="F416" s="959">
        <v>9</v>
      </c>
      <c r="G416" s="959">
        <v>0</v>
      </c>
      <c r="H416" s="959">
        <v>4</v>
      </c>
    </row>
    <row r="417" spans="1:8">
      <c r="A417" s="959" t="s">
        <v>2990</v>
      </c>
      <c r="B417" s="960" t="s">
        <v>2991</v>
      </c>
      <c r="C417" s="960" t="s">
        <v>4256</v>
      </c>
      <c r="D417" s="960" t="s">
        <v>1907</v>
      </c>
      <c r="E417" s="959">
        <v>1</v>
      </c>
      <c r="F417" s="959">
        <v>14</v>
      </c>
      <c r="G417" s="959">
        <v>0</v>
      </c>
      <c r="H417" s="959">
        <v>0</v>
      </c>
    </row>
    <row r="418" spans="1:8">
      <c r="A418" s="959" t="s">
        <v>2990</v>
      </c>
      <c r="B418" s="960" t="s">
        <v>2991</v>
      </c>
      <c r="C418" s="960" t="s">
        <v>4256</v>
      </c>
      <c r="D418" s="960" t="s">
        <v>4261</v>
      </c>
      <c r="E418" s="959">
        <v>0</v>
      </c>
      <c r="F418" s="959">
        <v>0</v>
      </c>
      <c r="G418" s="959">
        <v>0</v>
      </c>
      <c r="H418" s="959">
        <v>9</v>
      </c>
    </row>
    <row r="419" spans="1:8">
      <c r="A419" s="959" t="s">
        <v>2990</v>
      </c>
      <c r="B419" s="960" t="s">
        <v>2991</v>
      </c>
      <c r="C419" s="960" t="s">
        <v>4257</v>
      </c>
      <c r="D419" s="960" t="s">
        <v>4258</v>
      </c>
      <c r="E419" s="959">
        <v>47</v>
      </c>
      <c r="F419" s="959">
        <v>800</v>
      </c>
      <c r="G419" s="959">
        <v>14</v>
      </c>
      <c r="H419" s="959">
        <v>190</v>
      </c>
    </row>
    <row r="420" spans="1:8">
      <c r="A420" s="959" t="s">
        <v>2990</v>
      </c>
      <c r="B420" s="960" t="s">
        <v>2991</v>
      </c>
      <c r="C420" s="960" t="s">
        <v>4262</v>
      </c>
      <c r="D420" s="960" t="s">
        <v>4263</v>
      </c>
      <c r="E420" s="959">
        <v>1</v>
      </c>
      <c r="F420" s="959">
        <v>145</v>
      </c>
      <c r="G420" s="959">
        <v>1</v>
      </c>
      <c r="H420" s="959">
        <v>27</v>
      </c>
    </row>
    <row r="421" spans="1:8">
      <c r="A421" s="959" t="s">
        <v>2992</v>
      </c>
      <c r="B421" s="960" t="s">
        <v>2993</v>
      </c>
      <c r="C421" s="960" t="s">
        <v>4256</v>
      </c>
      <c r="D421" s="960" t="s">
        <v>1904</v>
      </c>
      <c r="E421" s="959">
        <v>0</v>
      </c>
      <c r="F421" s="959">
        <v>0</v>
      </c>
      <c r="G421" s="959">
        <v>0</v>
      </c>
      <c r="H421" s="959">
        <v>1</v>
      </c>
    </row>
    <row r="422" spans="1:8">
      <c r="A422" s="959" t="s">
        <v>2992</v>
      </c>
      <c r="B422" s="960" t="s">
        <v>2993</v>
      </c>
      <c r="C422" s="960" t="s">
        <v>4256</v>
      </c>
      <c r="D422" s="960" t="s">
        <v>4272</v>
      </c>
      <c r="E422" s="959">
        <v>0</v>
      </c>
      <c r="F422" s="959">
        <v>0</v>
      </c>
      <c r="G422" s="959">
        <v>0</v>
      </c>
      <c r="H422" s="959">
        <v>2</v>
      </c>
    </row>
    <row r="423" spans="1:8">
      <c r="A423" s="959" t="s">
        <v>2992</v>
      </c>
      <c r="B423" s="960" t="s">
        <v>2993</v>
      </c>
      <c r="C423" s="960" t="s">
        <v>4256</v>
      </c>
      <c r="D423" s="960" t="s">
        <v>1906</v>
      </c>
      <c r="E423" s="959">
        <v>8</v>
      </c>
      <c r="F423" s="959">
        <v>107</v>
      </c>
      <c r="G423" s="959">
        <v>2</v>
      </c>
      <c r="H423" s="959">
        <v>30</v>
      </c>
    </row>
    <row r="424" spans="1:8">
      <c r="A424" s="959" t="s">
        <v>2992</v>
      </c>
      <c r="B424" s="960" t="s">
        <v>2993</v>
      </c>
      <c r="C424" s="960" t="s">
        <v>4256</v>
      </c>
      <c r="D424" s="960" t="s">
        <v>4261</v>
      </c>
      <c r="E424" s="959">
        <v>0</v>
      </c>
      <c r="F424" s="959">
        <v>0</v>
      </c>
      <c r="G424" s="959">
        <v>0</v>
      </c>
      <c r="H424" s="959">
        <v>4</v>
      </c>
    </row>
    <row r="425" spans="1:8">
      <c r="A425" s="959" t="s">
        <v>2992</v>
      </c>
      <c r="B425" s="960" t="s">
        <v>2993</v>
      </c>
      <c r="C425" s="960" t="s">
        <v>4257</v>
      </c>
      <c r="D425" s="960" t="s">
        <v>4258</v>
      </c>
      <c r="E425" s="959">
        <v>51</v>
      </c>
      <c r="F425" s="959">
        <v>222</v>
      </c>
      <c r="G425" s="959">
        <v>14</v>
      </c>
      <c r="H425" s="959">
        <v>51</v>
      </c>
    </row>
    <row r="426" spans="1:8">
      <c r="A426" s="959" t="s">
        <v>2994</v>
      </c>
      <c r="B426" s="960" t="s">
        <v>2995</v>
      </c>
      <c r="C426" s="960" t="s">
        <v>4256</v>
      </c>
      <c r="D426" s="960" t="s">
        <v>1906</v>
      </c>
      <c r="E426" s="959">
        <v>19</v>
      </c>
      <c r="F426" s="959">
        <v>248</v>
      </c>
      <c r="G426" s="959">
        <v>0</v>
      </c>
      <c r="H426" s="959">
        <v>0</v>
      </c>
    </row>
    <row r="427" spans="1:8">
      <c r="A427" s="959" t="s">
        <v>2994</v>
      </c>
      <c r="B427" s="960" t="s">
        <v>2995</v>
      </c>
      <c r="C427" s="960" t="s">
        <v>4256</v>
      </c>
      <c r="D427" s="960" t="s">
        <v>4264</v>
      </c>
      <c r="E427" s="959">
        <v>0</v>
      </c>
      <c r="F427" s="959">
        <v>1</v>
      </c>
      <c r="G427" s="959">
        <v>0</v>
      </c>
      <c r="H427" s="959">
        <v>0</v>
      </c>
    </row>
    <row r="428" spans="1:8">
      <c r="A428" s="959" t="s">
        <v>2994</v>
      </c>
      <c r="B428" s="960" t="s">
        <v>2995</v>
      </c>
      <c r="C428" s="960" t="s">
        <v>4257</v>
      </c>
      <c r="D428" s="960" t="s">
        <v>4258</v>
      </c>
      <c r="E428" s="959">
        <v>9</v>
      </c>
      <c r="F428" s="959">
        <v>117</v>
      </c>
      <c r="G428" s="959">
        <v>0</v>
      </c>
      <c r="H428" s="959">
        <v>0</v>
      </c>
    </row>
    <row r="429" spans="1:8">
      <c r="A429" s="959" t="s">
        <v>2997</v>
      </c>
      <c r="B429" s="960" t="s">
        <v>781</v>
      </c>
      <c r="C429" s="960" t="s">
        <v>4257</v>
      </c>
      <c r="D429" s="960" t="s">
        <v>4258</v>
      </c>
      <c r="E429" s="959">
        <v>0</v>
      </c>
      <c r="F429" s="959">
        <v>1</v>
      </c>
      <c r="G429" s="959">
        <v>0</v>
      </c>
      <c r="H429" s="959">
        <v>5</v>
      </c>
    </row>
    <row r="430" spans="1:8">
      <c r="A430" s="959" t="s">
        <v>2997</v>
      </c>
      <c r="B430" s="960" t="s">
        <v>781</v>
      </c>
      <c r="C430" s="960" t="s">
        <v>4262</v>
      </c>
      <c r="D430" s="960" t="s">
        <v>4263</v>
      </c>
      <c r="E430" s="959">
        <v>2</v>
      </c>
      <c r="F430" s="959">
        <v>32</v>
      </c>
      <c r="G430" s="959">
        <v>0</v>
      </c>
      <c r="H430" s="959">
        <v>2</v>
      </c>
    </row>
    <row r="431" spans="1:8">
      <c r="A431" s="959" t="s">
        <v>2998</v>
      </c>
      <c r="B431" s="960" t="s">
        <v>2999</v>
      </c>
      <c r="C431" s="960" t="s">
        <v>4257</v>
      </c>
      <c r="D431" s="960" t="s">
        <v>4258</v>
      </c>
      <c r="E431" s="959">
        <v>1</v>
      </c>
      <c r="F431" s="959">
        <v>34</v>
      </c>
      <c r="G431" s="959">
        <v>0</v>
      </c>
      <c r="H431" s="959">
        <v>0</v>
      </c>
    </row>
    <row r="432" spans="1:8">
      <c r="A432" s="959" t="s">
        <v>3000</v>
      </c>
      <c r="B432" s="960" t="s">
        <v>787</v>
      </c>
      <c r="C432" s="960" t="s">
        <v>4256</v>
      </c>
      <c r="D432" s="960" t="s">
        <v>470</v>
      </c>
      <c r="E432" s="959">
        <v>0</v>
      </c>
      <c r="F432" s="959">
        <v>1</v>
      </c>
      <c r="G432" s="959">
        <v>0</v>
      </c>
      <c r="H432" s="959">
        <v>1</v>
      </c>
    </row>
    <row r="433" spans="1:8">
      <c r="A433" s="959" t="s">
        <v>3000</v>
      </c>
      <c r="B433" s="960" t="s">
        <v>787</v>
      </c>
      <c r="C433" s="960" t="s">
        <v>4256</v>
      </c>
      <c r="D433" s="960" t="s">
        <v>4270</v>
      </c>
      <c r="E433" s="959">
        <v>0</v>
      </c>
      <c r="F433" s="959">
        <v>1</v>
      </c>
      <c r="G433" s="959">
        <v>0</v>
      </c>
      <c r="H433" s="959">
        <v>1</v>
      </c>
    </row>
    <row r="434" spans="1:8">
      <c r="A434" s="959" t="s">
        <v>3000</v>
      </c>
      <c r="B434" s="960" t="s">
        <v>787</v>
      </c>
      <c r="C434" s="960" t="s">
        <v>4256</v>
      </c>
      <c r="D434" s="960" t="s">
        <v>4259</v>
      </c>
      <c r="E434" s="959">
        <v>0</v>
      </c>
      <c r="F434" s="959">
        <v>1</v>
      </c>
      <c r="G434" s="959">
        <v>0</v>
      </c>
      <c r="H434" s="959">
        <v>3</v>
      </c>
    </row>
    <row r="435" spans="1:8">
      <c r="A435" s="959" t="s">
        <v>3000</v>
      </c>
      <c r="B435" s="960" t="s">
        <v>787</v>
      </c>
      <c r="C435" s="960" t="s">
        <v>4256</v>
      </c>
      <c r="D435" s="960" t="s">
        <v>4260</v>
      </c>
      <c r="E435" s="959">
        <v>1</v>
      </c>
      <c r="F435" s="959">
        <v>16</v>
      </c>
      <c r="G435" s="959">
        <v>2</v>
      </c>
      <c r="H435" s="959">
        <v>13</v>
      </c>
    </row>
    <row r="436" spans="1:8">
      <c r="A436" s="959" t="s">
        <v>3000</v>
      </c>
      <c r="B436" s="960" t="s">
        <v>787</v>
      </c>
      <c r="C436" s="960" t="s">
        <v>4256</v>
      </c>
      <c r="D436" s="960" t="s">
        <v>4265</v>
      </c>
      <c r="E436" s="959">
        <v>0</v>
      </c>
      <c r="F436" s="959">
        <v>0</v>
      </c>
      <c r="G436" s="959">
        <v>0</v>
      </c>
      <c r="H436" s="959">
        <v>1</v>
      </c>
    </row>
    <row r="437" spans="1:8">
      <c r="A437" s="959" t="s">
        <v>3000</v>
      </c>
      <c r="B437" s="960" t="s">
        <v>787</v>
      </c>
      <c r="C437" s="960" t="s">
        <v>4256</v>
      </c>
      <c r="D437" s="960" t="s">
        <v>1906</v>
      </c>
      <c r="E437" s="959">
        <v>0</v>
      </c>
      <c r="F437" s="959">
        <v>2</v>
      </c>
      <c r="G437" s="959">
        <v>0</v>
      </c>
      <c r="H437" s="959">
        <v>0</v>
      </c>
    </row>
    <row r="438" spans="1:8">
      <c r="A438" s="959" t="s">
        <v>3000</v>
      </c>
      <c r="B438" s="960" t="s">
        <v>787</v>
      </c>
      <c r="C438" s="960" t="s">
        <v>4256</v>
      </c>
      <c r="D438" s="961" t="s">
        <v>4266</v>
      </c>
      <c r="E438" s="959">
        <v>0</v>
      </c>
      <c r="F438" s="959">
        <v>3</v>
      </c>
      <c r="G438" s="959">
        <v>0</v>
      </c>
      <c r="H438" s="959">
        <v>0</v>
      </c>
    </row>
    <row r="439" spans="1:8">
      <c r="A439" s="959" t="s">
        <v>3000</v>
      </c>
      <c r="B439" s="960" t="s">
        <v>787</v>
      </c>
      <c r="C439" s="960" t="s">
        <v>4257</v>
      </c>
      <c r="D439" s="960" t="s">
        <v>4258</v>
      </c>
      <c r="E439" s="959">
        <v>1</v>
      </c>
      <c r="F439" s="959">
        <v>16</v>
      </c>
      <c r="G439" s="959">
        <v>5</v>
      </c>
      <c r="H439" s="959">
        <v>68</v>
      </c>
    </row>
    <row r="440" spans="1:8">
      <c r="A440" s="959" t="s">
        <v>3000</v>
      </c>
      <c r="B440" s="960" t="s">
        <v>787</v>
      </c>
      <c r="C440" s="960" t="s">
        <v>4262</v>
      </c>
      <c r="D440" s="960" t="s">
        <v>4263</v>
      </c>
      <c r="E440" s="959">
        <v>21</v>
      </c>
      <c r="F440" s="959">
        <v>921</v>
      </c>
      <c r="G440" s="959">
        <v>0</v>
      </c>
      <c r="H440" s="959">
        <v>0</v>
      </c>
    </row>
    <row r="441" spans="1:8">
      <c r="A441" s="959" t="s">
        <v>3001</v>
      </c>
      <c r="B441" s="960" t="s">
        <v>335</v>
      </c>
      <c r="C441" s="960" t="s">
        <v>4262</v>
      </c>
      <c r="D441" s="960" t="s">
        <v>4263</v>
      </c>
      <c r="E441" s="959">
        <v>0</v>
      </c>
      <c r="F441" s="959">
        <v>1</v>
      </c>
      <c r="G441" s="959">
        <v>0</v>
      </c>
      <c r="H441" s="959">
        <v>0</v>
      </c>
    </row>
    <row r="442" spans="1:8">
      <c r="A442" s="959" t="s">
        <v>3004</v>
      </c>
      <c r="B442" s="960" t="s">
        <v>3005</v>
      </c>
      <c r="C442" s="960" t="s">
        <v>4256</v>
      </c>
      <c r="D442" s="960" t="s">
        <v>470</v>
      </c>
      <c r="E442" s="959">
        <v>0</v>
      </c>
      <c r="F442" s="959">
        <v>0</v>
      </c>
      <c r="G442" s="959">
        <v>2</v>
      </c>
      <c r="H442" s="959">
        <v>62</v>
      </c>
    </row>
    <row r="443" spans="1:8">
      <c r="A443" s="959" t="s">
        <v>3004</v>
      </c>
      <c r="B443" s="960" t="s">
        <v>3005</v>
      </c>
      <c r="C443" s="960" t="s">
        <v>4256</v>
      </c>
      <c r="D443" s="960" t="s">
        <v>1904</v>
      </c>
      <c r="E443" s="959">
        <v>0</v>
      </c>
      <c r="F443" s="959">
        <v>0</v>
      </c>
      <c r="G443" s="959">
        <v>10</v>
      </c>
      <c r="H443" s="959">
        <v>75</v>
      </c>
    </row>
    <row r="444" spans="1:8">
      <c r="A444" s="959" t="s">
        <v>3004</v>
      </c>
      <c r="B444" s="960" t="s">
        <v>3005</v>
      </c>
      <c r="C444" s="960" t="s">
        <v>4256</v>
      </c>
      <c r="D444" s="960" t="s">
        <v>4270</v>
      </c>
      <c r="E444" s="959">
        <v>0</v>
      </c>
      <c r="F444" s="959">
        <v>0</v>
      </c>
      <c r="G444" s="959">
        <v>0</v>
      </c>
      <c r="H444" s="959">
        <v>1</v>
      </c>
    </row>
    <row r="445" spans="1:8">
      <c r="A445" s="959" t="s">
        <v>3004</v>
      </c>
      <c r="B445" s="960" t="s">
        <v>3005</v>
      </c>
      <c r="C445" s="960" t="s">
        <v>4256</v>
      </c>
      <c r="D445" s="960" t="s">
        <v>4260</v>
      </c>
      <c r="E445" s="959">
        <v>0</v>
      </c>
      <c r="F445" s="959">
        <v>0</v>
      </c>
      <c r="G445" s="959">
        <v>3</v>
      </c>
      <c r="H445" s="959">
        <v>14</v>
      </c>
    </row>
    <row r="446" spans="1:8">
      <c r="A446" s="959" t="s">
        <v>3004</v>
      </c>
      <c r="B446" s="960" t="s">
        <v>3005</v>
      </c>
      <c r="C446" s="960" t="s">
        <v>4256</v>
      </c>
      <c r="D446" s="960" t="s">
        <v>4265</v>
      </c>
      <c r="E446" s="959">
        <v>0</v>
      </c>
      <c r="F446" s="959">
        <v>1</v>
      </c>
      <c r="G446" s="959">
        <v>0</v>
      </c>
      <c r="H446" s="959">
        <v>4</v>
      </c>
    </row>
    <row r="447" spans="1:8">
      <c r="A447" s="959" t="s">
        <v>3004</v>
      </c>
      <c r="B447" s="960" t="s">
        <v>3005</v>
      </c>
      <c r="C447" s="960" t="s">
        <v>4256</v>
      </c>
      <c r="D447" s="960" t="s">
        <v>1906</v>
      </c>
      <c r="E447" s="959">
        <v>1</v>
      </c>
      <c r="F447" s="959">
        <v>18</v>
      </c>
      <c r="G447" s="959">
        <v>0</v>
      </c>
      <c r="H447" s="959">
        <v>5</v>
      </c>
    </row>
    <row r="448" spans="1:8">
      <c r="A448" s="959" t="s">
        <v>3004</v>
      </c>
      <c r="B448" s="960" t="s">
        <v>3005</v>
      </c>
      <c r="C448" s="960" t="s">
        <v>4256</v>
      </c>
      <c r="D448" s="960" t="s">
        <v>4264</v>
      </c>
      <c r="E448" s="959">
        <v>0</v>
      </c>
      <c r="F448" s="959">
        <v>0</v>
      </c>
      <c r="G448" s="959">
        <v>0</v>
      </c>
      <c r="H448" s="959">
        <v>2</v>
      </c>
    </row>
    <row r="449" spans="1:8">
      <c r="A449" s="959" t="s">
        <v>3004</v>
      </c>
      <c r="B449" s="960" t="s">
        <v>3005</v>
      </c>
      <c r="C449" s="960" t="s">
        <v>4256</v>
      </c>
      <c r="D449" s="960" t="s">
        <v>4261</v>
      </c>
      <c r="E449" s="959">
        <v>0</v>
      </c>
      <c r="F449" s="959">
        <v>0</v>
      </c>
      <c r="G449" s="959">
        <v>0</v>
      </c>
      <c r="H449" s="959">
        <v>10</v>
      </c>
    </row>
    <row r="450" spans="1:8">
      <c r="A450" s="959" t="s">
        <v>3004</v>
      </c>
      <c r="B450" s="960" t="s">
        <v>3005</v>
      </c>
      <c r="C450" s="960" t="s">
        <v>4257</v>
      </c>
      <c r="D450" s="960" t="s">
        <v>4258</v>
      </c>
      <c r="E450" s="959">
        <v>4</v>
      </c>
      <c r="F450" s="959">
        <v>48</v>
      </c>
      <c r="G450" s="959">
        <v>3</v>
      </c>
      <c r="H450" s="959">
        <v>44</v>
      </c>
    </row>
    <row r="451" spans="1:8">
      <c r="A451" s="959" t="s">
        <v>3004</v>
      </c>
      <c r="B451" s="960" t="s">
        <v>3005</v>
      </c>
      <c r="C451" s="960" t="s">
        <v>4262</v>
      </c>
      <c r="D451" s="960" t="s">
        <v>4263</v>
      </c>
      <c r="E451" s="959">
        <v>1</v>
      </c>
      <c r="F451" s="959">
        <v>6</v>
      </c>
      <c r="G451" s="959">
        <v>3</v>
      </c>
      <c r="H451" s="959">
        <v>68</v>
      </c>
    </row>
    <row r="452" spans="1:8">
      <c r="A452" s="959" t="s">
        <v>3004</v>
      </c>
      <c r="B452" s="960" t="s">
        <v>3005</v>
      </c>
      <c r="C452" s="960" t="s">
        <v>4267</v>
      </c>
      <c r="D452" s="960" t="s">
        <v>4268</v>
      </c>
      <c r="E452" s="959">
        <v>0</v>
      </c>
      <c r="F452" s="959">
        <v>0</v>
      </c>
      <c r="G452" s="959">
        <v>0</v>
      </c>
      <c r="H452" s="959">
        <v>15</v>
      </c>
    </row>
    <row r="453" spans="1:8">
      <c r="A453" s="959" t="s">
        <v>3006</v>
      </c>
      <c r="B453" s="960" t="s">
        <v>812</v>
      </c>
      <c r="C453" s="960" t="s">
        <v>4257</v>
      </c>
      <c r="D453" s="960" t="s">
        <v>4258</v>
      </c>
      <c r="E453" s="959">
        <v>0</v>
      </c>
      <c r="F453" s="959">
        <v>1</v>
      </c>
      <c r="G453" s="959">
        <v>0</v>
      </c>
      <c r="H453" s="959">
        <v>0</v>
      </c>
    </row>
    <row r="454" spans="1:8">
      <c r="A454" s="959" t="s">
        <v>3007</v>
      </c>
      <c r="B454" s="960" t="s">
        <v>817</v>
      </c>
      <c r="C454" s="960" t="s">
        <v>4262</v>
      </c>
      <c r="D454" s="960" t="s">
        <v>4263</v>
      </c>
      <c r="E454" s="959">
        <v>0</v>
      </c>
      <c r="F454" s="959">
        <v>4</v>
      </c>
      <c r="G454" s="959">
        <v>0</v>
      </c>
      <c r="H454" s="959">
        <v>0</v>
      </c>
    </row>
    <row r="455" spans="1:8">
      <c r="A455" s="959" t="s">
        <v>3008</v>
      </c>
      <c r="B455" s="960" t="s">
        <v>3009</v>
      </c>
      <c r="C455" s="960" t="s">
        <v>4275</v>
      </c>
      <c r="D455" s="960" t="s">
        <v>4276</v>
      </c>
      <c r="E455" s="959">
        <v>0</v>
      </c>
      <c r="F455" s="959">
        <v>1</v>
      </c>
      <c r="G455" s="959">
        <v>0</v>
      </c>
      <c r="H455" s="959">
        <v>0</v>
      </c>
    </row>
    <row r="456" spans="1:8">
      <c r="A456" s="959" t="s">
        <v>3008</v>
      </c>
      <c r="B456" s="960" t="s">
        <v>3009</v>
      </c>
      <c r="C456" s="960" t="s">
        <v>4256</v>
      </c>
      <c r="D456" s="960" t="s">
        <v>1906</v>
      </c>
      <c r="E456" s="959">
        <v>0</v>
      </c>
      <c r="F456" s="959">
        <v>5</v>
      </c>
      <c r="G456" s="959">
        <v>0</v>
      </c>
      <c r="H456" s="959">
        <v>0</v>
      </c>
    </row>
    <row r="457" spans="1:8">
      <c r="A457" s="959" t="s">
        <v>3008</v>
      </c>
      <c r="B457" s="960" t="s">
        <v>3009</v>
      </c>
      <c r="C457" s="960" t="s">
        <v>4257</v>
      </c>
      <c r="D457" s="960" t="s">
        <v>4258</v>
      </c>
      <c r="E457" s="959">
        <v>3</v>
      </c>
      <c r="F457" s="959">
        <v>79</v>
      </c>
      <c r="G457" s="959">
        <v>0</v>
      </c>
      <c r="H457" s="959">
        <v>3</v>
      </c>
    </row>
    <row r="458" spans="1:8">
      <c r="A458" s="959" t="s">
        <v>3008</v>
      </c>
      <c r="B458" s="960" t="s">
        <v>3009</v>
      </c>
      <c r="C458" s="960" t="s">
        <v>4262</v>
      </c>
      <c r="D458" s="960" t="s">
        <v>4263</v>
      </c>
      <c r="E458" s="959">
        <v>26</v>
      </c>
      <c r="F458" s="959">
        <v>390</v>
      </c>
      <c r="G458" s="959">
        <v>0</v>
      </c>
      <c r="H458" s="959">
        <v>5</v>
      </c>
    </row>
    <row r="459" spans="1:8">
      <c r="A459" s="959" t="s">
        <v>3008</v>
      </c>
      <c r="B459" s="960" t="s">
        <v>3009</v>
      </c>
      <c r="C459" s="960" t="s">
        <v>4267</v>
      </c>
      <c r="D459" s="960" t="s">
        <v>4268</v>
      </c>
      <c r="E459" s="959">
        <v>0</v>
      </c>
      <c r="F459" s="959">
        <v>0</v>
      </c>
      <c r="G459" s="959">
        <v>0</v>
      </c>
      <c r="H459" s="959">
        <v>5</v>
      </c>
    </row>
    <row r="460" spans="1:8">
      <c r="A460" s="959" t="s">
        <v>3010</v>
      </c>
      <c r="B460" s="960" t="s">
        <v>3011</v>
      </c>
      <c r="C460" s="960" t="s">
        <v>4257</v>
      </c>
      <c r="D460" s="960" t="s">
        <v>4258</v>
      </c>
      <c r="E460" s="959">
        <v>0</v>
      </c>
      <c r="F460" s="959">
        <v>1</v>
      </c>
      <c r="G460" s="959">
        <v>0</v>
      </c>
      <c r="H460" s="959">
        <v>0</v>
      </c>
    </row>
    <row r="461" spans="1:8">
      <c r="A461" s="959" t="s">
        <v>3012</v>
      </c>
      <c r="B461" s="960" t="s">
        <v>3013</v>
      </c>
      <c r="C461" s="960" t="s">
        <v>4256</v>
      </c>
      <c r="D461" s="960" t="s">
        <v>470</v>
      </c>
      <c r="E461" s="959">
        <v>0</v>
      </c>
      <c r="F461" s="959">
        <v>0</v>
      </c>
      <c r="G461" s="959">
        <v>6</v>
      </c>
      <c r="H461" s="959">
        <v>158</v>
      </c>
    </row>
    <row r="462" spans="1:8">
      <c r="A462" s="959" t="s">
        <v>3012</v>
      </c>
      <c r="B462" s="960" t="s">
        <v>3013</v>
      </c>
      <c r="C462" s="960" t="s">
        <v>4256</v>
      </c>
      <c r="D462" s="960" t="s">
        <v>1904</v>
      </c>
      <c r="E462" s="959">
        <v>0</v>
      </c>
      <c r="F462" s="959">
        <v>0</v>
      </c>
      <c r="G462" s="959">
        <v>1</v>
      </c>
      <c r="H462" s="959">
        <v>54</v>
      </c>
    </row>
    <row r="463" spans="1:8">
      <c r="A463" s="959" t="s">
        <v>3012</v>
      </c>
      <c r="B463" s="960" t="s">
        <v>3013</v>
      </c>
      <c r="C463" s="960" t="s">
        <v>4256</v>
      </c>
      <c r="D463" s="960" t="s">
        <v>4260</v>
      </c>
      <c r="E463" s="959">
        <v>0</v>
      </c>
      <c r="F463" s="959">
        <v>0</v>
      </c>
      <c r="G463" s="959">
        <v>0</v>
      </c>
      <c r="H463" s="959">
        <v>3</v>
      </c>
    </row>
    <row r="464" spans="1:8">
      <c r="A464" s="959" t="s">
        <v>3012</v>
      </c>
      <c r="B464" s="960" t="s">
        <v>3013</v>
      </c>
      <c r="C464" s="960" t="s">
        <v>4256</v>
      </c>
      <c r="D464" s="960" t="s">
        <v>1906</v>
      </c>
      <c r="E464" s="959">
        <v>0</v>
      </c>
      <c r="F464" s="959">
        <v>2</v>
      </c>
      <c r="G464" s="959">
        <v>0</v>
      </c>
      <c r="H464" s="959">
        <v>5</v>
      </c>
    </row>
    <row r="465" spans="1:8">
      <c r="A465" s="959" t="s">
        <v>3012</v>
      </c>
      <c r="B465" s="960" t="s">
        <v>3013</v>
      </c>
      <c r="C465" s="960" t="s">
        <v>4256</v>
      </c>
      <c r="D465" s="960" t="s">
        <v>4261</v>
      </c>
      <c r="E465" s="959">
        <v>0</v>
      </c>
      <c r="F465" s="959">
        <v>0</v>
      </c>
      <c r="G465" s="959">
        <v>0</v>
      </c>
      <c r="H465" s="959">
        <v>2</v>
      </c>
    </row>
    <row r="466" spans="1:8">
      <c r="A466" s="959" t="s">
        <v>3012</v>
      </c>
      <c r="B466" s="960" t="s">
        <v>3013</v>
      </c>
      <c r="C466" s="960" t="s">
        <v>4267</v>
      </c>
      <c r="D466" s="960" t="s">
        <v>4268</v>
      </c>
      <c r="E466" s="959">
        <v>0</v>
      </c>
      <c r="F466" s="959">
        <v>0</v>
      </c>
      <c r="G466" s="959">
        <v>0</v>
      </c>
      <c r="H466" s="959">
        <v>11</v>
      </c>
    </row>
    <row r="467" spans="1:8">
      <c r="A467" s="959" t="s">
        <v>3014</v>
      </c>
      <c r="B467" s="960" t="s">
        <v>3015</v>
      </c>
      <c r="C467" s="960" t="s">
        <v>4256</v>
      </c>
      <c r="D467" s="960" t="s">
        <v>1906</v>
      </c>
      <c r="E467" s="959">
        <v>10</v>
      </c>
      <c r="F467" s="959">
        <v>53</v>
      </c>
      <c r="G467" s="959">
        <v>0</v>
      </c>
      <c r="H467" s="959">
        <v>0</v>
      </c>
    </row>
    <row r="468" spans="1:8">
      <c r="A468" s="959" t="s">
        <v>3014</v>
      </c>
      <c r="B468" s="960" t="s">
        <v>3015</v>
      </c>
      <c r="C468" s="960" t="s">
        <v>4256</v>
      </c>
      <c r="D468" s="960" t="s">
        <v>1907</v>
      </c>
      <c r="E468" s="959">
        <v>0</v>
      </c>
      <c r="F468" s="959">
        <v>1</v>
      </c>
      <c r="G468" s="959">
        <v>0</v>
      </c>
      <c r="H468" s="959">
        <v>0</v>
      </c>
    </row>
    <row r="469" spans="1:8">
      <c r="A469" s="959" t="s">
        <v>3014</v>
      </c>
      <c r="B469" s="960" t="s">
        <v>3015</v>
      </c>
      <c r="C469" s="960" t="s">
        <v>4257</v>
      </c>
      <c r="D469" s="960" t="s">
        <v>4258</v>
      </c>
      <c r="E469" s="959">
        <v>2</v>
      </c>
      <c r="F469" s="959">
        <v>31</v>
      </c>
      <c r="G469" s="959">
        <v>0</v>
      </c>
      <c r="H469" s="959">
        <v>0</v>
      </c>
    </row>
    <row r="470" spans="1:8">
      <c r="A470" s="959" t="s">
        <v>3014</v>
      </c>
      <c r="B470" s="960" t="s">
        <v>3015</v>
      </c>
      <c r="C470" s="960" t="s">
        <v>4262</v>
      </c>
      <c r="D470" s="960" t="s">
        <v>4263</v>
      </c>
      <c r="E470" s="959">
        <v>27</v>
      </c>
      <c r="F470" s="959">
        <v>567</v>
      </c>
      <c r="G470" s="959">
        <v>0</v>
      </c>
      <c r="H470" s="959">
        <v>0</v>
      </c>
    </row>
    <row r="471" spans="1:8">
      <c r="A471" s="959" t="s">
        <v>3016</v>
      </c>
      <c r="B471" s="960" t="s">
        <v>1572</v>
      </c>
      <c r="C471" s="960" t="s">
        <v>4256</v>
      </c>
      <c r="D471" s="960" t="s">
        <v>1906</v>
      </c>
      <c r="E471" s="959">
        <v>0</v>
      </c>
      <c r="F471" s="959">
        <v>1</v>
      </c>
      <c r="G471" s="959">
        <v>0</v>
      </c>
      <c r="H471" s="959">
        <v>0</v>
      </c>
    </row>
    <row r="472" spans="1:8">
      <c r="A472" s="959" t="s">
        <v>3017</v>
      </c>
      <c r="B472" s="960" t="s">
        <v>331</v>
      </c>
      <c r="C472" s="960" t="s">
        <v>4277</v>
      </c>
      <c r="D472" s="960" t="s">
        <v>4279</v>
      </c>
      <c r="E472" s="959">
        <v>0</v>
      </c>
      <c r="F472" s="959">
        <v>0</v>
      </c>
      <c r="G472" s="959">
        <v>0</v>
      </c>
      <c r="H472" s="959">
        <v>1</v>
      </c>
    </row>
    <row r="473" spans="1:8">
      <c r="A473" s="959" t="s">
        <v>3017</v>
      </c>
      <c r="B473" s="960" t="s">
        <v>331</v>
      </c>
      <c r="C473" s="960" t="s">
        <v>4262</v>
      </c>
      <c r="D473" s="960" t="s">
        <v>4263</v>
      </c>
      <c r="E473" s="959">
        <v>0</v>
      </c>
      <c r="F473" s="959">
        <v>2</v>
      </c>
      <c r="G473" s="959">
        <v>0</v>
      </c>
      <c r="H473" s="959">
        <v>0</v>
      </c>
    </row>
    <row r="474" spans="1:8">
      <c r="A474" s="959" t="s">
        <v>3017</v>
      </c>
      <c r="B474" s="960" t="s">
        <v>331</v>
      </c>
      <c r="C474" s="960" t="s">
        <v>4267</v>
      </c>
      <c r="D474" s="960" t="s">
        <v>4268</v>
      </c>
      <c r="E474" s="959">
        <v>0</v>
      </c>
      <c r="F474" s="959">
        <v>0</v>
      </c>
      <c r="G474" s="959">
        <v>0</v>
      </c>
      <c r="H474" s="959">
        <v>1</v>
      </c>
    </row>
    <row r="475" spans="1:8">
      <c r="A475" s="959" t="s">
        <v>3018</v>
      </c>
      <c r="B475" s="960" t="s">
        <v>3019</v>
      </c>
      <c r="C475" s="960" t="s">
        <v>4256</v>
      </c>
      <c r="D475" s="960" t="s">
        <v>1906</v>
      </c>
      <c r="E475" s="959">
        <v>0</v>
      </c>
      <c r="F475" s="959">
        <v>2</v>
      </c>
      <c r="G475" s="959">
        <v>0</v>
      </c>
      <c r="H475" s="959">
        <v>0</v>
      </c>
    </row>
    <row r="476" spans="1:8">
      <c r="A476" s="959" t="s">
        <v>3018</v>
      </c>
      <c r="B476" s="960" t="s">
        <v>3019</v>
      </c>
      <c r="C476" s="960" t="s">
        <v>4257</v>
      </c>
      <c r="D476" s="960" t="s">
        <v>4258</v>
      </c>
      <c r="E476" s="959">
        <v>1</v>
      </c>
      <c r="F476" s="959">
        <v>13</v>
      </c>
      <c r="G476" s="959">
        <v>0</v>
      </c>
      <c r="H476" s="959">
        <v>0</v>
      </c>
    </row>
    <row r="477" spans="1:8">
      <c r="A477" s="959" t="s">
        <v>3018</v>
      </c>
      <c r="B477" s="960" t="s">
        <v>3019</v>
      </c>
      <c r="C477" s="960" t="s">
        <v>4262</v>
      </c>
      <c r="D477" s="960" t="s">
        <v>4263</v>
      </c>
      <c r="E477" s="959">
        <v>0</v>
      </c>
      <c r="F477" s="959">
        <v>2</v>
      </c>
      <c r="G477" s="959">
        <v>0</v>
      </c>
      <c r="H477" s="959">
        <v>0</v>
      </c>
    </row>
    <row r="478" spans="1:8">
      <c r="A478" s="959" t="s">
        <v>3020</v>
      </c>
      <c r="B478" s="960" t="s">
        <v>3021</v>
      </c>
      <c r="C478" s="960" t="s">
        <v>4257</v>
      </c>
      <c r="D478" s="960" t="s">
        <v>4258</v>
      </c>
      <c r="E478" s="959">
        <v>0</v>
      </c>
      <c r="F478" s="959">
        <v>6</v>
      </c>
      <c r="G478" s="959">
        <v>0</v>
      </c>
      <c r="H478" s="959">
        <v>1</v>
      </c>
    </row>
    <row r="479" spans="1:8">
      <c r="A479" s="959" t="s">
        <v>3020</v>
      </c>
      <c r="B479" s="960" t="s">
        <v>3021</v>
      </c>
      <c r="C479" s="960" t="s">
        <v>4267</v>
      </c>
      <c r="D479" s="960" t="s">
        <v>4268</v>
      </c>
      <c r="E479" s="959">
        <v>0</v>
      </c>
      <c r="F479" s="959">
        <v>0</v>
      </c>
      <c r="G479" s="959">
        <v>0</v>
      </c>
      <c r="H479" s="959">
        <v>50</v>
      </c>
    </row>
    <row r="480" spans="1:8">
      <c r="A480" s="959" t="s">
        <v>3022</v>
      </c>
      <c r="B480" s="960" t="s">
        <v>3023</v>
      </c>
      <c r="C480" s="960" t="s">
        <v>4256</v>
      </c>
      <c r="D480" s="960" t="s">
        <v>1906</v>
      </c>
      <c r="E480" s="959">
        <v>0</v>
      </c>
      <c r="F480" s="959">
        <v>1</v>
      </c>
      <c r="G480" s="959">
        <v>0</v>
      </c>
      <c r="H480" s="959">
        <v>0</v>
      </c>
    </row>
    <row r="481" spans="1:8">
      <c r="A481" s="959" t="s">
        <v>3022</v>
      </c>
      <c r="B481" s="960" t="s">
        <v>3023</v>
      </c>
      <c r="C481" s="960" t="s">
        <v>4262</v>
      </c>
      <c r="D481" s="960" t="s">
        <v>4263</v>
      </c>
      <c r="E481" s="959">
        <v>0</v>
      </c>
      <c r="F481" s="959">
        <v>1</v>
      </c>
      <c r="G481" s="959">
        <v>0</v>
      </c>
      <c r="H481" s="959">
        <v>0</v>
      </c>
    </row>
    <row r="482" spans="1:8">
      <c r="A482" s="959" t="s">
        <v>3024</v>
      </c>
      <c r="B482" s="960" t="s">
        <v>3025</v>
      </c>
      <c r="C482" s="960" t="s">
        <v>4277</v>
      </c>
      <c r="D482" s="960" t="s">
        <v>4278</v>
      </c>
      <c r="E482" s="959">
        <v>0</v>
      </c>
      <c r="F482" s="959">
        <v>0</v>
      </c>
      <c r="G482" s="959">
        <v>1</v>
      </c>
      <c r="H482" s="959">
        <v>0</v>
      </c>
    </row>
    <row r="483" spans="1:8">
      <c r="A483" s="959" t="s">
        <v>3024</v>
      </c>
      <c r="B483" s="960" t="s">
        <v>3025</v>
      </c>
      <c r="C483" s="960" t="s">
        <v>4256</v>
      </c>
      <c r="D483" s="960" t="s">
        <v>4259</v>
      </c>
      <c r="E483" s="959">
        <v>0</v>
      </c>
      <c r="F483" s="959">
        <v>0</v>
      </c>
      <c r="G483" s="959">
        <v>2</v>
      </c>
      <c r="H483" s="959">
        <v>11</v>
      </c>
    </row>
    <row r="484" spans="1:8">
      <c r="A484" s="959" t="s">
        <v>3024</v>
      </c>
      <c r="B484" s="960" t="s">
        <v>3025</v>
      </c>
      <c r="C484" s="960" t="s">
        <v>4256</v>
      </c>
      <c r="D484" s="960" t="s">
        <v>4260</v>
      </c>
      <c r="E484" s="959">
        <v>0</v>
      </c>
      <c r="F484" s="959">
        <v>0</v>
      </c>
      <c r="G484" s="959">
        <v>0</v>
      </c>
      <c r="H484" s="959">
        <v>5</v>
      </c>
    </row>
    <row r="485" spans="1:8">
      <c r="A485" s="959" t="s">
        <v>3024</v>
      </c>
      <c r="B485" s="960" t="s">
        <v>3025</v>
      </c>
      <c r="C485" s="960" t="s">
        <v>4256</v>
      </c>
      <c r="D485" s="960" t="s">
        <v>1906</v>
      </c>
      <c r="E485" s="959">
        <v>70</v>
      </c>
      <c r="F485" s="959">
        <v>1326</v>
      </c>
      <c r="G485" s="959">
        <v>14</v>
      </c>
      <c r="H485" s="959">
        <v>182</v>
      </c>
    </row>
    <row r="486" spans="1:8">
      <c r="A486" s="959" t="s">
        <v>3024</v>
      </c>
      <c r="B486" s="960" t="s">
        <v>3025</v>
      </c>
      <c r="C486" s="960" t="s">
        <v>4256</v>
      </c>
      <c r="D486" s="960" t="s">
        <v>4264</v>
      </c>
      <c r="E486" s="959">
        <v>1</v>
      </c>
      <c r="F486" s="959">
        <v>13</v>
      </c>
      <c r="G486" s="959">
        <v>0</v>
      </c>
      <c r="H486" s="959">
        <v>0</v>
      </c>
    </row>
    <row r="487" spans="1:8">
      <c r="A487" s="959" t="s">
        <v>3024</v>
      </c>
      <c r="B487" s="960" t="s">
        <v>3025</v>
      </c>
      <c r="C487" s="960" t="s">
        <v>4256</v>
      </c>
      <c r="D487" s="960" t="s">
        <v>4261</v>
      </c>
      <c r="E487" s="959">
        <v>0</v>
      </c>
      <c r="F487" s="959">
        <v>0</v>
      </c>
      <c r="G487" s="959">
        <v>0</v>
      </c>
      <c r="H487" s="959">
        <v>3</v>
      </c>
    </row>
    <row r="488" spans="1:8">
      <c r="A488" s="959" t="s">
        <v>3024</v>
      </c>
      <c r="B488" s="960" t="s">
        <v>3025</v>
      </c>
      <c r="C488" s="960" t="s">
        <v>4256</v>
      </c>
      <c r="D488" s="960" t="s">
        <v>4274</v>
      </c>
      <c r="E488" s="959">
        <v>0</v>
      </c>
      <c r="F488" s="959">
        <v>0</v>
      </c>
      <c r="G488" s="959">
        <v>5</v>
      </c>
      <c r="H488" s="959">
        <v>0</v>
      </c>
    </row>
    <row r="489" spans="1:8">
      <c r="A489" s="959" t="s">
        <v>3024</v>
      </c>
      <c r="B489" s="960" t="s">
        <v>3025</v>
      </c>
      <c r="C489" s="960" t="s">
        <v>4257</v>
      </c>
      <c r="D489" s="960" t="s">
        <v>4285</v>
      </c>
      <c r="E489" s="959">
        <v>0</v>
      </c>
      <c r="F489" s="959">
        <v>85</v>
      </c>
      <c r="G489" s="959">
        <v>0</v>
      </c>
      <c r="H489" s="959">
        <v>9</v>
      </c>
    </row>
    <row r="490" spans="1:8">
      <c r="A490" s="959" t="s">
        <v>3024</v>
      </c>
      <c r="B490" s="960" t="s">
        <v>3025</v>
      </c>
      <c r="C490" s="960" t="s">
        <v>4257</v>
      </c>
      <c r="D490" s="960" t="s">
        <v>4258</v>
      </c>
      <c r="E490" s="959">
        <v>30</v>
      </c>
      <c r="F490" s="959">
        <v>512</v>
      </c>
      <c r="G490" s="959">
        <v>16</v>
      </c>
      <c r="H490" s="959">
        <v>199</v>
      </c>
    </row>
    <row r="491" spans="1:8">
      <c r="A491" s="959" t="s">
        <v>3024</v>
      </c>
      <c r="B491" s="960" t="s">
        <v>3025</v>
      </c>
      <c r="C491" s="960" t="s">
        <v>4262</v>
      </c>
      <c r="D491" s="960" t="s">
        <v>4263</v>
      </c>
      <c r="E491" s="959">
        <v>111</v>
      </c>
      <c r="F491" s="959">
        <v>2639</v>
      </c>
      <c r="G491" s="959">
        <v>0</v>
      </c>
      <c r="H491" s="959">
        <v>122</v>
      </c>
    </row>
    <row r="492" spans="1:8">
      <c r="A492" s="959" t="s">
        <v>3026</v>
      </c>
      <c r="B492" s="960" t="s">
        <v>825</v>
      </c>
      <c r="C492" s="960" t="s">
        <v>4256</v>
      </c>
      <c r="D492" s="960" t="s">
        <v>470</v>
      </c>
      <c r="E492" s="959">
        <v>0</v>
      </c>
      <c r="F492" s="959">
        <v>0</v>
      </c>
      <c r="G492" s="959">
        <v>0</v>
      </c>
      <c r="H492" s="959">
        <v>1</v>
      </c>
    </row>
    <row r="493" spans="1:8">
      <c r="A493" s="959" t="s">
        <v>3026</v>
      </c>
      <c r="B493" s="960" t="s">
        <v>825</v>
      </c>
      <c r="C493" s="960" t="s">
        <v>4256</v>
      </c>
      <c r="D493" s="960" t="s">
        <v>1904</v>
      </c>
      <c r="E493" s="959">
        <v>0</v>
      </c>
      <c r="F493" s="959">
        <v>0</v>
      </c>
      <c r="G493" s="959">
        <v>0</v>
      </c>
      <c r="H493" s="959">
        <v>1</v>
      </c>
    </row>
    <row r="494" spans="1:8">
      <c r="A494" s="959" t="s">
        <v>3026</v>
      </c>
      <c r="B494" s="960" t="s">
        <v>825</v>
      </c>
      <c r="C494" s="960" t="s">
        <v>4256</v>
      </c>
      <c r="D494" s="960" t="s">
        <v>4259</v>
      </c>
      <c r="E494" s="959">
        <v>0</v>
      </c>
      <c r="F494" s="959">
        <v>1</v>
      </c>
      <c r="G494" s="959">
        <v>0</v>
      </c>
      <c r="H494" s="959">
        <v>13</v>
      </c>
    </row>
    <row r="495" spans="1:8">
      <c r="A495" s="959" t="s">
        <v>3026</v>
      </c>
      <c r="B495" s="960" t="s">
        <v>825</v>
      </c>
      <c r="C495" s="960" t="s">
        <v>4256</v>
      </c>
      <c r="D495" s="960" t="s">
        <v>4260</v>
      </c>
      <c r="E495" s="959">
        <v>0</v>
      </c>
      <c r="F495" s="959">
        <v>2</v>
      </c>
      <c r="G495" s="959">
        <v>0</v>
      </c>
      <c r="H495" s="959">
        <v>1</v>
      </c>
    </row>
    <row r="496" spans="1:8">
      <c r="A496" s="959" t="s">
        <v>3026</v>
      </c>
      <c r="B496" s="960" t="s">
        <v>825</v>
      </c>
      <c r="C496" s="960" t="s">
        <v>4256</v>
      </c>
      <c r="D496" s="960" t="s">
        <v>4265</v>
      </c>
      <c r="E496" s="959">
        <v>0</v>
      </c>
      <c r="F496" s="959">
        <v>0</v>
      </c>
      <c r="G496" s="959">
        <v>0</v>
      </c>
      <c r="H496" s="959">
        <v>1</v>
      </c>
    </row>
    <row r="497" spans="1:8">
      <c r="A497" s="959" t="s">
        <v>3026</v>
      </c>
      <c r="B497" s="960" t="s">
        <v>825</v>
      </c>
      <c r="C497" s="960" t="s">
        <v>4257</v>
      </c>
      <c r="D497" s="960" t="s">
        <v>4258</v>
      </c>
      <c r="E497" s="959">
        <v>0</v>
      </c>
      <c r="F497" s="959">
        <v>1</v>
      </c>
      <c r="G497" s="959">
        <v>0</v>
      </c>
      <c r="H497" s="959">
        <v>0</v>
      </c>
    </row>
    <row r="498" spans="1:8">
      <c r="A498" s="959" t="s">
        <v>3026</v>
      </c>
      <c r="B498" s="960" t="s">
        <v>825</v>
      </c>
      <c r="C498" s="960" t="s">
        <v>4262</v>
      </c>
      <c r="D498" s="960" t="s">
        <v>4263</v>
      </c>
      <c r="E498" s="959">
        <v>0</v>
      </c>
      <c r="F498" s="959">
        <v>39</v>
      </c>
      <c r="G498" s="959">
        <v>0</v>
      </c>
      <c r="H498" s="959">
        <v>0</v>
      </c>
    </row>
    <row r="499" spans="1:8">
      <c r="A499" s="959" t="s">
        <v>3027</v>
      </c>
      <c r="B499" s="960" t="s">
        <v>3028</v>
      </c>
      <c r="C499" s="960" t="s">
        <v>4275</v>
      </c>
      <c r="D499" s="960" t="s">
        <v>4276</v>
      </c>
      <c r="E499" s="959">
        <v>0</v>
      </c>
      <c r="F499" s="959">
        <v>1</v>
      </c>
      <c r="G499" s="959">
        <v>0</v>
      </c>
      <c r="H499" s="959">
        <v>0</v>
      </c>
    </row>
    <row r="500" spans="1:8">
      <c r="A500" s="959" t="s">
        <v>3027</v>
      </c>
      <c r="B500" s="960" t="s">
        <v>3028</v>
      </c>
      <c r="C500" s="960" t="s">
        <v>4257</v>
      </c>
      <c r="D500" s="960" t="s">
        <v>4258</v>
      </c>
      <c r="E500" s="959">
        <v>0</v>
      </c>
      <c r="F500" s="959">
        <v>5</v>
      </c>
      <c r="G500" s="959">
        <v>0</v>
      </c>
      <c r="H500" s="959">
        <v>0</v>
      </c>
    </row>
    <row r="501" spans="1:8">
      <c r="A501" s="959" t="s">
        <v>3027</v>
      </c>
      <c r="B501" s="960" t="s">
        <v>3028</v>
      </c>
      <c r="C501" s="960" t="s">
        <v>4262</v>
      </c>
      <c r="D501" s="960" t="s">
        <v>4263</v>
      </c>
      <c r="E501" s="959">
        <v>0</v>
      </c>
      <c r="F501" s="959">
        <v>10</v>
      </c>
      <c r="G501" s="959">
        <v>0</v>
      </c>
      <c r="H501" s="959">
        <v>0</v>
      </c>
    </row>
    <row r="502" spans="1:8">
      <c r="A502" s="959" t="s">
        <v>3029</v>
      </c>
      <c r="B502" s="960" t="s">
        <v>3030</v>
      </c>
      <c r="C502" s="960" t="s">
        <v>4256</v>
      </c>
      <c r="D502" s="960" t="s">
        <v>1906</v>
      </c>
      <c r="E502" s="959">
        <v>10</v>
      </c>
      <c r="F502" s="959">
        <v>148</v>
      </c>
      <c r="G502" s="959">
        <v>4</v>
      </c>
      <c r="H502" s="959">
        <v>55</v>
      </c>
    </row>
    <row r="503" spans="1:8">
      <c r="A503" s="959" t="s">
        <v>3029</v>
      </c>
      <c r="B503" s="960" t="s">
        <v>3030</v>
      </c>
      <c r="C503" s="960" t="s">
        <v>4256</v>
      </c>
      <c r="D503" s="960" t="s">
        <v>4264</v>
      </c>
      <c r="E503" s="959">
        <v>0</v>
      </c>
      <c r="F503" s="959">
        <v>0</v>
      </c>
      <c r="G503" s="959">
        <v>0</v>
      </c>
      <c r="H503" s="959">
        <v>1</v>
      </c>
    </row>
    <row r="504" spans="1:8">
      <c r="A504" s="959" t="s">
        <v>3029</v>
      </c>
      <c r="B504" s="960" t="s">
        <v>3030</v>
      </c>
      <c r="C504" s="960" t="s">
        <v>4257</v>
      </c>
      <c r="D504" s="960" t="s">
        <v>4258</v>
      </c>
      <c r="E504" s="959">
        <v>9</v>
      </c>
      <c r="F504" s="959">
        <v>130</v>
      </c>
      <c r="G504" s="959">
        <v>8</v>
      </c>
      <c r="H504" s="959">
        <v>101</v>
      </c>
    </row>
    <row r="505" spans="1:8">
      <c r="A505" s="959" t="s">
        <v>3029</v>
      </c>
      <c r="B505" s="960" t="s">
        <v>3030</v>
      </c>
      <c r="C505" s="960" t="s">
        <v>4262</v>
      </c>
      <c r="D505" s="960" t="s">
        <v>4263</v>
      </c>
      <c r="E505" s="959">
        <v>0</v>
      </c>
      <c r="F505" s="959">
        <v>7</v>
      </c>
      <c r="G505" s="959">
        <v>0</v>
      </c>
      <c r="H505" s="959">
        <v>12</v>
      </c>
    </row>
    <row r="506" spans="1:8">
      <c r="A506" s="959" t="s">
        <v>3032</v>
      </c>
      <c r="B506" s="960" t="s">
        <v>3033</v>
      </c>
      <c r="C506" s="960" t="s">
        <v>4256</v>
      </c>
      <c r="D506" s="960" t="s">
        <v>470</v>
      </c>
      <c r="E506" s="959">
        <v>0</v>
      </c>
      <c r="F506" s="959">
        <v>0</v>
      </c>
      <c r="G506" s="959">
        <v>1</v>
      </c>
      <c r="H506" s="959">
        <v>1</v>
      </c>
    </row>
    <row r="507" spans="1:8">
      <c r="A507" s="959" t="s">
        <v>3032</v>
      </c>
      <c r="B507" s="960" t="s">
        <v>3033</v>
      </c>
      <c r="C507" s="960" t="s">
        <v>4256</v>
      </c>
      <c r="D507" s="960" t="s">
        <v>4259</v>
      </c>
      <c r="E507" s="959">
        <v>0</v>
      </c>
      <c r="F507" s="959">
        <v>0</v>
      </c>
      <c r="G507" s="959">
        <v>0</v>
      </c>
      <c r="H507" s="959">
        <v>2</v>
      </c>
    </row>
    <row r="508" spans="1:8">
      <c r="A508" s="959" t="s">
        <v>3032</v>
      </c>
      <c r="B508" s="960" t="s">
        <v>3033</v>
      </c>
      <c r="C508" s="960" t="s">
        <v>4256</v>
      </c>
      <c r="D508" s="960" t="s">
        <v>4265</v>
      </c>
      <c r="E508" s="959">
        <v>0</v>
      </c>
      <c r="F508" s="959">
        <v>1</v>
      </c>
      <c r="G508" s="959">
        <v>0</v>
      </c>
      <c r="H508" s="959">
        <v>1</v>
      </c>
    </row>
    <row r="509" spans="1:8">
      <c r="A509" s="959" t="s">
        <v>3032</v>
      </c>
      <c r="B509" s="960" t="s">
        <v>3033</v>
      </c>
      <c r="C509" s="960" t="s">
        <v>4256</v>
      </c>
      <c r="D509" s="960" t="s">
        <v>1906</v>
      </c>
      <c r="E509" s="959">
        <v>11</v>
      </c>
      <c r="F509" s="959">
        <v>153</v>
      </c>
      <c r="G509" s="959">
        <v>9</v>
      </c>
      <c r="H509" s="959">
        <v>120</v>
      </c>
    </row>
    <row r="510" spans="1:8">
      <c r="A510" s="959" t="s">
        <v>3032</v>
      </c>
      <c r="B510" s="960" t="s">
        <v>3033</v>
      </c>
      <c r="C510" s="960" t="s">
        <v>4257</v>
      </c>
      <c r="D510" s="960" t="s">
        <v>4258</v>
      </c>
      <c r="E510" s="959">
        <v>15</v>
      </c>
      <c r="F510" s="959">
        <v>195</v>
      </c>
      <c r="G510" s="959">
        <v>24</v>
      </c>
      <c r="H510" s="959">
        <v>303</v>
      </c>
    </row>
    <row r="511" spans="1:8">
      <c r="A511" s="959" t="s">
        <v>3032</v>
      </c>
      <c r="B511" s="960" t="s">
        <v>3033</v>
      </c>
      <c r="C511" s="960" t="s">
        <v>4262</v>
      </c>
      <c r="D511" s="960" t="s">
        <v>4263</v>
      </c>
      <c r="E511" s="959">
        <v>0</v>
      </c>
      <c r="F511" s="959">
        <v>5</v>
      </c>
      <c r="G511" s="959">
        <v>0</v>
      </c>
      <c r="H511" s="959">
        <v>6</v>
      </c>
    </row>
    <row r="512" spans="1:8">
      <c r="A512" s="959" t="s">
        <v>3034</v>
      </c>
      <c r="B512" s="960" t="s">
        <v>3035</v>
      </c>
      <c r="C512" s="960" t="s">
        <v>4256</v>
      </c>
      <c r="D512" s="960" t="s">
        <v>470</v>
      </c>
      <c r="E512" s="959">
        <v>0</v>
      </c>
      <c r="F512" s="959">
        <v>0</v>
      </c>
      <c r="G512" s="959">
        <v>19</v>
      </c>
      <c r="H512" s="959">
        <v>54</v>
      </c>
    </row>
    <row r="513" spans="1:8">
      <c r="A513" s="959" t="s">
        <v>3034</v>
      </c>
      <c r="B513" s="960" t="s">
        <v>3035</v>
      </c>
      <c r="C513" s="960" t="s">
        <v>4256</v>
      </c>
      <c r="D513" s="960" t="s">
        <v>4270</v>
      </c>
      <c r="E513" s="959">
        <v>0</v>
      </c>
      <c r="F513" s="959">
        <v>0</v>
      </c>
      <c r="G513" s="959">
        <v>0</v>
      </c>
      <c r="H513" s="959">
        <v>1</v>
      </c>
    </row>
    <row r="514" spans="1:8">
      <c r="A514" s="959" t="s">
        <v>3034</v>
      </c>
      <c r="B514" s="960" t="s">
        <v>3035</v>
      </c>
      <c r="C514" s="960" t="s">
        <v>4262</v>
      </c>
      <c r="D514" s="960" t="s">
        <v>4263</v>
      </c>
      <c r="E514" s="959">
        <v>0</v>
      </c>
      <c r="F514" s="959">
        <v>4</v>
      </c>
      <c r="G514" s="959">
        <v>0</v>
      </c>
      <c r="H514" s="959">
        <v>0</v>
      </c>
    </row>
    <row r="515" spans="1:8">
      <c r="A515" s="959" t="s">
        <v>3036</v>
      </c>
      <c r="B515" s="960" t="s">
        <v>3037</v>
      </c>
      <c r="C515" s="960" t="s">
        <v>4256</v>
      </c>
      <c r="D515" s="960" t="s">
        <v>470</v>
      </c>
      <c r="E515" s="959">
        <v>0</v>
      </c>
      <c r="F515" s="959">
        <v>0</v>
      </c>
      <c r="G515" s="959">
        <v>5</v>
      </c>
      <c r="H515" s="959">
        <v>54</v>
      </c>
    </row>
    <row r="516" spans="1:8">
      <c r="A516" s="959" t="s">
        <v>3036</v>
      </c>
      <c r="B516" s="960" t="s">
        <v>3037</v>
      </c>
      <c r="C516" s="960" t="s">
        <v>4256</v>
      </c>
      <c r="D516" s="960" t="s">
        <v>1904</v>
      </c>
      <c r="E516" s="959">
        <v>0</v>
      </c>
      <c r="F516" s="959">
        <v>0</v>
      </c>
      <c r="G516" s="959">
        <v>1</v>
      </c>
      <c r="H516" s="959">
        <v>31</v>
      </c>
    </row>
    <row r="517" spans="1:8">
      <c r="A517" s="959" t="s">
        <v>3036</v>
      </c>
      <c r="B517" s="960" t="s">
        <v>3037</v>
      </c>
      <c r="C517" s="960" t="s">
        <v>4256</v>
      </c>
      <c r="D517" s="960" t="s">
        <v>4260</v>
      </c>
      <c r="E517" s="959">
        <v>0</v>
      </c>
      <c r="F517" s="959">
        <v>0</v>
      </c>
      <c r="G517" s="959">
        <v>0</v>
      </c>
      <c r="H517" s="959">
        <v>3</v>
      </c>
    </row>
    <row r="518" spans="1:8">
      <c r="A518" s="959" t="s">
        <v>3036</v>
      </c>
      <c r="B518" s="960" t="s">
        <v>3037</v>
      </c>
      <c r="C518" s="960" t="s">
        <v>4256</v>
      </c>
      <c r="D518" s="960" t="s">
        <v>4271</v>
      </c>
      <c r="E518" s="959">
        <v>0</v>
      </c>
      <c r="F518" s="959">
        <v>0</v>
      </c>
      <c r="G518" s="959">
        <v>0</v>
      </c>
      <c r="H518" s="959">
        <v>1</v>
      </c>
    </row>
    <row r="519" spans="1:8">
      <c r="A519" s="959" t="s">
        <v>3036</v>
      </c>
      <c r="B519" s="960" t="s">
        <v>3037</v>
      </c>
      <c r="C519" s="960" t="s">
        <v>4256</v>
      </c>
      <c r="D519" s="960" t="s">
        <v>1906</v>
      </c>
      <c r="E519" s="959">
        <v>0</v>
      </c>
      <c r="F519" s="959">
        <v>0</v>
      </c>
      <c r="G519" s="959">
        <v>0</v>
      </c>
      <c r="H519" s="959">
        <v>1</v>
      </c>
    </row>
    <row r="520" spans="1:8">
      <c r="A520" s="959" t="s">
        <v>3036</v>
      </c>
      <c r="B520" s="960" t="s">
        <v>3037</v>
      </c>
      <c r="C520" s="960" t="s">
        <v>4256</v>
      </c>
      <c r="D520" s="960" t="s">
        <v>4264</v>
      </c>
      <c r="E520" s="959">
        <v>0</v>
      </c>
      <c r="F520" s="959">
        <v>0</v>
      </c>
      <c r="G520" s="959">
        <v>0</v>
      </c>
      <c r="H520" s="959">
        <v>2</v>
      </c>
    </row>
    <row r="521" spans="1:8">
      <c r="A521" s="959" t="s">
        <v>3036</v>
      </c>
      <c r="B521" s="960" t="s">
        <v>3037</v>
      </c>
      <c r="C521" s="960" t="s">
        <v>4256</v>
      </c>
      <c r="D521" s="960" t="s">
        <v>4261</v>
      </c>
      <c r="E521" s="959">
        <v>0</v>
      </c>
      <c r="F521" s="959">
        <v>0</v>
      </c>
      <c r="G521" s="959">
        <v>0</v>
      </c>
      <c r="H521" s="959">
        <v>3</v>
      </c>
    </row>
    <row r="522" spans="1:8">
      <c r="A522" s="959" t="s">
        <v>3036</v>
      </c>
      <c r="B522" s="960" t="s">
        <v>3037</v>
      </c>
      <c r="C522" s="960" t="s">
        <v>4257</v>
      </c>
      <c r="D522" s="960" t="s">
        <v>4258</v>
      </c>
      <c r="E522" s="959">
        <v>0</v>
      </c>
      <c r="F522" s="959">
        <v>2</v>
      </c>
      <c r="G522" s="959">
        <v>0</v>
      </c>
      <c r="H522" s="959">
        <v>6</v>
      </c>
    </row>
    <row r="523" spans="1:8">
      <c r="A523" s="959" t="s">
        <v>3038</v>
      </c>
      <c r="B523" s="960" t="s">
        <v>3039</v>
      </c>
      <c r="C523" s="960" t="s">
        <v>4256</v>
      </c>
      <c r="D523" s="960" t="s">
        <v>470</v>
      </c>
      <c r="E523" s="959">
        <v>0</v>
      </c>
      <c r="F523" s="959">
        <v>0</v>
      </c>
      <c r="G523" s="959">
        <v>4</v>
      </c>
      <c r="H523" s="959">
        <v>111</v>
      </c>
    </row>
    <row r="524" spans="1:8">
      <c r="A524" s="959" t="s">
        <v>3038</v>
      </c>
      <c r="B524" s="960" t="s">
        <v>3039</v>
      </c>
      <c r="C524" s="960" t="s">
        <v>4256</v>
      </c>
      <c r="D524" s="960" t="s">
        <v>1904</v>
      </c>
      <c r="E524" s="959">
        <v>0</v>
      </c>
      <c r="F524" s="959">
        <v>0</v>
      </c>
      <c r="G524" s="959">
        <v>4</v>
      </c>
      <c r="H524" s="959">
        <v>125</v>
      </c>
    </row>
    <row r="525" spans="1:8">
      <c r="A525" s="959" t="s">
        <v>3038</v>
      </c>
      <c r="B525" s="960" t="s">
        <v>3039</v>
      </c>
      <c r="C525" s="960" t="s">
        <v>4256</v>
      </c>
      <c r="D525" s="960" t="s">
        <v>4270</v>
      </c>
      <c r="E525" s="959">
        <v>0</v>
      </c>
      <c r="F525" s="959">
        <v>0</v>
      </c>
      <c r="G525" s="959">
        <v>0</v>
      </c>
      <c r="H525" s="959">
        <v>1</v>
      </c>
    </row>
    <row r="526" spans="1:8">
      <c r="A526" s="959" t="s">
        <v>3038</v>
      </c>
      <c r="B526" s="960" t="s">
        <v>3039</v>
      </c>
      <c r="C526" s="960" t="s">
        <v>4256</v>
      </c>
      <c r="D526" s="960" t="s">
        <v>4260</v>
      </c>
      <c r="E526" s="959">
        <v>0</v>
      </c>
      <c r="F526" s="959">
        <v>0</v>
      </c>
      <c r="G526" s="959">
        <v>2</v>
      </c>
      <c r="H526" s="959">
        <v>28</v>
      </c>
    </row>
    <row r="527" spans="1:8">
      <c r="A527" s="959" t="s">
        <v>3038</v>
      </c>
      <c r="B527" s="960" t="s">
        <v>3039</v>
      </c>
      <c r="C527" s="960" t="s">
        <v>4256</v>
      </c>
      <c r="D527" s="960" t="s">
        <v>4265</v>
      </c>
      <c r="E527" s="959">
        <v>0</v>
      </c>
      <c r="F527" s="959">
        <v>0</v>
      </c>
      <c r="G527" s="959">
        <v>2</v>
      </c>
      <c r="H527" s="959">
        <v>2</v>
      </c>
    </row>
    <row r="528" spans="1:8">
      <c r="A528" s="959" t="s">
        <v>3038</v>
      </c>
      <c r="B528" s="960" t="s">
        <v>3039</v>
      </c>
      <c r="C528" s="960" t="s">
        <v>4256</v>
      </c>
      <c r="D528" s="960" t="s">
        <v>1906</v>
      </c>
      <c r="E528" s="959">
        <v>0</v>
      </c>
      <c r="F528" s="959">
        <v>0</v>
      </c>
      <c r="G528" s="959">
        <v>0</v>
      </c>
      <c r="H528" s="959">
        <v>6</v>
      </c>
    </row>
    <row r="529" spans="1:8">
      <c r="A529" s="959" t="s">
        <v>3038</v>
      </c>
      <c r="B529" s="960" t="s">
        <v>3039</v>
      </c>
      <c r="C529" s="960" t="s">
        <v>4256</v>
      </c>
      <c r="D529" s="960" t="s">
        <v>4261</v>
      </c>
      <c r="E529" s="959">
        <v>0</v>
      </c>
      <c r="F529" s="959">
        <v>0</v>
      </c>
      <c r="G529" s="959">
        <v>5</v>
      </c>
      <c r="H529" s="959">
        <v>30</v>
      </c>
    </row>
    <row r="530" spans="1:8">
      <c r="A530" s="959" t="s">
        <v>3038</v>
      </c>
      <c r="B530" s="960" t="s">
        <v>3039</v>
      </c>
      <c r="C530" s="960" t="s">
        <v>4257</v>
      </c>
      <c r="D530" s="960" t="s">
        <v>4258</v>
      </c>
      <c r="E530" s="959">
        <v>0</v>
      </c>
      <c r="F530" s="959">
        <v>0</v>
      </c>
      <c r="G530" s="959">
        <v>0</v>
      </c>
      <c r="H530" s="959">
        <v>3</v>
      </c>
    </row>
    <row r="531" spans="1:8">
      <c r="A531" s="959" t="s">
        <v>4286</v>
      </c>
      <c r="B531" s="960" t="s">
        <v>4287</v>
      </c>
      <c r="C531" s="960" t="s">
        <v>4256</v>
      </c>
      <c r="D531" s="960" t="s">
        <v>4260</v>
      </c>
      <c r="E531" s="959">
        <v>0</v>
      </c>
      <c r="F531" s="959">
        <v>0</v>
      </c>
      <c r="G531" s="959">
        <v>0</v>
      </c>
      <c r="H531" s="959">
        <v>1</v>
      </c>
    </row>
    <row r="532" spans="1:8">
      <c r="A532" s="959" t="s">
        <v>4286</v>
      </c>
      <c r="B532" s="960" t="s">
        <v>4287</v>
      </c>
      <c r="C532" s="960" t="s">
        <v>4256</v>
      </c>
      <c r="D532" s="960" t="s">
        <v>1906</v>
      </c>
      <c r="E532" s="959">
        <v>1</v>
      </c>
      <c r="F532" s="959">
        <v>7</v>
      </c>
      <c r="G532" s="959">
        <v>0</v>
      </c>
      <c r="H532" s="959">
        <v>2</v>
      </c>
    </row>
    <row r="533" spans="1:8">
      <c r="A533" s="959" t="s">
        <v>4286</v>
      </c>
      <c r="B533" s="960" t="s">
        <v>4287</v>
      </c>
      <c r="C533" s="960" t="s">
        <v>4256</v>
      </c>
      <c r="D533" s="960" t="s">
        <v>1907</v>
      </c>
      <c r="E533" s="959">
        <v>0</v>
      </c>
      <c r="F533" s="959">
        <v>0</v>
      </c>
      <c r="G533" s="959">
        <v>0</v>
      </c>
      <c r="H533" s="959">
        <v>1</v>
      </c>
    </row>
    <row r="534" spans="1:8">
      <c r="A534" s="959" t="s">
        <v>4286</v>
      </c>
      <c r="B534" s="960" t="s">
        <v>4287</v>
      </c>
      <c r="C534" s="960" t="s">
        <v>4257</v>
      </c>
      <c r="D534" s="960" t="s">
        <v>4258</v>
      </c>
      <c r="E534" s="959">
        <v>2</v>
      </c>
      <c r="F534" s="959">
        <v>35</v>
      </c>
      <c r="G534" s="959">
        <v>0</v>
      </c>
      <c r="H534" s="959">
        <v>25</v>
      </c>
    </row>
    <row r="535" spans="1:8">
      <c r="A535" s="959" t="s">
        <v>4286</v>
      </c>
      <c r="B535" s="960" t="s">
        <v>4287</v>
      </c>
      <c r="C535" s="960" t="s">
        <v>4262</v>
      </c>
      <c r="D535" s="960" t="s">
        <v>4263</v>
      </c>
      <c r="E535" s="959">
        <v>2</v>
      </c>
      <c r="F535" s="959">
        <v>134</v>
      </c>
      <c r="G535" s="959">
        <v>0</v>
      </c>
      <c r="H535" s="959">
        <v>32</v>
      </c>
    </row>
    <row r="536" spans="1:8">
      <c r="A536" s="959" t="s">
        <v>3040</v>
      </c>
      <c r="B536" s="960" t="s">
        <v>3041</v>
      </c>
      <c r="C536" s="960" t="s">
        <v>4256</v>
      </c>
      <c r="D536" s="960" t="s">
        <v>470</v>
      </c>
      <c r="E536" s="959">
        <v>0</v>
      </c>
      <c r="F536" s="959">
        <v>0</v>
      </c>
      <c r="G536" s="959">
        <v>1</v>
      </c>
      <c r="H536" s="959">
        <v>30</v>
      </c>
    </row>
    <row r="537" spans="1:8">
      <c r="A537" s="959" t="s">
        <v>3040</v>
      </c>
      <c r="B537" s="960" t="s">
        <v>3041</v>
      </c>
      <c r="C537" s="960" t="s">
        <v>4256</v>
      </c>
      <c r="D537" s="960" t="s">
        <v>1904</v>
      </c>
      <c r="E537" s="959">
        <v>0</v>
      </c>
      <c r="F537" s="959">
        <v>0</v>
      </c>
      <c r="G537" s="959">
        <v>0</v>
      </c>
      <c r="H537" s="959">
        <v>8</v>
      </c>
    </row>
    <row r="538" spans="1:8">
      <c r="A538" s="959" t="s">
        <v>3040</v>
      </c>
      <c r="B538" s="960" t="s">
        <v>3041</v>
      </c>
      <c r="C538" s="960" t="s">
        <v>4256</v>
      </c>
      <c r="D538" s="960" t="s">
        <v>4261</v>
      </c>
      <c r="E538" s="959">
        <v>0</v>
      </c>
      <c r="F538" s="959">
        <v>0</v>
      </c>
      <c r="G538" s="959">
        <v>0</v>
      </c>
      <c r="H538" s="959">
        <v>1</v>
      </c>
    </row>
    <row r="539" spans="1:8">
      <c r="A539" s="959" t="s">
        <v>3040</v>
      </c>
      <c r="B539" s="960" t="s">
        <v>3041</v>
      </c>
      <c r="C539" s="960" t="s">
        <v>4257</v>
      </c>
      <c r="D539" s="960" t="s">
        <v>4258</v>
      </c>
      <c r="E539" s="959">
        <v>0</v>
      </c>
      <c r="F539" s="959">
        <v>2</v>
      </c>
      <c r="G539" s="959">
        <v>0</v>
      </c>
      <c r="H539" s="959">
        <v>2</v>
      </c>
    </row>
    <row r="540" spans="1:8">
      <c r="A540" s="959" t="s">
        <v>3042</v>
      </c>
      <c r="B540" s="960" t="s">
        <v>829</v>
      </c>
      <c r="C540" s="960" t="s">
        <v>4256</v>
      </c>
      <c r="D540" s="960" t="s">
        <v>1906</v>
      </c>
      <c r="E540" s="959">
        <v>0</v>
      </c>
      <c r="F540" s="959">
        <v>1</v>
      </c>
      <c r="G540" s="959">
        <v>0</v>
      </c>
      <c r="H540" s="959">
        <v>0</v>
      </c>
    </row>
    <row r="541" spans="1:8">
      <c r="A541" s="959" t="s">
        <v>3042</v>
      </c>
      <c r="B541" s="960" t="s">
        <v>829</v>
      </c>
      <c r="C541" s="960" t="s">
        <v>4257</v>
      </c>
      <c r="D541" s="960" t="s">
        <v>4258</v>
      </c>
      <c r="E541" s="959">
        <v>0</v>
      </c>
      <c r="F541" s="959">
        <v>1</v>
      </c>
      <c r="G541" s="959">
        <v>0</v>
      </c>
      <c r="H541" s="959">
        <v>0</v>
      </c>
    </row>
    <row r="542" spans="1:8">
      <c r="A542" s="959" t="s">
        <v>3043</v>
      </c>
      <c r="B542" s="960" t="s">
        <v>3044</v>
      </c>
      <c r="C542" s="960" t="s">
        <v>4256</v>
      </c>
      <c r="D542" s="960" t="s">
        <v>470</v>
      </c>
      <c r="E542" s="959">
        <v>0</v>
      </c>
      <c r="F542" s="959">
        <v>2</v>
      </c>
      <c r="G542" s="959">
        <v>24</v>
      </c>
      <c r="H542" s="959">
        <v>383</v>
      </c>
    </row>
    <row r="543" spans="1:8">
      <c r="A543" s="959" t="s">
        <v>3043</v>
      </c>
      <c r="B543" s="960" t="s">
        <v>3044</v>
      </c>
      <c r="C543" s="960" t="s">
        <v>4256</v>
      </c>
      <c r="D543" s="960" t="s">
        <v>1904</v>
      </c>
      <c r="E543" s="959">
        <v>0</v>
      </c>
      <c r="F543" s="959">
        <v>0</v>
      </c>
      <c r="G543" s="959">
        <v>3</v>
      </c>
      <c r="H543" s="959">
        <v>67</v>
      </c>
    </row>
    <row r="544" spans="1:8">
      <c r="A544" s="959" t="s">
        <v>3043</v>
      </c>
      <c r="B544" s="960" t="s">
        <v>3044</v>
      </c>
      <c r="C544" s="960" t="s">
        <v>4256</v>
      </c>
      <c r="D544" s="960" t="s">
        <v>4260</v>
      </c>
      <c r="E544" s="959">
        <v>0</v>
      </c>
      <c r="F544" s="959">
        <v>0</v>
      </c>
      <c r="G544" s="959">
        <v>0</v>
      </c>
      <c r="H544" s="959">
        <v>18</v>
      </c>
    </row>
    <row r="545" spans="1:8">
      <c r="A545" s="959" t="s">
        <v>3043</v>
      </c>
      <c r="B545" s="960" t="s">
        <v>3044</v>
      </c>
      <c r="C545" s="960" t="s">
        <v>4256</v>
      </c>
      <c r="D545" s="960" t="s">
        <v>4271</v>
      </c>
      <c r="E545" s="959">
        <v>0</v>
      </c>
      <c r="F545" s="959">
        <v>0</v>
      </c>
      <c r="G545" s="959">
        <v>0</v>
      </c>
      <c r="H545" s="959">
        <v>2</v>
      </c>
    </row>
    <row r="546" spans="1:8">
      <c r="A546" s="959" t="s">
        <v>3043</v>
      </c>
      <c r="B546" s="960" t="s">
        <v>3044</v>
      </c>
      <c r="C546" s="960" t="s">
        <v>4256</v>
      </c>
      <c r="D546" s="960" t="s">
        <v>1906</v>
      </c>
      <c r="E546" s="959">
        <v>5</v>
      </c>
      <c r="F546" s="959">
        <v>33</v>
      </c>
      <c r="G546" s="959">
        <v>2</v>
      </c>
      <c r="H546" s="959">
        <v>23</v>
      </c>
    </row>
    <row r="547" spans="1:8">
      <c r="A547" s="959" t="s">
        <v>3043</v>
      </c>
      <c r="B547" s="960" t="s">
        <v>3044</v>
      </c>
      <c r="C547" s="960" t="s">
        <v>4256</v>
      </c>
      <c r="D547" s="960" t="s">
        <v>4264</v>
      </c>
      <c r="E547" s="959">
        <v>0</v>
      </c>
      <c r="F547" s="959">
        <v>0</v>
      </c>
      <c r="G547" s="959">
        <v>1</v>
      </c>
      <c r="H547" s="959">
        <v>7</v>
      </c>
    </row>
    <row r="548" spans="1:8">
      <c r="A548" s="959" t="s">
        <v>3043</v>
      </c>
      <c r="B548" s="960" t="s">
        <v>3044</v>
      </c>
      <c r="C548" s="960" t="s">
        <v>4256</v>
      </c>
      <c r="D548" s="960" t="s">
        <v>1907</v>
      </c>
      <c r="E548" s="959">
        <v>0</v>
      </c>
      <c r="F548" s="959">
        <v>0</v>
      </c>
      <c r="G548" s="959">
        <v>0</v>
      </c>
      <c r="H548" s="959">
        <v>2</v>
      </c>
    </row>
    <row r="549" spans="1:8">
      <c r="A549" s="959" t="s">
        <v>3043</v>
      </c>
      <c r="B549" s="960" t="s">
        <v>3044</v>
      </c>
      <c r="C549" s="960" t="s">
        <v>4256</v>
      </c>
      <c r="D549" s="960" t="s">
        <v>4261</v>
      </c>
      <c r="E549" s="959">
        <v>0</v>
      </c>
      <c r="F549" s="959">
        <v>0</v>
      </c>
      <c r="G549" s="959">
        <v>0</v>
      </c>
      <c r="H549" s="959">
        <v>7</v>
      </c>
    </row>
    <row r="550" spans="1:8">
      <c r="A550" s="959" t="s">
        <v>3043</v>
      </c>
      <c r="B550" s="960" t="s">
        <v>3044</v>
      </c>
      <c r="C550" s="960" t="s">
        <v>4257</v>
      </c>
      <c r="D550" s="960" t="s">
        <v>4258</v>
      </c>
      <c r="E550" s="959">
        <v>5</v>
      </c>
      <c r="F550" s="959">
        <v>17</v>
      </c>
      <c r="G550" s="959">
        <v>3</v>
      </c>
      <c r="H550" s="959">
        <v>5</v>
      </c>
    </row>
    <row r="551" spans="1:8">
      <c r="A551" s="959" t="s">
        <v>3043</v>
      </c>
      <c r="B551" s="960" t="s">
        <v>3044</v>
      </c>
      <c r="C551" s="960" t="s">
        <v>4267</v>
      </c>
      <c r="D551" s="960" t="s">
        <v>4268</v>
      </c>
      <c r="E551" s="959">
        <v>0</v>
      </c>
      <c r="F551" s="959">
        <v>0</v>
      </c>
      <c r="G551" s="959">
        <v>0</v>
      </c>
      <c r="H551" s="959">
        <v>25</v>
      </c>
    </row>
    <row r="552" spans="1:8">
      <c r="A552" s="959" t="s">
        <v>3045</v>
      </c>
      <c r="B552" s="960" t="s">
        <v>3046</v>
      </c>
      <c r="C552" s="960" t="s">
        <v>4275</v>
      </c>
      <c r="D552" s="960" t="s">
        <v>4276</v>
      </c>
      <c r="E552" s="959">
        <v>0</v>
      </c>
      <c r="F552" s="959">
        <v>9</v>
      </c>
      <c r="G552" s="959">
        <v>0</v>
      </c>
      <c r="H552" s="959">
        <v>0</v>
      </c>
    </row>
    <row r="553" spans="1:8">
      <c r="A553" s="959" t="s">
        <v>3045</v>
      </c>
      <c r="B553" s="960" t="s">
        <v>3046</v>
      </c>
      <c r="C553" s="960" t="s">
        <v>4256</v>
      </c>
      <c r="D553" s="960" t="s">
        <v>4259</v>
      </c>
      <c r="E553" s="959">
        <v>0</v>
      </c>
      <c r="F553" s="959">
        <v>0</v>
      </c>
      <c r="G553" s="959">
        <v>0</v>
      </c>
      <c r="H553" s="959">
        <v>4</v>
      </c>
    </row>
    <row r="554" spans="1:8">
      <c r="A554" s="959" t="s">
        <v>3045</v>
      </c>
      <c r="B554" s="960" t="s">
        <v>3046</v>
      </c>
      <c r="C554" s="960" t="s">
        <v>4256</v>
      </c>
      <c r="D554" s="960" t="s">
        <v>4260</v>
      </c>
      <c r="E554" s="959">
        <v>0</v>
      </c>
      <c r="F554" s="959">
        <v>0</v>
      </c>
      <c r="G554" s="959">
        <v>0</v>
      </c>
      <c r="H554" s="959">
        <v>2</v>
      </c>
    </row>
    <row r="555" spans="1:8">
      <c r="A555" s="959" t="s">
        <v>3045</v>
      </c>
      <c r="B555" s="960" t="s">
        <v>3046</v>
      </c>
      <c r="C555" s="960" t="s">
        <v>4256</v>
      </c>
      <c r="D555" s="960" t="s">
        <v>1906</v>
      </c>
      <c r="E555" s="959">
        <v>0</v>
      </c>
      <c r="F555" s="959">
        <v>4</v>
      </c>
      <c r="G555" s="959">
        <v>0</v>
      </c>
      <c r="H555" s="959">
        <v>0</v>
      </c>
    </row>
    <row r="556" spans="1:8">
      <c r="A556" s="959" t="s">
        <v>3045</v>
      </c>
      <c r="B556" s="960" t="s">
        <v>3046</v>
      </c>
      <c r="C556" s="960" t="s">
        <v>4257</v>
      </c>
      <c r="D556" s="960" t="s">
        <v>4258</v>
      </c>
      <c r="E556" s="959">
        <v>1</v>
      </c>
      <c r="F556" s="959">
        <v>40</v>
      </c>
      <c r="G556" s="959">
        <v>0</v>
      </c>
      <c r="H556" s="959">
        <v>4</v>
      </c>
    </row>
    <row r="557" spans="1:8">
      <c r="A557" s="959" t="s">
        <v>3045</v>
      </c>
      <c r="B557" s="960" t="s">
        <v>3046</v>
      </c>
      <c r="C557" s="960" t="s">
        <v>4262</v>
      </c>
      <c r="D557" s="960" t="s">
        <v>4263</v>
      </c>
      <c r="E557" s="959">
        <v>12</v>
      </c>
      <c r="F557" s="959">
        <v>140</v>
      </c>
      <c r="G557" s="959">
        <v>0</v>
      </c>
      <c r="H557" s="959">
        <v>0</v>
      </c>
    </row>
    <row r="558" spans="1:8">
      <c r="A558" s="959" t="s">
        <v>3047</v>
      </c>
      <c r="B558" s="960" t="s">
        <v>3048</v>
      </c>
      <c r="C558" s="960" t="s">
        <v>4256</v>
      </c>
      <c r="D558" s="960" t="s">
        <v>470</v>
      </c>
      <c r="E558" s="959">
        <v>0</v>
      </c>
      <c r="F558" s="959">
        <v>0</v>
      </c>
      <c r="G558" s="959">
        <v>0</v>
      </c>
      <c r="H558" s="959">
        <v>2</v>
      </c>
    </row>
    <row r="559" spans="1:8">
      <c r="A559" s="959" t="s">
        <v>3047</v>
      </c>
      <c r="B559" s="960" t="s">
        <v>3048</v>
      </c>
      <c r="C559" s="960" t="s">
        <v>4262</v>
      </c>
      <c r="D559" s="960" t="s">
        <v>4263</v>
      </c>
      <c r="E559" s="959">
        <v>0</v>
      </c>
      <c r="F559" s="959">
        <v>1</v>
      </c>
      <c r="G559" s="959">
        <v>0</v>
      </c>
      <c r="H559" s="959">
        <v>0</v>
      </c>
    </row>
    <row r="560" spans="1:8">
      <c r="A560" s="959" t="s">
        <v>3049</v>
      </c>
      <c r="B560" s="960" t="s">
        <v>3050</v>
      </c>
      <c r="C560" s="960" t="s">
        <v>4256</v>
      </c>
      <c r="D560" s="960" t="s">
        <v>470</v>
      </c>
      <c r="E560" s="959">
        <v>0</v>
      </c>
      <c r="F560" s="959">
        <v>0</v>
      </c>
      <c r="G560" s="959">
        <v>18</v>
      </c>
      <c r="H560" s="959">
        <v>193</v>
      </c>
    </row>
    <row r="561" spans="1:8">
      <c r="A561" s="959" t="s">
        <v>3049</v>
      </c>
      <c r="B561" s="960" t="s">
        <v>3050</v>
      </c>
      <c r="C561" s="960" t="s">
        <v>4256</v>
      </c>
      <c r="D561" s="960" t="s">
        <v>1904</v>
      </c>
      <c r="E561" s="959">
        <v>0</v>
      </c>
      <c r="F561" s="959">
        <v>0</v>
      </c>
      <c r="G561" s="959">
        <v>9</v>
      </c>
      <c r="H561" s="959">
        <v>199</v>
      </c>
    </row>
    <row r="562" spans="1:8">
      <c r="A562" s="959" t="s">
        <v>3049</v>
      </c>
      <c r="B562" s="960" t="s">
        <v>3050</v>
      </c>
      <c r="C562" s="960" t="s">
        <v>4256</v>
      </c>
      <c r="D562" s="960" t="s">
        <v>4269</v>
      </c>
      <c r="E562" s="959">
        <v>0</v>
      </c>
      <c r="F562" s="959">
        <v>0</v>
      </c>
      <c r="G562" s="959">
        <v>0</v>
      </c>
      <c r="H562" s="959">
        <v>1</v>
      </c>
    </row>
    <row r="563" spans="1:8">
      <c r="A563" s="959" t="s">
        <v>3049</v>
      </c>
      <c r="B563" s="960" t="s">
        <v>3050</v>
      </c>
      <c r="C563" s="960" t="s">
        <v>4256</v>
      </c>
      <c r="D563" s="960" t="s">
        <v>4260</v>
      </c>
      <c r="E563" s="959">
        <v>0</v>
      </c>
      <c r="F563" s="959">
        <v>0</v>
      </c>
      <c r="G563" s="959">
        <v>0</v>
      </c>
      <c r="H563" s="959">
        <v>26</v>
      </c>
    </row>
    <row r="564" spans="1:8">
      <c r="A564" s="959" t="s">
        <v>3049</v>
      </c>
      <c r="B564" s="960" t="s">
        <v>3050</v>
      </c>
      <c r="C564" s="960" t="s">
        <v>4256</v>
      </c>
      <c r="D564" s="960" t="s">
        <v>1906</v>
      </c>
      <c r="E564" s="959">
        <v>0</v>
      </c>
      <c r="F564" s="959">
        <v>1</v>
      </c>
      <c r="G564" s="959">
        <v>1</v>
      </c>
      <c r="H564" s="959">
        <v>9</v>
      </c>
    </row>
    <row r="565" spans="1:8">
      <c r="A565" s="959" t="s">
        <v>3049</v>
      </c>
      <c r="B565" s="960" t="s">
        <v>3050</v>
      </c>
      <c r="C565" s="960" t="s">
        <v>4256</v>
      </c>
      <c r="D565" s="960" t="s">
        <v>4264</v>
      </c>
      <c r="E565" s="959">
        <v>0</v>
      </c>
      <c r="F565" s="959">
        <v>0</v>
      </c>
      <c r="G565" s="959">
        <v>2</v>
      </c>
      <c r="H565" s="959">
        <v>24</v>
      </c>
    </row>
    <row r="566" spans="1:8">
      <c r="A566" s="959" t="s">
        <v>3049</v>
      </c>
      <c r="B566" s="960" t="s">
        <v>3050</v>
      </c>
      <c r="C566" s="960" t="s">
        <v>4256</v>
      </c>
      <c r="D566" s="960" t="s">
        <v>4261</v>
      </c>
      <c r="E566" s="959">
        <v>0</v>
      </c>
      <c r="F566" s="959">
        <v>0</v>
      </c>
      <c r="G566" s="959">
        <v>3</v>
      </c>
      <c r="H566" s="959">
        <v>25</v>
      </c>
    </row>
    <row r="567" spans="1:8">
      <c r="A567" s="959" t="s">
        <v>3049</v>
      </c>
      <c r="B567" s="960" t="s">
        <v>3050</v>
      </c>
      <c r="C567" s="960" t="s">
        <v>4257</v>
      </c>
      <c r="D567" s="960" t="s">
        <v>4258</v>
      </c>
      <c r="E567" s="959">
        <v>1</v>
      </c>
      <c r="F567" s="959">
        <v>7</v>
      </c>
      <c r="G567" s="959">
        <v>0</v>
      </c>
      <c r="H567" s="959">
        <v>1</v>
      </c>
    </row>
    <row r="568" spans="1:8">
      <c r="A568" s="959" t="s">
        <v>3049</v>
      </c>
      <c r="B568" s="960" t="s">
        <v>3050</v>
      </c>
      <c r="C568" s="960" t="s">
        <v>4267</v>
      </c>
      <c r="D568" s="960" t="s">
        <v>4268</v>
      </c>
      <c r="E568" s="959">
        <v>0</v>
      </c>
      <c r="F568" s="959">
        <v>0</v>
      </c>
      <c r="G568" s="959">
        <v>0</v>
      </c>
      <c r="H568" s="959">
        <v>5</v>
      </c>
    </row>
    <row r="569" spans="1:8">
      <c r="A569" s="959" t="s">
        <v>3051</v>
      </c>
      <c r="B569" s="960" t="s">
        <v>3052</v>
      </c>
      <c r="C569" s="960" t="s">
        <v>4256</v>
      </c>
      <c r="D569" s="960" t="s">
        <v>470</v>
      </c>
      <c r="E569" s="959">
        <v>0</v>
      </c>
      <c r="F569" s="959">
        <v>1</v>
      </c>
      <c r="G569" s="959">
        <v>2</v>
      </c>
      <c r="H569" s="959">
        <v>26</v>
      </c>
    </row>
    <row r="570" spans="1:8">
      <c r="A570" s="959" t="s">
        <v>3051</v>
      </c>
      <c r="B570" s="960" t="s">
        <v>3052</v>
      </c>
      <c r="C570" s="960" t="s">
        <v>4256</v>
      </c>
      <c r="D570" s="960" t="s">
        <v>1904</v>
      </c>
      <c r="E570" s="959">
        <v>0</v>
      </c>
      <c r="F570" s="959">
        <v>1</v>
      </c>
      <c r="G570" s="959">
        <v>11</v>
      </c>
      <c r="H570" s="959">
        <v>113</v>
      </c>
    </row>
    <row r="571" spans="1:8">
      <c r="A571" s="959" t="s">
        <v>3051</v>
      </c>
      <c r="B571" s="960" t="s">
        <v>3052</v>
      </c>
      <c r="C571" s="960" t="s">
        <v>4256</v>
      </c>
      <c r="D571" s="960" t="s">
        <v>4270</v>
      </c>
      <c r="E571" s="959">
        <v>0</v>
      </c>
      <c r="F571" s="959">
        <v>0</v>
      </c>
      <c r="G571" s="959">
        <v>0</v>
      </c>
      <c r="H571" s="959">
        <v>1</v>
      </c>
    </row>
    <row r="572" spans="1:8">
      <c r="A572" s="959" t="s">
        <v>3051</v>
      </c>
      <c r="B572" s="960" t="s">
        <v>3052</v>
      </c>
      <c r="C572" s="960" t="s">
        <v>4256</v>
      </c>
      <c r="D572" s="960" t="s">
        <v>4260</v>
      </c>
      <c r="E572" s="959">
        <v>0</v>
      </c>
      <c r="F572" s="959">
        <v>0</v>
      </c>
      <c r="G572" s="959">
        <v>6</v>
      </c>
      <c r="H572" s="959">
        <v>66</v>
      </c>
    </row>
    <row r="573" spans="1:8">
      <c r="A573" s="959" t="s">
        <v>3051</v>
      </c>
      <c r="B573" s="960" t="s">
        <v>3052</v>
      </c>
      <c r="C573" s="960" t="s">
        <v>4256</v>
      </c>
      <c r="D573" s="960" t="s">
        <v>4265</v>
      </c>
      <c r="E573" s="959">
        <v>0</v>
      </c>
      <c r="F573" s="959">
        <v>0</v>
      </c>
      <c r="G573" s="959">
        <v>0</v>
      </c>
      <c r="H573" s="959">
        <v>3</v>
      </c>
    </row>
    <row r="574" spans="1:8">
      <c r="A574" s="959" t="s">
        <v>3051</v>
      </c>
      <c r="B574" s="960" t="s">
        <v>3052</v>
      </c>
      <c r="C574" s="960" t="s">
        <v>4256</v>
      </c>
      <c r="D574" s="960" t="s">
        <v>4271</v>
      </c>
      <c r="E574" s="959">
        <v>0</v>
      </c>
      <c r="F574" s="959">
        <v>0</v>
      </c>
      <c r="G574" s="959">
        <v>0</v>
      </c>
      <c r="H574" s="959">
        <v>5</v>
      </c>
    </row>
    <row r="575" spans="1:8">
      <c r="A575" s="959" t="s">
        <v>3051</v>
      </c>
      <c r="B575" s="960" t="s">
        <v>3052</v>
      </c>
      <c r="C575" s="960" t="s">
        <v>4256</v>
      </c>
      <c r="D575" s="960" t="s">
        <v>1906</v>
      </c>
      <c r="E575" s="959">
        <v>0</v>
      </c>
      <c r="F575" s="959">
        <v>0</v>
      </c>
      <c r="G575" s="959">
        <v>0</v>
      </c>
      <c r="H575" s="959">
        <v>2</v>
      </c>
    </row>
    <row r="576" spans="1:8">
      <c r="A576" s="959" t="s">
        <v>3051</v>
      </c>
      <c r="B576" s="960" t="s">
        <v>3052</v>
      </c>
      <c r="C576" s="960" t="s">
        <v>4256</v>
      </c>
      <c r="D576" s="960" t="s">
        <v>4264</v>
      </c>
      <c r="E576" s="959">
        <v>0</v>
      </c>
      <c r="F576" s="959">
        <v>0</v>
      </c>
      <c r="G576" s="959">
        <v>0</v>
      </c>
      <c r="H576" s="959">
        <v>1</v>
      </c>
    </row>
    <row r="577" spans="1:8">
      <c r="A577" s="959" t="s">
        <v>3051</v>
      </c>
      <c r="B577" s="960" t="s">
        <v>3052</v>
      </c>
      <c r="C577" s="960" t="s">
        <v>4256</v>
      </c>
      <c r="D577" s="960" t="s">
        <v>4261</v>
      </c>
      <c r="E577" s="959">
        <v>0</v>
      </c>
      <c r="F577" s="959">
        <v>0</v>
      </c>
      <c r="G577" s="959">
        <v>1</v>
      </c>
      <c r="H577" s="959">
        <v>69</v>
      </c>
    </row>
    <row r="578" spans="1:8">
      <c r="A578" s="959" t="s">
        <v>3051</v>
      </c>
      <c r="B578" s="960" t="s">
        <v>3052</v>
      </c>
      <c r="C578" s="960" t="s">
        <v>4257</v>
      </c>
      <c r="D578" s="960" t="s">
        <v>4258</v>
      </c>
      <c r="E578" s="959">
        <v>0</v>
      </c>
      <c r="F578" s="959">
        <v>1</v>
      </c>
      <c r="G578" s="959">
        <v>0</v>
      </c>
      <c r="H578" s="959">
        <v>5</v>
      </c>
    </row>
    <row r="579" spans="1:8">
      <c r="A579" s="959" t="s">
        <v>3053</v>
      </c>
      <c r="B579" s="960" t="s">
        <v>3054</v>
      </c>
      <c r="C579" s="960" t="s">
        <v>4275</v>
      </c>
      <c r="D579" s="960" t="s">
        <v>4276</v>
      </c>
      <c r="E579" s="959">
        <v>2</v>
      </c>
      <c r="F579" s="959">
        <v>95</v>
      </c>
      <c r="G579" s="959">
        <v>0</v>
      </c>
      <c r="H579" s="959">
        <v>3</v>
      </c>
    </row>
    <row r="580" spans="1:8">
      <c r="A580" s="959" t="s">
        <v>3053</v>
      </c>
      <c r="B580" s="960" t="s">
        <v>3054</v>
      </c>
      <c r="C580" s="960" t="s">
        <v>4277</v>
      </c>
      <c r="D580" s="960" t="s">
        <v>4278</v>
      </c>
      <c r="E580" s="959">
        <v>0</v>
      </c>
      <c r="F580" s="959">
        <v>0</v>
      </c>
      <c r="G580" s="959">
        <v>1</v>
      </c>
      <c r="H580" s="959">
        <v>57</v>
      </c>
    </row>
    <row r="581" spans="1:8">
      <c r="A581" s="959" t="s">
        <v>3053</v>
      </c>
      <c r="B581" s="960" t="s">
        <v>3054</v>
      </c>
      <c r="C581" s="960" t="s">
        <v>4277</v>
      </c>
      <c r="D581" s="960" t="s">
        <v>4279</v>
      </c>
      <c r="E581" s="959">
        <v>0</v>
      </c>
      <c r="F581" s="959">
        <v>0</v>
      </c>
      <c r="G581" s="959">
        <v>1</v>
      </c>
      <c r="H581" s="959">
        <v>73</v>
      </c>
    </row>
    <row r="582" spans="1:8">
      <c r="A582" s="959" t="s">
        <v>3053</v>
      </c>
      <c r="B582" s="960" t="s">
        <v>3054</v>
      </c>
      <c r="C582" s="960" t="s">
        <v>4256</v>
      </c>
      <c r="D582" s="960" t="s">
        <v>1904</v>
      </c>
      <c r="E582" s="959">
        <v>0</v>
      </c>
      <c r="F582" s="959">
        <v>0</v>
      </c>
      <c r="G582" s="959">
        <v>1</v>
      </c>
      <c r="H582" s="959">
        <v>13</v>
      </c>
    </row>
    <row r="583" spans="1:8">
      <c r="A583" s="959" t="s">
        <v>3053</v>
      </c>
      <c r="B583" s="960" t="s">
        <v>3054</v>
      </c>
      <c r="C583" s="960" t="s">
        <v>4256</v>
      </c>
      <c r="D583" s="960" t="s">
        <v>4270</v>
      </c>
      <c r="E583" s="959">
        <v>0</v>
      </c>
      <c r="F583" s="959">
        <v>0</v>
      </c>
      <c r="G583" s="959">
        <v>2</v>
      </c>
      <c r="H583" s="959">
        <v>14</v>
      </c>
    </row>
    <row r="584" spans="1:8">
      <c r="A584" s="959" t="s">
        <v>3053</v>
      </c>
      <c r="B584" s="960" t="s">
        <v>3054</v>
      </c>
      <c r="C584" s="960" t="s">
        <v>4256</v>
      </c>
      <c r="D584" s="960" t="s">
        <v>4259</v>
      </c>
      <c r="E584" s="959">
        <v>0</v>
      </c>
      <c r="F584" s="959">
        <v>1</v>
      </c>
      <c r="G584" s="959">
        <v>4</v>
      </c>
      <c r="H584" s="959">
        <v>22</v>
      </c>
    </row>
    <row r="585" spans="1:8">
      <c r="A585" s="959" t="s">
        <v>3053</v>
      </c>
      <c r="B585" s="960" t="s">
        <v>3054</v>
      </c>
      <c r="C585" s="960" t="s">
        <v>4256</v>
      </c>
      <c r="D585" s="960" t="s">
        <v>4260</v>
      </c>
      <c r="E585" s="959">
        <v>0</v>
      </c>
      <c r="F585" s="959">
        <v>0</v>
      </c>
      <c r="G585" s="959">
        <v>4</v>
      </c>
      <c r="H585" s="959">
        <v>81</v>
      </c>
    </row>
    <row r="586" spans="1:8">
      <c r="A586" s="959" t="s">
        <v>3053</v>
      </c>
      <c r="B586" s="960" t="s">
        <v>3054</v>
      </c>
      <c r="C586" s="960" t="s">
        <v>4256</v>
      </c>
      <c r="D586" s="960" t="s">
        <v>4265</v>
      </c>
      <c r="E586" s="959">
        <v>0</v>
      </c>
      <c r="F586" s="959">
        <v>0</v>
      </c>
      <c r="G586" s="959">
        <v>0</v>
      </c>
      <c r="H586" s="959">
        <v>1</v>
      </c>
    </row>
    <row r="587" spans="1:8">
      <c r="A587" s="959" t="s">
        <v>3053</v>
      </c>
      <c r="B587" s="960" t="s">
        <v>3054</v>
      </c>
      <c r="C587" s="960" t="s">
        <v>4256</v>
      </c>
      <c r="D587" s="960" t="s">
        <v>1906</v>
      </c>
      <c r="E587" s="959">
        <v>5</v>
      </c>
      <c r="F587" s="959">
        <v>58</v>
      </c>
      <c r="G587" s="959">
        <v>0</v>
      </c>
      <c r="H587" s="959">
        <v>6</v>
      </c>
    </row>
    <row r="588" spans="1:8">
      <c r="A588" s="959" t="s">
        <v>3053</v>
      </c>
      <c r="B588" s="960" t="s">
        <v>3054</v>
      </c>
      <c r="C588" s="960" t="s">
        <v>4256</v>
      </c>
      <c r="D588" s="960" t="s">
        <v>4261</v>
      </c>
      <c r="E588" s="959">
        <v>0</v>
      </c>
      <c r="F588" s="959">
        <v>0</v>
      </c>
      <c r="G588" s="959">
        <v>1</v>
      </c>
      <c r="H588" s="959">
        <v>7</v>
      </c>
    </row>
    <row r="589" spans="1:8">
      <c r="A589" s="959" t="s">
        <v>3053</v>
      </c>
      <c r="B589" s="960" t="s">
        <v>3054</v>
      </c>
      <c r="C589" s="960" t="s">
        <v>4257</v>
      </c>
      <c r="D589" s="960" t="s">
        <v>4258</v>
      </c>
      <c r="E589" s="959">
        <v>16</v>
      </c>
      <c r="F589" s="959">
        <v>347</v>
      </c>
      <c r="G589" s="959">
        <v>3</v>
      </c>
      <c r="H589" s="959">
        <v>40</v>
      </c>
    </row>
    <row r="590" spans="1:8">
      <c r="A590" s="959" t="s">
        <v>3055</v>
      </c>
      <c r="B590" s="960" t="s">
        <v>3056</v>
      </c>
      <c r="C590" s="960" t="s">
        <v>4277</v>
      </c>
      <c r="D590" s="960" t="s">
        <v>4278</v>
      </c>
      <c r="E590" s="959">
        <v>0</v>
      </c>
      <c r="F590" s="959">
        <v>0</v>
      </c>
      <c r="G590" s="959">
        <v>0</v>
      </c>
      <c r="H590" s="959">
        <v>1</v>
      </c>
    </row>
    <row r="591" spans="1:8">
      <c r="A591" s="959" t="s">
        <v>3055</v>
      </c>
      <c r="B591" s="960" t="s">
        <v>3056</v>
      </c>
      <c r="C591" s="960" t="s">
        <v>4256</v>
      </c>
      <c r="D591" s="960" t="s">
        <v>470</v>
      </c>
      <c r="E591" s="959">
        <v>0</v>
      </c>
      <c r="F591" s="959">
        <v>0</v>
      </c>
      <c r="G591" s="959">
        <v>0</v>
      </c>
      <c r="H591" s="959">
        <v>2</v>
      </c>
    </row>
    <row r="592" spans="1:8">
      <c r="A592" s="959" t="s">
        <v>3055</v>
      </c>
      <c r="B592" s="960" t="s">
        <v>3056</v>
      </c>
      <c r="C592" s="960" t="s">
        <v>4256</v>
      </c>
      <c r="D592" s="960" t="s">
        <v>1904</v>
      </c>
      <c r="E592" s="959">
        <v>0</v>
      </c>
      <c r="F592" s="959">
        <v>0</v>
      </c>
      <c r="G592" s="959">
        <v>0</v>
      </c>
      <c r="H592" s="959">
        <v>8</v>
      </c>
    </row>
    <row r="593" spans="1:8">
      <c r="A593" s="959" t="s">
        <v>3055</v>
      </c>
      <c r="B593" s="960" t="s">
        <v>3056</v>
      </c>
      <c r="C593" s="960" t="s">
        <v>4256</v>
      </c>
      <c r="D593" s="960" t="s">
        <v>4270</v>
      </c>
      <c r="E593" s="959">
        <v>0</v>
      </c>
      <c r="F593" s="959">
        <v>0</v>
      </c>
      <c r="G593" s="959">
        <v>6</v>
      </c>
      <c r="H593" s="959">
        <v>21</v>
      </c>
    </row>
    <row r="594" spans="1:8">
      <c r="A594" s="959" t="s">
        <v>3055</v>
      </c>
      <c r="B594" s="960" t="s">
        <v>3056</v>
      </c>
      <c r="C594" s="960" t="s">
        <v>4256</v>
      </c>
      <c r="D594" s="960" t="s">
        <v>4259</v>
      </c>
      <c r="E594" s="959">
        <v>0</v>
      </c>
      <c r="F594" s="959">
        <v>0</v>
      </c>
      <c r="G594" s="959">
        <v>23</v>
      </c>
      <c r="H594" s="959">
        <v>47</v>
      </c>
    </row>
    <row r="595" spans="1:8">
      <c r="A595" s="959" t="s">
        <v>3055</v>
      </c>
      <c r="B595" s="960" t="s">
        <v>3056</v>
      </c>
      <c r="C595" s="960" t="s">
        <v>4256</v>
      </c>
      <c r="D595" s="960" t="s">
        <v>4260</v>
      </c>
      <c r="E595" s="959">
        <v>0</v>
      </c>
      <c r="F595" s="959">
        <v>0</v>
      </c>
      <c r="G595" s="959">
        <v>22</v>
      </c>
      <c r="H595" s="959">
        <v>322</v>
      </c>
    </row>
    <row r="596" spans="1:8">
      <c r="A596" s="959" t="s">
        <v>3055</v>
      </c>
      <c r="B596" s="960" t="s">
        <v>3056</v>
      </c>
      <c r="C596" s="960" t="s">
        <v>4256</v>
      </c>
      <c r="D596" s="960" t="s">
        <v>4265</v>
      </c>
      <c r="E596" s="959">
        <v>0</v>
      </c>
      <c r="F596" s="959">
        <v>0</v>
      </c>
      <c r="G596" s="959">
        <v>2</v>
      </c>
      <c r="H596" s="959">
        <v>3</v>
      </c>
    </row>
    <row r="597" spans="1:8">
      <c r="A597" s="959" t="s">
        <v>3055</v>
      </c>
      <c r="B597" s="960" t="s">
        <v>3056</v>
      </c>
      <c r="C597" s="960" t="s">
        <v>4256</v>
      </c>
      <c r="D597" s="960" t="s">
        <v>4272</v>
      </c>
      <c r="E597" s="959">
        <v>0</v>
      </c>
      <c r="F597" s="959">
        <v>0</v>
      </c>
      <c r="G597" s="959">
        <v>0</v>
      </c>
      <c r="H597" s="959">
        <v>2</v>
      </c>
    </row>
    <row r="598" spans="1:8">
      <c r="A598" s="959" t="s">
        <v>3055</v>
      </c>
      <c r="B598" s="960" t="s">
        <v>3056</v>
      </c>
      <c r="C598" s="960" t="s">
        <v>4256</v>
      </c>
      <c r="D598" s="960" t="s">
        <v>1906</v>
      </c>
      <c r="E598" s="959">
        <v>3</v>
      </c>
      <c r="F598" s="959">
        <v>36</v>
      </c>
      <c r="G598" s="959">
        <v>1</v>
      </c>
      <c r="H598" s="959">
        <v>8</v>
      </c>
    </row>
    <row r="599" spans="1:8">
      <c r="A599" s="959" t="s">
        <v>3055</v>
      </c>
      <c r="B599" s="960" t="s">
        <v>3056</v>
      </c>
      <c r="C599" s="960" t="s">
        <v>4256</v>
      </c>
      <c r="D599" s="960" t="s">
        <v>4261</v>
      </c>
      <c r="E599" s="959">
        <v>0</v>
      </c>
      <c r="F599" s="959">
        <v>0</v>
      </c>
      <c r="G599" s="959">
        <v>13</v>
      </c>
      <c r="H599" s="959">
        <v>190</v>
      </c>
    </row>
    <row r="600" spans="1:8">
      <c r="A600" s="959" t="s">
        <v>3055</v>
      </c>
      <c r="B600" s="960" t="s">
        <v>3056</v>
      </c>
      <c r="C600" s="960" t="s">
        <v>4257</v>
      </c>
      <c r="D600" s="960" t="s">
        <v>4258</v>
      </c>
      <c r="E600" s="959">
        <v>6</v>
      </c>
      <c r="F600" s="959">
        <v>100</v>
      </c>
      <c r="G600" s="959">
        <v>3</v>
      </c>
      <c r="H600" s="959">
        <v>38</v>
      </c>
    </row>
    <row r="601" spans="1:8">
      <c r="A601" s="959" t="s">
        <v>3055</v>
      </c>
      <c r="B601" s="960" t="s">
        <v>3056</v>
      </c>
      <c r="C601" s="960" t="s">
        <v>4262</v>
      </c>
      <c r="D601" s="960" t="s">
        <v>4263</v>
      </c>
      <c r="E601" s="959">
        <v>1</v>
      </c>
      <c r="F601" s="959">
        <v>15</v>
      </c>
      <c r="G601" s="959">
        <v>0</v>
      </c>
      <c r="H601" s="959">
        <v>12</v>
      </c>
    </row>
    <row r="602" spans="1:8">
      <c r="A602" s="959" t="s">
        <v>3055</v>
      </c>
      <c r="B602" s="960" t="s">
        <v>3056</v>
      </c>
      <c r="C602" s="960" t="s">
        <v>4267</v>
      </c>
      <c r="D602" s="960" t="s">
        <v>4268</v>
      </c>
      <c r="E602" s="959">
        <v>0</v>
      </c>
      <c r="F602" s="959">
        <v>0</v>
      </c>
      <c r="G602" s="959">
        <v>0</v>
      </c>
      <c r="H602" s="959">
        <v>13</v>
      </c>
    </row>
    <row r="603" spans="1:8">
      <c r="A603" s="959" t="s">
        <v>3058</v>
      </c>
      <c r="B603" s="960" t="s">
        <v>3059</v>
      </c>
      <c r="C603" s="960" t="s">
        <v>4256</v>
      </c>
      <c r="D603" s="960" t="s">
        <v>470</v>
      </c>
      <c r="E603" s="959">
        <v>0</v>
      </c>
      <c r="F603" s="959">
        <v>0</v>
      </c>
      <c r="G603" s="959">
        <v>7</v>
      </c>
      <c r="H603" s="959">
        <v>5</v>
      </c>
    </row>
    <row r="604" spans="1:8">
      <c r="A604" s="959" t="s">
        <v>3058</v>
      </c>
      <c r="B604" s="960" t="s">
        <v>3059</v>
      </c>
      <c r="C604" s="960" t="s">
        <v>4256</v>
      </c>
      <c r="D604" s="960" t="s">
        <v>1904</v>
      </c>
      <c r="E604" s="959">
        <v>0</v>
      </c>
      <c r="F604" s="959">
        <v>0</v>
      </c>
      <c r="G604" s="959">
        <v>0</v>
      </c>
      <c r="H604" s="959">
        <v>5</v>
      </c>
    </row>
    <row r="605" spans="1:8">
      <c r="A605" s="959" t="s">
        <v>3058</v>
      </c>
      <c r="B605" s="960" t="s">
        <v>3059</v>
      </c>
      <c r="C605" s="960" t="s">
        <v>4256</v>
      </c>
      <c r="D605" s="960" t="s">
        <v>4264</v>
      </c>
      <c r="E605" s="959">
        <v>0</v>
      </c>
      <c r="F605" s="959">
        <v>0</v>
      </c>
      <c r="G605" s="959">
        <v>0</v>
      </c>
      <c r="H605" s="959">
        <v>6</v>
      </c>
    </row>
    <row r="606" spans="1:8">
      <c r="A606" s="959" t="s">
        <v>3058</v>
      </c>
      <c r="B606" s="960" t="s">
        <v>3059</v>
      </c>
      <c r="C606" s="960" t="s">
        <v>4256</v>
      </c>
      <c r="D606" s="960" t="s">
        <v>1907</v>
      </c>
      <c r="E606" s="959">
        <v>4</v>
      </c>
      <c r="F606" s="959">
        <v>54</v>
      </c>
      <c r="G606" s="959">
        <v>4</v>
      </c>
      <c r="H606" s="959">
        <v>51</v>
      </c>
    </row>
    <row r="607" spans="1:8">
      <c r="A607" s="959" t="s">
        <v>3060</v>
      </c>
      <c r="B607" s="960" t="s">
        <v>838</v>
      </c>
      <c r="C607" s="960" t="s">
        <v>4256</v>
      </c>
      <c r="D607" s="960" t="s">
        <v>4259</v>
      </c>
      <c r="E607" s="959">
        <v>0</v>
      </c>
      <c r="F607" s="959">
        <v>0</v>
      </c>
      <c r="G607" s="959">
        <v>0</v>
      </c>
      <c r="H607" s="959">
        <v>1</v>
      </c>
    </row>
    <row r="608" spans="1:8">
      <c r="A608" s="959" t="s">
        <v>3060</v>
      </c>
      <c r="B608" s="960" t="s">
        <v>838</v>
      </c>
      <c r="C608" s="960" t="s">
        <v>4256</v>
      </c>
      <c r="D608" s="960" t="s">
        <v>4260</v>
      </c>
      <c r="E608" s="959">
        <v>0</v>
      </c>
      <c r="F608" s="959">
        <v>0</v>
      </c>
      <c r="G608" s="959">
        <v>0</v>
      </c>
      <c r="H608" s="959">
        <v>1</v>
      </c>
    </row>
    <row r="609" spans="1:8">
      <c r="A609" s="959" t="s">
        <v>3060</v>
      </c>
      <c r="B609" s="960" t="s">
        <v>838</v>
      </c>
      <c r="C609" s="960" t="s">
        <v>4256</v>
      </c>
      <c r="D609" s="960" t="s">
        <v>1906</v>
      </c>
      <c r="E609" s="959">
        <v>0</v>
      </c>
      <c r="F609" s="959">
        <v>4</v>
      </c>
      <c r="G609" s="959">
        <v>0</v>
      </c>
      <c r="H609" s="959">
        <v>0</v>
      </c>
    </row>
    <row r="610" spans="1:8">
      <c r="A610" s="959" t="s">
        <v>3060</v>
      </c>
      <c r="B610" s="960" t="s">
        <v>838</v>
      </c>
      <c r="C610" s="960" t="s">
        <v>4256</v>
      </c>
      <c r="D610" s="960" t="s">
        <v>1907</v>
      </c>
      <c r="E610" s="959">
        <v>0</v>
      </c>
      <c r="F610" s="959">
        <v>5</v>
      </c>
      <c r="G610" s="959">
        <v>0</v>
      </c>
      <c r="H610" s="959">
        <v>0</v>
      </c>
    </row>
    <row r="611" spans="1:8">
      <c r="A611" s="959" t="s">
        <v>3060</v>
      </c>
      <c r="B611" s="960" t="s">
        <v>838</v>
      </c>
      <c r="C611" s="960" t="s">
        <v>4257</v>
      </c>
      <c r="D611" s="960" t="s">
        <v>4258</v>
      </c>
      <c r="E611" s="959">
        <v>2</v>
      </c>
      <c r="F611" s="959">
        <v>40</v>
      </c>
      <c r="G611" s="959">
        <v>0</v>
      </c>
      <c r="H611" s="959">
        <v>0</v>
      </c>
    </row>
    <row r="612" spans="1:8">
      <c r="A612" s="959" t="s">
        <v>3060</v>
      </c>
      <c r="B612" s="960" t="s">
        <v>838</v>
      </c>
      <c r="C612" s="960" t="s">
        <v>4262</v>
      </c>
      <c r="D612" s="960" t="s">
        <v>4263</v>
      </c>
      <c r="E612" s="959">
        <v>0</v>
      </c>
      <c r="F612" s="959">
        <v>3</v>
      </c>
      <c r="G612" s="959">
        <v>0</v>
      </c>
      <c r="H612" s="959">
        <v>0</v>
      </c>
    </row>
    <row r="613" spans="1:8">
      <c r="A613" s="959" t="s">
        <v>3061</v>
      </c>
      <c r="B613" s="960" t="s">
        <v>3062</v>
      </c>
      <c r="C613" s="960" t="s">
        <v>4256</v>
      </c>
      <c r="D613" s="960" t="s">
        <v>1906</v>
      </c>
      <c r="E613" s="959">
        <v>0</v>
      </c>
      <c r="F613" s="959">
        <v>4</v>
      </c>
      <c r="G613" s="959">
        <v>0</v>
      </c>
      <c r="H613" s="959">
        <v>0</v>
      </c>
    </row>
    <row r="614" spans="1:8">
      <c r="A614" s="959" t="s">
        <v>3061</v>
      </c>
      <c r="B614" s="960" t="s">
        <v>3062</v>
      </c>
      <c r="C614" s="960" t="s">
        <v>4256</v>
      </c>
      <c r="D614" s="960" t="s">
        <v>4264</v>
      </c>
      <c r="E614" s="959">
        <v>0</v>
      </c>
      <c r="F614" s="959">
        <v>0</v>
      </c>
      <c r="G614" s="959">
        <v>0</v>
      </c>
      <c r="H614" s="959">
        <v>4</v>
      </c>
    </row>
    <row r="615" spans="1:8">
      <c r="A615" s="959" t="s">
        <v>3061</v>
      </c>
      <c r="B615" s="960" t="s">
        <v>3062</v>
      </c>
      <c r="C615" s="960" t="s">
        <v>4257</v>
      </c>
      <c r="D615" s="960" t="s">
        <v>4258</v>
      </c>
      <c r="E615" s="959">
        <v>2</v>
      </c>
      <c r="F615" s="959">
        <v>20</v>
      </c>
      <c r="G615" s="959">
        <v>0</v>
      </c>
      <c r="H615" s="959">
        <v>0</v>
      </c>
    </row>
    <row r="616" spans="1:8">
      <c r="A616" s="959" t="s">
        <v>3061</v>
      </c>
      <c r="B616" s="960" t="s">
        <v>3062</v>
      </c>
      <c r="C616" s="960" t="s">
        <v>4262</v>
      </c>
      <c r="D616" s="960" t="s">
        <v>4263</v>
      </c>
      <c r="E616" s="959">
        <v>0</v>
      </c>
      <c r="F616" s="959">
        <v>2</v>
      </c>
      <c r="G616" s="959">
        <v>0</v>
      </c>
      <c r="H616" s="959">
        <v>0</v>
      </c>
    </row>
    <row r="617" spans="1:8">
      <c r="A617" s="959" t="s">
        <v>3063</v>
      </c>
      <c r="B617" s="960" t="s">
        <v>3064</v>
      </c>
      <c r="C617" s="960" t="s">
        <v>4256</v>
      </c>
      <c r="D617" s="960" t="s">
        <v>470</v>
      </c>
      <c r="E617" s="959">
        <v>0</v>
      </c>
      <c r="F617" s="959">
        <v>0</v>
      </c>
      <c r="G617" s="959">
        <v>0</v>
      </c>
      <c r="H617" s="959">
        <v>1</v>
      </c>
    </row>
    <row r="618" spans="1:8">
      <c r="A618" s="959" t="s">
        <v>3063</v>
      </c>
      <c r="B618" s="960" t="s">
        <v>3064</v>
      </c>
      <c r="C618" s="960" t="s">
        <v>4256</v>
      </c>
      <c r="D618" s="960" t="s">
        <v>4259</v>
      </c>
      <c r="E618" s="959">
        <v>0</v>
      </c>
      <c r="F618" s="959">
        <v>0</v>
      </c>
      <c r="G618" s="959">
        <v>0</v>
      </c>
      <c r="H618" s="959">
        <v>1</v>
      </c>
    </row>
    <row r="619" spans="1:8">
      <c r="A619" s="959" t="s">
        <v>3063</v>
      </c>
      <c r="B619" s="960" t="s">
        <v>3064</v>
      </c>
      <c r="C619" s="960" t="s">
        <v>4256</v>
      </c>
      <c r="D619" s="960" t="s">
        <v>4260</v>
      </c>
      <c r="E619" s="959">
        <v>0</v>
      </c>
      <c r="F619" s="959">
        <v>0</v>
      </c>
      <c r="G619" s="959">
        <v>1</v>
      </c>
      <c r="H619" s="959">
        <v>13</v>
      </c>
    </row>
    <row r="620" spans="1:8">
      <c r="A620" s="959" t="s">
        <v>3063</v>
      </c>
      <c r="B620" s="960" t="s">
        <v>3064</v>
      </c>
      <c r="C620" s="960" t="s">
        <v>4256</v>
      </c>
      <c r="D620" s="960" t="s">
        <v>1906</v>
      </c>
      <c r="E620" s="959">
        <v>1</v>
      </c>
      <c r="F620" s="959">
        <v>52</v>
      </c>
      <c r="G620" s="959">
        <v>2</v>
      </c>
      <c r="H620" s="959">
        <v>21</v>
      </c>
    </row>
    <row r="621" spans="1:8">
      <c r="A621" s="959" t="s">
        <v>3063</v>
      </c>
      <c r="B621" s="960" t="s">
        <v>3064</v>
      </c>
      <c r="C621" s="960" t="s">
        <v>4257</v>
      </c>
      <c r="D621" s="960" t="s">
        <v>4258</v>
      </c>
      <c r="E621" s="959">
        <v>5</v>
      </c>
      <c r="F621" s="959">
        <v>204</v>
      </c>
      <c r="G621" s="959">
        <v>15</v>
      </c>
      <c r="H621" s="959">
        <v>222</v>
      </c>
    </row>
    <row r="622" spans="1:8">
      <c r="A622" s="959" t="s">
        <v>3065</v>
      </c>
      <c r="B622" s="960" t="s">
        <v>3066</v>
      </c>
      <c r="C622" s="960" t="s">
        <v>4275</v>
      </c>
      <c r="D622" s="960" t="s">
        <v>4276</v>
      </c>
      <c r="E622" s="959">
        <v>2</v>
      </c>
      <c r="F622" s="959">
        <v>30</v>
      </c>
      <c r="G622" s="959">
        <v>0</v>
      </c>
      <c r="H622" s="959">
        <v>0</v>
      </c>
    </row>
    <row r="623" spans="1:8">
      <c r="A623" s="959" t="s">
        <v>3065</v>
      </c>
      <c r="B623" s="960" t="s">
        <v>3066</v>
      </c>
      <c r="C623" s="960" t="s">
        <v>4256</v>
      </c>
      <c r="D623" s="960" t="s">
        <v>4260</v>
      </c>
      <c r="E623" s="959">
        <v>0</v>
      </c>
      <c r="F623" s="959">
        <v>0</v>
      </c>
      <c r="G623" s="959">
        <v>0</v>
      </c>
      <c r="H623" s="959">
        <v>1</v>
      </c>
    </row>
    <row r="624" spans="1:8">
      <c r="A624" s="959" t="s">
        <v>3065</v>
      </c>
      <c r="B624" s="960" t="s">
        <v>3066</v>
      </c>
      <c r="C624" s="960" t="s">
        <v>4256</v>
      </c>
      <c r="D624" s="960" t="s">
        <v>1906</v>
      </c>
      <c r="E624" s="959">
        <v>3</v>
      </c>
      <c r="F624" s="959">
        <v>45</v>
      </c>
      <c r="G624" s="959">
        <v>2</v>
      </c>
      <c r="H624" s="959">
        <v>31</v>
      </c>
    </row>
    <row r="625" spans="1:8">
      <c r="A625" s="959" t="s">
        <v>3065</v>
      </c>
      <c r="B625" s="960" t="s">
        <v>3066</v>
      </c>
      <c r="C625" s="960" t="s">
        <v>4257</v>
      </c>
      <c r="D625" s="960" t="s">
        <v>4258</v>
      </c>
      <c r="E625" s="959">
        <v>12</v>
      </c>
      <c r="F625" s="959">
        <v>209</v>
      </c>
      <c r="G625" s="959">
        <v>1</v>
      </c>
      <c r="H625" s="959">
        <v>13</v>
      </c>
    </row>
    <row r="626" spans="1:8">
      <c r="A626" s="959" t="s">
        <v>3065</v>
      </c>
      <c r="B626" s="960" t="s">
        <v>3066</v>
      </c>
      <c r="C626" s="960" t="s">
        <v>4262</v>
      </c>
      <c r="D626" s="960" t="s">
        <v>4263</v>
      </c>
      <c r="E626" s="959">
        <v>26</v>
      </c>
      <c r="F626" s="959">
        <v>391</v>
      </c>
      <c r="G626" s="959">
        <v>0</v>
      </c>
      <c r="H626" s="959">
        <v>11</v>
      </c>
    </row>
    <row r="627" spans="1:8">
      <c r="A627" s="959" t="s">
        <v>3067</v>
      </c>
      <c r="B627" s="960" t="s">
        <v>3068</v>
      </c>
      <c r="C627" s="960" t="s">
        <v>4257</v>
      </c>
      <c r="D627" s="960" t="s">
        <v>4258</v>
      </c>
      <c r="E627" s="959">
        <v>0</v>
      </c>
      <c r="F627" s="959">
        <v>17</v>
      </c>
      <c r="G627" s="959">
        <v>0</v>
      </c>
      <c r="H627" s="959">
        <v>0</v>
      </c>
    </row>
    <row r="628" spans="1:8">
      <c r="A628" s="959" t="s">
        <v>3067</v>
      </c>
      <c r="B628" s="960" t="s">
        <v>3068</v>
      </c>
      <c r="C628" s="960" t="s">
        <v>4262</v>
      </c>
      <c r="D628" s="960" t="s">
        <v>4263</v>
      </c>
      <c r="E628" s="959">
        <v>0</v>
      </c>
      <c r="F628" s="959">
        <v>2</v>
      </c>
      <c r="G628" s="959">
        <v>0</v>
      </c>
      <c r="H628" s="959">
        <v>0</v>
      </c>
    </row>
    <row r="629" spans="1:8">
      <c r="A629" s="959" t="s">
        <v>3067</v>
      </c>
      <c r="B629" s="960" t="s">
        <v>3068</v>
      </c>
      <c r="C629" s="960" t="s">
        <v>4267</v>
      </c>
      <c r="D629" s="960" t="s">
        <v>4268</v>
      </c>
      <c r="E629" s="959">
        <v>0</v>
      </c>
      <c r="F629" s="959">
        <v>0</v>
      </c>
      <c r="G629" s="959">
        <v>0</v>
      </c>
      <c r="H629" s="959">
        <v>1</v>
      </c>
    </row>
    <row r="630" spans="1:8">
      <c r="A630" s="959" t="s">
        <v>3069</v>
      </c>
      <c r="B630" s="960" t="s">
        <v>3070</v>
      </c>
      <c r="C630" s="960" t="s">
        <v>4257</v>
      </c>
      <c r="D630" s="960" t="s">
        <v>4258</v>
      </c>
      <c r="E630" s="959">
        <v>1</v>
      </c>
      <c r="F630" s="959">
        <v>14</v>
      </c>
      <c r="G630" s="959">
        <v>0</v>
      </c>
      <c r="H630" s="959">
        <v>0</v>
      </c>
    </row>
    <row r="631" spans="1:8">
      <c r="A631" s="959" t="s">
        <v>3069</v>
      </c>
      <c r="B631" s="960" t="s">
        <v>3070</v>
      </c>
      <c r="C631" s="960" t="s">
        <v>4262</v>
      </c>
      <c r="D631" s="960" t="s">
        <v>4263</v>
      </c>
      <c r="E631" s="959">
        <v>0</v>
      </c>
      <c r="F631" s="959">
        <v>7</v>
      </c>
      <c r="G631" s="959">
        <v>0</v>
      </c>
      <c r="H631" s="959">
        <v>0</v>
      </c>
    </row>
    <row r="632" spans="1:8">
      <c r="A632" s="959" t="s">
        <v>3071</v>
      </c>
      <c r="B632" s="960" t="s">
        <v>3072</v>
      </c>
      <c r="C632" s="960" t="s">
        <v>4256</v>
      </c>
      <c r="D632" s="960" t="s">
        <v>1906</v>
      </c>
      <c r="E632" s="959">
        <v>10</v>
      </c>
      <c r="F632" s="959">
        <v>61</v>
      </c>
      <c r="G632" s="959">
        <v>0</v>
      </c>
      <c r="H632" s="959">
        <v>0</v>
      </c>
    </row>
    <row r="633" spans="1:8">
      <c r="A633" s="959" t="s">
        <v>3071</v>
      </c>
      <c r="B633" s="960" t="s">
        <v>3072</v>
      </c>
      <c r="C633" s="960" t="s">
        <v>4257</v>
      </c>
      <c r="D633" s="960" t="s">
        <v>4258</v>
      </c>
      <c r="E633" s="959">
        <v>5</v>
      </c>
      <c r="F633" s="959">
        <v>33</v>
      </c>
      <c r="G633" s="959">
        <v>0</v>
      </c>
      <c r="H633" s="959">
        <v>0</v>
      </c>
    </row>
    <row r="634" spans="1:8">
      <c r="A634" s="959" t="s">
        <v>3071</v>
      </c>
      <c r="B634" s="960" t="s">
        <v>3072</v>
      </c>
      <c r="C634" s="960" t="s">
        <v>4262</v>
      </c>
      <c r="D634" s="960" t="s">
        <v>4263</v>
      </c>
      <c r="E634" s="959">
        <v>7</v>
      </c>
      <c r="F634" s="959">
        <v>168</v>
      </c>
      <c r="G634" s="959">
        <v>0</v>
      </c>
      <c r="H634" s="959">
        <v>0</v>
      </c>
    </row>
    <row r="635" spans="1:8">
      <c r="A635" s="959" t="s">
        <v>3073</v>
      </c>
      <c r="B635" s="960" t="s">
        <v>1074</v>
      </c>
      <c r="C635" s="960" t="s">
        <v>4256</v>
      </c>
      <c r="D635" s="960" t="s">
        <v>470</v>
      </c>
      <c r="E635" s="959">
        <v>0</v>
      </c>
      <c r="F635" s="959">
        <v>0</v>
      </c>
      <c r="G635" s="959">
        <v>1</v>
      </c>
      <c r="H635" s="959">
        <v>3</v>
      </c>
    </row>
    <row r="636" spans="1:8">
      <c r="A636" s="959" t="s">
        <v>3073</v>
      </c>
      <c r="B636" s="960" t="s">
        <v>1074</v>
      </c>
      <c r="C636" s="960" t="s">
        <v>4256</v>
      </c>
      <c r="D636" s="960" t="s">
        <v>1904</v>
      </c>
      <c r="E636" s="959">
        <v>0</v>
      </c>
      <c r="F636" s="959">
        <v>0</v>
      </c>
      <c r="G636" s="959">
        <v>0</v>
      </c>
      <c r="H636" s="959">
        <v>1</v>
      </c>
    </row>
    <row r="637" spans="1:8">
      <c r="A637" s="959" t="s">
        <v>3073</v>
      </c>
      <c r="B637" s="960" t="s">
        <v>1074</v>
      </c>
      <c r="C637" s="960" t="s">
        <v>4256</v>
      </c>
      <c r="D637" s="960" t="s">
        <v>4260</v>
      </c>
      <c r="E637" s="959">
        <v>0</v>
      </c>
      <c r="F637" s="959">
        <v>0</v>
      </c>
      <c r="G637" s="959">
        <v>3</v>
      </c>
      <c r="H637" s="959">
        <v>0</v>
      </c>
    </row>
    <row r="638" spans="1:8">
      <c r="A638" s="959" t="s">
        <v>3073</v>
      </c>
      <c r="B638" s="960" t="s">
        <v>1074</v>
      </c>
      <c r="C638" s="960" t="s">
        <v>4257</v>
      </c>
      <c r="D638" s="960" t="s">
        <v>4258</v>
      </c>
      <c r="E638" s="959">
        <v>0</v>
      </c>
      <c r="F638" s="959">
        <v>1</v>
      </c>
      <c r="G638" s="959">
        <v>0</v>
      </c>
      <c r="H638" s="959">
        <v>0</v>
      </c>
    </row>
    <row r="639" spans="1:8">
      <c r="A639" s="959" t="s">
        <v>3073</v>
      </c>
      <c r="B639" s="960" t="s">
        <v>1074</v>
      </c>
      <c r="C639" s="960" t="s">
        <v>4262</v>
      </c>
      <c r="D639" s="960" t="s">
        <v>4263</v>
      </c>
      <c r="E639" s="959">
        <v>0</v>
      </c>
      <c r="F639" s="959">
        <v>8</v>
      </c>
      <c r="G639" s="959">
        <v>0</v>
      </c>
      <c r="H639" s="959">
        <v>1</v>
      </c>
    </row>
    <row r="640" spans="1:8">
      <c r="A640" s="959" t="s">
        <v>3073</v>
      </c>
      <c r="B640" s="960" t="s">
        <v>1074</v>
      </c>
      <c r="C640" s="960" t="s">
        <v>4267</v>
      </c>
      <c r="D640" s="960" t="s">
        <v>4268</v>
      </c>
      <c r="E640" s="959">
        <v>0</v>
      </c>
      <c r="F640" s="959">
        <v>0</v>
      </c>
      <c r="G640" s="959">
        <v>0</v>
      </c>
      <c r="H640" s="959">
        <v>4</v>
      </c>
    </row>
    <row r="641" spans="1:8">
      <c r="A641" s="959" t="s">
        <v>3074</v>
      </c>
      <c r="B641" s="960" t="s">
        <v>3075</v>
      </c>
      <c r="C641" s="960" t="s">
        <v>4256</v>
      </c>
      <c r="D641" s="960" t="s">
        <v>4259</v>
      </c>
      <c r="E641" s="959">
        <v>0</v>
      </c>
      <c r="F641" s="959">
        <v>0</v>
      </c>
      <c r="G641" s="959">
        <v>0</v>
      </c>
      <c r="H641" s="959">
        <v>7</v>
      </c>
    </row>
    <row r="642" spans="1:8">
      <c r="A642" s="959" t="s">
        <v>3074</v>
      </c>
      <c r="B642" s="960" t="s">
        <v>3075</v>
      </c>
      <c r="C642" s="960" t="s">
        <v>4256</v>
      </c>
      <c r="D642" s="960" t="s">
        <v>1906</v>
      </c>
      <c r="E642" s="959">
        <v>0</v>
      </c>
      <c r="F642" s="959">
        <v>1</v>
      </c>
      <c r="G642" s="959">
        <v>0</v>
      </c>
      <c r="H642" s="959">
        <v>0</v>
      </c>
    </row>
    <row r="643" spans="1:8">
      <c r="A643" s="959" t="s">
        <v>3074</v>
      </c>
      <c r="B643" s="960" t="s">
        <v>3075</v>
      </c>
      <c r="C643" s="960" t="s">
        <v>4257</v>
      </c>
      <c r="D643" s="960" t="s">
        <v>4258</v>
      </c>
      <c r="E643" s="959">
        <v>1</v>
      </c>
      <c r="F643" s="959">
        <v>16</v>
      </c>
      <c r="G643" s="959">
        <v>0</v>
      </c>
      <c r="H643" s="959">
        <v>0</v>
      </c>
    </row>
    <row r="644" spans="1:8">
      <c r="A644" s="959" t="s">
        <v>3076</v>
      </c>
      <c r="B644" s="960" t="s">
        <v>3077</v>
      </c>
      <c r="C644" s="960" t="s">
        <v>4275</v>
      </c>
      <c r="D644" s="960" t="s">
        <v>4276</v>
      </c>
      <c r="E644" s="959">
        <v>1</v>
      </c>
      <c r="F644" s="959">
        <v>32</v>
      </c>
      <c r="G644" s="959">
        <v>0</v>
      </c>
      <c r="H644" s="959">
        <v>1</v>
      </c>
    </row>
    <row r="645" spans="1:8">
      <c r="A645" s="959" t="s">
        <v>3076</v>
      </c>
      <c r="B645" s="960" t="s">
        <v>3077</v>
      </c>
      <c r="C645" s="960" t="s">
        <v>4256</v>
      </c>
      <c r="D645" s="960" t="s">
        <v>4260</v>
      </c>
      <c r="E645" s="959">
        <v>0</v>
      </c>
      <c r="F645" s="959">
        <v>0</v>
      </c>
      <c r="G645" s="959">
        <v>0</v>
      </c>
      <c r="H645" s="959">
        <v>4</v>
      </c>
    </row>
    <row r="646" spans="1:8">
      <c r="A646" s="959" t="s">
        <v>3076</v>
      </c>
      <c r="B646" s="960" t="s">
        <v>3077</v>
      </c>
      <c r="C646" s="960" t="s">
        <v>4256</v>
      </c>
      <c r="D646" s="960" t="s">
        <v>1906</v>
      </c>
      <c r="E646" s="959">
        <v>1</v>
      </c>
      <c r="F646" s="959">
        <v>60</v>
      </c>
      <c r="G646" s="959">
        <v>0</v>
      </c>
      <c r="H646" s="959">
        <v>0</v>
      </c>
    </row>
    <row r="647" spans="1:8">
      <c r="A647" s="959" t="s">
        <v>3076</v>
      </c>
      <c r="B647" s="960" t="s">
        <v>3077</v>
      </c>
      <c r="C647" s="960" t="s">
        <v>4256</v>
      </c>
      <c r="D647" s="960" t="s">
        <v>1907</v>
      </c>
      <c r="E647" s="959">
        <v>0</v>
      </c>
      <c r="F647" s="959">
        <v>4</v>
      </c>
      <c r="G647" s="959">
        <v>0</v>
      </c>
      <c r="H647" s="959">
        <v>0</v>
      </c>
    </row>
    <row r="648" spans="1:8">
      <c r="A648" s="959" t="s">
        <v>3076</v>
      </c>
      <c r="B648" s="960" t="s">
        <v>3077</v>
      </c>
      <c r="C648" s="960" t="s">
        <v>4257</v>
      </c>
      <c r="D648" s="960" t="s">
        <v>4258</v>
      </c>
      <c r="E648" s="959">
        <v>8</v>
      </c>
      <c r="F648" s="959">
        <v>190</v>
      </c>
      <c r="G648" s="959">
        <v>0</v>
      </c>
      <c r="H648" s="959">
        <v>7</v>
      </c>
    </row>
    <row r="649" spans="1:8">
      <c r="A649" s="959" t="s">
        <v>3076</v>
      </c>
      <c r="B649" s="960" t="s">
        <v>3077</v>
      </c>
      <c r="C649" s="960" t="s">
        <v>4262</v>
      </c>
      <c r="D649" s="960" t="s">
        <v>4263</v>
      </c>
      <c r="E649" s="959">
        <v>12</v>
      </c>
      <c r="F649" s="959">
        <v>191</v>
      </c>
      <c r="G649" s="959">
        <v>0</v>
      </c>
      <c r="H649" s="959">
        <v>7</v>
      </c>
    </row>
    <row r="650" spans="1:8">
      <c r="A650" s="959" t="s">
        <v>3078</v>
      </c>
      <c r="B650" s="960" t="s">
        <v>3079</v>
      </c>
      <c r="C650" s="960" t="s">
        <v>4256</v>
      </c>
      <c r="D650" s="960" t="s">
        <v>470</v>
      </c>
      <c r="E650" s="959">
        <v>0</v>
      </c>
      <c r="F650" s="959">
        <v>0</v>
      </c>
      <c r="G650" s="959">
        <v>4</v>
      </c>
      <c r="H650" s="959">
        <v>15</v>
      </c>
    </row>
    <row r="651" spans="1:8">
      <c r="A651" s="959" t="s">
        <v>3078</v>
      </c>
      <c r="B651" s="960" t="s">
        <v>3079</v>
      </c>
      <c r="C651" s="960" t="s">
        <v>4267</v>
      </c>
      <c r="D651" s="960" t="s">
        <v>4268</v>
      </c>
      <c r="E651" s="959">
        <v>0</v>
      </c>
      <c r="F651" s="959">
        <v>0</v>
      </c>
      <c r="G651" s="959">
        <v>0</v>
      </c>
      <c r="H651" s="959">
        <v>48</v>
      </c>
    </row>
    <row r="652" spans="1:8">
      <c r="A652" s="959" t="s">
        <v>3080</v>
      </c>
      <c r="B652" s="960" t="s">
        <v>3081</v>
      </c>
      <c r="C652" s="960" t="s">
        <v>4256</v>
      </c>
      <c r="D652" s="960" t="s">
        <v>470</v>
      </c>
      <c r="E652" s="959">
        <v>0</v>
      </c>
      <c r="F652" s="959">
        <v>1</v>
      </c>
      <c r="G652" s="959">
        <v>11</v>
      </c>
      <c r="H652" s="959">
        <v>60</v>
      </c>
    </row>
    <row r="653" spans="1:8">
      <c r="A653" s="959" t="s">
        <v>3080</v>
      </c>
      <c r="B653" s="960" t="s">
        <v>3081</v>
      </c>
      <c r="C653" s="960" t="s">
        <v>4256</v>
      </c>
      <c r="D653" s="960" t="s">
        <v>1904</v>
      </c>
      <c r="E653" s="959">
        <v>0</v>
      </c>
      <c r="F653" s="959">
        <v>0</v>
      </c>
      <c r="G653" s="959">
        <v>34</v>
      </c>
      <c r="H653" s="959">
        <v>154</v>
      </c>
    </row>
    <row r="654" spans="1:8">
      <c r="A654" s="959" t="s">
        <v>3080</v>
      </c>
      <c r="B654" s="960" t="s">
        <v>3081</v>
      </c>
      <c r="C654" s="960" t="s">
        <v>4256</v>
      </c>
      <c r="D654" s="960" t="s">
        <v>4270</v>
      </c>
      <c r="E654" s="959">
        <v>0</v>
      </c>
      <c r="F654" s="959">
        <v>0</v>
      </c>
      <c r="G654" s="959">
        <v>5</v>
      </c>
      <c r="H654" s="959">
        <v>25</v>
      </c>
    </row>
    <row r="655" spans="1:8">
      <c r="A655" s="959" t="s">
        <v>3080</v>
      </c>
      <c r="B655" s="960" t="s">
        <v>3081</v>
      </c>
      <c r="C655" s="960" t="s">
        <v>4256</v>
      </c>
      <c r="D655" s="960" t="s">
        <v>4260</v>
      </c>
      <c r="E655" s="959">
        <v>0</v>
      </c>
      <c r="F655" s="959">
        <v>0</v>
      </c>
      <c r="G655" s="959">
        <v>5</v>
      </c>
      <c r="H655" s="959">
        <v>84</v>
      </c>
    </row>
    <row r="656" spans="1:8">
      <c r="A656" s="959" t="s">
        <v>3080</v>
      </c>
      <c r="B656" s="960" t="s">
        <v>3081</v>
      </c>
      <c r="C656" s="960" t="s">
        <v>4256</v>
      </c>
      <c r="D656" s="960" t="s">
        <v>4265</v>
      </c>
      <c r="E656" s="959">
        <v>0</v>
      </c>
      <c r="F656" s="959">
        <v>0</v>
      </c>
      <c r="G656" s="959">
        <v>0</v>
      </c>
      <c r="H656" s="959">
        <v>7</v>
      </c>
    </row>
    <row r="657" spans="1:8">
      <c r="A657" s="959" t="s">
        <v>3080</v>
      </c>
      <c r="B657" s="960" t="s">
        <v>3081</v>
      </c>
      <c r="C657" s="960" t="s">
        <v>4256</v>
      </c>
      <c r="D657" s="960" t="s">
        <v>4271</v>
      </c>
      <c r="E657" s="959">
        <v>0</v>
      </c>
      <c r="F657" s="959">
        <v>0</v>
      </c>
      <c r="G657" s="959">
        <v>0</v>
      </c>
      <c r="H657" s="959">
        <v>1</v>
      </c>
    </row>
    <row r="658" spans="1:8">
      <c r="A658" s="959" t="s">
        <v>3080</v>
      </c>
      <c r="B658" s="960" t="s">
        <v>3081</v>
      </c>
      <c r="C658" s="960" t="s">
        <v>4256</v>
      </c>
      <c r="D658" s="960" t="s">
        <v>1906</v>
      </c>
      <c r="E658" s="959">
        <v>34</v>
      </c>
      <c r="F658" s="959">
        <v>446</v>
      </c>
      <c r="G658" s="959">
        <v>4</v>
      </c>
      <c r="H658" s="959">
        <v>49</v>
      </c>
    </row>
    <row r="659" spans="1:8">
      <c r="A659" s="959" t="s">
        <v>3080</v>
      </c>
      <c r="B659" s="960" t="s">
        <v>3081</v>
      </c>
      <c r="C659" s="960" t="s">
        <v>4256</v>
      </c>
      <c r="D659" s="960" t="s">
        <v>4264</v>
      </c>
      <c r="E659" s="959">
        <v>0</v>
      </c>
      <c r="F659" s="959">
        <v>0</v>
      </c>
      <c r="G659" s="959">
        <v>0</v>
      </c>
      <c r="H659" s="959">
        <v>1</v>
      </c>
    </row>
    <row r="660" spans="1:8">
      <c r="A660" s="959" t="s">
        <v>3080</v>
      </c>
      <c r="B660" s="960" t="s">
        <v>3081</v>
      </c>
      <c r="C660" s="960" t="s">
        <v>4256</v>
      </c>
      <c r="D660" s="960" t="s">
        <v>4261</v>
      </c>
      <c r="E660" s="959">
        <v>0</v>
      </c>
      <c r="F660" s="959">
        <v>0</v>
      </c>
      <c r="G660" s="959">
        <v>0</v>
      </c>
      <c r="H660" s="959">
        <v>78</v>
      </c>
    </row>
    <row r="661" spans="1:8">
      <c r="A661" s="959" t="s">
        <v>3080</v>
      </c>
      <c r="B661" s="960" t="s">
        <v>3081</v>
      </c>
      <c r="C661" s="960" t="s">
        <v>4256</v>
      </c>
      <c r="D661" s="960" t="s">
        <v>4274</v>
      </c>
      <c r="E661" s="959">
        <v>2</v>
      </c>
      <c r="F661" s="959">
        <v>38</v>
      </c>
      <c r="G661" s="959">
        <v>0</v>
      </c>
      <c r="H661" s="959">
        <v>0</v>
      </c>
    </row>
    <row r="662" spans="1:8">
      <c r="A662" s="959" t="s">
        <v>3080</v>
      </c>
      <c r="B662" s="960" t="s">
        <v>3081</v>
      </c>
      <c r="C662" s="960" t="s">
        <v>4257</v>
      </c>
      <c r="D662" s="960" t="s">
        <v>4258</v>
      </c>
      <c r="E662" s="959">
        <v>79</v>
      </c>
      <c r="F662" s="959">
        <v>1429</v>
      </c>
      <c r="G662" s="959">
        <v>5</v>
      </c>
      <c r="H662" s="959">
        <v>65</v>
      </c>
    </row>
    <row r="663" spans="1:8">
      <c r="A663" s="959" t="s">
        <v>3080</v>
      </c>
      <c r="B663" s="960" t="s">
        <v>3081</v>
      </c>
      <c r="C663" s="960" t="s">
        <v>4262</v>
      </c>
      <c r="D663" s="960" t="s">
        <v>4263</v>
      </c>
      <c r="E663" s="959">
        <v>0</v>
      </c>
      <c r="F663" s="959">
        <v>19</v>
      </c>
      <c r="G663" s="959">
        <v>0</v>
      </c>
      <c r="H663" s="959">
        <v>0</v>
      </c>
    </row>
    <row r="664" spans="1:8">
      <c r="A664" s="959" t="s">
        <v>3082</v>
      </c>
      <c r="B664" s="960" t="s">
        <v>3083</v>
      </c>
      <c r="C664" s="960" t="s">
        <v>4256</v>
      </c>
      <c r="D664" s="960" t="s">
        <v>1906</v>
      </c>
      <c r="E664" s="959">
        <v>0</v>
      </c>
      <c r="F664" s="959">
        <v>3</v>
      </c>
      <c r="G664" s="959">
        <v>0</v>
      </c>
      <c r="H664" s="959">
        <v>1</v>
      </c>
    </row>
    <row r="665" spans="1:8">
      <c r="A665" s="959" t="s">
        <v>3082</v>
      </c>
      <c r="B665" s="960" t="s">
        <v>3083</v>
      </c>
      <c r="C665" s="960" t="s">
        <v>4256</v>
      </c>
      <c r="D665" s="960" t="s">
        <v>1907</v>
      </c>
      <c r="E665" s="959">
        <v>0</v>
      </c>
      <c r="F665" s="959">
        <v>7</v>
      </c>
      <c r="G665" s="959">
        <v>3</v>
      </c>
      <c r="H665" s="959">
        <v>43</v>
      </c>
    </row>
    <row r="666" spans="1:8">
      <c r="A666" s="959" t="s">
        <v>3082</v>
      </c>
      <c r="B666" s="960" t="s">
        <v>3083</v>
      </c>
      <c r="C666" s="960" t="s">
        <v>4257</v>
      </c>
      <c r="D666" s="960" t="s">
        <v>4258</v>
      </c>
      <c r="E666" s="959">
        <v>2</v>
      </c>
      <c r="F666" s="959">
        <v>58</v>
      </c>
      <c r="G666" s="959">
        <v>3</v>
      </c>
      <c r="H666" s="959">
        <v>42</v>
      </c>
    </row>
    <row r="667" spans="1:8">
      <c r="A667" s="959" t="s">
        <v>3084</v>
      </c>
      <c r="B667" s="960" t="s">
        <v>3085</v>
      </c>
      <c r="C667" s="960" t="s">
        <v>4257</v>
      </c>
      <c r="D667" s="960" t="s">
        <v>4258</v>
      </c>
      <c r="E667" s="959">
        <v>1</v>
      </c>
      <c r="F667" s="959">
        <v>13</v>
      </c>
      <c r="G667" s="959">
        <v>0</v>
      </c>
      <c r="H667" s="959">
        <v>0</v>
      </c>
    </row>
    <row r="668" spans="1:8">
      <c r="A668" s="959" t="s">
        <v>3084</v>
      </c>
      <c r="B668" s="960" t="s">
        <v>3085</v>
      </c>
      <c r="C668" s="960" t="s">
        <v>4262</v>
      </c>
      <c r="D668" s="960" t="s">
        <v>4263</v>
      </c>
      <c r="E668" s="959">
        <v>0</v>
      </c>
      <c r="F668" s="959">
        <v>5</v>
      </c>
      <c r="G668" s="959">
        <v>0</v>
      </c>
      <c r="H668" s="959">
        <v>0</v>
      </c>
    </row>
    <row r="669" spans="1:8">
      <c r="A669" s="959" t="s">
        <v>3087</v>
      </c>
      <c r="B669" s="960" t="s">
        <v>3088</v>
      </c>
      <c r="C669" s="960" t="s">
        <v>4256</v>
      </c>
      <c r="D669" s="960" t="s">
        <v>4259</v>
      </c>
      <c r="E669" s="959">
        <v>0</v>
      </c>
      <c r="F669" s="959">
        <v>0</v>
      </c>
      <c r="G669" s="959">
        <v>0</v>
      </c>
      <c r="H669" s="959">
        <v>3</v>
      </c>
    </row>
    <row r="670" spans="1:8">
      <c r="A670" s="959" t="s">
        <v>3087</v>
      </c>
      <c r="B670" s="960" t="s">
        <v>3088</v>
      </c>
      <c r="C670" s="960" t="s">
        <v>4256</v>
      </c>
      <c r="D670" s="960" t="s">
        <v>4260</v>
      </c>
      <c r="E670" s="959">
        <v>0</v>
      </c>
      <c r="F670" s="959">
        <v>0</v>
      </c>
      <c r="G670" s="959">
        <v>0</v>
      </c>
      <c r="H670" s="959">
        <v>14</v>
      </c>
    </row>
    <row r="671" spans="1:8">
      <c r="A671" s="959" t="s">
        <v>3087</v>
      </c>
      <c r="B671" s="960" t="s">
        <v>3088</v>
      </c>
      <c r="C671" s="960" t="s">
        <v>4256</v>
      </c>
      <c r="D671" s="960" t="s">
        <v>1906</v>
      </c>
      <c r="E671" s="959">
        <v>19</v>
      </c>
      <c r="F671" s="959">
        <v>447</v>
      </c>
      <c r="G671" s="959">
        <v>2</v>
      </c>
      <c r="H671" s="959">
        <v>26</v>
      </c>
    </row>
    <row r="672" spans="1:8">
      <c r="A672" s="959" t="s">
        <v>3087</v>
      </c>
      <c r="B672" s="960" t="s">
        <v>3088</v>
      </c>
      <c r="C672" s="960" t="s">
        <v>4257</v>
      </c>
      <c r="D672" s="960" t="s">
        <v>4285</v>
      </c>
      <c r="E672" s="959">
        <v>0</v>
      </c>
      <c r="F672" s="959">
        <v>26</v>
      </c>
      <c r="G672" s="959">
        <v>0</v>
      </c>
      <c r="H672" s="959">
        <v>3</v>
      </c>
    </row>
    <row r="673" spans="1:8">
      <c r="A673" s="959" t="s">
        <v>3087</v>
      </c>
      <c r="B673" s="960" t="s">
        <v>3088</v>
      </c>
      <c r="C673" s="960" t="s">
        <v>4257</v>
      </c>
      <c r="D673" s="960" t="s">
        <v>4258</v>
      </c>
      <c r="E673" s="959">
        <v>10</v>
      </c>
      <c r="F673" s="959">
        <v>156</v>
      </c>
      <c r="G673" s="959">
        <v>4</v>
      </c>
      <c r="H673" s="959">
        <v>46</v>
      </c>
    </row>
    <row r="674" spans="1:8">
      <c r="A674" s="959" t="s">
        <v>3087</v>
      </c>
      <c r="B674" s="960" t="s">
        <v>3088</v>
      </c>
      <c r="C674" s="960" t="s">
        <v>4262</v>
      </c>
      <c r="D674" s="960" t="s">
        <v>4263</v>
      </c>
      <c r="E674" s="959">
        <v>5</v>
      </c>
      <c r="F674" s="959">
        <v>393</v>
      </c>
      <c r="G674" s="959">
        <v>0</v>
      </c>
      <c r="H674" s="959">
        <v>13</v>
      </c>
    </row>
    <row r="675" spans="1:8">
      <c r="A675" s="959" t="s">
        <v>3089</v>
      </c>
      <c r="B675" s="960" t="s">
        <v>3090</v>
      </c>
      <c r="C675" s="960" t="s">
        <v>4275</v>
      </c>
      <c r="D675" s="960" t="s">
        <v>4276</v>
      </c>
      <c r="E675" s="959">
        <v>0</v>
      </c>
      <c r="F675" s="959">
        <v>8</v>
      </c>
      <c r="G675" s="959">
        <v>1</v>
      </c>
      <c r="H675" s="959">
        <v>8</v>
      </c>
    </row>
    <row r="676" spans="1:8">
      <c r="A676" s="959" t="s">
        <v>3089</v>
      </c>
      <c r="B676" s="960" t="s">
        <v>3090</v>
      </c>
      <c r="C676" s="960" t="s">
        <v>4277</v>
      </c>
      <c r="D676" s="960" t="s">
        <v>4278</v>
      </c>
      <c r="E676" s="959">
        <v>0</v>
      </c>
      <c r="F676" s="959">
        <v>0</v>
      </c>
      <c r="G676" s="959">
        <v>0</v>
      </c>
      <c r="H676" s="959">
        <v>2</v>
      </c>
    </row>
    <row r="677" spans="1:8">
      <c r="A677" s="959" t="s">
        <v>3089</v>
      </c>
      <c r="B677" s="960" t="s">
        <v>3090</v>
      </c>
      <c r="C677" s="960" t="s">
        <v>4256</v>
      </c>
      <c r="D677" s="960" t="s">
        <v>4269</v>
      </c>
      <c r="E677" s="959">
        <v>0</v>
      </c>
      <c r="F677" s="959">
        <v>0</v>
      </c>
      <c r="G677" s="959">
        <v>0</v>
      </c>
      <c r="H677" s="959">
        <v>1</v>
      </c>
    </row>
    <row r="678" spans="1:8">
      <c r="A678" s="959" t="s">
        <v>3089</v>
      </c>
      <c r="B678" s="960" t="s">
        <v>3090</v>
      </c>
      <c r="C678" s="960" t="s">
        <v>4256</v>
      </c>
      <c r="D678" s="960" t="s">
        <v>4260</v>
      </c>
      <c r="E678" s="959">
        <v>0</v>
      </c>
      <c r="F678" s="959">
        <v>0</v>
      </c>
      <c r="G678" s="959">
        <v>0</v>
      </c>
      <c r="H678" s="959">
        <v>5</v>
      </c>
    </row>
    <row r="679" spans="1:8">
      <c r="A679" s="959" t="s">
        <v>3089</v>
      </c>
      <c r="B679" s="960" t="s">
        <v>3090</v>
      </c>
      <c r="C679" s="960" t="s">
        <v>4256</v>
      </c>
      <c r="D679" s="960" t="s">
        <v>4265</v>
      </c>
      <c r="E679" s="959">
        <v>0</v>
      </c>
      <c r="F679" s="959">
        <v>0</v>
      </c>
      <c r="G679" s="959">
        <v>0</v>
      </c>
      <c r="H679" s="959">
        <v>2</v>
      </c>
    </row>
    <row r="680" spans="1:8">
      <c r="A680" s="959" t="s">
        <v>3089</v>
      </c>
      <c r="B680" s="960" t="s">
        <v>3090</v>
      </c>
      <c r="C680" s="960" t="s">
        <v>4256</v>
      </c>
      <c r="D680" s="960" t="s">
        <v>1906</v>
      </c>
      <c r="E680" s="959">
        <v>1</v>
      </c>
      <c r="F680" s="959">
        <v>13</v>
      </c>
      <c r="G680" s="959">
        <v>1</v>
      </c>
      <c r="H680" s="959">
        <v>12</v>
      </c>
    </row>
    <row r="681" spans="1:8">
      <c r="A681" s="959" t="s">
        <v>3089</v>
      </c>
      <c r="B681" s="960" t="s">
        <v>3090</v>
      </c>
      <c r="C681" s="960" t="s">
        <v>4256</v>
      </c>
      <c r="D681" s="960" t="s">
        <v>1907</v>
      </c>
      <c r="E681" s="959">
        <v>0</v>
      </c>
      <c r="F681" s="959">
        <v>9</v>
      </c>
      <c r="G681" s="959">
        <v>7</v>
      </c>
      <c r="H681" s="959">
        <v>74</v>
      </c>
    </row>
    <row r="682" spans="1:8">
      <c r="A682" s="959" t="s">
        <v>3089</v>
      </c>
      <c r="B682" s="960" t="s">
        <v>3090</v>
      </c>
      <c r="C682" s="960" t="s">
        <v>4257</v>
      </c>
      <c r="D682" s="960" t="s">
        <v>4258</v>
      </c>
      <c r="E682" s="959">
        <v>8</v>
      </c>
      <c r="F682" s="959">
        <v>123</v>
      </c>
      <c r="G682" s="959">
        <v>26</v>
      </c>
      <c r="H682" s="959">
        <v>329</v>
      </c>
    </row>
    <row r="683" spans="1:8">
      <c r="A683" s="959" t="s">
        <v>3089</v>
      </c>
      <c r="B683" s="960" t="s">
        <v>3090</v>
      </c>
      <c r="C683" s="960" t="s">
        <v>4262</v>
      </c>
      <c r="D683" s="960" t="s">
        <v>4263</v>
      </c>
      <c r="E683" s="959">
        <v>1</v>
      </c>
      <c r="F683" s="959">
        <v>10</v>
      </c>
      <c r="G683" s="959">
        <v>0</v>
      </c>
      <c r="H683" s="959">
        <v>0</v>
      </c>
    </row>
    <row r="684" spans="1:8">
      <c r="A684" s="959" t="s">
        <v>3091</v>
      </c>
      <c r="B684" s="960" t="s">
        <v>3092</v>
      </c>
      <c r="C684" s="960" t="s">
        <v>4256</v>
      </c>
      <c r="D684" s="960" t="s">
        <v>4265</v>
      </c>
      <c r="E684" s="959">
        <v>0</v>
      </c>
      <c r="F684" s="959">
        <v>0</v>
      </c>
      <c r="G684" s="959">
        <v>0</v>
      </c>
      <c r="H684" s="959">
        <v>3</v>
      </c>
    </row>
    <row r="685" spans="1:8">
      <c r="A685" s="959" t="s">
        <v>3091</v>
      </c>
      <c r="B685" s="960" t="s">
        <v>3092</v>
      </c>
      <c r="C685" s="960" t="s">
        <v>4256</v>
      </c>
      <c r="D685" s="960" t="s">
        <v>1906</v>
      </c>
      <c r="E685" s="959">
        <v>7</v>
      </c>
      <c r="F685" s="959">
        <v>107</v>
      </c>
      <c r="G685" s="959">
        <v>6</v>
      </c>
      <c r="H685" s="959">
        <v>87</v>
      </c>
    </row>
    <row r="686" spans="1:8">
      <c r="A686" s="959" t="s">
        <v>3091</v>
      </c>
      <c r="B686" s="960" t="s">
        <v>3092</v>
      </c>
      <c r="C686" s="960" t="s">
        <v>4256</v>
      </c>
      <c r="D686" s="960" t="s">
        <v>4264</v>
      </c>
      <c r="E686" s="959">
        <v>0</v>
      </c>
      <c r="F686" s="959">
        <v>1</v>
      </c>
      <c r="G686" s="959">
        <v>0</v>
      </c>
      <c r="H686" s="959">
        <v>6</v>
      </c>
    </row>
    <row r="687" spans="1:8">
      <c r="A687" s="959" t="s">
        <v>3091</v>
      </c>
      <c r="B687" s="960" t="s">
        <v>3092</v>
      </c>
      <c r="C687" s="960" t="s">
        <v>4257</v>
      </c>
      <c r="D687" s="960" t="s">
        <v>4258</v>
      </c>
      <c r="E687" s="959">
        <v>10</v>
      </c>
      <c r="F687" s="959">
        <v>149</v>
      </c>
      <c r="G687" s="959">
        <v>85</v>
      </c>
      <c r="H687" s="959">
        <v>1152</v>
      </c>
    </row>
    <row r="688" spans="1:8">
      <c r="A688" s="959" t="s">
        <v>3093</v>
      </c>
      <c r="B688" s="960" t="s">
        <v>3094</v>
      </c>
      <c r="C688" s="960" t="s">
        <v>4275</v>
      </c>
      <c r="D688" s="960" t="s">
        <v>4276</v>
      </c>
      <c r="E688" s="959">
        <v>1</v>
      </c>
      <c r="F688" s="959">
        <v>8</v>
      </c>
      <c r="G688" s="959">
        <v>0</v>
      </c>
      <c r="H688" s="959">
        <v>0</v>
      </c>
    </row>
    <row r="689" spans="1:8">
      <c r="A689" s="959" t="s">
        <v>3093</v>
      </c>
      <c r="B689" s="960" t="s">
        <v>3094</v>
      </c>
      <c r="C689" s="960" t="s">
        <v>4256</v>
      </c>
      <c r="D689" s="960" t="s">
        <v>4259</v>
      </c>
      <c r="E689" s="959">
        <v>0</v>
      </c>
      <c r="F689" s="959">
        <v>1</v>
      </c>
      <c r="G689" s="959">
        <v>1</v>
      </c>
      <c r="H689" s="959">
        <v>25</v>
      </c>
    </row>
    <row r="690" spans="1:8">
      <c r="A690" s="959" t="s">
        <v>3093</v>
      </c>
      <c r="B690" s="960" t="s">
        <v>3094</v>
      </c>
      <c r="C690" s="960" t="s">
        <v>4256</v>
      </c>
      <c r="D690" s="960" t="s">
        <v>1906</v>
      </c>
      <c r="E690" s="959">
        <v>3</v>
      </c>
      <c r="F690" s="959">
        <v>43</v>
      </c>
      <c r="G690" s="959">
        <v>2</v>
      </c>
      <c r="H690" s="959">
        <v>30</v>
      </c>
    </row>
    <row r="691" spans="1:8">
      <c r="A691" s="959" t="s">
        <v>3093</v>
      </c>
      <c r="B691" s="960" t="s">
        <v>3094</v>
      </c>
      <c r="C691" s="960" t="s">
        <v>4256</v>
      </c>
      <c r="D691" s="960" t="s">
        <v>1907</v>
      </c>
      <c r="E691" s="959">
        <v>0</v>
      </c>
      <c r="F691" s="959">
        <v>4</v>
      </c>
      <c r="G691" s="959">
        <v>0</v>
      </c>
      <c r="H691" s="959">
        <v>4</v>
      </c>
    </row>
    <row r="692" spans="1:8">
      <c r="A692" s="959" t="s">
        <v>3093</v>
      </c>
      <c r="B692" s="960" t="s">
        <v>3094</v>
      </c>
      <c r="C692" s="960" t="s">
        <v>4257</v>
      </c>
      <c r="D692" s="960" t="s">
        <v>4258</v>
      </c>
      <c r="E692" s="959">
        <v>7</v>
      </c>
      <c r="F692" s="959">
        <v>62</v>
      </c>
      <c r="G692" s="959">
        <v>0</v>
      </c>
      <c r="H692" s="959">
        <v>1</v>
      </c>
    </row>
    <row r="693" spans="1:8">
      <c r="A693" s="959" t="s">
        <v>3093</v>
      </c>
      <c r="B693" s="960" t="s">
        <v>3094</v>
      </c>
      <c r="C693" s="960" t="s">
        <v>4262</v>
      </c>
      <c r="D693" s="960" t="s">
        <v>4263</v>
      </c>
      <c r="E693" s="959">
        <v>21</v>
      </c>
      <c r="F693" s="959">
        <v>162</v>
      </c>
      <c r="G693" s="959">
        <v>0</v>
      </c>
      <c r="H693" s="959">
        <v>0</v>
      </c>
    </row>
    <row r="694" spans="1:8">
      <c r="A694" s="959" t="s">
        <v>3095</v>
      </c>
      <c r="B694" s="960" t="s">
        <v>3096</v>
      </c>
      <c r="C694" s="960" t="s">
        <v>4256</v>
      </c>
      <c r="D694" s="960" t="s">
        <v>4260</v>
      </c>
      <c r="E694" s="959">
        <v>0</v>
      </c>
      <c r="F694" s="959">
        <v>0</v>
      </c>
      <c r="G694" s="959">
        <v>0</v>
      </c>
      <c r="H694" s="959">
        <v>2</v>
      </c>
    </row>
    <row r="695" spans="1:8">
      <c r="A695" s="959" t="s">
        <v>3095</v>
      </c>
      <c r="B695" s="960" t="s">
        <v>3096</v>
      </c>
      <c r="C695" s="960" t="s">
        <v>4256</v>
      </c>
      <c r="D695" s="960" t="s">
        <v>1906</v>
      </c>
      <c r="E695" s="959">
        <v>0</v>
      </c>
      <c r="F695" s="959">
        <v>6</v>
      </c>
      <c r="G695" s="959">
        <v>0</v>
      </c>
      <c r="H695" s="959">
        <v>0</v>
      </c>
    </row>
    <row r="696" spans="1:8">
      <c r="A696" s="959" t="s">
        <v>3095</v>
      </c>
      <c r="B696" s="960" t="s">
        <v>3096</v>
      </c>
      <c r="C696" s="960" t="s">
        <v>4257</v>
      </c>
      <c r="D696" s="960" t="s">
        <v>4258</v>
      </c>
      <c r="E696" s="959">
        <v>4</v>
      </c>
      <c r="F696" s="959">
        <v>118</v>
      </c>
      <c r="G696" s="959">
        <v>0</v>
      </c>
      <c r="H696" s="959">
        <v>1</v>
      </c>
    </row>
    <row r="697" spans="1:8">
      <c r="A697" s="959" t="s">
        <v>3095</v>
      </c>
      <c r="B697" s="960" t="s">
        <v>3096</v>
      </c>
      <c r="C697" s="960" t="s">
        <v>4262</v>
      </c>
      <c r="D697" s="960" t="s">
        <v>4263</v>
      </c>
      <c r="E697" s="959">
        <v>0</v>
      </c>
      <c r="F697" s="959">
        <v>6</v>
      </c>
      <c r="G697" s="959">
        <v>0</v>
      </c>
      <c r="H697" s="959">
        <v>0</v>
      </c>
    </row>
    <row r="698" spans="1:8">
      <c r="A698" s="959" t="s">
        <v>3095</v>
      </c>
      <c r="B698" s="960" t="s">
        <v>3096</v>
      </c>
      <c r="C698" s="960" t="s">
        <v>4267</v>
      </c>
      <c r="D698" s="960" t="s">
        <v>4268</v>
      </c>
      <c r="E698" s="959">
        <v>0</v>
      </c>
      <c r="F698" s="959">
        <v>0</v>
      </c>
      <c r="G698" s="959">
        <v>0</v>
      </c>
      <c r="H698" s="959">
        <v>1</v>
      </c>
    </row>
    <row r="699" spans="1:8">
      <c r="A699" s="959" t="s">
        <v>3097</v>
      </c>
      <c r="B699" s="960" t="s">
        <v>3098</v>
      </c>
      <c r="C699" s="960" t="s">
        <v>4256</v>
      </c>
      <c r="D699" s="960" t="s">
        <v>4264</v>
      </c>
      <c r="E699" s="959">
        <v>0</v>
      </c>
      <c r="F699" s="959">
        <v>4</v>
      </c>
      <c r="G699" s="959">
        <v>0</v>
      </c>
      <c r="H699" s="959">
        <v>0</v>
      </c>
    </row>
    <row r="700" spans="1:8">
      <c r="A700" s="959" t="s">
        <v>3099</v>
      </c>
      <c r="B700" s="961" t="s">
        <v>3100</v>
      </c>
      <c r="C700" s="960" t="s">
        <v>4256</v>
      </c>
      <c r="D700" s="960" t="s">
        <v>1907</v>
      </c>
      <c r="E700" s="959">
        <v>17</v>
      </c>
      <c r="F700" s="959">
        <v>249</v>
      </c>
      <c r="G700" s="959">
        <v>13</v>
      </c>
      <c r="H700" s="959">
        <v>190</v>
      </c>
    </row>
    <row r="701" spans="1:8">
      <c r="A701" s="959" t="s">
        <v>3099</v>
      </c>
      <c r="B701" s="961" t="s">
        <v>3100</v>
      </c>
      <c r="C701" s="960" t="s">
        <v>4257</v>
      </c>
      <c r="D701" s="960" t="s">
        <v>4258</v>
      </c>
      <c r="E701" s="959">
        <v>0</v>
      </c>
      <c r="F701" s="959">
        <v>0</v>
      </c>
      <c r="G701" s="959">
        <v>0</v>
      </c>
      <c r="H701" s="959">
        <v>1</v>
      </c>
    </row>
    <row r="702" spans="1:8">
      <c r="A702" s="959" t="s">
        <v>3099</v>
      </c>
      <c r="B702" s="961" t="s">
        <v>3100</v>
      </c>
      <c r="C702" s="960" t="s">
        <v>4262</v>
      </c>
      <c r="D702" s="960" t="s">
        <v>4263</v>
      </c>
      <c r="E702" s="959">
        <v>1</v>
      </c>
      <c r="F702" s="959">
        <v>0</v>
      </c>
      <c r="G702" s="959">
        <v>0</v>
      </c>
      <c r="H702" s="959">
        <v>0</v>
      </c>
    </row>
    <row r="703" spans="1:8">
      <c r="A703" s="959" t="s">
        <v>3099</v>
      </c>
      <c r="B703" s="961" t="s">
        <v>3100</v>
      </c>
      <c r="C703" s="960" t="s">
        <v>4267</v>
      </c>
      <c r="D703" s="960" t="s">
        <v>4268</v>
      </c>
      <c r="E703" s="959">
        <v>0</v>
      </c>
      <c r="F703" s="959">
        <v>0</v>
      </c>
      <c r="G703" s="959">
        <v>0</v>
      </c>
      <c r="H703" s="959">
        <v>1</v>
      </c>
    </row>
    <row r="704" spans="1:8">
      <c r="A704" s="959" t="s">
        <v>3101</v>
      </c>
      <c r="B704" s="960" t="s">
        <v>3102</v>
      </c>
      <c r="C704" s="960" t="s">
        <v>4256</v>
      </c>
      <c r="D704" s="960" t="s">
        <v>4259</v>
      </c>
      <c r="E704" s="959">
        <v>0</v>
      </c>
      <c r="F704" s="959">
        <v>0</v>
      </c>
      <c r="G704" s="959">
        <v>0</v>
      </c>
      <c r="H704" s="959">
        <v>2</v>
      </c>
    </row>
    <row r="705" spans="1:8">
      <c r="A705" s="959" t="s">
        <v>3101</v>
      </c>
      <c r="B705" s="960" t="s">
        <v>3102</v>
      </c>
      <c r="C705" s="960" t="s">
        <v>4256</v>
      </c>
      <c r="D705" s="960" t="s">
        <v>4260</v>
      </c>
      <c r="E705" s="959">
        <v>0</v>
      </c>
      <c r="F705" s="959">
        <v>0</v>
      </c>
      <c r="G705" s="959">
        <v>0</v>
      </c>
      <c r="H705" s="959">
        <v>4</v>
      </c>
    </row>
    <row r="706" spans="1:8">
      <c r="A706" s="959" t="s">
        <v>3101</v>
      </c>
      <c r="B706" s="960" t="s">
        <v>3102</v>
      </c>
      <c r="C706" s="960" t="s">
        <v>4256</v>
      </c>
      <c r="D706" s="960" t="s">
        <v>1906</v>
      </c>
      <c r="E706" s="959">
        <v>0</v>
      </c>
      <c r="F706" s="959">
        <v>6</v>
      </c>
      <c r="G706" s="959">
        <v>1</v>
      </c>
      <c r="H706" s="959">
        <v>27</v>
      </c>
    </row>
    <row r="707" spans="1:8">
      <c r="A707" s="959" t="s">
        <v>3101</v>
      </c>
      <c r="B707" s="960" t="s">
        <v>3102</v>
      </c>
      <c r="C707" s="960" t="s">
        <v>4256</v>
      </c>
      <c r="D707" s="960" t="s">
        <v>1907</v>
      </c>
      <c r="E707" s="959">
        <v>0</v>
      </c>
      <c r="F707" s="959">
        <v>0</v>
      </c>
      <c r="G707" s="959">
        <v>0</v>
      </c>
      <c r="H707" s="959">
        <v>4</v>
      </c>
    </row>
    <row r="708" spans="1:8">
      <c r="A708" s="959" t="s">
        <v>3101</v>
      </c>
      <c r="B708" s="960" t="s">
        <v>3102</v>
      </c>
      <c r="C708" s="960" t="s">
        <v>4257</v>
      </c>
      <c r="D708" s="960" t="s">
        <v>4258</v>
      </c>
      <c r="E708" s="959">
        <v>4</v>
      </c>
      <c r="F708" s="959">
        <v>64</v>
      </c>
      <c r="G708" s="959">
        <v>23</v>
      </c>
      <c r="H708" s="959">
        <v>423</v>
      </c>
    </row>
    <row r="709" spans="1:8">
      <c r="A709" s="959" t="s">
        <v>3101</v>
      </c>
      <c r="B709" s="960" t="s">
        <v>3102</v>
      </c>
      <c r="C709" s="960" t="s">
        <v>4262</v>
      </c>
      <c r="D709" s="960" t="s">
        <v>4263</v>
      </c>
      <c r="E709" s="959">
        <v>0</v>
      </c>
      <c r="F709" s="959">
        <v>26</v>
      </c>
      <c r="G709" s="959">
        <v>0</v>
      </c>
      <c r="H709" s="959">
        <v>9</v>
      </c>
    </row>
    <row r="710" spans="1:8">
      <c r="A710" s="959" t="s">
        <v>3103</v>
      </c>
      <c r="B710" s="960" t="s">
        <v>3104</v>
      </c>
      <c r="C710" s="960" t="s">
        <v>4257</v>
      </c>
      <c r="D710" s="960" t="s">
        <v>4258</v>
      </c>
      <c r="E710" s="959">
        <v>0</v>
      </c>
      <c r="F710" s="959">
        <v>1</v>
      </c>
      <c r="G710" s="959">
        <v>0</v>
      </c>
      <c r="H710" s="959">
        <v>0</v>
      </c>
    </row>
    <row r="711" spans="1:8">
      <c r="A711" s="959" t="s">
        <v>3105</v>
      </c>
      <c r="B711" s="960" t="s">
        <v>3106</v>
      </c>
      <c r="C711" s="960" t="s">
        <v>4256</v>
      </c>
      <c r="D711" s="960" t="s">
        <v>4264</v>
      </c>
      <c r="E711" s="959">
        <v>0</v>
      </c>
      <c r="F711" s="959">
        <v>3</v>
      </c>
      <c r="G711" s="959">
        <v>0</v>
      </c>
      <c r="H711" s="959">
        <v>0</v>
      </c>
    </row>
    <row r="712" spans="1:8">
      <c r="A712" s="959" t="s">
        <v>3105</v>
      </c>
      <c r="B712" s="960" t="s">
        <v>3106</v>
      </c>
      <c r="C712" s="960" t="s">
        <v>4257</v>
      </c>
      <c r="D712" s="960" t="s">
        <v>4258</v>
      </c>
      <c r="E712" s="959">
        <v>1</v>
      </c>
      <c r="F712" s="959">
        <v>11</v>
      </c>
      <c r="G712" s="959">
        <v>0</v>
      </c>
      <c r="H712" s="959">
        <v>0</v>
      </c>
    </row>
    <row r="713" spans="1:8">
      <c r="A713" s="959" t="s">
        <v>3105</v>
      </c>
      <c r="B713" s="960" t="s">
        <v>3106</v>
      </c>
      <c r="C713" s="960" t="s">
        <v>4267</v>
      </c>
      <c r="D713" s="960" t="s">
        <v>4268</v>
      </c>
      <c r="E713" s="959">
        <v>0</v>
      </c>
      <c r="F713" s="959">
        <v>0</v>
      </c>
      <c r="G713" s="959">
        <v>0</v>
      </c>
      <c r="H713" s="959">
        <v>1</v>
      </c>
    </row>
    <row r="714" spans="1:8">
      <c r="A714" s="959" t="s">
        <v>3107</v>
      </c>
      <c r="B714" s="960" t="s">
        <v>3108</v>
      </c>
      <c r="C714" s="960" t="s">
        <v>4256</v>
      </c>
      <c r="D714" s="960" t="s">
        <v>4259</v>
      </c>
      <c r="E714" s="959">
        <v>0</v>
      </c>
      <c r="F714" s="959">
        <v>0</v>
      </c>
      <c r="G714" s="959">
        <v>0</v>
      </c>
      <c r="H714" s="959">
        <v>1</v>
      </c>
    </row>
    <row r="715" spans="1:8">
      <c r="A715" s="959" t="s">
        <v>3107</v>
      </c>
      <c r="B715" s="960" t="s">
        <v>3108</v>
      </c>
      <c r="C715" s="960" t="s">
        <v>4256</v>
      </c>
      <c r="D715" s="960" t="s">
        <v>4260</v>
      </c>
      <c r="E715" s="959">
        <v>0</v>
      </c>
      <c r="F715" s="959">
        <v>0</v>
      </c>
      <c r="G715" s="959">
        <v>0</v>
      </c>
      <c r="H715" s="959">
        <v>2</v>
      </c>
    </row>
    <row r="716" spans="1:8">
      <c r="A716" s="959" t="s">
        <v>3107</v>
      </c>
      <c r="B716" s="960" t="s">
        <v>3108</v>
      </c>
      <c r="C716" s="960" t="s">
        <v>4256</v>
      </c>
      <c r="D716" s="960" t="s">
        <v>4274</v>
      </c>
      <c r="E716" s="959">
        <v>0</v>
      </c>
      <c r="F716" s="959">
        <v>0</v>
      </c>
      <c r="G716" s="959">
        <v>0</v>
      </c>
      <c r="H716" s="959">
        <v>1</v>
      </c>
    </row>
    <row r="717" spans="1:8">
      <c r="A717" s="959" t="s">
        <v>3107</v>
      </c>
      <c r="B717" s="960" t="s">
        <v>3108</v>
      </c>
      <c r="C717" s="960" t="s">
        <v>4257</v>
      </c>
      <c r="D717" s="960" t="s">
        <v>4258</v>
      </c>
      <c r="E717" s="959">
        <v>3</v>
      </c>
      <c r="F717" s="959">
        <v>38</v>
      </c>
      <c r="G717" s="959">
        <v>0</v>
      </c>
      <c r="H717" s="959">
        <v>0</v>
      </c>
    </row>
    <row r="718" spans="1:8">
      <c r="A718" s="959" t="s">
        <v>3109</v>
      </c>
      <c r="B718" s="960" t="s">
        <v>3110</v>
      </c>
      <c r="C718" s="960" t="s">
        <v>4257</v>
      </c>
      <c r="D718" s="960" t="s">
        <v>4258</v>
      </c>
      <c r="E718" s="959">
        <v>0</v>
      </c>
      <c r="F718" s="959">
        <v>4</v>
      </c>
      <c r="G718" s="959">
        <v>0</v>
      </c>
      <c r="H718" s="959">
        <v>0</v>
      </c>
    </row>
    <row r="719" spans="1:8">
      <c r="A719" s="959" t="s">
        <v>3109</v>
      </c>
      <c r="B719" s="960" t="s">
        <v>3110</v>
      </c>
      <c r="C719" s="960" t="s">
        <v>4262</v>
      </c>
      <c r="D719" s="960" t="s">
        <v>4263</v>
      </c>
      <c r="E719" s="959">
        <v>6</v>
      </c>
      <c r="F719" s="959">
        <v>62</v>
      </c>
      <c r="G719" s="959">
        <v>0</v>
      </c>
      <c r="H719" s="959">
        <v>0</v>
      </c>
    </row>
    <row r="720" spans="1:8">
      <c r="A720" s="959" t="s">
        <v>3111</v>
      </c>
      <c r="B720" s="960" t="s">
        <v>3112</v>
      </c>
      <c r="C720" s="960" t="s">
        <v>4256</v>
      </c>
      <c r="D720" s="960" t="s">
        <v>1906</v>
      </c>
      <c r="E720" s="959">
        <v>0</v>
      </c>
      <c r="F720" s="959">
        <v>1</v>
      </c>
      <c r="G720" s="959">
        <v>0</v>
      </c>
      <c r="H720" s="959">
        <v>0</v>
      </c>
    </row>
    <row r="721" spans="1:8">
      <c r="A721" s="959" t="s">
        <v>3111</v>
      </c>
      <c r="B721" s="960" t="s">
        <v>3112</v>
      </c>
      <c r="C721" s="960" t="s">
        <v>4257</v>
      </c>
      <c r="D721" s="960" t="s">
        <v>4258</v>
      </c>
      <c r="E721" s="959">
        <v>0</v>
      </c>
      <c r="F721" s="959">
        <v>23</v>
      </c>
      <c r="G721" s="959">
        <v>0</v>
      </c>
      <c r="H721" s="959">
        <v>0</v>
      </c>
    </row>
    <row r="722" spans="1:8">
      <c r="A722" s="959" t="s">
        <v>3111</v>
      </c>
      <c r="B722" s="960" t="s">
        <v>3112</v>
      </c>
      <c r="C722" s="960" t="s">
        <v>4262</v>
      </c>
      <c r="D722" s="960" t="s">
        <v>4263</v>
      </c>
      <c r="E722" s="959">
        <v>0</v>
      </c>
      <c r="F722" s="959">
        <v>1</v>
      </c>
      <c r="G722" s="959">
        <v>0</v>
      </c>
      <c r="H722" s="959">
        <v>0</v>
      </c>
    </row>
    <row r="723" spans="1:8">
      <c r="A723" s="959" t="s">
        <v>3113</v>
      </c>
      <c r="B723" s="960" t="s">
        <v>3114</v>
      </c>
      <c r="C723" s="960" t="s">
        <v>4256</v>
      </c>
      <c r="D723" s="960" t="s">
        <v>1906</v>
      </c>
      <c r="E723" s="959">
        <v>8</v>
      </c>
      <c r="F723" s="959">
        <v>106</v>
      </c>
      <c r="G723" s="959">
        <v>0</v>
      </c>
      <c r="H723" s="959">
        <v>0</v>
      </c>
    </row>
    <row r="724" spans="1:8">
      <c r="A724" s="959" t="s">
        <v>3113</v>
      </c>
      <c r="B724" s="960" t="s">
        <v>3114</v>
      </c>
      <c r="C724" s="960" t="s">
        <v>4256</v>
      </c>
      <c r="D724" s="960" t="s">
        <v>1907</v>
      </c>
      <c r="E724" s="959">
        <v>0</v>
      </c>
      <c r="F724" s="959">
        <v>6</v>
      </c>
      <c r="G724" s="959">
        <v>0</v>
      </c>
      <c r="H724" s="959">
        <v>1</v>
      </c>
    </row>
    <row r="725" spans="1:8">
      <c r="A725" s="959" t="s">
        <v>3113</v>
      </c>
      <c r="B725" s="960" t="s">
        <v>3114</v>
      </c>
      <c r="C725" s="960" t="s">
        <v>4257</v>
      </c>
      <c r="D725" s="960" t="s">
        <v>4258</v>
      </c>
      <c r="E725" s="959">
        <v>3</v>
      </c>
      <c r="F725" s="959">
        <v>35</v>
      </c>
      <c r="G725" s="959">
        <v>0</v>
      </c>
      <c r="H725" s="959">
        <v>2</v>
      </c>
    </row>
    <row r="726" spans="1:8">
      <c r="A726" s="959" t="s">
        <v>3113</v>
      </c>
      <c r="B726" s="960" t="s">
        <v>3114</v>
      </c>
      <c r="C726" s="960" t="s">
        <v>4262</v>
      </c>
      <c r="D726" s="960" t="s">
        <v>4263</v>
      </c>
      <c r="E726" s="959">
        <v>5</v>
      </c>
      <c r="F726" s="959">
        <v>148</v>
      </c>
      <c r="G726" s="959">
        <v>0</v>
      </c>
      <c r="H726" s="959">
        <v>0</v>
      </c>
    </row>
    <row r="727" spans="1:8">
      <c r="A727" s="959" t="s">
        <v>3115</v>
      </c>
      <c r="B727" s="960" t="s">
        <v>336</v>
      </c>
      <c r="C727" s="960" t="s">
        <v>4275</v>
      </c>
      <c r="D727" s="960" t="s">
        <v>4276</v>
      </c>
      <c r="E727" s="959">
        <v>0</v>
      </c>
      <c r="F727" s="959">
        <v>1</v>
      </c>
      <c r="G727" s="959">
        <v>0</v>
      </c>
      <c r="H727" s="959">
        <v>0</v>
      </c>
    </row>
    <row r="728" spans="1:8">
      <c r="A728" s="959" t="s">
        <v>3115</v>
      </c>
      <c r="B728" s="960" t="s">
        <v>336</v>
      </c>
      <c r="C728" s="960" t="s">
        <v>4262</v>
      </c>
      <c r="D728" s="960" t="s">
        <v>4263</v>
      </c>
      <c r="E728" s="959">
        <v>0</v>
      </c>
      <c r="F728" s="959">
        <v>3</v>
      </c>
      <c r="G728" s="959">
        <v>0</v>
      </c>
      <c r="H728" s="959">
        <v>0</v>
      </c>
    </row>
    <row r="729" spans="1:8">
      <c r="A729" s="959" t="s">
        <v>3118</v>
      </c>
      <c r="B729" s="960" t="s">
        <v>3119</v>
      </c>
      <c r="C729" s="960" t="s">
        <v>4256</v>
      </c>
      <c r="D729" s="960" t="s">
        <v>4259</v>
      </c>
      <c r="E729" s="959">
        <v>0</v>
      </c>
      <c r="F729" s="959">
        <v>1</v>
      </c>
      <c r="G729" s="959">
        <v>0</v>
      </c>
      <c r="H729" s="959">
        <v>0</v>
      </c>
    </row>
    <row r="730" spans="1:8">
      <c r="A730" s="959" t="s">
        <v>3118</v>
      </c>
      <c r="B730" s="960" t="s">
        <v>3119</v>
      </c>
      <c r="C730" s="960" t="s">
        <v>4256</v>
      </c>
      <c r="D730" s="960" t="s">
        <v>4260</v>
      </c>
      <c r="E730" s="959">
        <v>0</v>
      </c>
      <c r="F730" s="959">
        <v>0</v>
      </c>
      <c r="G730" s="959">
        <v>0</v>
      </c>
      <c r="H730" s="959">
        <v>1</v>
      </c>
    </row>
    <row r="731" spans="1:8">
      <c r="A731" s="959" t="s">
        <v>3118</v>
      </c>
      <c r="B731" s="960" t="s">
        <v>3119</v>
      </c>
      <c r="C731" s="960" t="s">
        <v>4256</v>
      </c>
      <c r="D731" s="960" t="s">
        <v>1906</v>
      </c>
      <c r="E731" s="959">
        <v>0</v>
      </c>
      <c r="F731" s="959">
        <v>1</v>
      </c>
      <c r="G731" s="959">
        <v>0</v>
      </c>
      <c r="H731" s="959">
        <v>0</v>
      </c>
    </row>
    <row r="732" spans="1:8">
      <c r="A732" s="959" t="s">
        <v>3118</v>
      </c>
      <c r="B732" s="960" t="s">
        <v>3119</v>
      </c>
      <c r="C732" s="960" t="s">
        <v>4257</v>
      </c>
      <c r="D732" s="960" t="s">
        <v>4258</v>
      </c>
      <c r="E732" s="959">
        <v>1</v>
      </c>
      <c r="F732" s="959">
        <v>15</v>
      </c>
      <c r="G732" s="959">
        <v>0</v>
      </c>
      <c r="H732" s="959">
        <v>5</v>
      </c>
    </row>
    <row r="733" spans="1:8">
      <c r="A733" s="959" t="s">
        <v>3118</v>
      </c>
      <c r="B733" s="960" t="s">
        <v>3119</v>
      </c>
      <c r="C733" s="960" t="s">
        <v>4262</v>
      </c>
      <c r="D733" s="960" t="s">
        <v>4263</v>
      </c>
      <c r="E733" s="959">
        <v>6</v>
      </c>
      <c r="F733" s="959">
        <v>150</v>
      </c>
      <c r="G733" s="959">
        <v>0</v>
      </c>
      <c r="H733" s="959">
        <v>0</v>
      </c>
    </row>
    <row r="734" spans="1:8">
      <c r="A734" s="959" t="s">
        <v>3120</v>
      </c>
      <c r="B734" s="960" t="s">
        <v>864</v>
      </c>
      <c r="C734" s="960" t="s">
        <v>4262</v>
      </c>
      <c r="D734" s="960" t="s">
        <v>4263</v>
      </c>
      <c r="E734" s="959">
        <v>1</v>
      </c>
      <c r="F734" s="959">
        <v>1</v>
      </c>
      <c r="G734" s="959">
        <v>0</v>
      </c>
      <c r="H734" s="959">
        <v>0</v>
      </c>
    </row>
    <row r="735" spans="1:8">
      <c r="A735" s="959" t="s">
        <v>4288</v>
      </c>
      <c r="B735" s="960" t="s">
        <v>4289</v>
      </c>
      <c r="C735" s="960" t="s">
        <v>4257</v>
      </c>
      <c r="D735" s="960" t="s">
        <v>4258</v>
      </c>
      <c r="E735" s="959">
        <v>1</v>
      </c>
      <c r="F735" s="959">
        <v>116</v>
      </c>
      <c r="G735" s="959">
        <v>0</v>
      </c>
      <c r="H735" s="959">
        <v>0</v>
      </c>
    </row>
    <row r="736" spans="1:8">
      <c r="A736" s="959" t="s">
        <v>3122</v>
      </c>
      <c r="B736" s="960" t="s">
        <v>3123</v>
      </c>
      <c r="C736" s="960" t="s">
        <v>4275</v>
      </c>
      <c r="D736" s="960" t="s">
        <v>4276</v>
      </c>
      <c r="E736" s="959">
        <v>2</v>
      </c>
      <c r="F736" s="959">
        <v>32</v>
      </c>
      <c r="G736" s="959">
        <v>0</v>
      </c>
      <c r="H736" s="959">
        <v>0</v>
      </c>
    </row>
    <row r="737" spans="1:8">
      <c r="A737" s="959" t="s">
        <v>3122</v>
      </c>
      <c r="B737" s="960" t="s">
        <v>3123</v>
      </c>
      <c r="C737" s="960" t="s">
        <v>4256</v>
      </c>
      <c r="D737" s="960" t="s">
        <v>1906</v>
      </c>
      <c r="E737" s="959">
        <v>0</v>
      </c>
      <c r="F737" s="959">
        <v>2</v>
      </c>
      <c r="G737" s="959">
        <v>0</v>
      </c>
      <c r="H737" s="959">
        <v>0</v>
      </c>
    </row>
    <row r="738" spans="1:8">
      <c r="A738" s="959" t="s">
        <v>3122</v>
      </c>
      <c r="B738" s="960" t="s">
        <v>3123</v>
      </c>
      <c r="C738" s="960" t="s">
        <v>4257</v>
      </c>
      <c r="D738" s="960" t="s">
        <v>4258</v>
      </c>
      <c r="E738" s="959">
        <v>1</v>
      </c>
      <c r="F738" s="959">
        <v>36</v>
      </c>
      <c r="G738" s="959">
        <v>0</v>
      </c>
      <c r="H738" s="959">
        <v>2</v>
      </c>
    </row>
    <row r="739" spans="1:8">
      <c r="A739" s="959" t="s">
        <v>3122</v>
      </c>
      <c r="B739" s="960" t="s">
        <v>3123</v>
      </c>
      <c r="C739" s="960" t="s">
        <v>4262</v>
      </c>
      <c r="D739" s="960" t="s">
        <v>4263</v>
      </c>
      <c r="E739" s="959">
        <v>9</v>
      </c>
      <c r="F739" s="959">
        <v>78</v>
      </c>
      <c r="G739" s="959">
        <v>0</v>
      </c>
      <c r="H739" s="959">
        <v>0</v>
      </c>
    </row>
    <row r="740" spans="1:8">
      <c r="A740" s="959" t="s">
        <v>3124</v>
      </c>
      <c r="B740" s="960" t="s">
        <v>875</v>
      </c>
      <c r="C740" s="960" t="s">
        <v>4256</v>
      </c>
      <c r="D740" s="960" t="s">
        <v>1906</v>
      </c>
      <c r="E740" s="959">
        <v>0</v>
      </c>
      <c r="F740" s="959">
        <v>2</v>
      </c>
      <c r="G740" s="959">
        <v>0</v>
      </c>
      <c r="H740" s="959">
        <v>0</v>
      </c>
    </row>
    <row r="741" spans="1:8">
      <c r="A741" s="959" t="s">
        <v>3124</v>
      </c>
      <c r="B741" s="960" t="s">
        <v>875</v>
      </c>
      <c r="C741" s="960" t="s">
        <v>4256</v>
      </c>
      <c r="D741" s="960" t="s">
        <v>4264</v>
      </c>
      <c r="E741" s="959">
        <v>1</v>
      </c>
      <c r="F741" s="959">
        <v>8</v>
      </c>
      <c r="G741" s="959">
        <v>0</v>
      </c>
      <c r="H741" s="959">
        <v>5</v>
      </c>
    </row>
    <row r="742" spans="1:8">
      <c r="A742" s="959" t="s">
        <v>3124</v>
      </c>
      <c r="B742" s="960" t="s">
        <v>875</v>
      </c>
      <c r="C742" s="960" t="s">
        <v>4257</v>
      </c>
      <c r="D742" s="960" t="s">
        <v>4258</v>
      </c>
      <c r="E742" s="959">
        <v>0</v>
      </c>
      <c r="F742" s="959">
        <v>3</v>
      </c>
      <c r="G742" s="959">
        <v>0</v>
      </c>
      <c r="H742" s="959">
        <v>0</v>
      </c>
    </row>
    <row r="743" spans="1:8">
      <c r="A743" s="959" t="s">
        <v>3124</v>
      </c>
      <c r="B743" s="960" t="s">
        <v>875</v>
      </c>
      <c r="C743" s="960" t="s">
        <v>4262</v>
      </c>
      <c r="D743" s="960" t="s">
        <v>4263</v>
      </c>
      <c r="E743" s="959">
        <v>0</v>
      </c>
      <c r="F743" s="959">
        <v>4</v>
      </c>
      <c r="G743" s="959">
        <v>0</v>
      </c>
      <c r="H743" s="959">
        <v>0</v>
      </c>
    </row>
    <row r="744" spans="1:8">
      <c r="A744" s="959" t="s">
        <v>3125</v>
      </c>
      <c r="B744" s="960" t="s">
        <v>3126</v>
      </c>
      <c r="C744" s="960" t="s">
        <v>4256</v>
      </c>
      <c r="D744" s="960" t="s">
        <v>470</v>
      </c>
      <c r="E744" s="959">
        <v>0</v>
      </c>
      <c r="F744" s="959">
        <v>0</v>
      </c>
      <c r="G744" s="959">
        <v>0</v>
      </c>
      <c r="H744" s="959">
        <v>5</v>
      </c>
    </row>
    <row r="745" spans="1:8">
      <c r="A745" s="959" t="s">
        <v>3125</v>
      </c>
      <c r="B745" s="960" t="s">
        <v>3126</v>
      </c>
      <c r="C745" s="960" t="s">
        <v>4256</v>
      </c>
      <c r="D745" s="960" t="s">
        <v>4264</v>
      </c>
      <c r="E745" s="959">
        <v>0</v>
      </c>
      <c r="F745" s="959">
        <v>0</v>
      </c>
      <c r="G745" s="959">
        <v>3</v>
      </c>
      <c r="H745" s="959">
        <v>42</v>
      </c>
    </row>
    <row r="746" spans="1:8">
      <c r="A746" s="959" t="s">
        <v>3125</v>
      </c>
      <c r="B746" s="960" t="s">
        <v>3126</v>
      </c>
      <c r="C746" s="960" t="s">
        <v>4256</v>
      </c>
      <c r="D746" s="960" t="s">
        <v>1907</v>
      </c>
      <c r="E746" s="959">
        <v>0</v>
      </c>
      <c r="F746" s="959">
        <v>0</v>
      </c>
      <c r="G746" s="959">
        <v>0</v>
      </c>
      <c r="H746" s="959">
        <v>4</v>
      </c>
    </row>
    <row r="747" spans="1:8">
      <c r="A747" s="959" t="s">
        <v>3125</v>
      </c>
      <c r="B747" s="960" t="s">
        <v>3126</v>
      </c>
      <c r="C747" s="960" t="s">
        <v>4257</v>
      </c>
      <c r="D747" s="960" t="s">
        <v>4258</v>
      </c>
      <c r="E747" s="959">
        <v>1</v>
      </c>
      <c r="F747" s="959">
        <v>20</v>
      </c>
      <c r="G747" s="959">
        <v>0</v>
      </c>
      <c r="H747" s="959">
        <v>1</v>
      </c>
    </row>
    <row r="748" spans="1:8">
      <c r="A748" s="959" t="s">
        <v>3125</v>
      </c>
      <c r="B748" s="960" t="s">
        <v>3126</v>
      </c>
      <c r="C748" s="960" t="s">
        <v>4262</v>
      </c>
      <c r="D748" s="960" t="s">
        <v>4263</v>
      </c>
      <c r="E748" s="959">
        <v>2</v>
      </c>
      <c r="F748" s="959">
        <v>0</v>
      </c>
      <c r="G748" s="959">
        <v>0</v>
      </c>
      <c r="H748" s="959">
        <v>0</v>
      </c>
    </row>
    <row r="749" spans="1:8">
      <c r="A749" s="959" t="s">
        <v>3125</v>
      </c>
      <c r="B749" s="960" t="s">
        <v>3126</v>
      </c>
      <c r="C749" s="960" t="s">
        <v>4267</v>
      </c>
      <c r="D749" s="960" t="s">
        <v>4268</v>
      </c>
      <c r="E749" s="959">
        <v>0</v>
      </c>
      <c r="F749" s="959">
        <v>0</v>
      </c>
      <c r="G749" s="959">
        <v>0</v>
      </c>
      <c r="H749" s="959">
        <v>3</v>
      </c>
    </row>
    <row r="750" spans="1:8">
      <c r="A750" s="959" t="s">
        <v>3128</v>
      </c>
      <c r="B750" s="960" t="s">
        <v>867</v>
      </c>
      <c r="C750" s="960" t="s">
        <v>4256</v>
      </c>
      <c r="D750" s="960" t="s">
        <v>4259</v>
      </c>
      <c r="E750" s="959">
        <v>0</v>
      </c>
      <c r="F750" s="959">
        <v>0</v>
      </c>
      <c r="G750" s="959">
        <v>0</v>
      </c>
      <c r="H750" s="959">
        <v>4</v>
      </c>
    </row>
    <row r="751" spans="1:8">
      <c r="A751" s="959" t="s">
        <v>3128</v>
      </c>
      <c r="B751" s="960" t="s">
        <v>867</v>
      </c>
      <c r="C751" s="960" t="s">
        <v>4256</v>
      </c>
      <c r="D751" s="960" t="s">
        <v>1907</v>
      </c>
      <c r="E751" s="959">
        <v>0</v>
      </c>
      <c r="F751" s="959">
        <v>1</v>
      </c>
      <c r="G751" s="959">
        <v>0</v>
      </c>
      <c r="H751" s="959">
        <v>0</v>
      </c>
    </row>
    <row r="752" spans="1:8">
      <c r="A752" s="959" t="s">
        <v>3128</v>
      </c>
      <c r="B752" s="960" t="s">
        <v>867</v>
      </c>
      <c r="C752" s="960" t="s">
        <v>4257</v>
      </c>
      <c r="D752" s="960" t="s">
        <v>4258</v>
      </c>
      <c r="E752" s="959">
        <v>2</v>
      </c>
      <c r="F752" s="959">
        <v>36</v>
      </c>
      <c r="G752" s="959">
        <v>0</v>
      </c>
      <c r="H752" s="959">
        <v>6</v>
      </c>
    </row>
    <row r="753" spans="1:8">
      <c r="A753" s="959" t="s">
        <v>3128</v>
      </c>
      <c r="B753" s="960" t="s">
        <v>867</v>
      </c>
      <c r="C753" s="960" t="s">
        <v>4262</v>
      </c>
      <c r="D753" s="960" t="s">
        <v>4263</v>
      </c>
      <c r="E753" s="959">
        <v>0</v>
      </c>
      <c r="F753" s="959">
        <v>4</v>
      </c>
      <c r="G753" s="959">
        <v>0</v>
      </c>
      <c r="H753" s="959">
        <v>0</v>
      </c>
    </row>
    <row r="754" spans="1:8">
      <c r="A754" s="959" t="s">
        <v>3129</v>
      </c>
      <c r="B754" s="960" t="s">
        <v>338</v>
      </c>
      <c r="C754" s="960" t="s">
        <v>4256</v>
      </c>
      <c r="D754" s="960" t="s">
        <v>4259</v>
      </c>
      <c r="E754" s="959">
        <v>0</v>
      </c>
      <c r="F754" s="959">
        <v>2</v>
      </c>
      <c r="G754" s="959">
        <v>0</v>
      </c>
      <c r="H754" s="959">
        <v>0</v>
      </c>
    </row>
    <row r="755" spans="1:8">
      <c r="A755" s="959" t="s">
        <v>3129</v>
      </c>
      <c r="B755" s="960" t="s">
        <v>338</v>
      </c>
      <c r="C755" s="960" t="s">
        <v>4256</v>
      </c>
      <c r="D755" s="960" t="s">
        <v>4260</v>
      </c>
      <c r="E755" s="959">
        <v>0</v>
      </c>
      <c r="F755" s="959">
        <v>0</v>
      </c>
      <c r="G755" s="959">
        <v>0</v>
      </c>
      <c r="H755" s="959">
        <v>1</v>
      </c>
    </row>
    <row r="756" spans="1:8">
      <c r="A756" s="959" t="s">
        <v>3131</v>
      </c>
      <c r="B756" s="960" t="s">
        <v>890</v>
      </c>
      <c r="C756" s="960" t="s">
        <v>4257</v>
      </c>
      <c r="D756" s="960" t="s">
        <v>4258</v>
      </c>
      <c r="E756" s="959">
        <v>0</v>
      </c>
      <c r="F756" s="959">
        <v>10</v>
      </c>
      <c r="G756" s="959">
        <v>0</v>
      </c>
      <c r="H756" s="959">
        <v>0</v>
      </c>
    </row>
    <row r="757" spans="1:8">
      <c r="A757" s="959" t="s">
        <v>3131</v>
      </c>
      <c r="B757" s="960" t="s">
        <v>890</v>
      </c>
      <c r="C757" s="960" t="s">
        <v>4262</v>
      </c>
      <c r="D757" s="960" t="s">
        <v>4263</v>
      </c>
      <c r="E757" s="959">
        <v>0</v>
      </c>
      <c r="F757" s="959">
        <v>8</v>
      </c>
      <c r="G757" s="959">
        <v>0</v>
      </c>
      <c r="H757" s="959">
        <v>0</v>
      </c>
    </row>
    <row r="758" spans="1:8">
      <c r="A758" s="959" t="s">
        <v>3132</v>
      </c>
      <c r="B758" s="960" t="s">
        <v>3133</v>
      </c>
      <c r="C758" s="960" t="s">
        <v>4256</v>
      </c>
      <c r="D758" s="960" t="s">
        <v>1904</v>
      </c>
      <c r="E758" s="959">
        <v>0</v>
      </c>
      <c r="F758" s="959">
        <v>0</v>
      </c>
      <c r="G758" s="959">
        <v>0</v>
      </c>
      <c r="H758" s="959">
        <v>1</v>
      </c>
    </row>
    <row r="759" spans="1:8">
      <c r="A759" s="959" t="s">
        <v>3132</v>
      </c>
      <c r="B759" s="960" t="s">
        <v>3133</v>
      </c>
      <c r="C759" s="960" t="s">
        <v>4256</v>
      </c>
      <c r="D759" s="960" t="s">
        <v>4270</v>
      </c>
      <c r="E759" s="959">
        <v>0</v>
      </c>
      <c r="F759" s="959">
        <v>0</v>
      </c>
      <c r="G759" s="959">
        <v>0</v>
      </c>
      <c r="H759" s="959">
        <v>1</v>
      </c>
    </row>
    <row r="760" spans="1:8">
      <c r="A760" s="959" t="s">
        <v>3132</v>
      </c>
      <c r="B760" s="960" t="s">
        <v>3133</v>
      </c>
      <c r="C760" s="960" t="s">
        <v>4256</v>
      </c>
      <c r="D760" s="960" t="s">
        <v>4259</v>
      </c>
      <c r="E760" s="959">
        <v>0</v>
      </c>
      <c r="F760" s="959">
        <v>0</v>
      </c>
      <c r="G760" s="959">
        <v>0</v>
      </c>
      <c r="H760" s="959">
        <v>1</v>
      </c>
    </row>
    <row r="761" spans="1:8">
      <c r="A761" s="959" t="s">
        <v>3132</v>
      </c>
      <c r="B761" s="960" t="s">
        <v>3133</v>
      </c>
      <c r="C761" s="960" t="s">
        <v>4256</v>
      </c>
      <c r="D761" s="960" t="s">
        <v>4260</v>
      </c>
      <c r="E761" s="959">
        <v>0</v>
      </c>
      <c r="F761" s="959">
        <v>0</v>
      </c>
      <c r="G761" s="959">
        <v>0</v>
      </c>
      <c r="H761" s="959">
        <v>12</v>
      </c>
    </row>
    <row r="762" spans="1:8">
      <c r="A762" s="959" t="s">
        <v>3132</v>
      </c>
      <c r="B762" s="960" t="s">
        <v>3133</v>
      </c>
      <c r="C762" s="960" t="s">
        <v>4256</v>
      </c>
      <c r="D762" s="960" t="s">
        <v>4265</v>
      </c>
      <c r="E762" s="959">
        <v>0</v>
      </c>
      <c r="F762" s="959">
        <v>0</v>
      </c>
      <c r="G762" s="959">
        <v>0</v>
      </c>
      <c r="H762" s="959">
        <v>1</v>
      </c>
    </row>
    <row r="763" spans="1:8">
      <c r="A763" s="959" t="s">
        <v>3132</v>
      </c>
      <c r="B763" s="960" t="s">
        <v>3133</v>
      </c>
      <c r="C763" s="960" t="s">
        <v>4257</v>
      </c>
      <c r="D763" s="960" t="s">
        <v>4258</v>
      </c>
      <c r="E763" s="959">
        <v>2</v>
      </c>
      <c r="F763" s="959">
        <v>42</v>
      </c>
      <c r="G763" s="959">
        <v>0</v>
      </c>
      <c r="H763" s="959">
        <v>5</v>
      </c>
    </row>
    <row r="764" spans="1:8">
      <c r="A764" s="959" t="s">
        <v>3132</v>
      </c>
      <c r="B764" s="960" t="s">
        <v>3133</v>
      </c>
      <c r="C764" s="960" t="s">
        <v>4262</v>
      </c>
      <c r="D764" s="960" t="s">
        <v>4263</v>
      </c>
      <c r="E764" s="959">
        <v>3</v>
      </c>
      <c r="F764" s="959">
        <v>103</v>
      </c>
      <c r="G764" s="959">
        <v>0</v>
      </c>
      <c r="H764" s="959">
        <v>0</v>
      </c>
    </row>
    <row r="765" spans="1:8">
      <c r="A765" s="959" t="s">
        <v>3134</v>
      </c>
      <c r="B765" s="960" t="s">
        <v>881</v>
      </c>
      <c r="C765" s="960" t="s">
        <v>4256</v>
      </c>
      <c r="D765" s="960" t="s">
        <v>1906</v>
      </c>
      <c r="E765" s="959">
        <v>0</v>
      </c>
      <c r="F765" s="959">
        <v>1</v>
      </c>
      <c r="G765" s="959">
        <v>0</v>
      </c>
      <c r="H765" s="959">
        <v>0</v>
      </c>
    </row>
    <row r="766" spans="1:8">
      <c r="A766" s="959" t="s">
        <v>3134</v>
      </c>
      <c r="B766" s="960" t="s">
        <v>881</v>
      </c>
      <c r="C766" s="960" t="s">
        <v>4257</v>
      </c>
      <c r="D766" s="960" t="s">
        <v>4258</v>
      </c>
      <c r="E766" s="959">
        <v>0</v>
      </c>
      <c r="F766" s="959">
        <v>1</v>
      </c>
      <c r="G766" s="959">
        <v>0</v>
      </c>
      <c r="H766" s="959">
        <v>0</v>
      </c>
    </row>
    <row r="767" spans="1:8">
      <c r="A767" s="959" t="s">
        <v>3136</v>
      </c>
      <c r="B767" s="960" t="s">
        <v>3137</v>
      </c>
      <c r="C767" s="960" t="s">
        <v>4256</v>
      </c>
      <c r="D767" s="960" t="s">
        <v>470</v>
      </c>
      <c r="E767" s="959">
        <v>0</v>
      </c>
      <c r="F767" s="959">
        <v>0</v>
      </c>
      <c r="G767" s="959">
        <v>2</v>
      </c>
      <c r="H767" s="959">
        <v>22</v>
      </c>
    </row>
    <row r="768" spans="1:8">
      <c r="A768" s="959" t="s">
        <v>3136</v>
      </c>
      <c r="B768" s="960" t="s">
        <v>3137</v>
      </c>
      <c r="C768" s="960" t="s">
        <v>4256</v>
      </c>
      <c r="D768" s="960" t="s">
        <v>1904</v>
      </c>
      <c r="E768" s="959">
        <v>0</v>
      </c>
      <c r="F768" s="959">
        <v>0</v>
      </c>
      <c r="G768" s="959">
        <v>0</v>
      </c>
      <c r="H768" s="959">
        <v>8</v>
      </c>
    </row>
    <row r="769" spans="1:8">
      <c r="A769" s="959" t="s">
        <v>3136</v>
      </c>
      <c r="B769" s="960" t="s">
        <v>3137</v>
      </c>
      <c r="C769" s="960" t="s">
        <v>4256</v>
      </c>
      <c r="D769" s="960" t="s">
        <v>4270</v>
      </c>
      <c r="E769" s="959">
        <v>0</v>
      </c>
      <c r="F769" s="959">
        <v>0</v>
      </c>
      <c r="G769" s="959">
        <v>0</v>
      </c>
      <c r="H769" s="959">
        <v>1</v>
      </c>
    </row>
    <row r="770" spans="1:8">
      <c r="A770" s="959" t="s">
        <v>3136</v>
      </c>
      <c r="B770" s="960" t="s">
        <v>3137</v>
      </c>
      <c r="C770" s="960" t="s">
        <v>4256</v>
      </c>
      <c r="D770" s="960" t="s">
        <v>4260</v>
      </c>
      <c r="E770" s="959">
        <v>0</v>
      </c>
      <c r="F770" s="959">
        <v>0</v>
      </c>
      <c r="G770" s="959">
        <v>0</v>
      </c>
      <c r="H770" s="959">
        <v>6</v>
      </c>
    </row>
    <row r="771" spans="1:8">
      <c r="A771" s="959" t="s">
        <v>3136</v>
      </c>
      <c r="B771" s="960" t="s">
        <v>3137</v>
      </c>
      <c r="C771" s="960" t="s">
        <v>4256</v>
      </c>
      <c r="D771" s="960" t="s">
        <v>1906</v>
      </c>
      <c r="E771" s="959">
        <v>4</v>
      </c>
      <c r="F771" s="959">
        <v>53</v>
      </c>
      <c r="G771" s="959">
        <v>2</v>
      </c>
      <c r="H771" s="959">
        <v>21</v>
      </c>
    </row>
    <row r="772" spans="1:8">
      <c r="A772" s="959" t="s">
        <v>3136</v>
      </c>
      <c r="B772" s="960" t="s">
        <v>3137</v>
      </c>
      <c r="C772" s="960" t="s">
        <v>4256</v>
      </c>
      <c r="D772" s="960" t="s">
        <v>4264</v>
      </c>
      <c r="E772" s="959">
        <v>0</v>
      </c>
      <c r="F772" s="959">
        <v>0</v>
      </c>
      <c r="G772" s="959">
        <v>0</v>
      </c>
      <c r="H772" s="959">
        <v>2</v>
      </c>
    </row>
    <row r="773" spans="1:8">
      <c r="A773" s="959" t="s">
        <v>3136</v>
      </c>
      <c r="B773" s="960" t="s">
        <v>3137</v>
      </c>
      <c r="C773" s="960" t="s">
        <v>4256</v>
      </c>
      <c r="D773" s="960" t="s">
        <v>4261</v>
      </c>
      <c r="E773" s="959">
        <v>0</v>
      </c>
      <c r="F773" s="959">
        <v>0</v>
      </c>
      <c r="G773" s="959">
        <v>0</v>
      </c>
      <c r="H773" s="959">
        <v>1</v>
      </c>
    </row>
    <row r="774" spans="1:8">
      <c r="A774" s="959" t="s">
        <v>3136</v>
      </c>
      <c r="B774" s="960" t="s">
        <v>3137</v>
      </c>
      <c r="C774" s="960" t="s">
        <v>4257</v>
      </c>
      <c r="D774" s="960" t="s">
        <v>4258</v>
      </c>
      <c r="E774" s="959">
        <v>16</v>
      </c>
      <c r="F774" s="959">
        <v>210</v>
      </c>
      <c r="G774" s="959">
        <v>1</v>
      </c>
      <c r="H774" s="959">
        <v>12</v>
      </c>
    </row>
    <row r="775" spans="1:8">
      <c r="A775" s="959" t="s">
        <v>3136</v>
      </c>
      <c r="B775" s="960" t="s">
        <v>3137</v>
      </c>
      <c r="C775" s="960" t="s">
        <v>4262</v>
      </c>
      <c r="D775" s="960" t="s">
        <v>4263</v>
      </c>
      <c r="E775" s="959">
        <v>0</v>
      </c>
      <c r="F775" s="959">
        <v>2</v>
      </c>
      <c r="G775" s="959">
        <v>0</v>
      </c>
      <c r="H775" s="959">
        <v>0</v>
      </c>
    </row>
    <row r="776" spans="1:8">
      <c r="A776" s="959" t="s">
        <v>3138</v>
      </c>
      <c r="B776" s="960" t="s">
        <v>3139</v>
      </c>
      <c r="C776" s="960" t="s">
        <v>4275</v>
      </c>
      <c r="D776" s="960" t="s">
        <v>4276</v>
      </c>
      <c r="E776" s="959">
        <v>0</v>
      </c>
      <c r="F776" s="959">
        <v>37</v>
      </c>
      <c r="G776" s="959">
        <v>0</v>
      </c>
      <c r="H776" s="959">
        <v>1</v>
      </c>
    </row>
    <row r="777" spans="1:8">
      <c r="A777" s="959" t="s">
        <v>3138</v>
      </c>
      <c r="B777" s="960" t="s">
        <v>3139</v>
      </c>
      <c r="C777" s="960" t="s">
        <v>4277</v>
      </c>
      <c r="D777" s="960" t="s">
        <v>4278</v>
      </c>
      <c r="E777" s="959">
        <v>0</v>
      </c>
      <c r="F777" s="959">
        <v>0</v>
      </c>
      <c r="G777" s="959">
        <v>0</v>
      </c>
      <c r="H777" s="959">
        <v>41</v>
      </c>
    </row>
    <row r="778" spans="1:8">
      <c r="A778" s="959" t="s">
        <v>3138</v>
      </c>
      <c r="B778" s="960" t="s">
        <v>3139</v>
      </c>
      <c r="C778" s="960" t="s">
        <v>4277</v>
      </c>
      <c r="D778" s="960" t="s">
        <v>4279</v>
      </c>
      <c r="E778" s="959">
        <v>0</v>
      </c>
      <c r="F778" s="959">
        <v>0</v>
      </c>
      <c r="G778" s="959">
        <v>4</v>
      </c>
      <c r="H778" s="959">
        <v>103</v>
      </c>
    </row>
    <row r="779" spans="1:8">
      <c r="A779" s="959" t="s">
        <v>3138</v>
      </c>
      <c r="B779" s="960" t="s">
        <v>3139</v>
      </c>
      <c r="C779" s="960" t="s">
        <v>4256</v>
      </c>
      <c r="D779" s="960" t="s">
        <v>4260</v>
      </c>
      <c r="E779" s="959">
        <v>0</v>
      </c>
      <c r="F779" s="959">
        <v>0</v>
      </c>
      <c r="G779" s="959">
        <v>4</v>
      </c>
      <c r="H779" s="959">
        <v>14</v>
      </c>
    </row>
    <row r="780" spans="1:8">
      <c r="A780" s="959" t="s">
        <v>3138</v>
      </c>
      <c r="B780" s="960" t="s">
        <v>3139</v>
      </c>
      <c r="C780" s="960" t="s">
        <v>4256</v>
      </c>
      <c r="D780" s="960" t="s">
        <v>1906</v>
      </c>
      <c r="E780" s="959">
        <v>1</v>
      </c>
      <c r="F780" s="959">
        <v>8</v>
      </c>
      <c r="G780" s="959">
        <v>0</v>
      </c>
      <c r="H780" s="959">
        <v>1</v>
      </c>
    </row>
    <row r="781" spans="1:8">
      <c r="A781" s="959" t="s">
        <v>3138</v>
      </c>
      <c r="B781" s="960" t="s">
        <v>3139</v>
      </c>
      <c r="C781" s="960" t="s">
        <v>4256</v>
      </c>
      <c r="D781" s="960" t="s">
        <v>4261</v>
      </c>
      <c r="E781" s="959">
        <v>0</v>
      </c>
      <c r="F781" s="959">
        <v>0</v>
      </c>
      <c r="G781" s="959">
        <v>0</v>
      </c>
      <c r="H781" s="959">
        <v>2</v>
      </c>
    </row>
    <row r="782" spans="1:8">
      <c r="A782" s="959" t="s">
        <v>3138</v>
      </c>
      <c r="B782" s="960" t="s">
        <v>3139</v>
      </c>
      <c r="C782" s="960" t="s">
        <v>4256</v>
      </c>
      <c r="D782" s="961" t="s">
        <v>4266</v>
      </c>
      <c r="E782" s="959">
        <v>0</v>
      </c>
      <c r="F782" s="959">
        <v>0</v>
      </c>
      <c r="G782" s="959">
        <v>0</v>
      </c>
      <c r="H782" s="959">
        <v>3</v>
      </c>
    </row>
    <row r="783" spans="1:8">
      <c r="A783" s="959" t="s">
        <v>3138</v>
      </c>
      <c r="B783" s="960" t="s">
        <v>3139</v>
      </c>
      <c r="C783" s="960" t="s">
        <v>4257</v>
      </c>
      <c r="D783" s="960" t="s">
        <v>4258</v>
      </c>
      <c r="E783" s="959">
        <v>81</v>
      </c>
      <c r="F783" s="959">
        <v>827</v>
      </c>
      <c r="G783" s="959">
        <v>9</v>
      </c>
      <c r="H783" s="959">
        <v>115</v>
      </c>
    </row>
    <row r="784" spans="1:8">
      <c r="A784" s="959" t="s">
        <v>3138</v>
      </c>
      <c r="B784" s="960" t="s">
        <v>3139</v>
      </c>
      <c r="C784" s="960" t="s">
        <v>4267</v>
      </c>
      <c r="D784" s="960" t="s">
        <v>4268</v>
      </c>
      <c r="E784" s="959">
        <v>0</v>
      </c>
      <c r="F784" s="959">
        <v>0</v>
      </c>
      <c r="G784" s="959">
        <v>0</v>
      </c>
      <c r="H784" s="959">
        <v>22</v>
      </c>
    </row>
    <row r="785" spans="1:8">
      <c r="A785" s="959" t="s">
        <v>3140</v>
      </c>
      <c r="B785" s="960" t="s">
        <v>3141</v>
      </c>
      <c r="C785" s="960" t="s">
        <v>4275</v>
      </c>
      <c r="D785" s="960" t="s">
        <v>4276</v>
      </c>
      <c r="E785" s="959">
        <v>1</v>
      </c>
      <c r="F785" s="959">
        <v>13</v>
      </c>
      <c r="G785" s="959">
        <v>1</v>
      </c>
      <c r="H785" s="959">
        <v>18</v>
      </c>
    </row>
    <row r="786" spans="1:8">
      <c r="A786" s="959" t="s">
        <v>3140</v>
      </c>
      <c r="B786" s="960" t="s">
        <v>3141</v>
      </c>
      <c r="C786" s="960" t="s">
        <v>4277</v>
      </c>
      <c r="D786" s="960" t="s">
        <v>4278</v>
      </c>
      <c r="E786" s="959">
        <v>0</v>
      </c>
      <c r="F786" s="959">
        <v>0</v>
      </c>
      <c r="G786" s="959">
        <v>3</v>
      </c>
      <c r="H786" s="959">
        <v>37</v>
      </c>
    </row>
    <row r="787" spans="1:8">
      <c r="A787" s="959" t="s">
        <v>3140</v>
      </c>
      <c r="B787" s="960" t="s">
        <v>3141</v>
      </c>
      <c r="C787" s="960" t="s">
        <v>4277</v>
      </c>
      <c r="D787" s="960" t="s">
        <v>4279</v>
      </c>
      <c r="E787" s="959">
        <v>0</v>
      </c>
      <c r="F787" s="959">
        <v>0</v>
      </c>
      <c r="G787" s="959">
        <v>1</v>
      </c>
      <c r="H787" s="959">
        <v>32</v>
      </c>
    </row>
    <row r="788" spans="1:8">
      <c r="A788" s="959" t="s">
        <v>3140</v>
      </c>
      <c r="B788" s="960" t="s">
        <v>3141</v>
      </c>
      <c r="C788" s="960" t="s">
        <v>4277</v>
      </c>
      <c r="D788" s="960" t="s">
        <v>4280</v>
      </c>
      <c r="E788" s="959">
        <v>0</v>
      </c>
      <c r="F788" s="959">
        <v>0</v>
      </c>
      <c r="G788" s="959">
        <v>0</v>
      </c>
      <c r="H788" s="959">
        <v>1</v>
      </c>
    </row>
    <row r="789" spans="1:8">
      <c r="A789" s="959" t="s">
        <v>3140</v>
      </c>
      <c r="B789" s="960" t="s">
        <v>3141</v>
      </c>
      <c r="C789" s="960" t="s">
        <v>4256</v>
      </c>
      <c r="D789" s="960" t="s">
        <v>470</v>
      </c>
      <c r="E789" s="959">
        <v>0</v>
      </c>
      <c r="F789" s="959">
        <v>0</v>
      </c>
      <c r="G789" s="959">
        <v>0</v>
      </c>
      <c r="H789" s="959">
        <v>2</v>
      </c>
    </row>
    <row r="790" spans="1:8">
      <c r="A790" s="959" t="s">
        <v>3140</v>
      </c>
      <c r="B790" s="960" t="s">
        <v>3141</v>
      </c>
      <c r="C790" s="960" t="s">
        <v>4256</v>
      </c>
      <c r="D790" s="960" t="s">
        <v>4260</v>
      </c>
      <c r="E790" s="959">
        <v>0</v>
      </c>
      <c r="F790" s="959">
        <v>0</v>
      </c>
      <c r="G790" s="959">
        <v>0</v>
      </c>
      <c r="H790" s="959">
        <v>35</v>
      </c>
    </row>
    <row r="791" spans="1:8">
      <c r="A791" s="959" t="s">
        <v>3140</v>
      </c>
      <c r="B791" s="960" t="s">
        <v>3141</v>
      </c>
      <c r="C791" s="960" t="s">
        <v>4256</v>
      </c>
      <c r="D791" s="960" t="s">
        <v>4265</v>
      </c>
      <c r="E791" s="959">
        <v>0</v>
      </c>
      <c r="F791" s="959">
        <v>0</v>
      </c>
      <c r="G791" s="959">
        <v>0</v>
      </c>
      <c r="H791" s="959">
        <v>3</v>
      </c>
    </row>
    <row r="792" spans="1:8">
      <c r="A792" s="959" t="s">
        <v>3140</v>
      </c>
      <c r="B792" s="960" t="s">
        <v>3141</v>
      </c>
      <c r="C792" s="960" t="s">
        <v>4256</v>
      </c>
      <c r="D792" s="960" t="s">
        <v>1906</v>
      </c>
      <c r="E792" s="959">
        <v>0</v>
      </c>
      <c r="F792" s="959">
        <v>5</v>
      </c>
      <c r="G792" s="959">
        <v>0</v>
      </c>
      <c r="H792" s="959">
        <v>10</v>
      </c>
    </row>
    <row r="793" spans="1:8">
      <c r="A793" s="959" t="s">
        <v>3140</v>
      </c>
      <c r="B793" s="960" t="s">
        <v>3141</v>
      </c>
      <c r="C793" s="960" t="s">
        <v>4256</v>
      </c>
      <c r="D793" s="960" t="s">
        <v>1907</v>
      </c>
      <c r="E793" s="959">
        <v>0</v>
      </c>
      <c r="F793" s="959">
        <v>9</v>
      </c>
      <c r="G793" s="959">
        <v>3</v>
      </c>
      <c r="H793" s="959">
        <v>48</v>
      </c>
    </row>
    <row r="794" spans="1:8">
      <c r="A794" s="959" t="s">
        <v>3140</v>
      </c>
      <c r="B794" s="960" t="s">
        <v>3141</v>
      </c>
      <c r="C794" s="960" t="s">
        <v>4256</v>
      </c>
      <c r="D794" s="960" t="s">
        <v>4261</v>
      </c>
      <c r="E794" s="959">
        <v>0</v>
      </c>
      <c r="F794" s="959">
        <v>0</v>
      </c>
      <c r="G794" s="959">
        <v>0</v>
      </c>
      <c r="H794" s="959">
        <v>2</v>
      </c>
    </row>
    <row r="795" spans="1:8">
      <c r="A795" s="959" t="s">
        <v>3140</v>
      </c>
      <c r="B795" s="960" t="s">
        <v>3141</v>
      </c>
      <c r="C795" s="960" t="s">
        <v>4257</v>
      </c>
      <c r="D795" s="960" t="s">
        <v>4258</v>
      </c>
      <c r="E795" s="959">
        <v>2</v>
      </c>
      <c r="F795" s="959">
        <v>67</v>
      </c>
      <c r="G795" s="959">
        <v>22</v>
      </c>
      <c r="H795" s="959">
        <v>323</v>
      </c>
    </row>
    <row r="796" spans="1:8">
      <c r="A796" s="959" t="s">
        <v>3140</v>
      </c>
      <c r="B796" s="960" t="s">
        <v>3141</v>
      </c>
      <c r="C796" s="960" t="s">
        <v>4262</v>
      </c>
      <c r="D796" s="960" t="s">
        <v>4263</v>
      </c>
      <c r="E796" s="959">
        <v>0</v>
      </c>
      <c r="F796" s="959">
        <v>34</v>
      </c>
      <c r="G796" s="959">
        <v>0</v>
      </c>
      <c r="H796" s="959">
        <v>0</v>
      </c>
    </row>
    <row r="797" spans="1:8">
      <c r="A797" s="959" t="s">
        <v>3140</v>
      </c>
      <c r="B797" s="960" t="s">
        <v>3141</v>
      </c>
      <c r="C797" s="960" t="s">
        <v>4267</v>
      </c>
      <c r="D797" s="960" t="s">
        <v>4268</v>
      </c>
      <c r="E797" s="959">
        <v>0</v>
      </c>
      <c r="F797" s="959">
        <v>0</v>
      </c>
      <c r="G797" s="959">
        <v>0</v>
      </c>
      <c r="H797" s="959">
        <v>11</v>
      </c>
    </row>
    <row r="798" spans="1:8">
      <c r="A798" s="959" t="s">
        <v>3143</v>
      </c>
      <c r="B798" s="960" t="s">
        <v>3144</v>
      </c>
      <c r="C798" s="960" t="s">
        <v>4256</v>
      </c>
      <c r="D798" s="960" t="s">
        <v>470</v>
      </c>
      <c r="E798" s="959">
        <v>0</v>
      </c>
      <c r="F798" s="959">
        <v>0</v>
      </c>
      <c r="G798" s="959">
        <v>2</v>
      </c>
      <c r="H798" s="959">
        <v>0</v>
      </c>
    </row>
    <row r="799" spans="1:8">
      <c r="A799" s="959" t="s">
        <v>3143</v>
      </c>
      <c r="B799" s="960" t="s">
        <v>3144</v>
      </c>
      <c r="C799" s="960" t="s">
        <v>4256</v>
      </c>
      <c r="D799" s="960" t="s">
        <v>1904</v>
      </c>
      <c r="E799" s="959">
        <v>0</v>
      </c>
      <c r="F799" s="959">
        <v>0</v>
      </c>
      <c r="G799" s="959">
        <v>18</v>
      </c>
      <c r="H799" s="959">
        <v>18</v>
      </c>
    </row>
    <row r="800" spans="1:8">
      <c r="A800" s="959" t="s">
        <v>3143</v>
      </c>
      <c r="B800" s="960" t="s">
        <v>3144</v>
      </c>
      <c r="C800" s="960" t="s">
        <v>4267</v>
      </c>
      <c r="D800" s="960" t="s">
        <v>4268</v>
      </c>
      <c r="E800" s="959">
        <v>0</v>
      </c>
      <c r="F800" s="959">
        <v>0</v>
      </c>
      <c r="G800" s="959">
        <v>0</v>
      </c>
      <c r="H800" s="959">
        <v>15</v>
      </c>
    </row>
    <row r="801" spans="1:8">
      <c r="A801" s="959" t="s">
        <v>3145</v>
      </c>
      <c r="B801" s="960" t="s">
        <v>3146</v>
      </c>
      <c r="C801" s="960" t="s">
        <v>4257</v>
      </c>
      <c r="D801" s="960" t="s">
        <v>4258</v>
      </c>
      <c r="E801" s="959">
        <v>0</v>
      </c>
      <c r="F801" s="959">
        <v>2</v>
      </c>
      <c r="G801" s="959">
        <v>0</v>
      </c>
      <c r="H801" s="959">
        <v>1</v>
      </c>
    </row>
    <row r="802" spans="1:8">
      <c r="A802" s="959" t="s">
        <v>3145</v>
      </c>
      <c r="B802" s="960" t="s">
        <v>3146</v>
      </c>
      <c r="C802" s="960" t="s">
        <v>4262</v>
      </c>
      <c r="D802" s="960" t="s">
        <v>4263</v>
      </c>
      <c r="E802" s="959">
        <v>2</v>
      </c>
      <c r="F802" s="959">
        <v>0</v>
      </c>
      <c r="G802" s="959">
        <v>0</v>
      </c>
      <c r="H802" s="959">
        <v>0</v>
      </c>
    </row>
    <row r="803" spans="1:8">
      <c r="A803" s="959" t="s">
        <v>3147</v>
      </c>
      <c r="B803" s="960" t="s">
        <v>339</v>
      </c>
      <c r="C803" s="960" t="s">
        <v>4256</v>
      </c>
      <c r="D803" s="960" t="s">
        <v>4259</v>
      </c>
      <c r="E803" s="959">
        <v>0</v>
      </c>
      <c r="F803" s="959">
        <v>0</v>
      </c>
      <c r="G803" s="959">
        <v>0</v>
      </c>
      <c r="H803" s="959">
        <v>2</v>
      </c>
    </row>
    <row r="804" spans="1:8">
      <c r="A804" s="959" t="s">
        <v>3147</v>
      </c>
      <c r="B804" s="960" t="s">
        <v>339</v>
      </c>
      <c r="C804" s="960" t="s">
        <v>4256</v>
      </c>
      <c r="D804" s="960" t="s">
        <v>4260</v>
      </c>
      <c r="E804" s="959">
        <v>0</v>
      </c>
      <c r="F804" s="959">
        <v>0</v>
      </c>
      <c r="G804" s="959">
        <v>0</v>
      </c>
      <c r="H804" s="959">
        <v>1</v>
      </c>
    </row>
    <row r="805" spans="1:8">
      <c r="A805" s="959" t="s">
        <v>3148</v>
      </c>
      <c r="B805" s="960" t="s">
        <v>900</v>
      </c>
      <c r="C805" s="960" t="s">
        <v>4257</v>
      </c>
      <c r="D805" s="960" t="s">
        <v>4258</v>
      </c>
      <c r="E805" s="959">
        <v>1</v>
      </c>
      <c r="F805" s="959">
        <v>1</v>
      </c>
      <c r="G805" s="959">
        <v>0</v>
      </c>
      <c r="H805" s="959">
        <v>0</v>
      </c>
    </row>
    <row r="806" spans="1:8">
      <c r="A806" s="959" t="s">
        <v>3149</v>
      </c>
      <c r="B806" s="960" t="s">
        <v>901</v>
      </c>
      <c r="C806" s="960" t="s">
        <v>4256</v>
      </c>
      <c r="D806" s="960" t="s">
        <v>1906</v>
      </c>
      <c r="E806" s="959">
        <v>0</v>
      </c>
      <c r="F806" s="959">
        <v>2</v>
      </c>
      <c r="G806" s="959">
        <v>0</v>
      </c>
      <c r="H806" s="959">
        <v>0</v>
      </c>
    </row>
    <row r="807" spans="1:8">
      <c r="A807" s="959" t="s">
        <v>3149</v>
      </c>
      <c r="B807" s="960" t="s">
        <v>901</v>
      </c>
      <c r="C807" s="960" t="s">
        <v>4257</v>
      </c>
      <c r="D807" s="960" t="s">
        <v>4258</v>
      </c>
      <c r="E807" s="959">
        <v>2</v>
      </c>
      <c r="F807" s="959">
        <v>43</v>
      </c>
      <c r="G807" s="959">
        <v>0</v>
      </c>
      <c r="H807" s="959">
        <v>0</v>
      </c>
    </row>
    <row r="808" spans="1:8">
      <c r="A808" s="959" t="s">
        <v>3149</v>
      </c>
      <c r="B808" s="960" t="s">
        <v>901</v>
      </c>
      <c r="C808" s="960" t="s">
        <v>4262</v>
      </c>
      <c r="D808" s="960" t="s">
        <v>4263</v>
      </c>
      <c r="E808" s="959">
        <v>0</v>
      </c>
      <c r="F808" s="959">
        <v>1</v>
      </c>
      <c r="G808" s="959">
        <v>0</v>
      </c>
      <c r="H808" s="959">
        <v>0</v>
      </c>
    </row>
    <row r="809" spans="1:8">
      <c r="A809" s="959" t="s">
        <v>3150</v>
      </c>
      <c r="B809" s="960" t="s">
        <v>3151</v>
      </c>
      <c r="C809" s="960" t="s">
        <v>4256</v>
      </c>
      <c r="D809" s="960" t="s">
        <v>1906</v>
      </c>
      <c r="E809" s="959">
        <v>0</v>
      </c>
      <c r="F809" s="959">
        <v>8</v>
      </c>
      <c r="G809" s="959">
        <v>0</v>
      </c>
      <c r="H809" s="959">
        <v>0</v>
      </c>
    </row>
    <row r="810" spans="1:8">
      <c r="A810" s="959" t="s">
        <v>3150</v>
      </c>
      <c r="B810" s="960" t="s">
        <v>3151</v>
      </c>
      <c r="C810" s="960" t="s">
        <v>4257</v>
      </c>
      <c r="D810" s="960" t="s">
        <v>4258</v>
      </c>
      <c r="E810" s="959">
        <v>5</v>
      </c>
      <c r="F810" s="959">
        <v>111</v>
      </c>
      <c r="G810" s="959">
        <v>0</v>
      </c>
      <c r="H810" s="959">
        <v>0</v>
      </c>
    </row>
    <row r="811" spans="1:8">
      <c r="A811" s="959" t="s">
        <v>3150</v>
      </c>
      <c r="B811" s="960" t="s">
        <v>3151</v>
      </c>
      <c r="C811" s="960" t="s">
        <v>4262</v>
      </c>
      <c r="D811" s="960" t="s">
        <v>4263</v>
      </c>
      <c r="E811" s="959">
        <v>0</v>
      </c>
      <c r="F811" s="959">
        <v>45</v>
      </c>
      <c r="G811" s="959">
        <v>0</v>
      </c>
      <c r="H811" s="959">
        <v>3</v>
      </c>
    </row>
    <row r="812" spans="1:8">
      <c r="A812" s="959" t="s">
        <v>3152</v>
      </c>
      <c r="B812" s="960" t="s">
        <v>906</v>
      </c>
      <c r="C812" s="960" t="s">
        <v>4275</v>
      </c>
      <c r="D812" s="960" t="s">
        <v>4276</v>
      </c>
      <c r="E812" s="959">
        <v>0</v>
      </c>
      <c r="F812" s="959">
        <v>1</v>
      </c>
      <c r="G812" s="959">
        <v>0</v>
      </c>
      <c r="H812" s="959">
        <v>0</v>
      </c>
    </row>
    <row r="813" spans="1:8">
      <c r="A813" s="959" t="s">
        <v>3152</v>
      </c>
      <c r="B813" s="960" t="s">
        <v>906</v>
      </c>
      <c r="C813" s="960" t="s">
        <v>4256</v>
      </c>
      <c r="D813" s="960" t="s">
        <v>470</v>
      </c>
      <c r="E813" s="959">
        <v>0</v>
      </c>
      <c r="F813" s="959">
        <v>0</v>
      </c>
      <c r="G813" s="959">
        <v>0</v>
      </c>
      <c r="H813" s="959">
        <v>1</v>
      </c>
    </row>
    <row r="814" spans="1:8">
      <c r="A814" s="959" t="s">
        <v>3152</v>
      </c>
      <c r="B814" s="960" t="s">
        <v>906</v>
      </c>
      <c r="C814" s="960" t="s">
        <v>4256</v>
      </c>
      <c r="D814" s="960" t="s">
        <v>4270</v>
      </c>
      <c r="E814" s="959">
        <v>0</v>
      </c>
      <c r="F814" s="959">
        <v>1</v>
      </c>
      <c r="G814" s="959">
        <v>0</v>
      </c>
      <c r="H814" s="959">
        <v>1</v>
      </c>
    </row>
    <row r="815" spans="1:8">
      <c r="A815" s="959" t="s">
        <v>3152</v>
      </c>
      <c r="B815" s="960" t="s">
        <v>906</v>
      </c>
      <c r="C815" s="960" t="s">
        <v>4256</v>
      </c>
      <c r="D815" s="960" t="s">
        <v>4259</v>
      </c>
      <c r="E815" s="959">
        <v>0</v>
      </c>
      <c r="F815" s="959">
        <v>2</v>
      </c>
      <c r="G815" s="959">
        <v>0</v>
      </c>
      <c r="H815" s="959">
        <v>0</v>
      </c>
    </row>
    <row r="816" spans="1:8">
      <c r="A816" s="959" t="s">
        <v>3152</v>
      </c>
      <c r="B816" s="960" t="s">
        <v>906</v>
      </c>
      <c r="C816" s="960" t="s">
        <v>4256</v>
      </c>
      <c r="D816" s="960" t="s">
        <v>4260</v>
      </c>
      <c r="E816" s="959">
        <v>0</v>
      </c>
      <c r="F816" s="959">
        <v>1</v>
      </c>
      <c r="G816" s="959">
        <v>0</v>
      </c>
      <c r="H816" s="959">
        <v>1</v>
      </c>
    </row>
    <row r="817" spans="1:8">
      <c r="A817" s="959" t="s">
        <v>3152</v>
      </c>
      <c r="B817" s="960" t="s">
        <v>906</v>
      </c>
      <c r="C817" s="960" t="s">
        <v>4256</v>
      </c>
      <c r="D817" s="960" t="s">
        <v>4265</v>
      </c>
      <c r="E817" s="959">
        <v>0</v>
      </c>
      <c r="F817" s="959">
        <v>1</v>
      </c>
      <c r="G817" s="959">
        <v>0</v>
      </c>
      <c r="H817" s="959">
        <v>0</v>
      </c>
    </row>
    <row r="818" spans="1:8">
      <c r="A818" s="959" t="s">
        <v>3152</v>
      </c>
      <c r="B818" s="960" t="s">
        <v>906</v>
      </c>
      <c r="C818" s="960" t="s">
        <v>4256</v>
      </c>
      <c r="D818" s="960" t="s">
        <v>4271</v>
      </c>
      <c r="E818" s="959">
        <v>0</v>
      </c>
      <c r="F818" s="959">
        <v>1</v>
      </c>
      <c r="G818" s="959">
        <v>0</v>
      </c>
      <c r="H818" s="959">
        <v>0</v>
      </c>
    </row>
    <row r="819" spans="1:8">
      <c r="A819" s="959" t="s">
        <v>3152</v>
      </c>
      <c r="B819" s="960" t="s">
        <v>906</v>
      </c>
      <c r="C819" s="960" t="s">
        <v>4257</v>
      </c>
      <c r="D819" s="960" t="s">
        <v>4258</v>
      </c>
      <c r="E819" s="959">
        <v>0</v>
      </c>
      <c r="F819" s="959">
        <v>4</v>
      </c>
      <c r="G819" s="959">
        <v>0</v>
      </c>
      <c r="H819" s="959">
        <v>0</v>
      </c>
    </row>
    <row r="820" spans="1:8">
      <c r="A820" s="959" t="s">
        <v>3152</v>
      </c>
      <c r="B820" s="960" t="s">
        <v>906</v>
      </c>
      <c r="C820" s="960" t="s">
        <v>4262</v>
      </c>
      <c r="D820" s="960" t="s">
        <v>4263</v>
      </c>
      <c r="E820" s="959">
        <v>1</v>
      </c>
      <c r="F820" s="959">
        <v>25</v>
      </c>
      <c r="G820" s="959">
        <v>0</v>
      </c>
      <c r="H820" s="959">
        <v>0</v>
      </c>
    </row>
    <row r="821" spans="1:8">
      <c r="A821" s="959" t="s">
        <v>3153</v>
      </c>
      <c r="B821" s="960" t="s">
        <v>3154</v>
      </c>
      <c r="C821" s="960" t="s">
        <v>4256</v>
      </c>
      <c r="D821" s="960" t="s">
        <v>470</v>
      </c>
      <c r="E821" s="959">
        <v>0</v>
      </c>
      <c r="F821" s="959">
        <v>0</v>
      </c>
      <c r="G821" s="959">
        <v>0</v>
      </c>
      <c r="H821" s="959">
        <v>1</v>
      </c>
    </row>
    <row r="822" spans="1:8">
      <c r="A822" s="959" t="s">
        <v>3153</v>
      </c>
      <c r="B822" s="960" t="s">
        <v>3154</v>
      </c>
      <c r="C822" s="960" t="s">
        <v>4256</v>
      </c>
      <c r="D822" s="960" t="s">
        <v>1906</v>
      </c>
      <c r="E822" s="959">
        <v>0</v>
      </c>
      <c r="F822" s="959">
        <v>2</v>
      </c>
      <c r="G822" s="959">
        <v>0</v>
      </c>
      <c r="H822" s="959">
        <v>0</v>
      </c>
    </row>
    <row r="823" spans="1:8">
      <c r="A823" s="959" t="s">
        <v>3153</v>
      </c>
      <c r="B823" s="960" t="s">
        <v>3154</v>
      </c>
      <c r="C823" s="960" t="s">
        <v>4256</v>
      </c>
      <c r="D823" s="960" t="s">
        <v>1907</v>
      </c>
      <c r="E823" s="959">
        <v>2</v>
      </c>
      <c r="F823" s="959">
        <v>26</v>
      </c>
      <c r="G823" s="959">
        <v>0</v>
      </c>
      <c r="H823" s="959">
        <v>8</v>
      </c>
    </row>
    <row r="824" spans="1:8">
      <c r="A824" s="959" t="s">
        <v>3155</v>
      </c>
      <c r="B824" s="960" t="s">
        <v>3156</v>
      </c>
      <c r="C824" s="960" t="s">
        <v>4256</v>
      </c>
      <c r="D824" s="960" t="s">
        <v>4259</v>
      </c>
      <c r="E824" s="959">
        <v>0</v>
      </c>
      <c r="F824" s="959">
        <v>0</v>
      </c>
      <c r="G824" s="959">
        <v>0</v>
      </c>
      <c r="H824" s="959">
        <v>13</v>
      </c>
    </row>
    <row r="825" spans="1:8">
      <c r="A825" s="959" t="s">
        <v>3155</v>
      </c>
      <c r="B825" s="960" t="s">
        <v>3156</v>
      </c>
      <c r="C825" s="960" t="s">
        <v>4256</v>
      </c>
      <c r="D825" s="960" t="s">
        <v>1906</v>
      </c>
      <c r="E825" s="959">
        <v>2</v>
      </c>
      <c r="F825" s="959">
        <v>23</v>
      </c>
      <c r="G825" s="959">
        <v>0</v>
      </c>
      <c r="H825" s="959">
        <v>0</v>
      </c>
    </row>
    <row r="826" spans="1:8">
      <c r="A826" s="959" t="s">
        <v>3155</v>
      </c>
      <c r="B826" s="960" t="s">
        <v>3156</v>
      </c>
      <c r="C826" s="960" t="s">
        <v>4256</v>
      </c>
      <c r="D826" s="960" t="s">
        <v>1907</v>
      </c>
      <c r="E826" s="959">
        <v>0</v>
      </c>
      <c r="F826" s="959">
        <v>2</v>
      </c>
      <c r="G826" s="959">
        <v>0</v>
      </c>
      <c r="H826" s="959">
        <v>1</v>
      </c>
    </row>
    <row r="827" spans="1:8">
      <c r="A827" s="959" t="s">
        <v>3155</v>
      </c>
      <c r="B827" s="960" t="s">
        <v>3156</v>
      </c>
      <c r="C827" s="960" t="s">
        <v>4257</v>
      </c>
      <c r="D827" s="960" t="s">
        <v>4258</v>
      </c>
      <c r="E827" s="959">
        <v>2</v>
      </c>
      <c r="F827" s="959">
        <v>66</v>
      </c>
      <c r="G827" s="959">
        <v>0</v>
      </c>
      <c r="H827" s="959">
        <v>4</v>
      </c>
    </row>
    <row r="828" spans="1:8">
      <c r="A828" s="959" t="s">
        <v>3155</v>
      </c>
      <c r="B828" s="960" t="s">
        <v>3156</v>
      </c>
      <c r="C828" s="960" t="s">
        <v>4262</v>
      </c>
      <c r="D828" s="960" t="s">
        <v>4263</v>
      </c>
      <c r="E828" s="959">
        <v>2</v>
      </c>
      <c r="F828" s="959">
        <v>166</v>
      </c>
      <c r="G828" s="959">
        <v>0</v>
      </c>
      <c r="H828" s="959">
        <v>9</v>
      </c>
    </row>
    <row r="829" spans="1:8">
      <c r="A829" s="959" t="s">
        <v>3158</v>
      </c>
      <c r="B829" s="960" t="s">
        <v>3159</v>
      </c>
      <c r="C829" s="960" t="s">
        <v>4256</v>
      </c>
      <c r="D829" s="960" t="s">
        <v>4260</v>
      </c>
      <c r="E829" s="959">
        <v>0</v>
      </c>
      <c r="F829" s="959">
        <v>0</v>
      </c>
      <c r="G829" s="959">
        <v>0</v>
      </c>
      <c r="H829" s="959">
        <v>1</v>
      </c>
    </row>
    <row r="830" spans="1:8">
      <c r="A830" s="959" t="s">
        <v>3158</v>
      </c>
      <c r="B830" s="960" t="s">
        <v>3159</v>
      </c>
      <c r="C830" s="960" t="s">
        <v>4257</v>
      </c>
      <c r="D830" s="960" t="s">
        <v>4258</v>
      </c>
      <c r="E830" s="959">
        <v>3</v>
      </c>
      <c r="F830" s="959">
        <v>79</v>
      </c>
      <c r="G830" s="959">
        <v>0</v>
      </c>
      <c r="H830" s="959">
        <v>0</v>
      </c>
    </row>
    <row r="831" spans="1:8">
      <c r="A831" s="959" t="s">
        <v>3158</v>
      </c>
      <c r="B831" s="960" t="s">
        <v>3159</v>
      </c>
      <c r="C831" s="960" t="s">
        <v>4262</v>
      </c>
      <c r="D831" s="960" t="s">
        <v>4263</v>
      </c>
      <c r="E831" s="959">
        <v>4</v>
      </c>
      <c r="F831" s="959">
        <v>125</v>
      </c>
      <c r="G831" s="959">
        <v>0</v>
      </c>
      <c r="H831" s="959">
        <v>0</v>
      </c>
    </row>
    <row r="832" spans="1:8">
      <c r="A832" s="959" t="s">
        <v>3160</v>
      </c>
      <c r="B832" s="960" t="s">
        <v>916</v>
      </c>
      <c r="C832" s="960" t="s">
        <v>4256</v>
      </c>
      <c r="D832" s="960" t="s">
        <v>470</v>
      </c>
      <c r="E832" s="959">
        <v>0</v>
      </c>
      <c r="F832" s="959">
        <v>0</v>
      </c>
      <c r="G832" s="959">
        <v>0</v>
      </c>
      <c r="H832" s="959">
        <v>1</v>
      </c>
    </row>
    <row r="833" spans="1:8">
      <c r="A833" s="959" t="s">
        <v>3161</v>
      </c>
      <c r="B833" s="960" t="s">
        <v>920</v>
      </c>
      <c r="C833" s="960" t="s">
        <v>4257</v>
      </c>
      <c r="D833" s="960" t="s">
        <v>4258</v>
      </c>
      <c r="E833" s="959">
        <v>0</v>
      </c>
      <c r="F833" s="959">
        <v>1</v>
      </c>
      <c r="G833" s="959">
        <v>0</v>
      </c>
      <c r="H833" s="959">
        <v>0</v>
      </c>
    </row>
    <row r="834" spans="1:8">
      <c r="A834" s="959" t="s">
        <v>3161</v>
      </c>
      <c r="B834" s="960" t="s">
        <v>920</v>
      </c>
      <c r="C834" s="960" t="s">
        <v>4262</v>
      </c>
      <c r="D834" s="960" t="s">
        <v>4263</v>
      </c>
      <c r="E834" s="959">
        <v>0</v>
      </c>
      <c r="F834" s="959">
        <v>2</v>
      </c>
      <c r="G834" s="959">
        <v>0</v>
      </c>
      <c r="H834" s="959">
        <v>0</v>
      </c>
    </row>
    <row r="835" spans="1:8">
      <c r="A835" s="959" t="s">
        <v>3161</v>
      </c>
      <c r="B835" s="960" t="s">
        <v>920</v>
      </c>
      <c r="C835" s="960" t="s">
        <v>4267</v>
      </c>
      <c r="D835" s="960" t="s">
        <v>4268</v>
      </c>
      <c r="E835" s="959">
        <v>0</v>
      </c>
      <c r="F835" s="959">
        <v>0</v>
      </c>
      <c r="G835" s="959">
        <v>0</v>
      </c>
      <c r="H835" s="959">
        <v>16</v>
      </c>
    </row>
    <row r="836" spans="1:8">
      <c r="A836" s="959" t="s">
        <v>3162</v>
      </c>
      <c r="B836" s="960" t="s">
        <v>924</v>
      </c>
      <c r="C836" s="960" t="s">
        <v>4257</v>
      </c>
      <c r="D836" s="960" t="s">
        <v>4258</v>
      </c>
      <c r="E836" s="959">
        <v>1</v>
      </c>
      <c r="F836" s="959">
        <v>19</v>
      </c>
      <c r="G836" s="959">
        <v>1</v>
      </c>
      <c r="H836" s="959">
        <v>8</v>
      </c>
    </row>
    <row r="837" spans="1:8">
      <c r="A837" s="959" t="s">
        <v>3162</v>
      </c>
      <c r="B837" s="960" t="s">
        <v>924</v>
      </c>
      <c r="C837" s="960" t="s">
        <v>4262</v>
      </c>
      <c r="D837" s="960" t="s">
        <v>4263</v>
      </c>
      <c r="E837" s="959">
        <v>0</v>
      </c>
      <c r="F837" s="959">
        <v>5</v>
      </c>
      <c r="G837" s="959">
        <v>0</v>
      </c>
      <c r="H837" s="959">
        <v>0</v>
      </c>
    </row>
    <row r="838" spans="1:8">
      <c r="A838" s="959" t="s">
        <v>3163</v>
      </c>
      <c r="B838" s="960" t="s">
        <v>929</v>
      </c>
      <c r="C838" s="960" t="s">
        <v>4256</v>
      </c>
      <c r="D838" s="960" t="s">
        <v>4259</v>
      </c>
      <c r="E838" s="959">
        <v>0</v>
      </c>
      <c r="F838" s="959">
        <v>0</v>
      </c>
      <c r="G838" s="959">
        <v>0</v>
      </c>
      <c r="H838" s="959">
        <v>1</v>
      </c>
    </row>
    <row r="839" spans="1:8">
      <c r="A839" s="959" t="s">
        <v>3163</v>
      </c>
      <c r="B839" s="960" t="s">
        <v>929</v>
      </c>
      <c r="C839" s="960" t="s">
        <v>4256</v>
      </c>
      <c r="D839" s="960" t="s">
        <v>4265</v>
      </c>
      <c r="E839" s="959">
        <v>0</v>
      </c>
      <c r="F839" s="959">
        <v>1</v>
      </c>
      <c r="G839" s="959">
        <v>0</v>
      </c>
      <c r="H839" s="959">
        <v>0</v>
      </c>
    </row>
    <row r="840" spans="1:8">
      <c r="A840" s="959" t="s">
        <v>3163</v>
      </c>
      <c r="B840" s="960" t="s">
        <v>929</v>
      </c>
      <c r="C840" s="960" t="s">
        <v>4256</v>
      </c>
      <c r="D840" s="960" t="s">
        <v>4264</v>
      </c>
      <c r="E840" s="959">
        <v>1</v>
      </c>
      <c r="F840" s="959">
        <v>7</v>
      </c>
      <c r="G840" s="959">
        <v>0</v>
      </c>
      <c r="H840" s="959">
        <v>0</v>
      </c>
    </row>
    <row r="841" spans="1:8">
      <c r="A841" s="959" t="s">
        <v>3163</v>
      </c>
      <c r="B841" s="960" t="s">
        <v>929</v>
      </c>
      <c r="C841" s="960" t="s">
        <v>4257</v>
      </c>
      <c r="D841" s="960" t="s">
        <v>4258</v>
      </c>
      <c r="E841" s="959">
        <v>0</v>
      </c>
      <c r="F841" s="959">
        <v>5</v>
      </c>
      <c r="G841" s="959">
        <v>0</v>
      </c>
      <c r="H841" s="959">
        <v>0</v>
      </c>
    </row>
    <row r="842" spans="1:8">
      <c r="A842" s="959" t="s">
        <v>3163</v>
      </c>
      <c r="B842" s="960" t="s">
        <v>929</v>
      </c>
      <c r="C842" s="960" t="s">
        <v>4262</v>
      </c>
      <c r="D842" s="960" t="s">
        <v>4263</v>
      </c>
      <c r="E842" s="959">
        <v>0</v>
      </c>
      <c r="F842" s="959">
        <v>15</v>
      </c>
      <c r="G842" s="959">
        <v>0</v>
      </c>
      <c r="H842" s="959">
        <v>2</v>
      </c>
    </row>
    <row r="843" spans="1:8">
      <c r="A843" s="959" t="s">
        <v>3163</v>
      </c>
      <c r="B843" s="960" t="s">
        <v>929</v>
      </c>
      <c r="C843" s="960" t="s">
        <v>4267</v>
      </c>
      <c r="D843" s="960" t="s">
        <v>4268</v>
      </c>
      <c r="E843" s="959">
        <v>0</v>
      </c>
      <c r="F843" s="959">
        <v>14</v>
      </c>
      <c r="G843" s="959">
        <v>0</v>
      </c>
      <c r="H843" s="959">
        <v>0</v>
      </c>
    </row>
    <row r="844" spans="1:8">
      <c r="A844" s="959" t="s">
        <v>3164</v>
      </c>
      <c r="B844" s="960" t="s">
        <v>3165</v>
      </c>
      <c r="C844" s="960" t="s">
        <v>4256</v>
      </c>
      <c r="D844" s="960" t="s">
        <v>4259</v>
      </c>
      <c r="E844" s="959">
        <v>0</v>
      </c>
      <c r="F844" s="959">
        <v>0</v>
      </c>
      <c r="G844" s="959">
        <v>0</v>
      </c>
      <c r="H844" s="959">
        <v>1</v>
      </c>
    </row>
    <row r="845" spans="1:8">
      <c r="A845" s="959" t="s">
        <v>3164</v>
      </c>
      <c r="B845" s="960" t="s">
        <v>3165</v>
      </c>
      <c r="C845" s="960" t="s">
        <v>4256</v>
      </c>
      <c r="D845" s="960" t="s">
        <v>4260</v>
      </c>
      <c r="E845" s="959">
        <v>0</v>
      </c>
      <c r="F845" s="959">
        <v>0</v>
      </c>
      <c r="G845" s="959">
        <v>0</v>
      </c>
      <c r="H845" s="959">
        <v>1</v>
      </c>
    </row>
    <row r="846" spans="1:8">
      <c r="A846" s="959" t="s">
        <v>3164</v>
      </c>
      <c r="B846" s="960" t="s">
        <v>3165</v>
      </c>
      <c r="C846" s="960" t="s">
        <v>4256</v>
      </c>
      <c r="D846" s="960" t="s">
        <v>1906</v>
      </c>
      <c r="E846" s="959">
        <v>29</v>
      </c>
      <c r="F846" s="959">
        <v>601</v>
      </c>
      <c r="G846" s="959">
        <v>1</v>
      </c>
      <c r="H846" s="959">
        <v>7</v>
      </c>
    </row>
    <row r="847" spans="1:8">
      <c r="A847" s="959" t="s">
        <v>3164</v>
      </c>
      <c r="B847" s="960" t="s">
        <v>3165</v>
      </c>
      <c r="C847" s="960" t="s">
        <v>4257</v>
      </c>
      <c r="D847" s="960" t="s">
        <v>4258</v>
      </c>
      <c r="E847" s="959">
        <v>13</v>
      </c>
      <c r="F847" s="959">
        <v>264</v>
      </c>
      <c r="G847" s="959">
        <v>1</v>
      </c>
      <c r="H847" s="959">
        <v>9</v>
      </c>
    </row>
    <row r="848" spans="1:8">
      <c r="A848" s="959" t="s">
        <v>3164</v>
      </c>
      <c r="B848" s="960" t="s">
        <v>3165</v>
      </c>
      <c r="C848" s="960" t="s">
        <v>4262</v>
      </c>
      <c r="D848" s="960" t="s">
        <v>4263</v>
      </c>
      <c r="E848" s="959">
        <v>22</v>
      </c>
      <c r="F848" s="959">
        <v>350</v>
      </c>
      <c r="G848" s="959">
        <v>0</v>
      </c>
      <c r="H848" s="959">
        <v>4</v>
      </c>
    </row>
    <row r="849" spans="1:8">
      <c r="A849" s="959" t="s">
        <v>3166</v>
      </c>
      <c r="B849" s="960" t="s">
        <v>3167</v>
      </c>
      <c r="C849" s="960" t="s">
        <v>4256</v>
      </c>
      <c r="D849" s="960" t="s">
        <v>1904</v>
      </c>
      <c r="E849" s="959">
        <v>0</v>
      </c>
      <c r="F849" s="959">
        <v>0</v>
      </c>
      <c r="G849" s="959">
        <v>10</v>
      </c>
      <c r="H849" s="959">
        <v>12</v>
      </c>
    </row>
    <row r="850" spans="1:8">
      <c r="A850" s="959" t="s">
        <v>3166</v>
      </c>
      <c r="B850" s="960" t="s">
        <v>3167</v>
      </c>
      <c r="C850" s="960" t="s">
        <v>4257</v>
      </c>
      <c r="D850" s="960" t="s">
        <v>4258</v>
      </c>
      <c r="E850" s="959">
        <v>0</v>
      </c>
      <c r="F850" s="959">
        <v>1</v>
      </c>
      <c r="G850" s="959">
        <v>0</v>
      </c>
      <c r="H850" s="959">
        <v>0</v>
      </c>
    </row>
    <row r="851" spans="1:8">
      <c r="A851" s="959" t="s">
        <v>3166</v>
      </c>
      <c r="B851" s="960" t="s">
        <v>3167</v>
      </c>
      <c r="C851" s="960" t="s">
        <v>4262</v>
      </c>
      <c r="D851" s="960" t="s">
        <v>4263</v>
      </c>
      <c r="E851" s="959">
        <v>0</v>
      </c>
      <c r="F851" s="959">
        <v>2</v>
      </c>
      <c r="G851" s="959">
        <v>0</v>
      </c>
      <c r="H851" s="959">
        <v>0</v>
      </c>
    </row>
    <row r="852" spans="1:8">
      <c r="A852" s="959" t="s">
        <v>3170</v>
      </c>
      <c r="B852" s="960" t="s">
        <v>3171</v>
      </c>
      <c r="C852" s="960" t="s">
        <v>4256</v>
      </c>
      <c r="D852" s="960" t="s">
        <v>1906</v>
      </c>
      <c r="E852" s="959">
        <v>6</v>
      </c>
      <c r="F852" s="959">
        <v>85</v>
      </c>
      <c r="G852" s="959">
        <v>0</v>
      </c>
      <c r="H852" s="959">
        <v>0</v>
      </c>
    </row>
    <row r="853" spans="1:8">
      <c r="A853" s="959" t="s">
        <v>3170</v>
      </c>
      <c r="B853" s="960" t="s">
        <v>3171</v>
      </c>
      <c r="C853" s="960" t="s">
        <v>4256</v>
      </c>
      <c r="D853" s="960" t="s">
        <v>4264</v>
      </c>
      <c r="E853" s="959">
        <v>0</v>
      </c>
      <c r="F853" s="959">
        <v>0</v>
      </c>
      <c r="G853" s="959">
        <v>1</v>
      </c>
      <c r="H853" s="959">
        <v>3</v>
      </c>
    </row>
    <row r="854" spans="1:8">
      <c r="A854" s="959" t="s">
        <v>3170</v>
      </c>
      <c r="B854" s="960" t="s">
        <v>3171</v>
      </c>
      <c r="C854" s="960" t="s">
        <v>4257</v>
      </c>
      <c r="D854" s="960" t="s">
        <v>4258</v>
      </c>
      <c r="E854" s="959">
        <v>4</v>
      </c>
      <c r="F854" s="959">
        <v>61</v>
      </c>
      <c r="G854" s="959">
        <v>0</v>
      </c>
      <c r="H854" s="959">
        <v>0</v>
      </c>
    </row>
    <row r="855" spans="1:8">
      <c r="A855" s="959" t="s">
        <v>3170</v>
      </c>
      <c r="B855" s="960" t="s">
        <v>3171</v>
      </c>
      <c r="C855" s="960" t="s">
        <v>4262</v>
      </c>
      <c r="D855" s="960" t="s">
        <v>4263</v>
      </c>
      <c r="E855" s="959">
        <v>0</v>
      </c>
      <c r="F855" s="959">
        <v>2</v>
      </c>
      <c r="G855" s="959">
        <v>0</v>
      </c>
      <c r="H855" s="959">
        <v>1</v>
      </c>
    </row>
    <row r="856" spans="1:8">
      <c r="A856" s="959" t="s">
        <v>3172</v>
      </c>
      <c r="B856" s="960" t="s">
        <v>3173</v>
      </c>
      <c r="C856" s="960" t="s">
        <v>4257</v>
      </c>
      <c r="D856" s="960" t="s">
        <v>4258</v>
      </c>
      <c r="E856" s="959">
        <v>0</v>
      </c>
      <c r="F856" s="959">
        <v>1</v>
      </c>
      <c r="G856" s="959">
        <v>0</v>
      </c>
      <c r="H856" s="959">
        <v>0</v>
      </c>
    </row>
    <row r="857" spans="1:8">
      <c r="A857" s="959" t="s">
        <v>3175</v>
      </c>
      <c r="B857" s="960" t="s">
        <v>944</v>
      </c>
      <c r="C857" s="960" t="s">
        <v>4256</v>
      </c>
      <c r="D857" s="960" t="s">
        <v>470</v>
      </c>
      <c r="E857" s="959">
        <v>0</v>
      </c>
      <c r="F857" s="959">
        <v>0</v>
      </c>
      <c r="G857" s="959">
        <v>0</v>
      </c>
      <c r="H857" s="959">
        <v>1</v>
      </c>
    </row>
    <row r="858" spans="1:8">
      <c r="A858" s="959" t="s">
        <v>3175</v>
      </c>
      <c r="B858" s="960" t="s">
        <v>944</v>
      </c>
      <c r="C858" s="960" t="s">
        <v>4256</v>
      </c>
      <c r="D858" s="960" t="s">
        <v>4260</v>
      </c>
      <c r="E858" s="959">
        <v>0</v>
      </c>
      <c r="F858" s="959">
        <v>0</v>
      </c>
      <c r="G858" s="959">
        <v>0</v>
      </c>
      <c r="H858" s="959">
        <v>1</v>
      </c>
    </row>
    <row r="859" spans="1:8">
      <c r="A859" s="959" t="s">
        <v>3175</v>
      </c>
      <c r="B859" s="960" t="s">
        <v>944</v>
      </c>
      <c r="C859" s="960" t="s">
        <v>4256</v>
      </c>
      <c r="D859" s="960" t="s">
        <v>1906</v>
      </c>
      <c r="E859" s="959">
        <v>0</v>
      </c>
      <c r="F859" s="959">
        <v>1</v>
      </c>
      <c r="G859" s="959">
        <v>0</v>
      </c>
      <c r="H859" s="959">
        <v>0</v>
      </c>
    </row>
    <row r="860" spans="1:8">
      <c r="A860" s="959" t="s">
        <v>3175</v>
      </c>
      <c r="B860" s="960" t="s">
        <v>944</v>
      </c>
      <c r="C860" s="960" t="s">
        <v>4256</v>
      </c>
      <c r="D860" s="960" t="s">
        <v>4264</v>
      </c>
      <c r="E860" s="959">
        <v>0</v>
      </c>
      <c r="F860" s="959">
        <v>5</v>
      </c>
      <c r="G860" s="959">
        <v>0</v>
      </c>
      <c r="H860" s="959">
        <v>0</v>
      </c>
    </row>
    <row r="861" spans="1:8">
      <c r="A861" s="959" t="s">
        <v>3175</v>
      </c>
      <c r="B861" s="960" t="s">
        <v>944</v>
      </c>
      <c r="C861" s="960" t="s">
        <v>4257</v>
      </c>
      <c r="D861" s="960" t="s">
        <v>4258</v>
      </c>
      <c r="E861" s="959">
        <v>0</v>
      </c>
      <c r="F861" s="959">
        <v>42</v>
      </c>
      <c r="G861" s="959">
        <v>0</v>
      </c>
      <c r="H861" s="959">
        <v>0</v>
      </c>
    </row>
    <row r="862" spans="1:8">
      <c r="A862" s="959" t="s">
        <v>3175</v>
      </c>
      <c r="B862" s="960" t="s">
        <v>944</v>
      </c>
      <c r="C862" s="960" t="s">
        <v>4262</v>
      </c>
      <c r="D862" s="960" t="s">
        <v>4263</v>
      </c>
      <c r="E862" s="959">
        <v>0</v>
      </c>
      <c r="F862" s="959">
        <v>1</v>
      </c>
      <c r="G862" s="959">
        <v>0</v>
      </c>
      <c r="H862" s="959">
        <v>0</v>
      </c>
    </row>
    <row r="863" spans="1:8">
      <c r="A863" s="959" t="s">
        <v>3175</v>
      </c>
      <c r="B863" s="960" t="s">
        <v>944</v>
      </c>
      <c r="C863" s="960" t="s">
        <v>4267</v>
      </c>
      <c r="D863" s="960" t="s">
        <v>4268</v>
      </c>
      <c r="E863" s="959">
        <v>0</v>
      </c>
      <c r="F863" s="959">
        <v>0</v>
      </c>
      <c r="G863" s="959">
        <v>0</v>
      </c>
      <c r="H863" s="959">
        <v>3</v>
      </c>
    </row>
    <row r="864" spans="1:8">
      <c r="A864" s="959" t="s">
        <v>3176</v>
      </c>
      <c r="B864" s="960" t="s">
        <v>958</v>
      </c>
      <c r="C864" s="960" t="s">
        <v>4256</v>
      </c>
      <c r="D864" s="960" t="s">
        <v>1906</v>
      </c>
      <c r="E864" s="959">
        <v>0</v>
      </c>
      <c r="F864" s="959">
        <v>5</v>
      </c>
      <c r="G864" s="959">
        <v>0</v>
      </c>
      <c r="H864" s="959">
        <v>0</v>
      </c>
    </row>
    <row r="865" spans="1:8">
      <c r="A865" s="959" t="s">
        <v>3176</v>
      </c>
      <c r="B865" s="960" t="s">
        <v>958</v>
      </c>
      <c r="C865" s="960" t="s">
        <v>4257</v>
      </c>
      <c r="D865" s="960" t="s">
        <v>4258</v>
      </c>
      <c r="E865" s="959">
        <v>0</v>
      </c>
      <c r="F865" s="959">
        <v>6</v>
      </c>
      <c r="G865" s="959">
        <v>0</v>
      </c>
      <c r="H865" s="959">
        <v>0</v>
      </c>
    </row>
    <row r="866" spans="1:8">
      <c r="A866" s="959" t="s">
        <v>3176</v>
      </c>
      <c r="B866" s="960" t="s">
        <v>958</v>
      </c>
      <c r="C866" s="960" t="s">
        <v>4262</v>
      </c>
      <c r="D866" s="960" t="s">
        <v>4263</v>
      </c>
      <c r="E866" s="959">
        <v>0</v>
      </c>
      <c r="F866" s="959">
        <v>1</v>
      </c>
      <c r="G866" s="959">
        <v>0</v>
      </c>
      <c r="H866" s="959">
        <v>0</v>
      </c>
    </row>
    <row r="867" spans="1:8">
      <c r="A867" s="959" t="s">
        <v>3177</v>
      </c>
      <c r="B867" s="960" t="s">
        <v>964</v>
      </c>
      <c r="C867" s="960" t="s">
        <v>4256</v>
      </c>
      <c r="D867" s="960" t="s">
        <v>4269</v>
      </c>
      <c r="E867" s="959">
        <v>0</v>
      </c>
      <c r="F867" s="959">
        <v>0</v>
      </c>
      <c r="G867" s="959">
        <v>0</v>
      </c>
      <c r="H867" s="959">
        <v>2</v>
      </c>
    </row>
    <row r="868" spans="1:8">
      <c r="A868" s="959" t="s">
        <v>3177</v>
      </c>
      <c r="B868" s="960" t="s">
        <v>964</v>
      </c>
      <c r="C868" s="960" t="s">
        <v>4256</v>
      </c>
      <c r="D868" s="960" t="s">
        <v>4270</v>
      </c>
      <c r="E868" s="959">
        <v>0</v>
      </c>
      <c r="F868" s="959">
        <v>1</v>
      </c>
      <c r="G868" s="959">
        <v>0</v>
      </c>
      <c r="H868" s="959">
        <v>2</v>
      </c>
    </row>
    <row r="869" spans="1:8">
      <c r="A869" s="959" t="s">
        <v>3177</v>
      </c>
      <c r="B869" s="960" t="s">
        <v>964</v>
      </c>
      <c r="C869" s="960" t="s">
        <v>4256</v>
      </c>
      <c r="D869" s="960" t="s">
        <v>4259</v>
      </c>
      <c r="E869" s="959">
        <v>0</v>
      </c>
      <c r="F869" s="959">
        <v>2</v>
      </c>
      <c r="G869" s="959">
        <v>0</v>
      </c>
      <c r="H869" s="959">
        <v>8</v>
      </c>
    </row>
    <row r="870" spans="1:8">
      <c r="A870" s="959" t="s">
        <v>3177</v>
      </c>
      <c r="B870" s="960" t="s">
        <v>964</v>
      </c>
      <c r="C870" s="960" t="s">
        <v>4256</v>
      </c>
      <c r="D870" s="960" t="s">
        <v>4260</v>
      </c>
      <c r="E870" s="959">
        <v>0</v>
      </c>
      <c r="F870" s="959">
        <v>5</v>
      </c>
      <c r="G870" s="959">
        <v>1</v>
      </c>
      <c r="H870" s="959">
        <v>3</v>
      </c>
    </row>
    <row r="871" spans="1:8">
      <c r="A871" s="959" t="s">
        <v>3177</v>
      </c>
      <c r="B871" s="960" t="s">
        <v>964</v>
      </c>
      <c r="C871" s="960" t="s">
        <v>4256</v>
      </c>
      <c r="D871" s="960" t="s">
        <v>4265</v>
      </c>
      <c r="E871" s="959">
        <v>0</v>
      </c>
      <c r="F871" s="959">
        <v>0</v>
      </c>
      <c r="G871" s="959">
        <v>0</v>
      </c>
      <c r="H871" s="959">
        <v>1</v>
      </c>
    </row>
    <row r="872" spans="1:8">
      <c r="A872" s="959" t="s">
        <v>3177</v>
      </c>
      <c r="B872" s="960" t="s">
        <v>964</v>
      </c>
      <c r="C872" s="960" t="s">
        <v>4256</v>
      </c>
      <c r="D872" s="960" t="s">
        <v>1906</v>
      </c>
      <c r="E872" s="959">
        <v>0</v>
      </c>
      <c r="F872" s="959">
        <v>5</v>
      </c>
      <c r="G872" s="959">
        <v>0</v>
      </c>
      <c r="H872" s="959">
        <v>0</v>
      </c>
    </row>
    <row r="873" spans="1:8">
      <c r="A873" s="959" t="s">
        <v>3177</v>
      </c>
      <c r="B873" s="960" t="s">
        <v>964</v>
      </c>
      <c r="C873" s="960" t="s">
        <v>4256</v>
      </c>
      <c r="D873" s="961" t="s">
        <v>4266</v>
      </c>
      <c r="E873" s="959">
        <v>0</v>
      </c>
      <c r="F873" s="959">
        <v>0</v>
      </c>
      <c r="G873" s="959">
        <v>0</v>
      </c>
      <c r="H873" s="959">
        <v>1</v>
      </c>
    </row>
    <row r="874" spans="1:8">
      <c r="A874" s="959" t="s">
        <v>3177</v>
      </c>
      <c r="B874" s="960" t="s">
        <v>964</v>
      </c>
      <c r="C874" s="960" t="s">
        <v>4257</v>
      </c>
      <c r="D874" s="960" t="s">
        <v>4258</v>
      </c>
      <c r="E874" s="959">
        <v>1</v>
      </c>
      <c r="F874" s="959">
        <v>24</v>
      </c>
      <c r="G874" s="959">
        <v>0</v>
      </c>
      <c r="H874" s="959">
        <v>2</v>
      </c>
    </row>
    <row r="875" spans="1:8">
      <c r="A875" s="959" t="s">
        <v>3177</v>
      </c>
      <c r="B875" s="960" t="s">
        <v>964</v>
      </c>
      <c r="C875" s="960" t="s">
        <v>4262</v>
      </c>
      <c r="D875" s="960" t="s">
        <v>4263</v>
      </c>
      <c r="E875" s="959">
        <v>0</v>
      </c>
      <c r="F875" s="959">
        <v>13</v>
      </c>
      <c r="G875" s="959">
        <v>0</v>
      </c>
      <c r="H875" s="959">
        <v>1</v>
      </c>
    </row>
    <row r="876" spans="1:8">
      <c r="A876" s="959" t="s">
        <v>3177</v>
      </c>
      <c r="B876" s="960" t="s">
        <v>964</v>
      </c>
      <c r="C876" s="960" t="s">
        <v>4267</v>
      </c>
      <c r="D876" s="960" t="s">
        <v>4268</v>
      </c>
      <c r="E876" s="959">
        <v>0</v>
      </c>
      <c r="F876" s="959">
        <v>0</v>
      </c>
      <c r="G876" s="959">
        <v>0</v>
      </c>
      <c r="H876" s="959">
        <v>3</v>
      </c>
    </row>
    <row r="877" spans="1:8">
      <c r="A877" s="959" t="s">
        <v>3178</v>
      </c>
      <c r="B877" s="960" t="s">
        <v>970</v>
      </c>
      <c r="C877" s="960" t="s">
        <v>4256</v>
      </c>
      <c r="D877" s="960" t="s">
        <v>1906</v>
      </c>
      <c r="E877" s="959">
        <v>3</v>
      </c>
      <c r="F877" s="959">
        <v>0</v>
      </c>
      <c r="G877" s="959">
        <v>0</v>
      </c>
      <c r="H877" s="959">
        <v>0</v>
      </c>
    </row>
    <row r="878" spans="1:8">
      <c r="A878" s="959" t="s">
        <v>3178</v>
      </c>
      <c r="B878" s="960" t="s">
        <v>970</v>
      </c>
      <c r="C878" s="960" t="s">
        <v>4256</v>
      </c>
      <c r="D878" s="960" t="s">
        <v>4264</v>
      </c>
      <c r="E878" s="959">
        <v>0</v>
      </c>
      <c r="F878" s="959">
        <v>1</v>
      </c>
      <c r="G878" s="959">
        <v>0</v>
      </c>
      <c r="H878" s="959">
        <v>0</v>
      </c>
    </row>
    <row r="879" spans="1:8">
      <c r="A879" s="959" t="s">
        <v>3179</v>
      </c>
      <c r="B879" s="960" t="s">
        <v>3180</v>
      </c>
      <c r="C879" s="960" t="s">
        <v>4256</v>
      </c>
      <c r="D879" s="960" t="s">
        <v>470</v>
      </c>
      <c r="E879" s="959">
        <v>0</v>
      </c>
      <c r="F879" s="959">
        <v>0</v>
      </c>
      <c r="G879" s="959">
        <v>6</v>
      </c>
      <c r="H879" s="959">
        <v>62</v>
      </c>
    </row>
    <row r="880" spans="1:8">
      <c r="A880" s="959" t="s">
        <v>3179</v>
      </c>
      <c r="B880" s="960" t="s">
        <v>3180</v>
      </c>
      <c r="C880" s="960" t="s">
        <v>4256</v>
      </c>
      <c r="D880" s="960" t="s">
        <v>1904</v>
      </c>
      <c r="E880" s="959">
        <v>0</v>
      </c>
      <c r="F880" s="959">
        <v>0</v>
      </c>
      <c r="G880" s="959">
        <v>10</v>
      </c>
      <c r="H880" s="959">
        <v>60</v>
      </c>
    </row>
    <row r="881" spans="1:8">
      <c r="A881" s="959" t="s">
        <v>3179</v>
      </c>
      <c r="B881" s="960" t="s">
        <v>3180</v>
      </c>
      <c r="C881" s="960" t="s">
        <v>4256</v>
      </c>
      <c r="D881" s="960" t="s">
        <v>4270</v>
      </c>
      <c r="E881" s="959">
        <v>0</v>
      </c>
      <c r="F881" s="959">
        <v>0</v>
      </c>
      <c r="G881" s="959">
        <v>4</v>
      </c>
      <c r="H881" s="959">
        <v>14</v>
      </c>
    </row>
    <row r="882" spans="1:8">
      <c r="A882" s="959" t="s">
        <v>3179</v>
      </c>
      <c r="B882" s="960" t="s">
        <v>3180</v>
      </c>
      <c r="C882" s="960" t="s">
        <v>4256</v>
      </c>
      <c r="D882" s="960" t="s">
        <v>4259</v>
      </c>
      <c r="E882" s="959">
        <v>0</v>
      </c>
      <c r="F882" s="959">
        <v>0</v>
      </c>
      <c r="G882" s="959">
        <v>1</v>
      </c>
      <c r="H882" s="959">
        <v>2</v>
      </c>
    </row>
    <row r="883" spans="1:8">
      <c r="A883" s="959" t="s">
        <v>3179</v>
      </c>
      <c r="B883" s="960" t="s">
        <v>3180</v>
      </c>
      <c r="C883" s="960" t="s">
        <v>4256</v>
      </c>
      <c r="D883" s="960" t="s">
        <v>4260</v>
      </c>
      <c r="E883" s="959">
        <v>0</v>
      </c>
      <c r="F883" s="959">
        <v>0</v>
      </c>
      <c r="G883" s="959">
        <v>10</v>
      </c>
      <c r="H883" s="959">
        <v>49</v>
      </c>
    </row>
    <row r="884" spans="1:8">
      <c r="A884" s="959" t="s">
        <v>3179</v>
      </c>
      <c r="B884" s="960" t="s">
        <v>3180</v>
      </c>
      <c r="C884" s="960" t="s">
        <v>4256</v>
      </c>
      <c r="D884" s="960" t="s">
        <v>4265</v>
      </c>
      <c r="E884" s="959">
        <v>0</v>
      </c>
      <c r="F884" s="959">
        <v>0</v>
      </c>
      <c r="G884" s="959">
        <v>0</v>
      </c>
      <c r="H884" s="959">
        <v>17</v>
      </c>
    </row>
    <row r="885" spans="1:8">
      <c r="A885" s="959" t="s">
        <v>3179</v>
      </c>
      <c r="B885" s="960" t="s">
        <v>3180</v>
      </c>
      <c r="C885" s="960" t="s">
        <v>4256</v>
      </c>
      <c r="D885" s="960" t="s">
        <v>1906</v>
      </c>
      <c r="E885" s="959">
        <v>39</v>
      </c>
      <c r="F885" s="959">
        <v>619</v>
      </c>
      <c r="G885" s="959">
        <v>13</v>
      </c>
      <c r="H885" s="959">
        <v>170</v>
      </c>
    </row>
    <row r="886" spans="1:8">
      <c r="A886" s="959" t="s">
        <v>3179</v>
      </c>
      <c r="B886" s="960" t="s">
        <v>3180</v>
      </c>
      <c r="C886" s="960" t="s">
        <v>4256</v>
      </c>
      <c r="D886" s="960" t="s">
        <v>4261</v>
      </c>
      <c r="E886" s="959">
        <v>0</v>
      </c>
      <c r="F886" s="959">
        <v>0</v>
      </c>
      <c r="G886" s="959">
        <v>5</v>
      </c>
      <c r="H886" s="959">
        <v>63</v>
      </c>
    </row>
    <row r="887" spans="1:8">
      <c r="A887" s="959" t="s">
        <v>3179</v>
      </c>
      <c r="B887" s="960" t="s">
        <v>3180</v>
      </c>
      <c r="C887" s="960" t="s">
        <v>4257</v>
      </c>
      <c r="D887" s="960" t="s">
        <v>4258</v>
      </c>
      <c r="E887" s="959">
        <v>99</v>
      </c>
      <c r="F887" s="959">
        <v>1621</v>
      </c>
      <c r="G887" s="959">
        <v>2</v>
      </c>
      <c r="H887" s="959">
        <v>27</v>
      </c>
    </row>
    <row r="888" spans="1:8">
      <c r="A888" s="959" t="s">
        <v>3182</v>
      </c>
      <c r="B888" s="960" t="s">
        <v>984</v>
      </c>
      <c r="C888" s="960" t="s">
        <v>4275</v>
      </c>
      <c r="D888" s="960" t="s">
        <v>4276</v>
      </c>
      <c r="E888" s="959">
        <v>0</v>
      </c>
      <c r="F888" s="959">
        <v>1</v>
      </c>
      <c r="G888" s="959">
        <v>0</v>
      </c>
      <c r="H888" s="959">
        <v>0</v>
      </c>
    </row>
    <row r="889" spans="1:8">
      <c r="A889" s="959" t="s">
        <v>3182</v>
      </c>
      <c r="B889" s="960" t="s">
        <v>984</v>
      </c>
      <c r="C889" s="960" t="s">
        <v>4256</v>
      </c>
      <c r="D889" s="960" t="s">
        <v>470</v>
      </c>
      <c r="E889" s="959">
        <v>0</v>
      </c>
      <c r="F889" s="959">
        <v>0</v>
      </c>
      <c r="G889" s="959">
        <v>0</v>
      </c>
      <c r="H889" s="959">
        <v>1</v>
      </c>
    </row>
    <row r="890" spans="1:8">
      <c r="A890" s="959" t="s">
        <v>3182</v>
      </c>
      <c r="B890" s="960" t="s">
        <v>984</v>
      </c>
      <c r="C890" s="960" t="s">
        <v>4256</v>
      </c>
      <c r="D890" s="960" t="s">
        <v>4259</v>
      </c>
      <c r="E890" s="959">
        <v>0</v>
      </c>
      <c r="F890" s="959">
        <v>0</v>
      </c>
      <c r="G890" s="959">
        <v>0</v>
      </c>
      <c r="H890" s="959">
        <v>1</v>
      </c>
    </row>
    <row r="891" spans="1:8">
      <c r="A891" s="959" t="s">
        <v>3182</v>
      </c>
      <c r="B891" s="960" t="s">
        <v>984</v>
      </c>
      <c r="C891" s="960" t="s">
        <v>4256</v>
      </c>
      <c r="D891" s="960" t="s">
        <v>4260</v>
      </c>
      <c r="E891" s="959">
        <v>0</v>
      </c>
      <c r="F891" s="959">
        <v>4</v>
      </c>
      <c r="G891" s="959">
        <v>0</v>
      </c>
      <c r="H891" s="959">
        <v>12</v>
      </c>
    </row>
    <row r="892" spans="1:8">
      <c r="A892" s="959" t="s">
        <v>3182</v>
      </c>
      <c r="B892" s="960" t="s">
        <v>984</v>
      </c>
      <c r="C892" s="960" t="s">
        <v>4256</v>
      </c>
      <c r="D892" s="960" t="s">
        <v>1906</v>
      </c>
      <c r="E892" s="959">
        <v>0</v>
      </c>
      <c r="F892" s="959">
        <v>1</v>
      </c>
      <c r="G892" s="959">
        <v>0</v>
      </c>
      <c r="H892" s="959">
        <v>0</v>
      </c>
    </row>
    <row r="893" spans="1:8">
      <c r="A893" s="959" t="s">
        <v>3182</v>
      </c>
      <c r="B893" s="960" t="s">
        <v>984</v>
      </c>
      <c r="C893" s="960" t="s">
        <v>4256</v>
      </c>
      <c r="D893" s="960" t="s">
        <v>1907</v>
      </c>
      <c r="E893" s="959">
        <v>0</v>
      </c>
      <c r="F893" s="959">
        <v>0</v>
      </c>
      <c r="G893" s="959">
        <v>0</v>
      </c>
      <c r="H893" s="959">
        <v>1</v>
      </c>
    </row>
    <row r="894" spans="1:8">
      <c r="A894" s="959" t="s">
        <v>3182</v>
      </c>
      <c r="B894" s="960" t="s">
        <v>984</v>
      </c>
      <c r="C894" s="960" t="s">
        <v>4257</v>
      </c>
      <c r="D894" s="960" t="s">
        <v>4258</v>
      </c>
      <c r="E894" s="959">
        <v>4</v>
      </c>
      <c r="F894" s="959">
        <v>71</v>
      </c>
      <c r="G894" s="959">
        <v>0</v>
      </c>
      <c r="H894" s="959">
        <v>1</v>
      </c>
    </row>
    <row r="895" spans="1:8">
      <c r="A895" s="959" t="s">
        <v>3182</v>
      </c>
      <c r="B895" s="960" t="s">
        <v>984</v>
      </c>
      <c r="C895" s="960" t="s">
        <v>4262</v>
      </c>
      <c r="D895" s="960" t="s">
        <v>4263</v>
      </c>
      <c r="E895" s="959">
        <v>71</v>
      </c>
      <c r="F895" s="959">
        <v>1169</v>
      </c>
      <c r="G895" s="959">
        <v>0</v>
      </c>
      <c r="H895" s="959">
        <v>2</v>
      </c>
    </row>
    <row r="896" spans="1:8">
      <c r="A896" s="959" t="s">
        <v>3183</v>
      </c>
      <c r="B896" s="960" t="s">
        <v>997</v>
      </c>
      <c r="C896" s="960" t="s">
        <v>4256</v>
      </c>
      <c r="D896" s="960" t="s">
        <v>1906</v>
      </c>
      <c r="E896" s="959">
        <v>0</v>
      </c>
      <c r="F896" s="959">
        <v>1</v>
      </c>
      <c r="G896" s="959">
        <v>0</v>
      </c>
      <c r="H896" s="959">
        <v>0</v>
      </c>
    </row>
    <row r="897" spans="1:8">
      <c r="A897" s="959" t="s">
        <v>3183</v>
      </c>
      <c r="B897" s="960" t="s">
        <v>997</v>
      </c>
      <c r="C897" s="960" t="s">
        <v>4257</v>
      </c>
      <c r="D897" s="960" t="s">
        <v>4258</v>
      </c>
      <c r="E897" s="959">
        <v>0</v>
      </c>
      <c r="F897" s="959">
        <v>6</v>
      </c>
      <c r="G897" s="959">
        <v>0</v>
      </c>
      <c r="H897" s="959">
        <v>0</v>
      </c>
    </row>
    <row r="898" spans="1:8">
      <c r="A898" s="959" t="s">
        <v>3184</v>
      </c>
      <c r="B898" s="960" t="s">
        <v>993</v>
      </c>
      <c r="C898" s="960" t="s">
        <v>4256</v>
      </c>
      <c r="D898" s="960" t="s">
        <v>470</v>
      </c>
      <c r="E898" s="959">
        <v>0</v>
      </c>
      <c r="F898" s="959">
        <v>0</v>
      </c>
      <c r="G898" s="959">
        <v>0</v>
      </c>
      <c r="H898" s="959">
        <v>1</v>
      </c>
    </row>
    <row r="899" spans="1:8">
      <c r="A899" s="959" t="s">
        <v>3184</v>
      </c>
      <c r="B899" s="960" t="s">
        <v>993</v>
      </c>
      <c r="C899" s="960" t="s">
        <v>4256</v>
      </c>
      <c r="D899" s="960" t="s">
        <v>4270</v>
      </c>
      <c r="E899" s="959">
        <v>0</v>
      </c>
      <c r="F899" s="959">
        <v>0</v>
      </c>
      <c r="G899" s="959">
        <v>0</v>
      </c>
      <c r="H899" s="959">
        <v>1</v>
      </c>
    </row>
    <row r="900" spans="1:8">
      <c r="A900" s="959" t="s">
        <v>3184</v>
      </c>
      <c r="B900" s="960" t="s">
        <v>993</v>
      </c>
      <c r="C900" s="960" t="s">
        <v>4256</v>
      </c>
      <c r="D900" s="960" t="s">
        <v>4260</v>
      </c>
      <c r="E900" s="959">
        <v>0</v>
      </c>
      <c r="F900" s="959">
        <v>0</v>
      </c>
      <c r="G900" s="959">
        <v>0</v>
      </c>
      <c r="H900" s="959">
        <v>1</v>
      </c>
    </row>
    <row r="901" spans="1:8">
      <c r="A901" s="959" t="s">
        <v>3184</v>
      </c>
      <c r="B901" s="960" t="s">
        <v>993</v>
      </c>
      <c r="C901" s="960" t="s">
        <v>4256</v>
      </c>
      <c r="D901" s="960" t="s">
        <v>1906</v>
      </c>
      <c r="E901" s="959">
        <v>2</v>
      </c>
      <c r="F901" s="959">
        <v>43</v>
      </c>
      <c r="G901" s="959">
        <v>0</v>
      </c>
      <c r="H901" s="959">
        <v>0</v>
      </c>
    </row>
    <row r="902" spans="1:8">
      <c r="A902" s="959" t="s">
        <v>3184</v>
      </c>
      <c r="B902" s="960" t="s">
        <v>993</v>
      </c>
      <c r="C902" s="960" t="s">
        <v>4257</v>
      </c>
      <c r="D902" s="960" t="s">
        <v>4258</v>
      </c>
      <c r="E902" s="959">
        <v>3</v>
      </c>
      <c r="F902" s="959">
        <v>21</v>
      </c>
      <c r="G902" s="959">
        <v>0</v>
      </c>
      <c r="H902" s="959">
        <v>0</v>
      </c>
    </row>
    <row r="903" spans="1:8">
      <c r="A903" s="959" t="s">
        <v>3184</v>
      </c>
      <c r="B903" s="960" t="s">
        <v>993</v>
      </c>
      <c r="C903" s="960" t="s">
        <v>4262</v>
      </c>
      <c r="D903" s="960" t="s">
        <v>4263</v>
      </c>
      <c r="E903" s="959">
        <v>0</v>
      </c>
      <c r="F903" s="959">
        <v>27</v>
      </c>
      <c r="G903" s="959">
        <v>1</v>
      </c>
      <c r="H903" s="959">
        <v>0</v>
      </c>
    </row>
    <row r="904" spans="1:8">
      <c r="A904" s="959" t="s">
        <v>3185</v>
      </c>
      <c r="B904" s="960" t="s">
        <v>1002</v>
      </c>
      <c r="C904" s="960" t="s">
        <v>4256</v>
      </c>
      <c r="D904" s="960" t="s">
        <v>4260</v>
      </c>
      <c r="E904" s="959">
        <v>0</v>
      </c>
      <c r="F904" s="959">
        <v>0</v>
      </c>
      <c r="G904" s="959">
        <v>0</v>
      </c>
      <c r="H904" s="959">
        <v>1</v>
      </c>
    </row>
    <row r="905" spans="1:8">
      <c r="A905" s="959" t="s">
        <v>3185</v>
      </c>
      <c r="B905" s="960" t="s">
        <v>1002</v>
      </c>
      <c r="C905" s="960" t="s">
        <v>4256</v>
      </c>
      <c r="D905" s="960" t="s">
        <v>1906</v>
      </c>
      <c r="E905" s="959">
        <v>0</v>
      </c>
      <c r="F905" s="959">
        <v>1</v>
      </c>
      <c r="G905" s="959">
        <v>0</v>
      </c>
      <c r="H905" s="959">
        <v>0</v>
      </c>
    </row>
    <row r="906" spans="1:8">
      <c r="A906" s="959" t="s">
        <v>3185</v>
      </c>
      <c r="B906" s="960" t="s">
        <v>1002</v>
      </c>
      <c r="C906" s="960" t="s">
        <v>4256</v>
      </c>
      <c r="D906" s="960" t="s">
        <v>4264</v>
      </c>
      <c r="E906" s="959">
        <v>0</v>
      </c>
      <c r="F906" s="959">
        <v>2</v>
      </c>
      <c r="G906" s="959">
        <v>0</v>
      </c>
      <c r="H906" s="959">
        <v>0</v>
      </c>
    </row>
    <row r="907" spans="1:8">
      <c r="A907" s="959" t="s">
        <v>3185</v>
      </c>
      <c r="B907" s="960" t="s">
        <v>1002</v>
      </c>
      <c r="C907" s="960" t="s">
        <v>4257</v>
      </c>
      <c r="D907" s="960" t="s">
        <v>4258</v>
      </c>
      <c r="E907" s="959">
        <v>0</v>
      </c>
      <c r="F907" s="959">
        <v>1</v>
      </c>
      <c r="G907" s="959">
        <v>0</v>
      </c>
      <c r="H907" s="959">
        <v>4</v>
      </c>
    </row>
    <row r="908" spans="1:8">
      <c r="A908" s="959" t="s">
        <v>3185</v>
      </c>
      <c r="B908" s="960" t="s">
        <v>1002</v>
      </c>
      <c r="C908" s="960" t="s">
        <v>4262</v>
      </c>
      <c r="D908" s="960" t="s">
        <v>4263</v>
      </c>
      <c r="E908" s="959">
        <v>0</v>
      </c>
      <c r="F908" s="959">
        <v>3</v>
      </c>
      <c r="G908" s="959">
        <v>0</v>
      </c>
      <c r="H908" s="959">
        <v>4</v>
      </c>
    </row>
    <row r="909" spans="1:8">
      <c r="A909" s="959" t="s">
        <v>3186</v>
      </c>
      <c r="B909" s="960" t="s">
        <v>1004</v>
      </c>
      <c r="C909" s="960" t="s">
        <v>4257</v>
      </c>
      <c r="D909" s="960" t="s">
        <v>4258</v>
      </c>
      <c r="E909" s="959">
        <v>0</v>
      </c>
      <c r="F909" s="959">
        <v>1</v>
      </c>
      <c r="G909" s="959">
        <v>0</v>
      </c>
      <c r="H909" s="959">
        <v>0</v>
      </c>
    </row>
    <row r="910" spans="1:8">
      <c r="A910" s="959" t="s">
        <v>3186</v>
      </c>
      <c r="B910" s="960" t="s">
        <v>1004</v>
      </c>
      <c r="C910" s="960" t="s">
        <v>4262</v>
      </c>
      <c r="D910" s="960" t="s">
        <v>4263</v>
      </c>
      <c r="E910" s="959">
        <v>0</v>
      </c>
      <c r="F910" s="959">
        <v>1</v>
      </c>
      <c r="G910" s="959">
        <v>0</v>
      </c>
      <c r="H910" s="959">
        <v>0</v>
      </c>
    </row>
    <row r="911" spans="1:8">
      <c r="A911" s="959" t="s">
        <v>3187</v>
      </c>
      <c r="B911" s="960" t="s">
        <v>3188</v>
      </c>
      <c r="C911" s="960" t="s">
        <v>4256</v>
      </c>
      <c r="D911" s="960" t="s">
        <v>470</v>
      </c>
      <c r="E911" s="959">
        <v>0</v>
      </c>
      <c r="F911" s="959">
        <v>1</v>
      </c>
      <c r="G911" s="959">
        <v>9</v>
      </c>
      <c r="H911" s="959">
        <v>116</v>
      </c>
    </row>
    <row r="912" spans="1:8">
      <c r="A912" s="959" t="s">
        <v>3187</v>
      </c>
      <c r="B912" s="960" t="s">
        <v>3188</v>
      </c>
      <c r="C912" s="960" t="s">
        <v>4256</v>
      </c>
      <c r="D912" s="960" t="s">
        <v>1904</v>
      </c>
      <c r="E912" s="959">
        <v>0</v>
      </c>
      <c r="F912" s="959">
        <v>0</v>
      </c>
      <c r="G912" s="959">
        <v>5</v>
      </c>
      <c r="H912" s="959">
        <v>39</v>
      </c>
    </row>
    <row r="913" spans="1:8">
      <c r="A913" s="959" t="s">
        <v>3187</v>
      </c>
      <c r="B913" s="960" t="s">
        <v>3188</v>
      </c>
      <c r="C913" s="960" t="s">
        <v>4256</v>
      </c>
      <c r="D913" s="960" t="s">
        <v>4269</v>
      </c>
      <c r="E913" s="959">
        <v>0</v>
      </c>
      <c r="F913" s="959">
        <v>0</v>
      </c>
      <c r="G913" s="959">
        <v>0</v>
      </c>
      <c r="H913" s="959">
        <v>1</v>
      </c>
    </row>
    <row r="914" spans="1:8">
      <c r="A914" s="959" t="s">
        <v>3187</v>
      </c>
      <c r="B914" s="960" t="s">
        <v>3188</v>
      </c>
      <c r="C914" s="960" t="s">
        <v>4256</v>
      </c>
      <c r="D914" s="960" t="s">
        <v>4270</v>
      </c>
      <c r="E914" s="959">
        <v>0</v>
      </c>
      <c r="F914" s="959">
        <v>0</v>
      </c>
      <c r="G914" s="959">
        <v>1</v>
      </c>
      <c r="H914" s="959">
        <v>0</v>
      </c>
    </row>
    <row r="915" spans="1:8">
      <c r="A915" s="959" t="s">
        <v>3187</v>
      </c>
      <c r="B915" s="960" t="s">
        <v>3188</v>
      </c>
      <c r="C915" s="960" t="s">
        <v>4256</v>
      </c>
      <c r="D915" s="960" t="s">
        <v>4260</v>
      </c>
      <c r="E915" s="959">
        <v>0</v>
      </c>
      <c r="F915" s="959">
        <v>1</v>
      </c>
      <c r="G915" s="959">
        <v>0</v>
      </c>
      <c r="H915" s="959">
        <v>7</v>
      </c>
    </row>
    <row r="916" spans="1:8">
      <c r="A916" s="959" t="s">
        <v>3187</v>
      </c>
      <c r="B916" s="960" t="s">
        <v>3188</v>
      </c>
      <c r="C916" s="960" t="s">
        <v>4256</v>
      </c>
      <c r="D916" s="960" t="s">
        <v>1906</v>
      </c>
      <c r="E916" s="959">
        <v>0</v>
      </c>
      <c r="F916" s="959">
        <v>1</v>
      </c>
      <c r="G916" s="959">
        <v>0</v>
      </c>
      <c r="H916" s="959">
        <v>1</v>
      </c>
    </row>
    <row r="917" spans="1:8">
      <c r="A917" s="959" t="s">
        <v>3187</v>
      </c>
      <c r="B917" s="960" t="s">
        <v>3188</v>
      </c>
      <c r="C917" s="960" t="s">
        <v>4256</v>
      </c>
      <c r="D917" s="960" t="s">
        <v>4261</v>
      </c>
      <c r="E917" s="959">
        <v>0</v>
      </c>
      <c r="F917" s="959">
        <v>0</v>
      </c>
      <c r="G917" s="959">
        <v>0</v>
      </c>
      <c r="H917" s="959">
        <v>9</v>
      </c>
    </row>
    <row r="918" spans="1:8">
      <c r="A918" s="959" t="s">
        <v>3187</v>
      </c>
      <c r="B918" s="960" t="s">
        <v>3188</v>
      </c>
      <c r="C918" s="960" t="s">
        <v>4257</v>
      </c>
      <c r="D918" s="960" t="s">
        <v>4258</v>
      </c>
      <c r="E918" s="959">
        <v>0</v>
      </c>
      <c r="F918" s="959">
        <v>0</v>
      </c>
      <c r="G918" s="959">
        <v>0</v>
      </c>
      <c r="H918" s="959">
        <v>3</v>
      </c>
    </row>
    <row r="919" spans="1:8">
      <c r="A919" s="959" t="s">
        <v>3187</v>
      </c>
      <c r="B919" s="960" t="s">
        <v>3188</v>
      </c>
      <c r="C919" s="960" t="s">
        <v>4267</v>
      </c>
      <c r="D919" s="960" t="s">
        <v>4268</v>
      </c>
      <c r="E919" s="959">
        <v>0</v>
      </c>
      <c r="F919" s="959">
        <v>0</v>
      </c>
      <c r="G919" s="959">
        <v>0</v>
      </c>
      <c r="H919" s="959">
        <v>2</v>
      </c>
    </row>
    <row r="920" spans="1:8">
      <c r="A920" s="959" t="s">
        <v>3189</v>
      </c>
      <c r="B920" s="960" t="s">
        <v>3190</v>
      </c>
      <c r="C920" s="960" t="s">
        <v>4256</v>
      </c>
      <c r="D920" s="960" t="s">
        <v>470</v>
      </c>
      <c r="E920" s="959">
        <v>0</v>
      </c>
      <c r="F920" s="959">
        <v>0</v>
      </c>
      <c r="G920" s="959">
        <v>3</v>
      </c>
      <c r="H920" s="959">
        <v>45</v>
      </c>
    </row>
    <row r="921" spans="1:8">
      <c r="A921" s="959" t="s">
        <v>3189</v>
      </c>
      <c r="B921" s="960" t="s">
        <v>3190</v>
      </c>
      <c r="C921" s="960" t="s">
        <v>4256</v>
      </c>
      <c r="D921" s="960" t="s">
        <v>1904</v>
      </c>
      <c r="E921" s="959">
        <v>0</v>
      </c>
      <c r="F921" s="959">
        <v>0</v>
      </c>
      <c r="G921" s="959">
        <v>1</v>
      </c>
      <c r="H921" s="959">
        <v>7</v>
      </c>
    </row>
    <row r="922" spans="1:8">
      <c r="A922" s="959" t="s">
        <v>3189</v>
      </c>
      <c r="B922" s="960" t="s">
        <v>3190</v>
      </c>
      <c r="C922" s="960" t="s">
        <v>4256</v>
      </c>
      <c r="D922" s="960" t="s">
        <v>4260</v>
      </c>
      <c r="E922" s="959">
        <v>0</v>
      </c>
      <c r="F922" s="959">
        <v>0</v>
      </c>
      <c r="G922" s="959">
        <v>2</v>
      </c>
      <c r="H922" s="959">
        <v>9</v>
      </c>
    </row>
    <row r="923" spans="1:8">
      <c r="A923" s="959" t="s">
        <v>3189</v>
      </c>
      <c r="B923" s="960" t="s">
        <v>3190</v>
      </c>
      <c r="C923" s="960" t="s">
        <v>4256</v>
      </c>
      <c r="D923" s="960" t="s">
        <v>1906</v>
      </c>
      <c r="E923" s="959">
        <v>2</v>
      </c>
      <c r="F923" s="959">
        <v>31</v>
      </c>
      <c r="G923" s="959">
        <v>0</v>
      </c>
      <c r="H923" s="959">
        <v>4</v>
      </c>
    </row>
    <row r="924" spans="1:8">
      <c r="A924" s="959" t="s">
        <v>3189</v>
      </c>
      <c r="B924" s="960" t="s">
        <v>3190</v>
      </c>
      <c r="C924" s="960" t="s">
        <v>4256</v>
      </c>
      <c r="D924" s="960" t="s">
        <v>4261</v>
      </c>
      <c r="E924" s="959">
        <v>0</v>
      </c>
      <c r="F924" s="959">
        <v>0</v>
      </c>
      <c r="G924" s="959">
        <v>0</v>
      </c>
      <c r="H924" s="959">
        <v>9</v>
      </c>
    </row>
    <row r="925" spans="1:8">
      <c r="A925" s="959" t="s">
        <v>3189</v>
      </c>
      <c r="B925" s="960" t="s">
        <v>3190</v>
      </c>
      <c r="C925" s="960" t="s">
        <v>4257</v>
      </c>
      <c r="D925" s="960" t="s">
        <v>4258</v>
      </c>
      <c r="E925" s="959">
        <v>7</v>
      </c>
      <c r="F925" s="959">
        <v>94</v>
      </c>
      <c r="G925" s="959">
        <v>8</v>
      </c>
      <c r="H925" s="959">
        <v>107</v>
      </c>
    </row>
    <row r="926" spans="1:8">
      <c r="A926" s="959" t="s">
        <v>3189</v>
      </c>
      <c r="B926" s="960" t="s">
        <v>3190</v>
      </c>
      <c r="C926" s="960" t="s">
        <v>4262</v>
      </c>
      <c r="D926" s="960" t="s">
        <v>4263</v>
      </c>
      <c r="E926" s="959">
        <v>1</v>
      </c>
      <c r="F926" s="959">
        <v>4</v>
      </c>
      <c r="G926" s="959">
        <v>0</v>
      </c>
      <c r="H926" s="959">
        <v>0</v>
      </c>
    </row>
    <row r="927" spans="1:8">
      <c r="A927" s="959" t="s">
        <v>3191</v>
      </c>
      <c r="B927" s="960" t="s">
        <v>3192</v>
      </c>
      <c r="C927" s="960" t="s">
        <v>4256</v>
      </c>
      <c r="D927" s="960" t="s">
        <v>470</v>
      </c>
      <c r="E927" s="959">
        <v>0</v>
      </c>
      <c r="F927" s="959">
        <v>0</v>
      </c>
      <c r="G927" s="959">
        <v>12</v>
      </c>
      <c r="H927" s="959">
        <v>61</v>
      </c>
    </row>
    <row r="928" spans="1:8">
      <c r="A928" s="959" t="s">
        <v>3191</v>
      </c>
      <c r="B928" s="960" t="s">
        <v>3192</v>
      </c>
      <c r="C928" s="960" t="s">
        <v>4257</v>
      </c>
      <c r="D928" s="960" t="s">
        <v>4258</v>
      </c>
      <c r="E928" s="959">
        <v>0</v>
      </c>
      <c r="F928" s="959">
        <v>1</v>
      </c>
      <c r="G928" s="959">
        <v>0</v>
      </c>
      <c r="H928" s="959">
        <v>0</v>
      </c>
    </row>
    <row r="929" spans="1:8">
      <c r="A929" s="959" t="s">
        <v>3191</v>
      </c>
      <c r="B929" s="960" t="s">
        <v>3192</v>
      </c>
      <c r="C929" s="960" t="s">
        <v>4267</v>
      </c>
      <c r="D929" s="960" t="s">
        <v>4268</v>
      </c>
      <c r="E929" s="959">
        <v>0</v>
      </c>
      <c r="F929" s="959">
        <v>0</v>
      </c>
      <c r="G929" s="959">
        <v>0</v>
      </c>
      <c r="H929" s="959">
        <v>1</v>
      </c>
    </row>
    <row r="930" spans="1:8">
      <c r="A930" s="959" t="s">
        <v>3193</v>
      </c>
      <c r="B930" s="960" t="s">
        <v>1008</v>
      </c>
      <c r="C930" s="960" t="s">
        <v>4256</v>
      </c>
      <c r="D930" s="960" t="s">
        <v>4259</v>
      </c>
      <c r="E930" s="959">
        <v>0</v>
      </c>
      <c r="F930" s="959">
        <v>0</v>
      </c>
      <c r="G930" s="959">
        <v>0</v>
      </c>
      <c r="H930" s="959">
        <v>2</v>
      </c>
    </row>
    <row r="931" spans="1:8">
      <c r="A931" s="959" t="s">
        <v>3193</v>
      </c>
      <c r="B931" s="960" t="s">
        <v>1008</v>
      </c>
      <c r="C931" s="960" t="s">
        <v>4256</v>
      </c>
      <c r="D931" s="960" t="s">
        <v>4260</v>
      </c>
      <c r="E931" s="959">
        <v>0</v>
      </c>
      <c r="F931" s="959">
        <v>0</v>
      </c>
      <c r="G931" s="959">
        <v>0</v>
      </c>
      <c r="H931" s="959">
        <v>2</v>
      </c>
    </row>
    <row r="932" spans="1:8">
      <c r="A932" s="959" t="s">
        <v>3193</v>
      </c>
      <c r="B932" s="960" t="s">
        <v>1008</v>
      </c>
      <c r="C932" s="960" t="s">
        <v>4256</v>
      </c>
      <c r="D932" s="960" t="s">
        <v>1906</v>
      </c>
      <c r="E932" s="959">
        <v>0</v>
      </c>
      <c r="F932" s="959">
        <v>6</v>
      </c>
      <c r="G932" s="959">
        <v>0</v>
      </c>
      <c r="H932" s="959">
        <v>0</v>
      </c>
    </row>
    <row r="933" spans="1:8">
      <c r="A933" s="959" t="s">
        <v>3193</v>
      </c>
      <c r="B933" s="960" t="s">
        <v>1008</v>
      </c>
      <c r="C933" s="960" t="s">
        <v>4256</v>
      </c>
      <c r="D933" s="960" t="s">
        <v>4261</v>
      </c>
      <c r="E933" s="959">
        <v>0</v>
      </c>
      <c r="F933" s="959">
        <v>0</v>
      </c>
      <c r="G933" s="959">
        <v>0</v>
      </c>
      <c r="H933" s="959">
        <v>1</v>
      </c>
    </row>
    <row r="934" spans="1:8">
      <c r="A934" s="959" t="s">
        <v>3193</v>
      </c>
      <c r="B934" s="960" t="s">
        <v>1008</v>
      </c>
      <c r="C934" s="960" t="s">
        <v>4257</v>
      </c>
      <c r="D934" s="960" t="s">
        <v>4258</v>
      </c>
      <c r="E934" s="959">
        <v>0</v>
      </c>
      <c r="F934" s="959">
        <v>6</v>
      </c>
      <c r="G934" s="959">
        <v>0</v>
      </c>
      <c r="H934" s="959">
        <v>0</v>
      </c>
    </row>
    <row r="935" spans="1:8">
      <c r="A935" s="959" t="s">
        <v>3193</v>
      </c>
      <c r="B935" s="960" t="s">
        <v>1008</v>
      </c>
      <c r="C935" s="960" t="s">
        <v>4262</v>
      </c>
      <c r="D935" s="960" t="s">
        <v>4263</v>
      </c>
      <c r="E935" s="959">
        <v>0</v>
      </c>
      <c r="F935" s="959">
        <v>8</v>
      </c>
      <c r="G935" s="959">
        <v>0</v>
      </c>
      <c r="H935" s="959">
        <v>0</v>
      </c>
    </row>
    <row r="936" spans="1:8">
      <c r="A936" s="959" t="s">
        <v>3194</v>
      </c>
      <c r="B936" s="960" t="s">
        <v>3195</v>
      </c>
      <c r="C936" s="960" t="s">
        <v>4257</v>
      </c>
      <c r="D936" s="960" t="s">
        <v>4258</v>
      </c>
      <c r="E936" s="959">
        <v>0</v>
      </c>
      <c r="F936" s="959">
        <v>4</v>
      </c>
      <c r="G936" s="959">
        <v>0</v>
      </c>
      <c r="H936" s="959">
        <v>0</v>
      </c>
    </row>
    <row r="937" spans="1:8">
      <c r="A937" s="959" t="s">
        <v>3194</v>
      </c>
      <c r="B937" s="960" t="s">
        <v>3195</v>
      </c>
      <c r="C937" s="960" t="s">
        <v>4262</v>
      </c>
      <c r="D937" s="960" t="s">
        <v>4263</v>
      </c>
      <c r="E937" s="959">
        <v>0</v>
      </c>
      <c r="F937" s="959">
        <v>3</v>
      </c>
      <c r="G937" s="959">
        <v>0</v>
      </c>
      <c r="H937" s="959">
        <v>0</v>
      </c>
    </row>
    <row r="938" spans="1:8">
      <c r="A938" s="959" t="s">
        <v>3194</v>
      </c>
      <c r="B938" s="960" t="s">
        <v>3195</v>
      </c>
      <c r="C938" s="960" t="s">
        <v>4267</v>
      </c>
      <c r="D938" s="960" t="s">
        <v>4268</v>
      </c>
      <c r="E938" s="959">
        <v>0</v>
      </c>
      <c r="F938" s="959">
        <v>0</v>
      </c>
      <c r="G938" s="959">
        <v>0</v>
      </c>
      <c r="H938" s="959">
        <v>1</v>
      </c>
    </row>
    <row r="939" spans="1:8">
      <c r="A939" s="959" t="s">
        <v>3196</v>
      </c>
      <c r="B939" s="960" t="s">
        <v>3197</v>
      </c>
      <c r="C939" s="960" t="s">
        <v>4256</v>
      </c>
      <c r="D939" s="960" t="s">
        <v>470</v>
      </c>
      <c r="E939" s="959">
        <v>0</v>
      </c>
      <c r="F939" s="959">
        <v>0</v>
      </c>
      <c r="G939" s="959">
        <v>2</v>
      </c>
      <c r="H939" s="959">
        <v>37</v>
      </c>
    </row>
    <row r="940" spans="1:8">
      <c r="A940" s="959" t="s">
        <v>3196</v>
      </c>
      <c r="B940" s="960" t="s">
        <v>3197</v>
      </c>
      <c r="C940" s="960" t="s">
        <v>4256</v>
      </c>
      <c r="D940" s="960" t="s">
        <v>1904</v>
      </c>
      <c r="E940" s="959">
        <v>0</v>
      </c>
      <c r="F940" s="959">
        <v>0</v>
      </c>
      <c r="G940" s="959">
        <v>3</v>
      </c>
      <c r="H940" s="959">
        <v>57</v>
      </c>
    </row>
    <row r="941" spans="1:8">
      <c r="A941" s="959" t="s">
        <v>3196</v>
      </c>
      <c r="B941" s="960" t="s">
        <v>3197</v>
      </c>
      <c r="C941" s="960" t="s">
        <v>4256</v>
      </c>
      <c r="D941" s="960" t="s">
        <v>4260</v>
      </c>
      <c r="E941" s="959">
        <v>0</v>
      </c>
      <c r="F941" s="959">
        <v>0</v>
      </c>
      <c r="G941" s="959">
        <v>0</v>
      </c>
      <c r="H941" s="959">
        <v>6</v>
      </c>
    </row>
    <row r="942" spans="1:8">
      <c r="A942" s="959" t="s">
        <v>3196</v>
      </c>
      <c r="B942" s="960" t="s">
        <v>3197</v>
      </c>
      <c r="C942" s="960" t="s">
        <v>4256</v>
      </c>
      <c r="D942" s="960" t="s">
        <v>1906</v>
      </c>
      <c r="E942" s="959">
        <v>2</v>
      </c>
      <c r="F942" s="959">
        <v>4</v>
      </c>
      <c r="G942" s="959">
        <v>0</v>
      </c>
      <c r="H942" s="959">
        <v>6</v>
      </c>
    </row>
    <row r="943" spans="1:8">
      <c r="A943" s="959" t="s">
        <v>3196</v>
      </c>
      <c r="B943" s="960" t="s">
        <v>3197</v>
      </c>
      <c r="C943" s="960" t="s">
        <v>4256</v>
      </c>
      <c r="D943" s="960" t="s">
        <v>4264</v>
      </c>
      <c r="E943" s="959">
        <v>0</v>
      </c>
      <c r="F943" s="959">
        <v>0</v>
      </c>
      <c r="G943" s="959">
        <v>0</v>
      </c>
      <c r="H943" s="959">
        <v>7</v>
      </c>
    </row>
    <row r="944" spans="1:8">
      <c r="A944" s="959" t="s">
        <v>3196</v>
      </c>
      <c r="B944" s="960" t="s">
        <v>3197</v>
      </c>
      <c r="C944" s="960" t="s">
        <v>4257</v>
      </c>
      <c r="D944" s="960" t="s">
        <v>4258</v>
      </c>
      <c r="E944" s="959">
        <v>3</v>
      </c>
      <c r="F944" s="959">
        <v>8</v>
      </c>
      <c r="G944" s="959">
        <v>1</v>
      </c>
      <c r="H944" s="959">
        <v>19</v>
      </c>
    </row>
    <row r="945" spans="1:8">
      <c r="A945" s="959" t="s">
        <v>4290</v>
      </c>
      <c r="B945" s="960" t="s">
        <v>4291</v>
      </c>
      <c r="C945" s="960" t="s">
        <v>4275</v>
      </c>
      <c r="D945" s="960" t="s">
        <v>4276</v>
      </c>
      <c r="E945" s="959">
        <v>0</v>
      </c>
      <c r="F945" s="959">
        <v>2</v>
      </c>
      <c r="G945" s="959">
        <v>0</v>
      </c>
      <c r="H945" s="959">
        <v>0</v>
      </c>
    </row>
    <row r="946" spans="1:8">
      <c r="A946" s="959" t="s">
        <v>4290</v>
      </c>
      <c r="B946" s="960" t="s">
        <v>4291</v>
      </c>
      <c r="C946" s="960" t="s">
        <v>4256</v>
      </c>
      <c r="D946" s="960" t="s">
        <v>1906</v>
      </c>
      <c r="E946" s="959">
        <v>0</v>
      </c>
      <c r="F946" s="959">
        <v>5</v>
      </c>
      <c r="G946" s="959">
        <v>0</v>
      </c>
      <c r="H946" s="959">
        <v>1</v>
      </c>
    </row>
    <row r="947" spans="1:8">
      <c r="A947" s="959" t="s">
        <v>4290</v>
      </c>
      <c r="B947" s="960" t="s">
        <v>4291</v>
      </c>
      <c r="C947" s="960" t="s">
        <v>4256</v>
      </c>
      <c r="D947" s="960" t="s">
        <v>1907</v>
      </c>
      <c r="E947" s="959">
        <v>0</v>
      </c>
      <c r="F947" s="959">
        <v>7</v>
      </c>
      <c r="G947" s="959">
        <v>1</v>
      </c>
      <c r="H947" s="959">
        <v>19</v>
      </c>
    </row>
    <row r="948" spans="1:8">
      <c r="A948" s="959" t="s">
        <v>4290</v>
      </c>
      <c r="B948" s="960" t="s">
        <v>4291</v>
      </c>
      <c r="C948" s="960" t="s">
        <v>4257</v>
      </c>
      <c r="D948" s="960" t="s">
        <v>4258</v>
      </c>
      <c r="E948" s="959">
        <v>1</v>
      </c>
      <c r="F948" s="959">
        <v>25</v>
      </c>
      <c r="G948" s="959">
        <v>1</v>
      </c>
      <c r="H948" s="959">
        <v>10</v>
      </c>
    </row>
    <row r="949" spans="1:8">
      <c r="A949" s="959" t="s">
        <v>3200</v>
      </c>
      <c r="B949" s="960" t="s">
        <v>1014</v>
      </c>
      <c r="C949" s="960" t="s">
        <v>4275</v>
      </c>
      <c r="D949" s="960" t="s">
        <v>4292</v>
      </c>
      <c r="E949" s="959">
        <v>0</v>
      </c>
      <c r="F949" s="959">
        <v>1</v>
      </c>
      <c r="G949" s="959">
        <v>0</v>
      </c>
      <c r="H949" s="959">
        <v>0</v>
      </c>
    </row>
    <row r="950" spans="1:8">
      <c r="A950" s="959" t="s">
        <v>3200</v>
      </c>
      <c r="B950" s="960" t="s">
        <v>1014</v>
      </c>
      <c r="C950" s="960" t="s">
        <v>4256</v>
      </c>
      <c r="D950" s="960" t="s">
        <v>1904</v>
      </c>
      <c r="E950" s="959">
        <v>0</v>
      </c>
      <c r="F950" s="959">
        <v>0</v>
      </c>
      <c r="G950" s="959">
        <v>0</v>
      </c>
      <c r="H950" s="959">
        <v>1</v>
      </c>
    </row>
    <row r="951" spans="1:8">
      <c r="A951" s="959" t="s">
        <v>3200</v>
      </c>
      <c r="B951" s="960" t="s">
        <v>1014</v>
      </c>
      <c r="C951" s="960" t="s">
        <v>4256</v>
      </c>
      <c r="D951" s="960" t="s">
        <v>4259</v>
      </c>
      <c r="E951" s="959">
        <v>0</v>
      </c>
      <c r="F951" s="959">
        <v>1</v>
      </c>
      <c r="G951" s="959">
        <v>0</v>
      </c>
      <c r="H951" s="959">
        <v>0</v>
      </c>
    </row>
    <row r="952" spans="1:8">
      <c r="A952" s="959" t="s">
        <v>3200</v>
      </c>
      <c r="B952" s="960" t="s">
        <v>1014</v>
      </c>
      <c r="C952" s="960" t="s">
        <v>4256</v>
      </c>
      <c r="D952" s="960" t="s">
        <v>4260</v>
      </c>
      <c r="E952" s="959">
        <v>0</v>
      </c>
      <c r="F952" s="959">
        <v>2</v>
      </c>
      <c r="G952" s="959">
        <v>0</v>
      </c>
      <c r="H952" s="959">
        <v>1</v>
      </c>
    </row>
    <row r="953" spans="1:8">
      <c r="A953" s="959" t="s">
        <v>3200</v>
      </c>
      <c r="B953" s="960" t="s">
        <v>1014</v>
      </c>
      <c r="C953" s="960" t="s">
        <v>4256</v>
      </c>
      <c r="D953" s="960" t="s">
        <v>1906</v>
      </c>
      <c r="E953" s="959">
        <v>1</v>
      </c>
      <c r="F953" s="959">
        <v>8</v>
      </c>
      <c r="G953" s="959">
        <v>0</v>
      </c>
      <c r="H953" s="959">
        <v>0</v>
      </c>
    </row>
    <row r="954" spans="1:8">
      <c r="A954" s="959" t="s">
        <v>3200</v>
      </c>
      <c r="B954" s="960" t="s">
        <v>1014</v>
      </c>
      <c r="C954" s="960" t="s">
        <v>4257</v>
      </c>
      <c r="D954" s="960" t="s">
        <v>4258</v>
      </c>
      <c r="E954" s="959">
        <v>4</v>
      </c>
      <c r="F954" s="959">
        <v>61</v>
      </c>
      <c r="G954" s="959">
        <v>0</v>
      </c>
      <c r="H954" s="959">
        <v>1</v>
      </c>
    </row>
    <row r="955" spans="1:8">
      <c r="A955" s="959" t="s">
        <v>3200</v>
      </c>
      <c r="B955" s="960" t="s">
        <v>1014</v>
      </c>
      <c r="C955" s="960" t="s">
        <v>4262</v>
      </c>
      <c r="D955" s="960" t="s">
        <v>4263</v>
      </c>
      <c r="E955" s="959">
        <v>78</v>
      </c>
      <c r="F955" s="959">
        <v>1238</v>
      </c>
      <c r="G955" s="959">
        <v>0</v>
      </c>
      <c r="H955" s="959">
        <v>0</v>
      </c>
    </row>
    <row r="956" spans="1:8">
      <c r="A956" s="959" t="s">
        <v>3200</v>
      </c>
      <c r="B956" s="960" t="s">
        <v>1014</v>
      </c>
      <c r="C956" s="960" t="s">
        <v>4267</v>
      </c>
      <c r="D956" s="960" t="s">
        <v>4268</v>
      </c>
      <c r="E956" s="959">
        <v>0</v>
      </c>
      <c r="F956" s="959">
        <v>0</v>
      </c>
      <c r="G956" s="959">
        <v>0</v>
      </c>
      <c r="H956" s="959">
        <v>3</v>
      </c>
    </row>
    <row r="957" spans="1:8">
      <c r="A957" s="959" t="s">
        <v>3201</v>
      </c>
      <c r="B957" s="960" t="s">
        <v>1021</v>
      </c>
      <c r="C957" s="960" t="s">
        <v>4256</v>
      </c>
      <c r="D957" s="960" t="s">
        <v>4259</v>
      </c>
      <c r="E957" s="959">
        <v>0</v>
      </c>
      <c r="F957" s="959">
        <v>4</v>
      </c>
      <c r="G957" s="959">
        <v>0</v>
      </c>
      <c r="H957" s="959">
        <v>6</v>
      </c>
    </row>
    <row r="958" spans="1:8">
      <c r="A958" s="959" t="s">
        <v>3201</v>
      </c>
      <c r="B958" s="960" t="s">
        <v>1021</v>
      </c>
      <c r="C958" s="960" t="s">
        <v>4256</v>
      </c>
      <c r="D958" s="960" t="s">
        <v>4260</v>
      </c>
      <c r="E958" s="959">
        <v>0</v>
      </c>
      <c r="F958" s="959">
        <v>2</v>
      </c>
      <c r="G958" s="959">
        <v>0</v>
      </c>
      <c r="H958" s="959">
        <v>11</v>
      </c>
    </row>
    <row r="959" spans="1:8">
      <c r="A959" s="959" t="s">
        <v>3201</v>
      </c>
      <c r="B959" s="960" t="s">
        <v>1021</v>
      </c>
      <c r="C959" s="960" t="s">
        <v>4257</v>
      </c>
      <c r="D959" s="960" t="s">
        <v>4258</v>
      </c>
      <c r="E959" s="959">
        <v>0</v>
      </c>
      <c r="F959" s="959">
        <v>6</v>
      </c>
      <c r="G959" s="959">
        <v>0</v>
      </c>
      <c r="H959" s="959">
        <v>1</v>
      </c>
    </row>
    <row r="960" spans="1:8">
      <c r="A960" s="959" t="s">
        <v>3201</v>
      </c>
      <c r="B960" s="960" t="s">
        <v>1021</v>
      </c>
      <c r="C960" s="960" t="s">
        <v>4262</v>
      </c>
      <c r="D960" s="960" t="s">
        <v>4263</v>
      </c>
      <c r="E960" s="959">
        <v>1</v>
      </c>
      <c r="F960" s="959">
        <v>37</v>
      </c>
      <c r="G960" s="959">
        <v>0</v>
      </c>
      <c r="H960" s="959">
        <v>0</v>
      </c>
    </row>
    <row r="961" spans="1:8">
      <c r="A961" s="959" t="s">
        <v>3202</v>
      </c>
      <c r="B961" s="960" t="s">
        <v>3203</v>
      </c>
      <c r="C961" s="960" t="s">
        <v>4275</v>
      </c>
      <c r="D961" s="960" t="s">
        <v>4276</v>
      </c>
      <c r="E961" s="959">
        <v>16</v>
      </c>
      <c r="F961" s="959">
        <v>287</v>
      </c>
      <c r="G961" s="959">
        <v>0</v>
      </c>
      <c r="H961" s="959">
        <v>2</v>
      </c>
    </row>
    <row r="962" spans="1:8">
      <c r="A962" s="959" t="s">
        <v>3202</v>
      </c>
      <c r="B962" s="960" t="s">
        <v>3203</v>
      </c>
      <c r="C962" s="960" t="s">
        <v>4277</v>
      </c>
      <c r="D962" s="960" t="s">
        <v>4278</v>
      </c>
      <c r="E962" s="959">
        <v>0</v>
      </c>
      <c r="F962" s="959">
        <v>0</v>
      </c>
      <c r="G962" s="959">
        <v>0</v>
      </c>
      <c r="H962" s="959">
        <v>1</v>
      </c>
    </row>
    <row r="963" spans="1:8">
      <c r="A963" s="959" t="s">
        <v>3202</v>
      </c>
      <c r="B963" s="960" t="s">
        <v>3203</v>
      </c>
      <c r="C963" s="960" t="s">
        <v>4256</v>
      </c>
      <c r="D963" s="960" t="s">
        <v>1906</v>
      </c>
      <c r="E963" s="959">
        <v>1</v>
      </c>
      <c r="F963" s="959">
        <v>16</v>
      </c>
      <c r="G963" s="959">
        <v>0</v>
      </c>
      <c r="H963" s="959">
        <v>5</v>
      </c>
    </row>
    <row r="964" spans="1:8">
      <c r="A964" s="959" t="s">
        <v>3202</v>
      </c>
      <c r="B964" s="960" t="s">
        <v>3203</v>
      </c>
      <c r="C964" s="960" t="s">
        <v>4256</v>
      </c>
      <c r="D964" s="960" t="s">
        <v>1907</v>
      </c>
      <c r="E964" s="959">
        <v>2</v>
      </c>
      <c r="F964" s="959">
        <v>27</v>
      </c>
      <c r="G964" s="959">
        <v>3</v>
      </c>
      <c r="H964" s="959">
        <v>37</v>
      </c>
    </row>
    <row r="965" spans="1:8">
      <c r="A965" s="959" t="s">
        <v>3202</v>
      </c>
      <c r="B965" s="960" t="s">
        <v>3203</v>
      </c>
      <c r="C965" s="960" t="s">
        <v>4257</v>
      </c>
      <c r="D965" s="960" t="s">
        <v>4258</v>
      </c>
      <c r="E965" s="959">
        <v>8</v>
      </c>
      <c r="F965" s="959">
        <v>95</v>
      </c>
      <c r="G965" s="959">
        <v>3</v>
      </c>
      <c r="H965" s="959">
        <v>21</v>
      </c>
    </row>
    <row r="966" spans="1:8">
      <c r="A966" s="959" t="s">
        <v>3202</v>
      </c>
      <c r="B966" s="960" t="s">
        <v>3203</v>
      </c>
      <c r="C966" s="960" t="s">
        <v>4262</v>
      </c>
      <c r="D966" s="960" t="s">
        <v>4263</v>
      </c>
      <c r="E966" s="959">
        <v>13</v>
      </c>
      <c r="F966" s="959">
        <v>199</v>
      </c>
      <c r="G966" s="959">
        <v>0</v>
      </c>
      <c r="H966" s="959">
        <v>0</v>
      </c>
    </row>
    <row r="967" spans="1:8">
      <c r="A967" s="959" t="s">
        <v>3204</v>
      </c>
      <c r="B967" s="960" t="s">
        <v>3205</v>
      </c>
      <c r="C967" s="960" t="s">
        <v>4256</v>
      </c>
      <c r="D967" s="960" t="s">
        <v>4264</v>
      </c>
      <c r="E967" s="959">
        <v>0</v>
      </c>
      <c r="F967" s="959">
        <v>0</v>
      </c>
      <c r="G967" s="959">
        <v>0</v>
      </c>
      <c r="H967" s="959">
        <v>2</v>
      </c>
    </row>
    <row r="968" spans="1:8">
      <c r="A968" s="959" t="s">
        <v>3204</v>
      </c>
      <c r="B968" s="960" t="s">
        <v>3205</v>
      </c>
      <c r="C968" s="960" t="s">
        <v>4256</v>
      </c>
      <c r="D968" s="960" t="s">
        <v>1907</v>
      </c>
      <c r="E968" s="959">
        <v>0</v>
      </c>
      <c r="F968" s="959">
        <v>13</v>
      </c>
      <c r="G968" s="959">
        <v>1</v>
      </c>
      <c r="H968" s="959">
        <v>16</v>
      </c>
    </row>
    <row r="969" spans="1:8">
      <c r="A969" s="959" t="s">
        <v>3204</v>
      </c>
      <c r="B969" s="960" t="s">
        <v>3205</v>
      </c>
      <c r="C969" s="960" t="s">
        <v>4257</v>
      </c>
      <c r="D969" s="960" t="s">
        <v>4258</v>
      </c>
      <c r="E969" s="959">
        <v>0</v>
      </c>
      <c r="F969" s="959">
        <v>2</v>
      </c>
      <c r="G969" s="959">
        <v>0</v>
      </c>
      <c r="H969" s="959">
        <v>1</v>
      </c>
    </row>
    <row r="970" spans="1:8">
      <c r="A970" s="959" t="s">
        <v>3206</v>
      </c>
      <c r="B970" s="960" t="s">
        <v>3207</v>
      </c>
      <c r="C970" s="960" t="s">
        <v>4262</v>
      </c>
      <c r="D970" s="960" t="s">
        <v>4263</v>
      </c>
      <c r="E970" s="959">
        <v>0</v>
      </c>
      <c r="F970" s="959">
        <v>2</v>
      </c>
      <c r="G970" s="959">
        <v>0</v>
      </c>
      <c r="H970" s="959">
        <v>0</v>
      </c>
    </row>
    <row r="971" spans="1:8">
      <c r="A971" s="959" t="s">
        <v>3206</v>
      </c>
      <c r="B971" s="960" t="s">
        <v>3207</v>
      </c>
      <c r="C971" s="960" t="s">
        <v>4267</v>
      </c>
      <c r="D971" s="960" t="s">
        <v>4268</v>
      </c>
      <c r="E971" s="959">
        <v>0</v>
      </c>
      <c r="F971" s="959">
        <v>0</v>
      </c>
      <c r="G971" s="959">
        <v>0</v>
      </c>
      <c r="H971" s="959">
        <v>23</v>
      </c>
    </row>
    <row r="972" spans="1:8">
      <c r="A972" s="959" t="s">
        <v>3210</v>
      </c>
      <c r="B972" s="960" t="s">
        <v>1605</v>
      </c>
      <c r="C972" s="960" t="s">
        <v>4256</v>
      </c>
      <c r="D972" s="960" t="s">
        <v>4260</v>
      </c>
      <c r="E972" s="959">
        <v>0</v>
      </c>
      <c r="F972" s="959">
        <v>4</v>
      </c>
      <c r="G972" s="959">
        <v>0</v>
      </c>
      <c r="H972" s="959">
        <v>0</v>
      </c>
    </row>
    <row r="973" spans="1:8">
      <c r="A973" s="959" t="s">
        <v>3211</v>
      </c>
      <c r="B973" s="960" t="s">
        <v>1027</v>
      </c>
      <c r="C973" s="960" t="s">
        <v>4256</v>
      </c>
      <c r="D973" s="960" t="s">
        <v>470</v>
      </c>
      <c r="E973" s="959">
        <v>0</v>
      </c>
      <c r="F973" s="959">
        <v>0</v>
      </c>
      <c r="G973" s="959">
        <v>0</v>
      </c>
      <c r="H973" s="959">
        <v>2</v>
      </c>
    </row>
    <row r="974" spans="1:8">
      <c r="A974" s="959" t="s">
        <v>3211</v>
      </c>
      <c r="B974" s="960" t="s">
        <v>1027</v>
      </c>
      <c r="C974" s="960" t="s">
        <v>4256</v>
      </c>
      <c r="D974" s="960" t="s">
        <v>4259</v>
      </c>
      <c r="E974" s="959">
        <v>0</v>
      </c>
      <c r="F974" s="959">
        <v>0</v>
      </c>
      <c r="G974" s="959">
        <v>0</v>
      </c>
      <c r="H974" s="959">
        <v>11</v>
      </c>
    </row>
    <row r="975" spans="1:8">
      <c r="A975" s="959" t="s">
        <v>3211</v>
      </c>
      <c r="B975" s="960" t="s">
        <v>1027</v>
      </c>
      <c r="C975" s="960" t="s">
        <v>4256</v>
      </c>
      <c r="D975" s="960" t="s">
        <v>4260</v>
      </c>
      <c r="E975" s="959">
        <v>0</v>
      </c>
      <c r="F975" s="959">
        <v>0</v>
      </c>
      <c r="G975" s="959">
        <v>0</v>
      </c>
      <c r="H975" s="959">
        <v>2</v>
      </c>
    </row>
    <row r="976" spans="1:8">
      <c r="A976" s="959" t="s">
        <v>3211</v>
      </c>
      <c r="B976" s="960" t="s">
        <v>1027</v>
      </c>
      <c r="C976" s="960" t="s">
        <v>4257</v>
      </c>
      <c r="D976" s="960" t="s">
        <v>4258</v>
      </c>
      <c r="E976" s="959">
        <v>0</v>
      </c>
      <c r="F976" s="959">
        <v>5</v>
      </c>
      <c r="G976" s="959">
        <v>0</v>
      </c>
      <c r="H976" s="959">
        <v>0</v>
      </c>
    </row>
    <row r="977" spans="1:8">
      <c r="A977" s="959" t="s">
        <v>3211</v>
      </c>
      <c r="B977" s="960" t="s">
        <v>1027</v>
      </c>
      <c r="C977" s="960" t="s">
        <v>4262</v>
      </c>
      <c r="D977" s="960" t="s">
        <v>4263</v>
      </c>
      <c r="E977" s="959">
        <v>0</v>
      </c>
      <c r="F977" s="959">
        <v>1</v>
      </c>
      <c r="G977" s="959">
        <v>0</v>
      </c>
      <c r="H977" s="959">
        <v>0</v>
      </c>
    </row>
    <row r="978" spans="1:8">
      <c r="A978" s="959" t="s">
        <v>3212</v>
      </c>
      <c r="B978" s="960" t="s">
        <v>3213</v>
      </c>
      <c r="C978" s="960" t="s">
        <v>4256</v>
      </c>
      <c r="D978" s="960" t="s">
        <v>1906</v>
      </c>
      <c r="E978" s="959">
        <v>8</v>
      </c>
      <c r="F978" s="959">
        <v>102</v>
      </c>
      <c r="G978" s="959">
        <v>0</v>
      </c>
      <c r="H978" s="959">
        <v>0</v>
      </c>
    </row>
    <row r="979" spans="1:8">
      <c r="A979" s="959" t="s">
        <v>3212</v>
      </c>
      <c r="B979" s="960" t="s">
        <v>3213</v>
      </c>
      <c r="C979" s="960" t="s">
        <v>4257</v>
      </c>
      <c r="D979" s="960" t="s">
        <v>4258</v>
      </c>
      <c r="E979" s="959">
        <v>6</v>
      </c>
      <c r="F979" s="959">
        <v>80</v>
      </c>
      <c r="G979" s="959">
        <v>0</v>
      </c>
      <c r="H979" s="959">
        <v>0</v>
      </c>
    </row>
    <row r="980" spans="1:8">
      <c r="A980" s="959" t="s">
        <v>3212</v>
      </c>
      <c r="B980" s="960" t="s">
        <v>3213</v>
      </c>
      <c r="C980" s="960" t="s">
        <v>4262</v>
      </c>
      <c r="D980" s="960" t="s">
        <v>4263</v>
      </c>
      <c r="E980" s="959">
        <v>0</v>
      </c>
      <c r="F980" s="959">
        <v>1</v>
      </c>
      <c r="G980" s="959">
        <v>0</v>
      </c>
      <c r="H980" s="959">
        <v>0</v>
      </c>
    </row>
    <row r="981" spans="1:8">
      <c r="A981" s="959" t="s">
        <v>3214</v>
      </c>
      <c r="B981" s="960" t="s">
        <v>3215</v>
      </c>
      <c r="C981" s="960" t="s">
        <v>4256</v>
      </c>
      <c r="D981" s="960" t="s">
        <v>1906</v>
      </c>
      <c r="E981" s="959">
        <v>15</v>
      </c>
      <c r="F981" s="959">
        <v>226</v>
      </c>
      <c r="G981" s="959">
        <v>0</v>
      </c>
      <c r="H981" s="959">
        <v>0</v>
      </c>
    </row>
    <row r="982" spans="1:8">
      <c r="A982" s="959" t="s">
        <v>3214</v>
      </c>
      <c r="B982" s="960" t="s">
        <v>3215</v>
      </c>
      <c r="C982" s="960" t="s">
        <v>4256</v>
      </c>
      <c r="D982" s="960" t="s">
        <v>4274</v>
      </c>
      <c r="E982" s="959">
        <v>0</v>
      </c>
      <c r="F982" s="959">
        <v>1</v>
      </c>
      <c r="G982" s="959">
        <v>0</v>
      </c>
      <c r="H982" s="959">
        <v>0</v>
      </c>
    </row>
    <row r="983" spans="1:8">
      <c r="A983" s="959" t="s">
        <v>3214</v>
      </c>
      <c r="B983" s="960" t="s">
        <v>3215</v>
      </c>
      <c r="C983" s="960" t="s">
        <v>4257</v>
      </c>
      <c r="D983" s="960" t="s">
        <v>4258</v>
      </c>
      <c r="E983" s="959">
        <v>52</v>
      </c>
      <c r="F983" s="959">
        <v>1053</v>
      </c>
      <c r="G983" s="959">
        <v>3</v>
      </c>
      <c r="H983" s="959">
        <v>47</v>
      </c>
    </row>
    <row r="984" spans="1:8">
      <c r="A984" s="959" t="s">
        <v>3214</v>
      </c>
      <c r="B984" s="960" t="s">
        <v>3215</v>
      </c>
      <c r="C984" s="960" t="s">
        <v>4262</v>
      </c>
      <c r="D984" s="960" t="s">
        <v>4263</v>
      </c>
      <c r="E984" s="959">
        <v>0</v>
      </c>
      <c r="F984" s="959">
        <v>38</v>
      </c>
      <c r="G984" s="959">
        <v>0</v>
      </c>
      <c r="H984" s="959">
        <v>0</v>
      </c>
    </row>
    <row r="985" spans="1:8">
      <c r="A985" s="959" t="s">
        <v>3216</v>
      </c>
      <c r="B985" s="960" t="s">
        <v>3217</v>
      </c>
      <c r="C985" s="960" t="s">
        <v>4256</v>
      </c>
      <c r="D985" s="960" t="s">
        <v>4264</v>
      </c>
      <c r="E985" s="959">
        <v>0</v>
      </c>
      <c r="F985" s="959">
        <v>1</v>
      </c>
      <c r="G985" s="959">
        <v>0</v>
      </c>
      <c r="H985" s="959">
        <v>0</v>
      </c>
    </row>
    <row r="986" spans="1:8">
      <c r="A986" s="959" t="s">
        <v>3216</v>
      </c>
      <c r="B986" s="960" t="s">
        <v>3217</v>
      </c>
      <c r="C986" s="960" t="s">
        <v>4257</v>
      </c>
      <c r="D986" s="960" t="s">
        <v>4258</v>
      </c>
      <c r="E986" s="959">
        <v>0</v>
      </c>
      <c r="F986" s="959">
        <v>1</v>
      </c>
      <c r="G986" s="959">
        <v>0</v>
      </c>
      <c r="H986" s="959">
        <v>1</v>
      </c>
    </row>
    <row r="987" spans="1:8">
      <c r="A987" s="959" t="s">
        <v>3216</v>
      </c>
      <c r="B987" s="960" t="s">
        <v>3217</v>
      </c>
      <c r="C987" s="960" t="s">
        <v>4267</v>
      </c>
      <c r="D987" s="960" t="s">
        <v>4268</v>
      </c>
      <c r="E987" s="959">
        <v>0</v>
      </c>
      <c r="F987" s="959">
        <v>0</v>
      </c>
      <c r="G987" s="959">
        <v>0</v>
      </c>
      <c r="H987" s="959">
        <v>3</v>
      </c>
    </row>
    <row r="988" spans="1:8">
      <c r="A988" s="959" t="s">
        <v>3218</v>
      </c>
      <c r="B988" s="960" t="s">
        <v>3219</v>
      </c>
      <c r="C988" s="960" t="s">
        <v>4256</v>
      </c>
      <c r="D988" s="960" t="s">
        <v>4270</v>
      </c>
      <c r="E988" s="959">
        <v>0</v>
      </c>
      <c r="F988" s="959">
        <v>0</v>
      </c>
      <c r="G988" s="959">
        <v>0</v>
      </c>
      <c r="H988" s="959">
        <v>3</v>
      </c>
    </row>
    <row r="989" spans="1:8">
      <c r="A989" s="959" t="s">
        <v>3218</v>
      </c>
      <c r="B989" s="960" t="s">
        <v>3219</v>
      </c>
      <c r="C989" s="960" t="s">
        <v>4256</v>
      </c>
      <c r="D989" s="960" t="s">
        <v>4259</v>
      </c>
      <c r="E989" s="959">
        <v>0</v>
      </c>
      <c r="F989" s="959">
        <v>0</v>
      </c>
      <c r="G989" s="959">
        <v>3</v>
      </c>
      <c r="H989" s="959">
        <v>7</v>
      </c>
    </row>
    <row r="990" spans="1:8">
      <c r="A990" s="959" t="s">
        <v>3218</v>
      </c>
      <c r="B990" s="960" t="s">
        <v>3219</v>
      </c>
      <c r="C990" s="960" t="s">
        <v>4256</v>
      </c>
      <c r="D990" s="960" t="s">
        <v>4265</v>
      </c>
      <c r="E990" s="959">
        <v>0</v>
      </c>
      <c r="F990" s="959">
        <v>0</v>
      </c>
      <c r="G990" s="959">
        <v>1</v>
      </c>
      <c r="H990" s="959">
        <v>1</v>
      </c>
    </row>
    <row r="991" spans="1:8">
      <c r="A991" s="959" t="s">
        <v>3218</v>
      </c>
      <c r="B991" s="960" t="s">
        <v>3219</v>
      </c>
      <c r="C991" s="960" t="s">
        <v>4256</v>
      </c>
      <c r="D991" s="960" t="s">
        <v>4271</v>
      </c>
      <c r="E991" s="959">
        <v>0</v>
      </c>
      <c r="F991" s="959">
        <v>0</v>
      </c>
      <c r="G991" s="959">
        <v>0</v>
      </c>
      <c r="H991" s="959">
        <v>2</v>
      </c>
    </row>
    <row r="992" spans="1:8">
      <c r="A992" s="959" t="s">
        <v>3218</v>
      </c>
      <c r="B992" s="960" t="s">
        <v>3219</v>
      </c>
      <c r="C992" s="960" t="s">
        <v>4257</v>
      </c>
      <c r="D992" s="960" t="s">
        <v>4258</v>
      </c>
      <c r="E992" s="959">
        <v>2</v>
      </c>
      <c r="F992" s="959">
        <v>31</v>
      </c>
      <c r="G992" s="959">
        <v>0</v>
      </c>
      <c r="H992" s="959">
        <v>0</v>
      </c>
    </row>
    <row r="993" spans="1:8">
      <c r="A993" s="959" t="s">
        <v>3218</v>
      </c>
      <c r="B993" s="960" t="s">
        <v>3219</v>
      </c>
      <c r="C993" s="960" t="s">
        <v>4262</v>
      </c>
      <c r="D993" s="960" t="s">
        <v>4263</v>
      </c>
      <c r="E993" s="959">
        <v>0</v>
      </c>
      <c r="F993" s="959">
        <v>7</v>
      </c>
      <c r="G993" s="959">
        <v>0</v>
      </c>
      <c r="H993" s="959">
        <v>0</v>
      </c>
    </row>
    <row r="994" spans="1:8">
      <c r="A994" s="959" t="s">
        <v>3220</v>
      </c>
      <c r="B994" s="960" t="s">
        <v>3221</v>
      </c>
      <c r="C994" s="960" t="s">
        <v>4256</v>
      </c>
      <c r="D994" s="960" t="s">
        <v>1906</v>
      </c>
      <c r="E994" s="959">
        <v>15</v>
      </c>
      <c r="F994" s="959">
        <v>107</v>
      </c>
      <c r="G994" s="959">
        <v>0</v>
      </c>
      <c r="H994" s="959">
        <v>0</v>
      </c>
    </row>
    <row r="995" spans="1:8">
      <c r="A995" s="959" t="s">
        <v>3220</v>
      </c>
      <c r="B995" s="960" t="s">
        <v>3221</v>
      </c>
      <c r="C995" s="960" t="s">
        <v>4257</v>
      </c>
      <c r="D995" s="960" t="s">
        <v>4258</v>
      </c>
      <c r="E995" s="959">
        <v>8</v>
      </c>
      <c r="F995" s="959">
        <v>124</v>
      </c>
      <c r="G995" s="959">
        <v>0</v>
      </c>
      <c r="H995" s="959">
        <v>0</v>
      </c>
    </row>
    <row r="996" spans="1:8">
      <c r="A996" s="959" t="s">
        <v>3220</v>
      </c>
      <c r="B996" s="960" t="s">
        <v>3221</v>
      </c>
      <c r="C996" s="960" t="s">
        <v>4262</v>
      </c>
      <c r="D996" s="960" t="s">
        <v>4263</v>
      </c>
      <c r="E996" s="959">
        <v>0</v>
      </c>
      <c r="F996" s="959">
        <v>12</v>
      </c>
      <c r="G996" s="959">
        <v>0</v>
      </c>
      <c r="H996" s="959">
        <v>12</v>
      </c>
    </row>
    <row r="997" spans="1:8">
      <c r="A997" s="959" t="s">
        <v>3222</v>
      </c>
      <c r="B997" s="960" t="s">
        <v>3223</v>
      </c>
      <c r="C997" s="960" t="s">
        <v>4256</v>
      </c>
      <c r="D997" s="960" t="s">
        <v>1906</v>
      </c>
      <c r="E997" s="959">
        <v>10</v>
      </c>
      <c r="F997" s="959">
        <v>140</v>
      </c>
      <c r="G997" s="959">
        <v>0</v>
      </c>
      <c r="H997" s="959">
        <v>5</v>
      </c>
    </row>
    <row r="998" spans="1:8">
      <c r="A998" s="959" t="s">
        <v>3222</v>
      </c>
      <c r="B998" s="960" t="s">
        <v>3223</v>
      </c>
      <c r="C998" s="960" t="s">
        <v>4257</v>
      </c>
      <c r="D998" s="960" t="s">
        <v>4258</v>
      </c>
      <c r="E998" s="959">
        <v>58</v>
      </c>
      <c r="F998" s="959">
        <v>883</v>
      </c>
      <c r="G998" s="959">
        <v>2</v>
      </c>
      <c r="H998" s="959">
        <v>27</v>
      </c>
    </row>
    <row r="999" spans="1:8">
      <c r="A999" s="959" t="s">
        <v>4293</v>
      </c>
      <c r="B999" s="960" t="s">
        <v>4294</v>
      </c>
      <c r="C999" s="960" t="s">
        <v>4257</v>
      </c>
      <c r="D999" s="960" t="s">
        <v>4258</v>
      </c>
      <c r="E999" s="959">
        <v>1</v>
      </c>
      <c r="F999" s="959">
        <v>21</v>
      </c>
      <c r="G999" s="959">
        <v>0</v>
      </c>
      <c r="H999" s="959">
        <v>0</v>
      </c>
    </row>
    <row r="1000" spans="1:8">
      <c r="A1000" s="959" t="s">
        <v>4293</v>
      </c>
      <c r="B1000" s="960" t="s">
        <v>4294</v>
      </c>
      <c r="C1000" s="960" t="s">
        <v>4262</v>
      </c>
      <c r="D1000" s="960" t="s">
        <v>4263</v>
      </c>
      <c r="E1000" s="959">
        <v>0</v>
      </c>
      <c r="F1000" s="959">
        <v>41</v>
      </c>
      <c r="G1000" s="959">
        <v>0</v>
      </c>
      <c r="H1000" s="959">
        <v>0</v>
      </c>
    </row>
    <row r="1001" spans="1:8">
      <c r="A1001" s="959" t="s">
        <v>3224</v>
      </c>
      <c r="B1001" s="960" t="s">
        <v>3225</v>
      </c>
      <c r="C1001" s="960" t="s">
        <v>4256</v>
      </c>
      <c r="D1001" s="960" t="s">
        <v>1906</v>
      </c>
      <c r="E1001" s="959">
        <v>0</v>
      </c>
      <c r="F1001" s="959">
        <v>3</v>
      </c>
      <c r="G1001" s="959">
        <v>0</v>
      </c>
      <c r="H1001" s="959">
        <v>1</v>
      </c>
    </row>
    <row r="1002" spans="1:8">
      <c r="A1002" s="959" t="s">
        <v>3224</v>
      </c>
      <c r="B1002" s="960" t="s">
        <v>3225</v>
      </c>
      <c r="C1002" s="960" t="s">
        <v>4257</v>
      </c>
      <c r="D1002" s="960" t="s">
        <v>4258</v>
      </c>
      <c r="E1002" s="959">
        <v>1</v>
      </c>
      <c r="F1002" s="959">
        <v>30</v>
      </c>
      <c r="G1002" s="959">
        <v>0</v>
      </c>
      <c r="H1002" s="959">
        <v>0</v>
      </c>
    </row>
    <row r="1003" spans="1:8">
      <c r="A1003" s="959" t="s">
        <v>3224</v>
      </c>
      <c r="B1003" s="960" t="s">
        <v>3225</v>
      </c>
      <c r="C1003" s="960" t="s">
        <v>4262</v>
      </c>
      <c r="D1003" s="960" t="s">
        <v>4263</v>
      </c>
      <c r="E1003" s="959">
        <v>0</v>
      </c>
      <c r="F1003" s="959">
        <v>2</v>
      </c>
      <c r="G1003" s="959">
        <v>0</v>
      </c>
      <c r="H1003" s="959">
        <v>0</v>
      </c>
    </row>
    <row r="1004" spans="1:8">
      <c r="A1004" s="959" t="s">
        <v>3226</v>
      </c>
      <c r="B1004" s="960" t="s">
        <v>1030</v>
      </c>
      <c r="C1004" s="960" t="s">
        <v>4256</v>
      </c>
      <c r="D1004" s="960" t="s">
        <v>4259</v>
      </c>
      <c r="E1004" s="959">
        <v>0</v>
      </c>
      <c r="F1004" s="959">
        <v>0</v>
      </c>
      <c r="G1004" s="959">
        <v>0</v>
      </c>
      <c r="H1004" s="959">
        <v>2</v>
      </c>
    </row>
    <row r="1005" spans="1:8">
      <c r="A1005" s="959" t="s">
        <v>3226</v>
      </c>
      <c r="B1005" s="960" t="s">
        <v>1030</v>
      </c>
      <c r="C1005" s="960" t="s">
        <v>4256</v>
      </c>
      <c r="D1005" s="960" t="s">
        <v>4260</v>
      </c>
      <c r="E1005" s="959">
        <v>0</v>
      </c>
      <c r="F1005" s="959">
        <v>0</v>
      </c>
      <c r="G1005" s="959">
        <v>0</v>
      </c>
      <c r="H1005" s="959">
        <v>1</v>
      </c>
    </row>
    <row r="1006" spans="1:8">
      <c r="A1006" s="959" t="s">
        <v>3226</v>
      </c>
      <c r="B1006" s="960" t="s">
        <v>1030</v>
      </c>
      <c r="C1006" s="960" t="s">
        <v>4256</v>
      </c>
      <c r="D1006" s="960" t="s">
        <v>1906</v>
      </c>
      <c r="E1006" s="959">
        <v>0</v>
      </c>
      <c r="F1006" s="959">
        <v>3</v>
      </c>
      <c r="G1006" s="959">
        <v>0</v>
      </c>
      <c r="H1006" s="959">
        <v>0</v>
      </c>
    </row>
    <row r="1007" spans="1:8">
      <c r="A1007" s="959" t="s">
        <v>3226</v>
      </c>
      <c r="B1007" s="960" t="s">
        <v>1030</v>
      </c>
      <c r="C1007" s="960" t="s">
        <v>4257</v>
      </c>
      <c r="D1007" s="960" t="s">
        <v>4258</v>
      </c>
      <c r="E1007" s="959">
        <v>2</v>
      </c>
      <c r="F1007" s="959">
        <v>68</v>
      </c>
      <c r="G1007" s="959">
        <v>0</v>
      </c>
      <c r="H1007" s="959">
        <v>2</v>
      </c>
    </row>
    <row r="1008" spans="1:8">
      <c r="A1008" s="959" t="s">
        <v>3227</v>
      </c>
      <c r="B1008" s="960" t="s">
        <v>3228</v>
      </c>
      <c r="C1008" s="960" t="s">
        <v>4256</v>
      </c>
      <c r="D1008" s="960" t="s">
        <v>1906</v>
      </c>
      <c r="E1008" s="959">
        <v>0</v>
      </c>
      <c r="F1008" s="959">
        <v>3</v>
      </c>
      <c r="G1008" s="959">
        <v>0</v>
      </c>
      <c r="H1008" s="959">
        <v>0</v>
      </c>
    </row>
    <row r="1009" spans="1:8">
      <c r="A1009" s="959" t="s">
        <v>3227</v>
      </c>
      <c r="B1009" s="960" t="s">
        <v>3228</v>
      </c>
      <c r="C1009" s="960" t="s">
        <v>4256</v>
      </c>
      <c r="D1009" s="960" t="s">
        <v>1907</v>
      </c>
      <c r="E1009" s="959">
        <v>2</v>
      </c>
      <c r="F1009" s="959">
        <v>26</v>
      </c>
      <c r="G1009" s="959">
        <v>1</v>
      </c>
      <c r="H1009" s="959">
        <v>13</v>
      </c>
    </row>
    <row r="1010" spans="1:8">
      <c r="A1010" s="959" t="s">
        <v>3227</v>
      </c>
      <c r="B1010" s="960" t="s">
        <v>3228</v>
      </c>
      <c r="C1010" s="960" t="s">
        <v>4257</v>
      </c>
      <c r="D1010" s="960" t="s">
        <v>4258</v>
      </c>
      <c r="E1010" s="959">
        <v>0</v>
      </c>
      <c r="F1010" s="959">
        <v>5</v>
      </c>
      <c r="G1010" s="959">
        <v>0</v>
      </c>
      <c r="H1010" s="959">
        <v>1</v>
      </c>
    </row>
    <row r="1011" spans="1:8">
      <c r="A1011" s="959" t="s">
        <v>3230</v>
      </c>
      <c r="B1011" s="960" t="s">
        <v>3231</v>
      </c>
      <c r="C1011" s="960" t="s">
        <v>4256</v>
      </c>
      <c r="D1011" s="960" t="s">
        <v>1906</v>
      </c>
      <c r="E1011" s="959">
        <v>10</v>
      </c>
      <c r="F1011" s="959">
        <v>135</v>
      </c>
      <c r="G1011" s="959">
        <v>0</v>
      </c>
      <c r="H1011" s="959">
        <v>1</v>
      </c>
    </row>
    <row r="1012" spans="1:8">
      <c r="A1012" s="959" t="s">
        <v>3230</v>
      </c>
      <c r="B1012" s="960" t="s">
        <v>3231</v>
      </c>
      <c r="C1012" s="960" t="s">
        <v>4256</v>
      </c>
      <c r="D1012" s="960" t="s">
        <v>4264</v>
      </c>
      <c r="E1012" s="959">
        <v>0</v>
      </c>
      <c r="F1012" s="959">
        <v>1</v>
      </c>
      <c r="G1012" s="959">
        <v>0</v>
      </c>
      <c r="H1012" s="959">
        <v>0</v>
      </c>
    </row>
    <row r="1013" spans="1:8">
      <c r="A1013" s="959" t="s">
        <v>3230</v>
      </c>
      <c r="B1013" s="960" t="s">
        <v>3231</v>
      </c>
      <c r="C1013" s="960" t="s">
        <v>4256</v>
      </c>
      <c r="D1013" s="960" t="s">
        <v>4274</v>
      </c>
      <c r="E1013" s="959">
        <v>0</v>
      </c>
      <c r="F1013" s="959">
        <v>6</v>
      </c>
      <c r="G1013" s="959">
        <v>0</v>
      </c>
      <c r="H1013" s="959">
        <v>0</v>
      </c>
    </row>
    <row r="1014" spans="1:8">
      <c r="A1014" s="959" t="s">
        <v>3230</v>
      </c>
      <c r="B1014" s="960" t="s">
        <v>3231</v>
      </c>
      <c r="C1014" s="960" t="s">
        <v>4257</v>
      </c>
      <c r="D1014" s="960" t="s">
        <v>4258</v>
      </c>
      <c r="E1014" s="959">
        <v>15</v>
      </c>
      <c r="F1014" s="959">
        <v>152</v>
      </c>
      <c r="G1014" s="959">
        <v>0</v>
      </c>
      <c r="H1014" s="959">
        <v>1</v>
      </c>
    </row>
    <row r="1015" spans="1:8">
      <c r="A1015" s="959" t="s">
        <v>3230</v>
      </c>
      <c r="B1015" s="960" t="s">
        <v>3231</v>
      </c>
      <c r="C1015" s="960" t="s">
        <v>4262</v>
      </c>
      <c r="D1015" s="960" t="s">
        <v>4263</v>
      </c>
      <c r="E1015" s="959">
        <v>1</v>
      </c>
      <c r="F1015" s="959">
        <v>1</v>
      </c>
      <c r="G1015" s="959">
        <v>0</v>
      </c>
      <c r="H1015" s="959">
        <v>0</v>
      </c>
    </row>
    <row r="1016" spans="1:8">
      <c r="A1016" s="959" t="s">
        <v>3232</v>
      </c>
      <c r="B1016" s="960" t="s">
        <v>3233</v>
      </c>
      <c r="C1016" s="960" t="s">
        <v>4256</v>
      </c>
      <c r="D1016" s="960" t="s">
        <v>1906</v>
      </c>
      <c r="E1016" s="959">
        <v>0</v>
      </c>
      <c r="F1016" s="959">
        <v>5</v>
      </c>
      <c r="G1016" s="959">
        <v>0</v>
      </c>
      <c r="H1016" s="959">
        <v>0</v>
      </c>
    </row>
    <row r="1017" spans="1:8">
      <c r="A1017" s="959" t="s">
        <v>3232</v>
      </c>
      <c r="B1017" s="960" t="s">
        <v>3233</v>
      </c>
      <c r="C1017" s="960" t="s">
        <v>4262</v>
      </c>
      <c r="D1017" s="960" t="s">
        <v>4263</v>
      </c>
      <c r="E1017" s="959">
        <v>1</v>
      </c>
      <c r="F1017" s="959">
        <v>11</v>
      </c>
      <c r="G1017" s="959">
        <v>0</v>
      </c>
      <c r="H1017" s="959">
        <v>0</v>
      </c>
    </row>
    <row r="1018" spans="1:8">
      <c r="A1018" s="959" t="s">
        <v>3234</v>
      </c>
      <c r="B1018" s="960" t="s">
        <v>3235</v>
      </c>
      <c r="C1018" s="960" t="s">
        <v>4275</v>
      </c>
      <c r="D1018" s="960" t="s">
        <v>4276</v>
      </c>
      <c r="E1018" s="959">
        <v>1</v>
      </c>
      <c r="F1018" s="959">
        <v>7</v>
      </c>
      <c r="G1018" s="959">
        <v>0</v>
      </c>
      <c r="H1018" s="959">
        <v>3</v>
      </c>
    </row>
    <row r="1019" spans="1:8">
      <c r="A1019" s="959" t="s">
        <v>3234</v>
      </c>
      <c r="B1019" s="960" t="s">
        <v>3235</v>
      </c>
      <c r="C1019" s="960" t="s">
        <v>4256</v>
      </c>
      <c r="D1019" s="960" t="s">
        <v>1904</v>
      </c>
      <c r="E1019" s="959">
        <v>0</v>
      </c>
      <c r="F1019" s="959">
        <v>0</v>
      </c>
      <c r="G1019" s="959">
        <v>0</v>
      </c>
      <c r="H1019" s="959">
        <v>1</v>
      </c>
    </row>
    <row r="1020" spans="1:8">
      <c r="A1020" s="959" t="s">
        <v>3234</v>
      </c>
      <c r="B1020" s="960" t="s">
        <v>3235</v>
      </c>
      <c r="C1020" s="960" t="s">
        <v>4256</v>
      </c>
      <c r="D1020" s="960" t="s">
        <v>4270</v>
      </c>
      <c r="E1020" s="959">
        <v>0</v>
      </c>
      <c r="F1020" s="959">
        <v>0</v>
      </c>
      <c r="G1020" s="959">
        <v>2</v>
      </c>
      <c r="H1020" s="959">
        <v>2</v>
      </c>
    </row>
    <row r="1021" spans="1:8">
      <c r="A1021" s="959" t="s">
        <v>3234</v>
      </c>
      <c r="B1021" s="960" t="s">
        <v>3235</v>
      </c>
      <c r="C1021" s="960" t="s">
        <v>4256</v>
      </c>
      <c r="D1021" s="960" t="s">
        <v>4260</v>
      </c>
      <c r="E1021" s="959">
        <v>0</v>
      </c>
      <c r="F1021" s="959">
        <v>0</v>
      </c>
      <c r="G1021" s="959">
        <v>1</v>
      </c>
      <c r="H1021" s="959">
        <v>12</v>
      </c>
    </row>
    <row r="1022" spans="1:8">
      <c r="A1022" s="959" t="s">
        <v>3234</v>
      </c>
      <c r="B1022" s="960" t="s">
        <v>3235</v>
      </c>
      <c r="C1022" s="960" t="s">
        <v>4256</v>
      </c>
      <c r="D1022" s="960" t="s">
        <v>1906</v>
      </c>
      <c r="E1022" s="959">
        <v>1</v>
      </c>
      <c r="F1022" s="959">
        <v>15</v>
      </c>
      <c r="G1022" s="959">
        <v>5</v>
      </c>
      <c r="H1022" s="959">
        <v>56</v>
      </c>
    </row>
    <row r="1023" spans="1:8">
      <c r="A1023" s="959" t="s">
        <v>3234</v>
      </c>
      <c r="B1023" s="960" t="s">
        <v>3235</v>
      </c>
      <c r="C1023" s="960" t="s">
        <v>4256</v>
      </c>
      <c r="D1023" s="960" t="s">
        <v>4264</v>
      </c>
      <c r="E1023" s="959">
        <v>0</v>
      </c>
      <c r="F1023" s="959">
        <v>0</v>
      </c>
      <c r="G1023" s="959">
        <v>4</v>
      </c>
      <c r="H1023" s="959">
        <v>54</v>
      </c>
    </row>
    <row r="1024" spans="1:8">
      <c r="A1024" s="959" t="s">
        <v>3234</v>
      </c>
      <c r="B1024" s="960" t="s">
        <v>3235</v>
      </c>
      <c r="C1024" s="960" t="s">
        <v>4256</v>
      </c>
      <c r="D1024" s="960" t="s">
        <v>1907</v>
      </c>
      <c r="E1024" s="959">
        <v>1</v>
      </c>
      <c r="F1024" s="959">
        <v>19</v>
      </c>
      <c r="G1024" s="959">
        <v>45</v>
      </c>
      <c r="H1024" s="959">
        <v>538</v>
      </c>
    </row>
    <row r="1025" spans="1:8">
      <c r="A1025" s="959" t="s">
        <v>3234</v>
      </c>
      <c r="B1025" s="960" t="s">
        <v>3235</v>
      </c>
      <c r="C1025" s="960" t="s">
        <v>4257</v>
      </c>
      <c r="D1025" s="960" t="s">
        <v>4258</v>
      </c>
      <c r="E1025" s="959">
        <v>10</v>
      </c>
      <c r="F1025" s="959">
        <v>137</v>
      </c>
      <c r="G1025" s="959">
        <v>18</v>
      </c>
      <c r="H1025" s="959">
        <v>207</v>
      </c>
    </row>
    <row r="1026" spans="1:8">
      <c r="A1026" s="959" t="s">
        <v>3234</v>
      </c>
      <c r="B1026" s="960" t="s">
        <v>3235</v>
      </c>
      <c r="C1026" s="960" t="s">
        <v>4262</v>
      </c>
      <c r="D1026" s="960" t="s">
        <v>4263</v>
      </c>
      <c r="E1026" s="959">
        <v>0</v>
      </c>
      <c r="F1026" s="959">
        <v>26</v>
      </c>
      <c r="G1026" s="959">
        <v>0</v>
      </c>
      <c r="H1026" s="959">
        <v>0</v>
      </c>
    </row>
    <row r="1027" spans="1:8">
      <c r="A1027" s="959" t="s">
        <v>3234</v>
      </c>
      <c r="B1027" s="960" t="s">
        <v>3235</v>
      </c>
      <c r="C1027" s="960" t="s">
        <v>4267</v>
      </c>
      <c r="D1027" s="960" t="s">
        <v>4268</v>
      </c>
      <c r="E1027" s="959">
        <v>0</v>
      </c>
      <c r="F1027" s="959">
        <v>0</v>
      </c>
      <c r="G1027" s="959">
        <v>0</v>
      </c>
      <c r="H1027" s="959">
        <v>3</v>
      </c>
    </row>
    <row r="1028" spans="1:8">
      <c r="A1028" s="959" t="s">
        <v>3236</v>
      </c>
      <c r="B1028" s="960" t="s">
        <v>1037</v>
      </c>
      <c r="C1028" s="960" t="s">
        <v>4256</v>
      </c>
      <c r="D1028" s="960" t="s">
        <v>470</v>
      </c>
      <c r="E1028" s="959">
        <v>0</v>
      </c>
      <c r="F1028" s="959">
        <v>0</v>
      </c>
      <c r="G1028" s="959">
        <v>0</v>
      </c>
      <c r="H1028" s="959">
        <v>1</v>
      </c>
    </row>
    <row r="1029" spans="1:8">
      <c r="A1029" s="959" t="s">
        <v>3236</v>
      </c>
      <c r="B1029" s="960" t="s">
        <v>1037</v>
      </c>
      <c r="C1029" s="960" t="s">
        <v>4256</v>
      </c>
      <c r="D1029" s="960" t="s">
        <v>4260</v>
      </c>
      <c r="E1029" s="959">
        <v>0</v>
      </c>
      <c r="F1029" s="959">
        <v>0</v>
      </c>
      <c r="G1029" s="959">
        <v>0</v>
      </c>
      <c r="H1029" s="959">
        <v>2</v>
      </c>
    </row>
    <row r="1030" spans="1:8">
      <c r="A1030" s="959" t="s">
        <v>3236</v>
      </c>
      <c r="B1030" s="960" t="s">
        <v>1037</v>
      </c>
      <c r="C1030" s="960" t="s">
        <v>4256</v>
      </c>
      <c r="D1030" s="960" t="s">
        <v>1906</v>
      </c>
      <c r="E1030" s="959">
        <v>0</v>
      </c>
      <c r="F1030" s="959">
        <v>8</v>
      </c>
      <c r="G1030" s="959">
        <v>0</v>
      </c>
      <c r="H1030" s="959">
        <v>0</v>
      </c>
    </row>
    <row r="1031" spans="1:8">
      <c r="A1031" s="959" t="s">
        <v>3236</v>
      </c>
      <c r="B1031" s="960" t="s">
        <v>1037</v>
      </c>
      <c r="C1031" s="960" t="s">
        <v>4257</v>
      </c>
      <c r="D1031" s="960" t="s">
        <v>4258</v>
      </c>
      <c r="E1031" s="959">
        <v>0</v>
      </c>
      <c r="F1031" s="959">
        <v>4</v>
      </c>
      <c r="G1031" s="959">
        <v>0</v>
      </c>
      <c r="H1031" s="959">
        <v>0</v>
      </c>
    </row>
    <row r="1032" spans="1:8">
      <c r="A1032" s="959" t="s">
        <v>3236</v>
      </c>
      <c r="B1032" s="960" t="s">
        <v>1037</v>
      </c>
      <c r="C1032" s="960" t="s">
        <v>4262</v>
      </c>
      <c r="D1032" s="960" t="s">
        <v>4263</v>
      </c>
      <c r="E1032" s="959">
        <v>0</v>
      </c>
      <c r="F1032" s="959">
        <v>1</v>
      </c>
      <c r="G1032" s="959">
        <v>0</v>
      </c>
      <c r="H1032" s="959">
        <v>0</v>
      </c>
    </row>
    <row r="1033" spans="1:8">
      <c r="A1033" s="959" t="s">
        <v>4295</v>
      </c>
      <c r="B1033" s="960" t="s">
        <v>1043</v>
      </c>
      <c r="C1033" s="960" t="s">
        <v>4256</v>
      </c>
      <c r="D1033" s="960" t="s">
        <v>4259</v>
      </c>
      <c r="E1033" s="959">
        <v>0</v>
      </c>
      <c r="F1033" s="959">
        <v>1</v>
      </c>
      <c r="G1033" s="959">
        <v>0</v>
      </c>
      <c r="H1033" s="959">
        <v>0</v>
      </c>
    </row>
    <row r="1034" spans="1:8">
      <c r="A1034" s="959" t="s">
        <v>4295</v>
      </c>
      <c r="B1034" s="960" t="s">
        <v>1043</v>
      </c>
      <c r="C1034" s="960" t="s">
        <v>4256</v>
      </c>
      <c r="D1034" s="960" t="s">
        <v>4260</v>
      </c>
      <c r="E1034" s="959">
        <v>0</v>
      </c>
      <c r="F1034" s="959">
        <v>1</v>
      </c>
      <c r="G1034" s="959">
        <v>0</v>
      </c>
      <c r="H1034" s="959">
        <v>0</v>
      </c>
    </row>
    <row r="1035" spans="1:8">
      <c r="A1035" s="959" t="s">
        <v>4295</v>
      </c>
      <c r="B1035" s="960" t="s">
        <v>1043</v>
      </c>
      <c r="C1035" s="960" t="s">
        <v>4256</v>
      </c>
      <c r="D1035" s="960" t="s">
        <v>4271</v>
      </c>
      <c r="E1035" s="959">
        <v>0</v>
      </c>
      <c r="F1035" s="959">
        <v>1</v>
      </c>
      <c r="G1035" s="959">
        <v>0</v>
      </c>
      <c r="H1035" s="959">
        <v>0</v>
      </c>
    </row>
    <row r="1036" spans="1:8">
      <c r="A1036" s="959" t="s">
        <v>4295</v>
      </c>
      <c r="B1036" s="960" t="s">
        <v>1043</v>
      </c>
      <c r="C1036" s="960" t="s">
        <v>4257</v>
      </c>
      <c r="D1036" s="960" t="s">
        <v>4258</v>
      </c>
      <c r="E1036" s="959">
        <v>0</v>
      </c>
      <c r="F1036" s="959">
        <v>7</v>
      </c>
      <c r="G1036" s="959">
        <v>0</v>
      </c>
      <c r="H1036" s="959">
        <v>0</v>
      </c>
    </row>
    <row r="1037" spans="1:8">
      <c r="A1037" s="959" t="s">
        <v>4295</v>
      </c>
      <c r="B1037" s="960" t="s">
        <v>1043</v>
      </c>
      <c r="C1037" s="960" t="s">
        <v>4262</v>
      </c>
      <c r="D1037" s="960" t="s">
        <v>4263</v>
      </c>
      <c r="E1037" s="959">
        <v>0</v>
      </c>
      <c r="F1037" s="959">
        <v>2</v>
      </c>
      <c r="G1037" s="959">
        <v>0</v>
      </c>
      <c r="H1037" s="959">
        <v>0</v>
      </c>
    </row>
    <row r="1038" spans="1:8">
      <c r="A1038" s="959" t="s">
        <v>3237</v>
      </c>
      <c r="B1038" s="960" t="s">
        <v>3238</v>
      </c>
      <c r="C1038" s="960" t="s">
        <v>4256</v>
      </c>
      <c r="D1038" s="960" t="s">
        <v>4259</v>
      </c>
      <c r="E1038" s="959">
        <v>1</v>
      </c>
      <c r="F1038" s="959">
        <v>12</v>
      </c>
      <c r="G1038" s="959">
        <v>1</v>
      </c>
      <c r="H1038" s="959">
        <v>44</v>
      </c>
    </row>
    <row r="1039" spans="1:8">
      <c r="A1039" s="959" t="s">
        <v>3237</v>
      </c>
      <c r="B1039" s="960" t="s">
        <v>3238</v>
      </c>
      <c r="C1039" s="960" t="s">
        <v>4256</v>
      </c>
      <c r="D1039" s="960" t="s">
        <v>4260</v>
      </c>
      <c r="E1039" s="959">
        <v>0</v>
      </c>
      <c r="F1039" s="959">
        <v>9</v>
      </c>
      <c r="G1039" s="959">
        <v>0</v>
      </c>
      <c r="H1039" s="959">
        <v>11</v>
      </c>
    </row>
    <row r="1040" spans="1:8">
      <c r="A1040" s="959" t="s">
        <v>3237</v>
      </c>
      <c r="B1040" s="960" t="s">
        <v>3238</v>
      </c>
      <c r="C1040" s="960" t="s">
        <v>4256</v>
      </c>
      <c r="D1040" s="960" t="s">
        <v>1906</v>
      </c>
      <c r="E1040" s="959">
        <v>52</v>
      </c>
      <c r="F1040" s="959">
        <v>1104</v>
      </c>
      <c r="G1040" s="959">
        <v>6</v>
      </c>
      <c r="H1040" s="959">
        <v>84</v>
      </c>
    </row>
    <row r="1041" spans="1:8">
      <c r="A1041" s="959" t="s">
        <v>3237</v>
      </c>
      <c r="B1041" s="960" t="s">
        <v>3238</v>
      </c>
      <c r="C1041" s="960" t="s">
        <v>4256</v>
      </c>
      <c r="D1041" s="960" t="s">
        <v>1907</v>
      </c>
      <c r="E1041" s="959">
        <v>10</v>
      </c>
      <c r="F1041" s="959">
        <v>127</v>
      </c>
      <c r="G1041" s="959">
        <v>0</v>
      </c>
      <c r="H1041" s="959">
        <v>6</v>
      </c>
    </row>
    <row r="1042" spans="1:8">
      <c r="A1042" s="959" t="s">
        <v>3237</v>
      </c>
      <c r="B1042" s="960" t="s">
        <v>3238</v>
      </c>
      <c r="C1042" s="960" t="s">
        <v>4257</v>
      </c>
      <c r="D1042" s="960" t="s">
        <v>4258</v>
      </c>
      <c r="E1042" s="959">
        <v>21</v>
      </c>
      <c r="F1042" s="959">
        <v>349</v>
      </c>
      <c r="G1042" s="959">
        <v>6</v>
      </c>
      <c r="H1042" s="959">
        <v>82</v>
      </c>
    </row>
    <row r="1043" spans="1:8">
      <c r="A1043" s="959" t="s">
        <v>3237</v>
      </c>
      <c r="B1043" s="960" t="s">
        <v>3238</v>
      </c>
      <c r="C1043" s="960" t="s">
        <v>4262</v>
      </c>
      <c r="D1043" s="960" t="s">
        <v>4263</v>
      </c>
      <c r="E1043" s="959">
        <v>16</v>
      </c>
      <c r="F1043" s="959">
        <v>492</v>
      </c>
      <c r="G1043" s="959">
        <v>0</v>
      </c>
      <c r="H1043" s="959">
        <v>26</v>
      </c>
    </row>
    <row r="1044" spans="1:8">
      <c r="A1044" s="959" t="s">
        <v>3237</v>
      </c>
      <c r="B1044" s="960" t="s">
        <v>3238</v>
      </c>
      <c r="C1044" s="960" t="s">
        <v>4267</v>
      </c>
      <c r="D1044" s="960" t="s">
        <v>4268</v>
      </c>
      <c r="E1044" s="959">
        <v>0</v>
      </c>
      <c r="F1044" s="959">
        <v>0</v>
      </c>
      <c r="G1044" s="959">
        <v>0</v>
      </c>
      <c r="H1044" s="959">
        <v>5</v>
      </c>
    </row>
    <row r="1045" spans="1:8">
      <c r="A1045" s="959" t="s">
        <v>3239</v>
      </c>
      <c r="B1045" s="960" t="s">
        <v>3240</v>
      </c>
      <c r="C1045" s="960" t="s">
        <v>4256</v>
      </c>
      <c r="D1045" s="960" t="s">
        <v>470</v>
      </c>
      <c r="E1045" s="959">
        <v>0</v>
      </c>
      <c r="F1045" s="959">
        <v>0</v>
      </c>
      <c r="G1045" s="959">
        <v>22</v>
      </c>
      <c r="H1045" s="959">
        <v>72</v>
      </c>
    </row>
    <row r="1046" spans="1:8">
      <c r="A1046" s="959" t="s">
        <v>3239</v>
      </c>
      <c r="B1046" s="960" t="s">
        <v>3240</v>
      </c>
      <c r="C1046" s="960" t="s">
        <v>4256</v>
      </c>
      <c r="D1046" s="960" t="s">
        <v>1904</v>
      </c>
      <c r="E1046" s="959">
        <v>0</v>
      </c>
      <c r="F1046" s="959">
        <v>0</v>
      </c>
      <c r="G1046" s="959">
        <v>18</v>
      </c>
      <c r="H1046" s="959">
        <v>337</v>
      </c>
    </row>
    <row r="1047" spans="1:8">
      <c r="A1047" s="959" t="s">
        <v>3239</v>
      </c>
      <c r="B1047" s="960" t="s">
        <v>3240</v>
      </c>
      <c r="C1047" s="960" t="s">
        <v>4256</v>
      </c>
      <c r="D1047" s="960" t="s">
        <v>4269</v>
      </c>
      <c r="E1047" s="959">
        <v>0</v>
      </c>
      <c r="F1047" s="959">
        <v>0</v>
      </c>
      <c r="G1047" s="959">
        <v>4</v>
      </c>
      <c r="H1047" s="959">
        <v>2</v>
      </c>
    </row>
    <row r="1048" spans="1:8">
      <c r="A1048" s="959" t="s">
        <v>3239</v>
      </c>
      <c r="B1048" s="960" t="s">
        <v>3240</v>
      </c>
      <c r="C1048" s="960" t="s">
        <v>4256</v>
      </c>
      <c r="D1048" s="960" t="s">
        <v>4270</v>
      </c>
      <c r="E1048" s="959">
        <v>0</v>
      </c>
      <c r="F1048" s="959">
        <v>0</v>
      </c>
      <c r="G1048" s="959">
        <v>12</v>
      </c>
      <c r="H1048" s="959">
        <v>7</v>
      </c>
    </row>
    <row r="1049" spans="1:8">
      <c r="A1049" s="959" t="s">
        <v>3239</v>
      </c>
      <c r="B1049" s="960" t="s">
        <v>3240</v>
      </c>
      <c r="C1049" s="960" t="s">
        <v>4256</v>
      </c>
      <c r="D1049" s="960" t="s">
        <v>4259</v>
      </c>
      <c r="E1049" s="959">
        <v>0</v>
      </c>
      <c r="F1049" s="959">
        <v>0</v>
      </c>
      <c r="G1049" s="959">
        <v>22</v>
      </c>
      <c r="H1049" s="959">
        <v>59</v>
      </c>
    </row>
    <row r="1050" spans="1:8">
      <c r="A1050" s="959" t="s">
        <v>3239</v>
      </c>
      <c r="B1050" s="960" t="s">
        <v>3240</v>
      </c>
      <c r="C1050" s="960" t="s">
        <v>4256</v>
      </c>
      <c r="D1050" s="960" t="s">
        <v>4260</v>
      </c>
      <c r="E1050" s="959">
        <v>0</v>
      </c>
      <c r="F1050" s="959">
        <v>0</v>
      </c>
      <c r="G1050" s="959">
        <v>39</v>
      </c>
      <c r="H1050" s="959">
        <v>274</v>
      </c>
    </row>
    <row r="1051" spans="1:8">
      <c r="A1051" s="959" t="s">
        <v>3239</v>
      </c>
      <c r="B1051" s="960" t="s">
        <v>3240</v>
      </c>
      <c r="C1051" s="960" t="s">
        <v>4256</v>
      </c>
      <c r="D1051" s="960" t="s">
        <v>4265</v>
      </c>
      <c r="E1051" s="959">
        <v>0</v>
      </c>
      <c r="F1051" s="959">
        <v>0</v>
      </c>
      <c r="G1051" s="959">
        <v>0</v>
      </c>
      <c r="H1051" s="959">
        <v>8</v>
      </c>
    </row>
    <row r="1052" spans="1:8">
      <c r="A1052" s="959" t="s">
        <v>3239</v>
      </c>
      <c r="B1052" s="960" t="s">
        <v>3240</v>
      </c>
      <c r="C1052" s="960" t="s">
        <v>4256</v>
      </c>
      <c r="D1052" s="960" t="s">
        <v>1906</v>
      </c>
      <c r="E1052" s="959">
        <v>0</v>
      </c>
      <c r="F1052" s="959">
        <v>1</v>
      </c>
      <c r="G1052" s="959">
        <v>0</v>
      </c>
      <c r="H1052" s="959">
        <v>3</v>
      </c>
    </row>
    <row r="1053" spans="1:8">
      <c r="A1053" s="959" t="s">
        <v>3239</v>
      </c>
      <c r="B1053" s="960" t="s">
        <v>3240</v>
      </c>
      <c r="C1053" s="960" t="s">
        <v>4256</v>
      </c>
      <c r="D1053" s="960" t="s">
        <v>4261</v>
      </c>
      <c r="E1053" s="959">
        <v>0</v>
      </c>
      <c r="F1053" s="959">
        <v>0</v>
      </c>
      <c r="G1053" s="959">
        <v>10</v>
      </c>
      <c r="H1053" s="959">
        <v>264</v>
      </c>
    </row>
    <row r="1054" spans="1:8">
      <c r="A1054" s="959" t="s">
        <v>3239</v>
      </c>
      <c r="B1054" s="960" t="s">
        <v>3240</v>
      </c>
      <c r="C1054" s="960" t="s">
        <v>4257</v>
      </c>
      <c r="D1054" s="960" t="s">
        <v>4258</v>
      </c>
      <c r="E1054" s="959">
        <v>0</v>
      </c>
      <c r="F1054" s="959">
        <v>0</v>
      </c>
      <c r="G1054" s="959">
        <v>0</v>
      </c>
      <c r="H1054" s="959">
        <v>2</v>
      </c>
    </row>
    <row r="1055" spans="1:8">
      <c r="A1055" s="959" t="s">
        <v>3241</v>
      </c>
      <c r="B1055" s="960" t="s">
        <v>3242</v>
      </c>
      <c r="C1055" s="960" t="s">
        <v>4257</v>
      </c>
      <c r="D1055" s="960" t="s">
        <v>4258</v>
      </c>
      <c r="E1055" s="959">
        <v>1</v>
      </c>
      <c r="F1055" s="959">
        <v>11</v>
      </c>
      <c r="G1055" s="959">
        <v>0</v>
      </c>
      <c r="H1055" s="959">
        <v>0</v>
      </c>
    </row>
    <row r="1056" spans="1:8">
      <c r="A1056" s="959" t="s">
        <v>3241</v>
      </c>
      <c r="B1056" s="960" t="s">
        <v>3242</v>
      </c>
      <c r="C1056" s="960" t="s">
        <v>4262</v>
      </c>
      <c r="D1056" s="960" t="s">
        <v>4263</v>
      </c>
      <c r="E1056" s="959">
        <v>0</v>
      </c>
      <c r="F1056" s="959">
        <v>3</v>
      </c>
      <c r="G1056" s="959">
        <v>0</v>
      </c>
      <c r="H1056" s="959">
        <v>0</v>
      </c>
    </row>
    <row r="1057" spans="1:8">
      <c r="A1057" s="959" t="s">
        <v>3241</v>
      </c>
      <c r="B1057" s="960" t="s">
        <v>3242</v>
      </c>
      <c r="C1057" s="960" t="s">
        <v>4267</v>
      </c>
      <c r="D1057" s="960" t="s">
        <v>4268</v>
      </c>
      <c r="E1057" s="959">
        <v>0</v>
      </c>
      <c r="F1057" s="959">
        <v>0</v>
      </c>
      <c r="G1057" s="959">
        <v>0</v>
      </c>
      <c r="H1057" s="959">
        <v>10</v>
      </c>
    </row>
    <row r="1058" spans="1:8">
      <c r="A1058" s="959" t="s">
        <v>3243</v>
      </c>
      <c r="B1058" s="960" t="s">
        <v>1046</v>
      </c>
      <c r="C1058" s="960" t="s">
        <v>4256</v>
      </c>
      <c r="D1058" s="960" t="s">
        <v>4260</v>
      </c>
      <c r="E1058" s="959">
        <v>0</v>
      </c>
      <c r="F1058" s="959">
        <v>0</v>
      </c>
      <c r="G1058" s="959">
        <v>0</v>
      </c>
      <c r="H1058" s="959">
        <v>1</v>
      </c>
    </row>
    <row r="1059" spans="1:8">
      <c r="A1059" s="959" t="s">
        <v>3243</v>
      </c>
      <c r="B1059" s="960" t="s">
        <v>1046</v>
      </c>
      <c r="C1059" s="960" t="s">
        <v>4257</v>
      </c>
      <c r="D1059" s="960" t="s">
        <v>4258</v>
      </c>
      <c r="E1059" s="959">
        <v>0</v>
      </c>
      <c r="F1059" s="959">
        <v>0</v>
      </c>
      <c r="G1059" s="959">
        <v>0</v>
      </c>
      <c r="H1059" s="959">
        <v>1</v>
      </c>
    </row>
    <row r="1060" spans="1:8">
      <c r="A1060" s="959" t="s">
        <v>3244</v>
      </c>
      <c r="B1060" s="960" t="s">
        <v>3245</v>
      </c>
      <c r="C1060" s="960" t="s">
        <v>4267</v>
      </c>
      <c r="D1060" s="960" t="s">
        <v>4268</v>
      </c>
      <c r="E1060" s="959">
        <v>0</v>
      </c>
      <c r="F1060" s="959">
        <v>0</v>
      </c>
      <c r="G1060" s="959">
        <v>0</v>
      </c>
      <c r="H1060" s="959">
        <v>1</v>
      </c>
    </row>
    <row r="1061" spans="1:8">
      <c r="A1061" s="959" t="s">
        <v>3246</v>
      </c>
      <c r="B1061" s="960" t="s">
        <v>3247</v>
      </c>
      <c r="C1061" s="960" t="s">
        <v>4256</v>
      </c>
      <c r="D1061" s="960" t="s">
        <v>4259</v>
      </c>
      <c r="E1061" s="959">
        <v>0</v>
      </c>
      <c r="F1061" s="959">
        <v>0</v>
      </c>
      <c r="G1061" s="959">
        <v>0</v>
      </c>
      <c r="H1061" s="959">
        <v>5</v>
      </c>
    </row>
    <row r="1062" spans="1:8">
      <c r="A1062" s="959" t="s">
        <v>3246</v>
      </c>
      <c r="B1062" s="960" t="s">
        <v>3247</v>
      </c>
      <c r="C1062" s="960" t="s">
        <v>4256</v>
      </c>
      <c r="D1062" s="960" t="s">
        <v>1906</v>
      </c>
      <c r="E1062" s="959">
        <v>3</v>
      </c>
      <c r="F1062" s="959">
        <v>38</v>
      </c>
      <c r="G1062" s="959">
        <v>1</v>
      </c>
      <c r="H1062" s="959">
        <v>7</v>
      </c>
    </row>
    <row r="1063" spans="1:8">
      <c r="A1063" s="959" t="s">
        <v>3246</v>
      </c>
      <c r="B1063" s="960" t="s">
        <v>3247</v>
      </c>
      <c r="C1063" s="960" t="s">
        <v>4256</v>
      </c>
      <c r="D1063" s="960" t="s">
        <v>1907</v>
      </c>
      <c r="E1063" s="959">
        <v>10</v>
      </c>
      <c r="F1063" s="959">
        <v>130</v>
      </c>
      <c r="G1063" s="959">
        <v>2</v>
      </c>
      <c r="H1063" s="959">
        <v>32</v>
      </c>
    </row>
    <row r="1064" spans="1:8">
      <c r="A1064" s="959" t="s">
        <v>3246</v>
      </c>
      <c r="B1064" s="960" t="s">
        <v>3247</v>
      </c>
      <c r="C1064" s="960" t="s">
        <v>4257</v>
      </c>
      <c r="D1064" s="960" t="s">
        <v>4258</v>
      </c>
      <c r="E1064" s="959">
        <v>3</v>
      </c>
      <c r="F1064" s="959">
        <v>68</v>
      </c>
      <c r="G1064" s="959">
        <v>0</v>
      </c>
      <c r="H1064" s="959">
        <v>33</v>
      </c>
    </row>
    <row r="1065" spans="1:8">
      <c r="A1065" s="959" t="s">
        <v>3246</v>
      </c>
      <c r="B1065" s="960" t="s">
        <v>3247</v>
      </c>
      <c r="C1065" s="960" t="s">
        <v>4262</v>
      </c>
      <c r="D1065" s="960" t="s">
        <v>4263</v>
      </c>
      <c r="E1065" s="959">
        <v>3</v>
      </c>
      <c r="F1065" s="959">
        <v>141</v>
      </c>
      <c r="G1065" s="959">
        <v>0</v>
      </c>
      <c r="H1065" s="959">
        <v>16</v>
      </c>
    </row>
    <row r="1066" spans="1:8">
      <c r="A1066" s="959" t="s">
        <v>3248</v>
      </c>
      <c r="B1066" s="960" t="s">
        <v>3249</v>
      </c>
      <c r="C1066" s="960" t="s">
        <v>4275</v>
      </c>
      <c r="D1066" s="960" t="s">
        <v>4276</v>
      </c>
      <c r="E1066" s="959">
        <v>4</v>
      </c>
      <c r="F1066" s="959">
        <v>55</v>
      </c>
      <c r="G1066" s="959">
        <v>0</v>
      </c>
      <c r="H1066" s="959">
        <v>0</v>
      </c>
    </row>
    <row r="1067" spans="1:8">
      <c r="A1067" s="959" t="s">
        <v>3248</v>
      </c>
      <c r="B1067" s="960" t="s">
        <v>3249</v>
      </c>
      <c r="C1067" s="960" t="s">
        <v>4277</v>
      </c>
      <c r="D1067" s="960" t="s">
        <v>4278</v>
      </c>
      <c r="E1067" s="959">
        <v>0</v>
      </c>
      <c r="F1067" s="959">
        <v>0</v>
      </c>
      <c r="G1067" s="959">
        <v>0</v>
      </c>
      <c r="H1067" s="959">
        <v>1</v>
      </c>
    </row>
    <row r="1068" spans="1:8">
      <c r="A1068" s="959" t="s">
        <v>3248</v>
      </c>
      <c r="B1068" s="960" t="s">
        <v>3249</v>
      </c>
      <c r="C1068" s="960" t="s">
        <v>4277</v>
      </c>
      <c r="D1068" s="960" t="s">
        <v>4279</v>
      </c>
      <c r="E1068" s="959">
        <v>0</v>
      </c>
      <c r="F1068" s="959">
        <v>0</v>
      </c>
      <c r="G1068" s="959">
        <v>0</v>
      </c>
      <c r="H1068" s="959">
        <v>1</v>
      </c>
    </row>
    <row r="1069" spans="1:8">
      <c r="A1069" s="959" t="s">
        <v>3248</v>
      </c>
      <c r="B1069" s="960" t="s">
        <v>3249</v>
      </c>
      <c r="C1069" s="960" t="s">
        <v>4256</v>
      </c>
      <c r="D1069" s="960" t="s">
        <v>1906</v>
      </c>
      <c r="E1069" s="959">
        <v>0</v>
      </c>
      <c r="F1069" s="959">
        <v>2</v>
      </c>
      <c r="G1069" s="959">
        <v>0</v>
      </c>
      <c r="H1069" s="959">
        <v>0</v>
      </c>
    </row>
    <row r="1070" spans="1:8">
      <c r="A1070" s="959" t="s">
        <v>3248</v>
      </c>
      <c r="B1070" s="960" t="s">
        <v>3249</v>
      </c>
      <c r="C1070" s="960" t="s">
        <v>4257</v>
      </c>
      <c r="D1070" s="960" t="s">
        <v>4258</v>
      </c>
      <c r="E1070" s="959">
        <v>2</v>
      </c>
      <c r="F1070" s="959">
        <v>11</v>
      </c>
      <c r="G1070" s="959">
        <v>0</v>
      </c>
      <c r="H1070" s="959">
        <v>1</v>
      </c>
    </row>
    <row r="1071" spans="1:8">
      <c r="A1071" s="959" t="s">
        <v>3248</v>
      </c>
      <c r="B1071" s="960" t="s">
        <v>3249</v>
      </c>
      <c r="C1071" s="960" t="s">
        <v>4262</v>
      </c>
      <c r="D1071" s="960" t="s">
        <v>4263</v>
      </c>
      <c r="E1071" s="959">
        <v>1</v>
      </c>
      <c r="F1071" s="959">
        <v>0</v>
      </c>
      <c r="G1071" s="959">
        <v>0</v>
      </c>
      <c r="H1071" s="959">
        <v>0</v>
      </c>
    </row>
    <row r="1072" spans="1:8">
      <c r="A1072" s="959" t="s">
        <v>3250</v>
      </c>
      <c r="B1072" s="960" t="s">
        <v>3251</v>
      </c>
      <c r="C1072" s="960" t="s">
        <v>4256</v>
      </c>
      <c r="D1072" s="960" t="s">
        <v>4264</v>
      </c>
      <c r="E1072" s="959">
        <v>2</v>
      </c>
      <c r="F1072" s="959">
        <v>22</v>
      </c>
      <c r="G1072" s="959">
        <v>4</v>
      </c>
      <c r="H1072" s="959">
        <v>54</v>
      </c>
    </row>
    <row r="1073" spans="1:8">
      <c r="A1073" s="959" t="s">
        <v>3250</v>
      </c>
      <c r="B1073" s="960" t="s">
        <v>3251</v>
      </c>
      <c r="C1073" s="960" t="s">
        <v>4257</v>
      </c>
      <c r="D1073" s="960" t="s">
        <v>4258</v>
      </c>
      <c r="E1073" s="959">
        <v>1</v>
      </c>
      <c r="F1073" s="959">
        <v>12</v>
      </c>
      <c r="G1073" s="959">
        <v>0</v>
      </c>
      <c r="H1073" s="959">
        <v>0</v>
      </c>
    </row>
    <row r="1074" spans="1:8">
      <c r="A1074" s="959" t="s">
        <v>3252</v>
      </c>
      <c r="B1074" s="960" t="s">
        <v>3253</v>
      </c>
      <c r="C1074" s="960" t="s">
        <v>4256</v>
      </c>
      <c r="D1074" s="960" t="s">
        <v>4259</v>
      </c>
      <c r="E1074" s="959">
        <v>0</v>
      </c>
      <c r="F1074" s="959">
        <v>0</v>
      </c>
      <c r="G1074" s="959">
        <v>0</v>
      </c>
      <c r="H1074" s="959">
        <v>2</v>
      </c>
    </row>
    <row r="1075" spans="1:8">
      <c r="A1075" s="959" t="s">
        <v>3252</v>
      </c>
      <c r="B1075" s="960" t="s">
        <v>3253</v>
      </c>
      <c r="C1075" s="960" t="s">
        <v>4256</v>
      </c>
      <c r="D1075" s="960" t="s">
        <v>4265</v>
      </c>
      <c r="E1075" s="959">
        <v>0</v>
      </c>
      <c r="F1075" s="959">
        <v>0</v>
      </c>
      <c r="G1075" s="959">
        <v>0</v>
      </c>
      <c r="H1075" s="959">
        <v>1</v>
      </c>
    </row>
    <row r="1076" spans="1:8">
      <c r="A1076" s="959" t="s">
        <v>3252</v>
      </c>
      <c r="B1076" s="960" t="s">
        <v>3253</v>
      </c>
      <c r="C1076" s="960" t="s">
        <v>4257</v>
      </c>
      <c r="D1076" s="960" t="s">
        <v>4258</v>
      </c>
      <c r="E1076" s="959">
        <v>1</v>
      </c>
      <c r="F1076" s="959">
        <v>30</v>
      </c>
      <c r="G1076" s="959">
        <v>0</v>
      </c>
      <c r="H1076" s="959">
        <v>0</v>
      </c>
    </row>
    <row r="1077" spans="1:8">
      <c r="A1077" s="959" t="s">
        <v>3252</v>
      </c>
      <c r="B1077" s="960" t="s">
        <v>3253</v>
      </c>
      <c r="C1077" s="960" t="s">
        <v>4262</v>
      </c>
      <c r="D1077" s="960" t="s">
        <v>4263</v>
      </c>
      <c r="E1077" s="959">
        <v>1</v>
      </c>
      <c r="F1077" s="959">
        <v>13</v>
      </c>
      <c r="G1077" s="959">
        <v>0</v>
      </c>
      <c r="H1077" s="959">
        <v>0</v>
      </c>
    </row>
    <row r="1078" spans="1:8">
      <c r="A1078" s="959" t="s">
        <v>3252</v>
      </c>
      <c r="B1078" s="960" t="s">
        <v>3253</v>
      </c>
      <c r="C1078" s="960" t="s">
        <v>4267</v>
      </c>
      <c r="D1078" s="960" t="s">
        <v>4268</v>
      </c>
      <c r="E1078" s="959">
        <v>0</v>
      </c>
      <c r="F1078" s="959">
        <v>0</v>
      </c>
      <c r="G1078" s="959">
        <v>0</v>
      </c>
      <c r="H1078" s="959">
        <v>1</v>
      </c>
    </row>
    <row r="1079" spans="1:8">
      <c r="A1079" s="959" t="s">
        <v>3254</v>
      </c>
      <c r="B1079" s="960" t="s">
        <v>341</v>
      </c>
      <c r="C1079" s="960" t="s">
        <v>4275</v>
      </c>
      <c r="D1079" s="960" t="s">
        <v>4276</v>
      </c>
      <c r="E1079" s="959">
        <v>0</v>
      </c>
      <c r="F1079" s="959">
        <v>2</v>
      </c>
      <c r="G1079" s="959">
        <v>0</v>
      </c>
      <c r="H1079" s="959">
        <v>0</v>
      </c>
    </row>
    <row r="1080" spans="1:8">
      <c r="A1080" s="959" t="s">
        <v>3254</v>
      </c>
      <c r="B1080" s="960" t="s">
        <v>341</v>
      </c>
      <c r="C1080" s="960" t="s">
        <v>4256</v>
      </c>
      <c r="D1080" s="960" t="s">
        <v>470</v>
      </c>
      <c r="E1080" s="959">
        <v>0</v>
      </c>
      <c r="F1080" s="959">
        <v>0</v>
      </c>
      <c r="G1080" s="959">
        <v>0</v>
      </c>
      <c r="H1080" s="959">
        <v>1</v>
      </c>
    </row>
    <row r="1081" spans="1:8">
      <c r="A1081" s="959" t="s">
        <v>3254</v>
      </c>
      <c r="B1081" s="960" t="s">
        <v>341</v>
      </c>
      <c r="C1081" s="960" t="s">
        <v>4256</v>
      </c>
      <c r="D1081" s="960" t="s">
        <v>1904</v>
      </c>
      <c r="E1081" s="959">
        <v>0</v>
      </c>
      <c r="F1081" s="959">
        <v>0</v>
      </c>
      <c r="G1081" s="959">
        <v>0</v>
      </c>
      <c r="H1081" s="959">
        <v>1</v>
      </c>
    </row>
    <row r="1082" spans="1:8">
      <c r="A1082" s="959" t="s">
        <v>3254</v>
      </c>
      <c r="B1082" s="960" t="s">
        <v>341</v>
      </c>
      <c r="C1082" s="960" t="s">
        <v>4256</v>
      </c>
      <c r="D1082" s="960" t="s">
        <v>4269</v>
      </c>
      <c r="E1082" s="959">
        <v>0</v>
      </c>
      <c r="F1082" s="959">
        <v>0</v>
      </c>
      <c r="G1082" s="959">
        <v>0</v>
      </c>
      <c r="H1082" s="959">
        <v>1</v>
      </c>
    </row>
    <row r="1083" spans="1:8">
      <c r="A1083" s="959" t="s">
        <v>3254</v>
      </c>
      <c r="B1083" s="960" t="s">
        <v>341</v>
      </c>
      <c r="C1083" s="960" t="s">
        <v>4256</v>
      </c>
      <c r="D1083" s="960" t="s">
        <v>4296</v>
      </c>
      <c r="E1083" s="959">
        <v>0</v>
      </c>
      <c r="F1083" s="959">
        <v>0</v>
      </c>
      <c r="G1083" s="959">
        <v>0</v>
      </c>
      <c r="H1083" s="959">
        <v>1</v>
      </c>
    </row>
    <row r="1084" spans="1:8">
      <c r="A1084" s="959" t="s">
        <v>3254</v>
      </c>
      <c r="B1084" s="960" t="s">
        <v>341</v>
      </c>
      <c r="C1084" s="960" t="s">
        <v>4256</v>
      </c>
      <c r="D1084" s="960" t="s">
        <v>4270</v>
      </c>
      <c r="E1084" s="959">
        <v>0</v>
      </c>
      <c r="F1084" s="959">
        <v>0</v>
      </c>
      <c r="G1084" s="959">
        <v>0</v>
      </c>
      <c r="H1084" s="959">
        <v>1</v>
      </c>
    </row>
    <row r="1085" spans="1:8">
      <c r="A1085" s="959" t="s">
        <v>3254</v>
      </c>
      <c r="B1085" s="960" t="s">
        <v>341</v>
      </c>
      <c r="C1085" s="960" t="s">
        <v>4256</v>
      </c>
      <c r="D1085" s="960" t="s">
        <v>4260</v>
      </c>
      <c r="E1085" s="959">
        <v>0</v>
      </c>
      <c r="F1085" s="959">
        <v>0</v>
      </c>
      <c r="G1085" s="959">
        <v>0</v>
      </c>
      <c r="H1085" s="959">
        <v>4</v>
      </c>
    </row>
    <row r="1086" spans="1:8">
      <c r="A1086" s="959" t="s">
        <v>3254</v>
      </c>
      <c r="B1086" s="960" t="s">
        <v>341</v>
      </c>
      <c r="C1086" s="960" t="s">
        <v>4256</v>
      </c>
      <c r="D1086" s="960" t="s">
        <v>4265</v>
      </c>
      <c r="E1086" s="959">
        <v>0</v>
      </c>
      <c r="F1086" s="959">
        <v>0</v>
      </c>
      <c r="G1086" s="959">
        <v>0</v>
      </c>
      <c r="H1086" s="959">
        <v>1</v>
      </c>
    </row>
    <row r="1087" spans="1:8">
      <c r="A1087" s="959" t="s">
        <v>3254</v>
      </c>
      <c r="B1087" s="960" t="s">
        <v>341</v>
      </c>
      <c r="C1087" s="960" t="s">
        <v>4256</v>
      </c>
      <c r="D1087" s="960" t="s">
        <v>4271</v>
      </c>
      <c r="E1087" s="959">
        <v>0</v>
      </c>
      <c r="F1087" s="959">
        <v>1</v>
      </c>
      <c r="G1087" s="959">
        <v>0</v>
      </c>
      <c r="H1087" s="959">
        <v>0</v>
      </c>
    </row>
    <row r="1088" spans="1:8">
      <c r="A1088" s="959" t="s">
        <v>3254</v>
      </c>
      <c r="B1088" s="960" t="s">
        <v>341</v>
      </c>
      <c r="C1088" s="960" t="s">
        <v>4257</v>
      </c>
      <c r="D1088" s="960" t="s">
        <v>4258</v>
      </c>
      <c r="E1088" s="959">
        <v>0</v>
      </c>
      <c r="F1088" s="959">
        <v>10</v>
      </c>
      <c r="G1088" s="959">
        <v>0</v>
      </c>
      <c r="H1088" s="959">
        <v>1</v>
      </c>
    </row>
    <row r="1089" spans="1:8">
      <c r="A1089" s="959" t="s">
        <v>3254</v>
      </c>
      <c r="B1089" s="960" t="s">
        <v>341</v>
      </c>
      <c r="C1089" s="960" t="s">
        <v>4262</v>
      </c>
      <c r="D1089" s="960" t="s">
        <v>4263</v>
      </c>
      <c r="E1089" s="959">
        <v>2</v>
      </c>
      <c r="F1089" s="959">
        <v>57</v>
      </c>
      <c r="G1089" s="959">
        <v>0</v>
      </c>
      <c r="H1089" s="959">
        <v>0</v>
      </c>
    </row>
    <row r="1090" spans="1:8">
      <c r="A1090" s="959" t="s">
        <v>3255</v>
      </c>
      <c r="B1090" s="960" t="s">
        <v>3256</v>
      </c>
      <c r="C1090" s="960" t="s">
        <v>4256</v>
      </c>
      <c r="D1090" s="960" t="s">
        <v>470</v>
      </c>
      <c r="E1090" s="959">
        <v>0</v>
      </c>
      <c r="F1090" s="959">
        <v>0</v>
      </c>
      <c r="G1090" s="959">
        <v>0</v>
      </c>
      <c r="H1090" s="959">
        <v>2</v>
      </c>
    </row>
    <row r="1091" spans="1:8">
      <c r="A1091" s="959" t="s">
        <v>3255</v>
      </c>
      <c r="B1091" s="960" t="s">
        <v>3256</v>
      </c>
      <c r="C1091" s="960" t="s">
        <v>4256</v>
      </c>
      <c r="D1091" s="960" t="s">
        <v>1906</v>
      </c>
      <c r="E1091" s="959">
        <v>1</v>
      </c>
      <c r="F1091" s="959">
        <v>7</v>
      </c>
      <c r="G1091" s="959">
        <v>0</v>
      </c>
      <c r="H1091" s="959">
        <v>0</v>
      </c>
    </row>
    <row r="1092" spans="1:8">
      <c r="A1092" s="959" t="s">
        <v>3255</v>
      </c>
      <c r="B1092" s="960" t="s">
        <v>3256</v>
      </c>
      <c r="C1092" s="960" t="s">
        <v>4256</v>
      </c>
      <c r="D1092" s="960" t="s">
        <v>4264</v>
      </c>
      <c r="E1092" s="959">
        <v>0</v>
      </c>
      <c r="F1092" s="959">
        <v>0</v>
      </c>
      <c r="G1092" s="959">
        <v>0</v>
      </c>
      <c r="H1092" s="959">
        <v>3</v>
      </c>
    </row>
    <row r="1093" spans="1:8">
      <c r="A1093" s="959" t="s">
        <v>3255</v>
      </c>
      <c r="B1093" s="960" t="s">
        <v>3256</v>
      </c>
      <c r="C1093" s="960" t="s">
        <v>4257</v>
      </c>
      <c r="D1093" s="960" t="s">
        <v>4258</v>
      </c>
      <c r="E1093" s="959">
        <v>5</v>
      </c>
      <c r="F1093" s="959">
        <v>69</v>
      </c>
      <c r="G1093" s="959">
        <v>0</v>
      </c>
      <c r="H1093" s="959">
        <v>4</v>
      </c>
    </row>
    <row r="1094" spans="1:8">
      <c r="A1094" s="959" t="s">
        <v>3255</v>
      </c>
      <c r="B1094" s="960" t="s">
        <v>3256</v>
      </c>
      <c r="C1094" s="960" t="s">
        <v>4262</v>
      </c>
      <c r="D1094" s="960" t="s">
        <v>4263</v>
      </c>
      <c r="E1094" s="959">
        <v>0</v>
      </c>
      <c r="F1094" s="959">
        <v>0</v>
      </c>
      <c r="G1094" s="959">
        <v>0</v>
      </c>
      <c r="H1094" s="959">
        <v>2</v>
      </c>
    </row>
    <row r="1095" spans="1:8">
      <c r="A1095" s="959" t="s">
        <v>3257</v>
      </c>
      <c r="B1095" s="960" t="s">
        <v>3258</v>
      </c>
      <c r="C1095" s="960" t="s">
        <v>4275</v>
      </c>
      <c r="D1095" s="960" t="s">
        <v>4276</v>
      </c>
      <c r="E1095" s="959">
        <v>0</v>
      </c>
      <c r="F1095" s="959">
        <v>3</v>
      </c>
      <c r="G1095" s="959">
        <v>0</v>
      </c>
      <c r="H1095" s="959">
        <v>0</v>
      </c>
    </row>
    <row r="1096" spans="1:8">
      <c r="A1096" s="959" t="s">
        <v>3257</v>
      </c>
      <c r="B1096" s="960" t="s">
        <v>3258</v>
      </c>
      <c r="C1096" s="960" t="s">
        <v>4256</v>
      </c>
      <c r="D1096" s="960" t="s">
        <v>4260</v>
      </c>
      <c r="E1096" s="959">
        <v>0</v>
      </c>
      <c r="F1096" s="959">
        <v>1</v>
      </c>
      <c r="G1096" s="959">
        <v>0</v>
      </c>
      <c r="H1096" s="959">
        <v>4</v>
      </c>
    </row>
    <row r="1097" spans="1:8">
      <c r="A1097" s="959" t="s">
        <v>3257</v>
      </c>
      <c r="B1097" s="960" t="s">
        <v>3258</v>
      </c>
      <c r="C1097" s="960" t="s">
        <v>4256</v>
      </c>
      <c r="D1097" s="960" t="s">
        <v>1906</v>
      </c>
      <c r="E1097" s="959">
        <v>0</v>
      </c>
      <c r="F1097" s="959">
        <v>1</v>
      </c>
      <c r="G1097" s="959">
        <v>0</v>
      </c>
      <c r="H1097" s="959">
        <v>0</v>
      </c>
    </row>
    <row r="1098" spans="1:8">
      <c r="A1098" s="959" t="s">
        <v>3257</v>
      </c>
      <c r="B1098" s="960" t="s">
        <v>3258</v>
      </c>
      <c r="C1098" s="960" t="s">
        <v>4257</v>
      </c>
      <c r="D1098" s="960" t="s">
        <v>4258</v>
      </c>
      <c r="E1098" s="959">
        <v>0</v>
      </c>
      <c r="F1098" s="959">
        <v>6</v>
      </c>
      <c r="G1098" s="959">
        <v>0</v>
      </c>
      <c r="H1098" s="959">
        <v>0</v>
      </c>
    </row>
    <row r="1099" spans="1:8">
      <c r="A1099" s="959" t="s">
        <v>3257</v>
      </c>
      <c r="B1099" s="960" t="s">
        <v>3258</v>
      </c>
      <c r="C1099" s="960" t="s">
        <v>4262</v>
      </c>
      <c r="D1099" s="960" t="s">
        <v>4263</v>
      </c>
      <c r="E1099" s="959">
        <v>0</v>
      </c>
      <c r="F1099" s="959">
        <v>11</v>
      </c>
      <c r="G1099" s="959">
        <v>0</v>
      </c>
      <c r="H1099" s="959">
        <v>0</v>
      </c>
    </row>
    <row r="1100" spans="1:8">
      <c r="A1100" s="959" t="s">
        <v>3259</v>
      </c>
      <c r="B1100" s="960" t="s">
        <v>3260</v>
      </c>
      <c r="C1100" s="960" t="s">
        <v>4257</v>
      </c>
      <c r="D1100" s="960" t="s">
        <v>4258</v>
      </c>
      <c r="E1100" s="959">
        <v>0</v>
      </c>
      <c r="F1100" s="959">
        <v>3</v>
      </c>
      <c r="G1100" s="959">
        <v>0</v>
      </c>
      <c r="H1100" s="959">
        <v>0</v>
      </c>
    </row>
    <row r="1101" spans="1:8">
      <c r="A1101" s="959" t="s">
        <v>3261</v>
      </c>
      <c r="B1101" s="960" t="s">
        <v>3262</v>
      </c>
      <c r="C1101" s="960" t="s">
        <v>4256</v>
      </c>
      <c r="D1101" s="960" t="s">
        <v>470</v>
      </c>
      <c r="E1101" s="959">
        <v>0</v>
      </c>
      <c r="F1101" s="959">
        <v>0</v>
      </c>
      <c r="G1101" s="959">
        <v>1</v>
      </c>
      <c r="H1101" s="959">
        <v>1</v>
      </c>
    </row>
    <row r="1102" spans="1:8">
      <c r="A1102" s="959" t="s">
        <v>3263</v>
      </c>
      <c r="B1102" s="960" t="s">
        <v>3264</v>
      </c>
      <c r="C1102" s="960" t="s">
        <v>4275</v>
      </c>
      <c r="D1102" s="960" t="s">
        <v>4276</v>
      </c>
      <c r="E1102" s="959">
        <v>0</v>
      </c>
      <c r="F1102" s="959">
        <v>0</v>
      </c>
      <c r="G1102" s="959">
        <v>0</v>
      </c>
      <c r="H1102" s="959">
        <v>1</v>
      </c>
    </row>
    <row r="1103" spans="1:8">
      <c r="A1103" s="959" t="s">
        <v>3263</v>
      </c>
      <c r="B1103" s="960" t="s">
        <v>3264</v>
      </c>
      <c r="C1103" s="960" t="s">
        <v>4277</v>
      </c>
      <c r="D1103" s="960" t="s">
        <v>4278</v>
      </c>
      <c r="E1103" s="959">
        <v>0</v>
      </c>
      <c r="F1103" s="959">
        <v>0</v>
      </c>
      <c r="G1103" s="959">
        <v>0</v>
      </c>
      <c r="H1103" s="959">
        <v>38</v>
      </c>
    </row>
    <row r="1104" spans="1:8">
      <c r="A1104" s="959" t="s">
        <v>3263</v>
      </c>
      <c r="B1104" s="960" t="s">
        <v>3264</v>
      </c>
      <c r="C1104" s="960" t="s">
        <v>4277</v>
      </c>
      <c r="D1104" s="960" t="s">
        <v>4279</v>
      </c>
      <c r="E1104" s="959">
        <v>0</v>
      </c>
      <c r="F1104" s="959">
        <v>0</v>
      </c>
      <c r="G1104" s="959">
        <v>16</v>
      </c>
      <c r="H1104" s="959">
        <v>61</v>
      </c>
    </row>
    <row r="1105" spans="1:8">
      <c r="A1105" s="959" t="s">
        <v>3263</v>
      </c>
      <c r="B1105" s="960" t="s">
        <v>3264</v>
      </c>
      <c r="C1105" s="960" t="s">
        <v>4257</v>
      </c>
      <c r="D1105" s="960" t="s">
        <v>4258</v>
      </c>
      <c r="E1105" s="959">
        <v>0</v>
      </c>
      <c r="F1105" s="959">
        <v>5</v>
      </c>
      <c r="G1105" s="959">
        <v>1</v>
      </c>
      <c r="H1105" s="959">
        <v>4</v>
      </c>
    </row>
    <row r="1106" spans="1:8">
      <c r="A1106" s="959" t="s">
        <v>3265</v>
      </c>
      <c r="B1106" s="960" t="s">
        <v>1050</v>
      </c>
      <c r="C1106" s="960" t="s">
        <v>4256</v>
      </c>
      <c r="D1106" s="960" t="s">
        <v>4259</v>
      </c>
      <c r="E1106" s="959">
        <v>0</v>
      </c>
      <c r="F1106" s="959">
        <v>2</v>
      </c>
      <c r="G1106" s="959">
        <v>0</v>
      </c>
      <c r="H1106" s="959">
        <v>0</v>
      </c>
    </row>
    <row r="1107" spans="1:8">
      <c r="A1107" s="959" t="s">
        <v>3265</v>
      </c>
      <c r="B1107" s="960" t="s">
        <v>1050</v>
      </c>
      <c r="C1107" s="960" t="s">
        <v>4257</v>
      </c>
      <c r="D1107" s="960" t="s">
        <v>4258</v>
      </c>
      <c r="E1107" s="959">
        <v>0</v>
      </c>
      <c r="F1107" s="959">
        <v>1</v>
      </c>
      <c r="G1107" s="959">
        <v>0</v>
      </c>
      <c r="H1107" s="959">
        <v>0</v>
      </c>
    </row>
    <row r="1108" spans="1:8">
      <c r="A1108" s="959" t="s">
        <v>3265</v>
      </c>
      <c r="B1108" s="960" t="s">
        <v>1050</v>
      </c>
      <c r="C1108" s="960" t="s">
        <v>4267</v>
      </c>
      <c r="D1108" s="960" t="s">
        <v>4268</v>
      </c>
      <c r="E1108" s="959">
        <v>0</v>
      </c>
      <c r="F1108" s="959">
        <v>0</v>
      </c>
      <c r="G1108" s="959">
        <v>0</v>
      </c>
      <c r="H1108" s="959">
        <v>6</v>
      </c>
    </row>
    <row r="1109" spans="1:8">
      <c r="A1109" s="959" t="s">
        <v>3266</v>
      </c>
      <c r="B1109" s="960" t="s">
        <v>3267</v>
      </c>
      <c r="C1109" s="960" t="s">
        <v>4256</v>
      </c>
      <c r="D1109" s="960" t="s">
        <v>4259</v>
      </c>
      <c r="E1109" s="959">
        <v>0</v>
      </c>
      <c r="F1109" s="959">
        <v>0</v>
      </c>
      <c r="G1109" s="959">
        <v>0</v>
      </c>
      <c r="H1109" s="959">
        <v>1</v>
      </c>
    </row>
    <row r="1110" spans="1:8">
      <c r="A1110" s="959" t="s">
        <v>3266</v>
      </c>
      <c r="B1110" s="960" t="s">
        <v>3267</v>
      </c>
      <c r="C1110" s="960" t="s">
        <v>4256</v>
      </c>
      <c r="D1110" s="960" t="s">
        <v>4260</v>
      </c>
      <c r="E1110" s="959">
        <v>0</v>
      </c>
      <c r="F1110" s="959">
        <v>0</v>
      </c>
      <c r="G1110" s="959">
        <v>0</v>
      </c>
      <c r="H1110" s="959">
        <v>1</v>
      </c>
    </row>
    <row r="1111" spans="1:8">
      <c r="A1111" s="959" t="s">
        <v>3266</v>
      </c>
      <c r="B1111" s="960" t="s">
        <v>3267</v>
      </c>
      <c r="C1111" s="960" t="s">
        <v>4256</v>
      </c>
      <c r="D1111" s="960" t="s">
        <v>1906</v>
      </c>
      <c r="E1111" s="959">
        <v>0</v>
      </c>
      <c r="F1111" s="959">
        <v>4</v>
      </c>
      <c r="G1111" s="959">
        <v>0</v>
      </c>
      <c r="H1111" s="959">
        <v>2</v>
      </c>
    </row>
    <row r="1112" spans="1:8">
      <c r="A1112" s="959" t="s">
        <v>3266</v>
      </c>
      <c r="B1112" s="960" t="s">
        <v>3267</v>
      </c>
      <c r="C1112" s="960" t="s">
        <v>4256</v>
      </c>
      <c r="D1112" s="960" t="s">
        <v>1907</v>
      </c>
      <c r="E1112" s="959">
        <v>1</v>
      </c>
      <c r="F1112" s="959">
        <v>26</v>
      </c>
      <c r="G1112" s="959">
        <v>0</v>
      </c>
      <c r="H1112" s="959">
        <v>2</v>
      </c>
    </row>
    <row r="1113" spans="1:8">
      <c r="A1113" s="959" t="s">
        <v>3266</v>
      </c>
      <c r="B1113" s="960" t="s">
        <v>3267</v>
      </c>
      <c r="C1113" s="960" t="s">
        <v>4257</v>
      </c>
      <c r="D1113" s="960" t="s">
        <v>4258</v>
      </c>
      <c r="E1113" s="959">
        <v>1</v>
      </c>
      <c r="F1113" s="959">
        <v>27</v>
      </c>
      <c r="G1113" s="959">
        <v>0</v>
      </c>
      <c r="H1113" s="959">
        <v>5</v>
      </c>
    </row>
    <row r="1114" spans="1:8">
      <c r="A1114" s="959" t="s">
        <v>3268</v>
      </c>
      <c r="B1114" s="960" t="s">
        <v>3269</v>
      </c>
      <c r="C1114" s="960" t="s">
        <v>4256</v>
      </c>
      <c r="D1114" s="960" t="s">
        <v>470</v>
      </c>
      <c r="E1114" s="959">
        <v>0</v>
      </c>
      <c r="F1114" s="959">
        <v>0</v>
      </c>
      <c r="G1114" s="959">
        <v>4</v>
      </c>
      <c r="H1114" s="959">
        <v>20</v>
      </c>
    </row>
    <row r="1115" spans="1:8">
      <c r="A1115" s="959" t="s">
        <v>3268</v>
      </c>
      <c r="B1115" s="960" t="s">
        <v>3269</v>
      </c>
      <c r="C1115" s="960" t="s">
        <v>4256</v>
      </c>
      <c r="D1115" s="960" t="s">
        <v>1904</v>
      </c>
      <c r="E1115" s="959">
        <v>0</v>
      </c>
      <c r="F1115" s="959">
        <v>0</v>
      </c>
      <c r="G1115" s="959">
        <v>0</v>
      </c>
      <c r="H1115" s="959">
        <v>17</v>
      </c>
    </row>
    <row r="1116" spans="1:8">
      <c r="A1116" s="959" t="s">
        <v>3268</v>
      </c>
      <c r="B1116" s="960" t="s">
        <v>3269</v>
      </c>
      <c r="C1116" s="960" t="s">
        <v>4256</v>
      </c>
      <c r="D1116" s="960" t="s">
        <v>4264</v>
      </c>
      <c r="E1116" s="959">
        <v>0</v>
      </c>
      <c r="F1116" s="959">
        <v>0</v>
      </c>
      <c r="G1116" s="959">
        <v>0</v>
      </c>
      <c r="H1116" s="959">
        <v>4</v>
      </c>
    </row>
    <row r="1117" spans="1:8">
      <c r="A1117" s="959" t="s">
        <v>3270</v>
      </c>
      <c r="B1117" s="960" t="s">
        <v>1053</v>
      </c>
      <c r="C1117" s="960" t="s">
        <v>4256</v>
      </c>
      <c r="D1117" s="960" t="s">
        <v>470</v>
      </c>
      <c r="E1117" s="959">
        <v>0</v>
      </c>
      <c r="F1117" s="959">
        <v>0</v>
      </c>
      <c r="G1117" s="959">
        <v>0</v>
      </c>
      <c r="H1117" s="959">
        <v>1</v>
      </c>
    </row>
    <row r="1118" spans="1:8">
      <c r="A1118" s="959" t="s">
        <v>3270</v>
      </c>
      <c r="B1118" s="960" t="s">
        <v>1053</v>
      </c>
      <c r="C1118" s="960" t="s">
        <v>4256</v>
      </c>
      <c r="D1118" s="960" t="s">
        <v>1904</v>
      </c>
      <c r="E1118" s="959">
        <v>0</v>
      </c>
      <c r="F1118" s="959">
        <v>0</v>
      </c>
      <c r="G1118" s="959">
        <v>0</v>
      </c>
      <c r="H1118" s="959">
        <v>2</v>
      </c>
    </row>
    <row r="1119" spans="1:8">
      <c r="A1119" s="959" t="s">
        <v>3270</v>
      </c>
      <c r="B1119" s="960" t="s">
        <v>1053</v>
      </c>
      <c r="C1119" s="960" t="s">
        <v>4256</v>
      </c>
      <c r="D1119" s="960" t="s">
        <v>4270</v>
      </c>
      <c r="E1119" s="959">
        <v>0</v>
      </c>
      <c r="F1119" s="959">
        <v>0</v>
      </c>
      <c r="G1119" s="959">
        <v>0</v>
      </c>
      <c r="H1119" s="959">
        <v>1</v>
      </c>
    </row>
    <row r="1120" spans="1:8">
      <c r="A1120" s="959" t="s">
        <v>3270</v>
      </c>
      <c r="B1120" s="960" t="s">
        <v>1053</v>
      </c>
      <c r="C1120" s="960" t="s">
        <v>4256</v>
      </c>
      <c r="D1120" s="960" t="s">
        <v>4259</v>
      </c>
      <c r="E1120" s="959">
        <v>0</v>
      </c>
      <c r="F1120" s="959">
        <v>1</v>
      </c>
      <c r="G1120" s="959">
        <v>0</v>
      </c>
      <c r="H1120" s="959">
        <v>2</v>
      </c>
    </row>
    <row r="1121" spans="1:8">
      <c r="A1121" s="959" t="s">
        <v>3270</v>
      </c>
      <c r="B1121" s="960" t="s">
        <v>1053</v>
      </c>
      <c r="C1121" s="960" t="s">
        <v>4256</v>
      </c>
      <c r="D1121" s="960" t="s">
        <v>4260</v>
      </c>
      <c r="E1121" s="959">
        <v>1</v>
      </c>
      <c r="F1121" s="959">
        <v>3</v>
      </c>
      <c r="G1121" s="959">
        <v>1</v>
      </c>
      <c r="H1121" s="959">
        <v>4</v>
      </c>
    </row>
    <row r="1122" spans="1:8">
      <c r="A1122" s="959" t="s">
        <v>3270</v>
      </c>
      <c r="B1122" s="960" t="s">
        <v>1053</v>
      </c>
      <c r="C1122" s="960" t="s">
        <v>4256</v>
      </c>
      <c r="D1122" s="960" t="s">
        <v>4265</v>
      </c>
      <c r="E1122" s="959">
        <v>0</v>
      </c>
      <c r="F1122" s="959">
        <v>0</v>
      </c>
      <c r="G1122" s="959">
        <v>0</v>
      </c>
      <c r="H1122" s="959">
        <v>2</v>
      </c>
    </row>
    <row r="1123" spans="1:8">
      <c r="A1123" s="959" t="s">
        <v>3270</v>
      </c>
      <c r="B1123" s="960" t="s">
        <v>1053</v>
      </c>
      <c r="C1123" s="960" t="s">
        <v>4256</v>
      </c>
      <c r="D1123" s="960" t="s">
        <v>1906</v>
      </c>
      <c r="E1123" s="959">
        <v>1</v>
      </c>
      <c r="F1123" s="959">
        <v>7</v>
      </c>
      <c r="G1123" s="959">
        <v>0</v>
      </c>
      <c r="H1123" s="959">
        <v>0</v>
      </c>
    </row>
    <row r="1124" spans="1:8">
      <c r="A1124" s="959" t="s">
        <v>3270</v>
      </c>
      <c r="B1124" s="960" t="s">
        <v>1053</v>
      </c>
      <c r="C1124" s="960" t="s">
        <v>4256</v>
      </c>
      <c r="D1124" s="960" t="s">
        <v>4261</v>
      </c>
      <c r="E1124" s="959">
        <v>0</v>
      </c>
      <c r="F1124" s="959">
        <v>0</v>
      </c>
      <c r="G1124" s="959">
        <v>0</v>
      </c>
      <c r="H1124" s="959">
        <v>1</v>
      </c>
    </row>
    <row r="1125" spans="1:8">
      <c r="A1125" s="959" t="s">
        <v>3270</v>
      </c>
      <c r="B1125" s="960" t="s">
        <v>1053</v>
      </c>
      <c r="C1125" s="960" t="s">
        <v>4257</v>
      </c>
      <c r="D1125" s="960" t="s">
        <v>4258</v>
      </c>
      <c r="E1125" s="959">
        <v>2</v>
      </c>
      <c r="F1125" s="959">
        <v>137</v>
      </c>
      <c r="G1125" s="959">
        <v>0</v>
      </c>
      <c r="H1125" s="959">
        <v>0</v>
      </c>
    </row>
    <row r="1126" spans="1:8">
      <c r="A1126" s="959" t="s">
        <v>3270</v>
      </c>
      <c r="B1126" s="960" t="s">
        <v>1053</v>
      </c>
      <c r="C1126" s="960" t="s">
        <v>4262</v>
      </c>
      <c r="D1126" s="960" t="s">
        <v>4263</v>
      </c>
      <c r="E1126" s="959">
        <v>4</v>
      </c>
      <c r="F1126" s="959">
        <v>51</v>
      </c>
      <c r="G1126" s="959">
        <v>0</v>
      </c>
      <c r="H1126" s="959">
        <v>1</v>
      </c>
    </row>
    <row r="1127" spans="1:8">
      <c r="A1127" s="959" t="s">
        <v>3271</v>
      </c>
      <c r="B1127" s="960" t="s">
        <v>3272</v>
      </c>
      <c r="C1127" s="960" t="s">
        <v>4267</v>
      </c>
      <c r="D1127" s="960" t="s">
        <v>4268</v>
      </c>
      <c r="E1127" s="959">
        <v>30</v>
      </c>
      <c r="F1127" s="959">
        <v>22</v>
      </c>
      <c r="G1127" s="959">
        <v>0</v>
      </c>
      <c r="H1127" s="959">
        <v>6</v>
      </c>
    </row>
    <row r="1128" spans="1:8">
      <c r="A1128" s="959" t="s">
        <v>3273</v>
      </c>
      <c r="B1128" s="960" t="s">
        <v>3274</v>
      </c>
      <c r="C1128" s="960" t="s">
        <v>4256</v>
      </c>
      <c r="D1128" s="960" t="s">
        <v>1906</v>
      </c>
      <c r="E1128" s="959">
        <v>15</v>
      </c>
      <c r="F1128" s="959">
        <v>228</v>
      </c>
      <c r="G1128" s="959">
        <v>0</v>
      </c>
      <c r="H1128" s="959">
        <v>1</v>
      </c>
    </row>
    <row r="1129" spans="1:8">
      <c r="A1129" s="959" t="s">
        <v>3273</v>
      </c>
      <c r="B1129" s="960" t="s">
        <v>3274</v>
      </c>
      <c r="C1129" s="960" t="s">
        <v>4257</v>
      </c>
      <c r="D1129" s="960" t="s">
        <v>4258</v>
      </c>
      <c r="E1129" s="959">
        <v>18</v>
      </c>
      <c r="F1129" s="959">
        <v>339</v>
      </c>
      <c r="G1129" s="959">
        <v>1</v>
      </c>
      <c r="H1129" s="959">
        <v>14</v>
      </c>
    </row>
    <row r="1130" spans="1:8">
      <c r="A1130" s="959" t="s">
        <v>3273</v>
      </c>
      <c r="B1130" s="960" t="s">
        <v>3274</v>
      </c>
      <c r="C1130" s="960" t="s">
        <v>4262</v>
      </c>
      <c r="D1130" s="960" t="s">
        <v>4263</v>
      </c>
      <c r="E1130" s="959">
        <v>3</v>
      </c>
      <c r="F1130" s="959">
        <v>39</v>
      </c>
      <c r="G1130" s="959">
        <v>0</v>
      </c>
      <c r="H1130" s="959">
        <v>0</v>
      </c>
    </row>
    <row r="1131" spans="1:8">
      <c r="A1131" s="959" t="s">
        <v>3275</v>
      </c>
      <c r="B1131" s="960" t="s">
        <v>3276</v>
      </c>
      <c r="C1131" s="960" t="s">
        <v>4256</v>
      </c>
      <c r="D1131" s="960" t="s">
        <v>1904</v>
      </c>
      <c r="E1131" s="959">
        <v>0</v>
      </c>
      <c r="F1131" s="959">
        <v>0</v>
      </c>
      <c r="G1131" s="959">
        <v>0</v>
      </c>
      <c r="H1131" s="959">
        <v>1</v>
      </c>
    </row>
    <row r="1132" spans="1:8">
      <c r="A1132" s="959" t="s">
        <v>3275</v>
      </c>
      <c r="B1132" s="960" t="s">
        <v>3276</v>
      </c>
      <c r="C1132" s="960" t="s">
        <v>4256</v>
      </c>
      <c r="D1132" s="960" t="s">
        <v>4269</v>
      </c>
      <c r="E1132" s="959">
        <v>0</v>
      </c>
      <c r="F1132" s="959">
        <v>0</v>
      </c>
      <c r="G1132" s="959">
        <v>0</v>
      </c>
      <c r="H1132" s="959">
        <v>1</v>
      </c>
    </row>
    <row r="1133" spans="1:8">
      <c r="A1133" s="959" t="s">
        <v>3275</v>
      </c>
      <c r="B1133" s="960" t="s">
        <v>3276</v>
      </c>
      <c r="C1133" s="960" t="s">
        <v>4256</v>
      </c>
      <c r="D1133" s="960" t="s">
        <v>4270</v>
      </c>
      <c r="E1133" s="959">
        <v>0</v>
      </c>
      <c r="F1133" s="959">
        <v>0</v>
      </c>
      <c r="G1133" s="959">
        <v>0</v>
      </c>
      <c r="H1133" s="959">
        <v>1</v>
      </c>
    </row>
    <row r="1134" spans="1:8">
      <c r="A1134" s="959" t="s">
        <v>3275</v>
      </c>
      <c r="B1134" s="960" t="s">
        <v>3276</v>
      </c>
      <c r="C1134" s="960" t="s">
        <v>4256</v>
      </c>
      <c r="D1134" s="960" t="s">
        <v>4259</v>
      </c>
      <c r="E1134" s="959">
        <v>0</v>
      </c>
      <c r="F1134" s="959">
        <v>0</v>
      </c>
      <c r="G1134" s="959">
        <v>0</v>
      </c>
      <c r="H1134" s="959">
        <v>2</v>
      </c>
    </row>
    <row r="1135" spans="1:8">
      <c r="A1135" s="959" t="s">
        <v>3275</v>
      </c>
      <c r="B1135" s="960" t="s">
        <v>3276</v>
      </c>
      <c r="C1135" s="960" t="s">
        <v>4256</v>
      </c>
      <c r="D1135" s="960" t="s">
        <v>1906</v>
      </c>
      <c r="E1135" s="959">
        <v>37</v>
      </c>
      <c r="F1135" s="959">
        <v>231</v>
      </c>
      <c r="G1135" s="959">
        <v>0</v>
      </c>
      <c r="H1135" s="959">
        <v>1</v>
      </c>
    </row>
    <row r="1136" spans="1:8">
      <c r="A1136" s="959" t="s">
        <v>3275</v>
      </c>
      <c r="B1136" s="960" t="s">
        <v>3276</v>
      </c>
      <c r="C1136" s="960" t="s">
        <v>4256</v>
      </c>
      <c r="D1136" s="960" t="s">
        <v>4264</v>
      </c>
      <c r="E1136" s="959">
        <v>0</v>
      </c>
      <c r="F1136" s="959">
        <v>1</v>
      </c>
      <c r="G1136" s="959">
        <v>0</v>
      </c>
      <c r="H1136" s="959">
        <v>0</v>
      </c>
    </row>
    <row r="1137" spans="1:8">
      <c r="A1137" s="959" t="s">
        <v>3275</v>
      </c>
      <c r="B1137" s="960" t="s">
        <v>3276</v>
      </c>
      <c r="C1137" s="960" t="s">
        <v>4256</v>
      </c>
      <c r="D1137" s="960" t="s">
        <v>1907</v>
      </c>
      <c r="E1137" s="959">
        <v>3</v>
      </c>
      <c r="F1137" s="959">
        <v>35</v>
      </c>
      <c r="G1137" s="959">
        <v>2</v>
      </c>
      <c r="H1137" s="959">
        <v>25</v>
      </c>
    </row>
    <row r="1138" spans="1:8">
      <c r="A1138" s="959" t="s">
        <v>3275</v>
      </c>
      <c r="B1138" s="960" t="s">
        <v>3276</v>
      </c>
      <c r="C1138" s="960" t="s">
        <v>4257</v>
      </c>
      <c r="D1138" s="960" t="s">
        <v>4258</v>
      </c>
      <c r="E1138" s="959">
        <v>54</v>
      </c>
      <c r="F1138" s="959">
        <v>264</v>
      </c>
      <c r="G1138" s="959">
        <v>1</v>
      </c>
      <c r="H1138" s="959">
        <v>11</v>
      </c>
    </row>
    <row r="1139" spans="1:8">
      <c r="A1139" s="959" t="s">
        <v>3275</v>
      </c>
      <c r="B1139" s="960" t="s">
        <v>3276</v>
      </c>
      <c r="C1139" s="960" t="s">
        <v>4262</v>
      </c>
      <c r="D1139" s="960" t="s">
        <v>4263</v>
      </c>
      <c r="E1139" s="959">
        <v>26</v>
      </c>
      <c r="F1139" s="959">
        <v>340</v>
      </c>
      <c r="G1139" s="959">
        <v>0</v>
      </c>
      <c r="H1139" s="959">
        <v>1</v>
      </c>
    </row>
    <row r="1140" spans="1:8">
      <c r="A1140" s="959" t="s">
        <v>3275</v>
      </c>
      <c r="B1140" s="960" t="s">
        <v>3276</v>
      </c>
      <c r="C1140" s="960" t="s">
        <v>4267</v>
      </c>
      <c r="D1140" s="960" t="s">
        <v>4268</v>
      </c>
      <c r="E1140" s="959">
        <v>0</v>
      </c>
      <c r="F1140" s="959">
        <v>0</v>
      </c>
      <c r="G1140" s="959">
        <v>0</v>
      </c>
      <c r="H1140" s="959">
        <v>1</v>
      </c>
    </row>
    <row r="1141" spans="1:8">
      <c r="A1141" s="959" t="s">
        <v>3277</v>
      </c>
      <c r="B1141" s="960" t="s">
        <v>3278</v>
      </c>
      <c r="C1141" s="960" t="s">
        <v>4256</v>
      </c>
      <c r="D1141" s="960" t="s">
        <v>1906</v>
      </c>
      <c r="E1141" s="959">
        <v>0</v>
      </c>
      <c r="F1141" s="959">
        <v>1</v>
      </c>
      <c r="G1141" s="959">
        <v>0</v>
      </c>
      <c r="H1141" s="959">
        <v>0</v>
      </c>
    </row>
    <row r="1142" spans="1:8">
      <c r="A1142" s="959" t="s">
        <v>3277</v>
      </c>
      <c r="B1142" s="960" t="s">
        <v>3278</v>
      </c>
      <c r="C1142" s="960" t="s">
        <v>4257</v>
      </c>
      <c r="D1142" s="960" t="s">
        <v>4258</v>
      </c>
      <c r="E1142" s="959">
        <v>11</v>
      </c>
      <c r="F1142" s="959">
        <v>222</v>
      </c>
      <c r="G1142" s="959">
        <v>0</v>
      </c>
      <c r="H1142" s="959">
        <v>0</v>
      </c>
    </row>
    <row r="1143" spans="1:8">
      <c r="A1143" s="959" t="s">
        <v>3277</v>
      </c>
      <c r="B1143" s="960" t="s">
        <v>3278</v>
      </c>
      <c r="C1143" s="960" t="s">
        <v>4262</v>
      </c>
      <c r="D1143" s="960" t="s">
        <v>4263</v>
      </c>
      <c r="E1143" s="959">
        <v>2</v>
      </c>
      <c r="F1143" s="959">
        <v>124</v>
      </c>
      <c r="G1143" s="959">
        <v>0</v>
      </c>
      <c r="H1143" s="959">
        <v>6</v>
      </c>
    </row>
    <row r="1144" spans="1:8">
      <c r="A1144" s="959" t="s">
        <v>3279</v>
      </c>
      <c r="B1144" s="960" t="s">
        <v>3280</v>
      </c>
      <c r="C1144" s="960" t="s">
        <v>4256</v>
      </c>
      <c r="D1144" s="960" t="s">
        <v>4259</v>
      </c>
      <c r="E1144" s="959">
        <v>0</v>
      </c>
      <c r="F1144" s="959">
        <v>0</v>
      </c>
      <c r="G1144" s="959">
        <v>0</v>
      </c>
      <c r="H1144" s="959">
        <v>1</v>
      </c>
    </row>
    <row r="1145" spans="1:8">
      <c r="A1145" s="959" t="s">
        <v>3279</v>
      </c>
      <c r="B1145" s="960" t="s">
        <v>3280</v>
      </c>
      <c r="C1145" s="960" t="s">
        <v>4256</v>
      </c>
      <c r="D1145" s="960" t="s">
        <v>4264</v>
      </c>
      <c r="E1145" s="959">
        <v>0</v>
      </c>
      <c r="F1145" s="959">
        <v>0</v>
      </c>
      <c r="G1145" s="959">
        <v>0</v>
      </c>
      <c r="H1145" s="959">
        <v>1</v>
      </c>
    </row>
    <row r="1146" spans="1:8">
      <c r="A1146" s="959" t="s">
        <v>3279</v>
      </c>
      <c r="B1146" s="960" t="s">
        <v>3280</v>
      </c>
      <c r="C1146" s="960" t="s">
        <v>4257</v>
      </c>
      <c r="D1146" s="960" t="s">
        <v>4258</v>
      </c>
      <c r="E1146" s="959">
        <v>0</v>
      </c>
      <c r="F1146" s="959">
        <v>4</v>
      </c>
      <c r="G1146" s="959">
        <v>0</v>
      </c>
      <c r="H1146" s="959">
        <v>5</v>
      </c>
    </row>
    <row r="1147" spans="1:8">
      <c r="A1147" s="959" t="s">
        <v>3285</v>
      </c>
      <c r="B1147" s="960" t="s">
        <v>3286</v>
      </c>
      <c r="C1147" s="960" t="s">
        <v>4256</v>
      </c>
      <c r="D1147" s="960" t="s">
        <v>1906</v>
      </c>
      <c r="E1147" s="959">
        <v>0</v>
      </c>
      <c r="F1147" s="959">
        <v>3</v>
      </c>
      <c r="G1147" s="959">
        <v>0</v>
      </c>
      <c r="H1147" s="959">
        <v>0</v>
      </c>
    </row>
    <row r="1148" spans="1:8">
      <c r="A1148" s="959" t="s">
        <v>3285</v>
      </c>
      <c r="B1148" s="960" t="s">
        <v>3286</v>
      </c>
      <c r="C1148" s="960" t="s">
        <v>4256</v>
      </c>
      <c r="D1148" s="960" t="s">
        <v>4264</v>
      </c>
      <c r="E1148" s="959">
        <v>0</v>
      </c>
      <c r="F1148" s="959">
        <v>0</v>
      </c>
      <c r="G1148" s="959">
        <v>0</v>
      </c>
      <c r="H1148" s="959">
        <v>1</v>
      </c>
    </row>
    <row r="1149" spans="1:8">
      <c r="A1149" s="959" t="s">
        <v>3285</v>
      </c>
      <c r="B1149" s="960" t="s">
        <v>3286</v>
      </c>
      <c r="C1149" s="960" t="s">
        <v>4257</v>
      </c>
      <c r="D1149" s="960" t="s">
        <v>4258</v>
      </c>
      <c r="E1149" s="959">
        <v>0</v>
      </c>
      <c r="F1149" s="959">
        <v>1</v>
      </c>
      <c r="G1149" s="959">
        <v>0</v>
      </c>
      <c r="H1149" s="959">
        <v>0</v>
      </c>
    </row>
    <row r="1150" spans="1:8">
      <c r="A1150" s="959" t="s">
        <v>3287</v>
      </c>
      <c r="B1150" s="960" t="s">
        <v>3288</v>
      </c>
      <c r="C1150" s="960" t="s">
        <v>4256</v>
      </c>
      <c r="D1150" s="960" t="s">
        <v>1906</v>
      </c>
      <c r="E1150" s="959">
        <v>0</v>
      </c>
      <c r="F1150" s="959">
        <v>0</v>
      </c>
      <c r="G1150" s="959">
        <v>1</v>
      </c>
      <c r="H1150" s="959">
        <v>0</v>
      </c>
    </row>
    <row r="1151" spans="1:8">
      <c r="A1151" s="959" t="s">
        <v>3289</v>
      </c>
      <c r="B1151" s="960" t="s">
        <v>3290</v>
      </c>
      <c r="C1151" s="960" t="s">
        <v>4256</v>
      </c>
      <c r="D1151" s="960" t="s">
        <v>4259</v>
      </c>
      <c r="E1151" s="959">
        <v>0</v>
      </c>
      <c r="F1151" s="959">
        <v>0</v>
      </c>
      <c r="G1151" s="959">
        <v>0</v>
      </c>
      <c r="H1151" s="959">
        <v>3</v>
      </c>
    </row>
    <row r="1152" spans="1:8">
      <c r="A1152" s="959" t="s">
        <v>3289</v>
      </c>
      <c r="B1152" s="960" t="s">
        <v>3290</v>
      </c>
      <c r="C1152" s="960" t="s">
        <v>4256</v>
      </c>
      <c r="D1152" s="960" t="s">
        <v>4260</v>
      </c>
      <c r="E1152" s="959">
        <v>0</v>
      </c>
      <c r="F1152" s="959">
        <v>0</v>
      </c>
      <c r="G1152" s="959">
        <v>0</v>
      </c>
      <c r="H1152" s="959">
        <v>1</v>
      </c>
    </row>
    <row r="1153" spans="1:8">
      <c r="A1153" s="959" t="s">
        <v>3289</v>
      </c>
      <c r="B1153" s="960" t="s">
        <v>3290</v>
      </c>
      <c r="C1153" s="960" t="s">
        <v>4256</v>
      </c>
      <c r="D1153" s="960" t="s">
        <v>1906</v>
      </c>
      <c r="E1153" s="959">
        <v>4</v>
      </c>
      <c r="F1153" s="959">
        <v>56</v>
      </c>
      <c r="G1153" s="959">
        <v>0</v>
      </c>
      <c r="H1153" s="959">
        <v>14</v>
      </c>
    </row>
    <row r="1154" spans="1:8">
      <c r="A1154" s="959" t="s">
        <v>3289</v>
      </c>
      <c r="B1154" s="960" t="s">
        <v>3290</v>
      </c>
      <c r="C1154" s="960" t="s">
        <v>4256</v>
      </c>
      <c r="D1154" s="960" t="s">
        <v>1907</v>
      </c>
      <c r="E1154" s="959">
        <v>5</v>
      </c>
      <c r="F1154" s="959">
        <v>66</v>
      </c>
      <c r="G1154" s="959">
        <v>3</v>
      </c>
      <c r="H1154" s="959">
        <v>43</v>
      </c>
    </row>
    <row r="1155" spans="1:8">
      <c r="A1155" s="959" t="s">
        <v>3289</v>
      </c>
      <c r="B1155" s="960" t="s">
        <v>3290</v>
      </c>
      <c r="C1155" s="960" t="s">
        <v>4257</v>
      </c>
      <c r="D1155" s="960" t="s">
        <v>4258</v>
      </c>
      <c r="E1155" s="959">
        <v>5</v>
      </c>
      <c r="F1155" s="959">
        <v>163</v>
      </c>
      <c r="G1155" s="959">
        <v>2</v>
      </c>
      <c r="H1155" s="959">
        <v>31</v>
      </c>
    </row>
    <row r="1156" spans="1:8">
      <c r="A1156" s="959" t="s">
        <v>3289</v>
      </c>
      <c r="B1156" s="960" t="s">
        <v>3290</v>
      </c>
      <c r="C1156" s="960" t="s">
        <v>4262</v>
      </c>
      <c r="D1156" s="960" t="s">
        <v>4263</v>
      </c>
      <c r="E1156" s="959">
        <v>8</v>
      </c>
      <c r="F1156" s="959">
        <v>318</v>
      </c>
      <c r="G1156" s="959">
        <v>0</v>
      </c>
      <c r="H1156" s="959">
        <v>36</v>
      </c>
    </row>
    <row r="1157" spans="1:8">
      <c r="A1157" s="959" t="s">
        <v>3291</v>
      </c>
      <c r="B1157" s="960" t="s">
        <v>3292</v>
      </c>
      <c r="C1157" s="960" t="s">
        <v>4257</v>
      </c>
      <c r="D1157" s="960" t="s">
        <v>4258</v>
      </c>
      <c r="E1157" s="959">
        <v>1</v>
      </c>
      <c r="F1157" s="959">
        <v>11</v>
      </c>
      <c r="G1157" s="959">
        <v>0</v>
      </c>
      <c r="H1157" s="959">
        <v>0</v>
      </c>
    </row>
    <row r="1158" spans="1:8">
      <c r="A1158" s="959" t="s">
        <v>3293</v>
      </c>
      <c r="B1158" s="960" t="s">
        <v>3294</v>
      </c>
      <c r="C1158" s="960" t="s">
        <v>4256</v>
      </c>
      <c r="D1158" s="960" t="s">
        <v>4259</v>
      </c>
      <c r="E1158" s="959">
        <v>0</v>
      </c>
      <c r="F1158" s="959">
        <v>3</v>
      </c>
      <c r="G1158" s="959">
        <v>44</v>
      </c>
      <c r="H1158" s="959">
        <v>15</v>
      </c>
    </row>
    <row r="1159" spans="1:8">
      <c r="A1159" s="959" t="s">
        <v>3293</v>
      </c>
      <c r="B1159" s="960" t="s">
        <v>3294</v>
      </c>
      <c r="C1159" s="960" t="s">
        <v>4256</v>
      </c>
      <c r="D1159" s="960" t="s">
        <v>1906</v>
      </c>
      <c r="E1159" s="959">
        <v>25</v>
      </c>
      <c r="F1159" s="959">
        <v>566</v>
      </c>
      <c r="G1159" s="959">
        <v>12</v>
      </c>
      <c r="H1159" s="959">
        <v>61</v>
      </c>
    </row>
    <row r="1160" spans="1:8">
      <c r="A1160" s="959" t="s">
        <v>3293</v>
      </c>
      <c r="B1160" s="960" t="s">
        <v>3294</v>
      </c>
      <c r="C1160" s="960" t="s">
        <v>4256</v>
      </c>
      <c r="D1160" s="960" t="s">
        <v>1907</v>
      </c>
      <c r="E1160" s="959">
        <v>9</v>
      </c>
      <c r="F1160" s="959">
        <v>122</v>
      </c>
      <c r="G1160" s="959">
        <v>1</v>
      </c>
      <c r="H1160" s="959">
        <v>17</v>
      </c>
    </row>
    <row r="1161" spans="1:8">
      <c r="A1161" s="959" t="s">
        <v>3293</v>
      </c>
      <c r="B1161" s="960" t="s">
        <v>3294</v>
      </c>
      <c r="C1161" s="960" t="s">
        <v>4257</v>
      </c>
      <c r="D1161" s="960" t="s">
        <v>4285</v>
      </c>
      <c r="E1161" s="959">
        <v>0</v>
      </c>
      <c r="F1161" s="959">
        <v>80</v>
      </c>
      <c r="G1161" s="959">
        <v>0</v>
      </c>
      <c r="H1161" s="959">
        <v>8</v>
      </c>
    </row>
    <row r="1162" spans="1:8">
      <c r="A1162" s="959" t="s">
        <v>3293</v>
      </c>
      <c r="B1162" s="960" t="s">
        <v>3294</v>
      </c>
      <c r="C1162" s="960" t="s">
        <v>4257</v>
      </c>
      <c r="D1162" s="960" t="s">
        <v>4258</v>
      </c>
      <c r="E1162" s="959">
        <v>32</v>
      </c>
      <c r="F1162" s="959">
        <v>529</v>
      </c>
      <c r="G1162" s="959">
        <v>9</v>
      </c>
      <c r="H1162" s="959">
        <v>121</v>
      </c>
    </row>
    <row r="1163" spans="1:8">
      <c r="A1163" s="959" t="s">
        <v>3293</v>
      </c>
      <c r="B1163" s="960" t="s">
        <v>3294</v>
      </c>
      <c r="C1163" s="960" t="s">
        <v>4262</v>
      </c>
      <c r="D1163" s="960" t="s">
        <v>4263</v>
      </c>
      <c r="E1163" s="959">
        <v>0</v>
      </c>
      <c r="F1163" s="959">
        <v>58</v>
      </c>
      <c r="G1163" s="959">
        <v>0</v>
      </c>
      <c r="H1163" s="959">
        <v>0</v>
      </c>
    </row>
    <row r="1164" spans="1:8">
      <c r="A1164" s="959" t="s">
        <v>4297</v>
      </c>
      <c r="B1164" s="960" t="s">
        <v>4298</v>
      </c>
      <c r="C1164" s="960" t="s">
        <v>4256</v>
      </c>
      <c r="D1164" s="960" t="s">
        <v>1906</v>
      </c>
      <c r="E1164" s="959">
        <v>0</v>
      </c>
      <c r="F1164" s="959">
        <v>1</v>
      </c>
      <c r="G1164" s="959">
        <v>0</v>
      </c>
      <c r="H1164" s="959">
        <v>0</v>
      </c>
    </row>
    <row r="1165" spans="1:8">
      <c r="A1165" s="959" t="s">
        <v>4297</v>
      </c>
      <c r="B1165" s="960" t="s">
        <v>4298</v>
      </c>
      <c r="C1165" s="960" t="s">
        <v>4256</v>
      </c>
      <c r="D1165" s="960" t="s">
        <v>4264</v>
      </c>
      <c r="E1165" s="959">
        <v>0</v>
      </c>
      <c r="F1165" s="959">
        <v>1</v>
      </c>
      <c r="G1165" s="959">
        <v>0</v>
      </c>
      <c r="H1165" s="959">
        <v>0</v>
      </c>
    </row>
    <row r="1166" spans="1:8">
      <c r="A1166" s="959" t="s">
        <v>4297</v>
      </c>
      <c r="B1166" s="960" t="s">
        <v>4298</v>
      </c>
      <c r="C1166" s="960" t="s">
        <v>4256</v>
      </c>
      <c r="D1166" s="960" t="s">
        <v>1907</v>
      </c>
      <c r="E1166" s="959">
        <v>0</v>
      </c>
      <c r="F1166" s="959">
        <v>8</v>
      </c>
      <c r="G1166" s="959">
        <v>0</v>
      </c>
      <c r="H1166" s="959">
        <v>1</v>
      </c>
    </row>
    <row r="1167" spans="1:8">
      <c r="A1167" s="959" t="s">
        <v>3297</v>
      </c>
      <c r="B1167" s="960" t="s">
        <v>3298</v>
      </c>
      <c r="C1167" s="960" t="s">
        <v>4256</v>
      </c>
      <c r="D1167" s="960" t="s">
        <v>470</v>
      </c>
      <c r="E1167" s="959">
        <v>0</v>
      </c>
      <c r="F1167" s="959">
        <v>0</v>
      </c>
      <c r="G1167" s="959">
        <v>0</v>
      </c>
      <c r="H1167" s="959">
        <v>2</v>
      </c>
    </row>
    <row r="1168" spans="1:8">
      <c r="A1168" s="959" t="s">
        <v>3297</v>
      </c>
      <c r="B1168" s="960" t="s">
        <v>3298</v>
      </c>
      <c r="C1168" s="960" t="s">
        <v>4256</v>
      </c>
      <c r="D1168" s="960" t="s">
        <v>4260</v>
      </c>
      <c r="E1168" s="959">
        <v>0</v>
      </c>
      <c r="F1168" s="959">
        <v>2</v>
      </c>
      <c r="G1168" s="959">
        <v>0</v>
      </c>
      <c r="H1168" s="959">
        <v>2</v>
      </c>
    </row>
    <row r="1169" spans="1:8">
      <c r="A1169" s="959" t="s">
        <v>3297</v>
      </c>
      <c r="B1169" s="960" t="s">
        <v>3298</v>
      </c>
      <c r="C1169" s="960" t="s">
        <v>4257</v>
      </c>
      <c r="D1169" s="960" t="s">
        <v>4258</v>
      </c>
      <c r="E1169" s="959">
        <v>0</v>
      </c>
      <c r="F1169" s="959">
        <v>27</v>
      </c>
      <c r="G1169" s="959">
        <v>0</v>
      </c>
      <c r="H1169" s="959">
        <v>0</v>
      </c>
    </row>
    <row r="1170" spans="1:8">
      <c r="A1170" s="959" t="s">
        <v>3297</v>
      </c>
      <c r="B1170" s="960" t="s">
        <v>3298</v>
      </c>
      <c r="C1170" s="960" t="s">
        <v>4262</v>
      </c>
      <c r="D1170" s="960" t="s">
        <v>4263</v>
      </c>
      <c r="E1170" s="959">
        <v>0</v>
      </c>
      <c r="F1170" s="959">
        <v>1</v>
      </c>
      <c r="G1170" s="959">
        <v>0</v>
      </c>
      <c r="H1170" s="959">
        <v>0</v>
      </c>
    </row>
    <row r="1171" spans="1:8">
      <c r="A1171" s="959" t="s">
        <v>4299</v>
      </c>
      <c r="B1171" s="960" t="s">
        <v>4271</v>
      </c>
      <c r="C1171" s="960" t="s">
        <v>4256</v>
      </c>
      <c r="D1171" s="960" t="s">
        <v>470</v>
      </c>
      <c r="E1171" s="959">
        <v>0</v>
      </c>
      <c r="F1171" s="959">
        <v>0</v>
      </c>
      <c r="G1171" s="959">
        <v>0</v>
      </c>
      <c r="H1171" s="959">
        <v>1</v>
      </c>
    </row>
    <row r="1172" spans="1:8">
      <c r="A1172" s="959" t="s">
        <v>4299</v>
      </c>
      <c r="B1172" s="960" t="s">
        <v>4271</v>
      </c>
      <c r="C1172" s="960" t="s">
        <v>4256</v>
      </c>
      <c r="D1172" s="960" t="s">
        <v>4259</v>
      </c>
      <c r="E1172" s="959">
        <v>0</v>
      </c>
      <c r="F1172" s="959">
        <v>0</v>
      </c>
      <c r="G1172" s="959">
        <v>8</v>
      </c>
      <c r="H1172" s="959">
        <v>7</v>
      </c>
    </row>
    <row r="1173" spans="1:8">
      <c r="A1173" s="959" t="s">
        <v>4299</v>
      </c>
      <c r="B1173" s="960" t="s">
        <v>4271</v>
      </c>
      <c r="C1173" s="960" t="s">
        <v>4256</v>
      </c>
      <c r="D1173" s="960" t="s">
        <v>1906</v>
      </c>
      <c r="E1173" s="959">
        <v>1</v>
      </c>
      <c r="F1173" s="959">
        <v>21</v>
      </c>
      <c r="G1173" s="959">
        <v>1</v>
      </c>
      <c r="H1173" s="959">
        <v>9</v>
      </c>
    </row>
    <row r="1174" spans="1:8">
      <c r="A1174" s="959" t="s">
        <v>4299</v>
      </c>
      <c r="B1174" s="960" t="s">
        <v>4271</v>
      </c>
      <c r="C1174" s="960" t="s">
        <v>4257</v>
      </c>
      <c r="D1174" s="960" t="s">
        <v>4258</v>
      </c>
      <c r="E1174" s="959">
        <v>2</v>
      </c>
      <c r="F1174" s="959">
        <v>25</v>
      </c>
      <c r="G1174" s="959">
        <v>2</v>
      </c>
      <c r="H1174" s="959">
        <v>76</v>
      </c>
    </row>
    <row r="1175" spans="1:8">
      <c r="A1175" s="959" t="s">
        <v>4299</v>
      </c>
      <c r="B1175" s="960" t="s">
        <v>4271</v>
      </c>
      <c r="C1175" s="960" t="s">
        <v>4262</v>
      </c>
      <c r="D1175" s="960" t="s">
        <v>4263</v>
      </c>
      <c r="E1175" s="959">
        <v>0</v>
      </c>
      <c r="F1175" s="959">
        <v>43</v>
      </c>
      <c r="G1175" s="959">
        <v>0</v>
      </c>
      <c r="H1175" s="959">
        <v>2</v>
      </c>
    </row>
    <row r="1176" spans="1:8">
      <c r="A1176" s="959" t="s">
        <v>3299</v>
      </c>
      <c r="B1176" s="960" t="s">
        <v>3300</v>
      </c>
      <c r="C1176" s="960" t="s">
        <v>4256</v>
      </c>
      <c r="D1176" s="960" t="s">
        <v>470</v>
      </c>
      <c r="E1176" s="959">
        <v>0</v>
      </c>
      <c r="F1176" s="959">
        <v>0</v>
      </c>
      <c r="G1176" s="959">
        <v>4</v>
      </c>
      <c r="H1176" s="959">
        <v>11</v>
      </c>
    </row>
    <row r="1177" spans="1:8">
      <c r="A1177" s="959" t="s">
        <v>3299</v>
      </c>
      <c r="B1177" s="960" t="s">
        <v>3300</v>
      </c>
      <c r="C1177" s="960" t="s">
        <v>4257</v>
      </c>
      <c r="D1177" s="960" t="s">
        <v>4258</v>
      </c>
      <c r="E1177" s="959">
        <v>0</v>
      </c>
      <c r="F1177" s="959">
        <v>4</v>
      </c>
      <c r="G1177" s="959">
        <v>0</v>
      </c>
      <c r="H1177" s="959">
        <v>0</v>
      </c>
    </row>
    <row r="1178" spans="1:8">
      <c r="A1178" s="959" t="s">
        <v>3301</v>
      </c>
      <c r="B1178" s="960" t="s">
        <v>3302</v>
      </c>
      <c r="C1178" s="960" t="s">
        <v>4275</v>
      </c>
      <c r="D1178" s="960" t="s">
        <v>4276</v>
      </c>
      <c r="E1178" s="959">
        <v>4</v>
      </c>
      <c r="F1178" s="959">
        <v>0</v>
      </c>
      <c r="G1178" s="959">
        <v>0</v>
      </c>
      <c r="H1178" s="959">
        <v>0</v>
      </c>
    </row>
    <row r="1179" spans="1:8">
      <c r="A1179" s="959" t="s">
        <v>3301</v>
      </c>
      <c r="B1179" s="960" t="s">
        <v>3302</v>
      </c>
      <c r="C1179" s="960" t="s">
        <v>4256</v>
      </c>
      <c r="D1179" s="960" t="s">
        <v>4259</v>
      </c>
      <c r="E1179" s="959">
        <v>0</v>
      </c>
      <c r="F1179" s="959">
        <v>0</v>
      </c>
      <c r="G1179" s="959">
        <v>0</v>
      </c>
      <c r="H1179" s="959">
        <v>1</v>
      </c>
    </row>
    <row r="1180" spans="1:8">
      <c r="A1180" s="959" t="s">
        <v>3301</v>
      </c>
      <c r="B1180" s="960" t="s">
        <v>3302</v>
      </c>
      <c r="C1180" s="960" t="s">
        <v>4256</v>
      </c>
      <c r="D1180" s="960" t="s">
        <v>1906</v>
      </c>
      <c r="E1180" s="959">
        <v>6</v>
      </c>
      <c r="F1180" s="959">
        <v>84</v>
      </c>
      <c r="G1180" s="959">
        <v>0</v>
      </c>
      <c r="H1180" s="959">
        <v>2</v>
      </c>
    </row>
    <row r="1181" spans="1:8">
      <c r="A1181" s="959" t="s">
        <v>3301</v>
      </c>
      <c r="B1181" s="960" t="s">
        <v>3302</v>
      </c>
      <c r="C1181" s="960" t="s">
        <v>4256</v>
      </c>
      <c r="D1181" s="960" t="s">
        <v>4264</v>
      </c>
      <c r="E1181" s="959">
        <v>1</v>
      </c>
      <c r="F1181" s="959">
        <v>10</v>
      </c>
      <c r="G1181" s="959">
        <v>0</v>
      </c>
      <c r="H1181" s="959">
        <v>0</v>
      </c>
    </row>
    <row r="1182" spans="1:8">
      <c r="A1182" s="959" t="s">
        <v>3301</v>
      </c>
      <c r="B1182" s="960" t="s">
        <v>3302</v>
      </c>
      <c r="C1182" s="960" t="s">
        <v>4256</v>
      </c>
      <c r="D1182" s="960" t="s">
        <v>1907</v>
      </c>
      <c r="E1182" s="959">
        <v>4</v>
      </c>
      <c r="F1182" s="959">
        <v>50</v>
      </c>
      <c r="G1182" s="959">
        <v>3</v>
      </c>
      <c r="H1182" s="959">
        <v>43</v>
      </c>
    </row>
    <row r="1183" spans="1:8">
      <c r="A1183" s="959" t="s">
        <v>3301</v>
      </c>
      <c r="B1183" s="960" t="s">
        <v>3302</v>
      </c>
      <c r="C1183" s="960" t="s">
        <v>4257</v>
      </c>
      <c r="D1183" s="960" t="s">
        <v>4258</v>
      </c>
      <c r="E1183" s="959">
        <v>3</v>
      </c>
      <c r="F1183" s="959">
        <v>43</v>
      </c>
      <c r="G1183" s="959">
        <v>3</v>
      </c>
      <c r="H1183" s="959">
        <v>40</v>
      </c>
    </row>
    <row r="1184" spans="1:8">
      <c r="A1184" s="959" t="s">
        <v>3301</v>
      </c>
      <c r="B1184" s="960" t="s">
        <v>3302</v>
      </c>
      <c r="C1184" s="960" t="s">
        <v>4262</v>
      </c>
      <c r="D1184" s="960" t="s">
        <v>4263</v>
      </c>
      <c r="E1184" s="959">
        <v>17</v>
      </c>
      <c r="F1184" s="959">
        <v>170</v>
      </c>
      <c r="G1184" s="959">
        <v>0</v>
      </c>
      <c r="H1184" s="959">
        <v>8</v>
      </c>
    </row>
    <row r="1185" spans="1:8">
      <c r="A1185" s="959" t="s">
        <v>3303</v>
      </c>
      <c r="B1185" s="960" t="s">
        <v>3304</v>
      </c>
      <c r="C1185" s="960" t="s">
        <v>4257</v>
      </c>
      <c r="D1185" s="960" t="s">
        <v>4258</v>
      </c>
      <c r="E1185" s="959">
        <v>0</v>
      </c>
      <c r="F1185" s="959">
        <v>1</v>
      </c>
      <c r="G1185" s="959">
        <v>0</v>
      </c>
      <c r="H1185" s="959">
        <v>0</v>
      </c>
    </row>
    <row r="1186" spans="1:8">
      <c r="A1186" s="959" t="s">
        <v>3303</v>
      </c>
      <c r="B1186" s="960" t="s">
        <v>3304</v>
      </c>
      <c r="C1186" s="960" t="s">
        <v>4262</v>
      </c>
      <c r="D1186" s="960" t="s">
        <v>4263</v>
      </c>
      <c r="E1186" s="959">
        <v>0</v>
      </c>
      <c r="F1186" s="959">
        <v>1</v>
      </c>
      <c r="G1186" s="959">
        <v>0</v>
      </c>
      <c r="H1186" s="959">
        <v>0</v>
      </c>
    </row>
    <row r="1187" spans="1:8">
      <c r="A1187" s="959" t="s">
        <v>3303</v>
      </c>
      <c r="B1187" s="960" t="s">
        <v>3304</v>
      </c>
      <c r="C1187" s="960" t="s">
        <v>4267</v>
      </c>
      <c r="D1187" s="960" t="s">
        <v>4268</v>
      </c>
      <c r="E1187" s="959">
        <v>0</v>
      </c>
      <c r="F1187" s="959">
        <v>0</v>
      </c>
      <c r="G1187" s="959">
        <v>0</v>
      </c>
      <c r="H1187" s="959">
        <v>2</v>
      </c>
    </row>
    <row r="1188" spans="1:8">
      <c r="A1188" s="959" t="s">
        <v>3305</v>
      </c>
      <c r="B1188" s="960" t="s">
        <v>3306</v>
      </c>
      <c r="C1188" s="960" t="s">
        <v>4275</v>
      </c>
      <c r="D1188" s="960" t="s">
        <v>4292</v>
      </c>
      <c r="E1188" s="959">
        <v>0</v>
      </c>
      <c r="F1188" s="959">
        <v>0</v>
      </c>
      <c r="G1188" s="959">
        <v>0</v>
      </c>
      <c r="H1188" s="959">
        <v>2</v>
      </c>
    </row>
    <row r="1189" spans="1:8">
      <c r="A1189" s="959" t="s">
        <v>3305</v>
      </c>
      <c r="B1189" s="960" t="s">
        <v>3306</v>
      </c>
      <c r="C1189" s="960" t="s">
        <v>4256</v>
      </c>
      <c r="D1189" s="960" t="s">
        <v>470</v>
      </c>
      <c r="E1189" s="959">
        <v>0</v>
      </c>
      <c r="F1189" s="959">
        <v>0</v>
      </c>
      <c r="G1189" s="959">
        <v>0</v>
      </c>
      <c r="H1189" s="959">
        <v>1</v>
      </c>
    </row>
    <row r="1190" spans="1:8">
      <c r="A1190" s="959" t="s">
        <v>3305</v>
      </c>
      <c r="B1190" s="960" t="s">
        <v>3306</v>
      </c>
      <c r="C1190" s="960" t="s">
        <v>4256</v>
      </c>
      <c r="D1190" s="960" t="s">
        <v>1904</v>
      </c>
      <c r="E1190" s="959">
        <v>0</v>
      </c>
      <c r="F1190" s="959">
        <v>0</v>
      </c>
      <c r="G1190" s="959">
        <v>0</v>
      </c>
      <c r="H1190" s="959">
        <v>8</v>
      </c>
    </row>
    <row r="1191" spans="1:8">
      <c r="A1191" s="959" t="s">
        <v>3305</v>
      </c>
      <c r="B1191" s="960" t="s">
        <v>3306</v>
      </c>
      <c r="C1191" s="960" t="s">
        <v>4256</v>
      </c>
      <c r="D1191" s="960" t="s">
        <v>4270</v>
      </c>
      <c r="E1191" s="959">
        <v>0</v>
      </c>
      <c r="F1191" s="959">
        <v>0</v>
      </c>
      <c r="G1191" s="959">
        <v>3</v>
      </c>
      <c r="H1191" s="959">
        <v>5</v>
      </c>
    </row>
    <row r="1192" spans="1:8">
      <c r="A1192" s="959" t="s">
        <v>3305</v>
      </c>
      <c r="B1192" s="960" t="s">
        <v>3306</v>
      </c>
      <c r="C1192" s="960" t="s">
        <v>4256</v>
      </c>
      <c r="D1192" s="960" t="s">
        <v>4259</v>
      </c>
      <c r="E1192" s="959">
        <v>0</v>
      </c>
      <c r="F1192" s="959">
        <v>0</v>
      </c>
      <c r="G1192" s="959">
        <v>34</v>
      </c>
      <c r="H1192" s="959">
        <v>23</v>
      </c>
    </row>
    <row r="1193" spans="1:8">
      <c r="A1193" s="959" t="s">
        <v>3305</v>
      </c>
      <c r="B1193" s="960" t="s">
        <v>3306</v>
      </c>
      <c r="C1193" s="960" t="s">
        <v>4256</v>
      </c>
      <c r="D1193" s="960" t="s">
        <v>4260</v>
      </c>
      <c r="E1193" s="959">
        <v>0</v>
      </c>
      <c r="F1193" s="959">
        <v>0</v>
      </c>
      <c r="G1193" s="959">
        <v>0</v>
      </c>
      <c r="H1193" s="959">
        <v>39</v>
      </c>
    </row>
    <row r="1194" spans="1:8">
      <c r="A1194" s="959" t="s">
        <v>3305</v>
      </c>
      <c r="B1194" s="960" t="s">
        <v>3306</v>
      </c>
      <c r="C1194" s="960" t="s">
        <v>4256</v>
      </c>
      <c r="D1194" s="960" t="s">
        <v>4265</v>
      </c>
      <c r="E1194" s="959">
        <v>0</v>
      </c>
      <c r="F1194" s="959">
        <v>0</v>
      </c>
      <c r="G1194" s="959">
        <v>0</v>
      </c>
      <c r="H1194" s="959">
        <v>1</v>
      </c>
    </row>
    <row r="1195" spans="1:8">
      <c r="A1195" s="959" t="s">
        <v>3305</v>
      </c>
      <c r="B1195" s="960" t="s">
        <v>3306</v>
      </c>
      <c r="C1195" s="960" t="s">
        <v>4256</v>
      </c>
      <c r="D1195" s="960" t="s">
        <v>4271</v>
      </c>
      <c r="E1195" s="959">
        <v>0</v>
      </c>
      <c r="F1195" s="959">
        <v>0</v>
      </c>
      <c r="G1195" s="959">
        <v>0</v>
      </c>
      <c r="H1195" s="959">
        <v>5</v>
      </c>
    </row>
    <row r="1196" spans="1:8">
      <c r="A1196" s="959" t="s">
        <v>3305</v>
      </c>
      <c r="B1196" s="960" t="s">
        <v>3306</v>
      </c>
      <c r="C1196" s="960" t="s">
        <v>4256</v>
      </c>
      <c r="D1196" s="960" t="s">
        <v>1906</v>
      </c>
      <c r="E1196" s="959">
        <v>9</v>
      </c>
      <c r="F1196" s="959">
        <v>121</v>
      </c>
      <c r="G1196" s="959">
        <v>15</v>
      </c>
      <c r="H1196" s="959">
        <v>205</v>
      </c>
    </row>
    <row r="1197" spans="1:8">
      <c r="A1197" s="959" t="s">
        <v>3305</v>
      </c>
      <c r="B1197" s="960" t="s">
        <v>3306</v>
      </c>
      <c r="C1197" s="960" t="s">
        <v>4256</v>
      </c>
      <c r="D1197" s="960" t="s">
        <v>4264</v>
      </c>
      <c r="E1197" s="959">
        <v>0</v>
      </c>
      <c r="F1197" s="959">
        <v>0</v>
      </c>
      <c r="G1197" s="959">
        <v>0</v>
      </c>
      <c r="H1197" s="959">
        <v>1</v>
      </c>
    </row>
    <row r="1198" spans="1:8">
      <c r="A1198" s="959" t="s">
        <v>3305</v>
      </c>
      <c r="B1198" s="960" t="s">
        <v>3306</v>
      </c>
      <c r="C1198" s="960" t="s">
        <v>4256</v>
      </c>
      <c r="D1198" s="960" t="s">
        <v>4261</v>
      </c>
      <c r="E1198" s="959">
        <v>0</v>
      </c>
      <c r="F1198" s="959">
        <v>0</v>
      </c>
      <c r="G1198" s="959">
        <v>10</v>
      </c>
      <c r="H1198" s="959">
        <v>40</v>
      </c>
    </row>
    <row r="1199" spans="1:8">
      <c r="A1199" s="959" t="s">
        <v>3305</v>
      </c>
      <c r="B1199" s="960" t="s">
        <v>3306</v>
      </c>
      <c r="C1199" s="960" t="s">
        <v>4256</v>
      </c>
      <c r="D1199" s="960" t="s">
        <v>4274</v>
      </c>
      <c r="E1199" s="959">
        <v>0</v>
      </c>
      <c r="F1199" s="959">
        <v>0</v>
      </c>
      <c r="G1199" s="959">
        <v>0</v>
      </c>
      <c r="H1199" s="959">
        <v>2</v>
      </c>
    </row>
    <row r="1200" spans="1:8">
      <c r="A1200" s="959" t="s">
        <v>3305</v>
      </c>
      <c r="B1200" s="960" t="s">
        <v>3306</v>
      </c>
      <c r="C1200" s="960" t="s">
        <v>4256</v>
      </c>
      <c r="D1200" s="960" t="s">
        <v>4273</v>
      </c>
      <c r="E1200" s="959">
        <v>0</v>
      </c>
      <c r="F1200" s="959">
        <v>0</v>
      </c>
      <c r="G1200" s="959">
        <v>0</v>
      </c>
      <c r="H1200" s="959">
        <v>4</v>
      </c>
    </row>
    <row r="1201" spans="1:8">
      <c r="A1201" s="959" t="s">
        <v>3305</v>
      </c>
      <c r="B1201" s="960" t="s">
        <v>3306</v>
      </c>
      <c r="C1201" s="960" t="s">
        <v>4257</v>
      </c>
      <c r="D1201" s="960" t="s">
        <v>4258</v>
      </c>
      <c r="E1201" s="959">
        <v>100</v>
      </c>
      <c r="F1201" s="959">
        <v>950</v>
      </c>
      <c r="G1201" s="959">
        <v>100</v>
      </c>
      <c r="H1201" s="959">
        <v>930</v>
      </c>
    </row>
    <row r="1202" spans="1:8">
      <c r="A1202" s="959" t="s">
        <v>3305</v>
      </c>
      <c r="B1202" s="960" t="s">
        <v>3306</v>
      </c>
      <c r="C1202" s="960" t="s">
        <v>4262</v>
      </c>
      <c r="D1202" s="960" t="s">
        <v>4263</v>
      </c>
      <c r="E1202" s="959">
        <v>0</v>
      </c>
      <c r="F1202" s="959">
        <v>36</v>
      </c>
      <c r="G1202" s="959">
        <v>1</v>
      </c>
      <c r="H1202" s="959">
        <v>7</v>
      </c>
    </row>
    <row r="1203" spans="1:8">
      <c r="A1203" s="959" t="s">
        <v>3307</v>
      </c>
      <c r="B1203" s="960" t="s">
        <v>3308</v>
      </c>
      <c r="C1203" s="960" t="s">
        <v>4256</v>
      </c>
      <c r="D1203" s="960" t="s">
        <v>1906</v>
      </c>
      <c r="E1203" s="959">
        <v>3</v>
      </c>
      <c r="F1203" s="959">
        <v>54</v>
      </c>
      <c r="G1203" s="959">
        <v>0</v>
      </c>
      <c r="H1203" s="959">
        <v>1</v>
      </c>
    </row>
    <row r="1204" spans="1:8">
      <c r="A1204" s="959" t="s">
        <v>3307</v>
      </c>
      <c r="B1204" s="960" t="s">
        <v>3308</v>
      </c>
      <c r="C1204" s="960" t="s">
        <v>4257</v>
      </c>
      <c r="D1204" s="960" t="s">
        <v>4258</v>
      </c>
      <c r="E1204" s="959">
        <v>11</v>
      </c>
      <c r="F1204" s="959">
        <v>177</v>
      </c>
      <c r="G1204" s="959">
        <v>0</v>
      </c>
      <c r="H1204" s="959">
        <v>0</v>
      </c>
    </row>
    <row r="1205" spans="1:8">
      <c r="A1205" s="959" t="s">
        <v>3309</v>
      </c>
      <c r="B1205" s="960" t="s">
        <v>1071</v>
      </c>
      <c r="C1205" s="960" t="s">
        <v>4256</v>
      </c>
      <c r="D1205" s="960" t="s">
        <v>470</v>
      </c>
      <c r="E1205" s="959">
        <v>0</v>
      </c>
      <c r="F1205" s="959">
        <v>0</v>
      </c>
      <c r="G1205" s="959">
        <v>0</v>
      </c>
      <c r="H1205" s="959">
        <v>1</v>
      </c>
    </row>
    <row r="1206" spans="1:8">
      <c r="A1206" s="959" t="s">
        <v>3309</v>
      </c>
      <c r="B1206" s="960" t="s">
        <v>1071</v>
      </c>
      <c r="C1206" s="960" t="s">
        <v>4256</v>
      </c>
      <c r="D1206" s="960" t="s">
        <v>1904</v>
      </c>
      <c r="E1206" s="959">
        <v>0</v>
      </c>
      <c r="F1206" s="959">
        <v>0</v>
      </c>
      <c r="G1206" s="959">
        <v>0</v>
      </c>
      <c r="H1206" s="959">
        <v>1</v>
      </c>
    </row>
    <row r="1207" spans="1:8">
      <c r="A1207" s="959" t="s">
        <v>3309</v>
      </c>
      <c r="B1207" s="960" t="s">
        <v>1071</v>
      </c>
      <c r="C1207" s="960" t="s">
        <v>4257</v>
      </c>
      <c r="D1207" s="960" t="s">
        <v>4258</v>
      </c>
      <c r="E1207" s="959">
        <v>0</v>
      </c>
      <c r="F1207" s="959">
        <v>0</v>
      </c>
      <c r="G1207" s="959">
        <v>0</v>
      </c>
      <c r="H1207" s="959">
        <v>1</v>
      </c>
    </row>
    <row r="1208" spans="1:8">
      <c r="A1208" s="959" t="s">
        <v>3309</v>
      </c>
      <c r="B1208" s="960" t="s">
        <v>1071</v>
      </c>
      <c r="C1208" s="960" t="s">
        <v>4262</v>
      </c>
      <c r="D1208" s="960" t="s">
        <v>4263</v>
      </c>
      <c r="E1208" s="959">
        <v>0</v>
      </c>
      <c r="F1208" s="959">
        <v>2</v>
      </c>
      <c r="G1208" s="959">
        <v>1</v>
      </c>
      <c r="H1208" s="959">
        <v>1</v>
      </c>
    </row>
    <row r="1209" spans="1:8">
      <c r="A1209" s="959" t="s">
        <v>3310</v>
      </c>
      <c r="B1209" s="960" t="s">
        <v>1068</v>
      </c>
      <c r="C1209" s="960" t="s">
        <v>4257</v>
      </c>
      <c r="D1209" s="960" t="s">
        <v>4258</v>
      </c>
      <c r="E1209" s="959">
        <v>0</v>
      </c>
      <c r="F1209" s="959">
        <v>26</v>
      </c>
      <c r="G1209" s="959">
        <v>0</v>
      </c>
      <c r="H1209" s="959">
        <v>0</v>
      </c>
    </row>
    <row r="1210" spans="1:8">
      <c r="A1210" s="959" t="s">
        <v>3310</v>
      </c>
      <c r="B1210" s="960" t="s">
        <v>1068</v>
      </c>
      <c r="C1210" s="960" t="s">
        <v>4262</v>
      </c>
      <c r="D1210" s="960" t="s">
        <v>4263</v>
      </c>
      <c r="E1210" s="959">
        <v>0</v>
      </c>
      <c r="F1210" s="959">
        <v>7</v>
      </c>
      <c r="G1210" s="959">
        <v>0</v>
      </c>
      <c r="H1210" s="959">
        <v>0</v>
      </c>
    </row>
    <row r="1211" spans="1:8">
      <c r="A1211" s="959" t="s">
        <v>3311</v>
      </c>
      <c r="B1211" s="960" t="s">
        <v>3312</v>
      </c>
      <c r="C1211" s="960" t="s">
        <v>4256</v>
      </c>
      <c r="D1211" s="960" t="s">
        <v>470</v>
      </c>
      <c r="E1211" s="959">
        <v>0</v>
      </c>
      <c r="F1211" s="959">
        <v>0</v>
      </c>
      <c r="G1211" s="959">
        <v>1</v>
      </c>
      <c r="H1211" s="959">
        <v>8</v>
      </c>
    </row>
    <row r="1212" spans="1:8">
      <c r="A1212" s="959" t="s">
        <v>3311</v>
      </c>
      <c r="B1212" s="960" t="s">
        <v>3312</v>
      </c>
      <c r="C1212" s="960" t="s">
        <v>4256</v>
      </c>
      <c r="D1212" s="960" t="s">
        <v>4260</v>
      </c>
      <c r="E1212" s="959">
        <v>0</v>
      </c>
      <c r="F1212" s="959">
        <v>0</v>
      </c>
      <c r="G1212" s="959">
        <v>0</v>
      </c>
      <c r="H1212" s="959">
        <v>3</v>
      </c>
    </row>
    <row r="1213" spans="1:8">
      <c r="A1213" s="959" t="s">
        <v>3311</v>
      </c>
      <c r="B1213" s="960" t="s">
        <v>3312</v>
      </c>
      <c r="C1213" s="960" t="s">
        <v>4257</v>
      </c>
      <c r="D1213" s="960" t="s">
        <v>4258</v>
      </c>
      <c r="E1213" s="959">
        <v>0</v>
      </c>
      <c r="F1213" s="959">
        <v>7</v>
      </c>
      <c r="G1213" s="959">
        <v>0</v>
      </c>
      <c r="H1213" s="959">
        <v>1</v>
      </c>
    </row>
    <row r="1214" spans="1:8">
      <c r="A1214" s="959" t="s">
        <v>3311</v>
      </c>
      <c r="B1214" s="960" t="s">
        <v>3312</v>
      </c>
      <c r="C1214" s="960" t="s">
        <v>4262</v>
      </c>
      <c r="D1214" s="960" t="s">
        <v>4263</v>
      </c>
      <c r="E1214" s="959">
        <v>0</v>
      </c>
      <c r="F1214" s="959">
        <v>1</v>
      </c>
      <c r="G1214" s="959">
        <v>0</v>
      </c>
      <c r="H1214" s="959">
        <v>0</v>
      </c>
    </row>
    <row r="1215" spans="1:8">
      <c r="A1215" s="959" t="s">
        <v>3314</v>
      </c>
      <c r="B1215" s="960" t="s">
        <v>3315</v>
      </c>
      <c r="C1215" s="960" t="s">
        <v>4256</v>
      </c>
      <c r="D1215" s="960" t="s">
        <v>470</v>
      </c>
      <c r="E1215" s="959">
        <v>0</v>
      </c>
      <c r="F1215" s="959">
        <v>0</v>
      </c>
      <c r="G1215" s="959">
        <v>0</v>
      </c>
      <c r="H1215" s="959">
        <v>24</v>
      </c>
    </row>
    <row r="1216" spans="1:8">
      <c r="A1216" s="959" t="s">
        <v>3314</v>
      </c>
      <c r="B1216" s="960" t="s">
        <v>3315</v>
      </c>
      <c r="C1216" s="960" t="s">
        <v>4256</v>
      </c>
      <c r="D1216" s="960" t="s">
        <v>1904</v>
      </c>
      <c r="E1216" s="959">
        <v>0</v>
      </c>
      <c r="F1216" s="959">
        <v>0</v>
      </c>
      <c r="G1216" s="959">
        <v>0</v>
      </c>
      <c r="H1216" s="959">
        <v>6</v>
      </c>
    </row>
    <row r="1217" spans="1:8">
      <c r="A1217" s="959" t="s">
        <v>3314</v>
      </c>
      <c r="B1217" s="960" t="s">
        <v>3315</v>
      </c>
      <c r="C1217" s="960" t="s">
        <v>4256</v>
      </c>
      <c r="D1217" s="960" t="s">
        <v>4264</v>
      </c>
      <c r="E1217" s="959">
        <v>0</v>
      </c>
      <c r="F1217" s="959">
        <v>0</v>
      </c>
      <c r="G1217" s="959">
        <v>1</v>
      </c>
      <c r="H1217" s="959">
        <v>7</v>
      </c>
    </row>
    <row r="1218" spans="1:8">
      <c r="A1218" s="959" t="s">
        <v>3314</v>
      </c>
      <c r="B1218" s="960" t="s">
        <v>3315</v>
      </c>
      <c r="C1218" s="960" t="s">
        <v>4256</v>
      </c>
      <c r="D1218" s="960" t="s">
        <v>4261</v>
      </c>
      <c r="E1218" s="959">
        <v>0</v>
      </c>
      <c r="F1218" s="959">
        <v>0</v>
      </c>
      <c r="G1218" s="959">
        <v>0</v>
      </c>
      <c r="H1218" s="959">
        <v>1</v>
      </c>
    </row>
    <row r="1219" spans="1:8">
      <c r="A1219" s="959" t="s">
        <v>3314</v>
      </c>
      <c r="B1219" s="960" t="s">
        <v>3315</v>
      </c>
      <c r="C1219" s="960" t="s">
        <v>4257</v>
      </c>
      <c r="D1219" s="960" t="s">
        <v>4258</v>
      </c>
      <c r="E1219" s="959">
        <v>0</v>
      </c>
      <c r="F1219" s="959">
        <v>0</v>
      </c>
      <c r="G1219" s="959">
        <v>0</v>
      </c>
      <c r="H1219" s="959">
        <v>1</v>
      </c>
    </row>
    <row r="1220" spans="1:8">
      <c r="A1220" s="959" t="s">
        <v>3316</v>
      </c>
      <c r="B1220" s="960" t="s">
        <v>1078</v>
      </c>
      <c r="C1220" s="960" t="s">
        <v>4256</v>
      </c>
      <c r="D1220" s="960" t="s">
        <v>4260</v>
      </c>
      <c r="E1220" s="959">
        <v>0</v>
      </c>
      <c r="F1220" s="959">
        <v>0</v>
      </c>
      <c r="G1220" s="959">
        <v>0</v>
      </c>
      <c r="H1220" s="959">
        <v>2</v>
      </c>
    </row>
    <row r="1221" spans="1:8">
      <c r="A1221" s="959" t="s">
        <v>3316</v>
      </c>
      <c r="B1221" s="960" t="s">
        <v>1078</v>
      </c>
      <c r="C1221" s="960" t="s">
        <v>4256</v>
      </c>
      <c r="D1221" s="960" t="s">
        <v>1906</v>
      </c>
      <c r="E1221" s="959">
        <v>1</v>
      </c>
      <c r="F1221" s="959">
        <v>7</v>
      </c>
      <c r="G1221" s="959">
        <v>0</v>
      </c>
      <c r="H1221" s="959">
        <v>0</v>
      </c>
    </row>
    <row r="1222" spans="1:8">
      <c r="A1222" s="959" t="s">
        <v>3316</v>
      </c>
      <c r="B1222" s="960" t="s">
        <v>1078</v>
      </c>
      <c r="C1222" s="960" t="s">
        <v>4257</v>
      </c>
      <c r="D1222" s="960" t="s">
        <v>4258</v>
      </c>
      <c r="E1222" s="959">
        <v>1</v>
      </c>
      <c r="F1222" s="959">
        <v>17</v>
      </c>
      <c r="G1222" s="959">
        <v>0</v>
      </c>
      <c r="H1222" s="959">
        <v>0</v>
      </c>
    </row>
    <row r="1223" spans="1:8">
      <c r="A1223" s="959" t="s">
        <v>3316</v>
      </c>
      <c r="B1223" s="960" t="s">
        <v>1078</v>
      </c>
      <c r="C1223" s="960" t="s">
        <v>4262</v>
      </c>
      <c r="D1223" s="960" t="s">
        <v>4263</v>
      </c>
      <c r="E1223" s="959">
        <v>9</v>
      </c>
      <c r="F1223" s="959">
        <v>51</v>
      </c>
      <c r="G1223" s="959">
        <v>0</v>
      </c>
      <c r="H1223" s="959">
        <v>9</v>
      </c>
    </row>
    <row r="1224" spans="1:8">
      <c r="A1224" s="959" t="s">
        <v>3317</v>
      </c>
      <c r="B1224" s="960" t="s">
        <v>3318</v>
      </c>
      <c r="C1224" s="960" t="s">
        <v>4256</v>
      </c>
      <c r="D1224" s="960" t="s">
        <v>470</v>
      </c>
      <c r="E1224" s="959">
        <v>0</v>
      </c>
      <c r="F1224" s="959">
        <v>0</v>
      </c>
      <c r="G1224" s="959">
        <v>12</v>
      </c>
      <c r="H1224" s="959">
        <v>77</v>
      </c>
    </row>
    <row r="1225" spans="1:8">
      <c r="A1225" s="959" t="s">
        <v>3317</v>
      </c>
      <c r="B1225" s="960" t="s">
        <v>3318</v>
      </c>
      <c r="C1225" s="960" t="s">
        <v>4257</v>
      </c>
      <c r="D1225" s="960" t="s">
        <v>4258</v>
      </c>
      <c r="E1225" s="959">
        <v>1</v>
      </c>
      <c r="F1225" s="959">
        <v>32</v>
      </c>
      <c r="G1225" s="959">
        <v>0</v>
      </c>
      <c r="H1225" s="959">
        <v>0</v>
      </c>
    </row>
    <row r="1226" spans="1:8">
      <c r="A1226" s="959" t="s">
        <v>3317</v>
      </c>
      <c r="B1226" s="960" t="s">
        <v>3318</v>
      </c>
      <c r="C1226" s="960" t="s">
        <v>4262</v>
      </c>
      <c r="D1226" s="960" t="s">
        <v>4263</v>
      </c>
      <c r="E1226" s="959">
        <v>0</v>
      </c>
      <c r="F1226" s="959">
        <v>1</v>
      </c>
      <c r="G1226" s="959">
        <v>0</v>
      </c>
      <c r="H1226" s="959">
        <v>0</v>
      </c>
    </row>
    <row r="1227" spans="1:8">
      <c r="A1227" s="959" t="s">
        <v>3319</v>
      </c>
      <c r="B1227" s="960" t="s">
        <v>1080</v>
      </c>
      <c r="C1227" s="960" t="s">
        <v>4275</v>
      </c>
      <c r="D1227" s="960" t="s">
        <v>4292</v>
      </c>
      <c r="E1227" s="959">
        <v>0</v>
      </c>
      <c r="F1227" s="959">
        <v>1</v>
      </c>
      <c r="G1227" s="959">
        <v>0</v>
      </c>
      <c r="H1227" s="959">
        <v>0</v>
      </c>
    </row>
    <row r="1228" spans="1:8">
      <c r="A1228" s="959" t="s">
        <v>3319</v>
      </c>
      <c r="B1228" s="960" t="s">
        <v>1080</v>
      </c>
      <c r="C1228" s="960" t="s">
        <v>4256</v>
      </c>
      <c r="D1228" s="960" t="s">
        <v>4260</v>
      </c>
      <c r="E1228" s="959">
        <v>0</v>
      </c>
      <c r="F1228" s="959">
        <v>1</v>
      </c>
      <c r="G1228" s="959">
        <v>0</v>
      </c>
      <c r="H1228" s="959">
        <v>1</v>
      </c>
    </row>
    <row r="1229" spans="1:8">
      <c r="A1229" s="959" t="s">
        <v>3319</v>
      </c>
      <c r="B1229" s="960" t="s">
        <v>1080</v>
      </c>
      <c r="C1229" s="960" t="s">
        <v>4256</v>
      </c>
      <c r="D1229" s="960" t="s">
        <v>1906</v>
      </c>
      <c r="E1229" s="959">
        <v>0</v>
      </c>
      <c r="F1229" s="959">
        <v>2</v>
      </c>
      <c r="G1229" s="959">
        <v>0</v>
      </c>
      <c r="H1229" s="959">
        <v>1</v>
      </c>
    </row>
    <row r="1230" spans="1:8">
      <c r="A1230" s="959" t="s">
        <v>3319</v>
      </c>
      <c r="B1230" s="960" t="s">
        <v>1080</v>
      </c>
      <c r="C1230" s="960" t="s">
        <v>4257</v>
      </c>
      <c r="D1230" s="960" t="s">
        <v>4258</v>
      </c>
      <c r="E1230" s="959">
        <v>3</v>
      </c>
      <c r="F1230" s="959">
        <v>53</v>
      </c>
      <c r="G1230" s="959">
        <v>0</v>
      </c>
      <c r="H1230" s="959">
        <v>4</v>
      </c>
    </row>
    <row r="1231" spans="1:8">
      <c r="A1231" s="959" t="s">
        <v>3319</v>
      </c>
      <c r="B1231" s="960" t="s">
        <v>1080</v>
      </c>
      <c r="C1231" s="960" t="s">
        <v>4262</v>
      </c>
      <c r="D1231" s="960" t="s">
        <v>4263</v>
      </c>
      <c r="E1231" s="959">
        <v>75</v>
      </c>
      <c r="F1231" s="959">
        <v>1577</v>
      </c>
      <c r="G1231" s="959">
        <v>0</v>
      </c>
      <c r="H1231" s="959">
        <v>2</v>
      </c>
    </row>
    <row r="1232" spans="1:8">
      <c r="A1232" s="959" t="s">
        <v>3320</v>
      </c>
      <c r="B1232" s="960" t="s">
        <v>3321</v>
      </c>
      <c r="C1232" s="960" t="s">
        <v>4256</v>
      </c>
      <c r="D1232" s="960" t="s">
        <v>470</v>
      </c>
      <c r="E1232" s="959">
        <v>0</v>
      </c>
      <c r="F1232" s="959">
        <v>0</v>
      </c>
      <c r="G1232" s="959">
        <v>0</v>
      </c>
      <c r="H1232" s="959">
        <v>22</v>
      </c>
    </row>
    <row r="1233" spans="1:8">
      <c r="A1233" s="959" t="s">
        <v>3320</v>
      </c>
      <c r="B1233" s="960" t="s">
        <v>3321</v>
      </c>
      <c r="C1233" s="960" t="s">
        <v>4256</v>
      </c>
      <c r="D1233" s="960" t="s">
        <v>1906</v>
      </c>
      <c r="E1233" s="959">
        <v>1</v>
      </c>
      <c r="F1233" s="959">
        <v>7</v>
      </c>
      <c r="G1233" s="959">
        <v>0</v>
      </c>
      <c r="H1233" s="959">
        <v>0</v>
      </c>
    </row>
    <row r="1234" spans="1:8">
      <c r="A1234" s="959" t="s">
        <v>3320</v>
      </c>
      <c r="B1234" s="960" t="s">
        <v>3321</v>
      </c>
      <c r="C1234" s="960" t="s">
        <v>4256</v>
      </c>
      <c r="D1234" s="960" t="s">
        <v>4264</v>
      </c>
      <c r="E1234" s="959">
        <v>0</v>
      </c>
      <c r="F1234" s="959">
        <v>0</v>
      </c>
      <c r="G1234" s="959">
        <v>0</v>
      </c>
      <c r="H1234" s="959">
        <v>2</v>
      </c>
    </row>
    <row r="1235" spans="1:8">
      <c r="A1235" s="959" t="s">
        <v>3320</v>
      </c>
      <c r="B1235" s="960" t="s">
        <v>3321</v>
      </c>
      <c r="C1235" s="960" t="s">
        <v>4257</v>
      </c>
      <c r="D1235" s="960" t="s">
        <v>4258</v>
      </c>
      <c r="E1235" s="959">
        <v>0</v>
      </c>
      <c r="F1235" s="959">
        <v>6</v>
      </c>
      <c r="G1235" s="959">
        <v>0</v>
      </c>
      <c r="H1235" s="959">
        <v>0</v>
      </c>
    </row>
    <row r="1236" spans="1:8">
      <c r="A1236" s="959" t="s">
        <v>3320</v>
      </c>
      <c r="B1236" s="960" t="s">
        <v>3321</v>
      </c>
      <c r="C1236" s="960" t="s">
        <v>4262</v>
      </c>
      <c r="D1236" s="960" t="s">
        <v>4263</v>
      </c>
      <c r="E1236" s="959">
        <v>0</v>
      </c>
      <c r="F1236" s="959">
        <v>9</v>
      </c>
      <c r="G1236" s="959">
        <v>0</v>
      </c>
      <c r="H1236" s="959">
        <v>4</v>
      </c>
    </row>
    <row r="1237" spans="1:8">
      <c r="A1237" s="959" t="s">
        <v>3322</v>
      </c>
      <c r="B1237" s="960" t="s">
        <v>3323</v>
      </c>
      <c r="C1237" s="960" t="s">
        <v>4257</v>
      </c>
      <c r="D1237" s="960" t="s">
        <v>4258</v>
      </c>
      <c r="E1237" s="959">
        <v>2</v>
      </c>
      <c r="F1237" s="959">
        <v>62</v>
      </c>
      <c r="G1237" s="959">
        <v>0</v>
      </c>
      <c r="H1237" s="959">
        <v>0</v>
      </c>
    </row>
    <row r="1238" spans="1:8">
      <c r="A1238" s="959" t="s">
        <v>3322</v>
      </c>
      <c r="B1238" s="960" t="s">
        <v>3323</v>
      </c>
      <c r="C1238" s="960" t="s">
        <v>4262</v>
      </c>
      <c r="D1238" s="960" t="s">
        <v>4263</v>
      </c>
      <c r="E1238" s="959">
        <v>2</v>
      </c>
      <c r="F1238" s="959">
        <v>15</v>
      </c>
      <c r="G1238" s="959">
        <v>0</v>
      </c>
      <c r="H1238" s="959">
        <v>0</v>
      </c>
    </row>
    <row r="1239" spans="1:8">
      <c r="A1239" s="959" t="s">
        <v>3322</v>
      </c>
      <c r="B1239" s="960" t="s">
        <v>3323</v>
      </c>
      <c r="C1239" s="960" t="s">
        <v>4267</v>
      </c>
      <c r="D1239" s="960" t="s">
        <v>4268</v>
      </c>
      <c r="E1239" s="959">
        <v>0</v>
      </c>
      <c r="F1239" s="959">
        <v>0</v>
      </c>
      <c r="G1239" s="959">
        <v>0</v>
      </c>
      <c r="H1239" s="959">
        <v>2</v>
      </c>
    </row>
    <row r="1240" spans="1:8">
      <c r="A1240" s="959" t="s">
        <v>3324</v>
      </c>
      <c r="B1240" s="960" t="s">
        <v>3325</v>
      </c>
      <c r="C1240" s="960" t="s">
        <v>4256</v>
      </c>
      <c r="D1240" s="960" t="s">
        <v>1906</v>
      </c>
      <c r="E1240" s="959">
        <v>1</v>
      </c>
      <c r="F1240" s="959">
        <v>19</v>
      </c>
      <c r="G1240" s="959">
        <v>0</v>
      </c>
      <c r="H1240" s="959">
        <v>0</v>
      </c>
    </row>
    <row r="1241" spans="1:8">
      <c r="A1241" s="959" t="s">
        <v>3324</v>
      </c>
      <c r="B1241" s="960" t="s">
        <v>3325</v>
      </c>
      <c r="C1241" s="960" t="s">
        <v>4257</v>
      </c>
      <c r="D1241" s="960" t="s">
        <v>4258</v>
      </c>
      <c r="E1241" s="959">
        <v>0</v>
      </c>
      <c r="F1241" s="959">
        <v>2</v>
      </c>
      <c r="G1241" s="959">
        <v>0</v>
      </c>
      <c r="H1241" s="959">
        <v>0</v>
      </c>
    </row>
    <row r="1242" spans="1:8">
      <c r="A1242" s="959" t="s">
        <v>3324</v>
      </c>
      <c r="B1242" s="960" t="s">
        <v>3325</v>
      </c>
      <c r="C1242" s="960" t="s">
        <v>4262</v>
      </c>
      <c r="D1242" s="960" t="s">
        <v>4263</v>
      </c>
      <c r="E1242" s="959">
        <v>1</v>
      </c>
      <c r="F1242" s="959">
        <v>91</v>
      </c>
      <c r="G1242" s="959">
        <v>0</v>
      </c>
      <c r="H1242" s="959">
        <v>0</v>
      </c>
    </row>
    <row r="1243" spans="1:8">
      <c r="A1243" s="959" t="s">
        <v>3326</v>
      </c>
      <c r="B1243" s="960" t="s">
        <v>3327</v>
      </c>
      <c r="C1243" s="960" t="s">
        <v>4256</v>
      </c>
      <c r="D1243" s="960" t="s">
        <v>470</v>
      </c>
      <c r="E1243" s="959">
        <v>0</v>
      </c>
      <c r="F1243" s="959">
        <v>0</v>
      </c>
      <c r="G1243" s="959">
        <v>0</v>
      </c>
      <c r="H1243" s="959">
        <v>11</v>
      </c>
    </row>
    <row r="1244" spans="1:8">
      <c r="A1244" s="959" t="s">
        <v>3326</v>
      </c>
      <c r="B1244" s="960" t="s">
        <v>3327</v>
      </c>
      <c r="C1244" s="960" t="s">
        <v>4256</v>
      </c>
      <c r="D1244" s="960" t="s">
        <v>1904</v>
      </c>
      <c r="E1244" s="959">
        <v>0</v>
      </c>
      <c r="F1244" s="959">
        <v>0</v>
      </c>
      <c r="G1244" s="959">
        <v>0</v>
      </c>
      <c r="H1244" s="959">
        <v>4</v>
      </c>
    </row>
    <row r="1245" spans="1:8">
      <c r="A1245" s="959" t="s">
        <v>3326</v>
      </c>
      <c r="B1245" s="960" t="s">
        <v>3327</v>
      </c>
      <c r="C1245" s="960" t="s">
        <v>4256</v>
      </c>
      <c r="D1245" s="960" t="s">
        <v>4260</v>
      </c>
      <c r="E1245" s="959">
        <v>0</v>
      </c>
      <c r="F1245" s="959">
        <v>0</v>
      </c>
      <c r="G1245" s="959">
        <v>1</v>
      </c>
      <c r="H1245" s="959">
        <v>4</v>
      </c>
    </row>
    <row r="1246" spans="1:8">
      <c r="A1246" s="959" t="s">
        <v>3326</v>
      </c>
      <c r="B1246" s="960" t="s">
        <v>3327</v>
      </c>
      <c r="C1246" s="960" t="s">
        <v>4257</v>
      </c>
      <c r="D1246" s="960" t="s">
        <v>4258</v>
      </c>
      <c r="E1246" s="959">
        <v>0</v>
      </c>
      <c r="F1246" s="959">
        <v>0</v>
      </c>
      <c r="G1246" s="959">
        <v>1</v>
      </c>
      <c r="H1246" s="959">
        <v>7</v>
      </c>
    </row>
    <row r="1247" spans="1:8">
      <c r="A1247" s="959" t="s">
        <v>3328</v>
      </c>
      <c r="B1247" s="960" t="s">
        <v>3329</v>
      </c>
      <c r="C1247" s="960" t="s">
        <v>4256</v>
      </c>
      <c r="D1247" s="960" t="s">
        <v>470</v>
      </c>
      <c r="E1247" s="959">
        <v>0</v>
      </c>
      <c r="F1247" s="959">
        <v>0</v>
      </c>
      <c r="G1247" s="959">
        <v>0</v>
      </c>
      <c r="H1247" s="959">
        <v>17</v>
      </c>
    </row>
    <row r="1248" spans="1:8">
      <c r="A1248" s="959" t="s">
        <v>3328</v>
      </c>
      <c r="B1248" s="960" t="s">
        <v>3329</v>
      </c>
      <c r="C1248" s="960" t="s">
        <v>4256</v>
      </c>
      <c r="D1248" s="960" t="s">
        <v>4260</v>
      </c>
      <c r="E1248" s="959">
        <v>0</v>
      </c>
      <c r="F1248" s="959">
        <v>0</v>
      </c>
      <c r="G1248" s="959">
        <v>0</v>
      </c>
      <c r="H1248" s="959">
        <v>2</v>
      </c>
    </row>
    <row r="1249" spans="1:8">
      <c r="A1249" s="959" t="s">
        <v>3328</v>
      </c>
      <c r="B1249" s="960" t="s">
        <v>3329</v>
      </c>
      <c r="C1249" s="960" t="s">
        <v>4257</v>
      </c>
      <c r="D1249" s="960" t="s">
        <v>4258</v>
      </c>
      <c r="E1249" s="959">
        <v>1</v>
      </c>
      <c r="F1249" s="959">
        <v>11</v>
      </c>
      <c r="G1249" s="959">
        <v>0</v>
      </c>
      <c r="H1249" s="959">
        <v>0</v>
      </c>
    </row>
    <row r="1250" spans="1:8">
      <c r="A1250" s="959" t="s">
        <v>3328</v>
      </c>
      <c r="B1250" s="960" t="s">
        <v>3329</v>
      </c>
      <c r="C1250" s="960" t="s">
        <v>4267</v>
      </c>
      <c r="D1250" s="960" t="s">
        <v>4268</v>
      </c>
      <c r="E1250" s="959">
        <v>0</v>
      </c>
      <c r="F1250" s="959">
        <v>0</v>
      </c>
      <c r="G1250" s="959">
        <v>0</v>
      </c>
      <c r="H1250" s="959">
        <v>5</v>
      </c>
    </row>
    <row r="1251" spans="1:8">
      <c r="A1251" s="959" t="s">
        <v>3330</v>
      </c>
      <c r="B1251" s="960" t="s">
        <v>3331</v>
      </c>
      <c r="C1251" s="960" t="s">
        <v>4256</v>
      </c>
      <c r="D1251" s="960" t="s">
        <v>4264</v>
      </c>
      <c r="E1251" s="959">
        <v>0</v>
      </c>
      <c r="F1251" s="959">
        <v>0</v>
      </c>
      <c r="G1251" s="959">
        <v>0</v>
      </c>
      <c r="H1251" s="959">
        <v>1</v>
      </c>
    </row>
    <row r="1252" spans="1:8">
      <c r="A1252" s="959" t="s">
        <v>3330</v>
      </c>
      <c r="B1252" s="960" t="s">
        <v>3331</v>
      </c>
      <c r="C1252" s="960" t="s">
        <v>4256</v>
      </c>
      <c r="D1252" s="960" t="s">
        <v>1907</v>
      </c>
      <c r="E1252" s="959">
        <v>0</v>
      </c>
      <c r="F1252" s="959">
        <v>1</v>
      </c>
      <c r="G1252" s="959">
        <v>0</v>
      </c>
      <c r="H1252" s="959">
        <v>0</v>
      </c>
    </row>
    <row r="1253" spans="1:8">
      <c r="A1253" s="959" t="s">
        <v>3330</v>
      </c>
      <c r="B1253" s="960" t="s">
        <v>3331</v>
      </c>
      <c r="C1253" s="960" t="s">
        <v>4257</v>
      </c>
      <c r="D1253" s="960" t="s">
        <v>4258</v>
      </c>
      <c r="E1253" s="959">
        <v>1</v>
      </c>
      <c r="F1253" s="959">
        <v>35</v>
      </c>
      <c r="G1253" s="959">
        <v>0</v>
      </c>
      <c r="H1253" s="959">
        <v>2</v>
      </c>
    </row>
    <row r="1254" spans="1:8">
      <c r="A1254" s="959" t="s">
        <v>3330</v>
      </c>
      <c r="B1254" s="960" t="s">
        <v>3331</v>
      </c>
      <c r="C1254" s="960" t="s">
        <v>4262</v>
      </c>
      <c r="D1254" s="960" t="s">
        <v>4263</v>
      </c>
      <c r="E1254" s="959">
        <v>0</v>
      </c>
      <c r="F1254" s="959">
        <v>2</v>
      </c>
      <c r="G1254" s="959">
        <v>0</v>
      </c>
      <c r="H1254" s="959">
        <v>0</v>
      </c>
    </row>
    <row r="1255" spans="1:8">
      <c r="A1255" s="959" t="s">
        <v>3332</v>
      </c>
      <c r="B1255" s="960" t="s">
        <v>3333</v>
      </c>
      <c r="C1255" s="960" t="s">
        <v>4275</v>
      </c>
      <c r="D1255" s="960" t="s">
        <v>4276</v>
      </c>
      <c r="E1255" s="959">
        <v>1</v>
      </c>
      <c r="F1255" s="959">
        <v>14</v>
      </c>
      <c r="G1255" s="959">
        <v>0</v>
      </c>
      <c r="H1255" s="959">
        <v>0</v>
      </c>
    </row>
    <row r="1256" spans="1:8">
      <c r="A1256" s="959" t="s">
        <v>3332</v>
      </c>
      <c r="B1256" s="960" t="s">
        <v>3333</v>
      </c>
      <c r="C1256" s="960" t="s">
        <v>4277</v>
      </c>
      <c r="D1256" s="960" t="s">
        <v>4278</v>
      </c>
      <c r="E1256" s="959">
        <v>0</v>
      </c>
      <c r="F1256" s="959">
        <v>0</v>
      </c>
      <c r="G1256" s="959">
        <v>2</v>
      </c>
      <c r="H1256" s="959">
        <v>43</v>
      </c>
    </row>
    <row r="1257" spans="1:8">
      <c r="A1257" s="959" t="s">
        <v>3332</v>
      </c>
      <c r="B1257" s="960" t="s">
        <v>3333</v>
      </c>
      <c r="C1257" s="960" t="s">
        <v>4277</v>
      </c>
      <c r="D1257" s="960" t="s">
        <v>4279</v>
      </c>
      <c r="E1257" s="959">
        <v>0</v>
      </c>
      <c r="F1257" s="959">
        <v>0</v>
      </c>
      <c r="G1257" s="959">
        <v>0</v>
      </c>
      <c r="H1257" s="959">
        <v>54</v>
      </c>
    </row>
    <row r="1258" spans="1:8">
      <c r="A1258" s="959" t="s">
        <v>3332</v>
      </c>
      <c r="B1258" s="960" t="s">
        <v>3333</v>
      </c>
      <c r="C1258" s="960" t="s">
        <v>4256</v>
      </c>
      <c r="D1258" s="960" t="s">
        <v>4259</v>
      </c>
      <c r="E1258" s="959">
        <v>0</v>
      </c>
      <c r="F1258" s="959">
        <v>0</v>
      </c>
      <c r="G1258" s="959">
        <v>1</v>
      </c>
      <c r="H1258" s="959">
        <v>1</v>
      </c>
    </row>
    <row r="1259" spans="1:8">
      <c r="A1259" s="959" t="s">
        <v>3332</v>
      </c>
      <c r="B1259" s="960" t="s">
        <v>3333</v>
      </c>
      <c r="C1259" s="960" t="s">
        <v>4256</v>
      </c>
      <c r="D1259" s="960" t="s">
        <v>4260</v>
      </c>
      <c r="E1259" s="959">
        <v>0</v>
      </c>
      <c r="F1259" s="959">
        <v>0</v>
      </c>
      <c r="G1259" s="959">
        <v>1</v>
      </c>
      <c r="H1259" s="959">
        <v>10</v>
      </c>
    </row>
    <row r="1260" spans="1:8">
      <c r="A1260" s="959" t="s">
        <v>3332</v>
      </c>
      <c r="B1260" s="960" t="s">
        <v>3333</v>
      </c>
      <c r="C1260" s="960" t="s">
        <v>4256</v>
      </c>
      <c r="D1260" s="960" t="s">
        <v>1906</v>
      </c>
      <c r="E1260" s="959">
        <v>0</v>
      </c>
      <c r="F1260" s="959">
        <v>4</v>
      </c>
      <c r="G1260" s="959">
        <v>0</v>
      </c>
      <c r="H1260" s="959">
        <v>4</v>
      </c>
    </row>
    <row r="1261" spans="1:8">
      <c r="A1261" s="959" t="s">
        <v>3332</v>
      </c>
      <c r="B1261" s="960" t="s">
        <v>3333</v>
      </c>
      <c r="C1261" s="960" t="s">
        <v>4257</v>
      </c>
      <c r="D1261" s="960" t="s">
        <v>4258</v>
      </c>
      <c r="E1261" s="959">
        <v>18</v>
      </c>
      <c r="F1261" s="959">
        <v>345</v>
      </c>
      <c r="G1261" s="959">
        <v>8</v>
      </c>
      <c r="H1261" s="959">
        <v>128</v>
      </c>
    </row>
    <row r="1262" spans="1:8">
      <c r="A1262" s="959" t="s">
        <v>3332</v>
      </c>
      <c r="B1262" s="960" t="s">
        <v>3333</v>
      </c>
      <c r="C1262" s="960" t="s">
        <v>4267</v>
      </c>
      <c r="D1262" s="960" t="s">
        <v>4268</v>
      </c>
      <c r="E1262" s="959">
        <v>0</v>
      </c>
      <c r="F1262" s="959">
        <v>0</v>
      </c>
      <c r="G1262" s="959">
        <v>0</v>
      </c>
      <c r="H1262" s="959">
        <v>19</v>
      </c>
    </row>
    <row r="1263" spans="1:8">
      <c r="A1263" s="959" t="s">
        <v>3334</v>
      </c>
      <c r="B1263" s="960" t="s">
        <v>3335</v>
      </c>
      <c r="C1263" s="960" t="s">
        <v>4256</v>
      </c>
      <c r="D1263" s="960" t="s">
        <v>470</v>
      </c>
      <c r="E1263" s="959">
        <v>0</v>
      </c>
      <c r="F1263" s="959">
        <v>6</v>
      </c>
      <c r="G1263" s="959">
        <v>12</v>
      </c>
      <c r="H1263" s="959">
        <v>102</v>
      </c>
    </row>
    <row r="1264" spans="1:8">
      <c r="A1264" s="959" t="s">
        <v>3334</v>
      </c>
      <c r="B1264" s="960" t="s">
        <v>3335</v>
      </c>
      <c r="C1264" s="960" t="s">
        <v>4256</v>
      </c>
      <c r="D1264" s="960" t="s">
        <v>1904</v>
      </c>
      <c r="E1264" s="959">
        <v>0</v>
      </c>
      <c r="F1264" s="959">
        <v>2</v>
      </c>
      <c r="G1264" s="959">
        <v>0</v>
      </c>
      <c r="H1264" s="959">
        <v>56</v>
      </c>
    </row>
    <row r="1265" spans="1:8">
      <c r="A1265" s="959" t="s">
        <v>3334</v>
      </c>
      <c r="B1265" s="960" t="s">
        <v>3335</v>
      </c>
      <c r="C1265" s="960" t="s">
        <v>4256</v>
      </c>
      <c r="D1265" s="960" t="s">
        <v>4260</v>
      </c>
      <c r="E1265" s="959">
        <v>0</v>
      </c>
      <c r="F1265" s="959">
        <v>0</v>
      </c>
      <c r="G1265" s="959">
        <v>0</v>
      </c>
      <c r="H1265" s="959">
        <v>1</v>
      </c>
    </row>
    <row r="1266" spans="1:8">
      <c r="A1266" s="959" t="s">
        <v>3334</v>
      </c>
      <c r="B1266" s="960" t="s">
        <v>3335</v>
      </c>
      <c r="C1266" s="960" t="s">
        <v>4256</v>
      </c>
      <c r="D1266" s="960" t="s">
        <v>4271</v>
      </c>
      <c r="E1266" s="959">
        <v>0</v>
      </c>
      <c r="F1266" s="959">
        <v>0</v>
      </c>
      <c r="G1266" s="959">
        <v>0</v>
      </c>
      <c r="H1266" s="959">
        <v>1</v>
      </c>
    </row>
    <row r="1267" spans="1:8">
      <c r="A1267" s="959" t="s">
        <v>3334</v>
      </c>
      <c r="B1267" s="960" t="s">
        <v>3335</v>
      </c>
      <c r="C1267" s="960" t="s">
        <v>4256</v>
      </c>
      <c r="D1267" s="960" t="s">
        <v>1906</v>
      </c>
      <c r="E1267" s="959">
        <v>0</v>
      </c>
      <c r="F1267" s="959">
        <v>0</v>
      </c>
      <c r="G1267" s="959">
        <v>0</v>
      </c>
      <c r="H1267" s="959">
        <v>1</v>
      </c>
    </row>
    <row r="1268" spans="1:8">
      <c r="A1268" s="959" t="s">
        <v>3334</v>
      </c>
      <c r="B1268" s="960" t="s">
        <v>3335</v>
      </c>
      <c r="C1268" s="960" t="s">
        <v>4256</v>
      </c>
      <c r="D1268" s="960" t="s">
        <v>4264</v>
      </c>
      <c r="E1268" s="959">
        <v>0</v>
      </c>
      <c r="F1268" s="959">
        <v>0</v>
      </c>
      <c r="G1268" s="959">
        <v>0</v>
      </c>
      <c r="H1268" s="959">
        <v>1</v>
      </c>
    </row>
    <row r="1269" spans="1:8">
      <c r="A1269" s="959" t="s">
        <v>3334</v>
      </c>
      <c r="B1269" s="960" t="s">
        <v>3335</v>
      </c>
      <c r="C1269" s="960" t="s">
        <v>4256</v>
      </c>
      <c r="D1269" s="960" t="s">
        <v>4261</v>
      </c>
      <c r="E1269" s="959">
        <v>0</v>
      </c>
      <c r="F1269" s="959">
        <v>0</v>
      </c>
      <c r="G1269" s="959">
        <v>0</v>
      </c>
      <c r="H1269" s="959">
        <v>1</v>
      </c>
    </row>
    <row r="1270" spans="1:8">
      <c r="A1270" s="959" t="s">
        <v>3336</v>
      </c>
      <c r="B1270" s="960" t="s">
        <v>3337</v>
      </c>
      <c r="C1270" s="960" t="s">
        <v>4256</v>
      </c>
      <c r="D1270" s="960" t="s">
        <v>1906</v>
      </c>
      <c r="E1270" s="959">
        <v>4</v>
      </c>
      <c r="F1270" s="959">
        <v>59</v>
      </c>
      <c r="G1270" s="959">
        <v>0</v>
      </c>
      <c r="H1270" s="959">
        <v>0</v>
      </c>
    </row>
    <row r="1271" spans="1:8">
      <c r="A1271" s="959" t="s">
        <v>3336</v>
      </c>
      <c r="B1271" s="960" t="s">
        <v>3337</v>
      </c>
      <c r="C1271" s="960" t="s">
        <v>4257</v>
      </c>
      <c r="D1271" s="960" t="s">
        <v>4258</v>
      </c>
      <c r="E1271" s="959">
        <v>7</v>
      </c>
      <c r="F1271" s="959">
        <v>134</v>
      </c>
      <c r="G1271" s="959">
        <v>0</v>
      </c>
      <c r="H1271" s="959">
        <v>1</v>
      </c>
    </row>
    <row r="1272" spans="1:8">
      <c r="A1272" s="959" t="s">
        <v>3336</v>
      </c>
      <c r="B1272" s="960" t="s">
        <v>3337</v>
      </c>
      <c r="C1272" s="960" t="s">
        <v>4262</v>
      </c>
      <c r="D1272" s="960" t="s">
        <v>4263</v>
      </c>
      <c r="E1272" s="959">
        <v>2</v>
      </c>
      <c r="F1272" s="959">
        <v>33</v>
      </c>
      <c r="G1272" s="959">
        <v>0</v>
      </c>
      <c r="H1272" s="959">
        <v>0</v>
      </c>
    </row>
    <row r="1273" spans="1:8">
      <c r="A1273" s="959" t="s">
        <v>3338</v>
      </c>
      <c r="B1273" s="960" t="s">
        <v>1100</v>
      </c>
      <c r="C1273" s="960" t="s">
        <v>4262</v>
      </c>
      <c r="D1273" s="960" t="s">
        <v>4263</v>
      </c>
      <c r="E1273" s="959">
        <v>0</v>
      </c>
      <c r="F1273" s="959">
        <v>3</v>
      </c>
      <c r="G1273" s="959">
        <v>0</v>
      </c>
      <c r="H1273" s="959">
        <v>0</v>
      </c>
    </row>
    <row r="1274" spans="1:8">
      <c r="A1274" s="959" t="s">
        <v>3339</v>
      </c>
      <c r="B1274" s="960" t="s">
        <v>3340</v>
      </c>
      <c r="C1274" s="960" t="s">
        <v>4275</v>
      </c>
      <c r="D1274" s="960" t="s">
        <v>4276</v>
      </c>
      <c r="E1274" s="959">
        <v>0</v>
      </c>
      <c r="F1274" s="959">
        <v>5</v>
      </c>
      <c r="G1274" s="959">
        <v>0</v>
      </c>
      <c r="H1274" s="959">
        <v>1</v>
      </c>
    </row>
    <row r="1275" spans="1:8">
      <c r="A1275" s="959" t="s">
        <v>3339</v>
      </c>
      <c r="B1275" s="960" t="s">
        <v>3340</v>
      </c>
      <c r="C1275" s="960" t="s">
        <v>4277</v>
      </c>
      <c r="D1275" s="960" t="s">
        <v>4278</v>
      </c>
      <c r="E1275" s="959">
        <v>0</v>
      </c>
      <c r="F1275" s="959">
        <v>0</v>
      </c>
      <c r="G1275" s="959">
        <v>15</v>
      </c>
      <c r="H1275" s="959">
        <v>41</v>
      </c>
    </row>
    <row r="1276" spans="1:8">
      <c r="A1276" s="959" t="s">
        <v>3339</v>
      </c>
      <c r="B1276" s="960" t="s">
        <v>3340</v>
      </c>
      <c r="C1276" s="960" t="s">
        <v>4277</v>
      </c>
      <c r="D1276" s="960" t="s">
        <v>4279</v>
      </c>
      <c r="E1276" s="959">
        <v>0</v>
      </c>
      <c r="F1276" s="959">
        <v>0</v>
      </c>
      <c r="G1276" s="959">
        <v>6</v>
      </c>
      <c r="H1276" s="959">
        <v>458</v>
      </c>
    </row>
    <row r="1277" spans="1:8">
      <c r="A1277" s="959" t="s">
        <v>3339</v>
      </c>
      <c r="B1277" s="960" t="s">
        <v>3340</v>
      </c>
      <c r="C1277" s="960" t="s">
        <v>4256</v>
      </c>
      <c r="D1277" s="960" t="s">
        <v>4270</v>
      </c>
      <c r="E1277" s="959">
        <v>0</v>
      </c>
      <c r="F1277" s="959">
        <v>0</v>
      </c>
      <c r="G1277" s="959">
        <v>1</v>
      </c>
      <c r="H1277" s="959">
        <v>2</v>
      </c>
    </row>
    <row r="1278" spans="1:8">
      <c r="A1278" s="959" t="s">
        <v>3339</v>
      </c>
      <c r="B1278" s="960" t="s">
        <v>3340</v>
      </c>
      <c r="C1278" s="960" t="s">
        <v>4256</v>
      </c>
      <c r="D1278" s="960" t="s">
        <v>4260</v>
      </c>
      <c r="E1278" s="959">
        <v>0</v>
      </c>
      <c r="F1278" s="959">
        <v>0</v>
      </c>
      <c r="G1278" s="959">
        <v>0</v>
      </c>
      <c r="H1278" s="959">
        <v>22</v>
      </c>
    </row>
    <row r="1279" spans="1:8">
      <c r="A1279" s="959" t="s">
        <v>3339</v>
      </c>
      <c r="B1279" s="960" t="s">
        <v>3340</v>
      </c>
      <c r="C1279" s="960" t="s">
        <v>4256</v>
      </c>
      <c r="D1279" s="960" t="s">
        <v>4272</v>
      </c>
      <c r="E1279" s="959">
        <v>0</v>
      </c>
      <c r="F1279" s="959">
        <v>0</v>
      </c>
      <c r="G1279" s="959">
        <v>0</v>
      </c>
      <c r="H1279" s="959">
        <v>2</v>
      </c>
    </row>
    <row r="1280" spans="1:8">
      <c r="A1280" s="959" t="s">
        <v>3339</v>
      </c>
      <c r="B1280" s="960" t="s">
        <v>3340</v>
      </c>
      <c r="C1280" s="960" t="s">
        <v>4256</v>
      </c>
      <c r="D1280" s="960" t="s">
        <v>1906</v>
      </c>
      <c r="E1280" s="959">
        <v>2</v>
      </c>
      <c r="F1280" s="959">
        <v>25</v>
      </c>
      <c r="G1280" s="959">
        <v>1</v>
      </c>
      <c r="H1280" s="959">
        <v>17</v>
      </c>
    </row>
    <row r="1281" spans="1:8">
      <c r="A1281" s="959" t="s">
        <v>3339</v>
      </c>
      <c r="B1281" s="960" t="s">
        <v>3340</v>
      </c>
      <c r="C1281" s="960" t="s">
        <v>4256</v>
      </c>
      <c r="D1281" s="960" t="s">
        <v>4264</v>
      </c>
      <c r="E1281" s="959">
        <v>0</v>
      </c>
      <c r="F1281" s="959">
        <v>0</v>
      </c>
      <c r="G1281" s="959">
        <v>0</v>
      </c>
      <c r="H1281" s="959">
        <v>2</v>
      </c>
    </row>
    <row r="1282" spans="1:8">
      <c r="A1282" s="959" t="s">
        <v>3339</v>
      </c>
      <c r="B1282" s="960" t="s">
        <v>3340</v>
      </c>
      <c r="C1282" s="960" t="s">
        <v>4256</v>
      </c>
      <c r="D1282" s="960" t="s">
        <v>4261</v>
      </c>
      <c r="E1282" s="959">
        <v>0</v>
      </c>
      <c r="F1282" s="959">
        <v>0</v>
      </c>
      <c r="G1282" s="959">
        <v>2</v>
      </c>
      <c r="H1282" s="959">
        <v>20</v>
      </c>
    </row>
    <row r="1283" spans="1:8">
      <c r="A1283" s="959" t="s">
        <v>3339</v>
      </c>
      <c r="B1283" s="960" t="s">
        <v>3340</v>
      </c>
      <c r="C1283" s="960" t="s">
        <v>4257</v>
      </c>
      <c r="D1283" s="960" t="s">
        <v>4258</v>
      </c>
      <c r="E1283" s="959">
        <v>88</v>
      </c>
      <c r="F1283" s="959">
        <v>1170</v>
      </c>
      <c r="G1283" s="959">
        <v>12</v>
      </c>
      <c r="H1283" s="959">
        <v>154</v>
      </c>
    </row>
    <row r="1284" spans="1:8">
      <c r="A1284" s="959" t="s">
        <v>3342</v>
      </c>
      <c r="B1284" s="960" t="s">
        <v>3343</v>
      </c>
      <c r="C1284" s="960" t="s">
        <v>4256</v>
      </c>
      <c r="D1284" s="960" t="s">
        <v>470</v>
      </c>
      <c r="E1284" s="959">
        <v>0</v>
      </c>
      <c r="F1284" s="959">
        <v>0</v>
      </c>
      <c r="G1284" s="959">
        <v>0</v>
      </c>
      <c r="H1284" s="959">
        <v>1</v>
      </c>
    </row>
    <row r="1285" spans="1:8">
      <c r="A1285" s="959" t="s">
        <v>3342</v>
      </c>
      <c r="B1285" s="960" t="s">
        <v>3343</v>
      </c>
      <c r="C1285" s="960" t="s">
        <v>4256</v>
      </c>
      <c r="D1285" s="960" t="s">
        <v>4259</v>
      </c>
      <c r="E1285" s="959">
        <v>0</v>
      </c>
      <c r="F1285" s="959">
        <v>1</v>
      </c>
      <c r="G1285" s="959">
        <v>0</v>
      </c>
      <c r="H1285" s="959">
        <v>8</v>
      </c>
    </row>
    <row r="1286" spans="1:8">
      <c r="A1286" s="959" t="s">
        <v>3342</v>
      </c>
      <c r="B1286" s="960" t="s">
        <v>3343</v>
      </c>
      <c r="C1286" s="960" t="s">
        <v>4256</v>
      </c>
      <c r="D1286" s="960" t="s">
        <v>4260</v>
      </c>
      <c r="E1286" s="959">
        <v>0</v>
      </c>
      <c r="F1286" s="959">
        <v>0</v>
      </c>
      <c r="G1286" s="959">
        <v>0</v>
      </c>
      <c r="H1286" s="959">
        <v>3</v>
      </c>
    </row>
    <row r="1287" spans="1:8">
      <c r="A1287" s="959" t="s">
        <v>3342</v>
      </c>
      <c r="B1287" s="960" t="s">
        <v>3343</v>
      </c>
      <c r="C1287" s="960" t="s">
        <v>4256</v>
      </c>
      <c r="D1287" s="960" t="s">
        <v>1906</v>
      </c>
      <c r="E1287" s="959">
        <v>44</v>
      </c>
      <c r="F1287" s="959">
        <v>1004</v>
      </c>
      <c r="G1287" s="959">
        <v>4</v>
      </c>
      <c r="H1287" s="959">
        <v>50</v>
      </c>
    </row>
    <row r="1288" spans="1:8">
      <c r="A1288" s="959" t="s">
        <v>3342</v>
      </c>
      <c r="B1288" s="960" t="s">
        <v>3343</v>
      </c>
      <c r="C1288" s="960" t="s">
        <v>4256</v>
      </c>
      <c r="D1288" s="960" t="s">
        <v>4264</v>
      </c>
      <c r="E1288" s="959">
        <v>0</v>
      </c>
      <c r="F1288" s="959">
        <v>0</v>
      </c>
      <c r="G1288" s="959">
        <v>0</v>
      </c>
      <c r="H1288" s="959">
        <v>6</v>
      </c>
    </row>
    <row r="1289" spans="1:8">
      <c r="A1289" s="959" t="s">
        <v>3342</v>
      </c>
      <c r="B1289" s="960" t="s">
        <v>3343</v>
      </c>
      <c r="C1289" s="960" t="s">
        <v>4257</v>
      </c>
      <c r="D1289" s="960" t="s">
        <v>4258</v>
      </c>
      <c r="E1289" s="959">
        <v>20</v>
      </c>
      <c r="F1289" s="959">
        <v>429</v>
      </c>
      <c r="G1289" s="959">
        <v>5</v>
      </c>
      <c r="H1289" s="959">
        <v>63</v>
      </c>
    </row>
    <row r="1290" spans="1:8">
      <c r="A1290" s="959" t="s">
        <v>3342</v>
      </c>
      <c r="B1290" s="960" t="s">
        <v>3343</v>
      </c>
      <c r="C1290" s="960" t="s">
        <v>4262</v>
      </c>
      <c r="D1290" s="960" t="s">
        <v>4263</v>
      </c>
      <c r="E1290" s="959">
        <v>27</v>
      </c>
      <c r="F1290" s="959">
        <v>964</v>
      </c>
      <c r="G1290" s="959">
        <v>0</v>
      </c>
      <c r="H1290" s="959">
        <v>12</v>
      </c>
    </row>
    <row r="1291" spans="1:8">
      <c r="A1291" s="959" t="s">
        <v>3345</v>
      </c>
      <c r="B1291" s="960" t="s">
        <v>3346</v>
      </c>
      <c r="C1291" s="960" t="s">
        <v>4275</v>
      </c>
      <c r="D1291" s="960" t="s">
        <v>4276</v>
      </c>
      <c r="E1291" s="959">
        <v>0</v>
      </c>
      <c r="F1291" s="959">
        <v>2</v>
      </c>
      <c r="G1291" s="959">
        <v>0</v>
      </c>
      <c r="H1291" s="959">
        <v>0</v>
      </c>
    </row>
    <row r="1292" spans="1:8">
      <c r="A1292" s="959" t="s">
        <v>3345</v>
      </c>
      <c r="B1292" s="960" t="s">
        <v>3346</v>
      </c>
      <c r="C1292" s="960" t="s">
        <v>4256</v>
      </c>
      <c r="D1292" s="960" t="s">
        <v>1904</v>
      </c>
      <c r="E1292" s="959">
        <v>0</v>
      </c>
      <c r="F1292" s="959">
        <v>1</v>
      </c>
      <c r="G1292" s="959">
        <v>0</v>
      </c>
      <c r="H1292" s="959">
        <v>5</v>
      </c>
    </row>
    <row r="1293" spans="1:8">
      <c r="A1293" s="959" t="s">
        <v>3345</v>
      </c>
      <c r="B1293" s="960" t="s">
        <v>3346</v>
      </c>
      <c r="C1293" s="960" t="s">
        <v>4256</v>
      </c>
      <c r="D1293" s="960" t="s">
        <v>4270</v>
      </c>
      <c r="E1293" s="959">
        <v>0</v>
      </c>
      <c r="F1293" s="959">
        <v>0</v>
      </c>
      <c r="G1293" s="959">
        <v>0</v>
      </c>
      <c r="H1293" s="959">
        <v>1</v>
      </c>
    </row>
    <row r="1294" spans="1:8">
      <c r="A1294" s="959" t="s">
        <v>3345</v>
      </c>
      <c r="B1294" s="960" t="s">
        <v>3346</v>
      </c>
      <c r="C1294" s="960" t="s">
        <v>4256</v>
      </c>
      <c r="D1294" s="960" t="s">
        <v>4259</v>
      </c>
      <c r="E1294" s="959">
        <v>0</v>
      </c>
      <c r="F1294" s="959">
        <v>0</v>
      </c>
      <c r="G1294" s="959">
        <v>12</v>
      </c>
      <c r="H1294" s="959">
        <v>52</v>
      </c>
    </row>
    <row r="1295" spans="1:8">
      <c r="A1295" s="959" t="s">
        <v>3345</v>
      </c>
      <c r="B1295" s="960" t="s">
        <v>3346</v>
      </c>
      <c r="C1295" s="960" t="s">
        <v>4256</v>
      </c>
      <c r="D1295" s="960" t="s">
        <v>4260</v>
      </c>
      <c r="E1295" s="959">
        <v>1</v>
      </c>
      <c r="F1295" s="959">
        <v>0</v>
      </c>
      <c r="G1295" s="959">
        <v>3</v>
      </c>
      <c r="H1295" s="959">
        <v>22</v>
      </c>
    </row>
    <row r="1296" spans="1:8">
      <c r="A1296" s="959" t="s">
        <v>3345</v>
      </c>
      <c r="B1296" s="960" t="s">
        <v>3346</v>
      </c>
      <c r="C1296" s="960" t="s">
        <v>4256</v>
      </c>
      <c r="D1296" s="960" t="s">
        <v>4265</v>
      </c>
      <c r="E1296" s="959">
        <v>0</v>
      </c>
      <c r="F1296" s="959">
        <v>0</v>
      </c>
      <c r="G1296" s="959">
        <v>1</v>
      </c>
      <c r="H1296" s="959">
        <v>5</v>
      </c>
    </row>
    <row r="1297" spans="1:8">
      <c r="A1297" s="959" t="s">
        <v>3345</v>
      </c>
      <c r="B1297" s="960" t="s">
        <v>3346</v>
      </c>
      <c r="C1297" s="960" t="s">
        <v>4256</v>
      </c>
      <c r="D1297" s="960" t="s">
        <v>1906</v>
      </c>
      <c r="E1297" s="959">
        <v>8</v>
      </c>
      <c r="F1297" s="959">
        <v>111</v>
      </c>
      <c r="G1297" s="959">
        <v>2</v>
      </c>
      <c r="H1297" s="959">
        <v>27</v>
      </c>
    </row>
    <row r="1298" spans="1:8">
      <c r="A1298" s="959" t="s">
        <v>3345</v>
      </c>
      <c r="B1298" s="960" t="s">
        <v>3346</v>
      </c>
      <c r="C1298" s="960" t="s">
        <v>4256</v>
      </c>
      <c r="D1298" s="960" t="s">
        <v>4261</v>
      </c>
      <c r="E1298" s="959">
        <v>0</v>
      </c>
      <c r="F1298" s="959">
        <v>0</v>
      </c>
      <c r="G1298" s="959">
        <v>0</v>
      </c>
      <c r="H1298" s="959">
        <v>10</v>
      </c>
    </row>
    <row r="1299" spans="1:8">
      <c r="A1299" s="959" t="s">
        <v>3345</v>
      </c>
      <c r="B1299" s="960" t="s">
        <v>3346</v>
      </c>
      <c r="C1299" s="960" t="s">
        <v>4257</v>
      </c>
      <c r="D1299" s="960" t="s">
        <v>4258</v>
      </c>
      <c r="E1299" s="959">
        <v>10</v>
      </c>
      <c r="F1299" s="959">
        <v>200</v>
      </c>
      <c r="G1299" s="959">
        <v>20</v>
      </c>
      <c r="H1299" s="959">
        <v>127</v>
      </c>
    </row>
    <row r="1300" spans="1:8">
      <c r="A1300" s="959" t="s">
        <v>3345</v>
      </c>
      <c r="B1300" s="960" t="s">
        <v>3346</v>
      </c>
      <c r="C1300" s="960" t="s">
        <v>4262</v>
      </c>
      <c r="D1300" s="960" t="s">
        <v>4263</v>
      </c>
      <c r="E1300" s="959">
        <v>3</v>
      </c>
      <c r="F1300" s="959">
        <v>194</v>
      </c>
      <c r="G1300" s="959">
        <v>0</v>
      </c>
      <c r="H1300" s="959">
        <v>19</v>
      </c>
    </row>
    <row r="1301" spans="1:8">
      <c r="A1301" s="959" t="s">
        <v>3347</v>
      </c>
      <c r="B1301" s="960" t="s">
        <v>3348</v>
      </c>
      <c r="C1301" s="960" t="s">
        <v>4275</v>
      </c>
      <c r="D1301" s="960" t="s">
        <v>4276</v>
      </c>
      <c r="E1301" s="959">
        <v>1</v>
      </c>
      <c r="F1301" s="959">
        <v>15</v>
      </c>
      <c r="G1301" s="959">
        <v>0</v>
      </c>
      <c r="H1301" s="959">
        <v>0</v>
      </c>
    </row>
    <row r="1302" spans="1:8">
      <c r="A1302" s="959" t="s">
        <v>3347</v>
      </c>
      <c r="B1302" s="960" t="s">
        <v>3348</v>
      </c>
      <c r="C1302" s="960" t="s">
        <v>4256</v>
      </c>
      <c r="D1302" s="960" t="s">
        <v>1906</v>
      </c>
      <c r="E1302" s="959">
        <v>2</v>
      </c>
      <c r="F1302" s="959">
        <v>22</v>
      </c>
      <c r="G1302" s="959">
        <v>0</v>
      </c>
      <c r="H1302" s="959">
        <v>0</v>
      </c>
    </row>
    <row r="1303" spans="1:8">
      <c r="A1303" s="959" t="s">
        <v>3347</v>
      </c>
      <c r="B1303" s="960" t="s">
        <v>3348</v>
      </c>
      <c r="C1303" s="960" t="s">
        <v>4256</v>
      </c>
      <c r="D1303" s="960" t="s">
        <v>1907</v>
      </c>
      <c r="E1303" s="959">
        <v>0</v>
      </c>
      <c r="F1303" s="959">
        <v>3</v>
      </c>
      <c r="G1303" s="959">
        <v>2</v>
      </c>
      <c r="H1303" s="959">
        <v>30</v>
      </c>
    </row>
    <row r="1304" spans="1:8">
      <c r="A1304" s="959" t="s">
        <v>3347</v>
      </c>
      <c r="B1304" s="960" t="s">
        <v>3348</v>
      </c>
      <c r="C1304" s="960" t="s">
        <v>4257</v>
      </c>
      <c r="D1304" s="960" t="s">
        <v>4258</v>
      </c>
      <c r="E1304" s="959">
        <v>2</v>
      </c>
      <c r="F1304" s="959">
        <v>21</v>
      </c>
      <c r="G1304" s="959">
        <v>0</v>
      </c>
      <c r="H1304" s="959">
        <v>2</v>
      </c>
    </row>
    <row r="1305" spans="1:8">
      <c r="A1305" s="959" t="s">
        <v>3347</v>
      </c>
      <c r="B1305" s="960" t="s">
        <v>3348</v>
      </c>
      <c r="C1305" s="960" t="s">
        <v>4262</v>
      </c>
      <c r="D1305" s="960" t="s">
        <v>4263</v>
      </c>
      <c r="E1305" s="959">
        <v>0</v>
      </c>
      <c r="F1305" s="959">
        <v>21</v>
      </c>
      <c r="G1305" s="959">
        <v>0</v>
      </c>
      <c r="H1305" s="959">
        <v>0</v>
      </c>
    </row>
    <row r="1306" spans="1:8">
      <c r="A1306" s="959" t="s">
        <v>3349</v>
      </c>
      <c r="B1306" s="960" t="s">
        <v>3350</v>
      </c>
      <c r="C1306" s="960" t="s">
        <v>4275</v>
      </c>
      <c r="D1306" s="960" t="s">
        <v>4276</v>
      </c>
      <c r="E1306" s="959">
        <v>0</v>
      </c>
      <c r="F1306" s="959">
        <v>1</v>
      </c>
      <c r="G1306" s="959">
        <v>0</v>
      </c>
      <c r="H1306" s="959">
        <v>0</v>
      </c>
    </row>
    <row r="1307" spans="1:8">
      <c r="A1307" s="959" t="s">
        <v>3349</v>
      </c>
      <c r="B1307" s="960" t="s">
        <v>3350</v>
      </c>
      <c r="C1307" s="960" t="s">
        <v>4256</v>
      </c>
      <c r="D1307" s="960" t="s">
        <v>1906</v>
      </c>
      <c r="E1307" s="959">
        <v>0</v>
      </c>
      <c r="F1307" s="959">
        <v>1</v>
      </c>
      <c r="G1307" s="959">
        <v>0</v>
      </c>
      <c r="H1307" s="959">
        <v>0</v>
      </c>
    </row>
    <row r="1308" spans="1:8">
      <c r="A1308" s="959" t="s">
        <v>3349</v>
      </c>
      <c r="B1308" s="960" t="s">
        <v>3350</v>
      </c>
      <c r="C1308" s="960" t="s">
        <v>4257</v>
      </c>
      <c r="D1308" s="960" t="s">
        <v>4258</v>
      </c>
      <c r="E1308" s="959">
        <v>2</v>
      </c>
      <c r="F1308" s="959">
        <v>60</v>
      </c>
      <c r="G1308" s="959">
        <v>0</v>
      </c>
      <c r="H1308" s="959">
        <v>1</v>
      </c>
    </row>
    <row r="1309" spans="1:8">
      <c r="A1309" s="959" t="s">
        <v>3349</v>
      </c>
      <c r="B1309" s="960" t="s">
        <v>3350</v>
      </c>
      <c r="C1309" s="960" t="s">
        <v>4262</v>
      </c>
      <c r="D1309" s="960" t="s">
        <v>4263</v>
      </c>
      <c r="E1309" s="959">
        <v>0</v>
      </c>
      <c r="F1309" s="959">
        <v>5</v>
      </c>
      <c r="G1309" s="959">
        <v>0</v>
      </c>
      <c r="H1309" s="959">
        <v>0</v>
      </c>
    </row>
    <row r="1310" spans="1:8">
      <c r="A1310" s="959" t="s">
        <v>3351</v>
      </c>
      <c r="B1310" s="960" t="s">
        <v>3352</v>
      </c>
      <c r="C1310" s="960" t="s">
        <v>4256</v>
      </c>
      <c r="D1310" s="960" t="s">
        <v>470</v>
      </c>
      <c r="E1310" s="959">
        <v>0</v>
      </c>
      <c r="F1310" s="959">
        <v>0</v>
      </c>
      <c r="G1310" s="959">
        <v>0</v>
      </c>
      <c r="H1310" s="959">
        <v>14</v>
      </c>
    </row>
    <row r="1311" spans="1:8">
      <c r="A1311" s="959" t="s">
        <v>3351</v>
      </c>
      <c r="B1311" s="960" t="s">
        <v>3352</v>
      </c>
      <c r="C1311" s="960" t="s">
        <v>4256</v>
      </c>
      <c r="D1311" s="960" t="s">
        <v>4270</v>
      </c>
      <c r="E1311" s="959">
        <v>0</v>
      </c>
      <c r="F1311" s="959">
        <v>0</v>
      </c>
      <c r="G1311" s="959">
        <v>1</v>
      </c>
      <c r="H1311" s="959">
        <v>1</v>
      </c>
    </row>
    <row r="1312" spans="1:8">
      <c r="A1312" s="959" t="s">
        <v>3351</v>
      </c>
      <c r="B1312" s="960" t="s">
        <v>3352</v>
      </c>
      <c r="C1312" s="960" t="s">
        <v>4256</v>
      </c>
      <c r="D1312" s="960" t="s">
        <v>4260</v>
      </c>
      <c r="E1312" s="959">
        <v>0</v>
      </c>
      <c r="F1312" s="959">
        <v>0</v>
      </c>
      <c r="G1312" s="959">
        <v>0</v>
      </c>
      <c r="H1312" s="959">
        <v>2</v>
      </c>
    </row>
    <row r="1313" spans="1:8">
      <c r="A1313" s="959" t="s">
        <v>3351</v>
      </c>
      <c r="B1313" s="960" t="s">
        <v>3352</v>
      </c>
      <c r="C1313" s="960" t="s">
        <v>4256</v>
      </c>
      <c r="D1313" s="960" t="s">
        <v>4264</v>
      </c>
      <c r="E1313" s="959">
        <v>0</v>
      </c>
      <c r="F1313" s="959">
        <v>0</v>
      </c>
      <c r="G1313" s="959">
        <v>0</v>
      </c>
      <c r="H1313" s="959">
        <v>2</v>
      </c>
    </row>
    <row r="1314" spans="1:8">
      <c r="A1314" s="959" t="s">
        <v>3351</v>
      </c>
      <c r="B1314" s="960" t="s">
        <v>3352</v>
      </c>
      <c r="C1314" s="960" t="s">
        <v>4256</v>
      </c>
      <c r="D1314" s="960" t="s">
        <v>4261</v>
      </c>
      <c r="E1314" s="959">
        <v>0</v>
      </c>
      <c r="F1314" s="959">
        <v>0</v>
      </c>
      <c r="G1314" s="959">
        <v>0</v>
      </c>
      <c r="H1314" s="959">
        <v>2</v>
      </c>
    </row>
    <row r="1315" spans="1:8">
      <c r="A1315" s="959" t="s">
        <v>3351</v>
      </c>
      <c r="B1315" s="960" t="s">
        <v>3352</v>
      </c>
      <c r="C1315" s="960" t="s">
        <v>4257</v>
      </c>
      <c r="D1315" s="960" t="s">
        <v>4258</v>
      </c>
      <c r="E1315" s="959">
        <v>0</v>
      </c>
      <c r="F1315" s="959">
        <v>3</v>
      </c>
      <c r="G1315" s="959">
        <v>0</v>
      </c>
      <c r="H1315" s="959">
        <v>6</v>
      </c>
    </row>
    <row r="1316" spans="1:8">
      <c r="A1316" s="959" t="s">
        <v>3353</v>
      </c>
      <c r="B1316" s="960" t="s">
        <v>3354</v>
      </c>
      <c r="C1316" s="960" t="s">
        <v>4257</v>
      </c>
      <c r="D1316" s="960" t="s">
        <v>4258</v>
      </c>
      <c r="E1316" s="959">
        <v>0</v>
      </c>
      <c r="F1316" s="959">
        <v>3</v>
      </c>
      <c r="G1316" s="959">
        <v>0</v>
      </c>
      <c r="H1316" s="959">
        <v>0</v>
      </c>
    </row>
    <row r="1317" spans="1:8">
      <c r="A1317" s="959" t="s">
        <v>3353</v>
      </c>
      <c r="B1317" s="960" t="s">
        <v>3354</v>
      </c>
      <c r="C1317" s="960" t="s">
        <v>4262</v>
      </c>
      <c r="D1317" s="960" t="s">
        <v>4263</v>
      </c>
      <c r="E1317" s="959">
        <v>0</v>
      </c>
      <c r="F1317" s="959">
        <v>1</v>
      </c>
      <c r="G1317" s="959">
        <v>0</v>
      </c>
      <c r="H1317" s="959">
        <v>0</v>
      </c>
    </row>
    <row r="1318" spans="1:8">
      <c r="A1318" s="959" t="s">
        <v>3355</v>
      </c>
      <c r="B1318" s="960" t="s">
        <v>3356</v>
      </c>
      <c r="C1318" s="960" t="s">
        <v>4256</v>
      </c>
      <c r="D1318" s="960" t="s">
        <v>1906</v>
      </c>
      <c r="E1318" s="959">
        <v>0</v>
      </c>
      <c r="F1318" s="959">
        <v>2</v>
      </c>
      <c r="G1318" s="959">
        <v>0</v>
      </c>
      <c r="H1318" s="959">
        <v>0</v>
      </c>
    </row>
    <row r="1319" spans="1:8">
      <c r="A1319" s="959" t="s">
        <v>3355</v>
      </c>
      <c r="B1319" s="960" t="s">
        <v>3356</v>
      </c>
      <c r="C1319" s="960" t="s">
        <v>4257</v>
      </c>
      <c r="D1319" s="960" t="s">
        <v>4258</v>
      </c>
      <c r="E1319" s="959">
        <v>14</v>
      </c>
      <c r="F1319" s="959">
        <v>93</v>
      </c>
      <c r="G1319" s="959">
        <v>2</v>
      </c>
      <c r="H1319" s="959">
        <v>9</v>
      </c>
    </row>
    <row r="1320" spans="1:8">
      <c r="A1320" s="959" t="s">
        <v>3355</v>
      </c>
      <c r="B1320" s="960" t="s">
        <v>3356</v>
      </c>
      <c r="C1320" s="960" t="s">
        <v>4262</v>
      </c>
      <c r="D1320" s="960" t="s">
        <v>4263</v>
      </c>
      <c r="E1320" s="959">
        <v>9</v>
      </c>
      <c r="F1320" s="959">
        <v>403</v>
      </c>
      <c r="G1320" s="959">
        <v>0</v>
      </c>
      <c r="H1320" s="959">
        <v>23</v>
      </c>
    </row>
    <row r="1321" spans="1:8">
      <c r="A1321" s="959" t="s">
        <v>3357</v>
      </c>
      <c r="B1321" s="960" t="s">
        <v>342</v>
      </c>
      <c r="C1321" s="960" t="s">
        <v>4256</v>
      </c>
      <c r="D1321" s="960" t="s">
        <v>4259</v>
      </c>
      <c r="E1321" s="959">
        <v>0</v>
      </c>
      <c r="F1321" s="959">
        <v>0</v>
      </c>
      <c r="G1321" s="959">
        <v>0</v>
      </c>
      <c r="H1321" s="959">
        <v>1</v>
      </c>
    </row>
    <row r="1322" spans="1:8">
      <c r="A1322" s="959" t="s">
        <v>3357</v>
      </c>
      <c r="B1322" s="960" t="s">
        <v>342</v>
      </c>
      <c r="C1322" s="960" t="s">
        <v>4256</v>
      </c>
      <c r="D1322" s="960" t="s">
        <v>4260</v>
      </c>
      <c r="E1322" s="959">
        <v>0</v>
      </c>
      <c r="F1322" s="959">
        <v>0</v>
      </c>
      <c r="G1322" s="959">
        <v>0</v>
      </c>
      <c r="H1322" s="959">
        <v>1</v>
      </c>
    </row>
    <row r="1323" spans="1:8">
      <c r="A1323" s="959" t="s">
        <v>3357</v>
      </c>
      <c r="B1323" s="960" t="s">
        <v>342</v>
      </c>
      <c r="C1323" s="960" t="s">
        <v>4256</v>
      </c>
      <c r="D1323" s="960" t="s">
        <v>4265</v>
      </c>
      <c r="E1323" s="959">
        <v>0</v>
      </c>
      <c r="F1323" s="959">
        <v>0</v>
      </c>
      <c r="G1323" s="959">
        <v>0</v>
      </c>
      <c r="H1323" s="959">
        <v>1</v>
      </c>
    </row>
    <row r="1324" spans="1:8">
      <c r="A1324" s="959" t="s">
        <v>3357</v>
      </c>
      <c r="B1324" s="960" t="s">
        <v>342</v>
      </c>
      <c r="C1324" s="960" t="s">
        <v>4267</v>
      </c>
      <c r="D1324" s="960" t="s">
        <v>4268</v>
      </c>
      <c r="E1324" s="959">
        <v>0</v>
      </c>
      <c r="F1324" s="959">
        <v>0</v>
      </c>
      <c r="G1324" s="959">
        <v>0</v>
      </c>
      <c r="H1324" s="959">
        <v>1</v>
      </c>
    </row>
    <row r="1325" spans="1:8">
      <c r="A1325" s="959" t="s">
        <v>3358</v>
      </c>
      <c r="B1325" s="960" t="s">
        <v>3359</v>
      </c>
      <c r="C1325" s="960" t="s">
        <v>4256</v>
      </c>
      <c r="D1325" s="960" t="s">
        <v>4259</v>
      </c>
      <c r="E1325" s="959">
        <v>0</v>
      </c>
      <c r="F1325" s="959">
        <v>0</v>
      </c>
      <c r="G1325" s="959">
        <v>0</v>
      </c>
      <c r="H1325" s="959">
        <v>1</v>
      </c>
    </row>
    <row r="1326" spans="1:8">
      <c r="A1326" s="959" t="s">
        <v>3358</v>
      </c>
      <c r="B1326" s="960" t="s">
        <v>3359</v>
      </c>
      <c r="C1326" s="960" t="s">
        <v>4256</v>
      </c>
      <c r="D1326" s="960" t="s">
        <v>4260</v>
      </c>
      <c r="E1326" s="959">
        <v>0</v>
      </c>
      <c r="F1326" s="959">
        <v>0</v>
      </c>
      <c r="G1326" s="959">
        <v>0</v>
      </c>
      <c r="H1326" s="959">
        <v>2</v>
      </c>
    </row>
    <row r="1327" spans="1:8">
      <c r="A1327" s="959" t="s">
        <v>3358</v>
      </c>
      <c r="B1327" s="960" t="s">
        <v>3359</v>
      </c>
      <c r="C1327" s="960" t="s">
        <v>4256</v>
      </c>
      <c r="D1327" s="960" t="s">
        <v>1906</v>
      </c>
      <c r="E1327" s="959">
        <v>7</v>
      </c>
      <c r="F1327" s="959">
        <v>98</v>
      </c>
      <c r="G1327" s="959">
        <v>0</v>
      </c>
      <c r="H1327" s="959">
        <v>0</v>
      </c>
    </row>
    <row r="1328" spans="1:8">
      <c r="A1328" s="959" t="s">
        <v>3358</v>
      </c>
      <c r="B1328" s="960" t="s">
        <v>3359</v>
      </c>
      <c r="C1328" s="960" t="s">
        <v>4256</v>
      </c>
      <c r="D1328" s="960" t="s">
        <v>4264</v>
      </c>
      <c r="E1328" s="959">
        <v>0</v>
      </c>
      <c r="F1328" s="959">
        <v>2</v>
      </c>
      <c r="G1328" s="959">
        <v>0</v>
      </c>
      <c r="H1328" s="959">
        <v>0</v>
      </c>
    </row>
    <row r="1329" spans="1:8">
      <c r="A1329" s="959" t="s">
        <v>3358</v>
      </c>
      <c r="B1329" s="960" t="s">
        <v>3359</v>
      </c>
      <c r="C1329" s="960" t="s">
        <v>4257</v>
      </c>
      <c r="D1329" s="960" t="s">
        <v>4258</v>
      </c>
      <c r="E1329" s="959">
        <v>6</v>
      </c>
      <c r="F1329" s="959">
        <v>86</v>
      </c>
      <c r="G1329" s="959">
        <v>0</v>
      </c>
      <c r="H1329" s="959">
        <v>0</v>
      </c>
    </row>
    <row r="1330" spans="1:8">
      <c r="A1330" s="959" t="s">
        <v>3358</v>
      </c>
      <c r="B1330" s="960" t="s">
        <v>3359</v>
      </c>
      <c r="C1330" s="960" t="s">
        <v>4262</v>
      </c>
      <c r="D1330" s="960" t="s">
        <v>4263</v>
      </c>
      <c r="E1330" s="959">
        <v>2</v>
      </c>
      <c r="F1330" s="959">
        <v>13</v>
      </c>
      <c r="G1330" s="959">
        <v>0</v>
      </c>
      <c r="H1330" s="959">
        <v>1</v>
      </c>
    </row>
    <row r="1331" spans="1:8">
      <c r="A1331" s="959" t="s">
        <v>3358</v>
      </c>
      <c r="B1331" s="960" t="s">
        <v>3359</v>
      </c>
      <c r="C1331" s="960" t="s">
        <v>4267</v>
      </c>
      <c r="D1331" s="960" t="s">
        <v>4268</v>
      </c>
      <c r="E1331" s="959">
        <v>0</v>
      </c>
      <c r="F1331" s="959">
        <v>0</v>
      </c>
      <c r="G1331" s="959">
        <v>0</v>
      </c>
      <c r="H1331" s="959">
        <v>8</v>
      </c>
    </row>
    <row r="1332" spans="1:8">
      <c r="A1332" s="959" t="s">
        <v>3360</v>
      </c>
      <c r="B1332" s="960" t="s">
        <v>1102</v>
      </c>
      <c r="C1332" s="960" t="s">
        <v>4256</v>
      </c>
      <c r="D1332" s="960" t="s">
        <v>4259</v>
      </c>
      <c r="E1332" s="959">
        <v>0</v>
      </c>
      <c r="F1332" s="959">
        <v>0</v>
      </c>
      <c r="G1332" s="959">
        <v>0</v>
      </c>
      <c r="H1332" s="959">
        <v>5</v>
      </c>
    </row>
    <row r="1333" spans="1:8">
      <c r="A1333" s="959" t="s">
        <v>3360</v>
      </c>
      <c r="B1333" s="960" t="s">
        <v>1102</v>
      </c>
      <c r="C1333" s="960" t="s">
        <v>4256</v>
      </c>
      <c r="D1333" s="960" t="s">
        <v>4260</v>
      </c>
      <c r="E1333" s="959">
        <v>0</v>
      </c>
      <c r="F1333" s="959">
        <v>3</v>
      </c>
      <c r="G1333" s="959">
        <v>0</v>
      </c>
      <c r="H1333" s="959">
        <v>3</v>
      </c>
    </row>
    <row r="1334" spans="1:8">
      <c r="A1334" s="959" t="s">
        <v>3360</v>
      </c>
      <c r="B1334" s="960" t="s">
        <v>1102</v>
      </c>
      <c r="C1334" s="960" t="s">
        <v>4256</v>
      </c>
      <c r="D1334" s="960" t="s">
        <v>4265</v>
      </c>
      <c r="E1334" s="959">
        <v>0</v>
      </c>
      <c r="F1334" s="959">
        <v>1</v>
      </c>
      <c r="G1334" s="959">
        <v>0</v>
      </c>
      <c r="H1334" s="959">
        <v>0</v>
      </c>
    </row>
    <row r="1335" spans="1:8">
      <c r="A1335" s="959" t="s">
        <v>3360</v>
      </c>
      <c r="B1335" s="960" t="s">
        <v>1102</v>
      </c>
      <c r="C1335" s="960" t="s">
        <v>4256</v>
      </c>
      <c r="D1335" s="960" t="s">
        <v>1906</v>
      </c>
      <c r="E1335" s="959">
        <v>0</v>
      </c>
      <c r="F1335" s="959">
        <v>4</v>
      </c>
      <c r="G1335" s="959">
        <v>0</v>
      </c>
      <c r="H1335" s="959">
        <v>0</v>
      </c>
    </row>
    <row r="1336" spans="1:8">
      <c r="A1336" s="959" t="s">
        <v>3360</v>
      </c>
      <c r="B1336" s="960" t="s">
        <v>1102</v>
      </c>
      <c r="C1336" s="960" t="s">
        <v>4257</v>
      </c>
      <c r="D1336" s="960" t="s">
        <v>4258</v>
      </c>
      <c r="E1336" s="959">
        <v>1</v>
      </c>
      <c r="F1336" s="959">
        <v>26</v>
      </c>
      <c r="G1336" s="959">
        <v>0</v>
      </c>
      <c r="H1336" s="959">
        <v>0</v>
      </c>
    </row>
    <row r="1337" spans="1:8">
      <c r="A1337" s="959" t="s">
        <v>3360</v>
      </c>
      <c r="B1337" s="960" t="s">
        <v>1102</v>
      </c>
      <c r="C1337" s="960" t="s">
        <v>4262</v>
      </c>
      <c r="D1337" s="960" t="s">
        <v>4263</v>
      </c>
      <c r="E1337" s="959">
        <v>23</v>
      </c>
      <c r="F1337" s="959">
        <v>471</v>
      </c>
      <c r="G1337" s="959">
        <v>0</v>
      </c>
      <c r="H1337" s="959">
        <v>0</v>
      </c>
    </row>
    <row r="1338" spans="1:8">
      <c r="A1338" s="959" t="s">
        <v>3361</v>
      </c>
      <c r="B1338" s="960" t="s">
        <v>3362</v>
      </c>
      <c r="C1338" s="960" t="s">
        <v>4256</v>
      </c>
      <c r="D1338" s="960" t="s">
        <v>470</v>
      </c>
      <c r="E1338" s="959">
        <v>0</v>
      </c>
      <c r="F1338" s="959">
        <v>0</v>
      </c>
      <c r="G1338" s="959">
        <v>0</v>
      </c>
      <c r="H1338" s="959">
        <v>1</v>
      </c>
    </row>
    <row r="1339" spans="1:8">
      <c r="A1339" s="959" t="s">
        <v>3363</v>
      </c>
      <c r="B1339" s="960" t="s">
        <v>3364</v>
      </c>
      <c r="C1339" s="960" t="s">
        <v>4256</v>
      </c>
      <c r="D1339" s="960" t="s">
        <v>470</v>
      </c>
      <c r="E1339" s="959">
        <v>0</v>
      </c>
      <c r="F1339" s="959">
        <v>0</v>
      </c>
      <c r="G1339" s="959">
        <v>8</v>
      </c>
      <c r="H1339" s="959">
        <v>19</v>
      </c>
    </row>
    <row r="1340" spans="1:8">
      <c r="A1340" s="959" t="s">
        <v>3363</v>
      </c>
      <c r="B1340" s="960" t="s">
        <v>3364</v>
      </c>
      <c r="C1340" s="960" t="s">
        <v>4256</v>
      </c>
      <c r="D1340" s="960" t="s">
        <v>1904</v>
      </c>
      <c r="E1340" s="959">
        <v>0</v>
      </c>
      <c r="F1340" s="959">
        <v>0</v>
      </c>
      <c r="G1340" s="959">
        <v>11</v>
      </c>
      <c r="H1340" s="959">
        <v>19</v>
      </c>
    </row>
    <row r="1341" spans="1:8">
      <c r="A1341" s="959" t="s">
        <v>3363</v>
      </c>
      <c r="B1341" s="960" t="s">
        <v>3364</v>
      </c>
      <c r="C1341" s="960" t="s">
        <v>4256</v>
      </c>
      <c r="D1341" s="960" t="s">
        <v>4270</v>
      </c>
      <c r="E1341" s="959">
        <v>0</v>
      </c>
      <c r="F1341" s="959">
        <v>0</v>
      </c>
      <c r="G1341" s="959">
        <v>1</v>
      </c>
      <c r="H1341" s="959">
        <v>4</v>
      </c>
    </row>
    <row r="1342" spans="1:8">
      <c r="A1342" s="959" t="s">
        <v>3363</v>
      </c>
      <c r="B1342" s="960" t="s">
        <v>3364</v>
      </c>
      <c r="C1342" s="960" t="s">
        <v>4256</v>
      </c>
      <c r="D1342" s="960" t="s">
        <v>4259</v>
      </c>
      <c r="E1342" s="959">
        <v>0</v>
      </c>
      <c r="F1342" s="959">
        <v>0</v>
      </c>
      <c r="G1342" s="959">
        <v>2</v>
      </c>
      <c r="H1342" s="959">
        <v>13</v>
      </c>
    </row>
    <row r="1343" spans="1:8">
      <c r="A1343" s="959" t="s">
        <v>3363</v>
      </c>
      <c r="B1343" s="960" t="s">
        <v>3364</v>
      </c>
      <c r="C1343" s="960" t="s">
        <v>4256</v>
      </c>
      <c r="D1343" s="960" t="s">
        <v>4260</v>
      </c>
      <c r="E1343" s="959">
        <v>0</v>
      </c>
      <c r="F1343" s="959">
        <v>0</v>
      </c>
      <c r="G1343" s="959">
        <v>11</v>
      </c>
      <c r="H1343" s="959">
        <v>141</v>
      </c>
    </row>
    <row r="1344" spans="1:8">
      <c r="A1344" s="959" t="s">
        <v>3363</v>
      </c>
      <c r="B1344" s="960" t="s">
        <v>3364</v>
      </c>
      <c r="C1344" s="960" t="s">
        <v>4256</v>
      </c>
      <c r="D1344" s="960" t="s">
        <v>4265</v>
      </c>
      <c r="E1344" s="959">
        <v>0</v>
      </c>
      <c r="F1344" s="959">
        <v>0</v>
      </c>
      <c r="G1344" s="959">
        <v>4</v>
      </c>
      <c r="H1344" s="959">
        <v>18</v>
      </c>
    </row>
    <row r="1345" spans="1:8">
      <c r="A1345" s="959" t="s">
        <v>3363</v>
      </c>
      <c r="B1345" s="960" t="s">
        <v>3364</v>
      </c>
      <c r="C1345" s="960" t="s">
        <v>4256</v>
      </c>
      <c r="D1345" s="960" t="s">
        <v>1906</v>
      </c>
      <c r="E1345" s="959">
        <v>0</v>
      </c>
      <c r="F1345" s="959">
        <v>0</v>
      </c>
      <c r="G1345" s="959">
        <v>1</v>
      </c>
      <c r="H1345" s="959">
        <v>10</v>
      </c>
    </row>
    <row r="1346" spans="1:8">
      <c r="A1346" s="959" t="s">
        <v>3363</v>
      </c>
      <c r="B1346" s="960" t="s">
        <v>3364</v>
      </c>
      <c r="C1346" s="960" t="s">
        <v>4256</v>
      </c>
      <c r="D1346" s="960" t="s">
        <v>4264</v>
      </c>
      <c r="E1346" s="959">
        <v>0</v>
      </c>
      <c r="F1346" s="959">
        <v>0</v>
      </c>
      <c r="G1346" s="959">
        <v>4</v>
      </c>
      <c r="H1346" s="959">
        <v>48</v>
      </c>
    </row>
    <row r="1347" spans="1:8">
      <c r="A1347" s="959" t="s">
        <v>3363</v>
      </c>
      <c r="B1347" s="960" t="s">
        <v>3364</v>
      </c>
      <c r="C1347" s="960" t="s">
        <v>4256</v>
      </c>
      <c r="D1347" s="960" t="s">
        <v>4261</v>
      </c>
      <c r="E1347" s="959">
        <v>0</v>
      </c>
      <c r="F1347" s="959">
        <v>0</v>
      </c>
      <c r="G1347" s="959">
        <v>14</v>
      </c>
      <c r="H1347" s="959">
        <v>227</v>
      </c>
    </row>
    <row r="1348" spans="1:8">
      <c r="A1348" s="959" t="s">
        <v>3363</v>
      </c>
      <c r="B1348" s="960" t="s">
        <v>3364</v>
      </c>
      <c r="C1348" s="960" t="s">
        <v>4256</v>
      </c>
      <c r="D1348" s="961" t="s">
        <v>4266</v>
      </c>
      <c r="E1348" s="959">
        <v>0</v>
      </c>
      <c r="F1348" s="959">
        <v>0</v>
      </c>
      <c r="G1348" s="959">
        <v>0</v>
      </c>
      <c r="H1348" s="959">
        <v>3</v>
      </c>
    </row>
    <row r="1349" spans="1:8">
      <c r="A1349" s="959" t="s">
        <v>3363</v>
      </c>
      <c r="B1349" s="960" t="s">
        <v>3364</v>
      </c>
      <c r="C1349" s="960" t="s">
        <v>4257</v>
      </c>
      <c r="D1349" s="960" t="s">
        <v>4258</v>
      </c>
      <c r="E1349" s="959">
        <v>0</v>
      </c>
      <c r="F1349" s="959">
        <v>1</v>
      </c>
      <c r="G1349" s="959">
        <v>0</v>
      </c>
      <c r="H1349" s="959">
        <v>14</v>
      </c>
    </row>
    <row r="1350" spans="1:8">
      <c r="A1350" s="959" t="s">
        <v>3363</v>
      </c>
      <c r="B1350" s="960" t="s">
        <v>3364</v>
      </c>
      <c r="C1350" s="960" t="s">
        <v>4262</v>
      </c>
      <c r="D1350" s="960" t="s">
        <v>4263</v>
      </c>
      <c r="E1350" s="959">
        <v>0</v>
      </c>
      <c r="F1350" s="959">
        <v>0</v>
      </c>
      <c r="G1350" s="959">
        <v>0</v>
      </c>
      <c r="H1350" s="959">
        <v>42</v>
      </c>
    </row>
    <row r="1351" spans="1:8">
      <c r="A1351" s="959" t="s">
        <v>3363</v>
      </c>
      <c r="B1351" s="960" t="s">
        <v>3364</v>
      </c>
      <c r="C1351" s="960" t="s">
        <v>4267</v>
      </c>
      <c r="D1351" s="960" t="s">
        <v>4268</v>
      </c>
      <c r="E1351" s="959">
        <v>0</v>
      </c>
      <c r="F1351" s="959">
        <v>0</v>
      </c>
      <c r="G1351" s="959">
        <v>0</v>
      </c>
      <c r="H1351" s="959">
        <v>7</v>
      </c>
    </row>
    <row r="1352" spans="1:8">
      <c r="A1352" s="959" t="s">
        <v>3365</v>
      </c>
      <c r="B1352" s="960" t="s">
        <v>3366</v>
      </c>
      <c r="C1352" s="960" t="s">
        <v>4256</v>
      </c>
      <c r="D1352" s="960" t="s">
        <v>1904</v>
      </c>
      <c r="E1352" s="959">
        <v>0</v>
      </c>
      <c r="F1352" s="959">
        <v>0</v>
      </c>
      <c r="G1352" s="959">
        <v>4</v>
      </c>
      <c r="H1352" s="959">
        <v>25</v>
      </c>
    </row>
    <row r="1353" spans="1:8">
      <c r="A1353" s="959" t="s">
        <v>3365</v>
      </c>
      <c r="B1353" s="960" t="s">
        <v>3366</v>
      </c>
      <c r="C1353" s="960" t="s">
        <v>4256</v>
      </c>
      <c r="D1353" s="960" t="s">
        <v>4270</v>
      </c>
      <c r="E1353" s="959">
        <v>0</v>
      </c>
      <c r="F1353" s="959">
        <v>0</v>
      </c>
      <c r="G1353" s="959">
        <v>4</v>
      </c>
      <c r="H1353" s="959">
        <v>22</v>
      </c>
    </row>
    <row r="1354" spans="1:8">
      <c r="A1354" s="959" t="s">
        <v>3365</v>
      </c>
      <c r="B1354" s="960" t="s">
        <v>3366</v>
      </c>
      <c r="C1354" s="960" t="s">
        <v>4256</v>
      </c>
      <c r="D1354" s="960" t="s">
        <v>4259</v>
      </c>
      <c r="E1354" s="959">
        <v>0</v>
      </c>
      <c r="F1354" s="959">
        <v>0</v>
      </c>
      <c r="G1354" s="959">
        <v>1</v>
      </c>
      <c r="H1354" s="959">
        <v>5</v>
      </c>
    </row>
    <row r="1355" spans="1:8">
      <c r="A1355" s="959" t="s">
        <v>3365</v>
      </c>
      <c r="B1355" s="960" t="s">
        <v>3366</v>
      </c>
      <c r="C1355" s="960" t="s">
        <v>4256</v>
      </c>
      <c r="D1355" s="960" t="s">
        <v>4260</v>
      </c>
      <c r="E1355" s="959">
        <v>0</v>
      </c>
      <c r="F1355" s="959">
        <v>0</v>
      </c>
      <c r="G1355" s="959">
        <v>3</v>
      </c>
      <c r="H1355" s="959">
        <v>41</v>
      </c>
    </row>
    <row r="1356" spans="1:8">
      <c r="A1356" s="959" t="s">
        <v>3365</v>
      </c>
      <c r="B1356" s="960" t="s">
        <v>3366</v>
      </c>
      <c r="C1356" s="960" t="s">
        <v>4256</v>
      </c>
      <c r="D1356" s="960" t="s">
        <v>4265</v>
      </c>
      <c r="E1356" s="959">
        <v>0</v>
      </c>
      <c r="F1356" s="959">
        <v>0</v>
      </c>
      <c r="G1356" s="959">
        <v>2</v>
      </c>
      <c r="H1356" s="959">
        <v>15</v>
      </c>
    </row>
    <row r="1357" spans="1:8">
      <c r="A1357" s="959" t="s">
        <v>3365</v>
      </c>
      <c r="B1357" s="960" t="s">
        <v>3366</v>
      </c>
      <c r="C1357" s="960" t="s">
        <v>4256</v>
      </c>
      <c r="D1357" s="960" t="s">
        <v>1906</v>
      </c>
      <c r="E1357" s="959">
        <v>2</v>
      </c>
      <c r="F1357" s="959">
        <v>33</v>
      </c>
      <c r="G1357" s="959">
        <v>2</v>
      </c>
      <c r="H1357" s="959">
        <v>32</v>
      </c>
    </row>
    <row r="1358" spans="1:8">
      <c r="A1358" s="959" t="s">
        <v>3365</v>
      </c>
      <c r="B1358" s="960" t="s">
        <v>3366</v>
      </c>
      <c r="C1358" s="960" t="s">
        <v>4256</v>
      </c>
      <c r="D1358" s="960" t="s">
        <v>4261</v>
      </c>
      <c r="E1358" s="959">
        <v>0</v>
      </c>
      <c r="F1358" s="959">
        <v>0</v>
      </c>
      <c r="G1358" s="959">
        <v>1</v>
      </c>
      <c r="H1358" s="959">
        <v>15</v>
      </c>
    </row>
    <row r="1359" spans="1:8">
      <c r="A1359" s="959" t="s">
        <v>3365</v>
      </c>
      <c r="B1359" s="960" t="s">
        <v>3366</v>
      </c>
      <c r="C1359" s="960" t="s">
        <v>4257</v>
      </c>
      <c r="D1359" s="960" t="s">
        <v>4258</v>
      </c>
      <c r="E1359" s="959">
        <v>4</v>
      </c>
      <c r="F1359" s="959">
        <v>100</v>
      </c>
      <c r="G1359" s="959">
        <v>12</v>
      </c>
      <c r="H1359" s="959">
        <v>178</v>
      </c>
    </row>
    <row r="1360" spans="1:8">
      <c r="A1360" s="959" t="s">
        <v>3365</v>
      </c>
      <c r="B1360" s="960" t="s">
        <v>3366</v>
      </c>
      <c r="C1360" s="960" t="s">
        <v>4262</v>
      </c>
      <c r="D1360" s="960" t="s">
        <v>4263</v>
      </c>
      <c r="E1360" s="959">
        <v>1</v>
      </c>
      <c r="F1360" s="959">
        <v>111</v>
      </c>
      <c r="G1360" s="959">
        <v>2</v>
      </c>
      <c r="H1360" s="959">
        <v>21</v>
      </c>
    </row>
    <row r="1361" spans="1:8">
      <c r="A1361" s="959" t="s">
        <v>3367</v>
      </c>
      <c r="B1361" s="960" t="s">
        <v>3368</v>
      </c>
      <c r="C1361" s="960" t="s">
        <v>4257</v>
      </c>
      <c r="D1361" s="960" t="s">
        <v>4258</v>
      </c>
      <c r="E1361" s="959">
        <v>0</v>
      </c>
      <c r="F1361" s="959">
        <v>1</v>
      </c>
      <c r="G1361" s="959">
        <v>0</v>
      </c>
      <c r="H1361" s="959">
        <v>0</v>
      </c>
    </row>
    <row r="1362" spans="1:8">
      <c r="A1362" s="959" t="s">
        <v>3370</v>
      </c>
      <c r="B1362" s="960" t="s">
        <v>3371</v>
      </c>
      <c r="C1362" s="960" t="s">
        <v>4275</v>
      </c>
      <c r="D1362" s="960" t="s">
        <v>4276</v>
      </c>
      <c r="E1362" s="959">
        <v>4</v>
      </c>
      <c r="F1362" s="959">
        <v>60</v>
      </c>
      <c r="G1362" s="959">
        <v>0</v>
      </c>
      <c r="H1362" s="959">
        <v>0</v>
      </c>
    </row>
    <row r="1363" spans="1:8">
      <c r="A1363" s="959" t="s">
        <v>3370</v>
      </c>
      <c r="B1363" s="960" t="s">
        <v>3371</v>
      </c>
      <c r="C1363" s="960" t="s">
        <v>4277</v>
      </c>
      <c r="D1363" s="960" t="s">
        <v>4278</v>
      </c>
      <c r="E1363" s="959">
        <v>0</v>
      </c>
      <c r="F1363" s="959">
        <v>0</v>
      </c>
      <c r="G1363" s="959">
        <v>0</v>
      </c>
      <c r="H1363" s="959">
        <v>59</v>
      </c>
    </row>
    <row r="1364" spans="1:8">
      <c r="A1364" s="959" t="s">
        <v>3370</v>
      </c>
      <c r="B1364" s="960" t="s">
        <v>3371</v>
      </c>
      <c r="C1364" s="960" t="s">
        <v>4277</v>
      </c>
      <c r="D1364" s="960" t="s">
        <v>4279</v>
      </c>
      <c r="E1364" s="959">
        <v>0</v>
      </c>
      <c r="F1364" s="959">
        <v>0</v>
      </c>
      <c r="G1364" s="959">
        <v>4</v>
      </c>
      <c r="H1364" s="959">
        <v>212</v>
      </c>
    </row>
    <row r="1365" spans="1:8">
      <c r="A1365" s="959" t="s">
        <v>3370</v>
      </c>
      <c r="B1365" s="960" t="s">
        <v>3371</v>
      </c>
      <c r="C1365" s="960" t="s">
        <v>4256</v>
      </c>
      <c r="D1365" s="960" t="s">
        <v>4270</v>
      </c>
      <c r="E1365" s="959">
        <v>0</v>
      </c>
      <c r="F1365" s="959">
        <v>0</v>
      </c>
      <c r="G1365" s="959">
        <v>0</v>
      </c>
      <c r="H1365" s="959">
        <v>3</v>
      </c>
    </row>
    <row r="1366" spans="1:8">
      <c r="A1366" s="959" t="s">
        <v>3370</v>
      </c>
      <c r="B1366" s="960" t="s">
        <v>3371</v>
      </c>
      <c r="C1366" s="960" t="s">
        <v>4256</v>
      </c>
      <c r="D1366" s="960" t="s">
        <v>4259</v>
      </c>
      <c r="E1366" s="959">
        <v>0</v>
      </c>
      <c r="F1366" s="959">
        <v>0</v>
      </c>
      <c r="G1366" s="959">
        <v>0</v>
      </c>
      <c r="H1366" s="959">
        <v>5</v>
      </c>
    </row>
    <row r="1367" spans="1:8">
      <c r="A1367" s="959" t="s">
        <v>3370</v>
      </c>
      <c r="B1367" s="960" t="s">
        <v>3371</v>
      </c>
      <c r="C1367" s="960" t="s">
        <v>4256</v>
      </c>
      <c r="D1367" s="960" t="s">
        <v>4260</v>
      </c>
      <c r="E1367" s="959">
        <v>0</v>
      </c>
      <c r="F1367" s="959">
        <v>1</v>
      </c>
      <c r="G1367" s="959">
        <v>0</v>
      </c>
      <c r="H1367" s="959">
        <v>21</v>
      </c>
    </row>
    <row r="1368" spans="1:8">
      <c r="A1368" s="959" t="s">
        <v>3370</v>
      </c>
      <c r="B1368" s="960" t="s">
        <v>3371</v>
      </c>
      <c r="C1368" s="960" t="s">
        <v>4256</v>
      </c>
      <c r="D1368" s="960" t="s">
        <v>1906</v>
      </c>
      <c r="E1368" s="959">
        <v>8</v>
      </c>
      <c r="F1368" s="959">
        <v>111</v>
      </c>
      <c r="G1368" s="959">
        <v>1</v>
      </c>
      <c r="H1368" s="959">
        <v>20</v>
      </c>
    </row>
    <row r="1369" spans="1:8">
      <c r="A1369" s="959" t="s">
        <v>3370</v>
      </c>
      <c r="B1369" s="960" t="s">
        <v>3371</v>
      </c>
      <c r="C1369" s="960" t="s">
        <v>4257</v>
      </c>
      <c r="D1369" s="960" t="s">
        <v>4258</v>
      </c>
      <c r="E1369" s="959">
        <v>58</v>
      </c>
      <c r="F1369" s="959">
        <v>792</v>
      </c>
      <c r="G1369" s="959">
        <v>3</v>
      </c>
      <c r="H1369" s="959">
        <v>45</v>
      </c>
    </row>
    <row r="1370" spans="1:8">
      <c r="A1370" s="959" t="s">
        <v>3370</v>
      </c>
      <c r="B1370" s="960" t="s">
        <v>3371</v>
      </c>
      <c r="C1370" s="960" t="s">
        <v>4267</v>
      </c>
      <c r="D1370" s="960" t="s">
        <v>4268</v>
      </c>
      <c r="E1370" s="959">
        <v>0</v>
      </c>
      <c r="F1370" s="959">
        <v>0</v>
      </c>
      <c r="G1370" s="959">
        <v>0</v>
      </c>
      <c r="H1370" s="959">
        <v>7</v>
      </c>
    </row>
    <row r="1371" spans="1:8">
      <c r="A1371" s="959" t="s">
        <v>3372</v>
      </c>
      <c r="B1371" s="960" t="s">
        <v>3373</v>
      </c>
      <c r="C1371" s="960" t="s">
        <v>4256</v>
      </c>
      <c r="D1371" s="960" t="s">
        <v>470</v>
      </c>
      <c r="E1371" s="959">
        <v>0</v>
      </c>
      <c r="F1371" s="959">
        <v>5</v>
      </c>
      <c r="G1371" s="959">
        <v>41</v>
      </c>
      <c r="H1371" s="959">
        <v>256</v>
      </c>
    </row>
    <row r="1372" spans="1:8">
      <c r="A1372" s="959" t="s">
        <v>3372</v>
      </c>
      <c r="B1372" s="960" t="s">
        <v>3373</v>
      </c>
      <c r="C1372" s="960" t="s">
        <v>4256</v>
      </c>
      <c r="D1372" s="960" t="s">
        <v>1904</v>
      </c>
      <c r="E1372" s="959">
        <v>0</v>
      </c>
      <c r="F1372" s="959">
        <v>0</v>
      </c>
      <c r="G1372" s="959">
        <v>16</v>
      </c>
      <c r="H1372" s="959">
        <v>98</v>
      </c>
    </row>
    <row r="1373" spans="1:8">
      <c r="A1373" s="959" t="s">
        <v>3372</v>
      </c>
      <c r="B1373" s="960" t="s">
        <v>3373</v>
      </c>
      <c r="C1373" s="960" t="s">
        <v>4256</v>
      </c>
      <c r="D1373" s="960" t="s">
        <v>4269</v>
      </c>
      <c r="E1373" s="959">
        <v>0</v>
      </c>
      <c r="F1373" s="959">
        <v>0</v>
      </c>
      <c r="G1373" s="959">
        <v>0</v>
      </c>
      <c r="H1373" s="959">
        <v>1</v>
      </c>
    </row>
    <row r="1374" spans="1:8">
      <c r="A1374" s="959" t="s">
        <v>3372</v>
      </c>
      <c r="B1374" s="960" t="s">
        <v>3373</v>
      </c>
      <c r="C1374" s="960" t="s">
        <v>4256</v>
      </c>
      <c r="D1374" s="960" t="s">
        <v>4270</v>
      </c>
      <c r="E1374" s="959">
        <v>0</v>
      </c>
      <c r="F1374" s="959">
        <v>0</v>
      </c>
      <c r="G1374" s="959">
        <v>0</v>
      </c>
      <c r="H1374" s="959">
        <v>1</v>
      </c>
    </row>
    <row r="1375" spans="1:8">
      <c r="A1375" s="959" t="s">
        <v>3372</v>
      </c>
      <c r="B1375" s="960" t="s">
        <v>3373</v>
      </c>
      <c r="C1375" s="960" t="s">
        <v>4256</v>
      </c>
      <c r="D1375" s="960" t="s">
        <v>4259</v>
      </c>
      <c r="E1375" s="959">
        <v>0</v>
      </c>
      <c r="F1375" s="959">
        <v>0</v>
      </c>
      <c r="G1375" s="959">
        <v>0</v>
      </c>
      <c r="H1375" s="959">
        <v>3</v>
      </c>
    </row>
    <row r="1376" spans="1:8">
      <c r="A1376" s="959" t="s">
        <v>3372</v>
      </c>
      <c r="B1376" s="960" t="s">
        <v>3373</v>
      </c>
      <c r="C1376" s="960" t="s">
        <v>4256</v>
      </c>
      <c r="D1376" s="960" t="s">
        <v>4260</v>
      </c>
      <c r="E1376" s="959">
        <v>0</v>
      </c>
      <c r="F1376" s="959">
        <v>0</v>
      </c>
      <c r="G1376" s="959">
        <v>0</v>
      </c>
      <c r="H1376" s="959">
        <v>16</v>
      </c>
    </row>
    <row r="1377" spans="1:8">
      <c r="A1377" s="959" t="s">
        <v>3372</v>
      </c>
      <c r="B1377" s="960" t="s">
        <v>3373</v>
      </c>
      <c r="C1377" s="960" t="s">
        <v>4256</v>
      </c>
      <c r="D1377" s="960" t="s">
        <v>4271</v>
      </c>
      <c r="E1377" s="959">
        <v>0</v>
      </c>
      <c r="F1377" s="959">
        <v>0</v>
      </c>
      <c r="G1377" s="959">
        <v>0</v>
      </c>
      <c r="H1377" s="959">
        <v>1</v>
      </c>
    </row>
    <row r="1378" spans="1:8">
      <c r="A1378" s="959" t="s">
        <v>3372</v>
      </c>
      <c r="B1378" s="960" t="s">
        <v>3373</v>
      </c>
      <c r="C1378" s="960" t="s">
        <v>4256</v>
      </c>
      <c r="D1378" s="960" t="s">
        <v>1906</v>
      </c>
      <c r="E1378" s="959">
        <v>0</v>
      </c>
      <c r="F1378" s="959">
        <v>1</v>
      </c>
      <c r="G1378" s="959">
        <v>0</v>
      </c>
      <c r="H1378" s="959">
        <v>3</v>
      </c>
    </row>
    <row r="1379" spans="1:8">
      <c r="A1379" s="959" t="s">
        <v>3372</v>
      </c>
      <c r="B1379" s="960" t="s">
        <v>3373</v>
      </c>
      <c r="C1379" s="960" t="s">
        <v>4256</v>
      </c>
      <c r="D1379" s="960" t="s">
        <v>4264</v>
      </c>
      <c r="E1379" s="959">
        <v>0</v>
      </c>
      <c r="F1379" s="959">
        <v>0</v>
      </c>
      <c r="G1379" s="959">
        <v>1</v>
      </c>
      <c r="H1379" s="959">
        <v>15</v>
      </c>
    </row>
    <row r="1380" spans="1:8">
      <c r="A1380" s="959" t="s">
        <v>3372</v>
      </c>
      <c r="B1380" s="960" t="s">
        <v>3373</v>
      </c>
      <c r="C1380" s="960" t="s">
        <v>4256</v>
      </c>
      <c r="D1380" s="960" t="s">
        <v>4261</v>
      </c>
      <c r="E1380" s="959">
        <v>0</v>
      </c>
      <c r="F1380" s="959">
        <v>0</v>
      </c>
      <c r="G1380" s="959">
        <v>0</v>
      </c>
      <c r="H1380" s="959">
        <v>16</v>
      </c>
    </row>
    <row r="1381" spans="1:8">
      <c r="A1381" s="959" t="s">
        <v>3374</v>
      </c>
      <c r="B1381" s="960" t="s">
        <v>3375</v>
      </c>
      <c r="C1381" s="960" t="s">
        <v>4256</v>
      </c>
      <c r="D1381" s="960" t="s">
        <v>4260</v>
      </c>
      <c r="E1381" s="959">
        <v>0</v>
      </c>
      <c r="F1381" s="959">
        <v>0</v>
      </c>
      <c r="G1381" s="959">
        <v>0</v>
      </c>
      <c r="H1381" s="959">
        <v>1</v>
      </c>
    </row>
    <row r="1382" spans="1:8">
      <c r="A1382" s="959" t="s">
        <v>3374</v>
      </c>
      <c r="B1382" s="960" t="s">
        <v>3375</v>
      </c>
      <c r="C1382" s="960" t="s">
        <v>4257</v>
      </c>
      <c r="D1382" s="960" t="s">
        <v>4258</v>
      </c>
      <c r="E1382" s="959">
        <v>0</v>
      </c>
      <c r="F1382" s="959">
        <v>1</v>
      </c>
      <c r="G1382" s="959">
        <v>0</v>
      </c>
      <c r="H1382" s="959">
        <v>0</v>
      </c>
    </row>
    <row r="1383" spans="1:8">
      <c r="A1383" s="959" t="s">
        <v>3374</v>
      </c>
      <c r="B1383" s="960" t="s">
        <v>3375</v>
      </c>
      <c r="C1383" s="960" t="s">
        <v>4262</v>
      </c>
      <c r="D1383" s="960" t="s">
        <v>4263</v>
      </c>
      <c r="E1383" s="959">
        <v>13</v>
      </c>
      <c r="F1383" s="959">
        <v>365</v>
      </c>
      <c r="G1383" s="959">
        <v>0</v>
      </c>
      <c r="H1383" s="959">
        <v>0</v>
      </c>
    </row>
    <row r="1384" spans="1:8">
      <c r="A1384" s="959" t="s">
        <v>3376</v>
      </c>
      <c r="B1384" s="960" t="s">
        <v>3377</v>
      </c>
      <c r="C1384" s="960" t="s">
        <v>4256</v>
      </c>
      <c r="D1384" s="960" t="s">
        <v>4270</v>
      </c>
      <c r="E1384" s="959">
        <v>0</v>
      </c>
      <c r="F1384" s="959">
        <v>0</v>
      </c>
      <c r="G1384" s="959">
        <v>0</v>
      </c>
      <c r="H1384" s="959">
        <v>1</v>
      </c>
    </row>
    <row r="1385" spans="1:8">
      <c r="A1385" s="959" t="s">
        <v>3376</v>
      </c>
      <c r="B1385" s="960" t="s">
        <v>3377</v>
      </c>
      <c r="C1385" s="960" t="s">
        <v>4256</v>
      </c>
      <c r="D1385" s="960" t="s">
        <v>4259</v>
      </c>
      <c r="E1385" s="959">
        <v>0</v>
      </c>
      <c r="F1385" s="959">
        <v>3</v>
      </c>
      <c r="G1385" s="959">
        <v>0</v>
      </c>
      <c r="H1385" s="959">
        <v>12</v>
      </c>
    </row>
    <row r="1386" spans="1:8">
      <c r="A1386" s="959" t="s">
        <v>3376</v>
      </c>
      <c r="B1386" s="960" t="s">
        <v>3377</v>
      </c>
      <c r="C1386" s="960" t="s">
        <v>4256</v>
      </c>
      <c r="D1386" s="960" t="s">
        <v>4265</v>
      </c>
      <c r="E1386" s="959">
        <v>3</v>
      </c>
      <c r="F1386" s="959">
        <v>0</v>
      </c>
      <c r="G1386" s="959">
        <v>2</v>
      </c>
      <c r="H1386" s="959">
        <v>12</v>
      </c>
    </row>
    <row r="1387" spans="1:8">
      <c r="A1387" s="959" t="s">
        <v>3376</v>
      </c>
      <c r="B1387" s="960" t="s">
        <v>3377</v>
      </c>
      <c r="C1387" s="960" t="s">
        <v>4256</v>
      </c>
      <c r="D1387" s="960" t="s">
        <v>1906</v>
      </c>
      <c r="E1387" s="959">
        <v>23</v>
      </c>
      <c r="F1387" s="959">
        <v>486</v>
      </c>
      <c r="G1387" s="959">
        <v>18</v>
      </c>
      <c r="H1387" s="959">
        <v>251</v>
      </c>
    </row>
    <row r="1388" spans="1:8">
      <c r="A1388" s="959" t="s">
        <v>3376</v>
      </c>
      <c r="B1388" s="960" t="s">
        <v>3377</v>
      </c>
      <c r="C1388" s="960" t="s">
        <v>4256</v>
      </c>
      <c r="D1388" s="960" t="s">
        <v>4264</v>
      </c>
      <c r="E1388" s="959">
        <v>0</v>
      </c>
      <c r="F1388" s="959">
        <v>1</v>
      </c>
      <c r="G1388" s="959">
        <v>0</v>
      </c>
      <c r="H1388" s="959">
        <v>0</v>
      </c>
    </row>
    <row r="1389" spans="1:8">
      <c r="A1389" s="959" t="s">
        <v>3376</v>
      </c>
      <c r="B1389" s="960" t="s">
        <v>3377</v>
      </c>
      <c r="C1389" s="960" t="s">
        <v>4257</v>
      </c>
      <c r="D1389" s="960" t="s">
        <v>4258</v>
      </c>
      <c r="E1389" s="959">
        <v>79</v>
      </c>
      <c r="F1389" s="959">
        <v>1617</v>
      </c>
      <c r="G1389" s="959">
        <v>105</v>
      </c>
      <c r="H1389" s="959">
        <v>1427</v>
      </c>
    </row>
    <row r="1390" spans="1:8">
      <c r="A1390" s="959" t="s">
        <v>3379</v>
      </c>
      <c r="B1390" s="960" t="s">
        <v>3380</v>
      </c>
      <c r="C1390" s="960" t="s">
        <v>4256</v>
      </c>
      <c r="D1390" s="960" t="s">
        <v>470</v>
      </c>
      <c r="E1390" s="959">
        <v>0</v>
      </c>
      <c r="F1390" s="959">
        <v>0</v>
      </c>
      <c r="G1390" s="959">
        <v>0</v>
      </c>
      <c r="H1390" s="959">
        <v>9</v>
      </c>
    </row>
    <row r="1391" spans="1:8">
      <c r="A1391" s="959" t="s">
        <v>3379</v>
      </c>
      <c r="B1391" s="960" t="s">
        <v>3380</v>
      </c>
      <c r="C1391" s="960" t="s">
        <v>4256</v>
      </c>
      <c r="D1391" s="960" t="s">
        <v>1904</v>
      </c>
      <c r="E1391" s="959">
        <v>0</v>
      </c>
      <c r="F1391" s="959">
        <v>0</v>
      </c>
      <c r="G1391" s="959">
        <v>0</v>
      </c>
      <c r="H1391" s="959">
        <v>55</v>
      </c>
    </row>
    <row r="1392" spans="1:8">
      <c r="A1392" s="959" t="s">
        <v>3379</v>
      </c>
      <c r="B1392" s="960" t="s">
        <v>3380</v>
      </c>
      <c r="C1392" s="960" t="s">
        <v>4256</v>
      </c>
      <c r="D1392" s="960" t="s">
        <v>4270</v>
      </c>
      <c r="E1392" s="959">
        <v>1</v>
      </c>
      <c r="F1392" s="959">
        <v>0</v>
      </c>
      <c r="G1392" s="959">
        <v>61</v>
      </c>
      <c r="H1392" s="959">
        <v>101</v>
      </c>
    </row>
    <row r="1393" spans="1:8">
      <c r="A1393" s="959" t="s">
        <v>3379</v>
      </c>
      <c r="B1393" s="960" t="s">
        <v>3380</v>
      </c>
      <c r="C1393" s="960" t="s">
        <v>4256</v>
      </c>
      <c r="D1393" s="960" t="s">
        <v>4259</v>
      </c>
      <c r="E1393" s="959">
        <v>0</v>
      </c>
      <c r="F1393" s="959">
        <v>0</v>
      </c>
      <c r="G1393" s="959">
        <v>37</v>
      </c>
      <c r="H1393" s="959">
        <v>49</v>
      </c>
    </row>
    <row r="1394" spans="1:8">
      <c r="A1394" s="959" t="s">
        <v>3379</v>
      </c>
      <c r="B1394" s="960" t="s">
        <v>3380</v>
      </c>
      <c r="C1394" s="960" t="s">
        <v>4256</v>
      </c>
      <c r="D1394" s="960" t="s">
        <v>4260</v>
      </c>
      <c r="E1394" s="959">
        <v>0</v>
      </c>
      <c r="F1394" s="959">
        <v>0</v>
      </c>
      <c r="G1394" s="959">
        <v>21</v>
      </c>
      <c r="H1394" s="959">
        <v>388</v>
      </c>
    </row>
    <row r="1395" spans="1:8">
      <c r="A1395" s="959" t="s">
        <v>3379</v>
      </c>
      <c r="B1395" s="960" t="s">
        <v>3380</v>
      </c>
      <c r="C1395" s="960" t="s">
        <v>4256</v>
      </c>
      <c r="D1395" s="960" t="s">
        <v>4265</v>
      </c>
      <c r="E1395" s="959">
        <v>0</v>
      </c>
      <c r="F1395" s="959">
        <v>0</v>
      </c>
      <c r="G1395" s="959">
        <v>0</v>
      </c>
      <c r="H1395" s="959">
        <v>3</v>
      </c>
    </row>
    <row r="1396" spans="1:8">
      <c r="A1396" s="959" t="s">
        <v>3379</v>
      </c>
      <c r="B1396" s="960" t="s">
        <v>3380</v>
      </c>
      <c r="C1396" s="960" t="s">
        <v>4256</v>
      </c>
      <c r="D1396" s="960" t="s">
        <v>1906</v>
      </c>
      <c r="E1396" s="959">
        <v>3</v>
      </c>
      <c r="F1396" s="959">
        <v>33</v>
      </c>
      <c r="G1396" s="959">
        <v>3</v>
      </c>
      <c r="H1396" s="959">
        <v>46</v>
      </c>
    </row>
    <row r="1397" spans="1:8">
      <c r="A1397" s="959" t="s">
        <v>3379</v>
      </c>
      <c r="B1397" s="960" t="s">
        <v>3380</v>
      </c>
      <c r="C1397" s="960" t="s">
        <v>4256</v>
      </c>
      <c r="D1397" s="960" t="s">
        <v>4261</v>
      </c>
      <c r="E1397" s="959">
        <v>0</v>
      </c>
      <c r="F1397" s="959">
        <v>0</v>
      </c>
      <c r="G1397" s="959">
        <v>5</v>
      </c>
      <c r="H1397" s="959">
        <v>104</v>
      </c>
    </row>
    <row r="1398" spans="1:8">
      <c r="A1398" s="959" t="s">
        <v>3379</v>
      </c>
      <c r="B1398" s="960" t="s">
        <v>3380</v>
      </c>
      <c r="C1398" s="960" t="s">
        <v>4257</v>
      </c>
      <c r="D1398" s="960" t="s">
        <v>4258</v>
      </c>
      <c r="E1398" s="959">
        <v>4</v>
      </c>
      <c r="F1398" s="959">
        <v>138</v>
      </c>
      <c r="G1398" s="959">
        <v>3</v>
      </c>
      <c r="H1398" s="959">
        <v>34</v>
      </c>
    </row>
    <row r="1399" spans="1:8">
      <c r="A1399" s="959" t="s">
        <v>3379</v>
      </c>
      <c r="B1399" s="960" t="s">
        <v>3380</v>
      </c>
      <c r="C1399" s="960" t="s">
        <v>4262</v>
      </c>
      <c r="D1399" s="960" t="s">
        <v>4300</v>
      </c>
      <c r="E1399" s="959">
        <v>0</v>
      </c>
      <c r="F1399" s="959">
        <v>0</v>
      </c>
      <c r="G1399" s="959">
        <v>0</v>
      </c>
      <c r="H1399" s="959">
        <v>16</v>
      </c>
    </row>
    <row r="1400" spans="1:8">
      <c r="A1400" s="959" t="s">
        <v>3379</v>
      </c>
      <c r="B1400" s="960" t="s">
        <v>3380</v>
      </c>
      <c r="C1400" s="960" t="s">
        <v>4262</v>
      </c>
      <c r="D1400" s="960" t="s">
        <v>4263</v>
      </c>
      <c r="E1400" s="959">
        <v>0</v>
      </c>
      <c r="F1400" s="959">
        <v>0</v>
      </c>
      <c r="G1400" s="959">
        <v>0</v>
      </c>
      <c r="H1400" s="959">
        <v>1</v>
      </c>
    </row>
    <row r="1401" spans="1:8">
      <c r="A1401" s="959" t="s">
        <v>3381</v>
      </c>
      <c r="B1401" s="960" t="s">
        <v>1113</v>
      </c>
      <c r="C1401" s="960" t="s">
        <v>4262</v>
      </c>
      <c r="D1401" s="960" t="s">
        <v>4263</v>
      </c>
      <c r="E1401" s="959">
        <v>0</v>
      </c>
      <c r="F1401" s="959">
        <v>1</v>
      </c>
      <c r="G1401" s="959">
        <v>0</v>
      </c>
      <c r="H1401" s="959">
        <v>0</v>
      </c>
    </row>
    <row r="1402" spans="1:8">
      <c r="A1402" s="959" t="s">
        <v>3382</v>
      </c>
      <c r="B1402" s="960" t="s">
        <v>3383</v>
      </c>
      <c r="C1402" s="960" t="s">
        <v>4256</v>
      </c>
      <c r="D1402" s="960" t="s">
        <v>1906</v>
      </c>
      <c r="E1402" s="959">
        <v>4</v>
      </c>
      <c r="F1402" s="959">
        <v>57</v>
      </c>
      <c r="G1402" s="959">
        <v>0</v>
      </c>
      <c r="H1402" s="959">
        <v>4</v>
      </c>
    </row>
    <row r="1403" spans="1:8">
      <c r="A1403" s="959" t="s">
        <v>3382</v>
      </c>
      <c r="B1403" s="960" t="s">
        <v>3383</v>
      </c>
      <c r="C1403" s="960" t="s">
        <v>4257</v>
      </c>
      <c r="D1403" s="960" t="s">
        <v>4258</v>
      </c>
      <c r="E1403" s="959">
        <v>4</v>
      </c>
      <c r="F1403" s="959">
        <v>53</v>
      </c>
      <c r="G1403" s="959">
        <v>0</v>
      </c>
      <c r="H1403" s="959">
        <v>2</v>
      </c>
    </row>
    <row r="1404" spans="1:8">
      <c r="A1404" s="959" t="s">
        <v>3382</v>
      </c>
      <c r="B1404" s="960" t="s">
        <v>3383</v>
      </c>
      <c r="C1404" s="960" t="s">
        <v>4262</v>
      </c>
      <c r="D1404" s="960" t="s">
        <v>4263</v>
      </c>
      <c r="E1404" s="959">
        <v>0</v>
      </c>
      <c r="F1404" s="959">
        <v>21</v>
      </c>
      <c r="G1404" s="959">
        <v>0</v>
      </c>
      <c r="H1404" s="959">
        <v>0</v>
      </c>
    </row>
    <row r="1405" spans="1:8">
      <c r="A1405" s="959" t="s">
        <v>3384</v>
      </c>
      <c r="B1405" s="960" t="s">
        <v>3385</v>
      </c>
      <c r="C1405" s="960" t="s">
        <v>4256</v>
      </c>
      <c r="D1405" s="960" t="s">
        <v>1906</v>
      </c>
      <c r="E1405" s="959">
        <v>9</v>
      </c>
      <c r="F1405" s="959">
        <v>116</v>
      </c>
      <c r="G1405" s="959">
        <v>1</v>
      </c>
      <c r="H1405" s="959">
        <v>19</v>
      </c>
    </row>
    <row r="1406" spans="1:8">
      <c r="A1406" s="959" t="s">
        <v>3384</v>
      </c>
      <c r="B1406" s="960" t="s">
        <v>3385</v>
      </c>
      <c r="C1406" s="960" t="s">
        <v>4257</v>
      </c>
      <c r="D1406" s="960" t="s">
        <v>4258</v>
      </c>
      <c r="E1406" s="959">
        <v>62</v>
      </c>
      <c r="F1406" s="959">
        <v>848</v>
      </c>
      <c r="G1406" s="959">
        <v>8</v>
      </c>
      <c r="H1406" s="959">
        <v>107</v>
      </c>
    </row>
    <row r="1407" spans="1:8">
      <c r="A1407" s="959" t="s">
        <v>3386</v>
      </c>
      <c r="B1407" s="960" t="s">
        <v>3387</v>
      </c>
      <c r="C1407" s="960" t="s">
        <v>4256</v>
      </c>
      <c r="D1407" s="960" t="s">
        <v>1906</v>
      </c>
      <c r="E1407" s="959">
        <v>3</v>
      </c>
      <c r="F1407" s="959">
        <v>34</v>
      </c>
      <c r="G1407" s="959">
        <v>0</v>
      </c>
      <c r="H1407" s="959">
        <v>0</v>
      </c>
    </row>
    <row r="1408" spans="1:8">
      <c r="A1408" s="959" t="s">
        <v>3386</v>
      </c>
      <c r="B1408" s="960" t="s">
        <v>3387</v>
      </c>
      <c r="C1408" s="960" t="s">
        <v>4256</v>
      </c>
      <c r="D1408" s="960" t="s">
        <v>4274</v>
      </c>
      <c r="E1408" s="959">
        <v>0</v>
      </c>
      <c r="F1408" s="959">
        <v>1</v>
      </c>
      <c r="G1408" s="959">
        <v>0</v>
      </c>
      <c r="H1408" s="959">
        <v>0</v>
      </c>
    </row>
    <row r="1409" spans="1:8">
      <c r="A1409" s="959" t="s">
        <v>3386</v>
      </c>
      <c r="B1409" s="960" t="s">
        <v>3387</v>
      </c>
      <c r="C1409" s="960" t="s">
        <v>4257</v>
      </c>
      <c r="D1409" s="960" t="s">
        <v>4258</v>
      </c>
      <c r="E1409" s="959">
        <v>4</v>
      </c>
      <c r="F1409" s="959">
        <v>52</v>
      </c>
      <c r="G1409" s="959">
        <v>0</v>
      </c>
      <c r="H1409" s="959">
        <v>0</v>
      </c>
    </row>
    <row r="1410" spans="1:8">
      <c r="A1410" s="959" t="s">
        <v>3386</v>
      </c>
      <c r="B1410" s="960" t="s">
        <v>3387</v>
      </c>
      <c r="C1410" s="960" t="s">
        <v>4262</v>
      </c>
      <c r="D1410" s="960" t="s">
        <v>4263</v>
      </c>
      <c r="E1410" s="959">
        <v>0</v>
      </c>
      <c r="F1410" s="959">
        <v>21</v>
      </c>
      <c r="G1410" s="959">
        <v>0</v>
      </c>
      <c r="H1410" s="959">
        <v>0</v>
      </c>
    </row>
    <row r="1411" spans="1:8">
      <c r="A1411" s="959" t="s">
        <v>4301</v>
      </c>
      <c r="B1411" s="960" t="s">
        <v>4302</v>
      </c>
      <c r="C1411" s="960" t="s">
        <v>4256</v>
      </c>
      <c r="D1411" s="960" t="s">
        <v>1906</v>
      </c>
      <c r="E1411" s="959">
        <v>1</v>
      </c>
      <c r="F1411" s="959">
        <v>17</v>
      </c>
      <c r="G1411" s="959">
        <v>0</v>
      </c>
      <c r="H1411" s="959">
        <v>1</v>
      </c>
    </row>
    <row r="1412" spans="1:8">
      <c r="A1412" s="959" t="s">
        <v>4301</v>
      </c>
      <c r="B1412" s="960" t="s">
        <v>4302</v>
      </c>
      <c r="C1412" s="960" t="s">
        <v>4256</v>
      </c>
      <c r="D1412" s="960" t="s">
        <v>1907</v>
      </c>
      <c r="E1412" s="959">
        <v>0</v>
      </c>
      <c r="F1412" s="959">
        <v>2</v>
      </c>
      <c r="G1412" s="959">
        <v>0</v>
      </c>
      <c r="H1412" s="959">
        <v>0</v>
      </c>
    </row>
    <row r="1413" spans="1:8">
      <c r="A1413" s="959" t="s">
        <v>4301</v>
      </c>
      <c r="B1413" s="960" t="s">
        <v>4302</v>
      </c>
      <c r="C1413" s="960" t="s">
        <v>4257</v>
      </c>
      <c r="D1413" s="960" t="s">
        <v>4258</v>
      </c>
      <c r="E1413" s="959">
        <v>3</v>
      </c>
      <c r="F1413" s="959">
        <v>67</v>
      </c>
      <c r="G1413" s="959">
        <v>0</v>
      </c>
      <c r="H1413" s="959">
        <v>4</v>
      </c>
    </row>
    <row r="1414" spans="1:8">
      <c r="A1414" s="959" t="s">
        <v>4301</v>
      </c>
      <c r="B1414" s="960" t="s">
        <v>4302</v>
      </c>
      <c r="C1414" s="960" t="s">
        <v>4262</v>
      </c>
      <c r="D1414" s="960" t="s">
        <v>4263</v>
      </c>
      <c r="E1414" s="959">
        <v>9</v>
      </c>
      <c r="F1414" s="959">
        <v>278</v>
      </c>
      <c r="G1414" s="959">
        <v>4</v>
      </c>
      <c r="H1414" s="959">
        <v>11</v>
      </c>
    </row>
    <row r="1415" spans="1:8">
      <c r="A1415" s="959" t="s">
        <v>3388</v>
      </c>
      <c r="B1415" s="960" t="s">
        <v>1116</v>
      </c>
      <c r="C1415" s="960" t="s">
        <v>4256</v>
      </c>
      <c r="D1415" s="960" t="s">
        <v>470</v>
      </c>
      <c r="E1415" s="959">
        <v>0</v>
      </c>
      <c r="F1415" s="959">
        <v>1</v>
      </c>
      <c r="G1415" s="959">
        <v>0</v>
      </c>
      <c r="H1415" s="959">
        <v>0</v>
      </c>
    </row>
    <row r="1416" spans="1:8">
      <c r="A1416" s="959" t="s">
        <v>3388</v>
      </c>
      <c r="B1416" s="960" t="s">
        <v>1116</v>
      </c>
      <c r="C1416" s="960" t="s">
        <v>4256</v>
      </c>
      <c r="D1416" s="960" t="s">
        <v>1904</v>
      </c>
      <c r="E1416" s="959">
        <v>0</v>
      </c>
      <c r="F1416" s="959">
        <v>1</v>
      </c>
      <c r="G1416" s="959">
        <v>0</v>
      </c>
      <c r="H1416" s="959">
        <v>0</v>
      </c>
    </row>
    <row r="1417" spans="1:8">
      <c r="A1417" s="959" t="s">
        <v>3389</v>
      </c>
      <c r="B1417" s="960" t="s">
        <v>3390</v>
      </c>
      <c r="C1417" s="960" t="s">
        <v>4256</v>
      </c>
      <c r="D1417" s="960" t="s">
        <v>470</v>
      </c>
      <c r="E1417" s="959">
        <v>0</v>
      </c>
      <c r="F1417" s="959">
        <v>0</v>
      </c>
      <c r="G1417" s="959">
        <v>28</v>
      </c>
      <c r="H1417" s="959">
        <v>141</v>
      </c>
    </row>
    <row r="1418" spans="1:8">
      <c r="A1418" s="959" t="s">
        <v>3389</v>
      </c>
      <c r="B1418" s="960" t="s">
        <v>3390</v>
      </c>
      <c r="C1418" s="960" t="s">
        <v>4256</v>
      </c>
      <c r="D1418" s="960" t="s">
        <v>1904</v>
      </c>
      <c r="E1418" s="959">
        <v>0</v>
      </c>
      <c r="F1418" s="959">
        <v>0</v>
      </c>
      <c r="G1418" s="959">
        <v>0</v>
      </c>
      <c r="H1418" s="959">
        <v>2</v>
      </c>
    </row>
    <row r="1419" spans="1:8">
      <c r="A1419" s="959" t="s">
        <v>3389</v>
      </c>
      <c r="B1419" s="960" t="s">
        <v>3390</v>
      </c>
      <c r="C1419" s="960" t="s">
        <v>4256</v>
      </c>
      <c r="D1419" s="960" t="s">
        <v>4260</v>
      </c>
      <c r="E1419" s="959">
        <v>0</v>
      </c>
      <c r="F1419" s="959">
        <v>0</v>
      </c>
      <c r="G1419" s="959">
        <v>1</v>
      </c>
      <c r="H1419" s="959">
        <v>4</v>
      </c>
    </row>
    <row r="1420" spans="1:8">
      <c r="A1420" s="959" t="s">
        <v>3389</v>
      </c>
      <c r="B1420" s="960" t="s">
        <v>3390</v>
      </c>
      <c r="C1420" s="960" t="s">
        <v>4257</v>
      </c>
      <c r="D1420" s="960" t="s">
        <v>4258</v>
      </c>
      <c r="E1420" s="959">
        <v>0</v>
      </c>
      <c r="F1420" s="959">
        <v>6</v>
      </c>
      <c r="G1420" s="959">
        <v>0</v>
      </c>
      <c r="H1420" s="959">
        <v>0</v>
      </c>
    </row>
    <row r="1421" spans="1:8">
      <c r="A1421" s="959" t="s">
        <v>3392</v>
      </c>
      <c r="B1421" s="960" t="s">
        <v>3393</v>
      </c>
      <c r="C1421" s="960" t="s">
        <v>4256</v>
      </c>
      <c r="D1421" s="960" t="s">
        <v>4270</v>
      </c>
      <c r="E1421" s="959">
        <v>0</v>
      </c>
      <c r="F1421" s="959">
        <v>0</v>
      </c>
      <c r="G1421" s="959">
        <v>0</v>
      </c>
      <c r="H1421" s="959">
        <v>1</v>
      </c>
    </row>
    <row r="1422" spans="1:8">
      <c r="A1422" s="959" t="s">
        <v>3392</v>
      </c>
      <c r="B1422" s="960" t="s">
        <v>3393</v>
      </c>
      <c r="C1422" s="960" t="s">
        <v>4256</v>
      </c>
      <c r="D1422" s="960" t="s">
        <v>4259</v>
      </c>
      <c r="E1422" s="959">
        <v>0</v>
      </c>
      <c r="F1422" s="959">
        <v>2</v>
      </c>
      <c r="G1422" s="959">
        <v>6</v>
      </c>
      <c r="H1422" s="959">
        <v>35</v>
      </c>
    </row>
    <row r="1423" spans="1:8">
      <c r="A1423" s="959" t="s">
        <v>3392</v>
      </c>
      <c r="B1423" s="960" t="s">
        <v>3393</v>
      </c>
      <c r="C1423" s="960" t="s">
        <v>4256</v>
      </c>
      <c r="D1423" s="960" t="s">
        <v>1906</v>
      </c>
      <c r="E1423" s="959">
        <v>3</v>
      </c>
      <c r="F1423" s="959">
        <v>43</v>
      </c>
      <c r="G1423" s="959">
        <v>0</v>
      </c>
      <c r="H1423" s="959">
        <v>3</v>
      </c>
    </row>
    <row r="1424" spans="1:8">
      <c r="A1424" s="959" t="s">
        <v>3392</v>
      </c>
      <c r="B1424" s="960" t="s">
        <v>3393</v>
      </c>
      <c r="C1424" s="960" t="s">
        <v>4257</v>
      </c>
      <c r="D1424" s="960" t="s">
        <v>4258</v>
      </c>
      <c r="E1424" s="959">
        <v>5</v>
      </c>
      <c r="F1424" s="959">
        <v>95</v>
      </c>
      <c r="G1424" s="959">
        <v>3</v>
      </c>
      <c r="H1424" s="959">
        <v>62</v>
      </c>
    </row>
    <row r="1425" spans="1:8">
      <c r="A1425" s="959" t="s">
        <v>3392</v>
      </c>
      <c r="B1425" s="960" t="s">
        <v>3393</v>
      </c>
      <c r="C1425" s="960" t="s">
        <v>4262</v>
      </c>
      <c r="D1425" s="960" t="s">
        <v>4263</v>
      </c>
      <c r="E1425" s="959">
        <v>7</v>
      </c>
      <c r="F1425" s="959">
        <v>225</v>
      </c>
      <c r="G1425" s="959">
        <v>1</v>
      </c>
      <c r="H1425" s="959">
        <v>9</v>
      </c>
    </row>
    <row r="1426" spans="1:8">
      <c r="A1426" s="959" t="s">
        <v>3394</v>
      </c>
      <c r="B1426" s="960" t="s">
        <v>3395</v>
      </c>
      <c r="C1426" s="960" t="s">
        <v>4256</v>
      </c>
      <c r="D1426" s="960" t="s">
        <v>1906</v>
      </c>
      <c r="E1426" s="959">
        <v>10</v>
      </c>
      <c r="F1426" s="959">
        <v>84</v>
      </c>
      <c r="G1426" s="959">
        <v>0</v>
      </c>
      <c r="H1426" s="959">
        <v>0</v>
      </c>
    </row>
    <row r="1427" spans="1:8">
      <c r="A1427" s="959" t="s">
        <v>3394</v>
      </c>
      <c r="B1427" s="960" t="s">
        <v>3395</v>
      </c>
      <c r="C1427" s="960" t="s">
        <v>4256</v>
      </c>
      <c r="D1427" s="960" t="s">
        <v>4264</v>
      </c>
      <c r="E1427" s="959">
        <v>0</v>
      </c>
      <c r="F1427" s="959">
        <v>1</v>
      </c>
      <c r="G1427" s="959">
        <v>0</v>
      </c>
      <c r="H1427" s="959">
        <v>0</v>
      </c>
    </row>
    <row r="1428" spans="1:8">
      <c r="A1428" s="959" t="s">
        <v>3394</v>
      </c>
      <c r="B1428" s="960" t="s">
        <v>3395</v>
      </c>
      <c r="C1428" s="960" t="s">
        <v>4257</v>
      </c>
      <c r="D1428" s="960" t="s">
        <v>4258</v>
      </c>
      <c r="E1428" s="959">
        <v>8</v>
      </c>
      <c r="F1428" s="959">
        <v>133</v>
      </c>
      <c r="G1428" s="959">
        <v>0</v>
      </c>
      <c r="H1428" s="959">
        <v>0</v>
      </c>
    </row>
    <row r="1429" spans="1:8">
      <c r="A1429" s="959" t="s">
        <v>3394</v>
      </c>
      <c r="B1429" s="960" t="s">
        <v>3395</v>
      </c>
      <c r="C1429" s="960" t="s">
        <v>4262</v>
      </c>
      <c r="D1429" s="960" t="s">
        <v>4263</v>
      </c>
      <c r="E1429" s="959">
        <v>4</v>
      </c>
      <c r="F1429" s="959">
        <v>78</v>
      </c>
      <c r="G1429" s="959">
        <v>2</v>
      </c>
      <c r="H1429" s="959">
        <v>10</v>
      </c>
    </row>
    <row r="1430" spans="1:8">
      <c r="A1430" s="959" t="s">
        <v>3396</v>
      </c>
      <c r="B1430" s="960" t="s">
        <v>3397</v>
      </c>
      <c r="C1430" s="960" t="s">
        <v>4256</v>
      </c>
      <c r="D1430" s="960" t="s">
        <v>470</v>
      </c>
      <c r="E1430" s="959">
        <v>0</v>
      </c>
      <c r="F1430" s="959">
        <v>0</v>
      </c>
      <c r="G1430" s="959">
        <v>1</v>
      </c>
      <c r="H1430" s="959">
        <v>0</v>
      </c>
    </row>
    <row r="1431" spans="1:8">
      <c r="A1431" s="959" t="s">
        <v>3396</v>
      </c>
      <c r="B1431" s="960" t="s">
        <v>3397</v>
      </c>
      <c r="C1431" s="960" t="s">
        <v>4256</v>
      </c>
      <c r="D1431" s="960" t="s">
        <v>1904</v>
      </c>
      <c r="E1431" s="959">
        <v>0</v>
      </c>
      <c r="F1431" s="959">
        <v>0</v>
      </c>
      <c r="G1431" s="959">
        <v>0</v>
      </c>
      <c r="H1431" s="959">
        <v>1</v>
      </c>
    </row>
    <row r="1432" spans="1:8">
      <c r="A1432" s="959" t="s">
        <v>3398</v>
      </c>
      <c r="B1432" s="960" t="s">
        <v>3399</v>
      </c>
      <c r="C1432" s="960" t="s">
        <v>4256</v>
      </c>
      <c r="D1432" s="960" t="s">
        <v>1906</v>
      </c>
      <c r="E1432" s="959">
        <v>1</v>
      </c>
      <c r="F1432" s="959">
        <v>10</v>
      </c>
      <c r="G1432" s="959">
        <v>0</v>
      </c>
      <c r="H1432" s="959">
        <v>0</v>
      </c>
    </row>
    <row r="1433" spans="1:8">
      <c r="A1433" s="959" t="s">
        <v>3398</v>
      </c>
      <c r="B1433" s="960" t="s">
        <v>3399</v>
      </c>
      <c r="C1433" s="960" t="s">
        <v>4257</v>
      </c>
      <c r="D1433" s="960" t="s">
        <v>4258</v>
      </c>
      <c r="E1433" s="959">
        <v>1</v>
      </c>
      <c r="F1433" s="959">
        <v>7</v>
      </c>
      <c r="G1433" s="959">
        <v>0</v>
      </c>
      <c r="H1433" s="959">
        <v>0</v>
      </c>
    </row>
    <row r="1434" spans="1:8">
      <c r="A1434" s="959" t="s">
        <v>3401</v>
      </c>
      <c r="B1434" s="960" t="s">
        <v>3402</v>
      </c>
      <c r="C1434" s="960" t="s">
        <v>4256</v>
      </c>
      <c r="D1434" s="960" t="s">
        <v>470</v>
      </c>
      <c r="E1434" s="959">
        <v>0</v>
      </c>
      <c r="F1434" s="959">
        <v>0</v>
      </c>
      <c r="G1434" s="959">
        <v>0</v>
      </c>
      <c r="H1434" s="959">
        <v>2</v>
      </c>
    </row>
    <row r="1435" spans="1:8">
      <c r="A1435" s="959" t="s">
        <v>3401</v>
      </c>
      <c r="B1435" s="960" t="s">
        <v>3402</v>
      </c>
      <c r="C1435" s="960" t="s">
        <v>4256</v>
      </c>
      <c r="D1435" s="960" t="s">
        <v>4259</v>
      </c>
      <c r="E1435" s="959">
        <v>0</v>
      </c>
      <c r="F1435" s="959">
        <v>4</v>
      </c>
      <c r="G1435" s="959">
        <v>0</v>
      </c>
      <c r="H1435" s="959">
        <v>18</v>
      </c>
    </row>
    <row r="1436" spans="1:8">
      <c r="A1436" s="959" t="s">
        <v>3401</v>
      </c>
      <c r="B1436" s="960" t="s">
        <v>3402</v>
      </c>
      <c r="C1436" s="960" t="s">
        <v>4256</v>
      </c>
      <c r="D1436" s="960" t="s">
        <v>4260</v>
      </c>
      <c r="E1436" s="959">
        <v>0</v>
      </c>
      <c r="F1436" s="959">
        <v>0</v>
      </c>
      <c r="G1436" s="959">
        <v>0</v>
      </c>
      <c r="H1436" s="959">
        <v>2</v>
      </c>
    </row>
    <row r="1437" spans="1:8">
      <c r="A1437" s="959" t="s">
        <v>3401</v>
      </c>
      <c r="B1437" s="960" t="s">
        <v>3402</v>
      </c>
      <c r="C1437" s="960" t="s">
        <v>4256</v>
      </c>
      <c r="D1437" s="960" t="s">
        <v>1906</v>
      </c>
      <c r="E1437" s="959">
        <v>44</v>
      </c>
      <c r="F1437" s="959">
        <v>1050</v>
      </c>
      <c r="G1437" s="959">
        <v>0</v>
      </c>
      <c r="H1437" s="959">
        <v>6</v>
      </c>
    </row>
    <row r="1438" spans="1:8">
      <c r="A1438" s="959" t="s">
        <v>3401</v>
      </c>
      <c r="B1438" s="960" t="s">
        <v>3402</v>
      </c>
      <c r="C1438" s="960" t="s">
        <v>4256</v>
      </c>
      <c r="D1438" s="960" t="s">
        <v>4264</v>
      </c>
      <c r="E1438" s="959">
        <v>0</v>
      </c>
      <c r="F1438" s="959">
        <v>2</v>
      </c>
      <c r="G1438" s="959">
        <v>0</v>
      </c>
      <c r="H1438" s="959">
        <v>0</v>
      </c>
    </row>
    <row r="1439" spans="1:8">
      <c r="A1439" s="959" t="s">
        <v>3401</v>
      </c>
      <c r="B1439" s="960" t="s">
        <v>3402</v>
      </c>
      <c r="C1439" s="960" t="s">
        <v>4256</v>
      </c>
      <c r="D1439" s="960" t="s">
        <v>1907</v>
      </c>
      <c r="E1439" s="959">
        <v>2</v>
      </c>
      <c r="F1439" s="959">
        <v>26</v>
      </c>
      <c r="G1439" s="959">
        <v>0</v>
      </c>
      <c r="H1439" s="959">
        <v>0</v>
      </c>
    </row>
    <row r="1440" spans="1:8">
      <c r="A1440" s="959" t="s">
        <v>3401</v>
      </c>
      <c r="B1440" s="960" t="s">
        <v>3402</v>
      </c>
      <c r="C1440" s="960" t="s">
        <v>4257</v>
      </c>
      <c r="D1440" s="960" t="s">
        <v>4285</v>
      </c>
      <c r="E1440" s="959">
        <v>0</v>
      </c>
      <c r="F1440" s="959">
        <v>74</v>
      </c>
      <c r="G1440" s="959">
        <v>0</v>
      </c>
      <c r="H1440" s="959">
        <v>8</v>
      </c>
    </row>
    <row r="1441" spans="1:8">
      <c r="A1441" s="959" t="s">
        <v>3401</v>
      </c>
      <c r="B1441" s="960" t="s">
        <v>3402</v>
      </c>
      <c r="C1441" s="960" t="s">
        <v>4257</v>
      </c>
      <c r="D1441" s="960" t="s">
        <v>4258</v>
      </c>
      <c r="E1441" s="959">
        <v>43</v>
      </c>
      <c r="F1441" s="959">
        <v>781</v>
      </c>
      <c r="G1441" s="959">
        <v>2</v>
      </c>
      <c r="H1441" s="959">
        <v>22</v>
      </c>
    </row>
    <row r="1442" spans="1:8">
      <c r="A1442" s="959" t="s">
        <v>3401</v>
      </c>
      <c r="B1442" s="960" t="s">
        <v>3402</v>
      </c>
      <c r="C1442" s="960" t="s">
        <v>4262</v>
      </c>
      <c r="D1442" s="960" t="s">
        <v>4300</v>
      </c>
      <c r="E1442" s="959">
        <v>0</v>
      </c>
      <c r="F1442" s="959">
        <v>1</v>
      </c>
      <c r="G1442" s="959">
        <v>0</v>
      </c>
      <c r="H1442" s="959">
        <v>0</v>
      </c>
    </row>
    <row r="1443" spans="1:8">
      <c r="A1443" s="959" t="s">
        <v>3401</v>
      </c>
      <c r="B1443" s="960" t="s">
        <v>3402</v>
      </c>
      <c r="C1443" s="960" t="s">
        <v>4262</v>
      </c>
      <c r="D1443" s="960" t="s">
        <v>4263</v>
      </c>
      <c r="E1443" s="959">
        <v>20</v>
      </c>
      <c r="F1443" s="959">
        <v>251</v>
      </c>
      <c r="G1443" s="959">
        <v>0</v>
      </c>
      <c r="H1443" s="959">
        <v>0</v>
      </c>
    </row>
    <row r="1444" spans="1:8">
      <c r="A1444" s="959" t="s">
        <v>3403</v>
      </c>
      <c r="B1444" s="960" t="s">
        <v>3404</v>
      </c>
      <c r="C1444" s="960" t="s">
        <v>4267</v>
      </c>
      <c r="D1444" s="960" t="s">
        <v>4268</v>
      </c>
      <c r="E1444" s="959">
        <v>0</v>
      </c>
      <c r="F1444" s="959">
        <v>0</v>
      </c>
      <c r="G1444" s="959">
        <v>0</v>
      </c>
      <c r="H1444" s="959">
        <v>1</v>
      </c>
    </row>
    <row r="1445" spans="1:8">
      <c r="A1445" s="959" t="s">
        <v>3405</v>
      </c>
      <c r="B1445" s="960" t="s">
        <v>3406</v>
      </c>
      <c r="C1445" s="960" t="s">
        <v>4256</v>
      </c>
      <c r="D1445" s="960" t="s">
        <v>470</v>
      </c>
      <c r="E1445" s="959">
        <v>0</v>
      </c>
      <c r="F1445" s="959">
        <v>0</v>
      </c>
      <c r="G1445" s="959">
        <v>0</v>
      </c>
      <c r="H1445" s="959">
        <v>1</v>
      </c>
    </row>
    <row r="1446" spans="1:8">
      <c r="A1446" s="959" t="s">
        <v>3405</v>
      </c>
      <c r="B1446" s="960" t="s">
        <v>3406</v>
      </c>
      <c r="C1446" s="960" t="s">
        <v>4256</v>
      </c>
      <c r="D1446" s="960" t="s">
        <v>1904</v>
      </c>
      <c r="E1446" s="959">
        <v>0</v>
      </c>
      <c r="F1446" s="959">
        <v>0</v>
      </c>
      <c r="G1446" s="959">
        <v>0</v>
      </c>
      <c r="H1446" s="959">
        <v>1</v>
      </c>
    </row>
    <row r="1447" spans="1:8">
      <c r="A1447" s="959" t="s">
        <v>3405</v>
      </c>
      <c r="B1447" s="960" t="s">
        <v>3406</v>
      </c>
      <c r="C1447" s="960" t="s">
        <v>4256</v>
      </c>
      <c r="D1447" s="960" t="s">
        <v>4270</v>
      </c>
      <c r="E1447" s="959">
        <v>0</v>
      </c>
      <c r="F1447" s="959">
        <v>0</v>
      </c>
      <c r="G1447" s="959">
        <v>0</v>
      </c>
      <c r="H1447" s="959">
        <v>1</v>
      </c>
    </row>
    <row r="1448" spans="1:8">
      <c r="A1448" s="959" t="s">
        <v>3405</v>
      </c>
      <c r="B1448" s="960" t="s">
        <v>3406</v>
      </c>
      <c r="C1448" s="960" t="s">
        <v>4256</v>
      </c>
      <c r="D1448" s="960" t="s">
        <v>4259</v>
      </c>
      <c r="E1448" s="959">
        <v>1</v>
      </c>
      <c r="F1448" s="959">
        <v>0</v>
      </c>
      <c r="G1448" s="959">
        <v>0</v>
      </c>
      <c r="H1448" s="959">
        <v>3</v>
      </c>
    </row>
    <row r="1449" spans="1:8">
      <c r="A1449" s="959" t="s">
        <v>3405</v>
      </c>
      <c r="B1449" s="960" t="s">
        <v>3406</v>
      </c>
      <c r="C1449" s="960" t="s">
        <v>4256</v>
      </c>
      <c r="D1449" s="960" t="s">
        <v>4260</v>
      </c>
      <c r="E1449" s="959">
        <v>0</v>
      </c>
      <c r="F1449" s="959">
        <v>0</v>
      </c>
      <c r="G1449" s="959">
        <v>0</v>
      </c>
      <c r="H1449" s="959">
        <v>4</v>
      </c>
    </row>
    <row r="1450" spans="1:8">
      <c r="A1450" s="959" t="s">
        <v>3405</v>
      </c>
      <c r="B1450" s="960" t="s">
        <v>3406</v>
      </c>
      <c r="C1450" s="960" t="s">
        <v>4256</v>
      </c>
      <c r="D1450" s="960" t="s">
        <v>4265</v>
      </c>
      <c r="E1450" s="959">
        <v>0</v>
      </c>
      <c r="F1450" s="959">
        <v>0</v>
      </c>
      <c r="G1450" s="959">
        <v>0</v>
      </c>
      <c r="H1450" s="959">
        <v>1</v>
      </c>
    </row>
    <row r="1451" spans="1:8">
      <c r="A1451" s="959" t="s">
        <v>3405</v>
      </c>
      <c r="B1451" s="960" t="s">
        <v>3406</v>
      </c>
      <c r="C1451" s="960" t="s">
        <v>4256</v>
      </c>
      <c r="D1451" s="960" t="s">
        <v>4271</v>
      </c>
      <c r="E1451" s="959">
        <v>0</v>
      </c>
      <c r="F1451" s="959">
        <v>0</v>
      </c>
      <c r="G1451" s="959">
        <v>0</v>
      </c>
      <c r="H1451" s="959">
        <v>1</v>
      </c>
    </row>
    <row r="1452" spans="1:8">
      <c r="A1452" s="959" t="s">
        <v>3405</v>
      </c>
      <c r="B1452" s="960" t="s">
        <v>3406</v>
      </c>
      <c r="C1452" s="960" t="s">
        <v>4256</v>
      </c>
      <c r="D1452" s="960" t="s">
        <v>1906</v>
      </c>
      <c r="E1452" s="959">
        <v>0</v>
      </c>
      <c r="F1452" s="959">
        <v>2</v>
      </c>
      <c r="G1452" s="959">
        <v>0</v>
      </c>
      <c r="H1452" s="959">
        <v>0</v>
      </c>
    </row>
    <row r="1453" spans="1:8">
      <c r="A1453" s="959" t="s">
        <v>3405</v>
      </c>
      <c r="B1453" s="960" t="s">
        <v>3406</v>
      </c>
      <c r="C1453" s="960" t="s">
        <v>4256</v>
      </c>
      <c r="D1453" s="960" t="s">
        <v>4264</v>
      </c>
      <c r="E1453" s="959">
        <v>0</v>
      </c>
      <c r="F1453" s="959">
        <v>2</v>
      </c>
      <c r="G1453" s="959">
        <v>0</v>
      </c>
      <c r="H1453" s="959">
        <v>0</v>
      </c>
    </row>
    <row r="1454" spans="1:8">
      <c r="A1454" s="959" t="s">
        <v>3405</v>
      </c>
      <c r="B1454" s="960" t="s">
        <v>3406</v>
      </c>
      <c r="C1454" s="960" t="s">
        <v>4256</v>
      </c>
      <c r="D1454" s="960" t="s">
        <v>1907</v>
      </c>
      <c r="E1454" s="959">
        <v>0</v>
      </c>
      <c r="F1454" s="959">
        <v>2</v>
      </c>
      <c r="G1454" s="959">
        <v>0</v>
      </c>
      <c r="H1454" s="959">
        <v>0</v>
      </c>
    </row>
    <row r="1455" spans="1:8">
      <c r="A1455" s="959" t="s">
        <v>3405</v>
      </c>
      <c r="B1455" s="960" t="s">
        <v>3406</v>
      </c>
      <c r="C1455" s="960" t="s">
        <v>4257</v>
      </c>
      <c r="D1455" s="960" t="s">
        <v>4258</v>
      </c>
      <c r="E1455" s="959">
        <v>2</v>
      </c>
      <c r="F1455" s="959">
        <v>34</v>
      </c>
      <c r="G1455" s="959">
        <v>1</v>
      </c>
      <c r="H1455" s="959">
        <v>9</v>
      </c>
    </row>
    <row r="1456" spans="1:8">
      <c r="A1456" s="959" t="s">
        <v>3405</v>
      </c>
      <c r="B1456" s="960" t="s">
        <v>3406</v>
      </c>
      <c r="C1456" s="960" t="s">
        <v>4262</v>
      </c>
      <c r="D1456" s="960" t="s">
        <v>4263</v>
      </c>
      <c r="E1456" s="959">
        <v>16</v>
      </c>
      <c r="F1456" s="959">
        <v>247</v>
      </c>
      <c r="G1456" s="959">
        <v>0</v>
      </c>
      <c r="H1456" s="959">
        <v>0</v>
      </c>
    </row>
    <row r="1457" spans="1:8">
      <c r="A1457" s="959" t="s">
        <v>3407</v>
      </c>
      <c r="B1457" s="960" t="s">
        <v>1136</v>
      </c>
      <c r="C1457" s="960" t="s">
        <v>4256</v>
      </c>
      <c r="D1457" s="960" t="s">
        <v>1906</v>
      </c>
      <c r="E1457" s="959">
        <v>0</v>
      </c>
      <c r="F1457" s="959">
        <v>2</v>
      </c>
      <c r="G1457" s="959">
        <v>0</v>
      </c>
      <c r="H1457" s="959">
        <v>0</v>
      </c>
    </row>
    <row r="1458" spans="1:8">
      <c r="A1458" s="959" t="s">
        <v>3408</v>
      </c>
      <c r="B1458" s="960" t="s">
        <v>3409</v>
      </c>
      <c r="C1458" s="960" t="s">
        <v>4256</v>
      </c>
      <c r="D1458" s="960" t="s">
        <v>1906</v>
      </c>
      <c r="E1458" s="959">
        <v>39</v>
      </c>
      <c r="F1458" s="959">
        <v>548</v>
      </c>
      <c r="G1458" s="959">
        <v>1</v>
      </c>
      <c r="H1458" s="959">
        <v>16</v>
      </c>
    </row>
    <row r="1459" spans="1:8">
      <c r="A1459" s="959" t="s">
        <v>3408</v>
      </c>
      <c r="B1459" s="960" t="s">
        <v>3409</v>
      </c>
      <c r="C1459" s="960" t="s">
        <v>4256</v>
      </c>
      <c r="D1459" s="960" t="s">
        <v>4264</v>
      </c>
      <c r="E1459" s="959">
        <v>2</v>
      </c>
      <c r="F1459" s="959">
        <v>27</v>
      </c>
      <c r="G1459" s="959">
        <v>0</v>
      </c>
      <c r="H1459" s="959">
        <v>5</v>
      </c>
    </row>
    <row r="1460" spans="1:8">
      <c r="A1460" s="959" t="s">
        <v>3408</v>
      </c>
      <c r="B1460" s="960" t="s">
        <v>3409</v>
      </c>
      <c r="C1460" s="960" t="s">
        <v>4257</v>
      </c>
      <c r="D1460" s="960" t="s">
        <v>4258</v>
      </c>
      <c r="E1460" s="959">
        <v>8</v>
      </c>
      <c r="F1460" s="959">
        <v>106</v>
      </c>
      <c r="G1460" s="959">
        <v>0</v>
      </c>
      <c r="H1460" s="959">
        <v>2</v>
      </c>
    </row>
    <row r="1461" spans="1:8">
      <c r="A1461" s="959" t="s">
        <v>3408</v>
      </c>
      <c r="B1461" s="960" t="s">
        <v>3409</v>
      </c>
      <c r="C1461" s="960" t="s">
        <v>4262</v>
      </c>
      <c r="D1461" s="960" t="s">
        <v>4263</v>
      </c>
      <c r="E1461" s="959">
        <v>1</v>
      </c>
      <c r="F1461" s="959">
        <v>25</v>
      </c>
      <c r="G1461" s="959">
        <v>0</v>
      </c>
      <c r="H1461" s="959">
        <v>0</v>
      </c>
    </row>
    <row r="1462" spans="1:8">
      <c r="A1462" s="959" t="s">
        <v>3410</v>
      </c>
      <c r="B1462" s="960" t="s">
        <v>3411</v>
      </c>
      <c r="C1462" s="960" t="s">
        <v>4256</v>
      </c>
      <c r="D1462" s="960" t="s">
        <v>470</v>
      </c>
      <c r="E1462" s="959">
        <v>0</v>
      </c>
      <c r="F1462" s="959">
        <v>0</v>
      </c>
      <c r="G1462" s="959">
        <v>0</v>
      </c>
      <c r="H1462" s="959">
        <v>1</v>
      </c>
    </row>
    <row r="1463" spans="1:8">
      <c r="A1463" s="959" t="s">
        <v>3412</v>
      </c>
      <c r="B1463" s="960" t="s">
        <v>3413</v>
      </c>
      <c r="C1463" s="960" t="s">
        <v>4256</v>
      </c>
      <c r="D1463" s="960" t="s">
        <v>470</v>
      </c>
      <c r="E1463" s="959">
        <v>0</v>
      </c>
      <c r="F1463" s="959">
        <v>0</v>
      </c>
      <c r="G1463" s="959">
        <v>3</v>
      </c>
      <c r="H1463" s="959">
        <v>1</v>
      </c>
    </row>
    <row r="1464" spans="1:8">
      <c r="A1464" s="959" t="s">
        <v>3412</v>
      </c>
      <c r="B1464" s="960" t="s">
        <v>3413</v>
      </c>
      <c r="C1464" s="960" t="s">
        <v>4256</v>
      </c>
      <c r="D1464" s="960" t="s">
        <v>1904</v>
      </c>
      <c r="E1464" s="959">
        <v>0</v>
      </c>
      <c r="F1464" s="959">
        <v>0</v>
      </c>
      <c r="G1464" s="959">
        <v>0</v>
      </c>
      <c r="H1464" s="959">
        <v>17</v>
      </c>
    </row>
    <row r="1465" spans="1:8">
      <c r="A1465" s="959" t="s">
        <v>3412</v>
      </c>
      <c r="B1465" s="960" t="s">
        <v>3413</v>
      </c>
      <c r="C1465" s="960" t="s">
        <v>4256</v>
      </c>
      <c r="D1465" s="960" t="s">
        <v>4270</v>
      </c>
      <c r="E1465" s="959">
        <v>0</v>
      </c>
      <c r="F1465" s="959">
        <v>0</v>
      </c>
      <c r="G1465" s="959">
        <v>1</v>
      </c>
      <c r="H1465" s="959">
        <v>1</v>
      </c>
    </row>
    <row r="1466" spans="1:8">
      <c r="A1466" s="959" t="s">
        <v>3412</v>
      </c>
      <c r="B1466" s="960" t="s">
        <v>3413</v>
      </c>
      <c r="C1466" s="960" t="s">
        <v>4256</v>
      </c>
      <c r="D1466" s="960" t="s">
        <v>4259</v>
      </c>
      <c r="E1466" s="959">
        <v>0</v>
      </c>
      <c r="F1466" s="959">
        <v>0</v>
      </c>
      <c r="G1466" s="959">
        <v>0</v>
      </c>
      <c r="H1466" s="959">
        <v>1</v>
      </c>
    </row>
    <row r="1467" spans="1:8">
      <c r="A1467" s="959" t="s">
        <v>3412</v>
      </c>
      <c r="B1467" s="960" t="s">
        <v>3413</v>
      </c>
      <c r="C1467" s="960" t="s">
        <v>4256</v>
      </c>
      <c r="D1467" s="960" t="s">
        <v>4260</v>
      </c>
      <c r="E1467" s="959">
        <v>2</v>
      </c>
      <c r="F1467" s="959">
        <v>0</v>
      </c>
      <c r="G1467" s="959">
        <v>7</v>
      </c>
      <c r="H1467" s="959">
        <v>82</v>
      </c>
    </row>
    <row r="1468" spans="1:8">
      <c r="A1468" s="959" t="s">
        <v>3412</v>
      </c>
      <c r="B1468" s="960" t="s">
        <v>3413</v>
      </c>
      <c r="C1468" s="960" t="s">
        <v>4256</v>
      </c>
      <c r="D1468" s="960" t="s">
        <v>4265</v>
      </c>
      <c r="E1468" s="959">
        <v>0</v>
      </c>
      <c r="F1468" s="959">
        <v>0</v>
      </c>
      <c r="G1468" s="959">
        <v>0</v>
      </c>
      <c r="H1468" s="959">
        <v>1</v>
      </c>
    </row>
    <row r="1469" spans="1:8">
      <c r="A1469" s="959" t="s">
        <v>3412</v>
      </c>
      <c r="B1469" s="960" t="s">
        <v>3413</v>
      </c>
      <c r="C1469" s="960" t="s">
        <v>4256</v>
      </c>
      <c r="D1469" s="960" t="s">
        <v>1906</v>
      </c>
      <c r="E1469" s="959">
        <v>1</v>
      </c>
      <c r="F1469" s="959">
        <v>16</v>
      </c>
      <c r="G1469" s="959">
        <v>0</v>
      </c>
      <c r="H1469" s="959">
        <v>6</v>
      </c>
    </row>
    <row r="1470" spans="1:8">
      <c r="A1470" s="959" t="s">
        <v>3412</v>
      </c>
      <c r="B1470" s="960" t="s">
        <v>3413</v>
      </c>
      <c r="C1470" s="960" t="s">
        <v>4256</v>
      </c>
      <c r="D1470" s="960" t="s">
        <v>4261</v>
      </c>
      <c r="E1470" s="959">
        <v>0</v>
      </c>
      <c r="F1470" s="959">
        <v>0</v>
      </c>
      <c r="G1470" s="959">
        <v>0</v>
      </c>
      <c r="H1470" s="959">
        <v>7</v>
      </c>
    </row>
    <row r="1471" spans="1:8">
      <c r="A1471" s="959" t="s">
        <v>3412</v>
      </c>
      <c r="B1471" s="960" t="s">
        <v>3413</v>
      </c>
      <c r="C1471" s="960" t="s">
        <v>4257</v>
      </c>
      <c r="D1471" s="960" t="s">
        <v>4258</v>
      </c>
      <c r="E1471" s="959">
        <v>3</v>
      </c>
      <c r="F1471" s="959">
        <v>41</v>
      </c>
      <c r="G1471" s="959">
        <v>1</v>
      </c>
      <c r="H1471" s="959">
        <v>14</v>
      </c>
    </row>
    <row r="1472" spans="1:8">
      <c r="A1472" s="959" t="s">
        <v>3412</v>
      </c>
      <c r="B1472" s="960" t="s">
        <v>3413</v>
      </c>
      <c r="C1472" s="960" t="s">
        <v>4262</v>
      </c>
      <c r="D1472" s="960" t="s">
        <v>4263</v>
      </c>
      <c r="E1472" s="959">
        <v>0</v>
      </c>
      <c r="F1472" s="959">
        <v>1</v>
      </c>
      <c r="G1472" s="959">
        <v>0</v>
      </c>
      <c r="H1472" s="959">
        <v>0</v>
      </c>
    </row>
    <row r="1473" spans="1:8">
      <c r="A1473" s="959" t="s">
        <v>3414</v>
      </c>
      <c r="B1473" s="960" t="s">
        <v>3415</v>
      </c>
      <c r="C1473" s="960" t="s">
        <v>4256</v>
      </c>
      <c r="D1473" s="960" t="s">
        <v>470</v>
      </c>
      <c r="E1473" s="959">
        <v>0</v>
      </c>
      <c r="F1473" s="959">
        <v>2</v>
      </c>
      <c r="G1473" s="959">
        <v>11</v>
      </c>
      <c r="H1473" s="959">
        <v>173</v>
      </c>
    </row>
    <row r="1474" spans="1:8">
      <c r="A1474" s="959" t="s">
        <v>3414</v>
      </c>
      <c r="B1474" s="960" t="s">
        <v>3415</v>
      </c>
      <c r="C1474" s="960" t="s">
        <v>4256</v>
      </c>
      <c r="D1474" s="960" t="s">
        <v>1904</v>
      </c>
      <c r="E1474" s="959">
        <v>0</v>
      </c>
      <c r="F1474" s="959">
        <v>0</v>
      </c>
      <c r="G1474" s="959">
        <v>3</v>
      </c>
      <c r="H1474" s="959">
        <v>89</v>
      </c>
    </row>
    <row r="1475" spans="1:8">
      <c r="A1475" s="959" t="s">
        <v>3414</v>
      </c>
      <c r="B1475" s="960" t="s">
        <v>3415</v>
      </c>
      <c r="C1475" s="960" t="s">
        <v>4256</v>
      </c>
      <c r="D1475" s="960" t="s">
        <v>4270</v>
      </c>
      <c r="E1475" s="959">
        <v>0</v>
      </c>
      <c r="F1475" s="959">
        <v>0</v>
      </c>
      <c r="G1475" s="959">
        <v>1</v>
      </c>
      <c r="H1475" s="959">
        <v>1</v>
      </c>
    </row>
    <row r="1476" spans="1:8">
      <c r="A1476" s="959" t="s">
        <v>3414</v>
      </c>
      <c r="B1476" s="960" t="s">
        <v>3415</v>
      </c>
      <c r="C1476" s="960" t="s">
        <v>4256</v>
      </c>
      <c r="D1476" s="960" t="s">
        <v>4260</v>
      </c>
      <c r="E1476" s="959">
        <v>0</v>
      </c>
      <c r="F1476" s="959">
        <v>0</v>
      </c>
      <c r="G1476" s="959">
        <v>29</v>
      </c>
      <c r="H1476" s="959">
        <v>8</v>
      </c>
    </row>
    <row r="1477" spans="1:8">
      <c r="A1477" s="959" t="s">
        <v>3414</v>
      </c>
      <c r="B1477" s="960" t="s">
        <v>3415</v>
      </c>
      <c r="C1477" s="960" t="s">
        <v>4256</v>
      </c>
      <c r="D1477" s="960" t="s">
        <v>4272</v>
      </c>
      <c r="E1477" s="959">
        <v>0</v>
      </c>
      <c r="F1477" s="959">
        <v>0</v>
      </c>
      <c r="G1477" s="959">
        <v>0</v>
      </c>
      <c r="H1477" s="959">
        <v>1</v>
      </c>
    </row>
    <row r="1478" spans="1:8">
      <c r="A1478" s="959" t="s">
        <v>3414</v>
      </c>
      <c r="B1478" s="960" t="s">
        <v>3415</v>
      </c>
      <c r="C1478" s="960" t="s">
        <v>4256</v>
      </c>
      <c r="D1478" s="960" t="s">
        <v>1906</v>
      </c>
      <c r="E1478" s="959">
        <v>0</v>
      </c>
      <c r="F1478" s="959">
        <v>0</v>
      </c>
      <c r="G1478" s="959">
        <v>1</v>
      </c>
      <c r="H1478" s="959">
        <v>12</v>
      </c>
    </row>
    <row r="1479" spans="1:8">
      <c r="A1479" s="959" t="s">
        <v>3414</v>
      </c>
      <c r="B1479" s="960" t="s">
        <v>3415</v>
      </c>
      <c r="C1479" s="960" t="s">
        <v>4256</v>
      </c>
      <c r="D1479" s="960" t="s">
        <v>4264</v>
      </c>
      <c r="E1479" s="959">
        <v>0</v>
      </c>
      <c r="F1479" s="959">
        <v>0</v>
      </c>
      <c r="G1479" s="959">
        <v>0</v>
      </c>
      <c r="H1479" s="959">
        <v>1</v>
      </c>
    </row>
    <row r="1480" spans="1:8">
      <c r="A1480" s="959" t="s">
        <v>3414</v>
      </c>
      <c r="B1480" s="960" t="s">
        <v>3415</v>
      </c>
      <c r="C1480" s="960" t="s">
        <v>4256</v>
      </c>
      <c r="D1480" s="960" t="s">
        <v>4261</v>
      </c>
      <c r="E1480" s="959">
        <v>0</v>
      </c>
      <c r="F1480" s="959">
        <v>0</v>
      </c>
      <c r="G1480" s="959">
        <v>18</v>
      </c>
      <c r="H1480" s="959">
        <v>6</v>
      </c>
    </row>
    <row r="1481" spans="1:8">
      <c r="A1481" s="959" t="s">
        <v>3414</v>
      </c>
      <c r="B1481" s="960" t="s">
        <v>3415</v>
      </c>
      <c r="C1481" s="960" t="s">
        <v>4257</v>
      </c>
      <c r="D1481" s="960" t="s">
        <v>4258</v>
      </c>
      <c r="E1481" s="959">
        <v>0</v>
      </c>
      <c r="F1481" s="959">
        <v>0</v>
      </c>
      <c r="G1481" s="959">
        <v>0</v>
      </c>
      <c r="H1481" s="959">
        <v>1</v>
      </c>
    </row>
    <row r="1482" spans="1:8">
      <c r="A1482" s="959" t="s">
        <v>3414</v>
      </c>
      <c r="B1482" s="960" t="s">
        <v>3415</v>
      </c>
      <c r="C1482" s="960" t="s">
        <v>4267</v>
      </c>
      <c r="D1482" s="960" t="s">
        <v>4268</v>
      </c>
      <c r="E1482" s="959">
        <v>0</v>
      </c>
      <c r="F1482" s="959">
        <v>0</v>
      </c>
      <c r="G1482" s="959">
        <v>0</v>
      </c>
      <c r="H1482" s="959">
        <v>28</v>
      </c>
    </row>
    <row r="1483" spans="1:8">
      <c r="A1483" s="959" t="s">
        <v>3416</v>
      </c>
      <c r="B1483" s="960" t="s">
        <v>3417</v>
      </c>
      <c r="C1483" s="960" t="s">
        <v>4256</v>
      </c>
      <c r="D1483" s="960" t="s">
        <v>1906</v>
      </c>
      <c r="E1483" s="959">
        <v>1</v>
      </c>
      <c r="F1483" s="959">
        <v>10</v>
      </c>
      <c r="G1483" s="959">
        <v>0</v>
      </c>
      <c r="H1483" s="959">
        <v>0</v>
      </c>
    </row>
    <row r="1484" spans="1:8">
      <c r="A1484" s="959" t="s">
        <v>3416</v>
      </c>
      <c r="B1484" s="960" t="s">
        <v>3417</v>
      </c>
      <c r="C1484" s="960" t="s">
        <v>4257</v>
      </c>
      <c r="D1484" s="960" t="s">
        <v>4258</v>
      </c>
      <c r="E1484" s="959">
        <v>0</v>
      </c>
      <c r="F1484" s="959">
        <v>3</v>
      </c>
      <c r="G1484" s="959">
        <v>0</v>
      </c>
      <c r="H1484" s="959">
        <v>0</v>
      </c>
    </row>
    <row r="1485" spans="1:8">
      <c r="A1485" s="959" t="s">
        <v>3418</v>
      </c>
      <c r="B1485" s="960" t="s">
        <v>3419</v>
      </c>
      <c r="C1485" s="960" t="s">
        <v>4256</v>
      </c>
      <c r="D1485" s="960" t="s">
        <v>470</v>
      </c>
      <c r="E1485" s="959">
        <v>0</v>
      </c>
      <c r="F1485" s="959">
        <v>0</v>
      </c>
      <c r="G1485" s="959">
        <v>1</v>
      </c>
      <c r="H1485" s="959">
        <v>5</v>
      </c>
    </row>
    <row r="1486" spans="1:8">
      <c r="A1486" s="959" t="s">
        <v>3418</v>
      </c>
      <c r="B1486" s="960" t="s">
        <v>3419</v>
      </c>
      <c r="C1486" s="960" t="s">
        <v>4257</v>
      </c>
      <c r="D1486" s="960" t="s">
        <v>4258</v>
      </c>
      <c r="E1486" s="959">
        <v>0</v>
      </c>
      <c r="F1486" s="959">
        <v>1</v>
      </c>
      <c r="G1486" s="959">
        <v>0</v>
      </c>
      <c r="H1486" s="959">
        <v>0</v>
      </c>
    </row>
    <row r="1487" spans="1:8">
      <c r="A1487" s="959" t="s">
        <v>3418</v>
      </c>
      <c r="B1487" s="960" t="s">
        <v>3419</v>
      </c>
      <c r="C1487" s="960" t="s">
        <v>4267</v>
      </c>
      <c r="D1487" s="960" t="s">
        <v>4268</v>
      </c>
      <c r="E1487" s="959">
        <v>0</v>
      </c>
      <c r="F1487" s="959">
        <v>0</v>
      </c>
      <c r="G1487" s="959">
        <v>0</v>
      </c>
      <c r="H1487" s="959">
        <v>7</v>
      </c>
    </row>
    <row r="1488" spans="1:8">
      <c r="A1488" s="959" t="s">
        <v>3420</v>
      </c>
      <c r="B1488" s="960" t="s">
        <v>3421</v>
      </c>
      <c r="C1488" s="960" t="s">
        <v>4257</v>
      </c>
      <c r="D1488" s="960" t="s">
        <v>4258</v>
      </c>
      <c r="E1488" s="959">
        <v>0</v>
      </c>
      <c r="F1488" s="959">
        <v>5</v>
      </c>
      <c r="G1488" s="959">
        <v>0</v>
      </c>
      <c r="H1488" s="959">
        <v>0</v>
      </c>
    </row>
    <row r="1489" spans="1:8">
      <c r="A1489" s="959" t="s">
        <v>3422</v>
      </c>
      <c r="B1489" s="960" t="s">
        <v>1137</v>
      </c>
      <c r="C1489" s="960" t="s">
        <v>4256</v>
      </c>
      <c r="D1489" s="960" t="s">
        <v>1906</v>
      </c>
      <c r="E1489" s="959">
        <v>1</v>
      </c>
      <c r="F1489" s="959">
        <v>25</v>
      </c>
      <c r="G1489" s="959">
        <v>0</v>
      </c>
      <c r="H1489" s="959">
        <v>0</v>
      </c>
    </row>
    <row r="1490" spans="1:8">
      <c r="A1490" s="959" t="s">
        <v>3422</v>
      </c>
      <c r="B1490" s="960" t="s">
        <v>1137</v>
      </c>
      <c r="C1490" s="960" t="s">
        <v>4257</v>
      </c>
      <c r="D1490" s="960" t="s">
        <v>4258</v>
      </c>
      <c r="E1490" s="959">
        <v>1</v>
      </c>
      <c r="F1490" s="959">
        <v>12</v>
      </c>
      <c r="G1490" s="959">
        <v>0</v>
      </c>
      <c r="H1490" s="959">
        <v>0</v>
      </c>
    </row>
    <row r="1491" spans="1:8">
      <c r="A1491" s="959" t="s">
        <v>3423</v>
      </c>
      <c r="B1491" s="960" t="s">
        <v>3424</v>
      </c>
      <c r="C1491" s="960" t="s">
        <v>4267</v>
      </c>
      <c r="D1491" s="960" t="s">
        <v>4268</v>
      </c>
      <c r="E1491" s="959">
        <v>0</v>
      </c>
      <c r="F1491" s="959">
        <v>0</v>
      </c>
      <c r="G1491" s="959">
        <v>0</v>
      </c>
      <c r="H1491" s="959">
        <v>16</v>
      </c>
    </row>
    <row r="1492" spans="1:8">
      <c r="A1492" s="959" t="s">
        <v>3425</v>
      </c>
      <c r="B1492" s="960" t="s">
        <v>3426</v>
      </c>
      <c r="C1492" s="960" t="s">
        <v>4256</v>
      </c>
      <c r="D1492" s="960" t="s">
        <v>4265</v>
      </c>
      <c r="E1492" s="959">
        <v>0</v>
      </c>
      <c r="F1492" s="959">
        <v>1</v>
      </c>
      <c r="G1492" s="959">
        <v>0</v>
      </c>
      <c r="H1492" s="959">
        <v>1</v>
      </c>
    </row>
    <row r="1493" spans="1:8">
      <c r="A1493" s="959" t="s">
        <v>3425</v>
      </c>
      <c r="B1493" s="960" t="s">
        <v>3426</v>
      </c>
      <c r="C1493" s="960" t="s">
        <v>4256</v>
      </c>
      <c r="D1493" s="960" t="s">
        <v>1906</v>
      </c>
      <c r="E1493" s="959">
        <v>23</v>
      </c>
      <c r="F1493" s="959">
        <v>350</v>
      </c>
      <c r="G1493" s="959">
        <v>11</v>
      </c>
      <c r="H1493" s="959">
        <v>153</v>
      </c>
    </row>
    <row r="1494" spans="1:8">
      <c r="A1494" s="959" t="s">
        <v>3425</v>
      </c>
      <c r="B1494" s="960" t="s">
        <v>3426</v>
      </c>
      <c r="C1494" s="960" t="s">
        <v>4256</v>
      </c>
      <c r="D1494" s="960" t="s">
        <v>4264</v>
      </c>
      <c r="E1494" s="959">
        <v>0</v>
      </c>
      <c r="F1494" s="959">
        <v>1</v>
      </c>
      <c r="G1494" s="959">
        <v>0</v>
      </c>
      <c r="H1494" s="959">
        <v>1</v>
      </c>
    </row>
    <row r="1495" spans="1:8">
      <c r="A1495" s="959" t="s">
        <v>3425</v>
      </c>
      <c r="B1495" s="960" t="s">
        <v>3426</v>
      </c>
      <c r="C1495" s="960" t="s">
        <v>4257</v>
      </c>
      <c r="D1495" s="960" t="s">
        <v>4258</v>
      </c>
      <c r="E1495" s="959">
        <v>91</v>
      </c>
      <c r="F1495" s="959">
        <v>1514</v>
      </c>
      <c r="G1495" s="959">
        <v>71</v>
      </c>
      <c r="H1495" s="959">
        <v>943</v>
      </c>
    </row>
    <row r="1496" spans="1:8">
      <c r="A1496" s="959" t="s">
        <v>3425</v>
      </c>
      <c r="B1496" s="960" t="s">
        <v>3426</v>
      </c>
      <c r="C1496" s="960" t="s">
        <v>4262</v>
      </c>
      <c r="D1496" s="960" t="s">
        <v>4263</v>
      </c>
      <c r="E1496" s="959">
        <v>0</v>
      </c>
      <c r="F1496" s="959">
        <v>0</v>
      </c>
      <c r="G1496" s="959">
        <v>0</v>
      </c>
      <c r="H1496" s="959">
        <v>3</v>
      </c>
    </row>
    <row r="1497" spans="1:8">
      <c r="A1497" s="959" t="s">
        <v>3427</v>
      </c>
      <c r="B1497" s="960" t="s">
        <v>3428</v>
      </c>
      <c r="C1497" s="960" t="s">
        <v>4256</v>
      </c>
      <c r="D1497" s="960" t="s">
        <v>470</v>
      </c>
      <c r="E1497" s="959">
        <v>0</v>
      </c>
      <c r="F1497" s="959">
        <v>0</v>
      </c>
      <c r="G1497" s="959">
        <v>18</v>
      </c>
      <c r="H1497" s="959">
        <v>184</v>
      </c>
    </row>
    <row r="1498" spans="1:8">
      <c r="A1498" s="959" t="s">
        <v>3427</v>
      </c>
      <c r="B1498" s="960" t="s">
        <v>3428</v>
      </c>
      <c r="C1498" s="960" t="s">
        <v>4256</v>
      </c>
      <c r="D1498" s="960" t="s">
        <v>1904</v>
      </c>
      <c r="E1498" s="959">
        <v>0</v>
      </c>
      <c r="F1498" s="959">
        <v>0</v>
      </c>
      <c r="G1498" s="959">
        <v>16</v>
      </c>
      <c r="H1498" s="959">
        <v>183</v>
      </c>
    </row>
    <row r="1499" spans="1:8">
      <c r="A1499" s="959" t="s">
        <v>3427</v>
      </c>
      <c r="B1499" s="960" t="s">
        <v>3428</v>
      </c>
      <c r="C1499" s="960" t="s">
        <v>4256</v>
      </c>
      <c r="D1499" s="960" t="s">
        <v>4270</v>
      </c>
      <c r="E1499" s="959">
        <v>0</v>
      </c>
      <c r="F1499" s="959">
        <v>0</v>
      </c>
      <c r="G1499" s="959">
        <v>0</v>
      </c>
      <c r="H1499" s="959">
        <v>6</v>
      </c>
    </row>
    <row r="1500" spans="1:8">
      <c r="A1500" s="959" t="s">
        <v>3427</v>
      </c>
      <c r="B1500" s="960" t="s">
        <v>3428</v>
      </c>
      <c r="C1500" s="960" t="s">
        <v>4256</v>
      </c>
      <c r="D1500" s="960" t="s">
        <v>4259</v>
      </c>
      <c r="E1500" s="959">
        <v>0</v>
      </c>
      <c r="F1500" s="959">
        <v>0</v>
      </c>
      <c r="G1500" s="959">
        <v>0</v>
      </c>
      <c r="H1500" s="959">
        <v>8</v>
      </c>
    </row>
    <row r="1501" spans="1:8">
      <c r="A1501" s="959" t="s">
        <v>3427</v>
      </c>
      <c r="B1501" s="960" t="s">
        <v>3428</v>
      </c>
      <c r="C1501" s="960" t="s">
        <v>4256</v>
      </c>
      <c r="D1501" s="960" t="s">
        <v>4260</v>
      </c>
      <c r="E1501" s="959">
        <v>0</v>
      </c>
      <c r="F1501" s="959">
        <v>0</v>
      </c>
      <c r="G1501" s="959">
        <v>1</v>
      </c>
      <c r="H1501" s="959">
        <v>41</v>
      </c>
    </row>
    <row r="1502" spans="1:8">
      <c r="A1502" s="959" t="s">
        <v>3427</v>
      </c>
      <c r="B1502" s="960" t="s">
        <v>3428</v>
      </c>
      <c r="C1502" s="960" t="s">
        <v>4256</v>
      </c>
      <c r="D1502" s="960" t="s">
        <v>4265</v>
      </c>
      <c r="E1502" s="959">
        <v>0</v>
      </c>
      <c r="F1502" s="959">
        <v>0</v>
      </c>
      <c r="G1502" s="959">
        <v>1</v>
      </c>
      <c r="H1502" s="959">
        <v>6</v>
      </c>
    </row>
    <row r="1503" spans="1:8">
      <c r="A1503" s="959" t="s">
        <v>3427</v>
      </c>
      <c r="B1503" s="960" t="s">
        <v>3428</v>
      </c>
      <c r="C1503" s="960" t="s">
        <v>4256</v>
      </c>
      <c r="D1503" s="960" t="s">
        <v>1906</v>
      </c>
      <c r="E1503" s="959">
        <v>1</v>
      </c>
      <c r="F1503" s="959">
        <v>49</v>
      </c>
      <c r="G1503" s="959">
        <v>6</v>
      </c>
      <c r="H1503" s="959">
        <v>84</v>
      </c>
    </row>
    <row r="1504" spans="1:8">
      <c r="A1504" s="959" t="s">
        <v>3427</v>
      </c>
      <c r="B1504" s="960" t="s">
        <v>3428</v>
      </c>
      <c r="C1504" s="960" t="s">
        <v>4256</v>
      </c>
      <c r="D1504" s="960" t="s">
        <v>4264</v>
      </c>
      <c r="E1504" s="959">
        <v>0</v>
      </c>
      <c r="F1504" s="959">
        <v>1</v>
      </c>
      <c r="G1504" s="959">
        <v>0</v>
      </c>
      <c r="H1504" s="959">
        <v>4</v>
      </c>
    </row>
    <row r="1505" spans="1:8">
      <c r="A1505" s="959" t="s">
        <v>3427</v>
      </c>
      <c r="B1505" s="960" t="s">
        <v>3428</v>
      </c>
      <c r="C1505" s="960" t="s">
        <v>4256</v>
      </c>
      <c r="D1505" s="960" t="s">
        <v>4261</v>
      </c>
      <c r="E1505" s="959">
        <v>0</v>
      </c>
      <c r="F1505" s="959">
        <v>0</v>
      </c>
      <c r="G1505" s="959">
        <v>4</v>
      </c>
      <c r="H1505" s="959">
        <v>49</v>
      </c>
    </row>
    <row r="1506" spans="1:8">
      <c r="A1506" s="959" t="s">
        <v>3427</v>
      </c>
      <c r="B1506" s="960" t="s">
        <v>3428</v>
      </c>
      <c r="C1506" s="960" t="s">
        <v>4257</v>
      </c>
      <c r="D1506" s="960" t="s">
        <v>4258</v>
      </c>
      <c r="E1506" s="959">
        <v>10</v>
      </c>
      <c r="F1506" s="959">
        <v>269</v>
      </c>
      <c r="G1506" s="959">
        <v>4</v>
      </c>
      <c r="H1506" s="959">
        <v>66</v>
      </c>
    </row>
    <row r="1507" spans="1:8">
      <c r="A1507" s="959" t="s">
        <v>3427</v>
      </c>
      <c r="B1507" s="960" t="s">
        <v>3428</v>
      </c>
      <c r="C1507" s="960" t="s">
        <v>4262</v>
      </c>
      <c r="D1507" s="960" t="s">
        <v>4263</v>
      </c>
      <c r="E1507" s="959">
        <v>16</v>
      </c>
      <c r="F1507" s="959">
        <v>111</v>
      </c>
      <c r="G1507" s="959">
        <v>0</v>
      </c>
      <c r="H1507" s="959">
        <v>0</v>
      </c>
    </row>
    <row r="1508" spans="1:8">
      <c r="A1508" s="959" t="s">
        <v>3429</v>
      </c>
      <c r="B1508" s="960" t="s">
        <v>3430</v>
      </c>
      <c r="C1508" s="960" t="s">
        <v>4275</v>
      </c>
      <c r="D1508" s="960" t="s">
        <v>4276</v>
      </c>
      <c r="E1508" s="959">
        <v>0</v>
      </c>
      <c r="F1508" s="959">
        <v>1</v>
      </c>
      <c r="G1508" s="959">
        <v>0</v>
      </c>
      <c r="H1508" s="959">
        <v>0</v>
      </c>
    </row>
    <row r="1509" spans="1:8">
      <c r="A1509" s="959" t="s">
        <v>3429</v>
      </c>
      <c r="B1509" s="960" t="s">
        <v>3430</v>
      </c>
      <c r="C1509" s="960" t="s">
        <v>4256</v>
      </c>
      <c r="D1509" s="960" t="s">
        <v>1906</v>
      </c>
      <c r="E1509" s="959">
        <v>0</v>
      </c>
      <c r="F1509" s="959">
        <v>0</v>
      </c>
      <c r="G1509" s="959">
        <v>0</v>
      </c>
      <c r="H1509" s="959">
        <v>2</v>
      </c>
    </row>
    <row r="1510" spans="1:8">
      <c r="A1510" s="959" t="s">
        <v>3429</v>
      </c>
      <c r="B1510" s="960" t="s">
        <v>3430</v>
      </c>
      <c r="C1510" s="960" t="s">
        <v>4256</v>
      </c>
      <c r="D1510" s="960" t="s">
        <v>1907</v>
      </c>
      <c r="E1510" s="959">
        <v>0</v>
      </c>
      <c r="F1510" s="959">
        <v>0</v>
      </c>
      <c r="G1510" s="959">
        <v>0</v>
      </c>
      <c r="H1510" s="959">
        <v>5</v>
      </c>
    </row>
    <row r="1511" spans="1:8">
      <c r="A1511" s="959" t="s">
        <v>3429</v>
      </c>
      <c r="B1511" s="960" t="s">
        <v>3430</v>
      </c>
      <c r="C1511" s="960" t="s">
        <v>4257</v>
      </c>
      <c r="D1511" s="960" t="s">
        <v>4258</v>
      </c>
      <c r="E1511" s="959">
        <v>0</v>
      </c>
      <c r="F1511" s="959">
        <v>6</v>
      </c>
      <c r="G1511" s="959">
        <v>4</v>
      </c>
      <c r="H1511" s="959">
        <v>41</v>
      </c>
    </row>
    <row r="1512" spans="1:8">
      <c r="A1512" s="959" t="s">
        <v>3429</v>
      </c>
      <c r="B1512" s="960" t="s">
        <v>3430</v>
      </c>
      <c r="C1512" s="960" t="s">
        <v>4262</v>
      </c>
      <c r="D1512" s="960" t="s">
        <v>4263</v>
      </c>
      <c r="E1512" s="959">
        <v>0</v>
      </c>
      <c r="F1512" s="959">
        <v>5</v>
      </c>
      <c r="G1512" s="959">
        <v>0</v>
      </c>
      <c r="H1512" s="959">
        <v>0</v>
      </c>
    </row>
    <row r="1513" spans="1:8">
      <c r="A1513" s="959" t="s">
        <v>3431</v>
      </c>
      <c r="B1513" s="960" t="s">
        <v>3432</v>
      </c>
      <c r="C1513" s="960" t="s">
        <v>4256</v>
      </c>
      <c r="D1513" s="960" t="s">
        <v>470</v>
      </c>
      <c r="E1513" s="959">
        <v>0</v>
      </c>
      <c r="F1513" s="959">
        <v>0</v>
      </c>
      <c r="G1513" s="959">
        <v>3</v>
      </c>
      <c r="H1513" s="959">
        <v>56</v>
      </c>
    </row>
    <row r="1514" spans="1:8">
      <c r="A1514" s="959" t="s">
        <v>3431</v>
      </c>
      <c r="B1514" s="960" t="s">
        <v>3432</v>
      </c>
      <c r="C1514" s="960" t="s">
        <v>4256</v>
      </c>
      <c r="D1514" s="960" t="s">
        <v>1904</v>
      </c>
      <c r="E1514" s="959">
        <v>0</v>
      </c>
      <c r="F1514" s="959">
        <v>0</v>
      </c>
      <c r="G1514" s="959">
        <v>6</v>
      </c>
      <c r="H1514" s="959">
        <v>40</v>
      </c>
    </row>
    <row r="1515" spans="1:8">
      <c r="A1515" s="959" t="s">
        <v>3431</v>
      </c>
      <c r="B1515" s="960" t="s">
        <v>3432</v>
      </c>
      <c r="C1515" s="960" t="s">
        <v>4256</v>
      </c>
      <c r="D1515" s="960" t="s">
        <v>4260</v>
      </c>
      <c r="E1515" s="959">
        <v>0</v>
      </c>
      <c r="F1515" s="959">
        <v>0</v>
      </c>
      <c r="G1515" s="959">
        <v>0</v>
      </c>
      <c r="H1515" s="959">
        <v>5</v>
      </c>
    </row>
    <row r="1516" spans="1:8">
      <c r="A1516" s="959" t="s">
        <v>3431</v>
      </c>
      <c r="B1516" s="960" t="s">
        <v>3432</v>
      </c>
      <c r="C1516" s="960" t="s">
        <v>4256</v>
      </c>
      <c r="D1516" s="960" t="s">
        <v>1906</v>
      </c>
      <c r="E1516" s="959">
        <v>0</v>
      </c>
      <c r="F1516" s="959">
        <v>0</v>
      </c>
      <c r="G1516" s="959">
        <v>0</v>
      </c>
      <c r="H1516" s="959">
        <v>1</v>
      </c>
    </row>
    <row r="1517" spans="1:8">
      <c r="A1517" s="959" t="s">
        <v>3431</v>
      </c>
      <c r="B1517" s="960" t="s">
        <v>3432</v>
      </c>
      <c r="C1517" s="960" t="s">
        <v>4256</v>
      </c>
      <c r="D1517" s="960" t="s">
        <v>4264</v>
      </c>
      <c r="E1517" s="959">
        <v>0</v>
      </c>
      <c r="F1517" s="959">
        <v>0</v>
      </c>
      <c r="G1517" s="959">
        <v>1</v>
      </c>
      <c r="H1517" s="959">
        <v>7</v>
      </c>
    </row>
    <row r="1518" spans="1:8">
      <c r="A1518" s="959" t="s">
        <v>3431</v>
      </c>
      <c r="B1518" s="960" t="s">
        <v>3432</v>
      </c>
      <c r="C1518" s="960" t="s">
        <v>4256</v>
      </c>
      <c r="D1518" s="960" t="s">
        <v>4261</v>
      </c>
      <c r="E1518" s="959">
        <v>0</v>
      </c>
      <c r="F1518" s="959">
        <v>0</v>
      </c>
      <c r="G1518" s="959">
        <v>0</v>
      </c>
      <c r="H1518" s="959">
        <v>7</v>
      </c>
    </row>
    <row r="1519" spans="1:8">
      <c r="A1519" s="959" t="s">
        <v>3431</v>
      </c>
      <c r="B1519" s="960" t="s">
        <v>3432</v>
      </c>
      <c r="C1519" s="960" t="s">
        <v>4257</v>
      </c>
      <c r="D1519" s="960" t="s">
        <v>4258</v>
      </c>
      <c r="E1519" s="959">
        <v>0</v>
      </c>
      <c r="F1519" s="959">
        <v>1</v>
      </c>
      <c r="G1519" s="959">
        <v>0</v>
      </c>
      <c r="H1519" s="959">
        <v>1</v>
      </c>
    </row>
    <row r="1520" spans="1:8">
      <c r="A1520" s="959" t="s">
        <v>3431</v>
      </c>
      <c r="B1520" s="960" t="s">
        <v>3432</v>
      </c>
      <c r="C1520" s="960" t="s">
        <v>4267</v>
      </c>
      <c r="D1520" s="960" t="s">
        <v>4268</v>
      </c>
      <c r="E1520" s="959">
        <v>0</v>
      </c>
      <c r="F1520" s="959">
        <v>0</v>
      </c>
      <c r="G1520" s="959">
        <v>0</v>
      </c>
      <c r="H1520" s="959">
        <v>10</v>
      </c>
    </row>
    <row r="1521" spans="1:8">
      <c r="A1521" s="959" t="s">
        <v>3433</v>
      </c>
      <c r="B1521" s="960" t="s">
        <v>3434</v>
      </c>
      <c r="C1521" s="960" t="s">
        <v>4256</v>
      </c>
      <c r="D1521" s="960" t="s">
        <v>4260</v>
      </c>
      <c r="E1521" s="959">
        <v>0</v>
      </c>
      <c r="F1521" s="959">
        <v>1</v>
      </c>
      <c r="G1521" s="959">
        <v>0</v>
      </c>
      <c r="H1521" s="959">
        <v>0</v>
      </c>
    </row>
    <row r="1522" spans="1:8">
      <c r="A1522" s="959" t="s">
        <v>3433</v>
      </c>
      <c r="B1522" s="960" t="s">
        <v>3434</v>
      </c>
      <c r="C1522" s="960" t="s">
        <v>4256</v>
      </c>
      <c r="D1522" s="960" t="s">
        <v>1906</v>
      </c>
      <c r="E1522" s="959">
        <v>0</v>
      </c>
      <c r="F1522" s="959">
        <v>4</v>
      </c>
      <c r="G1522" s="959">
        <v>0</v>
      </c>
      <c r="H1522" s="959">
        <v>0</v>
      </c>
    </row>
    <row r="1523" spans="1:8">
      <c r="A1523" s="959" t="s">
        <v>3433</v>
      </c>
      <c r="B1523" s="960" t="s">
        <v>3434</v>
      </c>
      <c r="C1523" s="960" t="s">
        <v>4257</v>
      </c>
      <c r="D1523" s="960" t="s">
        <v>4258</v>
      </c>
      <c r="E1523" s="959">
        <v>1</v>
      </c>
      <c r="F1523" s="959">
        <v>27</v>
      </c>
      <c r="G1523" s="959">
        <v>0</v>
      </c>
      <c r="H1523" s="959">
        <v>0</v>
      </c>
    </row>
    <row r="1524" spans="1:8">
      <c r="A1524" s="959" t="s">
        <v>3433</v>
      </c>
      <c r="B1524" s="960" t="s">
        <v>3434</v>
      </c>
      <c r="C1524" s="960" t="s">
        <v>4262</v>
      </c>
      <c r="D1524" s="960" t="s">
        <v>4263</v>
      </c>
      <c r="E1524" s="959">
        <v>21</v>
      </c>
      <c r="F1524" s="959">
        <v>235</v>
      </c>
      <c r="G1524" s="959">
        <v>0</v>
      </c>
      <c r="H1524" s="959">
        <v>0</v>
      </c>
    </row>
    <row r="1525" spans="1:8">
      <c r="A1525" s="959" t="s">
        <v>3433</v>
      </c>
      <c r="B1525" s="960" t="s">
        <v>3434</v>
      </c>
      <c r="C1525" s="960" t="s">
        <v>4267</v>
      </c>
      <c r="D1525" s="960" t="s">
        <v>4268</v>
      </c>
      <c r="E1525" s="959">
        <v>0</v>
      </c>
      <c r="F1525" s="959">
        <v>3</v>
      </c>
      <c r="G1525" s="959">
        <v>0</v>
      </c>
      <c r="H1525" s="959">
        <v>0</v>
      </c>
    </row>
    <row r="1526" spans="1:8">
      <c r="A1526" s="959" t="s">
        <v>3435</v>
      </c>
      <c r="B1526" s="960" t="s">
        <v>3436</v>
      </c>
      <c r="C1526" s="960" t="s">
        <v>4257</v>
      </c>
      <c r="D1526" s="960" t="s">
        <v>4258</v>
      </c>
      <c r="E1526" s="959">
        <v>1</v>
      </c>
      <c r="F1526" s="959">
        <v>11</v>
      </c>
      <c r="G1526" s="959">
        <v>0</v>
      </c>
      <c r="H1526" s="959">
        <v>0</v>
      </c>
    </row>
    <row r="1527" spans="1:8">
      <c r="A1527" s="959" t="s">
        <v>3437</v>
      </c>
      <c r="B1527" s="960" t="s">
        <v>3438</v>
      </c>
      <c r="C1527" s="960" t="s">
        <v>4256</v>
      </c>
      <c r="D1527" s="960" t="s">
        <v>4264</v>
      </c>
      <c r="E1527" s="959">
        <v>0</v>
      </c>
      <c r="F1527" s="959">
        <v>0</v>
      </c>
      <c r="G1527" s="959">
        <v>1</v>
      </c>
      <c r="H1527" s="959">
        <v>13</v>
      </c>
    </row>
    <row r="1528" spans="1:8">
      <c r="A1528" s="959" t="s">
        <v>3437</v>
      </c>
      <c r="B1528" s="960" t="s">
        <v>3438</v>
      </c>
      <c r="C1528" s="960" t="s">
        <v>4257</v>
      </c>
      <c r="D1528" s="960" t="s">
        <v>4258</v>
      </c>
      <c r="E1528" s="959">
        <v>0</v>
      </c>
      <c r="F1528" s="959">
        <v>5</v>
      </c>
      <c r="G1528" s="959">
        <v>0</v>
      </c>
      <c r="H1528" s="959">
        <v>0</v>
      </c>
    </row>
    <row r="1529" spans="1:8">
      <c r="A1529" s="959" t="s">
        <v>3437</v>
      </c>
      <c r="B1529" s="960" t="s">
        <v>3438</v>
      </c>
      <c r="C1529" s="960" t="s">
        <v>4262</v>
      </c>
      <c r="D1529" s="960" t="s">
        <v>4263</v>
      </c>
      <c r="E1529" s="959">
        <v>3</v>
      </c>
      <c r="F1529" s="959">
        <v>2</v>
      </c>
      <c r="G1529" s="959">
        <v>0</v>
      </c>
      <c r="H1529" s="959">
        <v>0</v>
      </c>
    </row>
    <row r="1530" spans="1:8">
      <c r="A1530" s="959" t="s">
        <v>3437</v>
      </c>
      <c r="B1530" s="960" t="s">
        <v>3438</v>
      </c>
      <c r="C1530" s="960" t="s">
        <v>4267</v>
      </c>
      <c r="D1530" s="960" t="s">
        <v>4268</v>
      </c>
      <c r="E1530" s="959">
        <v>0</v>
      </c>
      <c r="F1530" s="959">
        <v>0</v>
      </c>
      <c r="G1530" s="959">
        <v>0</v>
      </c>
      <c r="H1530" s="959">
        <v>1</v>
      </c>
    </row>
    <row r="1531" spans="1:8">
      <c r="A1531" s="959" t="s">
        <v>3439</v>
      </c>
      <c r="B1531" s="960" t="s">
        <v>3440</v>
      </c>
      <c r="C1531" s="960" t="s">
        <v>4256</v>
      </c>
      <c r="D1531" s="960" t="s">
        <v>470</v>
      </c>
      <c r="E1531" s="959">
        <v>0</v>
      </c>
      <c r="F1531" s="959">
        <v>0</v>
      </c>
      <c r="G1531" s="959">
        <v>0</v>
      </c>
      <c r="H1531" s="959">
        <v>1</v>
      </c>
    </row>
    <row r="1532" spans="1:8">
      <c r="A1532" s="959" t="s">
        <v>3439</v>
      </c>
      <c r="B1532" s="960" t="s">
        <v>3440</v>
      </c>
      <c r="C1532" s="960" t="s">
        <v>4256</v>
      </c>
      <c r="D1532" s="960" t="s">
        <v>1904</v>
      </c>
      <c r="E1532" s="959">
        <v>0</v>
      </c>
      <c r="F1532" s="959">
        <v>0</v>
      </c>
      <c r="G1532" s="959">
        <v>0</v>
      </c>
      <c r="H1532" s="959">
        <v>23</v>
      </c>
    </row>
    <row r="1533" spans="1:8">
      <c r="A1533" s="959" t="s">
        <v>3439</v>
      </c>
      <c r="B1533" s="960" t="s">
        <v>3440</v>
      </c>
      <c r="C1533" s="960" t="s">
        <v>4256</v>
      </c>
      <c r="D1533" s="960" t="s">
        <v>4260</v>
      </c>
      <c r="E1533" s="959">
        <v>0</v>
      </c>
      <c r="F1533" s="959">
        <v>0</v>
      </c>
      <c r="G1533" s="959">
        <v>0</v>
      </c>
      <c r="H1533" s="959">
        <v>2</v>
      </c>
    </row>
    <row r="1534" spans="1:8">
      <c r="A1534" s="959" t="s">
        <v>3439</v>
      </c>
      <c r="B1534" s="960" t="s">
        <v>3440</v>
      </c>
      <c r="C1534" s="960" t="s">
        <v>4256</v>
      </c>
      <c r="D1534" s="960" t="s">
        <v>4265</v>
      </c>
      <c r="E1534" s="959">
        <v>0</v>
      </c>
      <c r="F1534" s="959">
        <v>0</v>
      </c>
      <c r="G1534" s="959">
        <v>0</v>
      </c>
      <c r="H1534" s="959">
        <v>2</v>
      </c>
    </row>
    <row r="1535" spans="1:8">
      <c r="A1535" s="959" t="s">
        <v>3441</v>
      </c>
      <c r="B1535" s="960" t="s">
        <v>3442</v>
      </c>
      <c r="C1535" s="960" t="s">
        <v>4257</v>
      </c>
      <c r="D1535" s="960" t="s">
        <v>4258</v>
      </c>
      <c r="E1535" s="959">
        <v>0</v>
      </c>
      <c r="F1535" s="959">
        <v>6</v>
      </c>
      <c r="G1535" s="959">
        <v>0</v>
      </c>
      <c r="H1535" s="959">
        <v>0</v>
      </c>
    </row>
    <row r="1536" spans="1:8">
      <c r="A1536" s="959" t="s">
        <v>3441</v>
      </c>
      <c r="B1536" s="960" t="s">
        <v>3442</v>
      </c>
      <c r="C1536" s="960" t="s">
        <v>4262</v>
      </c>
      <c r="D1536" s="960" t="s">
        <v>4263</v>
      </c>
      <c r="E1536" s="959">
        <v>0</v>
      </c>
      <c r="F1536" s="959">
        <v>23</v>
      </c>
      <c r="G1536" s="959">
        <v>0</v>
      </c>
      <c r="H1536" s="959">
        <v>0</v>
      </c>
    </row>
    <row r="1537" spans="1:8">
      <c r="A1537" s="959" t="s">
        <v>3443</v>
      </c>
      <c r="B1537" s="960" t="s">
        <v>3444</v>
      </c>
      <c r="C1537" s="960" t="s">
        <v>4256</v>
      </c>
      <c r="D1537" s="960" t="s">
        <v>4270</v>
      </c>
      <c r="E1537" s="959">
        <v>8</v>
      </c>
      <c r="F1537" s="959">
        <v>0</v>
      </c>
      <c r="G1537" s="959">
        <v>15</v>
      </c>
      <c r="H1537" s="959">
        <v>21</v>
      </c>
    </row>
    <row r="1538" spans="1:8">
      <c r="A1538" s="959" t="s">
        <v>3443</v>
      </c>
      <c r="B1538" s="960" t="s">
        <v>3444</v>
      </c>
      <c r="C1538" s="960" t="s">
        <v>4256</v>
      </c>
      <c r="D1538" s="960" t="s">
        <v>4260</v>
      </c>
      <c r="E1538" s="959">
        <v>0</v>
      </c>
      <c r="F1538" s="959">
        <v>10</v>
      </c>
      <c r="G1538" s="959">
        <v>5</v>
      </c>
      <c r="H1538" s="959">
        <v>21</v>
      </c>
    </row>
    <row r="1539" spans="1:8">
      <c r="A1539" s="959" t="s">
        <v>3443</v>
      </c>
      <c r="B1539" s="960" t="s">
        <v>3444</v>
      </c>
      <c r="C1539" s="960" t="s">
        <v>4256</v>
      </c>
      <c r="D1539" s="960" t="s">
        <v>1906</v>
      </c>
      <c r="E1539" s="959">
        <v>37</v>
      </c>
      <c r="F1539" s="959">
        <v>528</v>
      </c>
      <c r="G1539" s="959">
        <v>12</v>
      </c>
      <c r="H1539" s="959">
        <v>161</v>
      </c>
    </row>
    <row r="1540" spans="1:8">
      <c r="A1540" s="959" t="s">
        <v>3443</v>
      </c>
      <c r="B1540" s="960" t="s">
        <v>3444</v>
      </c>
      <c r="C1540" s="960" t="s">
        <v>4256</v>
      </c>
      <c r="D1540" s="960" t="s">
        <v>4261</v>
      </c>
      <c r="E1540" s="959">
        <v>0</v>
      </c>
      <c r="F1540" s="959">
        <v>0</v>
      </c>
      <c r="G1540" s="959">
        <v>0</v>
      </c>
      <c r="H1540" s="959">
        <v>1</v>
      </c>
    </row>
    <row r="1541" spans="1:8">
      <c r="A1541" s="959" t="s">
        <v>3443</v>
      </c>
      <c r="B1541" s="960" t="s">
        <v>3444</v>
      </c>
      <c r="C1541" s="960" t="s">
        <v>4256</v>
      </c>
      <c r="D1541" s="960" t="s">
        <v>4274</v>
      </c>
      <c r="E1541" s="959">
        <v>3</v>
      </c>
      <c r="F1541" s="959">
        <v>36</v>
      </c>
      <c r="G1541" s="959">
        <v>2</v>
      </c>
      <c r="H1541" s="959">
        <v>22</v>
      </c>
    </row>
    <row r="1542" spans="1:8">
      <c r="A1542" s="959" t="s">
        <v>3443</v>
      </c>
      <c r="B1542" s="960" t="s">
        <v>3444</v>
      </c>
      <c r="C1542" s="960" t="s">
        <v>4257</v>
      </c>
      <c r="D1542" s="960" t="s">
        <v>4258</v>
      </c>
      <c r="E1542" s="959">
        <v>227</v>
      </c>
      <c r="F1542" s="959">
        <v>1948</v>
      </c>
      <c r="G1542" s="959">
        <v>117</v>
      </c>
      <c r="H1542" s="959">
        <v>183</v>
      </c>
    </row>
    <row r="1543" spans="1:8">
      <c r="A1543" s="959" t="s">
        <v>3445</v>
      </c>
      <c r="B1543" s="960" t="s">
        <v>3446</v>
      </c>
      <c r="C1543" s="960" t="s">
        <v>4256</v>
      </c>
      <c r="D1543" s="960" t="s">
        <v>470</v>
      </c>
      <c r="E1543" s="959">
        <v>0</v>
      </c>
      <c r="F1543" s="959">
        <v>3</v>
      </c>
      <c r="G1543" s="959">
        <v>38</v>
      </c>
      <c r="H1543" s="959">
        <v>592</v>
      </c>
    </row>
    <row r="1544" spans="1:8">
      <c r="A1544" s="959" t="s">
        <v>3445</v>
      </c>
      <c r="B1544" s="960" t="s">
        <v>3446</v>
      </c>
      <c r="C1544" s="960" t="s">
        <v>4256</v>
      </c>
      <c r="D1544" s="960" t="s">
        <v>1904</v>
      </c>
      <c r="E1544" s="959">
        <v>0</v>
      </c>
      <c r="F1544" s="959">
        <v>3</v>
      </c>
      <c r="G1544" s="959">
        <v>95</v>
      </c>
      <c r="H1544" s="959">
        <v>1896</v>
      </c>
    </row>
    <row r="1545" spans="1:8">
      <c r="A1545" s="959" t="s">
        <v>3445</v>
      </c>
      <c r="B1545" s="960" t="s">
        <v>3446</v>
      </c>
      <c r="C1545" s="960" t="s">
        <v>4256</v>
      </c>
      <c r="D1545" s="960" t="s">
        <v>4269</v>
      </c>
      <c r="E1545" s="959">
        <v>0</v>
      </c>
      <c r="F1545" s="959">
        <v>0</v>
      </c>
      <c r="G1545" s="959">
        <v>0</v>
      </c>
      <c r="H1545" s="959">
        <v>6</v>
      </c>
    </row>
    <row r="1546" spans="1:8">
      <c r="A1546" s="959" t="s">
        <v>3445</v>
      </c>
      <c r="B1546" s="960" t="s">
        <v>3446</v>
      </c>
      <c r="C1546" s="960" t="s">
        <v>4256</v>
      </c>
      <c r="D1546" s="960" t="s">
        <v>4270</v>
      </c>
      <c r="E1546" s="959">
        <v>0</v>
      </c>
      <c r="F1546" s="959">
        <v>0</v>
      </c>
      <c r="G1546" s="959">
        <v>24</v>
      </c>
      <c r="H1546" s="959">
        <v>40</v>
      </c>
    </row>
    <row r="1547" spans="1:8">
      <c r="A1547" s="959" t="s">
        <v>3445</v>
      </c>
      <c r="B1547" s="960" t="s">
        <v>3446</v>
      </c>
      <c r="C1547" s="960" t="s">
        <v>4256</v>
      </c>
      <c r="D1547" s="960" t="s">
        <v>4259</v>
      </c>
      <c r="E1547" s="959">
        <v>0</v>
      </c>
      <c r="F1547" s="959">
        <v>0</v>
      </c>
      <c r="G1547" s="959">
        <v>8</v>
      </c>
      <c r="H1547" s="959">
        <v>47</v>
      </c>
    </row>
    <row r="1548" spans="1:8">
      <c r="A1548" s="959" t="s">
        <v>3445</v>
      </c>
      <c r="B1548" s="960" t="s">
        <v>3446</v>
      </c>
      <c r="C1548" s="960" t="s">
        <v>4256</v>
      </c>
      <c r="D1548" s="960" t="s">
        <v>4260</v>
      </c>
      <c r="E1548" s="959">
        <v>0</v>
      </c>
      <c r="F1548" s="959">
        <v>1</v>
      </c>
      <c r="G1548" s="959">
        <v>52</v>
      </c>
      <c r="H1548" s="959">
        <v>562</v>
      </c>
    </row>
    <row r="1549" spans="1:8">
      <c r="A1549" s="959" t="s">
        <v>3445</v>
      </c>
      <c r="B1549" s="960" t="s">
        <v>3446</v>
      </c>
      <c r="C1549" s="960" t="s">
        <v>4256</v>
      </c>
      <c r="D1549" s="960" t="s">
        <v>4265</v>
      </c>
      <c r="E1549" s="959">
        <v>0</v>
      </c>
      <c r="F1549" s="959">
        <v>0</v>
      </c>
      <c r="G1549" s="959">
        <v>8</v>
      </c>
      <c r="H1549" s="959">
        <v>50</v>
      </c>
    </row>
    <row r="1550" spans="1:8">
      <c r="A1550" s="959" t="s">
        <v>3445</v>
      </c>
      <c r="B1550" s="960" t="s">
        <v>3446</v>
      </c>
      <c r="C1550" s="960" t="s">
        <v>4256</v>
      </c>
      <c r="D1550" s="960" t="s">
        <v>4271</v>
      </c>
      <c r="E1550" s="959">
        <v>0</v>
      </c>
      <c r="F1550" s="959">
        <v>0</v>
      </c>
      <c r="G1550" s="959">
        <v>1</v>
      </c>
      <c r="H1550" s="959">
        <v>9</v>
      </c>
    </row>
    <row r="1551" spans="1:8">
      <c r="A1551" s="959" t="s">
        <v>3445</v>
      </c>
      <c r="B1551" s="960" t="s">
        <v>3446</v>
      </c>
      <c r="C1551" s="960" t="s">
        <v>4256</v>
      </c>
      <c r="D1551" s="960" t="s">
        <v>4272</v>
      </c>
      <c r="E1551" s="959">
        <v>0</v>
      </c>
      <c r="F1551" s="959">
        <v>0</v>
      </c>
      <c r="G1551" s="959">
        <v>0</v>
      </c>
      <c r="H1551" s="959">
        <v>1</v>
      </c>
    </row>
    <row r="1552" spans="1:8">
      <c r="A1552" s="959" t="s">
        <v>3445</v>
      </c>
      <c r="B1552" s="960" t="s">
        <v>3446</v>
      </c>
      <c r="C1552" s="960" t="s">
        <v>4256</v>
      </c>
      <c r="D1552" s="960" t="s">
        <v>1906</v>
      </c>
      <c r="E1552" s="959">
        <v>2</v>
      </c>
      <c r="F1552" s="959">
        <v>26</v>
      </c>
      <c r="G1552" s="959">
        <v>23</v>
      </c>
      <c r="H1552" s="959">
        <v>302</v>
      </c>
    </row>
    <row r="1553" spans="1:8">
      <c r="A1553" s="959" t="s">
        <v>3445</v>
      </c>
      <c r="B1553" s="960" t="s">
        <v>3446</v>
      </c>
      <c r="C1553" s="960" t="s">
        <v>4256</v>
      </c>
      <c r="D1553" s="960" t="s">
        <v>4264</v>
      </c>
      <c r="E1553" s="959">
        <v>0</v>
      </c>
      <c r="F1553" s="959">
        <v>0</v>
      </c>
      <c r="G1553" s="959">
        <v>3</v>
      </c>
      <c r="H1553" s="959">
        <v>38</v>
      </c>
    </row>
    <row r="1554" spans="1:8">
      <c r="A1554" s="959" t="s">
        <v>3445</v>
      </c>
      <c r="B1554" s="960" t="s">
        <v>3446</v>
      </c>
      <c r="C1554" s="960" t="s">
        <v>4256</v>
      </c>
      <c r="D1554" s="960" t="s">
        <v>4261</v>
      </c>
      <c r="E1554" s="959">
        <v>0</v>
      </c>
      <c r="F1554" s="959">
        <v>3</v>
      </c>
      <c r="G1554" s="959">
        <v>51</v>
      </c>
      <c r="H1554" s="959">
        <v>537</v>
      </c>
    </row>
    <row r="1555" spans="1:8">
      <c r="A1555" s="959" t="s">
        <v>3445</v>
      </c>
      <c r="B1555" s="960" t="s">
        <v>3446</v>
      </c>
      <c r="C1555" s="960" t="s">
        <v>4256</v>
      </c>
      <c r="D1555" s="960" t="s">
        <v>4273</v>
      </c>
      <c r="E1555" s="959">
        <v>0</v>
      </c>
      <c r="F1555" s="959">
        <v>0</v>
      </c>
      <c r="G1555" s="959">
        <v>0</v>
      </c>
      <c r="H1555" s="959">
        <v>5</v>
      </c>
    </row>
    <row r="1556" spans="1:8">
      <c r="A1556" s="959" t="s">
        <v>3445</v>
      </c>
      <c r="B1556" s="960" t="s">
        <v>3446</v>
      </c>
      <c r="C1556" s="960" t="s">
        <v>4256</v>
      </c>
      <c r="D1556" s="961" t="s">
        <v>4266</v>
      </c>
      <c r="E1556" s="959">
        <v>0</v>
      </c>
      <c r="F1556" s="959">
        <v>0</v>
      </c>
      <c r="G1556" s="959">
        <v>1</v>
      </c>
      <c r="H1556" s="959">
        <v>8</v>
      </c>
    </row>
    <row r="1557" spans="1:8">
      <c r="A1557" s="959" t="s">
        <v>3445</v>
      </c>
      <c r="B1557" s="960" t="s">
        <v>3446</v>
      </c>
      <c r="C1557" s="960" t="s">
        <v>4257</v>
      </c>
      <c r="D1557" s="960" t="s">
        <v>4258</v>
      </c>
      <c r="E1557" s="959">
        <v>1</v>
      </c>
      <c r="F1557" s="959">
        <v>1</v>
      </c>
      <c r="G1557" s="959">
        <v>3</v>
      </c>
      <c r="H1557" s="959">
        <v>80</v>
      </c>
    </row>
    <row r="1558" spans="1:8">
      <c r="A1558" s="959" t="s">
        <v>3445</v>
      </c>
      <c r="B1558" s="960" t="s">
        <v>3446</v>
      </c>
      <c r="C1558" s="960" t="s">
        <v>4262</v>
      </c>
      <c r="D1558" s="960" t="s">
        <v>4300</v>
      </c>
      <c r="E1558" s="959">
        <v>0</v>
      </c>
      <c r="F1558" s="959">
        <v>0</v>
      </c>
      <c r="G1558" s="959">
        <v>0</v>
      </c>
      <c r="H1558" s="959">
        <v>4</v>
      </c>
    </row>
    <row r="1559" spans="1:8">
      <c r="A1559" s="959" t="s">
        <v>3445</v>
      </c>
      <c r="B1559" s="960" t="s">
        <v>3446</v>
      </c>
      <c r="C1559" s="960" t="s">
        <v>4262</v>
      </c>
      <c r="D1559" s="960" t="s">
        <v>4263</v>
      </c>
      <c r="E1559" s="959">
        <v>3</v>
      </c>
      <c r="F1559" s="959">
        <v>25</v>
      </c>
      <c r="G1559" s="959">
        <v>78</v>
      </c>
      <c r="H1559" s="959">
        <v>1465</v>
      </c>
    </row>
    <row r="1560" spans="1:8">
      <c r="A1560" s="959" t="s">
        <v>3445</v>
      </c>
      <c r="B1560" s="960" t="s">
        <v>3446</v>
      </c>
      <c r="C1560" s="960" t="s">
        <v>4267</v>
      </c>
      <c r="D1560" s="960" t="s">
        <v>4268</v>
      </c>
      <c r="E1560" s="959">
        <v>0</v>
      </c>
      <c r="F1560" s="959">
        <v>0</v>
      </c>
      <c r="G1560" s="959">
        <v>0</v>
      </c>
      <c r="H1560" s="959">
        <v>21</v>
      </c>
    </row>
    <row r="1561" spans="1:8">
      <c r="A1561" s="959" t="s">
        <v>3447</v>
      </c>
      <c r="B1561" s="960" t="s">
        <v>3448</v>
      </c>
      <c r="C1561" s="960" t="s">
        <v>4256</v>
      </c>
      <c r="D1561" s="960" t="s">
        <v>4259</v>
      </c>
      <c r="E1561" s="959">
        <v>0</v>
      </c>
      <c r="F1561" s="959">
        <v>1</v>
      </c>
      <c r="G1561" s="959">
        <v>8</v>
      </c>
      <c r="H1561" s="959">
        <v>22</v>
      </c>
    </row>
    <row r="1562" spans="1:8">
      <c r="A1562" s="959" t="s">
        <v>3447</v>
      </c>
      <c r="B1562" s="960" t="s">
        <v>3448</v>
      </c>
      <c r="C1562" s="960" t="s">
        <v>4256</v>
      </c>
      <c r="D1562" s="960" t="s">
        <v>1906</v>
      </c>
      <c r="E1562" s="959">
        <v>0</v>
      </c>
      <c r="F1562" s="959">
        <v>1</v>
      </c>
      <c r="G1562" s="959">
        <v>0</v>
      </c>
      <c r="H1562" s="959">
        <v>0</v>
      </c>
    </row>
    <row r="1563" spans="1:8">
      <c r="A1563" s="959" t="s">
        <v>3447</v>
      </c>
      <c r="B1563" s="960" t="s">
        <v>3448</v>
      </c>
      <c r="C1563" s="960" t="s">
        <v>4257</v>
      </c>
      <c r="D1563" s="960" t="s">
        <v>4258</v>
      </c>
      <c r="E1563" s="959">
        <v>0</v>
      </c>
      <c r="F1563" s="959">
        <v>109</v>
      </c>
      <c r="G1563" s="959">
        <v>0</v>
      </c>
      <c r="H1563" s="959">
        <v>0</v>
      </c>
    </row>
    <row r="1564" spans="1:8">
      <c r="A1564" s="959" t="s">
        <v>3447</v>
      </c>
      <c r="B1564" s="960" t="s">
        <v>3448</v>
      </c>
      <c r="C1564" s="960" t="s">
        <v>4262</v>
      </c>
      <c r="D1564" s="960" t="s">
        <v>4263</v>
      </c>
      <c r="E1564" s="959">
        <v>0</v>
      </c>
      <c r="F1564" s="959">
        <v>6</v>
      </c>
      <c r="G1564" s="959">
        <v>0</v>
      </c>
      <c r="H1564" s="959">
        <v>0</v>
      </c>
    </row>
    <row r="1565" spans="1:8">
      <c r="A1565" s="959" t="s">
        <v>3449</v>
      </c>
      <c r="B1565" s="960" t="s">
        <v>1155</v>
      </c>
      <c r="C1565" s="960" t="s">
        <v>4256</v>
      </c>
      <c r="D1565" s="960" t="s">
        <v>1907</v>
      </c>
      <c r="E1565" s="959">
        <v>0</v>
      </c>
      <c r="F1565" s="959">
        <v>2</v>
      </c>
      <c r="G1565" s="959">
        <v>0</v>
      </c>
      <c r="H1565" s="959">
        <v>0</v>
      </c>
    </row>
    <row r="1566" spans="1:8">
      <c r="A1566" s="959" t="s">
        <v>3449</v>
      </c>
      <c r="B1566" s="960" t="s">
        <v>1155</v>
      </c>
      <c r="C1566" s="960" t="s">
        <v>4257</v>
      </c>
      <c r="D1566" s="960" t="s">
        <v>4258</v>
      </c>
      <c r="E1566" s="959">
        <v>0</v>
      </c>
      <c r="F1566" s="959">
        <v>2</v>
      </c>
      <c r="G1566" s="959">
        <v>0</v>
      </c>
      <c r="H1566" s="959">
        <v>1</v>
      </c>
    </row>
    <row r="1567" spans="1:8">
      <c r="A1567" s="959" t="s">
        <v>3449</v>
      </c>
      <c r="B1567" s="960" t="s">
        <v>1155</v>
      </c>
      <c r="C1567" s="960" t="s">
        <v>4262</v>
      </c>
      <c r="D1567" s="960" t="s">
        <v>4263</v>
      </c>
      <c r="E1567" s="959">
        <v>0</v>
      </c>
      <c r="F1567" s="959">
        <v>1</v>
      </c>
      <c r="G1567" s="959">
        <v>0</v>
      </c>
      <c r="H1567" s="959">
        <v>0</v>
      </c>
    </row>
    <row r="1568" spans="1:8">
      <c r="A1568" s="959" t="s">
        <v>3451</v>
      </c>
      <c r="B1568" s="960" t="s">
        <v>3452</v>
      </c>
      <c r="C1568" s="960" t="s">
        <v>4256</v>
      </c>
      <c r="D1568" s="960" t="s">
        <v>470</v>
      </c>
      <c r="E1568" s="959">
        <v>0</v>
      </c>
      <c r="F1568" s="959">
        <v>4</v>
      </c>
      <c r="G1568" s="959">
        <v>0</v>
      </c>
      <c r="H1568" s="959">
        <v>0</v>
      </c>
    </row>
    <row r="1569" spans="1:8">
      <c r="A1569" s="959" t="s">
        <v>3451</v>
      </c>
      <c r="B1569" s="960" t="s">
        <v>3452</v>
      </c>
      <c r="C1569" s="960" t="s">
        <v>4256</v>
      </c>
      <c r="D1569" s="960" t="s">
        <v>1904</v>
      </c>
      <c r="E1569" s="959">
        <v>0</v>
      </c>
      <c r="F1569" s="959">
        <v>1</v>
      </c>
      <c r="G1569" s="959">
        <v>0</v>
      </c>
      <c r="H1569" s="959">
        <v>0</v>
      </c>
    </row>
    <row r="1570" spans="1:8">
      <c r="A1570" s="959" t="s">
        <v>3451</v>
      </c>
      <c r="B1570" s="960" t="s">
        <v>3452</v>
      </c>
      <c r="C1570" s="960" t="s">
        <v>4256</v>
      </c>
      <c r="D1570" s="960" t="s">
        <v>4270</v>
      </c>
      <c r="E1570" s="959">
        <v>0</v>
      </c>
      <c r="F1570" s="959">
        <v>1</v>
      </c>
      <c r="G1570" s="959">
        <v>0</v>
      </c>
      <c r="H1570" s="959">
        <v>0</v>
      </c>
    </row>
    <row r="1571" spans="1:8">
      <c r="A1571" s="959" t="s">
        <v>3451</v>
      </c>
      <c r="B1571" s="960" t="s">
        <v>3452</v>
      </c>
      <c r="C1571" s="960" t="s">
        <v>4256</v>
      </c>
      <c r="D1571" s="960" t="s">
        <v>4259</v>
      </c>
      <c r="E1571" s="959">
        <v>0</v>
      </c>
      <c r="F1571" s="959">
        <v>1</v>
      </c>
      <c r="G1571" s="959">
        <v>0</v>
      </c>
      <c r="H1571" s="959">
        <v>0</v>
      </c>
    </row>
    <row r="1572" spans="1:8">
      <c r="A1572" s="959" t="s">
        <v>3451</v>
      </c>
      <c r="B1572" s="960" t="s">
        <v>3452</v>
      </c>
      <c r="C1572" s="960" t="s">
        <v>4256</v>
      </c>
      <c r="D1572" s="960" t="s">
        <v>4260</v>
      </c>
      <c r="E1572" s="959">
        <v>0</v>
      </c>
      <c r="F1572" s="959">
        <v>1</v>
      </c>
      <c r="G1572" s="959">
        <v>0</v>
      </c>
      <c r="H1572" s="959">
        <v>0</v>
      </c>
    </row>
    <row r="1573" spans="1:8">
      <c r="A1573" s="959" t="s">
        <v>3451</v>
      </c>
      <c r="B1573" s="960" t="s">
        <v>3452</v>
      </c>
      <c r="C1573" s="960" t="s">
        <v>4256</v>
      </c>
      <c r="D1573" s="960" t="s">
        <v>4265</v>
      </c>
      <c r="E1573" s="959">
        <v>0</v>
      </c>
      <c r="F1573" s="959">
        <v>1</v>
      </c>
      <c r="G1573" s="959">
        <v>0</v>
      </c>
      <c r="H1573" s="959">
        <v>0</v>
      </c>
    </row>
    <row r="1574" spans="1:8">
      <c r="A1574" s="959" t="s">
        <v>3451</v>
      </c>
      <c r="B1574" s="960" t="s">
        <v>3452</v>
      </c>
      <c r="C1574" s="960" t="s">
        <v>4256</v>
      </c>
      <c r="D1574" s="960" t="s">
        <v>1906</v>
      </c>
      <c r="E1574" s="959">
        <v>3</v>
      </c>
      <c r="F1574" s="959">
        <v>45</v>
      </c>
      <c r="G1574" s="959">
        <v>0</v>
      </c>
      <c r="H1574" s="959">
        <v>0</v>
      </c>
    </row>
    <row r="1575" spans="1:8">
      <c r="A1575" s="959" t="s">
        <v>3451</v>
      </c>
      <c r="B1575" s="960" t="s">
        <v>3452</v>
      </c>
      <c r="C1575" s="960" t="s">
        <v>4256</v>
      </c>
      <c r="D1575" s="960" t="s">
        <v>4264</v>
      </c>
      <c r="E1575" s="959">
        <v>0</v>
      </c>
      <c r="F1575" s="959">
        <v>2</v>
      </c>
      <c r="G1575" s="959">
        <v>0</v>
      </c>
      <c r="H1575" s="959">
        <v>4</v>
      </c>
    </row>
    <row r="1576" spans="1:8">
      <c r="A1576" s="959" t="s">
        <v>3451</v>
      </c>
      <c r="B1576" s="960" t="s">
        <v>3452</v>
      </c>
      <c r="C1576" s="960" t="s">
        <v>4257</v>
      </c>
      <c r="D1576" s="960" t="s">
        <v>4258</v>
      </c>
      <c r="E1576" s="959">
        <v>4</v>
      </c>
      <c r="F1576" s="959">
        <v>49</v>
      </c>
      <c r="G1576" s="959">
        <v>0</v>
      </c>
      <c r="H1576" s="959">
        <v>2</v>
      </c>
    </row>
    <row r="1577" spans="1:8">
      <c r="A1577" s="959" t="s">
        <v>3451</v>
      </c>
      <c r="B1577" s="960" t="s">
        <v>3452</v>
      </c>
      <c r="C1577" s="960" t="s">
        <v>4262</v>
      </c>
      <c r="D1577" s="960" t="s">
        <v>4263</v>
      </c>
      <c r="E1577" s="959">
        <v>0</v>
      </c>
      <c r="F1577" s="959">
        <v>17</v>
      </c>
      <c r="G1577" s="959">
        <v>0</v>
      </c>
      <c r="H1577" s="959">
        <v>11</v>
      </c>
    </row>
    <row r="1578" spans="1:8">
      <c r="A1578" s="959" t="s">
        <v>3453</v>
      </c>
      <c r="B1578" s="960" t="s">
        <v>1149</v>
      </c>
      <c r="C1578" s="960" t="s">
        <v>4256</v>
      </c>
      <c r="D1578" s="960" t="s">
        <v>4264</v>
      </c>
      <c r="E1578" s="959">
        <v>0</v>
      </c>
      <c r="F1578" s="959">
        <v>0</v>
      </c>
      <c r="G1578" s="959">
        <v>0</v>
      </c>
      <c r="H1578" s="959">
        <v>3</v>
      </c>
    </row>
    <row r="1579" spans="1:8">
      <c r="A1579" s="959" t="s">
        <v>3453</v>
      </c>
      <c r="B1579" s="960" t="s">
        <v>1149</v>
      </c>
      <c r="C1579" s="960" t="s">
        <v>4262</v>
      </c>
      <c r="D1579" s="960" t="s">
        <v>4263</v>
      </c>
      <c r="E1579" s="959">
        <v>0</v>
      </c>
      <c r="F1579" s="959">
        <v>1</v>
      </c>
      <c r="G1579" s="959">
        <v>0</v>
      </c>
      <c r="H1579" s="959">
        <v>0</v>
      </c>
    </row>
    <row r="1580" spans="1:8">
      <c r="A1580" s="959" t="s">
        <v>3454</v>
      </c>
      <c r="B1580" s="960" t="s">
        <v>3455</v>
      </c>
      <c r="C1580" s="960" t="s">
        <v>4256</v>
      </c>
      <c r="D1580" s="960" t="s">
        <v>4259</v>
      </c>
      <c r="E1580" s="959">
        <v>0</v>
      </c>
      <c r="F1580" s="959">
        <v>0</v>
      </c>
      <c r="G1580" s="959">
        <v>0</v>
      </c>
      <c r="H1580" s="959">
        <v>1</v>
      </c>
    </row>
    <row r="1581" spans="1:8">
      <c r="A1581" s="959" t="s">
        <v>3454</v>
      </c>
      <c r="B1581" s="960" t="s">
        <v>3455</v>
      </c>
      <c r="C1581" s="960" t="s">
        <v>4256</v>
      </c>
      <c r="D1581" s="960" t="s">
        <v>1906</v>
      </c>
      <c r="E1581" s="959">
        <v>1</v>
      </c>
      <c r="F1581" s="959">
        <v>9</v>
      </c>
      <c r="G1581" s="959">
        <v>0</v>
      </c>
      <c r="H1581" s="959">
        <v>0</v>
      </c>
    </row>
    <row r="1582" spans="1:8">
      <c r="A1582" s="959" t="s">
        <v>3454</v>
      </c>
      <c r="B1582" s="960" t="s">
        <v>3455</v>
      </c>
      <c r="C1582" s="960" t="s">
        <v>4257</v>
      </c>
      <c r="D1582" s="960" t="s">
        <v>4258</v>
      </c>
      <c r="E1582" s="959">
        <v>1</v>
      </c>
      <c r="F1582" s="959">
        <v>30</v>
      </c>
      <c r="G1582" s="959">
        <v>0</v>
      </c>
      <c r="H1582" s="959">
        <v>2</v>
      </c>
    </row>
    <row r="1583" spans="1:8">
      <c r="A1583" s="959" t="s">
        <v>3454</v>
      </c>
      <c r="B1583" s="960" t="s">
        <v>3455</v>
      </c>
      <c r="C1583" s="960" t="s">
        <v>4262</v>
      </c>
      <c r="D1583" s="960" t="s">
        <v>4263</v>
      </c>
      <c r="E1583" s="959">
        <v>2</v>
      </c>
      <c r="F1583" s="959">
        <v>56</v>
      </c>
      <c r="G1583" s="959">
        <v>0</v>
      </c>
      <c r="H1583" s="959">
        <v>7</v>
      </c>
    </row>
    <row r="1584" spans="1:8">
      <c r="A1584" s="959" t="s">
        <v>3456</v>
      </c>
      <c r="B1584" s="960" t="s">
        <v>3457</v>
      </c>
      <c r="C1584" s="960" t="s">
        <v>4256</v>
      </c>
      <c r="D1584" s="960" t="s">
        <v>4264</v>
      </c>
      <c r="E1584" s="959">
        <v>0</v>
      </c>
      <c r="F1584" s="959">
        <v>2</v>
      </c>
      <c r="G1584" s="959">
        <v>0</v>
      </c>
      <c r="H1584" s="959">
        <v>0</v>
      </c>
    </row>
    <row r="1585" spans="1:8">
      <c r="A1585" s="959" t="s">
        <v>3458</v>
      </c>
      <c r="B1585" s="960" t="s">
        <v>3459</v>
      </c>
      <c r="C1585" s="960" t="s">
        <v>4256</v>
      </c>
      <c r="D1585" s="960" t="s">
        <v>1906</v>
      </c>
      <c r="E1585" s="959">
        <v>0</v>
      </c>
      <c r="F1585" s="959">
        <v>7</v>
      </c>
      <c r="G1585" s="959">
        <v>0</v>
      </c>
      <c r="H1585" s="959">
        <v>0</v>
      </c>
    </row>
    <row r="1586" spans="1:8">
      <c r="A1586" s="959" t="s">
        <v>3458</v>
      </c>
      <c r="B1586" s="960" t="s">
        <v>3459</v>
      </c>
      <c r="C1586" s="960" t="s">
        <v>4257</v>
      </c>
      <c r="D1586" s="960" t="s">
        <v>4258</v>
      </c>
      <c r="E1586" s="959">
        <v>3</v>
      </c>
      <c r="F1586" s="959">
        <v>70</v>
      </c>
      <c r="G1586" s="959">
        <v>3</v>
      </c>
      <c r="H1586" s="959">
        <v>38</v>
      </c>
    </row>
    <row r="1587" spans="1:8">
      <c r="A1587" s="959" t="s">
        <v>3458</v>
      </c>
      <c r="B1587" s="960" t="s">
        <v>3459</v>
      </c>
      <c r="C1587" s="960" t="s">
        <v>4262</v>
      </c>
      <c r="D1587" s="960" t="s">
        <v>4263</v>
      </c>
      <c r="E1587" s="959">
        <v>12</v>
      </c>
      <c r="F1587" s="959">
        <v>86</v>
      </c>
      <c r="G1587" s="959">
        <v>0</v>
      </c>
      <c r="H1587" s="959">
        <v>0</v>
      </c>
    </row>
    <row r="1588" spans="1:8">
      <c r="A1588" s="959" t="s">
        <v>3460</v>
      </c>
      <c r="B1588" s="960" t="s">
        <v>3461</v>
      </c>
      <c r="C1588" s="960" t="s">
        <v>4257</v>
      </c>
      <c r="D1588" s="960" t="s">
        <v>4258</v>
      </c>
      <c r="E1588" s="959">
        <v>0</v>
      </c>
      <c r="F1588" s="959">
        <v>1</v>
      </c>
      <c r="G1588" s="959">
        <v>0</v>
      </c>
      <c r="H1588" s="959">
        <v>1</v>
      </c>
    </row>
    <row r="1589" spans="1:8">
      <c r="A1589" s="959" t="s">
        <v>3460</v>
      </c>
      <c r="B1589" s="960" t="s">
        <v>3461</v>
      </c>
      <c r="C1589" s="960" t="s">
        <v>4262</v>
      </c>
      <c r="D1589" s="960" t="s">
        <v>4263</v>
      </c>
      <c r="E1589" s="959">
        <v>0</v>
      </c>
      <c r="F1589" s="959">
        <v>2</v>
      </c>
      <c r="G1589" s="959">
        <v>0</v>
      </c>
      <c r="H1589" s="959">
        <v>0</v>
      </c>
    </row>
    <row r="1590" spans="1:8">
      <c r="A1590" s="959" t="s">
        <v>3463</v>
      </c>
      <c r="B1590" s="960" t="s">
        <v>3464</v>
      </c>
      <c r="C1590" s="960" t="s">
        <v>4262</v>
      </c>
      <c r="D1590" s="960" t="s">
        <v>4263</v>
      </c>
      <c r="E1590" s="959">
        <v>0</v>
      </c>
      <c r="F1590" s="959">
        <v>2</v>
      </c>
      <c r="G1590" s="959">
        <v>0</v>
      </c>
      <c r="H1590" s="959">
        <v>0</v>
      </c>
    </row>
    <row r="1591" spans="1:8">
      <c r="A1591" s="959" t="s">
        <v>3465</v>
      </c>
      <c r="B1591" s="960" t="s">
        <v>3466</v>
      </c>
      <c r="C1591" s="960" t="s">
        <v>4257</v>
      </c>
      <c r="D1591" s="960" t="s">
        <v>4258</v>
      </c>
      <c r="E1591" s="959">
        <v>0</v>
      </c>
      <c r="F1591" s="959">
        <v>5</v>
      </c>
      <c r="G1591" s="959">
        <v>0</v>
      </c>
      <c r="H1591" s="959">
        <v>0</v>
      </c>
    </row>
    <row r="1592" spans="1:8">
      <c r="A1592" s="959" t="s">
        <v>3465</v>
      </c>
      <c r="B1592" s="960" t="s">
        <v>3466</v>
      </c>
      <c r="C1592" s="960" t="s">
        <v>4262</v>
      </c>
      <c r="D1592" s="960" t="s">
        <v>4263</v>
      </c>
      <c r="E1592" s="959">
        <v>0</v>
      </c>
      <c r="F1592" s="959">
        <v>1</v>
      </c>
      <c r="G1592" s="959">
        <v>0</v>
      </c>
      <c r="H1592" s="959">
        <v>0</v>
      </c>
    </row>
    <row r="1593" spans="1:8">
      <c r="A1593" s="959" t="s">
        <v>3467</v>
      </c>
      <c r="B1593" s="960" t="s">
        <v>3468</v>
      </c>
      <c r="C1593" s="960" t="s">
        <v>4257</v>
      </c>
      <c r="D1593" s="960" t="s">
        <v>4258</v>
      </c>
      <c r="E1593" s="959">
        <v>0</v>
      </c>
      <c r="F1593" s="959">
        <v>1</v>
      </c>
      <c r="G1593" s="959">
        <v>0</v>
      </c>
      <c r="H1593" s="959">
        <v>0</v>
      </c>
    </row>
    <row r="1594" spans="1:8">
      <c r="A1594" s="959" t="s">
        <v>3469</v>
      </c>
      <c r="B1594" s="960" t="s">
        <v>3470</v>
      </c>
      <c r="C1594" s="960" t="s">
        <v>4256</v>
      </c>
      <c r="D1594" s="960" t="s">
        <v>4270</v>
      </c>
      <c r="E1594" s="959">
        <v>22</v>
      </c>
      <c r="F1594" s="959">
        <v>30</v>
      </c>
      <c r="G1594" s="959">
        <v>7</v>
      </c>
      <c r="H1594" s="959">
        <v>21</v>
      </c>
    </row>
    <row r="1595" spans="1:8">
      <c r="A1595" s="959" t="s">
        <v>3469</v>
      </c>
      <c r="B1595" s="960" t="s">
        <v>3470</v>
      </c>
      <c r="C1595" s="960" t="s">
        <v>4256</v>
      </c>
      <c r="D1595" s="960" t="s">
        <v>4259</v>
      </c>
      <c r="E1595" s="959">
        <v>0</v>
      </c>
      <c r="F1595" s="959">
        <v>2</v>
      </c>
      <c r="G1595" s="959">
        <v>0</v>
      </c>
      <c r="H1595" s="959">
        <v>21</v>
      </c>
    </row>
    <row r="1596" spans="1:8">
      <c r="A1596" s="959" t="s">
        <v>3469</v>
      </c>
      <c r="B1596" s="960" t="s">
        <v>3470</v>
      </c>
      <c r="C1596" s="960" t="s">
        <v>4256</v>
      </c>
      <c r="D1596" s="960" t="s">
        <v>4260</v>
      </c>
      <c r="E1596" s="959">
        <v>0</v>
      </c>
      <c r="F1596" s="959">
        <v>6</v>
      </c>
      <c r="G1596" s="959">
        <v>0</v>
      </c>
      <c r="H1596" s="959">
        <v>63</v>
      </c>
    </row>
    <row r="1597" spans="1:8">
      <c r="A1597" s="959" t="s">
        <v>3469</v>
      </c>
      <c r="B1597" s="960" t="s">
        <v>3470</v>
      </c>
      <c r="C1597" s="960" t="s">
        <v>4256</v>
      </c>
      <c r="D1597" s="960" t="s">
        <v>4265</v>
      </c>
      <c r="E1597" s="959">
        <v>0</v>
      </c>
      <c r="F1597" s="959">
        <v>0</v>
      </c>
      <c r="G1597" s="959">
        <v>6</v>
      </c>
      <c r="H1597" s="959">
        <v>0</v>
      </c>
    </row>
    <row r="1598" spans="1:8">
      <c r="A1598" s="959" t="s">
        <v>3469</v>
      </c>
      <c r="B1598" s="960" t="s">
        <v>3470</v>
      </c>
      <c r="C1598" s="960" t="s">
        <v>4256</v>
      </c>
      <c r="D1598" s="960" t="s">
        <v>4271</v>
      </c>
      <c r="E1598" s="959">
        <v>0</v>
      </c>
      <c r="F1598" s="959">
        <v>0</v>
      </c>
      <c r="G1598" s="959">
        <v>1</v>
      </c>
      <c r="H1598" s="959">
        <v>11</v>
      </c>
    </row>
    <row r="1599" spans="1:8">
      <c r="A1599" s="959" t="s">
        <v>3469</v>
      </c>
      <c r="B1599" s="960" t="s">
        <v>3470</v>
      </c>
      <c r="C1599" s="960" t="s">
        <v>4256</v>
      </c>
      <c r="D1599" s="960" t="s">
        <v>4272</v>
      </c>
      <c r="E1599" s="959">
        <v>0</v>
      </c>
      <c r="F1599" s="959">
        <v>0</v>
      </c>
      <c r="G1599" s="959">
        <v>0</v>
      </c>
      <c r="H1599" s="959">
        <v>6</v>
      </c>
    </row>
    <row r="1600" spans="1:8">
      <c r="A1600" s="959" t="s">
        <v>3469</v>
      </c>
      <c r="B1600" s="960" t="s">
        <v>3470</v>
      </c>
      <c r="C1600" s="960" t="s">
        <v>4256</v>
      </c>
      <c r="D1600" s="960" t="s">
        <v>1906</v>
      </c>
      <c r="E1600" s="959">
        <v>25</v>
      </c>
      <c r="F1600" s="959">
        <v>336</v>
      </c>
      <c r="G1600" s="959">
        <v>20</v>
      </c>
      <c r="H1600" s="959">
        <v>242</v>
      </c>
    </row>
    <row r="1601" spans="1:8">
      <c r="A1601" s="959" t="s">
        <v>3469</v>
      </c>
      <c r="B1601" s="960" t="s">
        <v>3470</v>
      </c>
      <c r="C1601" s="960" t="s">
        <v>4256</v>
      </c>
      <c r="D1601" s="960" t="s">
        <v>4261</v>
      </c>
      <c r="E1601" s="959">
        <v>0</v>
      </c>
      <c r="F1601" s="959">
        <v>1</v>
      </c>
      <c r="G1601" s="959">
        <v>0</v>
      </c>
      <c r="H1601" s="959">
        <v>22</v>
      </c>
    </row>
    <row r="1602" spans="1:8">
      <c r="A1602" s="959" t="s">
        <v>3469</v>
      </c>
      <c r="B1602" s="960" t="s">
        <v>3470</v>
      </c>
      <c r="C1602" s="960" t="s">
        <v>4256</v>
      </c>
      <c r="D1602" s="960" t="s">
        <v>4274</v>
      </c>
      <c r="E1602" s="959">
        <v>5</v>
      </c>
      <c r="F1602" s="959">
        <v>70</v>
      </c>
      <c r="G1602" s="959">
        <v>2</v>
      </c>
      <c r="H1602" s="959">
        <v>32</v>
      </c>
    </row>
    <row r="1603" spans="1:8">
      <c r="A1603" s="959" t="s">
        <v>3469</v>
      </c>
      <c r="B1603" s="960" t="s">
        <v>3470</v>
      </c>
      <c r="C1603" s="960" t="s">
        <v>4257</v>
      </c>
      <c r="D1603" s="960" t="s">
        <v>4258</v>
      </c>
      <c r="E1603" s="959">
        <v>94</v>
      </c>
      <c r="F1603" s="959">
        <v>1546</v>
      </c>
      <c r="G1603" s="959">
        <v>54</v>
      </c>
      <c r="H1603" s="959">
        <v>295</v>
      </c>
    </row>
    <row r="1604" spans="1:8">
      <c r="A1604" s="959" t="s">
        <v>3469</v>
      </c>
      <c r="B1604" s="960" t="s">
        <v>3470</v>
      </c>
      <c r="C1604" s="960" t="s">
        <v>4262</v>
      </c>
      <c r="D1604" s="960" t="s">
        <v>4263</v>
      </c>
      <c r="E1604" s="959">
        <v>0</v>
      </c>
      <c r="F1604" s="959">
        <v>1</v>
      </c>
      <c r="G1604" s="959">
        <v>0</v>
      </c>
      <c r="H1604" s="959">
        <v>0</v>
      </c>
    </row>
    <row r="1605" spans="1:8">
      <c r="A1605" s="959" t="s">
        <v>3469</v>
      </c>
      <c r="B1605" s="960" t="s">
        <v>3470</v>
      </c>
      <c r="C1605" s="960" t="s">
        <v>4267</v>
      </c>
      <c r="D1605" s="960" t="s">
        <v>4268</v>
      </c>
      <c r="E1605" s="959">
        <v>0</v>
      </c>
      <c r="F1605" s="959">
        <v>0</v>
      </c>
      <c r="G1605" s="959">
        <v>0</v>
      </c>
      <c r="H1605" s="959">
        <v>2</v>
      </c>
    </row>
    <row r="1606" spans="1:8">
      <c r="A1606" s="959" t="s">
        <v>3471</v>
      </c>
      <c r="B1606" s="960" t="s">
        <v>3472</v>
      </c>
      <c r="C1606" s="960" t="s">
        <v>4256</v>
      </c>
      <c r="D1606" s="960" t="s">
        <v>1906</v>
      </c>
      <c r="E1606" s="959">
        <v>31</v>
      </c>
      <c r="F1606" s="959">
        <v>457</v>
      </c>
      <c r="G1606" s="959">
        <v>0</v>
      </c>
      <c r="H1606" s="959">
        <v>3</v>
      </c>
    </row>
    <row r="1607" spans="1:8">
      <c r="A1607" s="959" t="s">
        <v>3471</v>
      </c>
      <c r="B1607" s="960" t="s">
        <v>3472</v>
      </c>
      <c r="C1607" s="960" t="s">
        <v>4256</v>
      </c>
      <c r="D1607" s="960" t="s">
        <v>1907</v>
      </c>
      <c r="E1607" s="959">
        <v>0</v>
      </c>
      <c r="F1607" s="959">
        <v>1</v>
      </c>
      <c r="G1607" s="959">
        <v>0</v>
      </c>
      <c r="H1607" s="959">
        <v>0</v>
      </c>
    </row>
    <row r="1608" spans="1:8">
      <c r="A1608" s="959" t="s">
        <v>3471</v>
      </c>
      <c r="B1608" s="960" t="s">
        <v>3472</v>
      </c>
      <c r="C1608" s="960" t="s">
        <v>4257</v>
      </c>
      <c r="D1608" s="960" t="s">
        <v>4258</v>
      </c>
      <c r="E1608" s="959">
        <v>42</v>
      </c>
      <c r="F1608" s="959">
        <v>611</v>
      </c>
      <c r="G1608" s="959">
        <v>3</v>
      </c>
      <c r="H1608" s="959">
        <v>34</v>
      </c>
    </row>
    <row r="1609" spans="1:8">
      <c r="A1609" s="959" t="s">
        <v>3471</v>
      </c>
      <c r="B1609" s="960" t="s">
        <v>3472</v>
      </c>
      <c r="C1609" s="960" t="s">
        <v>4262</v>
      </c>
      <c r="D1609" s="960" t="s">
        <v>4263</v>
      </c>
      <c r="E1609" s="959">
        <v>5</v>
      </c>
      <c r="F1609" s="959">
        <v>51</v>
      </c>
      <c r="G1609" s="959">
        <v>0</v>
      </c>
      <c r="H1609" s="959">
        <v>1</v>
      </c>
    </row>
    <row r="1610" spans="1:8">
      <c r="A1610" s="959" t="s">
        <v>3476</v>
      </c>
      <c r="B1610" s="960" t="s">
        <v>699</v>
      </c>
      <c r="C1610" s="960" t="s">
        <v>4256</v>
      </c>
      <c r="D1610" s="960" t="s">
        <v>470</v>
      </c>
      <c r="E1610" s="959">
        <v>0</v>
      </c>
      <c r="F1610" s="959">
        <v>0</v>
      </c>
      <c r="G1610" s="959">
        <v>0</v>
      </c>
      <c r="H1610" s="959">
        <v>1</v>
      </c>
    </row>
    <row r="1611" spans="1:8">
      <c r="A1611" s="959" t="s">
        <v>3476</v>
      </c>
      <c r="B1611" s="960" t="s">
        <v>699</v>
      </c>
      <c r="C1611" s="960" t="s">
        <v>4256</v>
      </c>
      <c r="D1611" s="960" t="s">
        <v>4259</v>
      </c>
      <c r="E1611" s="959">
        <v>0</v>
      </c>
      <c r="F1611" s="959">
        <v>0</v>
      </c>
      <c r="G1611" s="959">
        <v>0</v>
      </c>
      <c r="H1611" s="959">
        <v>1</v>
      </c>
    </row>
    <row r="1612" spans="1:8">
      <c r="A1612" s="959" t="s">
        <v>3476</v>
      </c>
      <c r="B1612" s="960" t="s">
        <v>699</v>
      </c>
      <c r="C1612" s="960" t="s">
        <v>4256</v>
      </c>
      <c r="D1612" s="960" t="s">
        <v>4260</v>
      </c>
      <c r="E1612" s="959">
        <v>0</v>
      </c>
      <c r="F1612" s="959">
        <v>1</v>
      </c>
      <c r="G1612" s="959">
        <v>0</v>
      </c>
      <c r="H1612" s="959">
        <v>1</v>
      </c>
    </row>
    <row r="1613" spans="1:8">
      <c r="A1613" s="959" t="s">
        <v>3476</v>
      </c>
      <c r="B1613" s="960" t="s">
        <v>699</v>
      </c>
      <c r="C1613" s="960" t="s">
        <v>4256</v>
      </c>
      <c r="D1613" s="960" t="s">
        <v>4265</v>
      </c>
      <c r="E1613" s="959">
        <v>0</v>
      </c>
      <c r="F1613" s="959">
        <v>0</v>
      </c>
      <c r="G1613" s="959">
        <v>0</v>
      </c>
      <c r="H1613" s="959">
        <v>1</v>
      </c>
    </row>
    <row r="1614" spans="1:8">
      <c r="A1614" s="959" t="s">
        <v>3476</v>
      </c>
      <c r="B1614" s="960" t="s">
        <v>699</v>
      </c>
      <c r="C1614" s="960" t="s">
        <v>4256</v>
      </c>
      <c r="D1614" s="960" t="s">
        <v>1906</v>
      </c>
      <c r="E1614" s="959">
        <v>0</v>
      </c>
      <c r="F1614" s="959">
        <v>3</v>
      </c>
      <c r="G1614" s="959">
        <v>0</v>
      </c>
      <c r="H1614" s="959">
        <v>0</v>
      </c>
    </row>
    <row r="1615" spans="1:8">
      <c r="A1615" s="959" t="s">
        <v>3476</v>
      </c>
      <c r="B1615" s="960" t="s">
        <v>699</v>
      </c>
      <c r="C1615" s="960" t="s">
        <v>4256</v>
      </c>
      <c r="D1615" s="960" t="s">
        <v>4264</v>
      </c>
      <c r="E1615" s="959">
        <v>0</v>
      </c>
      <c r="F1615" s="959">
        <v>2</v>
      </c>
      <c r="G1615" s="959">
        <v>0</v>
      </c>
      <c r="H1615" s="959">
        <v>0</v>
      </c>
    </row>
    <row r="1616" spans="1:8">
      <c r="A1616" s="959" t="s">
        <v>3476</v>
      </c>
      <c r="B1616" s="960" t="s">
        <v>699</v>
      </c>
      <c r="C1616" s="960" t="s">
        <v>4257</v>
      </c>
      <c r="D1616" s="960" t="s">
        <v>4258</v>
      </c>
      <c r="E1616" s="959">
        <v>2</v>
      </c>
      <c r="F1616" s="959">
        <v>30</v>
      </c>
      <c r="G1616" s="959">
        <v>0</v>
      </c>
      <c r="H1616" s="959">
        <v>6</v>
      </c>
    </row>
    <row r="1617" spans="1:8">
      <c r="A1617" s="959" t="s">
        <v>3476</v>
      </c>
      <c r="B1617" s="960" t="s">
        <v>699</v>
      </c>
      <c r="C1617" s="960" t="s">
        <v>4262</v>
      </c>
      <c r="D1617" s="960" t="s">
        <v>4263</v>
      </c>
      <c r="E1617" s="959">
        <v>1</v>
      </c>
      <c r="F1617" s="959">
        <v>67</v>
      </c>
      <c r="G1617" s="959">
        <v>0</v>
      </c>
      <c r="H1617" s="959">
        <v>5</v>
      </c>
    </row>
    <row r="1618" spans="1:8">
      <c r="A1618" s="959" t="s">
        <v>3476</v>
      </c>
      <c r="B1618" s="960" t="s">
        <v>699</v>
      </c>
      <c r="C1618" s="960" t="s">
        <v>4267</v>
      </c>
      <c r="D1618" s="960" t="s">
        <v>4268</v>
      </c>
      <c r="E1618" s="959">
        <v>0</v>
      </c>
      <c r="F1618" s="959">
        <v>0</v>
      </c>
      <c r="G1618" s="959">
        <v>0</v>
      </c>
      <c r="H1618" s="959">
        <v>4</v>
      </c>
    </row>
    <row r="1619" spans="1:8">
      <c r="A1619" s="959" t="s">
        <v>3477</v>
      </c>
      <c r="B1619" s="960" t="s">
        <v>3478</v>
      </c>
      <c r="C1619" s="960" t="s">
        <v>4256</v>
      </c>
      <c r="D1619" s="960" t="s">
        <v>4259</v>
      </c>
      <c r="E1619" s="959">
        <v>1</v>
      </c>
      <c r="F1619" s="959">
        <v>1</v>
      </c>
      <c r="G1619" s="959">
        <v>1</v>
      </c>
      <c r="H1619" s="959">
        <v>6</v>
      </c>
    </row>
    <row r="1620" spans="1:8">
      <c r="A1620" s="959" t="s">
        <v>3477</v>
      </c>
      <c r="B1620" s="960" t="s">
        <v>3478</v>
      </c>
      <c r="C1620" s="960" t="s">
        <v>4256</v>
      </c>
      <c r="D1620" s="960" t="s">
        <v>1906</v>
      </c>
      <c r="E1620" s="959">
        <v>3</v>
      </c>
      <c r="F1620" s="959">
        <v>36</v>
      </c>
      <c r="G1620" s="959">
        <v>0</v>
      </c>
      <c r="H1620" s="959">
        <v>3</v>
      </c>
    </row>
    <row r="1621" spans="1:8">
      <c r="A1621" s="959" t="s">
        <v>3477</v>
      </c>
      <c r="B1621" s="960" t="s">
        <v>3478</v>
      </c>
      <c r="C1621" s="960" t="s">
        <v>4256</v>
      </c>
      <c r="D1621" s="960" t="s">
        <v>1907</v>
      </c>
      <c r="E1621" s="959">
        <v>1</v>
      </c>
      <c r="F1621" s="959">
        <v>14</v>
      </c>
      <c r="G1621" s="959">
        <v>1</v>
      </c>
      <c r="H1621" s="959">
        <v>19</v>
      </c>
    </row>
    <row r="1622" spans="1:8">
      <c r="A1622" s="959" t="s">
        <v>3477</v>
      </c>
      <c r="B1622" s="960" t="s">
        <v>3478</v>
      </c>
      <c r="C1622" s="960" t="s">
        <v>4257</v>
      </c>
      <c r="D1622" s="960" t="s">
        <v>4258</v>
      </c>
      <c r="E1622" s="959">
        <v>5</v>
      </c>
      <c r="F1622" s="959">
        <v>101</v>
      </c>
      <c r="G1622" s="959">
        <v>2</v>
      </c>
      <c r="H1622" s="959">
        <v>23</v>
      </c>
    </row>
    <row r="1623" spans="1:8">
      <c r="A1623" s="959" t="s">
        <v>3477</v>
      </c>
      <c r="B1623" s="960" t="s">
        <v>3478</v>
      </c>
      <c r="C1623" s="960" t="s">
        <v>4262</v>
      </c>
      <c r="D1623" s="960" t="s">
        <v>4263</v>
      </c>
      <c r="E1623" s="959">
        <v>3</v>
      </c>
      <c r="F1623" s="959">
        <v>232</v>
      </c>
      <c r="G1623" s="959">
        <v>0</v>
      </c>
      <c r="H1623" s="959">
        <v>47</v>
      </c>
    </row>
    <row r="1624" spans="1:8">
      <c r="A1624" s="959" t="s">
        <v>3479</v>
      </c>
      <c r="B1624" s="960" t="s">
        <v>3480</v>
      </c>
      <c r="C1624" s="960" t="s">
        <v>4256</v>
      </c>
      <c r="D1624" s="960" t="s">
        <v>4260</v>
      </c>
      <c r="E1624" s="959">
        <v>0</v>
      </c>
      <c r="F1624" s="959">
        <v>0</v>
      </c>
      <c r="G1624" s="959">
        <v>0</v>
      </c>
      <c r="H1624" s="959">
        <v>1</v>
      </c>
    </row>
    <row r="1625" spans="1:8">
      <c r="A1625" s="959" t="s">
        <v>3479</v>
      </c>
      <c r="B1625" s="960" t="s">
        <v>3480</v>
      </c>
      <c r="C1625" s="960" t="s">
        <v>4256</v>
      </c>
      <c r="D1625" s="960" t="s">
        <v>1906</v>
      </c>
      <c r="E1625" s="959">
        <v>2</v>
      </c>
      <c r="F1625" s="959">
        <v>26</v>
      </c>
      <c r="G1625" s="959">
        <v>1</v>
      </c>
      <c r="H1625" s="959">
        <v>11</v>
      </c>
    </row>
    <row r="1626" spans="1:8">
      <c r="A1626" s="959" t="s">
        <v>3479</v>
      </c>
      <c r="B1626" s="960" t="s">
        <v>3480</v>
      </c>
      <c r="C1626" s="960" t="s">
        <v>4257</v>
      </c>
      <c r="D1626" s="960" t="s">
        <v>4258</v>
      </c>
      <c r="E1626" s="959">
        <v>4</v>
      </c>
      <c r="F1626" s="959">
        <v>132</v>
      </c>
      <c r="G1626" s="959">
        <v>5</v>
      </c>
      <c r="H1626" s="959">
        <v>145</v>
      </c>
    </row>
    <row r="1627" spans="1:8">
      <c r="A1627" s="959" t="s">
        <v>3479</v>
      </c>
      <c r="B1627" s="960" t="s">
        <v>3480</v>
      </c>
      <c r="C1627" s="960" t="s">
        <v>4262</v>
      </c>
      <c r="D1627" s="960" t="s">
        <v>4263</v>
      </c>
      <c r="E1627" s="959">
        <v>0</v>
      </c>
      <c r="F1627" s="959">
        <v>9</v>
      </c>
      <c r="G1627" s="959">
        <v>0</v>
      </c>
      <c r="H1627" s="959">
        <v>2</v>
      </c>
    </row>
    <row r="1628" spans="1:8">
      <c r="A1628" s="959" t="s">
        <v>3481</v>
      </c>
      <c r="B1628" s="960" t="s">
        <v>1555</v>
      </c>
      <c r="C1628" s="960" t="s">
        <v>4256</v>
      </c>
      <c r="D1628" s="960" t="s">
        <v>4260</v>
      </c>
      <c r="E1628" s="959">
        <v>0</v>
      </c>
      <c r="F1628" s="959">
        <v>1</v>
      </c>
      <c r="G1628" s="959">
        <v>0</v>
      </c>
      <c r="H1628" s="959">
        <v>0</v>
      </c>
    </row>
    <row r="1629" spans="1:8">
      <c r="A1629" s="959" t="s">
        <v>3481</v>
      </c>
      <c r="B1629" s="960" t="s">
        <v>1555</v>
      </c>
      <c r="C1629" s="960" t="s">
        <v>4256</v>
      </c>
      <c r="D1629" s="960" t="s">
        <v>4265</v>
      </c>
      <c r="E1629" s="959">
        <v>0</v>
      </c>
      <c r="F1629" s="959">
        <v>1</v>
      </c>
      <c r="G1629" s="959">
        <v>0</v>
      </c>
      <c r="H1629" s="959">
        <v>0</v>
      </c>
    </row>
    <row r="1630" spans="1:8">
      <c r="A1630" s="959" t="s">
        <v>3481</v>
      </c>
      <c r="B1630" s="960" t="s">
        <v>1555</v>
      </c>
      <c r="C1630" s="960" t="s">
        <v>4256</v>
      </c>
      <c r="D1630" s="960" t="s">
        <v>1906</v>
      </c>
      <c r="E1630" s="959">
        <v>0</v>
      </c>
      <c r="F1630" s="959">
        <v>1</v>
      </c>
      <c r="G1630" s="959">
        <v>0</v>
      </c>
      <c r="H1630" s="959">
        <v>0</v>
      </c>
    </row>
    <row r="1631" spans="1:8">
      <c r="A1631" s="959" t="s">
        <v>3481</v>
      </c>
      <c r="B1631" s="960" t="s">
        <v>1555</v>
      </c>
      <c r="C1631" s="960" t="s">
        <v>4256</v>
      </c>
      <c r="D1631" s="960" t="s">
        <v>4264</v>
      </c>
      <c r="E1631" s="959">
        <v>0</v>
      </c>
      <c r="F1631" s="959">
        <v>5</v>
      </c>
      <c r="G1631" s="959">
        <v>0</v>
      </c>
      <c r="H1631" s="959">
        <v>1</v>
      </c>
    </row>
    <row r="1632" spans="1:8">
      <c r="A1632" s="959" t="s">
        <v>3481</v>
      </c>
      <c r="B1632" s="960" t="s">
        <v>1555</v>
      </c>
      <c r="C1632" s="960" t="s">
        <v>4256</v>
      </c>
      <c r="D1632" s="960" t="s">
        <v>4261</v>
      </c>
      <c r="E1632" s="959">
        <v>0</v>
      </c>
      <c r="F1632" s="959">
        <v>1</v>
      </c>
      <c r="G1632" s="959">
        <v>0</v>
      </c>
      <c r="H1632" s="959">
        <v>0</v>
      </c>
    </row>
    <row r="1633" spans="1:8">
      <c r="A1633" s="959" t="s">
        <v>3481</v>
      </c>
      <c r="B1633" s="960" t="s">
        <v>1555</v>
      </c>
      <c r="C1633" s="960" t="s">
        <v>4257</v>
      </c>
      <c r="D1633" s="960" t="s">
        <v>4258</v>
      </c>
      <c r="E1633" s="959">
        <v>0</v>
      </c>
      <c r="F1633" s="959">
        <v>1</v>
      </c>
      <c r="G1633" s="959">
        <v>0</v>
      </c>
      <c r="H1633" s="959">
        <v>0</v>
      </c>
    </row>
    <row r="1634" spans="1:8">
      <c r="A1634" s="959" t="s">
        <v>3482</v>
      </c>
      <c r="B1634" s="960" t="s">
        <v>677</v>
      </c>
      <c r="C1634" s="960" t="s">
        <v>4256</v>
      </c>
      <c r="D1634" s="960" t="s">
        <v>470</v>
      </c>
      <c r="E1634" s="959">
        <v>0</v>
      </c>
      <c r="F1634" s="959">
        <v>0</v>
      </c>
      <c r="G1634" s="959">
        <v>0</v>
      </c>
      <c r="H1634" s="959">
        <v>1</v>
      </c>
    </row>
    <row r="1635" spans="1:8">
      <c r="A1635" s="959" t="s">
        <v>3482</v>
      </c>
      <c r="B1635" s="960" t="s">
        <v>677</v>
      </c>
      <c r="C1635" s="960" t="s">
        <v>4256</v>
      </c>
      <c r="D1635" s="960" t="s">
        <v>1904</v>
      </c>
      <c r="E1635" s="959">
        <v>0</v>
      </c>
      <c r="F1635" s="959">
        <v>0</v>
      </c>
      <c r="G1635" s="959">
        <v>0</v>
      </c>
      <c r="H1635" s="959">
        <v>1</v>
      </c>
    </row>
    <row r="1636" spans="1:8">
      <c r="A1636" s="959" t="s">
        <v>3482</v>
      </c>
      <c r="B1636" s="960" t="s">
        <v>677</v>
      </c>
      <c r="C1636" s="960" t="s">
        <v>4256</v>
      </c>
      <c r="D1636" s="960" t="s">
        <v>4259</v>
      </c>
      <c r="E1636" s="959">
        <v>0</v>
      </c>
      <c r="F1636" s="959">
        <v>1</v>
      </c>
      <c r="G1636" s="959">
        <v>0</v>
      </c>
      <c r="H1636" s="959">
        <v>3</v>
      </c>
    </row>
    <row r="1637" spans="1:8">
      <c r="A1637" s="959" t="s">
        <v>3482</v>
      </c>
      <c r="B1637" s="960" t="s">
        <v>677</v>
      </c>
      <c r="C1637" s="960" t="s">
        <v>4256</v>
      </c>
      <c r="D1637" s="960" t="s">
        <v>4260</v>
      </c>
      <c r="E1637" s="959">
        <v>0</v>
      </c>
      <c r="F1637" s="959">
        <v>2</v>
      </c>
      <c r="G1637" s="959">
        <v>0</v>
      </c>
      <c r="H1637" s="959">
        <v>3</v>
      </c>
    </row>
    <row r="1638" spans="1:8">
      <c r="A1638" s="959" t="s">
        <v>3482</v>
      </c>
      <c r="B1638" s="960" t="s">
        <v>677</v>
      </c>
      <c r="C1638" s="960" t="s">
        <v>4256</v>
      </c>
      <c r="D1638" s="960" t="s">
        <v>4265</v>
      </c>
      <c r="E1638" s="959">
        <v>0</v>
      </c>
      <c r="F1638" s="959">
        <v>0</v>
      </c>
      <c r="G1638" s="959">
        <v>0</v>
      </c>
      <c r="H1638" s="959">
        <v>2</v>
      </c>
    </row>
    <row r="1639" spans="1:8">
      <c r="A1639" s="959" t="s">
        <v>3482</v>
      </c>
      <c r="B1639" s="960" t="s">
        <v>677</v>
      </c>
      <c r="C1639" s="960" t="s">
        <v>4256</v>
      </c>
      <c r="D1639" s="960" t="s">
        <v>4271</v>
      </c>
      <c r="E1639" s="959">
        <v>0</v>
      </c>
      <c r="F1639" s="959">
        <v>0</v>
      </c>
      <c r="G1639" s="959">
        <v>0</v>
      </c>
      <c r="H1639" s="959">
        <v>1</v>
      </c>
    </row>
    <row r="1640" spans="1:8">
      <c r="A1640" s="959" t="s">
        <v>3482</v>
      </c>
      <c r="B1640" s="960" t="s">
        <v>677</v>
      </c>
      <c r="C1640" s="960" t="s">
        <v>4256</v>
      </c>
      <c r="D1640" s="960" t="s">
        <v>4261</v>
      </c>
      <c r="E1640" s="959">
        <v>0</v>
      </c>
      <c r="F1640" s="959">
        <v>0</v>
      </c>
      <c r="G1640" s="959">
        <v>0</v>
      </c>
      <c r="H1640" s="959">
        <v>1</v>
      </c>
    </row>
    <row r="1641" spans="1:8">
      <c r="A1641" s="959" t="s">
        <v>3482</v>
      </c>
      <c r="B1641" s="960" t="s">
        <v>677</v>
      </c>
      <c r="C1641" s="960" t="s">
        <v>4257</v>
      </c>
      <c r="D1641" s="960" t="s">
        <v>4258</v>
      </c>
      <c r="E1641" s="959">
        <v>0</v>
      </c>
      <c r="F1641" s="959">
        <v>1</v>
      </c>
      <c r="G1641" s="959">
        <v>0</v>
      </c>
      <c r="H1641" s="959">
        <v>0</v>
      </c>
    </row>
    <row r="1642" spans="1:8">
      <c r="A1642" s="959" t="s">
        <v>3482</v>
      </c>
      <c r="B1642" s="960" t="s">
        <v>677</v>
      </c>
      <c r="C1642" s="960" t="s">
        <v>4262</v>
      </c>
      <c r="D1642" s="960" t="s">
        <v>4263</v>
      </c>
      <c r="E1642" s="959">
        <v>0</v>
      </c>
      <c r="F1642" s="959">
        <v>7</v>
      </c>
      <c r="G1642" s="959">
        <v>0</v>
      </c>
      <c r="H1642" s="959">
        <v>0</v>
      </c>
    </row>
    <row r="1643" spans="1:8">
      <c r="A1643" s="959" t="s">
        <v>4303</v>
      </c>
      <c r="B1643" s="960" t="s">
        <v>1183</v>
      </c>
      <c r="C1643" s="960" t="s">
        <v>4262</v>
      </c>
      <c r="D1643" s="960" t="s">
        <v>4263</v>
      </c>
      <c r="E1643" s="959">
        <v>0</v>
      </c>
      <c r="F1643" s="959">
        <v>11</v>
      </c>
      <c r="G1643" s="959">
        <v>0</v>
      </c>
      <c r="H1643" s="959">
        <v>0</v>
      </c>
    </row>
    <row r="1644" spans="1:8">
      <c r="A1644" s="959" t="s">
        <v>3483</v>
      </c>
      <c r="B1644" s="960" t="s">
        <v>3484</v>
      </c>
      <c r="C1644" s="960" t="s">
        <v>4275</v>
      </c>
      <c r="D1644" s="960" t="s">
        <v>4276</v>
      </c>
      <c r="E1644" s="959">
        <v>1</v>
      </c>
      <c r="F1644" s="959">
        <v>9</v>
      </c>
      <c r="G1644" s="959">
        <v>0</v>
      </c>
      <c r="H1644" s="959">
        <v>0</v>
      </c>
    </row>
    <row r="1645" spans="1:8">
      <c r="A1645" s="959" t="s">
        <v>3483</v>
      </c>
      <c r="B1645" s="960" t="s">
        <v>3484</v>
      </c>
      <c r="C1645" s="960" t="s">
        <v>4277</v>
      </c>
      <c r="D1645" s="960" t="s">
        <v>4279</v>
      </c>
      <c r="E1645" s="959">
        <v>0</v>
      </c>
      <c r="F1645" s="959">
        <v>0</v>
      </c>
      <c r="G1645" s="959">
        <v>0</v>
      </c>
      <c r="H1645" s="959">
        <v>18</v>
      </c>
    </row>
    <row r="1646" spans="1:8">
      <c r="A1646" s="959" t="s">
        <v>3483</v>
      </c>
      <c r="B1646" s="960" t="s">
        <v>3484</v>
      </c>
      <c r="C1646" s="960" t="s">
        <v>4256</v>
      </c>
      <c r="D1646" s="960" t="s">
        <v>1906</v>
      </c>
      <c r="E1646" s="959">
        <v>1</v>
      </c>
      <c r="F1646" s="959">
        <v>11</v>
      </c>
      <c r="G1646" s="959">
        <v>0</v>
      </c>
      <c r="H1646" s="959">
        <v>0</v>
      </c>
    </row>
    <row r="1647" spans="1:8">
      <c r="A1647" s="959" t="s">
        <v>3483</v>
      </c>
      <c r="B1647" s="960" t="s">
        <v>3484</v>
      </c>
      <c r="C1647" s="960" t="s">
        <v>4257</v>
      </c>
      <c r="D1647" s="960" t="s">
        <v>4258</v>
      </c>
      <c r="E1647" s="959">
        <v>227</v>
      </c>
      <c r="F1647" s="959">
        <v>3035</v>
      </c>
      <c r="G1647" s="959">
        <v>3</v>
      </c>
      <c r="H1647" s="959">
        <v>39</v>
      </c>
    </row>
    <row r="1648" spans="1:8">
      <c r="A1648" s="959" t="s">
        <v>3485</v>
      </c>
      <c r="B1648" s="960" t="s">
        <v>3486</v>
      </c>
      <c r="C1648" s="960" t="s">
        <v>4257</v>
      </c>
      <c r="D1648" s="960" t="s">
        <v>4258</v>
      </c>
      <c r="E1648" s="959">
        <v>3</v>
      </c>
      <c r="F1648" s="959">
        <v>55</v>
      </c>
      <c r="G1648" s="959">
        <v>0</v>
      </c>
      <c r="H1648" s="959">
        <v>0</v>
      </c>
    </row>
    <row r="1649" spans="1:8">
      <c r="A1649" s="959" t="s">
        <v>3485</v>
      </c>
      <c r="B1649" s="960" t="s">
        <v>3486</v>
      </c>
      <c r="C1649" s="960" t="s">
        <v>4262</v>
      </c>
      <c r="D1649" s="960" t="s">
        <v>4263</v>
      </c>
      <c r="E1649" s="959">
        <v>2</v>
      </c>
      <c r="F1649" s="959">
        <v>120</v>
      </c>
      <c r="G1649" s="959">
        <v>0</v>
      </c>
      <c r="H1649" s="959">
        <v>0</v>
      </c>
    </row>
    <row r="1650" spans="1:8">
      <c r="A1650" s="959" t="s">
        <v>3487</v>
      </c>
      <c r="B1650" s="960" t="s">
        <v>3488</v>
      </c>
      <c r="C1650" s="960" t="s">
        <v>4275</v>
      </c>
      <c r="D1650" s="960" t="s">
        <v>4276</v>
      </c>
      <c r="E1650" s="959">
        <v>1</v>
      </c>
      <c r="F1650" s="959">
        <v>16</v>
      </c>
      <c r="G1650" s="959">
        <v>0</v>
      </c>
      <c r="H1650" s="959">
        <v>0</v>
      </c>
    </row>
    <row r="1651" spans="1:8">
      <c r="A1651" s="959" t="s">
        <v>3487</v>
      </c>
      <c r="B1651" s="960" t="s">
        <v>3488</v>
      </c>
      <c r="C1651" s="960" t="s">
        <v>4277</v>
      </c>
      <c r="D1651" s="960" t="s">
        <v>4278</v>
      </c>
      <c r="E1651" s="959">
        <v>0</v>
      </c>
      <c r="F1651" s="959">
        <v>0</v>
      </c>
      <c r="G1651" s="959">
        <v>1</v>
      </c>
      <c r="H1651" s="959">
        <v>54</v>
      </c>
    </row>
    <row r="1652" spans="1:8">
      <c r="A1652" s="959" t="s">
        <v>3487</v>
      </c>
      <c r="B1652" s="960" t="s">
        <v>3488</v>
      </c>
      <c r="C1652" s="960" t="s">
        <v>4277</v>
      </c>
      <c r="D1652" s="960" t="s">
        <v>4279</v>
      </c>
      <c r="E1652" s="959">
        <v>0</v>
      </c>
      <c r="F1652" s="959">
        <v>0</v>
      </c>
      <c r="G1652" s="959">
        <v>1</v>
      </c>
      <c r="H1652" s="959">
        <v>206</v>
      </c>
    </row>
    <row r="1653" spans="1:8">
      <c r="A1653" s="959" t="s">
        <v>3487</v>
      </c>
      <c r="B1653" s="960" t="s">
        <v>3488</v>
      </c>
      <c r="C1653" s="960" t="s">
        <v>4256</v>
      </c>
      <c r="D1653" s="960" t="s">
        <v>4260</v>
      </c>
      <c r="E1653" s="959">
        <v>0</v>
      </c>
      <c r="F1653" s="959">
        <v>0</v>
      </c>
      <c r="G1653" s="959">
        <v>0</v>
      </c>
      <c r="H1653" s="959">
        <v>5</v>
      </c>
    </row>
    <row r="1654" spans="1:8">
      <c r="A1654" s="959" t="s">
        <v>3487</v>
      </c>
      <c r="B1654" s="960" t="s">
        <v>3488</v>
      </c>
      <c r="C1654" s="960" t="s">
        <v>4256</v>
      </c>
      <c r="D1654" s="960" t="s">
        <v>1906</v>
      </c>
      <c r="E1654" s="959">
        <v>0</v>
      </c>
      <c r="F1654" s="959">
        <v>6</v>
      </c>
      <c r="G1654" s="959">
        <v>0</v>
      </c>
      <c r="H1654" s="959">
        <v>1</v>
      </c>
    </row>
    <row r="1655" spans="1:8">
      <c r="A1655" s="959" t="s">
        <v>3487</v>
      </c>
      <c r="B1655" s="960" t="s">
        <v>3488</v>
      </c>
      <c r="C1655" s="960" t="s">
        <v>4257</v>
      </c>
      <c r="D1655" s="960" t="s">
        <v>4258</v>
      </c>
      <c r="E1655" s="959">
        <v>18</v>
      </c>
      <c r="F1655" s="959">
        <v>273</v>
      </c>
      <c r="G1655" s="959">
        <v>3</v>
      </c>
      <c r="H1655" s="959">
        <v>36</v>
      </c>
    </row>
    <row r="1656" spans="1:8">
      <c r="A1656" s="959" t="s">
        <v>3493</v>
      </c>
      <c r="B1656" s="960" t="s">
        <v>3494</v>
      </c>
      <c r="C1656" s="960" t="s">
        <v>4275</v>
      </c>
      <c r="D1656" s="960" t="s">
        <v>4276</v>
      </c>
      <c r="E1656" s="959">
        <v>0</v>
      </c>
      <c r="F1656" s="959">
        <v>9</v>
      </c>
      <c r="G1656" s="959">
        <v>0</v>
      </c>
      <c r="H1656" s="959">
        <v>0</v>
      </c>
    </row>
    <row r="1657" spans="1:8">
      <c r="A1657" s="959" t="s">
        <v>3493</v>
      </c>
      <c r="B1657" s="960" t="s">
        <v>3494</v>
      </c>
      <c r="C1657" s="960" t="s">
        <v>4256</v>
      </c>
      <c r="D1657" s="960" t="s">
        <v>1906</v>
      </c>
      <c r="E1657" s="959">
        <v>1</v>
      </c>
      <c r="F1657" s="959">
        <v>33</v>
      </c>
      <c r="G1657" s="959">
        <v>0</v>
      </c>
      <c r="H1657" s="959">
        <v>0</v>
      </c>
    </row>
    <row r="1658" spans="1:8">
      <c r="A1658" s="959" t="s">
        <v>3493</v>
      </c>
      <c r="B1658" s="960" t="s">
        <v>3494</v>
      </c>
      <c r="C1658" s="960" t="s">
        <v>4257</v>
      </c>
      <c r="D1658" s="960" t="s">
        <v>4258</v>
      </c>
      <c r="E1658" s="959">
        <v>1</v>
      </c>
      <c r="F1658" s="959">
        <v>23</v>
      </c>
      <c r="G1658" s="959">
        <v>0</v>
      </c>
      <c r="H1658" s="959">
        <v>5</v>
      </c>
    </row>
    <row r="1659" spans="1:8">
      <c r="A1659" s="959" t="s">
        <v>3493</v>
      </c>
      <c r="B1659" s="960" t="s">
        <v>3494</v>
      </c>
      <c r="C1659" s="960" t="s">
        <v>4262</v>
      </c>
      <c r="D1659" s="960" t="s">
        <v>4263</v>
      </c>
      <c r="E1659" s="959">
        <v>17</v>
      </c>
      <c r="F1659" s="959">
        <v>73</v>
      </c>
      <c r="G1659" s="959">
        <v>0</v>
      </c>
      <c r="H1659" s="959">
        <v>0</v>
      </c>
    </row>
    <row r="1660" spans="1:8">
      <c r="A1660" s="959" t="s">
        <v>3497</v>
      </c>
      <c r="B1660" s="960" t="s">
        <v>3498</v>
      </c>
      <c r="C1660" s="960" t="s">
        <v>4275</v>
      </c>
      <c r="D1660" s="960" t="s">
        <v>4276</v>
      </c>
      <c r="E1660" s="959">
        <v>0</v>
      </c>
      <c r="F1660" s="959">
        <v>10</v>
      </c>
      <c r="G1660" s="959">
        <v>0</v>
      </c>
      <c r="H1660" s="959">
        <v>1</v>
      </c>
    </row>
    <row r="1661" spans="1:8">
      <c r="A1661" s="959" t="s">
        <v>3497</v>
      </c>
      <c r="B1661" s="960" t="s">
        <v>3498</v>
      </c>
      <c r="C1661" s="960" t="s">
        <v>4256</v>
      </c>
      <c r="D1661" s="960" t="s">
        <v>1906</v>
      </c>
      <c r="E1661" s="959">
        <v>0</v>
      </c>
      <c r="F1661" s="959">
        <v>2</v>
      </c>
      <c r="G1661" s="959">
        <v>0</v>
      </c>
      <c r="H1661" s="959">
        <v>0</v>
      </c>
    </row>
    <row r="1662" spans="1:8">
      <c r="A1662" s="959" t="s">
        <v>3497</v>
      </c>
      <c r="B1662" s="960" t="s">
        <v>3498</v>
      </c>
      <c r="C1662" s="960" t="s">
        <v>4256</v>
      </c>
      <c r="D1662" s="960" t="s">
        <v>1907</v>
      </c>
      <c r="E1662" s="959">
        <v>0</v>
      </c>
      <c r="F1662" s="959">
        <v>1</v>
      </c>
      <c r="G1662" s="959">
        <v>8</v>
      </c>
      <c r="H1662" s="959">
        <v>113</v>
      </c>
    </row>
    <row r="1663" spans="1:8">
      <c r="A1663" s="959" t="s">
        <v>3497</v>
      </c>
      <c r="B1663" s="960" t="s">
        <v>3498</v>
      </c>
      <c r="C1663" s="960" t="s">
        <v>4257</v>
      </c>
      <c r="D1663" s="960" t="s">
        <v>4258</v>
      </c>
      <c r="E1663" s="959">
        <v>0</v>
      </c>
      <c r="F1663" s="959">
        <v>13</v>
      </c>
      <c r="G1663" s="959">
        <v>0</v>
      </c>
      <c r="H1663" s="959">
        <v>5</v>
      </c>
    </row>
    <row r="1664" spans="1:8">
      <c r="A1664" s="959" t="s">
        <v>3497</v>
      </c>
      <c r="B1664" s="960" t="s">
        <v>3498</v>
      </c>
      <c r="C1664" s="960" t="s">
        <v>4262</v>
      </c>
      <c r="D1664" s="960" t="s">
        <v>4263</v>
      </c>
      <c r="E1664" s="959">
        <v>0</v>
      </c>
      <c r="F1664" s="959">
        <v>6</v>
      </c>
      <c r="G1664" s="959">
        <v>0</v>
      </c>
      <c r="H1664" s="959">
        <v>0</v>
      </c>
    </row>
    <row r="1665" spans="1:8">
      <c r="A1665" s="959" t="s">
        <v>3499</v>
      </c>
      <c r="B1665" s="960" t="s">
        <v>3500</v>
      </c>
      <c r="C1665" s="960" t="s">
        <v>4275</v>
      </c>
      <c r="D1665" s="960" t="s">
        <v>4276</v>
      </c>
      <c r="E1665" s="959">
        <v>0</v>
      </c>
      <c r="F1665" s="959">
        <v>3</v>
      </c>
      <c r="G1665" s="959">
        <v>0</v>
      </c>
      <c r="H1665" s="959">
        <v>1</v>
      </c>
    </row>
    <row r="1666" spans="1:8">
      <c r="A1666" s="959" t="s">
        <v>3499</v>
      </c>
      <c r="B1666" s="960" t="s">
        <v>3500</v>
      </c>
      <c r="C1666" s="960" t="s">
        <v>4256</v>
      </c>
      <c r="D1666" s="960" t="s">
        <v>4270</v>
      </c>
      <c r="E1666" s="959">
        <v>0</v>
      </c>
      <c r="F1666" s="959">
        <v>0</v>
      </c>
      <c r="G1666" s="959">
        <v>0</v>
      </c>
      <c r="H1666" s="959">
        <v>1</v>
      </c>
    </row>
    <row r="1667" spans="1:8">
      <c r="A1667" s="959" t="s">
        <v>3499</v>
      </c>
      <c r="B1667" s="960" t="s">
        <v>3500</v>
      </c>
      <c r="C1667" s="960" t="s">
        <v>4256</v>
      </c>
      <c r="D1667" s="960" t="s">
        <v>1906</v>
      </c>
      <c r="E1667" s="959">
        <v>0</v>
      </c>
      <c r="F1667" s="959">
        <v>9</v>
      </c>
      <c r="G1667" s="959">
        <v>0</v>
      </c>
      <c r="H1667" s="959">
        <v>5</v>
      </c>
    </row>
    <row r="1668" spans="1:8">
      <c r="A1668" s="959" t="s">
        <v>3499</v>
      </c>
      <c r="B1668" s="960" t="s">
        <v>3500</v>
      </c>
      <c r="C1668" s="960" t="s">
        <v>4256</v>
      </c>
      <c r="D1668" s="960" t="s">
        <v>1907</v>
      </c>
      <c r="E1668" s="959">
        <v>0</v>
      </c>
      <c r="F1668" s="959">
        <v>8</v>
      </c>
      <c r="G1668" s="959">
        <v>1</v>
      </c>
      <c r="H1668" s="959">
        <v>20</v>
      </c>
    </row>
    <row r="1669" spans="1:8">
      <c r="A1669" s="959" t="s">
        <v>3499</v>
      </c>
      <c r="B1669" s="960" t="s">
        <v>3500</v>
      </c>
      <c r="C1669" s="960" t="s">
        <v>4257</v>
      </c>
      <c r="D1669" s="960" t="s">
        <v>4258</v>
      </c>
      <c r="E1669" s="959">
        <v>1</v>
      </c>
      <c r="F1669" s="959">
        <v>15</v>
      </c>
      <c r="G1669" s="959">
        <v>2</v>
      </c>
      <c r="H1669" s="959">
        <v>22</v>
      </c>
    </row>
    <row r="1670" spans="1:8">
      <c r="A1670" s="959" t="s">
        <v>3501</v>
      </c>
      <c r="B1670" s="960" t="s">
        <v>1194</v>
      </c>
      <c r="C1670" s="960" t="s">
        <v>4256</v>
      </c>
      <c r="D1670" s="960" t="s">
        <v>4259</v>
      </c>
      <c r="E1670" s="959">
        <v>0</v>
      </c>
      <c r="F1670" s="959">
        <v>0</v>
      </c>
      <c r="G1670" s="959">
        <v>0</v>
      </c>
      <c r="H1670" s="959">
        <v>1</v>
      </c>
    </row>
    <row r="1671" spans="1:8">
      <c r="A1671" s="959" t="s">
        <v>3501</v>
      </c>
      <c r="B1671" s="960" t="s">
        <v>1194</v>
      </c>
      <c r="C1671" s="960" t="s">
        <v>4256</v>
      </c>
      <c r="D1671" s="960" t="s">
        <v>4260</v>
      </c>
      <c r="E1671" s="959">
        <v>0</v>
      </c>
      <c r="F1671" s="959">
        <v>0</v>
      </c>
      <c r="G1671" s="959">
        <v>0</v>
      </c>
      <c r="H1671" s="959">
        <v>1</v>
      </c>
    </row>
    <row r="1672" spans="1:8">
      <c r="A1672" s="959" t="s">
        <v>3501</v>
      </c>
      <c r="B1672" s="960" t="s">
        <v>1194</v>
      </c>
      <c r="C1672" s="960" t="s">
        <v>4256</v>
      </c>
      <c r="D1672" s="960" t="s">
        <v>1906</v>
      </c>
      <c r="E1672" s="959">
        <v>0</v>
      </c>
      <c r="F1672" s="959">
        <v>2</v>
      </c>
      <c r="G1672" s="959">
        <v>0</v>
      </c>
      <c r="H1672" s="959">
        <v>0</v>
      </c>
    </row>
    <row r="1673" spans="1:8">
      <c r="A1673" s="959" t="s">
        <v>3501</v>
      </c>
      <c r="B1673" s="960" t="s">
        <v>1194</v>
      </c>
      <c r="C1673" s="960" t="s">
        <v>4257</v>
      </c>
      <c r="D1673" s="960" t="s">
        <v>4258</v>
      </c>
      <c r="E1673" s="959">
        <v>1</v>
      </c>
      <c r="F1673" s="959">
        <v>15</v>
      </c>
      <c r="G1673" s="959">
        <v>0</v>
      </c>
      <c r="H1673" s="959">
        <v>0</v>
      </c>
    </row>
    <row r="1674" spans="1:8">
      <c r="A1674" s="959" t="s">
        <v>3501</v>
      </c>
      <c r="B1674" s="960" t="s">
        <v>1194</v>
      </c>
      <c r="C1674" s="960" t="s">
        <v>4262</v>
      </c>
      <c r="D1674" s="960" t="s">
        <v>4263</v>
      </c>
      <c r="E1674" s="959">
        <v>27</v>
      </c>
      <c r="F1674" s="959">
        <v>325</v>
      </c>
      <c r="G1674" s="959">
        <v>0</v>
      </c>
      <c r="H1674" s="959">
        <v>0</v>
      </c>
    </row>
    <row r="1675" spans="1:8">
      <c r="A1675" s="959" t="s">
        <v>3502</v>
      </c>
      <c r="B1675" s="960" t="s">
        <v>3503</v>
      </c>
      <c r="C1675" s="960" t="s">
        <v>4256</v>
      </c>
      <c r="D1675" s="960" t="s">
        <v>4259</v>
      </c>
      <c r="E1675" s="959">
        <v>0</v>
      </c>
      <c r="F1675" s="959">
        <v>0</v>
      </c>
      <c r="G1675" s="959">
        <v>1</v>
      </c>
      <c r="H1675" s="959">
        <v>8</v>
      </c>
    </row>
    <row r="1676" spans="1:8">
      <c r="A1676" s="959" t="s">
        <v>3502</v>
      </c>
      <c r="B1676" s="960" t="s">
        <v>3503</v>
      </c>
      <c r="C1676" s="960" t="s">
        <v>4256</v>
      </c>
      <c r="D1676" s="960" t="s">
        <v>1906</v>
      </c>
      <c r="E1676" s="959">
        <v>2</v>
      </c>
      <c r="F1676" s="959">
        <v>31</v>
      </c>
      <c r="G1676" s="959">
        <v>0</v>
      </c>
      <c r="H1676" s="959">
        <v>2</v>
      </c>
    </row>
    <row r="1677" spans="1:8">
      <c r="A1677" s="959" t="s">
        <v>3502</v>
      </c>
      <c r="B1677" s="960" t="s">
        <v>3503</v>
      </c>
      <c r="C1677" s="960" t="s">
        <v>4257</v>
      </c>
      <c r="D1677" s="960" t="s">
        <v>4258</v>
      </c>
      <c r="E1677" s="959">
        <v>8</v>
      </c>
      <c r="F1677" s="959">
        <v>101</v>
      </c>
      <c r="G1677" s="959">
        <v>6</v>
      </c>
      <c r="H1677" s="959">
        <v>161</v>
      </c>
    </row>
    <row r="1678" spans="1:8">
      <c r="A1678" s="959" t="s">
        <v>3502</v>
      </c>
      <c r="B1678" s="960" t="s">
        <v>3503</v>
      </c>
      <c r="C1678" s="960" t="s">
        <v>4262</v>
      </c>
      <c r="D1678" s="960" t="s">
        <v>4263</v>
      </c>
      <c r="E1678" s="959">
        <v>3</v>
      </c>
      <c r="F1678" s="959">
        <v>198</v>
      </c>
      <c r="G1678" s="959">
        <v>0</v>
      </c>
      <c r="H1678" s="959">
        <v>14</v>
      </c>
    </row>
    <row r="1679" spans="1:8">
      <c r="A1679" s="959" t="s">
        <v>3504</v>
      </c>
      <c r="B1679" s="960" t="s">
        <v>3505</v>
      </c>
      <c r="C1679" s="960" t="s">
        <v>4256</v>
      </c>
      <c r="D1679" s="960" t="s">
        <v>470</v>
      </c>
      <c r="E1679" s="959">
        <v>0</v>
      </c>
      <c r="F1679" s="959">
        <v>0</v>
      </c>
      <c r="G1679" s="959">
        <v>0</v>
      </c>
      <c r="H1679" s="959">
        <v>6</v>
      </c>
    </row>
    <row r="1680" spans="1:8">
      <c r="A1680" s="959" t="s">
        <v>3504</v>
      </c>
      <c r="B1680" s="960" t="s">
        <v>3505</v>
      </c>
      <c r="C1680" s="960" t="s">
        <v>4256</v>
      </c>
      <c r="D1680" s="960" t="s">
        <v>1904</v>
      </c>
      <c r="E1680" s="959">
        <v>0</v>
      </c>
      <c r="F1680" s="959">
        <v>0</v>
      </c>
      <c r="G1680" s="959">
        <v>20</v>
      </c>
      <c r="H1680" s="959">
        <v>137</v>
      </c>
    </row>
    <row r="1681" spans="1:8">
      <c r="A1681" s="959" t="s">
        <v>3504</v>
      </c>
      <c r="B1681" s="960" t="s">
        <v>3505</v>
      </c>
      <c r="C1681" s="960" t="s">
        <v>4256</v>
      </c>
      <c r="D1681" s="960" t="s">
        <v>4269</v>
      </c>
      <c r="E1681" s="959">
        <v>0</v>
      </c>
      <c r="F1681" s="959">
        <v>0</v>
      </c>
      <c r="G1681" s="959">
        <v>0</v>
      </c>
      <c r="H1681" s="959">
        <v>2</v>
      </c>
    </row>
    <row r="1682" spans="1:8">
      <c r="A1682" s="959" t="s">
        <v>3504</v>
      </c>
      <c r="B1682" s="960" t="s">
        <v>3505</v>
      </c>
      <c r="C1682" s="960" t="s">
        <v>4256</v>
      </c>
      <c r="D1682" s="960" t="s">
        <v>4270</v>
      </c>
      <c r="E1682" s="959">
        <v>0</v>
      </c>
      <c r="F1682" s="959">
        <v>0</v>
      </c>
      <c r="G1682" s="959">
        <v>27</v>
      </c>
      <c r="H1682" s="959">
        <v>53</v>
      </c>
    </row>
    <row r="1683" spans="1:8">
      <c r="A1683" s="959" t="s">
        <v>3504</v>
      </c>
      <c r="B1683" s="960" t="s">
        <v>3505</v>
      </c>
      <c r="C1683" s="960" t="s">
        <v>4256</v>
      </c>
      <c r="D1683" s="960" t="s">
        <v>4259</v>
      </c>
      <c r="E1683" s="959">
        <v>0</v>
      </c>
      <c r="F1683" s="959">
        <v>0</v>
      </c>
      <c r="G1683" s="959">
        <v>5</v>
      </c>
      <c r="H1683" s="959">
        <v>10</v>
      </c>
    </row>
    <row r="1684" spans="1:8">
      <c r="A1684" s="959" t="s">
        <v>3504</v>
      </c>
      <c r="B1684" s="960" t="s">
        <v>3505</v>
      </c>
      <c r="C1684" s="960" t="s">
        <v>4256</v>
      </c>
      <c r="D1684" s="960" t="s">
        <v>4260</v>
      </c>
      <c r="E1684" s="959">
        <v>0</v>
      </c>
      <c r="F1684" s="959">
        <v>0</v>
      </c>
      <c r="G1684" s="959">
        <v>23</v>
      </c>
      <c r="H1684" s="959">
        <v>417</v>
      </c>
    </row>
    <row r="1685" spans="1:8">
      <c r="A1685" s="959" t="s">
        <v>3504</v>
      </c>
      <c r="B1685" s="960" t="s">
        <v>3505</v>
      </c>
      <c r="C1685" s="960" t="s">
        <v>4256</v>
      </c>
      <c r="D1685" s="960" t="s">
        <v>4265</v>
      </c>
      <c r="E1685" s="959">
        <v>0</v>
      </c>
      <c r="F1685" s="959">
        <v>0</v>
      </c>
      <c r="G1685" s="959">
        <v>0</v>
      </c>
      <c r="H1685" s="959">
        <v>6</v>
      </c>
    </row>
    <row r="1686" spans="1:8">
      <c r="A1686" s="959" t="s">
        <v>3504</v>
      </c>
      <c r="B1686" s="960" t="s">
        <v>3505</v>
      </c>
      <c r="C1686" s="960" t="s">
        <v>4256</v>
      </c>
      <c r="D1686" s="960" t="s">
        <v>4271</v>
      </c>
      <c r="E1686" s="959">
        <v>0</v>
      </c>
      <c r="F1686" s="959">
        <v>0</v>
      </c>
      <c r="G1686" s="959">
        <v>0</v>
      </c>
      <c r="H1686" s="959">
        <v>3</v>
      </c>
    </row>
    <row r="1687" spans="1:8">
      <c r="A1687" s="959" t="s">
        <v>3504</v>
      </c>
      <c r="B1687" s="960" t="s">
        <v>3505</v>
      </c>
      <c r="C1687" s="960" t="s">
        <v>4256</v>
      </c>
      <c r="D1687" s="960" t="s">
        <v>4272</v>
      </c>
      <c r="E1687" s="959">
        <v>0</v>
      </c>
      <c r="F1687" s="959">
        <v>0</v>
      </c>
      <c r="G1687" s="959">
        <v>0</v>
      </c>
      <c r="H1687" s="959">
        <v>1</v>
      </c>
    </row>
    <row r="1688" spans="1:8">
      <c r="A1688" s="959" t="s">
        <v>3504</v>
      </c>
      <c r="B1688" s="960" t="s">
        <v>3505</v>
      </c>
      <c r="C1688" s="960" t="s">
        <v>4256</v>
      </c>
      <c r="D1688" s="960" t="s">
        <v>1906</v>
      </c>
      <c r="E1688" s="959">
        <v>0</v>
      </c>
      <c r="F1688" s="959">
        <v>0</v>
      </c>
      <c r="G1688" s="959">
        <v>0</v>
      </c>
      <c r="H1688" s="959">
        <v>4</v>
      </c>
    </row>
    <row r="1689" spans="1:8">
      <c r="A1689" s="959" t="s">
        <v>3504</v>
      </c>
      <c r="B1689" s="960" t="s">
        <v>3505</v>
      </c>
      <c r="C1689" s="960" t="s">
        <v>4256</v>
      </c>
      <c r="D1689" s="960" t="s">
        <v>4261</v>
      </c>
      <c r="E1689" s="959">
        <v>0</v>
      </c>
      <c r="F1689" s="959">
        <v>0</v>
      </c>
      <c r="G1689" s="959">
        <v>7</v>
      </c>
      <c r="H1689" s="959">
        <v>194</v>
      </c>
    </row>
    <row r="1690" spans="1:8">
      <c r="A1690" s="959" t="s">
        <v>3504</v>
      </c>
      <c r="B1690" s="960" t="s">
        <v>3505</v>
      </c>
      <c r="C1690" s="960" t="s">
        <v>4257</v>
      </c>
      <c r="D1690" s="960" t="s">
        <v>4258</v>
      </c>
      <c r="E1690" s="959">
        <v>0</v>
      </c>
      <c r="F1690" s="959">
        <v>6</v>
      </c>
      <c r="G1690" s="959">
        <v>0</v>
      </c>
      <c r="H1690" s="959">
        <v>8</v>
      </c>
    </row>
    <row r="1691" spans="1:8">
      <c r="A1691" s="959" t="s">
        <v>3504</v>
      </c>
      <c r="B1691" s="960" t="s">
        <v>3505</v>
      </c>
      <c r="C1691" s="960" t="s">
        <v>4267</v>
      </c>
      <c r="D1691" s="960" t="s">
        <v>4268</v>
      </c>
      <c r="E1691" s="959">
        <v>0</v>
      </c>
      <c r="F1691" s="959">
        <v>0</v>
      </c>
      <c r="G1691" s="959">
        <v>0</v>
      </c>
      <c r="H1691" s="959">
        <v>5</v>
      </c>
    </row>
    <row r="1692" spans="1:8">
      <c r="A1692" s="959" t="s">
        <v>3506</v>
      </c>
      <c r="B1692" s="960" t="s">
        <v>3507</v>
      </c>
      <c r="C1692" s="960" t="s">
        <v>4257</v>
      </c>
      <c r="D1692" s="960" t="s">
        <v>4258</v>
      </c>
      <c r="E1692" s="959">
        <v>1</v>
      </c>
      <c r="F1692" s="959">
        <v>0</v>
      </c>
      <c r="G1692" s="959">
        <v>0</v>
      </c>
      <c r="H1692" s="959">
        <v>0</v>
      </c>
    </row>
    <row r="1693" spans="1:8">
      <c r="A1693" s="959" t="s">
        <v>3506</v>
      </c>
      <c r="B1693" s="960" t="s">
        <v>3507</v>
      </c>
      <c r="C1693" s="960" t="s">
        <v>4267</v>
      </c>
      <c r="D1693" s="960" t="s">
        <v>4268</v>
      </c>
      <c r="E1693" s="959">
        <v>0</v>
      </c>
      <c r="F1693" s="959">
        <v>0</v>
      </c>
      <c r="G1693" s="959">
        <v>0</v>
      </c>
      <c r="H1693" s="959">
        <v>2</v>
      </c>
    </row>
    <row r="1694" spans="1:8">
      <c r="A1694" s="959" t="s">
        <v>3508</v>
      </c>
      <c r="B1694" s="960" t="s">
        <v>3509</v>
      </c>
      <c r="C1694" s="960" t="s">
        <v>4256</v>
      </c>
      <c r="D1694" s="960" t="s">
        <v>1906</v>
      </c>
      <c r="E1694" s="959">
        <v>1</v>
      </c>
      <c r="F1694" s="959">
        <v>10</v>
      </c>
      <c r="G1694" s="959">
        <v>0</v>
      </c>
      <c r="H1694" s="959">
        <v>0</v>
      </c>
    </row>
    <row r="1695" spans="1:8">
      <c r="A1695" s="959" t="s">
        <v>3508</v>
      </c>
      <c r="B1695" s="960" t="s">
        <v>3509</v>
      </c>
      <c r="C1695" s="960" t="s">
        <v>4257</v>
      </c>
      <c r="D1695" s="960" t="s">
        <v>4258</v>
      </c>
      <c r="E1695" s="959">
        <v>0</v>
      </c>
      <c r="F1695" s="959">
        <v>5</v>
      </c>
      <c r="G1695" s="959">
        <v>0</v>
      </c>
      <c r="H1695" s="959">
        <v>0</v>
      </c>
    </row>
    <row r="1696" spans="1:8">
      <c r="A1696" s="959" t="s">
        <v>3508</v>
      </c>
      <c r="B1696" s="960" t="s">
        <v>3509</v>
      </c>
      <c r="C1696" s="960" t="s">
        <v>4262</v>
      </c>
      <c r="D1696" s="960" t="s">
        <v>4263</v>
      </c>
      <c r="E1696" s="959">
        <v>0</v>
      </c>
      <c r="F1696" s="959">
        <v>1</v>
      </c>
      <c r="G1696" s="959">
        <v>0</v>
      </c>
      <c r="H1696" s="959">
        <v>0</v>
      </c>
    </row>
    <row r="1697" spans="1:8">
      <c r="A1697" s="959" t="s">
        <v>3510</v>
      </c>
      <c r="B1697" s="960" t="s">
        <v>1197</v>
      </c>
      <c r="C1697" s="960" t="s">
        <v>4256</v>
      </c>
      <c r="D1697" s="960" t="s">
        <v>4264</v>
      </c>
      <c r="E1697" s="959">
        <v>0</v>
      </c>
      <c r="F1697" s="959">
        <v>2</v>
      </c>
      <c r="G1697" s="959">
        <v>0</v>
      </c>
      <c r="H1697" s="959">
        <v>0</v>
      </c>
    </row>
    <row r="1698" spans="1:8">
      <c r="A1698" s="959" t="s">
        <v>3510</v>
      </c>
      <c r="B1698" s="960" t="s">
        <v>1197</v>
      </c>
      <c r="C1698" s="960" t="s">
        <v>4257</v>
      </c>
      <c r="D1698" s="960" t="s">
        <v>4258</v>
      </c>
      <c r="E1698" s="959">
        <v>0</v>
      </c>
      <c r="F1698" s="959">
        <v>1</v>
      </c>
      <c r="G1698" s="959">
        <v>0</v>
      </c>
      <c r="H1698" s="959">
        <v>0</v>
      </c>
    </row>
    <row r="1699" spans="1:8">
      <c r="A1699" s="959" t="s">
        <v>3511</v>
      </c>
      <c r="B1699" s="960" t="s">
        <v>345</v>
      </c>
      <c r="C1699" s="960" t="s">
        <v>4275</v>
      </c>
      <c r="D1699" s="960" t="s">
        <v>4276</v>
      </c>
      <c r="E1699" s="959">
        <v>0</v>
      </c>
      <c r="F1699" s="959">
        <v>4</v>
      </c>
      <c r="G1699" s="959">
        <v>0</v>
      </c>
      <c r="H1699" s="959">
        <v>0</v>
      </c>
    </row>
    <row r="1700" spans="1:8">
      <c r="A1700" s="959" t="s">
        <v>3511</v>
      </c>
      <c r="B1700" s="960" t="s">
        <v>345</v>
      </c>
      <c r="C1700" s="960" t="s">
        <v>4256</v>
      </c>
      <c r="D1700" s="960" t="s">
        <v>4259</v>
      </c>
      <c r="E1700" s="959">
        <v>0</v>
      </c>
      <c r="F1700" s="959">
        <v>1</v>
      </c>
      <c r="G1700" s="959">
        <v>0</v>
      </c>
      <c r="H1700" s="959">
        <v>0</v>
      </c>
    </row>
    <row r="1701" spans="1:8">
      <c r="A1701" s="959" t="s">
        <v>3511</v>
      </c>
      <c r="B1701" s="960" t="s">
        <v>345</v>
      </c>
      <c r="C1701" s="960" t="s">
        <v>4256</v>
      </c>
      <c r="D1701" s="960" t="s">
        <v>4260</v>
      </c>
      <c r="E1701" s="959">
        <v>0</v>
      </c>
      <c r="F1701" s="959">
        <v>0</v>
      </c>
      <c r="G1701" s="959">
        <v>0</v>
      </c>
      <c r="H1701" s="959">
        <v>1</v>
      </c>
    </row>
    <row r="1702" spans="1:8">
      <c r="A1702" s="959" t="s">
        <v>3511</v>
      </c>
      <c r="B1702" s="960" t="s">
        <v>345</v>
      </c>
      <c r="C1702" s="960" t="s">
        <v>4256</v>
      </c>
      <c r="D1702" s="960" t="s">
        <v>1906</v>
      </c>
      <c r="E1702" s="959">
        <v>0</v>
      </c>
      <c r="F1702" s="959">
        <v>1</v>
      </c>
      <c r="G1702" s="959">
        <v>0</v>
      </c>
      <c r="H1702" s="959">
        <v>0</v>
      </c>
    </row>
    <row r="1703" spans="1:8">
      <c r="A1703" s="959" t="s">
        <v>3511</v>
      </c>
      <c r="B1703" s="960" t="s">
        <v>345</v>
      </c>
      <c r="C1703" s="960" t="s">
        <v>4262</v>
      </c>
      <c r="D1703" s="960" t="s">
        <v>4263</v>
      </c>
      <c r="E1703" s="959">
        <v>0</v>
      </c>
      <c r="F1703" s="959">
        <v>4</v>
      </c>
      <c r="G1703" s="959">
        <v>0</v>
      </c>
      <c r="H1703" s="959">
        <v>0</v>
      </c>
    </row>
    <row r="1704" spans="1:8">
      <c r="A1704" s="959" t="s">
        <v>3512</v>
      </c>
      <c r="B1704" s="960" t="s">
        <v>1204</v>
      </c>
      <c r="C1704" s="960" t="s">
        <v>4256</v>
      </c>
      <c r="D1704" s="960" t="s">
        <v>4259</v>
      </c>
      <c r="E1704" s="959">
        <v>0</v>
      </c>
      <c r="F1704" s="959">
        <v>0</v>
      </c>
      <c r="G1704" s="959">
        <v>0</v>
      </c>
      <c r="H1704" s="959">
        <v>1</v>
      </c>
    </row>
    <row r="1705" spans="1:8">
      <c r="A1705" s="959" t="s">
        <v>3512</v>
      </c>
      <c r="B1705" s="960" t="s">
        <v>1204</v>
      </c>
      <c r="C1705" s="960" t="s">
        <v>4256</v>
      </c>
      <c r="D1705" s="960" t="s">
        <v>1906</v>
      </c>
      <c r="E1705" s="959">
        <v>1</v>
      </c>
      <c r="F1705" s="959">
        <v>9</v>
      </c>
      <c r="G1705" s="959">
        <v>0</v>
      </c>
      <c r="H1705" s="959">
        <v>0</v>
      </c>
    </row>
    <row r="1706" spans="1:8">
      <c r="A1706" s="959" t="s">
        <v>3512</v>
      </c>
      <c r="B1706" s="960" t="s">
        <v>1204</v>
      </c>
      <c r="C1706" s="960" t="s">
        <v>4257</v>
      </c>
      <c r="D1706" s="960" t="s">
        <v>4258</v>
      </c>
      <c r="E1706" s="959">
        <v>1</v>
      </c>
      <c r="F1706" s="959">
        <v>32</v>
      </c>
      <c r="G1706" s="959">
        <v>0</v>
      </c>
      <c r="H1706" s="959">
        <v>1</v>
      </c>
    </row>
    <row r="1707" spans="1:8">
      <c r="A1707" s="959" t="s">
        <v>3512</v>
      </c>
      <c r="B1707" s="960" t="s">
        <v>1204</v>
      </c>
      <c r="C1707" s="960" t="s">
        <v>4262</v>
      </c>
      <c r="D1707" s="960" t="s">
        <v>4263</v>
      </c>
      <c r="E1707" s="959">
        <v>24</v>
      </c>
      <c r="F1707" s="959">
        <v>623</v>
      </c>
      <c r="G1707" s="959">
        <v>0</v>
      </c>
      <c r="H1707" s="959">
        <v>0</v>
      </c>
    </row>
    <row r="1708" spans="1:8">
      <c r="A1708" s="959" t="s">
        <v>3513</v>
      </c>
      <c r="B1708" s="960" t="s">
        <v>3514</v>
      </c>
      <c r="C1708" s="960" t="s">
        <v>4256</v>
      </c>
      <c r="D1708" s="960" t="s">
        <v>470</v>
      </c>
      <c r="E1708" s="959">
        <v>0</v>
      </c>
      <c r="F1708" s="959">
        <v>0</v>
      </c>
      <c r="G1708" s="959">
        <v>1</v>
      </c>
      <c r="H1708" s="959">
        <v>62</v>
      </c>
    </row>
    <row r="1709" spans="1:8">
      <c r="A1709" s="959" t="s">
        <v>3513</v>
      </c>
      <c r="B1709" s="960" t="s">
        <v>3514</v>
      </c>
      <c r="C1709" s="960" t="s">
        <v>4256</v>
      </c>
      <c r="D1709" s="960" t="s">
        <v>1904</v>
      </c>
      <c r="E1709" s="959">
        <v>0</v>
      </c>
      <c r="F1709" s="959">
        <v>0</v>
      </c>
      <c r="G1709" s="959">
        <v>7</v>
      </c>
      <c r="H1709" s="959">
        <v>50</v>
      </c>
    </row>
    <row r="1710" spans="1:8">
      <c r="A1710" s="959" t="s">
        <v>3513</v>
      </c>
      <c r="B1710" s="960" t="s">
        <v>3514</v>
      </c>
      <c r="C1710" s="960" t="s">
        <v>4256</v>
      </c>
      <c r="D1710" s="960" t="s">
        <v>4270</v>
      </c>
      <c r="E1710" s="959">
        <v>1</v>
      </c>
      <c r="F1710" s="959">
        <v>0</v>
      </c>
      <c r="G1710" s="959">
        <v>0</v>
      </c>
      <c r="H1710" s="959">
        <v>0</v>
      </c>
    </row>
    <row r="1711" spans="1:8">
      <c r="A1711" s="959" t="s">
        <v>3513</v>
      </c>
      <c r="B1711" s="960" t="s">
        <v>3514</v>
      </c>
      <c r="C1711" s="960" t="s">
        <v>4256</v>
      </c>
      <c r="D1711" s="960" t="s">
        <v>4259</v>
      </c>
      <c r="E1711" s="959">
        <v>0</v>
      </c>
      <c r="F1711" s="959">
        <v>0</v>
      </c>
      <c r="G1711" s="959">
        <v>1</v>
      </c>
      <c r="H1711" s="959">
        <v>2</v>
      </c>
    </row>
    <row r="1712" spans="1:8">
      <c r="A1712" s="959" t="s">
        <v>3513</v>
      </c>
      <c r="B1712" s="960" t="s">
        <v>3514</v>
      </c>
      <c r="C1712" s="960" t="s">
        <v>4256</v>
      </c>
      <c r="D1712" s="960" t="s">
        <v>4260</v>
      </c>
      <c r="E1712" s="959">
        <v>0</v>
      </c>
      <c r="F1712" s="959">
        <v>0</v>
      </c>
      <c r="G1712" s="959">
        <v>3</v>
      </c>
      <c r="H1712" s="959">
        <v>42</v>
      </c>
    </row>
    <row r="1713" spans="1:8">
      <c r="A1713" s="959" t="s">
        <v>3513</v>
      </c>
      <c r="B1713" s="960" t="s">
        <v>3514</v>
      </c>
      <c r="C1713" s="960" t="s">
        <v>4256</v>
      </c>
      <c r="D1713" s="960" t="s">
        <v>1906</v>
      </c>
      <c r="E1713" s="959">
        <v>0</v>
      </c>
      <c r="F1713" s="959">
        <v>5</v>
      </c>
      <c r="G1713" s="959">
        <v>5</v>
      </c>
      <c r="H1713" s="959">
        <v>71</v>
      </c>
    </row>
    <row r="1714" spans="1:8">
      <c r="A1714" s="959" t="s">
        <v>3513</v>
      </c>
      <c r="B1714" s="960" t="s">
        <v>3514</v>
      </c>
      <c r="C1714" s="960" t="s">
        <v>4256</v>
      </c>
      <c r="D1714" s="960" t="s">
        <v>4264</v>
      </c>
      <c r="E1714" s="959">
        <v>0</v>
      </c>
      <c r="F1714" s="959">
        <v>0</v>
      </c>
      <c r="G1714" s="959">
        <v>0</v>
      </c>
      <c r="H1714" s="959">
        <v>1</v>
      </c>
    </row>
    <row r="1715" spans="1:8">
      <c r="A1715" s="959" t="s">
        <v>3513</v>
      </c>
      <c r="B1715" s="960" t="s">
        <v>3514</v>
      </c>
      <c r="C1715" s="960" t="s">
        <v>4256</v>
      </c>
      <c r="D1715" s="960" t="s">
        <v>4261</v>
      </c>
      <c r="E1715" s="959">
        <v>0</v>
      </c>
      <c r="F1715" s="959">
        <v>0</v>
      </c>
      <c r="G1715" s="959">
        <v>2</v>
      </c>
      <c r="H1715" s="959">
        <v>42</v>
      </c>
    </row>
    <row r="1716" spans="1:8">
      <c r="A1716" s="959" t="s">
        <v>3513</v>
      </c>
      <c r="B1716" s="960" t="s">
        <v>3514</v>
      </c>
      <c r="C1716" s="960" t="s">
        <v>4257</v>
      </c>
      <c r="D1716" s="960" t="s">
        <v>4258</v>
      </c>
      <c r="E1716" s="959">
        <v>0</v>
      </c>
      <c r="F1716" s="959">
        <v>2</v>
      </c>
      <c r="G1716" s="959">
        <v>1</v>
      </c>
      <c r="H1716" s="959">
        <v>10</v>
      </c>
    </row>
    <row r="1717" spans="1:8">
      <c r="A1717" s="959" t="s">
        <v>3513</v>
      </c>
      <c r="B1717" s="960" t="s">
        <v>3514</v>
      </c>
      <c r="C1717" s="960" t="s">
        <v>4262</v>
      </c>
      <c r="D1717" s="960" t="s">
        <v>4263</v>
      </c>
      <c r="E1717" s="959">
        <v>0</v>
      </c>
      <c r="F1717" s="959">
        <v>4</v>
      </c>
      <c r="G1717" s="959">
        <v>0</v>
      </c>
      <c r="H1717" s="959">
        <v>54</v>
      </c>
    </row>
    <row r="1718" spans="1:8">
      <c r="A1718" s="959" t="s">
        <v>3513</v>
      </c>
      <c r="B1718" s="960" t="s">
        <v>3514</v>
      </c>
      <c r="C1718" s="960" t="s">
        <v>4267</v>
      </c>
      <c r="D1718" s="960" t="s">
        <v>4268</v>
      </c>
      <c r="E1718" s="959">
        <v>0</v>
      </c>
      <c r="F1718" s="959">
        <v>0</v>
      </c>
      <c r="G1718" s="959">
        <v>0</v>
      </c>
      <c r="H1718" s="959">
        <v>5</v>
      </c>
    </row>
    <row r="1719" spans="1:8">
      <c r="A1719" s="959" t="s">
        <v>3515</v>
      </c>
      <c r="B1719" s="960" t="s">
        <v>3516</v>
      </c>
      <c r="C1719" s="960" t="s">
        <v>4275</v>
      </c>
      <c r="D1719" s="960" t="s">
        <v>4276</v>
      </c>
      <c r="E1719" s="959">
        <v>0</v>
      </c>
      <c r="F1719" s="959">
        <v>6</v>
      </c>
      <c r="G1719" s="959">
        <v>0</v>
      </c>
      <c r="H1719" s="959">
        <v>0</v>
      </c>
    </row>
    <row r="1720" spans="1:8">
      <c r="A1720" s="959" t="s">
        <v>3515</v>
      </c>
      <c r="B1720" s="960" t="s">
        <v>3516</v>
      </c>
      <c r="C1720" s="960" t="s">
        <v>4256</v>
      </c>
      <c r="D1720" s="960" t="s">
        <v>4259</v>
      </c>
      <c r="E1720" s="959">
        <v>0</v>
      </c>
      <c r="F1720" s="959">
        <v>0</v>
      </c>
      <c r="G1720" s="959">
        <v>0</v>
      </c>
      <c r="H1720" s="959">
        <v>4</v>
      </c>
    </row>
    <row r="1721" spans="1:8">
      <c r="A1721" s="959" t="s">
        <v>3515</v>
      </c>
      <c r="B1721" s="960" t="s">
        <v>3516</v>
      </c>
      <c r="C1721" s="960" t="s">
        <v>4256</v>
      </c>
      <c r="D1721" s="960" t="s">
        <v>1906</v>
      </c>
      <c r="E1721" s="959">
        <v>0</v>
      </c>
      <c r="F1721" s="959">
        <v>5</v>
      </c>
      <c r="G1721" s="959">
        <v>0</v>
      </c>
      <c r="H1721" s="959">
        <v>0</v>
      </c>
    </row>
    <row r="1722" spans="1:8">
      <c r="A1722" s="959" t="s">
        <v>3515</v>
      </c>
      <c r="B1722" s="960" t="s">
        <v>3516</v>
      </c>
      <c r="C1722" s="960" t="s">
        <v>4256</v>
      </c>
      <c r="D1722" s="960" t="s">
        <v>1907</v>
      </c>
      <c r="E1722" s="959">
        <v>0</v>
      </c>
      <c r="F1722" s="959">
        <v>1</v>
      </c>
      <c r="G1722" s="959">
        <v>15</v>
      </c>
      <c r="H1722" s="959">
        <v>193</v>
      </c>
    </row>
    <row r="1723" spans="1:8">
      <c r="A1723" s="959" t="s">
        <v>3515</v>
      </c>
      <c r="B1723" s="960" t="s">
        <v>3516</v>
      </c>
      <c r="C1723" s="960" t="s">
        <v>4257</v>
      </c>
      <c r="D1723" s="960" t="s">
        <v>4258</v>
      </c>
      <c r="E1723" s="959">
        <v>0</v>
      </c>
      <c r="F1723" s="959">
        <v>7</v>
      </c>
      <c r="G1723" s="959">
        <v>0</v>
      </c>
      <c r="H1723" s="959">
        <v>8</v>
      </c>
    </row>
    <row r="1724" spans="1:8">
      <c r="A1724" s="959" t="s">
        <v>3515</v>
      </c>
      <c r="B1724" s="960" t="s">
        <v>3516</v>
      </c>
      <c r="C1724" s="960" t="s">
        <v>4262</v>
      </c>
      <c r="D1724" s="960" t="s">
        <v>4263</v>
      </c>
      <c r="E1724" s="959">
        <v>1</v>
      </c>
      <c r="F1724" s="959">
        <v>0</v>
      </c>
      <c r="G1724" s="959">
        <v>0</v>
      </c>
      <c r="H1724" s="959">
        <v>0</v>
      </c>
    </row>
    <row r="1725" spans="1:8">
      <c r="A1725" s="959" t="s">
        <v>3517</v>
      </c>
      <c r="B1725" s="960" t="s">
        <v>3518</v>
      </c>
      <c r="C1725" s="960" t="s">
        <v>4256</v>
      </c>
      <c r="D1725" s="960" t="s">
        <v>470</v>
      </c>
      <c r="E1725" s="959">
        <v>0</v>
      </c>
      <c r="F1725" s="959">
        <v>0</v>
      </c>
      <c r="G1725" s="959">
        <v>31</v>
      </c>
      <c r="H1725" s="959">
        <v>264</v>
      </c>
    </row>
    <row r="1726" spans="1:8">
      <c r="A1726" s="959" t="s">
        <v>3517</v>
      </c>
      <c r="B1726" s="960" t="s">
        <v>3518</v>
      </c>
      <c r="C1726" s="960" t="s">
        <v>4256</v>
      </c>
      <c r="D1726" s="960" t="s">
        <v>1904</v>
      </c>
      <c r="E1726" s="959">
        <v>0</v>
      </c>
      <c r="F1726" s="959">
        <v>0</v>
      </c>
      <c r="G1726" s="959">
        <v>2</v>
      </c>
      <c r="H1726" s="959">
        <v>177</v>
      </c>
    </row>
    <row r="1727" spans="1:8">
      <c r="A1727" s="959" t="s">
        <v>3517</v>
      </c>
      <c r="B1727" s="960" t="s">
        <v>3518</v>
      </c>
      <c r="C1727" s="960" t="s">
        <v>4256</v>
      </c>
      <c r="D1727" s="960" t="s">
        <v>4260</v>
      </c>
      <c r="E1727" s="959">
        <v>0</v>
      </c>
      <c r="F1727" s="959">
        <v>0</v>
      </c>
      <c r="G1727" s="959">
        <v>3</v>
      </c>
      <c r="H1727" s="959">
        <v>41</v>
      </c>
    </row>
    <row r="1728" spans="1:8">
      <c r="A1728" s="959" t="s">
        <v>3517</v>
      </c>
      <c r="B1728" s="960" t="s">
        <v>3518</v>
      </c>
      <c r="C1728" s="960" t="s">
        <v>4256</v>
      </c>
      <c r="D1728" s="960" t="s">
        <v>1906</v>
      </c>
      <c r="E1728" s="959">
        <v>0</v>
      </c>
      <c r="F1728" s="959">
        <v>2</v>
      </c>
      <c r="G1728" s="959">
        <v>0</v>
      </c>
      <c r="H1728" s="959">
        <v>1</v>
      </c>
    </row>
    <row r="1729" spans="1:8">
      <c r="A1729" s="959" t="s">
        <v>3517</v>
      </c>
      <c r="B1729" s="960" t="s">
        <v>3518</v>
      </c>
      <c r="C1729" s="960" t="s">
        <v>4256</v>
      </c>
      <c r="D1729" s="960" t="s">
        <v>4264</v>
      </c>
      <c r="E1729" s="959">
        <v>0</v>
      </c>
      <c r="F1729" s="959">
        <v>0</v>
      </c>
      <c r="G1729" s="959">
        <v>0</v>
      </c>
      <c r="H1729" s="959">
        <v>6</v>
      </c>
    </row>
    <row r="1730" spans="1:8">
      <c r="A1730" s="959" t="s">
        <v>3517</v>
      </c>
      <c r="B1730" s="960" t="s">
        <v>3518</v>
      </c>
      <c r="C1730" s="960" t="s">
        <v>4256</v>
      </c>
      <c r="D1730" s="960" t="s">
        <v>4261</v>
      </c>
      <c r="E1730" s="959">
        <v>0</v>
      </c>
      <c r="F1730" s="959">
        <v>0</v>
      </c>
      <c r="G1730" s="959">
        <v>2</v>
      </c>
      <c r="H1730" s="959">
        <v>45</v>
      </c>
    </row>
    <row r="1731" spans="1:8">
      <c r="A1731" s="959" t="s">
        <v>3517</v>
      </c>
      <c r="B1731" s="960" t="s">
        <v>3518</v>
      </c>
      <c r="C1731" s="960" t="s">
        <v>4257</v>
      </c>
      <c r="D1731" s="960" t="s">
        <v>4258</v>
      </c>
      <c r="E1731" s="959">
        <v>0</v>
      </c>
      <c r="F1731" s="959">
        <v>1</v>
      </c>
      <c r="G1731" s="959">
        <v>0</v>
      </c>
      <c r="H1731" s="959">
        <v>1</v>
      </c>
    </row>
    <row r="1732" spans="1:8">
      <c r="A1732" s="959" t="s">
        <v>3519</v>
      </c>
      <c r="B1732" s="960" t="s">
        <v>3520</v>
      </c>
      <c r="C1732" s="960" t="s">
        <v>4275</v>
      </c>
      <c r="D1732" s="960" t="s">
        <v>4276</v>
      </c>
      <c r="E1732" s="959">
        <v>0</v>
      </c>
      <c r="F1732" s="959">
        <v>1</v>
      </c>
      <c r="G1732" s="959">
        <v>0</v>
      </c>
      <c r="H1732" s="959">
        <v>0</v>
      </c>
    </row>
    <row r="1733" spans="1:8">
      <c r="A1733" s="959" t="s">
        <v>3519</v>
      </c>
      <c r="B1733" s="960" t="s">
        <v>3520</v>
      </c>
      <c r="C1733" s="960" t="s">
        <v>4277</v>
      </c>
      <c r="D1733" s="960" t="s">
        <v>4278</v>
      </c>
      <c r="E1733" s="959">
        <v>0</v>
      </c>
      <c r="F1733" s="959">
        <v>0</v>
      </c>
      <c r="G1733" s="959">
        <v>0</v>
      </c>
      <c r="H1733" s="959">
        <v>5</v>
      </c>
    </row>
    <row r="1734" spans="1:8">
      <c r="A1734" s="959" t="s">
        <v>3519</v>
      </c>
      <c r="B1734" s="960" t="s">
        <v>3520</v>
      </c>
      <c r="C1734" s="960" t="s">
        <v>4277</v>
      </c>
      <c r="D1734" s="960" t="s">
        <v>4279</v>
      </c>
      <c r="E1734" s="959">
        <v>0</v>
      </c>
      <c r="F1734" s="959">
        <v>0</v>
      </c>
      <c r="G1734" s="959">
        <v>0</v>
      </c>
      <c r="H1734" s="959">
        <v>44</v>
      </c>
    </row>
    <row r="1735" spans="1:8">
      <c r="A1735" s="959" t="s">
        <v>3519</v>
      </c>
      <c r="B1735" s="960" t="s">
        <v>3520</v>
      </c>
      <c r="C1735" s="960" t="s">
        <v>4256</v>
      </c>
      <c r="D1735" s="960" t="s">
        <v>1904</v>
      </c>
      <c r="E1735" s="959">
        <v>0</v>
      </c>
      <c r="F1735" s="959">
        <v>0</v>
      </c>
      <c r="G1735" s="959">
        <v>1</v>
      </c>
      <c r="H1735" s="959">
        <v>5</v>
      </c>
    </row>
    <row r="1736" spans="1:8">
      <c r="A1736" s="959" t="s">
        <v>3519</v>
      </c>
      <c r="B1736" s="960" t="s">
        <v>3520</v>
      </c>
      <c r="C1736" s="960" t="s">
        <v>4256</v>
      </c>
      <c r="D1736" s="960" t="s">
        <v>4270</v>
      </c>
      <c r="E1736" s="959">
        <v>0</v>
      </c>
      <c r="F1736" s="959">
        <v>0</v>
      </c>
      <c r="G1736" s="959">
        <v>5</v>
      </c>
      <c r="H1736" s="959">
        <v>19</v>
      </c>
    </row>
    <row r="1737" spans="1:8">
      <c r="A1737" s="959" t="s">
        <v>3519</v>
      </c>
      <c r="B1737" s="960" t="s">
        <v>3520</v>
      </c>
      <c r="C1737" s="960" t="s">
        <v>4256</v>
      </c>
      <c r="D1737" s="960" t="s">
        <v>4259</v>
      </c>
      <c r="E1737" s="959">
        <v>0</v>
      </c>
      <c r="F1737" s="959">
        <v>4</v>
      </c>
      <c r="G1737" s="959">
        <v>19</v>
      </c>
      <c r="H1737" s="959">
        <v>87</v>
      </c>
    </row>
    <row r="1738" spans="1:8">
      <c r="A1738" s="959" t="s">
        <v>3519</v>
      </c>
      <c r="B1738" s="960" t="s">
        <v>3520</v>
      </c>
      <c r="C1738" s="960" t="s">
        <v>4256</v>
      </c>
      <c r="D1738" s="960" t="s">
        <v>4260</v>
      </c>
      <c r="E1738" s="959">
        <v>0</v>
      </c>
      <c r="F1738" s="959">
        <v>0</v>
      </c>
      <c r="G1738" s="959">
        <v>5</v>
      </c>
      <c r="H1738" s="959">
        <v>79</v>
      </c>
    </row>
    <row r="1739" spans="1:8">
      <c r="A1739" s="959" t="s">
        <v>3519</v>
      </c>
      <c r="B1739" s="960" t="s">
        <v>3520</v>
      </c>
      <c r="C1739" s="960" t="s">
        <v>4256</v>
      </c>
      <c r="D1739" s="960" t="s">
        <v>4265</v>
      </c>
      <c r="E1739" s="959">
        <v>0</v>
      </c>
      <c r="F1739" s="959">
        <v>1</v>
      </c>
      <c r="G1739" s="959">
        <v>0</v>
      </c>
      <c r="H1739" s="959">
        <v>13</v>
      </c>
    </row>
    <row r="1740" spans="1:8">
      <c r="A1740" s="959" t="s">
        <v>3519</v>
      </c>
      <c r="B1740" s="960" t="s">
        <v>3520</v>
      </c>
      <c r="C1740" s="960" t="s">
        <v>4256</v>
      </c>
      <c r="D1740" s="960" t="s">
        <v>1906</v>
      </c>
      <c r="E1740" s="959">
        <v>3</v>
      </c>
      <c r="F1740" s="959">
        <v>41</v>
      </c>
      <c r="G1740" s="959">
        <v>2</v>
      </c>
      <c r="H1740" s="959">
        <v>27</v>
      </c>
    </row>
    <row r="1741" spans="1:8">
      <c r="A1741" s="959" t="s">
        <v>3519</v>
      </c>
      <c r="B1741" s="960" t="s">
        <v>3520</v>
      </c>
      <c r="C1741" s="960" t="s">
        <v>4256</v>
      </c>
      <c r="D1741" s="960" t="s">
        <v>4261</v>
      </c>
      <c r="E1741" s="959">
        <v>0</v>
      </c>
      <c r="F1741" s="959">
        <v>0</v>
      </c>
      <c r="G1741" s="959">
        <v>2</v>
      </c>
      <c r="H1741" s="959">
        <v>30</v>
      </c>
    </row>
    <row r="1742" spans="1:8">
      <c r="A1742" s="959" t="s">
        <v>3519</v>
      </c>
      <c r="B1742" s="960" t="s">
        <v>3520</v>
      </c>
      <c r="C1742" s="960" t="s">
        <v>4256</v>
      </c>
      <c r="D1742" s="960" t="s">
        <v>4273</v>
      </c>
      <c r="E1742" s="959">
        <v>0</v>
      </c>
      <c r="F1742" s="959">
        <v>0</v>
      </c>
      <c r="G1742" s="959">
        <v>0</v>
      </c>
      <c r="H1742" s="959">
        <v>1</v>
      </c>
    </row>
    <row r="1743" spans="1:8">
      <c r="A1743" s="959" t="s">
        <v>3519</v>
      </c>
      <c r="B1743" s="960" t="s">
        <v>3520</v>
      </c>
      <c r="C1743" s="960" t="s">
        <v>4257</v>
      </c>
      <c r="D1743" s="960" t="s">
        <v>4258</v>
      </c>
      <c r="E1743" s="959">
        <v>21</v>
      </c>
      <c r="F1743" s="959">
        <v>120</v>
      </c>
      <c r="G1743" s="959">
        <v>5</v>
      </c>
      <c r="H1743" s="959">
        <v>75</v>
      </c>
    </row>
    <row r="1744" spans="1:8">
      <c r="A1744" s="959" t="s">
        <v>3519</v>
      </c>
      <c r="B1744" s="960" t="s">
        <v>3520</v>
      </c>
      <c r="C1744" s="960" t="s">
        <v>4262</v>
      </c>
      <c r="D1744" s="960" t="s">
        <v>4263</v>
      </c>
      <c r="E1744" s="959">
        <v>2</v>
      </c>
      <c r="F1744" s="959">
        <v>50</v>
      </c>
      <c r="G1744" s="959">
        <v>0</v>
      </c>
      <c r="H1744" s="959">
        <v>16</v>
      </c>
    </row>
    <row r="1745" spans="1:8">
      <c r="A1745" s="959" t="s">
        <v>3519</v>
      </c>
      <c r="B1745" s="960" t="s">
        <v>3520</v>
      </c>
      <c r="C1745" s="960" t="s">
        <v>4267</v>
      </c>
      <c r="D1745" s="960" t="s">
        <v>4268</v>
      </c>
      <c r="E1745" s="959">
        <v>0</v>
      </c>
      <c r="F1745" s="959">
        <v>0</v>
      </c>
      <c r="G1745" s="959">
        <v>0</v>
      </c>
      <c r="H1745" s="959">
        <v>8</v>
      </c>
    </row>
    <row r="1746" spans="1:8">
      <c r="A1746" s="959" t="s">
        <v>4304</v>
      </c>
      <c r="B1746" s="960" t="s">
        <v>4305</v>
      </c>
      <c r="C1746" s="960" t="s">
        <v>4256</v>
      </c>
      <c r="D1746" s="960" t="s">
        <v>4270</v>
      </c>
      <c r="E1746" s="959">
        <v>0</v>
      </c>
      <c r="F1746" s="959">
        <v>0</v>
      </c>
      <c r="G1746" s="959">
        <v>1</v>
      </c>
      <c r="H1746" s="959">
        <v>1</v>
      </c>
    </row>
    <row r="1747" spans="1:8">
      <c r="A1747" s="959" t="s">
        <v>4304</v>
      </c>
      <c r="B1747" s="960" t="s">
        <v>4305</v>
      </c>
      <c r="C1747" s="960" t="s">
        <v>4256</v>
      </c>
      <c r="D1747" s="960" t="s">
        <v>4259</v>
      </c>
      <c r="E1747" s="959">
        <v>0</v>
      </c>
      <c r="F1747" s="959">
        <v>0</v>
      </c>
      <c r="G1747" s="959">
        <v>0</v>
      </c>
      <c r="H1747" s="959">
        <v>4</v>
      </c>
    </row>
    <row r="1748" spans="1:8">
      <c r="A1748" s="959" t="s">
        <v>4304</v>
      </c>
      <c r="B1748" s="960" t="s">
        <v>4305</v>
      </c>
      <c r="C1748" s="960" t="s">
        <v>4256</v>
      </c>
      <c r="D1748" s="960" t="s">
        <v>4260</v>
      </c>
      <c r="E1748" s="959">
        <v>0</v>
      </c>
      <c r="F1748" s="959">
        <v>0</v>
      </c>
      <c r="G1748" s="959">
        <v>1</v>
      </c>
      <c r="H1748" s="959">
        <v>11</v>
      </c>
    </row>
    <row r="1749" spans="1:8">
      <c r="A1749" s="959" t="s">
        <v>4304</v>
      </c>
      <c r="B1749" s="960" t="s">
        <v>4305</v>
      </c>
      <c r="C1749" s="960" t="s">
        <v>4256</v>
      </c>
      <c r="D1749" s="960" t="s">
        <v>4265</v>
      </c>
      <c r="E1749" s="959">
        <v>0</v>
      </c>
      <c r="F1749" s="959">
        <v>0</v>
      </c>
      <c r="G1749" s="959">
        <v>0</v>
      </c>
      <c r="H1749" s="959">
        <v>1</v>
      </c>
    </row>
    <row r="1750" spans="1:8">
      <c r="A1750" s="959" t="s">
        <v>4304</v>
      </c>
      <c r="B1750" s="960" t="s">
        <v>4305</v>
      </c>
      <c r="C1750" s="960" t="s">
        <v>4256</v>
      </c>
      <c r="D1750" s="960" t="s">
        <v>1906</v>
      </c>
      <c r="E1750" s="959">
        <v>4</v>
      </c>
      <c r="F1750" s="959">
        <v>53</v>
      </c>
      <c r="G1750" s="959">
        <v>0</v>
      </c>
      <c r="H1750" s="959">
        <v>5</v>
      </c>
    </row>
    <row r="1751" spans="1:8">
      <c r="A1751" s="959" t="s">
        <v>4304</v>
      </c>
      <c r="B1751" s="960" t="s">
        <v>4305</v>
      </c>
      <c r="C1751" s="960" t="s">
        <v>4257</v>
      </c>
      <c r="D1751" s="960" t="s">
        <v>4258</v>
      </c>
      <c r="E1751" s="959">
        <v>4</v>
      </c>
      <c r="F1751" s="959">
        <v>107</v>
      </c>
      <c r="G1751" s="959">
        <v>2</v>
      </c>
      <c r="H1751" s="959">
        <v>46</v>
      </c>
    </row>
    <row r="1752" spans="1:8">
      <c r="A1752" s="959" t="s">
        <v>4304</v>
      </c>
      <c r="B1752" s="960" t="s">
        <v>4305</v>
      </c>
      <c r="C1752" s="960" t="s">
        <v>4262</v>
      </c>
      <c r="D1752" s="960" t="s">
        <v>4263</v>
      </c>
      <c r="E1752" s="959">
        <v>3</v>
      </c>
      <c r="F1752" s="959">
        <v>253</v>
      </c>
      <c r="G1752" s="959">
        <v>2</v>
      </c>
      <c r="H1752" s="959">
        <v>18</v>
      </c>
    </row>
    <row r="1753" spans="1:8">
      <c r="A1753" s="959" t="s">
        <v>3523</v>
      </c>
      <c r="B1753" s="960" t="s">
        <v>1208</v>
      </c>
      <c r="C1753" s="960" t="s">
        <v>4256</v>
      </c>
      <c r="D1753" s="960" t="s">
        <v>470</v>
      </c>
      <c r="E1753" s="959">
        <v>0</v>
      </c>
      <c r="F1753" s="959">
        <v>0</v>
      </c>
      <c r="G1753" s="959">
        <v>0</v>
      </c>
      <c r="H1753" s="959">
        <v>1</v>
      </c>
    </row>
    <row r="1754" spans="1:8">
      <c r="A1754" s="959" t="s">
        <v>3523</v>
      </c>
      <c r="B1754" s="960" t="s">
        <v>1208</v>
      </c>
      <c r="C1754" s="960" t="s">
        <v>4256</v>
      </c>
      <c r="D1754" s="960" t="s">
        <v>1904</v>
      </c>
      <c r="E1754" s="959">
        <v>0</v>
      </c>
      <c r="F1754" s="959">
        <v>0</v>
      </c>
      <c r="G1754" s="959">
        <v>0</v>
      </c>
      <c r="H1754" s="959">
        <v>1</v>
      </c>
    </row>
    <row r="1755" spans="1:8">
      <c r="A1755" s="959" t="s">
        <v>3523</v>
      </c>
      <c r="B1755" s="960" t="s">
        <v>1208</v>
      </c>
      <c r="C1755" s="960" t="s">
        <v>4256</v>
      </c>
      <c r="D1755" s="960" t="s">
        <v>4259</v>
      </c>
      <c r="E1755" s="959">
        <v>0</v>
      </c>
      <c r="F1755" s="959">
        <v>2</v>
      </c>
      <c r="G1755" s="959">
        <v>0</v>
      </c>
      <c r="H1755" s="959">
        <v>2</v>
      </c>
    </row>
    <row r="1756" spans="1:8">
      <c r="A1756" s="959" t="s">
        <v>3523</v>
      </c>
      <c r="B1756" s="960" t="s">
        <v>1208</v>
      </c>
      <c r="C1756" s="960" t="s">
        <v>4256</v>
      </c>
      <c r="D1756" s="960" t="s">
        <v>4260</v>
      </c>
      <c r="E1756" s="959">
        <v>0</v>
      </c>
      <c r="F1756" s="959">
        <v>0</v>
      </c>
      <c r="G1756" s="959">
        <v>0</v>
      </c>
      <c r="H1756" s="959">
        <v>3</v>
      </c>
    </row>
    <row r="1757" spans="1:8">
      <c r="A1757" s="959" t="s">
        <v>3523</v>
      </c>
      <c r="B1757" s="960" t="s">
        <v>1208</v>
      </c>
      <c r="C1757" s="960" t="s">
        <v>4256</v>
      </c>
      <c r="D1757" s="960" t="s">
        <v>4265</v>
      </c>
      <c r="E1757" s="959">
        <v>0</v>
      </c>
      <c r="F1757" s="959">
        <v>0</v>
      </c>
      <c r="G1757" s="959">
        <v>0</v>
      </c>
      <c r="H1757" s="959">
        <v>2</v>
      </c>
    </row>
    <row r="1758" spans="1:8">
      <c r="A1758" s="959" t="s">
        <v>3523</v>
      </c>
      <c r="B1758" s="960" t="s">
        <v>1208</v>
      </c>
      <c r="C1758" s="960" t="s">
        <v>4257</v>
      </c>
      <c r="D1758" s="960" t="s">
        <v>4258</v>
      </c>
      <c r="E1758" s="959">
        <v>0</v>
      </c>
      <c r="F1758" s="959">
        <v>0</v>
      </c>
      <c r="G1758" s="959">
        <v>0</v>
      </c>
      <c r="H1758" s="959">
        <v>5</v>
      </c>
    </row>
    <row r="1759" spans="1:8">
      <c r="A1759" s="959" t="s">
        <v>3523</v>
      </c>
      <c r="B1759" s="960" t="s">
        <v>1208</v>
      </c>
      <c r="C1759" s="960" t="s">
        <v>4267</v>
      </c>
      <c r="D1759" s="960" t="s">
        <v>4268</v>
      </c>
      <c r="E1759" s="959">
        <v>0</v>
      </c>
      <c r="F1759" s="959">
        <v>0</v>
      </c>
      <c r="G1759" s="959">
        <v>0</v>
      </c>
      <c r="H1759" s="959">
        <v>1</v>
      </c>
    </row>
    <row r="1760" spans="1:8">
      <c r="A1760" s="959" t="s">
        <v>3524</v>
      </c>
      <c r="B1760" s="960" t="s">
        <v>3525</v>
      </c>
      <c r="C1760" s="960" t="s">
        <v>4256</v>
      </c>
      <c r="D1760" s="960" t="s">
        <v>470</v>
      </c>
      <c r="E1760" s="959">
        <v>0</v>
      </c>
      <c r="F1760" s="959">
        <v>0</v>
      </c>
      <c r="G1760" s="959">
        <v>3</v>
      </c>
      <c r="H1760" s="959">
        <v>68</v>
      </c>
    </row>
    <row r="1761" spans="1:8">
      <c r="A1761" s="959" t="s">
        <v>3524</v>
      </c>
      <c r="B1761" s="960" t="s">
        <v>3525</v>
      </c>
      <c r="C1761" s="960" t="s">
        <v>4256</v>
      </c>
      <c r="D1761" s="960" t="s">
        <v>1904</v>
      </c>
      <c r="E1761" s="959">
        <v>0</v>
      </c>
      <c r="F1761" s="959">
        <v>0</v>
      </c>
      <c r="G1761" s="959">
        <v>0</v>
      </c>
      <c r="H1761" s="959">
        <v>21</v>
      </c>
    </row>
    <row r="1762" spans="1:8">
      <c r="A1762" s="959" t="s">
        <v>3524</v>
      </c>
      <c r="B1762" s="960" t="s">
        <v>3525</v>
      </c>
      <c r="C1762" s="960" t="s">
        <v>4256</v>
      </c>
      <c r="D1762" s="960" t="s">
        <v>4260</v>
      </c>
      <c r="E1762" s="959">
        <v>0</v>
      </c>
      <c r="F1762" s="959">
        <v>0</v>
      </c>
      <c r="G1762" s="959">
        <v>0</v>
      </c>
      <c r="H1762" s="959">
        <v>8</v>
      </c>
    </row>
    <row r="1763" spans="1:8">
      <c r="A1763" s="959" t="s">
        <v>3524</v>
      </c>
      <c r="B1763" s="960" t="s">
        <v>3525</v>
      </c>
      <c r="C1763" s="960" t="s">
        <v>4256</v>
      </c>
      <c r="D1763" s="960" t="s">
        <v>4261</v>
      </c>
      <c r="E1763" s="959">
        <v>0</v>
      </c>
      <c r="F1763" s="959">
        <v>0</v>
      </c>
      <c r="G1763" s="959">
        <v>0</v>
      </c>
      <c r="H1763" s="959">
        <v>4</v>
      </c>
    </row>
    <row r="1764" spans="1:8">
      <c r="A1764" s="959" t="s">
        <v>3526</v>
      </c>
      <c r="B1764" s="960" t="s">
        <v>3527</v>
      </c>
      <c r="C1764" s="960" t="s">
        <v>4257</v>
      </c>
      <c r="D1764" s="960" t="s">
        <v>4258</v>
      </c>
      <c r="E1764" s="959">
        <v>1</v>
      </c>
      <c r="F1764" s="959">
        <v>35</v>
      </c>
      <c r="G1764" s="959">
        <v>0</v>
      </c>
      <c r="H1764" s="959">
        <v>0</v>
      </c>
    </row>
    <row r="1765" spans="1:8">
      <c r="A1765" s="959" t="s">
        <v>3526</v>
      </c>
      <c r="B1765" s="960" t="s">
        <v>3527</v>
      </c>
      <c r="C1765" s="960" t="s">
        <v>4262</v>
      </c>
      <c r="D1765" s="960" t="s">
        <v>4263</v>
      </c>
      <c r="E1765" s="959">
        <v>3</v>
      </c>
      <c r="F1765" s="959">
        <v>59</v>
      </c>
      <c r="G1765" s="959">
        <v>0</v>
      </c>
      <c r="H1765" s="959">
        <v>0</v>
      </c>
    </row>
    <row r="1766" spans="1:8">
      <c r="A1766" s="959" t="s">
        <v>3528</v>
      </c>
      <c r="B1766" s="960" t="s">
        <v>1214</v>
      </c>
      <c r="C1766" s="960" t="s">
        <v>4256</v>
      </c>
      <c r="D1766" s="960" t="s">
        <v>470</v>
      </c>
      <c r="E1766" s="959">
        <v>0</v>
      </c>
      <c r="F1766" s="959">
        <v>1</v>
      </c>
      <c r="G1766" s="959">
        <v>0</v>
      </c>
      <c r="H1766" s="959">
        <v>0</v>
      </c>
    </row>
    <row r="1767" spans="1:8">
      <c r="A1767" s="959" t="s">
        <v>3528</v>
      </c>
      <c r="B1767" s="960" t="s">
        <v>1214</v>
      </c>
      <c r="C1767" s="960" t="s">
        <v>4262</v>
      </c>
      <c r="D1767" s="960" t="s">
        <v>4263</v>
      </c>
      <c r="E1767" s="959">
        <v>0</v>
      </c>
      <c r="F1767" s="959">
        <v>1</v>
      </c>
      <c r="G1767" s="959">
        <v>0</v>
      </c>
      <c r="H1767" s="959">
        <v>0</v>
      </c>
    </row>
    <row r="1768" spans="1:8">
      <c r="A1768" s="959" t="s">
        <v>3529</v>
      </c>
      <c r="B1768" s="960" t="s">
        <v>1230</v>
      </c>
      <c r="C1768" s="960" t="s">
        <v>4257</v>
      </c>
      <c r="D1768" s="960" t="s">
        <v>4258</v>
      </c>
      <c r="E1768" s="959">
        <v>0</v>
      </c>
      <c r="F1768" s="959">
        <v>1</v>
      </c>
      <c r="G1768" s="959">
        <v>0</v>
      </c>
      <c r="H1768" s="959">
        <v>0</v>
      </c>
    </row>
    <row r="1769" spans="1:8">
      <c r="A1769" s="959" t="s">
        <v>3530</v>
      </c>
      <c r="B1769" s="960" t="s">
        <v>1227</v>
      </c>
      <c r="C1769" s="960" t="s">
        <v>4256</v>
      </c>
      <c r="D1769" s="960" t="s">
        <v>4270</v>
      </c>
      <c r="E1769" s="959">
        <v>0</v>
      </c>
      <c r="F1769" s="959">
        <v>0</v>
      </c>
      <c r="G1769" s="959">
        <v>0</v>
      </c>
      <c r="H1769" s="959">
        <v>1</v>
      </c>
    </row>
    <row r="1770" spans="1:8">
      <c r="A1770" s="959" t="s">
        <v>3530</v>
      </c>
      <c r="B1770" s="960" t="s">
        <v>1227</v>
      </c>
      <c r="C1770" s="960" t="s">
        <v>4256</v>
      </c>
      <c r="D1770" s="960" t="s">
        <v>4259</v>
      </c>
      <c r="E1770" s="959">
        <v>0</v>
      </c>
      <c r="F1770" s="959">
        <v>0</v>
      </c>
      <c r="G1770" s="959">
        <v>0</v>
      </c>
      <c r="H1770" s="959">
        <v>1</v>
      </c>
    </row>
    <row r="1771" spans="1:8">
      <c r="A1771" s="959" t="s">
        <v>3530</v>
      </c>
      <c r="B1771" s="960" t="s">
        <v>1227</v>
      </c>
      <c r="C1771" s="960" t="s">
        <v>4256</v>
      </c>
      <c r="D1771" s="960" t="s">
        <v>4260</v>
      </c>
      <c r="E1771" s="959">
        <v>0</v>
      </c>
      <c r="F1771" s="959">
        <v>0</v>
      </c>
      <c r="G1771" s="959">
        <v>0</v>
      </c>
      <c r="H1771" s="959">
        <v>1</v>
      </c>
    </row>
    <row r="1772" spans="1:8">
      <c r="A1772" s="959" t="s">
        <v>3530</v>
      </c>
      <c r="B1772" s="960" t="s">
        <v>1227</v>
      </c>
      <c r="C1772" s="960" t="s">
        <v>4256</v>
      </c>
      <c r="D1772" s="960" t="s">
        <v>1906</v>
      </c>
      <c r="E1772" s="959">
        <v>0</v>
      </c>
      <c r="F1772" s="959">
        <v>2</v>
      </c>
      <c r="G1772" s="959">
        <v>0</v>
      </c>
      <c r="H1772" s="959">
        <v>0</v>
      </c>
    </row>
    <row r="1773" spans="1:8">
      <c r="A1773" s="959" t="s">
        <v>3530</v>
      </c>
      <c r="B1773" s="960" t="s">
        <v>1227</v>
      </c>
      <c r="C1773" s="960" t="s">
        <v>4257</v>
      </c>
      <c r="D1773" s="960" t="s">
        <v>4258</v>
      </c>
      <c r="E1773" s="959">
        <v>0</v>
      </c>
      <c r="F1773" s="959">
        <v>3</v>
      </c>
      <c r="G1773" s="959">
        <v>0</v>
      </c>
      <c r="H1773" s="959">
        <v>0</v>
      </c>
    </row>
    <row r="1774" spans="1:8">
      <c r="A1774" s="959" t="s">
        <v>3531</v>
      </c>
      <c r="B1774" s="960" t="s">
        <v>3532</v>
      </c>
      <c r="C1774" s="960" t="s">
        <v>4256</v>
      </c>
      <c r="D1774" s="960" t="s">
        <v>470</v>
      </c>
      <c r="E1774" s="959">
        <v>0</v>
      </c>
      <c r="F1774" s="959">
        <v>0</v>
      </c>
      <c r="G1774" s="959">
        <v>0</v>
      </c>
      <c r="H1774" s="959">
        <v>1</v>
      </c>
    </row>
    <row r="1775" spans="1:8">
      <c r="A1775" s="959" t="s">
        <v>3531</v>
      </c>
      <c r="B1775" s="960" t="s">
        <v>3532</v>
      </c>
      <c r="C1775" s="960" t="s">
        <v>4256</v>
      </c>
      <c r="D1775" s="960" t="s">
        <v>4259</v>
      </c>
      <c r="E1775" s="959">
        <v>0</v>
      </c>
      <c r="F1775" s="959">
        <v>0</v>
      </c>
      <c r="G1775" s="959">
        <v>0</v>
      </c>
      <c r="H1775" s="959">
        <v>2</v>
      </c>
    </row>
    <row r="1776" spans="1:8">
      <c r="A1776" s="959" t="s">
        <v>3531</v>
      </c>
      <c r="B1776" s="960" t="s">
        <v>3532</v>
      </c>
      <c r="C1776" s="960" t="s">
        <v>4256</v>
      </c>
      <c r="D1776" s="960" t="s">
        <v>1906</v>
      </c>
      <c r="E1776" s="959">
        <v>5</v>
      </c>
      <c r="F1776" s="959">
        <v>34</v>
      </c>
      <c r="G1776" s="959">
        <v>0</v>
      </c>
      <c r="H1776" s="959">
        <v>1</v>
      </c>
    </row>
    <row r="1777" spans="1:8">
      <c r="A1777" s="959" t="s">
        <v>3531</v>
      </c>
      <c r="B1777" s="960" t="s">
        <v>3532</v>
      </c>
      <c r="C1777" s="960" t="s">
        <v>4256</v>
      </c>
      <c r="D1777" s="960" t="s">
        <v>4264</v>
      </c>
      <c r="E1777" s="959">
        <v>0</v>
      </c>
      <c r="F1777" s="959">
        <v>0</v>
      </c>
      <c r="G1777" s="959">
        <v>0</v>
      </c>
      <c r="H1777" s="959">
        <v>1</v>
      </c>
    </row>
    <row r="1778" spans="1:8">
      <c r="A1778" s="959" t="s">
        <v>3531</v>
      </c>
      <c r="B1778" s="960" t="s">
        <v>3532</v>
      </c>
      <c r="C1778" s="960" t="s">
        <v>4256</v>
      </c>
      <c r="D1778" s="960" t="s">
        <v>1907</v>
      </c>
      <c r="E1778" s="959">
        <v>0</v>
      </c>
      <c r="F1778" s="959">
        <v>2</v>
      </c>
      <c r="G1778" s="959">
        <v>1</v>
      </c>
      <c r="H1778" s="959">
        <v>10</v>
      </c>
    </row>
    <row r="1779" spans="1:8">
      <c r="A1779" s="959" t="s">
        <v>3531</v>
      </c>
      <c r="B1779" s="960" t="s">
        <v>3532</v>
      </c>
      <c r="C1779" s="960" t="s">
        <v>4256</v>
      </c>
      <c r="D1779" s="960" t="s">
        <v>4274</v>
      </c>
      <c r="E1779" s="959">
        <v>0</v>
      </c>
      <c r="F1779" s="959">
        <v>2</v>
      </c>
      <c r="G1779" s="959">
        <v>0</v>
      </c>
      <c r="H1779" s="959">
        <v>0</v>
      </c>
    </row>
    <row r="1780" spans="1:8">
      <c r="A1780" s="959" t="s">
        <v>3531</v>
      </c>
      <c r="B1780" s="960" t="s">
        <v>3532</v>
      </c>
      <c r="C1780" s="960" t="s">
        <v>4257</v>
      </c>
      <c r="D1780" s="960" t="s">
        <v>4258</v>
      </c>
      <c r="E1780" s="959">
        <v>13</v>
      </c>
      <c r="F1780" s="959">
        <v>140</v>
      </c>
      <c r="G1780" s="959">
        <v>0</v>
      </c>
      <c r="H1780" s="959">
        <v>4</v>
      </c>
    </row>
    <row r="1781" spans="1:8">
      <c r="A1781" s="959" t="s">
        <v>3531</v>
      </c>
      <c r="B1781" s="960" t="s">
        <v>3532</v>
      </c>
      <c r="C1781" s="960" t="s">
        <v>4262</v>
      </c>
      <c r="D1781" s="960" t="s">
        <v>4263</v>
      </c>
      <c r="E1781" s="959">
        <v>26</v>
      </c>
      <c r="F1781" s="959">
        <v>420</v>
      </c>
      <c r="G1781" s="959">
        <v>4</v>
      </c>
      <c r="H1781" s="959">
        <v>20</v>
      </c>
    </row>
    <row r="1782" spans="1:8">
      <c r="A1782" s="959" t="s">
        <v>3533</v>
      </c>
      <c r="B1782" s="960" t="s">
        <v>3534</v>
      </c>
      <c r="C1782" s="960" t="s">
        <v>4275</v>
      </c>
      <c r="D1782" s="960" t="s">
        <v>4276</v>
      </c>
      <c r="E1782" s="959">
        <v>0</v>
      </c>
      <c r="F1782" s="959">
        <v>10</v>
      </c>
      <c r="G1782" s="959">
        <v>0</v>
      </c>
      <c r="H1782" s="959">
        <v>10</v>
      </c>
    </row>
    <row r="1783" spans="1:8">
      <c r="A1783" s="959" t="s">
        <v>3533</v>
      </c>
      <c r="B1783" s="960" t="s">
        <v>3534</v>
      </c>
      <c r="C1783" s="960" t="s">
        <v>4256</v>
      </c>
      <c r="D1783" s="960" t="s">
        <v>4260</v>
      </c>
      <c r="E1783" s="959">
        <v>0</v>
      </c>
      <c r="F1783" s="959">
        <v>0</v>
      </c>
      <c r="G1783" s="959">
        <v>0</v>
      </c>
      <c r="H1783" s="959">
        <v>4</v>
      </c>
    </row>
    <row r="1784" spans="1:8">
      <c r="A1784" s="959" t="s">
        <v>3533</v>
      </c>
      <c r="B1784" s="960" t="s">
        <v>3534</v>
      </c>
      <c r="C1784" s="960" t="s">
        <v>4256</v>
      </c>
      <c r="D1784" s="960" t="s">
        <v>1906</v>
      </c>
      <c r="E1784" s="959">
        <v>0</v>
      </c>
      <c r="F1784" s="959">
        <v>6</v>
      </c>
      <c r="G1784" s="959">
        <v>0</v>
      </c>
      <c r="H1784" s="959">
        <v>9</v>
      </c>
    </row>
    <row r="1785" spans="1:8">
      <c r="A1785" s="959" t="s">
        <v>3533</v>
      </c>
      <c r="B1785" s="960" t="s">
        <v>3534</v>
      </c>
      <c r="C1785" s="960" t="s">
        <v>4256</v>
      </c>
      <c r="D1785" s="960" t="s">
        <v>4264</v>
      </c>
      <c r="E1785" s="959">
        <v>0</v>
      </c>
      <c r="F1785" s="959">
        <v>0</v>
      </c>
      <c r="G1785" s="959">
        <v>0</v>
      </c>
      <c r="H1785" s="959">
        <v>1</v>
      </c>
    </row>
    <row r="1786" spans="1:8">
      <c r="A1786" s="959" t="s">
        <v>3533</v>
      </c>
      <c r="B1786" s="960" t="s">
        <v>3534</v>
      </c>
      <c r="C1786" s="960" t="s">
        <v>4256</v>
      </c>
      <c r="D1786" s="960" t="s">
        <v>1907</v>
      </c>
      <c r="E1786" s="959">
        <v>0</v>
      </c>
      <c r="F1786" s="959">
        <v>1</v>
      </c>
      <c r="G1786" s="959">
        <v>1</v>
      </c>
      <c r="H1786" s="959">
        <v>21</v>
      </c>
    </row>
    <row r="1787" spans="1:8">
      <c r="A1787" s="959" t="s">
        <v>3533</v>
      </c>
      <c r="B1787" s="960" t="s">
        <v>3534</v>
      </c>
      <c r="C1787" s="960" t="s">
        <v>4257</v>
      </c>
      <c r="D1787" s="960" t="s">
        <v>4285</v>
      </c>
      <c r="E1787" s="959">
        <v>0</v>
      </c>
      <c r="F1787" s="959">
        <v>0</v>
      </c>
      <c r="G1787" s="959">
        <v>0</v>
      </c>
      <c r="H1787" s="959">
        <v>2</v>
      </c>
    </row>
    <row r="1788" spans="1:8">
      <c r="A1788" s="959" t="s">
        <v>3533</v>
      </c>
      <c r="B1788" s="960" t="s">
        <v>3534</v>
      </c>
      <c r="C1788" s="960" t="s">
        <v>4257</v>
      </c>
      <c r="D1788" s="960" t="s">
        <v>4258</v>
      </c>
      <c r="E1788" s="959">
        <v>4</v>
      </c>
      <c r="F1788" s="959">
        <v>80</v>
      </c>
      <c r="G1788" s="959">
        <v>23</v>
      </c>
      <c r="H1788" s="959">
        <v>340</v>
      </c>
    </row>
    <row r="1789" spans="1:8">
      <c r="A1789" s="959" t="s">
        <v>3533</v>
      </c>
      <c r="B1789" s="960" t="s">
        <v>3534</v>
      </c>
      <c r="C1789" s="960" t="s">
        <v>4262</v>
      </c>
      <c r="D1789" s="960" t="s">
        <v>4263</v>
      </c>
      <c r="E1789" s="959">
        <v>0</v>
      </c>
      <c r="F1789" s="959">
        <v>22</v>
      </c>
      <c r="G1789" s="959">
        <v>0</v>
      </c>
      <c r="H1789" s="959">
        <v>1</v>
      </c>
    </row>
    <row r="1790" spans="1:8">
      <c r="A1790" s="959" t="s">
        <v>3533</v>
      </c>
      <c r="B1790" s="960" t="s">
        <v>3534</v>
      </c>
      <c r="C1790" s="960" t="s">
        <v>4267</v>
      </c>
      <c r="D1790" s="960" t="s">
        <v>4268</v>
      </c>
      <c r="E1790" s="959">
        <v>0</v>
      </c>
      <c r="F1790" s="959">
        <v>0</v>
      </c>
      <c r="G1790" s="959">
        <v>0</v>
      </c>
      <c r="H1790" s="959">
        <v>1</v>
      </c>
    </row>
    <row r="1791" spans="1:8">
      <c r="A1791" s="959" t="s">
        <v>3535</v>
      </c>
      <c r="B1791" s="960" t="s">
        <v>1220</v>
      </c>
      <c r="C1791" s="960" t="s">
        <v>4262</v>
      </c>
      <c r="D1791" s="960" t="s">
        <v>4263</v>
      </c>
      <c r="E1791" s="959">
        <v>0</v>
      </c>
      <c r="F1791" s="959">
        <v>4</v>
      </c>
      <c r="G1791" s="959">
        <v>0</v>
      </c>
      <c r="H1791" s="959">
        <v>0</v>
      </c>
    </row>
    <row r="1792" spans="1:8">
      <c r="A1792" s="959" t="s">
        <v>3538</v>
      </c>
      <c r="B1792" s="960" t="s">
        <v>3539</v>
      </c>
      <c r="C1792" s="960" t="s">
        <v>4256</v>
      </c>
      <c r="D1792" s="960" t="s">
        <v>470</v>
      </c>
      <c r="E1792" s="959">
        <v>0</v>
      </c>
      <c r="F1792" s="959">
        <v>0</v>
      </c>
      <c r="G1792" s="959">
        <v>0</v>
      </c>
      <c r="H1792" s="959">
        <v>1</v>
      </c>
    </row>
    <row r="1793" spans="1:8">
      <c r="A1793" s="959" t="s">
        <v>3540</v>
      </c>
      <c r="B1793" s="960" t="s">
        <v>3541</v>
      </c>
      <c r="C1793" s="960" t="s">
        <v>4275</v>
      </c>
      <c r="D1793" s="960" t="s">
        <v>4276</v>
      </c>
      <c r="E1793" s="959">
        <v>1</v>
      </c>
      <c r="F1793" s="959">
        <v>10</v>
      </c>
      <c r="G1793" s="959">
        <v>0</v>
      </c>
      <c r="H1793" s="959">
        <v>0</v>
      </c>
    </row>
    <row r="1794" spans="1:8">
      <c r="A1794" s="959" t="s">
        <v>3540</v>
      </c>
      <c r="B1794" s="960" t="s">
        <v>3541</v>
      </c>
      <c r="C1794" s="960" t="s">
        <v>4256</v>
      </c>
      <c r="D1794" s="960" t="s">
        <v>4259</v>
      </c>
      <c r="E1794" s="959">
        <v>0</v>
      </c>
      <c r="F1794" s="959">
        <v>0</v>
      </c>
      <c r="G1794" s="959">
        <v>0</v>
      </c>
      <c r="H1794" s="959">
        <v>3</v>
      </c>
    </row>
    <row r="1795" spans="1:8">
      <c r="A1795" s="959" t="s">
        <v>3540</v>
      </c>
      <c r="B1795" s="960" t="s">
        <v>3541</v>
      </c>
      <c r="C1795" s="960" t="s">
        <v>4256</v>
      </c>
      <c r="D1795" s="960" t="s">
        <v>1906</v>
      </c>
      <c r="E1795" s="959">
        <v>3</v>
      </c>
      <c r="F1795" s="959">
        <v>45</v>
      </c>
      <c r="G1795" s="959">
        <v>0</v>
      </c>
      <c r="H1795" s="959">
        <v>0</v>
      </c>
    </row>
    <row r="1796" spans="1:8">
      <c r="A1796" s="959" t="s">
        <v>3540</v>
      </c>
      <c r="B1796" s="960" t="s">
        <v>3541</v>
      </c>
      <c r="C1796" s="960" t="s">
        <v>4256</v>
      </c>
      <c r="D1796" s="960" t="s">
        <v>4264</v>
      </c>
      <c r="E1796" s="959">
        <v>0</v>
      </c>
      <c r="F1796" s="959">
        <v>0</v>
      </c>
      <c r="G1796" s="959">
        <v>0</v>
      </c>
      <c r="H1796" s="959">
        <v>1</v>
      </c>
    </row>
    <row r="1797" spans="1:8">
      <c r="A1797" s="959" t="s">
        <v>3540</v>
      </c>
      <c r="B1797" s="960" t="s">
        <v>3541</v>
      </c>
      <c r="C1797" s="960" t="s">
        <v>4256</v>
      </c>
      <c r="D1797" s="960" t="s">
        <v>1907</v>
      </c>
      <c r="E1797" s="959">
        <v>1</v>
      </c>
      <c r="F1797" s="959">
        <v>6</v>
      </c>
      <c r="G1797" s="959">
        <v>1</v>
      </c>
      <c r="H1797" s="959">
        <v>12</v>
      </c>
    </row>
    <row r="1798" spans="1:8">
      <c r="A1798" s="959" t="s">
        <v>3540</v>
      </c>
      <c r="B1798" s="960" t="s">
        <v>3541</v>
      </c>
      <c r="C1798" s="960" t="s">
        <v>4257</v>
      </c>
      <c r="D1798" s="960" t="s">
        <v>4258</v>
      </c>
      <c r="E1798" s="959">
        <v>4</v>
      </c>
      <c r="F1798" s="959">
        <v>125</v>
      </c>
      <c r="G1798" s="959">
        <v>0</v>
      </c>
      <c r="H1798" s="959">
        <v>1</v>
      </c>
    </row>
    <row r="1799" spans="1:8">
      <c r="A1799" s="959" t="s">
        <v>3540</v>
      </c>
      <c r="B1799" s="960" t="s">
        <v>3541</v>
      </c>
      <c r="C1799" s="960" t="s">
        <v>4262</v>
      </c>
      <c r="D1799" s="960" t="s">
        <v>4263</v>
      </c>
      <c r="E1799" s="959">
        <v>17</v>
      </c>
      <c r="F1799" s="959">
        <v>401</v>
      </c>
      <c r="G1799" s="959">
        <v>0</v>
      </c>
      <c r="H1799" s="959">
        <v>4</v>
      </c>
    </row>
    <row r="1800" spans="1:8">
      <c r="A1800" s="959" t="s">
        <v>3542</v>
      </c>
      <c r="B1800" s="960" t="s">
        <v>3543</v>
      </c>
      <c r="C1800" s="960" t="s">
        <v>4256</v>
      </c>
      <c r="D1800" s="960" t="s">
        <v>470</v>
      </c>
      <c r="E1800" s="959">
        <v>0</v>
      </c>
      <c r="F1800" s="959">
        <v>0</v>
      </c>
      <c r="G1800" s="959">
        <v>1</v>
      </c>
      <c r="H1800" s="959">
        <v>23</v>
      </c>
    </row>
    <row r="1801" spans="1:8">
      <c r="A1801" s="959" t="s">
        <v>3542</v>
      </c>
      <c r="B1801" s="960" t="s">
        <v>3543</v>
      </c>
      <c r="C1801" s="960" t="s">
        <v>4256</v>
      </c>
      <c r="D1801" s="960" t="s">
        <v>1904</v>
      </c>
      <c r="E1801" s="959">
        <v>0</v>
      </c>
      <c r="F1801" s="959">
        <v>0</v>
      </c>
      <c r="G1801" s="959">
        <v>1</v>
      </c>
      <c r="H1801" s="959">
        <v>4</v>
      </c>
    </row>
    <row r="1802" spans="1:8">
      <c r="A1802" s="959" t="s">
        <v>3542</v>
      </c>
      <c r="B1802" s="960" t="s">
        <v>3543</v>
      </c>
      <c r="C1802" s="960" t="s">
        <v>4256</v>
      </c>
      <c r="D1802" s="960" t="s">
        <v>1906</v>
      </c>
      <c r="E1802" s="959">
        <v>0</v>
      </c>
      <c r="F1802" s="959">
        <v>2</v>
      </c>
      <c r="G1802" s="959">
        <v>0</v>
      </c>
      <c r="H1802" s="959">
        <v>0</v>
      </c>
    </row>
    <row r="1803" spans="1:8">
      <c r="A1803" s="959" t="s">
        <v>3542</v>
      </c>
      <c r="B1803" s="960" t="s">
        <v>3543</v>
      </c>
      <c r="C1803" s="960" t="s">
        <v>4257</v>
      </c>
      <c r="D1803" s="960" t="s">
        <v>4258</v>
      </c>
      <c r="E1803" s="959">
        <v>1</v>
      </c>
      <c r="F1803" s="959">
        <v>10</v>
      </c>
      <c r="G1803" s="959">
        <v>0</v>
      </c>
      <c r="H1803" s="959">
        <v>5</v>
      </c>
    </row>
    <row r="1804" spans="1:8">
      <c r="A1804" s="959" t="s">
        <v>3542</v>
      </c>
      <c r="B1804" s="960" t="s">
        <v>3543</v>
      </c>
      <c r="C1804" s="960" t="s">
        <v>4267</v>
      </c>
      <c r="D1804" s="960" t="s">
        <v>4268</v>
      </c>
      <c r="E1804" s="959">
        <v>0</v>
      </c>
      <c r="F1804" s="959">
        <v>0</v>
      </c>
      <c r="G1804" s="959">
        <v>0</v>
      </c>
      <c r="H1804" s="959">
        <v>3</v>
      </c>
    </row>
    <row r="1805" spans="1:8">
      <c r="A1805" s="959" t="s">
        <v>3544</v>
      </c>
      <c r="B1805" s="960" t="s">
        <v>346</v>
      </c>
      <c r="C1805" s="960" t="s">
        <v>4262</v>
      </c>
      <c r="D1805" s="960" t="s">
        <v>4263</v>
      </c>
      <c r="E1805" s="959">
        <v>0</v>
      </c>
      <c r="F1805" s="959">
        <v>2</v>
      </c>
      <c r="G1805" s="959">
        <v>0</v>
      </c>
      <c r="H1805" s="959">
        <v>0</v>
      </c>
    </row>
    <row r="1806" spans="1:8">
      <c r="A1806" s="959" t="s">
        <v>3546</v>
      </c>
      <c r="B1806" s="960" t="s">
        <v>1249</v>
      </c>
      <c r="C1806" s="960" t="s">
        <v>4256</v>
      </c>
      <c r="D1806" s="960" t="s">
        <v>1906</v>
      </c>
      <c r="E1806" s="959">
        <v>0</v>
      </c>
      <c r="F1806" s="959">
        <v>1</v>
      </c>
      <c r="G1806" s="959">
        <v>0</v>
      </c>
      <c r="H1806" s="959">
        <v>0</v>
      </c>
    </row>
    <row r="1807" spans="1:8">
      <c r="A1807" s="959" t="s">
        <v>3547</v>
      </c>
      <c r="B1807" s="960" t="s">
        <v>3548</v>
      </c>
      <c r="C1807" s="960" t="s">
        <v>4256</v>
      </c>
      <c r="D1807" s="960" t="s">
        <v>470</v>
      </c>
      <c r="E1807" s="959">
        <v>0</v>
      </c>
      <c r="F1807" s="959">
        <v>0</v>
      </c>
      <c r="G1807" s="959">
        <v>0</v>
      </c>
      <c r="H1807" s="959">
        <v>5</v>
      </c>
    </row>
    <row r="1808" spans="1:8">
      <c r="A1808" s="959" t="s">
        <v>3547</v>
      </c>
      <c r="B1808" s="960" t="s">
        <v>3548</v>
      </c>
      <c r="C1808" s="960" t="s">
        <v>4256</v>
      </c>
      <c r="D1808" s="960" t="s">
        <v>4259</v>
      </c>
      <c r="E1808" s="959">
        <v>0</v>
      </c>
      <c r="F1808" s="959">
        <v>0</v>
      </c>
      <c r="G1808" s="959">
        <v>0</v>
      </c>
      <c r="H1808" s="959">
        <v>2</v>
      </c>
    </row>
    <row r="1809" spans="1:8">
      <c r="A1809" s="959" t="s">
        <v>3547</v>
      </c>
      <c r="B1809" s="960" t="s">
        <v>3548</v>
      </c>
      <c r="C1809" s="960" t="s">
        <v>4256</v>
      </c>
      <c r="D1809" s="960" t="s">
        <v>4260</v>
      </c>
      <c r="E1809" s="959">
        <v>0</v>
      </c>
      <c r="F1809" s="959">
        <v>0</v>
      </c>
      <c r="G1809" s="959">
        <v>0</v>
      </c>
      <c r="H1809" s="959">
        <v>1</v>
      </c>
    </row>
    <row r="1810" spans="1:8">
      <c r="A1810" s="959" t="s">
        <v>3547</v>
      </c>
      <c r="B1810" s="960" t="s">
        <v>3548</v>
      </c>
      <c r="C1810" s="960" t="s">
        <v>4256</v>
      </c>
      <c r="D1810" s="960" t="s">
        <v>1906</v>
      </c>
      <c r="E1810" s="959">
        <v>0</v>
      </c>
      <c r="F1810" s="959">
        <v>9</v>
      </c>
      <c r="G1810" s="959">
        <v>0</v>
      </c>
      <c r="H1810" s="959">
        <v>0</v>
      </c>
    </row>
    <row r="1811" spans="1:8">
      <c r="A1811" s="959" t="s">
        <v>3547</v>
      </c>
      <c r="B1811" s="960" t="s">
        <v>3548</v>
      </c>
      <c r="C1811" s="960" t="s">
        <v>4257</v>
      </c>
      <c r="D1811" s="960" t="s">
        <v>4258</v>
      </c>
      <c r="E1811" s="959">
        <v>1</v>
      </c>
      <c r="F1811" s="959">
        <v>26</v>
      </c>
      <c r="G1811" s="959">
        <v>0</v>
      </c>
      <c r="H1811" s="959">
        <v>0</v>
      </c>
    </row>
    <row r="1812" spans="1:8">
      <c r="A1812" s="959" t="s">
        <v>3547</v>
      </c>
      <c r="B1812" s="960" t="s">
        <v>3548</v>
      </c>
      <c r="C1812" s="960" t="s">
        <v>4262</v>
      </c>
      <c r="D1812" s="960" t="s">
        <v>4263</v>
      </c>
      <c r="E1812" s="959">
        <v>26</v>
      </c>
      <c r="F1812" s="959">
        <v>314</v>
      </c>
      <c r="G1812" s="959">
        <v>0</v>
      </c>
      <c r="H1812" s="959">
        <v>18</v>
      </c>
    </row>
    <row r="1813" spans="1:8">
      <c r="A1813" s="959" t="s">
        <v>3550</v>
      </c>
      <c r="B1813" s="960" t="s">
        <v>3551</v>
      </c>
      <c r="C1813" s="960" t="s">
        <v>4256</v>
      </c>
      <c r="D1813" s="960" t="s">
        <v>1904</v>
      </c>
      <c r="E1813" s="959">
        <v>0</v>
      </c>
      <c r="F1813" s="959">
        <v>1</v>
      </c>
      <c r="G1813" s="959">
        <v>9</v>
      </c>
      <c r="H1813" s="959">
        <v>140</v>
      </c>
    </row>
    <row r="1814" spans="1:8">
      <c r="A1814" s="959" t="s">
        <v>3550</v>
      </c>
      <c r="B1814" s="960" t="s">
        <v>3551</v>
      </c>
      <c r="C1814" s="960" t="s">
        <v>4256</v>
      </c>
      <c r="D1814" s="960" t="s">
        <v>4270</v>
      </c>
      <c r="E1814" s="959">
        <v>0</v>
      </c>
      <c r="F1814" s="959">
        <v>0</v>
      </c>
      <c r="G1814" s="959">
        <v>7</v>
      </c>
      <c r="H1814" s="959">
        <v>12</v>
      </c>
    </row>
    <row r="1815" spans="1:8">
      <c r="A1815" s="959" t="s">
        <v>3550</v>
      </c>
      <c r="B1815" s="960" t="s">
        <v>3551</v>
      </c>
      <c r="C1815" s="960" t="s">
        <v>4256</v>
      </c>
      <c r="D1815" s="960" t="s">
        <v>4260</v>
      </c>
      <c r="E1815" s="959">
        <v>0</v>
      </c>
      <c r="F1815" s="959">
        <v>0</v>
      </c>
      <c r="G1815" s="959">
        <v>2</v>
      </c>
      <c r="H1815" s="959">
        <v>29</v>
      </c>
    </row>
    <row r="1816" spans="1:8">
      <c r="A1816" s="959" t="s">
        <v>3550</v>
      </c>
      <c r="B1816" s="960" t="s">
        <v>3551</v>
      </c>
      <c r="C1816" s="960" t="s">
        <v>4256</v>
      </c>
      <c r="D1816" s="960" t="s">
        <v>1906</v>
      </c>
      <c r="E1816" s="959">
        <v>0</v>
      </c>
      <c r="F1816" s="959">
        <v>2</v>
      </c>
      <c r="G1816" s="959">
        <v>1</v>
      </c>
      <c r="H1816" s="959">
        <v>9</v>
      </c>
    </row>
    <row r="1817" spans="1:8">
      <c r="A1817" s="959" t="s">
        <v>3550</v>
      </c>
      <c r="B1817" s="960" t="s">
        <v>3551</v>
      </c>
      <c r="C1817" s="960" t="s">
        <v>4256</v>
      </c>
      <c r="D1817" s="960" t="s">
        <v>4261</v>
      </c>
      <c r="E1817" s="959">
        <v>0</v>
      </c>
      <c r="F1817" s="959">
        <v>0</v>
      </c>
      <c r="G1817" s="959">
        <v>0</v>
      </c>
      <c r="H1817" s="959">
        <v>55</v>
      </c>
    </row>
    <row r="1818" spans="1:8">
      <c r="A1818" s="959" t="s">
        <v>3550</v>
      </c>
      <c r="B1818" s="960" t="s">
        <v>3551</v>
      </c>
      <c r="C1818" s="960" t="s">
        <v>4257</v>
      </c>
      <c r="D1818" s="960" t="s">
        <v>4258</v>
      </c>
      <c r="E1818" s="959">
        <v>0</v>
      </c>
      <c r="F1818" s="959">
        <v>3</v>
      </c>
      <c r="G1818" s="959">
        <v>0</v>
      </c>
      <c r="H1818" s="959">
        <v>2</v>
      </c>
    </row>
    <row r="1819" spans="1:8">
      <c r="A1819" s="959" t="s">
        <v>3552</v>
      </c>
      <c r="B1819" s="960" t="s">
        <v>3553</v>
      </c>
      <c r="C1819" s="960" t="s">
        <v>4256</v>
      </c>
      <c r="D1819" s="960" t="s">
        <v>1906</v>
      </c>
      <c r="E1819" s="959">
        <v>1</v>
      </c>
      <c r="F1819" s="959">
        <v>12</v>
      </c>
      <c r="G1819" s="959">
        <v>0</v>
      </c>
      <c r="H1819" s="959">
        <v>1</v>
      </c>
    </row>
    <row r="1820" spans="1:8">
      <c r="A1820" s="959" t="s">
        <v>3552</v>
      </c>
      <c r="B1820" s="960" t="s">
        <v>3553</v>
      </c>
      <c r="C1820" s="960" t="s">
        <v>4257</v>
      </c>
      <c r="D1820" s="960" t="s">
        <v>4258</v>
      </c>
      <c r="E1820" s="959">
        <v>2</v>
      </c>
      <c r="F1820" s="959">
        <v>24</v>
      </c>
      <c r="G1820" s="959">
        <v>0</v>
      </c>
      <c r="H1820" s="959">
        <v>0</v>
      </c>
    </row>
    <row r="1821" spans="1:8">
      <c r="A1821" s="959" t="s">
        <v>3552</v>
      </c>
      <c r="B1821" s="960" t="s">
        <v>3553</v>
      </c>
      <c r="C1821" s="960" t="s">
        <v>4262</v>
      </c>
      <c r="D1821" s="960" t="s">
        <v>4263</v>
      </c>
      <c r="E1821" s="959">
        <v>1</v>
      </c>
      <c r="F1821" s="959">
        <v>20</v>
      </c>
      <c r="G1821" s="959">
        <v>0</v>
      </c>
      <c r="H1821" s="959">
        <v>0</v>
      </c>
    </row>
    <row r="1822" spans="1:8">
      <c r="A1822" s="959" t="s">
        <v>3554</v>
      </c>
      <c r="B1822" s="960" t="s">
        <v>3555</v>
      </c>
      <c r="C1822" s="960" t="s">
        <v>4256</v>
      </c>
      <c r="D1822" s="960" t="s">
        <v>1906</v>
      </c>
      <c r="E1822" s="959">
        <v>5</v>
      </c>
      <c r="F1822" s="959">
        <v>60</v>
      </c>
      <c r="G1822" s="959">
        <v>0</v>
      </c>
      <c r="H1822" s="959">
        <v>0</v>
      </c>
    </row>
    <row r="1823" spans="1:8">
      <c r="A1823" s="959" t="s">
        <v>3554</v>
      </c>
      <c r="B1823" s="960" t="s">
        <v>3555</v>
      </c>
      <c r="C1823" s="960" t="s">
        <v>4257</v>
      </c>
      <c r="D1823" s="960" t="s">
        <v>4258</v>
      </c>
      <c r="E1823" s="959">
        <v>4</v>
      </c>
      <c r="F1823" s="959">
        <v>58</v>
      </c>
      <c r="G1823" s="959">
        <v>0</v>
      </c>
      <c r="H1823" s="959">
        <v>0</v>
      </c>
    </row>
    <row r="1824" spans="1:8">
      <c r="A1824" s="959" t="s">
        <v>3554</v>
      </c>
      <c r="B1824" s="960" t="s">
        <v>3555</v>
      </c>
      <c r="C1824" s="960" t="s">
        <v>4262</v>
      </c>
      <c r="D1824" s="960" t="s">
        <v>4263</v>
      </c>
      <c r="E1824" s="959">
        <v>5</v>
      </c>
      <c r="F1824" s="959">
        <v>27</v>
      </c>
      <c r="G1824" s="959">
        <v>0</v>
      </c>
      <c r="H1824" s="959">
        <v>0</v>
      </c>
    </row>
    <row r="1825" spans="1:8">
      <c r="A1825" s="959" t="s">
        <v>3556</v>
      </c>
      <c r="B1825" s="960" t="s">
        <v>1256</v>
      </c>
      <c r="C1825" s="960" t="s">
        <v>4262</v>
      </c>
      <c r="D1825" s="960" t="s">
        <v>4263</v>
      </c>
      <c r="E1825" s="959">
        <v>0</v>
      </c>
      <c r="F1825" s="959">
        <v>19</v>
      </c>
      <c r="G1825" s="959">
        <v>0</v>
      </c>
      <c r="H1825" s="959">
        <v>0</v>
      </c>
    </row>
    <row r="1826" spans="1:8">
      <c r="A1826" s="959" t="s">
        <v>3557</v>
      </c>
      <c r="B1826" s="960" t="s">
        <v>3558</v>
      </c>
      <c r="C1826" s="960" t="s">
        <v>4256</v>
      </c>
      <c r="D1826" s="960" t="s">
        <v>470</v>
      </c>
      <c r="E1826" s="959">
        <v>0</v>
      </c>
      <c r="F1826" s="959">
        <v>0</v>
      </c>
      <c r="G1826" s="959">
        <v>0</v>
      </c>
      <c r="H1826" s="959">
        <v>1</v>
      </c>
    </row>
    <row r="1827" spans="1:8">
      <c r="A1827" s="959" t="s">
        <v>3557</v>
      </c>
      <c r="B1827" s="960" t="s">
        <v>3558</v>
      </c>
      <c r="C1827" s="960" t="s">
        <v>4256</v>
      </c>
      <c r="D1827" s="960" t="s">
        <v>4259</v>
      </c>
      <c r="E1827" s="959">
        <v>0</v>
      </c>
      <c r="F1827" s="959">
        <v>0</v>
      </c>
      <c r="G1827" s="959">
        <v>0</v>
      </c>
      <c r="H1827" s="959">
        <v>1</v>
      </c>
    </row>
    <row r="1828" spans="1:8">
      <c r="A1828" s="959" t="s">
        <v>3557</v>
      </c>
      <c r="B1828" s="960" t="s">
        <v>3558</v>
      </c>
      <c r="C1828" s="960" t="s">
        <v>4256</v>
      </c>
      <c r="D1828" s="960" t="s">
        <v>1906</v>
      </c>
      <c r="E1828" s="959">
        <v>0</v>
      </c>
      <c r="F1828" s="959">
        <v>0</v>
      </c>
      <c r="G1828" s="959">
        <v>0</v>
      </c>
      <c r="H1828" s="959">
        <v>4</v>
      </c>
    </row>
    <row r="1829" spans="1:8">
      <c r="A1829" s="959" t="s">
        <v>3557</v>
      </c>
      <c r="B1829" s="960" t="s">
        <v>3558</v>
      </c>
      <c r="C1829" s="960" t="s">
        <v>4256</v>
      </c>
      <c r="D1829" s="960" t="s">
        <v>4264</v>
      </c>
      <c r="E1829" s="959">
        <v>0</v>
      </c>
      <c r="F1829" s="959">
        <v>1</v>
      </c>
      <c r="G1829" s="959">
        <v>0</v>
      </c>
      <c r="H1829" s="959">
        <v>0</v>
      </c>
    </row>
    <row r="1830" spans="1:8">
      <c r="A1830" s="959" t="s">
        <v>3557</v>
      </c>
      <c r="B1830" s="960" t="s">
        <v>3558</v>
      </c>
      <c r="C1830" s="960" t="s">
        <v>4256</v>
      </c>
      <c r="D1830" s="960" t="s">
        <v>1907</v>
      </c>
      <c r="E1830" s="959">
        <v>2</v>
      </c>
      <c r="F1830" s="959">
        <v>24</v>
      </c>
      <c r="G1830" s="959">
        <v>3</v>
      </c>
      <c r="H1830" s="959">
        <v>35</v>
      </c>
    </row>
    <row r="1831" spans="1:8">
      <c r="A1831" s="959" t="s">
        <v>3557</v>
      </c>
      <c r="B1831" s="960" t="s">
        <v>3558</v>
      </c>
      <c r="C1831" s="960" t="s">
        <v>4256</v>
      </c>
      <c r="D1831" s="960" t="s">
        <v>4282</v>
      </c>
      <c r="E1831" s="959">
        <v>0</v>
      </c>
      <c r="F1831" s="959">
        <v>0</v>
      </c>
      <c r="G1831" s="959">
        <v>0</v>
      </c>
      <c r="H1831" s="959">
        <v>3</v>
      </c>
    </row>
    <row r="1832" spans="1:8">
      <c r="A1832" s="959" t="s">
        <v>3557</v>
      </c>
      <c r="B1832" s="960" t="s">
        <v>3558</v>
      </c>
      <c r="C1832" s="960" t="s">
        <v>4257</v>
      </c>
      <c r="D1832" s="960" t="s">
        <v>4258</v>
      </c>
      <c r="E1832" s="959">
        <v>0</v>
      </c>
      <c r="F1832" s="959">
        <v>1</v>
      </c>
      <c r="G1832" s="959">
        <v>0</v>
      </c>
      <c r="H1832" s="959">
        <v>0</v>
      </c>
    </row>
    <row r="1833" spans="1:8">
      <c r="A1833" s="959" t="s">
        <v>3557</v>
      </c>
      <c r="B1833" s="960" t="s">
        <v>3558</v>
      </c>
      <c r="C1833" s="960" t="s">
        <v>4262</v>
      </c>
      <c r="D1833" s="960" t="s">
        <v>4263</v>
      </c>
      <c r="E1833" s="959">
        <v>0</v>
      </c>
      <c r="F1833" s="959">
        <v>1</v>
      </c>
      <c r="G1833" s="959">
        <v>0</v>
      </c>
      <c r="H1833" s="959">
        <v>0</v>
      </c>
    </row>
    <row r="1834" spans="1:8">
      <c r="A1834" s="959" t="s">
        <v>3559</v>
      </c>
      <c r="B1834" s="960" t="s">
        <v>3560</v>
      </c>
      <c r="C1834" s="960" t="s">
        <v>4257</v>
      </c>
      <c r="D1834" s="960" t="s">
        <v>4258</v>
      </c>
      <c r="E1834" s="959">
        <v>0</v>
      </c>
      <c r="F1834" s="959">
        <v>14</v>
      </c>
      <c r="G1834" s="959">
        <v>0</v>
      </c>
      <c r="H1834" s="959">
        <v>0</v>
      </c>
    </row>
    <row r="1835" spans="1:8">
      <c r="A1835" s="959" t="s">
        <v>3559</v>
      </c>
      <c r="B1835" s="960" t="s">
        <v>3560</v>
      </c>
      <c r="C1835" s="960" t="s">
        <v>4262</v>
      </c>
      <c r="D1835" s="960" t="s">
        <v>4263</v>
      </c>
      <c r="E1835" s="959">
        <v>0</v>
      </c>
      <c r="F1835" s="959">
        <v>9</v>
      </c>
      <c r="G1835" s="959">
        <v>0</v>
      </c>
      <c r="H1835" s="959">
        <v>1</v>
      </c>
    </row>
    <row r="1836" spans="1:8">
      <c r="A1836" s="959" t="s">
        <v>3561</v>
      </c>
      <c r="B1836" s="960" t="s">
        <v>3562</v>
      </c>
      <c r="C1836" s="960" t="s">
        <v>4275</v>
      </c>
      <c r="D1836" s="960" t="s">
        <v>4276</v>
      </c>
      <c r="E1836" s="959">
        <v>8</v>
      </c>
      <c r="F1836" s="959">
        <v>124</v>
      </c>
      <c r="G1836" s="959">
        <v>7</v>
      </c>
      <c r="H1836" s="959">
        <v>98</v>
      </c>
    </row>
    <row r="1837" spans="1:8">
      <c r="A1837" s="959" t="s">
        <v>3561</v>
      </c>
      <c r="B1837" s="960" t="s">
        <v>3562</v>
      </c>
      <c r="C1837" s="960" t="s">
        <v>4277</v>
      </c>
      <c r="D1837" s="960" t="s">
        <v>4278</v>
      </c>
      <c r="E1837" s="959">
        <v>0</v>
      </c>
      <c r="F1837" s="959">
        <v>0</v>
      </c>
      <c r="G1837" s="959">
        <v>4</v>
      </c>
      <c r="H1837" s="959">
        <v>33</v>
      </c>
    </row>
    <row r="1838" spans="1:8">
      <c r="A1838" s="959" t="s">
        <v>3561</v>
      </c>
      <c r="B1838" s="960" t="s">
        <v>3562</v>
      </c>
      <c r="C1838" s="960" t="s">
        <v>4277</v>
      </c>
      <c r="D1838" s="960" t="s">
        <v>4279</v>
      </c>
      <c r="E1838" s="959">
        <v>0</v>
      </c>
      <c r="F1838" s="959">
        <v>0</v>
      </c>
      <c r="G1838" s="959">
        <v>0</v>
      </c>
      <c r="H1838" s="959">
        <v>16</v>
      </c>
    </row>
    <row r="1839" spans="1:8">
      <c r="A1839" s="959" t="s">
        <v>3561</v>
      </c>
      <c r="B1839" s="960" t="s">
        <v>3562</v>
      </c>
      <c r="C1839" s="960" t="s">
        <v>4256</v>
      </c>
      <c r="D1839" s="960" t="s">
        <v>470</v>
      </c>
      <c r="E1839" s="959">
        <v>0</v>
      </c>
      <c r="F1839" s="959">
        <v>0</v>
      </c>
      <c r="G1839" s="959">
        <v>0</v>
      </c>
      <c r="H1839" s="959">
        <v>3</v>
      </c>
    </row>
    <row r="1840" spans="1:8">
      <c r="A1840" s="959" t="s">
        <v>3561</v>
      </c>
      <c r="B1840" s="960" t="s">
        <v>3562</v>
      </c>
      <c r="C1840" s="960" t="s">
        <v>4256</v>
      </c>
      <c r="D1840" s="960" t="s">
        <v>4260</v>
      </c>
      <c r="E1840" s="959">
        <v>0</v>
      </c>
      <c r="F1840" s="959">
        <v>0</v>
      </c>
      <c r="G1840" s="959">
        <v>0</v>
      </c>
      <c r="H1840" s="959">
        <v>5</v>
      </c>
    </row>
    <row r="1841" spans="1:8">
      <c r="A1841" s="959" t="s">
        <v>3561</v>
      </c>
      <c r="B1841" s="960" t="s">
        <v>3562</v>
      </c>
      <c r="C1841" s="960" t="s">
        <v>4256</v>
      </c>
      <c r="D1841" s="960" t="s">
        <v>4272</v>
      </c>
      <c r="E1841" s="959">
        <v>0</v>
      </c>
      <c r="F1841" s="959">
        <v>0</v>
      </c>
      <c r="G1841" s="959">
        <v>0</v>
      </c>
      <c r="H1841" s="959">
        <v>1</v>
      </c>
    </row>
    <row r="1842" spans="1:8">
      <c r="A1842" s="959" t="s">
        <v>3561</v>
      </c>
      <c r="B1842" s="960" t="s">
        <v>3562</v>
      </c>
      <c r="C1842" s="960" t="s">
        <v>4256</v>
      </c>
      <c r="D1842" s="960" t="s">
        <v>1906</v>
      </c>
      <c r="E1842" s="959">
        <v>2</v>
      </c>
      <c r="F1842" s="959">
        <v>25</v>
      </c>
      <c r="G1842" s="959">
        <v>1</v>
      </c>
      <c r="H1842" s="959">
        <v>15</v>
      </c>
    </row>
    <row r="1843" spans="1:8">
      <c r="A1843" s="959" t="s">
        <v>3561</v>
      </c>
      <c r="B1843" s="960" t="s">
        <v>3562</v>
      </c>
      <c r="C1843" s="960" t="s">
        <v>4256</v>
      </c>
      <c r="D1843" s="960" t="s">
        <v>1907</v>
      </c>
      <c r="E1843" s="959">
        <v>0</v>
      </c>
      <c r="F1843" s="959">
        <v>0</v>
      </c>
      <c r="G1843" s="959">
        <v>0</v>
      </c>
      <c r="H1843" s="959">
        <v>10</v>
      </c>
    </row>
    <row r="1844" spans="1:8">
      <c r="A1844" s="959" t="s">
        <v>3561</v>
      </c>
      <c r="B1844" s="960" t="s">
        <v>3562</v>
      </c>
      <c r="C1844" s="960" t="s">
        <v>4257</v>
      </c>
      <c r="D1844" s="960" t="s">
        <v>4258</v>
      </c>
      <c r="E1844" s="959">
        <v>12</v>
      </c>
      <c r="F1844" s="959">
        <v>410</v>
      </c>
      <c r="G1844" s="959">
        <v>41</v>
      </c>
      <c r="H1844" s="959">
        <v>578</v>
      </c>
    </row>
    <row r="1845" spans="1:8">
      <c r="A1845" s="959" t="s">
        <v>3561</v>
      </c>
      <c r="B1845" s="960" t="s">
        <v>3562</v>
      </c>
      <c r="C1845" s="960" t="s">
        <v>4262</v>
      </c>
      <c r="D1845" s="960" t="s">
        <v>4263</v>
      </c>
      <c r="E1845" s="959">
        <v>0</v>
      </c>
      <c r="F1845" s="959">
        <v>5</v>
      </c>
      <c r="G1845" s="959">
        <v>0</v>
      </c>
      <c r="H1845" s="959">
        <v>0</v>
      </c>
    </row>
    <row r="1846" spans="1:8">
      <c r="A1846" s="959" t="s">
        <v>3561</v>
      </c>
      <c r="B1846" s="960" t="s">
        <v>3562</v>
      </c>
      <c r="C1846" s="960" t="s">
        <v>4267</v>
      </c>
      <c r="D1846" s="960" t="s">
        <v>4268</v>
      </c>
      <c r="E1846" s="959">
        <v>0</v>
      </c>
      <c r="F1846" s="959">
        <v>0</v>
      </c>
      <c r="G1846" s="959">
        <v>0</v>
      </c>
      <c r="H1846" s="959">
        <v>22</v>
      </c>
    </row>
    <row r="1847" spans="1:8">
      <c r="A1847" s="959" t="s">
        <v>3564</v>
      </c>
      <c r="B1847" s="960" t="s">
        <v>3565</v>
      </c>
      <c r="C1847" s="960" t="s">
        <v>4256</v>
      </c>
      <c r="D1847" s="960" t="s">
        <v>1904</v>
      </c>
      <c r="E1847" s="959">
        <v>0</v>
      </c>
      <c r="F1847" s="959">
        <v>0</v>
      </c>
      <c r="G1847" s="959">
        <v>0</v>
      </c>
      <c r="H1847" s="959">
        <v>5</v>
      </c>
    </row>
    <row r="1848" spans="1:8">
      <c r="A1848" s="959" t="s">
        <v>3564</v>
      </c>
      <c r="B1848" s="960" t="s">
        <v>3565</v>
      </c>
      <c r="C1848" s="960" t="s">
        <v>4256</v>
      </c>
      <c r="D1848" s="960" t="s">
        <v>4270</v>
      </c>
      <c r="E1848" s="959">
        <v>0</v>
      </c>
      <c r="F1848" s="959">
        <v>0</v>
      </c>
      <c r="G1848" s="959">
        <v>1</v>
      </c>
      <c r="H1848" s="959">
        <v>17</v>
      </c>
    </row>
    <row r="1849" spans="1:8">
      <c r="A1849" s="959" t="s">
        <v>3564</v>
      </c>
      <c r="B1849" s="960" t="s">
        <v>3565</v>
      </c>
      <c r="C1849" s="960" t="s">
        <v>4256</v>
      </c>
      <c r="D1849" s="960" t="s">
        <v>4259</v>
      </c>
      <c r="E1849" s="959">
        <v>0</v>
      </c>
      <c r="F1849" s="959">
        <v>0</v>
      </c>
      <c r="G1849" s="959">
        <v>2</v>
      </c>
      <c r="H1849" s="959">
        <v>27</v>
      </c>
    </row>
    <row r="1850" spans="1:8">
      <c r="A1850" s="959" t="s">
        <v>3564</v>
      </c>
      <c r="B1850" s="960" t="s">
        <v>3565</v>
      </c>
      <c r="C1850" s="960" t="s">
        <v>4256</v>
      </c>
      <c r="D1850" s="960" t="s">
        <v>4260</v>
      </c>
      <c r="E1850" s="959">
        <v>0</v>
      </c>
      <c r="F1850" s="959">
        <v>0</v>
      </c>
      <c r="G1850" s="959">
        <v>27</v>
      </c>
      <c r="H1850" s="959">
        <v>201</v>
      </c>
    </row>
    <row r="1851" spans="1:8">
      <c r="A1851" s="959" t="s">
        <v>3564</v>
      </c>
      <c r="B1851" s="960" t="s">
        <v>3565</v>
      </c>
      <c r="C1851" s="960" t="s">
        <v>4256</v>
      </c>
      <c r="D1851" s="960" t="s">
        <v>4265</v>
      </c>
      <c r="E1851" s="959">
        <v>0</v>
      </c>
      <c r="F1851" s="959">
        <v>0</v>
      </c>
      <c r="G1851" s="959">
        <v>0</v>
      </c>
      <c r="H1851" s="959">
        <v>3</v>
      </c>
    </row>
    <row r="1852" spans="1:8">
      <c r="A1852" s="959" t="s">
        <v>3564</v>
      </c>
      <c r="B1852" s="960" t="s">
        <v>3565</v>
      </c>
      <c r="C1852" s="960" t="s">
        <v>4256</v>
      </c>
      <c r="D1852" s="960" t="s">
        <v>4271</v>
      </c>
      <c r="E1852" s="959">
        <v>0</v>
      </c>
      <c r="F1852" s="959">
        <v>0</v>
      </c>
      <c r="G1852" s="959">
        <v>2</v>
      </c>
      <c r="H1852" s="959">
        <v>32</v>
      </c>
    </row>
    <row r="1853" spans="1:8">
      <c r="A1853" s="959" t="s">
        <v>3564</v>
      </c>
      <c r="B1853" s="960" t="s">
        <v>3565</v>
      </c>
      <c r="C1853" s="960" t="s">
        <v>4256</v>
      </c>
      <c r="D1853" s="960" t="s">
        <v>1906</v>
      </c>
      <c r="E1853" s="959">
        <v>15</v>
      </c>
      <c r="F1853" s="959">
        <v>199</v>
      </c>
      <c r="G1853" s="959">
        <v>10</v>
      </c>
      <c r="H1853" s="959">
        <v>130</v>
      </c>
    </row>
    <row r="1854" spans="1:8">
      <c r="A1854" s="959" t="s">
        <v>3564</v>
      </c>
      <c r="B1854" s="960" t="s">
        <v>3565</v>
      </c>
      <c r="C1854" s="960" t="s">
        <v>4256</v>
      </c>
      <c r="D1854" s="960" t="s">
        <v>4261</v>
      </c>
      <c r="E1854" s="959">
        <v>0</v>
      </c>
      <c r="F1854" s="959">
        <v>0</v>
      </c>
      <c r="G1854" s="959">
        <v>23</v>
      </c>
      <c r="H1854" s="959">
        <v>141</v>
      </c>
    </row>
    <row r="1855" spans="1:8">
      <c r="A1855" s="959" t="s">
        <v>3564</v>
      </c>
      <c r="B1855" s="960" t="s">
        <v>3565</v>
      </c>
      <c r="C1855" s="960" t="s">
        <v>4257</v>
      </c>
      <c r="D1855" s="960" t="s">
        <v>4258</v>
      </c>
      <c r="E1855" s="959">
        <v>6</v>
      </c>
      <c r="F1855" s="959">
        <v>106</v>
      </c>
      <c r="G1855" s="959">
        <v>9</v>
      </c>
      <c r="H1855" s="959">
        <v>116</v>
      </c>
    </row>
    <row r="1856" spans="1:8">
      <c r="A1856" s="959" t="s">
        <v>3564</v>
      </c>
      <c r="B1856" s="960" t="s">
        <v>3565</v>
      </c>
      <c r="C1856" s="960" t="s">
        <v>4262</v>
      </c>
      <c r="D1856" s="960" t="s">
        <v>4263</v>
      </c>
      <c r="E1856" s="959">
        <v>0</v>
      </c>
      <c r="F1856" s="959">
        <v>28</v>
      </c>
      <c r="G1856" s="959">
        <v>0</v>
      </c>
      <c r="H1856" s="959">
        <v>11</v>
      </c>
    </row>
    <row r="1857" spans="1:8">
      <c r="A1857" s="959" t="s">
        <v>3564</v>
      </c>
      <c r="B1857" s="960" t="s">
        <v>3565</v>
      </c>
      <c r="C1857" s="960" t="s">
        <v>4267</v>
      </c>
      <c r="D1857" s="960" t="s">
        <v>4268</v>
      </c>
      <c r="E1857" s="959">
        <v>0</v>
      </c>
      <c r="F1857" s="959">
        <v>0</v>
      </c>
      <c r="G1857" s="959">
        <v>0</v>
      </c>
      <c r="H1857" s="959">
        <v>2</v>
      </c>
    </row>
    <row r="1858" spans="1:8">
      <c r="A1858" s="959" t="s">
        <v>3566</v>
      </c>
      <c r="B1858" s="960" t="s">
        <v>3567</v>
      </c>
      <c r="C1858" s="960" t="s">
        <v>4256</v>
      </c>
      <c r="D1858" s="960" t="s">
        <v>1904</v>
      </c>
      <c r="E1858" s="959">
        <v>0</v>
      </c>
      <c r="F1858" s="959">
        <v>0</v>
      </c>
      <c r="G1858" s="959">
        <v>0</v>
      </c>
      <c r="H1858" s="959">
        <v>5</v>
      </c>
    </row>
    <row r="1859" spans="1:8">
      <c r="A1859" s="959" t="s">
        <v>3566</v>
      </c>
      <c r="B1859" s="960" t="s">
        <v>3567</v>
      </c>
      <c r="C1859" s="960" t="s">
        <v>4256</v>
      </c>
      <c r="D1859" s="960" t="s">
        <v>4270</v>
      </c>
      <c r="E1859" s="959">
        <v>0</v>
      </c>
      <c r="F1859" s="959">
        <v>0</v>
      </c>
      <c r="G1859" s="959">
        <v>2</v>
      </c>
      <c r="H1859" s="959">
        <v>3</v>
      </c>
    </row>
    <row r="1860" spans="1:8">
      <c r="A1860" s="959" t="s">
        <v>3566</v>
      </c>
      <c r="B1860" s="960" t="s">
        <v>3567</v>
      </c>
      <c r="C1860" s="960" t="s">
        <v>4256</v>
      </c>
      <c r="D1860" s="960" t="s">
        <v>4259</v>
      </c>
      <c r="E1860" s="959">
        <v>0</v>
      </c>
      <c r="F1860" s="959">
        <v>1</v>
      </c>
      <c r="G1860" s="959">
        <v>61</v>
      </c>
      <c r="H1860" s="959">
        <v>37</v>
      </c>
    </row>
    <row r="1861" spans="1:8">
      <c r="A1861" s="959" t="s">
        <v>3566</v>
      </c>
      <c r="B1861" s="960" t="s">
        <v>3567</v>
      </c>
      <c r="C1861" s="960" t="s">
        <v>4256</v>
      </c>
      <c r="D1861" s="960" t="s">
        <v>4260</v>
      </c>
      <c r="E1861" s="959">
        <v>0</v>
      </c>
      <c r="F1861" s="959">
        <v>0</v>
      </c>
      <c r="G1861" s="959">
        <v>15</v>
      </c>
      <c r="H1861" s="959">
        <v>123</v>
      </c>
    </row>
    <row r="1862" spans="1:8">
      <c r="A1862" s="959" t="s">
        <v>3566</v>
      </c>
      <c r="B1862" s="960" t="s">
        <v>3567</v>
      </c>
      <c r="C1862" s="960" t="s">
        <v>4256</v>
      </c>
      <c r="D1862" s="960" t="s">
        <v>4265</v>
      </c>
      <c r="E1862" s="959">
        <v>0</v>
      </c>
      <c r="F1862" s="959">
        <v>0</v>
      </c>
      <c r="G1862" s="959">
        <v>4</v>
      </c>
      <c r="H1862" s="959">
        <v>4</v>
      </c>
    </row>
    <row r="1863" spans="1:8">
      <c r="A1863" s="959" t="s">
        <v>3566</v>
      </c>
      <c r="B1863" s="960" t="s">
        <v>3567</v>
      </c>
      <c r="C1863" s="960" t="s">
        <v>4256</v>
      </c>
      <c r="D1863" s="960" t="s">
        <v>1906</v>
      </c>
      <c r="E1863" s="959">
        <v>2</v>
      </c>
      <c r="F1863" s="959">
        <v>29</v>
      </c>
      <c r="G1863" s="959">
        <v>3</v>
      </c>
      <c r="H1863" s="959">
        <v>35</v>
      </c>
    </row>
    <row r="1864" spans="1:8">
      <c r="A1864" s="959" t="s">
        <v>3566</v>
      </c>
      <c r="B1864" s="960" t="s">
        <v>3567</v>
      </c>
      <c r="C1864" s="960" t="s">
        <v>4256</v>
      </c>
      <c r="D1864" s="960" t="s">
        <v>4261</v>
      </c>
      <c r="E1864" s="959">
        <v>0</v>
      </c>
      <c r="F1864" s="959">
        <v>0</v>
      </c>
      <c r="G1864" s="959">
        <v>7</v>
      </c>
      <c r="H1864" s="959">
        <v>58</v>
      </c>
    </row>
    <row r="1865" spans="1:8">
      <c r="A1865" s="959" t="s">
        <v>3566</v>
      </c>
      <c r="B1865" s="960" t="s">
        <v>3567</v>
      </c>
      <c r="C1865" s="960" t="s">
        <v>4257</v>
      </c>
      <c r="D1865" s="960" t="s">
        <v>4258</v>
      </c>
      <c r="E1865" s="959">
        <v>3</v>
      </c>
      <c r="F1865" s="959">
        <v>49</v>
      </c>
      <c r="G1865" s="959">
        <v>6</v>
      </c>
      <c r="H1865" s="959">
        <v>85</v>
      </c>
    </row>
    <row r="1866" spans="1:8">
      <c r="A1866" s="959" t="s">
        <v>3566</v>
      </c>
      <c r="B1866" s="960" t="s">
        <v>3567</v>
      </c>
      <c r="C1866" s="960" t="s">
        <v>4262</v>
      </c>
      <c r="D1866" s="960" t="s">
        <v>4263</v>
      </c>
      <c r="E1866" s="959">
        <v>2</v>
      </c>
      <c r="F1866" s="959">
        <v>49</v>
      </c>
      <c r="G1866" s="959">
        <v>2</v>
      </c>
      <c r="H1866" s="959">
        <v>22</v>
      </c>
    </row>
    <row r="1867" spans="1:8">
      <c r="A1867" s="959" t="s">
        <v>3568</v>
      </c>
      <c r="B1867" s="960" t="s">
        <v>3569</v>
      </c>
      <c r="C1867" s="960" t="s">
        <v>4275</v>
      </c>
      <c r="D1867" s="960" t="s">
        <v>4276</v>
      </c>
      <c r="E1867" s="959">
        <v>0</v>
      </c>
      <c r="F1867" s="959">
        <v>3</v>
      </c>
      <c r="G1867" s="959">
        <v>0</v>
      </c>
      <c r="H1867" s="959">
        <v>2</v>
      </c>
    </row>
    <row r="1868" spans="1:8">
      <c r="A1868" s="959" t="s">
        <v>3568</v>
      </c>
      <c r="B1868" s="960" t="s">
        <v>3569</v>
      </c>
      <c r="C1868" s="960" t="s">
        <v>4256</v>
      </c>
      <c r="D1868" s="960" t="s">
        <v>4260</v>
      </c>
      <c r="E1868" s="959">
        <v>0</v>
      </c>
      <c r="F1868" s="959">
        <v>0</v>
      </c>
      <c r="G1868" s="959">
        <v>0</v>
      </c>
      <c r="H1868" s="959">
        <v>1</v>
      </c>
    </row>
    <row r="1869" spans="1:8">
      <c r="A1869" s="959" t="s">
        <v>3568</v>
      </c>
      <c r="B1869" s="960" t="s">
        <v>3569</v>
      </c>
      <c r="C1869" s="960" t="s">
        <v>4256</v>
      </c>
      <c r="D1869" s="960" t="s">
        <v>1906</v>
      </c>
      <c r="E1869" s="959">
        <v>0</v>
      </c>
      <c r="F1869" s="959">
        <v>0</v>
      </c>
      <c r="G1869" s="959">
        <v>1</v>
      </c>
      <c r="H1869" s="959">
        <v>4</v>
      </c>
    </row>
    <row r="1870" spans="1:8">
      <c r="A1870" s="959" t="s">
        <v>3568</v>
      </c>
      <c r="B1870" s="960" t="s">
        <v>3569</v>
      </c>
      <c r="C1870" s="960" t="s">
        <v>4256</v>
      </c>
      <c r="D1870" s="960" t="s">
        <v>4264</v>
      </c>
      <c r="E1870" s="959">
        <v>0</v>
      </c>
      <c r="F1870" s="959">
        <v>0</v>
      </c>
      <c r="G1870" s="959">
        <v>1</v>
      </c>
      <c r="H1870" s="959">
        <v>17</v>
      </c>
    </row>
    <row r="1871" spans="1:8">
      <c r="A1871" s="959" t="s">
        <v>3568</v>
      </c>
      <c r="B1871" s="960" t="s">
        <v>3569</v>
      </c>
      <c r="C1871" s="960" t="s">
        <v>4256</v>
      </c>
      <c r="D1871" s="960" t="s">
        <v>1907</v>
      </c>
      <c r="E1871" s="959">
        <v>0</v>
      </c>
      <c r="F1871" s="959">
        <v>1</v>
      </c>
      <c r="G1871" s="959">
        <v>15</v>
      </c>
      <c r="H1871" s="959">
        <v>149</v>
      </c>
    </row>
    <row r="1872" spans="1:8">
      <c r="A1872" s="959" t="s">
        <v>3568</v>
      </c>
      <c r="B1872" s="960" t="s">
        <v>3569</v>
      </c>
      <c r="C1872" s="960" t="s">
        <v>4257</v>
      </c>
      <c r="D1872" s="960" t="s">
        <v>4258</v>
      </c>
      <c r="E1872" s="959">
        <v>0</v>
      </c>
      <c r="F1872" s="959">
        <v>3</v>
      </c>
      <c r="G1872" s="959">
        <v>1</v>
      </c>
      <c r="H1872" s="959">
        <v>2</v>
      </c>
    </row>
    <row r="1873" spans="1:8">
      <c r="A1873" s="959" t="s">
        <v>3568</v>
      </c>
      <c r="B1873" s="960" t="s">
        <v>3569</v>
      </c>
      <c r="C1873" s="960" t="s">
        <v>4262</v>
      </c>
      <c r="D1873" s="960" t="s">
        <v>4263</v>
      </c>
      <c r="E1873" s="959">
        <v>0</v>
      </c>
      <c r="F1873" s="959">
        <v>1</v>
      </c>
      <c r="G1873" s="959">
        <v>0</v>
      </c>
      <c r="H1873" s="959">
        <v>0</v>
      </c>
    </row>
    <row r="1874" spans="1:8">
      <c r="A1874" s="959" t="s">
        <v>3570</v>
      </c>
      <c r="B1874" s="960" t="s">
        <v>3571</v>
      </c>
      <c r="C1874" s="960" t="s">
        <v>4256</v>
      </c>
      <c r="D1874" s="960" t="s">
        <v>1906</v>
      </c>
      <c r="E1874" s="959">
        <v>1</v>
      </c>
      <c r="F1874" s="959">
        <v>14</v>
      </c>
      <c r="G1874" s="959">
        <v>0</v>
      </c>
      <c r="H1874" s="959">
        <v>0</v>
      </c>
    </row>
    <row r="1875" spans="1:8">
      <c r="A1875" s="959" t="s">
        <v>3570</v>
      </c>
      <c r="B1875" s="960" t="s">
        <v>3571</v>
      </c>
      <c r="C1875" s="960" t="s">
        <v>4256</v>
      </c>
      <c r="D1875" s="960" t="s">
        <v>1907</v>
      </c>
      <c r="E1875" s="959">
        <v>0</v>
      </c>
      <c r="F1875" s="959">
        <v>5</v>
      </c>
      <c r="G1875" s="959">
        <v>0</v>
      </c>
      <c r="H1875" s="959">
        <v>1</v>
      </c>
    </row>
    <row r="1876" spans="1:8">
      <c r="A1876" s="959" t="s">
        <v>3570</v>
      </c>
      <c r="B1876" s="960" t="s">
        <v>3571</v>
      </c>
      <c r="C1876" s="960" t="s">
        <v>4257</v>
      </c>
      <c r="D1876" s="960" t="s">
        <v>4258</v>
      </c>
      <c r="E1876" s="959">
        <v>1</v>
      </c>
      <c r="F1876" s="959">
        <v>19</v>
      </c>
      <c r="G1876" s="959">
        <v>0</v>
      </c>
      <c r="H1876" s="959">
        <v>10</v>
      </c>
    </row>
    <row r="1877" spans="1:8">
      <c r="A1877" s="959" t="s">
        <v>3570</v>
      </c>
      <c r="B1877" s="960" t="s">
        <v>3571</v>
      </c>
      <c r="C1877" s="960" t="s">
        <v>4262</v>
      </c>
      <c r="D1877" s="960" t="s">
        <v>4263</v>
      </c>
      <c r="E1877" s="959">
        <v>15</v>
      </c>
      <c r="F1877" s="959">
        <v>216</v>
      </c>
      <c r="G1877" s="959">
        <v>0</v>
      </c>
      <c r="H1877" s="959">
        <v>14</v>
      </c>
    </row>
    <row r="1878" spans="1:8">
      <c r="A1878" s="959" t="s">
        <v>3573</v>
      </c>
      <c r="B1878" s="960" t="s">
        <v>1263</v>
      </c>
      <c r="C1878" s="960" t="s">
        <v>4257</v>
      </c>
      <c r="D1878" s="960" t="s">
        <v>4258</v>
      </c>
      <c r="E1878" s="959">
        <v>1</v>
      </c>
      <c r="F1878" s="959">
        <v>10</v>
      </c>
      <c r="G1878" s="959">
        <v>0</v>
      </c>
      <c r="H1878" s="959">
        <v>0</v>
      </c>
    </row>
    <row r="1879" spans="1:8">
      <c r="A1879" s="959" t="s">
        <v>3573</v>
      </c>
      <c r="B1879" s="960" t="s">
        <v>1263</v>
      </c>
      <c r="C1879" s="960" t="s">
        <v>4262</v>
      </c>
      <c r="D1879" s="960" t="s">
        <v>4263</v>
      </c>
      <c r="E1879" s="959">
        <v>0</v>
      </c>
      <c r="F1879" s="959">
        <v>2</v>
      </c>
      <c r="G1879" s="959">
        <v>0</v>
      </c>
      <c r="H1879" s="959">
        <v>0</v>
      </c>
    </row>
    <row r="1880" spans="1:8">
      <c r="A1880" s="959" t="s">
        <v>3574</v>
      </c>
      <c r="B1880" s="960" t="s">
        <v>3575</v>
      </c>
      <c r="C1880" s="960" t="s">
        <v>4256</v>
      </c>
      <c r="D1880" s="960" t="s">
        <v>1906</v>
      </c>
      <c r="E1880" s="959">
        <v>4</v>
      </c>
      <c r="F1880" s="959">
        <v>55</v>
      </c>
      <c r="G1880" s="959">
        <v>0</v>
      </c>
      <c r="H1880" s="959">
        <v>0</v>
      </c>
    </row>
    <row r="1881" spans="1:8">
      <c r="A1881" s="959" t="s">
        <v>3574</v>
      </c>
      <c r="B1881" s="960" t="s">
        <v>3575</v>
      </c>
      <c r="C1881" s="960" t="s">
        <v>4257</v>
      </c>
      <c r="D1881" s="960" t="s">
        <v>4258</v>
      </c>
      <c r="E1881" s="959">
        <v>8</v>
      </c>
      <c r="F1881" s="959">
        <v>104</v>
      </c>
      <c r="G1881" s="959">
        <v>0</v>
      </c>
      <c r="H1881" s="959">
        <v>0</v>
      </c>
    </row>
    <row r="1882" spans="1:8">
      <c r="A1882" s="959" t="s">
        <v>3574</v>
      </c>
      <c r="B1882" s="960" t="s">
        <v>3575</v>
      </c>
      <c r="C1882" s="960" t="s">
        <v>4262</v>
      </c>
      <c r="D1882" s="960" t="s">
        <v>4263</v>
      </c>
      <c r="E1882" s="959">
        <v>0</v>
      </c>
      <c r="F1882" s="959">
        <v>64</v>
      </c>
      <c r="G1882" s="959">
        <v>1</v>
      </c>
      <c r="H1882" s="959">
        <v>11</v>
      </c>
    </row>
    <row r="1883" spans="1:8">
      <c r="A1883" s="959" t="s">
        <v>3576</v>
      </c>
      <c r="B1883" s="960" t="s">
        <v>3577</v>
      </c>
      <c r="C1883" s="960" t="s">
        <v>4262</v>
      </c>
      <c r="D1883" s="960" t="s">
        <v>4263</v>
      </c>
      <c r="E1883" s="959">
        <v>0</v>
      </c>
      <c r="F1883" s="959">
        <v>1</v>
      </c>
      <c r="G1883" s="959">
        <v>0</v>
      </c>
      <c r="H1883" s="959">
        <v>0</v>
      </c>
    </row>
    <row r="1884" spans="1:8">
      <c r="A1884" s="959" t="s">
        <v>3578</v>
      </c>
      <c r="B1884" s="960" t="s">
        <v>1268</v>
      </c>
      <c r="C1884" s="960" t="s">
        <v>4262</v>
      </c>
      <c r="D1884" s="960" t="s">
        <v>4263</v>
      </c>
      <c r="E1884" s="959">
        <v>0</v>
      </c>
      <c r="F1884" s="959">
        <v>1</v>
      </c>
      <c r="G1884" s="959">
        <v>0</v>
      </c>
      <c r="H1884" s="959">
        <v>0</v>
      </c>
    </row>
    <row r="1885" spans="1:8">
      <c r="A1885" s="959" t="s">
        <v>3579</v>
      </c>
      <c r="B1885" s="960" t="s">
        <v>1269</v>
      </c>
      <c r="C1885" s="960" t="s">
        <v>4257</v>
      </c>
      <c r="D1885" s="960" t="s">
        <v>4258</v>
      </c>
      <c r="E1885" s="959">
        <v>0</v>
      </c>
      <c r="F1885" s="959">
        <v>6</v>
      </c>
      <c r="G1885" s="959">
        <v>1</v>
      </c>
      <c r="H1885" s="959">
        <v>10</v>
      </c>
    </row>
    <row r="1886" spans="1:8">
      <c r="A1886" s="959" t="s">
        <v>3579</v>
      </c>
      <c r="B1886" s="960" t="s">
        <v>1269</v>
      </c>
      <c r="C1886" s="960" t="s">
        <v>4262</v>
      </c>
      <c r="D1886" s="960" t="s">
        <v>4263</v>
      </c>
      <c r="E1886" s="959">
        <v>2</v>
      </c>
      <c r="F1886" s="959">
        <v>18</v>
      </c>
      <c r="G1886" s="959">
        <v>2</v>
      </c>
      <c r="H1886" s="959">
        <v>4</v>
      </c>
    </row>
    <row r="1887" spans="1:8">
      <c r="A1887" s="959" t="s">
        <v>3580</v>
      </c>
      <c r="B1887" s="960" t="s">
        <v>3581</v>
      </c>
      <c r="C1887" s="960" t="s">
        <v>4257</v>
      </c>
      <c r="D1887" s="960" t="s">
        <v>4258</v>
      </c>
      <c r="E1887" s="959">
        <v>2</v>
      </c>
      <c r="F1887" s="959">
        <v>19</v>
      </c>
      <c r="G1887" s="959">
        <v>0</v>
      </c>
      <c r="H1887" s="959">
        <v>0</v>
      </c>
    </row>
    <row r="1888" spans="1:8">
      <c r="A1888" s="959" t="s">
        <v>3584</v>
      </c>
      <c r="B1888" s="960" t="s">
        <v>3585</v>
      </c>
      <c r="C1888" s="960" t="s">
        <v>4275</v>
      </c>
      <c r="D1888" s="960" t="s">
        <v>4276</v>
      </c>
      <c r="E1888" s="959">
        <v>3</v>
      </c>
      <c r="F1888" s="959">
        <v>64</v>
      </c>
      <c r="G1888" s="959">
        <v>0</v>
      </c>
      <c r="H1888" s="959">
        <v>3</v>
      </c>
    </row>
    <row r="1889" spans="1:8">
      <c r="A1889" s="959" t="s">
        <v>3584</v>
      </c>
      <c r="B1889" s="960" t="s">
        <v>3585</v>
      </c>
      <c r="C1889" s="960" t="s">
        <v>4277</v>
      </c>
      <c r="D1889" s="960" t="s">
        <v>4278</v>
      </c>
      <c r="E1889" s="959">
        <v>0</v>
      </c>
      <c r="F1889" s="959">
        <v>0</v>
      </c>
      <c r="G1889" s="959">
        <v>0</v>
      </c>
      <c r="H1889" s="959">
        <v>1</v>
      </c>
    </row>
    <row r="1890" spans="1:8">
      <c r="A1890" s="959" t="s">
        <v>3584</v>
      </c>
      <c r="B1890" s="960" t="s">
        <v>3585</v>
      </c>
      <c r="C1890" s="960" t="s">
        <v>4256</v>
      </c>
      <c r="D1890" s="960" t="s">
        <v>4260</v>
      </c>
      <c r="E1890" s="959">
        <v>0</v>
      </c>
      <c r="F1890" s="959">
        <v>0</v>
      </c>
      <c r="G1890" s="959">
        <v>0</v>
      </c>
      <c r="H1890" s="959">
        <v>3</v>
      </c>
    </row>
    <row r="1891" spans="1:8">
      <c r="A1891" s="959" t="s">
        <v>3584</v>
      </c>
      <c r="B1891" s="960" t="s">
        <v>3585</v>
      </c>
      <c r="C1891" s="960" t="s">
        <v>4256</v>
      </c>
      <c r="D1891" s="960" t="s">
        <v>1906</v>
      </c>
      <c r="E1891" s="959">
        <v>0</v>
      </c>
      <c r="F1891" s="959">
        <v>5</v>
      </c>
      <c r="G1891" s="959">
        <v>0</v>
      </c>
      <c r="H1891" s="959">
        <v>0</v>
      </c>
    </row>
    <row r="1892" spans="1:8">
      <c r="A1892" s="959" t="s">
        <v>3584</v>
      </c>
      <c r="B1892" s="960" t="s">
        <v>3585</v>
      </c>
      <c r="C1892" s="960" t="s">
        <v>4256</v>
      </c>
      <c r="D1892" s="960" t="s">
        <v>1907</v>
      </c>
      <c r="E1892" s="959">
        <v>0</v>
      </c>
      <c r="F1892" s="959">
        <v>3</v>
      </c>
      <c r="G1892" s="959">
        <v>1</v>
      </c>
      <c r="H1892" s="959">
        <v>13</v>
      </c>
    </row>
    <row r="1893" spans="1:8">
      <c r="A1893" s="959" t="s">
        <v>3584</v>
      </c>
      <c r="B1893" s="960" t="s">
        <v>3585</v>
      </c>
      <c r="C1893" s="960" t="s">
        <v>4257</v>
      </c>
      <c r="D1893" s="960" t="s">
        <v>4258</v>
      </c>
      <c r="E1893" s="959">
        <v>3</v>
      </c>
      <c r="F1893" s="959">
        <v>24</v>
      </c>
      <c r="G1893" s="959">
        <v>0</v>
      </c>
      <c r="H1893" s="959">
        <v>5</v>
      </c>
    </row>
    <row r="1894" spans="1:8">
      <c r="A1894" s="959" t="s">
        <v>3584</v>
      </c>
      <c r="B1894" s="960" t="s">
        <v>3585</v>
      </c>
      <c r="C1894" s="960" t="s">
        <v>4262</v>
      </c>
      <c r="D1894" s="960" t="s">
        <v>4263</v>
      </c>
      <c r="E1894" s="959">
        <v>3</v>
      </c>
      <c r="F1894" s="959">
        <v>60</v>
      </c>
      <c r="G1894" s="959">
        <v>0</v>
      </c>
      <c r="H1894" s="959">
        <v>0</v>
      </c>
    </row>
    <row r="1895" spans="1:8">
      <c r="A1895" s="959" t="s">
        <v>3586</v>
      </c>
      <c r="B1895" s="960" t="s">
        <v>3587</v>
      </c>
      <c r="C1895" s="960" t="s">
        <v>4275</v>
      </c>
      <c r="D1895" s="960" t="s">
        <v>4276</v>
      </c>
      <c r="E1895" s="959">
        <v>6</v>
      </c>
      <c r="F1895" s="959">
        <v>82</v>
      </c>
      <c r="G1895" s="959">
        <v>0</v>
      </c>
      <c r="H1895" s="959">
        <v>2</v>
      </c>
    </row>
    <row r="1896" spans="1:8">
      <c r="A1896" s="959" t="s">
        <v>3586</v>
      </c>
      <c r="B1896" s="960" t="s">
        <v>3587</v>
      </c>
      <c r="C1896" s="960" t="s">
        <v>4256</v>
      </c>
      <c r="D1896" s="960" t="s">
        <v>4259</v>
      </c>
      <c r="E1896" s="959">
        <v>0</v>
      </c>
      <c r="F1896" s="959">
        <v>0</v>
      </c>
      <c r="G1896" s="959">
        <v>0</v>
      </c>
      <c r="H1896" s="959">
        <v>1</v>
      </c>
    </row>
    <row r="1897" spans="1:8">
      <c r="A1897" s="959" t="s">
        <v>3586</v>
      </c>
      <c r="B1897" s="960" t="s">
        <v>3587</v>
      </c>
      <c r="C1897" s="960" t="s">
        <v>4256</v>
      </c>
      <c r="D1897" s="960" t="s">
        <v>1906</v>
      </c>
      <c r="E1897" s="959">
        <v>3</v>
      </c>
      <c r="F1897" s="959">
        <v>33</v>
      </c>
      <c r="G1897" s="959">
        <v>1</v>
      </c>
      <c r="H1897" s="959">
        <v>9</v>
      </c>
    </row>
    <row r="1898" spans="1:8">
      <c r="A1898" s="959" t="s">
        <v>3586</v>
      </c>
      <c r="B1898" s="960" t="s">
        <v>3587</v>
      </c>
      <c r="C1898" s="960" t="s">
        <v>4256</v>
      </c>
      <c r="D1898" s="960" t="s">
        <v>1907</v>
      </c>
      <c r="E1898" s="959">
        <v>1</v>
      </c>
      <c r="F1898" s="959">
        <v>7</v>
      </c>
      <c r="G1898" s="959">
        <v>3</v>
      </c>
      <c r="H1898" s="959">
        <v>33</v>
      </c>
    </row>
    <row r="1899" spans="1:8">
      <c r="A1899" s="959" t="s">
        <v>3586</v>
      </c>
      <c r="B1899" s="960" t="s">
        <v>3587</v>
      </c>
      <c r="C1899" s="960" t="s">
        <v>4257</v>
      </c>
      <c r="D1899" s="960" t="s">
        <v>4258</v>
      </c>
      <c r="E1899" s="959">
        <v>3</v>
      </c>
      <c r="F1899" s="959">
        <v>34</v>
      </c>
      <c r="G1899" s="959">
        <v>1</v>
      </c>
      <c r="H1899" s="959">
        <v>9</v>
      </c>
    </row>
    <row r="1900" spans="1:8">
      <c r="A1900" s="959" t="s">
        <v>3586</v>
      </c>
      <c r="B1900" s="960" t="s">
        <v>3587</v>
      </c>
      <c r="C1900" s="960" t="s">
        <v>4262</v>
      </c>
      <c r="D1900" s="960" t="s">
        <v>4263</v>
      </c>
      <c r="E1900" s="959">
        <v>25</v>
      </c>
      <c r="F1900" s="959">
        <v>456</v>
      </c>
      <c r="G1900" s="959">
        <v>0</v>
      </c>
      <c r="H1900" s="959">
        <v>1</v>
      </c>
    </row>
    <row r="1901" spans="1:8">
      <c r="A1901" s="959" t="s">
        <v>3588</v>
      </c>
      <c r="B1901" s="960" t="s">
        <v>3589</v>
      </c>
      <c r="C1901" s="960" t="s">
        <v>4257</v>
      </c>
      <c r="D1901" s="960" t="s">
        <v>4258</v>
      </c>
      <c r="E1901" s="959">
        <v>0</v>
      </c>
      <c r="F1901" s="959">
        <v>3</v>
      </c>
      <c r="G1901" s="959">
        <v>0</v>
      </c>
      <c r="H1901" s="959">
        <v>0</v>
      </c>
    </row>
    <row r="1902" spans="1:8">
      <c r="A1902" s="959" t="s">
        <v>3588</v>
      </c>
      <c r="B1902" s="960" t="s">
        <v>3589</v>
      </c>
      <c r="C1902" s="960" t="s">
        <v>4262</v>
      </c>
      <c r="D1902" s="960" t="s">
        <v>4263</v>
      </c>
      <c r="E1902" s="959">
        <v>0</v>
      </c>
      <c r="F1902" s="959">
        <v>1</v>
      </c>
      <c r="G1902" s="959">
        <v>0</v>
      </c>
      <c r="H1902" s="959">
        <v>0</v>
      </c>
    </row>
    <row r="1903" spans="1:8">
      <c r="A1903" s="959" t="s">
        <v>3590</v>
      </c>
      <c r="B1903" s="960" t="s">
        <v>1274</v>
      </c>
      <c r="C1903" s="960" t="s">
        <v>4256</v>
      </c>
      <c r="D1903" s="960" t="s">
        <v>4270</v>
      </c>
      <c r="E1903" s="959">
        <v>0</v>
      </c>
      <c r="F1903" s="959">
        <v>0</v>
      </c>
      <c r="G1903" s="959">
        <v>0</v>
      </c>
      <c r="H1903" s="959">
        <v>1</v>
      </c>
    </row>
    <row r="1904" spans="1:8">
      <c r="A1904" s="959" t="s">
        <v>3590</v>
      </c>
      <c r="B1904" s="960" t="s">
        <v>1274</v>
      </c>
      <c r="C1904" s="960" t="s">
        <v>4256</v>
      </c>
      <c r="D1904" s="960" t="s">
        <v>4259</v>
      </c>
      <c r="E1904" s="959">
        <v>0</v>
      </c>
      <c r="F1904" s="959">
        <v>0</v>
      </c>
      <c r="G1904" s="959">
        <v>0</v>
      </c>
      <c r="H1904" s="959">
        <v>1</v>
      </c>
    </row>
    <row r="1905" spans="1:8">
      <c r="A1905" s="959" t="s">
        <v>3590</v>
      </c>
      <c r="B1905" s="960" t="s">
        <v>1274</v>
      </c>
      <c r="C1905" s="960" t="s">
        <v>4256</v>
      </c>
      <c r="D1905" s="960" t="s">
        <v>4260</v>
      </c>
      <c r="E1905" s="959">
        <v>0</v>
      </c>
      <c r="F1905" s="959">
        <v>0</v>
      </c>
      <c r="G1905" s="959">
        <v>0</v>
      </c>
      <c r="H1905" s="959">
        <v>3</v>
      </c>
    </row>
    <row r="1906" spans="1:8">
      <c r="A1906" s="959" t="s">
        <v>3590</v>
      </c>
      <c r="B1906" s="960" t="s">
        <v>1274</v>
      </c>
      <c r="C1906" s="960" t="s">
        <v>4256</v>
      </c>
      <c r="D1906" s="960" t="s">
        <v>1906</v>
      </c>
      <c r="E1906" s="959">
        <v>3</v>
      </c>
      <c r="F1906" s="959">
        <v>133</v>
      </c>
      <c r="G1906" s="959">
        <v>0</v>
      </c>
      <c r="H1906" s="959">
        <v>0</v>
      </c>
    </row>
    <row r="1907" spans="1:8">
      <c r="A1907" s="959" t="s">
        <v>3590</v>
      </c>
      <c r="B1907" s="960" t="s">
        <v>1274</v>
      </c>
      <c r="C1907" s="960" t="s">
        <v>4256</v>
      </c>
      <c r="D1907" s="960" t="s">
        <v>4264</v>
      </c>
      <c r="E1907" s="959">
        <v>0</v>
      </c>
      <c r="F1907" s="959">
        <v>5</v>
      </c>
      <c r="G1907" s="959">
        <v>0</v>
      </c>
      <c r="H1907" s="959">
        <v>0</v>
      </c>
    </row>
    <row r="1908" spans="1:8">
      <c r="A1908" s="959" t="s">
        <v>3590</v>
      </c>
      <c r="B1908" s="960" t="s">
        <v>1274</v>
      </c>
      <c r="C1908" s="960" t="s">
        <v>4257</v>
      </c>
      <c r="D1908" s="960" t="s">
        <v>4258</v>
      </c>
      <c r="E1908" s="959">
        <v>3</v>
      </c>
      <c r="F1908" s="959">
        <v>42</v>
      </c>
      <c r="G1908" s="959">
        <v>0</v>
      </c>
      <c r="H1908" s="959">
        <v>4</v>
      </c>
    </row>
    <row r="1909" spans="1:8">
      <c r="A1909" s="959" t="s">
        <v>3590</v>
      </c>
      <c r="B1909" s="960" t="s">
        <v>1274</v>
      </c>
      <c r="C1909" s="960" t="s">
        <v>4262</v>
      </c>
      <c r="D1909" s="960" t="s">
        <v>4263</v>
      </c>
      <c r="E1909" s="959">
        <v>4</v>
      </c>
      <c r="F1909" s="959">
        <v>50</v>
      </c>
      <c r="G1909" s="959">
        <v>0</v>
      </c>
      <c r="H1909" s="959">
        <v>0</v>
      </c>
    </row>
    <row r="1910" spans="1:8">
      <c r="A1910" s="959" t="s">
        <v>3592</v>
      </c>
      <c r="B1910" s="960" t="s">
        <v>1281</v>
      </c>
      <c r="C1910" s="960" t="s">
        <v>4256</v>
      </c>
      <c r="D1910" s="960" t="s">
        <v>4259</v>
      </c>
      <c r="E1910" s="959">
        <v>0</v>
      </c>
      <c r="F1910" s="959">
        <v>1</v>
      </c>
      <c r="G1910" s="959">
        <v>0</v>
      </c>
      <c r="H1910" s="959">
        <v>0</v>
      </c>
    </row>
    <row r="1911" spans="1:8">
      <c r="A1911" s="959" t="s">
        <v>3592</v>
      </c>
      <c r="B1911" s="960" t="s">
        <v>1281</v>
      </c>
      <c r="C1911" s="960" t="s">
        <v>4256</v>
      </c>
      <c r="D1911" s="960" t="s">
        <v>4260</v>
      </c>
      <c r="E1911" s="959">
        <v>0</v>
      </c>
      <c r="F1911" s="959">
        <v>2</v>
      </c>
      <c r="G1911" s="959">
        <v>0</v>
      </c>
      <c r="H1911" s="959">
        <v>0</v>
      </c>
    </row>
    <row r="1912" spans="1:8">
      <c r="A1912" s="959" t="s">
        <v>3592</v>
      </c>
      <c r="B1912" s="960" t="s">
        <v>1281</v>
      </c>
      <c r="C1912" s="960" t="s">
        <v>4256</v>
      </c>
      <c r="D1912" s="960" t="s">
        <v>1906</v>
      </c>
      <c r="E1912" s="959">
        <v>0</v>
      </c>
      <c r="F1912" s="959">
        <v>1</v>
      </c>
      <c r="G1912" s="959">
        <v>0</v>
      </c>
      <c r="H1912" s="959">
        <v>0</v>
      </c>
    </row>
    <row r="1913" spans="1:8">
      <c r="A1913" s="959" t="s">
        <v>3592</v>
      </c>
      <c r="B1913" s="960" t="s">
        <v>1281</v>
      </c>
      <c r="C1913" s="960" t="s">
        <v>4257</v>
      </c>
      <c r="D1913" s="960" t="s">
        <v>4258</v>
      </c>
      <c r="E1913" s="959">
        <v>0</v>
      </c>
      <c r="F1913" s="959">
        <v>8</v>
      </c>
      <c r="G1913" s="959">
        <v>0</v>
      </c>
      <c r="H1913" s="959">
        <v>0</v>
      </c>
    </row>
    <row r="1914" spans="1:8">
      <c r="A1914" s="959" t="s">
        <v>3592</v>
      </c>
      <c r="B1914" s="960" t="s">
        <v>1281</v>
      </c>
      <c r="C1914" s="960" t="s">
        <v>4262</v>
      </c>
      <c r="D1914" s="960" t="s">
        <v>4263</v>
      </c>
      <c r="E1914" s="959">
        <v>37</v>
      </c>
      <c r="F1914" s="959">
        <v>649</v>
      </c>
      <c r="G1914" s="959">
        <v>0</v>
      </c>
      <c r="H1914" s="959">
        <v>0</v>
      </c>
    </row>
    <row r="1915" spans="1:8">
      <c r="A1915" s="959" t="s">
        <v>3593</v>
      </c>
      <c r="B1915" s="960" t="s">
        <v>1286</v>
      </c>
      <c r="C1915" s="960" t="s">
        <v>4256</v>
      </c>
      <c r="D1915" s="960" t="s">
        <v>4259</v>
      </c>
      <c r="E1915" s="959">
        <v>0</v>
      </c>
      <c r="F1915" s="959">
        <v>1</v>
      </c>
      <c r="G1915" s="959">
        <v>0</v>
      </c>
      <c r="H1915" s="959">
        <v>0</v>
      </c>
    </row>
    <row r="1916" spans="1:8">
      <c r="A1916" s="959" t="s">
        <v>3593</v>
      </c>
      <c r="B1916" s="960" t="s">
        <v>1286</v>
      </c>
      <c r="C1916" s="960" t="s">
        <v>4256</v>
      </c>
      <c r="D1916" s="960" t="s">
        <v>4260</v>
      </c>
      <c r="E1916" s="959">
        <v>0</v>
      </c>
      <c r="F1916" s="959">
        <v>2</v>
      </c>
      <c r="G1916" s="959">
        <v>0</v>
      </c>
      <c r="H1916" s="959">
        <v>0</v>
      </c>
    </row>
    <row r="1917" spans="1:8">
      <c r="A1917" s="959" t="s">
        <v>3593</v>
      </c>
      <c r="B1917" s="960" t="s">
        <v>1286</v>
      </c>
      <c r="C1917" s="960" t="s">
        <v>4257</v>
      </c>
      <c r="D1917" s="960" t="s">
        <v>4258</v>
      </c>
      <c r="E1917" s="959">
        <v>0</v>
      </c>
      <c r="F1917" s="959">
        <v>3</v>
      </c>
      <c r="G1917" s="959">
        <v>0</v>
      </c>
      <c r="H1917" s="959">
        <v>0</v>
      </c>
    </row>
    <row r="1918" spans="1:8">
      <c r="A1918" s="959" t="s">
        <v>3593</v>
      </c>
      <c r="B1918" s="960" t="s">
        <v>1286</v>
      </c>
      <c r="C1918" s="960" t="s">
        <v>4262</v>
      </c>
      <c r="D1918" s="960" t="s">
        <v>4263</v>
      </c>
      <c r="E1918" s="959">
        <v>1</v>
      </c>
      <c r="F1918" s="959">
        <v>91</v>
      </c>
      <c r="G1918" s="959">
        <v>0</v>
      </c>
      <c r="H1918" s="959">
        <v>0</v>
      </c>
    </row>
    <row r="1919" spans="1:8">
      <c r="A1919" s="959" t="s">
        <v>3594</v>
      </c>
      <c r="B1919" s="960" t="s">
        <v>1291</v>
      </c>
      <c r="C1919" s="960" t="s">
        <v>4256</v>
      </c>
      <c r="D1919" s="960" t="s">
        <v>470</v>
      </c>
      <c r="E1919" s="959">
        <v>0</v>
      </c>
      <c r="F1919" s="959">
        <v>0</v>
      </c>
      <c r="G1919" s="959">
        <v>0</v>
      </c>
      <c r="H1919" s="959">
        <v>6</v>
      </c>
    </row>
    <row r="1920" spans="1:8">
      <c r="A1920" s="959" t="s">
        <v>3594</v>
      </c>
      <c r="B1920" s="960" t="s">
        <v>1291</v>
      </c>
      <c r="C1920" s="960" t="s">
        <v>4256</v>
      </c>
      <c r="D1920" s="960" t="s">
        <v>4259</v>
      </c>
      <c r="E1920" s="959">
        <v>0</v>
      </c>
      <c r="F1920" s="959">
        <v>0</v>
      </c>
      <c r="G1920" s="959">
        <v>0</v>
      </c>
      <c r="H1920" s="959">
        <v>1</v>
      </c>
    </row>
    <row r="1921" spans="1:8">
      <c r="A1921" s="959" t="s">
        <v>3594</v>
      </c>
      <c r="B1921" s="960" t="s">
        <v>1291</v>
      </c>
      <c r="C1921" s="960" t="s">
        <v>4256</v>
      </c>
      <c r="D1921" s="960" t="s">
        <v>4260</v>
      </c>
      <c r="E1921" s="959">
        <v>0</v>
      </c>
      <c r="F1921" s="959">
        <v>1</v>
      </c>
      <c r="G1921" s="959">
        <v>0</v>
      </c>
      <c r="H1921" s="959">
        <v>3</v>
      </c>
    </row>
    <row r="1922" spans="1:8">
      <c r="A1922" s="959" t="s">
        <v>3594</v>
      </c>
      <c r="B1922" s="960" t="s">
        <v>1291</v>
      </c>
      <c r="C1922" s="960" t="s">
        <v>4256</v>
      </c>
      <c r="D1922" s="960" t="s">
        <v>4265</v>
      </c>
      <c r="E1922" s="959">
        <v>0</v>
      </c>
      <c r="F1922" s="959">
        <v>0</v>
      </c>
      <c r="G1922" s="959">
        <v>0</v>
      </c>
      <c r="H1922" s="959">
        <v>6</v>
      </c>
    </row>
    <row r="1923" spans="1:8">
      <c r="A1923" s="959" t="s">
        <v>3594</v>
      </c>
      <c r="B1923" s="960" t="s">
        <v>1291</v>
      </c>
      <c r="C1923" s="960" t="s">
        <v>4256</v>
      </c>
      <c r="D1923" s="960" t="s">
        <v>4271</v>
      </c>
      <c r="E1923" s="959">
        <v>0</v>
      </c>
      <c r="F1923" s="959">
        <v>0</v>
      </c>
      <c r="G1923" s="959">
        <v>0</v>
      </c>
      <c r="H1923" s="959">
        <v>1</v>
      </c>
    </row>
    <row r="1924" spans="1:8">
      <c r="A1924" s="959" t="s">
        <v>3594</v>
      </c>
      <c r="B1924" s="960" t="s">
        <v>1291</v>
      </c>
      <c r="C1924" s="960" t="s">
        <v>4256</v>
      </c>
      <c r="D1924" s="961" t="s">
        <v>4266</v>
      </c>
      <c r="E1924" s="959">
        <v>0</v>
      </c>
      <c r="F1924" s="959">
        <v>0</v>
      </c>
      <c r="G1924" s="959">
        <v>0</v>
      </c>
      <c r="H1924" s="959">
        <v>1</v>
      </c>
    </row>
    <row r="1925" spans="1:8">
      <c r="A1925" s="959" t="s">
        <v>3594</v>
      </c>
      <c r="B1925" s="960" t="s">
        <v>1291</v>
      </c>
      <c r="C1925" s="960" t="s">
        <v>4257</v>
      </c>
      <c r="D1925" s="960" t="s">
        <v>4258</v>
      </c>
      <c r="E1925" s="959">
        <v>0</v>
      </c>
      <c r="F1925" s="959">
        <v>199</v>
      </c>
      <c r="G1925" s="959">
        <v>0</v>
      </c>
      <c r="H1925" s="959">
        <v>1</v>
      </c>
    </row>
    <row r="1926" spans="1:8">
      <c r="A1926" s="959" t="s">
        <v>3594</v>
      </c>
      <c r="B1926" s="960" t="s">
        <v>1291</v>
      </c>
      <c r="C1926" s="960" t="s">
        <v>4262</v>
      </c>
      <c r="D1926" s="960" t="s">
        <v>4263</v>
      </c>
      <c r="E1926" s="959">
        <v>0</v>
      </c>
      <c r="F1926" s="959">
        <v>2</v>
      </c>
      <c r="G1926" s="959">
        <v>0</v>
      </c>
      <c r="H1926" s="959">
        <v>0</v>
      </c>
    </row>
    <row r="1927" spans="1:8">
      <c r="A1927" s="959" t="s">
        <v>3595</v>
      </c>
      <c r="B1927" s="960" t="s">
        <v>3596</v>
      </c>
      <c r="C1927" s="960" t="s">
        <v>4256</v>
      </c>
      <c r="D1927" s="960" t="s">
        <v>470</v>
      </c>
      <c r="E1927" s="959">
        <v>0</v>
      </c>
      <c r="F1927" s="959">
        <v>0</v>
      </c>
      <c r="G1927" s="959">
        <v>0</v>
      </c>
      <c r="H1927" s="959">
        <v>1</v>
      </c>
    </row>
    <row r="1928" spans="1:8">
      <c r="A1928" s="959" t="s">
        <v>3595</v>
      </c>
      <c r="B1928" s="960" t="s">
        <v>3596</v>
      </c>
      <c r="C1928" s="960" t="s">
        <v>4256</v>
      </c>
      <c r="D1928" s="960" t="s">
        <v>1904</v>
      </c>
      <c r="E1928" s="959">
        <v>0</v>
      </c>
      <c r="F1928" s="959">
        <v>0</v>
      </c>
      <c r="G1928" s="959">
        <v>0</v>
      </c>
      <c r="H1928" s="959">
        <v>1</v>
      </c>
    </row>
    <row r="1929" spans="1:8">
      <c r="A1929" s="959" t="s">
        <v>3595</v>
      </c>
      <c r="B1929" s="960" t="s">
        <v>3596</v>
      </c>
      <c r="C1929" s="960" t="s">
        <v>4256</v>
      </c>
      <c r="D1929" s="960" t="s">
        <v>4270</v>
      </c>
      <c r="E1929" s="959">
        <v>0</v>
      </c>
      <c r="F1929" s="959">
        <v>0</v>
      </c>
      <c r="G1929" s="959">
        <v>0</v>
      </c>
      <c r="H1929" s="959">
        <v>1</v>
      </c>
    </row>
    <row r="1930" spans="1:8">
      <c r="A1930" s="959" t="s">
        <v>3595</v>
      </c>
      <c r="B1930" s="960" t="s">
        <v>3596</v>
      </c>
      <c r="C1930" s="960" t="s">
        <v>4256</v>
      </c>
      <c r="D1930" s="960" t="s">
        <v>4259</v>
      </c>
      <c r="E1930" s="959">
        <v>0</v>
      </c>
      <c r="F1930" s="959">
        <v>0</v>
      </c>
      <c r="G1930" s="959">
        <v>0</v>
      </c>
      <c r="H1930" s="959">
        <v>1</v>
      </c>
    </row>
    <row r="1931" spans="1:8">
      <c r="A1931" s="959" t="s">
        <v>3595</v>
      </c>
      <c r="B1931" s="960" t="s">
        <v>3596</v>
      </c>
      <c r="C1931" s="960" t="s">
        <v>4256</v>
      </c>
      <c r="D1931" s="960" t="s">
        <v>4260</v>
      </c>
      <c r="E1931" s="959">
        <v>0</v>
      </c>
      <c r="F1931" s="959">
        <v>0</v>
      </c>
      <c r="G1931" s="959">
        <v>0</v>
      </c>
      <c r="H1931" s="959">
        <v>1</v>
      </c>
    </row>
    <row r="1932" spans="1:8">
      <c r="A1932" s="959" t="s">
        <v>3595</v>
      </c>
      <c r="B1932" s="960" t="s">
        <v>3596</v>
      </c>
      <c r="C1932" s="960" t="s">
        <v>4256</v>
      </c>
      <c r="D1932" s="960" t="s">
        <v>4265</v>
      </c>
      <c r="E1932" s="959">
        <v>0</v>
      </c>
      <c r="F1932" s="959">
        <v>0</v>
      </c>
      <c r="G1932" s="959">
        <v>0</v>
      </c>
      <c r="H1932" s="959">
        <v>1</v>
      </c>
    </row>
    <row r="1933" spans="1:8">
      <c r="A1933" s="959" t="s">
        <v>3595</v>
      </c>
      <c r="B1933" s="960" t="s">
        <v>3596</v>
      </c>
      <c r="C1933" s="960" t="s">
        <v>4256</v>
      </c>
      <c r="D1933" s="960" t="s">
        <v>1906</v>
      </c>
      <c r="E1933" s="959">
        <v>1</v>
      </c>
      <c r="F1933" s="959">
        <v>0</v>
      </c>
      <c r="G1933" s="959">
        <v>0</v>
      </c>
      <c r="H1933" s="959">
        <v>0</v>
      </c>
    </row>
    <row r="1934" spans="1:8">
      <c r="A1934" s="959" t="s">
        <v>3595</v>
      </c>
      <c r="B1934" s="960" t="s">
        <v>3596</v>
      </c>
      <c r="C1934" s="960" t="s">
        <v>4257</v>
      </c>
      <c r="D1934" s="960" t="s">
        <v>4258</v>
      </c>
      <c r="E1934" s="959">
        <v>0</v>
      </c>
      <c r="F1934" s="959">
        <v>1</v>
      </c>
      <c r="G1934" s="959">
        <v>0</v>
      </c>
      <c r="H1934" s="959">
        <v>0</v>
      </c>
    </row>
    <row r="1935" spans="1:8">
      <c r="A1935" s="959" t="s">
        <v>3595</v>
      </c>
      <c r="B1935" s="960" t="s">
        <v>3596</v>
      </c>
      <c r="C1935" s="960" t="s">
        <v>4262</v>
      </c>
      <c r="D1935" s="960" t="s">
        <v>4263</v>
      </c>
      <c r="E1935" s="959">
        <v>0</v>
      </c>
      <c r="F1935" s="959">
        <v>5</v>
      </c>
      <c r="G1935" s="959">
        <v>0</v>
      </c>
      <c r="H1935" s="959">
        <v>0</v>
      </c>
    </row>
    <row r="1936" spans="1:8">
      <c r="A1936" s="959" t="s">
        <v>3597</v>
      </c>
      <c r="B1936" s="960" t="s">
        <v>3598</v>
      </c>
      <c r="C1936" s="960" t="s">
        <v>4256</v>
      </c>
      <c r="D1936" s="960" t="s">
        <v>1906</v>
      </c>
      <c r="E1936" s="959">
        <v>0</v>
      </c>
      <c r="F1936" s="959">
        <v>2</v>
      </c>
      <c r="G1936" s="959">
        <v>1</v>
      </c>
      <c r="H1936" s="959">
        <v>11</v>
      </c>
    </row>
    <row r="1937" spans="1:8">
      <c r="A1937" s="959" t="s">
        <v>3597</v>
      </c>
      <c r="B1937" s="960" t="s">
        <v>3598</v>
      </c>
      <c r="C1937" s="960" t="s">
        <v>4257</v>
      </c>
      <c r="D1937" s="960" t="s">
        <v>4258</v>
      </c>
      <c r="E1937" s="959">
        <v>1</v>
      </c>
      <c r="F1937" s="959">
        <v>8</v>
      </c>
      <c r="G1937" s="959">
        <v>0</v>
      </c>
      <c r="H1937" s="959">
        <v>0</v>
      </c>
    </row>
    <row r="1938" spans="1:8">
      <c r="A1938" s="959" t="s">
        <v>3597</v>
      </c>
      <c r="B1938" s="960" t="s">
        <v>3598</v>
      </c>
      <c r="C1938" s="960" t="s">
        <v>4262</v>
      </c>
      <c r="D1938" s="960" t="s">
        <v>4263</v>
      </c>
      <c r="E1938" s="959">
        <v>0</v>
      </c>
      <c r="F1938" s="959">
        <v>1</v>
      </c>
      <c r="G1938" s="959">
        <v>0</v>
      </c>
      <c r="H1938" s="959">
        <v>0</v>
      </c>
    </row>
    <row r="1939" spans="1:8">
      <c r="A1939" s="959" t="s">
        <v>3599</v>
      </c>
      <c r="B1939" s="960" t="s">
        <v>1294</v>
      </c>
      <c r="C1939" s="960" t="s">
        <v>4256</v>
      </c>
      <c r="D1939" s="960" t="s">
        <v>4296</v>
      </c>
      <c r="E1939" s="959">
        <v>0</v>
      </c>
      <c r="F1939" s="959">
        <v>1</v>
      </c>
      <c r="G1939" s="959">
        <v>0</v>
      </c>
      <c r="H1939" s="959">
        <v>0</v>
      </c>
    </row>
    <row r="1940" spans="1:8">
      <c r="A1940" s="959" t="s">
        <v>3599</v>
      </c>
      <c r="B1940" s="960" t="s">
        <v>1294</v>
      </c>
      <c r="C1940" s="960" t="s">
        <v>4256</v>
      </c>
      <c r="D1940" s="960" t="s">
        <v>4259</v>
      </c>
      <c r="E1940" s="959">
        <v>0</v>
      </c>
      <c r="F1940" s="959">
        <v>0</v>
      </c>
      <c r="G1940" s="959">
        <v>0</v>
      </c>
      <c r="H1940" s="959">
        <v>1</v>
      </c>
    </row>
    <row r="1941" spans="1:8">
      <c r="A1941" s="959" t="s">
        <v>3599</v>
      </c>
      <c r="B1941" s="960" t="s">
        <v>1294</v>
      </c>
      <c r="C1941" s="960" t="s">
        <v>4256</v>
      </c>
      <c r="D1941" s="960" t="s">
        <v>4260</v>
      </c>
      <c r="E1941" s="959">
        <v>0</v>
      </c>
      <c r="F1941" s="959">
        <v>0</v>
      </c>
      <c r="G1941" s="959">
        <v>0</v>
      </c>
      <c r="H1941" s="959">
        <v>1</v>
      </c>
    </row>
    <row r="1942" spans="1:8">
      <c r="A1942" s="959" t="s">
        <v>3599</v>
      </c>
      <c r="B1942" s="960" t="s">
        <v>1294</v>
      </c>
      <c r="C1942" s="960" t="s">
        <v>4257</v>
      </c>
      <c r="D1942" s="960" t="s">
        <v>4258</v>
      </c>
      <c r="E1942" s="959">
        <v>0</v>
      </c>
      <c r="F1942" s="959">
        <v>2</v>
      </c>
      <c r="G1942" s="959">
        <v>0</v>
      </c>
      <c r="H1942" s="959">
        <v>0</v>
      </c>
    </row>
    <row r="1943" spans="1:8">
      <c r="A1943" s="959" t="s">
        <v>3599</v>
      </c>
      <c r="B1943" s="960" t="s">
        <v>1294</v>
      </c>
      <c r="C1943" s="960" t="s">
        <v>4262</v>
      </c>
      <c r="D1943" s="960" t="s">
        <v>4263</v>
      </c>
      <c r="E1943" s="959">
        <v>2</v>
      </c>
      <c r="F1943" s="959">
        <v>86</v>
      </c>
      <c r="G1943" s="959">
        <v>0</v>
      </c>
      <c r="H1943" s="959">
        <v>0</v>
      </c>
    </row>
    <row r="1944" spans="1:8">
      <c r="A1944" s="959" t="s">
        <v>3601</v>
      </c>
      <c r="B1944" s="960" t="s">
        <v>3602</v>
      </c>
      <c r="C1944" s="960" t="s">
        <v>4256</v>
      </c>
      <c r="D1944" s="960" t="s">
        <v>1906</v>
      </c>
      <c r="E1944" s="959">
        <v>2</v>
      </c>
      <c r="F1944" s="959">
        <v>33</v>
      </c>
      <c r="G1944" s="959">
        <v>0</v>
      </c>
      <c r="H1944" s="959">
        <v>0</v>
      </c>
    </row>
    <row r="1945" spans="1:8">
      <c r="A1945" s="959" t="s">
        <v>3601</v>
      </c>
      <c r="B1945" s="960" t="s">
        <v>3602</v>
      </c>
      <c r="C1945" s="960" t="s">
        <v>4257</v>
      </c>
      <c r="D1945" s="960" t="s">
        <v>4258</v>
      </c>
      <c r="E1945" s="959">
        <v>0</v>
      </c>
      <c r="F1945" s="959">
        <v>5</v>
      </c>
      <c r="G1945" s="959">
        <v>0</v>
      </c>
      <c r="H1945" s="959">
        <v>0</v>
      </c>
    </row>
    <row r="1946" spans="1:8">
      <c r="A1946" s="959" t="s">
        <v>3604</v>
      </c>
      <c r="B1946" s="960" t="s">
        <v>3605</v>
      </c>
      <c r="C1946" s="960" t="s">
        <v>4256</v>
      </c>
      <c r="D1946" s="960" t="s">
        <v>1906</v>
      </c>
      <c r="E1946" s="959">
        <v>10</v>
      </c>
      <c r="F1946" s="959">
        <v>148</v>
      </c>
      <c r="G1946" s="959">
        <v>0</v>
      </c>
      <c r="H1946" s="959">
        <v>1</v>
      </c>
    </row>
    <row r="1947" spans="1:8">
      <c r="A1947" s="959" t="s">
        <v>3604</v>
      </c>
      <c r="B1947" s="960" t="s">
        <v>3605</v>
      </c>
      <c r="C1947" s="960" t="s">
        <v>4257</v>
      </c>
      <c r="D1947" s="960" t="s">
        <v>4258</v>
      </c>
      <c r="E1947" s="959">
        <v>18</v>
      </c>
      <c r="F1947" s="959">
        <v>295</v>
      </c>
      <c r="G1947" s="959">
        <v>2</v>
      </c>
      <c r="H1947" s="959">
        <v>35</v>
      </c>
    </row>
    <row r="1948" spans="1:8">
      <c r="A1948" s="959" t="s">
        <v>3604</v>
      </c>
      <c r="B1948" s="960" t="s">
        <v>3605</v>
      </c>
      <c r="C1948" s="960" t="s">
        <v>4262</v>
      </c>
      <c r="D1948" s="960" t="s">
        <v>4263</v>
      </c>
      <c r="E1948" s="959">
        <v>0</v>
      </c>
      <c r="F1948" s="959">
        <v>4</v>
      </c>
      <c r="G1948" s="959">
        <v>0</v>
      </c>
      <c r="H1948" s="959">
        <v>0</v>
      </c>
    </row>
    <row r="1949" spans="1:8">
      <c r="A1949" s="959" t="s">
        <v>3606</v>
      </c>
      <c r="B1949" s="960" t="s">
        <v>3607</v>
      </c>
      <c r="C1949" s="960" t="s">
        <v>4256</v>
      </c>
      <c r="D1949" s="960" t="s">
        <v>1906</v>
      </c>
      <c r="E1949" s="959">
        <v>8</v>
      </c>
      <c r="F1949" s="959">
        <v>53</v>
      </c>
      <c r="G1949" s="959">
        <v>0</v>
      </c>
      <c r="H1949" s="959">
        <v>0</v>
      </c>
    </row>
    <row r="1950" spans="1:8">
      <c r="A1950" s="959" t="s">
        <v>3606</v>
      </c>
      <c r="B1950" s="960" t="s">
        <v>3607</v>
      </c>
      <c r="C1950" s="960" t="s">
        <v>4257</v>
      </c>
      <c r="D1950" s="960" t="s">
        <v>4258</v>
      </c>
      <c r="E1950" s="959">
        <v>5</v>
      </c>
      <c r="F1950" s="959">
        <v>93</v>
      </c>
      <c r="G1950" s="959">
        <v>0</v>
      </c>
      <c r="H1950" s="959">
        <v>0</v>
      </c>
    </row>
    <row r="1951" spans="1:8">
      <c r="A1951" s="959" t="s">
        <v>3606</v>
      </c>
      <c r="B1951" s="960" t="s">
        <v>3607</v>
      </c>
      <c r="C1951" s="960" t="s">
        <v>4262</v>
      </c>
      <c r="D1951" s="960" t="s">
        <v>4263</v>
      </c>
      <c r="E1951" s="959">
        <v>0</v>
      </c>
      <c r="F1951" s="959">
        <v>7</v>
      </c>
      <c r="G1951" s="959">
        <v>0</v>
      </c>
      <c r="H1951" s="959">
        <v>0</v>
      </c>
    </row>
    <row r="1952" spans="1:8">
      <c r="A1952" s="959" t="s">
        <v>3608</v>
      </c>
      <c r="B1952" s="960" t="s">
        <v>3609</v>
      </c>
      <c r="C1952" s="960" t="s">
        <v>4257</v>
      </c>
      <c r="D1952" s="960" t="s">
        <v>4258</v>
      </c>
      <c r="E1952" s="959">
        <v>0</v>
      </c>
      <c r="F1952" s="959">
        <v>3</v>
      </c>
      <c r="G1952" s="959">
        <v>0</v>
      </c>
      <c r="H1952" s="959">
        <v>0</v>
      </c>
    </row>
    <row r="1953" spans="1:8">
      <c r="A1953" s="959" t="s">
        <v>3610</v>
      </c>
      <c r="B1953" s="960" t="s">
        <v>3611</v>
      </c>
      <c r="C1953" s="960" t="s">
        <v>4256</v>
      </c>
      <c r="D1953" s="960" t="s">
        <v>470</v>
      </c>
      <c r="E1953" s="959">
        <v>0</v>
      </c>
      <c r="F1953" s="959">
        <v>1</v>
      </c>
      <c r="G1953" s="959">
        <v>0</v>
      </c>
      <c r="H1953" s="959">
        <v>7</v>
      </c>
    </row>
    <row r="1954" spans="1:8">
      <c r="A1954" s="959" t="s">
        <v>3610</v>
      </c>
      <c r="B1954" s="960" t="s">
        <v>3611</v>
      </c>
      <c r="C1954" s="960" t="s">
        <v>4256</v>
      </c>
      <c r="D1954" s="960" t="s">
        <v>1904</v>
      </c>
      <c r="E1954" s="959">
        <v>0</v>
      </c>
      <c r="F1954" s="959">
        <v>0</v>
      </c>
      <c r="G1954" s="959">
        <v>0</v>
      </c>
      <c r="H1954" s="959">
        <v>2</v>
      </c>
    </row>
    <row r="1955" spans="1:8">
      <c r="A1955" s="959" t="s">
        <v>3610</v>
      </c>
      <c r="B1955" s="960" t="s">
        <v>3611</v>
      </c>
      <c r="C1955" s="960" t="s">
        <v>4256</v>
      </c>
      <c r="D1955" s="960" t="s">
        <v>4260</v>
      </c>
      <c r="E1955" s="959">
        <v>0</v>
      </c>
      <c r="F1955" s="959">
        <v>1</v>
      </c>
      <c r="G1955" s="959">
        <v>0</v>
      </c>
      <c r="H1955" s="959">
        <v>1</v>
      </c>
    </row>
    <row r="1956" spans="1:8">
      <c r="A1956" s="959" t="s">
        <v>3610</v>
      </c>
      <c r="B1956" s="960" t="s">
        <v>3611</v>
      </c>
      <c r="C1956" s="960" t="s">
        <v>4256</v>
      </c>
      <c r="D1956" s="960" t="s">
        <v>1906</v>
      </c>
      <c r="E1956" s="959">
        <v>0</v>
      </c>
      <c r="F1956" s="959">
        <v>2</v>
      </c>
      <c r="G1956" s="959">
        <v>0</v>
      </c>
      <c r="H1956" s="959">
        <v>0</v>
      </c>
    </row>
    <row r="1957" spans="1:8">
      <c r="A1957" s="959" t="s">
        <v>3610</v>
      </c>
      <c r="B1957" s="960" t="s">
        <v>3611</v>
      </c>
      <c r="C1957" s="960" t="s">
        <v>4257</v>
      </c>
      <c r="D1957" s="960" t="s">
        <v>4258</v>
      </c>
      <c r="E1957" s="959">
        <v>1</v>
      </c>
      <c r="F1957" s="959">
        <v>42</v>
      </c>
      <c r="G1957" s="959">
        <v>0</v>
      </c>
      <c r="H1957" s="959">
        <v>0</v>
      </c>
    </row>
    <row r="1958" spans="1:8">
      <c r="A1958" s="959" t="s">
        <v>3610</v>
      </c>
      <c r="B1958" s="960" t="s">
        <v>3611</v>
      </c>
      <c r="C1958" s="960" t="s">
        <v>4262</v>
      </c>
      <c r="D1958" s="960" t="s">
        <v>4263</v>
      </c>
      <c r="E1958" s="959">
        <v>0</v>
      </c>
      <c r="F1958" s="959">
        <v>4</v>
      </c>
      <c r="G1958" s="959">
        <v>0</v>
      </c>
      <c r="H1958" s="959">
        <v>0</v>
      </c>
    </row>
    <row r="1959" spans="1:8">
      <c r="A1959" s="959" t="s">
        <v>3615</v>
      </c>
      <c r="B1959" s="960" t="s">
        <v>1306</v>
      </c>
      <c r="C1959" s="960" t="s">
        <v>4256</v>
      </c>
      <c r="D1959" s="960" t="s">
        <v>4260</v>
      </c>
      <c r="E1959" s="959">
        <v>0</v>
      </c>
      <c r="F1959" s="959">
        <v>0</v>
      </c>
      <c r="G1959" s="959">
        <v>0</v>
      </c>
      <c r="H1959" s="959">
        <v>1</v>
      </c>
    </row>
    <row r="1960" spans="1:8">
      <c r="A1960" s="959" t="s">
        <v>3615</v>
      </c>
      <c r="B1960" s="960" t="s">
        <v>1306</v>
      </c>
      <c r="C1960" s="960" t="s">
        <v>4256</v>
      </c>
      <c r="D1960" s="960" t="s">
        <v>4265</v>
      </c>
      <c r="E1960" s="959">
        <v>0</v>
      </c>
      <c r="F1960" s="959">
        <v>1</v>
      </c>
      <c r="G1960" s="959">
        <v>0</v>
      </c>
      <c r="H1960" s="959">
        <v>0</v>
      </c>
    </row>
    <row r="1961" spans="1:8">
      <c r="A1961" s="959" t="s">
        <v>3615</v>
      </c>
      <c r="B1961" s="960" t="s">
        <v>1306</v>
      </c>
      <c r="C1961" s="960" t="s">
        <v>4256</v>
      </c>
      <c r="D1961" s="960" t="s">
        <v>1906</v>
      </c>
      <c r="E1961" s="959">
        <v>0</v>
      </c>
      <c r="F1961" s="959">
        <v>3</v>
      </c>
      <c r="G1961" s="959">
        <v>0</v>
      </c>
      <c r="H1961" s="959">
        <v>0</v>
      </c>
    </row>
    <row r="1962" spans="1:8">
      <c r="A1962" s="959" t="s">
        <v>3615</v>
      </c>
      <c r="B1962" s="960" t="s">
        <v>1306</v>
      </c>
      <c r="C1962" s="960" t="s">
        <v>4257</v>
      </c>
      <c r="D1962" s="960" t="s">
        <v>4258</v>
      </c>
      <c r="E1962" s="959">
        <v>1</v>
      </c>
      <c r="F1962" s="959">
        <v>10</v>
      </c>
      <c r="G1962" s="959">
        <v>0</v>
      </c>
      <c r="H1962" s="959">
        <v>0</v>
      </c>
    </row>
    <row r="1963" spans="1:8">
      <c r="A1963" s="959" t="s">
        <v>3615</v>
      </c>
      <c r="B1963" s="960" t="s">
        <v>1306</v>
      </c>
      <c r="C1963" s="960" t="s">
        <v>4262</v>
      </c>
      <c r="D1963" s="960" t="s">
        <v>4263</v>
      </c>
      <c r="E1963" s="959">
        <v>0</v>
      </c>
      <c r="F1963" s="959">
        <v>1</v>
      </c>
      <c r="G1963" s="959">
        <v>0</v>
      </c>
      <c r="H1963" s="959">
        <v>0</v>
      </c>
    </row>
    <row r="1964" spans="1:8">
      <c r="A1964" s="959" t="s">
        <v>3617</v>
      </c>
      <c r="B1964" s="960" t="s">
        <v>3618</v>
      </c>
      <c r="C1964" s="960" t="s">
        <v>4256</v>
      </c>
      <c r="D1964" s="960" t="s">
        <v>470</v>
      </c>
      <c r="E1964" s="959">
        <v>0</v>
      </c>
      <c r="F1964" s="959">
        <v>0</v>
      </c>
      <c r="G1964" s="959">
        <v>0</v>
      </c>
      <c r="H1964" s="959">
        <v>79</v>
      </c>
    </row>
    <row r="1965" spans="1:8">
      <c r="A1965" s="959" t="s">
        <v>3617</v>
      </c>
      <c r="B1965" s="960" t="s">
        <v>3618</v>
      </c>
      <c r="C1965" s="960" t="s">
        <v>4256</v>
      </c>
      <c r="D1965" s="960" t="s">
        <v>1904</v>
      </c>
      <c r="E1965" s="959">
        <v>0</v>
      </c>
      <c r="F1965" s="959">
        <v>0</v>
      </c>
      <c r="G1965" s="959">
        <v>0</v>
      </c>
      <c r="H1965" s="959">
        <v>12</v>
      </c>
    </row>
    <row r="1966" spans="1:8">
      <c r="A1966" s="959" t="s">
        <v>3617</v>
      </c>
      <c r="B1966" s="960" t="s">
        <v>3618</v>
      </c>
      <c r="C1966" s="960" t="s">
        <v>4256</v>
      </c>
      <c r="D1966" s="960" t="s">
        <v>4259</v>
      </c>
      <c r="E1966" s="959">
        <v>0</v>
      </c>
      <c r="F1966" s="959">
        <v>0</v>
      </c>
      <c r="G1966" s="959">
        <v>0</v>
      </c>
      <c r="H1966" s="959">
        <v>4</v>
      </c>
    </row>
    <row r="1967" spans="1:8">
      <c r="A1967" s="959" t="s">
        <v>3617</v>
      </c>
      <c r="B1967" s="960" t="s">
        <v>3618</v>
      </c>
      <c r="C1967" s="960" t="s">
        <v>4256</v>
      </c>
      <c r="D1967" s="960" t="s">
        <v>4260</v>
      </c>
      <c r="E1967" s="959">
        <v>0</v>
      </c>
      <c r="F1967" s="959">
        <v>1</v>
      </c>
      <c r="G1967" s="959">
        <v>1</v>
      </c>
      <c r="H1967" s="959">
        <v>19</v>
      </c>
    </row>
    <row r="1968" spans="1:8">
      <c r="A1968" s="959" t="s">
        <v>3617</v>
      </c>
      <c r="B1968" s="960" t="s">
        <v>3618</v>
      </c>
      <c r="C1968" s="960" t="s">
        <v>4256</v>
      </c>
      <c r="D1968" s="960" t="s">
        <v>1906</v>
      </c>
      <c r="E1968" s="959">
        <v>26</v>
      </c>
      <c r="F1968" s="959">
        <v>343</v>
      </c>
      <c r="G1968" s="959">
        <v>5</v>
      </c>
      <c r="H1968" s="959">
        <v>63</v>
      </c>
    </row>
    <row r="1969" spans="1:8">
      <c r="A1969" s="959" t="s">
        <v>3617</v>
      </c>
      <c r="B1969" s="960" t="s">
        <v>3618</v>
      </c>
      <c r="C1969" s="960" t="s">
        <v>4256</v>
      </c>
      <c r="D1969" s="960" t="s">
        <v>4264</v>
      </c>
      <c r="E1969" s="959">
        <v>0</v>
      </c>
      <c r="F1969" s="959">
        <v>4</v>
      </c>
      <c r="G1969" s="959">
        <v>0</v>
      </c>
      <c r="H1969" s="959">
        <v>1</v>
      </c>
    </row>
    <row r="1970" spans="1:8">
      <c r="A1970" s="959" t="s">
        <v>3617</v>
      </c>
      <c r="B1970" s="960" t="s">
        <v>3618</v>
      </c>
      <c r="C1970" s="960" t="s">
        <v>4256</v>
      </c>
      <c r="D1970" s="960" t="s">
        <v>4261</v>
      </c>
      <c r="E1970" s="959">
        <v>0</v>
      </c>
      <c r="F1970" s="959">
        <v>1</v>
      </c>
      <c r="G1970" s="959">
        <v>0</v>
      </c>
      <c r="H1970" s="959">
        <v>4</v>
      </c>
    </row>
    <row r="1971" spans="1:8">
      <c r="A1971" s="959" t="s">
        <v>3617</v>
      </c>
      <c r="B1971" s="960" t="s">
        <v>3618</v>
      </c>
      <c r="C1971" s="960" t="s">
        <v>4257</v>
      </c>
      <c r="D1971" s="960" t="s">
        <v>4258</v>
      </c>
      <c r="E1971" s="959">
        <v>9</v>
      </c>
      <c r="F1971" s="959">
        <v>121</v>
      </c>
      <c r="G1971" s="959">
        <v>0</v>
      </c>
      <c r="H1971" s="959">
        <v>3</v>
      </c>
    </row>
    <row r="1972" spans="1:8">
      <c r="A1972" s="959" t="s">
        <v>3617</v>
      </c>
      <c r="B1972" s="960" t="s">
        <v>3618</v>
      </c>
      <c r="C1972" s="960" t="s">
        <v>4262</v>
      </c>
      <c r="D1972" s="960" t="s">
        <v>4263</v>
      </c>
      <c r="E1972" s="959">
        <v>0</v>
      </c>
      <c r="F1972" s="959">
        <v>0</v>
      </c>
      <c r="G1972" s="959">
        <v>0</v>
      </c>
      <c r="H1972" s="959">
        <v>3</v>
      </c>
    </row>
    <row r="1973" spans="1:8">
      <c r="A1973" s="959" t="s">
        <v>3619</v>
      </c>
      <c r="B1973" s="960" t="s">
        <v>3620</v>
      </c>
      <c r="C1973" s="960" t="s">
        <v>4256</v>
      </c>
      <c r="D1973" s="960" t="s">
        <v>1906</v>
      </c>
      <c r="E1973" s="959">
        <v>0</v>
      </c>
      <c r="F1973" s="959">
        <v>6</v>
      </c>
      <c r="G1973" s="959">
        <v>0</v>
      </c>
      <c r="H1973" s="959">
        <v>0</v>
      </c>
    </row>
    <row r="1974" spans="1:8">
      <c r="A1974" s="959" t="s">
        <v>3619</v>
      </c>
      <c r="B1974" s="960" t="s">
        <v>3620</v>
      </c>
      <c r="C1974" s="960" t="s">
        <v>4257</v>
      </c>
      <c r="D1974" s="960" t="s">
        <v>4258</v>
      </c>
      <c r="E1974" s="959">
        <v>0</v>
      </c>
      <c r="F1974" s="959">
        <v>1</v>
      </c>
      <c r="G1974" s="959">
        <v>0</v>
      </c>
      <c r="H1974" s="959">
        <v>0</v>
      </c>
    </row>
    <row r="1975" spans="1:8">
      <c r="A1975" s="959" t="s">
        <v>3621</v>
      </c>
      <c r="B1975" s="960" t="s">
        <v>1310</v>
      </c>
      <c r="C1975" s="960" t="s">
        <v>4256</v>
      </c>
      <c r="D1975" s="960" t="s">
        <v>4259</v>
      </c>
      <c r="E1975" s="959">
        <v>0</v>
      </c>
      <c r="F1975" s="959">
        <v>1</v>
      </c>
      <c r="G1975" s="959">
        <v>0</v>
      </c>
      <c r="H1975" s="959">
        <v>0</v>
      </c>
    </row>
    <row r="1976" spans="1:8">
      <c r="A1976" s="959" t="s">
        <v>3621</v>
      </c>
      <c r="B1976" s="960" t="s">
        <v>1310</v>
      </c>
      <c r="C1976" s="960" t="s">
        <v>4256</v>
      </c>
      <c r="D1976" s="960" t="s">
        <v>4260</v>
      </c>
      <c r="E1976" s="959">
        <v>0</v>
      </c>
      <c r="F1976" s="959">
        <v>1</v>
      </c>
      <c r="G1976" s="959">
        <v>0</v>
      </c>
      <c r="H1976" s="959">
        <v>0</v>
      </c>
    </row>
    <row r="1977" spans="1:8">
      <c r="A1977" s="959" t="s">
        <v>3621</v>
      </c>
      <c r="B1977" s="960" t="s">
        <v>1310</v>
      </c>
      <c r="C1977" s="960" t="s">
        <v>4256</v>
      </c>
      <c r="D1977" s="960" t="s">
        <v>4265</v>
      </c>
      <c r="E1977" s="959">
        <v>0</v>
      </c>
      <c r="F1977" s="959">
        <v>1</v>
      </c>
      <c r="G1977" s="959">
        <v>0</v>
      </c>
      <c r="H1977" s="959">
        <v>0</v>
      </c>
    </row>
    <row r="1978" spans="1:8">
      <c r="A1978" s="959" t="s">
        <v>3621</v>
      </c>
      <c r="B1978" s="960" t="s">
        <v>1310</v>
      </c>
      <c r="C1978" s="960" t="s">
        <v>4257</v>
      </c>
      <c r="D1978" s="960" t="s">
        <v>4258</v>
      </c>
      <c r="E1978" s="959">
        <v>0</v>
      </c>
      <c r="F1978" s="959">
        <v>7</v>
      </c>
      <c r="G1978" s="959">
        <v>0</v>
      </c>
      <c r="H1978" s="959">
        <v>0</v>
      </c>
    </row>
    <row r="1979" spans="1:8">
      <c r="A1979" s="959" t="s">
        <v>3621</v>
      </c>
      <c r="B1979" s="960" t="s">
        <v>1310</v>
      </c>
      <c r="C1979" s="960" t="s">
        <v>4262</v>
      </c>
      <c r="D1979" s="960" t="s">
        <v>4263</v>
      </c>
      <c r="E1979" s="959">
        <v>19</v>
      </c>
      <c r="F1979" s="959">
        <v>300</v>
      </c>
      <c r="G1979" s="959">
        <v>0</v>
      </c>
      <c r="H1979" s="959">
        <v>0</v>
      </c>
    </row>
    <row r="1980" spans="1:8">
      <c r="A1980" s="959" t="s">
        <v>3622</v>
      </c>
      <c r="B1980" s="960" t="s">
        <v>1311</v>
      </c>
      <c r="C1980" s="960" t="s">
        <v>4257</v>
      </c>
      <c r="D1980" s="960" t="s">
        <v>4258</v>
      </c>
      <c r="E1980" s="959">
        <v>0</v>
      </c>
      <c r="F1980" s="959">
        <v>5</v>
      </c>
      <c r="G1980" s="959">
        <v>0</v>
      </c>
      <c r="H1980" s="959">
        <v>0</v>
      </c>
    </row>
    <row r="1981" spans="1:8">
      <c r="A1981" s="959" t="s">
        <v>3622</v>
      </c>
      <c r="B1981" s="960" t="s">
        <v>1311</v>
      </c>
      <c r="C1981" s="960" t="s">
        <v>4262</v>
      </c>
      <c r="D1981" s="960" t="s">
        <v>4263</v>
      </c>
      <c r="E1981" s="959">
        <v>0</v>
      </c>
      <c r="F1981" s="959">
        <v>2</v>
      </c>
      <c r="G1981" s="959">
        <v>0</v>
      </c>
      <c r="H1981" s="959">
        <v>0</v>
      </c>
    </row>
    <row r="1982" spans="1:8">
      <c r="A1982" s="959" t="s">
        <v>3623</v>
      </c>
      <c r="B1982" s="960" t="s">
        <v>3624</v>
      </c>
      <c r="C1982" s="960" t="s">
        <v>4257</v>
      </c>
      <c r="D1982" s="960" t="s">
        <v>4258</v>
      </c>
      <c r="E1982" s="959">
        <v>1</v>
      </c>
      <c r="F1982" s="959">
        <v>23</v>
      </c>
      <c r="G1982" s="959">
        <v>0</v>
      </c>
      <c r="H1982" s="959">
        <v>0</v>
      </c>
    </row>
    <row r="1983" spans="1:8">
      <c r="A1983" s="959" t="s">
        <v>3623</v>
      </c>
      <c r="B1983" s="960" t="s">
        <v>3624</v>
      </c>
      <c r="C1983" s="960" t="s">
        <v>4262</v>
      </c>
      <c r="D1983" s="960" t="s">
        <v>4263</v>
      </c>
      <c r="E1983" s="959">
        <v>0</v>
      </c>
      <c r="F1983" s="959">
        <v>10</v>
      </c>
      <c r="G1983" s="959">
        <v>0</v>
      </c>
      <c r="H1983" s="959">
        <v>0</v>
      </c>
    </row>
    <row r="1984" spans="1:8">
      <c r="A1984" s="959" t="s">
        <v>3625</v>
      </c>
      <c r="B1984" s="960" t="s">
        <v>3626</v>
      </c>
      <c r="C1984" s="960" t="s">
        <v>4257</v>
      </c>
      <c r="D1984" s="960" t="s">
        <v>4258</v>
      </c>
      <c r="E1984" s="959">
        <v>1</v>
      </c>
      <c r="F1984" s="959">
        <v>10</v>
      </c>
      <c r="G1984" s="959">
        <v>0</v>
      </c>
      <c r="H1984" s="959">
        <v>0</v>
      </c>
    </row>
    <row r="1985" spans="1:8">
      <c r="A1985" s="959" t="s">
        <v>3625</v>
      </c>
      <c r="B1985" s="960" t="s">
        <v>3626</v>
      </c>
      <c r="C1985" s="960" t="s">
        <v>4262</v>
      </c>
      <c r="D1985" s="960" t="s">
        <v>4263</v>
      </c>
      <c r="E1985" s="959">
        <v>3</v>
      </c>
      <c r="F1985" s="959">
        <v>14</v>
      </c>
      <c r="G1985" s="959">
        <v>0</v>
      </c>
      <c r="H1985" s="959">
        <v>0</v>
      </c>
    </row>
    <row r="1986" spans="1:8">
      <c r="A1986" s="959" t="s">
        <v>3627</v>
      </c>
      <c r="B1986" s="960" t="s">
        <v>3628</v>
      </c>
      <c r="C1986" s="960" t="s">
        <v>4256</v>
      </c>
      <c r="D1986" s="960" t="s">
        <v>470</v>
      </c>
      <c r="E1986" s="959">
        <v>0</v>
      </c>
      <c r="F1986" s="959">
        <v>0</v>
      </c>
      <c r="G1986" s="959">
        <v>16</v>
      </c>
      <c r="H1986" s="959">
        <v>114</v>
      </c>
    </row>
    <row r="1987" spans="1:8">
      <c r="A1987" s="959" t="s">
        <v>3627</v>
      </c>
      <c r="B1987" s="960" t="s">
        <v>3628</v>
      </c>
      <c r="C1987" s="960" t="s">
        <v>4256</v>
      </c>
      <c r="D1987" s="960" t="s">
        <v>1904</v>
      </c>
      <c r="E1987" s="959">
        <v>0</v>
      </c>
      <c r="F1987" s="959">
        <v>0</v>
      </c>
      <c r="G1987" s="959">
        <v>0</v>
      </c>
      <c r="H1987" s="959">
        <v>42</v>
      </c>
    </row>
    <row r="1988" spans="1:8">
      <c r="A1988" s="959" t="s">
        <v>3627</v>
      </c>
      <c r="B1988" s="960" t="s">
        <v>3628</v>
      </c>
      <c r="C1988" s="960" t="s">
        <v>4256</v>
      </c>
      <c r="D1988" s="960" t="s">
        <v>4269</v>
      </c>
      <c r="E1988" s="959">
        <v>0</v>
      </c>
      <c r="F1988" s="959">
        <v>0</v>
      </c>
      <c r="G1988" s="959">
        <v>0</v>
      </c>
      <c r="H1988" s="959">
        <v>3</v>
      </c>
    </row>
    <row r="1989" spans="1:8">
      <c r="A1989" s="959" t="s">
        <v>3627</v>
      </c>
      <c r="B1989" s="960" t="s">
        <v>3628</v>
      </c>
      <c r="C1989" s="960" t="s">
        <v>4256</v>
      </c>
      <c r="D1989" s="960" t="s">
        <v>4260</v>
      </c>
      <c r="E1989" s="959">
        <v>0</v>
      </c>
      <c r="F1989" s="959">
        <v>0</v>
      </c>
      <c r="G1989" s="959">
        <v>0</v>
      </c>
      <c r="H1989" s="959">
        <v>2</v>
      </c>
    </row>
    <row r="1990" spans="1:8">
      <c r="A1990" s="959" t="s">
        <v>3627</v>
      </c>
      <c r="B1990" s="960" t="s">
        <v>3628</v>
      </c>
      <c r="C1990" s="960" t="s">
        <v>4256</v>
      </c>
      <c r="D1990" s="960" t="s">
        <v>4265</v>
      </c>
      <c r="E1990" s="959">
        <v>0</v>
      </c>
      <c r="F1990" s="959">
        <v>0</v>
      </c>
      <c r="G1990" s="959">
        <v>0</v>
      </c>
      <c r="H1990" s="959">
        <v>1</v>
      </c>
    </row>
    <row r="1991" spans="1:8">
      <c r="A1991" s="959" t="s">
        <v>3627</v>
      </c>
      <c r="B1991" s="960" t="s">
        <v>3628</v>
      </c>
      <c r="C1991" s="960" t="s">
        <v>4256</v>
      </c>
      <c r="D1991" s="960" t="s">
        <v>4264</v>
      </c>
      <c r="E1991" s="959">
        <v>0</v>
      </c>
      <c r="F1991" s="959">
        <v>1</v>
      </c>
      <c r="G1991" s="959">
        <v>2</v>
      </c>
      <c r="H1991" s="959">
        <v>22</v>
      </c>
    </row>
    <row r="1992" spans="1:8">
      <c r="A1992" s="959" t="s">
        <v>3627</v>
      </c>
      <c r="B1992" s="960" t="s">
        <v>3628</v>
      </c>
      <c r="C1992" s="960" t="s">
        <v>4256</v>
      </c>
      <c r="D1992" s="960" t="s">
        <v>4261</v>
      </c>
      <c r="E1992" s="959">
        <v>0</v>
      </c>
      <c r="F1992" s="959">
        <v>0</v>
      </c>
      <c r="G1992" s="959">
        <v>0</v>
      </c>
      <c r="H1992" s="959">
        <v>10</v>
      </c>
    </row>
    <row r="1993" spans="1:8">
      <c r="A1993" s="959" t="s">
        <v>3627</v>
      </c>
      <c r="B1993" s="960" t="s">
        <v>3628</v>
      </c>
      <c r="C1993" s="960" t="s">
        <v>4267</v>
      </c>
      <c r="D1993" s="960" t="s">
        <v>4268</v>
      </c>
      <c r="E1993" s="959">
        <v>0</v>
      </c>
      <c r="F1993" s="959">
        <v>0</v>
      </c>
      <c r="G1993" s="959">
        <v>0</v>
      </c>
      <c r="H1993" s="959">
        <v>40</v>
      </c>
    </row>
    <row r="1994" spans="1:8">
      <c r="A1994" s="959" t="s">
        <v>3629</v>
      </c>
      <c r="B1994" s="960" t="s">
        <v>3630</v>
      </c>
      <c r="C1994" s="960" t="s">
        <v>4256</v>
      </c>
      <c r="D1994" s="960" t="s">
        <v>470</v>
      </c>
      <c r="E1994" s="959">
        <v>0</v>
      </c>
      <c r="F1994" s="959">
        <v>0</v>
      </c>
      <c r="G1994" s="959">
        <v>0</v>
      </c>
      <c r="H1994" s="959">
        <v>1</v>
      </c>
    </row>
    <row r="1995" spans="1:8">
      <c r="A1995" s="959" t="s">
        <v>3629</v>
      </c>
      <c r="B1995" s="960" t="s">
        <v>3630</v>
      </c>
      <c r="C1995" s="960" t="s">
        <v>4256</v>
      </c>
      <c r="D1995" s="960" t="s">
        <v>4270</v>
      </c>
      <c r="E1995" s="959">
        <v>0</v>
      </c>
      <c r="F1995" s="959">
        <v>0</v>
      </c>
      <c r="G1995" s="959">
        <v>1</v>
      </c>
      <c r="H1995" s="959">
        <v>2</v>
      </c>
    </row>
    <row r="1996" spans="1:8">
      <c r="A1996" s="959" t="s">
        <v>3629</v>
      </c>
      <c r="B1996" s="960" t="s">
        <v>3630</v>
      </c>
      <c r="C1996" s="960" t="s">
        <v>4257</v>
      </c>
      <c r="D1996" s="960" t="s">
        <v>4258</v>
      </c>
      <c r="E1996" s="959">
        <v>1</v>
      </c>
      <c r="F1996" s="959">
        <v>7</v>
      </c>
      <c r="G1996" s="959">
        <v>0</v>
      </c>
      <c r="H1996" s="959">
        <v>0</v>
      </c>
    </row>
    <row r="1997" spans="1:8">
      <c r="A1997" s="959" t="s">
        <v>3631</v>
      </c>
      <c r="B1997" s="960" t="s">
        <v>3632</v>
      </c>
      <c r="C1997" s="960" t="s">
        <v>4256</v>
      </c>
      <c r="D1997" s="960" t="s">
        <v>470</v>
      </c>
      <c r="E1997" s="959">
        <v>0</v>
      </c>
      <c r="F1997" s="959">
        <v>0</v>
      </c>
      <c r="G1997" s="959">
        <v>7</v>
      </c>
      <c r="H1997" s="959">
        <v>41</v>
      </c>
    </row>
    <row r="1998" spans="1:8">
      <c r="A1998" s="959" t="s">
        <v>3631</v>
      </c>
      <c r="B1998" s="960" t="s">
        <v>3632</v>
      </c>
      <c r="C1998" s="960" t="s">
        <v>4256</v>
      </c>
      <c r="D1998" s="960" t="s">
        <v>4270</v>
      </c>
      <c r="E1998" s="959">
        <v>0</v>
      </c>
      <c r="F1998" s="959">
        <v>0</v>
      </c>
      <c r="G1998" s="959">
        <v>0</v>
      </c>
      <c r="H1998" s="959">
        <v>1</v>
      </c>
    </row>
    <row r="1999" spans="1:8">
      <c r="A1999" s="959" t="s">
        <v>3631</v>
      </c>
      <c r="B1999" s="960" t="s">
        <v>3632</v>
      </c>
      <c r="C1999" s="960" t="s">
        <v>4257</v>
      </c>
      <c r="D1999" s="960" t="s">
        <v>4258</v>
      </c>
      <c r="E1999" s="959">
        <v>1</v>
      </c>
      <c r="F1999" s="959">
        <v>23</v>
      </c>
      <c r="G1999" s="959">
        <v>0</v>
      </c>
      <c r="H1999" s="959">
        <v>4</v>
      </c>
    </row>
    <row r="2000" spans="1:8">
      <c r="A2000" s="959" t="s">
        <v>3631</v>
      </c>
      <c r="B2000" s="960" t="s">
        <v>3632</v>
      </c>
      <c r="C2000" s="960" t="s">
        <v>4262</v>
      </c>
      <c r="D2000" s="960" t="s">
        <v>4263</v>
      </c>
      <c r="E2000" s="959">
        <v>0</v>
      </c>
      <c r="F2000" s="959">
        <v>1</v>
      </c>
      <c r="G2000" s="959">
        <v>0</v>
      </c>
      <c r="H2000" s="959">
        <v>0</v>
      </c>
    </row>
    <row r="2001" spans="1:8">
      <c r="A2001" s="959" t="s">
        <v>3633</v>
      </c>
      <c r="B2001" s="960" t="s">
        <v>3634</v>
      </c>
      <c r="C2001" s="960" t="s">
        <v>4256</v>
      </c>
      <c r="D2001" s="960" t="s">
        <v>1906</v>
      </c>
      <c r="E2001" s="959">
        <v>0</v>
      </c>
      <c r="F2001" s="959">
        <v>0</v>
      </c>
      <c r="G2001" s="959">
        <v>0</v>
      </c>
      <c r="H2001" s="959">
        <v>3</v>
      </c>
    </row>
    <row r="2002" spans="1:8">
      <c r="A2002" s="959" t="s">
        <v>3633</v>
      </c>
      <c r="B2002" s="960" t="s">
        <v>3634</v>
      </c>
      <c r="C2002" s="960" t="s">
        <v>4257</v>
      </c>
      <c r="D2002" s="960" t="s">
        <v>4258</v>
      </c>
      <c r="E2002" s="959">
        <v>10</v>
      </c>
      <c r="F2002" s="959">
        <v>129</v>
      </c>
      <c r="G2002" s="959">
        <v>0</v>
      </c>
      <c r="H2002" s="959">
        <v>0</v>
      </c>
    </row>
    <row r="2003" spans="1:8">
      <c r="A2003" s="959" t="s">
        <v>3633</v>
      </c>
      <c r="B2003" s="960" t="s">
        <v>3634</v>
      </c>
      <c r="C2003" s="960" t="s">
        <v>4262</v>
      </c>
      <c r="D2003" s="960" t="s">
        <v>4263</v>
      </c>
      <c r="E2003" s="959">
        <v>1</v>
      </c>
      <c r="F2003" s="959">
        <v>27</v>
      </c>
      <c r="G2003" s="959">
        <v>0</v>
      </c>
      <c r="H2003" s="959">
        <v>0</v>
      </c>
    </row>
    <row r="2004" spans="1:8">
      <c r="A2004" s="959" t="s">
        <v>3635</v>
      </c>
      <c r="B2004" s="960" t="s">
        <v>1316</v>
      </c>
      <c r="C2004" s="960" t="s">
        <v>4257</v>
      </c>
      <c r="D2004" s="960" t="s">
        <v>4258</v>
      </c>
      <c r="E2004" s="959">
        <v>0</v>
      </c>
      <c r="F2004" s="959">
        <v>1</v>
      </c>
      <c r="G2004" s="959">
        <v>0</v>
      </c>
      <c r="H2004" s="959">
        <v>0</v>
      </c>
    </row>
    <row r="2005" spans="1:8">
      <c r="A2005" s="959" t="s">
        <v>3636</v>
      </c>
      <c r="B2005" s="960" t="s">
        <v>3637</v>
      </c>
      <c r="C2005" s="960" t="s">
        <v>4275</v>
      </c>
      <c r="D2005" s="960" t="s">
        <v>4276</v>
      </c>
      <c r="E2005" s="959">
        <v>1</v>
      </c>
      <c r="F2005" s="959">
        <v>18</v>
      </c>
      <c r="G2005" s="959">
        <v>0</v>
      </c>
      <c r="H2005" s="959">
        <v>0</v>
      </c>
    </row>
    <row r="2006" spans="1:8">
      <c r="A2006" s="959" t="s">
        <v>3636</v>
      </c>
      <c r="B2006" s="960" t="s">
        <v>3637</v>
      </c>
      <c r="C2006" s="960" t="s">
        <v>4256</v>
      </c>
      <c r="D2006" s="960" t="s">
        <v>1906</v>
      </c>
      <c r="E2006" s="959">
        <v>0</v>
      </c>
      <c r="F2006" s="959">
        <v>1</v>
      </c>
      <c r="G2006" s="959">
        <v>0</v>
      </c>
      <c r="H2006" s="959">
        <v>0</v>
      </c>
    </row>
    <row r="2007" spans="1:8">
      <c r="A2007" s="959" t="s">
        <v>3636</v>
      </c>
      <c r="B2007" s="960" t="s">
        <v>3637</v>
      </c>
      <c r="C2007" s="960" t="s">
        <v>4256</v>
      </c>
      <c r="D2007" s="960" t="s">
        <v>1907</v>
      </c>
      <c r="E2007" s="959">
        <v>0</v>
      </c>
      <c r="F2007" s="959">
        <v>5</v>
      </c>
      <c r="G2007" s="959">
        <v>1</v>
      </c>
      <c r="H2007" s="959">
        <v>6</v>
      </c>
    </row>
    <row r="2008" spans="1:8">
      <c r="A2008" s="959" t="s">
        <v>3636</v>
      </c>
      <c r="B2008" s="960" t="s">
        <v>3637</v>
      </c>
      <c r="C2008" s="960" t="s">
        <v>4257</v>
      </c>
      <c r="D2008" s="960" t="s">
        <v>4258</v>
      </c>
      <c r="E2008" s="959">
        <v>0</v>
      </c>
      <c r="F2008" s="959">
        <v>11</v>
      </c>
      <c r="G2008" s="959">
        <v>0</v>
      </c>
      <c r="H2008" s="959">
        <v>1</v>
      </c>
    </row>
    <row r="2009" spans="1:8">
      <c r="A2009" s="959" t="s">
        <v>3636</v>
      </c>
      <c r="B2009" s="960" t="s">
        <v>3637</v>
      </c>
      <c r="C2009" s="960" t="s">
        <v>4262</v>
      </c>
      <c r="D2009" s="960" t="s">
        <v>4263</v>
      </c>
      <c r="E2009" s="959">
        <v>2</v>
      </c>
      <c r="F2009" s="959">
        <v>21</v>
      </c>
      <c r="G2009" s="959">
        <v>0</v>
      </c>
      <c r="H2009" s="959">
        <v>0</v>
      </c>
    </row>
    <row r="2010" spans="1:8">
      <c r="A2010" s="959" t="s">
        <v>3638</v>
      </c>
      <c r="B2010" s="960" t="s">
        <v>1320</v>
      </c>
      <c r="C2010" s="960" t="s">
        <v>4256</v>
      </c>
      <c r="D2010" s="960" t="s">
        <v>1904</v>
      </c>
      <c r="E2010" s="959">
        <v>0</v>
      </c>
      <c r="F2010" s="959">
        <v>0</v>
      </c>
      <c r="G2010" s="959">
        <v>0</v>
      </c>
      <c r="H2010" s="959">
        <v>1</v>
      </c>
    </row>
    <row r="2011" spans="1:8">
      <c r="A2011" s="959" t="s">
        <v>3638</v>
      </c>
      <c r="B2011" s="960" t="s">
        <v>1320</v>
      </c>
      <c r="C2011" s="960" t="s">
        <v>4256</v>
      </c>
      <c r="D2011" s="960" t="s">
        <v>4259</v>
      </c>
      <c r="E2011" s="959">
        <v>0</v>
      </c>
      <c r="F2011" s="959">
        <v>0</v>
      </c>
      <c r="G2011" s="959">
        <v>0</v>
      </c>
      <c r="H2011" s="959">
        <v>2</v>
      </c>
    </row>
    <row r="2012" spans="1:8">
      <c r="A2012" s="959" t="s">
        <v>3638</v>
      </c>
      <c r="B2012" s="960" t="s">
        <v>1320</v>
      </c>
      <c r="C2012" s="960" t="s">
        <v>4256</v>
      </c>
      <c r="D2012" s="960" t="s">
        <v>4260</v>
      </c>
      <c r="E2012" s="959">
        <v>0</v>
      </c>
      <c r="F2012" s="959">
        <v>0</v>
      </c>
      <c r="G2012" s="959">
        <v>0</v>
      </c>
      <c r="H2012" s="959">
        <v>1</v>
      </c>
    </row>
    <row r="2013" spans="1:8">
      <c r="A2013" s="959" t="s">
        <v>3638</v>
      </c>
      <c r="B2013" s="960" t="s">
        <v>1320</v>
      </c>
      <c r="C2013" s="960" t="s">
        <v>4256</v>
      </c>
      <c r="D2013" s="960" t="s">
        <v>4265</v>
      </c>
      <c r="E2013" s="959">
        <v>0</v>
      </c>
      <c r="F2013" s="959">
        <v>0</v>
      </c>
      <c r="G2013" s="959">
        <v>0</v>
      </c>
      <c r="H2013" s="959">
        <v>1</v>
      </c>
    </row>
    <row r="2014" spans="1:8">
      <c r="A2014" s="959" t="s">
        <v>3639</v>
      </c>
      <c r="B2014" s="960" t="s">
        <v>3640</v>
      </c>
      <c r="C2014" s="960" t="s">
        <v>4256</v>
      </c>
      <c r="D2014" s="960" t="s">
        <v>4259</v>
      </c>
      <c r="E2014" s="959">
        <v>0</v>
      </c>
      <c r="F2014" s="959">
        <v>1</v>
      </c>
      <c r="G2014" s="959">
        <v>0</v>
      </c>
      <c r="H2014" s="959">
        <v>0</v>
      </c>
    </row>
    <row r="2015" spans="1:8">
      <c r="A2015" s="959" t="s">
        <v>3639</v>
      </c>
      <c r="B2015" s="960" t="s">
        <v>3640</v>
      </c>
      <c r="C2015" s="960" t="s">
        <v>4256</v>
      </c>
      <c r="D2015" s="960" t="s">
        <v>4260</v>
      </c>
      <c r="E2015" s="959">
        <v>0</v>
      </c>
      <c r="F2015" s="959">
        <v>1</v>
      </c>
      <c r="G2015" s="959">
        <v>0</v>
      </c>
      <c r="H2015" s="959">
        <v>1</v>
      </c>
    </row>
    <row r="2016" spans="1:8">
      <c r="A2016" s="959" t="s">
        <v>3639</v>
      </c>
      <c r="B2016" s="960" t="s">
        <v>3640</v>
      </c>
      <c r="C2016" s="960" t="s">
        <v>4256</v>
      </c>
      <c r="D2016" s="960" t="s">
        <v>4265</v>
      </c>
      <c r="E2016" s="959">
        <v>0</v>
      </c>
      <c r="F2016" s="959">
        <v>0</v>
      </c>
      <c r="G2016" s="959">
        <v>0</v>
      </c>
      <c r="H2016" s="959">
        <v>1</v>
      </c>
    </row>
    <row r="2017" spans="1:8">
      <c r="A2017" s="959" t="s">
        <v>3639</v>
      </c>
      <c r="B2017" s="960" t="s">
        <v>3640</v>
      </c>
      <c r="C2017" s="960" t="s">
        <v>4257</v>
      </c>
      <c r="D2017" s="960" t="s">
        <v>4258</v>
      </c>
      <c r="E2017" s="959">
        <v>0</v>
      </c>
      <c r="F2017" s="959">
        <v>2</v>
      </c>
      <c r="G2017" s="959">
        <v>0</v>
      </c>
      <c r="H2017" s="959">
        <v>0</v>
      </c>
    </row>
    <row r="2018" spans="1:8">
      <c r="A2018" s="959" t="s">
        <v>3641</v>
      </c>
      <c r="B2018" s="960" t="s">
        <v>3642</v>
      </c>
      <c r="C2018" s="960" t="s">
        <v>4256</v>
      </c>
      <c r="D2018" s="960" t="s">
        <v>4270</v>
      </c>
      <c r="E2018" s="959">
        <v>0</v>
      </c>
      <c r="F2018" s="959">
        <v>0</v>
      </c>
      <c r="G2018" s="959">
        <v>2</v>
      </c>
      <c r="H2018" s="959">
        <v>0</v>
      </c>
    </row>
    <row r="2019" spans="1:8">
      <c r="A2019" s="959" t="s">
        <v>3641</v>
      </c>
      <c r="B2019" s="960" t="s">
        <v>3642</v>
      </c>
      <c r="C2019" s="960" t="s">
        <v>4256</v>
      </c>
      <c r="D2019" s="960" t="s">
        <v>4259</v>
      </c>
      <c r="E2019" s="959">
        <v>0</v>
      </c>
      <c r="F2019" s="959">
        <v>0</v>
      </c>
      <c r="G2019" s="959">
        <v>0</v>
      </c>
      <c r="H2019" s="959">
        <v>2</v>
      </c>
    </row>
    <row r="2020" spans="1:8">
      <c r="A2020" s="959" t="s">
        <v>3641</v>
      </c>
      <c r="B2020" s="960" t="s">
        <v>3642</v>
      </c>
      <c r="C2020" s="960" t="s">
        <v>4256</v>
      </c>
      <c r="D2020" s="960" t="s">
        <v>4265</v>
      </c>
      <c r="E2020" s="959">
        <v>0</v>
      </c>
      <c r="F2020" s="959">
        <v>0</v>
      </c>
      <c r="G2020" s="959">
        <v>0</v>
      </c>
      <c r="H2020" s="959">
        <v>3</v>
      </c>
    </row>
    <row r="2021" spans="1:8">
      <c r="A2021" s="959" t="s">
        <v>3641</v>
      </c>
      <c r="B2021" s="960" t="s">
        <v>3642</v>
      </c>
      <c r="C2021" s="960" t="s">
        <v>4256</v>
      </c>
      <c r="D2021" s="960" t="s">
        <v>1906</v>
      </c>
      <c r="E2021" s="959">
        <v>4</v>
      </c>
      <c r="F2021" s="959">
        <v>47</v>
      </c>
      <c r="G2021" s="959">
        <v>5</v>
      </c>
      <c r="H2021" s="959">
        <v>62</v>
      </c>
    </row>
    <row r="2022" spans="1:8">
      <c r="A2022" s="959" t="s">
        <v>3641</v>
      </c>
      <c r="B2022" s="960" t="s">
        <v>3642</v>
      </c>
      <c r="C2022" s="960" t="s">
        <v>4257</v>
      </c>
      <c r="D2022" s="960" t="s">
        <v>4258</v>
      </c>
      <c r="E2022" s="959">
        <v>18</v>
      </c>
      <c r="F2022" s="959">
        <v>440</v>
      </c>
      <c r="G2022" s="959">
        <v>47</v>
      </c>
      <c r="H2022" s="959">
        <v>626</v>
      </c>
    </row>
    <row r="2023" spans="1:8">
      <c r="A2023" s="959" t="s">
        <v>3641</v>
      </c>
      <c r="B2023" s="960" t="s">
        <v>3642</v>
      </c>
      <c r="C2023" s="960" t="s">
        <v>4262</v>
      </c>
      <c r="D2023" s="960" t="s">
        <v>4263</v>
      </c>
      <c r="E2023" s="959">
        <v>0</v>
      </c>
      <c r="F2023" s="959">
        <v>12</v>
      </c>
      <c r="G2023" s="959">
        <v>0</v>
      </c>
      <c r="H2023" s="959">
        <v>1</v>
      </c>
    </row>
    <row r="2024" spans="1:8">
      <c r="A2024" s="959" t="s">
        <v>3643</v>
      </c>
      <c r="B2024" s="960" t="s">
        <v>3644</v>
      </c>
      <c r="C2024" s="960" t="s">
        <v>4256</v>
      </c>
      <c r="D2024" s="960" t="s">
        <v>470</v>
      </c>
      <c r="E2024" s="959">
        <v>0</v>
      </c>
      <c r="F2024" s="959">
        <v>0</v>
      </c>
      <c r="G2024" s="959">
        <v>0</v>
      </c>
      <c r="H2024" s="959">
        <v>2</v>
      </c>
    </row>
    <row r="2025" spans="1:8">
      <c r="A2025" s="959" t="s">
        <v>3643</v>
      </c>
      <c r="B2025" s="960" t="s">
        <v>3644</v>
      </c>
      <c r="C2025" s="960" t="s">
        <v>4257</v>
      </c>
      <c r="D2025" s="960" t="s">
        <v>4258</v>
      </c>
      <c r="E2025" s="959">
        <v>0</v>
      </c>
      <c r="F2025" s="959">
        <v>15</v>
      </c>
      <c r="G2025" s="959">
        <v>0</v>
      </c>
      <c r="H2025" s="959">
        <v>0</v>
      </c>
    </row>
    <row r="2026" spans="1:8">
      <c r="A2026" s="959" t="s">
        <v>3643</v>
      </c>
      <c r="B2026" s="960" t="s">
        <v>3644</v>
      </c>
      <c r="C2026" s="960" t="s">
        <v>4262</v>
      </c>
      <c r="D2026" s="960" t="s">
        <v>4263</v>
      </c>
      <c r="E2026" s="959">
        <v>0</v>
      </c>
      <c r="F2026" s="959">
        <v>11</v>
      </c>
      <c r="G2026" s="959">
        <v>1</v>
      </c>
      <c r="H2026" s="959">
        <v>0</v>
      </c>
    </row>
    <row r="2027" spans="1:8">
      <c r="A2027" s="959" t="s">
        <v>3645</v>
      </c>
      <c r="B2027" s="960" t="s">
        <v>3646</v>
      </c>
      <c r="C2027" s="960" t="s">
        <v>4275</v>
      </c>
      <c r="D2027" s="960" t="s">
        <v>4276</v>
      </c>
      <c r="E2027" s="959">
        <v>0</v>
      </c>
      <c r="F2027" s="959">
        <v>2</v>
      </c>
      <c r="G2027" s="959">
        <v>0</v>
      </c>
      <c r="H2027" s="959">
        <v>0</v>
      </c>
    </row>
    <row r="2028" spans="1:8">
      <c r="A2028" s="959" t="s">
        <v>3645</v>
      </c>
      <c r="B2028" s="960" t="s">
        <v>3646</v>
      </c>
      <c r="C2028" s="960" t="s">
        <v>4256</v>
      </c>
      <c r="D2028" s="960" t="s">
        <v>470</v>
      </c>
      <c r="E2028" s="959">
        <v>0</v>
      </c>
      <c r="F2028" s="959">
        <v>0</v>
      </c>
      <c r="G2028" s="959">
        <v>0</v>
      </c>
      <c r="H2028" s="959">
        <v>1</v>
      </c>
    </row>
    <row r="2029" spans="1:8">
      <c r="A2029" s="959" t="s">
        <v>3645</v>
      </c>
      <c r="B2029" s="960" t="s">
        <v>3646</v>
      </c>
      <c r="C2029" s="960" t="s">
        <v>4256</v>
      </c>
      <c r="D2029" s="960" t="s">
        <v>1904</v>
      </c>
      <c r="E2029" s="959">
        <v>0</v>
      </c>
      <c r="F2029" s="959">
        <v>0</v>
      </c>
      <c r="G2029" s="959">
        <v>0</v>
      </c>
      <c r="H2029" s="959">
        <v>3</v>
      </c>
    </row>
    <row r="2030" spans="1:8">
      <c r="A2030" s="959" t="s">
        <v>3645</v>
      </c>
      <c r="B2030" s="960" t="s">
        <v>3646</v>
      </c>
      <c r="C2030" s="960" t="s">
        <v>4256</v>
      </c>
      <c r="D2030" s="960" t="s">
        <v>4259</v>
      </c>
      <c r="E2030" s="959">
        <v>0</v>
      </c>
      <c r="F2030" s="959">
        <v>2</v>
      </c>
      <c r="G2030" s="959">
        <v>2</v>
      </c>
      <c r="H2030" s="959">
        <v>7</v>
      </c>
    </row>
    <row r="2031" spans="1:8">
      <c r="A2031" s="959" t="s">
        <v>3645</v>
      </c>
      <c r="B2031" s="960" t="s">
        <v>3646</v>
      </c>
      <c r="C2031" s="960" t="s">
        <v>4256</v>
      </c>
      <c r="D2031" s="960" t="s">
        <v>4260</v>
      </c>
      <c r="E2031" s="959">
        <v>0</v>
      </c>
      <c r="F2031" s="959">
        <v>0</v>
      </c>
      <c r="G2031" s="959">
        <v>0</v>
      </c>
      <c r="H2031" s="959">
        <v>2</v>
      </c>
    </row>
    <row r="2032" spans="1:8">
      <c r="A2032" s="959" t="s">
        <v>3645</v>
      </c>
      <c r="B2032" s="960" t="s">
        <v>3646</v>
      </c>
      <c r="C2032" s="960" t="s">
        <v>4256</v>
      </c>
      <c r="D2032" s="960" t="s">
        <v>4265</v>
      </c>
      <c r="E2032" s="959">
        <v>0</v>
      </c>
      <c r="F2032" s="959">
        <v>0</v>
      </c>
      <c r="G2032" s="959">
        <v>0</v>
      </c>
      <c r="H2032" s="959">
        <v>4</v>
      </c>
    </row>
    <row r="2033" spans="1:8">
      <c r="A2033" s="959" t="s">
        <v>3645</v>
      </c>
      <c r="B2033" s="960" t="s">
        <v>3646</v>
      </c>
      <c r="C2033" s="960" t="s">
        <v>4256</v>
      </c>
      <c r="D2033" s="960" t="s">
        <v>4271</v>
      </c>
      <c r="E2033" s="959">
        <v>0</v>
      </c>
      <c r="F2033" s="959">
        <v>0</v>
      </c>
      <c r="G2033" s="959">
        <v>0</v>
      </c>
      <c r="H2033" s="959">
        <v>1</v>
      </c>
    </row>
    <row r="2034" spans="1:8">
      <c r="A2034" s="959" t="s">
        <v>3645</v>
      </c>
      <c r="B2034" s="960" t="s">
        <v>3646</v>
      </c>
      <c r="C2034" s="960" t="s">
        <v>4256</v>
      </c>
      <c r="D2034" s="961" t="s">
        <v>4266</v>
      </c>
      <c r="E2034" s="959">
        <v>0</v>
      </c>
      <c r="F2034" s="959">
        <v>0</v>
      </c>
      <c r="G2034" s="959">
        <v>0</v>
      </c>
      <c r="H2034" s="959">
        <v>1</v>
      </c>
    </row>
    <row r="2035" spans="1:8">
      <c r="A2035" s="959" t="s">
        <v>3645</v>
      </c>
      <c r="B2035" s="960" t="s">
        <v>3646</v>
      </c>
      <c r="C2035" s="960" t="s">
        <v>4257</v>
      </c>
      <c r="D2035" s="960" t="s">
        <v>4258</v>
      </c>
      <c r="E2035" s="959">
        <v>0</v>
      </c>
      <c r="F2035" s="959">
        <v>2</v>
      </c>
      <c r="G2035" s="959">
        <v>0</v>
      </c>
      <c r="H2035" s="959">
        <v>3</v>
      </c>
    </row>
    <row r="2036" spans="1:8">
      <c r="A2036" s="959" t="s">
        <v>3645</v>
      </c>
      <c r="B2036" s="960" t="s">
        <v>3646</v>
      </c>
      <c r="C2036" s="960" t="s">
        <v>4267</v>
      </c>
      <c r="D2036" s="960" t="s">
        <v>4268</v>
      </c>
      <c r="E2036" s="959">
        <v>0</v>
      </c>
      <c r="F2036" s="959">
        <v>0</v>
      </c>
      <c r="G2036" s="959">
        <v>0</v>
      </c>
      <c r="H2036" s="959">
        <v>1</v>
      </c>
    </row>
    <row r="2037" spans="1:8">
      <c r="A2037" s="959" t="s">
        <v>3647</v>
      </c>
      <c r="B2037" s="960" t="s">
        <v>1325</v>
      </c>
      <c r="C2037" s="960" t="s">
        <v>4257</v>
      </c>
      <c r="D2037" s="960" t="s">
        <v>4258</v>
      </c>
      <c r="E2037" s="959">
        <v>0</v>
      </c>
      <c r="F2037" s="959">
        <v>0</v>
      </c>
      <c r="G2037" s="959">
        <v>0</v>
      </c>
      <c r="H2037" s="959">
        <v>1</v>
      </c>
    </row>
    <row r="2038" spans="1:8">
      <c r="A2038" s="959" t="s">
        <v>3648</v>
      </c>
      <c r="B2038" s="960" t="s">
        <v>3649</v>
      </c>
      <c r="C2038" s="960" t="s">
        <v>4256</v>
      </c>
      <c r="D2038" s="960" t="s">
        <v>470</v>
      </c>
      <c r="E2038" s="959">
        <v>0</v>
      </c>
      <c r="F2038" s="959">
        <v>0</v>
      </c>
      <c r="G2038" s="959">
        <v>8</v>
      </c>
      <c r="H2038" s="959">
        <v>12</v>
      </c>
    </row>
    <row r="2039" spans="1:8">
      <c r="A2039" s="959" t="s">
        <v>3648</v>
      </c>
      <c r="B2039" s="960" t="s">
        <v>3649</v>
      </c>
      <c r="C2039" s="960" t="s">
        <v>4257</v>
      </c>
      <c r="D2039" s="960" t="s">
        <v>4258</v>
      </c>
      <c r="E2039" s="959">
        <v>0</v>
      </c>
      <c r="F2039" s="959">
        <v>1</v>
      </c>
      <c r="G2039" s="959">
        <v>0</v>
      </c>
      <c r="H2039" s="959">
        <v>0</v>
      </c>
    </row>
    <row r="2040" spans="1:8">
      <c r="A2040" s="959" t="s">
        <v>3650</v>
      </c>
      <c r="B2040" s="960" t="s">
        <v>3651</v>
      </c>
      <c r="C2040" s="960" t="s">
        <v>4256</v>
      </c>
      <c r="D2040" s="960" t="s">
        <v>1906</v>
      </c>
      <c r="E2040" s="959">
        <v>1</v>
      </c>
      <c r="F2040" s="959">
        <v>14</v>
      </c>
      <c r="G2040" s="959">
        <v>0</v>
      </c>
      <c r="H2040" s="959">
        <v>0</v>
      </c>
    </row>
    <row r="2041" spans="1:8">
      <c r="A2041" s="959" t="s">
        <v>3650</v>
      </c>
      <c r="B2041" s="960" t="s">
        <v>3651</v>
      </c>
      <c r="C2041" s="960" t="s">
        <v>4257</v>
      </c>
      <c r="D2041" s="960" t="s">
        <v>4258</v>
      </c>
      <c r="E2041" s="959">
        <v>0</v>
      </c>
      <c r="F2041" s="959">
        <v>1</v>
      </c>
      <c r="G2041" s="959">
        <v>0</v>
      </c>
      <c r="H2041" s="959">
        <v>0</v>
      </c>
    </row>
    <row r="2042" spans="1:8">
      <c r="A2042" s="959" t="s">
        <v>3652</v>
      </c>
      <c r="B2042" s="960" t="s">
        <v>3653</v>
      </c>
      <c r="C2042" s="960" t="s">
        <v>4257</v>
      </c>
      <c r="D2042" s="960" t="s">
        <v>4258</v>
      </c>
      <c r="E2042" s="959">
        <v>5</v>
      </c>
      <c r="F2042" s="959">
        <v>69</v>
      </c>
      <c r="G2042" s="959">
        <v>0</v>
      </c>
      <c r="H2042" s="959">
        <v>6</v>
      </c>
    </row>
    <row r="2043" spans="1:8">
      <c r="A2043" s="959" t="s">
        <v>3652</v>
      </c>
      <c r="B2043" s="960" t="s">
        <v>3653</v>
      </c>
      <c r="C2043" s="960" t="s">
        <v>4262</v>
      </c>
      <c r="D2043" s="960" t="s">
        <v>4263</v>
      </c>
      <c r="E2043" s="959">
        <v>1</v>
      </c>
      <c r="F2043" s="959">
        <v>64</v>
      </c>
      <c r="G2043" s="959">
        <v>0</v>
      </c>
      <c r="H2043" s="959">
        <v>4</v>
      </c>
    </row>
    <row r="2044" spans="1:8">
      <c r="A2044" s="959" t="s">
        <v>3654</v>
      </c>
      <c r="B2044" s="960" t="s">
        <v>3655</v>
      </c>
      <c r="C2044" s="960" t="s">
        <v>4275</v>
      </c>
      <c r="D2044" s="960" t="s">
        <v>4276</v>
      </c>
      <c r="E2044" s="959">
        <v>1</v>
      </c>
      <c r="F2044" s="959">
        <v>13</v>
      </c>
      <c r="G2044" s="959">
        <v>0</v>
      </c>
      <c r="H2044" s="959">
        <v>0</v>
      </c>
    </row>
    <row r="2045" spans="1:8">
      <c r="A2045" s="959" t="s">
        <v>3654</v>
      </c>
      <c r="B2045" s="960" t="s">
        <v>3655</v>
      </c>
      <c r="C2045" s="960" t="s">
        <v>4256</v>
      </c>
      <c r="D2045" s="960" t="s">
        <v>4259</v>
      </c>
      <c r="E2045" s="959">
        <v>0</v>
      </c>
      <c r="F2045" s="959">
        <v>0</v>
      </c>
      <c r="G2045" s="959">
        <v>1</v>
      </c>
      <c r="H2045" s="959">
        <v>24</v>
      </c>
    </row>
    <row r="2046" spans="1:8">
      <c r="A2046" s="959" t="s">
        <v>3654</v>
      </c>
      <c r="B2046" s="960" t="s">
        <v>3655</v>
      </c>
      <c r="C2046" s="960" t="s">
        <v>4256</v>
      </c>
      <c r="D2046" s="960" t="s">
        <v>1906</v>
      </c>
      <c r="E2046" s="959">
        <v>7</v>
      </c>
      <c r="F2046" s="959">
        <v>109</v>
      </c>
      <c r="G2046" s="959">
        <v>1</v>
      </c>
      <c r="H2046" s="959">
        <v>9</v>
      </c>
    </row>
    <row r="2047" spans="1:8">
      <c r="A2047" s="959" t="s">
        <v>3654</v>
      </c>
      <c r="B2047" s="960" t="s">
        <v>3655</v>
      </c>
      <c r="C2047" s="960" t="s">
        <v>4257</v>
      </c>
      <c r="D2047" s="960" t="s">
        <v>4258</v>
      </c>
      <c r="E2047" s="959">
        <v>40</v>
      </c>
      <c r="F2047" s="959">
        <v>509</v>
      </c>
      <c r="G2047" s="959">
        <v>1</v>
      </c>
      <c r="H2047" s="959">
        <v>12</v>
      </c>
    </row>
    <row r="2048" spans="1:8">
      <c r="A2048" s="959" t="s">
        <v>3654</v>
      </c>
      <c r="B2048" s="960" t="s">
        <v>3655</v>
      </c>
      <c r="C2048" s="960" t="s">
        <v>4262</v>
      </c>
      <c r="D2048" s="960" t="s">
        <v>4263</v>
      </c>
      <c r="E2048" s="959">
        <v>0</v>
      </c>
      <c r="F2048" s="959">
        <v>1</v>
      </c>
      <c r="G2048" s="959">
        <v>0</v>
      </c>
      <c r="H2048" s="959">
        <v>0</v>
      </c>
    </row>
    <row r="2049" spans="1:8">
      <c r="A2049" s="959" t="s">
        <v>3656</v>
      </c>
      <c r="B2049" s="960" t="s">
        <v>3657</v>
      </c>
      <c r="C2049" s="960" t="s">
        <v>4256</v>
      </c>
      <c r="D2049" s="960" t="s">
        <v>470</v>
      </c>
      <c r="E2049" s="959">
        <v>0</v>
      </c>
      <c r="F2049" s="959">
        <v>0</v>
      </c>
      <c r="G2049" s="959">
        <v>0</v>
      </c>
      <c r="H2049" s="959">
        <v>10</v>
      </c>
    </row>
    <row r="2050" spans="1:8">
      <c r="A2050" s="959" t="s">
        <v>3656</v>
      </c>
      <c r="B2050" s="960" t="s">
        <v>3657</v>
      </c>
      <c r="C2050" s="960" t="s">
        <v>4256</v>
      </c>
      <c r="D2050" s="960" t="s">
        <v>4259</v>
      </c>
      <c r="E2050" s="959">
        <v>0</v>
      </c>
      <c r="F2050" s="959">
        <v>0</v>
      </c>
      <c r="G2050" s="959">
        <v>0</v>
      </c>
      <c r="H2050" s="959">
        <v>1</v>
      </c>
    </row>
    <row r="2051" spans="1:8">
      <c r="A2051" s="959" t="s">
        <v>3656</v>
      </c>
      <c r="B2051" s="960" t="s">
        <v>3657</v>
      </c>
      <c r="C2051" s="960" t="s">
        <v>4256</v>
      </c>
      <c r="D2051" s="960" t="s">
        <v>1906</v>
      </c>
      <c r="E2051" s="959">
        <v>0</v>
      </c>
      <c r="F2051" s="959">
        <v>0</v>
      </c>
      <c r="G2051" s="959">
        <v>0</v>
      </c>
      <c r="H2051" s="959">
        <v>2</v>
      </c>
    </row>
    <row r="2052" spans="1:8">
      <c r="A2052" s="959" t="s">
        <v>3656</v>
      </c>
      <c r="B2052" s="960" t="s">
        <v>3657</v>
      </c>
      <c r="C2052" s="960" t="s">
        <v>4257</v>
      </c>
      <c r="D2052" s="960" t="s">
        <v>4258</v>
      </c>
      <c r="E2052" s="959">
        <v>2</v>
      </c>
      <c r="F2052" s="959">
        <v>22</v>
      </c>
      <c r="G2052" s="959">
        <v>0</v>
      </c>
      <c r="H2052" s="959">
        <v>3</v>
      </c>
    </row>
    <row r="2053" spans="1:8">
      <c r="A2053" s="959" t="s">
        <v>3656</v>
      </c>
      <c r="B2053" s="960" t="s">
        <v>3657</v>
      </c>
      <c r="C2053" s="960" t="s">
        <v>4262</v>
      </c>
      <c r="D2053" s="960" t="s">
        <v>4263</v>
      </c>
      <c r="E2053" s="959">
        <v>0</v>
      </c>
      <c r="F2053" s="959">
        <v>10</v>
      </c>
      <c r="G2053" s="959">
        <v>0</v>
      </c>
      <c r="H2053" s="959">
        <v>4</v>
      </c>
    </row>
    <row r="2054" spans="1:8">
      <c r="A2054" s="959" t="s">
        <v>3658</v>
      </c>
      <c r="B2054" s="960" t="s">
        <v>3659</v>
      </c>
      <c r="C2054" s="960" t="s">
        <v>4256</v>
      </c>
      <c r="D2054" s="960" t="s">
        <v>470</v>
      </c>
      <c r="E2054" s="959">
        <v>0</v>
      </c>
      <c r="F2054" s="959">
        <v>0</v>
      </c>
      <c r="G2054" s="959">
        <v>5</v>
      </c>
      <c r="H2054" s="959">
        <v>122</v>
      </c>
    </row>
    <row r="2055" spans="1:8">
      <c r="A2055" s="959" t="s">
        <v>3658</v>
      </c>
      <c r="B2055" s="960" t="s">
        <v>3659</v>
      </c>
      <c r="C2055" s="960" t="s">
        <v>4256</v>
      </c>
      <c r="D2055" s="960" t="s">
        <v>1904</v>
      </c>
      <c r="E2055" s="959">
        <v>0</v>
      </c>
      <c r="F2055" s="959">
        <v>0</v>
      </c>
      <c r="G2055" s="959">
        <v>37</v>
      </c>
      <c r="H2055" s="959">
        <v>53</v>
      </c>
    </row>
    <row r="2056" spans="1:8">
      <c r="A2056" s="959" t="s">
        <v>3658</v>
      </c>
      <c r="B2056" s="960" t="s">
        <v>3659</v>
      </c>
      <c r="C2056" s="960" t="s">
        <v>4256</v>
      </c>
      <c r="D2056" s="960" t="s">
        <v>1906</v>
      </c>
      <c r="E2056" s="959">
        <v>0</v>
      </c>
      <c r="F2056" s="959">
        <v>0</v>
      </c>
      <c r="G2056" s="959">
        <v>0</v>
      </c>
      <c r="H2056" s="959">
        <v>1</v>
      </c>
    </row>
    <row r="2057" spans="1:8">
      <c r="A2057" s="959" t="s">
        <v>3658</v>
      </c>
      <c r="B2057" s="960" t="s">
        <v>3659</v>
      </c>
      <c r="C2057" s="960" t="s">
        <v>4256</v>
      </c>
      <c r="D2057" s="960" t="s">
        <v>4264</v>
      </c>
      <c r="E2057" s="959">
        <v>0</v>
      </c>
      <c r="F2057" s="959">
        <v>0</v>
      </c>
      <c r="G2057" s="959">
        <v>0</v>
      </c>
      <c r="H2057" s="959">
        <v>4</v>
      </c>
    </row>
    <row r="2058" spans="1:8">
      <c r="A2058" s="959" t="s">
        <v>3658</v>
      </c>
      <c r="B2058" s="960" t="s">
        <v>3659</v>
      </c>
      <c r="C2058" s="960" t="s">
        <v>4257</v>
      </c>
      <c r="D2058" s="960" t="s">
        <v>4258</v>
      </c>
      <c r="E2058" s="959">
        <v>0</v>
      </c>
      <c r="F2058" s="959">
        <v>1</v>
      </c>
      <c r="G2058" s="959">
        <v>1</v>
      </c>
      <c r="H2058" s="959">
        <v>7</v>
      </c>
    </row>
    <row r="2059" spans="1:8">
      <c r="A2059" s="959" t="s">
        <v>3658</v>
      </c>
      <c r="B2059" s="960" t="s">
        <v>3659</v>
      </c>
      <c r="C2059" s="960" t="s">
        <v>4262</v>
      </c>
      <c r="D2059" s="960" t="s">
        <v>4263</v>
      </c>
      <c r="E2059" s="959">
        <v>0</v>
      </c>
      <c r="F2059" s="959">
        <v>0</v>
      </c>
      <c r="G2059" s="959">
        <v>5</v>
      </c>
      <c r="H2059" s="959">
        <v>19</v>
      </c>
    </row>
    <row r="2060" spans="1:8">
      <c r="A2060" s="959" t="s">
        <v>3660</v>
      </c>
      <c r="B2060" s="960" t="s">
        <v>3661</v>
      </c>
      <c r="C2060" s="960" t="s">
        <v>4257</v>
      </c>
      <c r="D2060" s="960" t="s">
        <v>4258</v>
      </c>
      <c r="E2060" s="959">
        <v>0</v>
      </c>
      <c r="F2060" s="959">
        <v>3</v>
      </c>
      <c r="G2060" s="959">
        <v>0</v>
      </c>
      <c r="H2060" s="959">
        <v>0</v>
      </c>
    </row>
    <row r="2061" spans="1:8">
      <c r="A2061" s="959" t="s">
        <v>3660</v>
      </c>
      <c r="B2061" s="960" t="s">
        <v>3661</v>
      </c>
      <c r="C2061" s="960" t="s">
        <v>4262</v>
      </c>
      <c r="D2061" s="960" t="s">
        <v>4263</v>
      </c>
      <c r="E2061" s="959">
        <v>0</v>
      </c>
      <c r="F2061" s="959">
        <v>1</v>
      </c>
      <c r="G2061" s="959">
        <v>0</v>
      </c>
      <c r="H2061" s="959">
        <v>0</v>
      </c>
    </row>
    <row r="2062" spans="1:8">
      <c r="A2062" s="959" t="s">
        <v>3660</v>
      </c>
      <c r="B2062" s="960" t="s">
        <v>3661</v>
      </c>
      <c r="C2062" s="960" t="s">
        <v>4267</v>
      </c>
      <c r="D2062" s="960" t="s">
        <v>4268</v>
      </c>
      <c r="E2062" s="959">
        <v>0</v>
      </c>
      <c r="F2062" s="959">
        <v>0</v>
      </c>
      <c r="G2062" s="959">
        <v>0</v>
      </c>
      <c r="H2062" s="959">
        <v>40</v>
      </c>
    </row>
    <row r="2063" spans="1:8">
      <c r="A2063" s="959" t="s">
        <v>3663</v>
      </c>
      <c r="B2063" s="960" t="s">
        <v>3664</v>
      </c>
      <c r="C2063" s="960" t="s">
        <v>4275</v>
      </c>
      <c r="D2063" s="960" t="s">
        <v>4276</v>
      </c>
      <c r="E2063" s="959">
        <v>2</v>
      </c>
      <c r="F2063" s="959">
        <v>24</v>
      </c>
      <c r="G2063" s="959">
        <v>0</v>
      </c>
      <c r="H2063" s="959">
        <v>0</v>
      </c>
    </row>
    <row r="2064" spans="1:8">
      <c r="A2064" s="959" t="s">
        <v>3663</v>
      </c>
      <c r="B2064" s="960" t="s">
        <v>3664</v>
      </c>
      <c r="C2064" s="960" t="s">
        <v>4277</v>
      </c>
      <c r="D2064" s="960" t="s">
        <v>4278</v>
      </c>
      <c r="E2064" s="959">
        <v>0</v>
      </c>
      <c r="F2064" s="959">
        <v>0</v>
      </c>
      <c r="G2064" s="959">
        <v>0</v>
      </c>
      <c r="H2064" s="959">
        <v>1</v>
      </c>
    </row>
    <row r="2065" spans="1:8">
      <c r="A2065" s="959" t="s">
        <v>3663</v>
      </c>
      <c r="B2065" s="960" t="s">
        <v>3664</v>
      </c>
      <c r="C2065" s="960" t="s">
        <v>4256</v>
      </c>
      <c r="D2065" s="960" t="s">
        <v>4270</v>
      </c>
      <c r="E2065" s="959">
        <v>0</v>
      </c>
      <c r="F2065" s="959">
        <v>0</v>
      </c>
      <c r="G2065" s="959">
        <v>2</v>
      </c>
      <c r="H2065" s="959">
        <v>4</v>
      </c>
    </row>
    <row r="2066" spans="1:8">
      <c r="A2066" s="959" t="s">
        <v>3663</v>
      </c>
      <c r="B2066" s="960" t="s">
        <v>3664</v>
      </c>
      <c r="C2066" s="960" t="s">
        <v>4256</v>
      </c>
      <c r="D2066" s="960" t="s">
        <v>4260</v>
      </c>
      <c r="E2066" s="959">
        <v>0</v>
      </c>
      <c r="F2066" s="959">
        <v>0</v>
      </c>
      <c r="G2066" s="959">
        <v>0</v>
      </c>
      <c r="H2066" s="959">
        <v>3</v>
      </c>
    </row>
    <row r="2067" spans="1:8">
      <c r="A2067" s="959" t="s">
        <v>3663</v>
      </c>
      <c r="B2067" s="960" t="s">
        <v>3664</v>
      </c>
      <c r="C2067" s="960" t="s">
        <v>4256</v>
      </c>
      <c r="D2067" s="960" t="s">
        <v>1906</v>
      </c>
      <c r="E2067" s="959">
        <v>0</v>
      </c>
      <c r="F2067" s="959">
        <v>4</v>
      </c>
      <c r="G2067" s="959">
        <v>0</v>
      </c>
      <c r="H2067" s="959">
        <v>3</v>
      </c>
    </row>
    <row r="2068" spans="1:8">
      <c r="A2068" s="959" t="s">
        <v>3663</v>
      </c>
      <c r="B2068" s="960" t="s">
        <v>3664</v>
      </c>
      <c r="C2068" s="960" t="s">
        <v>4256</v>
      </c>
      <c r="D2068" s="960" t="s">
        <v>1907</v>
      </c>
      <c r="E2068" s="959">
        <v>1</v>
      </c>
      <c r="F2068" s="959">
        <v>11</v>
      </c>
      <c r="G2068" s="959">
        <v>6</v>
      </c>
      <c r="H2068" s="959">
        <v>75</v>
      </c>
    </row>
    <row r="2069" spans="1:8">
      <c r="A2069" s="959" t="s">
        <v>3663</v>
      </c>
      <c r="B2069" s="960" t="s">
        <v>3664</v>
      </c>
      <c r="C2069" s="960" t="s">
        <v>4257</v>
      </c>
      <c r="D2069" s="960" t="s">
        <v>4258</v>
      </c>
      <c r="E2069" s="959">
        <v>1</v>
      </c>
      <c r="F2069" s="959">
        <v>7</v>
      </c>
      <c r="G2069" s="959">
        <v>2</v>
      </c>
      <c r="H2069" s="959">
        <v>23</v>
      </c>
    </row>
    <row r="2070" spans="1:8">
      <c r="A2070" s="959" t="s">
        <v>3663</v>
      </c>
      <c r="B2070" s="960" t="s">
        <v>3664</v>
      </c>
      <c r="C2070" s="960" t="s">
        <v>4262</v>
      </c>
      <c r="D2070" s="960" t="s">
        <v>4263</v>
      </c>
      <c r="E2070" s="959">
        <v>7</v>
      </c>
      <c r="F2070" s="959">
        <v>30</v>
      </c>
      <c r="G2070" s="959">
        <v>0</v>
      </c>
      <c r="H2070" s="959">
        <v>0</v>
      </c>
    </row>
    <row r="2071" spans="1:8">
      <c r="A2071" s="959" t="s">
        <v>3665</v>
      </c>
      <c r="B2071" s="960" t="s">
        <v>3666</v>
      </c>
      <c r="C2071" s="960" t="s">
        <v>4256</v>
      </c>
      <c r="D2071" s="960" t="s">
        <v>470</v>
      </c>
      <c r="E2071" s="959">
        <v>0</v>
      </c>
      <c r="F2071" s="959">
        <v>0</v>
      </c>
      <c r="G2071" s="959">
        <v>6</v>
      </c>
      <c r="H2071" s="959">
        <v>50</v>
      </c>
    </row>
    <row r="2072" spans="1:8">
      <c r="A2072" s="959" t="s">
        <v>3665</v>
      </c>
      <c r="B2072" s="960" t="s">
        <v>3666</v>
      </c>
      <c r="C2072" s="960" t="s">
        <v>4256</v>
      </c>
      <c r="D2072" s="960" t="s">
        <v>4260</v>
      </c>
      <c r="E2072" s="959">
        <v>0</v>
      </c>
      <c r="F2072" s="959">
        <v>0</v>
      </c>
      <c r="G2072" s="959">
        <v>0</v>
      </c>
      <c r="H2072" s="959">
        <v>2</v>
      </c>
    </row>
    <row r="2073" spans="1:8">
      <c r="A2073" s="959" t="s">
        <v>3665</v>
      </c>
      <c r="B2073" s="960" t="s">
        <v>3666</v>
      </c>
      <c r="C2073" s="960" t="s">
        <v>4256</v>
      </c>
      <c r="D2073" s="960" t="s">
        <v>4264</v>
      </c>
      <c r="E2073" s="959">
        <v>0</v>
      </c>
      <c r="F2073" s="959">
        <v>3</v>
      </c>
      <c r="G2073" s="959">
        <v>0</v>
      </c>
      <c r="H2073" s="959">
        <v>5</v>
      </c>
    </row>
    <row r="2074" spans="1:8">
      <c r="A2074" s="959" t="s">
        <v>3665</v>
      </c>
      <c r="B2074" s="960" t="s">
        <v>3666</v>
      </c>
      <c r="C2074" s="960" t="s">
        <v>4257</v>
      </c>
      <c r="D2074" s="960" t="s">
        <v>4258</v>
      </c>
      <c r="E2074" s="959">
        <v>3</v>
      </c>
      <c r="F2074" s="959">
        <v>76</v>
      </c>
      <c r="G2074" s="959">
        <v>0</v>
      </c>
      <c r="H2074" s="959">
        <v>3</v>
      </c>
    </row>
    <row r="2075" spans="1:8">
      <c r="A2075" s="959" t="s">
        <v>3665</v>
      </c>
      <c r="B2075" s="960" t="s">
        <v>3666</v>
      </c>
      <c r="C2075" s="960" t="s">
        <v>4262</v>
      </c>
      <c r="D2075" s="960" t="s">
        <v>4263</v>
      </c>
      <c r="E2075" s="959">
        <v>4</v>
      </c>
      <c r="F2075" s="959">
        <v>115</v>
      </c>
      <c r="G2075" s="959">
        <v>0</v>
      </c>
      <c r="H2075" s="959">
        <v>0</v>
      </c>
    </row>
    <row r="2076" spans="1:8">
      <c r="A2076" s="959" t="s">
        <v>3665</v>
      </c>
      <c r="B2076" s="960" t="s">
        <v>3666</v>
      </c>
      <c r="C2076" s="960" t="s">
        <v>4267</v>
      </c>
      <c r="D2076" s="960" t="s">
        <v>4268</v>
      </c>
      <c r="E2076" s="959">
        <v>0</v>
      </c>
      <c r="F2076" s="959">
        <v>0</v>
      </c>
      <c r="G2076" s="959">
        <v>0</v>
      </c>
      <c r="H2076" s="959">
        <v>3</v>
      </c>
    </row>
    <row r="2077" spans="1:8">
      <c r="A2077" s="959" t="s">
        <v>3667</v>
      </c>
      <c r="B2077" s="960" t="s">
        <v>3668</v>
      </c>
      <c r="C2077" s="960" t="s">
        <v>4256</v>
      </c>
      <c r="D2077" s="960" t="s">
        <v>470</v>
      </c>
      <c r="E2077" s="959">
        <v>0</v>
      </c>
      <c r="F2077" s="959">
        <v>1</v>
      </c>
      <c r="G2077" s="959">
        <v>0</v>
      </c>
      <c r="H2077" s="959">
        <v>1</v>
      </c>
    </row>
    <row r="2078" spans="1:8">
      <c r="A2078" s="959" t="s">
        <v>3667</v>
      </c>
      <c r="B2078" s="960" t="s">
        <v>3668</v>
      </c>
      <c r="C2078" s="960" t="s">
        <v>4256</v>
      </c>
      <c r="D2078" s="960" t="s">
        <v>1904</v>
      </c>
      <c r="E2078" s="959">
        <v>0</v>
      </c>
      <c r="F2078" s="959">
        <v>1</v>
      </c>
      <c r="G2078" s="959">
        <v>0</v>
      </c>
      <c r="H2078" s="959">
        <v>0</v>
      </c>
    </row>
    <row r="2079" spans="1:8">
      <c r="A2079" s="959" t="s">
        <v>3667</v>
      </c>
      <c r="B2079" s="960" t="s">
        <v>3668</v>
      </c>
      <c r="C2079" s="960" t="s">
        <v>4256</v>
      </c>
      <c r="D2079" s="960" t="s">
        <v>4270</v>
      </c>
      <c r="E2079" s="959">
        <v>0</v>
      </c>
      <c r="F2079" s="959">
        <v>0</v>
      </c>
      <c r="G2079" s="959">
        <v>0</v>
      </c>
      <c r="H2079" s="959">
        <v>1</v>
      </c>
    </row>
    <row r="2080" spans="1:8">
      <c r="A2080" s="959" t="s">
        <v>3667</v>
      </c>
      <c r="B2080" s="960" t="s">
        <v>3668</v>
      </c>
      <c r="C2080" s="960" t="s">
        <v>4256</v>
      </c>
      <c r="D2080" s="960" t="s">
        <v>4259</v>
      </c>
      <c r="E2080" s="959">
        <v>0</v>
      </c>
      <c r="F2080" s="959">
        <v>0</v>
      </c>
      <c r="G2080" s="959">
        <v>0</v>
      </c>
      <c r="H2080" s="959">
        <v>1</v>
      </c>
    </row>
    <row r="2081" spans="1:8">
      <c r="A2081" s="959" t="s">
        <v>3667</v>
      </c>
      <c r="B2081" s="960" t="s">
        <v>3668</v>
      </c>
      <c r="C2081" s="960" t="s">
        <v>4256</v>
      </c>
      <c r="D2081" s="960" t="s">
        <v>4260</v>
      </c>
      <c r="E2081" s="959">
        <v>0</v>
      </c>
      <c r="F2081" s="959">
        <v>1</v>
      </c>
      <c r="G2081" s="959">
        <v>0</v>
      </c>
      <c r="H2081" s="959">
        <v>1</v>
      </c>
    </row>
    <row r="2082" spans="1:8">
      <c r="A2082" s="959" t="s">
        <v>3667</v>
      </c>
      <c r="B2082" s="960" t="s">
        <v>3668</v>
      </c>
      <c r="C2082" s="960" t="s">
        <v>4256</v>
      </c>
      <c r="D2082" s="960" t="s">
        <v>1906</v>
      </c>
      <c r="E2082" s="959">
        <v>0</v>
      </c>
      <c r="F2082" s="959">
        <v>1</v>
      </c>
      <c r="G2082" s="959">
        <v>0</v>
      </c>
      <c r="H2082" s="959">
        <v>0</v>
      </c>
    </row>
    <row r="2083" spans="1:8">
      <c r="A2083" s="959" t="s">
        <v>3667</v>
      </c>
      <c r="B2083" s="960" t="s">
        <v>3668</v>
      </c>
      <c r="C2083" s="960" t="s">
        <v>4257</v>
      </c>
      <c r="D2083" s="960" t="s">
        <v>4258</v>
      </c>
      <c r="E2083" s="959">
        <v>0</v>
      </c>
      <c r="F2083" s="959">
        <v>4</v>
      </c>
      <c r="G2083" s="959">
        <v>0</v>
      </c>
      <c r="H2083" s="959">
        <v>1</v>
      </c>
    </row>
    <row r="2084" spans="1:8">
      <c r="A2084" s="959" t="s">
        <v>3667</v>
      </c>
      <c r="B2084" s="960" t="s">
        <v>3668</v>
      </c>
      <c r="C2084" s="960" t="s">
        <v>4262</v>
      </c>
      <c r="D2084" s="960" t="s">
        <v>4263</v>
      </c>
      <c r="E2084" s="959">
        <v>0</v>
      </c>
      <c r="F2084" s="959">
        <v>1</v>
      </c>
      <c r="G2084" s="959">
        <v>0</v>
      </c>
      <c r="H2084" s="959">
        <v>0</v>
      </c>
    </row>
    <row r="2085" spans="1:8">
      <c r="A2085" s="959" t="s">
        <v>3669</v>
      </c>
      <c r="B2085" s="960" t="s">
        <v>3670</v>
      </c>
      <c r="C2085" s="960" t="s">
        <v>4275</v>
      </c>
      <c r="D2085" s="960" t="s">
        <v>4276</v>
      </c>
      <c r="E2085" s="959">
        <v>9</v>
      </c>
      <c r="F2085" s="959">
        <v>395</v>
      </c>
      <c r="G2085" s="959">
        <v>0</v>
      </c>
      <c r="H2085" s="959">
        <v>1</v>
      </c>
    </row>
    <row r="2086" spans="1:8">
      <c r="A2086" s="959" t="s">
        <v>3669</v>
      </c>
      <c r="B2086" s="960" t="s">
        <v>3670</v>
      </c>
      <c r="C2086" s="960" t="s">
        <v>4277</v>
      </c>
      <c r="D2086" s="960" t="s">
        <v>4278</v>
      </c>
      <c r="E2086" s="959">
        <v>0</v>
      </c>
      <c r="F2086" s="959">
        <v>0</v>
      </c>
      <c r="G2086" s="959">
        <v>0</v>
      </c>
      <c r="H2086" s="959">
        <v>3</v>
      </c>
    </row>
    <row r="2087" spans="1:8">
      <c r="A2087" s="959" t="s">
        <v>3669</v>
      </c>
      <c r="B2087" s="960" t="s">
        <v>3670</v>
      </c>
      <c r="C2087" s="960" t="s">
        <v>4256</v>
      </c>
      <c r="D2087" s="960" t="s">
        <v>4259</v>
      </c>
      <c r="E2087" s="959">
        <v>0</v>
      </c>
      <c r="F2087" s="959">
        <v>1</v>
      </c>
      <c r="G2087" s="959">
        <v>0</v>
      </c>
      <c r="H2087" s="959">
        <v>3</v>
      </c>
    </row>
    <row r="2088" spans="1:8">
      <c r="A2088" s="959" t="s">
        <v>3669</v>
      </c>
      <c r="B2088" s="960" t="s">
        <v>3670</v>
      </c>
      <c r="C2088" s="960" t="s">
        <v>4256</v>
      </c>
      <c r="D2088" s="960" t="s">
        <v>4260</v>
      </c>
      <c r="E2088" s="959">
        <v>0</v>
      </c>
      <c r="F2088" s="959">
        <v>0</v>
      </c>
      <c r="G2088" s="959">
        <v>0</v>
      </c>
      <c r="H2088" s="959">
        <v>3</v>
      </c>
    </row>
    <row r="2089" spans="1:8">
      <c r="A2089" s="959" t="s">
        <v>3669</v>
      </c>
      <c r="B2089" s="960" t="s">
        <v>3670</v>
      </c>
      <c r="C2089" s="960" t="s">
        <v>4256</v>
      </c>
      <c r="D2089" s="960" t="s">
        <v>1906</v>
      </c>
      <c r="E2089" s="959">
        <v>19</v>
      </c>
      <c r="F2089" s="959">
        <v>213</v>
      </c>
      <c r="G2089" s="959">
        <v>1</v>
      </c>
      <c r="H2089" s="959">
        <v>9</v>
      </c>
    </row>
    <row r="2090" spans="1:8">
      <c r="A2090" s="959" t="s">
        <v>3669</v>
      </c>
      <c r="B2090" s="960" t="s">
        <v>3670</v>
      </c>
      <c r="C2090" s="960" t="s">
        <v>4257</v>
      </c>
      <c r="D2090" s="960" t="s">
        <v>4258</v>
      </c>
      <c r="E2090" s="959">
        <v>118</v>
      </c>
      <c r="F2090" s="959">
        <v>2835</v>
      </c>
      <c r="G2090" s="959">
        <v>6</v>
      </c>
      <c r="H2090" s="959">
        <v>79</v>
      </c>
    </row>
    <row r="2091" spans="1:8">
      <c r="A2091" s="959" t="s">
        <v>3669</v>
      </c>
      <c r="B2091" s="960" t="s">
        <v>3670</v>
      </c>
      <c r="C2091" s="960" t="s">
        <v>4262</v>
      </c>
      <c r="D2091" s="960" t="s">
        <v>4263</v>
      </c>
      <c r="E2091" s="959">
        <v>1</v>
      </c>
      <c r="F2091" s="959">
        <v>17</v>
      </c>
      <c r="G2091" s="959">
        <v>0</v>
      </c>
      <c r="H2091" s="959">
        <v>13</v>
      </c>
    </row>
    <row r="2092" spans="1:8">
      <c r="A2092" s="959" t="s">
        <v>3671</v>
      </c>
      <c r="B2092" s="960" t="s">
        <v>1330</v>
      </c>
      <c r="C2092" s="960" t="s">
        <v>4256</v>
      </c>
      <c r="D2092" s="960" t="s">
        <v>470</v>
      </c>
      <c r="E2092" s="959">
        <v>0</v>
      </c>
      <c r="F2092" s="959">
        <v>1</v>
      </c>
      <c r="G2092" s="959">
        <v>0</v>
      </c>
      <c r="H2092" s="959">
        <v>3</v>
      </c>
    </row>
    <row r="2093" spans="1:8">
      <c r="A2093" s="959" t="s">
        <v>3671</v>
      </c>
      <c r="B2093" s="960" t="s">
        <v>1330</v>
      </c>
      <c r="C2093" s="960" t="s">
        <v>4256</v>
      </c>
      <c r="D2093" s="960" t="s">
        <v>1904</v>
      </c>
      <c r="E2093" s="959">
        <v>0</v>
      </c>
      <c r="F2093" s="959">
        <v>0</v>
      </c>
      <c r="G2093" s="959">
        <v>0</v>
      </c>
      <c r="H2093" s="959">
        <v>1</v>
      </c>
    </row>
    <row r="2094" spans="1:8">
      <c r="A2094" s="959" t="s">
        <v>3671</v>
      </c>
      <c r="B2094" s="960" t="s">
        <v>1330</v>
      </c>
      <c r="C2094" s="960" t="s">
        <v>4256</v>
      </c>
      <c r="D2094" s="960" t="s">
        <v>4270</v>
      </c>
      <c r="E2094" s="959">
        <v>1</v>
      </c>
      <c r="F2094" s="959">
        <v>0</v>
      </c>
      <c r="G2094" s="959">
        <v>0</v>
      </c>
      <c r="H2094" s="959">
        <v>2</v>
      </c>
    </row>
    <row r="2095" spans="1:8">
      <c r="A2095" s="959" t="s">
        <v>3671</v>
      </c>
      <c r="B2095" s="960" t="s">
        <v>1330</v>
      </c>
      <c r="C2095" s="960" t="s">
        <v>4256</v>
      </c>
      <c r="D2095" s="960" t="s">
        <v>4259</v>
      </c>
      <c r="E2095" s="959">
        <v>0</v>
      </c>
      <c r="F2095" s="959">
        <v>0</v>
      </c>
      <c r="G2095" s="959">
        <v>1</v>
      </c>
      <c r="H2095" s="959">
        <v>4</v>
      </c>
    </row>
    <row r="2096" spans="1:8">
      <c r="A2096" s="959" t="s">
        <v>3671</v>
      </c>
      <c r="B2096" s="960" t="s">
        <v>1330</v>
      </c>
      <c r="C2096" s="960" t="s">
        <v>4256</v>
      </c>
      <c r="D2096" s="960" t="s">
        <v>4260</v>
      </c>
      <c r="E2096" s="959">
        <v>1</v>
      </c>
      <c r="F2096" s="959">
        <v>2</v>
      </c>
      <c r="G2096" s="959">
        <v>3</v>
      </c>
      <c r="H2096" s="959">
        <v>68</v>
      </c>
    </row>
    <row r="2097" spans="1:8">
      <c r="A2097" s="959" t="s">
        <v>3671</v>
      </c>
      <c r="B2097" s="960" t="s">
        <v>1330</v>
      </c>
      <c r="C2097" s="960" t="s">
        <v>4256</v>
      </c>
      <c r="D2097" s="960" t="s">
        <v>1906</v>
      </c>
      <c r="E2097" s="959">
        <v>0</v>
      </c>
      <c r="F2097" s="959">
        <v>17</v>
      </c>
      <c r="G2097" s="959">
        <v>0</v>
      </c>
      <c r="H2097" s="959">
        <v>0</v>
      </c>
    </row>
    <row r="2098" spans="1:8">
      <c r="A2098" s="959" t="s">
        <v>3671</v>
      </c>
      <c r="B2098" s="960" t="s">
        <v>1330</v>
      </c>
      <c r="C2098" s="960" t="s">
        <v>4256</v>
      </c>
      <c r="D2098" s="960" t="s">
        <v>1907</v>
      </c>
      <c r="E2098" s="959">
        <v>0</v>
      </c>
      <c r="F2098" s="959">
        <v>1</v>
      </c>
      <c r="G2098" s="959">
        <v>0</v>
      </c>
      <c r="H2098" s="959">
        <v>0</v>
      </c>
    </row>
    <row r="2099" spans="1:8">
      <c r="A2099" s="959" t="s">
        <v>3671</v>
      </c>
      <c r="B2099" s="960" t="s">
        <v>1330</v>
      </c>
      <c r="C2099" s="960" t="s">
        <v>4256</v>
      </c>
      <c r="D2099" s="960" t="s">
        <v>4261</v>
      </c>
      <c r="E2099" s="959">
        <v>0</v>
      </c>
      <c r="F2099" s="959">
        <v>0</v>
      </c>
      <c r="G2099" s="959">
        <v>0</v>
      </c>
      <c r="H2099" s="959">
        <v>1</v>
      </c>
    </row>
    <row r="2100" spans="1:8">
      <c r="A2100" s="959" t="s">
        <v>3671</v>
      </c>
      <c r="B2100" s="960" t="s">
        <v>1330</v>
      </c>
      <c r="C2100" s="960" t="s">
        <v>4257</v>
      </c>
      <c r="D2100" s="960" t="s">
        <v>4258</v>
      </c>
      <c r="E2100" s="959">
        <v>6</v>
      </c>
      <c r="F2100" s="959">
        <v>176</v>
      </c>
      <c r="G2100" s="959">
        <v>1</v>
      </c>
      <c r="H2100" s="959">
        <v>9</v>
      </c>
    </row>
    <row r="2101" spans="1:8">
      <c r="A2101" s="959" t="s">
        <v>3671</v>
      </c>
      <c r="B2101" s="960" t="s">
        <v>1330</v>
      </c>
      <c r="C2101" s="960" t="s">
        <v>4262</v>
      </c>
      <c r="D2101" s="960" t="s">
        <v>4263</v>
      </c>
      <c r="E2101" s="959">
        <v>64</v>
      </c>
      <c r="F2101" s="959">
        <v>896</v>
      </c>
      <c r="G2101" s="959">
        <v>0</v>
      </c>
      <c r="H2101" s="959">
        <v>0</v>
      </c>
    </row>
    <row r="2102" spans="1:8">
      <c r="A2102" s="959" t="s">
        <v>3671</v>
      </c>
      <c r="B2102" s="960" t="s">
        <v>1330</v>
      </c>
      <c r="C2102" s="960" t="s">
        <v>4267</v>
      </c>
      <c r="D2102" s="960" t="s">
        <v>4268</v>
      </c>
      <c r="E2102" s="959">
        <v>0</v>
      </c>
      <c r="F2102" s="959">
        <v>0</v>
      </c>
      <c r="G2102" s="959">
        <v>1</v>
      </c>
      <c r="H2102" s="959">
        <v>9</v>
      </c>
    </row>
    <row r="2103" spans="1:8">
      <c r="A2103" s="959" t="s">
        <v>3672</v>
      </c>
      <c r="B2103" s="960" t="s">
        <v>3673</v>
      </c>
      <c r="C2103" s="960" t="s">
        <v>4256</v>
      </c>
      <c r="D2103" s="960" t="s">
        <v>1906</v>
      </c>
      <c r="E2103" s="959">
        <v>0</v>
      </c>
      <c r="F2103" s="959">
        <v>2</v>
      </c>
      <c r="G2103" s="959">
        <v>0</v>
      </c>
      <c r="H2103" s="959">
        <v>0</v>
      </c>
    </row>
    <row r="2104" spans="1:8">
      <c r="A2104" s="959" t="s">
        <v>3672</v>
      </c>
      <c r="B2104" s="960" t="s">
        <v>3673</v>
      </c>
      <c r="C2104" s="960" t="s">
        <v>4256</v>
      </c>
      <c r="D2104" s="960" t="s">
        <v>4264</v>
      </c>
      <c r="E2104" s="959">
        <v>0</v>
      </c>
      <c r="F2104" s="959">
        <v>5</v>
      </c>
      <c r="G2104" s="959">
        <v>0</v>
      </c>
      <c r="H2104" s="959">
        <v>0</v>
      </c>
    </row>
    <row r="2105" spans="1:8">
      <c r="A2105" s="959" t="s">
        <v>3675</v>
      </c>
      <c r="B2105" s="960" t="s">
        <v>3676</v>
      </c>
      <c r="C2105" s="960" t="s">
        <v>4256</v>
      </c>
      <c r="D2105" s="960" t="s">
        <v>1904</v>
      </c>
      <c r="E2105" s="959">
        <v>0</v>
      </c>
      <c r="F2105" s="959">
        <v>0</v>
      </c>
      <c r="G2105" s="959">
        <v>0</v>
      </c>
      <c r="H2105" s="959">
        <v>2</v>
      </c>
    </row>
    <row r="2106" spans="1:8">
      <c r="A2106" s="959" t="s">
        <v>3675</v>
      </c>
      <c r="B2106" s="960" t="s">
        <v>3676</v>
      </c>
      <c r="C2106" s="960" t="s">
        <v>4256</v>
      </c>
      <c r="D2106" s="960" t="s">
        <v>4270</v>
      </c>
      <c r="E2106" s="959">
        <v>0</v>
      </c>
      <c r="F2106" s="959">
        <v>0</v>
      </c>
      <c r="G2106" s="959">
        <v>0</v>
      </c>
      <c r="H2106" s="959">
        <v>2</v>
      </c>
    </row>
    <row r="2107" spans="1:8">
      <c r="A2107" s="959" t="s">
        <v>3675</v>
      </c>
      <c r="B2107" s="960" t="s">
        <v>3676</v>
      </c>
      <c r="C2107" s="960" t="s">
        <v>4256</v>
      </c>
      <c r="D2107" s="960" t="s">
        <v>4259</v>
      </c>
      <c r="E2107" s="959">
        <v>1</v>
      </c>
      <c r="F2107" s="959">
        <v>6</v>
      </c>
      <c r="G2107" s="959">
        <v>4</v>
      </c>
      <c r="H2107" s="959">
        <v>62</v>
      </c>
    </row>
    <row r="2108" spans="1:8">
      <c r="A2108" s="959" t="s">
        <v>3675</v>
      </c>
      <c r="B2108" s="960" t="s">
        <v>3676</v>
      </c>
      <c r="C2108" s="960" t="s">
        <v>4256</v>
      </c>
      <c r="D2108" s="960" t="s">
        <v>4260</v>
      </c>
      <c r="E2108" s="959">
        <v>0</v>
      </c>
      <c r="F2108" s="959">
        <v>1</v>
      </c>
      <c r="G2108" s="959">
        <v>0</v>
      </c>
      <c r="H2108" s="959">
        <v>3</v>
      </c>
    </row>
    <row r="2109" spans="1:8">
      <c r="A2109" s="959" t="s">
        <v>3675</v>
      </c>
      <c r="B2109" s="960" t="s">
        <v>3676</v>
      </c>
      <c r="C2109" s="960" t="s">
        <v>4256</v>
      </c>
      <c r="D2109" s="960" t="s">
        <v>1906</v>
      </c>
      <c r="E2109" s="959">
        <v>31</v>
      </c>
      <c r="F2109" s="959">
        <v>740</v>
      </c>
      <c r="G2109" s="959">
        <v>3</v>
      </c>
      <c r="H2109" s="959">
        <v>41</v>
      </c>
    </row>
    <row r="2110" spans="1:8">
      <c r="A2110" s="959" t="s">
        <v>3675</v>
      </c>
      <c r="B2110" s="960" t="s">
        <v>3676</v>
      </c>
      <c r="C2110" s="960" t="s">
        <v>4256</v>
      </c>
      <c r="D2110" s="960" t="s">
        <v>4261</v>
      </c>
      <c r="E2110" s="959">
        <v>0</v>
      </c>
      <c r="F2110" s="959">
        <v>0</v>
      </c>
      <c r="G2110" s="959">
        <v>0</v>
      </c>
      <c r="H2110" s="959">
        <v>1</v>
      </c>
    </row>
    <row r="2111" spans="1:8">
      <c r="A2111" s="959" t="s">
        <v>3675</v>
      </c>
      <c r="B2111" s="960" t="s">
        <v>3676</v>
      </c>
      <c r="C2111" s="960" t="s">
        <v>4257</v>
      </c>
      <c r="D2111" s="960" t="s">
        <v>4258</v>
      </c>
      <c r="E2111" s="959">
        <v>21</v>
      </c>
      <c r="F2111" s="959">
        <v>477</v>
      </c>
      <c r="G2111" s="959">
        <v>3</v>
      </c>
      <c r="H2111" s="959">
        <v>45</v>
      </c>
    </row>
    <row r="2112" spans="1:8">
      <c r="A2112" s="959" t="s">
        <v>3675</v>
      </c>
      <c r="B2112" s="960" t="s">
        <v>3676</v>
      </c>
      <c r="C2112" s="960" t="s">
        <v>4262</v>
      </c>
      <c r="D2112" s="960" t="s">
        <v>4263</v>
      </c>
      <c r="E2112" s="959">
        <v>1</v>
      </c>
      <c r="F2112" s="959">
        <v>15</v>
      </c>
      <c r="G2112" s="959">
        <v>0</v>
      </c>
      <c r="H2112" s="959">
        <v>2</v>
      </c>
    </row>
    <row r="2113" spans="1:8">
      <c r="A2113" s="959" t="s">
        <v>3677</v>
      </c>
      <c r="B2113" s="960" t="s">
        <v>3678</v>
      </c>
      <c r="C2113" s="960" t="s">
        <v>4257</v>
      </c>
      <c r="D2113" s="960" t="s">
        <v>4258</v>
      </c>
      <c r="E2113" s="959">
        <v>0</v>
      </c>
      <c r="F2113" s="959">
        <v>2</v>
      </c>
      <c r="G2113" s="959">
        <v>0</v>
      </c>
      <c r="H2113" s="959">
        <v>0</v>
      </c>
    </row>
    <row r="2114" spans="1:8">
      <c r="A2114" s="959" t="s">
        <v>3679</v>
      </c>
      <c r="B2114" s="960" t="s">
        <v>3680</v>
      </c>
      <c r="C2114" s="960" t="s">
        <v>4256</v>
      </c>
      <c r="D2114" s="960" t="s">
        <v>1906</v>
      </c>
      <c r="E2114" s="959">
        <v>2</v>
      </c>
      <c r="F2114" s="959">
        <v>12</v>
      </c>
      <c r="G2114" s="959">
        <v>0</v>
      </c>
      <c r="H2114" s="959">
        <v>0</v>
      </c>
    </row>
    <row r="2115" spans="1:8">
      <c r="A2115" s="959" t="s">
        <v>3679</v>
      </c>
      <c r="B2115" s="960" t="s">
        <v>3680</v>
      </c>
      <c r="C2115" s="960" t="s">
        <v>4257</v>
      </c>
      <c r="D2115" s="960" t="s">
        <v>4258</v>
      </c>
      <c r="E2115" s="959">
        <v>2</v>
      </c>
      <c r="F2115" s="959">
        <v>20</v>
      </c>
      <c r="G2115" s="959">
        <v>0</v>
      </c>
      <c r="H2115" s="959">
        <v>0</v>
      </c>
    </row>
    <row r="2116" spans="1:8">
      <c r="A2116" s="959" t="s">
        <v>3679</v>
      </c>
      <c r="B2116" s="960" t="s">
        <v>3680</v>
      </c>
      <c r="C2116" s="960" t="s">
        <v>4262</v>
      </c>
      <c r="D2116" s="960" t="s">
        <v>4263</v>
      </c>
      <c r="E2116" s="959">
        <v>11</v>
      </c>
      <c r="F2116" s="959">
        <v>263</v>
      </c>
      <c r="G2116" s="959">
        <v>0</v>
      </c>
      <c r="H2116" s="959">
        <v>0</v>
      </c>
    </row>
    <row r="2117" spans="1:8">
      <c r="A2117" s="959" t="s">
        <v>3681</v>
      </c>
      <c r="B2117" s="960" t="s">
        <v>3682</v>
      </c>
      <c r="C2117" s="960" t="s">
        <v>4275</v>
      </c>
      <c r="D2117" s="960" t="s">
        <v>4276</v>
      </c>
      <c r="E2117" s="959">
        <v>2</v>
      </c>
      <c r="F2117" s="959">
        <v>26</v>
      </c>
      <c r="G2117" s="959">
        <v>0</v>
      </c>
      <c r="H2117" s="959">
        <v>0</v>
      </c>
    </row>
    <row r="2118" spans="1:8">
      <c r="A2118" s="959" t="s">
        <v>3681</v>
      </c>
      <c r="B2118" s="960" t="s">
        <v>3682</v>
      </c>
      <c r="C2118" s="960" t="s">
        <v>4256</v>
      </c>
      <c r="D2118" s="960" t="s">
        <v>470</v>
      </c>
      <c r="E2118" s="959">
        <v>0</v>
      </c>
      <c r="F2118" s="959">
        <v>0</v>
      </c>
      <c r="G2118" s="959">
        <v>1</v>
      </c>
      <c r="H2118" s="959">
        <v>0</v>
      </c>
    </row>
    <row r="2119" spans="1:8">
      <c r="A2119" s="959" t="s">
        <v>3681</v>
      </c>
      <c r="B2119" s="960" t="s">
        <v>3682</v>
      </c>
      <c r="C2119" s="960" t="s">
        <v>4256</v>
      </c>
      <c r="D2119" s="960" t="s">
        <v>1906</v>
      </c>
      <c r="E2119" s="959">
        <v>25</v>
      </c>
      <c r="F2119" s="959">
        <v>350</v>
      </c>
      <c r="G2119" s="959">
        <v>1</v>
      </c>
      <c r="H2119" s="959">
        <v>17</v>
      </c>
    </row>
    <row r="2120" spans="1:8">
      <c r="A2120" s="959" t="s">
        <v>3681</v>
      </c>
      <c r="B2120" s="960" t="s">
        <v>3682</v>
      </c>
      <c r="C2120" s="960" t="s">
        <v>4256</v>
      </c>
      <c r="D2120" s="960" t="s">
        <v>1907</v>
      </c>
      <c r="E2120" s="959">
        <v>2</v>
      </c>
      <c r="F2120" s="959">
        <v>35</v>
      </c>
      <c r="G2120" s="959">
        <v>1</v>
      </c>
      <c r="H2120" s="959">
        <v>16</v>
      </c>
    </row>
    <row r="2121" spans="1:8">
      <c r="A2121" s="959" t="s">
        <v>3681</v>
      </c>
      <c r="B2121" s="960" t="s">
        <v>3682</v>
      </c>
      <c r="C2121" s="960" t="s">
        <v>4257</v>
      </c>
      <c r="D2121" s="960" t="s">
        <v>4258</v>
      </c>
      <c r="E2121" s="959">
        <v>8</v>
      </c>
      <c r="F2121" s="959">
        <v>111</v>
      </c>
      <c r="G2121" s="959">
        <v>1</v>
      </c>
      <c r="H2121" s="959">
        <v>11</v>
      </c>
    </row>
    <row r="2122" spans="1:8">
      <c r="A2122" s="959" t="s">
        <v>3681</v>
      </c>
      <c r="B2122" s="960" t="s">
        <v>3682</v>
      </c>
      <c r="C2122" s="960" t="s">
        <v>4262</v>
      </c>
      <c r="D2122" s="960" t="s">
        <v>4263</v>
      </c>
      <c r="E2122" s="959">
        <v>26</v>
      </c>
      <c r="F2122" s="959">
        <v>236</v>
      </c>
      <c r="G2122" s="959">
        <v>0</v>
      </c>
      <c r="H2122" s="959">
        <v>0</v>
      </c>
    </row>
    <row r="2123" spans="1:8">
      <c r="A2123" s="959" t="s">
        <v>3683</v>
      </c>
      <c r="B2123" s="960" t="s">
        <v>3684</v>
      </c>
      <c r="C2123" s="960" t="s">
        <v>4256</v>
      </c>
      <c r="D2123" s="960" t="s">
        <v>4270</v>
      </c>
      <c r="E2123" s="959">
        <v>0</v>
      </c>
      <c r="F2123" s="959">
        <v>0</v>
      </c>
      <c r="G2123" s="959">
        <v>0</v>
      </c>
      <c r="H2123" s="959">
        <v>1</v>
      </c>
    </row>
    <row r="2124" spans="1:8">
      <c r="A2124" s="959" t="s">
        <v>3683</v>
      </c>
      <c r="B2124" s="960" t="s">
        <v>3684</v>
      </c>
      <c r="C2124" s="960" t="s">
        <v>4256</v>
      </c>
      <c r="D2124" s="960" t="s">
        <v>4259</v>
      </c>
      <c r="E2124" s="959">
        <v>0</v>
      </c>
      <c r="F2124" s="959">
        <v>0</v>
      </c>
      <c r="G2124" s="959">
        <v>0</v>
      </c>
      <c r="H2124" s="959">
        <v>1</v>
      </c>
    </row>
    <row r="2125" spans="1:8">
      <c r="A2125" s="959" t="s">
        <v>3683</v>
      </c>
      <c r="B2125" s="960" t="s">
        <v>3684</v>
      </c>
      <c r="C2125" s="960" t="s">
        <v>4256</v>
      </c>
      <c r="D2125" s="960" t="s">
        <v>4260</v>
      </c>
      <c r="E2125" s="959">
        <v>0</v>
      </c>
      <c r="F2125" s="959">
        <v>1</v>
      </c>
      <c r="G2125" s="959">
        <v>0</v>
      </c>
      <c r="H2125" s="959">
        <v>0</v>
      </c>
    </row>
    <row r="2126" spans="1:8">
      <c r="A2126" s="959" t="s">
        <v>3683</v>
      </c>
      <c r="B2126" s="960" t="s">
        <v>3684</v>
      </c>
      <c r="C2126" s="960" t="s">
        <v>4256</v>
      </c>
      <c r="D2126" s="960" t="s">
        <v>1906</v>
      </c>
      <c r="E2126" s="959">
        <v>0</v>
      </c>
      <c r="F2126" s="959">
        <v>1</v>
      </c>
      <c r="G2126" s="959">
        <v>0</v>
      </c>
      <c r="H2126" s="959">
        <v>0</v>
      </c>
    </row>
    <row r="2127" spans="1:8">
      <c r="A2127" s="959" t="s">
        <v>3683</v>
      </c>
      <c r="B2127" s="960" t="s">
        <v>3684</v>
      </c>
      <c r="C2127" s="960" t="s">
        <v>4256</v>
      </c>
      <c r="D2127" s="960" t="s">
        <v>4264</v>
      </c>
      <c r="E2127" s="959">
        <v>0</v>
      </c>
      <c r="F2127" s="959">
        <v>1</v>
      </c>
      <c r="G2127" s="959">
        <v>0</v>
      </c>
      <c r="H2127" s="959">
        <v>0</v>
      </c>
    </row>
    <row r="2128" spans="1:8">
      <c r="A2128" s="959" t="s">
        <v>3683</v>
      </c>
      <c r="B2128" s="960" t="s">
        <v>3684</v>
      </c>
      <c r="C2128" s="960" t="s">
        <v>4257</v>
      </c>
      <c r="D2128" s="960" t="s">
        <v>4258</v>
      </c>
      <c r="E2128" s="959">
        <v>0</v>
      </c>
      <c r="F2128" s="959">
        <v>7</v>
      </c>
      <c r="G2128" s="959">
        <v>0</v>
      </c>
      <c r="H2128" s="959">
        <v>0</v>
      </c>
    </row>
    <row r="2129" spans="1:8">
      <c r="A2129" s="959" t="s">
        <v>3683</v>
      </c>
      <c r="B2129" s="960" t="s">
        <v>3684</v>
      </c>
      <c r="C2129" s="960" t="s">
        <v>4262</v>
      </c>
      <c r="D2129" s="960" t="s">
        <v>4263</v>
      </c>
      <c r="E2129" s="959">
        <v>24</v>
      </c>
      <c r="F2129" s="959">
        <v>588</v>
      </c>
      <c r="G2129" s="959">
        <v>0</v>
      </c>
      <c r="H2129" s="959">
        <v>0</v>
      </c>
    </row>
    <row r="2130" spans="1:8">
      <c r="A2130" s="959" t="s">
        <v>3685</v>
      </c>
      <c r="B2130" s="960" t="s">
        <v>3686</v>
      </c>
      <c r="C2130" s="960" t="s">
        <v>4267</v>
      </c>
      <c r="D2130" s="960" t="s">
        <v>4268</v>
      </c>
      <c r="E2130" s="959">
        <v>0</v>
      </c>
      <c r="F2130" s="959">
        <v>0</v>
      </c>
      <c r="G2130" s="959">
        <v>0</v>
      </c>
      <c r="H2130" s="959">
        <v>1</v>
      </c>
    </row>
    <row r="2131" spans="1:8">
      <c r="A2131" s="959" t="s">
        <v>3687</v>
      </c>
      <c r="B2131" s="960" t="s">
        <v>3688</v>
      </c>
      <c r="C2131" s="960" t="s">
        <v>4256</v>
      </c>
      <c r="D2131" s="960" t="s">
        <v>1906</v>
      </c>
      <c r="E2131" s="959">
        <v>3</v>
      </c>
      <c r="F2131" s="959">
        <v>42</v>
      </c>
      <c r="G2131" s="959">
        <v>0</v>
      </c>
      <c r="H2131" s="959">
        <v>0</v>
      </c>
    </row>
    <row r="2132" spans="1:8">
      <c r="A2132" s="959" t="s">
        <v>3687</v>
      </c>
      <c r="B2132" s="960" t="s">
        <v>3688</v>
      </c>
      <c r="C2132" s="960" t="s">
        <v>4257</v>
      </c>
      <c r="D2132" s="960" t="s">
        <v>4258</v>
      </c>
      <c r="E2132" s="959">
        <v>2</v>
      </c>
      <c r="F2132" s="959">
        <v>22</v>
      </c>
      <c r="G2132" s="959">
        <v>0</v>
      </c>
      <c r="H2132" s="959">
        <v>0</v>
      </c>
    </row>
    <row r="2133" spans="1:8">
      <c r="A2133" s="959" t="s">
        <v>3689</v>
      </c>
      <c r="B2133" s="960" t="s">
        <v>3690</v>
      </c>
      <c r="C2133" s="960" t="s">
        <v>4256</v>
      </c>
      <c r="D2133" s="960" t="s">
        <v>470</v>
      </c>
      <c r="E2133" s="959">
        <v>0</v>
      </c>
      <c r="F2133" s="959">
        <v>1</v>
      </c>
      <c r="G2133" s="959">
        <v>16</v>
      </c>
      <c r="H2133" s="959">
        <v>72</v>
      </c>
    </row>
    <row r="2134" spans="1:8">
      <c r="A2134" s="959" t="s">
        <v>3689</v>
      </c>
      <c r="B2134" s="960" t="s">
        <v>3690</v>
      </c>
      <c r="C2134" s="960" t="s">
        <v>4256</v>
      </c>
      <c r="D2134" s="960" t="s">
        <v>1904</v>
      </c>
      <c r="E2134" s="959">
        <v>0</v>
      </c>
      <c r="F2134" s="959">
        <v>0</v>
      </c>
      <c r="G2134" s="959">
        <v>1</v>
      </c>
      <c r="H2134" s="959">
        <v>49</v>
      </c>
    </row>
    <row r="2135" spans="1:8">
      <c r="A2135" s="959" t="s">
        <v>3689</v>
      </c>
      <c r="B2135" s="960" t="s">
        <v>3690</v>
      </c>
      <c r="C2135" s="960" t="s">
        <v>4256</v>
      </c>
      <c r="D2135" s="960" t="s">
        <v>1906</v>
      </c>
      <c r="E2135" s="959">
        <v>0</v>
      </c>
      <c r="F2135" s="959">
        <v>0</v>
      </c>
      <c r="G2135" s="959">
        <v>0</v>
      </c>
      <c r="H2135" s="959">
        <v>1</v>
      </c>
    </row>
    <row r="2136" spans="1:8">
      <c r="A2136" s="959" t="s">
        <v>3689</v>
      </c>
      <c r="B2136" s="960" t="s">
        <v>3690</v>
      </c>
      <c r="C2136" s="960" t="s">
        <v>4256</v>
      </c>
      <c r="D2136" s="960" t="s">
        <v>4264</v>
      </c>
      <c r="E2136" s="959">
        <v>0</v>
      </c>
      <c r="F2136" s="959">
        <v>0</v>
      </c>
      <c r="G2136" s="959">
        <v>2</v>
      </c>
      <c r="H2136" s="959">
        <v>33</v>
      </c>
    </row>
    <row r="2137" spans="1:8">
      <c r="A2137" s="959" t="s">
        <v>3689</v>
      </c>
      <c r="B2137" s="960" t="s">
        <v>3690</v>
      </c>
      <c r="C2137" s="960" t="s">
        <v>4267</v>
      </c>
      <c r="D2137" s="960" t="s">
        <v>4268</v>
      </c>
      <c r="E2137" s="959">
        <v>0</v>
      </c>
      <c r="F2137" s="959">
        <v>0</v>
      </c>
      <c r="G2137" s="959">
        <v>0</v>
      </c>
      <c r="H2137" s="959">
        <v>21</v>
      </c>
    </row>
    <row r="2138" spans="1:8">
      <c r="A2138" s="959" t="s">
        <v>3691</v>
      </c>
      <c r="B2138" s="960" t="s">
        <v>3692</v>
      </c>
      <c r="C2138" s="960" t="s">
        <v>4256</v>
      </c>
      <c r="D2138" s="960" t="s">
        <v>1906</v>
      </c>
      <c r="E2138" s="959">
        <v>14</v>
      </c>
      <c r="F2138" s="959">
        <v>237</v>
      </c>
      <c r="G2138" s="959">
        <v>0</v>
      </c>
      <c r="H2138" s="959">
        <v>4</v>
      </c>
    </row>
    <row r="2139" spans="1:8">
      <c r="A2139" s="959" t="s">
        <v>3691</v>
      </c>
      <c r="B2139" s="960" t="s">
        <v>3692</v>
      </c>
      <c r="C2139" s="960" t="s">
        <v>4256</v>
      </c>
      <c r="D2139" s="960" t="s">
        <v>4264</v>
      </c>
      <c r="E2139" s="959">
        <v>0</v>
      </c>
      <c r="F2139" s="959">
        <v>2</v>
      </c>
      <c r="G2139" s="959">
        <v>0</v>
      </c>
      <c r="H2139" s="959">
        <v>0</v>
      </c>
    </row>
    <row r="2140" spans="1:8">
      <c r="A2140" s="959" t="s">
        <v>3691</v>
      </c>
      <c r="B2140" s="960" t="s">
        <v>3692</v>
      </c>
      <c r="C2140" s="960" t="s">
        <v>4257</v>
      </c>
      <c r="D2140" s="960" t="s">
        <v>4258</v>
      </c>
      <c r="E2140" s="959">
        <v>65</v>
      </c>
      <c r="F2140" s="959">
        <v>1280</v>
      </c>
      <c r="G2140" s="959">
        <v>3</v>
      </c>
      <c r="H2140" s="959">
        <v>40</v>
      </c>
    </row>
    <row r="2141" spans="1:8">
      <c r="A2141" s="959" t="s">
        <v>3691</v>
      </c>
      <c r="B2141" s="960" t="s">
        <v>3692</v>
      </c>
      <c r="C2141" s="960" t="s">
        <v>4262</v>
      </c>
      <c r="D2141" s="960" t="s">
        <v>4263</v>
      </c>
      <c r="E2141" s="959">
        <v>0</v>
      </c>
      <c r="F2141" s="959">
        <v>74</v>
      </c>
      <c r="G2141" s="959">
        <v>0</v>
      </c>
      <c r="H2141" s="959">
        <v>6</v>
      </c>
    </row>
    <row r="2142" spans="1:8">
      <c r="A2142" s="959" t="s">
        <v>3693</v>
      </c>
      <c r="B2142" s="960" t="s">
        <v>3694</v>
      </c>
      <c r="C2142" s="960" t="s">
        <v>4256</v>
      </c>
      <c r="D2142" s="960" t="s">
        <v>470</v>
      </c>
      <c r="E2142" s="959">
        <v>0</v>
      </c>
      <c r="F2142" s="959">
        <v>0</v>
      </c>
      <c r="G2142" s="959">
        <v>0</v>
      </c>
      <c r="H2142" s="959">
        <v>1</v>
      </c>
    </row>
    <row r="2143" spans="1:8">
      <c r="A2143" s="959" t="s">
        <v>3693</v>
      </c>
      <c r="B2143" s="960" t="s">
        <v>3694</v>
      </c>
      <c r="C2143" s="960" t="s">
        <v>4256</v>
      </c>
      <c r="D2143" s="960" t="s">
        <v>1904</v>
      </c>
      <c r="E2143" s="959">
        <v>0</v>
      </c>
      <c r="F2143" s="959">
        <v>0</v>
      </c>
      <c r="G2143" s="959">
        <v>0</v>
      </c>
      <c r="H2143" s="959">
        <v>1</v>
      </c>
    </row>
    <row r="2144" spans="1:8">
      <c r="A2144" s="959" t="s">
        <v>3693</v>
      </c>
      <c r="B2144" s="960" t="s">
        <v>3694</v>
      </c>
      <c r="C2144" s="960" t="s">
        <v>4256</v>
      </c>
      <c r="D2144" s="960" t="s">
        <v>4259</v>
      </c>
      <c r="E2144" s="959">
        <v>0</v>
      </c>
      <c r="F2144" s="959">
        <v>2</v>
      </c>
      <c r="G2144" s="959">
        <v>0</v>
      </c>
      <c r="H2144" s="959">
        <v>0</v>
      </c>
    </row>
    <row r="2145" spans="1:8">
      <c r="A2145" s="959" t="s">
        <v>3693</v>
      </c>
      <c r="B2145" s="960" t="s">
        <v>3694</v>
      </c>
      <c r="C2145" s="960" t="s">
        <v>4256</v>
      </c>
      <c r="D2145" s="960" t="s">
        <v>4260</v>
      </c>
      <c r="E2145" s="959">
        <v>0</v>
      </c>
      <c r="F2145" s="959">
        <v>2</v>
      </c>
      <c r="G2145" s="959">
        <v>0</v>
      </c>
      <c r="H2145" s="959">
        <v>1</v>
      </c>
    </row>
    <row r="2146" spans="1:8">
      <c r="A2146" s="959" t="s">
        <v>3693</v>
      </c>
      <c r="B2146" s="960" t="s">
        <v>3694</v>
      </c>
      <c r="C2146" s="960" t="s">
        <v>4256</v>
      </c>
      <c r="D2146" s="960" t="s">
        <v>1906</v>
      </c>
      <c r="E2146" s="959">
        <v>0</v>
      </c>
      <c r="F2146" s="959">
        <v>6</v>
      </c>
      <c r="G2146" s="959">
        <v>0</v>
      </c>
      <c r="H2146" s="959">
        <v>0</v>
      </c>
    </row>
    <row r="2147" spans="1:8">
      <c r="A2147" s="959" t="s">
        <v>3693</v>
      </c>
      <c r="B2147" s="960" t="s">
        <v>3694</v>
      </c>
      <c r="C2147" s="960" t="s">
        <v>4256</v>
      </c>
      <c r="D2147" s="960" t="s">
        <v>4264</v>
      </c>
      <c r="E2147" s="959">
        <v>0</v>
      </c>
      <c r="F2147" s="959">
        <v>1</v>
      </c>
      <c r="G2147" s="959">
        <v>0</v>
      </c>
      <c r="H2147" s="959">
        <v>0</v>
      </c>
    </row>
    <row r="2148" spans="1:8">
      <c r="A2148" s="959" t="s">
        <v>3693</v>
      </c>
      <c r="B2148" s="960" t="s">
        <v>3694</v>
      </c>
      <c r="C2148" s="960" t="s">
        <v>4257</v>
      </c>
      <c r="D2148" s="960" t="s">
        <v>4258</v>
      </c>
      <c r="E2148" s="959">
        <v>1</v>
      </c>
      <c r="F2148" s="959">
        <v>32</v>
      </c>
      <c r="G2148" s="959">
        <v>0</v>
      </c>
      <c r="H2148" s="959">
        <v>0</v>
      </c>
    </row>
    <row r="2149" spans="1:8">
      <c r="A2149" s="959" t="s">
        <v>3693</v>
      </c>
      <c r="B2149" s="960" t="s">
        <v>3694</v>
      </c>
      <c r="C2149" s="960" t="s">
        <v>4262</v>
      </c>
      <c r="D2149" s="960" t="s">
        <v>4263</v>
      </c>
      <c r="E2149" s="959">
        <v>0</v>
      </c>
      <c r="F2149" s="959">
        <v>5</v>
      </c>
      <c r="G2149" s="959">
        <v>0</v>
      </c>
      <c r="H2149" s="959">
        <v>1</v>
      </c>
    </row>
    <row r="2150" spans="1:8">
      <c r="A2150" s="959" t="s">
        <v>3697</v>
      </c>
      <c r="B2150" s="960" t="s">
        <v>3698</v>
      </c>
      <c r="C2150" s="960" t="s">
        <v>4256</v>
      </c>
      <c r="D2150" s="960" t="s">
        <v>1906</v>
      </c>
      <c r="E2150" s="959">
        <v>0</v>
      </c>
      <c r="F2150" s="959">
        <v>1</v>
      </c>
      <c r="G2150" s="959">
        <v>0</v>
      </c>
      <c r="H2150" s="959">
        <v>2</v>
      </c>
    </row>
    <row r="2151" spans="1:8">
      <c r="A2151" s="959" t="s">
        <v>3697</v>
      </c>
      <c r="B2151" s="960" t="s">
        <v>3698</v>
      </c>
      <c r="C2151" s="960" t="s">
        <v>4256</v>
      </c>
      <c r="D2151" s="960" t="s">
        <v>4264</v>
      </c>
      <c r="E2151" s="959">
        <v>0</v>
      </c>
      <c r="F2151" s="959">
        <v>0</v>
      </c>
      <c r="G2151" s="959">
        <v>0</v>
      </c>
      <c r="H2151" s="959">
        <v>3</v>
      </c>
    </row>
    <row r="2152" spans="1:8">
      <c r="A2152" s="959" t="s">
        <v>3697</v>
      </c>
      <c r="B2152" s="960" t="s">
        <v>3698</v>
      </c>
      <c r="C2152" s="960" t="s">
        <v>4256</v>
      </c>
      <c r="D2152" s="960" t="s">
        <v>1907</v>
      </c>
      <c r="E2152" s="959">
        <v>0</v>
      </c>
      <c r="F2152" s="959">
        <v>2</v>
      </c>
      <c r="G2152" s="959">
        <v>6</v>
      </c>
      <c r="H2152" s="959">
        <v>57</v>
      </c>
    </row>
    <row r="2153" spans="1:8">
      <c r="A2153" s="959" t="s">
        <v>3697</v>
      </c>
      <c r="B2153" s="960" t="s">
        <v>3698</v>
      </c>
      <c r="C2153" s="960" t="s">
        <v>4257</v>
      </c>
      <c r="D2153" s="960" t="s">
        <v>4258</v>
      </c>
      <c r="E2153" s="959">
        <v>0</v>
      </c>
      <c r="F2153" s="959">
        <v>5</v>
      </c>
      <c r="G2153" s="959">
        <v>2</v>
      </c>
      <c r="H2153" s="959">
        <v>10</v>
      </c>
    </row>
    <row r="2154" spans="1:8">
      <c r="A2154" s="959" t="s">
        <v>3699</v>
      </c>
      <c r="B2154" s="960" t="s">
        <v>3700</v>
      </c>
      <c r="C2154" s="960" t="s">
        <v>4256</v>
      </c>
      <c r="D2154" s="960" t="s">
        <v>1906</v>
      </c>
      <c r="E2154" s="959">
        <v>32</v>
      </c>
      <c r="F2154" s="959">
        <v>532</v>
      </c>
      <c r="G2154" s="959">
        <v>7</v>
      </c>
      <c r="H2154" s="959">
        <v>93</v>
      </c>
    </row>
    <row r="2155" spans="1:8">
      <c r="A2155" s="959" t="s">
        <v>3699</v>
      </c>
      <c r="B2155" s="960" t="s">
        <v>3700</v>
      </c>
      <c r="C2155" s="960" t="s">
        <v>4256</v>
      </c>
      <c r="D2155" s="960" t="s">
        <v>4274</v>
      </c>
      <c r="E2155" s="959">
        <v>0</v>
      </c>
      <c r="F2155" s="959">
        <v>0</v>
      </c>
      <c r="G2155" s="959">
        <v>3</v>
      </c>
      <c r="H2155" s="959">
        <v>0</v>
      </c>
    </row>
    <row r="2156" spans="1:8">
      <c r="A2156" s="959" t="s">
        <v>3699</v>
      </c>
      <c r="B2156" s="960" t="s">
        <v>3700</v>
      </c>
      <c r="C2156" s="960" t="s">
        <v>4257</v>
      </c>
      <c r="D2156" s="960" t="s">
        <v>4285</v>
      </c>
      <c r="E2156" s="959">
        <v>0</v>
      </c>
      <c r="F2156" s="959">
        <v>36</v>
      </c>
      <c r="G2156" s="959">
        <v>0</v>
      </c>
      <c r="H2156" s="959">
        <v>4</v>
      </c>
    </row>
    <row r="2157" spans="1:8">
      <c r="A2157" s="959" t="s">
        <v>3699</v>
      </c>
      <c r="B2157" s="960" t="s">
        <v>3700</v>
      </c>
      <c r="C2157" s="960" t="s">
        <v>4257</v>
      </c>
      <c r="D2157" s="960" t="s">
        <v>4258</v>
      </c>
      <c r="E2157" s="959">
        <v>15</v>
      </c>
      <c r="F2157" s="959">
        <v>235</v>
      </c>
      <c r="G2157" s="959">
        <v>8</v>
      </c>
      <c r="H2157" s="959">
        <v>98</v>
      </c>
    </row>
    <row r="2158" spans="1:8">
      <c r="A2158" s="959" t="s">
        <v>3699</v>
      </c>
      <c r="B2158" s="960" t="s">
        <v>3700</v>
      </c>
      <c r="C2158" s="960" t="s">
        <v>4262</v>
      </c>
      <c r="D2158" s="960" t="s">
        <v>4263</v>
      </c>
      <c r="E2158" s="959">
        <v>3</v>
      </c>
      <c r="F2158" s="959">
        <v>78</v>
      </c>
      <c r="G2158" s="959">
        <v>0</v>
      </c>
      <c r="H2158" s="959">
        <v>12</v>
      </c>
    </row>
    <row r="2159" spans="1:8">
      <c r="A2159" s="959" t="s">
        <v>3701</v>
      </c>
      <c r="B2159" s="960" t="s">
        <v>3702</v>
      </c>
      <c r="C2159" s="960" t="s">
        <v>4275</v>
      </c>
      <c r="D2159" s="960" t="s">
        <v>4276</v>
      </c>
      <c r="E2159" s="959">
        <v>18</v>
      </c>
      <c r="F2159" s="959">
        <v>315</v>
      </c>
      <c r="G2159" s="959">
        <v>0</v>
      </c>
      <c r="H2159" s="959">
        <v>2</v>
      </c>
    </row>
    <row r="2160" spans="1:8">
      <c r="A2160" s="959" t="s">
        <v>3701</v>
      </c>
      <c r="B2160" s="960" t="s">
        <v>3702</v>
      </c>
      <c r="C2160" s="960" t="s">
        <v>4256</v>
      </c>
      <c r="D2160" s="960" t="s">
        <v>4260</v>
      </c>
      <c r="E2160" s="959">
        <v>0</v>
      </c>
      <c r="F2160" s="959">
        <v>0</v>
      </c>
      <c r="G2160" s="959">
        <v>0</v>
      </c>
      <c r="H2160" s="959">
        <v>4</v>
      </c>
    </row>
    <row r="2161" spans="1:8">
      <c r="A2161" s="959" t="s">
        <v>3701</v>
      </c>
      <c r="B2161" s="960" t="s">
        <v>3702</v>
      </c>
      <c r="C2161" s="960" t="s">
        <v>4256</v>
      </c>
      <c r="D2161" s="960" t="s">
        <v>1906</v>
      </c>
      <c r="E2161" s="959">
        <v>0</v>
      </c>
      <c r="F2161" s="959">
        <v>6</v>
      </c>
      <c r="G2161" s="959">
        <v>0</v>
      </c>
      <c r="H2161" s="959">
        <v>4</v>
      </c>
    </row>
    <row r="2162" spans="1:8">
      <c r="A2162" s="959" t="s">
        <v>3701</v>
      </c>
      <c r="B2162" s="960" t="s">
        <v>3702</v>
      </c>
      <c r="C2162" s="960" t="s">
        <v>4256</v>
      </c>
      <c r="D2162" s="960" t="s">
        <v>1907</v>
      </c>
      <c r="E2162" s="959">
        <v>0</v>
      </c>
      <c r="F2162" s="959">
        <v>2</v>
      </c>
      <c r="G2162" s="959">
        <v>2</v>
      </c>
      <c r="H2162" s="959">
        <v>29</v>
      </c>
    </row>
    <row r="2163" spans="1:8">
      <c r="A2163" s="959" t="s">
        <v>3701</v>
      </c>
      <c r="B2163" s="960" t="s">
        <v>3702</v>
      </c>
      <c r="C2163" s="960" t="s">
        <v>4257</v>
      </c>
      <c r="D2163" s="960" t="s">
        <v>4258</v>
      </c>
      <c r="E2163" s="959">
        <v>3</v>
      </c>
      <c r="F2163" s="959">
        <v>35</v>
      </c>
      <c r="G2163" s="959">
        <v>0</v>
      </c>
      <c r="H2163" s="959">
        <v>4</v>
      </c>
    </row>
    <row r="2164" spans="1:8">
      <c r="A2164" s="959" t="s">
        <v>3701</v>
      </c>
      <c r="B2164" s="960" t="s">
        <v>3702</v>
      </c>
      <c r="C2164" s="960" t="s">
        <v>4262</v>
      </c>
      <c r="D2164" s="960" t="s">
        <v>4263</v>
      </c>
      <c r="E2164" s="959">
        <v>0</v>
      </c>
      <c r="F2164" s="959">
        <v>3</v>
      </c>
      <c r="G2164" s="959">
        <v>0</v>
      </c>
      <c r="H2164" s="959">
        <v>0</v>
      </c>
    </row>
    <row r="2165" spans="1:8">
      <c r="A2165" s="959" t="s">
        <v>3703</v>
      </c>
      <c r="B2165" s="960" t="s">
        <v>3704</v>
      </c>
      <c r="C2165" s="960" t="s">
        <v>4256</v>
      </c>
      <c r="D2165" s="960" t="s">
        <v>1906</v>
      </c>
      <c r="E2165" s="959">
        <v>1</v>
      </c>
      <c r="F2165" s="959">
        <v>14</v>
      </c>
      <c r="G2165" s="959">
        <v>0</v>
      </c>
      <c r="H2165" s="959">
        <v>1</v>
      </c>
    </row>
    <row r="2166" spans="1:8">
      <c r="A2166" s="959" t="s">
        <v>3703</v>
      </c>
      <c r="B2166" s="960" t="s">
        <v>3704</v>
      </c>
      <c r="C2166" s="960" t="s">
        <v>4257</v>
      </c>
      <c r="D2166" s="960" t="s">
        <v>4258</v>
      </c>
      <c r="E2166" s="959">
        <v>1</v>
      </c>
      <c r="F2166" s="959">
        <v>25</v>
      </c>
      <c r="G2166" s="959">
        <v>0</v>
      </c>
      <c r="H2166" s="959">
        <v>1</v>
      </c>
    </row>
    <row r="2167" spans="1:8">
      <c r="A2167" s="959" t="s">
        <v>3705</v>
      </c>
      <c r="B2167" s="960" t="s">
        <v>3706</v>
      </c>
      <c r="C2167" s="960" t="s">
        <v>4256</v>
      </c>
      <c r="D2167" s="960" t="s">
        <v>1906</v>
      </c>
      <c r="E2167" s="959">
        <v>0</v>
      </c>
      <c r="F2167" s="959">
        <v>10</v>
      </c>
      <c r="G2167" s="959">
        <v>0</v>
      </c>
      <c r="H2167" s="959">
        <v>0</v>
      </c>
    </row>
    <row r="2168" spans="1:8">
      <c r="A2168" s="959" t="s">
        <v>3705</v>
      </c>
      <c r="B2168" s="960" t="s">
        <v>3706</v>
      </c>
      <c r="C2168" s="960" t="s">
        <v>4256</v>
      </c>
      <c r="D2168" s="960" t="s">
        <v>1907</v>
      </c>
      <c r="E2168" s="959">
        <v>2</v>
      </c>
      <c r="F2168" s="959">
        <v>23</v>
      </c>
      <c r="G2168" s="959">
        <v>0</v>
      </c>
      <c r="H2168" s="959">
        <v>3</v>
      </c>
    </row>
    <row r="2169" spans="1:8">
      <c r="A2169" s="959" t="s">
        <v>3705</v>
      </c>
      <c r="B2169" s="960" t="s">
        <v>3706</v>
      </c>
      <c r="C2169" s="960" t="s">
        <v>4257</v>
      </c>
      <c r="D2169" s="960" t="s">
        <v>4258</v>
      </c>
      <c r="E2169" s="959">
        <v>1</v>
      </c>
      <c r="F2169" s="959">
        <v>34</v>
      </c>
      <c r="G2169" s="959">
        <v>0</v>
      </c>
      <c r="H2169" s="959">
        <v>1</v>
      </c>
    </row>
    <row r="2170" spans="1:8">
      <c r="A2170" s="959" t="s">
        <v>3705</v>
      </c>
      <c r="B2170" s="960" t="s">
        <v>3706</v>
      </c>
      <c r="C2170" s="960" t="s">
        <v>4262</v>
      </c>
      <c r="D2170" s="960" t="s">
        <v>4263</v>
      </c>
      <c r="E2170" s="959">
        <v>3</v>
      </c>
      <c r="F2170" s="959">
        <v>146</v>
      </c>
      <c r="G2170" s="959">
        <v>1</v>
      </c>
      <c r="H2170" s="959">
        <v>15</v>
      </c>
    </row>
    <row r="2171" spans="1:8">
      <c r="A2171" s="959" t="s">
        <v>3707</v>
      </c>
      <c r="B2171" s="960" t="s">
        <v>1349</v>
      </c>
      <c r="C2171" s="960" t="s">
        <v>4257</v>
      </c>
      <c r="D2171" s="960" t="s">
        <v>4258</v>
      </c>
      <c r="E2171" s="959">
        <v>0</v>
      </c>
      <c r="F2171" s="959">
        <v>8</v>
      </c>
      <c r="G2171" s="959">
        <v>0</v>
      </c>
      <c r="H2171" s="959">
        <v>0</v>
      </c>
    </row>
    <row r="2172" spans="1:8">
      <c r="A2172" s="959" t="s">
        <v>3707</v>
      </c>
      <c r="B2172" s="960" t="s">
        <v>1349</v>
      </c>
      <c r="C2172" s="960" t="s">
        <v>4262</v>
      </c>
      <c r="D2172" s="960" t="s">
        <v>4263</v>
      </c>
      <c r="E2172" s="959">
        <v>0</v>
      </c>
      <c r="F2172" s="959">
        <v>1</v>
      </c>
      <c r="G2172" s="959">
        <v>0</v>
      </c>
      <c r="H2172" s="959">
        <v>0</v>
      </c>
    </row>
    <row r="2173" spans="1:8">
      <c r="A2173" s="959" t="s">
        <v>3708</v>
      </c>
      <c r="B2173" s="960" t="s">
        <v>3709</v>
      </c>
      <c r="C2173" s="960" t="s">
        <v>4256</v>
      </c>
      <c r="D2173" s="960" t="s">
        <v>1906</v>
      </c>
      <c r="E2173" s="959">
        <v>6</v>
      </c>
      <c r="F2173" s="959">
        <v>90</v>
      </c>
      <c r="G2173" s="959">
        <v>1</v>
      </c>
      <c r="H2173" s="959">
        <v>8</v>
      </c>
    </row>
    <row r="2174" spans="1:8">
      <c r="A2174" s="959" t="s">
        <v>3708</v>
      </c>
      <c r="B2174" s="960" t="s">
        <v>3709</v>
      </c>
      <c r="C2174" s="960" t="s">
        <v>4256</v>
      </c>
      <c r="D2174" s="960" t="s">
        <v>4264</v>
      </c>
      <c r="E2174" s="959">
        <v>0</v>
      </c>
      <c r="F2174" s="959">
        <v>0</v>
      </c>
      <c r="G2174" s="959">
        <v>0</v>
      </c>
      <c r="H2174" s="959">
        <v>6</v>
      </c>
    </row>
    <row r="2175" spans="1:8">
      <c r="A2175" s="959" t="s">
        <v>3708</v>
      </c>
      <c r="B2175" s="960" t="s">
        <v>3709</v>
      </c>
      <c r="C2175" s="960" t="s">
        <v>4256</v>
      </c>
      <c r="D2175" s="960" t="s">
        <v>1907</v>
      </c>
      <c r="E2175" s="959">
        <v>0</v>
      </c>
      <c r="F2175" s="959">
        <v>1</v>
      </c>
      <c r="G2175" s="959">
        <v>0</v>
      </c>
      <c r="H2175" s="959">
        <v>2</v>
      </c>
    </row>
    <row r="2176" spans="1:8">
      <c r="A2176" s="959" t="s">
        <v>3708</v>
      </c>
      <c r="B2176" s="960" t="s">
        <v>3709</v>
      </c>
      <c r="C2176" s="960" t="s">
        <v>4257</v>
      </c>
      <c r="D2176" s="960" t="s">
        <v>4258</v>
      </c>
      <c r="E2176" s="959">
        <v>3</v>
      </c>
      <c r="F2176" s="959">
        <v>39</v>
      </c>
      <c r="G2176" s="959">
        <v>0</v>
      </c>
      <c r="H2176" s="959">
        <v>0</v>
      </c>
    </row>
    <row r="2177" spans="1:8">
      <c r="A2177" s="959" t="s">
        <v>3708</v>
      </c>
      <c r="B2177" s="960" t="s">
        <v>3709</v>
      </c>
      <c r="C2177" s="960" t="s">
        <v>4262</v>
      </c>
      <c r="D2177" s="960" t="s">
        <v>4263</v>
      </c>
      <c r="E2177" s="959">
        <v>3</v>
      </c>
      <c r="F2177" s="959">
        <v>46</v>
      </c>
      <c r="G2177" s="959">
        <v>0</v>
      </c>
      <c r="H2177" s="959">
        <v>0</v>
      </c>
    </row>
    <row r="2178" spans="1:8">
      <c r="A2178" s="959" t="s">
        <v>3710</v>
      </c>
      <c r="B2178" s="960" t="s">
        <v>3711</v>
      </c>
      <c r="C2178" s="960" t="s">
        <v>4256</v>
      </c>
      <c r="D2178" s="960" t="s">
        <v>470</v>
      </c>
      <c r="E2178" s="959">
        <v>0</v>
      </c>
      <c r="F2178" s="959">
        <v>0</v>
      </c>
      <c r="G2178" s="959">
        <v>0</v>
      </c>
      <c r="H2178" s="959">
        <v>1</v>
      </c>
    </row>
    <row r="2179" spans="1:8">
      <c r="A2179" s="959" t="s">
        <v>3712</v>
      </c>
      <c r="B2179" s="960" t="s">
        <v>3713</v>
      </c>
      <c r="C2179" s="960" t="s">
        <v>4257</v>
      </c>
      <c r="D2179" s="960" t="s">
        <v>4258</v>
      </c>
      <c r="E2179" s="959">
        <v>2</v>
      </c>
      <c r="F2179" s="959">
        <v>41</v>
      </c>
      <c r="G2179" s="959">
        <v>0</v>
      </c>
      <c r="H2179" s="959">
        <v>0</v>
      </c>
    </row>
    <row r="2180" spans="1:8">
      <c r="A2180" s="959" t="s">
        <v>3712</v>
      </c>
      <c r="B2180" s="960" t="s">
        <v>3713</v>
      </c>
      <c r="C2180" s="960" t="s">
        <v>4262</v>
      </c>
      <c r="D2180" s="960" t="s">
        <v>4263</v>
      </c>
      <c r="E2180" s="959">
        <v>0</v>
      </c>
      <c r="F2180" s="959">
        <v>32</v>
      </c>
      <c r="G2180" s="959">
        <v>0</v>
      </c>
      <c r="H2180" s="959">
        <v>6</v>
      </c>
    </row>
    <row r="2181" spans="1:8">
      <c r="A2181" s="959" t="s">
        <v>3714</v>
      </c>
      <c r="B2181" s="960" t="s">
        <v>3715</v>
      </c>
      <c r="C2181" s="960" t="s">
        <v>4256</v>
      </c>
      <c r="D2181" s="960" t="s">
        <v>470</v>
      </c>
      <c r="E2181" s="959">
        <v>0</v>
      </c>
      <c r="F2181" s="959">
        <v>0</v>
      </c>
      <c r="G2181" s="959">
        <v>0</v>
      </c>
      <c r="H2181" s="959">
        <v>11</v>
      </c>
    </row>
    <row r="2182" spans="1:8">
      <c r="A2182" s="959" t="s">
        <v>3716</v>
      </c>
      <c r="B2182" s="960" t="s">
        <v>3717</v>
      </c>
      <c r="C2182" s="960" t="s">
        <v>4256</v>
      </c>
      <c r="D2182" s="960" t="s">
        <v>4260</v>
      </c>
      <c r="E2182" s="959">
        <v>0</v>
      </c>
      <c r="F2182" s="959">
        <v>0</v>
      </c>
      <c r="G2182" s="959">
        <v>0</v>
      </c>
      <c r="H2182" s="959">
        <v>1</v>
      </c>
    </row>
    <row r="2183" spans="1:8">
      <c r="A2183" s="959" t="s">
        <v>3716</v>
      </c>
      <c r="B2183" s="960" t="s">
        <v>3717</v>
      </c>
      <c r="C2183" s="960" t="s">
        <v>4256</v>
      </c>
      <c r="D2183" s="960" t="s">
        <v>1906</v>
      </c>
      <c r="E2183" s="959">
        <v>0</v>
      </c>
      <c r="F2183" s="959">
        <v>2</v>
      </c>
      <c r="G2183" s="959">
        <v>0</v>
      </c>
      <c r="H2183" s="959">
        <v>0</v>
      </c>
    </row>
    <row r="2184" spans="1:8">
      <c r="A2184" s="959" t="s">
        <v>3716</v>
      </c>
      <c r="B2184" s="960" t="s">
        <v>3717</v>
      </c>
      <c r="C2184" s="960" t="s">
        <v>4257</v>
      </c>
      <c r="D2184" s="960" t="s">
        <v>4258</v>
      </c>
      <c r="E2184" s="959">
        <v>0</v>
      </c>
      <c r="F2184" s="959">
        <v>3</v>
      </c>
      <c r="G2184" s="959">
        <v>0</v>
      </c>
      <c r="H2184" s="959">
        <v>0</v>
      </c>
    </row>
    <row r="2185" spans="1:8">
      <c r="A2185" s="959" t="s">
        <v>3716</v>
      </c>
      <c r="B2185" s="960" t="s">
        <v>3717</v>
      </c>
      <c r="C2185" s="960" t="s">
        <v>4262</v>
      </c>
      <c r="D2185" s="960" t="s">
        <v>4263</v>
      </c>
      <c r="E2185" s="959">
        <v>0</v>
      </c>
      <c r="F2185" s="959">
        <v>3</v>
      </c>
      <c r="G2185" s="959">
        <v>0</v>
      </c>
      <c r="H2185" s="959">
        <v>0</v>
      </c>
    </row>
    <row r="2186" spans="1:8">
      <c r="A2186" s="959" t="s">
        <v>3718</v>
      </c>
      <c r="B2186" s="960" t="s">
        <v>3719</v>
      </c>
      <c r="C2186" s="960" t="s">
        <v>4256</v>
      </c>
      <c r="D2186" s="960" t="s">
        <v>470</v>
      </c>
      <c r="E2186" s="959">
        <v>0</v>
      </c>
      <c r="F2186" s="959">
        <v>0</v>
      </c>
      <c r="G2186" s="959">
        <v>0</v>
      </c>
      <c r="H2186" s="959">
        <v>1</v>
      </c>
    </row>
    <row r="2187" spans="1:8">
      <c r="A2187" s="959" t="s">
        <v>3718</v>
      </c>
      <c r="B2187" s="960" t="s">
        <v>3719</v>
      </c>
      <c r="C2187" s="960" t="s">
        <v>4256</v>
      </c>
      <c r="D2187" s="960" t="s">
        <v>4274</v>
      </c>
      <c r="E2187" s="959">
        <v>0</v>
      </c>
      <c r="F2187" s="959">
        <v>3</v>
      </c>
      <c r="G2187" s="959">
        <v>0</v>
      </c>
      <c r="H2187" s="959">
        <v>0</v>
      </c>
    </row>
    <row r="2188" spans="1:8">
      <c r="A2188" s="959" t="s">
        <v>3720</v>
      </c>
      <c r="B2188" s="960" t="s">
        <v>1352</v>
      </c>
      <c r="C2188" s="960" t="s">
        <v>4256</v>
      </c>
      <c r="D2188" s="960" t="s">
        <v>470</v>
      </c>
      <c r="E2188" s="959">
        <v>0</v>
      </c>
      <c r="F2188" s="959">
        <v>1</v>
      </c>
      <c r="G2188" s="959">
        <v>0</v>
      </c>
      <c r="H2188" s="959">
        <v>5</v>
      </c>
    </row>
    <row r="2189" spans="1:8">
      <c r="A2189" s="959" t="s">
        <v>3720</v>
      </c>
      <c r="B2189" s="960" t="s">
        <v>1352</v>
      </c>
      <c r="C2189" s="960" t="s">
        <v>4256</v>
      </c>
      <c r="D2189" s="960" t="s">
        <v>1904</v>
      </c>
      <c r="E2189" s="959">
        <v>0</v>
      </c>
      <c r="F2189" s="959">
        <v>0</v>
      </c>
      <c r="G2189" s="959">
        <v>0</v>
      </c>
      <c r="H2189" s="959">
        <v>1</v>
      </c>
    </row>
    <row r="2190" spans="1:8">
      <c r="A2190" s="959" t="s">
        <v>3720</v>
      </c>
      <c r="B2190" s="960" t="s">
        <v>1352</v>
      </c>
      <c r="C2190" s="960" t="s">
        <v>4256</v>
      </c>
      <c r="D2190" s="960" t="s">
        <v>4260</v>
      </c>
      <c r="E2190" s="959">
        <v>0</v>
      </c>
      <c r="F2190" s="959">
        <v>0</v>
      </c>
      <c r="G2190" s="959">
        <v>0</v>
      </c>
      <c r="H2190" s="959">
        <v>1</v>
      </c>
    </row>
    <row r="2191" spans="1:8">
      <c r="A2191" s="959" t="s">
        <v>3720</v>
      </c>
      <c r="B2191" s="960" t="s">
        <v>1352</v>
      </c>
      <c r="C2191" s="960" t="s">
        <v>4257</v>
      </c>
      <c r="D2191" s="960" t="s">
        <v>4258</v>
      </c>
      <c r="E2191" s="959">
        <v>0</v>
      </c>
      <c r="F2191" s="959">
        <v>4</v>
      </c>
      <c r="G2191" s="959">
        <v>0</v>
      </c>
      <c r="H2191" s="959">
        <v>0</v>
      </c>
    </row>
    <row r="2192" spans="1:8">
      <c r="A2192" s="959" t="s">
        <v>3720</v>
      </c>
      <c r="B2192" s="960" t="s">
        <v>1352</v>
      </c>
      <c r="C2192" s="960" t="s">
        <v>4262</v>
      </c>
      <c r="D2192" s="960" t="s">
        <v>4263</v>
      </c>
      <c r="E2192" s="959">
        <v>6</v>
      </c>
      <c r="F2192" s="959">
        <v>217</v>
      </c>
      <c r="G2192" s="959">
        <v>0</v>
      </c>
      <c r="H2192" s="959">
        <v>0</v>
      </c>
    </row>
    <row r="2193" spans="1:8">
      <c r="A2193" s="959" t="s">
        <v>3720</v>
      </c>
      <c r="B2193" s="960" t="s">
        <v>1352</v>
      </c>
      <c r="C2193" s="960" t="s">
        <v>4267</v>
      </c>
      <c r="D2193" s="960" t="s">
        <v>4268</v>
      </c>
      <c r="E2193" s="959">
        <v>0</v>
      </c>
      <c r="F2193" s="959">
        <v>4</v>
      </c>
      <c r="G2193" s="959">
        <v>0</v>
      </c>
      <c r="H2193" s="959">
        <v>1</v>
      </c>
    </row>
    <row r="2194" spans="1:8">
      <c r="A2194" s="959" t="s">
        <v>3721</v>
      </c>
      <c r="B2194" s="960" t="s">
        <v>3722</v>
      </c>
      <c r="C2194" s="960" t="s">
        <v>4257</v>
      </c>
      <c r="D2194" s="960" t="s">
        <v>4258</v>
      </c>
      <c r="E2194" s="959">
        <v>0</v>
      </c>
      <c r="F2194" s="959">
        <v>6</v>
      </c>
      <c r="G2194" s="959">
        <v>0</v>
      </c>
      <c r="H2194" s="959">
        <v>1</v>
      </c>
    </row>
    <row r="2195" spans="1:8">
      <c r="A2195" s="959" t="s">
        <v>3721</v>
      </c>
      <c r="B2195" s="960" t="s">
        <v>3722</v>
      </c>
      <c r="C2195" s="960" t="s">
        <v>4267</v>
      </c>
      <c r="D2195" s="960" t="s">
        <v>4268</v>
      </c>
      <c r="E2195" s="959">
        <v>0</v>
      </c>
      <c r="F2195" s="959">
        <v>0</v>
      </c>
      <c r="G2195" s="959">
        <v>0</v>
      </c>
      <c r="H2195" s="959">
        <v>8</v>
      </c>
    </row>
    <row r="2196" spans="1:8">
      <c r="A2196" s="959" t="s">
        <v>3723</v>
      </c>
      <c r="B2196" s="960" t="s">
        <v>3724</v>
      </c>
      <c r="C2196" s="960" t="s">
        <v>4256</v>
      </c>
      <c r="D2196" s="960" t="s">
        <v>470</v>
      </c>
      <c r="E2196" s="959">
        <v>0</v>
      </c>
      <c r="F2196" s="959">
        <v>0</v>
      </c>
      <c r="G2196" s="959">
        <v>0</v>
      </c>
      <c r="H2196" s="959">
        <v>8</v>
      </c>
    </row>
    <row r="2197" spans="1:8">
      <c r="A2197" s="959" t="s">
        <v>3723</v>
      </c>
      <c r="B2197" s="960" t="s">
        <v>3724</v>
      </c>
      <c r="C2197" s="960" t="s">
        <v>4256</v>
      </c>
      <c r="D2197" s="960" t="s">
        <v>1904</v>
      </c>
      <c r="E2197" s="959">
        <v>0</v>
      </c>
      <c r="F2197" s="959">
        <v>0</v>
      </c>
      <c r="G2197" s="959">
        <v>0</v>
      </c>
      <c r="H2197" s="959">
        <v>5</v>
      </c>
    </row>
    <row r="2198" spans="1:8">
      <c r="A2198" s="959" t="s">
        <v>3723</v>
      </c>
      <c r="B2198" s="960" t="s">
        <v>3724</v>
      </c>
      <c r="C2198" s="960" t="s">
        <v>4256</v>
      </c>
      <c r="D2198" s="960" t="s">
        <v>1906</v>
      </c>
      <c r="E2198" s="959">
        <v>0</v>
      </c>
      <c r="F2198" s="959">
        <v>2</v>
      </c>
      <c r="G2198" s="959">
        <v>0</v>
      </c>
      <c r="H2198" s="959">
        <v>0</v>
      </c>
    </row>
    <row r="2199" spans="1:8">
      <c r="A2199" s="959" t="s">
        <v>3723</v>
      </c>
      <c r="B2199" s="960" t="s">
        <v>3724</v>
      </c>
      <c r="C2199" s="960" t="s">
        <v>4256</v>
      </c>
      <c r="D2199" s="960" t="s">
        <v>4264</v>
      </c>
      <c r="E2199" s="959">
        <v>0</v>
      </c>
      <c r="F2199" s="959">
        <v>0</v>
      </c>
      <c r="G2199" s="959">
        <v>0</v>
      </c>
      <c r="H2199" s="959">
        <v>1</v>
      </c>
    </row>
    <row r="2200" spans="1:8">
      <c r="A2200" s="959" t="s">
        <v>3723</v>
      </c>
      <c r="B2200" s="960" t="s">
        <v>3724</v>
      </c>
      <c r="C2200" s="960" t="s">
        <v>4257</v>
      </c>
      <c r="D2200" s="960" t="s">
        <v>4258</v>
      </c>
      <c r="E2200" s="959">
        <v>2</v>
      </c>
      <c r="F2200" s="959">
        <v>28</v>
      </c>
      <c r="G2200" s="959">
        <v>0</v>
      </c>
      <c r="H2200" s="959">
        <v>1</v>
      </c>
    </row>
    <row r="2201" spans="1:8">
      <c r="A2201" s="959" t="s">
        <v>3723</v>
      </c>
      <c r="B2201" s="960" t="s">
        <v>3724</v>
      </c>
      <c r="C2201" s="960" t="s">
        <v>4262</v>
      </c>
      <c r="D2201" s="960" t="s">
        <v>4263</v>
      </c>
      <c r="E2201" s="959">
        <v>0</v>
      </c>
      <c r="F2201" s="959">
        <v>2</v>
      </c>
      <c r="G2201" s="959">
        <v>0</v>
      </c>
      <c r="H2201" s="959">
        <v>0</v>
      </c>
    </row>
    <row r="2202" spans="1:8">
      <c r="A2202" s="959" t="s">
        <v>3725</v>
      </c>
      <c r="B2202" s="960" t="s">
        <v>3726</v>
      </c>
      <c r="C2202" s="960" t="s">
        <v>4256</v>
      </c>
      <c r="D2202" s="960" t="s">
        <v>4264</v>
      </c>
      <c r="E2202" s="959">
        <v>0</v>
      </c>
      <c r="F2202" s="959">
        <v>1</v>
      </c>
      <c r="G2202" s="959">
        <v>0</v>
      </c>
      <c r="H2202" s="959">
        <v>0</v>
      </c>
    </row>
    <row r="2203" spans="1:8">
      <c r="A2203" s="959" t="s">
        <v>3727</v>
      </c>
      <c r="B2203" s="960" t="s">
        <v>3728</v>
      </c>
      <c r="C2203" s="960" t="s">
        <v>4256</v>
      </c>
      <c r="D2203" s="960" t="s">
        <v>1906</v>
      </c>
      <c r="E2203" s="959">
        <v>1</v>
      </c>
      <c r="F2203" s="959">
        <v>17</v>
      </c>
      <c r="G2203" s="959">
        <v>0</v>
      </c>
      <c r="H2203" s="959">
        <v>0</v>
      </c>
    </row>
    <row r="2204" spans="1:8">
      <c r="A2204" s="959" t="s">
        <v>3727</v>
      </c>
      <c r="B2204" s="960" t="s">
        <v>3728</v>
      </c>
      <c r="C2204" s="960" t="s">
        <v>4256</v>
      </c>
      <c r="D2204" s="960" t="s">
        <v>1907</v>
      </c>
      <c r="E2204" s="959">
        <v>5</v>
      </c>
      <c r="F2204" s="959">
        <v>61</v>
      </c>
      <c r="G2204" s="959">
        <v>0</v>
      </c>
      <c r="H2204" s="959">
        <v>0</v>
      </c>
    </row>
    <row r="2205" spans="1:8">
      <c r="A2205" s="959" t="s">
        <v>3727</v>
      </c>
      <c r="B2205" s="960" t="s">
        <v>3728</v>
      </c>
      <c r="C2205" s="960" t="s">
        <v>4257</v>
      </c>
      <c r="D2205" s="960" t="s">
        <v>4258</v>
      </c>
      <c r="E2205" s="959">
        <v>1</v>
      </c>
      <c r="F2205" s="959">
        <v>22</v>
      </c>
      <c r="G2205" s="959">
        <v>0</v>
      </c>
      <c r="H2205" s="959">
        <v>10</v>
      </c>
    </row>
    <row r="2206" spans="1:8">
      <c r="A2206" s="959" t="s">
        <v>3727</v>
      </c>
      <c r="B2206" s="960" t="s">
        <v>3728</v>
      </c>
      <c r="C2206" s="960" t="s">
        <v>4262</v>
      </c>
      <c r="D2206" s="960" t="s">
        <v>4263</v>
      </c>
      <c r="E2206" s="959">
        <v>10</v>
      </c>
      <c r="F2206" s="959">
        <v>385</v>
      </c>
      <c r="G2206" s="959">
        <v>0</v>
      </c>
      <c r="H2206" s="959">
        <v>11</v>
      </c>
    </row>
    <row r="2207" spans="1:8">
      <c r="A2207" s="959" t="s">
        <v>4306</v>
      </c>
      <c r="B2207" s="960" t="s">
        <v>4307</v>
      </c>
      <c r="C2207" s="960" t="s">
        <v>4257</v>
      </c>
      <c r="D2207" s="960" t="s">
        <v>4258</v>
      </c>
      <c r="E2207" s="959">
        <v>0</v>
      </c>
      <c r="F2207" s="959">
        <v>38</v>
      </c>
      <c r="G2207" s="959">
        <v>0</v>
      </c>
      <c r="H2207" s="959">
        <v>3</v>
      </c>
    </row>
    <row r="2208" spans="1:8">
      <c r="A2208" s="959" t="s">
        <v>4306</v>
      </c>
      <c r="B2208" s="960" t="s">
        <v>4307</v>
      </c>
      <c r="C2208" s="960" t="s">
        <v>4262</v>
      </c>
      <c r="D2208" s="960" t="s">
        <v>4263</v>
      </c>
      <c r="E2208" s="959">
        <v>0</v>
      </c>
      <c r="F2208" s="959">
        <v>22</v>
      </c>
      <c r="G2208" s="959">
        <v>0</v>
      </c>
      <c r="H2208" s="959">
        <v>2</v>
      </c>
    </row>
    <row r="2209" spans="1:8">
      <c r="A2209" s="959" t="s">
        <v>3729</v>
      </c>
      <c r="B2209" s="960" t="s">
        <v>3730</v>
      </c>
      <c r="C2209" s="960" t="s">
        <v>4256</v>
      </c>
      <c r="D2209" s="960" t="s">
        <v>470</v>
      </c>
      <c r="E2209" s="959">
        <v>0</v>
      </c>
      <c r="F2209" s="959">
        <v>0</v>
      </c>
      <c r="G2209" s="959">
        <v>0</v>
      </c>
      <c r="H2209" s="959">
        <v>10</v>
      </c>
    </row>
    <row r="2210" spans="1:8">
      <c r="A2210" s="959" t="s">
        <v>3729</v>
      </c>
      <c r="B2210" s="960" t="s">
        <v>3730</v>
      </c>
      <c r="C2210" s="960" t="s">
        <v>4256</v>
      </c>
      <c r="D2210" s="960" t="s">
        <v>1904</v>
      </c>
      <c r="E2210" s="959">
        <v>0</v>
      </c>
      <c r="F2210" s="959">
        <v>0</v>
      </c>
      <c r="G2210" s="959">
        <v>17</v>
      </c>
      <c r="H2210" s="959">
        <v>86</v>
      </c>
    </row>
    <row r="2211" spans="1:8">
      <c r="A2211" s="959" t="s">
        <v>3729</v>
      </c>
      <c r="B2211" s="960" t="s">
        <v>3730</v>
      </c>
      <c r="C2211" s="960" t="s">
        <v>4256</v>
      </c>
      <c r="D2211" s="960" t="s">
        <v>4270</v>
      </c>
      <c r="E2211" s="959">
        <v>0</v>
      </c>
      <c r="F2211" s="959">
        <v>0</v>
      </c>
      <c r="G2211" s="959">
        <v>4</v>
      </c>
      <c r="H2211" s="959">
        <v>0</v>
      </c>
    </row>
    <row r="2212" spans="1:8">
      <c r="A2212" s="959" t="s">
        <v>3729</v>
      </c>
      <c r="B2212" s="960" t="s">
        <v>3730</v>
      </c>
      <c r="C2212" s="960" t="s">
        <v>4256</v>
      </c>
      <c r="D2212" s="960" t="s">
        <v>4259</v>
      </c>
      <c r="E2212" s="959">
        <v>0</v>
      </c>
      <c r="F2212" s="959">
        <v>0</v>
      </c>
      <c r="G2212" s="959">
        <v>0</v>
      </c>
      <c r="H2212" s="959">
        <v>1</v>
      </c>
    </row>
    <row r="2213" spans="1:8">
      <c r="A2213" s="959" t="s">
        <v>3729</v>
      </c>
      <c r="B2213" s="960" t="s">
        <v>3730</v>
      </c>
      <c r="C2213" s="960" t="s">
        <v>4256</v>
      </c>
      <c r="D2213" s="960" t="s">
        <v>4260</v>
      </c>
      <c r="E2213" s="959">
        <v>0</v>
      </c>
      <c r="F2213" s="959">
        <v>0</v>
      </c>
      <c r="G2213" s="959">
        <v>12</v>
      </c>
      <c r="H2213" s="959">
        <v>94</v>
      </c>
    </row>
    <row r="2214" spans="1:8">
      <c r="A2214" s="959" t="s">
        <v>3729</v>
      </c>
      <c r="B2214" s="960" t="s">
        <v>3730</v>
      </c>
      <c r="C2214" s="960" t="s">
        <v>4256</v>
      </c>
      <c r="D2214" s="960" t="s">
        <v>4265</v>
      </c>
      <c r="E2214" s="959">
        <v>0</v>
      </c>
      <c r="F2214" s="959">
        <v>0</v>
      </c>
      <c r="G2214" s="959">
        <v>0</v>
      </c>
      <c r="H2214" s="959">
        <v>1</v>
      </c>
    </row>
    <row r="2215" spans="1:8">
      <c r="A2215" s="959" t="s">
        <v>3729</v>
      </c>
      <c r="B2215" s="960" t="s">
        <v>3730</v>
      </c>
      <c r="C2215" s="960" t="s">
        <v>4256</v>
      </c>
      <c r="D2215" s="960" t="s">
        <v>4271</v>
      </c>
      <c r="E2215" s="959">
        <v>0</v>
      </c>
      <c r="F2215" s="959">
        <v>0</v>
      </c>
      <c r="G2215" s="959">
        <v>0</v>
      </c>
      <c r="H2215" s="959">
        <v>6</v>
      </c>
    </row>
    <row r="2216" spans="1:8">
      <c r="A2216" s="959" t="s">
        <v>3729</v>
      </c>
      <c r="B2216" s="960" t="s">
        <v>3730</v>
      </c>
      <c r="C2216" s="960" t="s">
        <v>4256</v>
      </c>
      <c r="D2216" s="960" t="s">
        <v>1906</v>
      </c>
      <c r="E2216" s="959">
        <v>0</v>
      </c>
      <c r="F2216" s="959">
        <v>0</v>
      </c>
      <c r="G2216" s="959">
        <v>1</v>
      </c>
      <c r="H2216" s="959">
        <v>8</v>
      </c>
    </row>
    <row r="2217" spans="1:8">
      <c r="A2217" s="959" t="s">
        <v>3729</v>
      </c>
      <c r="B2217" s="960" t="s">
        <v>3730</v>
      </c>
      <c r="C2217" s="960" t="s">
        <v>4256</v>
      </c>
      <c r="D2217" s="960" t="s">
        <v>4261</v>
      </c>
      <c r="E2217" s="959">
        <v>0</v>
      </c>
      <c r="F2217" s="959">
        <v>0</v>
      </c>
      <c r="G2217" s="959">
        <v>9</v>
      </c>
      <c r="H2217" s="959">
        <v>131</v>
      </c>
    </row>
    <row r="2218" spans="1:8">
      <c r="A2218" s="959" t="s">
        <v>3729</v>
      </c>
      <c r="B2218" s="960" t="s">
        <v>3730</v>
      </c>
      <c r="C2218" s="960" t="s">
        <v>4257</v>
      </c>
      <c r="D2218" s="960" t="s">
        <v>4258</v>
      </c>
      <c r="E2218" s="959">
        <v>0</v>
      </c>
      <c r="F2218" s="959">
        <v>1</v>
      </c>
      <c r="G2218" s="959">
        <v>0</v>
      </c>
      <c r="H2218" s="959">
        <v>1</v>
      </c>
    </row>
    <row r="2219" spans="1:8">
      <c r="A2219" s="959" t="s">
        <v>3731</v>
      </c>
      <c r="B2219" s="960" t="s">
        <v>3732</v>
      </c>
      <c r="C2219" s="960" t="s">
        <v>4256</v>
      </c>
      <c r="D2219" s="960" t="s">
        <v>4259</v>
      </c>
      <c r="E2219" s="959">
        <v>0</v>
      </c>
      <c r="F2219" s="959">
        <v>0</v>
      </c>
      <c r="G2219" s="959">
        <v>0</v>
      </c>
      <c r="H2219" s="959">
        <v>2</v>
      </c>
    </row>
    <row r="2220" spans="1:8">
      <c r="A2220" s="959" t="s">
        <v>3731</v>
      </c>
      <c r="B2220" s="960" t="s">
        <v>3732</v>
      </c>
      <c r="C2220" s="960" t="s">
        <v>4256</v>
      </c>
      <c r="D2220" s="960" t="s">
        <v>1906</v>
      </c>
      <c r="E2220" s="959">
        <v>0</v>
      </c>
      <c r="F2220" s="959">
        <v>5</v>
      </c>
      <c r="G2220" s="959">
        <v>0</v>
      </c>
      <c r="H2220" s="959">
        <v>0</v>
      </c>
    </row>
    <row r="2221" spans="1:8">
      <c r="A2221" s="959" t="s">
        <v>3731</v>
      </c>
      <c r="B2221" s="960" t="s">
        <v>3732</v>
      </c>
      <c r="C2221" s="960" t="s">
        <v>4256</v>
      </c>
      <c r="D2221" s="960" t="s">
        <v>1907</v>
      </c>
      <c r="E2221" s="959">
        <v>9</v>
      </c>
      <c r="F2221" s="959">
        <v>118</v>
      </c>
      <c r="G2221" s="959">
        <v>1</v>
      </c>
      <c r="H2221" s="959">
        <v>7</v>
      </c>
    </row>
    <row r="2222" spans="1:8">
      <c r="A2222" s="959" t="s">
        <v>3731</v>
      </c>
      <c r="B2222" s="960" t="s">
        <v>3732</v>
      </c>
      <c r="C2222" s="960" t="s">
        <v>4257</v>
      </c>
      <c r="D2222" s="960" t="s">
        <v>4258</v>
      </c>
      <c r="E2222" s="959">
        <v>2</v>
      </c>
      <c r="F2222" s="959">
        <v>41</v>
      </c>
      <c r="G2222" s="959">
        <v>0</v>
      </c>
      <c r="H2222" s="959">
        <v>1</v>
      </c>
    </row>
    <row r="2223" spans="1:8">
      <c r="A2223" s="959" t="s">
        <v>3731</v>
      </c>
      <c r="B2223" s="960" t="s">
        <v>3732</v>
      </c>
      <c r="C2223" s="960" t="s">
        <v>4262</v>
      </c>
      <c r="D2223" s="960" t="s">
        <v>4263</v>
      </c>
      <c r="E2223" s="959">
        <v>1</v>
      </c>
      <c r="F2223" s="959">
        <v>20</v>
      </c>
      <c r="G2223" s="959">
        <v>0</v>
      </c>
      <c r="H2223" s="959">
        <v>0</v>
      </c>
    </row>
    <row r="2224" spans="1:8">
      <c r="A2224" s="959" t="s">
        <v>3733</v>
      </c>
      <c r="B2224" s="960" t="s">
        <v>3734</v>
      </c>
      <c r="C2224" s="960" t="s">
        <v>4256</v>
      </c>
      <c r="D2224" s="960" t="s">
        <v>470</v>
      </c>
      <c r="E2224" s="959">
        <v>0</v>
      </c>
      <c r="F2224" s="959">
        <v>0</v>
      </c>
      <c r="G2224" s="959">
        <v>0</v>
      </c>
      <c r="H2224" s="959">
        <v>1</v>
      </c>
    </row>
    <row r="2225" spans="1:8">
      <c r="A2225" s="959" t="s">
        <v>3733</v>
      </c>
      <c r="B2225" s="960" t="s">
        <v>3734</v>
      </c>
      <c r="C2225" s="960" t="s">
        <v>4256</v>
      </c>
      <c r="D2225" s="960" t="s">
        <v>4264</v>
      </c>
      <c r="E2225" s="959">
        <v>0</v>
      </c>
      <c r="F2225" s="959">
        <v>1</v>
      </c>
      <c r="G2225" s="959">
        <v>0</v>
      </c>
      <c r="H2225" s="959">
        <v>4</v>
      </c>
    </row>
    <row r="2226" spans="1:8">
      <c r="A2226" s="959" t="s">
        <v>3733</v>
      </c>
      <c r="B2226" s="960" t="s">
        <v>3734</v>
      </c>
      <c r="C2226" s="960" t="s">
        <v>4256</v>
      </c>
      <c r="D2226" s="960" t="s">
        <v>1907</v>
      </c>
      <c r="E2226" s="959">
        <v>9</v>
      </c>
      <c r="F2226" s="959">
        <v>135</v>
      </c>
      <c r="G2226" s="959">
        <v>2</v>
      </c>
      <c r="H2226" s="959">
        <v>37</v>
      </c>
    </row>
    <row r="2227" spans="1:8">
      <c r="A2227" s="959" t="s">
        <v>3733</v>
      </c>
      <c r="B2227" s="960" t="s">
        <v>3734</v>
      </c>
      <c r="C2227" s="960" t="s">
        <v>4256</v>
      </c>
      <c r="D2227" s="960" t="s">
        <v>4282</v>
      </c>
      <c r="E2227" s="959">
        <v>0</v>
      </c>
      <c r="F2227" s="959">
        <v>8</v>
      </c>
      <c r="G2227" s="959">
        <v>0</v>
      </c>
      <c r="H2227" s="959">
        <v>0</v>
      </c>
    </row>
    <row r="2228" spans="1:8">
      <c r="A2228" s="959" t="s">
        <v>3733</v>
      </c>
      <c r="B2228" s="960" t="s">
        <v>3734</v>
      </c>
      <c r="C2228" s="960" t="s">
        <v>4262</v>
      </c>
      <c r="D2228" s="960" t="s">
        <v>4263</v>
      </c>
      <c r="E2228" s="959">
        <v>0</v>
      </c>
      <c r="F2228" s="959">
        <v>6</v>
      </c>
      <c r="G2228" s="959">
        <v>0</v>
      </c>
      <c r="H2228" s="959">
        <v>0</v>
      </c>
    </row>
    <row r="2229" spans="1:8">
      <c r="A2229" s="959" t="s">
        <v>4308</v>
      </c>
      <c r="B2229" s="960" t="s">
        <v>4309</v>
      </c>
      <c r="C2229" s="960" t="s">
        <v>4256</v>
      </c>
      <c r="D2229" s="960" t="s">
        <v>1906</v>
      </c>
      <c r="E2229" s="959">
        <v>5</v>
      </c>
      <c r="F2229" s="959">
        <v>93</v>
      </c>
      <c r="G2229" s="959">
        <v>0</v>
      </c>
      <c r="H2229" s="959">
        <v>2</v>
      </c>
    </row>
    <row r="2230" spans="1:8">
      <c r="A2230" s="959" t="s">
        <v>4308</v>
      </c>
      <c r="B2230" s="960" t="s">
        <v>4309</v>
      </c>
      <c r="C2230" s="960" t="s">
        <v>4257</v>
      </c>
      <c r="D2230" s="960" t="s">
        <v>4258</v>
      </c>
      <c r="E2230" s="959">
        <v>0</v>
      </c>
      <c r="F2230" s="959">
        <v>119</v>
      </c>
      <c r="G2230" s="959">
        <v>0</v>
      </c>
      <c r="H2230" s="959">
        <v>3</v>
      </c>
    </row>
    <row r="2231" spans="1:8">
      <c r="A2231" s="959" t="s">
        <v>4308</v>
      </c>
      <c r="B2231" s="960" t="s">
        <v>4309</v>
      </c>
      <c r="C2231" s="960" t="s">
        <v>4262</v>
      </c>
      <c r="D2231" s="960" t="s">
        <v>4263</v>
      </c>
      <c r="E2231" s="959">
        <v>0</v>
      </c>
      <c r="F2231" s="959">
        <v>1</v>
      </c>
      <c r="G2231" s="959">
        <v>0</v>
      </c>
      <c r="H2231" s="959">
        <v>0</v>
      </c>
    </row>
    <row r="2232" spans="1:8">
      <c r="A2232" s="959" t="s">
        <v>3735</v>
      </c>
      <c r="B2232" s="960" t="s">
        <v>3736</v>
      </c>
      <c r="C2232" s="960" t="s">
        <v>4256</v>
      </c>
      <c r="D2232" s="960" t="s">
        <v>470</v>
      </c>
      <c r="E2232" s="959">
        <v>0</v>
      </c>
      <c r="F2232" s="959">
        <v>0</v>
      </c>
      <c r="G2232" s="959">
        <v>0</v>
      </c>
      <c r="H2232" s="959">
        <v>1</v>
      </c>
    </row>
    <row r="2233" spans="1:8">
      <c r="A2233" s="959" t="s">
        <v>3735</v>
      </c>
      <c r="B2233" s="960" t="s">
        <v>3736</v>
      </c>
      <c r="C2233" s="960" t="s">
        <v>4256</v>
      </c>
      <c r="D2233" s="960" t="s">
        <v>1904</v>
      </c>
      <c r="E2233" s="959">
        <v>0</v>
      </c>
      <c r="F2233" s="959">
        <v>0</v>
      </c>
      <c r="G2233" s="959">
        <v>0</v>
      </c>
      <c r="H2233" s="959">
        <v>1</v>
      </c>
    </row>
    <row r="2234" spans="1:8">
      <c r="A2234" s="959" t="s">
        <v>3735</v>
      </c>
      <c r="B2234" s="960" t="s">
        <v>3736</v>
      </c>
      <c r="C2234" s="960" t="s">
        <v>4256</v>
      </c>
      <c r="D2234" s="960" t="s">
        <v>4270</v>
      </c>
      <c r="E2234" s="959">
        <v>0</v>
      </c>
      <c r="F2234" s="959">
        <v>0</v>
      </c>
      <c r="G2234" s="959">
        <v>0</v>
      </c>
      <c r="H2234" s="959">
        <v>1</v>
      </c>
    </row>
    <row r="2235" spans="1:8">
      <c r="A2235" s="959" t="s">
        <v>3735</v>
      </c>
      <c r="B2235" s="960" t="s">
        <v>3736</v>
      </c>
      <c r="C2235" s="960" t="s">
        <v>4256</v>
      </c>
      <c r="D2235" s="960" t="s">
        <v>4260</v>
      </c>
      <c r="E2235" s="959">
        <v>0</v>
      </c>
      <c r="F2235" s="959">
        <v>0</v>
      </c>
      <c r="G2235" s="959">
        <v>0</v>
      </c>
      <c r="H2235" s="959">
        <v>4</v>
      </c>
    </row>
    <row r="2236" spans="1:8">
      <c r="A2236" s="959" t="s">
        <v>3735</v>
      </c>
      <c r="B2236" s="960" t="s">
        <v>3736</v>
      </c>
      <c r="C2236" s="960" t="s">
        <v>4256</v>
      </c>
      <c r="D2236" s="960" t="s">
        <v>4265</v>
      </c>
      <c r="E2236" s="959">
        <v>0</v>
      </c>
      <c r="F2236" s="959">
        <v>0</v>
      </c>
      <c r="G2236" s="959">
        <v>0</v>
      </c>
      <c r="H2236" s="959">
        <v>1</v>
      </c>
    </row>
    <row r="2237" spans="1:8">
      <c r="A2237" s="959" t="s">
        <v>3735</v>
      </c>
      <c r="B2237" s="960" t="s">
        <v>3736</v>
      </c>
      <c r="C2237" s="960" t="s">
        <v>4257</v>
      </c>
      <c r="D2237" s="960" t="s">
        <v>4258</v>
      </c>
      <c r="E2237" s="959">
        <v>0</v>
      </c>
      <c r="F2237" s="959">
        <v>0</v>
      </c>
      <c r="G2237" s="959">
        <v>0</v>
      </c>
      <c r="H2237" s="959">
        <v>1</v>
      </c>
    </row>
    <row r="2238" spans="1:8">
      <c r="A2238" s="959" t="s">
        <v>3737</v>
      </c>
      <c r="B2238" s="960" t="s">
        <v>3738</v>
      </c>
      <c r="C2238" s="960" t="s">
        <v>4275</v>
      </c>
      <c r="D2238" s="960" t="s">
        <v>4276</v>
      </c>
      <c r="E2238" s="959">
        <v>1</v>
      </c>
      <c r="F2238" s="959">
        <v>15</v>
      </c>
      <c r="G2238" s="959">
        <v>0</v>
      </c>
      <c r="H2238" s="959">
        <v>0</v>
      </c>
    </row>
    <row r="2239" spans="1:8">
      <c r="A2239" s="959" t="s">
        <v>3737</v>
      </c>
      <c r="B2239" s="960" t="s">
        <v>3738</v>
      </c>
      <c r="C2239" s="960" t="s">
        <v>4256</v>
      </c>
      <c r="D2239" s="960" t="s">
        <v>4259</v>
      </c>
      <c r="E2239" s="959">
        <v>0</v>
      </c>
      <c r="F2239" s="959">
        <v>1</v>
      </c>
      <c r="G2239" s="959">
        <v>0</v>
      </c>
      <c r="H2239" s="959">
        <v>2</v>
      </c>
    </row>
    <row r="2240" spans="1:8">
      <c r="A2240" s="959" t="s">
        <v>3737</v>
      </c>
      <c r="B2240" s="960" t="s">
        <v>3738</v>
      </c>
      <c r="C2240" s="960" t="s">
        <v>4256</v>
      </c>
      <c r="D2240" s="960" t="s">
        <v>1906</v>
      </c>
      <c r="E2240" s="959">
        <v>1</v>
      </c>
      <c r="F2240" s="959">
        <v>19</v>
      </c>
      <c r="G2240" s="959">
        <v>0</v>
      </c>
      <c r="H2240" s="959">
        <v>0</v>
      </c>
    </row>
    <row r="2241" spans="1:8">
      <c r="A2241" s="959" t="s">
        <v>3737</v>
      </c>
      <c r="B2241" s="960" t="s">
        <v>3738</v>
      </c>
      <c r="C2241" s="960" t="s">
        <v>4256</v>
      </c>
      <c r="D2241" s="960" t="s">
        <v>1907</v>
      </c>
      <c r="E2241" s="959">
        <v>4</v>
      </c>
      <c r="F2241" s="959">
        <v>60</v>
      </c>
      <c r="G2241" s="959">
        <v>1</v>
      </c>
      <c r="H2241" s="959">
        <v>17</v>
      </c>
    </row>
    <row r="2242" spans="1:8">
      <c r="A2242" s="959" t="s">
        <v>3737</v>
      </c>
      <c r="B2242" s="960" t="s">
        <v>3738</v>
      </c>
      <c r="C2242" s="960" t="s">
        <v>4257</v>
      </c>
      <c r="D2242" s="960" t="s">
        <v>4258</v>
      </c>
      <c r="E2242" s="959">
        <v>1</v>
      </c>
      <c r="F2242" s="959">
        <v>15</v>
      </c>
      <c r="G2242" s="959">
        <v>0</v>
      </c>
      <c r="H2242" s="959">
        <v>4</v>
      </c>
    </row>
    <row r="2243" spans="1:8">
      <c r="A2243" s="959" t="s">
        <v>3740</v>
      </c>
      <c r="B2243" s="960" t="s">
        <v>3741</v>
      </c>
      <c r="C2243" s="960" t="s">
        <v>4256</v>
      </c>
      <c r="D2243" s="960" t="s">
        <v>1906</v>
      </c>
      <c r="E2243" s="959">
        <v>0</v>
      </c>
      <c r="F2243" s="959">
        <v>1</v>
      </c>
      <c r="G2243" s="959">
        <v>0</v>
      </c>
      <c r="H2243" s="959">
        <v>0</v>
      </c>
    </row>
    <row r="2244" spans="1:8">
      <c r="A2244" s="959" t="s">
        <v>3740</v>
      </c>
      <c r="B2244" s="960" t="s">
        <v>3741</v>
      </c>
      <c r="C2244" s="960" t="s">
        <v>4257</v>
      </c>
      <c r="D2244" s="960" t="s">
        <v>4258</v>
      </c>
      <c r="E2244" s="959">
        <v>0</v>
      </c>
      <c r="F2244" s="959">
        <v>1</v>
      </c>
      <c r="G2244" s="959">
        <v>0</v>
      </c>
      <c r="H2244" s="959">
        <v>0</v>
      </c>
    </row>
    <row r="2245" spans="1:8">
      <c r="A2245" s="959" t="s">
        <v>3742</v>
      </c>
      <c r="B2245" s="960" t="s">
        <v>3743</v>
      </c>
      <c r="C2245" s="960" t="s">
        <v>4256</v>
      </c>
      <c r="D2245" s="960" t="s">
        <v>470</v>
      </c>
      <c r="E2245" s="959">
        <v>0</v>
      </c>
      <c r="F2245" s="959">
        <v>0</v>
      </c>
      <c r="G2245" s="959">
        <v>0</v>
      </c>
      <c r="H2245" s="959">
        <v>8</v>
      </c>
    </row>
    <row r="2246" spans="1:8">
      <c r="A2246" s="959" t="s">
        <v>3742</v>
      </c>
      <c r="B2246" s="960" t="s">
        <v>3743</v>
      </c>
      <c r="C2246" s="960" t="s">
        <v>4256</v>
      </c>
      <c r="D2246" s="960" t="s">
        <v>1906</v>
      </c>
      <c r="E2246" s="959">
        <v>7</v>
      </c>
      <c r="F2246" s="959">
        <v>81</v>
      </c>
      <c r="G2246" s="959">
        <v>1</v>
      </c>
      <c r="H2246" s="959">
        <v>13</v>
      </c>
    </row>
    <row r="2247" spans="1:8">
      <c r="A2247" s="959" t="s">
        <v>3742</v>
      </c>
      <c r="B2247" s="960" t="s">
        <v>3743</v>
      </c>
      <c r="C2247" s="960" t="s">
        <v>4256</v>
      </c>
      <c r="D2247" s="960" t="s">
        <v>4264</v>
      </c>
      <c r="E2247" s="959">
        <v>0</v>
      </c>
      <c r="F2247" s="959">
        <v>0</v>
      </c>
      <c r="G2247" s="959">
        <v>0</v>
      </c>
      <c r="H2247" s="959">
        <v>1</v>
      </c>
    </row>
    <row r="2248" spans="1:8">
      <c r="A2248" s="959" t="s">
        <v>3742</v>
      </c>
      <c r="B2248" s="960" t="s">
        <v>3743</v>
      </c>
      <c r="C2248" s="960" t="s">
        <v>4256</v>
      </c>
      <c r="D2248" s="960" t="s">
        <v>4274</v>
      </c>
      <c r="E2248" s="959">
        <v>0</v>
      </c>
      <c r="F2248" s="959">
        <v>0</v>
      </c>
      <c r="G2248" s="959">
        <v>0</v>
      </c>
      <c r="H2248" s="959">
        <v>1</v>
      </c>
    </row>
    <row r="2249" spans="1:8">
      <c r="A2249" s="959" t="s">
        <v>3742</v>
      </c>
      <c r="B2249" s="960" t="s">
        <v>3743</v>
      </c>
      <c r="C2249" s="960" t="s">
        <v>4257</v>
      </c>
      <c r="D2249" s="960" t="s">
        <v>4258</v>
      </c>
      <c r="E2249" s="959">
        <v>2</v>
      </c>
      <c r="F2249" s="959">
        <v>25</v>
      </c>
      <c r="G2249" s="959">
        <v>0</v>
      </c>
      <c r="H2249" s="959">
        <v>5</v>
      </c>
    </row>
    <row r="2250" spans="1:8">
      <c r="A2250" s="959" t="s">
        <v>3742</v>
      </c>
      <c r="B2250" s="960" t="s">
        <v>3743</v>
      </c>
      <c r="C2250" s="960" t="s">
        <v>4262</v>
      </c>
      <c r="D2250" s="960" t="s">
        <v>4263</v>
      </c>
      <c r="E2250" s="959">
        <v>0</v>
      </c>
      <c r="F2250" s="959">
        <v>16</v>
      </c>
      <c r="G2250" s="959">
        <v>1</v>
      </c>
      <c r="H2250" s="959">
        <v>14</v>
      </c>
    </row>
    <row r="2251" spans="1:8">
      <c r="A2251" s="959" t="s">
        <v>3744</v>
      </c>
      <c r="B2251" s="960" t="s">
        <v>3745</v>
      </c>
      <c r="C2251" s="960" t="s">
        <v>4256</v>
      </c>
      <c r="D2251" s="960" t="s">
        <v>470</v>
      </c>
      <c r="E2251" s="959">
        <v>0</v>
      </c>
      <c r="F2251" s="959">
        <v>0</v>
      </c>
      <c r="G2251" s="959">
        <v>1</v>
      </c>
      <c r="H2251" s="959">
        <v>19</v>
      </c>
    </row>
    <row r="2252" spans="1:8">
      <c r="A2252" s="959" t="s">
        <v>3744</v>
      </c>
      <c r="B2252" s="960" t="s">
        <v>3745</v>
      </c>
      <c r="C2252" s="960" t="s">
        <v>4256</v>
      </c>
      <c r="D2252" s="960" t="s">
        <v>1906</v>
      </c>
      <c r="E2252" s="959">
        <v>0</v>
      </c>
      <c r="F2252" s="959">
        <v>4</v>
      </c>
      <c r="G2252" s="959">
        <v>1</v>
      </c>
      <c r="H2252" s="959">
        <v>16</v>
      </c>
    </row>
    <row r="2253" spans="1:8">
      <c r="A2253" s="959" t="s">
        <v>3744</v>
      </c>
      <c r="B2253" s="960" t="s">
        <v>3745</v>
      </c>
      <c r="C2253" s="960" t="s">
        <v>4257</v>
      </c>
      <c r="D2253" s="960" t="s">
        <v>4258</v>
      </c>
      <c r="E2253" s="959">
        <v>0</v>
      </c>
      <c r="F2253" s="959">
        <v>4</v>
      </c>
      <c r="G2253" s="959">
        <v>0</v>
      </c>
      <c r="H2253" s="959">
        <v>2</v>
      </c>
    </row>
    <row r="2254" spans="1:8">
      <c r="A2254" s="959" t="s">
        <v>3748</v>
      </c>
      <c r="B2254" s="960" t="s">
        <v>1365</v>
      </c>
      <c r="C2254" s="960" t="s">
        <v>4256</v>
      </c>
      <c r="D2254" s="960" t="s">
        <v>4260</v>
      </c>
      <c r="E2254" s="959">
        <v>0</v>
      </c>
      <c r="F2254" s="959">
        <v>1</v>
      </c>
      <c r="G2254" s="959">
        <v>0</v>
      </c>
      <c r="H2254" s="959">
        <v>0</v>
      </c>
    </row>
    <row r="2255" spans="1:8">
      <c r="A2255" s="959" t="s">
        <v>3748</v>
      </c>
      <c r="B2255" s="960" t="s">
        <v>1365</v>
      </c>
      <c r="C2255" s="960" t="s">
        <v>4262</v>
      </c>
      <c r="D2255" s="960" t="s">
        <v>4263</v>
      </c>
      <c r="E2255" s="959">
        <v>4</v>
      </c>
      <c r="F2255" s="959">
        <v>22</v>
      </c>
      <c r="G2255" s="959">
        <v>0</v>
      </c>
      <c r="H2255" s="959">
        <v>3</v>
      </c>
    </row>
    <row r="2256" spans="1:8">
      <c r="A2256" s="959" t="s">
        <v>3749</v>
      </c>
      <c r="B2256" s="960" t="s">
        <v>3750</v>
      </c>
      <c r="C2256" s="960" t="s">
        <v>4256</v>
      </c>
      <c r="D2256" s="960" t="s">
        <v>470</v>
      </c>
      <c r="E2256" s="959">
        <v>0</v>
      </c>
      <c r="F2256" s="959">
        <v>0</v>
      </c>
      <c r="G2256" s="959">
        <v>8</v>
      </c>
      <c r="H2256" s="959">
        <v>50</v>
      </c>
    </row>
    <row r="2257" spans="1:8">
      <c r="A2257" s="959" t="s">
        <v>3749</v>
      </c>
      <c r="B2257" s="960" t="s">
        <v>3750</v>
      </c>
      <c r="C2257" s="960" t="s">
        <v>4256</v>
      </c>
      <c r="D2257" s="960" t="s">
        <v>1904</v>
      </c>
      <c r="E2257" s="959">
        <v>0</v>
      </c>
      <c r="F2257" s="959">
        <v>0</v>
      </c>
      <c r="G2257" s="959">
        <v>13</v>
      </c>
      <c r="H2257" s="959">
        <v>65</v>
      </c>
    </row>
    <row r="2258" spans="1:8">
      <c r="A2258" s="959" t="s">
        <v>3749</v>
      </c>
      <c r="B2258" s="960" t="s">
        <v>3750</v>
      </c>
      <c r="C2258" s="960" t="s">
        <v>4256</v>
      </c>
      <c r="D2258" s="960" t="s">
        <v>4260</v>
      </c>
      <c r="E2258" s="959">
        <v>0</v>
      </c>
      <c r="F2258" s="959">
        <v>0</v>
      </c>
      <c r="G2258" s="959">
        <v>0</v>
      </c>
      <c r="H2258" s="959">
        <v>41</v>
      </c>
    </row>
    <row r="2259" spans="1:8">
      <c r="A2259" s="959" t="s">
        <v>3749</v>
      </c>
      <c r="B2259" s="960" t="s">
        <v>3750</v>
      </c>
      <c r="C2259" s="960" t="s">
        <v>4256</v>
      </c>
      <c r="D2259" s="960" t="s">
        <v>4265</v>
      </c>
      <c r="E2259" s="959">
        <v>0</v>
      </c>
      <c r="F2259" s="959">
        <v>0</v>
      </c>
      <c r="G2259" s="959">
        <v>0</v>
      </c>
      <c r="H2259" s="959">
        <v>3</v>
      </c>
    </row>
    <row r="2260" spans="1:8">
      <c r="A2260" s="959" t="s">
        <v>3749</v>
      </c>
      <c r="B2260" s="960" t="s">
        <v>3750</v>
      </c>
      <c r="C2260" s="960" t="s">
        <v>4256</v>
      </c>
      <c r="D2260" s="960" t="s">
        <v>4271</v>
      </c>
      <c r="E2260" s="959">
        <v>0</v>
      </c>
      <c r="F2260" s="959">
        <v>0</v>
      </c>
      <c r="G2260" s="959">
        <v>0</v>
      </c>
      <c r="H2260" s="959">
        <v>1</v>
      </c>
    </row>
    <row r="2261" spans="1:8">
      <c r="A2261" s="959" t="s">
        <v>3749</v>
      </c>
      <c r="B2261" s="960" t="s">
        <v>3750</v>
      </c>
      <c r="C2261" s="960" t="s">
        <v>4256</v>
      </c>
      <c r="D2261" s="960" t="s">
        <v>1906</v>
      </c>
      <c r="E2261" s="959">
        <v>2</v>
      </c>
      <c r="F2261" s="959">
        <v>34</v>
      </c>
      <c r="G2261" s="959">
        <v>2</v>
      </c>
      <c r="H2261" s="959">
        <v>37</v>
      </c>
    </row>
    <row r="2262" spans="1:8">
      <c r="A2262" s="959" t="s">
        <v>3749</v>
      </c>
      <c r="B2262" s="960" t="s">
        <v>3750</v>
      </c>
      <c r="C2262" s="960" t="s">
        <v>4256</v>
      </c>
      <c r="D2262" s="960" t="s">
        <v>4261</v>
      </c>
      <c r="E2262" s="959">
        <v>0</v>
      </c>
      <c r="F2262" s="959">
        <v>0</v>
      </c>
      <c r="G2262" s="959">
        <v>4</v>
      </c>
      <c r="H2262" s="959">
        <v>23</v>
      </c>
    </row>
    <row r="2263" spans="1:8">
      <c r="A2263" s="959" t="s">
        <v>3749</v>
      </c>
      <c r="B2263" s="960" t="s">
        <v>3750</v>
      </c>
      <c r="C2263" s="960" t="s">
        <v>4256</v>
      </c>
      <c r="D2263" s="961" t="s">
        <v>4266</v>
      </c>
      <c r="E2263" s="959">
        <v>0</v>
      </c>
      <c r="F2263" s="959">
        <v>0</v>
      </c>
      <c r="G2263" s="959">
        <v>0</v>
      </c>
      <c r="H2263" s="959">
        <v>3</v>
      </c>
    </row>
    <row r="2264" spans="1:8">
      <c r="A2264" s="959" t="s">
        <v>3749</v>
      </c>
      <c r="B2264" s="960" t="s">
        <v>3750</v>
      </c>
      <c r="C2264" s="960" t="s">
        <v>4257</v>
      </c>
      <c r="D2264" s="960" t="s">
        <v>4258</v>
      </c>
      <c r="E2264" s="959">
        <v>1</v>
      </c>
      <c r="F2264" s="959">
        <v>25</v>
      </c>
      <c r="G2264" s="959">
        <v>2</v>
      </c>
      <c r="H2264" s="959">
        <v>31</v>
      </c>
    </row>
    <row r="2265" spans="1:8">
      <c r="A2265" s="959" t="s">
        <v>3751</v>
      </c>
      <c r="B2265" s="960" t="s">
        <v>3752</v>
      </c>
      <c r="C2265" s="960" t="s">
        <v>4275</v>
      </c>
      <c r="D2265" s="960" t="s">
        <v>4276</v>
      </c>
      <c r="E2265" s="959">
        <v>2</v>
      </c>
      <c r="F2265" s="959">
        <v>27</v>
      </c>
      <c r="G2265" s="959">
        <v>0</v>
      </c>
      <c r="H2265" s="959">
        <v>0</v>
      </c>
    </row>
    <row r="2266" spans="1:8">
      <c r="A2266" s="959" t="s">
        <v>3751</v>
      </c>
      <c r="B2266" s="960" t="s">
        <v>3752</v>
      </c>
      <c r="C2266" s="960" t="s">
        <v>4256</v>
      </c>
      <c r="D2266" s="960" t="s">
        <v>4259</v>
      </c>
      <c r="E2266" s="959">
        <v>0</v>
      </c>
      <c r="F2266" s="959">
        <v>1</v>
      </c>
      <c r="G2266" s="959">
        <v>0</v>
      </c>
      <c r="H2266" s="959">
        <v>2</v>
      </c>
    </row>
    <row r="2267" spans="1:8">
      <c r="A2267" s="959" t="s">
        <v>3751</v>
      </c>
      <c r="B2267" s="960" t="s">
        <v>3752</v>
      </c>
      <c r="C2267" s="960" t="s">
        <v>4256</v>
      </c>
      <c r="D2267" s="960" t="s">
        <v>1906</v>
      </c>
      <c r="E2267" s="959">
        <v>2</v>
      </c>
      <c r="F2267" s="959">
        <v>25</v>
      </c>
      <c r="G2267" s="959">
        <v>0</v>
      </c>
      <c r="H2267" s="959">
        <v>0</v>
      </c>
    </row>
    <row r="2268" spans="1:8">
      <c r="A2268" s="959" t="s">
        <v>3751</v>
      </c>
      <c r="B2268" s="960" t="s">
        <v>3752</v>
      </c>
      <c r="C2268" s="960" t="s">
        <v>4256</v>
      </c>
      <c r="D2268" s="960" t="s">
        <v>1907</v>
      </c>
      <c r="E2268" s="959">
        <v>0</v>
      </c>
      <c r="F2268" s="959">
        <v>6</v>
      </c>
      <c r="G2268" s="959">
        <v>5</v>
      </c>
      <c r="H2268" s="959">
        <v>67</v>
      </c>
    </row>
    <row r="2269" spans="1:8">
      <c r="A2269" s="959" t="s">
        <v>3751</v>
      </c>
      <c r="B2269" s="960" t="s">
        <v>3752</v>
      </c>
      <c r="C2269" s="960" t="s">
        <v>4257</v>
      </c>
      <c r="D2269" s="960" t="s">
        <v>4258</v>
      </c>
      <c r="E2269" s="959">
        <v>3</v>
      </c>
      <c r="F2269" s="959">
        <v>35</v>
      </c>
      <c r="G2269" s="959">
        <v>0</v>
      </c>
      <c r="H2269" s="959">
        <v>1</v>
      </c>
    </row>
    <row r="2270" spans="1:8">
      <c r="A2270" s="959" t="s">
        <v>3751</v>
      </c>
      <c r="B2270" s="960" t="s">
        <v>3752</v>
      </c>
      <c r="C2270" s="960" t="s">
        <v>4262</v>
      </c>
      <c r="D2270" s="960" t="s">
        <v>4263</v>
      </c>
      <c r="E2270" s="959">
        <v>4</v>
      </c>
      <c r="F2270" s="959">
        <v>298</v>
      </c>
      <c r="G2270" s="959">
        <v>0</v>
      </c>
      <c r="H2270" s="959">
        <v>0</v>
      </c>
    </row>
    <row r="2271" spans="1:8">
      <c r="A2271" s="959" t="s">
        <v>3753</v>
      </c>
      <c r="B2271" s="960" t="s">
        <v>1366</v>
      </c>
      <c r="C2271" s="960" t="s">
        <v>4262</v>
      </c>
      <c r="D2271" s="960" t="s">
        <v>4263</v>
      </c>
      <c r="E2271" s="959">
        <v>0</v>
      </c>
      <c r="F2271" s="959">
        <v>5</v>
      </c>
      <c r="G2271" s="959">
        <v>0</v>
      </c>
      <c r="H2271" s="959">
        <v>0</v>
      </c>
    </row>
    <row r="2272" spans="1:8">
      <c r="A2272" s="959" t="s">
        <v>3754</v>
      </c>
      <c r="B2272" s="960" t="s">
        <v>3755</v>
      </c>
      <c r="C2272" s="960" t="s">
        <v>4256</v>
      </c>
      <c r="D2272" s="960" t="s">
        <v>470</v>
      </c>
      <c r="E2272" s="959">
        <v>0</v>
      </c>
      <c r="F2272" s="959">
        <v>0</v>
      </c>
      <c r="G2272" s="959">
        <v>14</v>
      </c>
      <c r="H2272" s="959">
        <v>55</v>
      </c>
    </row>
    <row r="2273" spans="1:8">
      <c r="A2273" s="959" t="s">
        <v>3754</v>
      </c>
      <c r="B2273" s="960" t="s">
        <v>3755</v>
      </c>
      <c r="C2273" s="960" t="s">
        <v>4256</v>
      </c>
      <c r="D2273" s="960" t="s">
        <v>1904</v>
      </c>
      <c r="E2273" s="959">
        <v>0</v>
      </c>
      <c r="F2273" s="959">
        <v>0</v>
      </c>
      <c r="G2273" s="959">
        <v>3</v>
      </c>
      <c r="H2273" s="959">
        <v>32</v>
      </c>
    </row>
    <row r="2274" spans="1:8">
      <c r="A2274" s="959" t="s">
        <v>3754</v>
      </c>
      <c r="B2274" s="960" t="s">
        <v>3755</v>
      </c>
      <c r="C2274" s="960" t="s">
        <v>4256</v>
      </c>
      <c r="D2274" s="960" t="s">
        <v>4260</v>
      </c>
      <c r="E2274" s="959">
        <v>0</v>
      </c>
      <c r="F2274" s="959">
        <v>0</v>
      </c>
      <c r="G2274" s="959">
        <v>0</v>
      </c>
      <c r="H2274" s="959">
        <v>3</v>
      </c>
    </row>
    <row r="2275" spans="1:8">
      <c r="A2275" s="959" t="s">
        <v>3754</v>
      </c>
      <c r="B2275" s="960" t="s">
        <v>3755</v>
      </c>
      <c r="C2275" s="960" t="s">
        <v>4256</v>
      </c>
      <c r="D2275" s="960" t="s">
        <v>4265</v>
      </c>
      <c r="E2275" s="959">
        <v>0</v>
      </c>
      <c r="F2275" s="959">
        <v>0</v>
      </c>
      <c r="G2275" s="959">
        <v>0</v>
      </c>
      <c r="H2275" s="959">
        <v>1</v>
      </c>
    </row>
    <row r="2276" spans="1:8">
      <c r="A2276" s="959" t="s">
        <v>3754</v>
      </c>
      <c r="B2276" s="960" t="s">
        <v>3755</v>
      </c>
      <c r="C2276" s="960" t="s">
        <v>4256</v>
      </c>
      <c r="D2276" s="960" t="s">
        <v>1906</v>
      </c>
      <c r="E2276" s="959">
        <v>1</v>
      </c>
      <c r="F2276" s="959">
        <v>8</v>
      </c>
      <c r="G2276" s="959">
        <v>0</v>
      </c>
      <c r="H2276" s="959">
        <v>2</v>
      </c>
    </row>
    <row r="2277" spans="1:8">
      <c r="A2277" s="959" t="s">
        <v>3754</v>
      </c>
      <c r="B2277" s="960" t="s">
        <v>3755</v>
      </c>
      <c r="C2277" s="960" t="s">
        <v>4256</v>
      </c>
      <c r="D2277" s="960" t="s">
        <v>4264</v>
      </c>
      <c r="E2277" s="959">
        <v>0</v>
      </c>
      <c r="F2277" s="959">
        <v>0</v>
      </c>
      <c r="G2277" s="959">
        <v>0</v>
      </c>
      <c r="H2277" s="959">
        <v>4</v>
      </c>
    </row>
    <row r="2278" spans="1:8">
      <c r="A2278" s="959" t="s">
        <v>3754</v>
      </c>
      <c r="B2278" s="960" t="s">
        <v>3755</v>
      </c>
      <c r="C2278" s="960" t="s">
        <v>4256</v>
      </c>
      <c r="D2278" s="960" t="s">
        <v>4261</v>
      </c>
      <c r="E2278" s="959">
        <v>0</v>
      </c>
      <c r="F2278" s="959">
        <v>0</v>
      </c>
      <c r="G2278" s="959">
        <v>0</v>
      </c>
      <c r="H2278" s="959">
        <v>2</v>
      </c>
    </row>
    <row r="2279" spans="1:8">
      <c r="A2279" s="959" t="s">
        <v>3754</v>
      </c>
      <c r="B2279" s="960" t="s">
        <v>3755</v>
      </c>
      <c r="C2279" s="960" t="s">
        <v>4257</v>
      </c>
      <c r="D2279" s="960" t="s">
        <v>4258</v>
      </c>
      <c r="E2279" s="959">
        <v>2</v>
      </c>
      <c r="F2279" s="959">
        <v>6</v>
      </c>
      <c r="G2279" s="959">
        <v>0</v>
      </c>
      <c r="H2279" s="959">
        <v>0</v>
      </c>
    </row>
    <row r="2280" spans="1:8">
      <c r="A2280" s="959" t="s">
        <v>3754</v>
      </c>
      <c r="B2280" s="960" t="s">
        <v>3755</v>
      </c>
      <c r="C2280" s="960" t="s">
        <v>4262</v>
      </c>
      <c r="D2280" s="960" t="s">
        <v>4300</v>
      </c>
      <c r="E2280" s="959">
        <v>0</v>
      </c>
      <c r="F2280" s="959">
        <v>0</v>
      </c>
      <c r="G2280" s="959">
        <v>0</v>
      </c>
      <c r="H2280" s="959">
        <v>1</v>
      </c>
    </row>
    <row r="2281" spans="1:8">
      <c r="A2281" s="959" t="s">
        <v>3756</v>
      </c>
      <c r="B2281" s="960" t="s">
        <v>3757</v>
      </c>
      <c r="C2281" s="960" t="s">
        <v>4256</v>
      </c>
      <c r="D2281" s="960" t="s">
        <v>470</v>
      </c>
      <c r="E2281" s="959">
        <v>0</v>
      </c>
      <c r="F2281" s="959">
        <v>0</v>
      </c>
      <c r="G2281" s="959">
        <v>12</v>
      </c>
      <c r="H2281" s="959">
        <v>109</v>
      </c>
    </row>
    <row r="2282" spans="1:8">
      <c r="A2282" s="959" t="s">
        <v>3756</v>
      </c>
      <c r="B2282" s="960" t="s">
        <v>3757</v>
      </c>
      <c r="C2282" s="960" t="s">
        <v>4256</v>
      </c>
      <c r="D2282" s="960" t="s">
        <v>1904</v>
      </c>
      <c r="E2282" s="959">
        <v>0</v>
      </c>
      <c r="F2282" s="959">
        <v>0</v>
      </c>
      <c r="G2282" s="959">
        <v>3</v>
      </c>
      <c r="H2282" s="959">
        <v>105</v>
      </c>
    </row>
    <row r="2283" spans="1:8">
      <c r="A2283" s="959" t="s">
        <v>3756</v>
      </c>
      <c r="B2283" s="960" t="s">
        <v>3757</v>
      </c>
      <c r="C2283" s="960" t="s">
        <v>4256</v>
      </c>
      <c r="D2283" s="960" t="s">
        <v>4270</v>
      </c>
      <c r="E2283" s="959">
        <v>0</v>
      </c>
      <c r="F2283" s="959">
        <v>0</v>
      </c>
      <c r="G2283" s="959">
        <v>1</v>
      </c>
      <c r="H2283" s="959">
        <v>7</v>
      </c>
    </row>
    <row r="2284" spans="1:8">
      <c r="A2284" s="959" t="s">
        <v>3756</v>
      </c>
      <c r="B2284" s="960" t="s">
        <v>3757</v>
      </c>
      <c r="C2284" s="960" t="s">
        <v>4256</v>
      </c>
      <c r="D2284" s="960" t="s">
        <v>4260</v>
      </c>
      <c r="E2284" s="959">
        <v>0</v>
      </c>
      <c r="F2284" s="959">
        <v>0</v>
      </c>
      <c r="G2284" s="959">
        <v>3</v>
      </c>
      <c r="H2284" s="959">
        <v>33</v>
      </c>
    </row>
    <row r="2285" spans="1:8">
      <c r="A2285" s="959" t="s">
        <v>3756</v>
      </c>
      <c r="B2285" s="960" t="s">
        <v>3757</v>
      </c>
      <c r="C2285" s="960" t="s">
        <v>4256</v>
      </c>
      <c r="D2285" s="960" t="s">
        <v>4265</v>
      </c>
      <c r="E2285" s="959">
        <v>0</v>
      </c>
      <c r="F2285" s="959">
        <v>0</v>
      </c>
      <c r="G2285" s="959">
        <v>0</v>
      </c>
      <c r="H2285" s="959">
        <v>2</v>
      </c>
    </row>
    <row r="2286" spans="1:8">
      <c r="A2286" s="959" t="s">
        <v>3756</v>
      </c>
      <c r="B2286" s="960" t="s">
        <v>3757</v>
      </c>
      <c r="C2286" s="960" t="s">
        <v>4256</v>
      </c>
      <c r="D2286" s="960" t="s">
        <v>4271</v>
      </c>
      <c r="E2286" s="959">
        <v>0</v>
      </c>
      <c r="F2286" s="959">
        <v>0</v>
      </c>
      <c r="G2286" s="959">
        <v>0</v>
      </c>
      <c r="H2286" s="959">
        <v>2</v>
      </c>
    </row>
    <row r="2287" spans="1:8">
      <c r="A2287" s="959" t="s">
        <v>3756</v>
      </c>
      <c r="B2287" s="960" t="s">
        <v>3757</v>
      </c>
      <c r="C2287" s="960" t="s">
        <v>4256</v>
      </c>
      <c r="D2287" s="960" t="s">
        <v>1906</v>
      </c>
      <c r="E2287" s="959">
        <v>1</v>
      </c>
      <c r="F2287" s="959">
        <v>8</v>
      </c>
      <c r="G2287" s="959">
        <v>1</v>
      </c>
      <c r="H2287" s="959">
        <v>20</v>
      </c>
    </row>
    <row r="2288" spans="1:8">
      <c r="A2288" s="959" t="s">
        <v>3756</v>
      </c>
      <c r="B2288" s="960" t="s">
        <v>3757</v>
      </c>
      <c r="C2288" s="960" t="s">
        <v>4256</v>
      </c>
      <c r="D2288" s="960" t="s">
        <v>4261</v>
      </c>
      <c r="E2288" s="959">
        <v>0</v>
      </c>
      <c r="F2288" s="959">
        <v>0</v>
      </c>
      <c r="G2288" s="959">
        <v>1</v>
      </c>
      <c r="H2288" s="959">
        <v>49</v>
      </c>
    </row>
    <row r="2289" spans="1:8">
      <c r="A2289" s="959" t="s">
        <v>3756</v>
      </c>
      <c r="B2289" s="960" t="s">
        <v>3757</v>
      </c>
      <c r="C2289" s="960" t="s">
        <v>4257</v>
      </c>
      <c r="D2289" s="960" t="s">
        <v>4258</v>
      </c>
      <c r="E2289" s="959">
        <v>2</v>
      </c>
      <c r="F2289" s="959">
        <v>6</v>
      </c>
      <c r="G2289" s="959">
        <v>1</v>
      </c>
      <c r="H2289" s="959">
        <v>40</v>
      </c>
    </row>
    <row r="2290" spans="1:8">
      <c r="A2290" s="959" t="s">
        <v>3761</v>
      </c>
      <c r="B2290" s="960" t="s">
        <v>3762</v>
      </c>
      <c r="C2290" s="960" t="s">
        <v>4256</v>
      </c>
      <c r="D2290" s="960" t="s">
        <v>470</v>
      </c>
      <c r="E2290" s="959">
        <v>0</v>
      </c>
      <c r="F2290" s="959">
        <v>2</v>
      </c>
      <c r="G2290" s="959">
        <v>0</v>
      </c>
      <c r="H2290" s="959">
        <v>5</v>
      </c>
    </row>
    <row r="2291" spans="1:8">
      <c r="A2291" s="959" t="s">
        <v>3761</v>
      </c>
      <c r="B2291" s="960" t="s">
        <v>3762</v>
      </c>
      <c r="C2291" s="960" t="s">
        <v>4256</v>
      </c>
      <c r="D2291" s="960" t="s">
        <v>4259</v>
      </c>
      <c r="E2291" s="959">
        <v>0</v>
      </c>
      <c r="F2291" s="959">
        <v>0</v>
      </c>
      <c r="G2291" s="959">
        <v>0</v>
      </c>
      <c r="H2291" s="959">
        <v>3</v>
      </c>
    </row>
    <row r="2292" spans="1:8">
      <c r="A2292" s="959" t="s">
        <v>3761</v>
      </c>
      <c r="B2292" s="960" t="s">
        <v>3762</v>
      </c>
      <c r="C2292" s="960" t="s">
        <v>4256</v>
      </c>
      <c r="D2292" s="960" t="s">
        <v>1906</v>
      </c>
      <c r="E2292" s="959">
        <v>0</v>
      </c>
      <c r="F2292" s="959">
        <v>2</v>
      </c>
      <c r="G2292" s="959">
        <v>0</v>
      </c>
      <c r="H2292" s="959">
        <v>0</v>
      </c>
    </row>
    <row r="2293" spans="1:8">
      <c r="A2293" s="959" t="s">
        <v>3761</v>
      </c>
      <c r="B2293" s="960" t="s">
        <v>3762</v>
      </c>
      <c r="C2293" s="960" t="s">
        <v>4256</v>
      </c>
      <c r="D2293" s="960" t="s">
        <v>4264</v>
      </c>
      <c r="E2293" s="959">
        <v>0</v>
      </c>
      <c r="F2293" s="959">
        <v>1</v>
      </c>
      <c r="G2293" s="959">
        <v>0</v>
      </c>
      <c r="H2293" s="959">
        <v>0</v>
      </c>
    </row>
    <row r="2294" spans="1:8">
      <c r="A2294" s="959" t="s">
        <v>3761</v>
      </c>
      <c r="B2294" s="960" t="s">
        <v>3762</v>
      </c>
      <c r="C2294" s="960" t="s">
        <v>4256</v>
      </c>
      <c r="D2294" s="960" t="s">
        <v>1907</v>
      </c>
      <c r="E2294" s="959">
        <v>0</v>
      </c>
      <c r="F2294" s="959">
        <v>0</v>
      </c>
      <c r="G2294" s="959">
        <v>0</v>
      </c>
      <c r="H2294" s="959">
        <v>1</v>
      </c>
    </row>
    <row r="2295" spans="1:8">
      <c r="A2295" s="959" t="s">
        <v>3761</v>
      </c>
      <c r="B2295" s="960" t="s">
        <v>3762</v>
      </c>
      <c r="C2295" s="960" t="s">
        <v>4257</v>
      </c>
      <c r="D2295" s="960" t="s">
        <v>4258</v>
      </c>
      <c r="E2295" s="959">
        <v>0</v>
      </c>
      <c r="F2295" s="959">
        <v>1</v>
      </c>
      <c r="G2295" s="959">
        <v>0</v>
      </c>
      <c r="H2295" s="959">
        <v>0</v>
      </c>
    </row>
    <row r="2296" spans="1:8">
      <c r="A2296" s="959" t="s">
        <v>3761</v>
      </c>
      <c r="B2296" s="960" t="s">
        <v>3762</v>
      </c>
      <c r="C2296" s="960" t="s">
        <v>4262</v>
      </c>
      <c r="D2296" s="960" t="s">
        <v>4263</v>
      </c>
      <c r="E2296" s="959">
        <v>5</v>
      </c>
      <c r="F2296" s="959">
        <v>179</v>
      </c>
      <c r="G2296" s="959">
        <v>0</v>
      </c>
      <c r="H2296" s="959">
        <v>0</v>
      </c>
    </row>
    <row r="2297" spans="1:8">
      <c r="A2297" s="959" t="s">
        <v>3761</v>
      </c>
      <c r="B2297" s="960" t="s">
        <v>3762</v>
      </c>
      <c r="C2297" s="960" t="s">
        <v>4267</v>
      </c>
      <c r="D2297" s="960" t="s">
        <v>4268</v>
      </c>
      <c r="E2297" s="959">
        <v>0</v>
      </c>
      <c r="F2297" s="959">
        <v>8</v>
      </c>
      <c r="G2297" s="959">
        <v>0</v>
      </c>
      <c r="H2297" s="959">
        <v>0</v>
      </c>
    </row>
    <row r="2298" spans="1:8">
      <c r="A2298" s="959" t="s">
        <v>3763</v>
      </c>
      <c r="B2298" s="960" t="s">
        <v>3764</v>
      </c>
      <c r="C2298" s="960" t="s">
        <v>4256</v>
      </c>
      <c r="D2298" s="960" t="s">
        <v>4259</v>
      </c>
      <c r="E2298" s="959">
        <v>0</v>
      </c>
      <c r="F2298" s="959">
        <v>0</v>
      </c>
      <c r="G2298" s="959">
        <v>1</v>
      </c>
      <c r="H2298" s="959">
        <v>0</v>
      </c>
    </row>
    <row r="2299" spans="1:8">
      <c r="A2299" s="959" t="s">
        <v>3763</v>
      </c>
      <c r="B2299" s="960" t="s">
        <v>3764</v>
      </c>
      <c r="C2299" s="960" t="s">
        <v>4256</v>
      </c>
      <c r="D2299" s="960" t="s">
        <v>4260</v>
      </c>
      <c r="E2299" s="959">
        <v>0</v>
      </c>
      <c r="F2299" s="959">
        <v>0</v>
      </c>
      <c r="G2299" s="959">
        <v>0</v>
      </c>
      <c r="H2299" s="959">
        <v>1</v>
      </c>
    </row>
    <row r="2300" spans="1:8">
      <c r="A2300" s="959" t="s">
        <v>3763</v>
      </c>
      <c r="B2300" s="960" t="s">
        <v>3764</v>
      </c>
      <c r="C2300" s="960" t="s">
        <v>4257</v>
      </c>
      <c r="D2300" s="960" t="s">
        <v>4258</v>
      </c>
      <c r="E2300" s="959">
        <v>3</v>
      </c>
      <c r="F2300" s="959">
        <v>85</v>
      </c>
      <c r="G2300" s="959">
        <v>0</v>
      </c>
      <c r="H2300" s="959">
        <v>3</v>
      </c>
    </row>
    <row r="2301" spans="1:8">
      <c r="A2301" s="959" t="s">
        <v>3763</v>
      </c>
      <c r="B2301" s="960" t="s">
        <v>3764</v>
      </c>
      <c r="C2301" s="960" t="s">
        <v>4262</v>
      </c>
      <c r="D2301" s="960" t="s">
        <v>4263</v>
      </c>
      <c r="E2301" s="959">
        <v>8</v>
      </c>
      <c r="F2301" s="959">
        <v>105</v>
      </c>
      <c r="G2301" s="959">
        <v>0</v>
      </c>
      <c r="H2301" s="959">
        <v>0</v>
      </c>
    </row>
    <row r="2302" spans="1:8">
      <c r="A2302" s="959" t="s">
        <v>3765</v>
      </c>
      <c r="B2302" s="960" t="s">
        <v>1375</v>
      </c>
      <c r="C2302" s="960" t="s">
        <v>4256</v>
      </c>
      <c r="D2302" s="960" t="s">
        <v>1906</v>
      </c>
      <c r="E2302" s="959">
        <v>1</v>
      </c>
      <c r="F2302" s="959">
        <v>17</v>
      </c>
      <c r="G2302" s="959">
        <v>0</v>
      </c>
      <c r="H2302" s="959">
        <v>0</v>
      </c>
    </row>
    <row r="2303" spans="1:8">
      <c r="A2303" s="959" t="s">
        <v>3765</v>
      </c>
      <c r="B2303" s="960" t="s">
        <v>1375</v>
      </c>
      <c r="C2303" s="960" t="s">
        <v>4256</v>
      </c>
      <c r="D2303" s="960" t="s">
        <v>4264</v>
      </c>
      <c r="E2303" s="959">
        <v>0</v>
      </c>
      <c r="F2303" s="959">
        <v>0</v>
      </c>
      <c r="G2303" s="959">
        <v>1</v>
      </c>
      <c r="H2303" s="959">
        <v>8</v>
      </c>
    </row>
    <row r="2304" spans="1:8">
      <c r="A2304" s="959" t="s">
        <v>3765</v>
      </c>
      <c r="B2304" s="960" t="s">
        <v>1375</v>
      </c>
      <c r="C2304" s="960" t="s">
        <v>4257</v>
      </c>
      <c r="D2304" s="960" t="s">
        <v>4258</v>
      </c>
      <c r="E2304" s="959">
        <v>1</v>
      </c>
      <c r="F2304" s="959">
        <v>13</v>
      </c>
      <c r="G2304" s="959">
        <v>0</v>
      </c>
      <c r="H2304" s="959">
        <v>0</v>
      </c>
    </row>
    <row r="2305" spans="1:8">
      <c r="A2305" s="959" t="s">
        <v>3765</v>
      </c>
      <c r="B2305" s="960" t="s">
        <v>1375</v>
      </c>
      <c r="C2305" s="960" t="s">
        <v>4262</v>
      </c>
      <c r="D2305" s="960" t="s">
        <v>4263</v>
      </c>
      <c r="E2305" s="959">
        <v>0</v>
      </c>
      <c r="F2305" s="959">
        <v>11</v>
      </c>
      <c r="G2305" s="959">
        <v>0</v>
      </c>
      <c r="H2305" s="959">
        <v>0</v>
      </c>
    </row>
    <row r="2306" spans="1:8">
      <c r="A2306" s="959" t="s">
        <v>3766</v>
      </c>
      <c r="B2306" s="960" t="s">
        <v>3767</v>
      </c>
      <c r="C2306" s="960" t="s">
        <v>4275</v>
      </c>
      <c r="D2306" s="960" t="s">
        <v>4276</v>
      </c>
      <c r="E2306" s="959">
        <v>0</v>
      </c>
      <c r="F2306" s="959">
        <v>3</v>
      </c>
      <c r="G2306" s="959">
        <v>0</v>
      </c>
      <c r="H2306" s="959">
        <v>0</v>
      </c>
    </row>
    <row r="2307" spans="1:8">
      <c r="A2307" s="959" t="s">
        <v>3766</v>
      </c>
      <c r="B2307" s="960" t="s">
        <v>3767</v>
      </c>
      <c r="C2307" s="960" t="s">
        <v>4256</v>
      </c>
      <c r="D2307" s="960" t="s">
        <v>1904</v>
      </c>
      <c r="E2307" s="959">
        <v>0</v>
      </c>
      <c r="F2307" s="959">
        <v>0</v>
      </c>
      <c r="G2307" s="959">
        <v>2</v>
      </c>
      <c r="H2307" s="959">
        <v>2</v>
      </c>
    </row>
    <row r="2308" spans="1:8">
      <c r="A2308" s="959" t="s">
        <v>3766</v>
      </c>
      <c r="B2308" s="960" t="s">
        <v>3767</v>
      </c>
      <c r="C2308" s="960" t="s">
        <v>4256</v>
      </c>
      <c r="D2308" s="960" t="s">
        <v>4270</v>
      </c>
      <c r="E2308" s="959">
        <v>0</v>
      </c>
      <c r="F2308" s="959">
        <v>0</v>
      </c>
      <c r="G2308" s="959">
        <v>0</v>
      </c>
      <c r="H2308" s="959">
        <v>5</v>
      </c>
    </row>
    <row r="2309" spans="1:8">
      <c r="A2309" s="959" t="s">
        <v>3766</v>
      </c>
      <c r="B2309" s="960" t="s">
        <v>3767</v>
      </c>
      <c r="C2309" s="960" t="s">
        <v>4256</v>
      </c>
      <c r="D2309" s="960" t="s">
        <v>4259</v>
      </c>
      <c r="E2309" s="959">
        <v>0</v>
      </c>
      <c r="F2309" s="959">
        <v>2</v>
      </c>
      <c r="G2309" s="959">
        <v>14</v>
      </c>
      <c r="H2309" s="959">
        <v>50</v>
      </c>
    </row>
    <row r="2310" spans="1:8">
      <c r="A2310" s="959" t="s">
        <v>3766</v>
      </c>
      <c r="B2310" s="960" t="s">
        <v>3767</v>
      </c>
      <c r="C2310" s="960" t="s">
        <v>4256</v>
      </c>
      <c r="D2310" s="960" t="s">
        <v>4260</v>
      </c>
      <c r="E2310" s="959">
        <v>0</v>
      </c>
      <c r="F2310" s="959">
        <v>1</v>
      </c>
      <c r="G2310" s="959">
        <v>0</v>
      </c>
      <c r="H2310" s="959">
        <v>13</v>
      </c>
    </row>
    <row r="2311" spans="1:8">
      <c r="A2311" s="959" t="s">
        <v>3766</v>
      </c>
      <c r="B2311" s="960" t="s">
        <v>3767</v>
      </c>
      <c r="C2311" s="960" t="s">
        <v>4256</v>
      </c>
      <c r="D2311" s="960" t="s">
        <v>4271</v>
      </c>
      <c r="E2311" s="959">
        <v>0</v>
      </c>
      <c r="F2311" s="959">
        <v>1</v>
      </c>
      <c r="G2311" s="959">
        <v>0</v>
      </c>
      <c r="H2311" s="959">
        <v>0</v>
      </c>
    </row>
    <row r="2312" spans="1:8">
      <c r="A2312" s="959" t="s">
        <v>3766</v>
      </c>
      <c r="B2312" s="960" t="s">
        <v>3767</v>
      </c>
      <c r="C2312" s="960" t="s">
        <v>4256</v>
      </c>
      <c r="D2312" s="960" t="s">
        <v>1906</v>
      </c>
      <c r="E2312" s="959">
        <v>11</v>
      </c>
      <c r="F2312" s="959">
        <v>150</v>
      </c>
      <c r="G2312" s="959">
        <v>2</v>
      </c>
      <c r="H2312" s="959">
        <v>22</v>
      </c>
    </row>
    <row r="2313" spans="1:8">
      <c r="A2313" s="959" t="s">
        <v>3766</v>
      </c>
      <c r="B2313" s="960" t="s">
        <v>3767</v>
      </c>
      <c r="C2313" s="960" t="s">
        <v>4257</v>
      </c>
      <c r="D2313" s="960" t="s">
        <v>4258</v>
      </c>
      <c r="E2313" s="959">
        <v>32</v>
      </c>
      <c r="F2313" s="959">
        <v>430</v>
      </c>
      <c r="G2313" s="959">
        <v>20</v>
      </c>
      <c r="H2313" s="959">
        <v>200</v>
      </c>
    </row>
    <row r="2314" spans="1:8">
      <c r="A2314" s="959" t="s">
        <v>3766</v>
      </c>
      <c r="B2314" s="960" t="s">
        <v>3767</v>
      </c>
      <c r="C2314" s="960" t="s">
        <v>4262</v>
      </c>
      <c r="D2314" s="960" t="s">
        <v>4263</v>
      </c>
      <c r="E2314" s="959">
        <v>0</v>
      </c>
      <c r="F2314" s="959">
        <v>37</v>
      </c>
      <c r="G2314" s="959">
        <v>0</v>
      </c>
      <c r="H2314" s="959">
        <v>11</v>
      </c>
    </row>
    <row r="2315" spans="1:8">
      <c r="A2315" s="959" t="s">
        <v>3768</v>
      </c>
      <c r="B2315" s="960" t="s">
        <v>3769</v>
      </c>
      <c r="C2315" s="960" t="s">
        <v>4257</v>
      </c>
      <c r="D2315" s="960" t="s">
        <v>4258</v>
      </c>
      <c r="E2315" s="959">
        <v>0</v>
      </c>
      <c r="F2315" s="959">
        <v>3</v>
      </c>
      <c r="G2315" s="959">
        <v>0</v>
      </c>
      <c r="H2315" s="959">
        <v>0</v>
      </c>
    </row>
    <row r="2316" spans="1:8">
      <c r="A2316" s="959" t="s">
        <v>3768</v>
      </c>
      <c r="B2316" s="960" t="s">
        <v>3769</v>
      </c>
      <c r="C2316" s="960" t="s">
        <v>4262</v>
      </c>
      <c r="D2316" s="960" t="s">
        <v>4263</v>
      </c>
      <c r="E2316" s="959">
        <v>0</v>
      </c>
      <c r="F2316" s="959">
        <v>1</v>
      </c>
      <c r="G2316" s="959">
        <v>0</v>
      </c>
      <c r="H2316" s="959">
        <v>0</v>
      </c>
    </row>
    <row r="2317" spans="1:8">
      <c r="A2317" s="959" t="s">
        <v>3770</v>
      </c>
      <c r="B2317" s="960" t="s">
        <v>1377</v>
      </c>
      <c r="C2317" s="960" t="s">
        <v>4256</v>
      </c>
      <c r="D2317" s="960" t="s">
        <v>1906</v>
      </c>
      <c r="E2317" s="959">
        <v>0</v>
      </c>
      <c r="F2317" s="959">
        <v>1</v>
      </c>
      <c r="G2317" s="959">
        <v>0</v>
      </c>
      <c r="H2317" s="959">
        <v>0</v>
      </c>
    </row>
    <row r="2318" spans="1:8">
      <c r="A2318" s="959" t="s">
        <v>3771</v>
      </c>
      <c r="B2318" s="960" t="s">
        <v>3772</v>
      </c>
      <c r="C2318" s="960" t="s">
        <v>4275</v>
      </c>
      <c r="D2318" s="960" t="s">
        <v>4276</v>
      </c>
      <c r="E2318" s="959">
        <v>3</v>
      </c>
      <c r="F2318" s="959">
        <v>37</v>
      </c>
      <c r="G2318" s="959">
        <v>0</v>
      </c>
      <c r="H2318" s="959">
        <v>0</v>
      </c>
    </row>
    <row r="2319" spans="1:8">
      <c r="A2319" s="959" t="s">
        <v>3771</v>
      </c>
      <c r="B2319" s="960" t="s">
        <v>3772</v>
      </c>
      <c r="C2319" s="960" t="s">
        <v>4256</v>
      </c>
      <c r="D2319" s="960" t="s">
        <v>1906</v>
      </c>
      <c r="E2319" s="959">
        <v>1</v>
      </c>
      <c r="F2319" s="959">
        <v>12</v>
      </c>
      <c r="G2319" s="959">
        <v>0</v>
      </c>
      <c r="H2319" s="959">
        <v>0</v>
      </c>
    </row>
    <row r="2320" spans="1:8">
      <c r="A2320" s="959" t="s">
        <v>3771</v>
      </c>
      <c r="B2320" s="960" t="s">
        <v>3772</v>
      </c>
      <c r="C2320" s="960" t="s">
        <v>4256</v>
      </c>
      <c r="D2320" s="960" t="s">
        <v>1907</v>
      </c>
      <c r="E2320" s="959">
        <v>0</v>
      </c>
      <c r="F2320" s="959">
        <v>6</v>
      </c>
      <c r="G2320" s="959">
        <v>1</v>
      </c>
      <c r="H2320" s="959">
        <v>4</v>
      </c>
    </row>
    <row r="2321" spans="1:8">
      <c r="A2321" s="959" t="s">
        <v>3771</v>
      </c>
      <c r="B2321" s="960" t="s">
        <v>3772</v>
      </c>
      <c r="C2321" s="960" t="s">
        <v>4257</v>
      </c>
      <c r="D2321" s="960" t="s">
        <v>4258</v>
      </c>
      <c r="E2321" s="959">
        <v>1</v>
      </c>
      <c r="F2321" s="959">
        <v>8</v>
      </c>
      <c r="G2321" s="959">
        <v>1</v>
      </c>
      <c r="H2321" s="959">
        <v>14</v>
      </c>
    </row>
    <row r="2322" spans="1:8">
      <c r="A2322" s="959" t="s">
        <v>3771</v>
      </c>
      <c r="B2322" s="960" t="s">
        <v>3772</v>
      </c>
      <c r="C2322" s="960" t="s">
        <v>4262</v>
      </c>
      <c r="D2322" s="960" t="s">
        <v>4263</v>
      </c>
      <c r="E2322" s="959">
        <v>6</v>
      </c>
      <c r="F2322" s="959">
        <v>159</v>
      </c>
      <c r="G2322" s="959">
        <v>1</v>
      </c>
      <c r="H2322" s="959">
        <v>0</v>
      </c>
    </row>
    <row r="2323" spans="1:8">
      <c r="A2323" s="959" t="s">
        <v>3773</v>
      </c>
      <c r="B2323" s="960" t="s">
        <v>3774</v>
      </c>
      <c r="C2323" s="960" t="s">
        <v>4275</v>
      </c>
      <c r="D2323" s="960" t="s">
        <v>4276</v>
      </c>
      <c r="E2323" s="959">
        <v>1</v>
      </c>
      <c r="F2323" s="959">
        <v>20</v>
      </c>
      <c r="G2323" s="959">
        <v>1</v>
      </c>
      <c r="H2323" s="959">
        <v>17</v>
      </c>
    </row>
    <row r="2324" spans="1:8">
      <c r="A2324" s="959" t="s">
        <v>3773</v>
      </c>
      <c r="B2324" s="960" t="s">
        <v>3774</v>
      </c>
      <c r="C2324" s="960" t="s">
        <v>4277</v>
      </c>
      <c r="D2324" s="960" t="s">
        <v>4278</v>
      </c>
      <c r="E2324" s="959">
        <v>0</v>
      </c>
      <c r="F2324" s="959">
        <v>0</v>
      </c>
      <c r="G2324" s="959">
        <v>0</v>
      </c>
      <c r="H2324" s="959">
        <v>9</v>
      </c>
    </row>
    <row r="2325" spans="1:8">
      <c r="A2325" s="959" t="s">
        <v>3773</v>
      </c>
      <c r="B2325" s="960" t="s">
        <v>3774</v>
      </c>
      <c r="C2325" s="960" t="s">
        <v>4277</v>
      </c>
      <c r="D2325" s="960" t="s">
        <v>4279</v>
      </c>
      <c r="E2325" s="959">
        <v>0</v>
      </c>
      <c r="F2325" s="959">
        <v>0</v>
      </c>
      <c r="G2325" s="959">
        <v>0</v>
      </c>
      <c r="H2325" s="959">
        <v>1</v>
      </c>
    </row>
    <row r="2326" spans="1:8">
      <c r="A2326" s="959" t="s">
        <v>3773</v>
      </c>
      <c r="B2326" s="960" t="s">
        <v>3774</v>
      </c>
      <c r="C2326" s="960" t="s">
        <v>4256</v>
      </c>
      <c r="D2326" s="960" t="s">
        <v>4259</v>
      </c>
      <c r="E2326" s="959">
        <v>0</v>
      </c>
      <c r="F2326" s="959">
        <v>0</v>
      </c>
      <c r="G2326" s="959">
        <v>0</v>
      </c>
      <c r="H2326" s="959">
        <v>1</v>
      </c>
    </row>
    <row r="2327" spans="1:8">
      <c r="A2327" s="959" t="s">
        <v>3773</v>
      </c>
      <c r="B2327" s="960" t="s">
        <v>3774</v>
      </c>
      <c r="C2327" s="960" t="s">
        <v>4256</v>
      </c>
      <c r="D2327" s="960" t="s">
        <v>4260</v>
      </c>
      <c r="E2327" s="959">
        <v>0</v>
      </c>
      <c r="F2327" s="959">
        <v>0</v>
      </c>
      <c r="G2327" s="959">
        <v>0</v>
      </c>
      <c r="H2327" s="959">
        <v>9</v>
      </c>
    </row>
    <row r="2328" spans="1:8">
      <c r="A2328" s="959" t="s">
        <v>3773</v>
      </c>
      <c r="B2328" s="960" t="s">
        <v>3774</v>
      </c>
      <c r="C2328" s="960" t="s">
        <v>4256</v>
      </c>
      <c r="D2328" s="960" t="s">
        <v>1906</v>
      </c>
      <c r="E2328" s="959">
        <v>1</v>
      </c>
      <c r="F2328" s="959">
        <v>26</v>
      </c>
      <c r="G2328" s="959">
        <v>4</v>
      </c>
      <c r="H2328" s="959">
        <v>60</v>
      </c>
    </row>
    <row r="2329" spans="1:8">
      <c r="A2329" s="959" t="s">
        <v>3773</v>
      </c>
      <c r="B2329" s="960" t="s">
        <v>3774</v>
      </c>
      <c r="C2329" s="960" t="s">
        <v>4256</v>
      </c>
      <c r="D2329" s="960" t="s">
        <v>4264</v>
      </c>
      <c r="E2329" s="959">
        <v>0</v>
      </c>
      <c r="F2329" s="959">
        <v>1</v>
      </c>
      <c r="G2329" s="959">
        <v>0</v>
      </c>
      <c r="H2329" s="959">
        <v>0</v>
      </c>
    </row>
    <row r="2330" spans="1:8">
      <c r="A2330" s="959" t="s">
        <v>3773</v>
      </c>
      <c r="B2330" s="960" t="s">
        <v>3774</v>
      </c>
      <c r="C2330" s="960" t="s">
        <v>4256</v>
      </c>
      <c r="D2330" s="960" t="s">
        <v>1907</v>
      </c>
      <c r="E2330" s="959">
        <v>0</v>
      </c>
      <c r="F2330" s="959">
        <v>7</v>
      </c>
      <c r="G2330" s="959">
        <v>28</v>
      </c>
      <c r="H2330" s="959">
        <v>421</v>
      </c>
    </row>
    <row r="2331" spans="1:8">
      <c r="A2331" s="959" t="s">
        <v>3773</v>
      </c>
      <c r="B2331" s="960" t="s">
        <v>3774</v>
      </c>
      <c r="C2331" s="960" t="s">
        <v>4257</v>
      </c>
      <c r="D2331" s="960" t="s">
        <v>4258</v>
      </c>
      <c r="E2331" s="959">
        <v>10</v>
      </c>
      <c r="F2331" s="959">
        <v>289</v>
      </c>
      <c r="G2331" s="959">
        <v>38</v>
      </c>
      <c r="H2331" s="959">
        <v>450</v>
      </c>
    </row>
    <row r="2332" spans="1:8">
      <c r="A2332" s="959" t="s">
        <v>3773</v>
      </c>
      <c r="B2332" s="960" t="s">
        <v>3774</v>
      </c>
      <c r="C2332" s="960" t="s">
        <v>4262</v>
      </c>
      <c r="D2332" s="960" t="s">
        <v>4263</v>
      </c>
      <c r="E2332" s="959">
        <v>0</v>
      </c>
      <c r="F2332" s="959">
        <v>21</v>
      </c>
      <c r="G2332" s="959">
        <v>0</v>
      </c>
      <c r="H2332" s="959">
        <v>0</v>
      </c>
    </row>
    <row r="2333" spans="1:8">
      <c r="A2333" s="959" t="s">
        <v>3773</v>
      </c>
      <c r="B2333" s="960" t="s">
        <v>3774</v>
      </c>
      <c r="C2333" s="960" t="s">
        <v>4267</v>
      </c>
      <c r="D2333" s="960" t="s">
        <v>4268</v>
      </c>
      <c r="E2333" s="959">
        <v>0</v>
      </c>
      <c r="F2333" s="959">
        <v>0</v>
      </c>
      <c r="G2333" s="959">
        <v>0</v>
      </c>
      <c r="H2333" s="959">
        <v>4</v>
      </c>
    </row>
    <row r="2334" spans="1:8">
      <c r="A2334" s="959" t="s">
        <v>3775</v>
      </c>
      <c r="B2334" s="960" t="s">
        <v>3776</v>
      </c>
      <c r="C2334" s="960" t="s">
        <v>4262</v>
      </c>
      <c r="D2334" s="960" t="s">
        <v>4263</v>
      </c>
      <c r="E2334" s="959">
        <v>1</v>
      </c>
      <c r="F2334" s="959">
        <v>0</v>
      </c>
      <c r="G2334" s="959">
        <v>0</v>
      </c>
      <c r="H2334" s="959">
        <v>0</v>
      </c>
    </row>
    <row r="2335" spans="1:8">
      <c r="A2335" s="959" t="s">
        <v>3777</v>
      </c>
      <c r="B2335" s="960" t="s">
        <v>3778</v>
      </c>
      <c r="C2335" s="960" t="s">
        <v>4256</v>
      </c>
      <c r="D2335" s="960" t="s">
        <v>1906</v>
      </c>
      <c r="E2335" s="959">
        <v>0</v>
      </c>
      <c r="F2335" s="959">
        <v>1</v>
      </c>
      <c r="G2335" s="959">
        <v>0</v>
      </c>
      <c r="H2335" s="959">
        <v>1</v>
      </c>
    </row>
    <row r="2336" spans="1:8">
      <c r="A2336" s="959" t="s">
        <v>3777</v>
      </c>
      <c r="B2336" s="960" t="s">
        <v>3778</v>
      </c>
      <c r="C2336" s="960" t="s">
        <v>4256</v>
      </c>
      <c r="D2336" s="960" t="s">
        <v>1907</v>
      </c>
      <c r="E2336" s="959">
        <v>0</v>
      </c>
      <c r="F2336" s="959">
        <v>1</v>
      </c>
      <c r="G2336" s="959">
        <v>0</v>
      </c>
      <c r="H2336" s="959">
        <v>0</v>
      </c>
    </row>
    <row r="2337" spans="1:8">
      <c r="A2337" s="959" t="s">
        <v>3777</v>
      </c>
      <c r="B2337" s="960" t="s">
        <v>3778</v>
      </c>
      <c r="C2337" s="960" t="s">
        <v>4257</v>
      </c>
      <c r="D2337" s="960" t="s">
        <v>4258</v>
      </c>
      <c r="E2337" s="959">
        <v>0</v>
      </c>
      <c r="F2337" s="959">
        <v>1</v>
      </c>
      <c r="G2337" s="959">
        <v>0</v>
      </c>
      <c r="H2337" s="959">
        <v>0</v>
      </c>
    </row>
    <row r="2338" spans="1:8">
      <c r="A2338" s="959" t="s">
        <v>3779</v>
      </c>
      <c r="B2338" s="960" t="s">
        <v>3780</v>
      </c>
      <c r="C2338" s="960" t="s">
        <v>4256</v>
      </c>
      <c r="D2338" s="960" t="s">
        <v>1904</v>
      </c>
      <c r="E2338" s="959">
        <v>0</v>
      </c>
      <c r="F2338" s="959">
        <v>0</v>
      </c>
      <c r="G2338" s="959">
        <v>0</v>
      </c>
      <c r="H2338" s="959">
        <v>13</v>
      </c>
    </row>
    <row r="2339" spans="1:8">
      <c r="A2339" s="959" t="s">
        <v>3779</v>
      </c>
      <c r="B2339" s="960" t="s">
        <v>3780</v>
      </c>
      <c r="C2339" s="960" t="s">
        <v>4256</v>
      </c>
      <c r="D2339" s="960" t="s">
        <v>4270</v>
      </c>
      <c r="E2339" s="959">
        <v>0</v>
      </c>
      <c r="F2339" s="959">
        <v>0</v>
      </c>
      <c r="G2339" s="959">
        <v>0</v>
      </c>
      <c r="H2339" s="959">
        <v>6</v>
      </c>
    </row>
    <row r="2340" spans="1:8">
      <c r="A2340" s="959" t="s">
        <v>3779</v>
      </c>
      <c r="B2340" s="960" t="s">
        <v>3780</v>
      </c>
      <c r="C2340" s="960" t="s">
        <v>4256</v>
      </c>
      <c r="D2340" s="960" t="s">
        <v>4260</v>
      </c>
      <c r="E2340" s="959">
        <v>0</v>
      </c>
      <c r="F2340" s="959">
        <v>0</v>
      </c>
      <c r="G2340" s="959">
        <v>0</v>
      </c>
      <c r="H2340" s="959">
        <v>11</v>
      </c>
    </row>
    <row r="2341" spans="1:8">
      <c r="A2341" s="959" t="s">
        <v>3779</v>
      </c>
      <c r="B2341" s="960" t="s">
        <v>3780</v>
      </c>
      <c r="C2341" s="960" t="s">
        <v>4256</v>
      </c>
      <c r="D2341" s="960" t="s">
        <v>4265</v>
      </c>
      <c r="E2341" s="959">
        <v>0</v>
      </c>
      <c r="F2341" s="959">
        <v>0</v>
      </c>
      <c r="G2341" s="959">
        <v>0</v>
      </c>
      <c r="H2341" s="959">
        <v>2</v>
      </c>
    </row>
    <row r="2342" spans="1:8">
      <c r="A2342" s="959" t="s">
        <v>3779</v>
      </c>
      <c r="B2342" s="960" t="s">
        <v>3780</v>
      </c>
      <c r="C2342" s="960" t="s">
        <v>4256</v>
      </c>
      <c r="D2342" s="960" t="s">
        <v>1906</v>
      </c>
      <c r="E2342" s="959">
        <v>7</v>
      </c>
      <c r="F2342" s="959">
        <v>93</v>
      </c>
      <c r="G2342" s="959">
        <v>0</v>
      </c>
      <c r="H2342" s="959">
        <v>4</v>
      </c>
    </row>
    <row r="2343" spans="1:8">
      <c r="A2343" s="959" t="s">
        <v>3779</v>
      </c>
      <c r="B2343" s="960" t="s">
        <v>3780</v>
      </c>
      <c r="C2343" s="960" t="s">
        <v>4256</v>
      </c>
      <c r="D2343" s="960" t="s">
        <v>4261</v>
      </c>
      <c r="E2343" s="959">
        <v>0</v>
      </c>
      <c r="F2343" s="959">
        <v>0</v>
      </c>
      <c r="G2343" s="959">
        <v>8</v>
      </c>
      <c r="H2343" s="959">
        <v>5</v>
      </c>
    </row>
    <row r="2344" spans="1:8">
      <c r="A2344" s="959" t="s">
        <v>3779</v>
      </c>
      <c r="B2344" s="960" t="s">
        <v>3780</v>
      </c>
      <c r="C2344" s="960" t="s">
        <v>4257</v>
      </c>
      <c r="D2344" s="960" t="s">
        <v>4258</v>
      </c>
      <c r="E2344" s="959">
        <v>40</v>
      </c>
      <c r="F2344" s="959">
        <v>610</v>
      </c>
      <c r="G2344" s="959">
        <v>5</v>
      </c>
      <c r="H2344" s="959">
        <v>150</v>
      </c>
    </row>
    <row r="2345" spans="1:8">
      <c r="A2345" s="959" t="s">
        <v>3779</v>
      </c>
      <c r="B2345" s="960" t="s">
        <v>3780</v>
      </c>
      <c r="C2345" s="960" t="s">
        <v>4262</v>
      </c>
      <c r="D2345" s="960" t="s">
        <v>4263</v>
      </c>
      <c r="E2345" s="959">
        <v>0</v>
      </c>
      <c r="F2345" s="959">
        <v>3</v>
      </c>
      <c r="G2345" s="959">
        <v>0</v>
      </c>
      <c r="H2345" s="959">
        <v>0</v>
      </c>
    </row>
    <row r="2346" spans="1:8">
      <c r="A2346" s="959" t="s">
        <v>3781</v>
      </c>
      <c r="B2346" s="960" t="s">
        <v>3782</v>
      </c>
      <c r="C2346" s="960" t="s">
        <v>4256</v>
      </c>
      <c r="D2346" s="960" t="s">
        <v>1906</v>
      </c>
      <c r="E2346" s="959">
        <v>4</v>
      </c>
      <c r="F2346" s="959">
        <v>55</v>
      </c>
      <c r="G2346" s="959">
        <v>0</v>
      </c>
      <c r="H2346" s="959">
        <v>0</v>
      </c>
    </row>
    <row r="2347" spans="1:8">
      <c r="A2347" s="959" t="s">
        <v>3781</v>
      </c>
      <c r="B2347" s="960" t="s">
        <v>3782</v>
      </c>
      <c r="C2347" s="960" t="s">
        <v>4256</v>
      </c>
      <c r="D2347" s="960" t="s">
        <v>4264</v>
      </c>
      <c r="E2347" s="959">
        <v>0</v>
      </c>
      <c r="F2347" s="959">
        <v>1</v>
      </c>
      <c r="G2347" s="959">
        <v>0</v>
      </c>
      <c r="H2347" s="959">
        <v>0</v>
      </c>
    </row>
    <row r="2348" spans="1:8">
      <c r="A2348" s="959" t="s">
        <v>3781</v>
      </c>
      <c r="B2348" s="960" t="s">
        <v>3782</v>
      </c>
      <c r="C2348" s="960" t="s">
        <v>4257</v>
      </c>
      <c r="D2348" s="960" t="s">
        <v>4258</v>
      </c>
      <c r="E2348" s="959">
        <v>1</v>
      </c>
      <c r="F2348" s="959">
        <v>19</v>
      </c>
      <c r="G2348" s="959">
        <v>0</v>
      </c>
      <c r="H2348" s="959">
        <v>0</v>
      </c>
    </row>
    <row r="2349" spans="1:8">
      <c r="A2349" s="959" t="s">
        <v>3781</v>
      </c>
      <c r="B2349" s="960" t="s">
        <v>3782</v>
      </c>
      <c r="C2349" s="960" t="s">
        <v>4262</v>
      </c>
      <c r="D2349" s="960" t="s">
        <v>4263</v>
      </c>
      <c r="E2349" s="959">
        <v>0</v>
      </c>
      <c r="F2349" s="959">
        <v>1</v>
      </c>
      <c r="G2349" s="959">
        <v>0</v>
      </c>
      <c r="H2349" s="959">
        <v>0</v>
      </c>
    </row>
    <row r="2350" spans="1:8">
      <c r="A2350" s="959" t="s">
        <v>3783</v>
      </c>
      <c r="B2350" s="960" t="s">
        <v>3784</v>
      </c>
      <c r="C2350" s="960" t="s">
        <v>4256</v>
      </c>
      <c r="D2350" s="960" t="s">
        <v>470</v>
      </c>
      <c r="E2350" s="959">
        <v>0</v>
      </c>
      <c r="F2350" s="959">
        <v>0</v>
      </c>
      <c r="G2350" s="959">
        <v>0</v>
      </c>
      <c r="H2350" s="959">
        <v>11</v>
      </c>
    </row>
    <row r="2351" spans="1:8">
      <c r="A2351" s="959" t="s">
        <v>3783</v>
      </c>
      <c r="B2351" s="960" t="s">
        <v>3784</v>
      </c>
      <c r="C2351" s="960" t="s">
        <v>4256</v>
      </c>
      <c r="D2351" s="960" t="s">
        <v>1904</v>
      </c>
      <c r="E2351" s="959">
        <v>0</v>
      </c>
      <c r="F2351" s="959">
        <v>1</v>
      </c>
      <c r="G2351" s="959">
        <v>0</v>
      </c>
      <c r="H2351" s="959">
        <v>0</v>
      </c>
    </row>
    <row r="2352" spans="1:8">
      <c r="A2352" s="959" t="s">
        <v>3783</v>
      </c>
      <c r="B2352" s="960" t="s">
        <v>3784</v>
      </c>
      <c r="C2352" s="960" t="s">
        <v>4256</v>
      </c>
      <c r="D2352" s="960" t="s">
        <v>4270</v>
      </c>
      <c r="E2352" s="959">
        <v>0</v>
      </c>
      <c r="F2352" s="959">
        <v>1</v>
      </c>
      <c r="G2352" s="959">
        <v>0</v>
      </c>
      <c r="H2352" s="959">
        <v>0</v>
      </c>
    </row>
    <row r="2353" spans="1:8">
      <c r="A2353" s="959" t="s">
        <v>3783</v>
      </c>
      <c r="B2353" s="960" t="s">
        <v>3784</v>
      </c>
      <c r="C2353" s="960" t="s">
        <v>4256</v>
      </c>
      <c r="D2353" s="960" t="s">
        <v>4260</v>
      </c>
      <c r="E2353" s="959">
        <v>0</v>
      </c>
      <c r="F2353" s="959">
        <v>1</v>
      </c>
      <c r="G2353" s="959">
        <v>0</v>
      </c>
      <c r="H2353" s="959">
        <v>0</v>
      </c>
    </row>
    <row r="2354" spans="1:8">
      <c r="A2354" s="959" t="s">
        <v>3783</v>
      </c>
      <c r="B2354" s="960" t="s">
        <v>3784</v>
      </c>
      <c r="C2354" s="960" t="s">
        <v>4262</v>
      </c>
      <c r="D2354" s="960" t="s">
        <v>4263</v>
      </c>
      <c r="E2354" s="959">
        <v>0</v>
      </c>
      <c r="F2354" s="959">
        <v>1</v>
      </c>
      <c r="G2354" s="959">
        <v>0</v>
      </c>
      <c r="H2354" s="959">
        <v>0</v>
      </c>
    </row>
    <row r="2355" spans="1:8">
      <c r="A2355" s="959" t="s">
        <v>3785</v>
      </c>
      <c r="B2355" s="960" t="s">
        <v>3786</v>
      </c>
      <c r="C2355" s="960" t="s">
        <v>4267</v>
      </c>
      <c r="D2355" s="960" t="s">
        <v>4268</v>
      </c>
      <c r="E2355" s="959">
        <v>0</v>
      </c>
      <c r="F2355" s="959">
        <v>0</v>
      </c>
      <c r="G2355" s="959">
        <v>0</v>
      </c>
      <c r="H2355" s="959">
        <v>1</v>
      </c>
    </row>
    <row r="2356" spans="1:8">
      <c r="A2356" s="959" t="s">
        <v>3787</v>
      </c>
      <c r="B2356" s="960" t="s">
        <v>3788</v>
      </c>
      <c r="C2356" s="960" t="s">
        <v>4275</v>
      </c>
      <c r="D2356" s="960" t="s">
        <v>4276</v>
      </c>
      <c r="E2356" s="959">
        <v>5</v>
      </c>
      <c r="F2356" s="959">
        <v>115</v>
      </c>
      <c r="G2356" s="959">
        <v>0</v>
      </c>
      <c r="H2356" s="959">
        <v>5</v>
      </c>
    </row>
    <row r="2357" spans="1:8">
      <c r="A2357" s="959" t="s">
        <v>3787</v>
      </c>
      <c r="B2357" s="960" t="s">
        <v>3788</v>
      </c>
      <c r="C2357" s="960" t="s">
        <v>4256</v>
      </c>
      <c r="D2357" s="960" t="s">
        <v>4260</v>
      </c>
      <c r="E2357" s="959">
        <v>0</v>
      </c>
      <c r="F2357" s="959">
        <v>0</v>
      </c>
      <c r="G2357" s="959">
        <v>0</v>
      </c>
      <c r="H2357" s="959">
        <v>1</v>
      </c>
    </row>
    <row r="2358" spans="1:8">
      <c r="A2358" s="959" t="s">
        <v>3787</v>
      </c>
      <c r="B2358" s="960" t="s">
        <v>3788</v>
      </c>
      <c r="C2358" s="960" t="s">
        <v>4256</v>
      </c>
      <c r="D2358" s="960" t="s">
        <v>1906</v>
      </c>
      <c r="E2358" s="959">
        <v>0</v>
      </c>
      <c r="F2358" s="959">
        <v>6</v>
      </c>
      <c r="G2358" s="959">
        <v>0</v>
      </c>
      <c r="H2358" s="959">
        <v>2</v>
      </c>
    </row>
    <row r="2359" spans="1:8">
      <c r="A2359" s="959" t="s">
        <v>3787</v>
      </c>
      <c r="B2359" s="960" t="s">
        <v>3788</v>
      </c>
      <c r="C2359" s="960" t="s">
        <v>4256</v>
      </c>
      <c r="D2359" s="960" t="s">
        <v>1907</v>
      </c>
      <c r="E2359" s="959">
        <v>1</v>
      </c>
      <c r="F2359" s="959">
        <v>8</v>
      </c>
      <c r="G2359" s="959">
        <v>4</v>
      </c>
      <c r="H2359" s="959">
        <v>66</v>
      </c>
    </row>
    <row r="2360" spans="1:8">
      <c r="A2360" s="959" t="s">
        <v>3787</v>
      </c>
      <c r="B2360" s="960" t="s">
        <v>3788</v>
      </c>
      <c r="C2360" s="960" t="s">
        <v>4257</v>
      </c>
      <c r="D2360" s="960" t="s">
        <v>4258</v>
      </c>
      <c r="E2360" s="959">
        <v>3</v>
      </c>
      <c r="F2360" s="959">
        <v>60</v>
      </c>
      <c r="G2360" s="959">
        <v>3</v>
      </c>
      <c r="H2360" s="959">
        <v>9</v>
      </c>
    </row>
    <row r="2361" spans="1:8">
      <c r="A2361" s="959" t="s">
        <v>3787</v>
      </c>
      <c r="B2361" s="960" t="s">
        <v>3788</v>
      </c>
      <c r="C2361" s="960" t="s">
        <v>4262</v>
      </c>
      <c r="D2361" s="960" t="s">
        <v>4263</v>
      </c>
      <c r="E2361" s="959">
        <v>0</v>
      </c>
      <c r="F2361" s="959">
        <v>11</v>
      </c>
      <c r="G2361" s="959">
        <v>0</v>
      </c>
      <c r="H2361" s="959">
        <v>0</v>
      </c>
    </row>
    <row r="2362" spans="1:8">
      <c r="A2362" s="959" t="s">
        <v>3789</v>
      </c>
      <c r="B2362" s="960" t="s">
        <v>3790</v>
      </c>
      <c r="C2362" s="960" t="s">
        <v>4256</v>
      </c>
      <c r="D2362" s="960" t="s">
        <v>4264</v>
      </c>
      <c r="E2362" s="959">
        <v>0</v>
      </c>
      <c r="F2362" s="959">
        <v>1</v>
      </c>
      <c r="G2362" s="959">
        <v>0</v>
      </c>
      <c r="H2362" s="959">
        <v>0</v>
      </c>
    </row>
    <row r="2363" spans="1:8">
      <c r="A2363" s="959" t="s">
        <v>3792</v>
      </c>
      <c r="B2363" s="960" t="s">
        <v>3793</v>
      </c>
      <c r="C2363" s="960" t="s">
        <v>4262</v>
      </c>
      <c r="D2363" s="960" t="s">
        <v>4263</v>
      </c>
      <c r="E2363" s="959">
        <v>2</v>
      </c>
      <c r="F2363" s="959">
        <v>2</v>
      </c>
      <c r="G2363" s="959">
        <v>0</v>
      </c>
      <c r="H2363" s="959">
        <v>0</v>
      </c>
    </row>
    <row r="2364" spans="1:8">
      <c r="A2364" s="959" t="s">
        <v>3794</v>
      </c>
      <c r="B2364" s="960" t="s">
        <v>3795</v>
      </c>
      <c r="C2364" s="960" t="s">
        <v>4256</v>
      </c>
      <c r="D2364" s="960" t="s">
        <v>1904</v>
      </c>
      <c r="E2364" s="959">
        <v>0</v>
      </c>
      <c r="F2364" s="959">
        <v>0</v>
      </c>
      <c r="G2364" s="959">
        <v>4</v>
      </c>
      <c r="H2364" s="959">
        <v>0</v>
      </c>
    </row>
    <row r="2365" spans="1:8">
      <c r="A2365" s="959" t="s">
        <v>3796</v>
      </c>
      <c r="B2365" s="960" t="s">
        <v>3797</v>
      </c>
      <c r="C2365" s="960" t="s">
        <v>4256</v>
      </c>
      <c r="D2365" s="960" t="s">
        <v>470</v>
      </c>
      <c r="E2365" s="959">
        <v>0</v>
      </c>
      <c r="F2365" s="959">
        <v>0</v>
      </c>
      <c r="G2365" s="959">
        <v>0</v>
      </c>
      <c r="H2365" s="959">
        <v>2</v>
      </c>
    </row>
    <row r="2366" spans="1:8">
      <c r="A2366" s="959" t="s">
        <v>3798</v>
      </c>
      <c r="B2366" s="960" t="s">
        <v>3799</v>
      </c>
      <c r="C2366" s="960" t="s">
        <v>4275</v>
      </c>
      <c r="D2366" s="960" t="s">
        <v>4276</v>
      </c>
      <c r="E2366" s="959">
        <v>0</v>
      </c>
      <c r="F2366" s="959">
        <v>5</v>
      </c>
      <c r="G2366" s="959">
        <v>0</v>
      </c>
      <c r="H2366" s="959">
        <v>3</v>
      </c>
    </row>
    <row r="2367" spans="1:8">
      <c r="A2367" s="959" t="s">
        <v>3798</v>
      </c>
      <c r="B2367" s="960" t="s">
        <v>3799</v>
      </c>
      <c r="C2367" s="960" t="s">
        <v>4277</v>
      </c>
      <c r="D2367" s="960" t="s">
        <v>4278</v>
      </c>
      <c r="E2367" s="959">
        <v>0</v>
      </c>
      <c r="F2367" s="959">
        <v>0</v>
      </c>
      <c r="G2367" s="959">
        <v>0</v>
      </c>
      <c r="H2367" s="959">
        <v>1</v>
      </c>
    </row>
    <row r="2368" spans="1:8">
      <c r="A2368" s="959" t="s">
        <v>3798</v>
      </c>
      <c r="B2368" s="960" t="s">
        <v>3799</v>
      </c>
      <c r="C2368" s="960" t="s">
        <v>4277</v>
      </c>
      <c r="D2368" s="960" t="s">
        <v>4279</v>
      </c>
      <c r="E2368" s="959">
        <v>0</v>
      </c>
      <c r="F2368" s="959">
        <v>0</v>
      </c>
      <c r="G2368" s="959">
        <v>0</v>
      </c>
      <c r="H2368" s="959">
        <v>1</v>
      </c>
    </row>
    <row r="2369" spans="1:8">
      <c r="A2369" s="959" t="s">
        <v>3798</v>
      </c>
      <c r="B2369" s="960" t="s">
        <v>3799</v>
      </c>
      <c r="C2369" s="960" t="s">
        <v>4256</v>
      </c>
      <c r="D2369" s="960" t="s">
        <v>470</v>
      </c>
      <c r="E2369" s="959">
        <v>0</v>
      </c>
      <c r="F2369" s="959">
        <v>0</v>
      </c>
      <c r="G2369" s="959">
        <v>2</v>
      </c>
      <c r="H2369" s="959">
        <v>0</v>
      </c>
    </row>
    <row r="2370" spans="1:8">
      <c r="A2370" s="959" t="s">
        <v>3798</v>
      </c>
      <c r="B2370" s="960" t="s">
        <v>3799</v>
      </c>
      <c r="C2370" s="960" t="s">
        <v>4256</v>
      </c>
      <c r="D2370" s="960" t="s">
        <v>1906</v>
      </c>
      <c r="E2370" s="959">
        <v>1</v>
      </c>
      <c r="F2370" s="959">
        <v>15</v>
      </c>
      <c r="G2370" s="959">
        <v>1</v>
      </c>
      <c r="H2370" s="959">
        <v>6</v>
      </c>
    </row>
    <row r="2371" spans="1:8">
      <c r="A2371" s="959" t="s">
        <v>3798</v>
      </c>
      <c r="B2371" s="960" t="s">
        <v>3799</v>
      </c>
      <c r="C2371" s="960" t="s">
        <v>4256</v>
      </c>
      <c r="D2371" s="960" t="s">
        <v>1907</v>
      </c>
      <c r="E2371" s="959">
        <v>0</v>
      </c>
      <c r="F2371" s="959">
        <v>8</v>
      </c>
      <c r="G2371" s="959">
        <v>1</v>
      </c>
      <c r="H2371" s="959">
        <v>10</v>
      </c>
    </row>
    <row r="2372" spans="1:8">
      <c r="A2372" s="959" t="s">
        <v>3798</v>
      </c>
      <c r="B2372" s="960" t="s">
        <v>3799</v>
      </c>
      <c r="C2372" s="960" t="s">
        <v>4257</v>
      </c>
      <c r="D2372" s="960" t="s">
        <v>4258</v>
      </c>
      <c r="E2372" s="959">
        <v>5</v>
      </c>
      <c r="F2372" s="959">
        <v>117</v>
      </c>
      <c r="G2372" s="959">
        <v>11</v>
      </c>
      <c r="H2372" s="959">
        <v>154</v>
      </c>
    </row>
    <row r="2373" spans="1:8">
      <c r="A2373" s="959" t="s">
        <v>3800</v>
      </c>
      <c r="B2373" s="960" t="s">
        <v>3801</v>
      </c>
      <c r="C2373" s="960" t="s">
        <v>4275</v>
      </c>
      <c r="D2373" s="960" t="s">
        <v>4276</v>
      </c>
      <c r="E2373" s="959">
        <v>0</v>
      </c>
      <c r="F2373" s="959">
        <v>0</v>
      </c>
      <c r="G2373" s="959">
        <v>0</v>
      </c>
      <c r="H2373" s="959">
        <v>3</v>
      </c>
    </row>
    <row r="2374" spans="1:8">
      <c r="A2374" s="959" t="s">
        <v>3800</v>
      </c>
      <c r="B2374" s="960" t="s">
        <v>3801</v>
      </c>
      <c r="C2374" s="960" t="s">
        <v>4256</v>
      </c>
      <c r="D2374" s="960" t="s">
        <v>1906</v>
      </c>
      <c r="E2374" s="959">
        <v>1</v>
      </c>
      <c r="F2374" s="959">
        <v>16</v>
      </c>
      <c r="G2374" s="959">
        <v>1</v>
      </c>
      <c r="H2374" s="959">
        <v>15</v>
      </c>
    </row>
    <row r="2375" spans="1:8">
      <c r="A2375" s="959" t="s">
        <v>3800</v>
      </c>
      <c r="B2375" s="960" t="s">
        <v>3801</v>
      </c>
      <c r="C2375" s="960" t="s">
        <v>4256</v>
      </c>
      <c r="D2375" s="960" t="s">
        <v>1907</v>
      </c>
      <c r="E2375" s="959">
        <v>4</v>
      </c>
      <c r="F2375" s="959">
        <v>90</v>
      </c>
      <c r="G2375" s="959">
        <v>5</v>
      </c>
      <c r="H2375" s="959">
        <v>86</v>
      </c>
    </row>
    <row r="2376" spans="1:8">
      <c r="A2376" s="959" t="s">
        <v>3800</v>
      </c>
      <c r="B2376" s="960" t="s">
        <v>3801</v>
      </c>
      <c r="C2376" s="960" t="s">
        <v>4257</v>
      </c>
      <c r="D2376" s="960" t="s">
        <v>4258</v>
      </c>
      <c r="E2376" s="959">
        <v>1</v>
      </c>
      <c r="F2376" s="959">
        <v>40</v>
      </c>
      <c r="G2376" s="959">
        <v>2</v>
      </c>
      <c r="H2376" s="959">
        <v>30</v>
      </c>
    </row>
    <row r="2377" spans="1:8">
      <c r="A2377" s="959" t="s">
        <v>3802</v>
      </c>
      <c r="B2377" s="960" t="s">
        <v>3803</v>
      </c>
      <c r="C2377" s="960" t="s">
        <v>4256</v>
      </c>
      <c r="D2377" s="960" t="s">
        <v>470</v>
      </c>
      <c r="E2377" s="959">
        <v>0</v>
      </c>
      <c r="F2377" s="959">
        <v>0</v>
      </c>
      <c r="G2377" s="959">
        <v>0</v>
      </c>
      <c r="H2377" s="959">
        <v>2</v>
      </c>
    </row>
    <row r="2378" spans="1:8">
      <c r="A2378" s="959" t="s">
        <v>3802</v>
      </c>
      <c r="B2378" s="960" t="s">
        <v>3803</v>
      </c>
      <c r="C2378" s="960" t="s">
        <v>4256</v>
      </c>
      <c r="D2378" s="960" t="s">
        <v>1904</v>
      </c>
      <c r="E2378" s="959">
        <v>0</v>
      </c>
      <c r="F2378" s="959">
        <v>0</v>
      </c>
      <c r="G2378" s="959">
        <v>0</v>
      </c>
      <c r="H2378" s="959">
        <v>20</v>
      </c>
    </row>
    <row r="2379" spans="1:8">
      <c r="A2379" s="959" t="s">
        <v>3802</v>
      </c>
      <c r="B2379" s="960" t="s">
        <v>3803</v>
      </c>
      <c r="C2379" s="960" t="s">
        <v>4257</v>
      </c>
      <c r="D2379" s="960" t="s">
        <v>4258</v>
      </c>
      <c r="E2379" s="959">
        <v>0</v>
      </c>
      <c r="F2379" s="959">
        <v>1</v>
      </c>
      <c r="G2379" s="959">
        <v>0</v>
      </c>
      <c r="H2379" s="959">
        <v>0</v>
      </c>
    </row>
    <row r="2380" spans="1:8">
      <c r="A2380" s="959" t="s">
        <v>3804</v>
      </c>
      <c r="B2380" s="960" t="s">
        <v>3805</v>
      </c>
      <c r="C2380" s="960" t="s">
        <v>4275</v>
      </c>
      <c r="D2380" s="960" t="s">
        <v>4276</v>
      </c>
      <c r="E2380" s="959">
        <v>1</v>
      </c>
      <c r="F2380" s="959">
        <v>16</v>
      </c>
      <c r="G2380" s="959">
        <v>3</v>
      </c>
      <c r="H2380" s="959">
        <v>46</v>
      </c>
    </row>
    <row r="2381" spans="1:8">
      <c r="A2381" s="959" t="s">
        <v>3804</v>
      </c>
      <c r="B2381" s="960" t="s">
        <v>3805</v>
      </c>
      <c r="C2381" s="960" t="s">
        <v>4277</v>
      </c>
      <c r="D2381" s="960" t="s">
        <v>4278</v>
      </c>
      <c r="E2381" s="959">
        <v>0</v>
      </c>
      <c r="F2381" s="959">
        <v>0</v>
      </c>
      <c r="G2381" s="959">
        <v>0</v>
      </c>
      <c r="H2381" s="959">
        <v>14</v>
      </c>
    </row>
    <row r="2382" spans="1:8">
      <c r="A2382" s="959" t="s">
        <v>3804</v>
      </c>
      <c r="B2382" s="960" t="s">
        <v>3805</v>
      </c>
      <c r="C2382" s="960" t="s">
        <v>4277</v>
      </c>
      <c r="D2382" s="960" t="s">
        <v>4279</v>
      </c>
      <c r="E2382" s="959">
        <v>0</v>
      </c>
      <c r="F2382" s="959">
        <v>0</v>
      </c>
      <c r="G2382" s="959">
        <v>0</v>
      </c>
      <c r="H2382" s="959">
        <v>3</v>
      </c>
    </row>
    <row r="2383" spans="1:8">
      <c r="A2383" s="959" t="s">
        <v>3804</v>
      </c>
      <c r="B2383" s="960" t="s">
        <v>3805</v>
      </c>
      <c r="C2383" s="960" t="s">
        <v>4277</v>
      </c>
      <c r="D2383" s="960" t="s">
        <v>4280</v>
      </c>
      <c r="E2383" s="959">
        <v>0</v>
      </c>
      <c r="F2383" s="959">
        <v>0</v>
      </c>
      <c r="G2383" s="959">
        <v>0</v>
      </c>
      <c r="H2383" s="959">
        <v>1</v>
      </c>
    </row>
    <row r="2384" spans="1:8">
      <c r="A2384" s="959" t="s">
        <v>3804</v>
      </c>
      <c r="B2384" s="960" t="s">
        <v>3805</v>
      </c>
      <c r="C2384" s="960" t="s">
        <v>4256</v>
      </c>
      <c r="D2384" s="960" t="s">
        <v>470</v>
      </c>
      <c r="E2384" s="959">
        <v>0</v>
      </c>
      <c r="F2384" s="959">
        <v>0</v>
      </c>
      <c r="G2384" s="959">
        <v>0</v>
      </c>
      <c r="H2384" s="959">
        <v>1</v>
      </c>
    </row>
    <row r="2385" spans="1:8">
      <c r="A2385" s="959" t="s">
        <v>3804</v>
      </c>
      <c r="B2385" s="960" t="s">
        <v>3805</v>
      </c>
      <c r="C2385" s="960" t="s">
        <v>4256</v>
      </c>
      <c r="D2385" s="960" t="s">
        <v>4269</v>
      </c>
      <c r="E2385" s="959">
        <v>0</v>
      </c>
      <c r="F2385" s="959">
        <v>0</v>
      </c>
      <c r="G2385" s="959">
        <v>0</v>
      </c>
      <c r="H2385" s="959">
        <v>1</v>
      </c>
    </row>
    <row r="2386" spans="1:8">
      <c r="A2386" s="959" t="s">
        <v>3804</v>
      </c>
      <c r="B2386" s="960" t="s">
        <v>3805</v>
      </c>
      <c r="C2386" s="960" t="s">
        <v>4256</v>
      </c>
      <c r="D2386" s="960" t="s">
        <v>4270</v>
      </c>
      <c r="E2386" s="959">
        <v>0</v>
      </c>
      <c r="F2386" s="959">
        <v>0</v>
      </c>
      <c r="G2386" s="959">
        <v>0</v>
      </c>
      <c r="H2386" s="959">
        <v>2</v>
      </c>
    </row>
    <row r="2387" spans="1:8">
      <c r="A2387" s="959" t="s">
        <v>3804</v>
      </c>
      <c r="B2387" s="960" t="s">
        <v>3805</v>
      </c>
      <c r="C2387" s="960" t="s">
        <v>4256</v>
      </c>
      <c r="D2387" s="960" t="s">
        <v>4259</v>
      </c>
      <c r="E2387" s="959">
        <v>0</v>
      </c>
      <c r="F2387" s="959">
        <v>0</v>
      </c>
      <c r="G2387" s="959">
        <v>1</v>
      </c>
      <c r="H2387" s="959">
        <v>3</v>
      </c>
    </row>
    <row r="2388" spans="1:8">
      <c r="A2388" s="959" t="s">
        <v>3804</v>
      </c>
      <c r="B2388" s="960" t="s">
        <v>3805</v>
      </c>
      <c r="C2388" s="960" t="s">
        <v>4256</v>
      </c>
      <c r="D2388" s="960" t="s">
        <v>4260</v>
      </c>
      <c r="E2388" s="959">
        <v>0</v>
      </c>
      <c r="F2388" s="959">
        <v>0</v>
      </c>
      <c r="G2388" s="959">
        <v>1</v>
      </c>
      <c r="H2388" s="959">
        <v>24</v>
      </c>
    </row>
    <row r="2389" spans="1:8">
      <c r="A2389" s="959" t="s">
        <v>3804</v>
      </c>
      <c r="B2389" s="960" t="s">
        <v>3805</v>
      </c>
      <c r="C2389" s="960" t="s">
        <v>4256</v>
      </c>
      <c r="D2389" s="960" t="s">
        <v>4265</v>
      </c>
      <c r="E2389" s="959">
        <v>0</v>
      </c>
      <c r="F2389" s="959">
        <v>0</v>
      </c>
      <c r="G2389" s="959">
        <v>0</v>
      </c>
      <c r="H2389" s="959">
        <v>5</v>
      </c>
    </row>
    <row r="2390" spans="1:8">
      <c r="A2390" s="959" t="s">
        <v>3804</v>
      </c>
      <c r="B2390" s="960" t="s">
        <v>3805</v>
      </c>
      <c r="C2390" s="960" t="s">
        <v>4256</v>
      </c>
      <c r="D2390" s="960" t="s">
        <v>1906</v>
      </c>
      <c r="E2390" s="959">
        <v>1</v>
      </c>
      <c r="F2390" s="959">
        <v>9</v>
      </c>
      <c r="G2390" s="959">
        <v>7</v>
      </c>
      <c r="H2390" s="959">
        <v>105</v>
      </c>
    </row>
    <row r="2391" spans="1:8">
      <c r="A2391" s="959" t="s">
        <v>3804</v>
      </c>
      <c r="B2391" s="960" t="s">
        <v>3805</v>
      </c>
      <c r="C2391" s="960" t="s">
        <v>4256</v>
      </c>
      <c r="D2391" s="960" t="s">
        <v>4264</v>
      </c>
      <c r="E2391" s="959">
        <v>0</v>
      </c>
      <c r="F2391" s="959">
        <v>0</v>
      </c>
      <c r="G2391" s="959">
        <v>1</v>
      </c>
      <c r="H2391" s="959">
        <v>7</v>
      </c>
    </row>
    <row r="2392" spans="1:8">
      <c r="A2392" s="959" t="s">
        <v>3804</v>
      </c>
      <c r="B2392" s="960" t="s">
        <v>3805</v>
      </c>
      <c r="C2392" s="960" t="s">
        <v>4256</v>
      </c>
      <c r="D2392" s="960" t="s">
        <v>1907</v>
      </c>
      <c r="E2392" s="959">
        <v>1</v>
      </c>
      <c r="F2392" s="959">
        <v>8</v>
      </c>
      <c r="G2392" s="959">
        <v>42</v>
      </c>
      <c r="H2392" s="959">
        <v>632</v>
      </c>
    </row>
    <row r="2393" spans="1:8">
      <c r="A2393" s="959" t="s">
        <v>3804</v>
      </c>
      <c r="B2393" s="960" t="s">
        <v>3805</v>
      </c>
      <c r="C2393" s="960" t="s">
        <v>4256</v>
      </c>
      <c r="D2393" s="960" t="s">
        <v>4261</v>
      </c>
      <c r="E2393" s="959">
        <v>0</v>
      </c>
      <c r="F2393" s="959">
        <v>0</v>
      </c>
      <c r="G2393" s="959">
        <v>0</v>
      </c>
      <c r="H2393" s="959">
        <v>1</v>
      </c>
    </row>
    <row r="2394" spans="1:8">
      <c r="A2394" s="959" t="s">
        <v>3804</v>
      </c>
      <c r="B2394" s="960" t="s">
        <v>3805</v>
      </c>
      <c r="C2394" s="960" t="s">
        <v>4257</v>
      </c>
      <c r="D2394" s="960" t="s">
        <v>4258</v>
      </c>
      <c r="E2394" s="959">
        <v>4</v>
      </c>
      <c r="F2394" s="959">
        <v>200</v>
      </c>
      <c r="G2394" s="959">
        <v>37</v>
      </c>
      <c r="H2394" s="959">
        <v>509</v>
      </c>
    </row>
    <row r="2395" spans="1:8">
      <c r="A2395" s="959" t="s">
        <v>3804</v>
      </c>
      <c r="B2395" s="960" t="s">
        <v>3805</v>
      </c>
      <c r="C2395" s="960" t="s">
        <v>4262</v>
      </c>
      <c r="D2395" s="960" t="s">
        <v>4263</v>
      </c>
      <c r="E2395" s="959">
        <v>0</v>
      </c>
      <c r="F2395" s="959">
        <v>2</v>
      </c>
      <c r="G2395" s="959">
        <v>0</v>
      </c>
      <c r="H2395" s="959">
        <v>0</v>
      </c>
    </row>
    <row r="2396" spans="1:8">
      <c r="A2396" s="959" t="s">
        <v>3804</v>
      </c>
      <c r="B2396" s="960" t="s">
        <v>3805</v>
      </c>
      <c r="C2396" s="960" t="s">
        <v>4267</v>
      </c>
      <c r="D2396" s="960" t="s">
        <v>4268</v>
      </c>
      <c r="E2396" s="959">
        <v>0</v>
      </c>
      <c r="F2396" s="959">
        <v>0</v>
      </c>
      <c r="G2396" s="959">
        <v>0</v>
      </c>
      <c r="H2396" s="959">
        <v>8</v>
      </c>
    </row>
    <row r="2397" spans="1:8">
      <c r="A2397" s="959" t="s">
        <v>3806</v>
      </c>
      <c r="B2397" s="960" t="s">
        <v>3807</v>
      </c>
      <c r="C2397" s="960" t="s">
        <v>4256</v>
      </c>
      <c r="D2397" s="960" t="s">
        <v>470</v>
      </c>
      <c r="E2397" s="959">
        <v>0</v>
      </c>
      <c r="F2397" s="959">
        <v>0</v>
      </c>
      <c r="G2397" s="959">
        <v>0</v>
      </c>
      <c r="H2397" s="959">
        <v>10</v>
      </c>
    </row>
    <row r="2398" spans="1:8">
      <c r="A2398" s="959" t="s">
        <v>3806</v>
      </c>
      <c r="B2398" s="960" t="s">
        <v>3807</v>
      </c>
      <c r="C2398" s="960" t="s">
        <v>4256</v>
      </c>
      <c r="D2398" s="960" t="s">
        <v>4260</v>
      </c>
      <c r="E2398" s="959">
        <v>0</v>
      </c>
      <c r="F2398" s="959">
        <v>0</v>
      </c>
      <c r="G2398" s="959">
        <v>0</v>
      </c>
      <c r="H2398" s="959">
        <v>2</v>
      </c>
    </row>
    <row r="2399" spans="1:8">
      <c r="A2399" s="959" t="s">
        <v>3806</v>
      </c>
      <c r="B2399" s="960" t="s">
        <v>3807</v>
      </c>
      <c r="C2399" s="960" t="s">
        <v>4257</v>
      </c>
      <c r="D2399" s="960" t="s">
        <v>4258</v>
      </c>
      <c r="E2399" s="959">
        <v>0</v>
      </c>
      <c r="F2399" s="959">
        <v>5</v>
      </c>
      <c r="G2399" s="959">
        <v>0</v>
      </c>
      <c r="H2399" s="959">
        <v>0</v>
      </c>
    </row>
    <row r="2400" spans="1:8">
      <c r="A2400" s="959" t="s">
        <v>3808</v>
      </c>
      <c r="B2400" s="960" t="s">
        <v>3809</v>
      </c>
      <c r="C2400" s="960" t="s">
        <v>4256</v>
      </c>
      <c r="D2400" s="960" t="s">
        <v>4260</v>
      </c>
      <c r="E2400" s="959">
        <v>0</v>
      </c>
      <c r="F2400" s="959">
        <v>0</v>
      </c>
      <c r="G2400" s="959">
        <v>0</v>
      </c>
      <c r="H2400" s="959">
        <v>1</v>
      </c>
    </row>
    <row r="2401" spans="1:8">
      <c r="A2401" s="959" t="s">
        <v>3808</v>
      </c>
      <c r="B2401" s="960" t="s">
        <v>3809</v>
      </c>
      <c r="C2401" s="960" t="s">
        <v>4257</v>
      </c>
      <c r="D2401" s="960" t="s">
        <v>4258</v>
      </c>
      <c r="E2401" s="959">
        <v>0</v>
      </c>
      <c r="F2401" s="959">
        <v>6</v>
      </c>
      <c r="G2401" s="959">
        <v>0</v>
      </c>
      <c r="H2401" s="959">
        <v>0</v>
      </c>
    </row>
    <row r="2402" spans="1:8">
      <c r="A2402" s="959" t="s">
        <v>3808</v>
      </c>
      <c r="B2402" s="960" t="s">
        <v>3809</v>
      </c>
      <c r="C2402" s="960" t="s">
        <v>4262</v>
      </c>
      <c r="D2402" s="960" t="s">
        <v>4263</v>
      </c>
      <c r="E2402" s="959">
        <v>2</v>
      </c>
      <c r="F2402" s="959">
        <v>35</v>
      </c>
      <c r="G2402" s="959">
        <v>0</v>
      </c>
      <c r="H2402" s="959">
        <v>0</v>
      </c>
    </row>
    <row r="2403" spans="1:8">
      <c r="A2403" s="959" t="s">
        <v>3810</v>
      </c>
      <c r="B2403" s="960" t="s">
        <v>3811</v>
      </c>
      <c r="C2403" s="960" t="s">
        <v>4256</v>
      </c>
      <c r="D2403" s="960" t="s">
        <v>1906</v>
      </c>
      <c r="E2403" s="959">
        <v>0</v>
      </c>
      <c r="F2403" s="959">
        <v>5</v>
      </c>
      <c r="G2403" s="959">
        <v>0</v>
      </c>
      <c r="H2403" s="959">
        <v>0</v>
      </c>
    </row>
    <row r="2404" spans="1:8">
      <c r="A2404" s="959" t="s">
        <v>3810</v>
      </c>
      <c r="B2404" s="960" t="s">
        <v>3811</v>
      </c>
      <c r="C2404" s="960" t="s">
        <v>4262</v>
      </c>
      <c r="D2404" s="960" t="s">
        <v>4263</v>
      </c>
      <c r="E2404" s="959">
        <v>6</v>
      </c>
      <c r="F2404" s="959">
        <v>96</v>
      </c>
      <c r="G2404" s="959">
        <v>0</v>
      </c>
      <c r="H2404" s="959">
        <v>0</v>
      </c>
    </row>
    <row r="2405" spans="1:8">
      <c r="A2405" s="959" t="s">
        <v>3812</v>
      </c>
      <c r="B2405" s="960" t="s">
        <v>3813</v>
      </c>
      <c r="C2405" s="960" t="s">
        <v>4275</v>
      </c>
      <c r="D2405" s="960" t="s">
        <v>4276</v>
      </c>
      <c r="E2405" s="959">
        <v>8</v>
      </c>
      <c r="F2405" s="959">
        <v>106</v>
      </c>
      <c r="G2405" s="959">
        <v>0</v>
      </c>
      <c r="H2405" s="959">
        <v>0</v>
      </c>
    </row>
    <row r="2406" spans="1:8">
      <c r="A2406" s="959" t="s">
        <v>3812</v>
      </c>
      <c r="B2406" s="960" t="s">
        <v>3813</v>
      </c>
      <c r="C2406" s="960" t="s">
        <v>4277</v>
      </c>
      <c r="D2406" s="960" t="s">
        <v>4278</v>
      </c>
      <c r="E2406" s="959">
        <v>0</v>
      </c>
      <c r="F2406" s="959">
        <v>0</v>
      </c>
      <c r="G2406" s="959">
        <v>0</v>
      </c>
      <c r="H2406" s="959">
        <v>4</v>
      </c>
    </row>
    <row r="2407" spans="1:8">
      <c r="A2407" s="959" t="s">
        <v>3812</v>
      </c>
      <c r="B2407" s="960" t="s">
        <v>3813</v>
      </c>
      <c r="C2407" s="960" t="s">
        <v>4256</v>
      </c>
      <c r="D2407" s="960" t="s">
        <v>1906</v>
      </c>
      <c r="E2407" s="959">
        <v>1</v>
      </c>
      <c r="F2407" s="959">
        <v>14</v>
      </c>
      <c r="G2407" s="959">
        <v>0</v>
      </c>
      <c r="H2407" s="959">
        <v>0</v>
      </c>
    </row>
    <row r="2408" spans="1:8">
      <c r="A2408" s="959" t="s">
        <v>3812</v>
      </c>
      <c r="B2408" s="960" t="s">
        <v>3813</v>
      </c>
      <c r="C2408" s="960" t="s">
        <v>4257</v>
      </c>
      <c r="D2408" s="960" t="s">
        <v>4258</v>
      </c>
      <c r="E2408" s="959">
        <v>3</v>
      </c>
      <c r="F2408" s="959">
        <v>17</v>
      </c>
      <c r="G2408" s="959">
        <v>1</v>
      </c>
      <c r="H2408" s="959">
        <v>1</v>
      </c>
    </row>
    <row r="2409" spans="1:8">
      <c r="A2409" s="959" t="s">
        <v>3815</v>
      </c>
      <c r="B2409" s="960" t="s">
        <v>3816</v>
      </c>
      <c r="C2409" s="960" t="s">
        <v>4275</v>
      </c>
      <c r="D2409" s="960" t="s">
        <v>4276</v>
      </c>
      <c r="E2409" s="959">
        <v>0</v>
      </c>
      <c r="F2409" s="959">
        <v>1</v>
      </c>
      <c r="G2409" s="959">
        <v>0</v>
      </c>
      <c r="H2409" s="959">
        <v>0</v>
      </c>
    </row>
    <row r="2410" spans="1:8">
      <c r="A2410" s="959" t="s">
        <v>3815</v>
      </c>
      <c r="B2410" s="960" t="s">
        <v>3816</v>
      </c>
      <c r="C2410" s="960" t="s">
        <v>4277</v>
      </c>
      <c r="D2410" s="960" t="s">
        <v>4280</v>
      </c>
      <c r="E2410" s="959">
        <v>0</v>
      </c>
      <c r="F2410" s="959">
        <v>0</v>
      </c>
      <c r="G2410" s="959">
        <v>0</v>
      </c>
      <c r="H2410" s="959">
        <v>1</v>
      </c>
    </row>
    <row r="2411" spans="1:8">
      <c r="A2411" s="959" t="s">
        <v>3815</v>
      </c>
      <c r="B2411" s="960" t="s">
        <v>3816</v>
      </c>
      <c r="C2411" s="960" t="s">
        <v>4256</v>
      </c>
      <c r="D2411" s="960" t="s">
        <v>1906</v>
      </c>
      <c r="E2411" s="959">
        <v>2</v>
      </c>
      <c r="F2411" s="959">
        <v>33</v>
      </c>
      <c r="G2411" s="959">
        <v>0</v>
      </c>
      <c r="H2411" s="959">
        <v>2</v>
      </c>
    </row>
    <row r="2412" spans="1:8">
      <c r="A2412" s="959" t="s">
        <v>3815</v>
      </c>
      <c r="B2412" s="960" t="s">
        <v>3816</v>
      </c>
      <c r="C2412" s="960" t="s">
        <v>4256</v>
      </c>
      <c r="D2412" s="960" t="s">
        <v>1907</v>
      </c>
      <c r="E2412" s="959">
        <v>0</v>
      </c>
      <c r="F2412" s="959">
        <v>1</v>
      </c>
      <c r="G2412" s="959">
        <v>0</v>
      </c>
      <c r="H2412" s="959">
        <v>0</v>
      </c>
    </row>
    <row r="2413" spans="1:8">
      <c r="A2413" s="959" t="s">
        <v>3815</v>
      </c>
      <c r="B2413" s="960" t="s">
        <v>3816</v>
      </c>
      <c r="C2413" s="960" t="s">
        <v>4257</v>
      </c>
      <c r="D2413" s="960" t="s">
        <v>4258</v>
      </c>
      <c r="E2413" s="959">
        <v>4</v>
      </c>
      <c r="F2413" s="959">
        <v>60</v>
      </c>
      <c r="G2413" s="959">
        <v>0</v>
      </c>
      <c r="H2413" s="959">
        <v>6</v>
      </c>
    </row>
    <row r="2414" spans="1:8">
      <c r="A2414" s="959" t="s">
        <v>3815</v>
      </c>
      <c r="B2414" s="960" t="s">
        <v>3816</v>
      </c>
      <c r="C2414" s="960" t="s">
        <v>4262</v>
      </c>
      <c r="D2414" s="960" t="s">
        <v>4263</v>
      </c>
      <c r="E2414" s="959">
        <v>7</v>
      </c>
      <c r="F2414" s="959">
        <v>210</v>
      </c>
      <c r="G2414" s="959">
        <v>0</v>
      </c>
      <c r="H2414" s="959">
        <v>0</v>
      </c>
    </row>
    <row r="2415" spans="1:8">
      <c r="A2415" s="959" t="s">
        <v>3817</v>
      </c>
      <c r="B2415" s="960" t="s">
        <v>3818</v>
      </c>
      <c r="C2415" s="960" t="s">
        <v>4275</v>
      </c>
      <c r="D2415" s="960" t="s">
        <v>4276</v>
      </c>
      <c r="E2415" s="959">
        <v>6</v>
      </c>
      <c r="F2415" s="959">
        <v>468</v>
      </c>
      <c r="G2415" s="959">
        <v>0</v>
      </c>
      <c r="H2415" s="959">
        <v>6</v>
      </c>
    </row>
    <row r="2416" spans="1:8">
      <c r="A2416" s="959" t="s">
        <v>3817</v>
      </c>
      <c r="B2416" s="960" t="s">
        <v>3818</v>
      </c>
      <c r="C2416" s="960" t="s">
        <v>4277</v>
      </c>
      <c r="D2416" s="960" t="s">
        <v>4278</v>
      </c>
      <c r="E2416" s="959">
        <v>0</v>
      </c>
      <c r="F2416" s="959">
        <v>0</v>
      </c>
      <c r="G2416" s="959">
        <v>3</v>
      </c>
      <c r="H2416" s="959">
        <v>123</v>
      </c>
    </row>
    <row r="2417" spans="1:8">
      <c r="A2417" s="959" t="s">
        <v>3817</v>
      </c>
      <c r="B2417" s="960" t="s">
        <v>3818</v>
      </c>
      <c r="C2417" s="960" t="s">
        <v>4277</v>
      </c>
      <c r="D2417" s="960" t="s">
        <v>4279</v>
      </c>
      <c r="E2417" s="959">
        <v>0</v>
      </c>
      <c r="F2417" s="959">
        <v>0</v>
      </c>
      <c r="G2417" s="959">
        <v>24</v>
      </c>
      <c r="H2417" s="959">
        <v>793</v>
      </c>
    </row>
    <row r="2418" spans="1:8">
      <c r="A2418" s="959" t="s">
        <v>3817</v>
      </c>
      <c r="B2418" s="960" t="s">
        <v>3818</v>
      </c>
      <c r="C2418" s="960" t="s">
        <v>4256</v>
      </c>
      <c r="D2418" s="960" t="s">
        <v>1904</v>
      </c>
      <c r="E2418" s="959">
        <v>0</v>
      </c>
      <c r="F2418" s="959">
        <v>0</v>
      </c>
      <c r="G2418" s="959">
        <v>0</v>
      </c>
      <c r="H2418" s="959">
        <v>1</v>
      </c>
    </row>
    <row r="2419" spans="1:8">
      <c r="A2419" s="959" t="s">
        <v>3817</v>
      </c>
      <c r="B2419" s="960" t="s">
        <v>3818</v>
      </c>
      <c r="C2419" s="960" t="s">
        <v>4256</v>
      </c>
      <c r="D2419" s="960" t="s">
        <v>4260</v>
      </c>
      <c r="E2419" s="959">
        <v>0</v>
      </c>
      <c r="F2419" s="959">
        <v>0</v>
      </c>
      <c r="G2419" s="959">
        <v>0</v>
      </c>
      <c r="H2419" s="959">
        <v>6</v>
      </c>
    </row>
    <row r="2420" spans="1:8">
      <c r="A2420" s="959" t="s">
        <v>3817</v>
      </c>
      <c r="B2420" s="960" t="s">
        <v>3818</v>
      </c>
      <c r="C2420" s="960" t="s">
        <v>4256</v>
      </c>
      <c r="D2420" s="960" t="s">
        <v>4265</v>
      </c>
      <c r="E2420" s="959">
        <v>0</v>
      </c>
      <c r="F2420" s="959">
        <v>0</v>
      </c>
      <c r="G2420" s="959">
        <v>0</v>
      </c>
      <c r="H2420" s="959">
        <v>2</v>
      </c>
    </row>
    <row r="2421" spans="1:8">
      <c r="A2421" s="959" t="s">
        <v>3817</v>
      </c>
      <c r="B2421" s="960" t="s">
        <v>3818</v>
      </c>
      <c r="C2421" s="960" t="s">
        <v>4256</v>
      </c>
      <c r="D2421" s="960" t="s">
        <v>1906</v>
      </c>
      <c r="E2421" s="959">
        <v>10</v>
      </c>
      <c r="F2421" s="959">
        <v>218</v>
      </c>
      <c r="G2421" s="959">
        <v>1</v>
      </c>
      <c r="H2421" s="959">
        <v>15</v>
      </c>
    </row>
    <row r="2422" spans="1:8">
      <c r="A2422" s="959" t="s">
        <v>3817</v>
      </c>
      <c r="B2422" s="960" t="s">
        <v>3818</v>
      </c>
      <c r="C2422" s="960" t="s">
        <v>4257</v>
      </c>
      <c r="D2422" s="960" t="s">
        <v>4258</v>
      </c>
      <c r="E2422" s="959">
        <v>395</v>
      </c>
      <c r="F2422" s="959">
        <v>3629</v>
      </c>
      <c r="G2422" s="959">
        <v>18</v>
      </c>
      <c r="H2422" s="959">
        <v>241</v>
      </c>
    </row>
    <row r="2423" spans="1:8">
      <c r="A2423" s="959" t="s">
        <v>3820</v>
      </c>
      <c r="B2423" s="960" t="s">
        <v>3821</v>
      </c>
      <c r="C2423" s="960" t="s">
        <v>4256</v>
      </c>
      <c r="D2423" s="960" t="s">
        <v>1906</v>
      </c>
      <c r="E2423" s="959">
        <v>0</v>
      </c>
      <c r="F2423" s="959">
        <v>1</v>
      </c>
      <c r="G2423" s="959">
        <v>0</v>
      </c>
      <c r="H2423" s="959">
        <v>0</v>
      </c>
    </row>
    <row r="2424" spans="1:8">
      <c r="A2424" s="959" t="s">
        <v>3820</v>
      </c>
      <c r="B2424" s="960" t="s">
        <v>3821</v>
      </c>
      <c r="C2424" s="960" t="s">
        <v>4257</v>
      </c>
      <c r="D2424" s="960" t="s">
        <v>4258</v>
      </c>
      <c r="E2424" s="959">
        <v>12</v>
      </c>
      <c r="F2424" s="959">
        <v>258</v>
      </c>
      <c r="G2424" s="959">
        <v>0</v>
      </c>
      <c r="H2424" s="959">
        <v>0</v>
      </c>
    </row>
    <row r="2425" spans="1:8">
      <c r="A2425" s="959" t="s">
        <v>3820</v>
      </c>
      <c r="B2425" s="960" t="s">
        <v>3821</v>
      </c>
      <c r="C2425" s="960" t="s">
        <v>4262</v>
      </c>
      <c r="D2425" s="960" t="s">
        <v>4263</v>
      </c>
      <c r="E2425" s="959">
        <v>0</v>
      </c>
      <c r="F2425" s="959">
        <v>67</v>
      </c>
      <c r="G2425" s="959">
        <v>0</v>
      </c>
      <c r="H2425" s="959">
        <v>0</v>
      </c>
    </row>
    <row r="2426" spans="1:8">
      <c r="A2426" s="959" t="s">
        <v>3822</v>
      </c>
      <c r="B2426" s="960" t="s">
        <v>3823</v>
      </c>
      <c r="C2426" s="960" t="s">
        <v>4256</v>
      </c>
      <c r="D2426" s="960" t="s">
        <v>470</v>
      </c>
      <c r="E2426" s="959">
        <v>0</v>
      </c>
      <c r="F2426" s="959">
        <v>0</v>
      </c>
      <c r="G2426" s="959">
        <v>2</v>
      </c>
      <c r="H2426" s="959">
        <v>8</v>
      </c>
    </row>
    <row r="2427" spans="1:8">
      <c r="A2427" s="959" t="s">
        <v>3822</v>
      </c>
      <c r="B2427" s="960" t="s">
        <v>3823</v>
      </c>
      <c r="C2427" s="960" t="s">
        <v>4256</v>
      </c>
      <c r="D2427" s="960" t="s">
        <v>1904</v>
      </c>
      <c r="E2427" s="959">
        <v>0</v>
      </c>
      <c r="F2427" s="959">
        <v>0</v>
      </c>
      <c r="G2427" s="959">
        <v>1</v>
      </c>
      <c r="H2427" s="959">
        <v>37</v>
      </c>
    </row>
    <row r="2428" spans="1:8">
      <c r="A2428" s="959" t="s">
        <v>3822</v>
      </c>
      <c r="B2428" s="960" t="s">
        <v>3823</v>
      </c>
      <c r="C2428" s="960" t="s">
        <v>4256</v>
      </c>
      <c r="D2428" s="960" t="s">
        <v>4270</v>
      </c>
      <c r="E2428" s="959">
        <v>0</v>
      </c>
      <c r="F2428" s="959">
        <v>0</v>
      </c>
      <c r="G2428" s="959">
        <v>2</v>
      </c>
      <c r="H2428" s="959">
        <v>6</v>
      </c>
    </row>
    <row r="2429" spans="1:8">
      <c r="A2429" s="959" t="s">
        <v>3822</v>
      </c>
      <c r="B2429" s="960" t="s">
        <v>3823</v>
      </c>
      <c r="C2429" s="960" t="s">
        <v>4256</v>
      </c>
      <c r="D2429" s="960" t="s">
        <v>4260</v>
      </c>
      <c r="E2429" s="959">
        <v>0</v>
      </c>
      <c r="F2429" s="959">
        <v>0</v>
      </c>
      <c r="G2429" s="959">
        <v>5</v>
      </c>
      <c r="H2429" s="959">
        <v>46</v>
      </c>
    </row>
    <row r="2430" spans="1:8">
      <c r="A2430" s="959" t="s">
        <v>3822</v>
      </c>
      <c r="B2430" s="960" t="s">
        <v>3823</v>
      </c>
      <c r="C2430" s="960" t="s">
        <v>4256</v>
      </c>
      <c r="D2430" s="960" t="s">
        <v>4271</v>
      </c>
      <c r="E2430" s="959">
        <v>0</v>
      </c>
      <c r="F2430" s="959">
        <v>0</v>
      </c>
      <c r="G2430" s="959">
        <v>1</v>
      </c>
      <c r="H2430" s="959">
        <v>14</v>
      </c>
    </row>
    <row r="2431" spans="1:8">
      <c r="A2431" s="959" t="s">
        <v>3822</v>
      </c>
      <c r="B2431" s="960" t="s">
        <v>3823</v>
      </c>
      <c r="C2431" s="960" t="s">
        <v>4256</v>
      </c>
      <c r="D2431" s="960" t="s">
        <v>1906</v>
      </c>
      <c r="E2431" s="959">
        <v>0</v>
      </c>
      <c r="F2431" s="959">
        <v>1</v>
      </c>
      <c r="G2431" s="959">
        <v>0</v>
      </c>
      <c r="H2431" s="959">
        <v>5</v>
      </c>
    </row>
    <row r="2432" spans="1:8">
      <c r="A2432" s="959" t="s">
        <v>3822</v>
      </c>
      <c r="B2432" s="960" t="s">
        <v>3823</v>
      </c>
      <c r="C2432" s="960" t="s">
        <v>4256</v>
      </c>
      <c r="D2432" s="960" t="s">
        <v>4261</v>
      </c>
      <c r="E2432" s="959">
        <v>0</v>
      </c>
      <c r="F2432" s="959">
        <v>0</v>
      </c>
      <c r="G2432" s="959">
        <v>5</v>
      </c>
      <c r="H2432" s="959">
        <v>55</v>
      </c>
    </row>
    <row r="2433" spans="1:8">
      <c r="A2433" s="959" t="s">
        <v>3822</v>
      </c>
      <c r="B2433" s="960" t="s">
        <v>3823</v>
      </c>
      <c r="C2433" s="960" t="s">
        <v>4257</v>
      </c>
      <c r="D2433" s="960" t="s">
        <v>4258</v>
      </c>
      <c r="E2433" s="959">
        <v>0</v>
      </c>
      <c r="F2433" s="959">
        <v>3</v>
      </c>
      <c r="G2433" s="959">
        <v>0</v>
      </c>
      <c r="H2433" s="959">
        <v>5</v>
      </c>
    </row>
    <row r="2434" spans="1:8">
      <c r="A2434" s="959" t="s">
        <v>3824</v>
      </c>
      <c r="B2434" s="960" t="s">
        <v>3825</v>
      </c>
      <c r="C2434" s="960" t="s">
        <v>4275</v>
      </c>
      <c r="D2434" s="960" t="s">
        <v>4276</v>
      </c>
      <c r="E2434" s="959">
        <v>0</v>
      </c>
      <c r="F2434" s="959">
        <v>2</v>
      </c>
      <c r="G2434" s="959">
        <v>0</v>
      </c>
      <c r="H2434" s="959">
        <v>0</v>
      </c>
    </row>
    <row r="2435" spans="1:8">
      <c r="A2435" s="959" t="s">
        <v>3824</v>
      </c>
      <c r="B2435" s="960" t="s">
        <v>3825</v>
      </c>
      <c r="C2435" s="960" t="s">
        <v>4256</v>
      </c>
      <c r="D2435" s="960" t="s">
        <v>4264</v>
      </c>
      <c r="E2435" s="959">
        <v>0</v>
      </c>
      <c r="F2435" s="959">
        <v>0</v>
      </c>
      <c r="G2435" s="959">
        <v>0</v>
      </c>
      <c r="H2435" s="959">
        <v>1</v>
      </c>
    </row>
    <row r="2436" spans="1:8">
      <c r="A2436" s="959" t="s">
        <v>3824</v>
      </c>
      <c r="B2436" s="960" t="s">
        <v>3825</v>
      </c>
      <c r="C2436" s="960" t="s">
        <v>4256</v>
      </c>
      <c r="D2436" s="960" t="s">
        <v>1907</v>
      </c>
      <c r="E2436" s="959">
        <v>0</v>
      </c>
      <c r="F2436" s="959">
        <v>2</v>
      </c>
      <c r="G2436" s="959">
        <v>5</v>
      </c>
      <c r="H2436" s="959">
        <v>73</v>
      </c>
    </row>
    <row r="2437" spans="1:8">
      <c r="A2437" s="959" t="s">
        <v>3824</v>
      </c>
      <c r="B2437" s="960" t="s">
        <v>3825</v>
      </c>
      <c r="C2437" s="960" t="s">
        <v>4257</v>
      </c>
      <c r="D2437" s="960" t="s">
        <v>4258</v>
      </c>
      <c r="E2437" s="959">
        <v>0</v>
      </c>
      <c r="F2437" s="959">
        <v>2</v>
      </c>
      <c r="G2437" s="959">
        <v>0</v>
      </c>
      <c r="H2437" s="959">
        <v>2</v>
      </c>
    </row>
    <row r="2438" spans="1:8">
      <c r="A2438" s="959" t="s">
        <v>3826</v>
      </c>
      <c r="B2438" s="960" t="s">
        <v>1394</v>
      </c>
      <c r="C2438" s="960" t="s">
        <v>4256</v>
      </c>
      <c r="D2438" s="960" t="s">
        <v>1904</v>
      </c>
      <c r="E2438" s="959">
        <v>0</v>
      </c>
      <c r="F2438" s="959">
        <v>1</v>
      </c>
      <c r="G2438" s="959">
        <v>0</v>
      </c>
      <c r="H2438" s="959">
        <v>0</v>
      </c>
    </row>
    <row r="2439" spans="1:8">
      <c r="A2439" s="959" t="s">
        <v>3826</v>
      </c>
      <c r="B2439" s="960" t="s">
        <v>1394</v>
      </c>
      <c r="C2439" s="960" t="s">
        <v>4256</v>
      </c>
      <c r="D2439" s="960" t="s">
        <v>4259</v>
      </c>
      <c r="E2439" s="959">
        <v>0</v>
      </c>
      <c r="F2439" s="959">
        <v>2</v>
      </c>
      <c r="G2439" s="959">
        <v>0</v>
      </c>
      <c r="H2439" s="959">
        <v>2</v>
      </c>
    </row>
    <row r="2440" spans="1:8">
      <c r="A2440" s="959" t="s">
        <v>3826</v>
      </c>
      <c r="B2440" s="960" t="s">
        <v>1394</v>
      </c>
      <c r="C2440" s="960" t="s">
        <v>4256</v>
      </c>
      <c r="D2440" s="960" t="s">
        <v>4260</v>
      </c>
      <c r="E2440" s="959">
        <v>0</v>
      </c>
      <c r="F2440" s="959">
        <v>3</v>
      </c>
      <c r="G2440" s="959">
        <v>0</v>
      </c>
      <c r="H2440" s="959">
        <v>0</v>
      </c>
    </row>
    <row r="2441" spans="1:8">
      <c r="A2441" s="959" t="s">
        <v>3826</v>
      </c>
      <c r="B2441" s="960" t="s">
        <v>1394</v>
      </c>
      <c r="C2441" s="960" t="s">
        <v>4256</v>
      </c>
      <c r="D2441" s="960" t="s">
        <v>4265</v>
      </c>
      <c r="E2441" s="959">
        <v>0</v>
      </c>
      <c r="F2441" s="959">
        <v>1</v>
      </c>
      <c r="G2441" s="959">
        <v>0</v>
      </c>
      <c r="H2441" s="959">
        <v>0</v>
      </c>
    </row>
    <row r="2442" spans="1:8">
      <c r="A2442" s="959" t="s">
        <v>3826</v>
      </c>
      <c r="B2442" s="960" t="s">
        <v>1394</v>
      </c>
      <c r="C2442" s="960" t="s">
        <v>4257</v>
      </c>
      <c r="D2442" s="960" t="s">
        <v>4258</v>
      </c>
      <c r="E2442" s="959">
        <v>0</v>
      </c>
      <c r="F2442" s="959">
        <v>19</v>
      </c>
      <c r="G2442" s="959">
        <v>0</v>
      </c>
      <c r="H2442" s="959">
        <v>1</v>
      </c>
    </row>
    <row r="2443" spans="1:8">
      <c r="A2443" s="959" t="s">
        <v>3826</v>
      </c>
      <c r="B2443" s="960" t="s">
        <v>1394</v>
      </c>
      <c r="C2443" s="960" t="s">
        <v>4262</v>
      </c>
      <c r="D2443" s="960" t="s">
        <v>4263</v>
      </c>
      <c r="E2443" s="959">
        <v>0</v>
      </c>
      <c r="F2443" s="959">
        <v>4</v>
      </c>
      <c r="G2443" s="959">
        <v>0</v>
      </c>
      <c r="H2443" s="959">
        <v>0</v>
      </c>
    </row>
    <row r="2444" spans="1:8">
      <c r="A2444" s="959" t="s">
        <v>3827</v>
      </c>
      <c r="B2444" s="960" t="s">
        <v>1399</v>
      </c>
      <c r="C2444" s="960" t="s">
        <v>4256</v>
      </c>
      <c r="D2444" s="960" t="s">
        <v>4260</v>
      </c>
      <c r="E2444" s="959">
        <v>0</v>
      </c>
      <c r="F2444" s="959">
        <v>1</v>
      </c>
      <c r="G2444" s="959">
        <v>0</v>
      </c>
      <c r="H2444" s="959">
        <v>0</v>
      </c>
    </row>
    <row r="2445" spans="1:8">
      <c r="A2445" s="959" t="s">
        <v>3827</v>
      </c>
      <c r="B2445" s="960" t="s">
        <v>1399</v>
      </c>
      <c r="C2445" s="960" t="s">
        <v>4256</v>
      </c>
      <c r="D2445" s="960" t="s">
        <v>1906</v>
      </c>
      <c r="E2445" s="959">
        <v>1</v>
      </c>
      <c r="F2445" s="959">
        <v>11</v>
      </c>
      <c r="G2445" s="959">
        <v>0</v>
      </c>
      <c r="H2445" s="959">
        <v>0</v>
      </c>
    </row>
    <row r="2446" spans="1:8">
      <c r="A2446" s="959" t="s">
        <v>3827</v>
      </c>
      <c r="B2446" s="960" t="s">
        <v>1399</v>
      </c>
      <c r="C2446" s="960" t="s">
        <v>4257</v>
      </c>
      <c r="D2446" s="960" t="s">
        <v>4258</v>
      </c>
      <c r="E2446" s="959">
        <v>0</v>
      </c>
      <c r="F2446" s="959">
        <v>6</v>
      </c>
      <c r="G2446" s="959">
        <v>0</v>
      </c>
      <c r="H2446" s="959">
        <v>0</v>
      </c>
    </row>
    <row r="2447" spans="1:8">
      <c r="A2447" s="959" t="s">
        <v>3828</v>
      </c>
      <c r="B2447" s="960" t="s">
        <v>3829</v>
      </c>
      <c r="C2447" s="960" t="s">
        <v>4257</v>
      </c>
      <c r="D2447" s="960" t="s">
        <v>4258</v>
      </c>
      <c r="E2447" s="959">
        <v>0</v>
      </c>
      <c r="F2447" s="959">
        <v>2</v>
      </c>
      <c r="G2447" s="959">
        <v>0</v>
      </c>
      <c r="H2447" s="959">
        <v>0</v>
      </c>
    </row>
    <row r="2448" spans="1:8">
      <c r="A2448" s="959" t="s">
        <v>3828</v>
      </c>
      <c r="B2448" s="960" t="s">
        <v>3829</v>
      </c>
      <c r="C2448" s="960" t="s">
        <v>4262</v>
      </c>
      <c r="D2448" s="960" t="s">
        <v>4263</v>
      </c>
      <c r="E2448" s="959">
        <v>0</v>
      </c>
      <c r="F2448" s="959">
        <v>1</v>
      </c>
      <c r="G2448" s="959">
        <v>0</v>
      </c>
      <c r="H2448" s="959">
        <v>0</v>
      </c>
    </row>
    <row r="2449" spans="1:8">
      <c r="A2449" s="959" t="s">
        <v>3831</v>
      </c>
      <c r="B2449" s="960" t="s">
        <v>947</v>
      </c>
      <c r="C2449" s="960" t="s">
        <v>4256</v>
      </c>
      <c r="D2449" s="960" t="s">
        <v>1906</v>
      </c>
      <c r="E2449" s="959">
        <v>0</v>
      </c>
      <c r="F2449" s="959">
        <v>1</v>
      </c>
      <c r="G2449" s="959">
        <v>0</v>
      </c>
      <c r="H2449" s="959">
        <v>0</v>
      </c>
    </row>
    <row r="2450" spans="1:8">
      <c r="A2450" s="959" t="s">
        <v>3831</v>
      </c>
      <c r="B2450" s="960" t="s">
        <v>947</v>
      </c>
      <c r="C2450" s="960" t="s">
        <v>4257</v>
      </c>
      <c r="D2450" s="960" t="s">
        <v>4258</v>
      </c>
      <c r="E2450" s="959">
        <v>0</v>
      </c>
      <c r="F2450" s="959">
        <v>4</v>
      </c>
      <c r="G2450" s="959">
        <v>0</v>
      </c>
      <c r="H2450" s="959">
        <v>0</v>
      </c>
    </row>
    <row r="2451" spans="1:8">
      <c r="A2451" s="959" t="s">
        <v>3831</v>
      </c>
      <c r="B2451" s="960" t="s">
        <v>947</v>
      </c>
      <c r="C2451" s="960" t="s">
        <v>4262</v>
      </c>
      <c r="D2451" s="960" t="s">
        <v>4263</v>
      </c>
      <c r="E2451" s="959">
        <v>0</v>
      </c>
      <c r="F2451" s="959">
        <v>2</v>
      </c>
      <c r="G2451" s="959">
        <v>0</v>
      </c>
      <c r="H2451" s="959">
        <v>0</v>
      </c>
    </row>
    <row r="2452" spans="1:8">
      <c r="A2452" s="959" t="s">
        <v>3833</v>
      </c>
      <c r="B2452" s="960" t="s">
        <v>3834</v>
      </c>
      <c r="C2452" s="960" t="s">
        <v>4256</v>
      </c>
      <c r="D2452" s="960" t="s">
        <v>4259</v>
      </c>
      <c r="E2452" s="959">
        <v>0</v>
      </c>
      <c r="F2452" s="959">
        <v>0</v>
      </c>
      <c r="G2452" s="959">
        <v>0</v>
      </c>
      <c r="H2452" s="959">
        <v>1</v>
      </c>
    </row>
    <row r="2453" spans="1:8">
      <c r="A2453" s="959" t="s">
        <v>3833</v>
      </c>
      <c r="B2453" s="960" t="s">
        <v>3834</v>
      </c>
      <c r="C2453" s="960" t="s">
        <v>4256</v>
      </c>
      <c r="D2453" s="960" t="s">
        <v>1906</v>
      </c>
      <c r="E2453" s="959">
        <v>0</v>
      </c>
      <c r="F2453" s="959">
        <v>10</v>
      </c>
      <c r="G2453" s="959">
        <v>0</v>
      </c>
      <c r="H2453" s="959">
        <v>1</v>
      </c>
    </row>
    <row r="2454" spans="1:8">
      <c r="A2454" s="959" t="s">
        <v>3833</v>
      </c>
      <c r="B2454" s="960" t="s">
        <v>3834</v>
      </c>
      <c r="C2454" s="960" t="s">
        <v>4257</v>
      </c>
      <c r="D2454" s="960" t="s">
        <v>4258</v>
      </c>
      <c r="E2454" s="959">
        <v>4</v>
      </c>
      <c r="F2454" s="959">
        <v>116</v>
      </c>
      <c r="G2454" s="959">
        <v>0</v>
      </c>
      <c r="H2454" s="959">
        <v>1</v>
      </c>
    </row>
    <row r="2455" spans="1:8">
      <c r="A2455" s="959" t="s">
        <v>3833</v>
      </c>
      <c r="B2455" s="960" t="s">
        <v>3834</v>
      </c>
      <c r="C2455" s="960" t="s">
        <v>4262</v>
      </c>
      <c r="D2455" s="960" t="s">
        <v>4263</v>
      </c>
      <c r="E2455" s="959">
        <v>0</v>
      </c>
      <c r="F2455" s="959">
        <v>0</v>
      </c>
      <c r="G2455" s="959">
        <v>2</v>
      </c>
      <c r="H2455" s="959">
        <v>1</v>
      </c>
    </row>
    <row r="2456" spans="1:8">
      <c r="A2456" s="959" t="s">
        <v>3836</v>
      </c>
      <c r="B2456" s="960" t="s">
        <v>3837</v>
      </c>
      <c r="C2456" s="960" t="s">
        <v>4257</v>
      </c>
      <c r="D2456" s="960" t="s">
        <v>4258</v>
      </c>
      <c r="E2456" s="959">
        <v>0</v>
      </c>
      <c r="F2456" s="959">
        <v>1</v>
      </c>
      <c r="G2456" s="959">
        <v>0</v>
      </c>
      <c r="H2456" s="959">
        <v>0</v>
      </c>
    </row>
    <row r="2457" spans="1:8">
      <c r="A2457" s="959" t="s">
        <v>3838</v>
      </c>
      <c r="B2457" s="960" t="s">
        <v>1416</v>
      </c>
      <c r="C2457" s="960" t="s">
        <v>4256</v>
      </c>
      <c r="D2457" s="960" t="s">
        <v>1906</v>
      </c>
      <c r="E2457" s="959">
        <v>0</v>
      </c>
      <c r="F2457" s="959">
        <v>1</v>
      </c>
      <c r="G2457" s="959">
        <v>0</v>
      </c>
      <c r="H2457" s="959">
        <v>0</v>
      </c>
    </row>
    <row r="2458" spans="1:8">
      <c r="A2458" s="959" t="s">
        <v>3838</v>
      </c>
      <c r="B2458" s="960" t="s">
        <v>1416</v>
      </c>
      <c r="C2458" s="960" t="s">
        <v>4257</v>
      </c>
      <c r="D2458" s="960" t="s">
        <v>4258</v>
      </c>
      <c r="E2458" s="959">
        <v>0</v>
      </c>
      <c r="F2458" s="959">
        <v>2</v>
      </c>
      <c r="G2458" s="959">
        <v>0</v>
      </c>
      <c r="H2458" s="959">
        <v>0</v>
      </c>
    </row>
    <row r="2459" spans="1:8">
      <c r="A2459" s="959" t="s">
        <v>3838</v>
      </c>
      <c r="B2459" s="960" t="s">
        <v>1416</v>
      </c>
      <c r="C2459" s="960" t="s">
        <v>4262</v>
      </c>
      <c r="D2459" s="960" t="s">
        <v>4263</v>
      </c>
      <c r="E2459" s="959">
        <v>4</v>
      </c>
      <c r="F2459" s="959">
        <v>14</v>
      </c>
      <c r="G2459" s="959">
        <v>0</v>
      </c>
      <c r="H2459" s="959">
        <v>2</v>
      </c>
    </row>
    <row r="2460" spans="1:8">
      <c r="A2460" s="959" t="s">
        <v>3839</v>
      </c>
      <c r="B2460" s="960" t="s">
        <v>3840</v>
      </c>
      <c r="C2460" s="960" t="s">
        <v>4275</v>
      </c>
      <c r="D2460" s="960" t="s">
        <v>4276</v>
      </c>
      <c r="E2460" s="959">
        <v>1</v>
      </c>
      <c r="F2460" s="959">
        <v>26</v>
      </c>
      <c r="G2460" s="959">
        <v>0</v>
      </c>
      <c r="H2460" s="959">
        <v>0</v>
      </c>
    </row>
    <row r="2461" spans="1:8">
      <c r="A2461" s="959" t="s">
        <v>3839</v>
      </c>
      <c r="B2461" s="960" t="s">
        <v>3840</v>
      </c>
      <c r="C2461" s="960" t="s">
        <v>4256</v>
      </c>
      <c r="D2461" s="960" t="s">
        <v>1906</v>
      </c>
      <c r="E2461" s="959">
        <v>2</v>
      </c>
      <c r="F2461" s="959">
        <v>28</v>
      </c>
      <c r="G2461" s="959">
        <v>0</v>
      </c>
      <c r="H2461" s="959">
        <v>0</v>
      </c>
    </row>
    <row r="2462" spans="1:8">
      <c r="A2462" s="959" t="s">
        <v>3839</v>
      </c>
      <c r="B2462" s="960" t="s">
        <v>3840</v>
      </c>
      <c r="C2462" s="960" t="s">
        <v>4256</v>
      </c>
      <c r="D2462" s="960" t="s">
        <v>1907</v>
      </c>
      <c r="E2462" s="959">
        <v>0</v>
      </c>
      <c r="F2462" s="959">
        <v>1</v>
      </c>
      <c r="G2462" s="959">
        <v>0</v>
      </c>
      <c r="H2462" s="959">
        <v>0</v>
      </c>
    </row>
    <row r="2463" spans="1:8">
      <c r="A2463" s="959" t="s">
        <v>3839</v>
      </c>
      <c r="B2463" s="960" t="s">
        <v>3840</v>
      </c>
      <c r="C2463" s="960" t="s">
        <v>4257</v>
      </c>
      <c r="D2463" s="960" t="s">
        <v>4258</v>
      </c>
      <c r="E2463" s="959">
        <v>8</v>
      </c>
      <c r="F2463" s="959">
        <v>96</v>
      </c>
      <c r="G2463" s="959">
        <v>0</v>
      </c>
      <c r="H2463" s="959">
        <v>0</v>
      </c>
    </row>
    <row r="2464" spans="1:8">
      <c r="A2464" s="959" t="s">
        <v>3839</v>
      </c>
      <c r="B2464" s="960" t="s">
        <v>3840</v>
      </c>
      <c r="C2464" s="960" t="s">
        <v>4262</v>
      </c>
      <c r="D2464" s="960" t="s">
        <v>4263</v>
      </c>
      <c r="E2464" s="959">
        <v>20</v>
      </c>
      <c r="F2464" s="959">
        <v>188</v>
      </c>
      <c r="G2464" s="959">
        <v>0</v>
      </c>
      <c r="H2464" s="959">
        <v>0</v>
      </c>
    </row>
    <row r="2465" spans="1:8">
      <c r="A2465" s="959" t="s">
        <v>3839</v>
      </c>
      <c r="B2465" s="960" t="s">
        <v>3840</v>
      </c>
      <c r="C2465" s="960" t="s">
        <v>4267</v>
      </c>
      <c r="D2465" s="960" t="s">
        <v>4268</v>
      </c>
      <c r="E2465" s="959">
        <v>0</v>
      </c>
      <c r="F2465" s="959">
        <v>0</v>
      </c>
      <c r="G2465" s="959">
        <v>0</v>
      </c>
      <c r="H2465" s="959">
        <v>2</v>
      </c>
    </row>
    <row r="2466" spans="1:8">
      <c r="A2466" s="959" t="s">
        <v>3841</v>
      </c>
      <c r="B2466" s="960" t="s">
        <v>3842</v>
      </c>
      <c r="C2466" s="960" t="s">
        <v>4275</v>
      </c>
      <c r="D2466" s="960" t="s">
        <v>4276</v>
      </c>
      <c r="E2466" s="959">
        <v>2</v>
      </c>
      <c r="F2466" s="959">
        <v>17</v>
      </c>
      <c r="G2466" s="959">
        <v>1</v>
      </c>
      <c r="H2466" s="959">
        <v>9</v>
      </c>
    </row>
    <row r="2467" spans="1:8">
      <c r="A2467" s="959" t="s">
        <v>3841</v>
      </c>
      <c r="B2467" s="960" t="s">
        <v>3842</v>
      </c>
      <c r="C2467" s="960" t="s">
        <v>4277</v>
      </c>
      <c r="D2467" s="960" t="s">
        <v>4278</v>
      </c>
      <c r="E2467" s="959">
        <v>0</v>
      </c>
      <c r="F2467" s="959">
        <v>0</v>
      </c>
      <c r="G2467" s="959">
        <v>1</v>
      </c>
      <c r="H2467" s="959">
        <v>1</v>
      </c>
    </row>
    <row r="2468" spans="1:8">
      <c r="A2468" s="959" t="s">
        <v>3841</v>
      </c>
      <c r="B2468" s="960" t="s">
        <v>3842</v>
      </c>
      <c r="C2468" s="960" t="s">
        <v>4277</v>
      </c>
      <c r="D2468" s="960" t="s">
        <v>4279</v>
      </c>
      <c r="E2468" s="959">
        <v>0</v>
      </c>
      <c r="F2468" s="959">
        <v>0</v>
      </c>
      <c r="G2468" s="959">
        <v>1</v>
      </c>
      <c r="H2468" s="959">
        <v>1</v>
      </c>
    </row>
    <row r="2469" spans="1:8">
      <c r="A2469" s="959" t="s">
        <v>3841</v>
      </c>
      <c r="B2469" s="960" t="s">
        <v>3842</v>
      </c>
      <c r="C2469" s="960" t="s">
        <v>4256</v>
      </c>
      <c r="D2469" s="960" t="s">
        <v>1906</v>
      </c>
      <c r="E2469" s="959">
        <v>0</v>
      </c>
      <c r="F2469" s="959">
        <v>0</v>
      </c>
      <c r="G2469" s="959">
        <v>2</v>
      </c>
      <c r="H2469" s="959">
        <v>8</v>
      </c>
    </row>
    <row r="2470" spans="1:8">
      <c r="A2470" s="959" t="s">
        <v>3841</v>
      </c>
      <c r="B2470" s="960" t="s">
        <v>3842</v>
      </c>
      <c r="C2470" s="960" t="s">
        <v>4256</v>
      </c>
      <c r="D2470" s="960" t="s">
        <v>1907</v>
      </c>
      <c r="E2470" s="959">
        <v>0</v>
      </c>
      <c r="F2470" s="959">
        <v>0</v>
      </c>
      <c r="G2470" s="959">
        <v>4</v>
      </c>
      <c r="H2470" s="959">
        <v>34</v>
      </c>
    </row>
    <row r="2471" spans="1:8">
      <c r="A2471" s="959" t="s">
        <v>3841</v>
      </c>
      <c r="B2471" s="960" t="s">
        <v>3842</v>
      </c>
      <c r="C2471" s="960" t="s">
        <v>4257</v>
      </c>
      <c r="D2471" s="960" t="s">
        <v>4258</v>
      </c>
      <c r="E2471" s="959">
        <v>4</v>
      </c>
      <c r="F2471" s="959">
        <v>31</v>
      </c>
      <c r="G2471" s="959">
        <v>6</v>
      </c>
      <c r="H2471" s="959">
        <v>38</v>
      </c>
    </row>
    <row r="2472" spans="1:8">
      <c r="A2472" s="959" t="s">
        <v>3841</v>
      </c>
      <c r="B2472" s="960" t="s">
        <v>3842</v>
      </c>
      <c r="C2472" s="960" t="s">
        <v>4262</v>
      </c>
      <c r="D2472" s="960" t="s">
        <v>4263</v>
      </c>
      <c r="E2472" s="959">
        <v>0</v>
      </c>
      <c r="F2472" s="959">
        <v>1</v>
      </c>
      <c r="G2472" s="959">
        <v>0</v>
      </c>
      <c r="H2472" s="959">
        <v>0</v>
      </c>
    </row>
    <row r="2473" spans="1:8">
      <c r="A2473" s="959" t="s">
        <v>3843</v>
      </c>
      <c r="B2473" s="960" t="s">
        <v>3844</v>
      </c>
      <c r="C2473" s="960" t="s">
        <v>4256</v>
      </c>
      <c r="D2473" s="960" t="s">
        <v>470</v>
      </c>
      <c r="E2473" s="959">
        <v>0</v>
      </c>
      <c r="F2473" s="959">
        <v>0</v>
      </c>
      <c r="G2473" s="959">
        <v>0</v>
      </c>
      <c r="H2473" s="959">
        <v>1</v>
      </c>
    </row>
    <row r="2474" spans="1:8">
      <c r="A2474" s="959" t="s">
        <v>3843</v>
      </c>
      <c r="B2474" s="960" t="s">
        <v>3844</v>
      </c>
      <c r="C2474" s="960" t="s">
        <v>4256</v>
      </c>
      <c r="D2474" s="960" t="s">
        <v>1906</v>
      </c>
      <c r="E2474" s="959">
        <v>2</v>
      </c>
      <c r="F2474" s="959">
        <v>21</v>
      </c>
      <c r="G2474" s="959">
        <v>0</v>
      </c>
      <c r="H2474" s="959">
        <v>0</v>
      </c>
    </row>
    <row r="2475" spans="1:8">
      <c r="A2475" s="959" t="s">
        <v>3843</v>
      </c>
      <c r="B2475" s="960" t="s">
        <v>3844</v>
      </c>
      <c r="C2475" s="960" t="s">
        <v>4257</v>
      </c>
      <c r="D2475" s="960" t="s">
        <v>4258</v>
      </c>
      <c r="E2475" s="959">
        <v>1</v>
      </c>
      <c r="F2475" s="959">
        <v>10</v>
      </c>
      <c r="G2475" s="959">
        <v>0</v>
      </c>
      <c r="H2475" s="959">
        <v>0</v>
      </c>
    </row>
    <row r="2476" spans="1:8">
      <c r="A2476" s="959" t="s">
        <v>3843</v>
      </c>
      <c r="B2476" s="960" t="s">
        <v>3844</v>
      </c>
      <c r="C2476" s="960" t="s">
        <v>4262</v>
      </c>
      <c r="D2476" s="960" t="s">
        <v>4263</v>
      </c>
      <c r="E2476" s="959">
        <v>0</v>
      </c>
      <c r="F2476" s="959">
        <v>1</v>
      </c>
      <c r="G2476" s="959">
        <v>0</v>
      </c>
      <c r="H2476" s="959">
        <v>0</v>
      </c>
    </row>
    <row r="2477" spans="1:8">
      <c r="A2477" s="959" t="s">
        <v>3846</v>
      </c>
      <c r="B2477" s="960" t="s">
        <v>351</v>
      </c>
      <c r="C2477" s="960" t="s">
        <v>4256</v>
      </c>
      <c r="D2477" s="960" t="s">
        <v>4259</v>
      </c>
      <c r="E2477" s="959">
        <v>0</v>
      </c>
      <c r="F2477" s="959">
        <v>1</v>
      </c>
      <c r="G2477" s="959">
        <v>0</v>
      </c>
      <c r="H2477" s="959">
        <v>0</v>
      </c>
    </row>
    <row r="2478" spans="1:8">
      <c r="A2478" s="959" t="s">
        <v>3846</v>
      </c>
      <c r="B2478" s="960" t="s">
        <v>351</v>
      </c>
      <c r="C2478" s="960" t="s">
        <v>4262</v>
      </c>
      <c r="D2478" s="960" t="s">
        <v>4263</v>
      </c>
      <c r="E2478" s="959">
        <v>0</v>
      </c>
      <c r="F2478" s="959">
        <v>1</v>
      </c>
      <c r="G2478" s="959">
        <v>0</v>
      </c>
      <c r="H2478" s="959">
        <v>0</v>
      </c>
    </row>
    <row r="2479" spans="1:8">
      <c r="A2479" s="959" t="s">
        <v>3846</v>
      </c>
      <c r="B2479" s="960" t="s">
        <v>351</v>
      </c>
      <c r="C2479" s="960" t="s">
        <v>4267</v>
      </c>
      <c r="D2479" s="960" t="s">
        <v>4268</v>
      </c>
      <c r="E2479" s="959">
        <v>0</v>
      </c>
      <c r="F2479" s="959">
        <v>0</v>
      </c>
      <c r="G2479" s="959">
        <v>0</v>
      </c>
      <c r="H2479" s="959">
        <v>2</v>
      </c>
    </row>
    <row r="2480" spans="1:8">
      <c r="A2480" s="959" t="s">
        <v>3847</v>
      </c>
      <c r="B2480" s="960" t="s">
        <v>3848</v>
      </c>
      <c r="C2480" s="960" t="s">
        <v>4267</v>
      </c>
      <c r="D2480" s="960" t="s">
        <v>4268</v>
      </c>
      <c r="E2480" s="959">
        <v>0</v>
      </c>
      <c r="F2480" s="959">
        <v>0</v>
      </c>
      <c r="G2480" s="959">
        <v>0</v>
      </c>
      <c r="H2480" s="959">
        <v>2</v>
      </c>
    </row>
    <row r="2481" spans="1:8">
      <c r="A2481" s="959" t="s">
        <v>3849</v>
      </c>
      <c r="B2481" s="960" t="s">
        <v>3850</v>
      </c>
      <c r="C2481" s="960" t="s">
        <v>4267</v>
      </c>
      <c r="D2481" s="960" t="s">
        <v>4268</v>
      </c>
      <c r="E2481" s="959">
        <v>0</v>
      </c>
      <c r="F2481" s="959">
        <v>0</v>
      </c>
      <c r="G2481" s="959">
        <v>0</v>
      </c>
      <c r="H2481" s="959">
        <v>4</v>
      </c>
    </row>
    <row r="2482" spans="1:8">
      <c r="A2482" s="959" t="s">
        <v>3851</v>
      </c>
      <c r="B2482" s="960" t="s">
        <v>1429</v>
      </c>
      <c r="C2482" s="960" t="s">
        <v>4256</v>
      </c>
      <c r="D2482" s="960" t="s">
        <v>1907</v>
      </c>
      <c r="E2482" s="959">
        <v>0</v>
      </c>
      <c r="F2482" s="959">
        <v>2</v>
      </c>
      <c r="G2482" s="959">
        <v>0</v>
      </c>
      <c r="H2482" s="959">
        <v>0</v>
      </c>
    </row>
    <row r="2483" spans="1:8">
      <c r="A2483" s="959" t="s">
        <v>3853</v>
      </c>
      <c r="B2483" s="960" t="s">
        <v>1094</v>
      </c>
      <c r="C2483" s="960" t="s">
        <v>4275</v>
      </c>
      <c r="D2483" s="960" t="s">
        <v>4276</v>
      </c>
      <c r="E2483" s="959">
        <v>0</v>
      </c>
      <c r="F2483" s="959">
        <v>1</v>
      </c>
      <c r="G2483" s="959">
        <v>0</v>
      </c>
      <c r="H2483" s="959">
        <v>0</v>
      </c>
    </row>
    <row r="2484" spans="1:8">
      <c r="A2484" s="959" t="s">
        <v>3853</v>
      </c>
      <c r="B2484" s="960" t="s">
        <v>1094</v>
      </c>
      <c r="C2484" s="960" t="s">
        <v>4256</v>
      </c>
      <c r="D2484" s="960" t="s">
        <v>470</v>
      </c>
      <c r="E2484" s="959">
        <v>0</v>
      </c>
      <c r="F2484" s="959">
        <v>0</v>
      </c>
      <c r="G2484" s="959">
        <v>0</v>
      </c>
      <c r="H2484" s="959">
        <v>1</v>
      </c>
    </row>
    <row r="2485" spans="1:8">
      <c r="A2485" s="959" t="s">
        <v>3853</v>
      </c>
      <c r="B2485" s="960" t="s">
        <v>1094</v>
      </c>
      <c r="C2485" s="960" t="s">
        <v>4256</v>
      </c>
      <c r="D2485" s="960" t="s">
        <v>1904</v>
      </c>
      <c r="E2485" s="959">
        <v>0</v>
      </c>
      <c r="F2485" s="959">
        <v>0</v>
      </c>
      <c r="G2485" s="959">
        <v>0</v>
      </c>
      <c r="H2485" s="959">
        <v>1</v>
      </c>
    </row>
    <row r="2486" spans="1:8">
      <c r="A2486" s="959" t="s">
        <v>3853</v>
      </c>
      <c r="B2486" s="960" t="s">
        <v>1094</v>
      </c>
      <c r="C2486" s="960" t="s">
        <v>4256</v>
      </c>
      <c r="D2486" s="960" t="s">
        <v>4259</v>
      </c>
      <c r="E2486" s="959">
        <v>0</v>
      </c>
      <c r="F2486" s="959">
        <v>5</v>
      </c>
      <c r="G2486" s="959">
        <v>0</v>
      </c>
      <c r="H2486" s="959">
        <v>2</v>
      </c>
    </row>
    <row r="2487" spans="1:8">
      <c r="A2487" s="959" t="s">
        <v>3853</v>
      </c>
      <c r="B2487" s="960" t="s">
        <v>1094</v>
      </c>
      <c r="C2487" s="960" t="s">
        <v>4256</v>
      </c>
      <c r="D2487" s="960" t="s">
        <v>4260</v>
      </c>
      <c r="E2487" s="959">
        <v>0</v>
      </c>
      <c r="F2487" s="959">
        <v>0</v>
      </c>
      <c r="G2487" s="959">
        <v>2</v>
      </c>
      <c r="H2487" s="959">
        <v>4</v>
      </c>
    </row>
    <row r="2488" spans="1:8">
      <c r="A2488" s="959" t="s">
        <v>3853</v>
      </c>
      <c r="B2488" s="960" t="s">
        <v>1094</v>
      </c>
      <c r="C2488" s="960" t="s">
        <v>4256</v>
      </c>
      <c r="D2488" s="960" t="s">
        <v>4265</v>
      </c>
      <c r="E2488" s="959">
        <v>0</v>
      </c>
      <c r="F2488" s="959">
        <v>0</v>
      </c>
      <c r="G2488" s="959">
        <v>1</v>
      </c>
      <c r="H2488" s="959">
        <v>3</v>
      </c>
    </row>
    <row r="2489" spans="1:8">
      <c r="A2489" s="959" t="s">
        <v>3853</v>
      </c>
      <c r="B2489" s="960" t="s">
        <v>1094</v>
      </c>
      <c r="C2489" s="960" t="s">
        <v>4256</v>
      </c>
      <c r="D2489" s="960" t="s">
        <v>4271</v>
      </c>
      <c r="E2489" s="959">
        <v>0</v>
      </c>
      <c r="F2489" s="959">
        <v>0</v>
      </c>
      <c r="G2489" s="959">
        <v>0</v>
      </c>
      <c r="H2489" s="959">
        <v>2</v>
      </c>
    </row>
    <row r="2490" spans="1:8">
      <c r="A2490" s="959" t="s">
        <v>3853</v>
      </c>
      <c r="B2490" s="960" t="s">
        <v>1094</v>
      </c>
      <c r="C2490" s="960" t="s">
        <v>4256</v>
      </c>
      <c r="D2490" s="960" t="s">
        <v>4261</v>
      </c>
      <c r="E2490" s="959">
        <v>0</v>
      </c>
      <c r="F2490" s="959">
        <v>0</v>
      </c>
      <c r="G2490" s="959">
        <v>0</v>
      </c>
      <c r="H2490" s="959">
        <v>2</v>
      </c>
    </row>
    <row r="2491" spans="1:8">
      <c r="A2491" s="959" t="s">
        <v>3853</v>
      </c>
      <c r="B2491" s="960" t="s">
        <v>1094</v>
      </c>
      <c r="C2491" s="960" t="s">
        <v>4257</v>
      </c>
      <c r="D2491" s="960" t="s">
        <v>4258</v>
      </c>
      <c r="E2491" s="959">
        <v>0</v>
      </c>
      <c r="F2491" s="959">
        <v>1</v>
      </c>
      <c r="G2491" s="959">
        <v>0</v>
      </c>
      <c r="H2491" s="959">
        <v>3</v>
      </c>
    </row>
    <row r="2492" spans="1:8">
      <c r="A2492" s="959" t="s">
        <v>3855</v>
      </c>
      <c r="B2492" s="960" t="s">
        <v>3856</v>
      </c>
      <c r="C2492" s="960" t="s">
        <v>4275</v>
      </c>
      <c r="D2492" s="960" t="s">
        <v>4276</v>
      </c>
      <c r="E2492" s="959">
        <v>2</v>
      </c>
      <c r="F2492" s="959">
        <v>23</v>
      </c>
      <c r="G2492" s="959">
        <v>0</v>
      </c>
      <c r="H2492" s="959">
        <v>0</v>
      </c>
    </row>
    <row r="2493" spans="1:8">
      <c r="A2493" s="959" t="s">
        <v>3855</v>
      </c>
      <c r="B2493" s="960" t="s">
        <v>3856</v>
      </c>
      <c r="C2493" s="960" t="s">
        <v>4277</v>
      </c>
      <c r="D2493" s="960" t="s">
        <v>4278</v>
      </c>
      <c r="E2493" s="959">
        <v>0</v>
      </c>
      <c r="F2493" s="959">
        <v>0</v>
      </c>
      <c r="G2493" s="959">
        <v>0</v>
      </c>
      <c r="H2493" s="959">
        <v>17</v>
      </c>
    </row>
    <row r="2494" spans="1:8">
      <c r="A2494" s="959" t="s">
        <v>3855</v>
      </c>
      <c r="B2494" s="960" t="s">
        <v>3856</v>
      </c>
      <c r="C2494" s="960" t="s">
        <v>4277</v>
      </c>
      <c r="D2494" s="960" t="s">
        <v>4279</v>
      </c>
      <c r="E2494" s="959">
        <v>0</v>
      </c>
      <c r="F2494" s="959">
        <v>0</v>
      </c>
      <c r="G2494" s="959">
        <v>20</v>
      </c>
      <c r="H2494" s="959">
        <v>9</v>
      </c>
    </row>
    <row r="2495" spans="1:8">
      <c r="A2495" s="959" t="s">
        <v>3855</v>
      </c>
      <c r="B2495" s="960" t="s">
        <v>3856</v>
      </c>
      <c r="C2495" s="960" t="s">
        <v>4256</v>
      </c>
      <c r="D2495" s="960" t="s">
        <v>4272</v>
      </c>
      <c r="E2495" s="959">
        <v>0</v>
      </c>
      <c r="F2495" s="959">
        <v>0</v>
      </c>
      <c r="G2495" s="959">
        <v>1</v>
      </c>
      <c r="H2495" s="959">
        <v>19</v>
      </c>
    </row>
    <row r="2496" spans="1:8">
      <c r="A2496" s="959" t="s">
        <v>3855</v>
      </c>
      <c r="B2496" s="960" t="s">
        <v>3856</v>
      </c>
      <c r="C2496" s="960" t="s">
        <v>4256</v>
      </c>
      <c r="D2496" s="960" t="s">
        <v>1906</v>
      </c>
      <c r="E2496" s="959">
        <v>0</v>
      </c>
      <c r="F2496" s="959">
        <v>4</v>
      </c>
      <c r="G2496" s="959">
        <v>0</v>
      </c>
      <c r="H2496" s="959">
        <v>5</v>
      </c>
    </row>
    <row r="2497" spans="1:8">
      <c r="A2497" s="959" t="s">
        <v>3855</v>
      </c>
      <c r="B2497" s="960" t="s">
        <v>3856</v>
      </c>
      <c r="C2497" s="960" t="s">
        <v>4257</v>
      </c>
      <c r="D2497" s="960" t="s">
        <v>4258</v>
      </c>
      <c r="E2497" s="959">
        <v>10</v>
      </c>
      <c r="F2497" s="959">
        <v>187</v>
      </c>
      <c r="G2497" s="959">
        <v>1</v>
      </c>
      <c r="H2497" s="959">
        <v>14</v>
      </c>
    </row>
    <row r="2498" spans="1:8">
      <c r="A2498" s="959" t="s">
        <v>3857</v>
      </c>
      <c r="B2498" s="960" t="s">
        <v>1443</v>
      </c>
      <c r="C2498" s="960" t="s">
        <v>4256</v>
      </c>
      <c r="D2498" s="960" t="s">
        <v>4259</v>
      </c>
      <c r="E2498" s="959">
        <v>0</v>
      </c>
      <c r="F2498" s="959">
        <v>3</v>
      </c>
      <c r="G2498" s="959">
        <v>0</v>
      </c>
      <c r="H2498" s="959">
        <v>0</v>
      </c>
    </row>
    <row r="2499" spans="1:8">
      <c r="A2499" s="959" t="s">
        <v>3857</v>
      </c>
      <c r="B2499" s="960" t="s">
        <v>1443</v>
      </c>
      <c r="C2499" s="960" t="s">
        <v>4262</v>
      </c>
      <c r="D2499" s="960" t="s">
        <v>4263</v>
      </c>
      <c r="E2499" s="959">
        <v>0</v>
      </c>
      <c r="F2499" s="959">
        <v>2</v>
      </c>
      <c r="G2499" s="959">
        <v>0</v>
      </c>
      <c r="H2499" s="959">
        <v>0</v>
      </c>
    </row>
    <row r="2500" spans="1:8">
      <c r="A2500" s="959" t="s">
        <v>3859</v>
      </c>
      <c r="B2500" s="960" t="s">
        <v>1446</v>
      </c>
      <c r="C2500" s="960" t="s">
        <v>4256</v>
      </c>
      <c r="D2500" s="960" t="s">
        <v>4259</v>
      </c>
      <c r="E2500" s="959">
        <v>0</v>
      </c>
      <c r="F2500" s="959">
        <v>6</v>
      </c>
      <c r="G2500" s="959">
        <v>1</v>
      </c>
      <c r="H2500" s="959">
        <v>20</v>
      </c>
    </row>
    <row r="2501" spans="1:8">
      <c r="A2501" s="959" t="s">
        <v>3859</v>
      </c>
      <c r="B2501" s="960" t="s">
        <v>1446</v>
      </c>
      <c r="C2501" s="960" t="s">
        <v>4256</v>
      </c>
      <c r="D2501" s="960" t="s">
        <v>4260</v>
      </c>
      <c r="E2501" s="959">
        <v>0</v>
      </c>
      <c r="F2501" s="959">
        <v>1</v>
      </c>
      <c r="G2501" s="959">
        <v>0</v>
      </c>
      <c r="H2501" s="959">
        <v>2</v>
      </c>
    </row>
    <row r="2502" spans="1:8">
      <c r="A2502" s="959" t="s">
        <v>3859</v>
      </c>
      <c r="B2502" s="960" t="s">
        <v>1446</v>
      </c>
      <c r="C2502" s="960" t="s">
        <v>4256</v>
      </c>
      <c r="D2502" s="960" t="s">
        <v>4265</v>
      </c>
      <c r="E2502" s="959">
        <v>0</v>
      </c>
      <c r="F2502" s="959">
        <v>0</v>
      </c>
      <c r="G2502" s="959">
        <v>0</v>
      </c>
      <c r="H2502" s="959">
        <v>2</v>
      </c>
    </row>
    <row r="2503" spans="1:8">
      <c r="A2503" s="959" t="s">
        <v>3859</v>
      </c>
      <c r="B2503" s="960" t="s">
        <v>1446</v>
      </c>
      <c r="C2503" s="960" t="s">
        <v>4256</v>
      </c>
      <c r="D2503" s="960" t="s">
        <v>4271</v>
      </c>
      <c r="E2503" s="959">
        <v>0</v>
      </c>
      <c r="F2503" s="959">
        <v>1</v>
      </c>
      <c r="G2503" s="959">
        <v>0</v>
      </c>
      <c r="H2503" s="959">
        <v>0</v>
      </c>
    </row>
    <row r="2504" spans="1:8">
      <c r="A2504" s="959" t="s">
        <v>3859</v>
      </c>
      <c r="B2504" s="960" t="s">
        <v>1446</v>
      </c>
      <c r="C2504" s="960" t="s">
        <v>4257</v>
      </c>
      <c r="D2504" s="960" t="s">
        <v>4258</v>
      </c>
      <c r="E2504" s="959">
        <v>0</v>
      </c>
      <c r="F2504" s="959">
        <v>1</v>
      </c>
      <c r="G2504" s="959">
        <v>0</v>
      </c>
      <c r="H2504" s="959">
        <v>0</v>
      </c>
    </row>
    <row r="2505" spans="1:8">
      <c r="A2505" s="959" t="s">
        <v>3860</v>
      </c>
      <c r="B2505" s="960" t="s">
        <v>3861</v>
      </c>
      <c r="C2505" s="960" t="s">
        <v>4257</v>
      </c>
      <c r="D2505" s="960" t="s">
        <v>4258</v>
      </c>
      <c r="E2505" s="959">
        <v>6</v>
      </c>
      <c r="F2505" s="959">
        <v>122</v>
      </c>
      <c r="G2505" s="959">
        <v>0</v>
      </c>
      <c r="H2505" s="959">
        <v>2</v>
      </c>
    </row>
    <row r="2506" spans="1:8">
      <c r="A2506" s="959" t="s">
        <v>3860</v>
      </c>
      <c r="B2506" s="960" t="s">
        <v>3861</v>
      </c>
      <c r="C2506" s="960" t="s">
        <v>4262</v>
      </c>
      <c r="D2506" s="960" t="s">
        <v>4263</v>
      </c>
      <c r="E2506" s="959">
        <v>3</v>
      </c>
      <c r="F2506" s="959">
        <v>75</v>
      </c>
      <c r="G2506" s="959">
        <v>0</v>
      </c>
      <c r="H2506" s="959">
        <v>0</v>
      </c>
    </row>
    <row r="2507" spans="1:8">
      <c r="A2507" s="959" t="s">
        <v>3862</v>
      </c>
      <c r="B2507" s="960" t="s">
        <v>1450</v>
      </c>
      <c r="C2507" s="960" t="s">
        <v>4256</v>
      </c>
      <c r="D2507" s="960" t="s">
        <v>4265</v>
      </c>
      <c r="E2507" s="959">
        <v>0</v>
      </c>
      <c r="F2507" s="959">
        <v>0</v>
      </c>
      <c r="G2507" s="959">
        <v>0</v>
      </c>
      <c r="H2507" s="959">
        <v>1</v>
      </c>
    </row>
    <row r="2508" spans="1:8">
      <c r="A2508" s="959" t="s">
        <v>3862</v>
      </c>
      <c r="B2508" s="960" t="s">
        <v>1450</v>
      </c>
      <c r="C2508" s="960" t="s">
        <v>4257</v>
      </c>
      <c r="D2508" s="960" t="s">
        <v>4258</v>
      </c>
      <c r="E2508" s="959">
        <v>0</v>
      </c>
      <c r="F2508" s="959">
        <v>1</v>
      </c>
      <c r="G2508" s="959">
        <v>0</v>
      </c>
      <c r="H2508" s="959">
        <v>0</v>
      </c>
    </row>
    <row r="2509" spans="1:8">
      <c r="A2509" s="959" t="s">
        <v>3863</v>
      </c>
      <c r="B2509" s="960" t="s">
        <v>1457</v>
      </c>
      <c r="C2509" s="960" t="s">
        <v>4256</v>
      </c>
      <c r="D2509" s="960" t="s">
        <v>4259</v>
      </c>
      <c r="E2509" s="959">
        <v>0</v>
      </c>
      <c r="F2509" s="959">
        <v>2</v>
      </c>
      <c r="G2509" s="959">
        <v>0</v>
      </c>
      <c r="H2509" s="959">
        <v>0</v>
      </c>
    </row>
    <row r="2510" spans="1:8">
      <c r="A2510" s="959" t="s">
        <v>3863</v>
      </c>
      <c r="B2510" s="960" t="s">
        <v>1457</v>
      </c>
      <c r="C2510" s="960" t="s">
        <v>4256</v>
      </c>
      <c r="D2510" s="960" t="s">
        <v>4260</v>
      </c>
      <c r="E2510" s="959">
        <v>0</v>
      </c>
      <c r="F2510" s="959">
        <v>2</v>
      </c>
      <c r="G2510" s="959">
        <v>0</v>
      </c>
      <c r="H2510" s="959">
        <v>2</v>
      </c>
    </row>
    <row r="2511" spans="1:8">
      <c r="A2511" s="959" t="s">
        <v>3863</v>
      </c>
      <c r="B2511" s="960" t="s">
        <v>1457</v>
      </c>
      <c r="C2511" s="960" t="s">
        <v>4256</v>
      </c>
      <c r="D2511" s="960" t="s">
        <v>1906</v>
      </c>
      <c r="E2511" s="959">
        <v>0</v>
      </c>
      <c r="F2511" s="959">
        <v>1</v>
      </c>
      <c r="G2511" s="959">
        <v>0</v>
      </c>
      <c r="H2511" s="959">
        <v>0</v>
      </c>
    </row>
    <row r="2512" spans="1:8">
      <c r="A2512" s="959" t="s">
        <v>3863</v>
      </c>
      <c r="B2512" s="960" t="s">
        <v>1457</v>
      </c>
      <c r="C2512" s="960" t="s">
        <v>4257</v>
      </c>
      <c r="D2512" s="960" t="s">
        <v>4258</v>
      </c>
      <c r="E2512" s="959">
        <v>0</v>
      </c>
      <c r="F2512" s="959">
        <v>1</v>
      </c>
      <c r="G2512" s="959">
        <v>0</v>
      </c>
      <c r="H2512" s="959">
        <v>0</v>
      </c>
    </row>
    <row r="2513" spans="1:8">
      <c r="A2513" s="959" t="s">
        <v>3863</v>
      </c>
      <c r="B2513" s="960" t="s">
        <v>1457</v>
      </c>
      <c r="C2513" s="960" t="s">
        <v>4262</v>
      </c>
      <c r="D2513" s="960" t="s">
        <v>4263</v>
      </c>
      <c r="E2513" s="959">
        <v>9</v>
      </c>
      <c r="F2513" s="959">
        <v>376</v>
      </c>
      <c r="G2513" s="959">
        <v>0</v>
      </c>
      <c r="H2513" s="959">
        <v>0</v>
      </c>
    </row>
    <row r="2514" spans="1:8">
      <c r="A2514" s="959" t="s">
        <v>3864</v>
      </c>
      <c r="B2514" s="960" t="s">
        <v>3865</v>
      </c>
      <c r="C2514" s="960" t="s">
        <v>4256</v>
      </c>
      <c r="D2514" s="960" t="s">
        <v>1906</v>
      </c>
      <c r="E2514" s="959">
        <v>1</v>
      </c>
      <c r="F2514" s="959">
        <v>17</v>
      </c>
      <c r="G2514" s="959">
        <v>0</v>
      </c>
      <c r="H2514" s="959">
        <v>1</v>
      </c>
    </row>
    <row r="2515" spans="1:8">
      <c r="A2515" s="959" t="s">
        <v>3864</v>
      </c>
      <c r="B2515" s="960" t="s">
        <v>3865</v>
      </c>
      <c r="C2515" s="960" t="s">
        <v>4257</v>
      </c>
      <c r="D2515" s="960" t="s">
        <v>4258</v>
      </c>
      <c r="E2515" s="959">
        <v>2</v>
      </c>
      <c r="F2515" s="959">
        <v>26</v>
      </c>
      <c r="G2515" s="959">
        <v>0</v>
      </c>
      <c r="H2515" s="959">
        <v>0</v>
      </c>
    </row>
    <row r="2516" spans="1:8">
      <c r="A2516" s="959" t="s">
        <v>3866</v>
      </c>
      <c r="B2516" s="960" t="s">
        <v>1458</v>
      </c>
      <c r="C2516" s="960" t="s">
        <v>4256</v>
      </c>
      <c r="D2516" s="960" t="s">
        <v>4260</v>
      </c>
      <c r="E2516" s="959">
        <v>0</v>
      </c>
      <c r="F2516" s="959">
        <v>0</v>
      </c>
      <c r="G2516" s="959">
        <v>0</v>
      </c>
      <c r="H2516" s="959">
        <v>1</v>
      </c>
    </row>
    <row r="2517" spans="1:8">
      <c r="A2517" s="959" t="s">
        <v>3866</v>
      </c>
      <c r="B2517" s="960" t="s">
        <v>1458</v>
      </c>
      <c r="C2517" s="960" t="s">
        <v>4257</v>
      </c>
      <c r="D2517" s="960" t="s">
        <v>4258</v>
      </c>
      <c r="E2517" s="959">
        <v>0</v>
      </c>
      <c r="F2517" s="959">
        <v>1</v>
      </c>
      <c r="G2517" s="959">
        <v>0</v>
      </c>
      <c r="H2517" s="959">
        <v>0</v>
      </c>
    </row>
    <row r="2518" spans="1:8">
      <c r="A2518" s="959" t="s">
        <v>3867</v>
      </c>
      <c r="B2518" s="960" t="s">
        <v>1463</v>
      </c>
      <c r="C2518" s="960" t="s">
        <v>4256</v>
      </c>
      <c r="D2518" s="960" t="s">
        <v>470</v>
      </c>
      <c r="E2518" s="959">
        <v>0</v>
      </c>
      <c r="F2518" s="959">
        <v>0</v>
      </c>
      <c r="G2518" s="959">
        <v>0</v>
      </c>
      <c r="H2518" s="959">
        <v>2</v>
      </c>
    </row>
    <row r="2519" spans="1:8">
      <c r="A2519" s="959" t="s">
        <v>3867</v>
      </c>
      <c r="B2519" s="960" t="s">
        <v>1463</v>
      </c>
      <c r="C2519" s="960" t="s">
        <v>4256</v>
      </c>
      <c r="D2519" s="960" t="s">
        <v>1904</v>
      </c>
      <c r="E2519" s="959">
        <v>0</v>
      </c>
      <c r="F2519" s="959">
        <v>0</v>
      </c>
      <c r="G2519" s="959">
        <v>0</v>
      </c>
      <c r="H2519" s="959">
        <v>1</v>
      </c>
    </row>
    <row r="2520" spans="1:8">
      <c r="A2520" s="959" t="s">
        <v>3867</v>
      </c>
      <c r="B2520" s="960" t="s">
        <v>1463</v>
      </c>
      <c r="C2520" s="960" t="s">
        <v>4256</v>
      </c>
      <c r="D2520" s="960" t="s">
        <v>4259</v>
      </c>
      <c r="E2520" s="959">
        <v>0</v>
      </c>
      <c r="F2520" s="959">
        <v>0</v>
      </c>
      <c r="G2520" s="959">
        <v>1</v>
      </c>
      <c r="H2520" s="959">
        <v>10</v>
      </c>
    </row>
    <row r="2521" spans="1:8">
      <c r="A2521" s="959" t="s">
        <v>3867</v>
      </c>
      <c r="B2521" s="960" t="s">
        <v>1463</v>
      </c>
      <c r="C2521" s="960" t="s">
        <v>4256</v>
      </c>
      <c r="D2521" s="960" t="s">
        <v>4260</v>
      </c>
      <c r="E2521" s="959">
        <v>0</v>
      </c>
      <c r="F2521" s="959">
        <v>0</v>
      </c>
      <c r="G2521" s="959">
        <v>0</v>
      </c>
      <c r="H2521" s="959">
        <v>14</v>
      </c>
    </row>
    <row r="2522" spans="1:8">
      <c r="A2522" s="959" t="s">
        <v>3867</v>
      </c>
      <c r="B2522" s="960" t="s">
        <v>1463</v>
      </c>
      <c r="C2522" s="960" t="s">
        <v>4256</v>
      </c>
      <c r="D2522" s="960" t="s">
        <v>4265</v>
      </c>
      <c r="E2522" s="959">
        <v>0</v>
      </c>
      <c r="F2522" s="959">
        <v>0</v>
      </c>
      <c r="G2522" s="959">
        <v>0</v>
      </c>
      <c r="H2522" s="959">
        <v>1</v>
      </c>
    </row>
    <row r="2523" spans="1:8">
      <c r="A2523" s="959" t="s">
        <v>3867</v>
      </c>
      <c r="B2523" s="960" t="s">
        <v>1463</v>
      </c>
      <c r="C2523" s="960" t="s">
        <v>4257</v>
      </c>
      <c r="D2523" s="960" t="s">
        <v>4258</v>
      </c>
      <c r="E2523" s="959">
        <v>0</v>
      </c>
      <c r="F2523" s="959">
        <v>23</v>
      </c>
      <c r="G2523" s="959">
        <v>0</v>
      </c>
      <c r="H2523" s="959">
        <v>0</v>
      </c>
    </row>
    <row r="2524" spans="1:8">
      <c r="A2524" s="959" t="s">
        <v>3867</v>
      </c>
      <c r="B2524" s="960" t="s">
        <v>1463</v>
      </c>
      <c r="C2524" s="960" t="s">
        <v>4262</v>
      </c>
      <c r="D2524" s="960" t="s">
        <v>4263</v>
      </c>
      <c r="E2524" s="959">
        <v>3</v>
      </c>
      <c r="F2524" s="959">
        <v>92</v>
      </c>
      <c r="G2524" s="959">
        <v>0</v>
      </c>
      <c r="H2524" s="959">
        <v>0</v>
      </c>
    </row>
    <row r="2525" spans="1:8">
      <c r="A2525" s="959" t="s">
        <v>3868</v>
      </c>
      <c r="B2525" s="960" t="s">
        <v>3869</v>
      </c>
      <c r="C2525" s="960" t="s">
        <v>4257</v>
      </c>
      <c r="D2525" s="960" t="s">
        <v>4258</v>
      </c>
      <c r="E2525" s="959">
        <v>1</v>
      </c>
      <c r="F2525" s="959">
        <v>0</v>
      </c>
      <c r="G2525" s="959">
        <v>0</v>
      </c>
      <c r="H2525" s="959">
        <v>0</v>
      </c>
    </row>
    <row r="2526" spans="1:8">
      <c r="A2526" s="959" t="s">
        <v>3868</v>
      </c>
      <c r="B2526" s="960" t="s">
        <v>3869</v>
      </c>
      <c r="C2526" s="960" t="s">
        <v>4262</v>
      </c>
      <c r="D2526" s="960" t="s">
        <v>4263</v>
      </c>
      <c r="E2526" s="959">
        <v>0</v>
      </c>
      <c r="F2526" s="959">
        <v>7</v>
      </c>
      <c r="G2526" s="959">
        <v>0</v>
      </c>
      <c r="H2526" s="959">
        <v>0</v>
      </c>
    </row>
    <row r="2527" spans="1:8">
      <c r="A2527" s="959" t="s">
        <v>3868</v>
      </c>
      <c r="B2527" s="960" t="s">
        <v>3869</v>
      </c>
      <c r="C2527" s="960" t="s">
        <v>4267</v>
      </c>
      <c r="D2527" s="960" t="s">
        <v>4268</v>
      </c>
      <c r="E2527" s="959">
        <v>0</v>
      </c>
      <c r="F2527" s="959">
        <v>0</v>
      </c>
      <c r="G2527" s="959">
        <v>0</v>
      </c>
      <c r="H2527" s="959">
        <v>1</v>
      </c>
    </row>
    <row r="2528" spans="1:8">
      <c r="A2528" s="959" t="s">
        <v>3870</v>
      </c>
      <c r="B2528" s="960" t="s">
        <v>1466</v>
      </c>
      <c r="C2528" s="960" t="s">
        <v>4256</v>
      </c>
      <c r="D2528" s="960" t="s">
        <v>1906</v>
      </c>
      <c r="E2528" s="959">
        <v>0</v>
      </c>
      <c r="F2528" s="959">
        <v>1</v>
      </c>
      <c r="G2528" s="959">
        <v>0</v>
      </c>
      <c r="H2528" s="959">
        <v>0</v>
      </c>
    </row>
    <row r="2529" spans="1:8">
      <c r="A2529" s="959" t="s">
        <v>3870</v>
      </c>
      <c r="B2529" s="960" t="s">
        <v>1466</v>
      </c>
      <c r="C2529" s="960" t="s">
        <v>4256</v>
      </c>
      <c r="D2529" s="960" t="s">
        <v>1907</v>
      </c>
      <c r="E2529" s="959">
        <v>0</v>
      </c>
      <c r="F2529" s="959">
        <v>2</v>
      </c>
      <c r="G2529" s="959">
        <v>0</v>
      </c>
      <c r="H2529" s="959">
        <v>0</v>
      </c>
    </row>
    <row r="2530" spans="1:8">
      <c r="A2530" s="959" t="s">
        <v>3870</v>
      </c>
      <c r="B2530" s="960" t="s">
        <v>1466</v>
      </c>
      <c r="C2530" s="960" t="s">
        <v>4257</v>
      </c>
      <c r="D2530" s="960" t="s">
        <v>4258</v>
      </c>
      <c r="E2530" s="959">
        <v>0</v>
      </c>
      <c r="F2530" s="959">
        <v>4</v>
      </c>
      <c r="G2530" s="959">
        <v>0</v>
      </c>
      <c r="H2530" s="959">
        <v>0</v>
      </c>
    </row>
    <row r="2531" spans="1:8">
      <c r="A2531" s="959" t="s">
        <v>3870</v>
      </c>
      <c r="B2531" s="960" t="s">
        <v>1466</v>
      </c>
      <c r="C2531" s="960" t="s">
        <v>4262</v>
      </c>
      <c r="D2531" s="960" t="s">
        <v>4263</v>
      </c>
      <c r="E2531" s="959">
        <v>0</v>
      </c>
      <c r="F2531" s="959">
        <v>3</v>
      </c>
      <c r="G2531" s="959">
        <v>0</v>
      </c>
      <c r="H2531" s="959">
        <v>0</v>
      </c>
    </row>
    <row r="2532" spans="1:8">
      <c r="A2532" s="959" t="s">
        <v>3871</v>
      </c>
      <c r="B2532" s="960" t="s">
        <v>3872</v>
      </c>
      <c r="C2532" s="960" t="s">
        <v>4262</v>
      </c>
      <c r="D2532" s="960" t="s">
        <v>4263</v>
      </c>
      <c r="E2532" s="959">
        <v>0</v>
      </c>
      <c r="F2532" s="959">
        <v>5</v>
      </c>
      <c r="G2532" s="959">
        <v>0</v>
      </c>
      <c r="H2532" s="959">
        <v>0</v>
      </c>
    </row>
    <row r="2533" spans="1:8">
      <c r="A2533" s="959" t="s">
        <v>3873</v>
      </c>
      <c r="B2533" s="960" t="s">
        <v>1028</v>
      </c>
      <c r="C2533" s="960" t="s">
        <v>4256</v>
      </c>
      <c r="D2533" s="960" t="s">
        <v>470</v>
      </c>
      <c r="E2533" s="959">
        <v>0</v>
      </c>
      <c r="F2533" s="959">
        <v>0</v>
      </c>
      <c r="G2533" s="959">
        <v>0</v>
      </c>
      <c r="H2533" s="959">
        <v>1</v>
      </c>
    </row>
    <row r="2534" spans="1:8">
      <c r="A2534" s="959" t="s">
        <v>3873</v>
      </c>
      <c r="B2534" s="960" t="s">
        <v>1028</v>
      </c>
      <c r="C2534" s="960" t="s">
        <v>4256</v>
      </c>
      <c r="D2534" s="960" t="s">
        <v>1904</v>
      </c>
      <c r="E2534" s="959">
        <v>0</v>
      </c>
      <c r="F2534" s="959">
        <v>0</v>
      </c>
      <c r="G2534" s="959">
        <v>0</v>
      </c>
      <c r="H2534" s="959">
        <v>1</v>
      </c>
    </row>
    <row r="2535" spans="1:8">
      <c r="A2535" s="959" t="s">
        <v>3873</v>
      </c>
      <c r="B2535" s="960" t="s">
        <v>1028</v>
      </c>
      <c r="C2535" s="960" t="s">
        <v>4256</v>
      </c>
      <c r="D2535" s="960" t="s">
        <v>4270</v>
      </c>
      <c r="E2535" s="959">
        <v>0</v>
      </c>
      <c r="F2535" s="959">
        <v>0</v>
      </c>
      <c r="G2535" s="959">
        <v>0</v>
      </c>
      <c r="H2535" s="959">
        <v>2</v>
      </c>
    </row>
    <row r="2536" spans="1:8">
      <c r="A2536" s="959" t="s">
        <v>3873</v>
      </c>
      <c r="B2536" s="960" t="s">
        <v>1028</v>
      </c>
      <c r="C2536" s="960" t="s">
        <v>4256</v>
      </c>
      <c r="D2536" s="960" t="s">
        <v>4259</v>
      </c>
      <c r="E2536" s="959">
        <v>0</v>
      </c>
      <c r="F2536" s="959">
        <v>0</v>
      </c>
      <c r="G2536" s="959">
        <v>0</v>
      </c>
      <c r="H2536" s="959">
        <v>5</v>
      </c>
    </row>
    <row r="2537" spans="1:8">
      <c r="A2537" s="959" t="s">
        <v>3873</v>
      </c>
      <c r="B2537" s="960" t="s">
        <v>1028</v>
      </c>
      <c r="C2537" s="960" t="s">
        <v>4256</v>
      </c>
      <c r="D2537" s="960" t="s">
        <v>4260</v>
      </c>
      <c r="E2537" s="959">
        <v>0</v>
      </c>
      <c r="F2537" s="959">
        <v>0</v>
      </c>
      <c r="G2537" s="959">
        <v>0</v>
      </c>
      <c r="H2537" s="959">
        <v>6</v>
      </c>
    </row>
    <row r="2538" spans="1:8">
      <c r="A2538" s="959" t="s">
        <v>3873</v>
      </c>
      <c r="B2538" s="960" t="s">
        <v>1028</v>
      </c>
      <c r="C2538" s="960" t="s">
        <v>4256</v>
      </c>
      <c r="D2538" s="960" t="s">
        <v>4265</v>
      </c>
      <c r="E2538" s="959">
        <v>0</v>
      </c>
      <c r="F2538" s="959">
        <v>0</v>
      </c>
      <c r="G2538" s="959">
        <v>0</v>
      </c>
      <c r="H2538" s="959">
        <v>8</v>
      </c>
    </row>
    <row r="2539" spans="1:8">
      <c r="A2539" s="959" t="s">
        <v>3873</v>
      </c>
      <c r="B2539" s="960" t="s">
        <v>1028</v>
      </c>
      <c r="C2539" s="960" t="s">
        <v>4256</v>
      </c>
      <c r="D2539" s="960" t="s">
        <v>4271</v>
      </c>
      <c r="E2539" s="959">
        <v>0</v>
      </c>
      <c r="F2539" s="959">
        <v>1</v>
      </c>
      <c r="G2539" s="959">
        <v>0</v>
      </c>
      <c r="H2539" s="959">
        <v>0</v>
      </c>
    </row>
    <row r="2540" spans="1:8">
      <c r="A2540" s="959" t="s">
        <v>3873</v>
      </c>
      <c r="B2540" s="960" t="s">
        <v>1028</v>
      </c>
      <c r="C2540" s="960" t="s">
        <v>4256</v>
      </c>
      <c r="D2540" s="961" t="s">
        <v>4266</v>
      </c>
      <c r="E2540" s="959">
        <v>0</v>
      </c>
      <c r="F2540" s="959">
        <v>0</v>
      </c>
      <c r="G2540" s="959">
        <v>0</v>
      </c>
      <c r="H2540" s="959">
        <v>1</v>
      </c>
    </row>
    <row r="2541" spans="1:8">
      <c r="A2541" s="959" t="s">
        <v>3873</v>
      </c>
      <c r="B2541" s="960" t="s">
        <v>1028</v>
      </c>
      <c r="C2541" s="960" t="s">
        <v>4257</v>
      </c>
      <c r="D2541" s="960" t="s">
        <v>4258</v>
      </c>
      <c r="E2541" s="959">
        <v>0</v>
      </c>
      <c r="F2541" s="959">
        <v>5</v>
      </c>
      <c r="G2541" s="959">
        <v>0</v>
      </c>
      <c r="H2541" s="959">
        <v>4</v>
      </c>
    </row>
    <row r="2542" spans="1:8">
      <c r="A2542" s="959" t="s">
        <v>3873</v>
      </c>
      <c r="B2542" s="960" t="s">
        <v>1028</v>
      </c>
      <c r="C2542" s="960" t="s">
        <v>4267</v>
      </c>
      <c r="D2542" s="960" t="s">
        <v>4268</v>
      </c>
      <c r="E2542" s="959">
        <v>0</v>
      </c>
      <c r="F2542" s="959">
        <v>0</v>
      </c>
      <c r="G2542" s="959">
        <v>0</v>
      </c>
      <c r="H2542" s="959">
        <v>1</v>
      </c>
    </row>
    <row r="2543" spans="1:8">
      <c r="A2543" s="959" t="s">
        <v>3874</v>
      </c>
      <c r="B2543" s="960" t="s">
        <v>3875</v>
      </c>
      <c r="C2543" s="960" t="s">
        <v>4267</v>
      </c>
      <c r="D2543" s="960" t="s">
        <v>4268</v>
      </c>
      <c r="E2543" s="959">
        <v>0</v>
      </c>
      <c r="F2543" s="959">
        <v>0</v>
      </c>
      <c r="G2543" s="959">
        <v>0</v>
      </c>
      <c r="H2543" s="959">
        <v>3</v>
      </c>
    </row>
    <row r="2544" spans="1:8">
      <c r="A2544" s="959" t="s">
        <v>3876</v>
      </c>
      <c r="B2544" s="960" t="s">
        <v>1470</v>
      </c>
      <c r="C2544" s="960" t="s">
        <v>4257</v>
      </c>
      <c r="D2544" s="960" t="s">
        <v>4258</v>
      </c>
      <c r="E2544" s="959">
        <v>0</v>
      </c>
      <c r="F2544" s="959">
        <v>2</v>
      </c>
      <c r="G2544" s="959">
        <v>0</v>
      </c>
      <c r="H2544" s="959">
        <v>0</v>
      </c>
    </row>
    <row r="2545" spans="1:8">
      <c r="A2545" s="959" t="s">
        <v>3877</v>
      </c>
      <c r="B2545" s="960" t="s">
        <v>3878</v>
      </c>
      <c r="C2545" s="960" t="s">
        <v>4256</v>
      </c>
      <c r="D2545" s="960" t="s">
        <v>4264</v>
      </c>
      <c r="E2545" s="959">
        <v>0</v>
      </c>
      <c r="F2545" s="959">
        <v>5</v>
      </c>
      <c r="G2545" s="959">
        <v>0</v>
      </c>
      <c r="H2545" s="959">
        <v>0</v>
      </c>
    </row>
    <row r="2546" spans="1:8">
      <c r="A2546" s="959" t="s">
        <v>3879</v>
      </c>
      <c r="B2546" s="960" t="s">
        <v>1464</v>
      </c>
      <c r="C2546" s="960" t="s">
        <v>4256</v>
      </c>
      <c r="D2546" s="960" t="s">
        <v>4259</v>
      </c>
      <c r="E2546" s="959">
        <v>0</v>
      </c>
      <c r="F2546" s="959">
        <v>1</v>
      </c>
      <c r="G2546" s="959">
        <v>0</v>
      </c>
      <c r="H2546" s="959">
        <v>0</v>
      </c>
    </row>
    <row r="2547" spans="1:8">
      <c r="A2547" s="959" t="s">
        <v>3879</v>
      </c>
      <c r="B2547" s="960" t="s">
        <v>1464</v>
      </c>
      <c r="C2547" s="960" t="s">
        <v>4262</v>
      </c>
      <c r="D2547" s="960" t="s">
        <v>4263</v>
      </c>
      <c r="E2547" s="959">
        <v>0</v>
      </c>
      <c r="F2547" s="959">
        <v>23</v>
      </c>
      <c r="G2547" s="959">
        <v>0</v>
      </c>
      <c r="H2547" s="959">
        <v>0</v>
      </c>
    </row>
    <row r="2548" spans="1:8">
      <c r="A2548" s="959" t="s">
        <v>3880</v>
      </c>
      <c r="B2548" s="960" t="s">
        <v>1473</v>
      </c>
      <c r="C2548" s="960" t="s">
        <v>4256</v>
      </c>
      <c r="D2548" s="960" t="s">
        <v>1906</v>
      </c>
      <c r="E2548" s="959">
        <v>0</v>
      </c>
      <c r="F2548" s="959">
        <v>1</v>
      </c>
      <c r="G2548" s="959">
        <v>0</v>
      </c>
      <c r="H2548" s="959">
        <v>0</v>
      </c>
    </row>
    <row r="2549" spans="1:8">
      <c r="A2549" s="959" t="s">
        <v>3880</v>
      </c>
      <c r="B2549" s="960" t="s">
        <v>1473</v>
      </c>
      <c r="C2549" s="960" t="s">
        <v>4257</v>
      </c>
      <c r="D2549" s="960" t="s">
        <v>4258</v>
      </c>
      <c r="E2549" s="959">
        <v>0</v>
      </c>
      <c r="F2549" s="959">
        <v>6</v>
      </c>
      <c r="G2549" s="959">
        <v>0</v>
      </c>
      <c r="H2549" s="959">
        <v>0</v>
      </c>
    </row>
    <row r="2550" spans="1:8">
      <c r="A2550" s="959" t="s">
        <v>3880</v>
      </c>
      <c r="B2550" s="960" t="s">
        <v>1473</v>
      </c>
      <c r="C2550" s="960" t="s">
        <v>4262</v>
      </c>
      <c r="D2550" s="960" t="s">
        <v>4263</v>
      </c>
      <c r="E2550" s="959">
        <v>0</v>
      </c>
      <c r="F2550" s="959">
        <v>20</v>
      </c>
      <c r="G2550" s="959">
        <v>0</v>
      </c>
      <c r="H2550" s="959">
        <v>0</v>
      </c>
    </row>
    <row r="2551" spans="1:8">
      <c r="A2551" s="959" t="s">
        <v>3881</v>
      </c>
      <c r="B2551" s="960" t="s">
        <v>3882</v>
      </c>
      <c r="C2551" s="960" t="s">
        <v>4256</v>
      </c>
      <c r="D2551" s="960" t="s">
        <v>470</v>
      </c>
      <c r="E2551" s="959">
        <v>0</v>
      </c>
      <c r="F2551" s="959">
        <v>0</v>
      </c>
      <c r="G2551" s="959">
        <v>0</v>
      </c>
      <c r="H2551" s="959">
        <v>5</v>
      </c>
    </row>
    <row r="2552" spans="1:8">
      <c r="A2552" s="959" t="s">
        <v>3881</v>
      </c>
      <c r="B2552" s="960" t="s">
        <v>3882</v>
      </c>
      <c r="C2552" s="960" t="s">
        <v>4256</v>
      </c>
      <c r="D2552" s="960" t="s">
        <v>1904</v>
      </c>
      <c r="E2552" s="959">
        <v>0</v>
      </c>
      <c r="F2552" s="959">
        <v>0</v>
      </c>
      <c r="G2552" s="959">
        <v>0</v>
      </c>
      <c r="H2552" s="959">
        <v>39</v>
      </c>
    </row>
    <row r="2553" spans="1:8">
      <c r="A2553" s="959" t="s">
        <v>3881</v>
      </c>
      <c r="B2553" s="960" t="s">
        <v>3882</v>
      </c>
      <c r="C2553" s="960" t="s">
        <v>4257</v>
      </c>
      <c r="D2553" s="960" t="s">
        <v>4258</v>
      </c>
      <c r="E2553" s="959">
        <v>0</v>
      </c>
      <c r="F2553" s="959">
        <v>0</v>
      </c>
      <c r="G2553" s="959">
        <v>0</v>
      </c>
      <c r="H2553" s="959">
        <v>1</v>
      </c>
    </row>
    <row r="2554" spans="1:8">
      <c r="A2554" s="959" t="s">
        <v>3881</v>
      </c>
      <c r="B2554" s="960" t="s">
        <v>3882</v>
      </c>
      <c r="C2554" s="960" t="s">
        <v>4267</v>
      </c>
      <c r="D2554" s="960" t="s">
        <v>4268</v>
      </c>
      <c r="E2554" s="959">
        <v>0</v>
      </c>
      <c r="F2554" s="959">
        <v>0</v>
      </c>
      <c r="G2554" s="959">
        <v>0</v>
      </c>
      <c r="H2554" s="959">
        <v>1</v>
      </c>
    </row>
    <row r="2555" spans="1:8">
      <c r="A2555" s="959" t="s">
        <v>3883</v>
      </c>
      <c r="B2555" s="960" t="s">
        <v>3884</v>
      </c>
      <c r="C2555" s="960" t="s">
        <v>4256</v>
      </c>
      <c r="D2555" s="960" t="s">
        <v>1906</v>
      </c>
      <c r="E2555" s="959">
        <v>0</v>
      </c>
      <c r="F2555" s="959">
        <v>2</v>
      </c>
      <c r="G2555" s="959">
        <v>0</v>
      </c>
      <c r="H2555" s="959">
        <v>0</v>
      </c>
    </row>
    <row r="2556" spans="1:8">
      <c r="A2556" s="959" t="s">
        <v>3885</v>
      </c>
      <c r="B2556" s="960" t="s">
        <v>3886</v>
      </c>
      <c r="C2556" s="960" t="s">
        <v>4256</v>
      </c>
      <c r="D2556" s="960" t="s">
        <v>1906</v>
      </c>
      <c r="E2556" s="959">
        <v>0</v>
      </c>
      <c r="F2556" s="959">
        <v>3</v>
      </c>
      <c r="G2556" s="959">
        <v>0</v>
      </c>
      <c r="H2556" s="959">
        <v>2</v>
      </c>
    </row>
    <row r="2557" spans="1:8">
      <c r="A2557" s="959" t="s">
        <v>3885</v>
      </c>
      <c r="B2557" s="960" t="s">
        <v>3886</v>
      </c>
      <c r="C2557" s="960" t="s">
        <v>4256</v>
      </c>
      <c r="D2557" s="960" t="s">
        <v>4264</v>
      </c>
      <c r="E2557" s="959">
        <v>0</v>
      </c>
      <c r="F2557" s="959">
        <v>1</v>
      </c>
      <c r="G2557" s="959">
        <v>0</v>
      </c>
      <c r="H2557" s="959">
        <v>1</v>
      </c>
    </row>
    <row r="2558" spans="1:8">
      <c r="A2558" s="959" t="s">
        <v>3885</v>
      </c>
      <c r="B2558" s="960" t="s">
        <v>3886</v>
      </c>
      <c r="C2558" s="960" t="s">
        <v>4257</v>
      </c>
      <c r="D2558" s="960" t="s">
        <v>4258</v>
      </c>
      <c r="E2558" s="959">
        <v>0</v>
      </c>
      <c r="F2558" s="959">
        <v>2</v>
      </c>
      <c r="G2558" s="959">
        <v>0</v>
      </c>
      <c r="H2558" s="959">
        <v>0</v>
      </c>
    </row>
    <row r="2559" spans="1:8">
      <c r="A2559" s="959" t="s">
        <v>3887</v>
      </c>
      <c r="B2559" s="960" t="s">
        <v>3888</v>
      </c>
      <c r="C2559" s="960" t="s">
        <v>4256</v>
      </c>
      <c r="D2559" s="960" t="s">
        <v>4264</v>
      </c>
      <c r="E2559" s="959">
        <v>0</v>
      </c>
      <c r="F2559" s="959">
        <v>0</v>
      </c>
      <c r="G2559" s="959">
        <v>0</v>
      </c>
      <c r="H2559" s="959">
        <v>8</v>
      </c>
    </row>
    <row r="2560" spans="1:8">
      <c r="A2560" s="959" t="s">
        <v>3887</v>
      </c>
      <c r="B2560" s="960" t="s">
        <v>3888</v>
      </c>
      <c r="C2560" s="960" t="s">
        <v>4257</v>
      </c>
      <c r="D2560" s="960" t="s">
        <v>4258</v>
      </c>
      <c r="E2560" s="959">
        <v>2</v>
      </c>
      <c r="F2560" s="959">
        <v>0</v>
      </c>
      <c r="G2560" s="959">
        <v>0</v>
      </c>
      <c r="H2560" s="959">
        <v>0</v>
      </c>
    </row>
    <row r="2561" spans="1:8">
      <c r="A2561" s="959" t="s">
        <v>3887</v>
      </c>
      <c r="B2561" s="960" t="s">
        <v>3888</v>
      </c>
      <c r="C2561" s="960" t="s">
        <v>4267</v>
      </c>
      <c r="D2561" s="960" t="s">
        <v>4268</v>
      </c>
      <c r="E2561" s="959">
        <v>0</v>
      </c>
      <c r="F2561" s="959">
        <v>0</v>
      </c>
      <c r="G2561" s="959">
        <v>0</v>
      </c>
      <c r="H2561" s="959">
        <v>21</v>
      </c>
    </row>
    <row r="2562" spans="1:8">
      <c r="A2562" s="959" t="s">
        <v>3890</v>
      </c>
      <c r="B2562" s="960" t="s">
        <v>1421</v>
      </c>
      <c r="C2562" s="960" t="s">
        <v>4256</v>
      </c>
      <c r="D2562" s="960" t="s">
        <v>4259</v>
      </c>
      <c r="E2562" s="959">
        <v>0</v>
      </c>
      <c r="F2562" s="959">
        <v>3</v>
      </c>
      <c r="G2562" s="959">
        <v>0</v>
      </c>
      <c r="H2562" s="959">
        <v>0</v>
      </c>
    </row>
    <row r="2563" spans="1:8">
      <c r="A2563" s="959" t="s">
        <v>3890</v>
      </c>
      <c r="B2563" s="960" t="s">
        <v>1421</v>
      </c>
      <c r="C2563" s="960" t="s">
        <v>4262</v>
      </c>
      <c r="D2563" s="960" t="s">
        <v>4263</v>
      </c>
      <c r="E2563" s="959">
        <v>0</v>
      </c>
      <c r="F2563" s="959">
        <v>1</v>
      </c>
      <c r="G2563" s="959">
        <v>0</v>
      </c>
      <c r="H2563" s="959">
        <v>0</v>
      </c>
    </row>
    <row r="2564" spans="1:8">
      <c r="A2564" s="959" t="s">
        <v>3892</v>
      </c>
      <c r="B2564" s="960" t="s">
        <v>3893</v>
      </c>
      <c r="C2564" s="960" t="s">
        <v>4275</v>
      </c>
      <c r="D2564" s="960" t="s">
        <v>4276</v>
      </c>
      <c r="E2564" s="959">
        <v>1</v>
      </c>
      <c r="F2564" s="959">
        <v>14</v>
      </c>
      <c r="G2564" s="959">
        <v>0</v>
      </c>
      <c r="H2564" s="959">
        <v>0</v>
      </c>
    </row>
    <row r="2565" spans="1:8">
      <c r="A2565" s="959" t="s">
        <v>3892</v>
      </c>
      <c r="B2565" s="960" t="s">
        <v>3893</v>
      </c>
      <c r="C2565" s="960" t="s">
        <v>4256</v>
      </c>
      <c r="D2565" s="960" t="s">
        <v>4260</v>
      </c>
      <c r="E2565" s="959">
        <v>0</v>
      </c>
      <c r="F2565" s="959">
        <v>0</v>
      </c>
      <c r="G2565" s="959">
        <v>0</v>
      </c>
      <c r="H2565" s="959">
        <v>1</v>
      </c>
    </row>
    <row r="2566" spans="1:8">
      <c r="A2566" s="959" t="s">
        <v>3892</v>
      </c>
      <c r="B2566" s="960" t="s">
        <v>3893</v>
      </c>
      <c r="C2566" s="960" t="s">
        <v>4256</v>
      </c>
      <c r="D2566" s="960" t="s">
        <v>1906</v>
      </c>
      <c r="E2566" s="959">
        <v>1</v>
      </c>
      <c r="F2566" s="959">
        <v>19</v>
      </c>
      <c r="G2566" s="959">
        <v>0</v>
      </c>
      <c r="H2566" s="959">
        <v>0</v>
      </c>
    </row>
    <row r="2567" spans="1:8">
      <c r="A2567" s="959" t="s">
        <v>3892</v>
      </c>
      <c r="B2567" s="960" t="s">
        <v>3893</v>
      </c>
      <c r="C2567" s="960" t="s">
        <v>4257</v>
      </c>
      <c r="D2567" s="960" t="s">
        <v>4258</v>
      </c>
      <c r="E2567" s="959">
        <v>6</v>
      </c>
      <c r="F2567" s="959">
        <v>110</v>
      </c>
      <c r="G2567" s="959">
        <v>1</v>
      </c>
      <c r="H2567" s="959">
        <v>13</v>
      </c>
    </row>
    <row r="2568" spans="1:8">
      <c r="A2568" s="959" t="s">
        <v>3892</v>
      </c>
      <c r="B2568" s="960" t="s">
        <v>3893</v>
      </c>
      <c r="C2568" s="960" t="s">
        <v>4262</v>
      </c>
      <c r="D2568" s="960" t="s">
        <v>4263</v>
      </c>
      <c r="E2568" s="959">
        <v>61</v>
      </c>
      <c r="F2568" s="959">
        <v>729</v>
      </c>
      <c r="G2568" s="959">
        <v>0</v>
      </c>
      <c r="H2568" s="959">
        <v>0</v>
      </c>
    </row>
    <row r="2569" spans="1:8">
      <c r="A2569" s="959" t="s">
        <v>3894</v>
      </c>
      <c r="B2569" s="960" t="s">
        <v>3895</v>
      </c>
      <c r="C2569" s="960" t="s">
        <v>4277</v>
      </c>
      <c r="D2569" s="960" t="s">
        <v>4278</v>
      </c>
      <c r="E2569" s="959">
        <v>0</v>
      </c>
      <c r="F2569" s="959">
        <v>0</v>
      </c>
      <c r="G2569" s="959">
        <v>0</v>
      </c>
      <c r="H2569" s="959">
        <v>6</v>
      </c>
    </row>
    <row r="2570" spans="1:8">
      <c r="A2570" s="959" t="s">
        <v>3894</v>
      </c>
      <c r="B2570" s="960" t="s">
        <v>3895</v>
      </c>
      <c r="C2570" s="960" t="s">
        <v>4277</v>
      </c>
      <c r="D2570" s="960" t="s">
        <v>4279</v>
      </c>
      <c r="E2570" s="959">
        <v>0</v>
      </c>
      <c r="F2570" s="959">
        <v>0</v>
      </c>
      <c r="G2570" s="959">
        <v>0</v>
      </c>
      <c r="H2570" s="959">
        <v>15</v>
      </c>
    </row>
    <row r="2571" spans="1:8">
      <c r="A2571" s="959" t="s">
        <v>3894</v>
      </c>
      <c r="B2571" s="960" t="s">
        <v>3895</v>
      </c>
      <c r="C2571" s="960" t="s">
        <v>4257</v>
      </c>
      <c r="D2571" s="960" t="s">
        <v>4258</v>
      </c>
      <c r="E2571" s="959">
        <v>0</v>
      </c>
      <c r="F2571" s="959">
        <v>0</v>
      </c>
      <c r="G2571" s="959">
        <v>0</v>
      </c>
      <c r="H2571" s="959">
        <v>10</v>
      </c>
    </row>
    <row r="2572" spans="1:8">
      <c r="A2572" s="959" t="s">
        <v>3896</v>
      </c>
      <c r="B2572" s="960" t="s">
        <v>3897</v>
      </c>
      <c r="C2572" s="960" t="s">
        <v>4257</v>
      </c>
      <c r="D2572" s="960" t="s">
        <v>4258</v>
      </c>
      <c r="E2572" s="959">
        <v>0</v>
      </c>
      <c r="F2572" s="959">
        <v>1</v>
      </c>
      <c r="G2572" s="959">
        <v>0</v>
      </c>
      <c r="H2572" s="959">
        <v>0</v>
      </c>
    </row>
    <row r="2573" spans="1:8">
      <c r="A2573" s="959" t="s">
        <v>3896</v>
      </c>
      <c r="B2573" s="960" t="s">
        <v>3897</v>
      </c>
      <c r="C2573" s="960" t="s">
        <v>4267</v>
      </c>
      <c r="D2573" s="960" t="s">
        <v>4268</v>
      </c>
      <c r="E2573" s="959">
        <v>0</v>
      </c>
      <c r="F2573" s="959">
        <v>0</v>
      </c>
      <c r="G2573" s="959">
        <v>0</v>
      </c>
      <c r="H2573" s="959">
        <v>2</v>
      </c>
    </row>
    <row r="2574" spans="1:8">
      <c r="A2574" s="959" t="s">
        <v>3898</v>
      </c>
      <c r="B2574" s="960" t="s">
        <v>1482</v>
      </c>
      <c r="C2574" s="960" t="s">
        <v>4256</v>
      </c>
      <c r="D2574" s="960" t="s">
        <v>1906</v>
      </c>
      <c r="E2574" s="959">
        <v>0</v>
      </c>
      <c r="F2574" s="959">
        <v>2</v>
      </c>
      <c r="G2574" s="959">
        <v>0</v>
      </c>
      <c r="H2574" s="959">
        <v>0</v>
      </c>
    </row>
    <row r="2575" spans="1:8">
      <c r="A2575" s="959" t="s">
        <v>3898</v>
      </c>
      <c r="B2575" s="960" t="s">
        <v>1482</v>
      </c>
      <c r="C2575" s="960" t="s">
        <v>4257</v>
      </c>
      <c r="D2575" s="960" t="s">
        <v>4258</v>
      </c>
      <c r="E2575" s="959">
        <v>0</v>
      </c>
      <c r="F2575" s="959">
        <v>1</v>
      </c>
      <c r="G2575" s="959">
        <v>0</v>
      </c>
      <c r="H2575" s="959">
        <v>0</v>
      </c>
    </row>
    <row r="2576" spans="1:8">
      <c r="A2576" s="959" t="s">
        <v>3898</v>
      </c>
      <c r="B2576" s="960" t="s">
        <v>1482</v>
      </c>
      <c r="C2576" s="960" t="s">
        <v>4262</v>
      </c>
      <c r="D2576" s="960" t="s">
        <v>4263</v>
      </c>
      <c r="E2576" s="959">
        <v>0</v>
      </c>
      <c r="F2576" s="959">
        <v>3</v>
      </c>
      <c r="G2576" s="959">
        <v>0</v>
      </c>
      <c r="H2576" s="959">
        <v>0</v>
      </c>
    </row>
    <row r="2577" spans="1:8">
      <c r="A2577" s="959" t="s">
        <v>3899</v>
      </c>
      <c r="B2577" s="960" t="s">
        <v>1481</v>
      </c>
      <c r="C2577" s="960" t="s">
        <v>4256</v>
      </c>
      <c r="D2577" s="960" t="s">
        <v>470</v>
      </c>
      <c r="E2577" s="959">
        <v>0</v>
      </c>
      <c r="F2577" s="959">
        <v>0</v>
      </c>
      <c r="G2577" s="959">
        <v>0</v>
      </c>
      <c r="H2577" s="959">
        <v>1</v>
      </c>
    </row>
    <row r="2578" spans="1:8">
      <c r="A2578" s="959" t="s">
        <v>3899</v>
      </c>
      <c r="B2578" s="960" t="s">
        <v>1481</v>
      </c>
      <c r="C2578" s="960" t="s">
        <v>4256</v>
      </c>
      <c r="D2578" s="960" t="s">
        <v>4270</v>
      </c>
      <c r="E2578" s="959">
        <v>0</v>
      </c>
      <c r="F2578" s="959">
        <v>0</v>
      </c>
      <c r="G2578" s="959">
        <v>0</v>
      </c>
      <c r="H2578" s="959">
        <v>1</v>
      </c>
    </row>
    <row r="2579" spans="1:8">
      <c r="A2579" s="959" t="s">
        <v>3899</v>
      </c>
      <c r="B2579" s="960" t="s">
        <v>1481</v>
      </c>
      <c r="C2579" s="960" t="s">
        <v>4256</v>
      </c>
      <c r="D2579" s="960" t="s">
        <v>4260</v>
      </c>
      <c r="E2579" s="959">
        <v>0</v>
      </c>
      <c r="F2579" s="959">
        <v>0</v>
      </c>
      <c r="G2579" s="959">
        <v>0</v>
      </c>
      <c r="H2579" s="959">
        <v>3</v>
      </c>
    </row>
    <row r="2580" spans="1:8">
      <c r="A2580" s="959" t="s">
        <v>3899</v>
      </c>
      <c r="B2580" s="960" t="s">
        <v>1481</v>
      </c>
      <c r="C2580" s="960" t="s">
        <v>4256</v>
      </c>
      <c r="D2580" s="960" t="s">
        <v>4265</v>
      </c>
      <c r="E2580" s="959">
        <v>0</v>
      </c>
      <c r="F2580" s="959">
        <v>0</v>
      </c>
      <c r="G2580" s="959">
        <v>0</v>
      </c>
      <c r="H2580" s="959">
        <v>2</v>
      </c>
    </row>
    <row r="2581" spans="1:8">
      <c r="A2581" s="959" t="s">
        <v>3899</v>
      </c>
      <c r="B2581" s="960" t="s">
        <v>1481</v>
      </c>
      <c r="C2581" s="960" t="s">
        <v>4257</v>
      </c>
      <c r="D2581" s="960" t="s">
        <v>4258</v>
      </c>
      <c r="E2581" s="959">
        <v>0</v>
      </c>
      <c r="F2581" s="959">
        <v>0</v>
      </c>
      <c r="G2581" s="959">
        <v>0</v>
      </c>
      <c r="H2581" s="959">
        <v>1</v>
      </c>
    </row>
    <row r="2582" spans="1:8">
      <c r="A2582" s="959" t="s">
        <v>3899</v>
      </c>
      <c r="B2582" s="960" t="s">
        <v>1481</v>
      </c>
      <c r="C2582" s="960" t="s">
        <v>4267</v>
      </c>
      <c r="D2582" s="960" t="s">
        <v>4268</v>
      </c>
      <c r="E2582" s="959">
        <v>0</v>
      </c>
      <c r="F2582" s="959">
        <v>0</v>
      </c>
      <c r="G2582" s="959">
        <v>0</v>
      </c>
      <c r="H2582" s="959">
        <v>3</v>
      </c>
    </row>
    <row r="2583" spans="1:8">
      <c r="A2583" s="959" t="s">
        <v>3900</v>
      </c>
      <c r="B2583" s="960" t="s">
        <v>3901</v>
      </c>
      <c r="C2583" s="960" t="s">
        <v>4267</v>
      </c>
      <c r="D2583" s="960" t="s">
        <v>4268</v>
      </c>
      <c r="E2583" s="959">
        <v>0</v>
      </c>
      <c r="F2583" s="959">
        <v>0</v>
      </c>
      <c r="G2583" s="959">
        <v>0</v>
      </c>
      <c r="H2583" s="959">
        <v>5</v>
      </c>
    </row>
    <row r="2584" spans="1:8">
      <c r="A2584" s="959" t="s">
        <v>3902</v>
      </c>
      <c r="B2584" s="960" t="s">
        <v>3903</v>
      </c>
      <c r="C2584" s="960" t="s">
        <v>4262</v>
      </c>
      <c r="D2584" s="960" t="s">
        <v>4263</v>
      </c>
      <c r="E2584" s="959">
        <v>0</v>
      </c>
      <c r="F2584" s="959">
        <v>15</v>
      </c>
      <c r="G2584" s="959">
        <v>0</v>
      </c>
      <c r="H2584" s="959">
        <v>0</v>
      </c>
    </row>
    <row r="2585" spans="1:8">
      <c r="A2585" s="959" t="s">
        <v>3905</v>
      </c>
      <c r="B2585" s="960" t="s">
        <v>3906</v>
      </c>
      <c r="C2585" s="960" t="s">
        <v>4257</v>
      </c>
      <c r="D2585" s="960" t="s">
        <v>4258</v>
      </c>
      <c r="E2585" s="959">
        <v>0</v>
      </c>
      <c r="F2585" s="959">
        <v>1</v>
      </c>
      <c r="G2585" s="959">
        <v>0</v>
      </c>
      <c r="H2585" s="959">
        <v>0</v>
      </c>
    </row>
    <row r="2586" spans="1:8">
      <c r="A2586" s="959" t="s">
        <v>3908</v>
      </c>
      <c r="B2586" s="960" t="s">
        <v>3909</v>
      </c>
      <c r="C2586" s="960" t="s">
        <v>4256</v>
      </c>
      <c r="D2586" s="960" t="s">
        <v>1907</v>
      </c>
      <c r="E2586" s="959">
        <v>0</v>
      </c>
      <c r="F2586" s="959">
        <v>1</v>
      </c>
      <c r="G2586" s="959">
        <v>1</v>
      </c>
      <c r="H2586" s="959">
        <v>11</v>
      </c>
    </row>
    <row r="2587" spans="1:8">
      <c r="A2587" s="959" t="s">
        <v>3910</v>
      </c>
      <c r="B2587" s="960" t="s">
        <v>1489</v>
      </c>
      <c r="C2587" s="960" t="s">
        <v>4256</v>
      </c>
      <c r="D2587" s="960" t="s">
        <v>4259</v>
      </c>
      <c r="E2587" s="959">
        <v>0</v>
      </c>
      <c r="F2587" s="959">
        <v>1</v>
      </c>
      <c r="G2587" s="959">
        <v>0</v>
      </c>
      <c r="H2587" s="959">
        <v>0</v>
      </c>
    </row>
    <row r="2588" spans="1:8">
      <c r="A2588" s="959" t="s">
        <v>3910</v>
      </c>
      <c r="B2588" s="960" t="s">
        <v>1489</v>
      </c>
      <c r="C2588" s="960" t="s">
        <v>4256</v>
      </c>
      <c r="D2588" s="960" t="s">
        <v>4265</v>
      </c>
      <c r="E2588" s="959">
        <v>0</v>
      </c>
      <c r="F2588" s="959">
        <v>1</v>
      </c>
      <c r="G2588" s="959">
        <v>0</v>
      </c>
      <c r="H2588" s="959">
        <v>1</v>
      </c>
    </row>
    <row r="2589" spans="1:8">
      <c r="A2589" s="959" t="s">
        <v>3910</v>
      </c>
      <c r="B2589" s="960" t="s">
        <v>1489</v>
      </c>
      <c r="C2589" s="960" t="s">
        <v>4257</v>
      </c>
      <c r="D2589" s="960" t="s">
        <v>4258</v>
      </c>
      <c r="E2589" s="959">
        <v>0</v>
      </c>
      <c r="F2589" s="959">
        <v>1</v>
      </c>
      <c r="G2589" s="959">
        <v>0</v>
      </c>
      <c r="H2589" s="959">
        <v>0</v>
      </c>
    </row>
    <row r="2590" spans="1:8">
      <c r="A2590" s="959" t="s">
        <v>3910</v>
      </c>
      <c r="B2590" s="960" t="s">
        <v>1489</v>
      </c>
      <c r="C2590" s="960" t="s">
        <v>4267</v>
      </c>
      <c r="D2590" s="960" t="s">
        <v>4268</v>
      </c>
      <c r="E2590" s="959">
        <v>0</v>
      </c>
      <c r="F2590" s="959">
        <v>0</v>
      </c>
      <c r="G2590" s="959">
        <v>0</v>
      </c>
      <c r="H2590" s="959">
        <v>1</v>
      </c>
    </row>
    <row r="2591" spans="1:8">
      <c r="A2591" s="959" t="s">
        <v>3911</v>
      </c>
      <c r="B2591" s="960" t="s">
        <v>3912</v>
      </c>
      <c r="C2591" s="960" t="s">
        <v>4262</v>
      </c>
      <c r="D2591" s="960" t="s">
        <v>4263</v>
      </c>
      <c r="E2591" s="959">
        <v>1</v>
      </c>
      <c r="F2591" s="959">
        <v>0</v>
      </c>
      <c r="G2591" s="959">
        <v>0</v>
      </c>
      <c r="H2591" s="959">
        <v>0</v>
      </c>
    </row>
    <row r="2592" spans="1:8">
      <c r="A2592" s="959" t="s">
        <v>3913</v>
      </c>
      <c r="B2592" s="960" t="s">
        <v>1490</v>
      </c>
      <c r="C2592" s="960" t="s">
        <v>4256</v>
      </c>
      <c r="D2592" s="960" t="s">
        <v>4259</v>
      </c>
      <c r="E2592" s="959">
        <v>0</v>
      </c>
      <c r="F2592" s="959">
        <v>0</v>
      </c>
      <c r="G2592" s="959">
        <v>0</v>
      </c>
      <c r="H2592" s="959">
        <v>18</v>
      </c>
    </row>
    <row r="2593" spans="1:8">
      <c r="A2593" s="959" t="s">
        <v>3913</v>
      </c>
      <c r="B2593" s="960" t="s">
        <v>1490</v>
      </c>
      <c r="C2593" s="960" t="s">
        <v>4256</v>
      </c>
      <c r="D2593" s="960" t="s">
        <v>4260</v>
      </c>
      <c r="E2593" s="959">
        <v>0</v>
      </c>
      <c r="F2593" s="959">
        <v>11</v>
      </c>
      <c r="G2593" s="959">
        <v>0</v>
      </c>
      <c r="H2593" s="959">
        <v>5</v>
      </c>
    </row>
    <row r="2594" spans="1:8">
      <c r="A2594" s="959" t="s">
        <v>3913</v>
      </c>
      <c r="B2594" s="960" t="s">
        <v>1490</v>
      </c>
      <c r="C2594" s="960" t="s">
        <v>4256</v>
      </c>
      <c r="D2594" s="960" t="s">
        <v>4265</v>
      </c>
      <c r="E2594" s="959">
        <v>0</v>
      </c>
      <c r="F2594" s="959">
        <v>0</v>
      </c>
      <c r="G2594" s="959">
        <v>0</v>
      </c>
      <c r="H2594" s="959">
        <v>1</v>
      </c>
    </row>
    <row r="2595" spans="1:8">
      <c r="A2595" s="959" t="s">
        <v>3913</v>
      </c>
      <c r="B2595" s="960" t="s">
        <v>1490</v>
      </c>
      <c r="C2595" s="960" t="s">
        <v>4256</v>
      </c>
      <c r="D2595" s="960" t="s">
        <v>1906</v>
      </c>
      <c r="E2595" s="959">
        <v>0</v>
      </c>
      <c r="F2595" s="959">
        <v>3</v>
      </c>
      <c r="G2595" s="959">
        <v>0</v>
      </c>
      <c r="H2595" s="959">
        <v>0</v>
      </c>
    </row>
    <row r="2596" spans="1:8">
      <c r="A2596" s="959" t="s">
        <v>3913</v>
      </c>
      <c r="B2596" s="960" t="s">
        <v>1490</v>
      </c>
      <c r="C2596" s="960" t="s">
        <v>4257</v>
      </c>
      <c r="D2596" s="960" t="s">
        <v>4258</v>
      </c>
      <c r="E2596" s="959">
        <v>1</v>
      </c>
      <c r="F2596" s="959">
        <v>37</v>
      </c>
      <c r="G2596" s="959">
        <v>0</v>
      </c>
      <c r="H2596" s="959">
        <v>2</v>
      </c>
    </row>
    <row r="2597" spans="1:8">
      <c r="A2597" s="959" t="s">
        <v>3913</v>
      </c>
      <c r="B2597" s="960" t="s">
        <v>1490</v>
      </c>
      <c r="C2597" s="960" t="s">
        <v>4262</v>
      </c>
      <c r="D2597" s="960" t="s">
        <v>4263</v>
      </c>
      <c r="E2597" s="959">
        <v>30</v>
      </c>
      <c r="F2597" s="959">
        <v>695</v>
      </c>
      <c r="G2597" s="959">
        <v>0</v>
      </c>
      <c r="H2597" s="959">
        <v>0</v>
      </c>
    </row>
    <row r="2598" spans="1:8">
      <c r="A2598" s="959" t="s">
        <v>3914</v>
      </c>
      <c r="B2598" s="960" t="s">
        <v>1494</v>
      </c>
      <c r="C2598" s="960" t="s">
        <v>4262</v>
      </c>
      <c r="D2598" s="960" t="s">
        <v>4263</v>
      </c>
      <c r="E2598" s="959">
        <v>0</v>
      </c>
      <c r="F2598" s="959">
        <v>3</v>
      </c>
      <c r="G2598" s="959">
        <v>0</v>
      </c>
      <c r="H2598" s="959">
        <v>0</v>
      </c>
    </row>
    <row r="2599" spans="1:8">
      <c r="A2599" s="959" t="s">
        <v>3916</v>
      </c>
      <c r="B2599" s="960" t="s">
        <v>1496</v>
      </c>
      <c r="C2599" s="960" t="s">
        <v>4257</v>
      </c>
      <c r="D2599" s="960" t="s">
        <v>4258</v>
      </c>
      <c r="E2599" s="959">
        <v>0</v>
      </c>
      <c r="F2599" s="959">
        <v>1</v>
      </c>
      <c r="G2599" s="959">
        <v>0</v>
      </c>
      <c r="H2599" s="959">
        <v>0</v>
      </c>
    </row>
    <row r="2600" spans="1:8">
      <c r="A2600" s="959" t="s">
        <v>3917</v>
      </c>
      <c r="B2600" s="960" t="s">
        <v>3918</v>
      </c>
      <c r="C2600" s="960" t="s">
        <v>4256</v>
      </c>
      <c r="D2600" s="960" t="s">
        <v>1907</v>
      </c>
      <c r="E2600" s="959">
        <v>0</v>
      </c>
      <c r="F2600" s="959">
        <v>3</v>
      </c>
      <c r="G2600" s="959">
        <v>0</v>
      </c>
      <c r="H2600" s="959">
        <v>0</v>
      </c>
    </row>
    <row r="2601" spans="1:8">
      <c r="A2601" s="959" t="s">
        <v>3917</v>
      </c>
      <c r="B2601" s="960" t="s">
        <v>3918</v>
      </c>
      <c r="C2601" s="960" t="s">
        <v>4262</v>
      </c>
      <c r="D2601" s="960" t="s">
        <v>4263</v>
      </c>
      <c r="E2601" s="959">
        <v>0</v>
      </c>
      <c r="F2601" s="959">
        <v>1</v>
      </c>
      <c r="G2601" s="959">
        <v>0</v>
      </c>
      <c r="H2601" s="959">
        <v>0</v>
      </c>
    </row>
    <row r="2602" spans="1:8">
      <c r="A2602" s="959" t="s">
        <v>3919</v>
      </c>
      <c r="B2602" s="960" t="s">
        <v>3920</v>
      </c>
      <c r="C2602" s="960" t="s">
        <v>4256</v>
      </c>
      <c r="D2602" s="960" t="s">
        <v>1906</v>
      </c>
      <c r="E2602" s="959">
        <v>21</v>
      </c>
      <c r="F2602" s="959">
        <v>304</v>
      </c>
      <c r="G2602" s="959">
        <v>3</v>
      </c>
      <c r="H2602" s="959">
        <v>45</v>
      </c>
    </row>
    <row r="2603" spans="1:8">
      <c r="A2603" s="959" t="s">
        <v>3919</v>
      </c>
      <c r="B2603" s="960" t="s">
        <v>3920</v>
      </c>
      <c r="C2603" s="960" t="s">
        <v>4256</v>
      </c>
      <c r="D2603" s="960" t="s">
        <v>4264</v>
      </c>
      <c r="E2603" s="959">
        <v>0</v>
      </c>
      <c r="F2603" s="959">
        <v>1</v>
      </c>
      <c r="G2603" s="959">
        <v>0</v>
      </c>
      <c r="H2603" s="959">
        <v>0</v>
      </c>
    </row>
    <row r="2604" spans="1:8">
      <c r="A2604" s="959" t="s">
        <v>3919</v>
      </c>
      <c r="B2604" s="960" t="s">
        <v>3920</v>
      </c>
      <c r="C2604" s="960" t="s">
        <v>4257</v>
      </c>
      <c r="D2604" s="960" t="s">
        <v>4258</v>
      </c>
      <c r="E2604" s="959">
        <v>48</v>
      </c>
      <c r="F2604" s="959">
        <v>735</v>
      </c>
      <c r="G2604" s="959">
        <v>3</v>
      </c>
      <c r="H2604" s="959">
        <v>39</v>
      </c>
    </row>
    <row r="2605" spans="1:8">
      <c r="A2605" s="959" t="s">
        <v>3919</v>
      </c>
      <c r="B2605" s="960" t="s">
        <v>3920</v>
      </c>
      <c r="C2605" s="960" t="s">
        <v>4262</v>
      </c>
      <c r="D2605" s="960" t="s">
        <v>4263</v>
      </c>
      <c r="E2605" s="959">
        <v>8</v>
      </c>
      <c r="F2605" s="959">
        <v>137</v>
      </c>
      <c r="G2605" s="959">
        <v>3</v>
      </c>
      <c r="H2605" s="959">
        <v>60</v>
      </c>
    </row>
    <row r="2606" spans="1:8">
      <c r="A2606" s="959" t="s">
        <v>3921</v>
      </c>
      <c r="B2606" s="960" t="s">
        <v>1501</v>
      </c>
      <c r="C2606" s="960" t="s">
        <v>4256</v>
      </c>
      <c r="D2606" s="960" t="s">
        <v>470</v>
      </c>
      <c r="E2606" s="959">
        <v>0</v>
      </c>
      <c r="F2606" s="959">
        <v>0</v>
      </c>
      <c r="G2606" s="959">
        <v>0</v>
      </c>
      <c r="H2606" s="959">
        <v>1</v>
      </c>
    </row>
    <row r="2607" spans="1:8">
      <c r="A2607" s="959" t="s">
        <v>3921</v>
      </c>
      <c r="B2607" s="960" t="s">
        <v>1501</v>
      </c>
      <c r="C2607" s="960" t="s">
        <v>4256</v>
      </c>
      <c r="D2607" s="960" t="s">
        <v>4269</v>
      </c>
      <c r="E2607" s="959">
        <v>0</v>
      </c>
      <c r="F2607" s="959">
        <v>0</v>
      </c>
      <c r="G2607" s="959">
        <v>0</v>
      </c>
      <c r="H2607" s="959">
        <v>1</v>
      </c>
    </row>
    <row r="2608" spans="1:8">
      <c r="A2608" s="959" t="s">
        <v>3921</v>
      </c>
      <c r="B2608" s="960" t="s">
        <v>1501</v>
      </c>
      <c r="C2608" s="960" t="s">
        <v>4256</v>
      </c>
      <c r="D2608" s="960" t="s">
        <v>4259</v>
      </c>
      <c r="E2608" s="959">
        <v>0</v>
      </c>
      <c r="F2608" s="959">
        <v>0</v>
      </c>
      <c r="G2608" s="959">
        <v>0</v>
      </c>
      <c r="H2608" s="959">
        <v>1</v>
      </c>
    </row>
    <row r="2609" spans="1:8">
      <c r="A2609" s="959" t="s">
        <v>3921</v>
      </c>
      <c r="B2609" s="960" t="s">
        <v>1501</v>
      </c>
      <c r="C2609" s="960" t="s">
        <v>4256</v>
      </c>
      <c r="D2609" s="960" t="s">
        <v>4260</v>
      </c>
      <c r="E2609" s="959">
        <v>0</v>
      </c>
      <c r="F2609" s="959">
        <v>0</v>
      </c>
      <c r="G2609" s="959">
        <v>0</v>
      </c>
      <c r="H2609" s="959">
        <v>2</v>
      </c>
    </row>
    <row r="2610" spans="1:8">
      <c r="A2610" s="959" t="s">
        <v>3921</v>
      </c>
      <c r="B2610" s="960" t="s">
        <v>1501</v>
      </c>
      <c r="C2610" s="960" t="s">
        <v>4256</v>
      </c>
      <c r="D2610" s="960" t="s">
        <v>4265</v>
      </c>
      <c r="E2610" s="959">
        <v>0</v>
      </c>
      <c r="F2610" s="959">
        <v>0</v>
      </c>
      <c r="G2610" s="959">
        <v>0</v>
      </c>
      <c r="H2610" s="959">
        <v>1</v>
      </c>
    </row>
    <row r="2611" spans="1:8">
      <c r="A2611" s="959" t="s">
        <v>3921</v>
      </c>
      <c r="B2611" s="960" t="s">
        <v>1501</v>
      </c>
      <c r="C2611" s="960" t="s">
        <v>4256</v>
      </c>
      <c r="D2611" s="960" t="s">
        <v>1906</v>
      </c>
      <c r="E2611" s="959">
        <v>0</v>
      </c>
      <c r="F2611" s="959">
        <v>165</v>
      </c>
      <c r="G2611" s="959">
        <v>0</v>
      </c>
      <c r="H2611" s="959">
        <v>0</v>
      </c>
    </row>
    <row r="2612" spans="1:8">
      <c r="A2612" s="959" t="s">
        <v>3921</v>
      </c>
      <c r="B2612" s="960" t="s">
        <v>1501</v>
      </c>
      <c r="C2612" s="960" t="s">
        <v>4256</v>
      </c>
      <c r="D2612" s="960" t="s">
        <v>4264</v>
      </c>
      <c r="E2612" s="959">
        <v>0</v>
      </c>
      <c r="F2612" s="959">
        <v>1</v>
      </c>
      <c r="G2612" s="959">
        <v>0</v>
      </c>
      <c r="H2612" s="959">
        <v>2</v>
      </c>
    </row>
    <row r="2613" spans="1:8">
      <c r="A2613" s="959" t="s">
        <v>3921</v>
      </c>
      <c r="B2613" s="960" t="s">
        <v>1501</v>
      </c>
      <c r="C2613" s="960" t="s">
        <v>4257</v>
      </c>
      <c r="D2613" s="960" t="s">
        <v>4258</v>
      </c>
      <c r="E2613" s="959">
        <v>0</v>
      </c>
      <c r="F2613" s="959">
        <v>5</v>
      </c>
      <c r="G2613" s="959">
        <v>0</v>
      </c>
      <c r="H2613" s="959">
        <v>0</v>
      </c>
    </row>
    <row r="2614" spans="1:8">
      <c r="A2614" s="959" t="s">
        <v>3921</v>
      </c>
      <c r="B2614" s="960" t="s">
        <v>1501</v>
      </c>
      <c r="C2614" s="960" t="s">
        <v>4262</v>
      </c>
      <c r="D2614" s="960" t="s">
        <v>4263</v>
      </c>
      <c r="E2614" s="959">
        <v>0</v>
      </c>
      <c r="F2614" s="959">
        <v>2</v>
      </c>
      <c r="G2614" s="959">
        <v>0</v>
      </c>
      <c r="H2614" s="959">
        <v>0</v>
      </c>
    </row>
    <row r="2615" spans="1:8">
      <c r="A2615" s="959" t="s">
        <v>3922</v>
      </c>
      <c r="B2615" s="960" t="s">
        <v>1506</v>
      </c>
      <c r="C2615" s="960" t="s">
        <v>4275</v>
      </c>
      <c r="D2615" s="960" t="s">
        <v>4292</v>
      </c>
      <c r="E2615" s="959">
        <v>0</v>
      </c>
      <c r="F2615" s="959">
        <v>2</v>
      </c>
      <c r="G2615" s="959">
        <v>0</v>
      </c>
      <c r="H2615" s="959">
        <v>0</v>
      </c>
    </row>
    <row r="2616" spans="1:8">
      <c r="A2616" s="959" t="s">
        <v>3922</v>
      </c>
      <c r="B2616" s="960" t="s">
        <v>1506</v>
      </c>
      <c r="C2616" s="960" t="s">
        <v>4277</v>
      </c>
      <c r="D2616" s="960" t="s">
        <v>4278</v>
      </c>
      <c r="E2616" s="959">
        <v>0</v>
      </c>
      <c r="F2616" s="959">
        <v>0</v>
      </c>
      <c r="G2616" s="959">
        <v>0</v>
      </c>
      <c r="H2616" s="959">
        <v>1</v>
      </c>
    </row>
    <row r="2617" spans="1:8">
      <c r="A2617" s="959" t="s">
        <v>3922</v>
      </c>
      <c r="B2617" s="960" t="s">
        <v>1506</v>
      </c>
      <c r="C2617" s="960" t="s">
        <v>4256</v>
      </c>
      <c r="D2617" s="960" t="s">
        <v>470</v>
      </c>
      <c r="E2617" s="959">
        <v>0</v>
      </c>
      <c r="F2617" s="959">
        <v>0</v>
      </c>
      <c r="G2617" s="959">
        <v>0</v>
      </c>
      <c r="H2617" s="959">
        <v>5</v>
      </c>
    </row>
    <row r="2618" spans="1:8">
      <c r="A2618" s="959" t="s">
        <v>3922</v>
      </c>
      <c r="B2618" s="960" t="s">
        <v>1506</v>
      </c>
      <c r="C2618" s="960" t="s">
        <v>4256</v>
      </c>
      <c r="D2618" s="960" t="s">
        <v>4270</v>
      </c>
      <c r="E2618" s="959">
        <v>0</v>
      </c>
      <c r="F2618" s="959">
        <v>0</v>
      </c>
      <c r="G2618" s="959">
        <v>3</v>
      </c>
      <c r="H2618" s="959">
        <v>0</v>
      </c>
    </row>
    <row r="2619" spans="1:8">
      <c r="A2619" s="959" t="s">
        <v>3922</v>
      </c>
      <c r="B2619" s="960" t="s">
        <v>1506</v>
      </c>
      <c r="C2619" s="960" t="s">
        <v>4256</v>
      </c>
      <c r="D2619" s="960" t="s">
        <v>4259</v>
      </c>
      <c r="E2619" s="959">
        <v>0</v>
      </c>
      <c r="F2619" s="959">
        <v>0</v>
      </c>
      <c r="G2619" s="959">
        <v>5</v>
      </c>
      <c r="H2619" s="959">
        <v>1</v>
      </c>
    </row>
    <row r="2620" spans="1:8">
      <c r="A2620" s="959" t="s">
        <v>3922</v>
      </c>
      <c r="B2620" s="960" t="s">
        <v>1506</v>
      </c>
      <c r="C2620" s="960" t="s">
        <v>4256</v>
      </c>
      <c r="D2620" s="960" t="s">
        <v>4260</v>
      </c>
      <c r="E2620" s="959">
        <v>0</v>
      </c>
      <c r="F2620" s="959">
        <v>0</v>
      </c>
      <c r="G2620" s="959">
        <v>0</v>
      </c>
      <c r="H2620" s="959">
        <v>48</v>
      </c>
    </row>
    <row r="2621" spans="1:8">
      <c r="A2621" s="959" t="s">
        <v>3922</v>
      </c>
      <c r="B2621" s="960" t="s">
        <v>1506</v>
      </c>
      <c r="C2621" s="960" t="s">
        <v>4256</v>
      </c>
      <c r="D2621" s="960" t="s">
        <v>4265</v>
      </c>
      <c r="E2621" s="959">
        <v>0</v>
      </c>
      <c r="F2621" s="959">
        <v>0</v>
      </c>
      <c r="G2621" s="959">
        <v>0</v>
      </c>
      <c r="H2621" s="959">
        <v>3</v>
      </c>
    </row>
    <row r="2622" spans="1:8">
      <c r="A2622" s="959" t="s">
        <v>3922</v>
      </c>
      <c r="B2622" s="960" t="s">
        <v>1506</v>
      </c>
      <c r="C2622" s="960" t="s">
        <v>4256</v>
      </c>
      <c r="D2622" s="960" t="s">
        <v>1906</v>
      </c>
      <c r="E2622" s="959">
        <v>0</v>
      </c>
      <c r="F2622" s="959">
        <v>3</v>
      </c>
      <c r="G2622" s="959">
        <v>0</v>
      </c>
      <c r="H2622" s="959">
        <v>0</v>
      </c>
    </row>
    <row r="2623" spans="1:8">
      <c r="A2623" s="959" t="s">
        <v>3922</v>
      </c>
      <c r="B2623" s="960" t="s">
        <v>1506</v>
      </c>
      <c r="C2623" s="960" t="s">
        <v>4256</v>
      </c>
      <c r="D2623" s="960" t="s">
        <v>4261</v>
      </c>
      <c r="E2623" s="959">
        <v>0</v>
      </c>
      <c r="F2623" s="959">
        <v>0</v>
      </c>
      <c r="G2623" s="959">
        <v>0</v>
      </c>
      <c r="H2623" s="959">
        <v>10</v>
      </c>
    </row>
    <row r="2624" spans="1:8">
      <c r="A2624" s="959" t="s">
        <v>3922</v>
      </c>
      <c r="B2624" s="960" t="s">
        <v>1506</v>
      </c>
      <c r="C2624" s="960" t="s">
        <v>4257</v>
      </c>
      <c r="D2624" s="960" t="s">
        <v>4258</v>
      </c>
      <c r="E2624" s="959">
        <v>3</v>
      </c>
      <c r="F2624" s="959">
        <v>64</v>
      </c>
      <c r="G2624" s="959">
        <v>0</v>
      </c>
      <c r="H2624" s="959">
        <v>3</v>
      </c>
    </row>
    <row r="2625" spans="1:8">
      <c r="A2625" s="959" t="s">
        <v>3922</v>
      </c>
      <c r="B2625" s="960" t="s">
        <v>1506</v>
      </c>
      <c r="C2625" s="960" t="s">
        <v>4262</v>
      </c>
      <c r="D2625" s="960" t="s">
        <v>4263</v>
      </c>
      <c r="E2625" s="959">
        <v>79</v>
      </c>
      <c r="F2625" s="959">
        <v>1509</v>
      </c>
      <c r="G2625" s="959">
        <v>0</v>
      </c>
      <c r="H2625" s="959">
        <v>0</v>
      </c>
    </row>
    <row r="2626" spans="1:8">
      <c r="A2626" s="959" t="s">
        <v>3922</v>
      </c>
      <c r="B2626" s="960" t="s">
        <v>1506</v>
      </c>
      <c r="C2626" s="960" t="s">
        <v>4267</v>
      </c>
      <c r="D2626" s="960" t="s">
        <v>4268</v>
      </c>
      <c r="E2626" s="959">
        <v>0</v>
      </c>
      <c r="F2626" s="959">
        <v>1</v>
      </c>
      <c r="G2626" s="959">
        <v>0</v>
      </c>
      <c r="H2626" s="959">
        <v>0</v>
      </c>
    </row>
    <row r="2627" spans="1:8">
      <c r="A2627" s="959" t="s">
        <v>3923</v>
      </c>
      <c r="B2627" s="960" t="s">
        <v>1510</v>
      </c>
      <c r="C2627" s="960" t="s">
        <v>4257</v>
      </c>
      <c r="D2627" s="960" t="s">
        <v>4258</v>
      </c>
      <c r="E2627" s="959">
        <v>0</v>
      </c>
      <c r="F2627" s="959">
        <v>1</v>
      </c>
      <c r="G2627" s="959">
        <v>0</v>
      </c>
      <c r="H2627" s="959">
        <v>0</v>
      </c>
    </row>
    <row r="2628" spans="1:8">
      <c r="A2628" s="959" t="s">
        <v>3924</v>
      </c>
      <c r="B2628" s="960" t="s">
        <v>3925</v>
      </c>
      <c r="C2628" s="960" t="s">
        <v>4257</v>
      </c>
      <c r="D2628" s="960" t="s">
        <v>4258</v>
      </c>
      <c r="E2628" s="959">
        <v>0</v>
      </c>
      <c r="F2628" s="959">
        <v>1</v>
      </c>
      <c r="G2628" s="959">
        <v>0</v>
      </c>
      <c r="H2628" s="959">
        <v>0</v>
      </c>
    </row>
    <row r="2629" spans="1:8">
      <c r="A2629" s="959" t="s">
        <v>3924</v>
      </c>
      <c r="B2629" s="960" t="s">
        <v>3925</v>
      </c>
      <c r="C2629" s="960" t="s">
        <v>4262</v>
      </c>
      <c r="D2629" s="960" t="s">
        <v>4263</v>
      </c>
      <c r="E2629" s="959">
        <v>0</v>
      </c>
      <c r="F2629" s="959">
        <v>13</v>
      </c>
      <c r="G2629" s="959">
        <v>0</v>
      </c>
      <c r="H2629" s="959">
        <v>0</v>
      </c>
    </row>
    <row r="2630" spans="1:8">
      <c r="A2630" s="959" t="s">
        <v>3924</v>
      </c>
      <c r="B2630" s="960" t="s">
        <v>3925</v>
      </c>
      <c r="C2630" s="960" t="s">
        <v>4267</v>
      </c>
      <c r="D2630" s="960" t="s">
        <v>4268</v>
      </c>
      <c r="E2630" s="959">
        <v>0</v>
      </c>
      <c r="F2630" s="959">
        <v>0</v>
      </c>
      <c r="G2630" s="959">
        <v>0</v>
      </c>
      <c r="H2630" s="959">
        <v>2</v>
      </c>
    </row>
    <row r="2631" spans="1:8">
      <c r="A2631" s="959" t="s">
        <v>3926</v>
      </c>
      <c r="B2631" s="960" t="s">
        <v>1511</v>
      </c>
      <c r="C2631" s="960" t="s">
        <v>4256</v>
      </c>
      <c r="D2631" s="960" t="s">
        <v>4259</v>
      </c>
      <c r="E2631" s="959">
        <v>0</v>
      </c>
      <c r="F2631" s="959">
        <v>0</v>
      </c>
      <c r="G2631" s="959">
        <v>0</v>
      </c>
      <c r="H2631" s="959">
        <v>1</v>
      </c>
    </row>
    <row r="2632" spans="1:8">
      <c r="A2632" s="959" t="s">
        <v>3926</v>
      </c>
      <c r="B2632" s="960" t="s">
        <v>1511</v>
      </c>
      <c r="C2632" s="960" t="s">
        <v>4256</v>
      </c>
      <c r="D2632" s="960" t="s">
        <v>1906</v>
      </c>
      <c r="E2632" s="959">
        <v>0</v>
      </c>
      <c r="F2632" s="959">
        <v>1</v>
      </c>
      <c r="G2632" s="959">
        <v>0</v>
      </c>
      <c r="H2632" s="959">
        <v>0</v>
      </c>
    </row>
    <row r="2633" spans="1:8">
      <c r="A2633" s="959" t="s">
        <v>3926</v>
      </c>
      <c r="B2633" s="960" t="s">
        <v>1511</v>
      </c>
      <c r="C2633" s="960" t="s">
        <v>4257</v>
      </c>
      <c r="D2633" s="960" t="s">
        <v>4258</v>
      </c>
      <c r="E2633" s="959">
        <v>1</v>
      </c>
      <c r="F2633" s="959">
        <v>15</v>
      </c>
      <c r="G2633" s="959">
        <v>0</v>
      </c>
      <c r="H2633" s="959">
        <v>0</v>
      </c>
    </row>
    <row r="2634" spans="1:8">
      <c r="A2634" s="959" t="s">
        <v>3926</v>
      </c>
      <c r="B2634" s="960" t="s">
        <v>1511</v>
      </c>
      <c r="C2634" s="960" t="s">
        <v>4262</v>
      </c>
      <c r="D2634" s="960" t="s">
        <v>4263</v>
      </c>
      <c r="E2634" s="959">
        <v>0</v>
      </c>
      <c r="F2634" s="959">
        <v>2</v>
      </c>
      <c r="G2634" s="959">
        <v>0</v>
      </c>
      <c r="H2634" s="959">
        <v>0</v>
      </c>
    </row>
    <row r="2635" spans="1:8">
      <c r="A2635" s="959" t="s">
        <v>3927</v>
      </c>
      <c r="B2635" s="960" t="s">
        <v>3928</v>
      </c>
      <c r="C2635" s="960" t="s">
        <v>4256</v>
      </c>
      <c r="D2635" s="961" t="s">
        <v>4310</v>
      </c>
      <c r="E2635" s="959">
        <v>0</v>
      </c>
      <c r="F2635" s="959">
        <v>0</v>
      </c>
      <c r="G2635" s="959">
        <v>0</v>
      </c>
      <c r="H2635" s="959">
        <v>1</v>
      </c>
    </row>
    <row r="2636" spans="1:8">
      <c r="A2636" s="959" t="s">
        <v>3929</v>
      </c>
      <c r="B2636" s="960" t="s">
        <v>3930</v>
      </c>
      <c r="C2636" s="960" t="s">
        <v>4257</v>
      </c>
      <c r="D2636" s="960" t="s">
        <v>4258</v>
      </c>
      <c r="E2636" s="959">
        <v>0</v>
      </c>
      <c r="F2636" s="959">
        <v>2</v>
      </c>
      <c r="G2636" s="959">
        <v>0</v>
      </c>
      <c r="H2636" s="959">
        <v>0</v>
      </c>
    </row>
    <row r="2637" spans="1:8">
      <c r="A2637" s="959" t="s">
        <v>3929</v>
      </c>
      <c r="B2637" s="960" t="s">
        <v>3930</v>
      </c>
      <c r="C2637" s="960" t="s">
        <v>4262</v>
      </c>
      <c r="D2637" s="960" t="s">
        <v>4263</v>
      </c>
      <c r="E2637" s="959">
        <v>0</v>
      </c>
      <c r="F2637" s="959">
        <v>1</v>
      </c>
      <c r="G2637" s="959">
        <v>0</v>
      </c>
      <c r="H2637" s="959">
        <v>0</v>
      </c>
    </row>
    <row r="2638" spans="1:8">
      <c r="A2638" s="959" t="s">
        <v>3931</v>
      </c>
      <c r="B2638" s="960" t="s">
        <v>1518</v>
      </c>
      <c r="C2638" s="960" t="s">
        <v>4275</v>
      </c>
      <c r="D2638" s="960" t="s">
        <v>4276</v>
      </c>
      <c r="E2638" s="959">
        <v>0</v>
      </c>
      <c r="F2638" s="959">
        <v>97</v>
      </c>
      <c r="G2638" s="959">
        <v>0</v>
      </c>
      <c r="H2638" s="959">
        <v>1</v>
      </c>
    </row>
    <row r="2639" spans="1:8">
      <c r="A2639" s="959" t="s">
        <v>3931</v>
      </c>
      <c r="B2639" s="960" t="s">
        <v>1518</v>
      </c>
      <c r="C2639" s="960" t="s">
        <v>4256</v>
      </c>
      <c r="D2639" s="960" t="s">
        <v>470</v>
      </c>
      <c r="E2639" s="959">
        <v>0</v>
      </c>
      <c r="F2639" s="959">
        <v>1</v>
      </c>
      <c r="G2639" s="959">
        <v>0</v>
      </c>
      <c r="H2639" s="959">
        <v>1</v>
      </c>
    </row>
    <row r="2640" spans="1:8">
      <c r="A2640" s="959" t="s">
        <v>3931</v>
      </c>
      <c r="B2640" s="960" t="s">
        <v>1518</v>
      </c>
      <c r="C2640" s="960" t="s">
        <v>4256</v>
      </c>
      <c r="D2640" s="960" t="s">
        <v>4270</v>
      </c>
      <c r="E2640" s="959">
        <v>0</v>
      </c>
      <c r="F2640" s="959">
        <v>0</v>
      </c>
      <c r="G2640" s="959">
        <v>0</v>
      </c>
      <c r="H2640" s="959">
        <v>1</v>
      </c>
    </row>
    <row r="2641" spans="1:8">
      <c r="A2641" s="959" t="s">
        <v>3931</v>
      </c>
      <c r="B2641" s="960" t="s">
        <v>1518</v>
      </c>
      <c r="C2641" s="960" t="s">
        <v>4256</v>
      </c>
      <c r="D2641" s="960" t="s">
        <v>4259</v>
      </c>
      <c r="E2641" s="959">
        <v>0</v>
      </c>
      <c r="F2641" s="959">
        <v>1</v>
      </c>
      <c r="G2641" s="959">
        <v>0</v>
      </c>
      <c r="H2641" s="959">
        <v>0</v>
      </c>
    </row>
    <row r="2642" spans="1:8">
      <c r="A2642" s="959" t="s">
        <v>3931</v>
      </c>
      <c r="B2642" s="960" t="s">
        <v>1518</v>
      </c>
      <c r="C2642" s="960" t="s">
        <v>4256</v>
      </c>
      <c r="D2642" s="960" t="s">
        <v>4260</v>
      </c>
      <c r="E2642" s="959">
        <v>0</v>
      </c>
      <c r="F2642" s="959">
        <v>0</v>
      </c>
      <c r="G2642" s="959">
        <v>0</v>
      </c>
      <c r="H2642" s="959">
        <v>3</v>
      </c>
    </row>
    <row r="2643" spans="1:8">
      <c r="A2643" s="959" t="s">
        <v>3931</v>
      </c>
      <c r="B2643" s="960" t="s">
        <v>1518</v>
      </c>
      <c r="C2643" s="960" t="s">
        <v>4256</v>
      </c>
      <c r="D2643" s="960" t="s">
        <v>4265</v>
      </c>
      <c r="E2643" s="959">
        <v>0</v>
      </c>
      <c r="F2643" s="959">
        <v>2</v>
      </c>
      <c r="G2643" s="959">
        <v>0</v>
      </c>
      <c r="H2643" s="959">
        <v>0</v>
      </c>
    </row>
    <row r="2644" spans="1:8">
      <c r="A2644" s="959" t="s">
        <v>3931</v>
      </c>
      <c r="B2644" s="960" t="s">
        <v>1518</v>
      </c>
      <c r="C2644" s="960" t="s">
        <v>4256</v>
      </c>
      <c r="D2644" s="960" t="s">
        <v>4271</v>
      </c>
      <c r="E2644" s="959">
        <v>0</v>
      </c>
      <c r="F2644" s="959">
        <v>0</v>
      </c>
      <c r="G2644" s="959">
        <v>0</v>
      </c>
      <c r="H2644" s="959">
        <v>1</v>
      </c>
    </row>
    <row r="2645" spans="1:8">
      <c r="A2645" s="959" t="s">
        <v>3931</v>
      </c>
      <c r="B2645" s="960" t="s">
        <v>1518</v>
      </c>
      <c r="C2645" s="960" t="s">
        <v>4256</v>
      </c>
      <c r="D2645" s="960" t="s">
        <v>1906</v>
      </c>
      <c r="E2645" s="959">
        <v>0</v>
      </c>
      <c r="F2645" s="959">
        <v>1</v>
      </c>
      <c r="G2645" s="959">
        <v>0</v>
      </c>
      <c r="H2645" s="959">
        <v>0</v>
      </c>
    </row>
    <row r="2646" spans="1:8">
      <c r="A2646" s="959" t="s">
        <v>3931</v>
      </c>
      <c r="B2646" s="960" t="s">
        <v>1518</v>
      </c>
      <c r="C2646" s="960" t="s">
        <v>4257</v>
      </c>
      <c r="D2646" s="960" t="s">
        <v>4258</v>
      </c>
      <c r="E2646" s="959">
        <v>2</v>
      </c>
      <c r="F2646" s="959">
        <v>20</v>
      </c>
      <c r="G2646" s="959">
        <v>0</v>
      </c>
      <c r="H2646" s="959">
        <v>1</v>
      </c>
    </row>
    <row r="2647" spans="1:8">
      <c r="A2647" s="959" t="s">
        <v>3931</v>
      </c>
      <c r="B2647" s="960" t="s">
        <v>1518</v>
      </c>
      <c r="C2647" s="960" t="s">
        <v>4262</v>
      </c>
      <c r="D2647" s="960" t="s">
        <v>4263</v>
      </c>
      <c r="E2647" s="959">
        <v>19</v>
      </c>
      <c r="F2647" s="959">
        <v>502</v>
      </c>
      <c r="G2647" s="959">
        <v>0</v>
      </c>
      <c r="H2647" s="959">
        <v>0</v>
      </c>
    </row>
    <row r="2648" spans="1:8">
      <c r="A2648" s="959" t="s">
        <v>3932</v>
      </c>
      <c r="B2648" s="960" t="s">
        <v>1523</v>
      </c>
      <c r="C2648" s="960" t="s">
        <v>4256</v>
      </c>
      <c r="D2648" s="960" t="s">
        <v>4270</v>
      </c>
      <c r="E2648" s="959">
        <v>0</v>
      </c>
      <c r="F2648" s="959">
        <v>0</v>
      </c>
      <c r="G2648" s="959">
        <v>0</v>
      </c>
      <c r="H2648" s="959">
        <v>1</v>
      </c>
    </row>
    <row r="2649" spans="1:8">
      <c r="A2649" s="959" t="s">
        <v>3932</v>
      </c>
      <c r="B2649" s="960" t="s">
        <v>1523</v>
      </c>
      <c r="C2649" s="960" t="s">
        <v>4256</v>
      </c>
      <c r="D2649" s="960" t="s">
        <v>4259</v>
      </c>
      <c r="E2649" s="959">
        <v>0</v>
      </c>
      <c r="F2649" s="959">
        <v>1</v>
      </c>
      <c r="G2649" s="959">
        <v>0</v>
      </c>
      <c r="H2649" s="959">
        <v>1</v>
      </c>
    </row>
    <row r="2650" spans="1:8">
      <c r="A2650" s="959" t="s">
        <v>3932</v>
      </c>
      <c r="B2650" s="960" t="s">
        <v>1523</v>
      </c>
      <c r="C2650" s="960" t="s">
        <v>4256</v>
      </c>
      <c r="D2650" s="960" t="s">
        <v>4260</v>
      </c>
      <c r="E2650" s="959">
        <v>0</v>
      </c>
      <c r="F2650" s="959">
        <v>4</v>
      </c>
      <c r="G2650" s="959">
        <v>0</v>
      </c>
      <c r="H2650" s="959">
        <v>3</v>
      </c>
    </row>
    <row r="2651" spans="1:8">
      <c r="A2651" s="959" t="s">
        <v>3932</v>
      </c>
      <c r="B2651" s="960" t="s">
        <v>1523</v>
      </c>
      <c r="C2651" s="960" t="s">
        <v>4256</v>
      </c>
      <c r="D2651" s="960" t="s">
        <v>4265</v>
      </c>
      <c r="E2651" s="959">
        <v>0</v>
      </c>
      <c r="F2651" s="959">
        <v>0</v>
      </c>
      <c r="G2651" s="959">
        <v>0</v>
      </c>
      <c r="H2651" s="959">
        <v>1</v>
      </c>
    </row>
    <row r="2652" spans="1:8">
      <c r="A2652" s="959" t="s">
        <v>3932</v>
      </c>
      <c r="B2652" s="960" t="s">
        <v>1523</v>
      </c>
      <c r="C2652" s="960" t="s">
        <v>4256</v>
      </c>
      <c r="D2652" s="960" t="s">
        <v>1906</v>
      </c>
      <c r="E2652" s="959">
        <v>0</v>
      </c>
      <c r="F2652" s="959">
        <v>1</v>
      </c>
      <c r="G2652" s="959">
        <v>0</v>
      </c>
      <c r="H2652" s="959">
        <v>0</v>
      </c>
    </row>
    <row r="2653" spans="1:8">
      <c r="A2653" s="959" t="s">
        <v>3932</v>
      </c>
      <c r="B2653" s="960" t="s">
        <v>1523</v>
      </c>
      <c r="C2653" s="960" t="s">
        <v>4257</v>
      </c>
      <c r="D2653" s="960" t="s">
        <v>4258</v>
      </c>
      <c r="E2653" s="959">
        <v>1</v>
      </c>
      <c r="F2653" s="959">
        <v>44</v>
      </c>
      <c r="G2653" s="959">
        <v>0</v>
      </c>
      <c r="H2653" s="959">
        <v>1</v>
      </c>
    </row>
    <row r="2654" spans="1:8">
      <c r="A2654" s="959" t="s">
        <v>3932</v>
      </c>
      <c r="B2654" s="960" t="s">
        <v>1523</v>
      </c>
      <c r="C2654" s="960" t="s">
        <v>4262</v>
      </c>
      <c r="D2654" s="960" t="s">
        <v>4263</v>
      </c>
      <c r="E2654" s="959">
        <v>2</v>
      </c>
      <c r="F2654" s="959">
        <v>80</v>
      </c>
      <c r="G2654" s="959">
        <v>0</v>
      </c>
      <c r="H2654" s="959">
        <v>0</v>
      </c>
    </row>
    <row r="2655" spans="1:8">
      <c r="A2655" s="959" t="s">
        <v>3932</v>
      </c>
      <c r="B2655" s="960" t="s">
        <v>1523</v>
      </c>
      <c r="C2655" s="960" t="s">
        <v>4267</v>
      </c>
      <c r="D2655" s="960" t="s">
        <v>4268</v>
      </c>
      <c r="E2655" s="959">
        <v>0</v>
      </c>
      <c r="F2655" s="959">
        <v>1</v>
      </c>
      <c r="G2655" s="959">
        <v>0</v>
      </c>
      <c r="H2655" s="959">
        <v>1</v>
      </c>
    </row>
    <row r="2656" spans="1:8">
      <c r="A2656" s="959" t="s">
        <v>3935</v>
      </c>
      <c r="B2656" s="960" t="s">
        <v>3936</v>
      </c>
      <c r="C2656" s="960" t="s">
        <v>4256</v>
      </c>
      <c r="D2656" s="960" t="s">
        <v>470</v>
      </c>
      <c r="E2656" s="959">
        <v>4</v>
      </c>
      <c r="F2656" s="959">
        <v>0</v>
      </c>
      <c r="G2656" s="959">
        <v>87</v>
      </c>
      <c r="H2656" s="959">
        <v>535</v>
      </c>
    </row>
    <row r="2657" spans="1:8">
      <c r="A2657" s="959" t="s">
        <v>3935</v>
      </c>
      <c r="B2657" s="960" t="s">
        <v>3936</v>
      </c>
      <c r="C2657" s="960" t="s">
        <v>4256</v>
      </c>
      <c r="D2657" s="960" t="s">
        <v>1904</v>
      </c>
      <c r="E2657" s="959">
        <v>0</v>
      </c>
      <c r="F2657" s="959">
        <v>0</v>
      </c>
      <c r="G2657" s="959">
        <v>0</v>
      </c>
      <c r="H2657" s="959">
        <v>2</v>
      </c>
    </row>
    <row r="2658" spans="1:8">
      <c r="A2658" s="959" t="s">
        <v>3935</v>
      </c>
      <c r="B2658" s="960" t="s">
        <v>3936</v>
      </c>
      <c r="C2658" s="960" t="s">
        <v>4256</v>
      </c>
      <c r="D2658" s="960" t="s">
        <v>4260</v>
      </c>
      <c r="E2658" s="959">
        <v>0</v>
      </c>
      <c r="F2658" s="959">
        <v>0</v>
      </c>
      <c r="G2658" s="959">
        <v>0</v>
      </c>
      <c r="H2658" s="959">
        <v>4</v>
      </c>
    </row>
    <row r="2659" spans="1:8">
      <c r="A2659" s="959" t="s">
        <v>3935</v>
      </c>
      <c r="B2659" s="960" t="s">
        <v>3936</v>
      </c>
      <c r="C2659" s="960" t="s">
        <v>4256</v>
      </c>
      <c r="D2659" s="960" t="s">
        <v>4261</v>
      </c>
      <c r="E2659" s="959">
        <v>0</v>
      </c>
      <c r="F2659" s="959">
        <v>0</v>
      </c>
      <c r="G2659" s="959">
        <v>0</v>
      </c>
      <c r="H2659" s="959">
        <v>2</v>
      </c>
    </row>
    <row r="2660" spans="1:8">
      <c r="A2660" s="959" t="s">
        <v>3935</v>
      </c>
      <c r="B2660" s="960" t="s">
        <v>3936</v>
      </c>
      <c r="C2660" s="960" t="s">
        <v>4257</v>
      </c>
      <c r="D2660" s="960" t="s">
        <v>4258</v>
      </c>
      <c r="E2660" s="959">
        <v>0</v>
      </c>
      <c r="F2660" s="959">
        <v>0</v>
      </c>
      <c r="G2660" s="959">
        <v>0</v>
      </c>
      <c r="H2660" s="959">
        <v>1</v>
      </c>
    </row>
    <row r="2661" spans="1:8">
      <c r="A2661" s="959" t="s">
        <v>3935</v>
      </c>
      <c r="B2661" s="960" t="s">
        <v>3936</v>
      </c>
      <c r="C2661" s="960" t="s">
        <v>4267</v>
      </c>
      <c r="D2661" s="960" t="s">
        <v>4268</v>
      </c>
      <c r="E2661" s="959">
        <v>0</v>
      </c>
      <c r="F2661" s="959">
        <v>0</v>
      </c>
      <c r="G2661" s="959">
        <v>0</v>
      </c>
      <c r="H2661" s="959">
        <v>13</v>
      </c>
    </row>
    <row r="2662" spans="1:8">
      <c r="A2662" s="959" t="s">
        <v>3938</v>
      </c>
      <c r="B2662" s="960" t="s">
        <v>353</v>
      </c>
      <c r="C2662" s="960" t="s">
        <v>4256</v>
      </c>
      <c r="D2662" s="960" t="s">
        <v>4259</v>
      </c>
      <c r="E2662" s="959">
        <v>0</v>
      </c>
      <c r="F2662" s="959">
        <v>1</v>
      </c>
      <c r="G2662" s="959">
        <v>0</v>
      </c>
      <c r="H2662" s="959">
        <v>0</v>
      </c>
    </row>
    <row r="2663" spans="1:8">
      <c r="A2663" s="959" t="s">
        <v>3938</v>
      </c>
      <c r="B2663" s="960" t="s">
        <v>353</v>
      </c>
      <c r="C2663" s="960" t="s">
        <v>4256</v>
      </c>
      <c r="D2663" s="960" t="s">
        <v>4271</v>
      </c>
      <c r="E2663" s="959">
        <v>0</v>
      </c>
      <c r="F2663" s="959">
        <v>2</v>
      </c>
      <c r="G2663" s="959">
        <v>0</v>
      </c>
      <c r="H2663" s="959">
        <v>0</v>
      </c>
    </row>
    <row r="2664" spans="1:8">
      <c r="A2664" s="959" t="s">
        <v>3939</v>
      </c>
      <c r="B2664" s="960" t="s">
        <v>1532</v>
      </c>
      <c r="C2664" s="960" t="s">
        <v>4256</v>
      </c>
      <c r="D2664" s="960" t="s">
        <v>4259</v>
      </c>
      <c r="E2664" s="959">
        <v>0</v>
      </c>
      <c r="F2664" s="959">
        <v>2</v>
      </c>
      <c r="G2664" s="959">
        <v>0</v>
      </c>
      <c r="H2664" s="959">
        <v>0</v>
      </c>
    </row>
    <row r="2665" spans="1:8">
      <c r="A2665" s="959" t="s">
        <v>3939</v>
      </c>
      <c r="B2665" s="960" t="s">
        <v>1532</v>
      </c>
      <c r="C2665" s="960" t="s">
        <v>4256</v>
      </c>
      <c r="D2665" s="960" t="s">
        <v>4260</v>
      </c>
      <c r="E2665" s="959">
        <v>0</v>
      </c>
      <c r="F2665" s="959">
        <v>2</v>
      </c>
      <c r="G2665" s="959">
        <v>0</v>
      </c>
      <c r="H2665" s="959">
        <v>0</v>
      </c>
    </row>
    <row r="2666" spans="1:8">
      <c r="A2666" s="959" t="s">
        <v>3939</v>
      </c>
      <c r="B2666" s="960" t="s">
        <v>1532</v>
      </c>
      <c r="C2666" s="960" t="s">
        <v>4256</v>
      </c>
      <c r="D2666" s="960" t="s">
        <v>1906</v>
      </c>
      <c r="E2666" s="959">
        <v>0</v>
      </c>
      <c r="F2666" s="959">
        <v>9</v>
      </c>
      <c r="G2666" s="959">
        <v>0</v>
      </c>
      <c r="H2666" s="959">
        <v>0</v>
      </c>
    </row>
    <row r="2667" spans="1:8">
      <c r="A2667" s="959" t="s">
        <v>3939</v>
      </c>
      <c r="B2667" s="960" t="s">
        <v>1532</v>
      </c>
      <c r="C2667" s="960" t="s">
        <v>4257</v>
      </c>
      <c r="D2667" s="960" t="s">
        <v>4258</v>
      </c>
      <c r="E2667" s="959">
        <v>4</v>
      </c>
      <c r="F2667" s="959">
        <v>89</v>
      </c>
      <c r="G2667" s="959">
        <v>0</v>
      </c>
      <c r="H2667" s="959">
        <v>3</v>
      </c>
    </row>
    <row r="2668" spans="1:8">
      <c r="A2668" s="959" t="s">
        <v>3939</v>
      </c>
      <c r="B2668" s="960" t="s">
        <v>1532</v>
      </c>
      <c r="C2668" s="960" t="s">
        <v>4262</v>
      </c>
      <c r="D2668" s="960" t="s">
        <v>4263</v>
      </c>
      <c r="E2668" s="959">
        <v>14</v>
      </c>
      <c r="F2668" s="959">
        <v>212</v>
      </c>
      <c r="G2668" s="959">
        <v>0</v>
      </c>
      <c r="H2668" s="959">
        <v>0</v>
      </c>
    </row>
    <row r="2669" spans="1:8">
      <c r="A2669" s="959" t="s">
        <v>3941</v>
      </c>
      <c r="B2669" s="960" t="s">
        <v>1538</v>
      </c>
      <c r="C2669" s="960" t="s">
        <v>4275</v>
      </c>
      <c r="D2669" s="960" t="s">
        <v>4276</v>
      </c>
      <c r="E2669" s="959">
        <v>0</v>
      </c>
      <c r="F2669" s="959">
        <v>1</v>
      </c>
      <c r="G2669" s="959">
        <v>0</v>
      </c>
      <c r="H2669" s="959">
        <v>0</v>
      </c>
    </row>
    <row r="2670" spans="1:8">
      <c r="A2670" s="959" t="s">
        <v>3941</v>
      </c>
      <c r="B2670" s="960" t="s">
        <v>1538</v>
      </c>
      <c r="C2670" s="960" t="s">
        <v>4257</v>
      </c>
      <c r="D2670" s="960" t="s">
        <v>4258</v>
      </c>
      <c r="E2670" s="959">
        <v>0</v>
      </c>
      <c r="F2670" s="959">
        <v>1</v>
      </c>
      <c r="G2670" s="959">
        <v>0</v>
      </c>
      <c r="H2670" s="959">
        <v>0</v>
      </c>
    </row>
    <row r="2671" spans="1:8">
      <c r="A2671" s="959" t="s">
        <v>3943</v>
      </c>
      <c r="B2671" s="960" t="s">
        <v>3944</v>
      </c>
      <c r="C2671" s="960" t="s">
        <v>4256</v>
      </c>
      <c r="D2671" s="960" t="s">
        <v>4269</v>
      </c>
      <c r="E2671" s="959">
        <v>0</v>
      </c>
      <c r="F2671" s="959">
        <v>1</v>
      </c>
      <c r="G2671" s="959">
        <v>0</v>
      </c>
      <c r="H2671" s="959">
        <v>0</v>
      </c>
    </row>
    <row r="2672" spans="1:8">
      <c r="A2672" s="959" t="s">
        <v>3943</v>
      </c>
      <c r="B2672" s="960" t="s">
        <v>3944</v>
      </c>
      <c r="C2672" s="960" t="s">
        <v>4256</v>
      </c>
      <c r="D2672" s="960" t="s">
        <v>1906</v>
      </c>
      <c r="E2672" s="959">
        <v>0</v>
      </c>
      <c r="F2672" s="959">
        <v>2</v>
      </c>
      <c r="G2672" s="959">
        <v>0</v>
      </c>
      <c r="H2672" s="959">
        <v>0</v>
      </c>
    </row>
    <row r="2673" spans="1:8">
      <c r="A2673" s="959" t="s">
        <v>3943</v>
      </c>
      <c r="B2673" s="960" t="s">
        <v>3944</v>
      </c>
      <c r="C2673" s="960" t="s">
        <v>4256</v>
      </c>
      <c r="D2673" s="960" t="s">
        <v>4264</v>
      </c>
      <c r="E2673" s="959">
        <v>0</v>
      </c>
      <c r="F2673" s="959">
        <v>5</v>
      </c>
      <c r="G2673" s="959">
        <v>0</v>
      </c>
      <c r="H2673" s="959">
        <v>0</v>
      </c>
    </row>
    <row r="2674" spans="1:8">
      <c r="A2674" s="959" t="s">
        <v>3943</v>
      </c>
      <c r="B2674" s="960" t="s">
        <v>3944</v>
      </c>
      <c r="C2674" s="960" t="s">
        <v>4257</v>
      </c>
      <c r="D2674" s="960" t="s">
        <v>4258</v>
      </c>
      <c r="E2674" s="959">
        <v>0</v>
      </c>
      <c r="F2674" s="959">
        <v>2</v>
      </c>
      <c r="G2674" s="959">
        <v>0</v>
      </c>
      <c r="H2674" s="959">
        <v>0</v>
      </c>
    </row>
    <row r="2675" spans="1:8">
      <c r="A2675" s="959" t="s">
        <v>3945</v>
      </c>
      <c r="B2675" s="960" t="s">
        <v>1544</v>
      </c>
      <c r="C2675" s="960" t="s">
        <v>4256</v>
      </c>
      <c r="D2675" s="960" t="s">
        <v>470</v>
      </c>
      <c r="E2675" s="959">
        <v>0</v>
      </c>
      <c r="F2675" s="959">
        <v>0</v>
      </c>
      <c r="G2675" s="959">
        <v>0</v>
      </c>
      <c r="H2675" s="959">
        <v>1</v>
      </c>
    </row>
    <row r="2676" spans="1:8">
      <c r="A2676" s="959" t="s">
        <v>3945</v>
      </c>
      <c r="B2676" s="960" t="s">
        <v>1544</v>
      </c>
      <c r="C2676" s="960" t="s">
        <v>4256</v>
      </c>
      <c r="D2676" s="960" t="s">
        <v>1904</v>
      </c>
      <c r="E2676" s="959">
        <v>0</v>
      </c>
      <c r="F2676" s="959">
        <v>0</v>
      </c>
      <c r="G2676" s="959">
        <v>0</v>
      </c>
      <c r="H2676" s="959">
        <v>1</v>
      </c>
    </row>
    <row r="2677" spans="1:8">
      <c r="A2677" s="959" t="s">
        <v>3945</v>
      </c>
      <c r="B2677" s="960" t="s">
        <v>1544</v>
      </c>
      <c r="C2677" s="960" t="s">
        <v>4256</v>
      </c>
      <c r="D2677" s="960" t="s">
        <v>4259</v>
      </c>
      <c r="E2677" s="959">
        <v>0</v>
      </c>
      <c r="F2677" s="959">
        <v>2</v>
      </c>
      <c r="G2677" s="959">
        <v>0</v>
      </c>
      <c r="H2677" s="959">
        <v>0</v>
      </c>
    </row>
    <row r="2678" spans="1:8">
      <c r="A2678" s="959" t="s">
        <v>3945</v>
      </c>
      <c r="B2678" s="960" t="s">
        <v>1544</v>
      </c>
      <c r="C2678" s="960" t="s">
        <v>4256</v>
      </c>
      <c r="D2678" s="960" t="s">
        <v>4260</v>
      </c>
      <c r="E2678" s="959">
        <v>0</v>
      </c>
      <c r="F2678" s="959">
        <v>0</v>
      </c>
      <c r="G2678" s="959">
        <v>1</v>
      </c>
      <c r="H2678" s="959">
        <v>22</v>
      </c>
    </row>
    <row r="2679" spans="1:8">
      <c r="A2679" s="959" t="s">
        <v>3945</v>
      </c>
      <c r="B2679" s="960" t="s">
        <v>1544</v>
      </c>
      <c r="C2679" s="960" t="s">
        <v>4256</v>
      </c>
      <c r="D2679" s="960" t="s">
        <v>4265</v>
      </c>
      <c r="E2679" s="959">
        <v>0</v>
      </c>
      <c r="F2679" s="959">
        <v>0</v>
      </c>
      <c r="G2679" s="959">
        <v>0</v>
      </c>
      <c r="H2679" s="959">
        <v>1</v>
      </c>
    </row>
    <row r="2680" spans="1:8">
      <c r="A2680" s="959" t="s">
        <v>3945</v>
      </c>
      <c r="B2680" s="960" t="s">
        <v>1544</v>
      </c>
      <c r="C2680" s="960" t="s">
        <v>4256</v>
      </c>
      <c r="D2680" s="960" t="s">
        <v>1906</v>
      </c>
      <c r="E2680" s="959">
        <v>0</v>
      </c>
      <c r="F2680" s="959">
        <v>1</v>
      </c>
      <c r="G2680" s="959">
        <v>0</v>
      </c>
      <c r="H2680" s="959">
        <v>5</v>
      </c>
    </row>
    <row r="2681" spans="1:8">
      <c r="A2681" s="959" t="s">
        <v>3945</v>
      </c>
      <c r="B2681" s="960" t="s">
        <v>1544</v>
      </c>
      <c r="C2681" s="960" t="s">
        <v>4257</v>
      </c>
      <c r="D2681" s="960" t="s">
        <v>4258</v>
      </c>
      <c r="E2681" s="959">
        <v>1</v>
      </c>
      <c r="F2681" s="959">
        <v>20</v>
      </c>
      <c r="G2681" s="959">
        <v>0</v>
      </c>
      <c r="H2681" s="959">
        <v>0</v>
      </c>
    </row>
    <row r="2682" spans="1:8">
      <c r="A2682" s="959" t="s">
        <v>3945</v>
      </c>
      <c r="B2682" s="960" t="s">
        <v>1544</v>
      </c>
      <c r="C2682" s="960" t="s">
        <v>4262</v>
      </c>
      <c r="D2682" s="960" t="s">
        <v>4263</v>
      </c>
      <c r="E2682" s="959">
        <v>32</v>
      </c>
      <c r="F2682" s="959">
        <v>616</v>
      </c>
      <c r="G2682" s="959">
        <v>0</v>
      </c>
      <c r="H2682" s="959">
        <v>4</v>
      </c>
    </row>
    <row r="2683" spans="1:8">
      <c r="A2683" s="959" t="s">
        <v>3945</v>
      </c>
      <c r="B2683" s="960" t="s">
        <v>1544</v>
      </c>
      <c r="C2683" s="960" t="s">
        <v>4267</v>
      </c>
      <c r="D2683" s="960" t="s">
        <v>4268</v>
      </c>
      <c r="E2683" s="959">
        <v>0</v>
      </c>
      <c r="F2683" s="959">
        <v>0</v>
      </c>
      <c r="G2683" s="959">
        <v>0</v>
      </c>
      <c r="H2683" s="959">
        <v>5</v>
      </c>
    </row>
    <row r="2684" spans="1:8">
      <c r="A2684" s="959" t="s">
        <v>3947</v>
      </c>
      <c r="B2684" s="960" t="s">
        <v>1121</v>
      </c>
      <c r="C2684" s="960" t="s">
        <v>4256</v>
      </c>
      <c r="D2684" s="960" t="s">
        <v>4260</v>
      </c>
      <c r="E2684" s="959">
        <v>0</v>
      </c>
      <c r="F2684" s="959">
        <v>0</v>
      </c>
      <c r="G2684" s="959">
        <v>0</v>
      </c>
      <c r="H2684" s="959">
        <v>1</v>
      </c>
    </row>
    <row r="2685" spans="1:8">
      <c r="A2685" s="959" t="s">
        <v>3947</v>
      </c>
      <c r="B2685" s="960" t="s">
        <v>1121</v>
      </c>
      <c r="C2685" s="960" t="s">
        <v>4256</v>
      </c>
      <c r="D2685" s="960" t="s">
        <v>1906</v>
      </c>
      <c r="E2685" s="959">
        <v>0</v>
      </c>
      <c r="F2685" s="959">
        <v>2</v>
      </c>
      <c r="G2685" s="959">
        <v>0</v>
      </c>
      <c r="H2685" s="959">
        <v>0</v>
      </c>
    </row>
    <row r="2686" spans="1:8">
      <c r="A2686" s="959" t="s">
        <v>3947</v>
      </c>
      <c r="B2686" s="960" t="s">
        <v>1121</v>
      </c>
      <c r="C2686" s="960" t="s">
        <v>4257</v>
      </c>
      <c r="D2686" s="960" t="s">
        <v>4258</v>
      </c>
      <c r="E2686" s="959">
        <v>0</v>
      </c>
      <c r="F2686" s="959">
        <v>3</v>
      </c>
      <c r="G2686" s="959">
        <v>0</v>
      </c>
      <c r="H2686" s="959">
        <v>0</v>
      </c>
    </row>
    <row r="2687" spans="1:8">
      <c r="A2687" s="959" t="s">
        <v>3947</v>
      </c>
      <c r="B2687" s="960" t="s">
        <v>1121</v>
      </c>
      <c r="C2687" s="960" t="s">
        <v>4262</v>
      </c>
      <c r="D2687" s="960" t="s">
        <v>4263</v>
      </c>
      <c r="E2687" s="959">
        <v>0</v>
      </c>
      <c r="F2687" s="959">
        <v>20</v>
      </c>
      <c r="G2687" s="959">
        <v>0</v>
      </c>
      <c r="H2687" s="959">
        <v>0</v>
      </c>
    </row>
    <row r="2688" spans="1:8">
      <c r="A2688" s="959" t="s">
        <v>3948</v>
      </c>
      <c r="B2688" s="960" t="s">
        <v>1600</v>
      </c>
      <c r="C2688" s="960" t="s">
        <v>4256</v>
      </c>
      <c r="D2688" s="960" t="s">
        <v>1906</v>
      </c>
      <c r="E2688" s="959">
        <v>0</v>
      </c>
      <c r="F2688" s="959">
        <v>4</v>
      </c>
      <c r="G2688" s="959">
        <v>0</v>
      </c>
      <c r="H2688" s="959">
        <v>0</v>
      </c>
    </row>
    <row r="2689" spans="1:8">
      <c r="A2689" s="959" t="s">
        <v>3948</v>
      </c>
      <c r="B2689" s="960" t="s">
        <v>1600</v>
      </c>
      <c r="C2689" s="960" t="s">
        <v>4256</v>
      </c>
      <c r="D2689" s="960" t="s">
        <v>4264</v>
      </c>
      <c r="E2689" s="959">
        <v>0</v>
      </c>
      <c r="F2689" s="959">
        <v>0</v>
      </c>
      <c r="G2689" s="959">
        <v>0</v>
      </c>
      <c r="H2689" s="959">
        <v>2</v>
      </c>
    </row>
    <row r="2690" spans="1:8">
      <c r="A2690" s="959" t="s">
        <v>3948</v>
      </c>
      <c r="B2690" s="960" t="s">
        <v>1600</v>
      </c>
      <c r="C2690" s="960" t="s">
        <v>4257</v>
      </c>
      <c r="D2690" s="960" t="s">
        <v>4258</v>
      </c>
      <c r="E2690" s="959">
        <v>0</v>
      </c>
      <c r="F2690" s="959">
        <v>2</v>
      </c>
      <c r="G2690" s="959">
        <v>0</v>
      </c>
      <c r="H2690" s="959">
        <v>0</v>
      </c>
    </row>
    <row r="2691" spans="1:8">
      <c r="A2691" s="959" t="s">
        <v>3948</v>
      </c>
      <c r="B2691" s="960" t="s">
        <v>1600</v>
      </c>
      <c r="C2691" s="960" t="s">
        <v>4262</v>
      </c>
      <c r="D2691" s="960" t="s">
        <v>4263</v>
      </c>
      <c r="E2691" s="959">
        <v>0</v>
      </c>
      <c r="F2691" s="959">
        <v>1</v>
      </c>
      <c r="G2691" s="959">
        <v>0</v>
      </c>
      <c r="H2691" s="959">
        <v>0</v>
      </c>
    </row>
    <row r="2692" spans="1:8">
      <c r="A2692" s="959" t="s">
        <v>3951</v>
      </c>
      <c r="B2692" s="960" t="s">
        <v>1602</v>
      </c>
      <c r="C2692" s="960" t="s">
        <v>4256</v>
      </c>
      <c r="D2692" s="960" t="s">
        <v>470</v>
      </c>
      <c r="E2692" s="959">
        <v>0</v>
      </c>
      <c r="F2692" s="959">
        <v>0</v>
      </c>
      <c r="G2692" s="959">
        <v>0</v>
      </c>
      <c r="H2692" s="959">
        <v>2</v>
      </c>
    </row>
    <row r="2693" spans="1:8">
      <c r="A2693" s="959" t="s">
        <v>3951</v>
      </c>
      <c r="B2693" s="960" t="s">
        <v>1602</v>
      </c>
      <c r="C2693" s="960" t="s">
        <v>4256</v>
      </c>
      <c r="D2693" s="960" t="s">
        <v>1904</v>
      </c>
      <c r="E2693" s="959">
        <v>0</v>
      </c>
      <c r="F2693" s="959">
        <v>0</v>
      </c>
      <c r="G2693" s="959">
        <v>0</v>
      </c>
      <c r="H2693" s="959">
        <v>1</v>
      </c>
    </row>
    <row r="2694" spans="1:8">
      <c r="A2694" s="959" t="s">
        <v>3951</v>
      </c>
      <c r="B2694" s="960" t="s">
        <v>1602</v>
      </c>
      <c r="C2694" s="960" t="s">
        <v>4256</v>
      </c>
      <c r="D2694" s="960" t="s">
        <v>4259</v>
      </c>
      <c r="E2694" s="959">
        <v>0</v>
      </c>
      <c r="F2694" s="959">
        <v>1</v>
      </c>
      <c r="G2694" s="959">
        <v>0</v>
      </c>
      <c r="H2694" s="959">
        <v>2</v>
      </c>
    </row>
    <row r="2695" spans="1:8">
      <c r="A2695" s="959" t="s">
        <v>3951</v>
      </c>
      <c r="B2695" s="960" t="s">
        <v>1602</v>
      </c>
      <c r="C2695" s="960" t="s">
        <v>4256</v>
      </c>
      <c r="D2695" s="960" t="s">
        <v>4260</v>
      </c>
      <c r="E2695" s="959">
        <v>0</v>
      </c>
      <c r="F2695" s="959">
        <v>0</v>
      </c>
      <c r="G2695" s="959">
        <v>2</v>
      </c>
      <c r="H2695" s="959">
        <v>6</v>
      </c>
    </row>
    <row r="2696" spans="1:8">
      <c r="A2696" s="959" t="s">
        <v>3951</v>
      </c>
      <c r="B2696" s="960" t="s">
        <v>1602</v>
      </c>
      <c r="C2696" s="960" t="s">
        <v>4256</v>
      </c>
      <c r="D2696" s="960" t="s">
        <v>4265</v>
      </c>
      <c r="E2696" s="959">
        <v>0</v>
      </c>
      <c r="F2696" s="959">
        <v>0</v>
      </c>
      <c r="G2696" s="959">
        <v>0</v>
      </c>
      <c r="H2696" s="959">
        <v>5</v>
      </c>
    </row>
    <row r="2697" spans="1:8">
      <c r="A2697" s="959" t="s">
        <v>3951</v>
      </c>
      <c r="B2697" s="960" t="s">
        <v>1602</v>
      </c>
      <c r="C2697" s="960" t="s">
        <v>4256</v>
      </c>
      <c r="D2697" s="960" t="s">
        <v>4271</v>
      </c>
      <c r="E2697" s="959">
        <v>0</v>
      </c>
      <c r="F2697" s="959">
        <v>0</v>
      </c>
      <c r="G2697" s="959">
        <v>0</v>
      </c>
      <c r="H2697" s="959">
        <v>1</v>
      </c>
    </row>
    <row r="2698" spans="1:8">
      <c r="A2698" s="959" t="s">
        <v>3951</v>
      </c>
      <c r="B2698" s="960" t="s">
        <v>1602</v>
      </c>
      <c r="C2698" s="960" t="s">
        <v>4256</v>
      </c>
      <c r="D2698" s="961" t="s">
        <v>4266</v>
      </c>
      <c r="E2698" s="959">
        <v>0</v>
      </c>
      <c r="F2698" s="959">
        <v>0</v>
      </c>
      <c r="G2698" s="959">
        <v>0</v>
      </c>
      <c r="H2698" s="959">
        <v>2</v>
      </c>
    </row>
    <row r="2699" spans="1:8">
      <c r="A2699" s="959" t="s">
        <v>3951</v>
      </c>
      <c r="B2699" s="960" t="s">
        <v>1602</v>
      </c>
      <c r="C2699" s="960" t="s">
        <v>4257</v>
      </c>
      <c r="D2699" s="960" t="s">
        <v>4258</v>
      </c>
      <c r="E2699" s="959">
        <v>0</v>
      </c>
      <c r="F2699" s="959">
        <v>0</v>
      </c>
      <c r="G2699" s="959">
        <v>0</v>
      </c>
      <c r="H2699" s="959">
        <v>4</v>
      </c>
    </row>
    <row r="2700" spans="1:8">
      <c r="A2700" s="959" t="s">
        <v>3952</v>
      </c>
      <c r="B2700" s="960" t="s">
        <v>3953</v>
      </c>
      <c r="C2700" s="960" t="s">
        <v>4275</v>
      </c>
      <c r="D2700" s="960" t="s">
        <v>4276</v>
      </c>
      <c r="E2700" s="959">
        <v>4</v>
      </c>
      <c r="F2700" s="959">
        <v>49</v>
      </c>
      <c r="G2700" s="959">
        <v>0</v>
      </c>
      <c r="H2700" s="959">
        <v>2</v>
      </c>
    </row>
    <row r="2701" spans="1:8">
      <c r="A2701" s="959" t="s">
        <v>3952</v>
      </c>
      <c r="B2701" s="960" t="s">
        <v>3953</v>
      </c>
      <c r="C2701" s="960" t="s">
        <v>4277</v>
      </c>
      <c r="D2701" s="960" t="s">
        <v>4278</v>
      </c>
      <c r="E2701" s="959">
        <v>0</v>
      </c>
      <c r="F2701" s="959">
        <v>0</v>
      </c>
      <c r="G2701" s="959">
        <v>10</v>
      </c>
      <c r="H2701" s="959">
        <v>146</v>
      </c>
    </row>
    <row r="2702" spans="1:8">
      <c r="A2702" s="959" t="s">
        <v>3952</v>
      </c>
      <c r="B2702" s="960" t="s">
        <v>3953</v>
      </c>
      <c r="C2702" s="960" t="s">
        <v>4277</v>
      </c>
      <c r="D2702" s="960" t="s">
        <v>4279</v>
      </c>
      <c r="E2702" s="959">
        <v>0</v>
      </c>
      <c r="F2702" s="959">
        <v>0</v>
      </c>
      <c r="G2702" s="959">
        <v>37</v>
      </c>
      <c r="H2702" s="959">
        <v>690</v>
      </c>
    </row>
    <row r="2703" spans="1:8">
      <c r="A2703" s="959" t="s">
        <v>3952</v>
      </c>
      <c r="B2703" s="960" t="s">
        <v>3953</v>
      </c>
      <c r="C2703" s="960" t="s">
        <v>4256</v>
      </c>
      <c r="D2703" s="960" t="s">
        <v>4260</v>
      </c>
      <c r="E2703" s="959">
        <v>0</v>
      </c>
      <c r="F2703" s="959">
        <v>0</v>
      </c>
      <c r="G2703" s="959">
        <v>0</v>
      </c>
      <c r="H2703" s="959">
        <v>7</v>
      </c>
    </row>
    <row r="2704" spans="1:8">
      <c r="A2704" s="959" t="s">
        <v>3952</v>
      </c>
      <c r="B2704" s="960" t="s">
        <v>3953</v>
      </c>
      <c r="C2704" s="960" t="s">
        <v>4256</v>
      </c>
      <c r="D2704" s="960" t="s">
        <v>1906</v>
      </c>
      <c r="E2704" s="959">
        <v>1</v>
      </c>
      <c r="F2704" s="959">
        <v>15</v>
      </c>
      <c r="G2704" s="959">
        <v>1</v>
      </c>
      <c r="H2704" s="959">
        <v>9</v>
      </c>
    </row>
    <row r="2705" spans="1:8">
      <c r="A2705" s="959" t="s">
        <v>3952</v>
      </c>
      <c r="B2705" s="960" t="s">
        <v>3953</v>
      </c>
      <c r="C2705" s="960" t="s">
        <v>4256</v>
      </c>
      <c r="D2705" s="960" t="s">
        <v>4261</v>
      </c>
      <c r="E2705" s="959">
        <v>0</v>
      </c>
      <c r="F2705" s="959">
        <v>0</v>
      </c>
      <c r="G2705" s="959">
        <v>0</v>
      </c>
      <c r="H2705" s="959">
        <v>11</v>
      </c>
    </row>
    <row r="2706" spans="1:8">
      <c r="A2706" s="959" t="s">
        <v>3952</v>
      </c>
      <c r="B2706" s="960" t="s">
        <v>3953</v>
      </c>
      <c r="C2706" s="960" t="s">
        <v>4256</v>
      </c>
      <c r="D2706" s="961" t="s">
        <v>4266</v>
      </c>
      <c r="E2706" s="959">
        <v>0</v>
      </c>
      <c r="F2706" s="959">
        <v>0</v>
      </c>
      <c r="G2706" s="959">
        <v>0</v>
      </c>
      <c r="H2706" s="959">
        <v>5</v>
      </c>
    </row>
    <row r="2707" spans="1:8">
      <c r="A2707" s="959" t="s">
        <v>3952</v>
      </c>
      <c r="B2707" s="960" t="s">
        <v>3953</v>
      </c>
      <c r="C2707" s="960" t="s">
        <v>4257</v>
      </c>
      <c r="D2707" s="960" t="s">
        <v>4258</v>
      </c>
      <c r="E2707" s="959">
        <v>53</v>
      </c>
      <c r="F2707" s="959">
        <v>750</v>
      </c>
      <c r="G2707" s="959">
        <v>5</v>
      </c>
      <c r="H2707" s="959">
        <v>68</v>
      </c>
    </row>
    <row r="2708" spans="1:8">
      <c r="A2708" s="959" t="s">
        <v>3955</v>
      </c>
      <c r="B2708" s="960" t="s">
        <v>1558</v>
      </c>
      <c r="C2708" s="960" t="s">
        <v>4256</v>
      </c>
      <c r="D2708" s="960" t="s">
        <v>470</v>
      </c>
      <c r="E2708" s="959">
        <v>0</v>
      </c>
      <c r="F2708" s="959">
        <v>0</v>
      </c>
      <c r="G2708" s="959">
        <v>0</v>
      </c>
      <c r="H2708" s="959">
        <v>2</v>
      </c>
    </row>
    <row r="2709" spans="1:8">
      <c r="A2709" s="959" t="s">
        <v>3955</v>
      </c>
      <c r="B2709" s="960" t="s">
        <v>1558</v>
      </c>
      <c r="C2709" s="960" t="s">
        <v>4256</v>
      </c>
      <c r="D2709" s="960" t="s">
        <v>1904</v>
      </c>
      <c r="E2709" s="959">
        <v>0</v>
      </c>
      <c r="F2709" s="959">
        <v>0</v>
      </c>
      <c r="G2709" s="959">
        <v>0</v>
      </c>
      <c r="H2709" s="959">
        <v>1</v>
      </c>
    </row>
    <row r="2710" spans="1:8">
      <c r="A2710" s="959" t="s">
        <v>3955</v>
      </c>
      <c r="B2710" s="960" t="s">
        <v>1558</v>
      </c>
      <c r="C2710" s="960" t="s">
        <v>4256</v>
      </c>
      <c r="D2710" s="960" t="s">
        <v>4270</v>
      </c>
      <c r="E2710" s="959">
        <v>0</v>
      </c>
      <c r="F2710" s="959">
        <v>1</v>
      </c>
      <c r="G2710" s="959">
        <v>0</v>
      </c>
      <c r="H2710" s="959">
        <v>2</v>
      </c>
    </row>
    <row r="2711" spans="1:8">
      <c r="A2711" s="959" t="s">
        <v>3955</v>
      </c>
      <c r="B2711" s="960" t="s">
        <v>1558</v>
      </c>
      <c r="C2711" s="960" t="s">
        <v>4256</v>
      </c>
      <c r="D2711" s="960" t="s">
        <v>4259</v>
      </c>
      <c r="E2711" s="959">
        <v>0</v>
      </c>
      <c r="F2711" s="959">
        <v>8</v>
      </c>
      <c r="G2711" s="959">
        <v>4</v>
      </c>
      <c r="H2711" s="959">
        <v>13</v>
      </c>
    </row>
    <row r="2712" spans="1:8">
      <c r="A2712" s="959" t="s">
        <v>3955</v>
      </c>
      <c r="B2712" s="960" t="s">
        <v>1558</v>
      </c>
      <c r="C2712" s="960" t="s">
        <v>4256</v>
      </c>
      <c r="D2712" s="960" t="s">
        <v>4260</v>
      </c>
      <c r="E2712" s="959">
        <v>0</v>
      </c>
      <c r="F2712" s="959">
        <v>3</v>
      </c>
      <c r="G2712" s="959">
        <v>2</v>
      </c>
      <c r="H2712" s="959">
        <v>14</v>
      </c>
    </row>
    <row r="2713" spans="1:8">
      <c r="A2713" s="959" t="s">
        <v>3955</v>
      </c>
      <c r="B2713" s="960" t="s">
        <v>1558</v>
      </c>
      <c r="C2713" s="960" t="s">
        <v>4256</v>
      </c>
      <c r="D2713" s="960" t="s">
        <v>4265</v>
      </c>
      <c r="E2713" s="959">
        <v>0</v>
      </c>
      <c r="F2713" s="959">
        <v>3</v>
      </c>
      <c r="G2713" s="959">
        <v>0</v>
      </c>
      <c r="H2713" s="959">
        <v>9</v>
      </c>
    </row>
    <row r="2714" spans="1:8">
      <c r="A2714" s="959" t="s">
        <v>3955</v>
      </c>
      <c r="B2714" s="960" t="s">
        <v>1558</v>
      </c>
      <c r="C2714" s="960" t="s">
        <v>4257</v>
      </c>
      <c r="D2714" s="960" t="s">
        <v>4258</v>
      </c>
      <c r="E2714" s="959">
        <v>0</v>
      </c>
      <c r="F2714" s="959">
        <v>1</v>
      </c>
      <c r="G2714" s="959">
        <v>0</v>
      </c>
      <c r="H2714" s="959">
        <v>2</v>
      </c>
    </row>
    <row r="2715" spans="1:8">
      <c r="A2715" s="959" t="s">
        <v>3955</v>
      </c>
      <c r="B2715" s="960" t="s">
        <v>1558</v>
      </c>
      <c r="C2715" s="960" t="s">
        <v>4267</v>
      </c>
      <c r="D2715" s="960" t="s">
        <v>4268</v>
      </c>
      <c r="E2715" s="959">
        <v>0</v>
      </c>
      <c r="F2715" s="959">
        <v>0</v>
      </c>
      <c r="G2715" s="959">
        <v>0</v>
      </c>
      <c r="H2715" s="959">
        <v>3</v>
      </c>
    </row>
    <row r="2716" spans="1:8">
      <c r="A2716" s="959" t="s">
        <v>3956</v>
      </c>
      <c r="B2716" s="960" t="s">
        <v>3957</v>
      </c>
      <c r="C2716" s="960" t="s">
        <v>4256</v>
      </c>
      <c r="D2716" s="960" t="s">
        <v>470</v>
      </c>
      <c r="E2716" s="959">
        <v>0</v>
      </c>
      <c r="F2716" s="959">
        <v>0</v>
      </c>
      <c r="G2716" s="959">
        <v>0</v>
      </c>
      <c r="H2716" s="959">
        <v>10</v>
      </c>
    </row>
    <row r="2717" spans="1:8">
      <c r="A2717" s="959" t="s">
        <v>3956</v>
      </c>
      <c r="B2717" s="960" t="s">
        <v>3957</v>
      </c>
      <c r="C2717" s="960" t="s">
        <v>4256</v>
      </c>
      <c r="D2717" s="960" t="s">
        <v>1904</v>
      </c>
      <c r="E2717" s="959">
        <v>0</v>
      </c>
      <c r="F2717" s="959">
        <v>0</v>
      </c>
      <c r="G2717" s="959">
        <v>1</v>
      </c>
      <c r="H2717" s="959">
        <v>0</v>
      </c>
    </row>
    <row r="2718" spans="1:8">
      <c r="A2718" s="959" t="s">
        <v>3956</v>
      </c>
      <c r="B2718" s="960" t="s">
        <v>3957</v>
      </c>
      <c r="C2718" s="960" t="s">
        <v>4256</v>
      </c>
      <c r="D2718" s="960" t="s">
        <v>1907</v>
      </c>
      <c r="E2718" s="959">
        <v>5</v>
      </c>
      <c r="F2718" s="959">
        <v>42</v>
      </c>
      <c r="G2718" s="959">
        <v>2</v>
      </c>
      <c r="H2718" s="959">
        <v>18</v>
      </c>
    </row>
    <row r="2719" spans="1:8">
      <c r="A2719" s="959" t="s">
        <v>3956</v>
      </c>
      <c r="B2719" s="960" t="s">
        <v>3957</v>
      </c>
      <c r="C2719" s="960" t="s">
        <v>4262</v>
      </c>
      <c r="D2719" s="960" t="s">
        <v>4263</v>
      </c>
      <c r="E2719" s="959">
        <v>1</v>
      </c>
      <c r="F2719" s="959">
        <v>1</v>
      </c>
      <c r="G2719" s="959">
        <v>0</v>
      </c>
      <c r="H2719" s="959">
        <v>0</v>
      </c>
    </row>
    <row r="2720" spans="1:8">
      <c r="A2720" s="959" t="s">
        <v>3956</v>
      </c>
      <c r="B2720" s="960" t="s">
        <v>3957</v>
      </c>
      <c r="C2720" s="960" t="s">
        <v>4267</v>
      </c>
      <c r="D2720" s="960" t="s">
        <v>4268</v>
      </c>
      <c r="E2720" s="959">
        <v>0</v>
      </c>
      <c r="F2720" s="959">
        <v>0</v>
      </c>
      <c r="G2720" s="959">
        <v>0</v>
      </c>
      <c r="H2720" s="959">
        <v>9</v>
      </c>
    </row>
    <row r="2721" spans="1:8">
      <c r="A2721" s="959" t="s">
        <v>3958</v>
      </c>
      <c r="B2721" s="960" t="s">
        <v>3959</v>
      </c>
      <c r="C2721" s="960" t="s">
        <v>4256</v>
      </c>
      <c r="D2721" s="960" t="s">
        <v>1906</v>
      </c>
      <c r="E2721" s="959">
        <v>0</v>
      </c>
      <c r="F2721" s="959">
        <v>5</v>
      </c>
      <c r="G2721" s="959">
        <v>0</v>
      </c>
      <c r="H2721" s="959">
        <v>0</v>
      </c>
    </row>
    <row r="2722" spans="1:8">
      <c r="A2722" s="959" t="s">
        <v>3960</v>
      </c>
      <c r="B2722" s="960" t="s">
        <v>3961</v>
      </c>
      <c r="C2722" s="960" t="s">
        <v>4257</v>
      </c>
      <c r="D2722" s="960" t="s">
        <v>4258</v>
      </c>
      <c r="E2722" s="959">
        <v>0</v>
      </c>
      <c r="F2722" s="959">
        <v>1</v>
      </c>
      <c r="G2722" s="959">
        <v>0</v>
      </c>
      <c r="H2722" s="959">
        <v>0</v>
      </c>
    </row>
    <row r="2723" spans="1:8">
      <c r="A2723" s="959" t="s">
        <v>3960</v>
      </c>
      <c r="B2723" s="960" t="s">
        <v>3961</v>
      </c>
      <c r="C2723" s="960" t="s">
        <v>4262</v>
      </c>
      <c r="D2723" s="960" t="s">
        <v>4263</v>
      </c>
      <c r="E2723" s="959">
        <v>0</v>
      </c>
      <c r="F2723" s="959">
        <v>4</v>
      </c>
      <c r="G2723" s="959">
        <v>0</v>
      </c>
      <c r="H2723" s="959">
        <v>0</v>
      </c>
    </row>
    <row r="2724" spans="1:8">
      <c r="A2724" s="959" t="s">
        <v>3962</v>
      </c>
      <c r="B2724" s="960" t="s">
        <v>1561</v>
      </c>
      <c r="C2724" s="960" t="s">
        <v>4267</v>
      </c>
      <c r="D2724" s="960" t="s">
        <v>4268</v>
      </c>
      <c r="E2724" s="959">
        <v>0</v>
      </c>
      <c r="F2724" s="959">
        <v>0</v>
      </c>
      <c r="G2724" s="959">
        <v>0</v>
      </c>
      <c r="H2724" s="959">
        <v>1</v>
      </c>
    </row>
    <row r="2725" spans="1:8">
      <c r="A2725" s="959" t="s">
        <v>3964</v>
      </c>
      <c r="B2725" s="960" t="s">
        <v>1564</v>
      </c>
      <c r="C2725" s="960" t="s">
        <v>4256</v>
      </c>
      <c r="D2725" s="960" t="s">
        <v>470</v>
      </c>
      <c r="E2725" s="959">
        <v>0</v>
      </c>
      <c r="F2725" s="959">
        <v>1</v>
      </c>
      <c r="G2725" s="959">
        <v>0</v>
      </c>
      <c r="H2725" s="959">
        <v>0</v>
      </c>
    </row>
    <row r="2726" spans="1:8">
      <c r="A2726" s="959" t="s">
        <v>3964</v>
      </c>
      <c r="B2726" s="960" t="s">
        <v>1564</v>
      </c>
      <c r="C2726" s="960" t="s">
        <v>4256</v>
      </c>
      <c r="D2726" s="960" t="s">
        <v>1907</v>
      </c>
      <c r="E2726" s="959">
        <v>2</v>
      </c>
      <c r="F2726" s="959">
        <v>26</v>
      </c>
      <c r="G2726" s="959">
        <v>2</v>
      </c>
      <c r="H2726" s="959">
        <v>31</v>
      </c>
    </row>
    <row r="2727" spans="1:8">
      <c r="A2727" s="959" t="s">
        <v>3964</v>
      </c>
      <c r="B2727" s="960" t="s">
        <v>1564</v>
      </c>
      <c r="C2727" s="960" t="s">
        <v>4257</v>
      </c>
      <c r="D2727" s="960" t="s">
        <v>4258</v>
      </c>
      <c r="E2727" s="959">
        <v>0</v>
      </c>
      <c r="F2727" s="959">
        <v>10</v>
      </c>
      <c r="G2727" s="959">
        <v>0</v>
      </c>
      <c r="H2727" s="959">
        <v>0</v>
      </c>
    </row>
    <row r="2728" spans="1:8">
      <c r="A2728" s="959" t="s">
        <v>3964</v>
      </c>
      <c r="B2728" s="960" t="s">
        <v>1564</v>
      </c>
      <c r="C2728" s="960" t="s">
        <v>4262</v>
      </c>
      <c r="D2728" s="960" t="s">
        <v>4263</v>
      </c>
      <c r="E2728" s="959">
        <v>0</v>
      </c>
      <c r="F2728" s="959">
        <v>6</v>
      </c>
      <c r="G2728" s="959">
        <v>0</v>
      </c>
      <c r="H2728" s="959">
        <v>0</v>
      </c>
    </row>
    <row r="2729" spans="1:8">
      <c r="A2729" s="959" t="s">
        <v>3965</v>
      </c>
      <c r="B2729" s="960" t="s">
        <v>1566</v>
      </c>
      <c r="C2729" s="960" t="s">
        <v>4257</v>
      </c>
      <c r="D2729" s="960" t="s">
        <v>4258</v>
      </c>
      <c r="E2729" s="959">
        <v>0</v>
      </c>
      <c r="F2729" s="959">
        <v>1</v>
      </c>
      <c r="G2729" s="959">
        <v>0</v>
      </c>
      <c r="H2729" s="959">
        <v>0</v>
      </c>
    </row>
    <row r="2730" spans="1:8">
      <c r="A2730" s="959" t="s">
        <v>3965</v>
      </c>
      <c r="B2730" s="960" t="s">
        <v>1566</v>
      </c>
      <c r="C2730" s="960" t="s">
        <v>4262</v>
      </c>
      <c r="D2730" s="960" t="s">
        <v>4263</v>
      </c>
      <c r="E2730" s="959">
        <v>8</v>
      </c>
      <c r="F2730" s="959">
        <v>195</v>
      </c>
      <c r="G2730" s="959">
        <v>0</v>
      </c>
      <c r="H2730" s="959">
        <v>0</v>
      </c>
    </row>
    <row r="2731" spans="1:8">
      <c r="A2731" s="959" t="s">
        <v>3966</v>
      </c>
      <c r="B2731" s="960" t="s">
        <v>3967</v>
      </c>
      <c r="C2731" s="960" t="s">
        <v>4257</v>
      </c>
      <c r="D2731" s="960" t="s">
        <v>4258</v>
      </c>
      <c r="E2731" s="959">
        <v>0</v>
      </c>
      <c r="F2731" s="959">
        <v>1</v>
      </c>
      <c r="G2731" s="959">
        <v>0</v>
      </c>
      <c r="H2731" s="959">
        <v>1</v>
      </c>
    </row>
    <row r="2732" spans="1:8">
      <c r="A2732" s="959" t="s">
        <v>3968</v>
      </c>
      <c r="B2732" s="960" t="s">
        <v>1567</v>
      </c>
      <c r="C2732" s="960" t="s">
        <v>4256</v>
      </c>
      <c r="D2732" s="960" t="s">
        <v>4259</v>
      </c>
      <c r="E2732" s="959">
        <v>0</v>
      </c>
      <c r="F2732" s="959">
        <v>0</v>
      </c>
      <c r="G2732" s="959">
        <v>0</v>
      </c>
      <c r="H2732" s="959">
        <v>1</v>
      </c>
    </row>
    <row r="2733" spans="1:8">
      <c r="A2733" s="959" t="s">
        <v>3968</v>
      </c>
      <c r="B2733" s="960" t="s">
        <v>1567</v>
      </c>
      <c r="C2733" s="960" t="s">
        <v>4256</v>
      </c>
      <c r="D2733" s="960" t="s">
        <v>1906</v>
      </c>
      <c r="E2733" s="959">
        <v>0</v>
      </c>
      <c r="F2733" s="959">
        <v>41</v>
      </c>
      <c r="G2733" s="959">
        <v>0</v>
      </c>
      <c r="H2733" s="959">
        <v>0</v>
      </c>
    </row>
    <row r="2734" spans="1:8">
      <c r="A2734" s="959" t="s">
        <v>3968</v>
      </c>
      <c r="B2734" s="960" t="s">
        <v>1567</v>
      </c>
      <c r="C2734" s="960" t="s">
        <v>4256</v>
      </c>
      <c r="D2734" s="960" t="s">
        <v>4264</v>
      </c>
      <c r="E2734" s="959">
        <v>0</v>
      </c>
      <c r="F2734" s="959">
        <v>1</v>
      </c>
      <c r="G2734" s="959">
        <v>0</v>
      </c>
      <c r="H2734" s="959">
        <v>0</v>
      </c>
    </row>
    <row r="2735" spans="1:8">
      <c r="A2735" s="959" t="s">
        <v>3968</v>
      </c>
      <c r="B2735" s="960" t="s">
        <v>1567</v>
      </c>
      <c r="C2735" s="960" t="s">
        <v>4257</v>
      </c>
      <c r="D2735" s="960" t="s">
        <v>4258</v>
      </c>
      <c r="E2735" s="959">
        <v>0</v>
      </c>
      <c r="F2735" s="959">
        <v>38</v>
      </c>
      <c r="G2735" s="959">
        <v>0</v>
      </c>
      <c r="H2735" s="959">
        <v>0</v>
      </c>
    </row>
    <row r="2736" spans="1:8">
      <c r="A2736" s="959" t="s">
        <v>3968</v>
      </c>
      <c r="B2736" s="960" t="s">
        <v>1567</v>
      </c>
      <c r="C2736" s="960" t="s">
        <v>4262</v>
      </c>
      <c r="D2736" s="960" t="s">
        <v>4263</v>
      </c>
      <c r="E2736" s="959">
        <v>0</v>
      </c>
      <c r="F2736" s="959">
        <v>4</v>
      </c>
      <c r="G2736" s="959">
        <v>0</v>
      </c>
      <c r="H2736" s="959">
        <v>0</v>
      </c>
    </row>
    <row r="2737" spans="1:8">
      <c r="A2737" s="959" t="s">
        <v>3969</v>
      </c>
      <c r="B2737" s="960" t="s">
        <v>1571</v>
      </c>
      <c r="C2737" s="960" t="s">
        <v>4256</v>
      </c>
      <c r="D2737" s="960" t="s">
        <v>4260</v>
      </c>
      <c r="E2737" s="959">
        <v>0</v>
      </c>
      <c r="F2737" s="959">
        <v>1</v>
      </c>
      <c r="G2737" s="959">
        <v>0</v>
      </c>
      <c r="H2737" s="959">
        <v>0</v>
      </c>
    </row>
    <row r="2738" spans="1:8">
      <c r="A2738" s="959" t="s">
        <v>3969</v>
      </c>
      <c r="B2738" s="960" t="s">
        <v>1571</v>
      </c>
      <c r="C2738" s="960" t="s">
        <v>4257</v>
      </c>
      <c r="D2738" s="960" t="s">
        <v>4258</v>
      </c>
      <c r="E2738" s="959">
        <v>0</v>
      </c>
      <c r="F2738" s="959">
        <v>14</v>
      </c>
      <c r="G2738" s="959">
        <v>0</v>
      </c>
      <c r="H2738" s="959">
        <v>0</v>
      </c>
    </row>
    <row r="2739" spans="1:8">
      <c r="A2739" s="959" t="s">
        <v>3969</v>
      </c>
      <c r="B2739" s="960" t="s">
        <v>1571</v>
      </c>
      <c r="C2739" s="960" t="s">
        <v>4262</v>
      </c>
      <c r="D2739" s="960" t="s">
        <v>4263</v>
      </c>
      <c r="E2739" s="959">
        <v>43</v>
      </c>
      <c r="F2739" s="959">
        <v>494</v>
      </c>
      <c r="G2739" s="959">
        <v>0</v>
      </c>
      <c r="H2739" s="959">
        <v>0</v>
      </c>
    </row>
    <row r="2740" spans="1:8">
      <c r="A2740" s="959" t="s">
        <v>3970</v>
      </c>
      <c r="B2740" s="960" t="s">
        <v>1574</v>
      </c>
      <c r="C2740" s="960" t="s">
        <v>4262</v>
      </c>
      <c r="D2740" s="960" t="s">
        <v>4263</v>
      </c>
      <c r="E2740" s="959">
        <v>0</v>
      </c>
      <c r="F2740" s="959">
        <v>0</v>
      </c>
      <c r="G2740" s="959">
        <v>3</v>
      </c>
      <c r="H2740" s="959">
        <v>0</v>
      </c>
    </row>
    <row r="2741" spans="1:8">
      <c r="A2741" s="959" t="s">
        <v>4311</v>
      </c>
      <c r="B2741" s="960" t="s">
        <v>1584</v>
      </c>
      <c r="C2741" s="960" t="s">
        <v>4256</v>
      </c>
      <c r="D2741" s="960" t="s">
        <v>4260</v>
      </c>
      <c r="E2741" s="959">
        <v>0</v>
      </c>
      <c r="F2741" s="959">
        <v>0</v>
      </c>
      <c r="G2741" s="959">
        <v>0</v>
      </c>
      <c r="H2741" s="959">
        <v>2</v>
      </c>
    </row>
    <row r="2742" spans="1:8">
      <c r="A2742" s="959" t="s">
        <v>4311</v>
      </c>
      <c r="B2742" s="960" t="s">
        <v>1584</v>
      </c>
      <c r="C2742" s="960" t="s">
        <v>4262</v>
      </c>
      <c r="D2742" s="960" t="s">
        <v>4263</v>
      </c>
      <c r="E2742" s="959">
        <v>0</v>
      </c>
      <c r="F2742" s="959">
        <v>15</v>
      </c>
      <c r="G2742" s="959">
        <v>0</v>
      </c>
      <c r="H2742" s="959">
        <v>0</v>
      </c>
    </row>
    <row r="2743" spans="1:8">
      <c r="A2743" s="959" t="s">
        <v>3974</v>
      </c>
      <c r="B2743" s="960" t="s">
        <v>1587</v>
      </c>
      <c r="C2743" s="960" t="s">
        <v>4256</v>
      </c>
      <c r="D2743" s="960" t="s">
        <v>4260</v>
      </c>
      <c r="E2743" s="959">
        <v>0</v>
      </c>
      <c r="F2743" s="959">
        <v>0</v>
      </c>
      <c r="G2743" s="959">
        <v>0</v>
      </c>
      <c r="H2743" s="959">
        <v>1</v>
      </c>
    </row>
    <row r="2744" spans="1:8">
      <c r="A2744" s="959" t="s">
        <v>3974</v>
      </c>
      <c r="B2744" s="960" t="s">
        <v>1587</v>
      </c>
      <c r="C2744" s="960" t="s">
        <v>4256</v>
      </c>
      <c r="D2744" s="960" t="s">
        <v>1906</v>
      </c>
      <c r="E2744" s="959">
        <v>0</v>
      </c>
      <c r="F2744" s="959">
        <v>3</v>
      </c>
      <c r="G2744" s="959">
        <v>0</v>
      </c>
      <c r="H2744" s="959">
        <v>0</v>
      </c>
    </row>
    <row r="2745" spans="1:8">
      <c r="A2745" s="959" t="s">
        <v>3974</v>
      </c>
      <c r="B2745" s="960" t="s">
        <v>1587</v>
      </c>
      <c r="C2745" s="960" t="s">
        <v>4256</v>
      </c>
      <c r="D2745" s="960" t="s">
        <v>4264</v>
      </c>
      <c r="E2745" s="959">
        <v>0</v>
      </c>
      <c r="F2745" s="959">
        <v>2</v>
      </c>
      <c r="G2745" s="959">
        <v>0</v>
      </c>
      <c r="H2745" s="959">
        <v>0</v>
      </c>
    </row>
    <row r="2746" spans="1:8">
      <c r="A2746" s="959" t="s">
        <v>3974</v>
      </c>
      <c r="B2746" s="960" t="s">
        <v>1587</v>
      </c>
      <c r="C2746" s="960" t="s">
        <v>4257</v>
      </c>
      <c r="D2746" s="960" t="s">
        <v>4258</v>
      </c>
      <c r="E2746" s="959">
        <v>0</v>
      </c>
      <c r="F2746" s="959">
        <v>1</v>
      </c>
      <c r="G2746" s="959">
        <v>0</v>
      </c>
      <c r="H2746" s="959">
        <v>0</v>
      </c>
    </row>
    <row r="2747" spans="1:8">
      <c r="A2747" s="959" t="s">
        <v>3974</v>
      </c>
      <c r="B2747" s="960" t="s">
        <v>1587</v>
      </c>
      <c r="C2747" s="960" t="s">
        <v>4262</v>
      </c>
      <c r="D2747" s="960" t="s">
        <v>4263</v>
      </c>
      <c r="E2747" s="959">
        <v>23</v>
      </c>
      <c r="F2747" s="959">
        <v>221</v>
      </c>
      <c r="G2747" s="959">
        <v>0</v>
      </c>
      <c r="H2747" s="959">
        <v>0</v>
      </c>
    </row>
    <row r="2748" spans="1:8">
      <c r="A2748" s="959" t="s">
        <v>3975</v>
      </c>
      <c r="B2748" s="960" t="s">
        <v>1594</v>
      </c>
      <c r="C2748" s="960" t="s">
        <v>4257</v>
      </c>
      <c r="D2748" s="960" t="s">
        <v>4258</v>
      </c>
      <c r="E2748" s="959">
        <v>0</v>
      </c>
      <c r="F2748" s="959">
        <v>1</v>
      </c>
      <c r="G2748" s="959">
        <v>0</v>
      </c>
      <c r="H2748" s="959">
        <v>0</v>
      </c>
    </row>
    <row r="2749" spans="1:8">
      <c r="A2749" s="959" t="s">
        <v>3976</v>
      </c>
      <c r="B2749" s="960" t="s">
        <v>1591</v>
      </c>
      <c r="C2749" s="960" t="s">
        <v>4262</v>
      </c>
      <c r="D2749" s="960" t="s">
        <v>4263</v>
      </c>
      <c r="E2749" s="959">
        <v>0</v>
      </c>
      <c r="F2749" s="959">
        <v>7</v>
      </c>
      <c r="G2749" s="959">
        <v>0</v>
      </c>
      <c r="H2749" s="959">
        <v>0</v>
      </c>
    </row>
    <row r="2750" spans="1:8">
      <c r="A2750" s="959" t="s">
        <v>3977</v>
      </c>
      <c r="B2750" s="960" t="s">
        <v>3978</v>
      </c>
      <c r="C2750" s="960" t="s">
        <v>4275</v>
      </c>
      <c r="D2750" s="960" t="s">
        <v>4276</v>
      </c>
      <c r="E2750" s="959">
        <v>0</v>
      </c>
      <c r="F2750" s="959">
        <v>19</v>
      </c>
      <c r="G2750" s="959">
        <v>0</v>
      </c>
      <c r="H2750" s="959">
        <v>0</v>
      </c>
    </row>
    <row r="2751" spans="1:8">
      <c r="A2751" s="959" t="s">
        <v>3977</v>
      </c>
      <c r="B2751" s="960" t="s">
        <v>3978</v>
      </c>
      <c r="C2751" s="960" t="s">
        <v>4256</v>
      </c>
      <c r="D2751" s="960" t="s">
        <v>4260</v>
      </c>
      <c r="E2751" s="959">
        <v>0</v>
      </c>
      <c r="F2751" s="959">
        <v>0</v>
      </c>
      <c r="G2751" s="959">
        <v>0</v>
      </c>
      <c r="H2751" s="959">
        <v>2</v>
      </c>
    </row>
    <row r="2752" spans="1:8">
      <c r="A2752" s="959" t="s">
        <v>3977</v>
      </c>
      <c r="B2752" s="960" t="s">
        <v>3978</v>
      </c>
      <c r="C2752" s="960" t="s">
        <v>4256</v>
      </c>
      <c r="D2752" s="960" t="s">
        <v>1906</v>
      </c>
      <c r="E2752" s="959">
        <v>0</v>
      </c>
      <c r="F2752" s="959">
        <v>9</v>
      </c>
      <c r="G2752" s="959">
        <v>0</v>
      </c>
      <c r="H2752" s="959">
        <v>1</v>
      </c>
    </row>
    <row r="2753" spans="1:8">
      <c r="A2753" s="959" t="s">
        <v>3977</v>
      </c>
      <c r="B2753" s="960" t="s">
        <v>3978</v>
      </c>
      <c r="C2753" s="960" t="s">
        <v>4257</v>
      </c>
      <c r="D2753" s="960" t="s">
        <v>4258</v>
      </c>
      <c r="E2753" s="959">
        <v>4</v>
      </c>
      <c r="F2753" s="959">
        <v>63</v>
      </c>
      <c r="G2753" s="959">
        <v>1</v>
      </c>
      <c r="H2753" s="959">
        <v>9</v>
      </c>
    </row>
    <row r="2754" spans="1:8">
      <c r="A2754" s="959" t="s">
        <v>3977</v>
      </c>
      <c r="B2754" s="960" t="s">
        <v>3978</v>
      </c>
      <c r="C2754" s="960" t="s">
        <v>4262</v>
      </c>
      <c r="D2754" s="960" t="s">
        <v>4263</v>
      </c>
      <c r="E2754" s="959">
        <v>8</v>
      </c>
      <c r="F2754" s="959">
        <v>68</v>
      </c>
      <c r="G2754" s="959">
        <v>0</v>
      </c>
      <c r="H2754" s="959">
        <v>0</v>
      </c>
    </row>
    <row r="2755" spans="1:8">
      <c r="A2755" s="959" t="s">
        <v>3979</v>
      </c>
      <c r="B2755" s="960" t="s">
        <v>1598</v>
      </c>
      <c r="C2755" s="960" t="s">
        <v>4262</v>
      </c>
      <c r="D2755" s="960" t="s">
        <v>4263</v>
      </c>
      <c r="E2755" s="959">
        <v>0</v>
      </c>
      <c r="F2755" s="959">
        <v>2</v>
      </c>
      <c r="G2755" s="959">
        <v>0</v>
      </c>
      <c r="H2755" s="959">
        <v>0</v>
      </c>
    </row>
    <row r="2756" spans="1:8">
      <c r="A2756" s="959" t="s">
        <v>3979</v>
      </c>
      <c r="B2756" s="960" t="s">
        <v>1598</v>
      </c>
      <c r="C2756" s="960" t="s">
        <v>4267</v>
      </c>
      <c r="D2756" s="960" t="s">
        <v>4268</v>
      </c>
      <c r="E2756" s="959">
        <v>0</v>
      </c>
      <c r="F2756" s="959">
        <v>0</v>
      </c>
      <c r="G2756" s="959">
        <v>0</v>
      </c>
      <c r="H2756" s="959">
        <v>2</v>
      </c>
    </row>
    <row r="2757" spans="1:8">
      <c r="A2757" s="959" t="s">
        <v>3982</v>
      </c>
      <c r="B2757" s="960" t="s">
        <v>1418</v>
      </c>
      <c r="C2757" s="960" t="s">
        <v>4256</v>
      </c>
      <c r="D2757" s="960" t="s">
        <v>1906</v>
      </c>
      <c r="E2757" s="959">
        <v>0</v>
      </c>
      <c r="F2757" s="959">
        <v>1</v>
      </c>
      <c r="G2757" s="959">
        <v>0</v>
      </c>
      <c r="H2757" s="959">
        <v>0</v>
      </c>
    </row>
    <row r="2758" spans="1:8">
      <c r="A2758" s="959" t="s">
        <v>3983</v>
      </c>
      <c r="B2758" s="960" t="s">
        <v>3984</v>
      </c>
      <c r="C2758" s="960" t="s">
        <v>4256</v>
      </c>
      <c r="D2758" s="960" t="s">
        <v>1906</v>
      </c>
      <c r="E2758" s="959">
        <v>15</v>
      </c>
      <c r="F2758" s="959">
        <v>113</v>
      </c>
      <c r="G2758" s="959">
        <v>1</v>
      </c>
      <c r="H2758" s="959">
        <v>10</v>
      </c>
    </row>
    <row r="2759" spans="1:8">
      <c r="A2759" s="959" t="s">
        <v>3983</v>
      </c>
      <c r="B2759" s="960" t="s">
        <v>3984</v>
      </c>
      <c r="C2759" s="960" t="s">
        <v>4256</v>
      </c>
      <c r="D2759" s="960" t="s">
        <v>4264</v>
      </c>
      <c r="E2759" s="959">
        <v>0</v>
      </c>
      <c r="F2759" s="959">
        <v>1</v>
      </c>
      <c r="G2759" s="959">
        <v>0</v>
      </c>
      <c r="H2759" s="959">
        <v>0</v>
      </c>
    </row>
    <row r="2760" spans="1:8">
      <c r="A2760" s="959" t="s">
        <v>3983</v>
      </c>
      <c r="B2760" s="960" t="s">
        <v>3984</v>
      </c>
      <c r="C2760" s="960" t="s">
        <v>4257</v>
      </c>
      <c r="D2760" s="960" t="s">
        <v>4258</v>
      </c>
      <c r="E2760" s="959">
        <v>3</v>
      </c>
      <c r="F2760" s="959">
        <v>30</v>
      </c>
      <c r="G2760" s="959">
        <v>0</v>
      </c>
      <c r="H2760" s="959">
        <v>2</v>
      </c>
    </row>
    <row r="2761" spans="1:8">
      <c r="A2761" s="959" t="s">
        <v>3983</v>
      </c>
      <c r="B2761" s="960" t="s">
        <v>3984</v>
      </c>
      <c r="C2761" s="960" t="s">
        <v>4262</v>
      </c>
      <c r="D2761" s="960" t="s">
        <v>4263</v>
      </c>
      <c r="E2761" s="959">
        <v>26</v>
      </c>
      <c r="F2761" s="959">
        <v>854</v>
      </c>
      <c r="G2761" s="959">
        <v>0</v>
      </c>
      <c r="H2761" s="959">
        <v>4</v>
      </c>
    </row>
    <row r="2762" spans="1:8">
      <c r="A2762" s="959" t="s">
        <v>3985</v>
      </c>
      <c r="B2762" s="960" t="s">
        <v>3986</v>
      </c>
      <c r="C2762" s="960" t="s">
        <v>4256</v>
      </c>
      <c r="D2762" s="960" t="s">
        <v>1904</v>
      </c>
      <c r="E2762" s="959">
        <v>0</v>
      </c>
      <c r="F2762" s="959">
        <v>0</v>
      </c>
      <c r="G2762" s="959">
        <v>9</v>
      </c>
      <c r="H2762" s="959">
        <v>43</v>
      </c>
    </row>
    <row r="2763" spans="1:8">
      <c r="A2763" s="959" t="s">
        <v>3985</v>
      </c>
      <c r="B2763" s="960" t="s">
        <v>3986</v>
      </c>
      <c r="C2763" s="960" t="s">
        <v>4256</v>
      </c>
      <c r="D2763" s="960" t="s">
        <v>4270</v>
      </c>
      <c r="E2763" s="959">
        <v>0</v>
      </c>
      <c r="F2763" s="959">
        <v>0</v>
      </c>
      <c r="G2763" s="959">
        <v>41</v>
      </c>
      <c r="H2763" s="959">
        <v>6</v>
      </c>
    </row>
    <row r="2764" spans="1:8">
      <c r="A2764" s="959" t="s">
        <v>3985</v>
      </c>
      <c r="B2764" s="960" t="s">
        <v>3986</v>
      </c>
      <c r="C2764" s="960" t="s">
        <v>4256</v>
      </c>
      <c r="D2764" s="960" t="s">
        <v>4259</v>
      </c>
      <c r="E2764" s="959">
        <v>0</v>
      </c>
      <c r="F2764" s="959">
        <v>0</v>
      </c>
      <c r="G2764" s="959">
        <v>0</v>
      </c>
      <c r="H2764" s="959">
        <v>15</v>
      </c>
    </row>
    <row r="2765" spans="1:8">
      <c r="A2765" s="959" t="s">
        <v>3985</v>
      </c>
      <c r="B2765" s="960" t="s">
        <v>3986</v>
      </c>
      <c r="C2765" s="960" t="s">
        <v>4256</v>
      </c>
      <c r="D2765" s="960" t="s">
        <v>4260</v>
      </c>
      <c r="E2765" s="959">
        <v>0</v>
      </c>
      <c r="F2765" s="959">
        <v>0</v>
      </c>
      <c r="G2765" s="959">
        <v>34</v>
      </c>
      <c r="H2765" s="959">
        <v>102</v>
      </c>
    </row>
    <row r="2766" spans="1:8">
      <c r="A2766" s="959" t="s">
        <v>3985</v>
      </c>
      <c r="B2766" s="960" t="s">
        <v>3986</v>
      </c>
      <c r="C2766" s="960" t="s">
        <v>4256</v>
      </c>
      <c r="D2766" s="960" t="s">
        <v>1906</v>
      </c>
      <c r="E2766" s="959">
        <v>11</v>
      </c>
      <c r="F2766" s="959">
        <v>147</v>
      </c>
      <c r="G2766" s="959">
        <v>5</v>
      </c>
      <c r="H2766" s="959">
        <v>62</v>
      </c>
    </row>
    <row r="2767" spans="1:8">
      <c r="A2767" s="959" t="s">
        <v>3985</v>
      </c>
      <c r="B2767" s="960" t="s">
        <v>3986</v>
      </c>
      <c r="C2767" s="960" t="s">
        <v>4256</v>
      </c>
      <c r="D2767" s="960" t="s">
        <v>4264</v>
      </c>
      <c r="E2767" s="959">
        <v>1</v>
      </c>
      <c r="F2767" s="959">
        <v>7</v>
      </c>
      <c r="G2767" s="959">
        <v>0</v>
      </c>
      <c r="H2767" s="959">
        <v>0</v>
      </c>
    </row>
    <row r="2768" spans="1:8">
      <c r="A2768" s="959" t="s">
        <v>3985</v>
      </c>
      <c r="B2768" s="960" t="s">
        <v>3986</v>
      </c>
      <c r="C2768" s="960" t="s">
        <v>4256</v>
      </c>
      <c r="D2768" s="960" t="s">
        <v>4261</v>
      </c>
      <c r="E2768" s="959">
        <v>0</v>
      </c>
      <c r="F2768" s="959">
        <v>0</v>
      </c>
      <c r="G2768" s="959">
        <v>32</v>
      </c>
      <c r="H2768" s="959">
        <v>126</v>
      </c>
    </row>
    <row r="2769" spans="1:8">
      <c r="A2769" s="959" t="s">
        <v>3985</v>
      </c>
      <c r="B2769" s="960" t="s">
        <v>3986</v>
      </c>
      <c r="C2769" s="960" t="s">
        <v>4256</v>
      </c>
      <c r="D2769" s="960" t="s">
        <v>4274</v>
      </c>
      <c r="E2769" s="959">
        <v>0</v>
      </c>
      <c r="F2769" s="959">
        <v>5</v>
      </c>
      <c r="G2769" s="959">
        <v>0</v>
      </c>
      <c r="H2769" s="959">
        <v>0</v>
      </c>
    </row>
    <row r="2770" spans="1:8">
      <c r="A2770" s="959" t="s">
        <v>3985</v>
      </c>
      <c r="B2770" s="960" t="s">
        <v>3986</v>
      </c>
      <c r="C2770" s="960" t="s">
        <v>4256</v>
      </c>
      <c r="D2770" s="960" t="s">
        <v>4273</v>
      </c>
      <c r="E2770" s="959">
        <v>0</v>
      </c>
      <c r="F2770" s="959">
        <v>0</v>
      </c>
      <c r="G2770" s="959">
        <v>0</v>
      </c>
      <c r="H2770" s="959">
        <v>3</v>
      </c>
    </row>
    <row r="2771" spans="1:8">
      <c r="A2771" s="959" t="s">
        <v>3985</v>
      </c>
      <c r="B2771" s="960" t="s">
        <v>3986</v>
      </c>
      <c r="C2771" s="960" t="s">
        <v>4257</v>
      </c>
      <c r="D2771" s="960" t="s">
        <v>4258</v>
      </c>
      <c r="E2771" s="959">
        <v>97</v>
      </c>
      <c r="F2771" s="959">
        <v>1080</v>
      </c>
      <c r="G2771" s="959">
        <v>25</v>
      </c>
      <c r="H2771" s="959">
        <v>48</v>
      </c>
    </row>
    <row r="2772" spans="1:8">
      <c r="A2772" s="959" t="s">
        <v>3985</v>
      </c>
      <c r="B2772" s="960" t="s">
        <v>3986</v>
      </c>
      <c r="C2772" s="960" t="s">
        <v>4267</v>
      </c>
      <c r="D2772" s="960" t="s">
        <v>4268</v>
      </c>
      <c r="E2772" s="959">
        <v>0</v>
      </c>
      <c r="F2772" s="959">
        <v>0</v>
      </c>
      <c r="G2772" s="959">
        <v>0</v>
      </c>
      <c r="H2772" s="959">
        <v>3</v>
      </c>
    </row>
    <row r="2773" spans="1:8">
      <c r="A2773" s="959" t="s">
        <v>3987</v>
      </c>
      <c r="B2773" s="960" t="s">
        <v>3988</v>
      </c>
      <c r="C2773" s="960" t="s">
        <v>4257</v>
      </c>
      <c r="D2773" s="960" t="s">
        <v>4258</v>
      </c>
      <c r="E2773" s="959">
        <v>0</v>
      </c>
      <c r="F2773" s="959">
        <v>3</v>
      </c>
      <c r="G2773" s="959">
        <v>0</v>
      </c>
      <c r="H2773" s="959">
        <v>0</v>
      </c>
    </row>
    <row r="2774" spans="1:8">
      <c r="A2774" s="959" t="s">
        <v>3989</v>
      </c>
      <c r="B2774" s="960" t="s">
        <v>3990</v>
      </c>
      <c r="C2774" s="960" t="s">
        <v>4275</v>
      </c>
      <c r="D2774" s="960" t="s">
        <v>4276</v>
      </c>
      <c r="E2774" s="959">
        <v>10</v>
      </c>
      <c r="F2774" s="959">
        <v>139</v>
      </c>
      <c r="G2774" s="959">
        <v>0</v>
      </c>
      <c r="H2774" s="959">
        <v>1</v>
      </c>
    </row>
    <row r="2775" spans="1:8">
      <c r="A2775" s="959" t="s">
        <v>3989</v>
      </c>
      <c r="B2775" s="960" t="s">
        <v>3990</v>
      </c>
      <c r="C2775" s="960" t="s">
        <v>4256</v>
      </c>
      <c r="D2775" s="960" t="s">
        <v>1906</v>
      </c>
      <c r="E2775" s="959">
        <v>4</v>
      </c>
      <c r="F2775" s="959">
        <v>50</v>
      </c>
      <c r="G2775" s="959">
        <v>1</v>
      </c>
      <c r="H2775" s="959">
        <v>16</v>
      </c>
    </row>
    <row r="2776" spans="1:8">
      <c r="A2776" s="959" t="s">
        <v>3989</v>
      </c>
      <c r="B2776" s="960" t="s">
        <v>3990</v>
      </c>
      <c r="C2776" s="960" t="s">
        <v>4256</v>
      </c>
      <c r="D2776" s="960" t="s">
        <v>1907</v>
      </c>
      <c r="E2776" s="959">
        <v>3</v>
      </c>
      <c r="F2776" s="959">
        <v>34</v>
      </c>
      <c r="G2776" s="959">
        <v>4</v>
      </c>
      <c r="H2776" s="959">
        <v>60</v>
      </c>
    </row>
    <row r="2777" spans="1:8">
      <c r="A2777" s="959" t="s">
        <v>3989</v>
      </c>
      <c r="B2777" s="960" t="s">
        <v>3990</v>
      </c>
      <c r="C2777" s="960" t="s">
        <v>4257</v>
      </c>
      <c r="D2777" s="960" t="s">
        <v>4258</v>
      </c>
      <c r="E2777" s="959">
        <v>5</v>
      </c>
      <c r="F2777" s="959">
        <v>81</v>
      </c>
      <c r="G2777" s="959">
        <v>2</v>
      </c>
      <c r="H2777" s="959">
        <v>10</v>
      </c>
    </row>
    <row r="2778" spans="1:8">
      <c r="A2778" s="959" t="s">
        <v>3989</v>
      </c>
      <c r="B2778" s="960" t="s">
        <v>3990</v>
      </c>
      <c r="C2778" s="960" t="s">
        <v>4262</v>
      </c>
      <c r="D2778" s="960" t="s">
        <v>4263</v>
      </c>
      <c r="E2778" s="959">
        <v>33</v>
      </c>
      <c r="F2778" s="959">
        <v>441</v>
      </c>
      <c r="G2778" s="959">
        <v>0</v>
      </c>
      <c r="H2778" s="959">
        <v>0</v>
      </c>
    </row>
    <row r="2779" spans="1:8">
      <c r="A2779" s="959" t="s">
        <v>4312</v>
      </c>
      <c r="B2779" s="960" t="s">
        <v>4313</v>
      </c>
      <c r="C2779" s="960" t="s">
        <v>4257</v>
      </c>
      <c r="D2779" s="960" t="s">
        <v>4258</v>
      </c>
      <c r="E2779" s="959">
        <v>1</v>
      </c>
      <c r="F2779" s="959">
        <v>7</v>
      </c>
      <c r="G2779" s="959">
        <v>0</v>
      </c>
      <c r="H2779" s="959">
        <v>0</v>
      </c>
    </row>
    <row r="2780" spans="1:8">
      <c r="A2780" s="959" t="s">
        <v>4312</v>
      </c>
      <c r="B2780" s="960" t="s">
        <v>4313</v>
      </c>
      <c r="C2780" s="960" t="s">
        <v>4262</v>
      </c>
      <c r="D2780" s="960" t="s">
        <v>4263</v>
      </c>
      <c r="E2780" s="959">
        <v>0</v>
      </c>
      <c r="F2780" s="959">
        <v>21</v>
      </c>
      <c r="G2780" s="959">
        <v>0</v>
      </c>
      <c r="H2780" s="959">
        <v>0</v>
      </c>
    </row>
    <row r="2781" spans="1:8">
      <c r="A2781" s="959" t="s">
        <v>3991</v>
      </c>
      <c r="B2781" s="960" t="s">
        <v>3992</v>
      </c>
      <c r="C2781" s="960" t="s">
        <v>4275</v>
      </c>
      <c r="D2781" s="960" t="s">
        <v>4276</v>
      </c>
      <c r="E2781" s="959">
        <v>0</v>
      </c>
      <c r="F2781" s="959">
        <v>9</v>
      </c>
      <c r="G2781" s="959">
        <v>0</v>
      </c>
      <c r="H2781" s="959">
        <v>3</v>
      </c>
    </row>
    <row r="2782" spans="1:8">
      <c r="A2782" s="959" t="s">
        <v>3991</v>
      </c>
      <c r="B2782" s="960" t="s">
        <v>3992</v>
      </c>
      <c r="C2782" s="960" t="s">
        <v>4256</v>
      </c>
      <c r="D2782" s="960" t="s">
        <v>4259</v>
      </c>
      <c r="E2782" s="959">
        <v>0</v>
      </c>
      <c r="F2782" s="959">
        <v>0</v>
      </c>
      <c r="G2782" s="959">
        <v>0</v>
      </c>
      <c r="H2782" s="959">
        <v>1</v>
      </c>
    </row>
    <row r="2783" spans="1:8">
      <c r="A2783" s="959" t="s">
        <v>3991</v>
      </c>
      <c r="B2783" s="960" t="s">
        <v>3992</v>
      </c>
      <c r="C2783" s="960" t="s">
        <v>4256</v>
      </c>
      <c r="D2783" s="960" t="s">
        <v>4260</v>
      </c>
      <c r="E2783" s="959">
        <v>0</v>
      </c>
      <c r="F2783" s="959">
        <v>0</v>
      </c>
      <c r="G2783" s="959">
        <v>2</v>
      </c>
      <c r="H2783" s="959">
        <v>0</v>
      </c>
    </row>
    <row r="2784" spans="1:8">
      <c r="A2784" s="959" t="s">
        <v>3991</v>
      </c>
      <c r="B2784" s="960" t="s">
        <v>3992</v>
      </c>
      <c r="C2784" s="960" t="s">
        <v>4256</v>
      </c>
      <c r="D2784" s="960" t="s">
        <v>1906</v>
      </c>
      <c r="E2784" s="959">
        <v>3</v>
      </c>
      <c r="F2784" s="959">
        <v>46</v>
      </c>
      <c r="G2784" s="959">
        <v>2</v>
      </c>
      <c r="H2784" s="959">
        <v>40</v>
      </c>
    </row>
    <row r="2785" spans="1:8">
      <c r="A2785" s="959" t="s">
        <v>3991</v>
      </c>
      <c r="B2785" s="960" t="s">
        <v>3992</v>
      </c>
      <c r="C2785" s="960" t="s">
        <v>4256</v>
      </c>
      <c r="D2785" s="960" t="s">
        <v>4264</v>
      </c>
      <c r="E2785" s="959">
        <v>0</v>
      </c>
      <c r="F2785" s="959">
        <v>0</v>
      </c>
      <c r="G2785" s="959">
        <v>0</v>
      </c>
      <c r="H2785" s="959">
        <v>6</v>
      </c>
    </row>
    <row r="2786" spans="1:8">
      <c r="A2786" s="959" t="s">
        <v>3991</v>
      </c>
      <c r="B2786" s="960" t="s">
        <v>3992</v>
      </c>
      <c r="C2786" s="960" t="s">
        <v>4256</v>
      </c>
      <c r="D2786" s="960" t="s">
        <v>1907</v>
      </c>
      <c r="E2786" s="959">
        <v>3</v>
      </c>
      <c r="F2786" s="959">
        <v>54</v>
      </c>
      <c r="G2786" s="959">
        <v>66</v>
      </c>
      <c r="H2786" s="959">
        <v>1012</v>
      </c>
    </row>
    <row r="2787" spans="1:8">
      <c r="A2787" s="959" t="s">
        <v>3991</v>
      </c>
      <c r="B2787" s="960" t="s">
        <v>3992</v>
      </c>
      <c r="C2787" s="960" t="s">
        <v>4257</v>
      </c>
      <c r="D2787" s="960" t="s">
        <v>4258</v>
      </c>
      <c r="E2787" s="959">
        <v>5</v>
      </c>
      <c r="F2787" s="959">
        <v>125</v>
      </c>
      <c r="G2787" s="959">
        <v>15</v>
      </c>
      <c r="H2787" s="959">
        <v>170</v>
      </c>
    </row>
    <row r="2788" spans="1:8">
      <c r="A2788" s="959" t="s">
        <v>3991</v>
      </c>
      <c r="B2788" s="960" t="s">
        <v>3992</v>
      </c>
      <c r="C2788" s="960" t="s">
        <v>4262</v>
      </c>
      <c r="D2788" s="960" t="s">
        <v>4263</v>
      </c>
      <c r="E2788" s="959">
        <v>0</v>
      </c>
      <c r="F2788" s="959">
        <v>8</v>
      </c>
      <c r="G2788" s="959">
        <v>0</v>
      </c>
      <c r="H2788" s="959">
        <v>0</v>
      </c>
    </row>
    <row r="2789" spans="1:8">
      <c r="A2789" s="959" t="s">
        <v>3991</v>
      </c>
      <c r="B2789" s="960" t="s">
        <v>3992</v>
      </c>
      <c r="C2789" s="960" t="s">
        <v>4267</v>
      </c>
      <c r="D2789" s="960" t="s">
        <v>4268</v>
      </c>
      <c r="E2789" s="959">
        <v>0</v>
      </c>
      <c r="F2789" s="959">
        <v>0</v>
      </c>
      <c r="G2789" s="959">
        <v>0</v>
      </c>
      <c r="H2789" s="959">
        <v>2</v>
      </c>
    </row>
    <row r="2790" spans="1:8">
      <c r="A2790" s="959" t="s">
        <v>3993</v>
      </c>
      <c r="B2790" s="960" t="s">
        <v>3994</v>
      </c>
      <c r="C2790" s="960" t="s">
        <v>4256</v>
      </c>
      <c r="D2790" s="960" t="s">
        <v>1906</v>
      </c>
      <c r="E2790" s="959">
        <v>2</v>
      </c>
      <c r="F2790" s="959">
        <v>28</v>
      </c>
      <c r="G2790" s="959">
        <v>0</v>
      </c>
      <c r="H2790" s="959">
        <v>0</v>
      </c>
    </row>
    <row r="2791" spans="1:8">
      <c r="A2791" s="959" t="s">
        <v>3993</v>
      </c>
      <c r="B2791" s="960" t="s">
        <v>3994</v>
      </c>
      <c r="C2791" s="960" t="s">
        <v>4257</v>
      </c>
      <c r="D2791" s="960" t="s">
        <v>4258</v>
      </c>
      <c r="E2791" s="959">
        <v>1</v>
      </c>
      <c r="F2791" s="959">
        <v>9</v>
      </c>
      <c r="G2791" s="959">
        <v>0</v>
      </c>
      <c r="H2791" s="959">
        <v>0</v>
      </c>
    </row>
    <row r="2792" spans="1:8">
      <c r="A2792" s="959" t="s">
        <v>3993</v>
      </c>
      <c r="B2792" s="960" t="s">
        <v>3994</v>
      </c>
      <c r="C2792" s="960" t="s">
        <v>4262</v>
      </c>
      <c r="D2792" s="960" t="s">
        <v>4263</v>
      </c>
      <c r="E2792" s="959">
        <v>0</v>
      </c>
      <c r="F2792" s="959">
        <v>11</v>
      </c>
      <c r="G2792" s="959">
        <v>0</v>
      </c>
      <c r="H2792" s="959">
        <v>0</v>
      </c>
    </row>
    <row r="2793" spans="1:8">
      <c r="A2793" s="959" t="s">
        <v>3995</v>
      </c>
      <c r="B2793" s="960" t="s">
        <v>3996</v>
      </c>
      <c r="C2793" s="960" t="s">
        <v>4275</v>
      </c>
      <c r="D2793" s="960" t="s">
        <v>4276</v>
      </c>
      <c r="E2793" s="959">
        <v>0</v>
      </c>
      <c r="F2793" s="959">
        <v>32</v>
      </c>
      <c r="G2793" s="959">
        <v>0</v>
      </c>
      <c r="H2793" s="959">
        <v>0</v>
      </c>
    </row>
    <row r="2794" spans="1:8">
      <c r="A2794" s="959" t="s">
        <v>3995</v>
      </c>
      <c r="B2794" s="960" t="s">
        <v>3996</v>
      </c>
      <c r="C2794" s="960" t="s">
        <v>4256</v>
      </c>
      <c r="D2794" s="960" t="s">
        <v>1906</v>
      </c>
      <c r="E2794" s="959">
        <v>1</v>
      </c>
      <c r="F2794" s="959">
        <v>21</v>
      </c>
      <c r="G2794" s="959">
        <v>0</v>
      </c>
      <c r="H2794" s="959">
        <v>1</v>
      </c>
    </row>
    <row r="2795" spans="1:8">
      <c r="A2795" s="959" t="s">
        <v>3995</v>
      </c>
      <c r="B2795" s="960" t="s">
        <v>3996</v>
      </c>
      <c r="C2795" s="960" t="s">
        <v>4257</v>
      </c>
      <c r="D2795" s="960" t="s">
        <v>4258</v>
      </c>
      <c r="E2795" s="959">
        <v>113</v>
      </c>
      <c r="F2795" s="959">
        <v>1782</v>
      </c>
      <c r="G2795" s="959">
        <v>12</v>
      </c>
      <c r="H2795" s="959">
        <v>168</v>
      </c>
    </row>
    <row r="2796" spans="1:8">
      <c r="A2796" s="959" t="s">
        <v>3997</v>
      </c>
      <c r="B2796" s="960" t="s">
        <v>3998</v>
      </c>
      <c r="C2796" s="960" t="s">
        <v>4256</v>
      </c>
      <c r="D2796" s="960" t="s">
        <v>470</v>
      </c>
      <c r="E2796" s="959">
        <v>0</v>
      </c>
      <c r="F2796" s="959">
        <v>0</v>
      </c>
      <c r="G2796" s="959">
        <v>0</v>
      </c>
      <c r="H2796" s="959">
        <v>67</v>
      </c>
    </row>
    <row r="2797" spans="1:8">
      <c r="A2797" s="959" t="s">
        <v>3997</v>
      </c>
      <c r="B2797" s="960" t="s">
        <v>3998</v>
      </c>
      <c r="C2797" s="960" t="s">
        <v>4256</v>
      </c>
      <c r="D2797" s="960" t="s">
        <v>1904</v>
      </c>
      <c r="E2797" s="959">
        <v>0</v>
      </c>
      <c r="F2797" s="959">
        <v>0</v>
      </c>
      <c r="G2797" s="959">
        <v>0</v>
      </c>
      <c r="H2797" s="959">
        <v>30</v>
      </c>
    </row>
    <row r="2798" spans="1:8">
      <c r="A2798" s="959" t="s">
        <v>3997</v>
      </c>
      <c r="B2798" s="960" t="s">
        <v>3998</v>
      </c>
      <c r="C2798" s="960" t="s">
        <v>4256</v>
      </c>
      <c r="D2798" s="960" t="s">
        <v>4259</v>
      </c>
      <c r="E2798" s="959">
        <v>0</v>
      </c>
      <c r="F2798" s="959">
        <v>0</v>
      </c>
      <c r="G2798" s="959">
        <v>0</v>
      </c>
      <c r="H2798" s="959">
        <v>1</v>
      </c>
    </row>
    <row r="2799" spans="1:8">
      <c r="A2799" s="959" t="s">
        <v>3997</v>
      </c>
      <c r="B2799" s="960" t="s">
        <v>3998</v>
      </c>
      <c r="C2799" s="960" t="s">
        <v>4256</v>
      </c>
      <c r="D2799" s="960" t="s">
        <v>4260</v>
      </c>
      <c r="E2799" s="959">
        <v>0</v>
      </c>
      <c r="F2799" s="959">
        <v>0</v>
      </c>
      <c r="G2799" s="959">
        <v>0</v>
      </c>
      <c r="H2799" s="959">
        <v>1</v>
      </c>
    </row>
    <row r="2800" spans="1:8">
      <c r="A2800" s="959" t="s">
        <v>3997</v>
      </c>
      <c r="B2800" s="960" t="s">
        <v>3998</v>
      </c>
      <c r="C2800" s="960" t="s">
        <v>4256</v>
      </c>
      <c r="D2800" s="960" t="s">
        <v>1906</v>
      </c>
      <c r="E2800" s="959">
        <v>3</v>
      </c>
      <c r="F2800" s="959">
        <v>44</v>
      </c>
      <c r="G2800" s="959">
        <v>10</v>
      </c>
      <c r="H2800" s="959">
        <v>135</v>
      </c>
    </row>
    <row r="2801" spans="1:8">
      <c r="A2801" s="959" t="s">
        <v>3997</v>
      </c>
      <c r="B2801" s="960" t="s">
        <v>3998</v>
      </c>
      <c r="C2801" s="960" t="s">
        <v>4256</v>
      </c>
      <c r="D2801" s="960" t="s">
        <v>4264</v>
      </c>
      <c r="E2801" s="959">
        <v>0</v>
      </c>
      <c r="F2801" s="959">
        <v>0</v>
      </c>
      <c r="G2801" s="959">
        <v>0</v>
      </c>
      <c r="H2801" s="959">
        <v>1</v>
      </c>
    </row>
    <row r="2802" spans="1:8">
      <c r="A2802" s="959" t="s">
        <v>3997</v>
      </c>
      <c r="B2802" s="960" t="s">
        <v>3998</v>
      </c>
      <c r="C2802" s="960" t="s">
        <v>4257</v>
      </c>
      <c r="D2802" s="960" t="s">
        <v>4258</v>
      </c>
      <c r="E2802" s="959">
        <v>1</v>
      </c>
      <c r="F2802" s="959">
        <v>10</v>
      </c>
      <c r="G2802" s="959">
        <v>1</v>
      </c>
      <c r="H2802" s="959">
        <v>10</v>
      </c>
    </row>
    <row r="2803" spans="1:8">
      <c r="A2803" s="959" t="s">
        <v>3997</v>
      </c>
      <c r="B2803" s="960" t="s">
        <v>3998</v>
      </c>
      <c r="C2803" s="960" t="s">
        <v>4262</v>
      </c>
      <c r="D2803" s="960" t="s">
        <v>4263</v>
      </c>
      <c r="E2803" s="959">
        <v>2</v>
      </c>
      <c r="F2803" s="959">
        <v>0</v>
      </c>
      <c r="G2803" s="959">
        <v>0</v>
      </c>
      <c r="H2803" s="959">
        <v>5</v>
      </c>
    </row>
    <row r="2804" spans="1:8">
      <c r="A2804" s="959" t="s">
        <v>3997</v>
      </c>
      <c r="B2804" s="960" t="s">
        <v>3998</v>
      </c>
      <c r="C2804" s="960" t="s">
        <v>4267</v>
      </c>
      <c r="D2804" s="960" t="s">
        <v>4268</v>
      </c>
      <c r="E2804" s="959">
        <v>0</v>
      </c>
      <c r="F2804" s="959">
        <v>0</v>
      </c>
      <c r="G2804" s="959">
        <v>0</v>
      </c>
      <c r="H2804" s="959">
        <v>1</v>
      </c>
    </row>
    <row r="2805" spans="1:8">
      <c r="A2805" s="959" t="s">
        <v>3999</v>
      </c>
      <c r="B2805" s="960" t="s">
        <v>1608</v>
      </c>
      <c r="C2805" s="960" t="s">
        <v>4256</v>
      </c>
      <c r="D2805" s="960" t="s">
        <v>1906</v>
      </c>
      <c r="E2805" s="959">
        <v>0</v>
      </c>
      <c r="F2805" s="959">
        <v>6</v>
      </c>
      <c r="G2805" s="959">
        <v>0</v>
      </c>
      <c r="H2805" s="959">
        <v>2</v>
      </c>
    </row>
    <row r="2806" spans="1:8">
      <c r="A2806" s="959" t="s">
        <v>3999</v>
      </c>
      <c r="B2806" s="960" t="s">
        <v>1608</v>
      </c>
      <c r="C2806" s="960" t="s">
        <v>4256</v>
      </c>
      <c r="D2806" s="960" t="s">
        <v>1907</v>
      </c>
      <c r="E2806" s="959">
        <v>0</v>
      </c>
      <c r="F2806" s="959">
        <v>0</v>
      </c>
      <c r="G2806" s="959">
        <v>0</v>
      </c>
      <c r="H2806" s="959">
        <v>1</v>
      </c>
    </row>
    <row r="2807" spans="1:8">
      <c r="A2807" s="959" t="s">
        <v>3999</v>
      </c>
      <c r="B2807" s="960" t="s">
        <v>1608</v>
      </c>
      <c r="C2807" s="960" t="s">
        <v>4257</v>
      </c>
      <c r="D2807" s="960" t="s">
        <v>4258</v>
      </c>
      <c r="E2807" s="959">
        <v>0</v>
      </c>
      <c r="F2807" s="959">
        <v>31</v>
      </c>
      <c r="G2807" s="959">
        <v>0</v>
      </c>
      <c r="H2807" s="959">
        <v>1</v>
      </c>
    </row>
    <row r="2808" spans="1:8">
      <c r="A2808" s="959" t="s">
        <v>3999</v>
      </c>
      <c r="B2808" s="960" t="s">
        <v>1608</v>
      </c>
      <c r="C2808" s="960" t="s">
        <v>4262</v>
      </c>
      <c r="D2808" s="960" t="s">
        <v>4263</v>
      </c>
      <c r="E2808" s="959">
        <v>0</v>
      </c>
      <c r="F2808" s="959">
        <v>2</v>
      </c>
      <c r="G2808" s="959">
        <v>0</v>
      </c>
      <c r="H2808" s="959">
        <v>0</v>
      </c>
    </row>
    <row r="2809" spans="1:8">
      <c r="A2809" s="959" t="s">
        <v>4000</v>
      </c>
      <c r="B2809" s="960" t="s">
        <v>4001</v>
      </c>
      <c r="C2809" s="960" t="s">
        <v>4256</v>
      </c>
      <c r="D2809" s="960" t="s">
        <v>470</v>
      </c>
      <c r="E2809" s="959">
        <v>0</v>
      </c>
      <c r="F2809" s="959">
        <v>0</v>
      </c>
      <c r="G2809" s="959">
        <v>0</v>
      </c>
      <c r="H2809" s="959">
        <v>22</v>
      </c>
    </row>
    <row r="2810" spans="1:8">
      <c r="A2810" s="959" t="s">
        <v>4000</v>
      </c>
      <c r="B2810" s="960" t="s">
        <v>4001</v>
      </c>
      <c r="C2810" s="960" t="s">
        <v>4256</v>
      </c>
      <c r="D2810" s="960" t="s">
        <v>1904</v>
      </c>
      <c r="E2810" s="959">
        <v>0</v>
      </c>
      <c r="F2810" s="959">
        <v>0</v>
      </c>
      <c r="G2810" s="959">
        <v>3</v>
      </c>
      <c r="H2810" s="959">
        <v>183</v>
      </c>
    </row>
    <row r="2811" spans="1:8">
      <c r="A2811" s="959" t="s">
        <v>4000</v>
      </c>
      <c r="B2811" s="960" t="s">
        <v>4001</v>
      </c>
      <c r="C2811" s="960" t="s">
        <v>4256</v>
      </c>
      <c r="D2811" s="960" t="s">
        <v>4269</v>
      </c>
      <c r="E2811" s="959">
        <v>0</v>
      </c>
      <c r="F2811" s="959">
        <v>0</v>
      </c>
      <c r="G2811" s="959">
        <v>0</v>
      </c>
      <c r="H2811" s="959">
        <v>1</v>
      </c>
    </row>
    <row r="2812" spans="1:8">
      <c r="A2812" s="959" t="s">
        <v>4000</v>
      </c>
      <c r="B2812" s="960" t="s">
        <v>4001</v>
      </c>
      <c r="C2812" s="960" t="s">
        <v>4256</v>
      </c>
      <c r="D2812" s="960" t="s">
        <v>4270</v>
      </c>
      <c r="E2812" s="959">
        <v>5</v>
      </c>
      <c r="F2812" s="959">
        <v>17</v>
      </c>
      <c r="G2812" s="959">
        <v>59</v>
      </c>
      <c r="H2812" s="959">
        <v>247</v>
      </c>
    </row>
    <row r="2813" spans="1:8">
      <c r="A2813" s="959" t="s">
        <v>4000</v>
      </c>
      <c r="B2813" s="960" t="s">
        <v>4001</v>
      </c>
      <c r="C2813" s="960" t="s">
        <v>4256</v>
      </c>
      <c r="D2813" s="960" t="s">
        <v>4259</v>
      </c>
      <c r="E2813" s="959">
        <v>0</v>
      </c>
      <c r="F2813" s="959">
        <v>1</v>
      </c>
      <c r="G2813" s="959">
        <v>81</v>
      </c>
      <c r="H2813" s="959">
        <v>117</v>
      </c>
    </row>
    <row r="2814" spans="1:8">
      <c r="A2814" s="959" t="s">
        <v>4000</v>
      </c>
      <c r="B2814" s="960" t="s">
        <v>4001</v>
      </c>
      <c r="C2814" s="960" t="s">
        <v>4256</v>
      </c>
      <c r="D2814" s="960" t="s">
        <v>4260</v>
      </c>
      <c r="E2814" s="959">
        <v>0</v>
      </c>
      <c r="F2814" s="959">
        <v>1</v>
      </c>
      <c r="G2814" s="959">
        <v>33</v>
      </c>
      <c r="H2814" s="959">
        <v>653</v>
      </c>
    </row>
    <row r="2815" spans="1:8">
      <c r="A2815" s="959" t="s">
        <v>4000</v>
      </c>
      <c r="B2815" s="960" t="s">
        <v>4001</v>
      </c>
      <c r="C2815" s="960" t="s">
        <v>4256</v>
      </c>
      <c r="D2815" s="960" t="s">
        <v>4265</v>
      </c>
      <c r="E2815" s="959">
        <v>0</v>
      </c>
      <c r="F2815" s="959">
        <v>0</v>
      </c>
      <c r="G2815" s="959">
        <v>1</v>
      </c>
      <c r="H2815" s="959">
        <v>11</v>
      </c>
    </row>
    <row r="2816" spans="1:8">
      <c r="A2816" s="959" t="s">
        <v>4000</v>
      </c>
      <c r="B2816" s="960" t="s">
        <v>4001</v>
      </c>
      <c r="C2816" s="960" t="s">
        <v>4256</v>
      </c>
      <c r="D2816" s="960" t="s">
        <v>4271</v>
      </c>
      <c r="E2816" s="959">
        <v>0</v>
      </c>
      <c r="F2816" s="959">
        <v>0</v>
      </c>
      <c r="G2816" s="959">
        <v>0</v>
      </c>
      <c r="H2816" s="959">
        <v>1</v>
      </c>
    </row>
    <row r="2817" spans="1:8">
      <c r="A2817" s="959" t="s">
        <v>4000</v>
      </c>
      <c r="B2817" s="960" t="s">
        <v>4001</v>
      </c>
      <c r="C2817" s="960" t="s">
        <v>4256</v>
      </c>
      <c r="D2817" s="960" t="s">
        <v>4272</v>
      </c>
      <c r="E2817" s="959">
        <v>0</v>
      </c>
      <c r="F2817" s="959">
        <v>0</v>
      </c>
      <c r="G2817" s="959">
        <v>1</v>
      </c>
      <c r="H2817" s="959">
        <v>18</v>
      </c>
    </row>
    <row r="2818" spans="1:8">
      <c r="A2818" s="959" t="s">
        <v>4000</v>
      </c>
      <c r="B2818" s="960" t="s">
        <v>4001</v>
      </c>
      <c r="C2818" s="960" t="s">
        <v>4256</v>
      </c>
      <c r="D2818" s="960" t="s">
        <v>1906</v>
      </c>
      <c r="E2818" s="959">
        <v>39</v>
      </c>
      <c r="F2818" s="959">
        <v>544</v>
      </c>
      <c r="G2818" s="959">
        <v>27</v>
      </c>
      <c r="H2818" s="959">
        <v>355</v>
      </c>
    </row>
    <row r="2819" spans="1:8">
      <c r="A2819" s="959" t="s">
        <v>4000</v>
      </c>
      <c r="B2819" s="960" t="s">
        <v>4001</v>
      </c>
      <c r="C2819" s="960" t="s">
        <v>4256</v>
      </c>
      <c r="D2819" s="960" t="s">
        <v>4264</v>
      </c>
      <c r="E2819" s="959">
        <v>0</v>
      </c>
      <c r="F2819" s="959">
        <v>0</v>
      </c>
      <c r="G2819" s="959">
        <v>0</v>
      </c>
      <c r="H2819" s="959">
        <v>1</v>
      </c>
    </row>
    <row r="2820" spans="1:8">
      <c r="A2820" s="959" t="s">
        <v>4000</v>
      </c>
      <c r="B2820" s="960" t="s">
        <v>4001</v>
      </c>
      <c r="C2820" s="960" t="s">
        <v>4256</v>
      </c>
      <c r="D2820" s="960" t="s">
        <v>4261</v>
      </c>
      <c r="E2820" s="959">
        <v>0</v>
      </c>
      <c r="F2820" s="959">
        <v>0</v>
      </c>
      <c r="G2820" s="959">
        <v>13</v>
      </c>
      <c r="H2820" s="959">
        <v>322</v>
      </c>
    </row>
    <row r="2821" spans="1:8">
      <c r="A2821" s="959" t="s">
        <v>4000</v>
      </c>
      <c r="B2821" s="960" t="s">
        <v>4001</v>
      </c>
      <c r="C2821" s="960" t="s">
        <v>4256</v>
      </c>
      <c r="D2821" s="960" t="s">
        <v>4274</v>
      </c>
      <c r="E2821" s="959">
        <v>1</v>
      </c>
      <c r="F2821" s="959">
        <v>10</v>
      </c>
      <c r="G2821" s="959">
        <v>0</v>
      </c>
      <c r="H2821" s="959">
        <v>0</v>
      </c>
    </row>
    <row r="2822" spans="1:8">
      <c r="A2822" s="959" t="s">
        <v>4000</v>
      </c>
      <c r="B2822" s="960" t="s">
        <v>4001</v>
      </c>
      <c r="C2822" s="960" t="s">
        <v>4257</v>
      </c>
      <c r="D2822" s="960" t="s">
        <v>4258</v>
      </c>
      <c r="E2822" s="959">
        <v>60</v>
      </c>
      <c r="F2822" s="959">
        <v>1121</v>
      </c>
      <c r="G2822" s="959">
        <v>30</v>
      </c>
      <c r="H2822" s="959">
        <v>319</v>
      </c>
    </row>
    <row r="2823" spans="1:8">
      <c r="A2823" s="959" t="s">
        <v>4000</v>
      </c>
      <c r="B2823" s="960" t="s">
        <v>4001</v>
      </c>
      <c r="C2823" s="960" t="s">
        <v>4262</v>
      </c>
      <c r="D2823" s="960" t="s">
        <v>4263</v>
      </c>
      <c r="E2823" s="959">
        <v>0</v>
      </c>
      <c r="F2823" s="959">
        <v>0</v>
      </c>
      <c r="G2823" s="959">
        <v>0</v>
      </c>
      <c r="H2823" s="959">
        <v>1</v>
      </c>
    </row>
    <row r="2824" spans="1:8">
      <c r="A2824" s="959" t="s">
        <v>4000</v>
      </c>
      <c r="B2824" s="960" t="s">
        <v>4001</v>
      </c>
      <c r="C2824" s="960" t="s">
        <v>4267</v>
      </c>
      <c r="D2824" s="960" t="s">
        <v>4268</v>
      </c>
      <c r="E2824" s="959">
        <v>0</v>
      </c>
      <c r="F2824" s="959">
        <v>0</v>
      </c>
      <c r="G2824" s="959">
        <v>0</v>
      </c>
      <c r="H2824" s="959">
        <v>1</v>
      </c>
    </row>
    <row r="2825" spans="1:8">
      <c r="A2825" s="959" t="s">
        <v>4002</v>
      </c>
      <c r="B2825" s="960" t="s">
        <v>4003</v>
      </c>
      <c r="C2825" s="960" t="s">
        <v>4256</v>
      </c>
      <c r="D2825" s="960" t="s">
        <v>470</v>
      </c>
      <c r="E2825" s="959">
        <v>0</v>
      </c>
      <c r="F2825" s="959">
        <v>0</v>
      </c>
      <c r="G2825" s="959">
        <v>9</v>
      </c>
      <c r="H2825" s="959">
        <v>64</v>
      </c>
    </row>
    <row r="2826" spans="1:8">
      <c r="A2826" s="959" t="s">
        <v>4002</v>
      </c>
      <c r="B2826" s="960" t="s">
        <v>4003</v>
      </c>
      <c r="C2826" s="960" t="s">
        <v>4256</v>
      </c>
      <c r="D2826" s="960" t="s">
        <v>4260</v>
      </c>
      <c r="E2826" s="959">
        <v>0</v>
      </c>
      <c r="F2826" s="959">
        <v>0</v>
      </c>
      <c r="G2826" s="959">
        <v>0</v>
      </c>
      <c r="H2826" s="959">
        <v>1</v>
      </c>
    </row>
    <row r="2827" spans="1:8">
      <c r="A2827" s="959" t="s">
        <v>4002</v>
      </c>
      <c r="B2827" s="960" t="s">
        <v>4003</v>
      </c>
      <c r="C2827" s="960" t="s">
        <v>4256</v>
      </c>
      <c r="D2827" s="960" t="s">
        <v>4264</v>
      </c>
      <c r="E2827" s="959">
        <v>0</v>
      </c>
      <c r="F2827" s="959">
        <v>0</v>
      </c>
      <c r="G2827" s="959">
        <v>0</v>
      </c>
      <c r="H2827" s="959">
        <v>1</v>
      </c>
    </row>
    <row r="2828" spans="1:8">
      <c r="A2828" s="959" t="s">
        <v>4002</v>
      </c>
      <c r="B2828" s="960" t="s">
        <v>4003</v>
      </c>
      <c r="C2828" s="960" t="s">
        <v>4267</v>
      </c>
      <c r="D2828" s="960" t="s">
        <v>4268</v>
      </c>
      <c r="E2828" s="959">
        <v>0</v>
      </c>
      <c r="F2828" s="959">
        <v>0</v>
      </c>
      <c r="G2828" s="959">
        <v>0</v>
      </c>
      <c r="H2828" s="959">
        <v>1</v>
      </c>
    </row>
    <row r="2829" spans="1:8">
      <c r="A2829" s="959" t="s">
        <v>4004</v>
      </c>
      <c r="B2829" s="960" t="s">
        <v>4005</v>
      </c>
      <c r="C2829" s="960" t="s">
        <v>4256</v>
      </c>
      <c r="D2829" s="960" t="s">
        <v>470</v>
      </c>
      <c r="E2829" s="959">
        <v>0</v>
      </c>
      <c r="F2829" s="959">
        <v>1</v>
      </c>
      <c r="G2829" s="959">
        <v>0</v>
      </c>
      <c r="H2829" s="959">
        <v>2</v>
      </c>
    </row>
    <row r="2830" spans="1:8">
      <c r="A2830" s="959" t="s">
        <v>4004</v>
      </c>
      <c r="B2830" s="960" t="s">
        <v>4005</v>
      </c>
      <c r="C2830" s="960" t="s">
        <v>4256</v>
      </c>
      <c r="D2830" s="960" t="s">
        <v>1904</v>
      </c>
      <c r="E2830" s="959">
        <v>0</v>
      </c>
      <c r="F2830" s="959">
        <v>0</v>
      </c>
      <c r="G2830" s="959">
        <v>0</v>
      </c>
      <c r="H2830" s="959">
        <v>1</v>
      </c>
    </row>
    <row r="2831" spans="1:8">
      <c r="A2831" s="959" t="s">
        <v>4004</v>
      </c>
      <c r="B2831" s="960" t="s">
        <v>4005</v>
      </c>
      <c r="C2831" s="960" t="s">
        <v>4256</v>
      </c>
      <c r="D2831" s="960" t="s">
        <v>4260</v>
      </c>
      <c r="E2831" s="959">
        <v>0</v>
      </c>
      <c r="F2831" s="959">
        <v>1</v>
      </c>
      <c r="G2831" s="959">
        <v>0</v>
      </c>
      <c r="H2831" s="959">
        <v>0</v>
      </c>
    </row>
    <row r="2832" spans="1:8">
      <c r="A2832" s="959" t="s">
        <v>4006</v>
      </c>
      <c r="B2832" s="960" t="s">
        <v>1614</v>
      </c>
      <c r="C2832" s="960" t="s">
        <v>4256</v>
      </c>
      <c r="D2832" s="960" t="s">
        <v>4264</v>
      </c>
      <c r="E2832" s="959">
        <v>1</v>
      </c>
      <c r="F2832" s="959">
        <v>17</v>
      </c>
      <c r="G2832" s="959">
        <v>1</v>
      </c>
      <c r="H2832" s="959">
        <v>9</v>
      </c>
    </row>
    <row r="2833" spans="1:8">
      <c r="A2833" s="959" t="s">
        <v>4007</v>
      </c>
      <c r="B2833" s="960" t="s">
        <v>4008</v>
      </c>
      <c r="C2833" s="960" t="s">
        <v>4256</v>
      </c>
      <c r="D2833" s="960" t="s">
        <v>470</v>
      </c>
      <c r="E2833" s="959">
        <v>0</v>
      </c>
      <c r="F2833" s="959">
        <v>0</v>
      </c>
      <c r="G2833" s="959">
        <v>0</v>
      </c>
      <c r="H2833" s="959">
        <v>2</v>
      </c>
    </row>
    <row r="2834" spans="1:8">
      <c r="A2834" s="959" t="s">
        <v>4007</v>
      </c>
      <c r="B2834" s="960" t="s">
        <v>4008</v>
      </c>
      <c r="C2834" s="960" t="s">
        <v>4256</v>
      </c>
      <c r="D2834" s="960" t="s">
        <v>1904</v>
      </c>
      <c r="E2834" s="959">
        <v>0</v>
      </c>
      <c r="F2834" s="959">
        <v>0</v>
      </c>
      <c r="G2834" s="959">
        <v>0</v>
      </c>
      <c r="H2834" s="959">
        <v>11</v>
      </c>
    </row>
    <row r="2835" spans="1:8">
      <c r="A2835" s="959" t="s">
        <v>4007</v>
      </c>
      <c r="B2835" s="960" t="s">
        <v>4008</v>
      </c>
      <c r="C2835" s="960" t="s">
        <v>4256</v>
      </c>
      <c r="D2835" s="960" t="s">
        <v>4260</v>
      </c>
      <c r="E2835" s="959">
        <v>0</v>
      </c>
      <c r="F2835" s="959">
        <v>0</v>
      </c>
      <c r="G2835" s="959">
        <v>0</v>
      </c>
      <c r="H2835" s="959">
        <v>10</v>
      </c>
    </row>
    <row r="2836" spans="1:8">
      <c r="A2836" s="959" t="s">
        <v>4007</v>
      </c>
      <c r="B2836" s="960" t="s">
        <v>4008</v>
      </c>
      <c r="C2836" s="960" t="s">
        <v>4256</v>
      </c>
      <c r="D2836" s="960" t="s">
        <v>1906</v>
      </c>
      <c r="E2836" s="959">
        <v>0</v>
      </c>
      <c r="F2836" s="959">
        <v>2</v>
      </c>
      <c r="G2836" s="959">
        <v>0</v>
      </c>
      <c r="H2836" s="959">
        <v>0</v>
      </c>
    </row>
    <row r="2837" spans="1:8">
      <c r="A2837" s="959" t="s">
        <v>4007</v>
      </c>
      <c r="B2837" s="960" t="s">
        <v>4008</v>
      </c>
      <c r="C2837" s="960" t="s">
        <v>4256</v>
      </c>
      <c r="D2837" s="960" t="s">
        <v>4264</v>
      </c>
      <c r="E2837" s="959">
        <v>0</v>
      </c>
      <c r="F2837" s="959">
        <v>3</v>
      </c>
      <c r="G2837" s="959">
        <v>0</v>
      </c>
      <c r="H2837" s="959">
        <v>0</v>
      </c>
    </row>
    <row r="2838" spans="1:8">
      <c r="A2838" s="959" t="s">
        <v>4007</v>
      </c>
      <c r="B2838" s="960" t="s">
        <v>4008</v>
      </c>
      <c r="C2838" s="960" t="s">
        <v>4257</v>
      </c>
      <c r="D2838" s="960" t="s">
        <v>4258</v>
      </c>
      <c r="E2838" s="959">
        <v>1</v>
      </c>
      <c r="F2838" s="959">
        <v>11</v>
      </c>
      <c r="G2838" s="959">
        <v>0</v>
      </c>
      <c r="H2838" s="959">
        <v>4</v>
      </c>
    </row>
    <row r="2839" spans="1:8">
      <c r="A2839" s="959" t="s">
        <v>4009</v>
      </c>
      <c r="B2839" s="960" t="s">
        <v>4010</v>
      </c>
      <c r="C2839" s="960" t="s">
        <v>4256</v>
      </c>
      <c r="D2839" s="960" t="s">
        <v>1907</v>
      </c>
      <c r="E2839" s="959">
        <v>0</v>
      </c>
      <c r="F2839" s="959">
        <v>0</v>
      </c>
      <c r="G2839" s="959">
        <v>0</v>
      </c>
      <c r="H2839" s="959">
        <v>10</v>
      </c>
    </row>
    <row r="2840" spans="1:8">
      <c r="A2840" s="959" t="s">
        <v>4009</v>
      </c>
      <c r="B2840" s="960" t="s">
        <v>4010</v>
      </c>
      <c r="C2840" s="960" t="s">
        <v>4267</v>
      </c>
      <c r="D2840" s="960" t="s">
        <v>4268</v>
      </c>
      <c r="E2840" s="959">
        <v>0</v>
      </c>
      <c r="F2840" s="959">
        <v>0</v>
      </c>
      <c r="G2840" s="959">
        <v>0</v>
      </c>
      <c r="H2840" s="959">
        <v>1</v>
      </c>
    </row>
    <row r="2841" spans="1:8">
      <c r="A2841" s="959" t="s">
        <v>4011</v>
      </c>
      <c r="B2841" s="960" t="s">
        <v>356</v>
      </c>
      <c r="C2841" s="960" t="s">
        <v>4275</v>
      </c>
      <c r="D2841" s="960" t="s">
        <v>4276</v>
      </c>
      <c r="E2841" s="959">
        <v>0</v>
      </c>
      <c r="F2841" s="959">
        <v>6</v>
      </c>
      <c r="G2841" s="959">
        <v>0</v>
      </c>
      <c r="H2841" s="959">
        <v>0</v>
      </c>
    </row>
    <row r="2842" spans="1:8">
      <c r="A2842" s="959" t="s">
        <v>4011</v>
      </c>
      <c r="B2842" s="960" t="s">
        <v>356</v>
      </c>
      <c r="C2842" s="960" t="s">
        <v>4256</v>
      </c>
      <c r="D2842" s="960" t="s">
        <v>470</v>
      </c>
      <c r="E2842" s="959">
        <v>0</v>
      </c>
      <c r="F2842" s="959">
        <v>0</v>
      </c>
      <c r="G2842" s="959">
        <v>0</v>
      </c>
      <c r="H2842" s="959">
        <v>1</v>
      </c>
    </row>
    <row r="2843" spans="1:8">
      <c r="A2843" s="959" t="s">
        <v>4011</v>
      </c>
      <c r="B2843" s="960" t="s">
        <v>356</v>
      </c>
      <c r="C2843" s="960" t="s">
        <v>4256</v>
      </c>
      <c r="D2843" s="960" t="s">
        <v>4260</v>
      </c>
      <c r="E2843" s="959">
        <v>0</v>
      </c>
      <c r="F2843" s="959">
        <v>2</v>
      </c>
      <c r="G2843" s="959">
        <v>0</v>
      </c>
      <c r="H2843" s="959">
        <v>0</v>
      </c>
    </row>
    <row r="2844" spans="1:8">
      <c r="A2844" s="959" t="s">
        <v>4011</v>
      </c>
      <c r="B2844" s="960" t="s">
        <v>356</v>
      </c>
      <c r="C2844" s="960" t="s">
        <v>4256</v>
      </c>
      <c r="D2844" s="960" t="s">
        <v>4271</v>
      </c>
      <c r="E2844" s="959">
        <v>0</v>
      </c>
      <c r="F2844" s="959">
        <v>0</v>
      </c>
      <c r="G2844" s="959">
        <v>0</v>
      </c>
      <c r="H2844" s="959">
        <v>2</v>
      </c>
    </row>
    <row r="2845" spans="1:8">
      <c r="A2845" s="959" t="s">
        <v>4011</v>
      </c>
      <c r="B2845" s="960" t="s">
        <v>356</v>
      </c>
      <c r="C2845" s="960" t="s">
        <v>4257</v>
      </c>
      <c r="D2845" s="960" t="s">
        <v>4258</v>
      </c>
      <c r="E2845" s="959">
        <v>0</v>
      </c>
      <c r="F2845" s="959">
        <v>5</v>
      </c>
      <c r="G2845" s="959">
        <v>0</v>
      </c>
      <c r="H2845" s="959">
        <v>0</v>
      </c>
    </row>
    <row r="2846" spans="1:8">
      <c r="A2846" s="959" t="s">
        <v>4011</v>
      </c>
      <c r="B2846" s="960" t="s">
        <v>356</v>
      </c>
      <c r="C2846" s="960" t="s">
        <v>4262</v>
      </c>
      <c r="D2846" s="960" t="s">
        <v>4263</v>
      </c>
      <c r="E2846" s="959">
        <v>5</v>
      </c>
      <c r="F2846" s="959">
        <v>54</v>
      </c>
      <c r="G2846" s="959">
        <v>0</v>
      </c>
      <c r="H2846" s="959">
        <v>0</v>
      </c>
    </row>
    <row r="2847" spans="1:8">
      <c r="A2847" s="959" t="s">
        <v>4012</v>
      </c>
      <c r="B2847" s="960" t="s">
        <v>4013</v>
      </c>
      <c r="C2847" s="960" t="s">
        <v>4257</v>
      </c>
      <c r="D2847" s="960" t="s">
        <v>4258</v>
      </c>
      <c r="E2847" s="959">
        <v>2</v>
      </c>
      <c r="F2847" s="959">
        <v>24</v>
      </c>
      <c r="G2847" s="959">
        <v>6</v>
      </c>
      <c r="H2847" s="959">
        <v>83</v>
      </c>
    </row>
    <row r="2848" spans="1:8">
      <c r="A2848" s="959" t="s">
        <v>4012</v>
      </c>
      <c r="B2848" s="960" t="s">
        <v>4013</v>
      </c>
      <c r="C2848" s="960" t="s">
        <v>4262</v>
      </c>
      <c r="D2848" s="960" t="s">
        <v>4263</v>
      </c>
      <c r="E2848" s="959">
        <v>1</v>
      </c>
      <c r="F2848" s="959">
        <v>4</v>
      </c>
      <c r="G2848" s="959">
        <v>0</v>
      </c>
      <c r="H2848" s="959">
        <v>0</v>
      </c>
    </row>
    <row r="2849" spans="1:8">
      <c r="A2849" s="959" t="s">
        <v>4015</v>
      </c>
      <c r="B2849" s="960" t="s">
        <v>4016</v>
      </c>
      <c r="C2849" s="960" t="s">
        <v>4256</v>
      </c>
      <c r="D2849" s="960" t="s">
        <v>4259</v>
      </c>
      <c r="E2849" s="959">
        <v>0</v>
      </c>
      <c r="F2849" s="959">
        <v>0</v>
      </c>
      <c r="G2849" s="959">
        <v>0</v>
      </c>
      <c r="H2849" s="959">
        <v>1</v>
      </c>
    </row>
    <row r="2850" spans="1:8">
      <c r="A2850" s="959" t="s">
        <v>4015</v>
      </c>
      <c r="B2850" s="960" t="s">
        <v>4016</v>
      </c>
      <c r="C2850" s="960" t="s">
        <v>4256</v>
      </c>
      <c r="D2850" s="960" t="s">
        <v>4265</v>
      </c>
      <c r="E2850" s="959">
        <v>0</v>
      </c>
      <c r="F2850" s="959">
        <v>0</v>
      </c>
      <c r="G2850" s="959">
        <v>0</v>
      </c>
      <c r="H2850" s="959">
        <v>1</v>
      </c>
    </row>
    <row r="2851" spans="1:8">
      <c r="A2851" s="959" t="s">
        <v>4015</v>
      </c>
      <c r="B2851" s="960" t="s">
        <v>4016</v>
      </c>
      <c r="C2851" s="960" t="s">
        <v>4256</v>
      </c>
      <c r="D2851" s="960" t="s">
        <v>1906</v>
      </c>
      <c r="E2851" s="959">
        <v>5</v>
      </c>
      <c r="F2851" s="959">
        <v>73</v>
      </c>
      <c r="G2851" s="959">
        <v>0</v>
      </c>
      <c r="H2851" s="959">
        <v>6</v>
      </c>
    </row>
    <row r="2852" spans="1:8">
      <c r="A2852" s="959" t="s">
        <v>4015</v>
      </c>
      <c r="B2852" s="960" t="s">
        <v>4016</v>
      </c>
      <c r="C2852" s="960" t="s">
        <v>4257</v>
      </c>
      <c r="D2852" s="960" t="s">
        <v>4258</v>
      </c>
      <c r="E2852" s="959">
        <v>32</v>
      </c>
      <c r="F2852" s="959">
        <v>487</v>
      </c>
      <c r="G2852" s="959">
        <v>6</v>
      </c>
      <c r="H2852" s="959">
        <v>77</v>
      </c>
    </row>
    <row r="2853" spans="1:8">
      <c r="A2853" s="959" t="s">
        <v>4017</v>
      </c>
      <c r="B2853" s="960" t="s">
        <v>4018</v>
      </c>
      <c r="C2853" s="960" t="s">
        <v>4256</v>
      </c>
      <c r="D2853" s="960" t="s">
        <v>1906</v>
      </c>
      <c r="E2853" s="959">
        <v>5</v>
      </c>
      <c r="F2853" s="959">
        <v>37</v>
      </c>
      <c r="G2853" s="959">
        <v>0</v>
      </c>
      <c r="H2853" s="959">
        <v>0</v>
      </c>
    </row>
    <row r="2854" spans="1:8">
      <c r="A2854" s="959" t="s">
        <v>4017</v>
      </c>
      <c r="B2854" s="960" t="s">
        <v>4018</v>
      </c>
      <c r="C2854" s="960" t="s">
        <v>4257</v>
      </c>
      <c r="D2854" s="960" t="s">
        <v>4258</v>
      </c>
      <c r="E2854" s="959">
        <v>3</v>
      </c>
      <c r="F2854" s="959">
        <v>39</v>
      </c>
      <c r="G2854" s="959">
        <v>0</v>
      </c>
      <c r="H2854" s="959">
        <v>0</v>
      </c>
    </row>
    <row r="2855" spans="1:8">
      <c r="A2855" s="959" t="s">
        <v>4017</v>
      </c>
      <c r="B2855" s="960" t="s">
        <v>4018</v>
      </c>
      <c r="C2855" s="960" t="s">
        <v>4262</v>
      </c>
      <c r="D2855" s="960" t="s">
        <v>4263</v>
      </c>
      <c r="E2855" s="959">
        <v>37</v>
      </c>
      <c r="F2855" s="959">
        <v>576</v>
      </c>
      <c r="G2855" s="959">
        <v>0</v>
      </c>
      <c r="H2855" s="959">
        <v>0</v>
      </c>
    </row>
    <row r="2856" spans="1:8">
      <c r="A2856" s="959" t="s">
        <v>4019</v>
      </c>
      <c r="B2856" s="960" t="s">
        <v>4020</v>
      </c>
      <c r="C2856" s="960" t="s">
        <v>4256</v>
      </c>
      <c r="D2856" s="960" t="s">
        <v>4264</v>
      </c>
      <c r="E2856" s="959">
        <v>0</v>
      </c>
      <c r="F2856" s="959">
        <v>2</v>
      </c>
      <c r="G2856" s="959">
        <v>0</v>
      </c>
      <c r="H2856" s="959">
        <v>0</v>
      </c>
    </row>
    <row r="2857" spans="1:8">
      <c r="A2857" s="959" t="s">
        <v>4022</v>
      </c>
      <c r="B2857" s="960" t="s">
        <v>4023</v>
      </c>
      <c r="C2857" s="960" t="s">
        <v>4256</v>
      </c>
      <c r="D2857" s="960" t="s">
        <v>470</v>
      </c>
      <c r="E2857" s="959">
        <v>1</v>
      </c>
      <c r="F2857" s="959">
        <v>0</v>
      </c>
      <c r="G2857" s="959">
        <v>0</v>
      </c>
      <c r="H2857" s="959">
        <v>0</v>
      </c>
    </row>
    <row r="2858" spans="1:8">
      <c r="A2858" s="959" t="s">
        <v>4024</v>
      </c>
      <c r="B2858" s="960" t="s">
        <v>4025</v>
      </c>
      <c r="C2858" s="960" t="s">
        <v>4256</v>
      </c>
      <c r="D2858" s="960" t="s">
        <v>4264</v>
      </c>
      <c r="E2858" s="959">
        <v>0</v>
      </c>
      <c r="F2858" s="959">
        <v>0</v>
      </c>
      <c r="G2858" s="959">
        <v>0</v>
      </c>
      <c r="H2858" s="959">
        <v>5</v>
      </c>
    </row>
    <row r="2859" spans="1:8">
      <c r="A2859" s="959" t="s">
        <v>4024</v>
      </c>
      <c r="B2859" s="960" t="s">
        <v>4025</v>
      </c>
      <c r="C2859" s="960" t="s">
        <v>4262</v>
      </c>
      <c r="D2859" s="960" t="s">
        <v>4263</v>
      </c>
      <c r="E2859" s="959">
        <v>0</v>
      </c>
      <c r="F2859" s="959">
        <v>6</v>
      </c>
      <c r="G2859" s="959">
        <v>0</v>
      </c>
      <c r="H2859" s="959">
        <v>0</v>
      </c>
    </row>
    <row r="2860" spans="1:8">
      <c r="A2860" s="959" t="s">
        <v>4026</v>
      </c>
      <c r="B2860" s="960" t="s">
        <v>4027</v>
      </c>
      <c r="C2860" s="960" t="s">
        <v>4256</v>
      </c>
      <c r="D2860" s="960" t="s">
        <v>470</v>
      </c>
      <c r="E2860" s="959">
        <v>0</v>
      </c>
      <c r="F2860" s="959">
        <v>0</v>
      </c>
      <c r="G2860" s="959">
        <v>0</v>
      </c>
      <c r="H2860" s="959">
        <v>23</v>
      </c>
    </row>
    <row r="2861" spans="1:8">
      <c r="A2861" s="959" t="s">
        <v>4026</v>
      </c>
      <c r="B2861" s="960" t="s">
        <v>4027</v>
      </c>
      <c r="C2861" s="960" t="s">
        <v>4256</v>
      </c>
      <c r="D2861" s="960" t="s">
        <v>1904</v>
      </c>
      <c r="E2861" s="959">
        <v>0</v>
      </c>
      <c r="F2861" s="959">
        <v>0</v>
      </c>
      <c r="G2861" s="959">
        <v>8</v>
      </c>
      <c r="H2861" s="959">
        <v>139</v>
      </c>
    </row>
    <row r="2862" spans="1:8">
      <c r="A2862" s="959" t="s">
        <v>4026</v>
      </c>
      <c r="B2862" s="960" t="s">
        <v>4027</v>
      </c>
      <c r="C2862" s="960" t="s">
        <v>4256</v>
      </c>
      <c r="D2862" s="960" t="s">
        <v>4269</v>
      </c>
      <c r="E2862" s="959">
        <v>0</v>
      </c>
      <c r="F2862" s="959">
        <v>0</v>
      </c>
      <c r="G2862" s="959">
        <v>1</v>
      </c>
      <c r="H2862" s="959">
        <v>4</v>
      </c>
    </row>
    <row r="2863" spans="1:8">
      <c r="A2863" s="959" t="s">
        <v>4026</v>
      </c>
      <c r="B2863" s="960" t="s">
        <v>4027</v>
      </c>
      <c r="C2863" s="960" t="s">
        <v>4256</v>
      </c>
      <c r="D2863" s="960" t="s">
        <v>4270</v>
      </c>
      <c r="E2863" s="959">
        <v>0</v>
      </c>
      <c r="F2863" s="959">
        <v>0</v>
      </c>
      <c r="G2863" s="959">
        <v>17</v>
      </c>
      <c r="H2863" s="959">
        <v>16</v>
      </c>
    </row>
    <row r="2864" spans="1:8">
      <c r="A2864" s="959" t="s">
        <v>4026</v>
      </c>
      <c r="B2864" s="960" t="s">
        <v>4027</v>
      </c>
      <c r="C2864" s="960" t="s">
        <v>4256</v>
      </c>
      <c r="D2864" s="960" t="s">
        <v>4259</v>
      </c>
      <c r="E2864" s="959">
        <v>0</v>
      </c>
      <c r="F2864" s="959">
        <v>0</v>
      </c>
      <c r="G2864" s="959">
        <v>7</v>
      </c>
      <c r="H2864" s="959">
        <v>11</v>
      </c>
    </row>
    <row r="2865" spans="1:8">
      <c r="A2865" s="959" t="s">
        <v>4026</v>
      </c>
      <c r="B2865" s="960" t="s">
        <v>4027</v>
      </c>
      <c r="C2865" s="960" t="s">
        <v>4256</v>
      </c>
      <c r="D2865" s="960" t="s">
        <v>4260</v>
      </c>
      <c r="E2865" s="959">
        <v>0</v>
      </c>
      <c r="F2865" s="959">
        <v>1</v>
      </c>
      <c r="G2865" s="959">
        <v>52</v>
      </c>
      <c r="H2865" s="959">
        <v>570</v>
      </c>
    </row>
    <row r="2866" spans="1:8">
      <c r="A2866" s="959" t="s">
        <v>4026</v>
      </c>
      <c r="B2866" s="960" t="s">
        <v>4027</v>
      </c>
      <c r="C2866" s="960" t="s">
        <v>4256</v>
      </c>
      <c r="D2866" s="960" t="s">
        <v>4265</v>
      </c>
      <c r="E2866" s="959">
        <v>0</v>
      </c>
      <c r="F2866" s="959">
        <v>0</v>
      </c>
      <c r="G2866" s="959">
        <v>0</v>
      </c>
      <c r="H2866" s="959">
        <v>2</v>
      </c>
    </row>
    <row r="2867" spans="1:8">
      <c r="A2867" s="959" t="s">
        <v>4026</v>
      </c>
      <c r="B2867" s="960" t="s">
        <v>4027</v>
      </c>
      <c r="C2867" s="960" t="s">
        <v>4256</v>
      </c>
      <c r="D2867" s="960" t="s">
        <v>4271</v>
      </c>
      <c r="E2867" s="959">
        <v>0</v>
      </c>
      <c r="F2867" s="959">
        <v>0</v>
      </c>
      <c r="G2867" s="959">
        <v>0</v>
      </c>
      <c r="H2867" s="959">
        <v>2</v>
      </c>
    </row>
    <row r="2868" spans="1:8">
      <c r="A2868" s="959" t="s">
        <v>4026</v>
      </c>
      <c r="B2868" s="960" t="s">
        <v>4027</v>
      </c>
      <c r="C2868" s="960" t="s">
        <v>4256</v>
      </c>
      <c r="D2868" s="960" t="s">
        <v>1906</v>
      </c>
      <c r="E2868" s="959">
        <v>0</v>
      </c>
      <c r="F2868" s="959">
        <v>0</v>
      </c>
      <c r="G2868" s="959">
        <v>5</v>
      </c>
      <c r="H2868" s="959">
        <v>67</v>
      </c>
    </row>
    <row r="2869" spans="1:8">
      <c r="A2869" s="959" t="s">
        <v>4026</v>
      </c>
      <c r="B2869" s="960" t="s">
        <v>4027</v>
      </c>
      <c r="C2869" s="960" t="s">
        <v>4256</v>
      </c>
      <c r="D2869" s="960" t="s">
        <v>4264</v>
      </c>
      <c r="E2869" s="959">
        <v>0</v>
      </c>
      <c r="F2869" s="959">
        <v>0</v>
      </c>
      <c r="G2869" s="959">
        <v>0</v>
      </c>
      <c r="H2869" s="959">
        <v>6</v>
      </c>
    </row>
    <row r="2870" spans="1:8">
      <c r="A2870" s="959" t="s">
        <v>4026</v>
      </c>
      <c r="B2870" s="960" t="s">
        <v>4027</v>
      </c>
      <c r="C2870" s="960" t="s">
        <v>4256</v>
      </c>
      <c r="D2870" s="960" t="s">
        <v>4261</v>
      </c>
      <c r="E2870" s="959">
        <v>0</v>
      </c>
      <c r="F2870" s="959">
        <v>1</v>
      </c>
      <c r="G2870" s="959">
        <v>34</v>
      </c>
      <c r="H2870" s="959">
        <v>568</v>
      </c>
    </row>
    <row r="2871" spans="1:8">
      <c r="A2871" s="959" t="s">
        <v>4026</v>
      </c>
      <c r="B2871" s="960" t="s">
        <v>4027</v>
      </c>
      <c r="C2871" s="960" t="s">
        <v>4257</v>
      </c>
      <c r="D2871" s="960" t="s">
        <v>4258</v>
      </c>
      <c r="E2871" s="959">
        <v>0</v>
      </c>
      <c r="F2871" s="959">
        <v>28</v>
      </c>
      <c r="G2871" s="959">
        <v>1</v>
      </c>
      <c r="H2871" s="959">
        <v>3</v>
      </c>
    </row>
    <row r="2872" spans="1:8">
      <c r="A2872" s="959" t="s">
        <v>4026</v>
      </c>
      <c r="B2872" s="960" t="s">
        <v>4027</v>
      </c>
      <c r="C2872" s="960" t="s">
        <v>4262</v>
      </c>
      <c r="D2872" s="960" t="s">
        <v>4300</v>
      </c>
      <c r="E2872" s="959">
        <v>0</v>
      </c>
      <c r="F2872" s="959">
        <v>0</v>
      </c>
      <c r="G2872" s="959">
        <v>0</v>
      </c>
      <c r="H2872" s="959">
        <v>1</v>
      </c>
    </row>
    <row r="2873" spans="1:8">
      <c r="A2873" s="959" t="s">
        <v>4026</v>
      </c>
      <c r="B2873" s="960" t="s">
        <v>4027</v>
      </c>
      <c r="C2873" s="960" t="s">
        <v>4267</v>
      </c>
      <c r="D2873" s="960" t="s">
        <v>4268</v>
      </c>
      <c r="E2873" s="959">
        <v>0</v>
      </c>
      <c r="F2873" s="959">
        <v>0</v>
      </c>
      <c r="G2873" s="959">
        <v>0</v>
      </c>
      <c r="H2873" s="959">
        <v>12</v>
      </c>
    </row>
    <row r="2874" spans="1:8">
      <c r="A2874" s="959" t="s">
        <v>4028</v>
      </c>
      <c r="B2874" s="960" t="s">
        <v>1627</v>
      </c>
      <c r="C2874" s="960" t="s">
        <v>4256</v>
      </c>
      <c r="D2874" s="960" t="s">
        <v>1904</v>
      </c>
      <c r="E2874" s="959">
        <v>0</v>
      </c>
      <c r="F2874" s="959">
        <v>0</v>
      </c>
      <c r="G2874" s="959">
        <v>0</v>
      </c>
      <c r="H2874" s="959">
        <v>1</v>
      </c>
    </row>
    <row r="2875" spans="1:8">
      <c r="A2875" s="959" t="s">
        <v>4028</v>
      </c>
      <c r="B2875" s="960" t="s">
        <v>1627</v>
      </c>
      <c r="C2875" s="960" t="s">
        <v>4256</v>
      </c>
      <c r="D2875" s="960" t="s">
        <v>4270</v>
      </c>
      <c r="E2875" s="959">
        <v>0</v>
      </c>
      <c r="F2875" s="959">
        <v>0</v>
      </c>
      <c r="G2875" s="959">
        <v>1</v>
      </c>
      <c r="H2875" s="959">
        <v>1</v>
      </c>
    </row>
    <row r="2876" spans="1:8">
      <c r="A2876" s="959" t="s">
        <v>4028</v>
      </c>
      <c r="B2876" s="960" t="s">
        <v>1627</v>
      </c>
      <c r="C2876" s="960" t="s">
        <v>4256</v>
      </c>
      <c r="D2876" s="960" t="s">
        <v>4259</v>
      </c>
      <c r="E2876" s="959">
        <v>0</v>
      </c>
      <c r="F2876" s="959">
        <v>0</v>
      </c>
      <c r="G2876" s="959">
        <v>1</v>
      </c>
      <c r="H2876" s="959">
        <v>14</v>
      </c>
    </row>
    <row r="2877" spans="1:8">
      <c r="A2877" s="959" t="s">
        <v>4028</v>
      </c>
      <c r="B2877" s="960" t="s">
        <v>1627</v>
      </c>
      <c r="C2877" s="960" t="s">
        <v>4256</v>
      </c>
      <c r="D2877" s="960" t="s">
        <v>4260</v>
      </c>
      <c r="E2877" s="959">
        <v>2</v>
      </c>
      <c r="F2877" s="959">
        <v>12</v>
      </c>
      <c r="G2877" s="959">
        <v>0</v>
      </c>
      <c r="H2877" s="959">
        <v>55</v>
      </c>
    </row>
    <row r="2878" spans="1:8">
      <c r="A2878" s="959" t="s">
        <v>4028</v>
      </c>
      <c r="B2878" s="960" t="s">
        <v>1627</v>
      </c>
      <c r="C2878" s="960" t="s">
        <v>4256</v>
      </c>
      <c r="D2878" s="960" t="s">
        <v>4265</v>
      </c>
      <c r="E2878" s="959">
        <v>0</v>
      </c>
      <c r="F2878" s="959">
        <v>0</v>
      </c>
      <c r="G2878" s="959">
        <v>6</v>
      </c>
      <c r="H2878" s="959">
        <v>3</v>
      </c>
    </row>
    <row r="2879" spans="1:8">
      <c r="A2879" s="959" t="s">
        <v>4028</v>
      </c>
      <c r="B2879" s="960" t="s">
        <v>1627</v>
      </c>
      <c r="C2879" s="960" t="s">
        <v>4256</v>
      </c>
      <c r="D2879" s="960" t="s">
        <v>1906</v>
      </c>
      <c r="E2879" s="959">
        <v>0</v>
      </c>
      <c r="F2879" s="959">
        <v>2</v>
      </c>
      <c r="G2879" s="959">
        <v>0</v>
      </c>
      <c r="H2879" s="959">
        <v>0</v>
      </c>
    </row>
    <row r="2880" spans="1:8">
      <c r="A2880" s="959" t="s">
        <v>4028</v>
      </c>
      <c r="B2880" s="960" t="s">
        <v>1627</v>
      </c>
      <c r="C2880" s="960" t="s">
        <v>4256</v>
      </c>
      <c r="D2880" s="961" t="s">
        <v>4266</v>
      </c>
      <c r="E2880" s="959">
        <v>0</v>
      </c>
      <c r="F2880" s="959">
        <v>1</v>
      </c>
      <c r="G2880" s="959">
        <v>0</v>
      </c>
      <c r="H2880" s="959">
        <v>2</v>
      </c>
    </row>
    <row r="2881" spans="1:8">
      <c r="A2881" s="959" t="s">
        <v>4028</v>
      </c>
      <c r="B2881" s="960" t="s">
        <v>1627</v>
      </c>
      <c r="C2881" s="960" t="s">
        <v>4257</v>
      </c>
      <c r="D2881" s="960" t="s">
        <v>4258</v>
      </c>
      <c r="E2881" s="959">
        <v>0</v>
      </c>
      <c r="F2881" s="959">
        <v>27</v>
      </c>
      <c r="G2881" s="959">
        <v>0</v>
      </c>
      <c r="H2881" s="959">
        <v>0</v>
      </c>
    </row>
    <row r="2882" spans="1:8">
      <c r="A2882" s="959" t="s">
        <v>4028</v>
      </c>
      <c r="B2882" s="960" t="s">
        <v>1627</v>
      </c>
      <c r="C2882" s="960" t="s">
        <v>4262</v>
      </c>
      <c r="D2882" s="960" t="s">
        <v>4263</v>
      </c>
      <c r="E2882" s="959">
        <v>62</v>
      </c>
      <c r="F2882" s="959">
        <v>1529</v>
      </c>
      <c r="G2882" s="959">
        <v>0</v>
      </c>
      <c r="H2882" s="959">
        <v>2</v>
      </c>
    </row>
    <row r="2883" spans="1:8">
      <c r="A2883" s="959" t="s">
        <v>4028</v>
      </c>
      <c r="B2883" s="960" t="s">
        <v>1627</v>
      </c>
      <c r="C2883" s="960" t="s">
        <v>4267</v>
      </c>
      <c r="D2883" s="960" t="s">
        <v>4268</v>
      </c>
      <c r="E2883" s="959">
        <v>0</v>
      </c>
      <c r="F2883" s="959">
        <v>0</v>
      </c>
      <c r="G2883" s="959">
        <v>0</v>
      </c>
      <c r="H2883" s="959">
        <v>8</v>
      </c>
    </row>
    <row r="2884" spans="1:8">
      <c r="A2884" s="959" t="s">
        <v>4029</v>
      </c>
      <c r="B2884" s="960" t="s">
        <v>4030</v>
      </c>
      <c r="C2884" s="960" t="s">
        <v>4256</v>
      </c>
      <c r="D2884" s="960" t="s">
        <v>470</v>
      </c>
      <c r="E2884" s="959">
        <v>0</v>
      </c>
      <c r="F2884" s="959">
        <v>0</v>
      </c>
      <c r="G2884" s="959">
        <v>1</v>
      </c>
      <c r="H2884" s="959">
        <v>8</v>
      </c>
    </row>
    <row r="2885" spans="1:8">
      <c r="A2885" s="959" t="s">
        <v>4029</v>
      </c>
      <c r="B2885" s="960" t="s">
        <v>4030</v>
      </c>
      <c r="C2885" s="960" t="s">
        <v>4256</v>
      </c>
      <c r="D2885" s="960" t="s">
        <v>1904</v>
      </c>
      <c r="E2885" s="959">
        <v>0</v>
      </c>
      <c r="F2885" s="959">
        <v>0</v>
      </c>
      <c r="G2885" s="959">
        <v>5</v>
      </c>
      <c r="H2885" s="959">
        <v>138</v>
      </c>
    </row>
    <row r="2886" spans="1:8">
      <c r="A2886" s="959" t="s">
        <v>4029</v>
      </c>
      <c r="B2886" s="960" t="s">
        <v>4030</v>
      </c>
      <c r="C2886" s="960" t="s">
        <v>4256</v>
      </c>
      <c r="D2886" s="960" t="s">
        <v>4269</v>
      </c>
      <c r="E2886" s="959">
        <v>0</v>
      </c>
      <c r="F2886" s="959">
        <v>0</v>
      </c>
      <c r="G2886" s="959">
        <v>2</v>
      </c>
      <c r="H2886" s="959">
        <v>0</v>
      </c>
    </row>
    <row r="2887" spans="1:8">
      <c r="A2887" s="959" t="s">
        <v>4029</v>
      </c>
      <c r="B2887" s="960" t="s">
        <v>4030</v>
      </c>
      <c r="C2887" s="960" t="s">
        <v>4256</v>
      </c>
      <c r="D2887" s="960" t="s">
        <v>4270</v>
      </c>
      <c r="E2887" s="959">
        <v>0</v>
      </c>
      <c r="F2887" s="959">
        <v>0</v>
      </c>
      <c r="G2887" s="959">
        <v>1</v>
      </c>
      <c r="H2887" s="959">
        <v>3</v>
      </c>
    </row>
    <row r="2888" spans="1:8">
      <c r="A2888" s="959" t="s">
        <v>4029</v>
      </c>
      <c r="B2888" s="960" t="s">
        <v>4030</v>
      </c>
      <c r="C2888" s="960" t="s">
        <v>4256</v>
      </c>
      <c r="D2888" s="960" t="s">
        <v>4260</v>
      </c>
      <c r="E2888" s="959">
        <v>0</v>
      </c>
      <c r="F2888" s="959">
        <v>0</v>
      </c>
      <c r="G2888" s="959">
        <v>12</v>
      </c>
      <c r="H2888" s="959">
        <v>161</v>
      </c>
    </row>
    <row r="2889" spans="1:8">
      <c r="A2889" s="959" t="s">
        <v>4029</v>
      </c>
      <c r="B2889" s="960" t="s">
        <v>4030</v>
      </c>
      <c r="C2889" s="960" t="s">
        <v>4256</v>
      </c>
      <c r="D2889" s="960" t="s">
        <v>1906</v>
      </c>
      <c r="E2889" s="959">
        <v>0</v>
      </c>
      <c r="F2889" s="959">
        <v>0</v>
      </c>
      <c r="G2889" s="959">
        <v>1</v>
      </c>
      <c r="H2889" s="959">
        <v>9</v>
      </c>
    </row>
    <row r="2890" spans="1:8">
      <c r="A2890" s="959" t="s">
        <v>4029</v>
      </c>
      <c r="B2890" s="960" t="s">
        <v>4030</v>
      </c>
      <c r="C2890" s="960" t="s">
        <v>4256</v>
      </c>
      <c r="D2890" s="960" t="s">
        <v>4261</v>
      </c>
      <c r="E2890" s="959">
        <v>0</v>
      </c>
      <c r="F2890" s="959">
        <v>0</v>
      </c>
      <c r="G2890" s="959">
        <v>4</v>
      </c>
      <c r="H2890" s="959">
        <v>120</v>
      </c>
    </row>
    <row r="2891" spans="1:8">
      <c r="A2891" s="959" t="s">
        <v>4029</v>
      </c>
      <c r="B2891" s="960" t="s">
        <v>4030</v>
      </c>
      <c r="C2891" s="960" t="s">
        <v>4256</v>
      </c>
      <c r="D2891" s="961" t="s">
        <v>4266</v>
      </c>
      <c r="E2891" s="959">
        <v>0</v>
      </c>
      <c r="F2891" s="959">
        <v>0</v>
      </c>
      <c r="G2891" s="959">
        <v>0</v>
      </c>
      <c r="H2891" s="959">
        <v>7</v>
      </c>
    </row>
    <row r="2892" spans="1:8">
      <c r="A2892" s="959" t="s">
        <v>4029</v>
      </c>
      <c r="B2892" s="960" t="s">
        <v>4030</v>
      </c>
      <c r="C2892" s="960" t="s">
        <v>4257</v>
      </c>
      <c r="D2892" s="960" t="s">
        <v>4258</v>
      </c>
      <c r="E2892" s="959">
        <v>0</v>
      </c>
      <c r="F2892" s="959">
        <v>1</v>
      </c>
      <c r="G2892" s="959">
        <v>0</v>
      </c>
      <c r="H2892" s="959">
        <v>2</v>
      </c>
    </row>
    <row r="2893" spans="1:8">
      <c r="A2893" s="959" t="s">
        <v>4031</v>
      </c>
      <c r="B2893" s="960" t="s">
        <v>4032</v>
      </c>
      <c r="C2893" s="960" t="s">
        <v>4256</v>
      </c>
      <c r="D2893" s="960" t="s">
        <v>1904</v>
      </c>
      <c r="E2893" s="959">
        <v>0</v>
      </c>
      <c r="F2893" s="959">
        <v>0</v>
      </c>
      <c r="G2893" s="959">
        <v>2</v>
      </c>
      <c r="H2893" s="959">
        <v>8</v>
      </c>
    </row>
    <row r="2894" spans="1:8">
      <c r="A2894" s="959" t="s">
        <v>4031</v>
      </c>
      <c r="B2894" s="960" t="s">
        <v>4032</v>
      </c>
      <c r="C2894" s="960" t="s">
        <v>4256</v>
      </c>
      <c r="D2894" s="960" t="s">
        <v>4270</v>
      </c>
      <c r="E2894" s="959">
        <v>0</v>
      </c>
      <c r="F2894" s="959">
        <v>0</v>
      </c>
      <c r="G2894" s="959">
        <v>17</v>
      </c>
      <c r="H2894" s="959">
        <v>41</v>
      </c>
    </row>
    <row r="2895" spans="1:8">
      <c r="A2895" s="959" t="s">
        <v>4031</v>
      </c>
      <c r="B2895" s="960" t="s">
        <v>4032</v>
      </c>
      <c r="C2895" s="960" t="s">
        <v>4256</v>
      </c>
      <c r="D2895" s="960" t="s">
        <v>4260</v>
      </c>
      <c r="E2895" s="959">
        <v>0</v>
      </c>
      <c r="F2895" s="959">
        <v>0</v>
      </c>
      <c r="G2895" s="959">
        <v>54</v>
      </c>
      <c r="H2895" s="959">
        <v>330</v>
      </c>
    </row>
    <row r="2896" spans="1:8">
      <c r="A2896" s="959" t="s">
        <v>4031</v>
      </c>
      <c r="B2896" s="960" t="s">
        <v>4032</v>
      </c>
      <c r="C2896" s="960" t="s">
        <v>4256</v>
      </c>
      <c r="D2896" s="960" t="s">
        <v>1906</v>
      </c>
      <c r="E2896" s="959">
        <v>0</v>
      </c>
      <c r="F2896" s="959">
        <v>0</v>
      </c>
      <c r="G2896" s="959">
        <v>1</v>
      </c>
      <c r="H2896" s="959">
        <v>20</v>
      </c>
    </row>
    <row r="2897" spans="1:8">
      <c r="A2897" s="959" t="s">
        <v>4031</v>
      </c>
      <c r="B2897" s="960" t="s">
        <v>4032</v>
      </c>
      <c r="C2897" s="960" t="s">
        <v>4256</v>
      </c>
      <c r="D2897" s="960" t="s">
        <v>4261</v>
      </c>
      <c r="E2897" s="959">
        <v>0</v>
      </c>
      <c r="F2897" s="959">
        <v>0</v>
      </c>
      <c r="G2897" s="959">
        <v>30</v>
      </c>
      <c r="H2897" s="959">
        <v>275</v>
      </c>
    </row>
    <row r="2898" spans="1:8">
      <c r="A2898" s="959" t="s">
        <v>4031</v>
      </c>
      <c r="B2898" s="960" t="s">
        <v>4032</v>
      </c>
      <c r="C2898" s="960" t="s">
        <v>4256</v>
      </c>
      <c r="D2898" s="961" t="s">
        <v>4266</v>
      </c>
      <c r="E2898" s="959">
        <v>0</v>
      </c>
      <c r="F2898" s="959">
        <v>0</v>
      </c>
      <c r="G2898" s="959">
        <v>0</v>
      </c>
      <c r="H2898" s="959">
        <v>4</v>
      </c>
    </row>
    <row r="2899" spans="1:8">
      <c r="A2899" s="959" t="s">
        <v>4031</v>
      </c>
      <c r="B2899" s="960" t="s">
        <v>4032</v>
      </c>
      <c r="C2899" s="960" t="s">
        <v>4257</v>
      </c>
      <c r="D2899" s="960" t="s">
        <v>4258</v>
      </c>
      <c r="E2899" s="959">
        <v>2</v>
      </c>
      <c r="F2899" s="959">
        <v>28</v>
      </c>
      <c r="G2899" s="959">
        <v>4</v>
      </c>
      <c r="H2899" s="959">
        <v>1</v>
      </c>
    </row>
    <row r="2900" spans="1:8">
      <c r="A2900" s="959" t="s">
        <v>4031</v>
      </c>
      <c r="B2900" s="960" t="s">
        <v>4032</v>
      </c>
      <c r="C2900" s="960" t="s">
        <v>4267</v>
      </c>
      <c r="D2900" s="960" t="s">
        <v>4268</v>
      </c>
      <c r="E2900" s="959">
        <v>0</v>
      </c>
      <c r="F2900" s="959">
        <v>0</v>
      </c>
      <c r="G2900" s="959">
        <v>0</v>
      </c>
      <c r="H2900" s="959">
        <v>9</v>
      </c>
    </row>
    <row r="2901" spans="1:8">
      <c r="A2901" s="959" t="s">
        <v>4033</v>
      </c>
      <c r="B2901" s="960" t="s">
        <v>1631</v>
      </c>
      <c r="C2901" s="960" t="s">
        <v>4257</v>
      </c>
      <c r="D2901" s="960" t="s">
        <v>4258</v>
      </c>
      <c r="E2901" s="959">
        <v>0</v>
      </c>
      <c r="F2901" s="959">
        <v>5</v>
      </c>
      <c r="G2901" s="959">
        <v>0</v>
      </c>
      <c r="H2901" s="959">
        <v>0</v>
      </c>
    </row>
    <row r="2902" spans="1:8">
      <c r="A2902" s="959" t="s">
        <v>4033</v>
      </c>
      <c r="B2902" s="960" t="s">
        <v>1631</v>
      </c>
      <c r="C2902" s="960" t="s">
        <v>4262</v>
      </c>
      <c r="D2902" s="960" t="s">
        <v>4263</v>
      </c>
      <c r="E2902" s="959">
        <v>0</v>
      </c>
      <c r="F2902" s="959">
        <v>4</v>
      </c>
      <c r="G2902" s="959">
        <v>0</v>
      </c>
      <c r="H2902" s="959">
        <v>0</v>
      </c>
    </row>
    <row r="2903" spans="1:8">
      <c r="A2903" s="959" t="s">
        <v>4034</v>
      </c>
      <c r="B2903" s="960" t="s">
        <v>1636</v>
      </c>
      <c r="C2903" s="960" t="s">
        <v>4257</v>
      </c>
      <c r="D2903" s="960" t="s">
        <v>4258</v>
      </c>
      <c r="E2903" s="959">
        <v>0</v>
      </c>
      <c r="F2903" s="959">
        <v>0</v>
      </c>
      <c r="G2903" s="959">
        <v>0</v>
      </c>
      <c r="H2903" s="959">
        <v>1</v>
      </c>
    </row>
    <row r="2904" spans="1:8">
      <c r="A2904" s="959" t="s">
        <v>4035</v>
      </c>
      <c r="B2904" s="960" t="s">
        <v>1639</v>
      </c>
      <c r="C2904" s="960" t="s">
        <v>4257</v>
      </c>
      <c r="D2904" s="960" t="s">
        <v>4258</v>
      </c>
      <c r="E2904" s="959">
        <v>0</v>
      </c>
      <c r="F2904" s="959">
        <v>1</v>
      </c>
      <c r="G2904" s="959">
        <v>0</v>
      </c>
      <c r="H2904" s="959">
        <v>0</v>
      </c>
    </row>
    <row r="2905" spans="1:8">
      <c r="A2905" s="959" t="s">
        <v>4035</v>
      </c>
      <c r="B2905" s="960" t="s">
        <v>1639</v>
      </c>
      <c r="C2905" s="960" t="s">
        <v>4262</v>
      </c>
      <c r="D2905" s="960" t="s">
        <v>4263</v>
      </c>
      <c r="E2905" s="959">
        <v>1</v>
      </c>
      <c r="F2905" s="959">
        <v>1</v>
      </c>
      <c r="G2905" s="959">
        <v>0</v>
      </c>
      <c r="H2905" s="959">
        <v>0</v>
      </c>
    </row>
    <row r="2906" spans="1:8">
      <c r="A2906" s="959" t="s">
        <v>4036</v>
      </c>
      <c r="B2906" s="960" t="s">
        <v>4037</v>
      </c>
      <c r="C2906" s="960" t="s">
        <v>4256</v>
      </c>
      <c r="D2906" s="960" t="s">
        <v>1906</v>
      </c>
      <c r="E2906" s="959">
        <v>3</v>
      </c>
      <c r="F2906" s="959">
        <v>35</v>
      </c>
      <c r="G2906" s="959">
        <v>0</v>
      </c>
      <c r="H2906" s="959">
        <v>4</v>
      </c>
    </row>
    <row r="2907" spans="1:8">
      <c r="A2907" s="959" t="s">
        <v>4036</v>
      </c>
      <c r="B2907" s="960" t="s">
        <v>4037</v>
      </c>
      <c r="C2907" s="960" t="s">
        <v>4256</v>
      </c>
      <c r="D2907" s="960" t="s">
        <v>4264</v>
      </c>
      <c r="E2907" s="959">
        <v>0</v>
      </c>
      <c r="F2907" s="959">
        <v>0</v>
      </c>
      <c r="G2907" s="959">
        <v>0</v>
      </c>
      <c r="H2907" s="959">
        <v>2</v>
      </c>
    </row>
    <row r="2908" spans="1:8">
      <c r="A2908" s="959" t="s">
        <v>4036</v>
      </c>
      <c r="B2908" s="960" t="s">
        <v>4037</v>
      </c>
      <c r="C2908" s="960" t="s">
        <v>4257</v>
      </c>
      <c r="D2908" s="960" t="s">
        <v>4258</v>
      </c>
      <c r="E2908" s="959">
        <v>1</v>
      </c>
      <c r="F2908" s="959">
        <v>7</v>
      </c>
      <c r="G2908" s="959">
        <v>0</v>
      </c>
      <c r="H2908" s="959">
        <v>1</v>
      </c>
    </row>
    <row r="2909" spans="1:8">
      <c r="A2909" s="959" t="s">
        <v>4036</v>
      </c>
      <c r="B2909" s="960" t="s">
        <v>4037</v>
      </c>
      <c r="C2909" s="960" t="s">
        <v>4262</v>
      </c>
      <c r="D2909" s="960" t="s">
        <v>4263</v>
      </c>
      <c r="E2909" s="959">
        <v>0</v>
      </c>
      <c r="F2909" s="959">
        <v>28</v>
      </c>
      <c r="G2909" s="959">
        <v>0</v>
      </c>
      <c r="H2909" s="959">
        <v>2</v>
      </c>
    </row>
    <row r="2910" spans="1:8">
      <c r="A2910" s="959" t="s">
        <v>4038</v>
      </c>
      <c r="B2910" s="960" t="s">
        <v>4039</v>
      </c>
      <c r="C2910" s="960" t="s">
        <v>4256</v>
      </c>
      <c r="D2910" s="960" t="s">
        <v>1906</v>
      </c>
      <c r="E2910" s="959">
        <v>1</v>
      </c>
      <c r="F2910" s="959">
        <v>15</v>
      </c>
      <c r="G2910" s="959">
        <v>0</v>
      </c>
      <c r="H2910" s="959">
        <v>0</v>
      </c>
    </row>
    <row r="2911" spans="1:8">
      <c r="A2911" s="959" t="s">
        <v>4040</v>
      </c>
      <c r="B2911" s="960" t="s">
        <v>4041</v>
      </c>
      <c r="C2911" s="960" t="s">
        <v>4256</v>
      </c>
      <c r="D2911" s="960" t="s">
        <v>470</v>
      </c>
      <c r="E2911" s="959">
        <v>0</v>
      </c>
      <c r="F2911" s="959">
        <v>0</v>
      </c>
      <c r="G2911" s="959">
        <v>30</v>
      </c>
      <c r="H2911" s="959">
        <v>121</v>
      </c>
    </row>
    <row r="2912" spans="1:8">
      <c r="A2912" s="959" t="s">
        <v>4040</v>
      </c>
      <c r="B2912" s="960" t="s">
        <v>4041</v>
      </c>
      <c r="C2912" s="960" t="s">
        <v>4256</v>
      </c>
      <c r="D2912" s="960" t="s">
        <v>1904</v>
      </c>
      <c r="E2912" s="959">
        <v>0</v>
      </c>
      <c r="F2912" s="959">
        <v>0</v>
      </c>
      <c r="G2912" s="959">
        <v>0</v>
      </c>
      <c r="H2912" s="959">
        <v>1</v>
      </c>
    </row>
    <row r="2913" spans="1:8">
      <c r="A2913" s="959" t="s">
        <v>4040</v>
      </c>
      <c r="B2913" s="960" t="s">
        <v>4041</v>
      </c>
      <c r="C2913" s="960" t="s">
        <v>4256</v>
      </c>
      <c r="D2913" s="960" t="s">
        <v>4260</v>
      </c>
      <c r="E2913" s="959">
        <v>0</v>
      </c>
      <c r="F2913" s="959">
        <v>0</v>
      </c>
      <c r="G2913" s="959">
        <v>0</v>
      </c>
      <c r="H2913" s="959">
        <v>2</v>
      </c>
    </row>
    <row r="2914" spans="1:8">
      <c r="A2914" s="959" t="s">
        <v>4040</v>
      </c>
      <c r="B2914" s="960" t="s">
        <v>4041</v>
      </c>
      <c r="C2914" s="960" t="s">
        <v>4256</v>
      </c>
      <c r="D2914" s="960" t="s">
        <v>4261</v>
      </c>
      <c r="E2914" s="959">
        <v>0</v>
      </c>
      <c r="F2914" s="959">
        <v>0</v>
      </c>
      <c r="G2914" s="959">
        <v>0</v>
      </c>
      <c r="H2914" s="959">
        <v>1</v>
      </c>
    </row>
    <row r="2915" spans="1:8">
      <c r="A2915" s="959" t="s">
        <v>4040</v>
      </c>
      <c r="B2915" s="960" t="s">
        <v>4041</v>
      </c>
      <c r="C2915" s="960" t="s">
        <v>4257</v>
      </c>
      <c r="D2915" s="960" t="s">
        <v>4258</v>
      </c>
      <c r="E2915" s="959">
        <v>0</v>
      </c>
      <c r="F2915" s="959">
        <v>16</v>
      </c>
      <c r="G2915" s="959">
        <v>0</v>
      </c>
      <c r="H2915" s="959">
        <v>0</v>
      </c>
    </row>
    <row r="2916" spans="1:8">
      <c r="A2916" s="959" t="s">
        <v>4040</v>
      </c>
      <c r="B2916" s="960" t="s">
        <v>4041</v>
      </c>
      <c r="C2916" s="960" t="s">
        <v>4262</v>
      </c>
      <c r="D2916" s="960" t="s">
        <v>4263</v>
      </c>
      <c r="E2916" s="959">
        <v>0</v>
      </c>
      <c r="F2916" s="959">
        <v>1</v>
      </c>
      <c r="G2916" s="959">
        <v>0</v>
      </c>
      <c r="H2916" s="959">
        <v>0</v>
      </c>
    </row>
    <row r="2917" spans="1:8">
      <c r="A2917" s="959" t="s">
        <v>4040</v>
      </c>
      <c r="B2917" s="960" t="s">
        <v>4041</v>
      </c>
      <c r="C2917" s="960" t="s">
        <v>4267</v>
      </c>
      <c r="D2917" s="960" t="s">
        <v>4268</v>
      </c>
      <c r="E2917" s="959">
        <v>0</v>
      </c>
      <c r="F2917" s="959">
        <v>0</v>
      </c>
      <c r="G2917" s="959">
        <v>0</v>
      </c>
      <c r="H2917" s="959">
        <v>1</v>
      </c>
    </row>
    <row r="2918" spans="1:8">
      <c r="A2918" s="959" t="s">
        <v>4042</v>
      </c>
      <c r="B2918" s="960" t="s">
        <v>1641</v>
      </c>
      <c r="C2918" s="960" t="s">
        <v>4262</v>
      </c>
      <c r="D2918" s="960" t="s">
        <v>4263</v>
      </c>
      <c r="E2918" s="959">
        <v>0</v>
      </c>
      <c r="F2918" s="959">
        <v>2</v>
      </c>
      <c r="G2918" s="959">
        <v>0</v>
      </c>
      <c r="H2918" s="959">
        <v>0</v>
      </c>
    </row>
    <row r="2919" spans="1:8">
      <c r="A2919" s="959" t="s">
        <v>4043</v>
      </c>
      <c r="B2919" s="960" t="s">
        <v>4044</v>
      </c>
      <c r="C2919" s="960" t="s">
        <v>4275</v>
      </c>
      <c r="D2919" s="960" t="s">
        <v>4276</v>
      </c>
      <c r="E2919" s="959">
        <v>1</v>
      </c>
      <c r="F2919" s="959">
        <v>75</v>
      </c>
      <c r="G2919" s="959">
        <v>0</v>
      </c>
      <c r="H2919" s="959">
        <v>0</v>
      </c>
    </row>
    <row r="2920" spans="1:8">
      <c r="A2920" s="959" t="s">
        <v>4043</v>
      </c>
      <c r="B2920" s="960" t="s">
        <v>4044</v>
      </c>
      <c r="C2920" s="960" t="s">
        <v>4256</v>
      </c>
      <c r="D2920" s="960" t="s">
        <v>1906</v>
      </c>
      <c r="E2920" s="959">
        <v>0</v>
      </c>
      <c r="F2920" s="959">
        <v>3</v>
      </c>
      <c r="G2920" s="959">
        <v>0</v>
      </c>
      <c r="H2920" s="959">
        <v>2</v>
      </c>
    </row>
    <row r="2921" spans="1:8">
      <c r="A2921" s="959" t="s">
        <v>4043</v>
      </c>
      <c r="B2921" s="960" t="s">
        <v>4044</v>
      </c>
      <c r="C2921" s="960" t="s">
        <v>4256</v>
      </c>
      <c r="D2921" s="960" t="s">
        <v>1907</v>
      </c>
      <c r="E2921" s="959">
        <v>0</v>
      </c>
      <c r="F2921" s="959">
        <v>3</v>
      </c>
      <c r="G2921" s="959">
        <v>1</v>
      </c>
      <c r="H2921" s="959">
        <v>15</v>
      </c>
    </row>
    <row r="2922" spans="1:8">
      <c r="A2922" s="959" t="s">
        <v>4043</v>
      </c>
      <c r="B2922" s="960" t="s">
        <v>4044</v>
      </c>
      <c r="C2922" s="960" t="s">
        <v>4257</v>
      </c>
      <c r="D2922" s="960" t="s">
        <v>4258</v>
      </c>
      <c r="E2922" s="959">
        <v>2</v>
      </c>
      <c r="F2922" s="959">
        <v>72</v>
      </c>
      <c r="G2922" s="959">
        <v>8</v>
      </c>
      <c r="H2922" s="959">
        <v>20</v>
      </c>
    </row>
    <row r="2923" spans="1:8">
      <c r="A2923" s="959" t="s">
        <v>4043</v>
      </c>
      <c r="B2923" s="960" t="s">
        <v>4044</v>
      </c>
      <c r="C2923" s="960" t="s">
        <v>4262</v>
      </c>
      <c r="D2923" s="960" t="s">
        <v>4263</v>
      </c>
      <c r="E2923" s="959">
        <v>0</v>
      </c>
      <c r="F2923" s="959">
        <v>6</v>
      </c>
      <c r="G2923" s="959">
        <v>0</v>
      </c>
      <c r="H2923" s="959">
        <v>0</v>
      </c>
    </row>
    <row r="2924" spans="1:8">
      <c r="A2924" s="959" t="s">
        <v>4045</v>
      </c>
      <c r="B2924" s="960" t="s">
        <v>4046</v>
      </c>
      <c r="C2924" s="960" t="s">
        <v>4256</v>
      </c>
      <c r="D2924" s="960" t="s">
        <v>470</v>
      </c>
      <c r="E2924" s="959">
        <v>0</v>
      </c>
      <c r="F2924" s="959">
        <v>0</v>
      </c>
      <c r="G2924" s="959">
        <v>2</v>
      </c>
      <c r="H2924" s="959">
        <v>33</v>
      </c>
    </row>
    <row r="2925" spans="1:8">
      <c r="A2925" s="959" t="s">
        <v>4045</v>
      </c>
      <c r="B2925" s="960" t="s">
        <v>4046</v>
      </c>
      <c r="C2925" s="960" t="s">
        <v>4256</v>
      </c>
      <c r="D2925" s="960" t="s">
        <v>1904</v>
      </c>
      <c r="E2925" s="959">
        <v>0</v>
      </c>
      <c r="F2925" s="959">
        <v>0</v>
      </c>
      <c r="G2925" s="959">
        <v>0</v>
      </c>
      <c r="H2925" s="959">
        <v>14</v>
      </c>
    </row>
    <row r="2926" spans="1:8">
      <c r="A2926" s="959" t="s">
        <v>4045</v>
      </c>
      <c r="B2926" s="960" t="s">
        <v>4046</v>
      </c>
      <c r="C2926" s="960" t="s">
        <v>4256</v>
      </c>
      <c r="D2926" s="960" t="s">
        <v>4259</v>
      </c>
      <c r="E2926" s="959">
        <v>0</v>
      </c>
      <c r="F2926" s="959">
        <v>0</v>
      </c>
      <c r="G2926" s="959">
        <v>0</v>
      </c>
      <c r="H2926" s="959">
        <v>1</v>
      </c>
    </row>
    <row r="2927" spans="1:8">
      <c r="A2927" s="959" t="s">
        <v>4045</v>
      </c>
      <c r="B2927" s="960" t="s">
        <v>4046</v>
      </c>
      <c r="C2927" s="960" t="s">
        <v>4256</v>
      </c>
      <c r="D2927" s="960" t="s">
        <v>1906</v>
      </c>
      <c r="E2927" s="959">
        <v>19</v>
      </c>
      <c r="F2927" s="959">
        <v>259</v>
      </c>
      <c r="G2927" s="959">
        <v>7</v>
      </c>
      <c r="H2927" s="959">
        <v>93</v>
      </c>
    </row>
    <row r="2928" spans="1:8">
      <c r="A2928" s="959" t="s">
        <v>4045</v>
      </c>
      <c r="B2928" s="960" t="s">
        <v>4046</v>
      </c>
      <c r="C2928" s="960" t="s">
        <v>4256</v>
      </c>
      <c r="D2928" s="960" t="s">
        <v>4264</v>
      </c>
      <c r="E2928" s="959">
        <v>0</v>
      </c>
      <c r="F2928" s="959">
        <v>0</v>
      </c>
      <c r="G2928" s="959">
        <v>0</v>
      </c>
      <c r="H2928" s="959">
        <v>6</v>
      </c>
    </row>
    <row r="2929" spans="1:8">
      <c r="A2929" s="959" t="s">
        <v>4045</v>
      </c>
      <c r="B2929" s="960" t="s">
        <v>4046</v>
      </c>
      <c r="C2929" s="960" t="s">
        <v>4256</v>
      </c>
      <c r="D2929" s="960" t="s">
        <v>4274</v>
      </c>
      <c r="E2929" s="959">
        <v>0</v>
      </c>
      <c r="F2929" s="959">
        <v>0</v>
      </c>
      <c r="G2929" s="959">
        <v>0</v>
      </c>
      <c r="H2929" s="959">
        <v>4</v>
      </c>
    </row>
    <row r="2930" spans="1:8">
      <c r="A2930" s="959" t="s">
        <v>4045</v>
      </c>
      <c r="B2930" s="960" t="s">
        <v>4046</v>
      </c>
      <c r="C2930" s="960" t="s">
        <v>4257</v>
      </c>
      <c r="D2930" s="960" t="s">
        <v>4258</v>
      </c>
      <c r="E2930" s="959">
        <v>15</v>
      </c>
      <c r="F2930" s="959">
        <v>241</v>
      </c>
      <c r="G2930" s="959">
        <v>2</v>
      </c>
      <c r="H2930" s="959">
        <v>26</v>
      </c>
    </row>
    <row r="2931" spans="1:8">
      <c r="A2931" s="959" t="s">
        <v>4045</v>
      </c>
      <c r="B2931" s="960" t="s">
        <v>4046</v>
      </c>
      <c r="C2931" s="960" t="s">
        <v>4262</v>
      </c>
      <c r="D2931" s="960" t="s">
        <v>4263</v>
      </c>
      <c r="E2931" s="959">
        <v>2</v>
      </c>
      <c r="F2931" s="959">
        <v>43</v>
      </c>
      <c r="G2931" s="959">
        <v>0</v>
      </c>
      <c r="H2931" s="959">
        <v>11</v>
      </c>
    </row>
    <row r="2932" spans="1:8">
      <c r="A2932" s="959" t="s">
        <v>4047</v>
      </c>
      <c r="B2932" s="960" t="s">
        <v>4048</v>
      </c>
      <c r="C2932" s="960" t="s">
        <v>4256</v>
      </c>
      <c r="D2932" s="960" t="s">
        <v>4259</v>
      </c>
      <c r="E2932" s="959">
        <v>0</v>
      </c>
      <c r="F2932" s="959">
        <v>5</v>
      </c>
      <c r="G2932" s="959">
        <v>0</v>
      </c>
      <c r="H2932" s="959">
        <v>0</v>
      </c>
    </row>
    <row r="2933" spans="1:8">
      <c r="A2933" s="959" t="s">
        <v>4047</v>
      </c>
      <c r="B2933" s="960" t="s">
        <v>4048</v>
      </c>
      <c r="C2933" s="960" t="s">
        <v>4256</v>
      </c>
      <c r="D2933" s="960" t="s">
        <v>1906</v>
      </c>
      <c r="E2933" s="959">
        <v>3</v>
      </c>
      <c r="F2933" s="959">
        <v>42</v>
      </c>
      <c r="G2933" s="959">
        <v>0</v>
      </c>
      <c r="H2933" s="959">
        <v>0</v>
      </c>
    </row>
    <row r="2934" spans="1:8">
      <c r="A2934" s="959" t="s">
        <v>4047</v>
      </c>
      <c r="B2934" s="960" t="s">
        <v>4048</v>
      </c>
      <c r="C2934" s="960" t="s">
        <v>4256</v>
      </c>
      <c r="D2934" s="960" t="s">
        <v>1907</v>
      </c>
      <c r="E2934" s="959">
        <v>0</v>
      </c>
      <c r="F2934" s="959">
        <v>1</v>
      </c>
      <c r="G2934" s="959">
        <v>0</v>
      </c>
      <c r="H2934" s="959">
        <v>0</v>
      </c>
    </row>
    <row r="2935" spans="1:8">
      <c r="A2935" s="959" t="s">
        <v>4047</v>
      </c>
      <c r="B2935" s="960" t="s">
        <v>4048</v>
      </c>
      <c r="C2935" s="960" t="s">
        <v>4257</v>
      </c>
      <c r="D2935" s="960" t="s">
        <v>4258</v>
      </c>
      <c r="E2935" s="959">
        <v>2</v>
      </c>
      <c r="F2935" s="959">
        <v>34</v>
      </c>
      <c r="G2935" s="959">
        <v>0</v>
      </c>
      <c r="H2935" s="959">
        <v>3</v>
      </c>
    </row>
    <row r="2936" spans="1:8">
      <c r="A2936" s="959" t="s">
        <v>4047</v>
      </c>
      <c r="B2936" s="960" t="s">
        <v>4048</v>
      </c>
      <c r="C2936" s="960" t="s">
        <v>4262</v>
      </c>
      <c r="D2936" s="960" t="s">
        <v>4263</v>
      </c>
      <c r="E2936" s="959">
        <v>0</v>
      </c>
      <c r="F2936" s="959">
        <v>6</v>
      </c>
      <c r="G2936" s="959">
        <v>0</v>
      </c>
      <c r="H2936" s="959">
        <v>0</v>
      </c>
    </row>
    <row r="2937" spans="1:8">
      <c r="A2937" s="959" t="s">
        <v>4049</v>
      </c>
      <c r="B2937" s="960" t="s">
        <v>4050</v>
      </c>
      <c r="C2937" s="960" t="s">
        <v>4256</v>
      </c>
      <c r="D2937" s="960" t="s">
        <v>1906</v>
      </c>
      <c r="E2937" s="959">
        <v>2</v>
      </c>
      <c r="F2937" s="959">
        <v>26</v>
      </c>
      <c r="G2937" s="959">
        <v>0</v>
      </c>
      <c r="H2937" s="959">
        <v>0</v>
      </c>
    </row>
    <row r="2938" spans="1:8">
      <c r="A2938" s="959" t="s">
        <v>4049</v>
      </c>
      <c r="B2938" s="960" t="s">
        <v>4050</v>
      </c>
      <c r="C2938" s="960" t="s">
        <v>4257</v>
      </c>
      <c r="D2938" s="960" t="s">
        <v>4258</v>
      </c>
      <c r="E2938" s="959">
        <v>0</v>
      </c>
      <c r="F2938" s="959">
        <v>6</v>
      </c>
      <c r="G2938" s="959">
        <v>0</v>
      </c>
      <c r="H2938" s="959">
        <v>0</v>
      </c>
    </row>
    <row r="2939" spans="1:8">
      <c r="A2939" s="959" t="s">
        <v>4053</v>
      </c>
      <c r="B2939" s="960" t="s">
        <v>1652</v>
      </c>
      <c r="C2939" s="960" t="s">
        <v>4262</v>
      </c>
      <c r="D2939" s="960" t="s">
        <v>4263</v>
      </c>
      <c r="E2939" s="959">
        <v>0</v>
      </c>
      <c r="F2939" s="959">
        <v>19</v>
      </c>
      <c r="G2939" s="959">
        <v>0</v>
      </c>
      <c r="H2939" s="959">
        <v>9</v>
      </c>
    </row>
    <row r="2940" spans="1:8">
      <c r="A2940" s="959" t="s">
        <v>4054</v>
      </c>
      <c r="B2940" s="960" t="s">
        <v>4055</v>
      </c>
      <c r="C2940" s="960" t="s">
        <v>4256</v>
      </c>
      <c r="D2940" s="960" t="s">
        <v>470</v>
      </c>
      <c r="E2940" s="959">
        <v>0</v>
      </c>
      <c r="F2940" s="959">
        <v>0</v>
      </c>
      <c r="G2940" s="959">
        <v>0</v>
      </c>
      <c r="H2940" s="959">
        <v>20</v>
      </c>
    </row>
    <row r="2941" spans="1:8">
      <c r="A2941" s="959" t="s">
        <v>4054</v>
      </c>
      <c r="B2941" s="960" t="s">
        <v>4055</v>
      </c>
      <c r="C2941" s="960" t="s">
        <v>4256</v>
      </c>
      <c r="D2941" s="960" t="s">
        <v>1904</v>
      </c>
      <c r="E2941" s="959">
        <v>0</v>
      </c>
      <c r="F2941" s="959">
        <v>0</v>
      </c>
      <c r="G2941" s="959">
        <v>8</v>
      </c>
      <c r="H2941" s="959">
        <v>77</v>
      </c>
    </row>
    <row r="2942" spans="1:8">
      <c r="A2942" s="959" t="s">
        <v>4054</v>
      </c>
      <c r="B2942" s="960" t="s">
        <v>4055</v>
      </c>
      <c r="C2942" s="960" t="s">
        <v>4256</v>
      </c>
      <c r="D2942" s="960" t="s">
        <v>4260</v>
      </c>
      <c r="E2942" s="959">
        <v>0</v>
      </c>
      <c r="F2942" s="959">
        <v>1</v>
      </c>
      <c r="G2942" s="959">
        <v>0</v>
      </c>
      <c r="H2942" s="959">
        <v>23</v>
      </c>
    </row>
    <row r="2943" spans="1:8">
      <c r="A2943" s="959" t="s">
        <v>4054</v>
      </c>
      <c r="B2943" s="960" t="s">
        <v>4055</v>
      </c>
      <c r="C2943" s="960" t="s">
        <v>4256</v>
      </c>
      <c r="D2943" s="960" t="s">
        <v>1906</v>
      </c>
      <c r="E2943" s="959">
        <v>0</v>
      </c>
      <c r="F2943" s="959">
        <v>0</v>
      </c>
      <c r="G2943" s="959">
        <v>0</v>
      </c>
      <c r="H2943" s="959">
        <v>1</v>
      </c>
    </row>
    <row r="2944" spans="1:8">
      <c r="A2944" s="959" t="s">
        <v>4054</v>
      </c>
      <c r="B2944" s="960" t="s">
        <v>4055</v>
      </c>
      <c r="C2944" s="960" t="s">
        <v>4256</v>
      </c>
      <c r="D2944" s="960" t="s">
        <v>4264</v>
      </c>
      <c r="E2944" s="959">
        <v>0</v>
      </c>
      <c r="F2944" s="959">
        <v>0</v>
      </c>
      <c r="G2944" s="959">
        <v>0</v>
      </c>
      <c r="H2944" s="959">
        <v>2</v>
      </c>
    </row>
    <row r="2945" spans="1:8">
      <c r="A2945" s="959" t="s">
        <v>4054</v>
      </c>
      <c r="B2945" s="960" t="s">
        <v>4055</v>
      </c>
      <c r="C2945" s="960" t="s">
        <v>4256</v>
      </c>
      <c r="D2945" s="960" t="s">
        <v>4261</v>
      </c>
      <c r="E2945" s="959">
        <v>0</v>
      </c>
      <c r="F2945" s="959">
        <v>0</v>
      </c>
      <c r="G2945" s="959">
        <v>0</v>
      </c>
      <c r="H2945" s="959">
        <v>7</v>
      </c>
    </row>
    <row r="2946" spans="1:8">
      <c r="A2946" s="959" t="s">
        <v>4054</v>
      </c>
      <c r="B2946" s="960" t="s">
        <v>4055</v>
      </c>
      <c r="C2946" s="960" t="s">
        <v>4257</v>
      </c>
      <c r="D2946" s="960" t="s">
        <v>4258</v>
      </c>
      <c r="E2946" s="959">
        <v>0</v>
      </c>
      <c r="F2946" s="959">
        <v>1</v>
      </c>
      <c r="G2946" s="959">
        <v>0</v>
      </c>
      <c r="H2946" s="959">
        <v>2</v>
      </c>
    </row>
    <row r="2947" spans="1:8">
      <c r="A2947" s="959" t="s">
        <v>4054</v>
      </c>
      <c r="B2947" s="960" t="s">
        <v>4055</v>
      </c>
      <c r="C2947" s="960" t="s">
        <v>4267</v>
      </c>
      <c r="D2947" s="960" t="s">
        <v>4268</v>
      </c>
      <c r="E2947" s="959">
        <v>0</v>
      </c>
      <c r="F2947" s="959">
        <v>0</v>
      </c>
      <c r="G2947" s="959">
        <v>0</v>
      </c>
      <c r="H2947" s="959">
        <v>1</v>
      </c>
    </row>
    <row r="2948" spans="1:8">
      <c r="A2948" s="959" t="s">
        <v>4056</v>
      </c>
      <c r="B2948" s="960" t="s">
        <v>4057</v>
      </c>
      <c r="C2948" s="960" t="s">
        <v>4256</v>
      </c>
      <c r="D2948" s="960" t="s">
        <v>4270</v>
      </c>
      <c r="E2948" s="959">
        <v>0</v>
      </c>
      <c r="F2948" s="959">
        <v>2</v>
      </c>
      <c r="G2948" s="959">
        <v>1</v>
      </c>
      <c r="H2948" s="959">
        <v>10</v>
      </c>
    </row>
    <row r="2949" spans="1:8">
      <c r="A2949" s="959" t="s">
        <v>4056</v>
      </c>
      <c r="B2949" s="960" t="s">
        <v>4057</v>
      </c>
      <c r="C2949" s="960" t="s">
        <v>4256</v>
      </c>
      <c r="D2949" s="960" t="s">
        <v>4259</v>
      </c>
      <c r="E2949" s="959">
        <v>0</v>
      </c>
      <c r="F2949" s="959">
        <v>3</v>
      </c>
      <c r="G2949" s="959">
        <v>4</v>
      </c>
      <c r="H2949" s="959">
        <v>58</v>
      </c>
    </row>
    <row r="2950" spans="1:8">
      <c r="A2950" s="959" t="s">
        <v>4056</v>
      </c>
      <c r="B2950" s="960" t="s">
        <v>4057</v>
      </c>
      <c r="C2950" s="960" t="s">
        <v>4256</v>
      </c>
      <c r="D2950" s="960" t="s">
        <v>4265</v>
      </c>
      <c r="E2950" s="959">
        <v>0</v>
      </c>
      <c r="F2950" s="959">
        <v>0</v>
      </c>
      <c r="G2950" s="959">
        <v>0</v>
      </c>
      <c r="H2950" s="959">
        <v>1</v>
      </c>
    </row>
    <row r="2951" spans="1:8">
      <c r="A2951" s="959" t="s">
        <v>4056</v>
      </c>
      <c r="B2951" s="960" t="s">
        <v>4057</v>
      </c>
      <c r="C2951" s="960" t="s">
        <v>4256</v>
      </c>
      <c r="D2951" s="960" t="s">
        <v>4271</v>
      </c>
      <c r="E2951" s="959">
        <v>0</v>
      </c>
      <c r="F2951" s="959">
        <v>1</v>
      </c>
      <c r="G2951" s="959">
        <v>0</v>
      </c>
      <c r="H2951" s="959">
        <v>1</v>
      </c>
    </row>
    <row r="2952" spans="1:8">
      <c r="A2952" s="959" t="s">
        <v>4056</v>
      </c>
      <c r="B2952" s="960" t="s">
        <v>4057</v>
      </c>
      <c r="C2952" s="960" t="s">
        <v>4257</v>
      </c>
      <c r="D2952" s="960" t="s">
        <v>4258</v>
      </c>
      <c r="E2952" s="959">
        <v>2</v>
      </c>
      <c r="F2952" s="959">
        <v>38</v>
      </c>
      <c r="G2952" s="959">
        <v>0</v>
      </c>
      <c r="H2952" s="959">
        <v>1</v>
      </c>
    </row>
    <row r="2953" spans="1:8">
      <c r="A2953" s="959" t="s">
        <v>4058</v>
      </c>
      <c r="B2953" s="960" t="s">
        <v>967</v>
      </c>
      <c r="C2953" s="960" t="s">
        <v>4256</v>
      </c>
      <c r="D2953" s="960" t="s">
        <v>4260</v>
      </c>
      <c r="E2953" s="959">
        <v>0</v>
      </c>
      <c r="F2953" s="959">
        <v>0</v>
      </c>
      <c r="G2953" s="959">
        <v>0</v>
      </c>
      <c r="H2953" s="959">
        <v>2</v>
      </c>
    </row>
    <row r="2954" spans="1:8">
      <c r="A2954" s="959" t="s">
        <v>4058</v>
      </c>
      <c r="B2954" s="960" t="s">
        <v>967</v>
      </c>
      <c r="C2954" s="960" t="s">
        <v>4256</v>
      </c>
      <c r="D2954" s="960" t="s">
        <v>1906</v>
      </c>
      <c r="E2954" s="959">
        <v>0</v>
      </c>
      <c r="F2954" s="959">
        <v>10</v>
      </c>
      <c r="G2954" s="959">
        <v>0</v>
      </c>
      <c r="H2954" s="959">
        <v>0</v>
      </c>
    </row>
    <row r="2955" spans="1:8">
      <c r="A2955" s="959" t="s">
        <v>4058</v>
      </c>
      <c r="B2955" s="960" t="s">
        <v>967</v>
      </c>
      <c r="C2955" s="960" t="s">
        <v>4257</v>
      </c>
      <c r="D2955" s="960" t="s">
        <v>4258</v>
      </c>
      <c r="E2955" s="959">
        <v>0</v>
      </c>
      <c r="F2955" s="959">
        <v>55</v>
      </c>
      <c r="G2955" s="959">
        <v>0</v>
      </c>
      <c r="H2955" s="959">
        <v>0</v>
      </c>
    </row>
    <row r="2956" spans="1:8">
      <c r="A2956" s="959" t="s">
        <v>4059</v>
      </c>
      <c r="B2956" s="960" t="s">
        <v>1655</v>
      </c>
      <c r="C2956" s="960" t="s">
        <v>4262</v>
      </c>
      <c r="D2956" s="960" t="s">
        <v>4263</v>
      </c>
      <c r="E2956" s="959">
        <v>0</v>
      </c>
      <c r="F2956" s="959">
        <v>24</v>
      </c>
      <c r="G2956" s="959">
        <v>0</v>
      </c>
      <c r="H2956" s="959">
        <v>8</v>
      </c>
    </row>
    <row r="2957" spans="1:8">
      <c r="A2957" s="959" t="s">
        <v>4060</v>
      </c>
      <c r="B2957" s="960" t="s">
        <v>4061</v>
      </c>
      <c r="C2957" s="960" t="s">
        <v>4257</v>
      </c>
      <c r="D2957" s="960" t="s">
        <v>4258</v>
      </c>
      <c r="E2957" s="959">
        <v>0</v>
      </c>
      <c r="F2957" s="959">
        <v>2</v>
      </c>
      <c r="G2957" s="959">
        <v>0</v>
      </c>
      <c r="H2957" s="959">
        <v>0</v>
      </c>
    </row>
    <row r="2958" spans="1:8">
      <c r="A2958" s="959" t="s">
        <v>4062</v>
      </c>
      <c r="B2958" s="960" t="s">
        <v>4063</v>
      </c>
      <c r="C2958" s="960" t="s">
        <v>4275</v>
      </c>
      <c r="D2958" s="960" t="s">
        <v>4276</v>
      </c>
      <c r="E2958" s="959">
        <v>4</v>
      </c>
      <c r="F2958" s="959">
        <v>72</v>
      </c>
      <c r="G2958" s="959">
        <v>0</v>
      </c>
      <c r="H2958" s="959">
        <v>3</v>
      </c>
    </row>
    <row r="2959" spans="1:8">
      <c r="A2959" s="959" t="s">
        <v>4062</v>
      </c>
      <c r="B2959" s="960" t="s">
        <v>4063</v>
      </c>
      <c r="C2959" s="960" t="s">
        <v>4277</v>
      </c>
      <c r="D2959" s="960" t="s">
        <v>4278</v>
      </c>
      <c r="E2959" s="959">
        <v>0</v>
      </c>
      <c r="F2959" s="959">
        <v>0</v>
      </c>
      <c r="G2959" s="959">
        <v>6</v>
      </c>
      <c r="H2959" s="959">
        <v>48</v>
      </c>
    </row>
    <row r="2960" spans="1:8">
      <c r="A2960" s="959" t="s">
        <v>4062</v>
      </c>
      <c r="B2960" s="960" t="s">
        <v>4063</v>
      </c>
      <c r="C2960" s="960" t="s">
        <v>4277</v>
      </c>
      <c r="D2960" s="960" t="s">
        <v>4279</v>
      </c>
      <c r="E2960" s="959">
        <v>0</v>
      </c>
      <c r="F2960" s="959">
        <v>0</v>
      </c>
      <c r="G2960" s="959">
        <v>6</v>
      </c>
      <c r="H2960" s="959">
        <v>123</v>
      </c>
    </row>
    <row r="2961" spans="1:8">
      <c r="A2961" s="959" t="s">
        <v>4062</v>
      </c>
      <c r="B2961" s="960" t="s">
        <v>4063</v>
      </c>
      <c r="C2961" s="960" t="s">
        <v>4256</v>
      </c>
      <c r="D2961" s="960" t="s">
        <v>1904</v>
      </c>
      <c r="E2961" s="959">
        <v>0</v>
      </c>
      <c r="F2961" s="959">
        <v>0</v>
      </c>
      <c r="G2961" s="959">
        <v>0</v>
      </c>
      <c r="H2961" s="959">
        <v>1</v>
      </c>
    </row>
    <row r="2962" spans="1:8">
      <c r="A2962" s="959" t="s">
        <v>4062</v>
      </c>
      <c r="B2962" s="960" t="s">
        <v>4063</v>
      </c>
      <c r="C2962" s="960" t="s">
        <v>4256</v>
      </c>
      <c r="D2962" s="960" t="s">
        <v>4270</v>
      </c>
      <c r="E2962" s="959">
        <v>0</v>
      </c>
      <c r="F2962" s="959">
        <v>0</v>
      </c>
      <c r="G2962" s="959">
        <v>0</v>
      </c>
      <c r="H2962" s="959">
        <v>1</v>
      </c>
    </row>
    <row r="2963" spans="1:8">
      <c r="A2963" s="959" t="s">
        <v>4062</v>
      </c>
      <c r="B2963" s="960" t="s">
        <v>4063</v>
      </c>
      <c r="C2963" s="960" t="s">
        <v>4256</v>
      </c>
      <c r="D2963" s="960" t="s">
        <v>4260</v>
      </c>
      <c r="E2963" s="959">
        <v>0</v>
      </c>
      <c r="F2963" s="959">
        <v>0</v>
      </c>
      <c r="G2963" s="959">
        <v>0</v>
      </c>
      <c r="H2963" s="959">
        <v>25</v>
      </c>
    </row>
    <row r="2964" spans="1:8">
      <c r="A2964" s="959" t="s">
        <v>4062</v>
      </c>
      <c r="B2964" s="960" t="s">
        <v>4063</v>
      </c>
      <c r="C2964" s="960" t="s">
        <v>4256</v>
      </c>
      <c r="D2964" s="960" t="s">
        <v>1906</v>
      </c>
      <c r="E2964" s="959">
        <v>1</v>
      </c>
      <c r="F2964" s="959">
        <v>29</v>
      </c>
      <c r="G2964" s="959">
        <v>0</v>
      </c>
      <c r="H2964" s="959">
        <v>3</v>
      </c>
    </row>
    <row r="2965" spans="1:8">
      <c r="A2965" s="959" t="s">
        <v>4062</v>
      </c>
      <c r="B2965" s="960" t="s">
        <v>4063</v>
      </c>
      <c r="C2965" s="960" t="s">
        <v>4256</v>
      </c>
      <c r="D2965" s="960" t="s">
        <v>4261</v>
      </c>
      <c r="E2965" s="959">
        <v>0</v>
      </c>
      <c r="F2965" s="959">
        <v>0</v>
      </c>
      <c r="G2965" s="959">
        <v>1</v>
      </c>
      <c r="H2965" s="959">
        <v>12</v>
      </c>
    </row>
    <row r="2966" spans="1:8">
      <c r="A2966" s="959" t="s">
        <v>4062</v>
      </c>
      <c r="B2966" s="960" t="s">
        <v>4063</v>
      </c>
      <c r="C2966" s="960" t="s">
        <v>4257</v>
      </c>
      <c r="D2966" s="960" t="s">
        <v>4258</v>
      </c>
      <c r="E2966" s="959">
        <v>30</v>
      </c>
      <c r="F2966" s="959">
        <v>575</v>
      </c>
      <c r="G2966" s="959">
        <v>4</v>
      </c>
      <c r="H2966" s="959">
        <v>49</v>
      </c>
    </row>
    <row r="2967" spans="1:8">
      <c r="A2967" s="959" t="s">
        <v>4062</v>
      </c>
      <c r="B2967" s="960" t="s">
        <v>4063</v>
      </c>
      <c r="C2967" s="960" t="s">
        <v>4262</v>
      </c>
      <c r="D2967" s="960" t="s">
        <v>4263</v>
      </c>
      <c r="E2967" s="959">
        <v>0</v>
      </c>
      <c r="F2967" s="959">
        <v>1</v>
      </c>
      <c r="G2967" s="959">
        <v>0</v>
      </c>
      <c r="H2967" s="959">
        <v>0</v>
      </c>
    </row>
    <row r="2968" spans="1:8">
      <c r="A2968" s="959" t="s">
        <v>4064</v>
      </c>
      <c r="B2968" s="960" t="s">
        <v>4065</v>
      </c>
      <c r="C2968" s="960" t="s">
        <v>4275</v>
      </c>
      <c r="D2968" s="960" t="s">
        <v>4276</v>
      </c>
      <c r="E2968" s="959">
        <v>1</v>
      </c>
      <c r="F2968" s="959">
        <v>12</v>
      </c>
      <c r="G2968" s="959">
        <v>0</v>
      </c>
      <c r="H2968" s="959">
        <v>0</v>
      </c>
    </row>
    <row r="2969" spans="1:8">
      <c r="A2969" s="959" t="s">
        <v>4064</v>
      </c>
      <c r="B2969" s="960" t="s">
        <v>4065</v>
      </c>
      <c r="C2969" s="960" t="s">
        <v>4256</v>
      </c>
      <c r="D2969" s="960" t="s">
        <v>1904</v>
      </c>
      <c r="E2969" s="959">
        <v>0</v>
      </c>
      <c r="F2969" s="959">
        <v>0</v>
      </c>
      <c r="G2969" s="959">
        <v>1</v>
      </c>
      <c r="H2969" s="959">
        <v>3</v>
      </c>
    </row>
    <row r="2970" spans="1:8">
      <c r="A2970" s="959" t="s">
        <v>4064</v>
      </c>
      <c r="B2970" s="960" t="s">
        <v>4065</v>
      </c>
      <c r="C2970" s="960" t="s">
        <v>4256</v>
      </c>
      <c r="D2970" s="960" t="s">
        <v>4270</v>
      </c>
      <c r="E2970" s="959">
        <v>0</v>
      </c>
      <c r="F2970" s="959">
        <v>0</v>
      </c>
      <c r="G2970" s="959">
        <v>3</v>
      </c>
      <c r="H2970" s="959">
        <v>6</v>
      </c>
    </row>
    <row r="2971" spans="1:8">
      <c r="A2971" s="959" t="s">
        <v>4064</v>
      </c>
      <c r="B2971" s="960" t="s">
        <v>4065</v>
      </c>
      <c r="C2971" s="960" t="s">
        <v>4256</v>
      </c>
      <c r="D2971" s="960" t="s">
        <v>4259</v>
      </c>
      <c r="E2971" s="959">
        <v>0</v>
      </c>
      <c r="F2971" s="959">
        <v>16</v>
      </c>
      <c r="G2971" s="959">
        <v>36</v>
      </c>
      <c r="H2971" s="959">
        <v>251</v>
      </c>
    </row>
    <row r="2972" spans="1:8">
      <c r="A2972" s="959" t="s">
        <v>4064</v>
      </c>
      <c r="B2972" s="960" t="s">
        <v>4065</v>
      </c>
      <c r="C2972" s="960" t="s">
        <v>4256</v>
      </c>
      <c r="D2972" s="960" t="s">
        <v>4260</v>
      </c>
      <c r="E2972" s="959">
        <v>0</v>
      </c>
      <c r="F2972" s="959">
        <v>0</v>
      </c>
      <c r="G2972" s="959">
        <v>2</v>
      </c>
      <c r="H2972" s="959">
        <v>47</v>
      </c>
    </row>
    <row r="2973" spans="1:8">
      <c r="A2973" s="959" t="s">
        <v>4064</v>
      </c>
      <c r="B2973" s="960" t="s">
        <v>4065</v>
      </c>
      <c r="C2973" s="960" t="s">
        <v>4256</v>
      </c>
      <c r="D2973" s="960" t="s">
        <v>4265</v>
      </c>
      <c r="E2973" s="959">
        <v>0</v>
      </c>
      <c r="F2973" s="959">
        <v>0</v>
      </c>
      <c r="G2973" s="959">
        <v>1</v>
      </c>
      <c r="H2973" s="959">
        <v>1</v>
      </c>
    </row>
    <row r="2974" spans="1:8">
      <c r="A2974" s="959" t="s">
        <v>4064</v>
      </c>
      <c r="B2974" s="960" t="s">
        <v>4065</v>
      </c>
      <c r="C2974" s="960" t="s">
        <v>4256</v>
      </c>
      <c r="D2974" s="960" t="s">
        <v>1906</v>
      </c>
      <c r="E2974" s="959">
        <v>25</v>
      </c>
      <c r="F2974" s="959">
        <v>326</v>
      </c>
      <c r="G2974" s="959">
        <v>6</v>
      </c>
      <c r="H2974" s="959">
        <v>82</v>
      </c>
    </row>
    <row r="2975" spans="1:8">
      <c r="A2975" s="959" t="s">
        <v>4064</v>
      </c>
      <c r="B2975" s="960" t="s">
        <v>4065</v>
      </c>
      <c r="C2975" s="960" t="s">
        <v>4256</v>
      </c>
      <c r="D2975" s="960" t="s">
        <v>1907</v>
      </c>
      <c r="E2975" s="959">
        <v>6</v>
      </c>
      <c r="F2975" s="959">
        <v>74</v>
      </c>
      <c r="G2975" s="959">
        <v>1</v>
      </c>
      <c r="H2975" s="959">
        <v>8</v>
      </c>
    </row>
    <row r="2976" spans="1:8">
      <c r="A2976" s="959" t="s">
        <v>4064</v>
      </c>
      <c r="B2976" s="960" t="s">
        <v>4065</v>
      </c>
      <c r="C2976" s="960" t="s">
        <v>4256</v>
      </c>
      <c r="D2976" s="960" t="s">
        <v>4261</v>
      </c>
      <c r="E2976" s="959">
        <v>0</v>
      </c>
      <c r="F2976" s="959">
        <v>0</v>
      </c>
      <c r="G2976" s="959">
        <v>3</v>
      </c>
      <c r="H2976" s="959">
        <v>40</v>
      </c>
    </row>
    <row r="2977" spans="1:8">
      <c r="A2977" s="959" t="s">
        <v>4064</v>
      </c>
      <c r="B2977" s="960" t="s">
        <v>4065</v>
      </c>
      <c r="C2977" s="960" t="s">
        <v>4257</v>
      </c>
      <c r="D2977" s="960" t="s">
        <v>4258</v>
      </c>
      <c r="E2977" s="959">
        <v>50</v>
      </c>
      <c r="F2977" s="959">
        <v>940</v>
      </c>
      <c r="G2977" s="959">
        <v>14</v>
      </c>
      <c r="H2977" s="959">
        <v>185</v>
      </c>
    </row>
    <row r="2978" spans="1:8">
      <c r="A2978" s="959" t="s">
        <v>4064</v>
      </c>
      <c r="B2978" s="960" t="s">
        <v>4065</v>
      </c>
      <c r="C2978" s="960" t="s">
        <v>4262</v>
      </c>
      <c r="D2978" s="960" t="s">
        <v>4263</v>
      </c>
      <c r="E2978" s="959">
        <v>7</v>
      </c>
      <c r="F2978" s="959">
        <v>291</v>
      </c>
      <c r="G2978" s="959">
        <v>0</v>
      </c>
      <c r="H2978" s="959">
        <v>6</v>
      </c>
    </row>
    <row r="2979" spans="1:8">
      <c r="A2979" s="959" t="s">
        <v>4067</v>
      </c>
      <c r="B2979" s="960" t="s">
        <v>4068</v>
      </c>
      <c r="C2979" s="960" t="s">
        <v>4256</v>
      </c>
      <c r="D2979" s="960" t="s">
        <v>1906</v>
      </c>
      <c r="E2979" s="959">
        <v>1</v>
      </c>
      <c r="F2979" s="959">
        <v>9</v>
      </c>
      <c r="G2979" s="959">
        <v>0</v>
      </c>
      <c r="H2979" s="959">
        <v>0</v>
      </c>
    </row>
    <row r="2980" spans="1:8">
      <c r="A2980" s="959" t="s">
        <v>4067</v>
      </c>
      <c r="B2980" s="960" t="s">
        <v>4068</v>
      </c>
      <c r="C2980" s="960" t="s">
        <v>4257</v>
      </c>
      <c r="D2980" s="960" t="s">
        <v>4258</v>
      </c>
      <c r="E2980" s="959">
        <v>1</v>
      </c>
      <c r="F2980" s="959">
        <v>7</v>
      </c>
      <c r="G2980" s="959">
        <v>0</v>
      </c>
      <c r="H2980" s="959">
        <v>0</v>
      </c>
    </row>
    <row r="2981" spans="1:8">
      <c r="A2981" s="959" t="s">
        <v>4067</v>
      </c>
      <c r="B2981" s="960" t="s">
        <v>4068</v>
      </c>
      <c r="C2981" s="960" t="s">
        <v>4262</v>
      </c>
      <c r="D2981" s="960" t="s">
        <v>4263</v>
      </c>
      <c r="E2981" s="959">
        <v>0</v>
      </c>
      <c r="F2981" s="959">
        <v>1</v>
      </c>
      <c r="G2981" s="959">
        <v>0</v>
      </c>
      <c r="H2981" s="959">
        <v>0</v>
      </c>
    </row>
    <row r="2982" spans="1:8">
      <c r="A2982" s="959" t="s">
        <v>4069</v>
      </c>
      <c r="B2982" s="960" t="s">
        <v>1660</v>
      </c>
      <c r="C2982" s="960" t="s">
        <v>4256</v>
      </c>
      <c r="D2982" s="960" t="s">
        <v>470</v>
      </c>
      <c r="E2982" s="959">
        <v>0</v>
      </c>
      <c r="F2982" s="959">
        <v>0</v>
      </c>
      <c r="G2982" s="959">
        <v>0</v>
      </c>
      <c r="H2982" s="959">
        <v>3</v>
      </c>
    </row>
    <row r="2983" spans="1:8">
      <c r="A2983" s="959" t="s">
        <v>4069</v>
      </c>
      <c r="B2983" s="960" t="s">
        <v>1660</v>
      </c>
      <c r="C2983" s="960" t="s">
        <v>4256</v>
      </c>
      <c r="D2983" s="960" t="s">
        <v>4259</v>
      </c>
      <c r="E2983" s="959">
        <v>0</v>
      </c>
      <c r="F2983" s="959">
        <v>0</v>
      </c>
      <c r="G2983" s="959">
        <v>0</v>
      </c>
      <c r="H2983" s="959">
        <v>1</v>
      </c>
    </row>
    <row r="2984" spans="1:8">
      <c r="A2984" s="959" t="s">
        <v>4069</v>
      </c>
      <c r="B2984" s="960" t="s">
        <v>1660</v>
      </c>
      <c r="C2984" s="960" t="s">
        <v>4256</v>
      </c>
      <c r="D2984" s="960" t="s">
        <v>4271</v>
      </c>
      <c r="E2984" s="959">
        <v>0</v>
      </c>
      <c r="F2984" s="959">
        <v>1</v>
      </c>
      <c r="G2984" s="959">
        <v>0</v>
      </c>
      <c r="H2984" s="959">
        <v>0</v>
      </c>
    </row>
    <row r="2985" spans="1:8">
      <c r="A2985" s="959" t="s">
        <v>4069</v>
      </c>
      <c r="B2985" s="960" t="s">
        <v>1660</v>
      </c>
      <c r="C2985" s="960" t="s">
        <v>4256</v>
      </c>
      <c r="D2985" s="960" t="s">
        <v>4273</v>
      </c>
      <c r="E2985" s="959">
        <v>0</v>
      </c>
      <c r="F2985" s="959">
        <v>0</v>
      </c>
      <c r="G2985" s="959">
        <v>0</v>
      </c>
      <c r="H2985" s="959">
        <v>6</v>
      </c>
    </row>
    <row r="2986" spans="1:8">
      <c r="A2986" s="959" t="s">
        <v>4069</v>
      </c>
      <c r="B2986" s="960" t="s">
        <v>1660</v>
      </c>
      <c r="C2986" s="960" t="s">
        <v>4257</v>
      </c>
      <c r="D2986" s="960" t="s">
        <v>4258</v>
      </c>
      <c r="E2986" s="959">
        <v>0</v>
      </c>
      <c r="F2986" s="959">
        <v>0</v>
      </c>
      <c r="G2986" s="959">
        <v>1</v>
      </c>
      <c r="H2986" s="959">
        <v>11</v>
      </c>
    </row>
    <row r="2987" spans="1:8">
      <c r="A2987" s="959" t="s">
        <v>4069</v>
      </c>
      <c r="B2987" s="960" t="s">
        <v>1660</v>
      </c>
      <c r="C2987" s="960" t="s">
        <v>4262</v>
      </c>
      <c r="D2987" s="960" t="s">
        <v>4263</v>
      </c>
      <c r="E2987" s="959">
        <v>0</v>
      </c>
      <c r="F2987" s="959">
        <v>21</v>
      </c>
      <c r="G2987" s="959">
        <v>1</v>
      </c>
      <c r="H2987" s="959">
        <v>0</v>
      </c>
    </row>
    <row r="2988" spans="1:8">
      <c r="A2988" s="959" t="s">
        <v>4069</v>
      </c>
      <c r="B2988" s="960" t="s">
        <v>1660</v>
      </c>
      <c r="C2988" s="960" t="s">
        <v>4267</v>
      </c>
      <c r="D2988" s="960" t="s">
        <v>4268</v>
      </c>
      <c r="E2988" s="959">
        <v>0</v>
      </c>
      <c r="F2988" s="959">
        <v>0</v>
      </c>
      <c r="G2988" s="959">
        <v>0</v>
      </c>
      <c r="H2988" s="959">
        <v>4</v>
      </c>
    </row>
    <row r="2989" spans="1:8">
      <c r="A2989" s="959" t="s">
        <v>4072</v>
      </c>
      <c r="B2989" s="960" t="s">
        <v>4073</v>
      </c>
      <c r="C2989" s="960" t="s">
        <v>4256</v>
      </c>
      <c r="D2989" s="960" t="s">
        <v>4259</v>
      </c>
      <c r="E2989" s="959">
        <v>0</v>
      </c>
      <c r="F2989" s="959">
        <v>0</v>
      </c>
      <c r="G2989" s="959">
        <v>0</v>
      </c>
      <c r="H2989" s="959">
        <v>1</v>
      </c>
    </row>
    <row r="2990" spans="1:8">
      <c r="A2990" s="959" t="s">
        <v>4072</v>
      </c>
      <c r="B2990" s="960" t="s">
        <v>4073</v>
      </c>
      <c r="C2990" s="960" t="s">
        <v>4256</v>
      </c>
      <c r="D2990" s="960" t="s">
        <v>4265</v>
      </c>
      <c r="E2990" s="959">
        <v>0</v>
      </c>
      <c r="F2990" s="959">
        <v>0</v>
      </c>
      <c r="G2990" s="959">
        <v>0</v>
      </c>
      <c r="H2990" s="959">
        <v>2</v>
      </c>
    </row>
    <row r="2991" spans="1:8">
      <c r="A2991" s="959" t="s">
        <v>4072</v>
      </c>
      <c r="B2991" s="960" t="s">
        <v>4073</v>
      </c>
      <c r="C2991" s="960" t="s">
        <v>4256</v>
      </c>
      <c r="D2991" s="960" t="s">
        <v>4272</v>
      </c>
      <c r="E2991" s="959">
        <v>0</v>
      </c>
      <c r="F2991" s="959">
        <v>1</v>
      </c>
      <c r="G2991" s="959">
        <v>0</v>
      </c>
      <c r="H2991" s="959">
        <v>0</v>
      </c>
    </row>
    <row r="2992" spans="1:8">
      <c r="A2992" s="959" t="s">
        <v>4072</v>
      </c>
      <c r="B2992" s="960" t="s">
        <v>4073</v>
      </c>
      <c r="C2992" s="960" t="s">
        <v>4256</v>
      </c>
      <c r="D2992" s="960" t="s">
        <v>1906</v>
      </c>
      <c r="E2992" s="959">
        <v>5</v>
      </c>
      <c r="F2992" s="959">
        <v>61</v>
      </c>
      <c r="G2992" s="959">
        <v>2</v>
      </c>
      <c r="H2992" s="959">
        <v>31</v>
      </c>
    </row>
    <row r="2993" spans="1:8">
      <c r="A2993" s="959" t="s">
        <v>4072</v>
      </c>
      <c r="B2993" s="960" t="s">
        <v>4073</v>
      </c>
      <c r="C2993" s="960" t="s">
        <v>4257</v>
      </c>
      <c r="D2993" s="960" t="s">
        <v>4258</v>
      </c>
      <c r="E2993" s="959">
        <v>11</v>
      </c>
      <c r="F2993" s="959">
        <v>192</v>
      </c>
      <c r="G2993" s="959">
        <v>19</v>
      </c>
      <c r="H2993" s="959">
        <v>256</v>
      </c>
    </row>
    <row r="2994" spans="1:8">
      <c r="A2994" s="959" t="s">
        <v>4074</v>
      </c>
      <c r="B2994" s="960" t="s">
        <v>4075</v>
      </c>
      <c r="C2994" s="960" t="s">
        <v>4256</v>
      </c>
      <c r="D2994" s="960" t="s">
        <v>470</v>
      </c>
      <c r="E2994" s="959">
        <v>1</v>
      </c>
      <c r="F2994" s="959">
        <v>2</v>
      </c>
      <c r="G2994" s="959">
        <v>34</v>
      </c>
      <c r="H2994" s="959">
        <v>230</v>
      </c>
    </row>
    <row r="2995" spans="1:8">
      <c r="A2995" s="959" t="s">
        <v>4074</v>
      </c>
      <c r="B2995" s="960" t="s">
        <v>4075</v>
      </c>
      <c r="C2995" s="960" t="s">
        <v>4256</v>
      </c>
      <c r="D2995" s="960" t="s">
        <v>1904</v>
      </c>
      <c r="E2995" s="959">
        <v>0</v>
      </c>
      <c r="F2995" s="959">
        <v>1</v>
      </c>
      <c r="G2995" s="959">
        <v>4</v>
      </c>
      <c r="H2995" s="959">
        <v>154</v>
      </c>
    </row>
    <row r="2996" spans="1:8">
      <c r="A2996" s="959" t="s">
        <v>4074</v>
      </c>
      <c r="B2996" s="960" t="s">
        <v>4075</v>
      </c>
      <c r="C2996" s="960" t="s">
        <v>4256</v>
      </c>
      <c r="D2996" s="960" t="s">
        <v>4260</v>
      </c>
      <c r="E2996" s="959">
        <v>0</v>
      </c>
      <c r="F2996" s="959">
        <v>0</v>
      </c>
      <c r="G2996" s="959">
        <v>2</v>
      </c>
      <c r="H2996" s="959">
        <v>9</v>
      </c>
    </row>
    <row r="2997" spans="1:8">
      <c r="A2997" s="959" t="s">
        <v>4074</v>
      </c>
      <c r="B2997" s="960" t="s">
        <v>4075</v>
      </c>
      <c r="C2997" s="960" t="s">
        <v>4256</v>
      </c>
      <c r="D2997" s="960" t="s">
        <v>4271</v>
      </c>
      <c r="E2997" s="959">
        <v>0</v>
      </c>
      <c r="F2997" s="959">
        <v>0</v>
      </c>
      <c r="G2997" s="959">
        <v>0</v>
      </c>
      <c r="H2997" s="959">
        <v>1</v>
      </c>
    </row>
    <row r="2998" spans="1:8">
      <c r="A2998" s="959" t="s">
        <v>4074</v>
      </c>
      <c r="B2998" s="960" t="s">
        <v>4075</v>
      </c>
      <c r="C2998" s="960" t="s">
        <v>4256</v>
      </c>
      <c r="D2998" s="960" t="s">
        <v>1906</v>
      </c>
      <c r="E2998" s="959">
        <v>1</v>
      </c>
      <c r="F2998" s="959">
        <v>14</v>
      </c>
      <c r="G2998" s="959">
        <v>1</v>
      </c>
      <c r="H2998" s="959">
        <v>8</v>
      </c>
    </row>
    <row r="2999" spans="1:8">
      <c r="A2999" s="959" t="s">
        <v>4074</v>
      </c>
      <c r="B2999" s="960" t="s">
        <v>4075</v>
      </c>
      <c r="C2999" s="960" t="s">
        <v>4256</v>
      </c>
      <c r="D2999" s="960" t="s">
        <v>4264</v>
      </c>
      <c r="E2999" s="959">
        <v>0</v>
      </c>
      <c r="F2999" s="959">
        <v>0</v>
      </c>
      <c r="G2999" s="959">
        <v>0</v>
      </c>
      <c r="H2999" s="959">
        <v>2</v>
      </c>
    </row>
    <row r="3000" spans="1:8">
      <c r="A3000" s="959" t="s">
        <v>4074</v>
      </c>
      <c r="B3000" s="960" t="s">
        <v>4075</v>
      </c>
      <c r="C3000" s="960" t="s">
        <v>4256</v>
      </c>
      <c r="D3000" s="960" t="s">
        <v>4261</v>
      </c>
      <c r="E3000" s="959">
        <v>0</v>
      </c>
      <c r="F3000" s="959">
        <v>0</v>
      </c>
      <c r="G3000" s="959">
        <v>3</v>
      </c>
      <c r="H3000" s="959">
        <v>17</v>
      </c>
    </row>
    <row r="3001" spans="1:8">
      <c r="A3001" s="959" t="s">
        <v>4074</v>
      </c>
      <c r="B3001" s="960" t="s">
        <v>4075</v>
      </c>
      <c r="C3001" s="960" t="s">
        <v>4257</v>
      </c>
      <c r="D3001" s="960" t="s">
        <v>4258</v>
      </c>
      <c r="E3001" s="959">
        <v>0</v>
      </c>
      <c r="F3001" s="959">
        <v>0</v>
      </c>
      <c r="G3001" s="959">
        <v>0</v>
      </c>
      <c r="H3001" s="959">
        <v>1</v>
      </c>
    </row>
    <row r="3002" spans="1:8">
      <c r="A3002" s="959" t="s">
        <v>4074</v>
      </c>
      <c r="B3002" s="960" t="s">
        <v>4075</v>
      </c>
      <c r="C3002" s="960" t="s">
        <v>4267</v>
      </c>
      <c r="D3002" s="960" t="s">
        <v>4268</v>
      </c>
      <c r="E3002" s="959">
        <v>0</v>
      </c>
      <c r="F3002" s="959">
        <v>0</v>
      </c>
      <c r="G3002" s="959">
        <v>0</v>
      </c>
      <c r="H3002" s="959">
        <v>8</v>
      </c>
    </row>
    <row r="3003" spans="1:8">
      <c r="A3003" s="959" t="s">
        <v>4076</v>
      </c>
      <c r="B3003" s="960" t="s">
        <v>4077</v>
      </c>
      <c r="C3003" s="960" t="s">
        <v>4262</v>
      </c>
      <c r="D3003" s="960" t="s">
        <v>4263</v>
      </c>
      <c r="E3003" s="959">
        <v>1</v>
      </c>
      <c r="F3003" s="959">
        <v>0</v>
      </c>
      <c r="G3003" s="959">
        <v>0</v>
      </c>
      <c r="H3003" s="959">
        <v>0</v>
      </c>
    </row>
    <row r="3004" spans="1:8">
      <c r="A3004" s="959" t="s">
        <v>4078</v>
      </c>
      <c r="B3004" s="960" t="s">
        <v>4079</v>
      </c>
      <c r="C3004" s="960" t="s">
        <v>4256</v>
      </c>
      <c r="D3004" s="960" t="s">
        <v>4259</v>
      </c>
      <c r="E3004" s="959">
        <v>0</v>
      </c>
      <c r="F3004" s="959">
        <v>1</v>
      </c>
      <c r="G3004" s="959">
        <v>0</v>
      </c>
      <c r="H3004" s="959">
        <v>0</v>
      </c>
    </row>
    <row r="3005" spans="1:8">
      <c r="A3005" s="959" t="s">
        <v>4078</v>
      </c>
      <c r="B3005" s="960" t="s">
        <v>4079</v>
      </c>
      <c r="C3005" s="960" t="s">
        <v>4256</v>
      </c>
      <c r="D3005" s="960" t="s">
        <v>1906</v>
      </c>
      <c r="E3005" s="959">
        <v>0</v>
      </c>
      <c r="F3005" s="959">
        <v>5</v>
      </c>
      <c r="G3005" s="959">
        <v>0</v>
      </c>
      <c r="H3005" s="959">
        <v>0</v>
      </c>
    </row>
    <row r="3006" spans="1:8">
      <c r="A3006" s="959" t="s">
        <v>4078</v>
      </c>
      <c r="B3006" s="960" t="s">
        <v>4079</v>
      </c>
      <c r="C3006" s="960" t="s">
        <v>4256</v>
      </c>
      <c r="D3006" s="960" t="s">
        <v>4264</v>
      </c>
      <c r="E3006" s="959">
        <v>0</v>
      </c>
      <c r="F3006" s="959">
        <v>1</v>
      </c>
      <c r="G3006" s="959">
        <v>0</v>
      </c>
      <c r="H3006" s="959">
        <v>0</v>
      </c>
    </row>
    <row r="3007" spans="1:8">
      <c r="A3007" s="959" t="s">
        <v>4078</v>
      </c>
      <c r="B3007" s="960" t="s">
        <v>4079</v>
      </c>
      <c r="C3007" s="960" t="s">
        <v>4257</v>
      </c>
      <c r="D3007" s="960" t="s">
        <v>4258</v>
      </c>
      <c r="E3007" s="959">
        <v>0</v>
      </c>
      <c r="F3007" s="959">
        <v>4</v>
      </c>
      <c r="G3007" s="959">
        <v>0</v>
      </c>
      <c r="H3007" s="959">
        <v>0</v>
      </c>
    </row>
    <row r="3008" spans="1:8">
      <c r="A3008" s="959" t="s">
        <v>4078</v>
      </c>
      <c r="B3008" s="960" t="s">
        <v>4079</v>
      </c>
      <c r="C3008" s="960" t="s">
        <v>4262</v>
      </c>
      <c r="D3008" s="960" t="s">
        <v>4263</v>
      </c>
      <c r="E3008" s="959">
        <v>4</v>
      </c>
      <c r="F3008" s="959">
        <v>70</v>
      </c>
      <c r="G3008" s="959">
        <v>0</v>
      </c>
      <c r="H3008" s="959">
        <v>0</v>
      </c>
    </row>
    <row r="3009" spans="1:8">
      <c r="A3009" s="959" t="s">
        <v>4314</v>
      </c>
      <c r="B3009" s="960" t="s">
        <v>4315</v>
      </c>
      <c r="C3009" s="960" t="s">
        <v>4256</v>
      </c>
      <c r="D3009" s="960" t="s">
        <v>1907</v>
      </c>
      <c r="E3009" s="959">
        <v>1</v>
      </c>
      <c r="F3009" s="959">
        <v>18</v>
      </c>
      <c r="G3009" s="959">
        <v>0</v>
      </c>
      <c r="H3009" s="959">
        <v>2</v>
      </c>
    </row>
    <row r="3010" spans="1:8">
      <c r="A3010" s="959" t="s">
        <v>4314</v>
      </c>
      <c r="B3010" s="960" t="s">
        <v>4315</v>
      </c>
      <c r="C3010" s="960" t="s">
        <v>4257</v>
      </c>
      <c r="D3010" s="960" t="s">
        <v>4258</v>
      </c>
      <c r="E3010" s="959">
        <v>0</v>
      </c>
      <c r="F3010" s="959">
        <v>13</v>
      </c>
      <c r="G3010" s="959">
        <v>0</v>
      </c>
      <c r="H3010" s="959">
        <v>2</v>
      </c>
    </row>
    <row r="3011" spans="1:8">
      <c r="A3011" s="959" t="s">
        <v>4314</v>
      </c>
      <c r="B3011" s="960" t="s">
        <v>4315</v>
      </c>
      <c r="C3011" s="960" t="s">
        <v>4262</v>
      </c>
      <c r="D3011" s="960" t="s">
        <v>4263</v>
      </c>
      <c r="E3011" s="959">
        <v>0</v>
      </c>
      <c r="F3011" s="959">
        <v>1</v>
      </c>
      <c r="G3011" s="959">
        <v>0</v>
      </c>
      <c r="H3011" s="959">
        <v>0</v>
      </c>
    </row>
    <row r="3012" spans="1:8">
      <c r="A3012" s="959" t="s">
        <v>4080</v>
      </c>
      <c r="B3012" s="960" t="s">
        <v>4081</v>
      </c>
      <c r="C3012" s="960" t="s">
        <v>4256</v>
      </c>
      <c r="D3012" s="960" t="s">
        <v>4270</v>
      </c>
      <c r="E3012" s="959">
        <v>0</v>
      </c>
      <c r="F3012" s="959">
        <v>0</v>
      </c>
      <c r="G3012" s="959">
        <v>4</v>
      </c>
      <c r="H3012" s="959">
        <v>5</v>
      </c>
    </row>
    <row r="3013" spans="1:8">
      <c r="A3013" s="959" t="s">
        <v>4080</v>
      </c>
      <c r="B3013" s="960" t="s">
        <v>4081</v>
      </c>
      <c r="C3013" s="960" t="s">
        <v>4256</v>
      </c>
      <c r="D3013" s="960" t="s">
        <v>4259</v>
      </c>
      <c r="E3013" s="959">
        <v>0</v>
      </c>
      <c r="F3013" s="959">
        <v>0</v>
      </c>
      <c r="G3013" s="959">
        <v>10</v>
      </c>
      <c r="H3013" s="959">
        <v>66</v>
      </c>
    </row>
    <row r="3014" spans="1:8">
      <c r="A3014" s="959" t="s">
        <v>4080</v>
      </c>
      <c r="B3014" s="960" t="s">
        <v>4081</v>
      </c>
      <c r="C3014" s="960" t="s">
        <v>4256</v>
      </c>
      <c r="D3014" s="960" t="s">
        <v>4260</v>
      </c>
      <c r="E3014" s="959">
        <v>0</v>
      </c>
      <c r="F3014" s="959">
        <v>0</v>
      </c>
      <c r="G3014" s="959">
        <v>6</v>
      </c>
      <c r="H3014" s="959">
        <v>88</v>
      </c>
    </row>
    <row r="3015" spans="1:8">
      <c r="A3015" s="959" t="s">
        <v>4080</v>
      </c>
      <c r="B3015" s="960" t="s">
        <v>4081</v>
      </c>
      <c r="C3015" s="960" t="s">
        <v>4256</v>
      </c>
      <c r="D3015" s="960" t="s">
        <v>4265</v>
      </c>
      <c r="E3015" s="959">
        <v>0</v>
      </c>
      <c r="F3015" s="959">
        <v>0</v>
      </c>
      <c r="G3015" s="959">
        <v>0</v>
      </c>
      <c r="H3015" s="959">
        <v>1</v>
      </c>
    </row>
    <row r="3016" spans="1:8">
      <c r="A3016" s="959" t="s">
        <v>4080</v>
      </c>
      <c r="B3016" s="960" t="s">
        <v>4081</v>
      </c>
      <c r="C3016" s="960" t="s">
        <v>4256</v>
      </c>
      <c r="D3016" s="960" t="s">
        <v>1906</v>
      </c>
      <c r="E3016" s="959">
        <v>2</v>
      </c>
      <c r="F3016" s="959">
        <v>27</v>
      </c>
      <c r="G3016" s="959">
        <v>4</v>
      </c>
      <c r="H3016" s="959">
        <v>59</v>
      </c>
    </row>
    <row r="3017" spans="1:8">
      <c r="A3017" s="959" t="s">
        <v>4080</v>
      </c>
      <c r="B3017" s="960" t="s">
        <v>4081</v>
      </c>
      <c r="C3017" s="960" t="s">
        <v>4256</v>
      </c>
      <c r="D3017" s="960" t="s">
        <v>4261</v>
      </c>
      <c r="E3017" s="959">
        <v>0</v>
      </c>
      <c r="F3017" s="959">
        <v>0</v>
      </c>
      <c r="G3017" s="959">
        <v>0</v>
      </c>
      <c r="H3017" s="959">
        <v>6</v>
      </c>
    </row>
    <row r="3018" spans="1:8">
      <c r="A3018" s="959" t="s">
        <v>4080</v>
      </c>
      <c r="B3018" s="960" t="s">
        <v>4081</v>
      </c>
      <c r="C3018" s="960" t="s">
        <v>4257</v>
      </c>
      <c r="D3018" s="960" t="s">
        <v>4258</v>
      </c>
      <c r="E3018" s="959">
        <v>10</v>
      </c>
      <c r="F3018" s="959">
        <v>190</v>
      </c>
      <c r="G3018" s="959">
        <v>10</v>
      </c>
      <c r="H3018" s="959">
        <v>146</v>
      </c>
    </row>
    <row r="3019" spans="1:8">
      <c r="A3019" s="959" t="s">
        <v>4080</v>
      </c>
      <c r="B3019" s="960" t="s">
        <v>4081</v>
      </c>
      <c r="C3019" s="960" t="s">
        <v>4262</v>
      </c>
      <c r="D3019" s="960" t="s">
        <v>4263</v>
      </c>
      <c r="E3019" s="959">
        <v>1</v>
      </c>
      <c r="F3019" s="959">
        <v>4</v>
      </c>
      <c r="G3019" s="959">
        <v>0</v>
      </c>
      <c r="H3019" s="959">
        <v>0</v>
      </c>
    </row>
    <row r="3020" spans="1:8">
      <c r="A3020" s="959" t="s">
        <v>4082</v>
      </c>
      <c r="B3020" s="960" t="s">
        <v>4083</v>
      </c>
      <c r="C3020" s="960" t="s">
        <v>4256</v>
      </c>
      <c r="D3020" s="960" t="s">
        <v>1906</v>
      </c>
      <c r="E3020" s="959">
        <v>6</v>
      </c>
      <c r="F3020" s="959">
        <v>74</v>
      </c>
      <c r="G3020" s="959">
        <v>5</v>
      </c>
      <c r="H3020" s="959">
        <v>18</v>
      </c>
    </row>
    <row r="3021" spans="1:8">
      <c r="A3021" s="959" t="s">
        <v>4082</v>
      </c>
      <c r="B3021" s="960" t="s">
        <v>4083</v>
      </c>
      <c r="C3021" s="960" t="s">
        <v>4256</v>
      </c>
      <c r="D3021" s="960" t="s">
        <v>4274</v>
      </c>
      <c r="E3021" s="959">
        <v>0</v>
      </c>
      <c r="F3021" s="959">
        <v>7</v>
      </c>
      <c r="G3021" s="959">
        <v>4</v>
      </c>
      <c r="H3021" s="959">
        <v>53</v>
      </c>
    </row>
    <row r="3022" spans="1:8">
      <c r="A3022" s="959" t="s">
        <v>4082</v>
      </c>
      <c r="B3022" s="960" t="s">
        <v>4083</v>
      </c>
      <c r="C3022" s="960" t="s">
        <v>4257</v>
      </c>
      <c r="D3022" s="960" t="s">
        <v>4258</v>
      </c>
      <c r="E3022" s="959">
        <v>65</v>
      </c>
      <c r="F3022" s="959">
        <v>1090</v>
      </c>
      <c r="G3022" s="959">
        <v>5</v>
      </c>
      <c r="H3022" s="959">
        <v>40</v>
      </c>
    </row>
    <row r="3023" spans="1:8">
      <c r="A3023" s="959" t="s">
        <v>4082</v>
      </c>
      <c r="B3023" s="960" t="s">
        <v>4083</v>
      </c>
      <c r="C3023" s="960" t="s">
        <v>4262</v>
      </c>
      <c r="D3023" s="960" t="s">
        <v>4263</v>
      </c>
      <c r="E3023" s="959">
        <v>0</v>
      </c>
      <c r="F3023" s="959">
        <v>10</v>
      </c>
      <c r="G3023" s="959">
        <v>0</v>
      </c>
      <c r="H3023" s="959">
        <v>0</v>
      </c>
    </row>
    <row r="3024" spans="1:8">
      <c r="A3024" s="959" t="s">
        <v>4084</v>
      </c>
      <c r="B3024" s="960" t="s">
        <v>4085</v>
      </c>
      <c r="C3024" s="960" t="s">
        <v>4275</v>
      </c>
      <c r="D3024" s="960" t="s">
        <v>4276</v>
      </c>
      <c r="E3024" s="959">
        <v>2</v>
      </c>
      <c r="F3024" s="959">
        <v>37</v>
      </c>
      <c r="G3024" s="959">
        <v>0</v>
      </c>
      <c r="H3024" s="959">
        <v>0</v>
      </c>
    </row>
    <row r="3025" spans="1:8">
      <c r="A3025" s="959" t="s">
        <v>4084</v>
      </c>
      <c r="B3025" s="960" t="s">
        <v>4085</v>
      </c>
      <c r="C3025" s="960" t="s">
        <v>4256</v>
      </c>
      <c r="D3025" s="960" t="s">
        <v>4260</v>
      </c>
      <c r="E3025" s="959">
        <v>0</v>
      </c>
      <c r="F3025" s="959">
        <v>0</v>
      </c>
      <c r="G3025" s="959">
        <v>0</v>
      </c>
      <c r="H3025" s="959">
        <v>1</v>
      </c>
    </row>
    <row r="3026" spans="1:8">
      <c r="A3026" s="959" t="s">
        <v>4084</v>
      </c>
      <c r="B3026" s="960" t="s">
        <v>4085</v>
      </c>
      <c r="C3026" s="960" t="s">
        <v>4256</v>
      </c>
      <c r="D3026" s="960" t="s">
        <v>1906</v>
      </c>
      <c r="E3026" s="959">
        <v>0</v>
      </c>
      <c r="F3026" s="959">
        <v>0</v>
      </c>
      <c r="G3026" s="959">
        <v>0</v>
      </c>
      <c r="H3026" s="959">
        <v>1</v>
      </c>
    </row>
    <row r="3027" spans="1:8">
      <c r="A3027" s="959" t="s">
        <v>4084</v>
      </c>
      <c r="B3027" s="960" t="s">
        <v>4085</v>
      </c>
      <c r="C3027" s="960" t="s">
        <v>4256</v>
      </c>
      <c r="D3027" s="960" t="s">
        <v>1907</v>
      </c>
      <c r="E3027" s="959">
        <v>0</v>
      </c>
      <c r="F3027" s="959">
        <v>0</v>
      </c>
      <c r="G3027" s="959">
        <v>0</v>
      </c>
      <c r="H3027" s="959">
        <v>1</v>
      </c>
    </row>
    <row r="3028" spans="1:8">
      <c r="A3028" s="959" t="s">
        <v>4084</v>
      </c>
      <c r="B3028" s="960" t="s">
        <v>4085</v>
      </c>
      <c r="C3028" s="960" t="s">
        <v>4257</v>
      </c>
      <c r="D3028" s="960" t="s">
        <v>4258</v>
      </c>
      <c r="E3028" s="959">
        <v>1</v>
      </c>
      <c r="F3028" s="959">
        <v>26</v>
      </c>
      <c r="G3028" s="959">
        <v>1</v>
      </c>
      <c r="H3028" s="959">
        <v>3</v>
      </c>
    </row>
    <row r="3029" spans="1:8">
      <c r="A3029" s="959" t="s">
        <v>4084</v>
      </c>
      <c r="B3029" s="960" t="s">
        <v>4085</v>
      </c>
      <c r="C3029" s="960" t="s">
        <v>4262</v>
      </c>
      <c r="D3029" s="960" t="s">
        <v>4263</v>
      </c>
      <c r="E3029" s="959">
        <v>0</v>
      </c>
      <c r="F3029" s="959">
        <v>4</v>
      </c>
      <c r="G3029" s="959">
        <v>0</v>
      </c>
      <c r="H3029" s="959">
        <v>0</v>
      </c>
    </row>
    <row r="3030" spans="1:8">
      <c r="A3030" s="959" t="s">
        <v>4086</v>
      </c>
      <c r="B3030" s="960" t="s">
        <v>4087</v>
      </c>
      <c r="C3030" s="960" t="s">
        <v>4256</v>
      </c>
      <c r="D3030" s="960" t="s">
        <v>470</v>
      </c>
      <c r="E3030" s="959">
        <v>0</v>
      </c>
      <c r="F3030" s="959">
        <v>0</v>
      </c>
      <c r="G3030" s="959">
        <v>18</v>
      </c>
      <c r="H3030" s="959">
        <v>96</v>
      </c>
    </row>
    <row r="3031" spans="1:8">
      <c r="A3031" s="959" t="s">
        <v>4086</v>
      </c>
      <c r="B3031" s="960" t="s">
        <v>4087</v>
      </c>
      <c r="C3031" s="960" t="s">
        <v>4256</v>
      </c>
      <c r="D3031" s="960" t="s">
        <v>1904</v>
      </c>
      <c r="E3031" s="959">
        <v>0</v>
      </c>
      <c r="F3031" s="959">
        <v>1</v>
      </c>
      <c r="G3031" s="959">
        <v>2</v>
      </c>
      <c r="H3031" s="959">
        <v>74</v>
      </c>
    </row>
    <row r="3032" spans="1:8">
      <c r="A3032" s="959" t="s">
        <v>4086</v>
      </c>
      <c r="B3032" s="960" t="s">
        <v>4087</v>
      </c>
      <c r="C3032" s="960" t="s">
        <v>4256</v>
      </c>
      <c r="D3032" s="960" t="s">
        <v>4270</v>
      </c>
      <c r="E3032" s="959">
        <v>0</v>
      </c>
      <c r="F3032" s="959">
        <v>0</v>
      </c>
      <c r="G3032" s="959">
        <v>0</v>
      </c>
      <c r="H3032" s="959">
        <v>14</v>
      </c>
    </row>
    <row r="3033" spans="1:8">
      <c r="A3033" s="959" t="s">
        <v>4086</v>
      </c>
      <c r="B3033" s="960" t="s">
        <v>4087</v>
      </c>
      <c r="C3033" s="960" t="s">
        <v>4256</v>
      </c>
      <c r="D3033" s="960" t="s">
        <v>4259</v>
      </c>
      <c r="E3033" s="959">
        <v>0</v>
      </c>
      <c r="F3033" s="959">
        <v>0</v>
      </c>
      <c r="G3033" s="959">
        <v>0</v>
      </c>
      <c r="H3033" s="959">
        <v>9</v>
      </c>
    </row>
    <row r="3034" spans="1:8">
      <c r="A3034" s="959" t="s">
        <v>4086</v>
      </c>
      <c r="B3034" s="960" t="s">
        <v>4087</v>
      </c>
      <c r="C3034" s="960" t="s">
        <v>4256</v>
      </c>
      <c r="D3034" s="960" t="s">
        <v>4260</v>
      </c>
      <c r="E3034" s="959">
        <v>0</v>
      </c>
      <c r="F3034" s="959">
        <v>2</v>
      </c>
      <c r="G3034" s="959">
        <v>11</v>
      </c>
      <c r="H3034" s="959">
        <v>128</v>
      </c>
    </row>
    <row r="3035" spans="1:8">
      <c r="A3035" s="959" t="s">
        <v>4086</v>
      </c>
      <c r="B3035" s="960" t="s">
        <v>4087</v>
      </c>
      <c r="C3035" s="960" t="s">
        <v>4256</v>
      </c>
      <c r="D3035" s="960" t="s">
        <v>4265</v>
      </c>
      <c r="E3035" s="959">
        <v>0</v>
      </c>
      <c r="F3035" s="959">
        <v>0</v>
      </c>
      <c r="G3035" s="959">
        <v>0</v>
      </c>
      <c r="H3035" s="959">
        <v>3</v>
      </c>
    </row>
    <row r="3036" spans="1:8">
      <c r="A3036" s="959" t="s">
        <v>4086</v>
      </c>
      <c r="B3036" s="960" t="s">
        <v>4087</v>
      </c>
      <c r="C3036" s="960" t="s">
        <v>4256</v>
      </c>
      <c r="D3036" s="960" t="s">
        <v>4271</v>
      </c>
      <c r="E3036" s="959">
        <v>0</v>
      </c>
      <c r="F3036" s="959">
        <v>0</v>
      </c>
      <c r="G3036" s="959">
        <v>0</v>
      </c>
      <c r="H3036" s="959">
        <v>4</v>
      </c>
    </row>
    <row r="3037" spans="1:8">
      <c r="A3037" s="959" t="s">
        <v>4086</v>
      </c>
      <c r="B3037" s="960" t="s">
        <v>4087</v>
      </c>
      <c r="C3037" s="960" t="s">
        <v>4256</v>
      </c>
      <c r="D3037" s="960" t="s">
        <v>4272</v>
      </c>
      <c r="E3037" s="959">
        <v>0</v>
      </c>
      <c r="F3037" s="959">
        <v>0</v>
      </c>
      <c r="G3037" s="959">
        <v>1</v>
      </c>
      <c r="H3037" s="959">
        <v>8</v>
      </c>
    </row>
    <row r="3038" spans="1:8">
      <c r="A3038" s="959" t="s">
        <v>4086</v>
      </c>
      <c r="B3038" s="960" t="s">
        <v>4087</v>
      </c>
      <c r="C3038" s="960" t="s">
        <v>4256</v>
      </c>
      <c r="D3038" s="960" t="s">
        <v>1906</v>
      </c>
      <c r="E3038" s="959">
        <v>0</v>
      </c>
      <c r="F3038" s="959">
        <v>3</v>
      </c>
      <c r="G3038" s="959">
        <v>0</v>
      </c>
      <c r="H3038" s="959">
        <v>6</v>
      </c>
    </row>
    <row r="3039" spans="1:8">
      <c r="A3039" s="959" t="s">
        <v>4086</v>
      </c>
      <c r="B3039" s="960" t="s">
        <v>4087</v>
      </c>
      <c r="C3039" s="960" t="s">
        <v>4256</v>
      </c>
      <c r="D3039" s="960" t="s">
        <v>4261</v>
      </c>
      <c r="E3039" s="959">
        <v>0</v>
      </c>
      <c r="F3039" s="959">
        <v>1</v>
      </c>
      <c r="G3039" s="959">
        <v>11</v>
      </c>
      <c r="H3039" s="959">
        <v>167</v>
      </c>
    </row>
    <row r="3040" spans="1:8">
      <c r="A3040" s="959" t="s">
        <v>4086</v>
      </c>
      <c r="B3040" s="960" t="s">
        <v>4087</v>
      </c>
      <c r="C3040" s="960" t="s">
        <v>4257</v>
      </c>
      <c r="D3040" s="960" t="s">
        <v>4258</v>
      </c>
      <c r="E3040" s="959">
        <v>0</v>
      </c>
      <c r="F3040" s="959">
        <v>3</v>
      </c>
      <c r="G3040" s="959">
        <v>6</v>
      </c>
      <c r="H3040" s="959">
        <v>36</v>
      </c>
    </row>
    <row r="3041" spans="1:8">
      <c r="A3041" s="959" t="s">
        <v>4086</v>
      </c>
      <c r="B3041" s="960" t="s">
        <v>4087</v>
      </c>
      <c r="C3041" s="960" t="s">
        <v>4262</v>
      </c>
      <c r="D3041" s="960" t="s">
        <v>4263</v>
      </c>
      <c r="E3041" s="959">
        <v>0</v>
      </c>
      <c r="F3041" s="959">
        <v>0</v>
      </c>
      <c r="G3041" s="959">
        <v>2</v>
      </c>
      <c r="H3041" s="959">
        <v>38</v>
      </c>
    </row>
    <row r="3042" spans="1:8">
      <c r="A3042" s="959" t="s">
        <v>4086</v>
      </c>
      <c r="B3042" s="960" t="s">
        <v>4087</v>
      </c>
      <c r="C3042" s="960" t="s">
        <v>4267</v>
      </c>
      <c r="D3042" s="960" t="s">
        <v>4268</v>
      </c>
      <c r="E3042" s="959">
        <v>0</v>
      </c>
      <c r="F3042" s="959">
        <v>0</v>
      </c>
      <c r="G3042" s="959">
        <v>0</v>
      </c>
      <c r="H3042" s="959">
        <v>13</v>
      </c>
    </row>
    <row r="3043" spans="1:8">
      <c r="A3043" s="959" t="s">
        <v>4088</v>
      </c>
      <c r="B3043" s="960" t="s">
        <v>4089</v>
      </c>
      <c r="C3043" s="960" t="s">
        <v>4256</v>
      </c>
      <c r="D3043" s="960" t="s">
        <v>1906</v>
      </c>
      <c r="E3043" s="959">
        <v>3</v>
      </c>
      <c r="F3043" s="959">
        <v>44</v>
      </c>
      <c r="G3043" s="959">
        <v>0</v>
      </c>
      <c r="H3043" s="959">
        <v>0</v>
      </c>
    </row>
    <row r="3044" spans="1:8">
      <c r="A3044" s="959" t="s">
        <v>4088</v>
      </c>
      <c r="B3044" s="960" t="s">
        <v>4089</v>
      </c>
      <c r="C3044" s="960" t="s">
        <v>4257</v>
      </c>
      <c r="D3044" s="960" t="s">
        <v>4258</v>
      </c>
      <c r="E3044" s="959">
        <v>2</v>
      </c>
      <c r="F3044" s="959">
        <v>32</v>
      </c>
      <c r="G3044" s="959">
        <v>0</v>
      </c>
      <c r="H3044" s="959">
        <v>0</v>
      </c>
    </row>
    <row r="3045" spans="1:8">
      <c r="A3045" s="959" t="s">
        <v>4090</v>
      </c>
      <c r="B3045" s="960" t="s">
        <v>4091</v>
      </c>
      <c r="C3045" s="960" t="s">
        <v>4256</v>
      </c>
      <c r="D3045" s="960" t="s">
        <v>470</v>
      </c>
      <c r="E3045" s="959">
        <v>0</v>
      </c>
      <c r="F3045" s="959">
        <v>0</v>
      </c>
      <c r="G3045" s="959">
        <v>40</v>
      </c>
      <c r="H3045" s="959">
        <v>308</v>
      </c>
    </row>
    <row r="3046" spans="1:8">
      <c r="A3046" s="959" t="s">
        <v>4090</v>
      </c>
      <c r="B3046" s="960" t="s">
        <v>4091</v>
      </c>
      <c r="C3046" s="960" t="s">
        <v>4256</v>
      </c>
      <c r="D3046" s="960" t="s">
        <v>1904</v>
      </c>
      <c r="E3046" s="959">
        <v>0</v>
      </c>
      <c r="F3046" s="959">
        <v>0</v>
      </c>
      <c r="G3046" s="959">
        <v>16</v>
      </c>
      <c r="H3046" s="959">
        <v>221</v>
      </c>
    </row>
    <row r="3047" spans="1:8">
      <c r="A3047" s="959" t="s">
        <v>4090</v>
      </c>
      <c r="B3047" s="960" t="s">
        <v>4091</v>
      </c>
      <c r="C3047" s="960" t="s">
        <v>4256</v>
      </c>
      <c r="D3047" s="960" t="s">
        <v>4269</v>
      </c>
      <c r="E3047" s="959">
        <v>0</v>
      </c>
      <c r="F3047" s="959">
        <v>0</v>
      </c>
      <c r="G3047" s="959">
        <v>0</v>
      </c>
      <c r="H3047" s="959">
        <v>2</v>
      </c>
    </row>
    <row r="3048" spans="1:8">
      <c r="A3048" s="959" t="s">
        <v>4090</v>
      </c>
      <c r="B3048" s="960" t="s">
        <v>4091</v>
      </c>
      <c r="C3048" s="960" t="s">
        <v>4256</v>
      </c>
      <c r="D3048" s="960" t="s">
        <v>4270</v>
      </c>
      <c r="E3048" s="959">
        <v>0</v>
      </c>
      <c r="F3048" s="959">
        <v>0</v>
      </c>
      <c r="G3048" s="959">
        <v>1</v>
      </c>
      <c r="H3048" s="959">
        <v>25</v>
      </c>
    </row>
    <row r="3049" spans="1:8">
      <c r="A3049" s="959" t="s">
        <v>4090</v>
      </c>
      <c r="B3049" s="960" t="s">
        <v>4091</v>
      </c>
      <c r="C3049" s="960" t="s">
        <v>4256</v>
      </c>
      <c r="D3049" s="960" t="s">
        <v>4259</v>
      </c>
      <c r="E3049" s="959">
        <v>0</v>
      </c>
      <c r="F3049" s="959">
        <v>0</v>
      </c>
      <c r="G3049" s="959">
        <v>0</v>
      </c>
      <c r="H3049" s="959">
        <v>7</v>
      </c>
    </row>
    <row r="3050" spans="1:8">
      <c r="A3050" s="959" t="s">
        <v>4090</v>
      </c>
      <c r="B3050" s="960" t="s">
        <v>4091</v>
      </c>
      <c r="C3050" s="960" t="s">
        <v>4256</v>
      </c>
      <c r="D3050" s="960" t="s">
        <v>4260</v>
      </c>
      <c r="E3050" s="959">
        <v>0</v>
      </c>
      <c r="F3050" s="959">
        <v>0</v>
      </c>
      <c r="G3050" s="959">
        <v>8</v>
      </c>
      <c r="H3050" s="959">
        <v>100</v>
      </c>
    </row>
    <row r="3051" spans="1:8">
      <c r="A3051" s="959" t="s">
        <v>4090</v>
      </c>
      <c r="B3051" s="960" t="s">
        <v>4091</v>
      </c>
      <c r="C3051" s="960" t="s">
        <v>4256</v>
      </c>
      <c r="D3051" s="960" t="s">
        <v>4265</v>
      </c>
      <c r="E3051" s="959">
        <v>0</v>
      </c>
      <c r="F3051" s="959">
        <v>0</v>
      </c>
      <c r="G3051" s="959">
        <v>0</v>
      </c>
      <c r="H3051" s="959">
        <v>11</v>
      </c>
    </row>
    <row r="3052" spans="1:8">
      <c r="A3052" s="959" t="s">
        <v>4090</v>
      </c>
      <c r="B3052" s="960" t="s">
        <v>4091</v>
      </c>
      <c r="C3052" s="960" t="s">
        <v>4256</v>
      </c>
      <c r="D3052" s="960" t="s">
        <v>4271</v>
      </c>
      <c r="E3052" s="959">
        <v>0</v>
      </c>
      <c r="F3052" s="959">
        <v>0</v>
      </c>
      <c r="G3052" s="959">
        <v>0</v>
      </c>
      <c r="H3052" s="959">
        <v>1</v>
      </c>
    </row>
    <row r="3053" spans="1:8">
      <c r="A3053" s="959" t="s">
        <v>4090</v>
      </c>
      <c r="B3053" s="960" t="s">
        <v>4091</v>
      </c>
      <c r="C3053" s="960" t="s">
        <v>4256</v>
      </c>
      <c r="D3053" s="960" t="s">
        <v>1906</v>
      </c>
      <c r="E3053" s="959">
        <v>1</v>
      </c>
      <c r="F3053" s="959">
        <v>10</v>
      </c>
      <c r="G3053" s="959">
        <v>3</v>
      </c>
      <c r="H3053" s="959">
        <v>42</v>
      </c>
    </row>
    <row r="3054" spans="1:8">
      <c r="A3054" s="959" t="s">
        <v>4090</v>
      </c>
      <c r="B3054" s="960" t="s">
        <v>4091</v>
      </c>
      <c r="C3054" s="960" t="s">
        <v>4256</v>
      </c>
      <c r="D3054" s="960" t="s">
        <v>4264</v>
      </c>
      <c r="E3054" s="959">
        <v>0</v>
      </c>
      <c r="F3054" s="959">
        <v>0</v>
      </c>
      <c r="G3054" s="959">
        <v>0</v>
      </c>
      <c r="H3054" s="959">
        <v>6</v>
      </c>
    </row>
    <row r="3055" spans="1:8">
      <c r="A3055" s="959" t="s">
        <v>4090</v>
      </c>
      <c r="B3055" s="960" t="s">
        <v>4091</v>
      </c>
      <c r="C3055" s="960" t="s">
        <v>4256</v>
      </c>
      <c r="D3055" s="960" t="s">
        <v>4261</v>
      </c>
      <c r="E3055" s="959">
        <v>0</v>
      </c>
      <c r="F3055" s="959">
        <v>0</v>
      </c>
      <c r="G3055" s="959">
        <v>3</v>
      </c>
      <c r="H3055" s="959">
        <v>143</v>
      </c>
    </row>
    <row r="3056" spans="1:8">
      <c r="A3056" s="959" t="s">
        <v>4090</v>
      </c>
      <c r="B3056" s="960" t="s">
        <v>4091</v>
      </c>
      <c r="C3056" s="960" t="s">
        <v>4256</v>
      </c>
      <c r="D3056" s="960" t="s">
        <v>4274</v>
      </c>
      <c r="E3056" s="959">
        <v>0</v>
      </c>
      <c r="F3056" s="959">
        <v>0</v>
      </c>
      <c r="G3056" s="959">
        <v>0</v>
      </c>
      <c r="H3056" s="959">
        <v>1</v>
      </c>
    </row>
    <row r="3057" spans="1:8">
      <c r="A3057" s="959" t="s">
        <v>4090</v>
      </c>
      <c r="B3057" s="960" t="s">
        <v>4091</v>
      </c>
      <c r="C3057" s="960" t="s">
        <v>4256</v>
      </c>
      <c r="D3057" s="960" t="s">
        <v>4273</v>
      </c>
      <c r="E3057" s="959">
        <v>0</v>
      </c>
      <c r="F3057" s="959">
        <v>0</v>
      </c>
      <c r="G3057" s="959">
        <v>0</v>
      </c>
      <c r="H3057" s="959">
        <v>5</v>
      </c>
    </row>
    <row r="3058" spans="1:8">
      <c r="A3058" s="959" t="s">
        <v>4090</v>
      </c>
      <c r="B3058" s="960" t="s">
        <v>4091</v>
      </c>
      <c r="C3058" s="960" t="s">
        <v>4257</v>
      </c>
      <c r="D3058" s="960" t="s">
        <v>4258</v>
      </c>
      <c r="E3058" s="959">
        <v>1</v>
      </c>
      <c r="F3058" s="959">
        <v>9</v>
      </c>
      <c r="G3058" s="959">
        <v>3</v>
      </c>
      <c r="H3058" s="959">
        <v>40</v>
      </c>
    </row>
    <row r="3059" spans="1:8">
      <c r="A3059" s="959" t="s">
        <v>4090</v>
      </c>
      <c r="B3059" s="960" t="s">
        <v>4091</v>
      </c>
      <c r="C3059" s="960" t="s">
        <v>4267</v>
      </c>
      <c r="D3059" s="960" t="s">
        <v>4268</v>
      </c>
      <c r="E3059" s="959">
        <v>0</v>
      </c>
      <c r="F3059" s="959">
        <v>0</v>
      </c>
      <c r="G3059" s="959">
        <v>0</v>
      </c>
      <c r="H3059" s="959">
        <v>5</v>
      </c>
    </row>
    <row r="3060" spans="1:8">
      <c r="A3060" s="959" t="s">
        <v>4092</v>
      </c>
      <c r="B3060" s="960" t="s">
        <v>4093</v>
      </c>
      <c r="C3060" s="960" t="s">
        <v>4256</v>
      </c>
      <c r="D3060" s="960" t="s">
        <v>470</v>
      </c>
      <c r="E3060" s="959">
        <v>0</v>
      </c>
      <c r="F3060" s="959">
        <v>0</v>
      </c>
      <c r="G3060" s="959">
        <v>2</v>
      </c>
      <c r="H3060" s="959">
        <v>59</v>
      </c>
    </row>
    <row r="3061" spans="1:8">
      <c r="A3061" s="959" t="s">
        <v>4092</v>
      </c>
      <c r="B3061" s="960" t="s">
        <v>4093</v>
      </c>
      <c r="C3061" s="960" t="s">
        <v>4256</v>
      </c>
      <c r="D3061" s="960" t="s">
        <v>1904</v>
      </c>
      <c r="E3061" s="959">
        <v>0</v>
      </c>
      <c r="F3061" s="959">
        <v>0</v>
      </c>
      <c r="G3061" s="959">
        <v>19</v>
      </c>
      <c r="H3061" s="959">
        <v>185</v>
      </c>
    </row>
    <row r="3062" spans="1:8">
      <c r="A3062" s="959" t="s">
        <v>4092</v>
      </c>
      <c r="B3062" s="960" t="s">
        <v>4093</v>
      </c>
      <c r="C3062" s="960" t="s">
        <v>4256</v>
      </c>
      <c r="D3062" s="960" t="s">
        <v>4270</v>
      </c>
      <c r="E3062" s="959">
        <v>0</v>
      </c>
      <c r="F3062" s="959">
        <v>0</v>
      </c>
      <c r="G3062" s="959">
        <v>1</v>
      </c>
      <c r="H3062" s="959">
        <v>6</v>
      </c>
    </row>
    <row r="3063" spans="1:8">
      <c r="A3063" s="959" t="s">
        <v>4092</v>
      </c>
      <c r="B3063" s="960" t="s">
        <v>4093</v>
      </c>
      <c r="C3063" s="960" t="s">
        <v>4256</v>
      </c>
      <c r="D3063" s="960" t="s">
        <v>4259</v>
      </c>
      <c r="E3063" s="959">
        <v>0</v>
      </c>
      <c r="F3063" s="959">
        <v>0</v>
      </c>
      <c r="G3063" s="959">
        <v>0</v>
      </c>
      <c r="H3063" s="959">
        <v>4</v>
      </c>
    </row>
    <row r="3064" spans="1:8">
      <c r="A3064" s="959" t="s">
        <v>4092</v>
      </c>
      <c r="B3064" s="960" t="s">
        <v>4093</v>
      </c>
      <c r="C3064" s="960" t="s">
        <v>4256</v>
      </c>
      <c r="D3064" s="960" t="s">
        <v>4260</v>
      </c>
      <c r="E3064" s="959">
        <v>0</v>
      </c>
      <c r="F3064" s="959">
        <v>5</v>
      </c>
      <c r="G3064" s="959">
        <v>17</v>
      </c>
      <c r="H3064" s="959">
        <v>170</v>
      </c>
    </row>
    <row r="3065" spans="1:8">
      <c r="A3065" s="959" t="s">
        <v>4092</v>
      </c>
      <c r="B3065" s="960" t="s">
        <v>4093</v>
      </c>
      <c r="C3065" s="960" t="s">
        <v>4256</v>
      </c>
      <c r="D3065" s="960" t="s">
        <v>4265</v>
      </c>
      <c r="E3065" s="959">
        <v>0</v>
      </c>
      <c r="F3065" s="959">
        <v>0</v>
      </c>
      <c r="G3065" s="959">
        <v>1</v>
      </c>
      <c r="H3065" s="959">
        <v>0</v>
      </c>
    </row>
    <row r="3066" spans="1:8">
      <c r="A3066" s="959" t="s">
        <v>4092</v>
      </c>
      <c r="B3066" s="960" t="s">
        <v>4093</v>
      </c>
      <c r="C3066" s="960" t="s">
        <v>4256</v>
      </c>
      <c r="D3066" s="960" t="s">
        <v>1906</v>
      </c>
      <c r="E3066" s="959">
        <v>0</v>
      </c>
      <c r="F3066" s="959">
        <v>0</v>
      </c>
      <c r="G3066" s="959">
        <v>1</v>
      </c>
      <c r="H3066" s="959">
        <v>17</v>
      </c>
    </row>
    <row r="3067" spans="1:8">
      <c r="A3067" s="959" t="s">
        <v>4092</v>
      </c>
      <c r="B3067" s="960" t="s">
        <v>4093</v>
      </c>
      <c r="C3067" s="960" t="s">
        <v>4256</v>
      </c>
      <c r="D3067" s="960" t="s">
        <v>4261</v>
      </c>
      <c r="E3067" s="959">
        <v>0</v>
      </c>
      <c r="F3067" s="959">
        <v>7</v>
      </c>
      <c r="G3067" s="959">
        <v>7</v>
      </c>
      <c r="H3067" s="959">
        <v>126</v>
      </c>
    </row>
    <row r="3068" spans="1:8">
      <c r="A3068" s="959" t="s">
        <v>4092</v>
      </c>
      <c r="B3068" s="960" t="s">
        <v>4093</v>
      </c>
      <c r="C3068" s="960" t="s">
        <v>4267</v>
      </c>
      <c r="D3068" s="960" t="s">
        <v>4268</v>
      </c>
      <c r="E3068" s="959">
        <v>0</v>
      </c>
      <c r="F3068" s="959">
        <v>0</v>
      </c>
      <c r="G3068" s="959">
        <v>0</v>
      </c>
      <c r="H3068" s="959">
        <v>1</v>
      </c>
    </row>
    <row r="3069" spans="1:8">
      <c r="A3069" s="959" t="s">
        <v>4094</v>
      </c>
      <c r="B3069" s="960" t="s">
        <v>1673</v>
      </c>
      <c r="C3069" s="960" t="s">
        <v>4256</v>
      </c>
      <c r="D3069" s="960" t="s">
        <v>470</v>
      </c>
      <c r="E3069" s="959">
        <v>0</v>
      </c>
      <c r="F3069" s="959">
        <v>0</v>
      </c>
      <c r="G3069" s="959">
        <v>0</v>
      </c>
      <c r="H3069" s="959">
        <v>1</v>
      </c>
    </row>
    <row r="3070" spans="1:8">
      <c r="A3070" s="959" t="s">
        <v>4094</v>
      </c>
      <c r="B3070" s="960" t="s">
        <v>1673</v>
      </c>
      <c r="C3070" s="960" t="s">
        <v>4256</v>
      </c>
      <c r="D3070" s="960" t="s">
        <v>1904</v>
      </c>
      <c r="E3070" s="959">
        <v>0</v>
      </c>
      <c r="F3070" s="959">
        <v>0</v>
      </c>
      <c r="G3070" s="959">
        <v>0</v>
      </c>
      <c r="H3070" s="959">
        <v>1</v>
      </c>
    </row>
    <row r="3071" spans="1:8">
      <c r="A3071" s="959" t="s">
        <v>4094</v>
      </c>
      <c r="B3071" s="960" t="s">
        <v>1673</v>
      </c>
      <c r="C3071" s="960" t="s">
        <v>4256</v>
      </c>
      <c r="D3071" s="960" t="s">
        <v>4270</v>
      </c>
      <c r="E3071" s="959">
        <v>0</v>
      </c>
      <c r="F3071" s="959">
        <v>0</v>
      </c>
      <c r="G3071" s="959">
        <v>0</v>
      </c>
      <c r="H3071" s="959">
        <v>1</v>
      </c>
    </row>
    <row r="3072" spans="1:8">
      <c r="A3072" s="959" t="s">
        <v>4094</v>
      </c>
      <c r="B3072" s="960" t="s">
        <v>1673</v>
      </c>
      <c r="C3072" s="960" t="s">
        <v>4256</v>
      </c>
      <c r="D3072" s="960" t="s">
        <v>4259</v>
      </c>
      <c r="E3072" s="959">
        <v>0</v>
      </c>
      <c r="F3072" s="959">
        <v>4</v>
      </c>
      <c r="G3072" s="959">
        <v>0</v>
      </c>
      <c r="H3072" s="959">
        <v>3</v>
      </c>
    </row>
    <row r="3073" spans="1:8">
      <c r="A3073" s="959" t="s">
        <v>4094</v>
      </c>
      <c r="B3073" s="960" t="s">
        <v>1673</v>
      </c>
      <c r="C3073" s="960" t="s">
        <v>4256</v>
      </c>
      <c r="D3073" s="960" t="s">
        <v>4260</v>
      </c>
      <c r="E3073" s="959">
        <v>0</v>
      </c>
      <c r="F3073" s="959">
        <v>2</v>
      </c>
      <c r="G3073" s="959">
        <v>0</v>
      </c>
      <c r="H3073" s="959">
        <v>20</v>
      </c>
    </row>
    <row r="3074" spans="1:8">
      <c r="A3074" s="959" t="s">
        <v>4094</v>
      </c>
      <c r="B3074" s="960" t="s">
        <v>1673</v>
      </c>
      <c r="C3074" s="960" t="s">
        <v>4256</v>
      </c>
      <c r="D3074" s="960" t="s">
        <v>4265</v>
      </c>
      <c r="E3074" s="959">
        <v>0</v>
      </c>
      <c r="F3074" s="959">
        <v>0</v>
      </c>
      <c r="G3074" s="959">
        <v>0</v>
      </c>
      <c r="H3074" s="959">
        <v>1</v>
      </c>
    </row>
    <row r="3075" spans="1:8">
      <c r="A3075" s="959" t="s">
        <v>4094</v>
      </c>
      <c r="B3075" s="960" t="s">
        <v>1673</v>
      </c>
      <c r="C3075" s="960" t="s">
        <v>4256</v>
      </c>
      <c r="D3075" s="960" t="s">
        <v>1906</v>
      </c>
      <c r="E3075" s="959">
        <v>0</v>
      </c>
      <c r="F3075" s="959">
        <v>3</v>
      </c>
      <c r="G3075" s="959">
        <v>0</v>
      </c>
      <c r="H3075" s="959">
        <v>0</v>
      </c>
    </row>
    <row r="3076" spans="1:8">
      <c r="A3076" s="959" t="s">
        <v>4094</v>
      </c>
      <c r="B3076" s="960" t="s">
        <v>1673</v>
      </c>
      <c r="C3076" s="960" t="s">
        <v>4256</v>
      </c>
      <c r="D3076" s="960" t="s">
        <v>4261</v>
      </c>
      <c r="E3076" s="959">
        <v>0</v>
      </c>
      <c r="F3076" s="959">
        <v>0</v>
      </c>
      <c r="G3076" s="959">
        <v>0</v>
      </c>
      <c r="H3076" s="959">
        <v>1</v>
      </c>
    </row>
    <row r="3077" spans="1:8">
      <c r="A3077" s="959" t="s">
        <v>4094</v>
      </c>
      <c r="B3077" s="960" t="s">
        <v>1673</v>
      </c>
      <c r="C3077" s="960" t="s">
        <v>4257</v>
      </c>
      <c r="D3077" s="960" t="s">
        <v>4258</v>
      </c>
      <c r="E3077" s="959">
        <v>4</v>
      </c>
      <c r="F3077" s="959">
        <v>68</v>
      </c>
      <c r="G3077" s="959">
        <v>0</v>
      </c>
      <c r="H3077" s="959">
        <v>0</v>
      </c>
    </row>
    <row r="3078" spans="1:8">
      <c r="A3078" s="959" t="s">
        <v>4094</v>
      </c>
      <c r="B3078" s="960" t="s">
        <v>1673</v>
      </c>
      <c r="C3078" s="960" t="s">
        <v>4262</v>
      </c>
      <c r="D3078" s="960" t="s">
        <v>4263</v>
      </c>
      <c r="E3078" s="959">
        <v>51</v>
      </c>
      <c r="F3078" s="959">
        <v>862</v>
      </c>
      <c r="G3078" s="959">
        <v>0</v>
      </c>
      <c r="H3078" s="959">
        <v>3</v>
      </c>
    </row>
    <row r="3079" spans="1:8">
      <c r="A3079" s="959" t="s">
        <v>4094</v>
      </c>
      <c r="B3079" s="960" t="s">
        <v>1673</v>
      </c>
      <c r="C3079" s="960" t="s">
        <v>4267</v>
      </c>
      <c r="D3079" s="960" t="s">
        <v>4268</v>
      </c>
      <c r="E3079" s="959">
        <v>0</v>
      </c>
      <c r="F3079" s="959">
        <v>2</v>
      </c>
      <c r="G3079" s="959">
        <v>0</v>
      </c>
      <c r="H3079" s="959">
        <v>0</v>
      </c>
    </row>
    <row r="3080" spans="1:8">
      <c r="A3080" s="959" t="s">
        <v>4095</v>
      </c>
      <c r="B3080" s="960" t="s">
        <v>1677</v>
      </c>
      <c r="C3080" s="960" t="s">
        <v>4256</v>
      </c>
      <c r="D3080" s="960" t="s">
        <v>4270</v>
      </c>
      <c r="E3080" s="959">
        <v>0</v>
      </c>
      <c r="F3080" s="959">
        <v>0</v>
      </c>
      <c r="G3080" s="959">
        <v>0</v>
      </c>
      <c r="H3080" s="959">
        <v>3</v>
      </c>
    </row>
    <row r="3081" spans="1:8">
      <c r="A3081" s="959" t="s">
        <v>4095</v>
      </c>
      <c r="B3081" s="960" t="s">
        <v>1677</v>
      </c>
      <c r="C3081" s="960" t="s">
        <v>4256</v>
      </c>
      <c r="D3081" s="960" t="s">
        <v>4259</v>
      </c>
      <c r="E3081" s="959">
        <v>0</v>
      </c>
      <c r="F3081" s="959">
        <v>0</v>
      </c>
      <c r="G3081" s="959">
        <v>1</v>
      </c>
      <c r="H3081" s="959">
        <v>1</v>
      </c>
    </row>
    <row r="3082" spans="1:8">
      <c r="A3082" s="959" t="s">
        <v>4095</v>
      </c>
      <c r="B3082" s="960" t="s">
        <v>1677</v>
      </c>
      <c r="C3082" s="960" t="s">
        <v>4256</v>
      </c>
      <c r="D3082" s="960" t="s">
        <v>4260</v>
      </c>
      <c r="E3082" s="959">
        <v>0</v>
      </c>
      <c r="F3082" s="959">
        <v>0</v>
      </c>
      <c r="G3082" s="959">
        <v>1</v>
      </c>
      <c r="H3082" s="959">
        <v>7</v>
      </c>
    </row>
    <row r="3083" spans="1:8">
      <c r="A3083" s="959" t="s">
        <v>4095</v>
      </c>
      <c r="B3083" s="960" t="s">
        <v>1677</v>
      </c>
      <c r="C3083" s="960" t="s">
        <v>4256</v>
      </c>
      <c r="D3083" s="960" t="s">
        <v>1906</v>
      </c>
      <c r="E3083" s="959">
        <v>1</v>
      </c>
      <c r="F3083" s="959">
        <v>12</v>
      </c>
      <c r="G3083" s="959">
        <v>0</v>
      </c>
      <c r="H3083" s="959">
        <v>0</v>
      </c>
    </row>
    <row r="3084" spans="1:8">
      <c r="A3084" s="959" t="s">
        <v>4095</v>
      </c>
      <c r="B3084" s="960" t="s">
        <v>1677</v>
      </c>
      <c r="C3084" s="960" t="s">
        <v>4256</v>
      </c>
      <c r="D3084" s="960" t="s">
        <v>4261</v>
      </c>
      <c r="E3084" s="959">
        <v>0</v>
      </c>
      <c r="F3084" s="959">
        <v>0</v>
      </c>
      <c r="G3084" s="959">
        <v>0</v>
      </c>
      <c r="H3084" s="959">
        <v>1</v>
      </c>
    </row>
    <row r="3085" spans="1:8">
      <c r="A3085" s="959" t="s">
        <v>4095</v>
      </c>
      <c r="B3085" s="960" t="s">
        <v>1677</v>
      </c>
      <c r="C3085" s="960" t="s">
        <v>4257</v>
      </c>
      <c r="D3085" s="960" t="s">
        <v>4258</v>
      </c>
      <c r="E3085" s="959">
        <v>4</v>
      </c>
      <c r="F3085" s="959">
        <v>114</v>
      </c>
      <c r="G3085" s="959">
        <v>0</v>
      </c>
      <c r="H3085" s="959">
        <v>0</v>
      </c>
    </row>
    <row r="3086" spans="1:8">
      <c r="A3086" s="959" t="s">
        <v>4095</v>
      </c>
      <c r="B3086" s="960" t="s">
        <v>1677</v>
      </c>
      <c r="C3086" s="960" t="s">
        <v>4262</v>
      </c>
      <c r="D3086" s="960" t="s">
        <v>4263</v>
      </c>
      <c r="E3086" s="959">
        <v>40</v>
      </c>
      <c r="F3086" s="959">
        <v>584</v>
      </c>
      <c r="G3086" s="959">
        <v>0</v>
      </c>
      <c r="H3086" s="959">
        <v>0</v>
      </c>
    </row>
    <row r="3087" spans="1:8">
      <c r="A3087" s="959" t="s">
        <v>4096</v>
      </c>
      <c r="B3087" s="960" t="s">
        <v>1681</v>
      </c>
      <c r="C3087" s="960" t="s">
        <v>4256</v>
      </c>
      <c r="D3087" s="960" t="s">
        <v>470</v>
      </c>
      <c r="E3087" s="959">
        <v>0</v>
      </c>
      <c r="F3087" s="959">
        <v>0</v>
      </c>
      <c r="G3087" s="959">
        <v>1</v>
      </c>
      <c r="H3087" s="959">
        <v>0</v>
      </c>
    </row>
    <row r="3088" spans="1:8">
      <c r="A3088" s="959" t="s">
        <v>4096</v>
      </c>
      <c r="B3088" s="960" t="s">
        <v>1681</v>
      </c>
      <c r="C3088" s="960" t="s">
        <v>4256</v>
      </c>
      <c r="D3088" s="960" t="s">
        <v>4259</v>
      </c>
      <c r="E3088" s="959">
        <v>0</v>
      </c>
      <c r="F3088" s="959">
        <v>6</v>
      </c>
      <c r="G3088" s="959">
        <v>0</v>
      </c>
      <c r="H3088" s="959">
        <v>28</v>
      </c>
    </row>
    <row r="3089" spans="1:8">
      <c r="A3089" s="959" t="s">
        <v>4096</v>
      </c>
      <c r="B3089" s="960" t="s">
        <v>1681</v>
      </c>
      <c r="C3089" s="960" t="s">
        <v>4256</v>
      </c>
      <c r="D3089" s="960" t="s">
        <v>4260</v>
      </c>
      <c r="E3089" s="959">
        <v>0</v>
      </c>
      <c r="F3089" s="959">
        <v>0</v>
      </c>
      <c r="G3089" s="959">
        <v>1</v>
      </c>
      <c r="H3089" s="959">
        <v>5</v>
      </c>
    </row>
    <row r="3090" spans="1:8">
      <c r="A3090" s="959" t="s">
        <v>4096</v>
      </c>
      <c r="B3090" s="960" t="s">
        <v>1681</v>
      </c>
      <c r="C3090" s="960" t="s">
        <v>4256</v>
      </c>
      <c r="D3090" s="960" t="s">
        <v>4265</v>
      </c>
      <c r="E3090" s="959">
        <v>0</v>
      </c>
      <c r="F3090" s="959">
        <v>0</v>
      </c>
      <c r="G3090" s="959">
        <v>0</v>
      </c>
      <c r="H3090" s="959">
        <v>2</v>
      </c>
    </row>
    <row r="3091" spans="1:8">
      <c r="A3091" s="959" t="s">
        <v>4096</v>
      </c>
      <c r="B3091" s="960" t="s">
        <v>1681</v>
      </c>
      <c r="C3091" s="960" t="s">
        <v>4256</v>
      </c>
      <c r="D3091" s="960" t="s">
        <v>4271</v>
      </c>
      <c r="E3091" s="959">
        <v>0</v>
      </c>
      <c r="F3091" s="959">
        <v>1</v>
      </c>
      <c r="G3091" s="959">
        <v>0</v>
      </c>
      <c r="H3091" s="959">
        <v>0</v>
      </c>
    </row>
    <row r="3092" spans="1:8">
      <c r="A3092" s="959" t="s">
        <v>4096</v>
      </c>
      <c r="B3092" s="960" t="s">
        <v>1681</v>
      </c>
      <c r="C3092" s="960" t="s">
        <v>4256</v>
      </c>
      <c r="D3092" s="961" t="s">
        <v>4266</v>
      </c>
      <c r="E3092" s="959">
        <v>0</v>
      </c>
      <c r="F3092" s="959">
        <v>2</v>
      </c>
      <c r="G3092" s="959">
        <v>0</v>
      </c>
      <c r="H3092" s="959">
        <v>1</v>
      </c>
    </row>
    <row r="3093" spans="1:8">
      <c r="A3093" s="959" t="s">
        <v>4096</v>
      </c>
      <c r="B3093" s="960" t="s">
        <v>1681</v>
      </c>
      <c r="C3093" s="960" t="s">
        <v>4257</v>
      </c>
      <c r="D3093" s="960" t="s">
        <v>4258</v>
      </c>
      <c r="E3093" s="959">
        <v>0</v>
      </c>
      <c r="F3093" s="959">
        <v>2</v>
      </c>
      <c r="G3093" s="959">
        <v>0</v>
      </c>
      <c r="H3093" s="959">
        <v>4</v>
      </c>
    </row>
    <row r="3094" spans="1:8">
      <c r="A3094" s="959" t="s">
        <v>4097</v>
      </c>
      <c r="B3094" s="960" t="s">
        <v>4098</v>
      </c>
      <c r="C3094" s="960" t="s">
        <v>4257</v>
      </c>
      <c r="D3094" s="960" t="s">
        <v>4258</v>
      </c>
      <c r="E3094" s="959">
        <v>0</v>
      </c>
      <c r="F3094" s="959">
        <v>9</v>
      </c>
      <c r="G3094" s="959">
        <v>0</v>
      </c>
      <c r="H3094" s="959">
        <v>0</v>
      </c>
    </row>
    <row r="3095" spans="1:8">
      <c r="A3095" s="959" t="s">
        <v>4097</v>
      </c>
      <c r="B3095" s="960" t="s">
        <v>4098</v>
      </c>
      <c r="C3095" s="960" t="s">
        <v>4262</v>
      </c>
      <c r="D3095" s="960" t="s">
        <v>4263</v>
      </c>
      <c r="E3095" s="959">
        <v>0</v>
      </c>
      <c r="F3095" s="959">
        <v>18</v>
      </c>
      <c r="G3095" s="959">
        <v>0</v>
      </c>
      <c r="H3095" s="959">
        <v>0</v>
      </c>
    </row>
    <row r="3096" spans="1:8">
      <c r="A3096" s="959" t="s">
        <v>4099</v>
      </c>
      <c r="B3096" s="960" t="s">
        <v>4100</v>
      </c>
      <c r="C3096" s="960" t="s">
        <v>4256</v>
      </c>
      <c r="D3096" s="960" t="s">
        <v>470</v>
      </c>
      <c r="E3096" s="959">
        <v>0</v>
      </c>
      <c r="F3096" s="959">
        <v>0</v>
      </c>
      <c r="G3096" s="959">
        <v>114</v>
      </c>
      <c r="H3096" s="959">
        <v>40</v>
      </c>
    </row>
    <row r="3097" spans="1:8">
      <c r="A3097" s="959" t="s">
        <v>4099</v>
      </c>
      <c r="B3097" s="960" t="s">
        <v>4100</v>
      </c>
      <c r="C3097" s="960" t="s">
        <v>4256</v>
      </c>
      <c r="D3097" s="960" t="s">
        <v>1904</v>
      </c>
      <c r="E3097" s="959">
        <v>0</v>
      </c>
      <c r="F3097" s="959">
        <v>0</v>
      </c>
      <c r="G3097" s="959">
        <v>28</v>
      </c>
      <c r="H3097" s="959">
        <v>265</v>
      </c>
    </row>
    <row r="3098" spans="1:8">
      <c r="A3098" s="959" t="s">
        <v>4099</v>
      </c>
      <c r="B3098" s="960" t="s">
        <v>4100</v>
      </c>
      <c r="C3098" s="960" t="s">
        <v>4256</v>
      </c>
      <c r="D3098" s="960" t="s">
        <v>4269</v>
      </c>
      <c r="E3098" s="959">
        <v>0</v>
      </c>
      <c r="F3098" s="959">
        <v>0</v>
      </c>
      <c r="G3098" s="959">
        <v>1</v>
      </c>
      <c r="H3098" s="959">
        <v>11</v>
      </c>
    </row>
    <row r="3099" spans="1:8">
      <c r="A3099" s="959" t="s">
        <v>4099</v>
      </c>
      <c r="B3099" s="960" t="s">
        <v>4100</v>
      </c>
      <c r="C3099" s="960" t="s">
        <v>4256</v>
      </c>
      <c r="D3099" s="960" t="s">
        <v>4270</v>
      </c>
      <c r="E3099" s="959">
        <v>0</v>
      </c>
      <c r="F3099" s="959">
        <v>0</v>
      </c>
      <c r="G3099" s="959">
        <v>15</v>
      </c>
      <c r="H3099" s="959">
        <v>22</v>
      </c>
    </row>
    <row r="3100" spans="1:8">
      <c r="A3100" s="959" t="s">
        <v>4099</v>
      </c>
      <c r="B3100" s="960" t="s">
        <v>4100</v>
      </c>
      <c r="C3100" s="960" t="s">
        <v>4256</v>
      </c>
      <c r="D3100" s="960" t="s">
        <v>4259</v>
      </c>
      <c r="E3100" s="959">
        <v>0</v>
      </c>
      <c r="F3100" s="959">
        <v>0</v>
      </c>
      <c r="G3100" s="959">
        <v>4</v>
      </c>
      <c r="H3100" s="959">
        <v>8</v>
      </c>
    </row>
    <row r="3101" spans="1:8">
      <c r="A3101" s="959" t="s">
        <v>4099</v>
      </c>
      <c r="B3101" s="960" t="s">
        <v>4100</v>
      </c>
      <c r="C3101" s="960" t="s">
        <v>4256</v>
      </c>
      <c r="D3101" s="960" t="s">
        <v>4260</v>
      </c>
      <c r="E3101" s="959">
        <v>2</v>
      </c>
      <c r="F3101" s="959">
        <v>0</v>
      </c>
      <c r="G3101" s="959">
        <v>94</v>
      </c>
      <c r="H3101" s="959">
        <v>1010</v>
      </c>
    </row>
    <row r="3102" spans="1:8">
      <c r="A3102" s="959" t="s">
        <v>4099</v>
      </c>
      <c r="B3102" s="960" t="s">
        <v>4100</v>
      </c>
      <c r="C3102" s="960" t="s">
        <v>4256</v>
      </c>
      <c r="D3102" s="960" t="s">
        <v>4272</v>
      </c>
      <c r="E3102" s="959">
        <v>0</v>
      </c>
      <c r="F3102" s="959">
        <v>0</v>
      </c>
      <c r="G3102" s="959">
        <v>1</v>
      </c>
      <c r="H3102" s="959">
        <v>11</v>
      </c>
    </row>
    <row r="3103" spans="1:8">
      <c r="A3103" s="959" t="s">
        <v>4099</v>
      </c>
      <c r="B3103" s="960" t="s">
        <v>4100</v>
      </c>
      <c r="C3103" s="960" t="s">
        <v>4256</v>
      </c>
      <c r="D3103" s="960" t="s">
        <v>1906</v>
      </c>
      <c r="E3103" s="959">
        <v>1</v>
      </c>
      <c r="F3103" s="959">
        <v>15</v>
      </c>
      <c r="G3103" s="959">
        <v>4</v>
      </c>
      <c r="H3103" s="959">
        <v>59</v>
      </c>
    </row>
    <row r="3104" spans="1:8">
      <c r="A3104" s="959" t="s">
        <v>4099</v>
      </c>
      <c r="B3104" s="960" t="s">
        <v>4100</v>
      </c>
      <c r="C3104" s="960" t="s">
        <v>4256</v>
      </c>
      <c r="D3104" s="960" t="s">
        <v>4264</v>
      </c>
      <c r="E3104" s="959">
        <v>0</v>
      </c>
      <c r="F3104" s="959">
        <v>0</v>
      </c>
      <c r="G3104" s="959">
        <v>1</v>
      </c>
      <c r="H3104" s="959">
        <v>8</v>
      </c>
    </row>
    <row r="3105" spans="1:8">
      <c r="A3105" s="959" t="s">
        <v>4099</v>
      </c>
      <c r="B3105" s="960" t="s">
        <v>4100</v>
      </c>
      <c r="C3105" s="960" t="s">
        <v>4256</v>
      </c>
      <c r="D3105" s="960" t="s">
        <v>4261</v>
      </c>
      <c r="E3105" s="959">
        <v>0</v>
      </c>
      <c r="F3105" s="959">
        <v>0</v>
      </c>
      <c r="G3105" s="959">
        <v>73</v>
      </c>
      <c r="H3105" s="959">
        <v>632</v>
      </c>
    </row>
    <row r="3106" spans="1:8">
      <c r="A3106" s="959" t="s">
        <v>4099</v>
      </c>
      <c r="B3106" s="960" t="s">
        <v>4100</v>
      </c>
      <c r="C3106" s="960" t="s">
        <v>4256</v>
      </c>
      <c r="D3106" s="961" t="s">
        <v>4266</v>
      </c>
      <c r="E3106" s="959">
        <v>0</v>
      </c>
      <c r="F3106" s="959">
        <v>0</v>
      </c>
      <c r="G3106" s="959">
        <v>0</v>
      </c>
      <c r="H3106" s="959">
        <v>1</v>
      </c>
    </row>
    <row r="3107" spans="1:8">
      <c r="A3107" s="959" t="s">
        <v>4099</v>
      </c>
      <c r="B3107" s="960" t="s">
        <v>4100</v>
      </c>
      <c r="C3107" s="960" t="s">
        <v>4257</v>
      </c>
      <c r="D3107" s="960" t="s">
        <v>4258</v>
      </c>
      <c r="E3107" s="959">
        <v>2</v>
      </c>
      <c r="F3107" s="959">
        <v>50</v>
      </c>
      <c r="G3107" s="959">
        <v>1</v>
      </c>
      <c r="H3107" s="959">
        <v>3</v>
      </c>
    </row>
    <row r="3108" spans="1:8">
      <c r="A3108" s="959" t="s">
        <v>4099</v>
      </c>
      <c r="B3108" s="960" t="s">
        <v>4100</v>
      </c>
      <c r="C3108" s="960" t="s">
        <v>4267</v>
      </c>
      <c r="D3108" s="960" t="s">
        <v>4268</v>
      </c>
      <c r="E3108" s="959">
        <v>0</v>
      </c>
      <c r="F3108" s="959">
        <v>0</v>
      </c>
      <c r="G3108" s="959">
        <v>0</v>
      </c>
      <c r="H3108" s="959">
        <v>8</v>
      </c>
    </row>
    <row r="3109" spans="1:8">
      <c r="A3109" s="959" t="s">
        <v>4101</v>
      </c>
      <c r="B3109" s="960" t="s">
        <v>4102</v>
      </c>
      <c r="C3109" s="960" t="s">
        <v>4256</v>
      </c>
      <c r="D3109" s="960" t="s">
        <v>470</v>
      </c>
      <c r="E3109" s="959">
        <v>0</v>
      </c>
      <c r="F3109" s="959">
        <v>0</v>
      </c>
      <c r="G3109" s="959">
        <v>3</v>
      </c>
      <c r="H3109" s="959">
        <v>16</v>
      </c>
    </row>
    <row r="3110" spans="1:8">
      <c r="A3110" s="959" t="s">
        <v>4101</v>
      </c>
      <c r="B3110" s="960" t="s">
        <v>4102</v>
      </c>
      <c r="C3110" s="960" t="s">
        <v>4256</v>
      </c>
      <c r="D3110" s="960" t="s">
        <v>1904</v>
      </c>
      <c r="E3110" s="959">
        <v>0</v>
      </c>
      <c r="F3110" s="959">
        <v>0</v>
      </c>
      <c r="G3110" s="959">
        <v>5</v>
      </c>
      <c r="H3110" s="959">
        <v>60</v>
      </c>
    </row>
    <row r="3111" spans="1:8">
      <c r="A3111" s="959" t="s">
        <v>4101</v>
      </c>
      <c r="B3111" s="960" t="s">
        <v>4102</v>
      </c>
      <c r="C3111" s="960" t="s">
        <v>4256</v>
      </c>
      <c r="D3111" s="960" t="s">
        <v>4259</v>
      </c>
      <c r="E3111" s="959">
        <v>0</v>
      </c>
      <c r="F3111" s="959">
        <v>0</v>
      </c>
      <c r="G3111" s="959">
        <v>0</v>
      </c>
      <c r="H3111" s="959">
        <v>4</v>
      </c>
    </row>
    <row r="3112" spans="1:8">
      <c r="A3112" s="959" t="s">
        <v>4101</v>
      </c>
      <c r="B3112" s="960" t="s">
        <v>4102</v>
      </c>
      <c r="C3112" s="960" t="s">
        <v>4256</v>
      </c>
      <c r="D3112" s="960" t="s">
        <v>4260</v>
      </c>
      <c r="E3112" s="959">
        <v>0</v>
      </c>
      <c r="F3112" s="959">
        <v>0</v>
      </c>
      <c r="G3112" s="959">
        <v>1</v>
      </c>
      <c r="H3112" s="959">
        <v>13</v>
      </c>
    </row>
    <row r="3113" spans="1:8">
      <c r="A3113" s="959" t="s">
        <v>4101</v>
      </c>
      <c r="B3113" s="960" t="s">
        <v>4102</v>
      </c>
      <c r="C3113" s="960" t="s">
        <v>4256</v>
      </c>
      <c r="D3113" s="960" t="s">
        <v>4271</v>
      </c>
      <c r="E3113" s="959">
        <v>0</v>
      </c>
      <c r="F3113" s="959">
        <v>0</v>
      </c>
      <c r="G3113" s="959">
        <v>0</v>
      </c>
      <c r="H3113" s="959">
        <v>2</v>
      </c>
    </row>
    <row r="3114" spans="1:8">
      <c r="A3114" s="959" t="s">
        <v>4101</v>
      </c>
      <c r="B3114" s="960" t="s">
        <v>4102</v>
      </c>
      <c r="C3114" s="960" t="s">
        <v>4256</v>
      </c>
      <c r="D3114" s="960" t="s">
        <v>1906</v>
      </c>
      <c r="E3114" s="959">
        <v>0</v>
      </c>
      <c r="F3114" s="959">
        <v>0</v>
      </c>
      <c r="G3114" s="959">
        <v>0</v>
      </c>
      <c r="H3114" s="959">
        <v>6</v>
      </c>
    </row>
    <row r="3115" spans="1:8">
      <c r="A3115" s="959" t="s">
        <v>4101</v>
      </c>
      <c r="B3115" s="960" t="s">
        <v>4102</v>
      </c>
      <c r="C3115" s="960" t="s">
        <v>4256</v>
      </c>
      <c r="D3115" s="960" t="s">
        <v>4264</v>
      </c>
      <c r="E3115" s="959">
        <v>0</v>
      </c>
      <c r="F3115" s="959">
        <v>0</v>
      </c>
      <c r="G3115" s="959">
        <v>1</v>
      </c>
      <c r="H3115" s="959">
        <v>9</v>
      </c>
    </row>
    <row r="3116" spans="1:8">
      <c r="A3116" s="959" t="s">
        <v>4101</v>
      </c>
      <c r="B3116" s="960" t="s">
        <v>4102</v>
      </c>
      <c r="C3116" s="960" t="s">
        <v>4256</v>
      </c>
      <c r="D3116" s="960" t="s">
        <v>4261</v>
      </c>
      <c r="E3116" s="959">
        <v>0</v>
      </c>
      <c r="F3116" s="959">
        <v>0</v>
      </c>
      <c r="G3116" s="959">
        <v>0</v>
      </c>
      <c r="H3116" s="959">
        <v>16</v>
      </c>
    </row>
    <row r="3117" spans="1:8">
      <c r="A3117" s="959" t="s">
        <v>4101</v>
      </c>
      <c r="B3117" s="960" t="s">
        <v>4102</v>
      </c>
      <c r="C3117" s="960" t="s">
        <v>4257</v>
      </c>
      <c r="D3117" s="960" t="s">
        <v>4258</v>
      </c>
      <c r="E3117" s="959">
        <v>0</v>
      </c>
      <c r="F3117" s="959">
        <v>1</v>
      </c>
      <c r="G3117" s="959">
        <v>1</v>
      </c>
      <c r="H3117" s="959">
        <v>12</v>
      </c>
    </row>
    <row r="3118" spans="1:8">
      <c r="A3118" s="959" t="s">
        <v>4103</v>
      </c>
      <c r="B3118" s="960" t="s">
        <v>4104</v>
      </c>
      <c r="C3118" s="960" t="s">
        <v>4256</v>
      </c>
      <c r="D3118" s="960" t="s">
        <v>470</v>
      </c>
      <c r="E3118" s="959">
        <v>0</v>
      </c>
      <c r="F3118" s="959">
        <v>0</v>
      </c>
      <c r="G3118" s="959">
        <v>5</v>
      </c>
      <c r="H3118" s="959">
        <v>74</v>
      </c>
    </row>
    <row r="3119" spans="1:8">
      <c r="A3119" s="959" t="s">
        <v>4103</v>
      </c>
      <c r="B3119" s="960" t="s">
        <v>4104</v>
      </c>
      <c r="C3119" s="960" t="s">
        <v>4256</v>
      </c>
      <c r="D3119" s="960" t="s">
        <v>4270</v>
      </c>
      <c r="E3119" s="959">
        <v>0</v>
      </c>
      <c r="F3119" s="959">
        <v>0</v>
      </c>
      <c r="G3119" s="959">
        <v>15</v>
      </c>
      <c r="H3119" s="959">
        <v>1</v>
      </c>
    </row>
    <row r="3120" spans="1:8">
      <c r="A3120" s="959" t="s">
        <v>4103</v>
      </c>
      <c r="B3120" s="960" t="s">
        <v>4104</v>
      </c>
      <c r="C3120" s="960" t="s">
        <v>4256</v>
      </c>
      <c r="D3120" s="960" t="s">
        <v>4260</v>
      </c>
      <c r="E3120" s="959">
        <v>0</v>
      </c>
      <c r="F3120" s="959">
        <v>0</v>
      </c>
      <c r="G3120" s="959">
        <v>0</v>
      </c>
      <c r="H3120" s="959">
        <v>6</v>
      </c>
    </row>
    <row r="3121" spans="1:8">
      <c r="A3121" s="959" t="s">
        <v>4103</v>
      </c>
      <c r="B3121" s="960" t="s">
        <v>4104</v>
      </c>
      <c r="C3121" s="960" t="s">
        <v>4256</v>
      </c>
      <c r="D3121" s="960" t="s">
        <v>4261</v>
      </c>
      <c r="E3121" s="959">
        <v>0</v>
      </c>
      <c r="F3121" s="959">
        <v>0</v>
      </c>
      <c r="G3121" s="959">
        <v>0</v>
      </c>
      <c r="H3121" s="959">
        <v>1</v>
      </c>
    </row>
    <row r="3122" spans="1:8">
      <c r="A3122" s="959" t="s">
        <v>4103</v>
      </c>
      <c r="B3122" s="960" t="s">
        <v>4104</v>
      </c>
      <c r="C3122" s="960" t="s">
        <v>4257</v>
      </c>
      <c r="D3122" s="960" t="s">
        <v>4258</v>
      </c>
      <c r="E3122" s="959">
        <v>1</v>
      </c>
      <c r="F3122" s="959">
        <v>20</v>
      </c>
      <c r="G3122" s="959">
        <v>0</v>
      </c>
      <c r="H3122" s="959">
        <v>2</v>
      </c>
    </row>
    <row r="3123" spans="1:8">
      <c r="A3123" s="959" t="s">
        <v>4105</v>
      </c>
      <c r="B3123" s="960" t="s">
        <v>4106</v>
      </c>
      <c r="C3123" s="960" t="s">
        <v>4256</v>
      </c>
      <c r="D3123" s="960" t="s">
        <v>470</v>
      </c>
      <c r="E3123" s="959">
        <v>0</v>
      </c>
      <c r="F3123" s="959">
        <v>0</v>
      </c>
      <c r="G3123" s="959">
        <v>42</v>
      </c>
      <c r="H3123" s="959">
        <v>213</v>
      </c>
    </row>
    <row r="3124" spans="1:8">
      <c r="A3124" s="959" t="s">
        <v>4105</v>
      </c>
      <c r="B3124" s="960" t="s">
        <v>4106</v>
      </c>
      <c r="C3124" s="960" t="s">
        <v>4256</v>
      </c>
      <c r="D3124" s="960" t="s">
        <v>1904</v>
      </c>
      <c r="E3124" s="959">
        <v>0</v>
      </c>
      <c r="F3124" s="959">
        <v>0</v>
      </c>
      <c r="G3124" s="959">
        <v>1</v>
      </c>
      <c r="H3124" s="959">
        <v>3</v>
      </c>
    </row>
    <row r="3125" spans="1:8">
      <c r="A3125" s="959" t="s">
        <v>4105</v>
      </c>
      <c r="B3125" s="960" t="s">
        <v>4106</v>
      </c>
      <c r="C3125" s="960" t="s">
        <v>4256</v>
      </c>
      <c r="D3125" s="960" t="s">
        <v>4270</v>
      </c>
      <c r="E3125" s="959">
        <v>0</v>
      </c>
      <c r="F3125" s="959">
        <v>1</v>
      </c>
      <c r="G3125" s="959">
        <v>0</v>
      </c>
      <c r="H3125" s="959">
        <v>2</v>
      </c>
    </row>
    <row r="3126" spans="1:8">
      <c r="A3126" s="959" t="s">
        <v>4105</v>
      </c>
      <c r="B3126" s="960" t="s">
        <v>4106</v>
      </c>
      <c r="C3126" s="960" t="s">
        <v>4256</v>
      </c>
      <c r="D3126" s="960" t="s">
        <v>4259</v>
      </c>
      <c r="E3126" s="959">
        <v>0</v>
      </c>
      <c r="F3126" s="959">
        <v>1</v>
      </c>
      <c r="G3126" s="959">
        <v>0</v>
      </c>
      <c r="H3126" s="959">
        <v>1</v>
      </c>
    </row>
    <row r="3127" spans="1:8">
      <c r="A3127" s="959" t="s">
        <v>4105</v>
      </c>
      <c r="B3127" s="960" t="s">
        <v>4106</v>
      </c>
      <c r="C3127" s="960" t="s">
        <v>4256</v>
      </c>
      <c r="D3127" s="960" t="s">
        <v>4260</v>
      </c>
      <c r="E3127" s="959">
        <v>0</v>
      </c>
      <c r="F3127" s="959">
        <v>0</v>
      </c>
      <c r="G3127" s="959">
        <v>0</v>
      </c>
      <c r="H3127" s="959">
        <v>8</v>
      </c>
    </row>
    <row r="3128" spans="1:8">
      <c r="A3128" s="959" t="s">
        <v>4105</v>
      </c>
      <c r="B3128" s="960" t="s">
        <v>4106</v>
      </c>
      <c r="C3128" s="960" t="s">
        <v>4256</v>
      </c>
      <c r="D3128" s="960" t="s">
        <v>1906</v>
      </c>
      <c r="E3128" s="959">
        <v>0</v>
      </c>
      <c r="F3128" s="959">
        <v>1</v>
      </c>
      <c r="G3128" s="959">
        <v>0</v>
      </c>
      <c r="H3128" s="959">
        <v>0</v>
      </c>
    </row>
    <row r="3129" spans="1:8">
      <c r="A3129" s="959" t="s">
        <v>4105</v>
      </c>
      <c r="B3129" s="960" t="s">
        <v>4106</v>
      </c>
      <c r="C3129" s="960" t="s">
        <v>4256</v>
      </c>
      <c r="D3129" s="960" t="s">
        <v>4261</v>
      </c>
      <c r="E3129" s="959">
        <v>0</v>
      </c>
      <c r="F3129" s="959">
        <v>0</v>
      </c>
      <c r="G3129" s="959">
        <v>0</v>
      </c>
      <c r="H3129" s="959">
        <v>2</v>
      </c>
    </row>
    <row r="3130" spans="1:8">
      <c r="A3130" s="959" t="s">
        <v>4105</v>
      </c>
      <c r="B3130" s="960" t="s">
        <v>4106</v>
      </c>
      <c r="C3130" s="960" t="s">
        <v>4257</v>
      </c>
      <c r="D3130" s="960" t="s">
        <v>4258</v>
      </c>
      <c r="E3130" s="959">
        <v>3</v>
      </c>
      <c r="F3130" s="959">
        <v>145</v>
      </c>
      <c r="G3130" s="959">
        <v>0</v>
      </c>
      <c r="H3130" s="959">
        <v>0</v>
      </c>
    </row>
    <row r="3131" spans="1:8">
      <c r="A3131" s="959" t="s">
        <v>4105</v>
      </c>
      <c r="B3131" s="960" t="s">
        <v>4106</v>
      </c>
      <c r="C3131" s="960" t="s">
        <v>4262</v>
      </c>
      <c r="D3131" s="960" t="s">
        <v>4263</v>
      </c>
      <c r="E3131" s="959">
        <v>0</v>
      </c>
      <c r="F3131" s="959">
        <v>5</v>
      </c>
      <c r="G3131" s="959">
        <v>0</v>
      </c>
      <c r="H3131" s="959">
        <v>0</v>
      </c>
    </row>
    <row r="3132" spans="1:8">
      <c r="A3132" s="959" t="s">
        <v>4316</v>
      </c>
      <c r="B3132" s="960" t="s">
        <v>4317</v>
      </c>
      <c r="C3132" s="960" t="s">
        <v>4256</v>
      </c>
      <c r="D3132" s="960" t="s">
        <v>1906</v>
      </c>
      <c r="E3132" s="959">
        <v>1</v>
      </c>
      <c r="F3132" s="959">
        <v>15</v>
      </c>
      <c r="G3132" s="959">
        <v>0</v>
      </c>
      <c r="H3132" s="959">
        <v>0</v>
      </c>
    </row>
    <row r="3133" spans="1:8">
      <c r="A3133" s="959" t="s">
        <v>4316</v>
      </c>
      <c r="B3133" s="960" t="s">
        <v>4317</v>
      </c>
      <c r="C3133" s="960" t="s">
        <v>4257</v>
      </c>
      <c r="D3133" s="960" t="s">
        <v>4258</v>
      </c>
      <c r="E3133" s="959">
        <v>3</v>
      </c>
      <c r="F3133" s="959">
        <v>55</v>
      </c>
      <c r="G3133" s="959">
        <v>0</v>
      </c>
      <c r="H3133" s="959">
        <v>8</v>
      </c>
    </row>
    <row r="3134" spans="1:8">
      <c r="A3134" s="959" t="s">
        <v>4316</v>
      </c>
      <c r="B3134" s="960" t="s">
        <v>4317</v>
      </c>
      <c r="C3134" s="960" t="s">
        <v>4262</v>
      </c>
      <c r="D3134" s="960" t="s">
        <v>4263</v>
      </c>
      <c r="E3134" s="959">
        <v>7</v>
      </c>
      <c r="F3134" s="959">
        <v>133</v>
      </c>
      <c r="G3134" s="959">
        <v>0</v>
      </c>
      <c r="H3134" s="959">
        <v>6</v>
      </c>
    </row>
    <row r="3135" spans="1:8">
      <c r="A3135" s="959" t="s">
        <v>4107</v>
      </c>
      <c r="B3135" s="960" t="s">
        <v>4108</v>
      </c>
      <c r="C3135" s="960" t="s">
        <v>4256</v>
      </c>
      <c r="D3135" s="960" t="s">
        <v>4270</v>
      </c>
      <c r="E3135" s="959">
        <v>0</v>
      </c>
      <c r="F3135" s="959">
        <v>0</v>
      </c>
      <c r="G3135" s="959">
        <v>0</v>
      </c>
      <c r="H3135" s="959">
        <v>1</v>
      </c>
    </row>
    <row r="3136" spans="1:8">
      <c r="A3136" s="959" t="s">
        <v>4107</v>
      </c>
      <c r="B3136" s="960" t="s">
        <v>4108</v>
      </c>
      <c r="C3136" s="960" t="s">
        <v>4262</v>
      </c>
      <c r="D3136" s="960" t="s">
        <v>4263</v>
      </c>
      <c r="E3136" s="959">
        <v>0</v>
      </c>
      <c r="F3136" s="959">
        <v>4</v>
      </c>
      <c r="G3136" s="959">
        <v>0</v>
      </c>
      <c r="H3136" s="959">
        <v>0</v>
      </c>
    </row>
    <row r="3137" spans="1:8">
      <c r="A3137" s="959" t="s">
        <v>4109</v>
      </c>
      <c r="B3137" s="960" t="s">
        <v>4110</v>
      </c>
      <c r="C3137" s="960" t="s">
        <v>4275</v>
      </c>
      <c r="D3137" s="960" t="s">
        <v>4276</v>
      </c>
      <c r="E3137" s="959">
        <v>19</v>
      </c>
      <c r="F3137" s="959">
        <v>712</v>
      </c>
      <c r="G3137" s="959">
        <v>1</v>
      </c>
      <c r="H3137" s="959">
        <v>11</v>
      </c>
    </row>
    <row r="3138" spans="1:8">
      <c r="A3138" s="959" t="s">
        <v>4109</v>
      </c>
      <c r="B3138" s="960" t="s">
        <v>4110</v>
      </c>
      <c r="C3138" s="960" t="s">
        <v>4277</v>
      </c>
      <c r="D3138" s="960" t="s">
        <v>4278</v>
      </c>
      <c r="E3138" s="959">
        <v>0</v>
      </c>
      <c r="F3138" s="959">
        <v>0</v>
      </c>
      <c r="G3138" s="959">
        <v>57</v>
      </c>
      <c r="H3138" s="959">
        <v>467</v>
      </c>
    </row>
    <row r="3139" spans="1:8">
      <c r="A3139" s="959" t="s">
        <v>4109</v>
      </c>
      <c r="B3139" s="960" t="s">
        <v>4110</v>
      </c>
      <c r="C3139" s="960" t="s">
        <v>4277</v>
      </c>
      <c r="D3139" s="960" t="s">
        <v>4279</v>
      </c>
      <c r="E3139" s="959">
        <v>0</v>
      </c>
      <c r="F3139" s="959">
        <v>0</v>
      </c>
      <c r="G3139" s="959">
        <v>126</v>
      </c>
      <c r="H3139" s="959">
        <v>1676</v>
      </c>
    </row>
    <row r="3140" spans="1:8">
      <c r="A3140" s="959" t="s">
        <v>4109</v>
      </c>
      <c r="B3140" s="960" t="s">
        <v>4110</v>
      </c>
      <c r="C3140" s="960" t="s">
        <v>4277</v>
      </c>
      <c r="D3140" s="960" t="s">
        <v>4280</v>
      </c>
      <c r="E3140" s="959">
        <v>0</v>
      </c>
      <c r="F3140" s="959">
        <v>0</v>
      </c>
      <c r="G3140" s="959">
        <v>1</v>
      </c>
      <c r="H3140" s="959">
        <v>1</v>
      </c>
    </row>
    <row r="3141" spans="1:8">
      <c r="A3141" s="959" t="s">
        <v>4109</v>
      </c>
      <c r="B3141" s="960" t="s">
        <v>4110</v>
      </c>
      <c r="C3141" s="960" t="s">
        <v>4256</v>
      </c>
      <c r="D3141" s="960" t="s">
        <v>1904</v>
      </c>
      <c r="E3141" s="959">
        <v>0</v>
      </c>
      <c r="F3141" s="959">
        <v>0</v>
      </c>
      <c r="G3141" s="959">
        <v>0</v>
      </c>
      <c r="H3141" s="959">
        <v>1</v>
      </c>
    </row>
    <row r="3142" spans="1:8">
      <c r="A3142" s="959" t="s">
        <v>4109</v>
      </c>
      <c r="B3142" s="960" t="s">
        <v>4110</v>
      </c>
      <c r="C3142" s="960" t="s">
        <v>4256</v>
      </c>
      <c r="D3142" s="960" t="s">
        <v>4270</v>
      </c>
      <c r="E3142" s="959">
        <v>0</v>
      </c>
      <c r="F3142" s="959">
        <v>0</v>
      </c>
      <c r="G3142" s="959">
        <v>0</v>
      </c>
      <c r="H3142" s="959">
        <v>1</v>
      </c>
    </row>
    <row r="3143" spans="1:8">
      <c r="A3143" s="959" t="s">
        <v>4109</v>
      </c>
      <c r="B3143" s="960" t="s">
        <v>4110</v>
      </c>
      <c r="C3143" s="960" t="s">
        <v>4256</v>
      </c>
      <c r="D3143" s="960" t="s">
        <v>4260</v>
      </c>
      <c r="E3143" s="959">
        <v>0</v>
      </c>
      <c r="F3143" s="959">
        <v>0</v>
      </c>
      <c r="G3143" s="959">
        <v>0</v>
      </c>
      <c r="H3143" s="959">
        <v>15</v>
      </c>
    </row>
    <row r="3144" spans="1:8">
      <c r="A3144" s="959" t="s">
        <v>4109</v>
      </c>
      <c r="B3144" s="960" t="s">
        <v>4110</v>
      </c>
      <c r="C3144" s="960" t="s">
        <v>4256</v>
      </c>
      <c r="D3144" s="960" t="s">
        <v>4265</v>
      </c>
      <c r="E3144" s="959">
        <v>0</v>
      </c>
      <c r="F3144" s="959">
        <v>0</v>
      </c>
      <c r="G3144" s="959">
        <v>0</v>
      </c>
      <c r="H3144" s="959">
        <v>1</v>
      </c>
    </row>
    <row r="3145" spans="1:8">
      <c r="A3145" s="959" t="s">
        <v>4109</v>
      </c>
      <c r="B3145" s="960" t="s">
        <v>4110</v>
      </c>
      <c r="C3145" s="960" t="s">
        <v>4256</v>
      </c>
      <c r="D3145" s="960" t="s">
        <v>1906</v>
      </c>
      <c r="E3145" s="959">
        <v>6</v>
      </c>
      <c r="F3145" s="959">
        <v>309</v>
      </c>
      <c r="G3145" s="959">
        <v>6</v>
      </c>
      <c r="H3145" s="959">
        <v>76</v>
      </c>
    </row>
    <row r="3146" spans="1:8">
      <c r="A3146" s="959" t="s">
        <v>4109</v>
      </c>
      <c r="B3146" s="960" t="s">
        <v>4110</v>
      </c>
      <c r="C3146" s="960" t="s">
        <v>4256</v>
      </c>
      <c r="D3146" s="960" t="s">
        <v>4264</v>
      </c>
      <c r="E3146" s="959">
        <v>0</v>
      </c>
      <c r="F3146" s="959">
        <v>0</v>
      </c>
      <c r="G3146" s="959">
        <v>0</v>
      </c>
      <c r="H3146" s="959">
        <v>2</v>
      </c>
    </row>
    <row r="3147" spans="1:8">
      <c r="A3147" s="959" t="s">
        <v>4109</v>
      </c>
      <c r="B3147" s="960" t="s">
        <v>4110</v>
      </c>
      <c r="C3147" s="960" t="s">
        <v>4256</v>
      </c>
      <c r="D3147" s="960" t="s">
        <v>4261</v>
      </c>
      <c r="E3147" s="959">
        <v>0</v>
      </c>
      <c r="F3147" s="959">
        <v>0</v>
      </c>
      <c r="G3147" s="959">
        <v>0</v>
      </c>
      <c r="H3147" s="959">
        <v>5</v>
      </c>
    </row>
    <row r="3148" spans="1:8">
      <c r="A3148" s="959" t="s">
        <v>4109</v>
      </c>
      <c r="B3148" s="960" t="s">
        <v>4110</v>
      </c>
      <c r="C3148" s="960" t="s">
        <v>4256</v>
      </c>
      <c r="D3148" s="961" t="s">
        <v>4266</v>
      </c>
      <c r="E3148" s="959">
        <v>0</v>
      </c>
      <c r="F3148" s="959">
        <v>0</v>
      </c>
      <c r="G3148" s="959">
        <v>0</v>
      </c>
      <c r="H3148" s="959">
        <v>1</v>
      </c>
    </row>
    <row r="3149" spans="1:8">
      <c r="A3149" s="959" t="s">
        <v>4109</v>
      </c>
      <c r="B3149" s="960" t="s">
        <v>4110</v>
      </c>
      <c r="C3149" s="960" t="s">
        <v>4257</v>
      </c>
      <c r="D3149" s="960" t="s">
        <v>4258</v>
      </c>
      <c r="E3149" s="959">
        <v>293</v>
      </c>
      <c r="F3149" s="959">
        <v>4195</v>
      </c>
      <c r="G3149" s="959">
        <v>17</v>
      </c>
      <c r="H3149" s="959">
        <v>223</v>
      </c>
    </row>
    <row r="3150" spans="1:8">
      <c r="A3150" s="959" t="s">
        <v>4109</v>
      </c>
      <c r="B3150" s="960" t="s">
        <v>4110</v>
      </c>
      <c r="C3150" s="960" t="s">
        <v>4267</v>
      </c>
      <c r="D3150" s="960" t="s">
        <v>4268</v>
      </c>
      <c r="E3150" s="959">
        <v>0</v>
      </c>
      <c r="F3150" s="959">
        <v>0</v>
      </c>
      <c r="G3150" s="959">
        <v>0</v>
      </c>
      <c r="H3150" s="959">
        <v>5</v>
      </c>
    </row>
    <row r="3151" spans="1:8">
      <c r="A3151" s="959" t="s">
        <v>4111</v>
      </c>
      <c r="B3151" s="960" t="s">
        <v>4112</v>
      </c>
      <c r="C3151" s="960" t="s">
        <v>4262</v>
      </c>
      <c r="D3151" s="960" t="s">
        <v>4263</v>
      </c>
      <c r="E3151" s="959">
        <v>0</v>
      </c>
      <c r="F3151" s="959">
        <v>2</v>
      </c>
      <c r="G3151" s="959">
        <v>0</v>
      </c>
      <c r="H3151" s="959">
        <v>0</v>
      </c>
    </row>
    <row r="3152" spans="1:8">
      <c r="A3152" s="959" t="s">
        <v>4113</v>
      </c>
      <c r="B3152" s="960" t="s">
        <v>4114</v>
      </c>
      <c r="C3152" s="960" t="s">
        <v>4256</v>
      </c>
      <c r="D3152" s="960" t="s">
        <v>4260</v>
      </c>
      <c r="E3152" s="959">
        <v>0</v>
      </c>
      <c r="F3152" s="959">
        <v>0</v>
      </c>
      <c r="G3152" s="959">
        <v>0</v>
      </c>
      <c r="H3152" s="959">
        <v>1</v>
      </c>
    </row>
    <row r="3153" spans="1:8">
      <c r="A3153" s="959" t="s">
        <v>4113</v>
      </c>
      <c r="B3153" s="960" t="s">
        <v>4114</v>
      </c>
      <c r="C3153" s="960" t="s">
        <v>4256</v>
      </c>
      <c r="D3153" s="960" t="s">
        <v>1906</v>
      </c>
      <c r="E3153" s="959">
        <v>5</v>
      </c>
      <c r="F3153" s="959">
        <v>74</v>
      </c>
      <c r="G3153" s="959">
        <v>0</v>
      </c>
      <c r="H3153" s="959">
        <v>4</v>
      </c>
    </row>
    <row r="3154" spans="1:8">
      <c r="A3154" s="959" t="s">
        <v>4113</v>
      </c>
      <c r="B3154" s="960" t="s">
        <v>4114</v>
      </c>
      <c r="C3154" s="960" t="s">
        <v>4256</v>
      </c>
      <c r="D3154" s="960" t="s">
        <v>4264</v>
      </c>
      <c r="E3154" s="959">
        <v>0</v>
      </c>
      <c r="F3154" s="959">
        <v>0</v>
      </c>
      <c r="G3154" s="959">
        <v>0</v>
      </c>
      <c r="H3154" s="959">
        <v>1</v>
      </c>
    </row>
    <row r="3155" spans="1:8">
      <c r="A3155" s="959" t="s">
        <v>4113</v>
      </c>
      <c r="B3155" s="960" t="s">
        <v>4114</v>
      </c>
      <c r="C3155" s="960" t="s">
        <v>4257</v>
      </c>
      <c r="D3155" s="960" t="s">
        <v>4258</v>
      </c>
      <c r="E3155" s="959">
        <v>4</v>
      </c>
      <c r="F3155" s="959">
        <v>61</v>
      </c>
      <c r="G3155" s="959">
        <v>0</v>
      </c>
      <c r="H3155" s="959">
        <v>2</v>
      </c>
    </row>
    <row r="3156" spans="1:8">
      <c r="A3156" s="959" t="s">
        <v>4113</v>
      </c>
      <c r="B3156" s="960" t="s">
        <v>4114</v>
      </c>
      <c r="C3156" s="960" t="s">
        <v>4262</v>
      </c>
      <c r="D3156" s="960" t="s">
        <v>4263</v>
      </c>
      <c r="E3156" s="959">
        <v>4</v>
      </c>
      <c r="F3156" s="959">
        <v>134</v>
      </c>
      <c r="G3156" s="959">
        <v>0</v>
      </c>
      <c r="H3156" s="959">
        <v>8</v>
      </c>
    </row>
    <row r="3157" spans="1:8">
      <c r="A3157" s="959" t="s">
        <v>4115</v>
      </c>
      <c r="B3157" s="960" t="s">
        <v>4116</v>
      </c>
      <c r="C3157" s="960" t="s">
        <v>4256</v>
      </c>
      <c r="D3157" s="960" t="s">
        <v>470</v>
      </c>
      <c r="E3157" s="959">
        <v>0</v>
      </c>
      <c r="F3157" s="959">
        <v>0</v>
      </c>
      <c r="G3157" s="959">
        <v>38</v>
      </c>
      <c r="H3157" s="959">
        <v>147</v>
      </c>
    </row>
    <row r="3158" spans="1:8">
      <c r="A3158" s="959" t="s">
        <v>4115</v>
      </c>
      <c r="B3158" s="960" t="s">
        <v>4116</v>
      </c>
      <c r="C3158" s="960" t="s">
        <v>4256</v>
      </c>
      <c r="D3158" s="960" t="s">
        <v>1904</v>
      </c>
      <c r="E3158" s="959">
        <v>0</v>
      </c>
      <c r="F3158" s="959">
        <v>0</v>
      </c>
      <c r="G3158" s="959">
        <v>0</v>
      </c>
      <c r="H3158" s="959">
        <v>1</v>
      </c>
    </row>
    <row r="3159" spans="1:8">
      <c r="A3159" s="959" t="s">
        <v>4115</v>
      </c>
      <c r="B3159" s="960" t="s">
        <v>4116</v>
      </c>
      <c r="C3159" s="960" t="s">
        <v>4257</v>
      </c>
      <c r="D3159" s="960" t="s">
        <v>4258</v>
      </c>
      <c r="E3159" s="959">
        <v>1</v>
      </c>
      <c r="F3159" s="959">
        <v>37</v>
      </c>
      <c r="G3159" s="959">
        <v>0</v>
      </c>
      <c r="H3159" s="959">
        <v>2</v>
      </c>
    </row>
    <row r="3160" spans="1:8">
      <c r="A3160" s="959" t="s">
        <v>4115</v>
      </c>
      <c r="B3160" s="960" t="s">
        <v>4116</v>
      </c>
      <c r="C3160" s="960" t="s">
        <v>4262</v>
      </c>
      <c r="D3160" s="960" t="s">
        <v>4263</v>
      </c>
      <c r="E3160" s="959">
        <v>0</v>
      </c>
      <c r="F3160" s="959">
        <v>3</v>
      </c>
      <c r="G3160" s="959">
        <v>0</v>
      </c>
      <c r="H3160" s="959">
        <v>0</v>
      </c>
    </row>
    <row r="3161" spans="1:8">
      <c r="A3161" s="959" t="s">
        <v>4117</v>
      </c>
      <c r="B3161" s="960" t="s">
        <v>1682</v>
      </c>
      <c r="C3161" s="960" t="s">
        <v>4256</v>
      </c>
      <c r="D3161" s="960" t="s">
        <v>4270</v>
      </c>
      <c r="E3161" s="959">
        <v>0</v>
      </c>
      <c r="F3161" s="959">
        <v>0</v>
      </c>
      <c r="G3161" s="959">
        <v>0</v>
      </c>
      <c r="H3161" s="959">
        <v>1</v>
      </c>
    </row>
    <row r="3162" spans="1:8">
      <c r="A3162" s="959" t="s">
        <v>4117</v>
      </c>
      <c r="B3162" s="960" t="s">
        <v>1682</v>
      </c>
      <c r="C3162" s="960" t="s">
        <v>4256</v>
      </c>
      <c r="D3162" s="960" t="s">
        <v>4259</v>
      </c>
      <c r="E3162" s="959">
        <v>0</v>
      </c>
      <c r="F3162" s="959">
        <v>0</v>
      </c>
      <c r="G3162" s="959">
        <v>0</v>
      </c>
      <c r="H3162" s="959">
        <v>4</v>
      </c>
    </row>
    <row r="3163" spans="1:8">
      <c r="A3163" s="959" t="s">
        <v>4117</v>
      </c>
      <c r="B3163" s="960" t="s">
        <v>1682</v>
      </c>
      <c r="C3163" s="960" t="s">
        <v>4256</v>
      </c>
      <c r="D3163" s="960" t="s">
        <v>4260</v>
      </c>
      <c r="E3163" s="959">
        <v>0</v>
      </c>
      <c r="F3163" s="959">
        <v>0</v>
      </c>
      <c r="G3163" s="959">
        <v>0</v>
      </c>
      <c r="H3163" s="959">
        <v>3</v>
      </c>
    </row>
    <row r="3164" spans="1:8">
      <c r="A3164" s="959" t="s">
        <v>4117</v>
      </c>
      <c r="B3164" s="960" t="s">
        <v>1682</v>
      </c>
      <c r="C3164" s="960" t="s">
        <v>4256</v>
      </c>
      <c r="D3164" s="960" t="s">
        <v>1906</v>
      </c>
      <c r="E3164" s="959">
        <v>0</v>
      </c>
      <c r="F3164" s="959">
        <v>1</v>
      </c>
      <c r="G3164" s="959">
        <v>0</v>
      </c>
      <c r="H3164" s="959">
        <v>0</v>
      </c>
    </row>
    <row r="3165" spans="1:8">
      <c r="A3165" s="959" t="s">
        <v>4117</v>
      </c>
      <c r="B3165" s="960" t="s">
        <v>1682</v>
      </c>
      <c r="C3165" s="960" t="s">
        <v>4257</v>
      </c>
      <c r="D3165" s="960" t="s">
        <v>4258</v>
      </c>
      <c r="E3165" s="959">
        <v>0</v>
      </c>
      <c r="F3165" s="959">
        <v>22</v>
      </c>
      <c r="G3165" s="959">
        <v>0</v>
      </c>
      <c r="H3165" s="959">
        <v>0</v>
      </c>
    </row>
    <row r="3166" spans="1:8">
      <c r="A3166" s="959" t="s">
        <v>4117</v>
      </c>
      <c r="B3166" s="960" t="s">
        <v>1682</v>
      </c>
      <c r="C3166" s="960" t="s">
        <v>4262</v>
      </c>
      <c r="D3166" s="960" t="s">
        <v>4263</v>
      </c>
      <c r="E3166" s="959">
        <v>0</v>
      </c>
      <c r="F3166" s="959">
        <v>1</v>
      </c>
      <c r="G3166" s="959">
        <v>0</v>
      </c>
      <c r="H3166" s="959">
        <v>0</v>
      </c>
    </row>
    <row r="3167" spans="1:8">
      <c r="A3167" s="959" t="s">
        <v>4118</v>
      </c>
      <c r="B3167" s="960" t="s">
        <v>4119</v>
      </c>
      <c r="C3167" s="960" t="s">
        <v>4256</v>
      </c>
      <c r="D3167" s="960" t="s">
        <v>470</v>
      </c>
      <c r="E3167" s="959">
        <v>0</v>
      </c>
      <c r="F3167" s="959">
        <v>0</v>
      </c>
      <c r="G3167" s="959">
        <v>1</v>
      </c>
      <c r="H3167" s="959">
        <v>5</v>
      </c>
    </row>
    <row r="3168" spans="1:8">
      <c r="A3168" s="959" t="s">
        <v>4118</v>
      </c>
      <c r="B3168" s="960" t="s">
        <v>4119</v>
      </c>
      <c r="C3168" s="960" t="s">
        <v>4257</v>
      </c>
      <c r="D3168" s="960" t="s">
        <v>4258</v>
      </c>
      <c r="E3168" s="959">
        <v>1</v>
      </c>
      <c r="F3168" s="959">
        <v>25</v>
      </c>
      <c r="G3168" s="959">
        <v>0</v>
      </c>
      <c r="H3168" s="959">
        <v>0</v>
      </c>
    </row>
    <row r="3169" spans="1:8">
      <c r="A3169" s="959" t="s">
        <v>4120</v>
      </c>
      <c r="B3169" s="960" t="s">
        <v>4121</v>
      </c>
      <c r="C3169" s="960" t="s">
        <v>4275</v>
      </c>
      <c r="D3169" s="960" t="s">
        <v>4276</v>
      </c>
      <c r="E3169" s="959">
        <v>7</v>
      </c>
      <c r="F3169" s="959">
        <v>98</v>
      </c>
      <c r="G3169" s="959">
        <v>0</v>
      </c>
      <c r="H3169" s="959">
        <v>2</v>
      </c>
    </row>
    <row r="3170" spans="1:8">
      <c r="A3170" s="959" t="s">
        <v>4120</v>
      </c>
      <c r="B3170" s="960" t="s">
        <v>4121</v>
      </c>
      <c r="C3170" s="960" t="s">
        <v>4277</v>
      </c>
      <c r="D3170" s="960" t="s">
        <v>4278</v>
      </c>
      <c r="E3170" s="959">
        <v>0</v>
      </c>
      <c r="F3170" s="959">
        <v>0</v>
      </c>
      <c r="G3170" s="959">
        <v>15</v>
      </c>
      <c r="H3170" s="959">
        <v>96</v>
      </c>
    </row>
    <row r="3171" spans="1:8">
      <c r="A3171" s="959" t="s">
        <v>4120</v>
      </c>
      <c r="B3171" s="960" t="s">
        <v>4121</v>
      </c>
      <c r="C3171" s="960" t="s">
        <v>4277</v>
      </c>
      <c r="D3171" s="960" t="s">
        <v>4279</v>
      </c>
      <c r="E3171" s="959">
        <v>0</v>
      </c>
      <c r="F3171" s="959">
        <v>0</v>
      </c>
      <c r="G3171" s="959">
        <v>12</v>
      </c>
      <c r="H3171" s="959">
        <v>501</v>
      </c>
    </row>
    <row r="3172" spans="1:8">
      <c r="A3172" s="959" t="s">
        <v>4120</v>
      </c>
      <c r="B3172" s="960" t="s">
        <v>4121</v>
      </c>
      <c r="C3172" s="960" t="s">
        <v>4256</v>
      </c>
      <c r="D3172" s="960" t="s">
        <v>470</v>
      </c>
      <c r="E3172" s="959">
        <v>0</v>
      </c>
      <c r="F3172" s="959">
        <v>0</v>
      </c>
      <c r="G3172" s="959">
        <v>0</v>
      </c>
      <c r="H3172" s="959">
        <v>3</v>
      </c>
    </row>
    <row r="3173" spans="1:8">
      <c r="A3173" s="959" t="s">
        <v>4120</v>
      </c>
      <c r="B3173" s="960" t="s">
        <v>4121</v>
      </c>
      <c r="C3173" s="960" t="s">
        <v>4256</v>
      </c>
      <c r="D3173" s="960" t="s">
        <v>1904</v>
      </c>
      <c r="E3173" s="959">
        <v>0</v>
      </c>
      <c r="F3173" s="959">
        <v>0</v>
      </c>
      <c r="G3173" s="959">
        <v>0</v>
      </c>
      <c r="H3173" s="959">
        <v>2</v>
      </c>
    </row>
    <row r="3174" spans="1:8">
      <c r="A3174" s="959" t="s">
        <v>4120</v>
      </c>
      <c r="B3174" s="960" t="s">
        <v>4121</v>
      </c>
      <c r="C3174" s="960" t="s">
        <v>4256</v>
      </c>
      <c r="D3174" s="960" t="s">
        <v>4270</v>
      </c>
      <c r="E3174" s="959">
        <v>0</v>
      </c>
      <c r="F3174" s="959">
        <v>0</v>
      </c>
      <c r="G3174" s="959">
        <v>0</v>
      </c>
      <c r="H3174" s="959">
        <v>3</v>
      </c>
    </row>
    <row r="3175" spans="1:8">
      <c r="A3175" s="959" t="s">
        <v>4120</v>
      </c>
      <c r="B3175" s="960" t="s">
        <v>4121</v>
      </c>
      <c r="C3175" s="960" t="s">
        <v>4256</v>
      </c>
      <c r="D3175" s="960" t="s">
        <v>4259</v>
      </c>
      <c r="E3175" s="959">
        <v>0</v>
      </c>
      <c r="F3175" s="959">
        <v>1</v>
      </c>
      <c r="G3175" s="959">
        <v>0</v>
      </c>
      <c r="H3175" s="959">
        <v>20</v>
      </c>
    </row>
    <row r="3176" spans="1:8">
      <c r="A3176" s="959" t="s">
        <v>4120</v>
      </c>
      <c r="B3176" s="960" t="s">
        <v>4121</v>
      </c>
      <c r="C3176" s="960" t="s">
        <v>4256</v>
      </c>
      <c r="D3176" s="960" t="s">
        <v>4260</v>
      </c>
      <c r="E3176" s="959">
        <v>0</v>
      </c>
      <c r="F3176" s="959">
        <v>3</v>
      </c>
      <c r="G3176" s="959">
        <v>1</v>
      </c>
      <c r="H3176" s="959">
        <v>40</v>
      </c>
    </row>
    <row r="3177" spans="1:8">
      <c r="A3177" s="959" t="s">
        <v>4120</v>
      </c>
      <c r="B3177" s="960" t="s">
        <v>4121</v>
      </c>
      <c r="C3177" s="960" t="s">
        <v>4256</v>
      </c>
      <c r="D3177" s="960" t="s">
        <v>4265</v>
      </c>
      <c r="E3177" s="959">
        <v>0</v>
      </c>
      <c r="F3177" s="959">
        <v>0</v>
      </c>
      <c r="G3177" s="959">
        <v>0</v>
      </c>
      <c r="H3177" s="959">
        <v>2</v>
      </c>
    </row>
    <row r="3178" spans="1:8">
      <c r="A3178" s="959" t="s">
        <v>4120</v>
      </c>
      <c r="B3178" s="960" t="s">
        <v>4121</v>
      </c>
      <c r="C3178" s="960" t="s">
        <v>4256</v>
      </c>
      <c r="D3178" s="960" t="s">
        <v>4272</v>
      </c>
      <c r="E3178" s="959">
        <v>0</v>
      </c>
      <c r="F3178" s="959">
        <v>0</v>
      </c>
      <c r="G3178" s="959">
        <v>0</v>
      </c>
      <c r="H3178" s="959">
        <v>1</v>
      </c>
    </row>
    <row r="3179" spans="1:8">
      <c r="A3179" s="959" t="s">
        <v>4120</v>
      </c>
      <c r="B3179" s="960" t="s">
        <v>4121</v>
      </c>
      <c r="C3179" s="960" t="s">
        <v>4256</v>
      </c>
      <c r="D3179" s="960" t="s">
        <v>1906</v>
      </c>
      <c r="E3179" s="959">
        <v>7</v>
      </c>
      <c r="F3179" s="959">
        <v>96</v>
      </c>
      <c r="G3179" s="959">
        <v>6</v>
      </c>
      <c r="H3179" s="959">
        <v>84</v>
      </c>
    </row>
    <row r="3180" spans="1:8">
      <c r="A3180" s="959" t="s">
        <v>4120</v>
      </c>
      <c r="B3180" s="960" t="s">
        <v>4121</v>
      </c>
      <c r="C3180" s="960" t="s">
        <v>4256</v>
      </c>
      <c r="D3180" s="960" t="s">
        <v>4264</v>
      </c>
      <c r="E3180" s="959">
        <v>0</v>
      </c>
      <c r="F3180" s="959">
        <v>2</v>
      </c>
      <c r="G3180" s="959">
        <v>0</v>
      </c>
      <c r="H3180" s="959">
        <v>1</v>
      </c>
    </row>
    <row r="3181" spans="1:8">
      <c r="A3181" s="959" t="s">
        <v>4120</v>
      </c>
      <c r="B3181" s="960" t="s">
        <v>4121</v>
      </c>
      <c r="C3181" s="960" t="s">
        <v>4256</v>
      </c>
      <c r="D3181" s="960" t="s">
        <v>4261</v>
      </c>
      <c r="E3181" s="959">
        <v>0</v>
      </c>
      <c r="F3181" s="959">
        <v>0</v>
      </c>
      <c r="G3181" s="959">
        <v>0</v>
      </c>
      <c r="H3181" s="959">
        <v>2</v>
      </c>
    </row>
    <row r="3182" spans="1:8">
      <c r="A3182" s="959" t="s">
        <v>4120</v>
      </c>
      <c r="B3182" s="960" t="s">
        <v>4121</v>
      </c>
      <c r="C3182" s="960" t="s">
        <v>4256</v>
      </c>
      <c r="D3182" s="961" t="s">
        <v>4266</v>
      </c>
      <c r="E3182" s="959">
        <v>0</v>
      </c>
      <c r="F3182" s="959">
        <v>1</v>
      </c>
      <c r="G3182" s="959">
        <v>0</v>
      </c>
      <c r="H3182" s="959">
        <v>0</v>
      </c>
    </row>
    <row r="3183" spans="1:8">
      <c r="A3183" s="959" t="s">
        <v>4120</v>
      </c>
      <c r="B3183" s="960" t="s">
        <v>4121</v>
      </c>
      <c r="C3183" s="960" t="s">
        <v>4257</v>
      </c>
      <c r="D3183" s="960" t="s">
        <v>4258</v>
      </c>
      <c r="E3183" s="959">
        <v>213</v>
      </c>
      <c r="F3183" s="959">
        <v>3838</v>
      </c>
      <c r="G3183" s="959">
        <v>10</v>
      </c>
      <c r="H3183" s="959">
        <v>143</v>
      </c>
    </row>
    <row r="3184" spans="1:8">
      <c r="A3184" s="959" t="s">
        <v>4120</v>
      </c>
      <c r="B3184" s="960" t="s">
        <v>4121</v>
      </c>
      <c r="C3184" s="960" t="s">
        <v>4262</v>
      </c>
      <c r="D3184" s="960" t="s">
        <v>4263</v>
      </c>
      <c r="E3184" s="959">
        <v>0</v>
      </c>
      <c r="F3184" s="959">
        <v>2</v>
      </c>
      <c r="G3184" s="959">
        <v>0</v>
      </c>
      <c r="H3184" s="959">
        <v>2</v>
      </c>
    </row>
    <row r="3185" spans="1:8">
      <c r="A3185" s="959" t="s">
        <v>4120</v>
      </c>
      <c r="B3185" s="960" t="s">
        <v>4121</v>
      </c>
      <c r="C3185" s="960" t="s">
        <v>4267</v>
      </c>
      <c r="D3185" s="960" t="s">
        <v>4268</v>
      </c>
      <c r="E3185" s="959">
        <v>0</v>
      </c>
      <c r="F3185" s="959">
        <v>0</v>
      </c>
      <c r="G3185" s="959">
        <v>0</v>
      </c>
      <c r="H3185" s="959">
        <v>29</v>
      </c>
    </row>
    <row r="3186" spans="1:8">
      <c r="A3186" s="959" t="s">
        <v>4122</v>
      </c>
      <c r="B3186" s="960" t="s">
        <v>4123</v>
      </c>
      <c r="C3186" s="960" t="s">
        <v>4256</v>
      </c>
      <c r="D3186" s="960" t="s">
        <v>470</v>
      </c>
      <c r="E3186" s="959">
        <v>0</v>
      </c>
      <c r="F3186" s="959">
        <v>0</v>
      </c>
      <c r="G3186" s="959">
        <v>0</v>
      </c>
      <c r="H3186" s="959">
        <v>1</v>
      </c>
    </row>
    <row r="3187" spans="1:8">
      <c r="A3187" s="959" t="s">
        <v>4122</v>
      </c>
      <c r="B3187" s="960" t="s">
        <v>4123</v>
      </c>
      <c r="C3187" s="960" t="s">
        <v>4256</v>
      </c>
      <c r="D3187" s="960" t="s">
        <v>4270</v>
      </c>
      <c r="E3187" s="959">
        <v>0</v>
      </c>
      <c r="F3187" s="959">
        <v>0</v>
      </c>
      <c r="G3187" s="959">
        <v>0</v>
      </c>
      <c r="H3187" s="959">
        <v>1</v>
      </c>
    </row>
    <row r="3188" spans="1:8">
      <c r="A3188" s="959" t="s">
        <v>4122</v>
      </c>
      <c r="B3188" s="960" t="s">
        <v>4123</v>
      </c>
      <c r="C3188" s="960" t="s">
        <v>4256</v>
      </c>
      <c r="D3188" s="960" t="s">
        <v>4259</v>
      </c>
      <c r="E3188" s="959">
        <v>0</v>
      </c>
      <c r="F3188" s="959">
        <v>0</v>
      </c>
      <c r="G3188" s="959">
        <v>0</v>
      </c>
      <c r="H3188" s="959">
        <v>1</v>
      </c>
    </row>
    <row r="3189" spans="1:8">
      <c r="A3189" s="959" t="s">
        <v>4122</v>
      </c>
      <c r="B3189" s="960" t="s">
        <v>4123</v>
      </c>
      <c r="C3189" s="960" t="s">
        <v>4256</v>
      </c>
      <c r="D3189" s="960" t="s">
        <v>4260</v>
      </c>
      <c r="E3189" s="959">
        <v>0</v>
      </c>
      <c r="F3189" s="959">
        <v>0</v>
      </c>
      <c r="G3189" s="959">
        <v>0</v>
      </c>
      <c r="H3189" s="959">
        <v>2</v>
      </c>
    </row>
    <row r="3190" spans="1:8">
      <c r="A3190" s="959" t="s">
        <v>4122</v>
      </c>
      <c r="B3190" s="960" t="s">
        <v>4123</v>
      </c>
      <c r="C3190" s="960" t="s">
        <v>4256</v>
      </c>
      <c r="D3190" s="960" t="s">
        <v>4265</v>
      </c>
      <c r="E3190" s="959">
        <v>0</v>
      </c>
      <c r="F3190" s="959">
        <v>0</v>
      </c>
      <c r="G3190" s="959">
        <v>0</v>
      </c>
      <c r="H3190" s="959">
        <v>1</v>
      </c>
    </row>
    <row r="3191" spans="1:8">
      <c r="A3191" s="959" t="s">
        <v>4122</v>
      </c>
      <c r="B3191" s="960" t="s">
        <v>4123</v>
      </c>
      <c r="C3191" s="960" t="s">
        <v>4256</v>
      </c>
      <c r="D3191" s="960" t="s">
        <v>1906</v>
      </c>
      <c r="E3191" s="959">
        <v>14</v>
      </c>
      <c r="F3191" s="959">
        <v>183</v>
      </c>
      <c r="G3191" s="959">
        <v>0</v>
      </c>
      <c r="H3191" s="959">
        <v>1</v>
      </c>
    </row>
    <row r="3192" spans="1:8">
      <c r="A3192" s="959" t="s">
        <v>4122</v>
      </c>
      <c r="B3192" s="960" t="s">
        <v>4123</v>
      </c>
      <c r="C3192" s="960" t="s">
        <v>4256</v>
      </c>
      <c r="D3192" s="960" t="s">
        <v>4264</v>
      </c>
      <c r="E3192" s="959">
        <v>0</v>
      </c>
      <c r="F3192" s="959">
        <v>2</v>
      </c>
      <c r="G3192" s="959">
        <v>0</v>
      </c>
      <c r="H3192" s="959">
        <v>0</v>
      </c>
    </row>
    <row r="3193" spans="1:8">
      <c r="A3193" s="959" t="s">
        <v>4122</v>
      </c>
      <c r="B3193" s="960" t="s">
        <v>4123</v>
      </c>
      <c r="C3193" s="960" t="s">
        <v>4256</v>
      </c>
      <c r="D3193" s="960" t="s">
        <v>1907</v>
      </c>
      <c r="E3193" s="959">
        <v>5</v>
      </c>
      <c r="F3193" s="959">
        <v>62</v>
      </c>
      <c r="G3193" s="959">
        <v>0</v>
      </c>
      <c r="H3193" s="959">
        <v>4</v>
      </c>
    </row>
    <row r="3194" spans="1:8">
      <c r="A3194" s="959" t="s">
        <v>4122</v>
      </c>
      <c r="B3194" s="960" t="s">
        <v>4123</v>
      </c>
      <c r="C3194" s="960" t="s">
        <v>4257</v>
      </c>
      <c r="D3194" s="960" t="s">
        <v>4258</v>
      </c>
      <c r="E3194" s="959">
        <v>7</v>
      </c>
      <c r="F3194" s="959">
        <v>173</v>
      </c>
      <c r="G3194" s="959">
        <v>0</v>
      </c>
      <c r="H3194" s="959">
        <v>5</v>
      </c>
    </row>
    <row r="3195" spans="1:8">
      <c r="A3195" s="959" t="s">
        <v>4122</v>
      </c>
      <c r="B3195" s="960" t="s">
        <v>4123</v>
      </c>
      <c r="C3195" s="960" t="s">
        <v>4262</v>
      </c>
      <c r="D3195" s="960" t="s">
        <v>4263</v>
      </c>
      <c r="E3195" s="959">
        <v>0</v>
      </c>
      <c r="F3195" s="959">
        <v>24</v>
      </c>
      <c r="G3195" s="959">
        <v>0</v>
      </c>
      <c r="H3195" s="959">
        <v>1</v>
      </c>
    </row>
    <row r="3196" spans="1:8">
      <c r="A3196" s="959" t="s">
        <v>4124</v>
      </c>
      <c r="B3196" s="960" t="s">
        <v>4125</v>
      </c>
      <c r="C3196" s="960" t="s">
        <v>4256</v>
      </c>
      <c r="D3196" s="960" t="s">
        <v>470</v>
      </c>
      <c r="E3196" s="959">
        <v>0</v>
      </c>
      <c r="F3196" s="959">
        <v>0</v>
      </c>
      <c r="G3196" s="959">
        <v>6</v>
      </c>
      <c r="H3196" s="959">
        <v>10</v>
      </c>
    </row>
    <row r="3197" spans="1:8">
      <c r="A3197" s="959" t="s">
        <v>4124</v>
      </c>
      <c r="B3197" s="960" t="s">
        <v>4125</v>
      </c>
      <c r="C3197" s="960" t="s">
        <v>4256</v>
      </c>
      <c r="D3197" s="960" t="s">
        <v>4264</v>
      </c>
      <c r="E3197" s="959">
        <v>0</v>
      </c>
      <c r="F3197" s="959">
        <v>0</v>
      </c>
      <c r="G3197" s="959">
        <v>0</v>
      </c>
      <c r="H3197" s="959">
        <v>3</v>
      </c>
    </row>
    <row r="3198" spans="1:8">
      <c r="A3198" s="959" t="s">
        <v>4124</v>
      </c>
      <c r="B3198" s="960" t="s">
        <v>4125</v>
      </c>
      <c r="C3198" s="960" t="s">
        <v>4257</v>
      </c>
      <c r="D3198" s="960" t="s">
        <v>4258</v>
      </c>
      <c r="E3198" s="959">
        <v>0</v>
      </c>
      <c r="F3198" s="959">
        <v>1</v>
      </c>
      <c r="G3198" s="959">
        <v>0</v>
      </c>
      <c r="H3198" s="959">
        <v>0</v>
      </c>
    </row>
    <row r="3199" spans="1:8">
      <c r="A3199" s="959" t="s">
        <v>4126</v>
      </c>
      <c r="B3199" s="960" t="s">
        <v>1684</v>
      </c>
      <c r="C3199" s="960" t="s">
        <v>4257</v>
      </c>
      <c r="D3199" s="960" t="s">
        <v>4258</v>
      </c>
      <c r="E3199" s="959">
        <v>0</v>
      </c>
      <c r="F3199" s="959">
        <v>2</v>
      </c>
      <c r="G3199" s="959">
        <v>0</v>
      </c>
      <c r="H3199" s="959">
        <v>0</v>
      </c>
    </row>
    <row r="3200" spans="1:8">
      <c r="A3200" s="959" t="s">
        <v>4127</v>
      </c>
      <c r="B3200" s="960" t="s">
        <v>4128</v>
      </c>
      <c r="C3200" s="960" t="s">
        <v>4262</v>
      </c>
      <c r="D3200" s="960" t="s">
        <v>4263</v>
      </c>
      <c r="E3200" s="959">
        <v>2</v>
      </c>
      <c r="F3200" s="959">
        <v>0</v>
      </c>
      <c r="G3200" s="959">
        <v>0</v>
      </c>
      <c r="H3200" s="959">
        <v>0</v>
      </c>
    </row>
    <row r="3201" spans="1:8">
      <c r="A3201" s="959" t="s">
        <v>4129</v>
      </c>
      <c r="B3201" s="960" t="s">
        <v>4130</v>
      </c>
      <c r="C3201" s="960" t="s">
        <v>4256</v>
      </c>
      <c r="D3201" s="960" t="s">
        <v>4264</v>
      </c>
      <c r="E3201" s="959">
        <v>0</v>
      </c>
      <c r="F3201" s="959">
        <v>1</v>
      </c>
      <c r="G3201" s="959">
        <v>0</v>
      </c>
      <c r="H3201" s="959">
        <v>0</v>
      </c>
    </row>
    <row r="3202" spans="1:8">
      <c r="A3202" s="959" t="s">
        <v>4131</v>
      </c>
      <c r="B3202" s="960" t="s">
        <v>4132</v>
      </c>
      <c r="C3202" s="960" t="s">
        <v>4256</v>
      </c>
      <c r="D3202" s="960" t="s">
        <v>4264</v>
      </c>
      <c r="E3202" s="959">
        <v>0</v>
      </c>
      <c r="F3202" s="959">
        <v>4</v>
      </c>
      <c r="G3202" s="959">
        <v>0</v>
      </c>
      <c r="H3202" s="959">
        <v>0</v>
      </c>
    </row>
    <row r="3203" spans="1:8">
      <c r="A3203" s="959" t="s">
        <v>4131</v>
      </c>
      <c r="B3203" s="960" t="s">
        <v>4132</v>
      </c>
      <c r="C3203" s="960" t="s">
        <v>4267</v>
      </c>
      <c r="D3203" s="960" t="s">
        <v>4268</v>
      </c>
      <c r="E3203" s="959">
        <v>0</v>
      </c>
      <c r="F3203" s="959">
        <v>0</v>
      </c>
      <c r="G3203" s="959">
        <v>0</v>
      </c>
      <c r="H3203" s="959">
        <v>18</v>
      </c>
    </row>
    <row r="3204" spans="1:8">
      <c r="A3204" s="959" t="s">
        <v>4133</v>
      </c>
      <c r="B3204" s="960" t="s">
        <v>1686</v>
      </c>
      <c r="C3204" s="960" t="s">
        <v>4256</v>
      </c>
      <c r="D3204" s="960" t="s">
        <v>1906</v>
      </c>
      <c r="E3204" s="959">
        <v>0</v>
      </c>
      <c r="F3204" s="959">
        <v>14</v>
      </c>
      <c r="G3204" s="959">
        <v>0</v>
      </c>
      <c r="H3204" s="959">
        <v>0</v>
      </c>
    </row>
    <row r="3205" spans="1:8">
      <c r="A3205" s="959" t="s">
        <v>4133</v>
      </c>
      <c r="B3205" s="960" t="s">
        <v>1686</v>
      </c>
      <c r="C3205" s="960" t="s">
        <v>4257</v>
      </c>
      <c r="D3205" s="960" t="s">
        <v>4258</v>
      </c>
      <c r="E3205" s="959">
        <v>0</v>
      </c>
      <c r="F3205" s="959">
        <v>23</v>
      </c>
      <c r="G3205" s="959">
        <v>0</v>
      </c>
      <c r="H3205" s="959">
        <v>0</v>
      </c>
    </row>
    <row r="3206" spans="1:8">
      <c r="A3206" s="959" t="s">
        <v>4134</v>
      </c>
      <c r="B3206" s="960" t="s">
        <v>4135</v>
      </c>
      <c r="C3206" s="960" t="s">
        <v>4256</v>
      </c>
      <c r="D3206" s="960" t="s">
        <v>1906</v>
      </c>
      <c r="E3206" s="959">
        <v>7</v>
      </c>
      <c r="F3206" s="959">
        <v>97</v>
      </c>
      <c r="G3206" s="959">
        <v>0</v>
      </c>
      <c r="H3206" s="959">
        <v>0</v>
      </c>
    </row>
    <row r="3207" spans="1:8">
      <c r="A3207" s="959" t="s">
        <v>4134</v>
      </c>
      <c r="B3207" s="960" t="s">
        <v>4135</v>
      </c>
      <c r="C3207" s="960" t="s">
        <v>4257</v>
      </c>
      <c r="D3207" s="960" t="s">
        <v>4258</v>
      </c>
      <c r="E3207" s="959">
        <v>16</v>
      </c>
      <c r="F3207" s="959">
        <v>255</v>
      </c>
      <c r="G3207" s="959">
        <v>0</v>
      </c>
      <c r="H3207" s="959">
        <v>0</v>
      </c>
    </row>
    <row r="3208" spans="1:8">
      <c r="A3208" s="959" t="s">
        <v>4134</v>
      </c>
      <c r="B3208" s="960" t="s">
        <v>4135</v>
      </c>
      <c r="C3208" s="960" t="s">
        <v>4262</v>
      </c>
      <c r="D3208" s="960" t="s">
        <v>4263</v>
      </c>
      <c r="E3208" s="959">
        <v>1</v>
      </c>
      <c r="F3208" s="959">
        <v>11</v>
      </c>
      <c r="G3208" s="959">
        <v>0</v>
      </c>
      <c r="H3208" s="959">
        <v>0</v>
      </c>
    </row>
    <row r="3209" spans="1:8">
      <c r="A3209" s="959" t="s">
        <v>4137</v>
      </c>
      <c r="B3209" s="960" t="s">
        <v>4138</v>
      </c>
      <c r="C3209" s="960" t="s">
        <v>4256</v>
      </c>
      <c r="D3209" s="960" t="s">
        <v>1906</v>
      </c>
      <c r="E3209" s="959">
        <v>2</v>
      </c>
      <c r="F3209" s="959">
        <v>33</v>
      </c>
      <c r="G3209" s="959">
        <v>0</v>
      </c>
      <c r="H3209" s="959">
        <v>0</v>
      </c>
    </row>
    <row r="3210" spans="1:8">
      <c r="A3210" s="959" t="s">
        <v>4137</v>
      </c>
      <c r="B3210" s="960" t="s">
        <v>4138</v>
      </c>
      <c r="C3210" s="960" t="s">
        <v>4256</v>
      </c>
      <c r="D3210" s="960" t="s">
        <v>1907</v>
      </c>
      <c r="E3210" s="959">
        <v>3</v>
      </c>
      <c r="F3210" s="959">
        <v>35</v>
      </c>
      <c r="G3210" s="959">
        <v>0</v>
      </c>
      <c r="H3210" s="959">
        <v>1</v>
      </c>
    </row>
    <row r="3211" spans="1:8">
      <c r="A3211" s="959" t="s">
        <v>4137</v>
      </c>
      <c r="B3211" s="960" t="s">
        <v>4138</v>
      </c>
      <c r="C3211" s="960" t="s">
        <v>4257</v>
      </c>
      <c r="D3211" s="960" t="s">
        <v>4258</v>
      </c>
      <c r="E3211" s="959">
        <v>5</v>
      </c>
      <c r="F3211" s="959">
        <v>64</v>
      </c>
      <c r="G3211" s="959">
        <v>0</v>
      </c>
      <c r="H3211" s="959">
        <v>0</v>
      </c>
    </row>
    <row r="3212" spans="1:8">
      <c r="A3212" s="959" t="s">
        <v>4137</v>
      </c>
      <c r="B3212" s="960" t="s">
        <v>4138</v>
      </c>
      <c r="C3212" s="960" t="s">
        <v>4262</v>
      </c>
      <c r="D3212" s="960" t="s">
        <v>4263</v>
      </c>
      <c r="E3212" s="959">
        <v>0</v>
      </c>
      <c r="F3212" s="959">
        <v>13</v>
      </c>
      <c r="G3212" s="959">
        <v>0</v>
      </c>
      <c r="H3212" s="959">
        <v>0</v>
      </c>
    </row>
    <row r="3213" spans="1:8">
      <c r="A3213" s="959" t="s">
        <v>4139</v>
      </c>
      <c r="B3213" s="960" t="s">
        <v>4140</v>
      </c>
      <c r="C3213" s="960" t="s">
        <v>4256</v>
      </c>
      <c r="D3213" s="960" t="s">
        <v>470</v>
      </c>
      <c r="E3213" s="959">
        <v>0</v>
      </c>
      <c r="F3213" s="959">
        <v>0</v>
      </c>
      <c r="G3213" s="959">
        <v>8</v>
      </c>
      <c r="H3213" s="959">
        <v>15</v>
      </c>
    </row>
    <row r="3214" spans="1:8">
      <c r="A3214" s="959" t="s">
        <v>4139</v>
      </c>
      <c r="B3214" s="960" t="s">
        <v>4140</v>
      </c>
      <c r="C3214" s="960" t="s">
        <v>4256</v>
      </c>
      <c r="D3214" s="960" t="s">
        <v>1904</v>
      </c>
      <c r="E3214" s="959">
        <v>0</v>
      </c>
      <c r="F3214" s="959">
        <v>0</v>
      </c>
      <c r="G3214" s="959">
        <v>1</v>
      </c>
      <c r="H3214" s="959">
        <v>15</v>
      </c>
    </row>
    <row r="3215" spans="1:8">
      <c r="A3215" s="959" t="s">
        <v>4139</v>
      </c>
      <c r="B3215" s="960" t="s">
        <v>4140</v>
      </c>
      <c r="C3215" s="960" t="s">
        <v>4256</v>
      </c>
      <c r="D3215" s="960" t="s">
        <v>4259</v>
      </c>
      <c r="E3215" s="959">
        <v>0</v>
      </c>
      <c r="F3215" s="959">
        <v>0</v>
      </c>
      <c r="G3215" s="959">
        <v>0</v>
      </c>
      <c r="H3215" s="959">
        <v>3</v>
      </c>
    </row>
    <row r="3216" spans="1:8">
      <c r="A3216" s="959" t="s">
        <v>4139</v>
      </c>
      <c r="B3216" s="960" t="s">
        <v>4140</v>
      </c>
      <c r="C3216" s="960" t="s">
        <v>4256</v>
      </c>
      <c r="D3216" s="960" t="s">
        <v>4265</v>
      </c>
      <c r="E3216" s="959">
        <v>0</v>
      </c>
      <c r="F3216" s="959">
        <v>0</v>
      </c>
      <c r="G3216" s="959">
        <v>0</v>
      </c>
      <c r="H3216" s="959">
        <v>1</v>
      </c>
    </row>
    <row r="3217" spans="1:8">
      <c r="A3217" s="959" t="s">
        <v>4139</v>
      </c>
      <c r="B3217" s="960" t="s">
        <v>4140</v>
      </c>
      <c r="C3217" s="960" t="s">
        <v>4256</v>
      </c>
      <c r="D3217" s="960" t="s">
        <v>1906</v>
      </c>
      <c r="E3217" s="959">
        <v>0</v>
      </c>
      <c r="F3217" s="959">
        <v>0</v>
      </c>
      <c r="G3217" s="959">
        <v>0</v>
      </c>
      <c r="H3217" s="959">
        <v>3</v>
      </c>
    </row>
    <row r="3218" spans="1:8">
      <c r="A3218" s="959" t="s">
        <v>4139</v>
      </c>
      <c r="B3218" s="960" t="s">
        <v>4140</v>
      </c>
      <c r="C3218" s="960" t="s">
        <v>4256</v>
      </c>
      <c r="D3218" s="960" t="s">
        <v>4261</v>
      </c>
      <c r="E3218" s="959">
        <v>0</v>
      </c>
      <c r="F3218" s="959">
        <v>0</v>
      </c>
      <c r="G3218" s="959">
        <v>1</v>
      </c>
      <c r="H3218" s="959">
        <v>0</v>
      </c>
    </row>
    <row r="3219" spans="1:8">
      <c r="A3219" s="959" t="s">
        <v>4139</v>
      </c>
      <c r="B3219" s="960" t="s">
        <v>4140</v>
      </c>
      <c r="C3219" s="960" t="s">
        <v>4257</v>
      </c>
      <c r="D3219" s="960" t="s">
        <v>4258</v>
      </c>
      <c r="E3219" s="959">
        <v>0</v>
      </c>
      <c r="F3219" s="959">
        <v>1</v>
      </c>
      <c r="G3219" s="959">
        <v>0</v>
      </c>
      <c r="H3219" s="959">
        <v>2</v>
      </c>
    </row>
    <row r="3220" spans="1:8">
      <c r="A3220" s="959" t="s">
        <v>4139</v>
      </c>
      <c r="B3220" s="960" t="s">
        <v>4140</v>
      </c>
      <c r="C3220" s="960" t="s">
        <v>4267</v>
      </c>
      <c r="D3220" s="960" t="s">
        <v>4268</v>
      </c>
      <c r="E3220" s="959">
        <v>0</v>
      </c>
      <c r="F3220" s="959">
        <v>0</v>
      </c>
      <c r="G3220" s="959">
        <v>0</v>
      </c>
      <c r="H3220" s="959">
        <v>1</v>
      </c>
    </row>
    <row r="3221" spans="1:8">
      <c r="A3221" s="959" t="s">
        <v>4141</v>
      </c>
      <c r="B3221" s="960" t="s">
        <v>4142</v>
      </c>
      <c r="C3221" s="960" t="s">
        <v>4256</v>
      </c>
      <c r="D3221" s="960" t="s">
        <v>1906</v>
      </c>
      <c r="E3221" s="959">
        <v>1</v>
      </c>
      <c r="F3221" s="959">
        <v>8</v>
      </c>
      <c r="G3221" s="959">
        <v>0</v>
      </c>
      <c r="H3221" s="959">
        <v>0</v>
      </c>
    </row>
    <row r="3222" spans="1:8">
      <c r="A3222" s="959" t="s">
        <v>4141</v>
      </c>
      <c r="B3222" s="960" t="s">
        <v>4142</v>
      </c>
      <c r="C3222" s="960" t="s">
        <v>4257</v>
      </c>
      <c r="D3222" s="960" t="s">
        <v>4258</v>
      </c>
      <c r="E3222" s="959">
        <v>1</v>
      </c>
      <c r="F3222" s="959">
        <v>12</v>
      </c>
      <c r="G3222" s="959">
        <v>0</v>
      </c>
      <c r="H3222" s="959">
        <v>0</v>
      </c>
    </row>
    <row r="3223" spans="1:8">
      <c r="A3223" s="959" t="s">
        <v>4143</v>
      </c>
      <c r="B3223" s="960" t="s">
        <v>1692</v>
      </c>
      <c r="C3223" s="960" t="s">
        <v>4256</v>
      </c>
      <c r="D3223" s="960" t="s">
        <v>4261</v>
      </c>
      <c r="E3223" s="959">
        <v>0</v>
      </c>
      <c r="F3223" s="959">
        <v>1</v>
      </c>
      <c r="G3223" s="959">
        <v>0</v>
      </c>
      <c r="H3223" s="959">
        <v>0</v>
      </c>
    </row>
    <row r="3224" spans="1:8">
      <c r="A3224" s="959" t="s">
        <v>4143</v>
      </c>
      <c r="B3224" s="960" t="s">
        <v>1692</v>
      </c>
      <c r="C3224" s="960" t="s">
        <v>4267</v>
      </c>
      <c r="D3224" s="960" t="s">
        <v>4268</v>
      </c>
      <c r="E3224" s="959">
        <v>0</v>
      </c>
      <c r="F3224" s="959">
        <v>0</v>
      </c>
      <c r="G3224" s="959">
        <v>0</v>
      </c>
      <c r="H3224" s="959">
        <v>1</v>
      </c>
    </row>
    <row r="3225" spans="1:8">
      <c r="A3225" s="959" t="s">
        <v>4318</v>
      </c>
      <c r="B3225" s="960" t="s">
        <v>1697</v>
      </c>
      <c r="C3225" s="960" t="s">
        <v>4256</v>
      </c>
      <c r="D3225" s="960" t="s">
        <v>470</v>
      </c>
      <c r="E3225" s="959">
        <v>0</v>
      </c>
      <c r="F3225" s="959">
        <v>0</v>
      </c>
      <c r="G3225" s="959">
        <v>0</v>
      </c>
      <c r="H3225" s="959">
        <v>1</v>
      </c>
    </row>
    <row r="3226" spans="1:8">
      <c r="A3226" s="959" t="s">
        <v>4318</v>
      </c>
      <c r="B3226" s="960" t="s">
        <v>1697</v>
      </c>
      <c r="C3226" s="960" t="s">
        <v>4256</v>
      </c>
      <c r="D3226" s="960" t="s">
        <v>1904</v>
      </c>
      <c r="E3226" s="959">
        <v>0</v>
      </c>
      <c r="F3226" s="959">
        <v>0</v>
      </c>
      <c r="G3226" s="959">
        <v>0</v>
      </c>
      <c r="H3226" s="959">
        <v>1</v>
      </c>
    </row>
    <row r="3227" spans="1:8">
      <c r="A3227" s="959" t="s">
        <v>4318</v>
      </c>
      <c r="B3227" s="960" t="s">
        <v>1697</v>
      </c>
      <c r="C3227" s="960" t="s">
        <v>4256</v>
      </c>
      <c r="D3227" s="960" t="s">
        <v>4259</v>
      </c>
      <c r="E3227" s="959">
        <v>0</v>
      </c>
      <c r="F3227" s="959">
        <v>1</v>
      </c>
      <c r="G3227" s="959">
        <v>0</v>
      </c>
      <c r="H3227" s="959">
        <v>0</v>
      </c>
    </row>
    <row r="3228" spans="1:8">
      <c r="A3228" s="959" t="s">
        <v>4318</v>
      </c>
      <c r="B3228" s="960" t="s">
        <v>1697</v>
      </c>
      <c r="C3228" s="960" t="s">
        <v>4256</v>
      </c>
      <c r="D3228" s="960" t="s">
        <v>4260</v>
      </c>
      <c r="E3228" s="959">
        <v>0</v>
      </c>
      <c r="F3228" s="959">
        <v>0</v>
      </c>
      <c r="G3228" s="959">
        <v>0</v>
      </c>
      <c r="H3228" s="959">
        <v>1</v>
      </c>
    </row>
    <row r="3229" spans="1:8">
      <c r="A3229" s="959" t="s">
        <v>4318</v>
      </c>
      <c r="B3229" s="960" t="s">
        <v>1697</v>
      </c>
      <c r="C3229" s="960" t="s">
        <v>4257</v>
      </c>
      <c r="D3229" s="960" t="s">
        <v>4258</v>
      </c>
      <c r="E3229" s="959">
        <v>0</v>
      </c>
      <c r="F3229" s="959">
        <v>1</v>
      </c>
      <c r="G3229" s="959">
        <v>0</v>
      </c>
      <c r="H3229" s="959">
        <v>0</v>
      </c>
    </row>
    <row r="3230" spans="1:8">
      <c r="A3230" s="959" t="s">
        <v>4318</v>
      </c>
      <c r="B3230" s="960" t="s">
        <v>1697</v>
      </c>
      <c r="C3230" s="960" t="s">
        <v>4262</v>
      </c>
      <c r="D3230" s="960" t="s">
        <v>4263</v>
      </c>
      <c r="E3230" s="959">
        <v>0</v>
      </c>
      <c r="F3230" s="959">
        <v>5</v>
      </c>
      <c r="G3230" s="959">
        <v>0</v>
      </c>
      <c r="H3230" s="959">
        <v>0</v>
      </c>
    </row>
    <row r="3231" spans="1:8">
      <c r="A3231" s="959" t="s">
        <v>4144</v>
      </c>
      <c r="B3231" s="960" t="s">
        <v>4145</v>
      </c>
      <c r="C3231" s="960" t="s">
        <v>4257</v>
      </c>
      <c r="D3231" s="960" t="s">
        <v>4258</v>
      </c>
      <c r="E3231" s="959">
        <v>0</v>
      </c>
      <c r="F3231" s="959">
        <v>11</v>
      </c>
      <c r="G3231" s="959">
        <v>0</v>
      </c>
      <c r="H3231" s="959">
        <v>0</v>
      </c>
    </row>
    <row r="3232" spans="1:8">
      <c r="A3232" s="959" t="s">
        <v>4144</v>
      </c>
      <c r="B3232" s="960" t="s">
        <v>4145</v>
      </c>
      <c r="C3232" s="960" t="s">
        <v>4262</v>
      </c>
      <c r="D3232" s="960" t="s">
        <v>4263</v>
      </c>
      <c r="E3232" s="959">
        <v>0</v>
      </c>
      <c r="F3232" s="959">
        <v>12</v>
      </c>
      <c r="G3232" s="959">
        <v>0</v>
      </c>
      <c r="H3232" s="959">
        <v>0</v>
      </c>
    </row>
    <row r="3233" spans="1:8">
      <c r="A3233" s="959" t="s">
        <v>4146</v>
      </c>
      <c r="B3233" s="960" t="s">
        <v>4147</v>
      </c>
      <c r="C3233" s="960" t="s">
        <v>4275</v>
      </c>
      <c r="D3233" s="960" t="s">
        <v>4276</v>
      </c>
      <c r="E3233" s="959">
        <v>9</v>
      </c>
      <c r="F3233" s="959">
        <v>120</v>
      </c>
      <c r="G3233" s="959">
        <v>0</v>
      </c>
      <c r="H3233" s="959">
        <v>2</v>
      </c>
    </row>
    <row r="3234" spans="1:8">
      <c r="A3234" s="959" t="s">
        <v>4146</v>
      </c>
      <c r="B3234" s="960" t="s">
        <v>4147</v>
      </c>
      <c r="C3234" s="960" t="s">
        <v>4256</v>
      </c>
      <c r="D3234" s="960" t="s">
        <v>1906</v>
      </c>
      <c r="E3234" s="959">
        <v>3</v>
      </c>
      <c r="F3234" s="959">
        <v>44</v>
      </c>
      <c r="G3234" s="959">
        <v>1</v>
      </c>
      <c r="H3234" s="959">
        <v>9</v>
      </c>
    </row>
    <row r="3235" spans="1:8">
      <c r="A3235" s="959" t="s">
        <v>4146</v>
      </c>
      <c r="B3235" s="960" t="s">
        <v>4147</v>
      </c>
      <c r="C3235" s="960" t="s">
        <v>4256</v>
      </c>
      <c r="D3235" s="960" t="s">
        <v>1907</v>
      </c>
      <c r="E3235" s="959">
        <v>1</v>
      </c>
      <c r="F3235" s="959">
        <v>17</v>
      </c>
      <c r="G3235" s="959">
        <v>12</v>
      </c>
      <c r="H3235" s="959">
        <v>154</v>
      </c>
    </row>
    <row r="3236" spans="1:8">
      <c r="A3236" s="959" t="s">
        <v>4146</v>
      </c>
      <c r="B3236" s="960" t="s">
        <v>4147</v>
      </c>
      <c r="C3236" s="960" t="s">
        <v>4257</v>
      </c>
      <c r="D3236" s="960" t="s">
        <v>4258</v>
      </c>
      <c r="E3236" s="959">
        <v>4</v>
      </c>
      <c r="F3236" s="959">
        <v>56</v>
      </c>
      <c r="G3236" s="959">
        <v>1</v>
      </c>
      <c r="H3236" s="959">
        <v>16</v>
      </c>
    </row>
    <row r="3237" spans="1:8">
      <c r="A3237" s="959" t="s">
        <v>4146</v>
      </c>
      <c r="B3237" s="960" t="s">
        <v>4147</v>
      </c>
      <c r="C3237" s="960" t="s">
        <v>4262</v>
      </c>
      <c r="D3237" s="960" t="s">
        <v>4263</v>
      </c>
      <c r="E3237" s="959">
        <v>12</v>
      </c>
      <c r="F3237" s="959">
        <v>165</v>
      </c>
      <c r="G3237" s="959">
        <v>0</v>
      </c>
      <c r="H3237" s="959">
        <v>2</v>
      </c>
    </row>
    <row r="3238" spans="1:8">
      <c r="A3238" s="959" t="s">
        <v>4148</v>
      </c>
      <c r="B3238" s="960" t="s">
        <v>1700</v>
      </c>
      <c r="C3238" s="960" t="s">
        <v>4256</v>
      </c>
      <c r="D3238" s="960" t="s">
        <v>4259</v>
      </c>
      <c r="E3238" s="959">
        <v>0</v>
      </c>
      <c r="F3238" s="959">
        <v>0</v>
      </c>
      <c r="G3238" s="959">
        <v>0</v>
      </c>
      <c r="H3238" s="959">
        <v>1</v>
      </c>
    </row>
    <row r="3239" spans="1:8">
      <c r="A3239" s="959" t="s">
        <v>4149</v>
      </c>
      <c r="B3239" s="960" t="s">
        <v>4150</v>
      </c>
      <c r="C3239" s="960" t="s">
        <v>4275</v>
      </c>
      <c r="D3239" s="960" t="s">
        <v>4276</v>
      </c>
      <c r="E3239" s="959">
        <v>7</v>
      </c>
      <c r="F3239" s="959">
        <v>104</v>
      </c>
      <c r="G3239" s="959">
        <v>1</v>
      </c>
      <c r="H3239" s="959">
        <v>15</v>
      </c>
    </row>
    <row r="3240" spans="1:8">
      <c r="A3240" s="959" t="s">
        <v>4149</v>
      </c>
      <c r="B3240" s="960" t="s">
        <v>4150</v>
      </c>
      <c r="C3240" s="960" t="s">
        <v>4256</v>
      </c>
      <c r="D3240" s="960" t="s">
        <v>4259</v>
      </c>
      <c r="E3240" s="959">
        <v>0</v>
      </c>
      <c r="F3240" s="959">
        <v>0</v>
      </c>
      <c r="G3240" s="959">
        <v>0</v>
      </c>
      <c r="H3240" s="959">
        <v>1</v>
      </c>
    </row>
    <row r="3241" spans="1:8">
      <c r="A3241" s="959" t="s">
        <v>4149</v>
      </c>
      <c r="B3241" s="960" t="s">
        <v>4150</v>
      </c>
      <c r="C3241" s="960" t="s">
        <v>4256</v>
      </c>
      <c r="D3241" s="960" t="s">
        <v>1906</v>
      </c>
      <c r="E3241" s="959">
        <v>17</v>
      </c>
      <c r="F3241" s="959">
        <v>227</v>
      </c>
      <c r="G3241" s="959">
        <v>6</v>
      </c>
      <c r="H3241" s="959">
        <v>80</v>
      </c>
    </row>
    <row r="3242" spans="1:8">
      <c r="A3242" s="959" t="s">
        <v>4149</v>
      </c>
      <c r="B3242" s="960" t="s">
        <v>4150</v>
      </c>
      <c r="C3242" s="960" t="s">
        <v>4256</v>
      </c>
      <c r="D3242" s="960" t="s">
        <v>4264</v>
      </c>
      <c r="E3242" s="959">
        <v>0</v>
      </c>
      <c r="F3242" s="959">
        <v>0</v>
      </c>
      <c r="G3242" s="959">
        <v>0</v>
      </c>
      <c r="H3242" s="959">
        <v>1</v>
      </c>
    </row>
    <row r="3243" spans="1:8">
      <c r="A3243" s="959" t="s">
        <v>4149</v>
      </c>
      <c r="B3243" s="960" t="s">
        <v>4150</v>
      </c>
      <c r="C3243" s="960" t="s">
        <v>4256</v>
      </c>
      <c r="D3243" s="960" t="s">
        <v>1907</v>
      </c>
      <c r="E3243" s="959">
        <v>2</v>
      </c>
      <c r="F3243" s="959">
        <v>21</v>
      </c>
      <c r="G3243" s="959">
        <v>24</v>
      </c>
      <c r="H3243" s="959">
        <v>319</v>
      </c>
    </row>
    <row r="3244" spans="1:8">
      <c r="A3244" s="959" t="s">
        <v>4149</v>
      </c>
      <c r="B3244" s="960" t="s">
        <v>4150</v>
      </c>
      <c r="C3244" s="960" t="s">
        <v>4257</v>
      </c>
      <c r="D3244" s="960" t="s">
        <v>4258</v>
      </c>
      <c r="E3244" s="959">
        <v>22</v>
      </c>
      <c r="F3244" s="959">
        <v>388</v>
      </c>
      <c r="G3244" s="959">
        <v>7</v>
      </c>
      <c r="H3244" s="959">
        <v>100</v>
      </c>
    </row>
    <row r="3245" spans="1:8">
      <c r="A3245" s="959" t="s">
        <v>4149</v>
      </c>
      <c r="B3245" s="960" t="s">
        <v>4150</v>
      </c>
      <c r="C3245" s="960" t="s">
        <v>4262</v>
      </c>
      <c r="D3245" s="960" t="s">
        <v>4263</v>
      </c>
      <c r="E3245" s="959">
        <v>17</v>
      </c>
      <c r="F3245" s="959">
        <v>319</v>
      </c>
      <c r="G3245" s="959">
        <v>0</v>
      </c>
      <c r="H3245" s="959">
        <v>0</v>
      </c>
    </row>
    <row r="3246" spans="1:8">
      <c r="A3246" s="959" t="s">
        <v>4151</v>
      </c>
      <c r="B3246" s="960" t="s">
        <v>4152</v>
      </c>
      <c r="C3246" s="960" t="s">
        <v>4256</v>
      </c>
      <c r="D3246" s="960" t="s">
        <v>470</v>
      </c>
      <c r="E3246" s="959">
        <v>2</v>
      </c>
      <c r="F3246" s="959">
        <v>0</v>
      </c>
      <c r="G3246" s="959">
        <v>0</v>
      </c>
      <c r="H3246" s="959">
        <v>0</v>
      </c>
    </row>
    <row r="3247" spans="1:8">
      <c r="A3247" s="959" t="s">
        <v>4151</v>
      </c>
      <c r="B3247" s="960" t="s">
        <v>4152</v>
      </c>
      <c r="C3247" s="960" t="s">
        <v>4262</v>
      </c>
      <c r="D3247" s="960" t="s">
        <v>4263</v>
      </c>
      <c r="E3247" s="959">
        <v>1</v>
      </c>
      <c r="F3247" s="959">
        <v>0</v>
      </c>
      <c r="G3247" s="959">
        <v>0</v>
      </c>
      <c r="H3247" s="959">
        <v>0</v>
      </c>
    </row>
    <row r="3248" spans="1:8">
      <c r="A3248" s="959" t="s">
        <v>4153</v>
      </c>
      <c r="B3248" s="960" t="s">
        <v>4154</v>
      </c>
      <c r="C3248" s="960" t="s">
        <v>4275</v>
      </c>
      <c r="D3248" s="960" t="s">
        <v>4276</v>
      </c>
      <c r="E3248" s="959">
        <v>4</v>
      </c>
      <c r="F3248" s="959">
        <v>75</v>
      </c>
      <c r="G3248" s="959">
        <v>1</v>
      </c>
      <c r="H3248" s="959">
        <v>9</v>
      </c>
    </row>
    <row r="3249" spans="1:8">
      <c r="A3249" s="959" t="s">
        <v>4153</v>
      </c>
      <c r="B3249" s="960" t="s">
        <v>4154</v>
      </c>
      <c r="C3249" s="960" t="s">
        <v>4256</v>
      </c>
      <c r="D3249" s="960" t="s">
        <v>4270</v>
      </c>
      <c r="E3249" s="959">
        <v>0</v>
      </c>
      <c r="F3249" s="959">
        <v>0</v>
      </c>
      <c r="G3249" s="959">
        <v>0</v>
      </c>
      <c r="H3249" s="959">
        <v>2</v>
      </c>
    </row>
    <row r="3250" spans="1:8">
      <c r="A3250" s="959" t="s">
        <v>4153</v>
      </c>
      <c r="B3250" s="960" t="s">
        <v>4154</v>
      </c>
      <c r="C3250" s="960" t="s">
        <v>4256</v>
      </c>
      <c r="D3250" s="960" t="s">
        <v>4259</v>
      </c>
      <c r="E3250" s="959">
        <v>0</v>
      </c>
      <c r="F3250" s="959">
        <v>0</v>
      </c>
      <c r="G3250" s="959">
        <v>2</v>
      </c>
      <c r="H3250" s="959">
        <v>5</v>
      </c>
    </row>
    <row r="3251" spans="1:8">
      <c r="A3251" s="959" t="s">
        <v>4153</v>
      </c>
      <c r="B3251" s="960" t="s">
        <v>4154</v>
      </c>
      <c r="C3251" s="960" t="s">
        <v>4256</v>
      </c>
      <c r="D3251" s="960" t="s">
        <v>1906</v>
      </c>
      <c r="E3251" s="959">
        <v>2</v>
      </c>
      <c r="F3251" s="959">
        <v>9</v>
      </c>
      <c r="G3251" s="959">
        <v>2</v>
      </c>
      <c r="H3251" s="959">
        <v>7</v>
      </c>
    </row>
    <row r="3252" spans="1:8">
      <c r="A3252" s="959" t="s">
        <v>4153</v>
      </c>
      <c r="B3252" s="960" t="s">
        <v>4154</v>
      </c>
      <c r="C3252" s="960" t="s">
        <v>4256</v>
      </c>
      <c r="D3252" s="960" t="s">
        <v>1907</v>
      </c>
      <c r="E3252" s="959">
        <v>7</v>
      </c>
      <c r="F3252" s="959">
        <v>175</v>
      </c>
      <c r="G3252" s="959">
        <v>1</v>
      </c>
      <c r="H3252" s="959">
        <v>15</v>
      </c>
    </row>
    <row r="3253" spans="1:8">
      <c r="A3253" s="959" t="s">
        <v>4153</v>
      </c>
      <c r="B3253" s="960" t="s">
        <v>4154</v>
      </c>
      <c r="C3253" s="960" t="s">
        <v>4257</v>
      </c>
      <c r="D3253" s="960" t="s">
        <v>4258</v>
      </c>
      <c r="E3253" s="959">
        <v>4</v>
      </c>
      <c r="F3253" s="959">
        <v>156</v>
      </c>
      <c r="G3253" s="959">
        <v>1</v>
      </c>
      <c r="H3253" s="959">
        <v>24</v>
      </c>
    </row>
    <row r="3254" spans="1:8">
      <c r="A3254" s="959" t="s">
        <v>4153</v>
      </c>
      <c r="B3254" s="960" t="s">
        <v>4154</v>
      </c>
      <c r="C3254" s="960" t="s">
        <v>4262</v>
      </c>
      <c r="D3254" s="960" t="s">
        <v>4263</v>
      </c>
      <c r="E3254" s="959">
        <v>0</v>
      </c>
      <c r="F3254" s="959">
        <v>3</v>
      </c>
      <c r="G3254" s="959">
        <v>0</v>
      </c>
      <c r="H3254" s="959">
        <v>0</v>
      </c>
    </row>
    <row r="3255" spans="1:8">
      <c r="A3255" s="959" t="s">
        <v>4155</v>
      </c>
      <c r="B3255" s="960" t="s">
        <v>1702</v>
      </c>
      <c r="C3255" s="960" t="s">
        <v>4256</v>
      </c>
      <c r="D3255" s="960" t="s">
        <v>4259</v>
      </c>
      <c r="E3255" s="959">
        <v>0</v>
      </c>
      <c r="F3255" s="959">
        <v>1</v>
      </c>
      <c r="G3255" s="959">
        <v>0</v>
      </c>
      <c r="H3255" s="959">
        <v>0</v>
      </c>
    </row>
    <row r="3256" spans="1:8">
      <c r="A3256" s="959" t="s">
        <v>4155</v>
      </c>
      <c r="B3256" s="960" t="s">
        <v>1702</v>
      </c>
      <c r="C3256" s="960" t="s">
        <v>4256</v>
      </c>
      <c r="D3256" s="960" t="s">
        <v>4260</v>
      </c>
      <c r="E3256" s="959">
        <v>0</v>
      </c>
      <c r="F3256" s="959">
        <v>1</v>
      </c>
      <c r="G3256" s="959">
        <v>0</v>
      </c>
      <c r="H3256" s="959">
        <v>0</v>
      </c>
    </row>
    <row r="3257" spans="1:8">
      <c r="A3257" s="959" t="s">
        <v>4155</v>
      </c>
      <c r="B3257" s="960" t="s">
        <v>1702</v>
      </c>
      <c r="C3257" s="960" t="s">
        <v>4256</v>
      </c>
      <c r="D3257" s="960" t="s">
        <v>1906</v>
      </c>
      <c r="E3257" s="959">
        <v>0</v>
      </c>
      <c r="F3257" s="959">
        <v>2</v>
      </c>
      <c r="G3257" s="959">
        <v>0</v>
      </c>
      <c r="H3257" s="959">
        <v>0</v>
      </c>
    </row>
    <row r="3258" spans="1:8">
      <c r="A3258" s="959" t="s">
        <v>4155</v>
      </c>
      <c r="B3258" s="960" t="s">
        <v>1702</v>
      </c>
      <c r="C3258" s="960" t="s">
        <v>4257</v>
      </c>
      <c r="D3258" s="960" t="s">
        <v>4258</v>
      </c>
      <c r="E3258" s="959">
        <v>0</v>
      </c>
      <c r="F3258" s="959">
        <v>1</v>
      </c>
      <c r="G3258" s="959">
        <v>0</v>
      </c>
      <c r="H3258" s="959">
        <v>0</v>
      </c>
    </row>
    <row r="3259" spans="1:8">
      <c r="A3259" s="959" t="s">
        <v>4156</v>
      </c>
      <c r="B3259" s="960" t="s">
        <v>4157</v>
      </c>
      <c r="C3259" s="960" t="s">
        <v>4275</v>
      </c>
      <c r="D3259" s="960" t="s">
        <v>4276</v>
      </c>
      <c r="E3259" s="959">
        <v>11</v>
      </c>
      <c r="F3259" s="959">
        <v>179</v>
      </c>
      <c r="G3259" s="959">
        <v>1</v>
      </c>
      <c r="H3259" s="959">
        <v>14</v>
      </c>
    </row>
    <row r="3260" spans="1:8">
      <c r="A3260" s="959" t="s">
        <v>4156</v>
      </c>
      <c r="B3260" s="960" t="s">
        <v>4157</v>
      </c>
      <c r="C3260" s="960" t="s">
        <v>4277</v>
      </c>
      <c r="D3260" s="960" t="s">
        <v>4278</v>
      </c>
      <c r="E3260" s="959">
        <v>0</v>
      </c>
      <c r="F3260" s="959">
        <v>0</v>
      </c>
      <c r="G3260" s="959">
        <v>0</v>
      </c>
      <c r="H3260" s="959">
        <v>3</v>
      </c>
    </row>
    <row r="3261" spans="1:8">
      <c r="A3261" s="959" t="s">
        <v>4156</v>
      </c>
      <c r="B3261" s="960" t="s">
        <v>4157</v>
      </c>
      <c r="C3261" s="960" t="s">
        <v>4256</v>
      </c>
      <c r="D3261" s="960" t="s">
        <v>4260</v>
      </c>
      <c r="E3261" s="959">
        <v>0</v>
      </c>
      <c r="F3261" s="959">
        <v>0</v>
      </c>
      <c r="G3261" s="959">
        <v>0</v>
      </c>
      <c r="H3261" s="959">
        <v>2</v>
      </c>
    </row>
    <row r="3262" spans="1:8">
      <c r="A3262" s="959" t="s">
        <v>4156</v>
      </c>
      <c r="B3262" s="960" t="s">
        <v>4157</v>
      </c>
      <c r="C3262" s="960" t="s">
        <v>4256</v>
      </c>
      <c r="D3262" s="960" t="s">
        <v>1906</v>
      </c>
      <c r="E3262" s="959">
        <v>0</v>
      </c>
      <c r="F3262" s="959">
        <v>12</v>
      </c>
      <c r="G3262" s="959">
        <v>0</v>
      </c>
      <c r="H3262" s="959">
        <v>0</v>
      </c>
    </row>
    <row r="3263" spans="1:8">
      <c r="A3263" s="959" t="s">
        <v>4156</v>
      </c>
      <c r="B3263" s="960" t="s">
        <v>4157</v>
      </c>
      <c r="C3263" s="960" t="s">
        <v>4257</v>
      </c>
      <c r="D3263" s="960" t="s">
        <v>4258</v>
      </c>
      <c r="E3263" s="959">
        <v>6</v>
      </c>
      <c r="F3263" s="959">
        <v>153</v>
      </c>
      <c r="G3263" s="959">
        <v>0</v>
      </c>
      <c r="H3263" s="959">
        <v>15</v>
      </c>
    </row>
    <row r="3264" spans="1:8">
      <c r="A3264" s="959" t="s">
        <v>4156</v>
      </c>
      <c r="B3264" s="960" t="s">
        <v>4157</v>
      </c>
      <c r="C3264" s="960" t="s">
        <v>4262</v>
      </c>
      <c r="D3264" s="960" t="s">
        <v>4263</v>
      </c>
      <c r="E3264" s="959">
        <v>11</v>
      </c>
      <c r="F3264" s="959">
        <v>213</v>
      </c>
      <c r="G3264" s="959">
        <v>0</v>
      </c>
      <c r="H3264" s="959">
        <v>1</v>
      </c>
    </row>
    <row r="3265" spans="1:8">
      <c r="A3265" s="959" t="s">
        <v>4156</v>
      </c>
      <c r="B3265" s="960" t="s">
        <v>4157</v>
      </c>
      <c r="C3265" s="960" t="s">
        <v>4267</v>
      </c>
      <c r="D3265" s="960" t="s">
        <v>4268</v>
      </c>
      <c r="E3265" s="959">
        <v>0</v>
      </c>
      <c r="F3265" s="959">
        <v>1</v>
      </c>
      <c r="G3265" s="959">
        <v>0</v>
      </c>
      <c r="H3265" s="959">
        <v>0</v>
      </c>
    </row>
    <row r="3266" spans="1:8">
      <c r="A3266" s="959" t="s">
        <v>4158</v>
      </c>
      <c r="B3266" s="960" t="s">
        <v>4159</v>
      </c>
      <c r="C3266" s="960" t="s">
        <v>4256</v>
      </c>
      <c r="D3266" s="960" t="s">
        <v>470</v>
      </c>
      <c r="E3266" s="959">
        <v>0</v>
      </c>
      <c r="F3266" s="959">
        <v>0</v>
      </c>
      <c r="G3266" s="959">
        <v>43</v>
      </c>
      <c r="H3266" s="959">
        <v>223</v>
      </c>
    </row>
    <row r="3267" spans="1:8">
      <c r="A3267" s="959" t="s">
        <v>4158</v>
      </c>
      <c r="B3267" s="960" t="s">
        <v>4159</v>
      </c>
      <c r="C3267" s="960" t="s">
        <v>4256</v>
      </c>
      <c r="D3267" s="960" t="s">
        <v>1904</v>
      </c>
      <c r="E3267" s="959">
        <v>0</v>
      </c>
      <c r="F3267" s="959">
        <v>0</v>
      </c>
      <c r="G3267" s="959">
        <v>0</v>
      </c>
      <c r="H3267" s="959">
        <v>3</v>
      </c>
    </row>
    <row r="3268" spans="1:8">
      <c r="A3268" s="959" t="s">
        <v>4158</v>
      </c>
      <c r="B3268" s="960" t="s">
        <v>4159</v>
      </c>
      <c r="C3268" s="960" t="s">
        <v>4256</v>
      </c>
      <c r="D3268" s="960" t="s">
        <v>4270</v>
      </c>
      <c r="E3268" s="959">
        <v>0</v>
      </c>
      <c r="F3268" s="959">
        <v>0</v>
      </c>
      <c r="G3268" s="959">
        <v>0</v>
      </c>
      <c r="H3268" s="959">
        <v>2</v>
      </c>
    </row>
    <row r="3269" spans="1:8">
      <c r="A3269" s="959" t="s">
        <v>4158</v>
      </c>
      <c r="B3269" s="960" t="s">
        <v>4159</v>
      </c>
      <c r="C3269" s="960" t="s">
        <v>4256</v>
      </c>
      <c r="D3269" s="960" t="s">
        <v>4259</v>
      </c>
      <c r="E3269" s="959">
        <v>0</v>
      </c>
      <c r="F3269" s="959">
        <v>0</v>
      </c>
      <c r="G3269" s="959">
        <v>0</v>
      </c>
      <c r="H3269" s="959">
        <v>7</v>
      </c>
    </row>
    <row r="3270" spans="1:8">
      <c r="A3270" s="959" t="s">
        <v>4158</v>
      </c>
      <c r="B3270" s="960" t="s">
        <v>4159</v>
      </c>
      <c r="C3270" s="960" t="s">
        <v>4256</v>
      </c>
      <c r="D3270" s="960" t="s">
        <v>4260</v>
      </c>
      <c r="E3270" s="959">
        <v>0</v>
      </c>
      <c r="F3270" s="959">
        <v>0</v>
      </c>
      <c r="G3270" s="959">
        <v>0</v>
      </c>
      <c r="H3270" s="959">
        <v>16</v>
      </c>
    </row>
    <row r="3271" spans="1:8">
      <c r="A3271" s="959" t="s">
        <v>4158</v>
      </c>
      <c r="B3271" s="960" t="s">
        <v>4159</v>
      </c>
      <c r="C3271" s="960" t="s">
        <v>4256</v>
      </c>
      <c r="D3271" s="960" t="s">
        <v>4264</v>
      </c>
      <c r="E3271" s="959">
        <v>0</v>
      </c>
      <c r="F3271" s="959">
        <v>0</v>
      </c>
      <c r="G3271" s="959">
        <v>0</v>
      </c>
      <c r="H3271" s="959">
        <v>5</v>
      </c>
    </row>
    <row r="3272" spans="1:8">
      <c r="A3272" s="959" t="s">
        <v>4158</v>
      </c>
      <c r="B3272" s="960" t="s">
        <v>4159</v>
      </c>
      <c r="C3272" s="960" t="s">
        <v>4256</v>
      </c>
      <c r="D3272" s="960" t="s">
        <v>4261</v>
      </c>
      <c r="E3272" s="959">
        <v>0</v>
      </c>
      <c r="F3272" s="959">
        <v>0</v>
      </c>
      <c r="G3272" s="959">
        <v>0</v>
      </c>
      <c r="H3272" s="959">
        <v>2</v>
      </c>
    </row>
    <row r="3273" spans="1:8">
      <c r="A3273" s="959" t="s">
        <v>4158</v>
      </c>
      <c r="B3273" s="960" t="s">
        <v>4159</v>
      </c>
      <c r="C3273" s="960" t="s">
        <v>4256</v>
      </c>
      <c r="D3273" s="961" t="s">
        <v>4266</v>
      </c>
      <c r="E3273" s="959">
        <v>0</v>
      </c>
      <c r="F3273" s="959">
        <v>0</v>
      </c>
      <c r="G3273" s="959">
        <v>0</v>
      </c>
      <c r="H3273" s="959">
        <v>2</v>
      </c>
    </row>
    <row r="3274" spans="1:8">
      <c r="A3274" s="959" t="s">
        <v>4158</v>
      </c>
      <c r="B3274" s="960" t="s">
        <v>4159</v>
      </c>
      <c r="C3274" s="960" t="s">
        <v>4257</v>
      </c>
      <c r="D3274" s="960" t="s">
        <v>4258</v>
      </c>
      <c r="E3274" s="959">
        <v>3</v>
      </c>
      <c r="F3274" s="959">
        <v>33</v>
      </c>
      <c r="G3274" s="959">
        <v>2</v>
      </c>
      <c r="H3274" s="959">
        <v>25</v>
      </c>
    </row>
    <row r="3275" spans="1:8">
      <c r="A3275" s="959" t="s">
        <v>4158</v>
      </c>
      <c r="B3275" s="960" t="s">
        <v>4159</v>
      </c>
      <c r="C3275" s="960" t="s">
        <v>4262</v>
      </c>
      <c r="D3275" s="960" t="s">
        <v>4263</v>
      </c>
      <c r="E3275" s="959">
        <v>0</v>
      </c>
      <c r="F3275" s="959">
        <v>1</v>
      </c>
      <c r="G3275" s="959">
        <v>0</v>
      </c>
      <c r="H3275" s="959">
        <v>0</v>
      </c>
    </row>
    <row r="3276" spans="1:8">
      <c r="A3276" s="959" t="s">
        <v>4158</v>
      </c>
      <c r="B3276" s="960" t="s">
        <v>4159</v>
      </c>
      <c r="C3276" s="960" t="s">
        <v>4267</v>
      </c>
      <c r="D3276" s="960" t="s">
        <v>4268</v>
      </c>
      <c r="E3276" s="959">
        <v>0</v>
      </c>
      <c r="F3276" s="959">
        <v>0</v>
      </c>
      <c r="G3276" s="959">
        <v>0</v>
      </c>
      <c r="H3276" s="959">
        <v>1</v>
      </c>
    </row>
    <row r="3277" spans="1:8">
      <c r="A3277" s="959" t="s">
        <v>4160</v>
      </c>
      <c r="B3277" s="960" t="s">
        <v>4161</v>
      </c>
      <c r="C3277" s="960" t="s">
        <v>4256</v>
      </c>
      <c r="D3277" s="960" t="s">
        <v>1906</v>
      </c>
      <c r="E3277" s="959">
        <v>11</v>
      </c>
      <c r="F3277" s="959">
        <v>142</v>
      </c>
      <c r="G3277" s="959">
        <v>3</v>
      </c>
      <c r="H3277" s="959">
        <v>39</v>
      </c>
    </row>
    <row r="3278" spans="1:8">
      <c r="A3278" s="959" t="s">
        <v>4160</v>
      </c>
      <c r="B3278" s="960" t="s">
        <v>4161</v>
      </c>
      <c r="C3278" s="960" t="s">
        <v>4256</v>
      </c>
      <c r="D3278" s="960" t="s">
        <v>4274</v>
      </c>
      <c r="E3278" s="959">
        <v>0</v>
      </c>
      <c r="F3278" s="959">
        <v>4</v>
      </c>
      <c r="G3278" s="959">
        <v>1</v>
      </c>
      <c r="H3278" s="959">
        <v>17</v>
      </c>
    </row>
    <row r="3279" spans="1:8">
      <c r="A3279" s="959" t="s">
        <v>4160</v>
      </c>
      <c r="B3279" s="960" t="s">
        <v>4161</v>
      </c>
      <c r="C3279" s="960" t="s">
        <v>4257</v>
      </c>
      <c r="D3279" s="960" t="s">
        <v>4258</v>
      </c>
      <c r="E3279" s="959">
        <v>13</v>
      </c>
      <c r="F3279" s="959">
        <v>181</v>
      </c>
      <c r="G3279" s="959">
        <v>1</v>
      </c>
      <c r="H3279" s="959">
        <v>13</v>
      </c>
    </row>
    <row r="3280" spans="1:8">
      <c r="A3280" s="959" t="s">
        <v>4160</v>
      </c>
      <c r="B3280" s="960" t="s">
        <v>4161</v>
      </c>
      <c r="C3280" s="960" t="s">
        <v>4262</v>
      </c>
      <c r="D3280" s="960" t="s">
        <v>4263</v>
      </c>
      <c r="E3280" s="959">
        <v>60</v>
      </c>
      <c r="F3280" s="959">
        <v>587</v>
      </c>
      <c r="G3280" s="959">
        <v>3</v>
      </c>
      <c r="H3280" s="959">
        <v>62</v>
      </c>
    </row>
    <row r="3281" spans="1:8">
      <c r="A3281" s="959" t="s">
        <v>4162</v>
      </c>
      <c r="B3281" s="960" t="s">
        <v>4163</v>
      </c>
      <c r="C3281" s="960" t="s">
        <v>4256</v>
      </c>
      <c r="D3281" s="960" t="s">
        <v>470</v>
      </c>
      <c r="E3281" s="959">
        <v>0</v>
      </c>
      <c r="F3281" s="959">
        <v>0</v>
      </c>
      <c r="G3281" s="959">
        <v>9</v>
      </c>
      <c r="H3281" s="959">
        <v>24</v>
      </c>
    </row>
    <row r="3282" spans="1:8">
      <c r="A3282" s="959" t="s">
        <v>4162</v>
      </c>
      <c r="B3282" s="960" t="s">
        <v>4163</v>
      </c>
      <c r="C3282" s="960" t="s">
        <v>4256</v>
      </c>
      <c r="D3282" s="960" t="s">
        <v>1904</v>
      </c>
      <c r="E3282" s="959">
        <v>0</v>
      </c>
      <c r="F3282" s="959">
        <v>0</v>
      </c>
      <c r="G3282" s="959">
        <v>0</v>
      </c>
      <c r="H3282" s="959">
        <v>1</v>
      </c>
    </row>
    <row r="3283" spans="1:8">
      <c r="A3283" s="959" t="s">
        <v>4162</v>
      </c>
      <c r="B3283" s="960" t="s">
        <v>4163</v>
      </c>
      <c r="C3283" s="960" t="s">
        <v>4257</v>
      </c>
      <c r="D3283" s="960" t="s">
        <v>4258</v>
      </c>
      <c r="E3283" s="959">
        <v>0</v>
      </c>
      <c r="F3283" s="959">
        <v>4</v>
      </c>
      <c r="G3283" s="959">
        <v>0</v>
      </c>
      <c r="H3283" s="959">
        <v>1</v>
      </c>
    </row>
    <row r="3284" spans="1:8">
      <c r="A3284" s="959" t="s">
        <v>4162</v>
      </c>
      <c r="B3284" s="960" t="s">
        <v>4163</v>
      </c>
      <c r="C3284" s="960" t="s">
        <v>4262</v>
      </c>
      <c r="D3284" s="960" t="s">
        <v>4263</v>
      </c>
      <c r="E3284" s="959">
        <v>0</v>
      </c>
      <c r="F3284" s="959">
        <v>1</v>
      </c>
      <c r="G3284" s="959">
        <v>0</v>
      </c>
      <c r="H3284" s="959">
        <v>0</v>
      </c>
    </row>
    <row r="3285" spans="1:8">
      <c r="A3285" s="959" t="s">
        <v>4162</v>
      </c>
      <c r="B3285" s="960" t="s">
        <v>4163</v>
      </c>
      <c r="C3285" s="960" t="s">
        <v>4267</v>
      </c>
      <c r="D3285" s="960" t="s">
        <v>4268</v>
      </c>
      <c r="E3285" s="959">
        <v>0</v>
      </c>
      <c r="F3285" s="959">
        <v>0</v>
      </c>
      <c r="G3285" s="959">
        <v>0</v>
      </c>
      <c r="H3285" s="959">
        <v>3</v>
      </c>
    </row>
    <row r="3286" spans="1:8">
      <c r="A3286" s="959" t="s">
        <v>4164</v>
      </c>
      <c r="B3286" s="960" t="s">
        <v>4165</v>
      </c>
      <c r="C3286" s="960" t="s">
        <v>4275</v>
      </c>
      <c r="D3286" s="960" t="s">
        <v>4276</v>
      </c>
      <c r="E3286" s="959">
        <v>15</v>
      </c>
      <c r="F3286" s="959">
        <v>220</v>
      </c>
      <c r="G3286" s="959">
        <v>0</v>
      </c>
      <c r="H3286" s="959">
        <v>6</v>
      </c>
    </row>
    <row r="3287" spans="1:8">
      <c r="A3287" s="959" t="s">
        <v>4164</v>
      </c>
      <c r="B3287" s="960" t="s">
        <v>4165</v>
      </c>
      <c r="C3287" s="960" t="s">
        <v>4256</v>
      </c>
      <c r="D3287" s="960" t="s">
        <v>1906</v>
      </c>
      <c r="E3287" s="959">
        <v>1</v>
      </c>
      <c r="F3287" s="959">
        <v>3</v>
      </c>
      <c r="G3287" s="959">
        <v>0</v>
      </c>
      <c r="H3287" s="959">
        <v>0</v>
      </c>
    </row>
    <row r="3288" spans="1:8">
      <c r="A3288" s="959" t="s">
        <v>4164</v>
      </c>
      <c r="B3288" s="960" t="s">
        <v>4165</v>
      </c>
      <c r="C3288" s="960" t="s">
        <v>4256</v>
      </c>
      <c r="D3288" s="960" t="s">
        <v>1907</v>
      </c>
      <c r="E3288" s="959">
        <v>0</v>
      </c>
      <c r="F3288" s="959">
        <v>1</v>
      </c>
      <c r="G3288" s="959">
        <v>0</v>
      </c>
      <c r="H3288" s="959">
        <v>1</v>
      </c>
    </row>
    <row r="3289" spans="1:8">
      <c r="A3289" s="959" t="s">
        <v>4164</v>
      </c>
      <c r="B3289" s="960" t="s">
        <v>4165</v>
      </c>
      <c r="C3289" s="960" t="s">
        <v>4257</v>
      </c>
      <c r="D3289" s="960" t="s">
        <v>4258</v>
      </c>
      <c r="E3289" s="959">
        <v>3</v>
      </c>
      <c r="F3289" s="959">
        <v>47</v>
      </c>
      <c r="G3289" s="959">
        <v>2</v>
      </c>
      <c r="H3289" s="959">
        <v>9</v>
      </c>
    </row>
    <row r="3290" spans="1:8">
      <c r="A3290" s="959" t="s">
        <v>4164</v>
      </c>
      <c r="B3290" s="960" t="s">
        <v>4165</v>
      </c>
      <c r="C3290" s="960" t="s">
        <v>4262</v>
      </c>
      <c r="D3290" s="960" t="s">
        <v>4263</v>
      </c>
      <c r="E3290" s="959">
        <v>10</v>
      </c>
      <c r="F3290" s="959">
        <v>102</v>
      </c>
      <c r="G3290" s="959">
        <v>0</v>
      </c>
      <c r="H3290" s="959">
        <v>0</v>
      </c>
    </row>
    <row r="3291" spans="1:8">
      <c r="A3291" s="959" t="s">
        <v>4167</v>
      </c>
      <c r="B3291" s="960" t="s">
        <v>4168</v>
      </c>
      <c r="C3291" s="960" t="s">
        <v>4256</v>
      </c>
      <c r="D3291" s="960" t="s">
        <v>1907</v>
      </c>
      <c r="E3291" s="959">
        <v>0</v>
      </c>
      <c r="F3291" s="959">
        <v>0</v>
      </c>
      <c r="G3291" s="959">
        <v>0</v>
      </c>
      <c r="H3291" s="959">
        <v>4</v>
      </c>
    </row>
    <row r="3292" spans="1:8">
      <c r="A3292" s="959" t="s">
        <v>4169</v>
      </c>
      <c r="B3292" s="960" t="s">
        <v>4170</v>
      </c>
      <c r="C3292" s="960" t="s">
        <v>4275</v>
      </c>
      <c r="D3292" s="960" t="s">
        <v>4276</v>
      </c>
      <c r="E3292" s="959">
        <v>3</v>
      </c>
      <c r="F3292" s="959">
        <v>60</v>
      </c>
      <c r="G3292" s="959">
        <v>0</v>
      </c>
      <c r="H3292" s="959">
        <v>0</v>
      </c>
    </row>
    <row r="3293" spans="1:8">
      <c r="A3293" s="959" t="s">
        <v>4169</v>
      </c>
      <c r="B3293" s="960" t="s">
        <v>4170</v>
      </c>
      <c r="C3293" s="960" t="s">
        <v>4256</v>
      </c>
      <c r="D3293" s="960" t="s">
        <v>4259</v>
      </c>
      <c r="E3293" s="959">
        <v>0</v>
      </c>
      <c r="F3293" s="959">
        <v>1</v>
      </c>
      <c r="G3293" s="959">
        <v>2</v>
      </c>
      <c r="H3293" s="959">
        <v>10</v>
      </c>
    </row>
    <row r="3294" spans="1:8">
      <c r="A3294" s="959" t="s">
        <v>4169</v>
      </c>
      <c r="B3294" s="960" t="s">
        <v>4170</v>
      </c>
      <c r="C3294" s="960" t="s">
        <v>4256</v>
      </c>
      <c r="D3294" s="960" t="s">
        <v>1906</v>
      </c>
      <c r="E3294" s="959">
        <v>8</v>
      </c>
      <c r="F3294" s="959">
        <v>107</v>
      </c>
      <c r="G3294" s="959">
        <v>0</v>
      </c>
      <c r="H3294" s="959">
        <v>1</v>
      </c>
    </row>
    <row r="3295" spans="1:8">
      <c r="A3295" s="959" t="s">
        <v>4169</v>
      </c>
      <c r="B3295" s="960" t="s">
        <v>4170</v>
      </c>
      <c r="C3295" s="960" t="s">
        <v>4256</v>
      </c>
      <c r="D3295" s="960" t="s">
        <v>1907</v>
      </c>
      <c r="E3295" s="959">
        <v>0</v>
      </c>
      <c r="F3295" s="959">
        <v>6</v>
      </c>
      <c r="G3295" s="959">
        <v>1</v>
      </c>
      <c r="H3295" s="959">
        <v>20</v>
      </c>
    </row>
    <row r="3296" spans="1:8">
      <c r="A3296" s="959" t="s">
        <v>4169</v>
      </c>
      <c r="B3296" s="960" t="s">
        <v>4170</v>
      </c>
      <c r="C3296" s="960" t="s">
        <v>4257</v>
      </c>
      <c r="D3296" s="960" t="s">
        <v>4258</v>
      </c>
      <c r="E3296" s="959">
        <v>6</v>
      </c>
      <c r="F3296" s="959">
        <v>82</v>
      </c>
      <c r="G3296" s="959">
        <v>0</v>
      </c>
      <c r="H3296" s="959">
        <v>2</v>
      </c>
    </row>
    <row r="3297" spans="1:8">
      <c r="A3297" s="959" t="s">
        <v>4169</v>
      </c>
      <c r="B3297" s="960" t="s">
        <v>4170</v>
      </c>
      <c r="C3297" s="960" t="s">
        <v>4262</v>
      </c>
      <c r="D3297" s="960" t="s">
        <v>4263</v>
      </c>
      <c r="E3297" s="959">
        <v>32</v>
      </c>
      <c r="F3297" s="959">
        <v>655</v>
      </c>
      <c r="G3297" s="959">
        <v>0</v>
      </c>
      <c r="H3297" s="959">
        <v>0</v>
      </c>
    </row>
    <row r="3298" spans="1:8">
      <c r="A3298" s="959" t="s">
        <v>4171</v>
      </c>
      <c r="B3298" s="960" t="s">
        <v>4172</v>
      </c>
      <c r="C3298" s="960" t="s">
        <v>4256</v>
      </c>
      <c r="D3298" s="960" t="s">
        <v>470</v>
      </c>
      <c r="E3298" s="959">
        <v>0</v>
      </c>
      <c r="F3298" s="959">
        <v>0</v>
      </c>
      <c r="G3298" s="959">
        <v>0</v>
      </c>
      <c r="H3298" s="959">
        <v>1</v>
      </c>
    </row>
    <row r="3299" spans="1:8">
      <c r="A3299" s="959" t="s">
        <v>4171</v>
      </c>
      <c r="B3299" s="960" t="s">
        <v>4172</v>
      </c>
      <c r="C3299" s="960" t="s">
        <v>4256</v>
      </c>
      <c r="D3299" s="960" t="s">
        <v>1904</v>
      </c>
      <c r="E3299" s="959">
        <v>0</v>
      </c>
      <c r="F3299" s="959">
        <v>0</v>
      </c>
      <c r="G3299" s="959">
        <v>0</v>
      </c>
      <c r="H3299" s="959">
        <v>15</v>
      </c>
    </row>
    <row r="3300" spans="1:8">
      <c r="A3300" s="959" t="s">
        <v>4171</v>
      </c>
      <c r="B3300" s="960" t="s">
        <v>4172</v>
      </c>
      <c r="C3300" s="960" t="s">
        <v>4256</v>
      </c>
      <c r="D3300" s="960" t="s">
        <v>1907</v>
      </c>
      <c r="E3300" s="959">
        <v>0</v>
      </c>
      <c r="F3300" s="959">
        <v>0</v>
      </c>
      <c r="G3300" s="959">
        <v>0</v>
      </c>
      <c r="H3300" s="959">
        <v>5</v>
      </c>
    </row>
    <row r="3301" spans="1:8">
      <c r="A3301" s="959" t="s">
        <v>4174</v>
      </c>
      <c r="B3301" s="960" t="s">
        <v>4175</v>
      </c>
      <c r="C3301" s="960" t="s">
        <v>4256</v>
      </c>
      <c r="D3301" s="960" t="s">
        <v>470</v>
      </c>
      <c r="E3301" s="959">
        <v>0</v>
      </c>
      <c r="F3301" s="959">
        <v>0</v>
      </c>
      <c r="G3301" s="959">
        <v>0</v>
      </c>
      <c r="H3301" s="959">
        <v>7</v>
      </c>
    </row>
    <row r="3302" spans="1:8">
      <c r="A3302" s="959" t="s">
        <v>4174</v>
      </c>
      <c r="B3302" s="960" t="s">
        <v>4175</v>
      </c>
      <c r="C3302" s="960" t="s">
        <v>4256</v>
      </c>
      <c r="D3302" s="960" t="s">
        <v>4270</v>
      </c>
      <c r="E3302" s="959">
        <v>0</v>
      </c>
      <c r="F3302" s="959">
        <v>1</v>
      </c>
      <c r="G3302" s="959">
        <v>0</v>
      </c>
      <c r="H3302" s="959">
        <v>0</v>
      </c>
    </row>
    <row r="3303" spans="1:8">
      <c r="A3303" s="959" t="s">
        <v>4174</v>
      </c>
      <c r="B3303" s="960" t="s">
        <v>4175</v>
      </c>
      <c r="C3303" s="960" t="s">
        <v>4257</v>
      </c>
      <c r="D3303" s="960" t="s">
        <v>4258</v>
      </c>
      <c r="E3303" s="959">
        <v>1</v>
      </c>
      <c r="F3303" s="959">
        <v>37</v>
      </c>
      <c r="G3303" s="959">
        <v>0</v>
      </c>
      <c r="H3303" s="959">
        <v>0</v>
      </c>
    </row>
    <row r="3304" spans="1:8">
      <c r="A3304" s="959" t="s">
        <v>4176</v>
      </c>
      <c r="B3304" s="960" t="s">
        <v>4177</v>
      </c>
      <c r="C3304" s="960" t="s">
        <v>4256</v>
      </c>
      <c r="D3304" s="960" t="s">
        <v>4264</v>
      </c>
      <c r="E3304" s="959">
        <v>0</v>
      </c>
      <c r="F3304" s="959">
        <v>1</v>
      </c>
      <c r="G3304" s="959">
        <v>0</v>
      </c>
      <c r="H3304" s="959">
        <v>0</v>
      </c>
    </row>
    <row r="3305" spans="1:8">
      <c r="A3305" s="959" t="s">
        <v>4176</v>
      </c>
      <c r="B3305" s="960" t="s">
        <v>4177</v>
      </c>
      <c r="C3305" s="960" t="s">
        <v>4257</v>
      </c>
      <c r="D3305" s="960" t="s">
        <v>4258</v>
      </c>
      <c r="E3305" s="959">
        <v>0</v>
      </c>
      <c r="F3305" s="959">
        <v>3</v>
      </c>
      <c r="G3305" s="959">
        <v>0</v>
      </c>
      <c r="H3305" s="959">
        <v>0</v>
      </c>
    </row>
    <row r="3306" spans="1:8">
      <c r="A3306" s="959" t="s">
        <v>4178</v>
      </c>
      <c r="B3306" s="960" t="s">
        <v>357</v>
      </c>
      <c r="C3306" s="960" t="s">
        <v>4275</v>
      </c>
      <c r="D3306" s="960" t="s">
        <v>4292</v>
      </c>
      <c r="E3306" s="959">
        <v>0</v>
      </c>
      <c r="F3306" s="959">
        <v>2</v>
      </c>
      <c r="G3306" s="959">
        <v>0</v>
      </c>
      <c r="H3306" s="959">
        <v>0</v>
      </c>
    </row>
    <row r="3307" spans="1:8">
      <c r="A3307" s="959" t="s">
        <v>4178</v>
      </c>
      <c r="B3307" s="960" t="s">
        <v>357</v>
      </c>
      <c r="C3307" s="960" t="s">
        <v>4256</v>
      </c>
      <c r="D3307" s="960" t="s">
        <v>4270</v>
      </c>
      <c r="E3307" s="959">
        <v>0</v>
      </c>
      <c r="F3307" s="959">
        <v>0</v>
      </c>
      <c r="G3307" s="959">
        <v>0</v>
      </c>
      <c r="H3307" s="959">
        <v>1</v>
      </c>
    </row>
    <row r="3308" spans="1:8">
      <c r="A3308" s="959" t="s">
        <v>4178</v>
      </c>
      <c r="B3308" s="960" t="s">
        <v>357</v>
      </c>
      <c r="C3308" s="960" t="s">
        <v>4256</v>
      </c>
      <c r="D3308" s="960" t="s">
        <v>4259</v>
      </c>
      <c r="E3308" s="959">
        <v>0</v>
      </c>
      <c r="F3308" s="959">
        <v>1</v>
      </c>
      <c r="G3308" s="959">
        <v>0</v>
      </c>
      <c r="H3308" s="959">
        <v>1</v>
      </c>
    </row>
    <row r="3309" spans="1:8">
      <c r="A3309" s="959" t="s">
        <v>4178</v>
      </c>
      <c r="B3309" s="960" t="s">
        <v>357</v>
      </c>
      <c r="C3309" s="960" t="s">
        <v>4256</v>
      </c>
      <c r="D3309" s="960" t="s">
        <v>4260</v>
      </c>
      <c r="E3309" s="959">
        <v>0</v>
      </c>
      <c r="F3309" s="959">
        <v>1</v>
      </c>
      <c r="G3309" s="959">
        <v>0</v>
      </c>
      <c r="H3309" s="959">
        <v>6</v>
      </c>
    </row>
    <row r="3310" spans="1:8">
      <c r="A3310" s="959" t="s">
        <v>4178</v>
      </c>
      <c r="B3310" s="960" t="s">
        <v>357</v>
      </c>
      <c r="C3310" s="960" t="s">
        <v>4256</v>
      </c>
      <c r="D3310" s="960" t="s">
        <v>4265</v>
      </c>
      <c r="E3310" s="959">
        <v>0</v>
      </c>
      <c r="F3310" s="959">
        <v>1</v>
      </c>
      <c r="G3310" s="959">
        <v>0</v>
      </c>
      <c r="H3310" s="959">
        <v>2</v>
      </c>
    </row>
    <row r="3311" spans="1:8">
      <c r="A3311" s="959" t="s">
        <v>4178</v>
      </c>
      <c r="B3311" s="960" t="s">
        <v>357</v>
      </c>
      <c r="C3311" s="960" t="s">
        <v>4256</v>
      </c>
      <c r="D3311" s="960" t="s">
        <v>4271</v>
      </c>
      <c r="E3311" s="959">
        <v>0</v>
      </c>
      <c r="F3311" s="959">
        <v>0</v>
      </c>
      <c r="G3311" s="959">
        <v>0</v>
      </c>
      <c r="H3311" s="959">
        <v>2</v>
      </c>
    </row>
    <row r="3312" spans="1:8">
      <c r="A3312" s="959" t="s">
        <v>4178</v>
      </c>
      <c r="B3312" s="960" t="s">
        <v>357</v>
      </c>
      <c r="C3312" s="960" t="s">
        <v>4257</v>
      </c>
      <c r="D3312" s="960" t="s">
        <v>4258</v>
      </c>
      <c r="E3312" s="959">
        <v>0</v>
      </c>
      <c r="F3312" s="959">
        <v>2</v>
      </c>
      <c r="G3312" s="959">
        <v>0</v>
      </c>
      <c r="H3312" s="959">
        <v>1</v>
      </c>
    </row>
    <row r="3313" spans="1:8">
      <c r="A3313" s="959" t="s">
        <v>4178</v>
      </c>
      <c r="B3313" s="960" t="s">
        <v>357</v>
      </c>
      <c r="C3313" s="960" t="s">
        <v>4267</v>
      </c>
      <c r="D3313" s="960" t="s">
        <v>4268</v>
      </c>
      <c r="E3313" s="959">
        <v>0</v>
      </c>
      <c r="F3313" s="959">
        <v>0</v>
      </c>
      <c r="G3313" s="959">
        <v>0</v>
      </c>
      <c r="H3313" s="959">
        <v>1</v>
      </c>
    </row>
    <row r="3314" spans="1:8">
      <c r="A3314" s="959" t="s">
        <v>4179</v>
      </c>
      <c r="B3314" s="960" t="s">
        <v>1710</v>
      </c>
      <c r="C3314" s="960" t="s">
        <v>4257</v>
      </c>
      <c r="D3314" s="960" t="s">
        <v>4258</v>
      </c>
      <c r="E3314" s="959">
        <v>0</v>
      </c>
      <c r="F3314" s="959">
        <v>14</v>
      </c>
      <c r="G3314" s="959">
        <v>0</v>
      </c>
      <c r="H3314" s="959">
        <v>0</v>
      </c>
    </row>
    <row r="3315" spans="1:8">
      <c r="A3315" s="959" t="s">
        <v>4180</v>
      </c>
      <c r="B3315" s="960" t="s">
        <v>4181</v>
      </c>
      <c r="C3315" s="960" t="s">
        <v>4256</v>
      </c>
      <c r="D3315" s="960" t="s">
        <v>4264</v>
      </c>
      <c r="E3315" s="959">
        <v>0</v>
      </c>
      <c r="F3315" s="959">
        <v>1</v>
      </c>
      <c r="G3315" s="959">
        <v>0</v>
      </c>
      <c r="H3315" s="959">
        <v>0</v>
      </c>
    </row>
    <row r="3316" spans="1:8">
      <c r="A3316" s="959" t="s">
        <v>4180</v>
      </c>
      <c r="B3316" s="960" t="s">
        <v>4181</v>
      </c>
      <c r="C3316" s="960" t="s">
        <v>4257</v>
      </c>
      <c r="D3316" s="960" t="s">
        <v>4258</v>
      </c>
      <c r="E3316" s="959">
        <v>1</v>
      </c>
      <c r="F3316" s="959">
        <v>7</v>
      </c>
      <c r="G3316" s="959">
        <v>0</v>
      </c>
      <c r="H3316" s="959">
        <v>1</v>
      </c>
    </row>
    <row r="3317" spans="1:8">
      <c r="A3317" s="959" t="s">
        <v>4180</v>
      </c>
      <c r="B3317" s="960" t="s">
        <v>4181</v>
      </c>
      <c r="C3317" s="960" t="s">
        <v>4262</v>
      </c>
      <c r="D3317" s="960" t="s">
        <v>4263</v>
      </c>
      <c r="E3317" s="959">
        <v>0</v>
      </c>
      <c r="F3317" s="959">
        <v>1</v>
      </c>
      <c r="G3317" s="959">
        <v>0</v>
      </c>
      <c r="H3317" s="959">
        <v>0</v>
      </c>
    </row>
    <row r="3318" spans="1:8">
      <c r="A3318" s="959" t="s">
        <v>4182</v>
      </c>
      <c r="B3318" s="960" t="s">
        <v>4183</v>
      </c>
      <c r="C3318" s="960" t="s">
        <v>4262</v>
      </c>
      <c r="D3318" s="960" t="s">
        <v>4263</v>
      </c>
      <c r="E3318" s="959">
        <v>0</v>
      </c>
      <c r="F3318" s="959">
        <v>1</v>
      </c>
      <c r="G3318" s="959">
        <v>0</v>
      </c>
      <c r="H3318" s="959">
        <v>0</v>
      </c>
    </row>
    <row r="3319" spans="1:8">
      <c r="A3319" s="959" t="s">
        <v>4184</v>
      </c>
      <c r="B3319" s="960" t="s">
        <v>4185</v>
      </c>
      <c r="C3319" s="960" t="s">
        <v>4256</v>
      </c>
      <c r="D3319" s="960" t="s">
        <v>4259</v>
      </c>
      <c r="E3319" s="959">
        <v>0</v>
      </c>
      <c r="F3319" s="959">
        <v>0</v>
      </c>
      <c r="G3319" s="959">
        <v>0</v>
      </c>
      <c r="H3319" s="959">
        <v>1</v>
      </c>
    </row>
    <row r="3320" spans="1:8">
      <c r="A3320" s="959" t="s">
        <v>4184</v>
      </c>
      <c r="B3320" s="960" t="s">
        <v>4185</v>
      </c>
      <c r="C3320" s="960" t="s">
        <v>4256</v>
      </c>
      <c r="D3320" s="960" t="s">
        <v>4264</v>
      </c>
      <c r="E3320" s="959">
        <v>0</v>
      </c>
      <c r="F3320" s="959">
        <v>0</v>
      </c>
      <c r="G3320" s="959">
        <v>0</v>
      </c>
      <c r="H3320" s="959">
        <v>4</v>
      </c>
    </row>
    <row r="3321" spans="1:8">
      <c r="A3321" s="959" t="s">
        <v>4184</v>
      </c>
      <c r="B3321" s="960" t="s">
        <v>4185</v>
      </c>
      <c r="C3321" s="960" t="s">
        <v>4257</v>
      </c>
      <c r="D3321" s="960" t="s">
        <v>4258</v>
      </c>
      <c r="E3321" s="959">
        <v>1</v>
      </c>
      <c r="F3321" s="959">
        <v>32</v>
      </c>
      <c r="G3321" s="959">
        <v>0</v>
      </c>
      <c r="H3321" s="959">
        <v>4</v>
      </c>
    </row>
    <row r="3322" spans="1:8">
      <c r="A3322" s="959" t="s">
        <v>4184</v>
      </c>
      <c r="B3322" s="960" t="s">
        <v>4185</v>
      </c>
      <c r="C3322" s="960" t="s">
        <v>4262</v>
      </c>
      <c r="D3322" s="960" t="s">
        <v>4263</v>
      </c>
      <c r="E3322" s="959">
        <v>0</v>
      </c>
      <c r="F3322" s="959">
        <v>9</v>
      </c>
      <c r="G3322" s="959">
        <v>0</v>
      </c>
      <c r="H3322" s="959">
        <v>0</v>
      </c>
    </row>
    <row r="3323" spans="1:8">
      <c r="A3323" s="959" t="s">
        <v>4186</v>
      </c>
      <c r="B3323" s="960" t="s">
        <v>1729</v>
      </c>
      <c r="C3323" s="960" t="s">
        <v>4256</v>
      </c>
      <c r="D3323" s="960" t="s">
        <v>4260</v>
      </c>
      <c r="E3323" s="959">
        <v>0</v>
      </c>
      <c r="F3323" s="959">
        <v>1</v>
      </c>
      <c r="G3323" s="959">
        <v>0</v>
      </c>
      <c r="H3323" s="959">
        <v>0</v>
      </c>
    </row>
    <row r="3324" spans="1:8">
      <c r="A3324" s="959" t="s">
        <v>4186</v>
      </c>
      <c r="B3324" s="960" t="s">
        <v>1729</v>
      </c>
      <c r="C3324" s="960" t="s">
        <v>4256</v>
      </c>
      <c r="D3324" s="960" t="s">
        <v>1906</v>
      </c>
      <c r="E3324" s="959">
        <v>0</v>
      </c>
      <c r="F3324" s="959">
        <v>1</v>
      </c>
      <c r="G3324" s="959">
        <v>0</v>
      </c>
      <c r="H3324" s="959">
        <v>0</v>
      </c>
    </row>
    <row r="3325" spans="1:8">
      <c r="A3325" s="959" t="s">
        <v>4186</v>
      </c>
      <c r="B3325" s="960" t="s">
        <v>1729</v>
      </c>
      <c r="C3325" s="960" t="s">
        <v>4257</v>
      </c>
      <c r="D3325" s="960" t="s">
        <v>4258</v>
      </c>
      <c r="E3325" s="959">
        <v>0</v>
      </c>
      <c r="F3325" s="959">
        <v>6</v>
      </c>
      <c r="G3325" s="959">
        <v>0</v>
      </c>
      <c r="H3325" s="959">
        <v>0</v>
      </c>
    </row>
    <row r="3326" spans="1:8">
      <c r="A3326" s="959" t="s">
        <v>4186</v>
      </c>
      <c r="B3326" s="960" t="s">
        <v>1729</v>
      </c>
      <c r="C3326" s="960" t="s">
        <v>4262</v>
      </c>
      <c r="D3326" s="960" t="s">
        <v>4263</v>
      </c>
      <c r="E3326" s="959">
        <v>35</v>
      </c>
      <c r="F3326" s="959">
        <v>796</v>
      </c>
      <c r="G3326" s="959">
        <v>0</v>
      </c>
      <c r="H3326" s="959">
        <v>1</v>
      </c>
    </row>
    <row r="3327" spans="1:8">
      <c r="A3327" s="959" t="s">
        <v>4186</v>
      </c>
      <c r="B3327" s="960" t="s">
        <v>1729</v>
      </c>
      <c r="C3327" s="960" t="s">
        <v>4267</v>
      </c>
      <c r="D3327" s="960" t="s">
        <v>4268</v>
      </c>
      <c r="E3327" s="959">
        <v>0</v>
      </c>
      <c r="F3327" s="959">
        <v>0</v>
      </c>
      <c r="G3327" s="959">
        <v>0</v>
      </c>
      <c r="H3327" s="959">
        <v>19</v>
      </c>
    </row>
    <row r="3328" spans="1:8">
      <c r="A3328" s="959" t="s">
        <v>4187</v>
      </c>
      <c r="B3328" s="960" t="s">
        <v>4188</v>
      </c>
      <c r="C3328" s="960" t="s">
        <v>4256</v>
      </c>
      <c r="D3328" s="960" t="s">
        <v>470</v>
      </c>
      <c r="E3328" s="959">
        <v>0</v>
      </c>
      <c r="F3328" s="959">
        <v>0</v>
      </c>
      <c r="G3328" s="959">
        <v>0</v>
      </c>
      <c r="H3328" s="959">
        <v>2</v>
      </c>
    </row>
    <row r="3329" spans="1:8">
      <c r="A3329" s="959" t="s">
        <v>4187</v>
      </c>
      <c r="B3329" s="960" t="s">
        <v>4188</v>
      </c>
      <c r="C3329" s="960" t="s">
        <v>4256</v>
      </c>
      <c r="D3329" s="960" t="s">
        <v>1904</v>
      </c>
      <c r="E3329" s="959">
        <v>0</v>
      </c>
      <c r="F3329" s="959">
        <v>0</v>
      </c>
      <c r="G3329" s="959">
        <v>0</v>
      </c>
      <c r="H3329" s="959">
        <v>3</v>
      </c>
    </row>
    <row r="3330" spans="1:8">
      <c r="A3330" s="959" t="s">
        <v>4187</v>
      </c>
      <c r="B3330" s="960" t="s">
        <v>4188</v>
      </c>
      <c r="C3330" s="960" t="s">
        <v>4256</v>
      </c>
      <c r="D3330" s="960" t="s">
        <v>1906</v>
      </c>
      <c r="E3330" s="959">
        <v>3</v>
      </c>
      <c r="F3330" s="959">
        <v>34</v>
      </c>
      <c r="G3330" s="959">
        <v>6</v>
      </c>
      <c r="H3330" s="959">
        <v>79</v>
      </c>
    </row>
    <row r="3331" spans="1:8">
      <c r="A3331" s="959" t="s">
        <v>4187</v>
      </c>
      <c r="B3331" s="960" t="s">
        <v>4188</v>
      </c>
      <c r="C3331" s="960" t="s">
        <v>4256</v>
      </c>
      <c r="D3331" s="960" t="s">
        <v>4264</v>
      </c>
      <c r="E3331" s="959">
        <v>0</v>
      </c>
      <c r="F3331" s="959">
        <v>0</v>
      </c>
      <c r="G3331" s="959">
        <v>0</v>
      </c>
      <c r="H3331" s="959">
        <v>1</v>
      </c>
    </row>
    <row r="3332" spans="1:8">
      <c r="A3332" s="959" t="s">
        <v>4187</v>
      </c>
      <c r="B3332" s="960" t="s">
        <v>4188</v>
      </c>
      <c r="C3332" s="960" t="s">
        <v>4257</v>
      </c>
      <c r="D3332" s="960" t="s">
        <v>4258</v>
      </c>
      <c r="E3332" s="959">
        <v>8</v>
      </c>
      <c r="F3332" s="959">
        <v>70</v>
      </c>
      <c r="G3332" s="959">
        <v>1</v>
      </c>
      <c r="H3332" s="959">
        <v>20</v>
      </c>
    </row>
    <row r="3333" spans="1:8">
      <c r="A3333" s="959" t="s">
        <v>4187</v>
      </c>
      <c r="B3333" s="960" t="s">
        <v>4188</v>
      </c>
      <c r="C3333" s="960" t="s">
        <v>4262</v>
      </c>
      <c r="D3333" s="960" t="s">
        <v>4263</v>
      </c>
      <c r="E3333" s="959">
        <v>0</v>
      </c>
      <c r="F3333" s="959">
        <v>1</v>
      </c>
      <c r="G3333" s="959">
        <v>0</v>
      </c>
      <c r="H3333" s="959">
        <v>0</v>
      </c>
    </row>
    <row r="3334" spans="1:8">
      <c r="A3334" s="959" t="s">
        <v>4189</v>
      </c>
      <c r="B3334" s="960" t="s">
        <v>4190</v>
      </c>
      <c r="C3334" s="960" t="s">
        <v>4257</v>
      </c>
      <c r="D3334" s="960" t="s">
        <v>4258</v>
      </c>
      <c r="E3334" s="959">
        <v>0</v>
      </c>
      <c r="F3334" s="959">
        <v>58</v>
      </c>
      <c r="G3334" s="959">
        <v>1</v>
      </c>
      <c r="H3334" s="959">
        <v>16</v>
      </c>
    </row>
    <row r="3335" spans="1:8">
      <c r="A3335" s="959" t="s">
        <v>4189</v>
      </c>
      <c r="B3335" s="960" t="s">
        <v>4190</v>
      </c>
      <c r="C3335" s="960" t="s">
        <v>4262</v>
      </c>
      <c r="D3335" s="960" t="s">
        <v>4263</v>
      </c>
      <c r="E3335" s="959">
        <v>6</v>
      </c>
      <c r="F3335" s="959">
        <v>123</v>
      </c>
      <c r="G3335" s="959">
        <v>0</v>
      </c>
      <c r="H3335" s="959">
        <v>5</v>
      </c>
    </row>
    <row r="3336" spans="1:8">
      <c r="A3336" s="959" t="s">
        <v>4191</v>
      </c>
      <c r="B3336" s="960" t="s">
        <v>4192</v>
      </c>
      <c r="C3336" s="960" t="s">
        <v>4256</v>
      </c>
      <c r="D3336" s="960" t="s">
        <v>4270</v>
      </c>
      <c r="E3336" s="959">
        <v>0</v>
      </c>
      <c r="F3336" s="959">
        <v>0</v>
      </c>
      <c r="G3336" s="959">
        <v>1</v>
      </c>
      <c r="H3336" s="959">
        <v>0</v>
      </c>
    </row>
    <row r="3337" spans="1:8">
      <c r="A3337" s="959" t="s">
        <v>4191</v>
      </c>
      <c r="B3337" s="960" t="s">
        <v>4192</v>
      </c>
      <c r="C3337" s="960" t="s">
        <v>4256</v>
      </c>
      <c r="D3337" s="960" t="s">
        <v>4259</v>
      </c>
      <c r="E3337" s="959">
        <v>4</v>
      </c>
      <c r="F3337" s="959">
        <v>4</v>
      </c>
      <c r="G3337" s="959">
        <v>8</v>
      </c>
      <c r="H3337" s="959">
        <v>6</v>
      </c>
    </row>
    <row r="3338" spans="1:8">
      <c r="A3338" s="959" t="s">
        <v>4191</v>
      </c>
      <c r="B3338" s="960" t="s">
        <v>4192</v>
      </c>
      <c r="C3338" s="960" t="s">
        <v>4256</v>
      </c>
      <c r="D3338" s="960" t="s">
        <v>4260</v>
      </c>
      <c r="E3338" s="959">
        <v>0</v>
      </c>
      <c r="F3338" s="959">
        <v>0</v>
      </c>
      <c r="G3338" s="959">
        <v>0</v>
      </c>
      <c r="H3338" s="959">
        <v>1</v>
      </c>
    </row>
    <row r="3339" spans="1:8">
      <c r="A3339" s="959" t="s">
        <v>4191</v>
      </c>
      <c r="B3339" s="960" t="s">
        <v>4192</v>
      </c>
      <c r="C3339" s="960" t="s">
        <v>4256</v>
      </c>
      <c r="D3339" s="960" t="s">
        <v>1906</v>
      </c>
      <c r="E3339" s="959">
        <v>47</v>
      </c>
      <c r="F3339" s="959">
        <v>972</v>
      </c>
      <c r="G3339" s="959">
        <v>8</v>
      </c>
      <c r="H3339" s="959">
        <v>110</v>
      </c>
    </row>
    <row r="3340" spans="1:8">
      <c r="A3340" s="959" t="s">
        <v>4191</v>
      </c>
      <c r="B3340" s="960" t="s">
        <v>4192</v>
      </c>
      <c r="C3340" s="960" t="s">
        <v>4256</v>
      </c>
      <c r="D3340" s="960" t="s">
        <v>1907</v>
      </c>
      <c r="E3340" s="959">
        <v>9</v>
      </c>
      <c r="F3340" s="959">
        <v>117</v>
      </c>
      <c r="G3340" s="959">
        <v>2</v>
      </c>
      <c r="H3340" s="959">
        <v>31</v>
      </c>
    </row>
    <row r="3341" spans="1:8">
      <c r="A3341" s="959" t="s">
        <v>4191</v>
      </c>
      <c r="B3341" s="960" t="s">
        <v>4192</v>
      </c>
      <c r="C3341" s="960" t="s">
        <v>4257</v>
      </c>
      <c r="D3341" s="960" t="s">
        <v>4285</v>
      </c>
      <c r="E3341" s="959">
        <v>0</v>
      </c>
      <c r="F3341" s="959">
        <v>72</v>
      </c>
      <c r="G3341" s="959">
        <v>0</v>
      </c>
      <c r="H3341" s="959">
        <v>8</v>
      </c>
    </row>
    <row r="3342" spans="1:8">
      <c r="A3342" s="959" t="s">
        <v>4191</v>
      </c>
      <c r="B3342" s="960" t="s">
        <v>4192</v>
      </c>
      <c r="C3342" s="960" t="s">
        <v>4257</v>
      </c>
      <c r="D3342" s="960" t="s">
        <v>4258</v>
      </c>
      <c r="E3342" s="959">
        <v>30</v>
      </c>
      <c r="F3342" s="959">
        <v>483</v>
      </c>
      <c r="G3342" s="959">
        <v>16</v>
      </c>
      <c r="H3342" s="959">
        <v>208</v>
      </c>
    </row>
    <row r="3343" spans="1:8">
      <c r="A3343" s="959" t="s">
        <v>4191</v>
      </c>
      <c r="B3343" s="960" t="s">
        <v>4192</v>
      </c>
      <c r="C3343" s="960" t="s">
        <v>4262</v>
      </c>
      <c r="D3343" s="960" t="s">
        <v>4263</v>
      </c>
      <c r="E3343" s="959">
        <v>27</v>
      </c>
      <c r="F3343" s="959">
        <v>600</v>
      </c>
      <c r="G3343" s="959">
        <v>0</v>
      </c>
      <c r="H3343" s="959">
        <v>13</v>
      </c>
    </row>
    <row r="3344" spans="1:8">
      <c r="A3344" s="959" t="s">
        <v>4194</v>
      </c>
      <c r="B3344" s="960" t="s">
        <v>4195</v>
      </c>
      <c r="C3344" s="960" t="s">
        <v>4275</v>
      </c>
      <c r="D3344" s="960" t="s">
        <v>4276</v>
      </c>
      <c r="E3344" s="959">
        <v>0</v>
      </c>
      <c r="F3344" s="959">
        <v>0</v>
      </c>
      <c r="G3344" s="959">
        <v>0</v>
      </c>
      <c r="H3344" s="959">
        <v>2</v>
      </c>
    </row>
    <row r="3345" spans="1:8">
      <c r="A3345" s="959" t="s">
        <v>4194</v>
      </c>
      <c r="B3345" s="960" t="s">
        <v>4195</v>
      </c>
      <c r="C3345" s="960" t="s">
        <v>4256</v>
      </c>
      <c r="D3345" s="960" t="s">
        <v>4270</v>
      </c>
      <c r="E3345" s="959">
        <v>0</v>
      </c>
      <c r="F3345" s="959">
        <v>0</v>
      </c>
      <c r="G3345" s="959">
        <v>1</v>
      </c>
      <c r="H3345" s="959">
        <v>1</v>
      </c>
    </row>
    <row r="3346" spans="1:8">
      <c r="A3346" s="959" t="s">
        <v>4194</v>
      </c>
      <c r="B3346" s="960" t="s">
        <v>4195</v>
      </c>
      <c r="C3346" s="960" t="s">
        <v>4256</v>
      </c>
      <c r="D3346" s="960" t="s">
        <v>4260</v>
      </c>
      <c r="E3346" s="959">
        <v>0</v>
      </c>
      <c r="F3346" s="959">
        <v>0</v>
      </c>
      <c r="G3346" s="959">
        <v>0</v>
      </c>
      <c r="H3346" s="959">
        <v>6</v>
      </c>
    </row>
    <row r="3347" spans="1:8">
      <c r="A3347" s="959" t="s">
        <v>4194</v>
      </c>
      <c r="B3347" s="960" t="s">
        <v>4195</v>
      </c>
      <c r="C3347" s="960" t="s">
        <v>4256</v>
      </c>
      <c r="D3347" s="960" t="s">
        <v>1906</v>
      </c>
      <c r="E3347" s="959">
        <v>0</v>
      </c>
      <c r="F3347" s="959">
        <v>5</v>
      </c>
      <c r="G3347" s="959">
        <v>2</v>
      </c>
      <c r="H3347" s="959">
        <v>22</v>
      </c>
    </row>
    <row r="3348" spans="1:8">
      <c r="A3348" s="959" t="s">
        <v>4194</v>
      </c>
      <c r="B3348" s="960" t="s">
        <v>4195</v>
      </c>
      <c r="C3348" s="960" t="s">
        <v>4256</v>
      </c>
      <c r="D3348" s="960" t="s">
        <v>4264</v>
      </c>
      <c r="E3348" s="959">
        <v>0</v>
      </c>
      <c r="F3348" s="959">
        <v>0</v>
      </c>
      <c r="G3348" s="959">
        <v>0</v>
      </c>
      <c r="H3348" s="959">
        <v>1</v>
      </c>
    </row>
    <row r="3349" spans="1:8">
      <c r="A3349" s="959" t="s">
        <v>4194</v>
      </c>
      <c r="B3349" s="960" t="s">
        <v>4195</v>
      </c>
      <c r="C3349" s="960" t="s">
        <v>4256</v>
      </c>
      <c r="D3349" s="960" t="s">
        <v>1907</v>
      </c>
      <c r="E3349" s="959">
        <v>0</v>
      </c>
      <c r="F3349" s="959">
        <v>6</v>
      </c>
      <c r="G3349" s="959">
        <v>35</v>
      </c>
      <c r="H3349" s="959">
        <v>415</v>
      </c>
    </row>
    <row r="3350" spans="1:8">
      <c r="A3350" s="959" t="s">
        <v>4194</v>
      </c>
      <c r="B3350" s="960" t="s">
        <v>4195</v>
      </c>
      <c r="C3350" s="960" t="s">
        <v>4257</v>
      </c>
      <c r="D3350" s="960" t="s">
        <v>4258</v>
      </c>
      <c r="E3350" s="959">
        <v>1</v>
      </c>
      <c r="F3350" s="959">
        <v>16</v>
      </c>
      <c r="G3350" s="959">
        <v>4</v>
      </c>
      <c r="H3350" s="959">
        <v>26</v>
      </c>
    </row>
    <row r="3351" spans="1:8">
      <c r="A3351" s="959" t="s">
        <v>4196</v>
      </c>
      <c r="B3351" s="960" t="s">
        <v>4197</v>
      </c>
      <c r="C3351" s="960" t="s">
        <v>4256</v>
      </c>
      <c r="D3351" s="960" t="s">
        <v>470</v>
      </c>
      <c r="E3351" s="959">
        <v>0</v>
      </c>
      <c r="F3351" s="959">
        <v>0</v>
      </c>
      <c r="G3351" s="959">
        <v>4</v>
      </c>
      <c r="H3351" s="959">
        <v>21</v>
      </c>
    </row>
    <row r="3352" spans="1:8">
      <c r="A3352" s="959" t="s">
        <v>4196</v>
      </c>
      <c r="B3352" s="960" t="s">
        <v>4197</v>
      </c>
      <c r="C3352" s="960" t="s">
        <v>4256</v>
      </c>
      <c r="D3352" s="960" t="s">
        <v>4260</v>
      </c>
      <c r="E3352" s="959">
        <v>0</v>
      </c>
      <c r="F3352" s="959">
        <v>0</v>
      </c>
      <c r="G3352" s="959">
        <v>0</v>
      </c>
      <c r="H3352" s="959">
        <v>2</v>
      </c>
    </row>
    <row r="3353" spans="1:8">
      <c r="A3353" s="959" t="s">
        <v>4198</v>
      </c>
      <c r="B3353" s="960" t="s">
        <v>4199</v>
      </c>
      <c r="C3353" s="960" t="s">
        <v>4257</v>
      </c>
      <c r="D3353" s="960" t="s">
        <v>4258</v>
      </c>
      <c r="E3353" s="959">
        <v>1</v>
      </c>
      <c r="F3353" s="959">
        <v>16</v>
      </c>
      <c r="G3353" s="959">
        <v>0</v>
      </c>
      <c r="H3353" s="959">
        <v>0</v>
      </c>
    </row>
    <row r="3354" spans="1:8">
      <c r="A3354" s="959" t="s">
        <v>4200</v>
      </c>
      <c r="B3354" s="960" t="s">
        <v>4201</v>
      </c>
      <c r="C3354" s="960" t="s">
        <v>4257</v>
      </c>
      <c r="D3354" s="960" t="s">
        <v>4258</v>
      </c>
      <c r="E3354" s="959">
        <v>1</v>
      </c>
      <c r="F3354" s="959">
        <v>41</v>
      </c>
      <c r="G3354" s="959">
        <v>0</v>
      </c>
      <c r="H3354" s="959">
        <v>0</v>
      </c>
    </row>
    <row r="3355" spans="1:8">
      <c r="A3355" s="959" t="s">
        <v>4200</v>
      </c>
      <c r="B3355" s="960" t="s">
        <v>4201</v>
      </c>
      <c r="C3355" s="960" t="s">
        <v>4262</v>
      </c>
      <c r="D3355" s="960" t="s">
        <v>4263</v>
      </c>
      <c r="E3355" s="959">
        <v>4</v>
      </c>
      <c r="F3355" s="959">
        <v>30</v>
      </c>
      <c r="G3355" s="959">
        <v>0</v>
      </c>
      <c r="H3355" s="959">
        <v>2</v>
      </c>
    </row>
    <row r="3356" spans="1:8">
      <c r="A3356" s="959" t="s">
        <v>4202</v>
      </c>
      <c r="B3356" s="960" t="s">
        <v>4203</v>
      </c>
      <c r="C3356" s="960" t="s">
        <v>4257</v>
      </c>
      <c r="D3356" s="960" t="s">
        <v>4258</v>
      </c>
      <c r="E3356" s="959">
        <v>0</v>
      </c>
      <c r="F3356" s="959">
        <v>29</v>
      </c>
      <c r="G3356" s="959">
        <v>0</v>
      </c>
      <c r="H3356" s="959">
        <v>0</v>
      </c>
    </row>
    <row r="3357" spans="1:8">
      <c r="A3357" s="959" t="s">
        <v>4204</v>
      </c>
      <c r="B3357" s="960" t="s">
        <v>4205</v>
      </c>
      <c r="C3357" s="960" t="s">
        <v>4256</v>
      </c>
      <c r="D3357" s="960" t="s">
        <v>470</v>
      </c>
      <c r="E3357" s="959">
        <v>0</v>
      </c>
      <c r="F3357" s="959">
        <v>5</v>
      </c>
      <c r="G3357" s="959">
        <v>20</v>
      </c>
      <c r="H3357" s="959">
        <v>94</v>
      </c>
    </row>
    <row r="3358" spans="1:8">
      <c r="A3358" s="959" t="s">
        <v>4204</v>
      </c>
      <c r="B3358" s="960" t="s">
        <v>4205</v>
      </c>
      <c r="C3358" s="960" t="s">
        <v>4256</v>
      </c>
      <c r="D3358" s="960" t="s">
        <v>1904</v>
      </c>
      <c r="E3358" s="959">
        <v>0</v>
      </c>
      <c r="F3358" s="959">
        <v>0</v>
      </c>
      <c r="G3358" s="959">
        <v>1</v>
      </c>
      <c r="H3358" s="959">
        <v>17</v>
      </c>
    </row>
    <row r="3359" spans="1:8">
      <c r="A3359" s="959" t="s">
        <v>4204</v>
      </c>
      <c r="B3359" s="960" t="s">
        <v>4205</v>
      </c>
      <c r="C3359" s="960" t="s">
        <v>4256</v>
      </c>
      <c r="D3359" s="960" t="s">
        <v>4270</v>
      </c>
      <c r="E3359" s="959">
        <v>0</v>
      </c>
      <c r="F3359" s="959">
        <v>0</v>
      </c>
      <c r="G3359" s="959">
        <v>0</v>
      </c>
      <c r="H3359" s="959">
        <v>2</v>
      </c>
    </row>
    <row r="3360" spans="1:8">
      <c r="A3360" s="959" t="s">
        <v>4204</v>
      </c>
      <c r="B3360" s="960" t="s">
        <v>4205</v>
      </c>
      <c r="C3360" s="960" t="s">
        <v>4256</v>
      </c>
      <c r="D3360" s="960" t="s">
        <v>4260</v>
      </c>
      <c r="E3360" s="959">
        <v>0</v>
      </c>
      <c r="F3360" s="959">
        <v>0</v>
      </c>
      <c r="G3360" s="959">
        <v>0</v>
      </c>
      <c r="H3360" s="959">
        <v>16</v>
      </c>
    </row>
    <row r="3361" spans="1:8">
      <c r="A3361" s="959" t="s">
        <v>4204</v>
      </c>
      <c r="B3361" s="960" t="s">
        <v>4205</v>
      </c>
      <c r="C3361" s="960" t="s">
        <v>4256</v>
      </c>
      <c r="D3361" s="960" t="s">
        <v>4265</v>
      </c>
      <c r="E3361" s="959">
        <v>0</v>
      </c>
      <c r="F3361" s="959">
        <v>0</v>
      </c>
      <c r="G3361" s="959">
        <v>1</v>
      </c>
      <c r="H3361" s="959">
        <v>2</v>
      </c>
    </row>
    <row r="3362" spans="1:8">
      <c r="A3362" s="959" t="s">
        <v>4204</v>
      </c>
      <c r="B3362" s="960" t="s">
        <v>4205</v>
      </c>
      <c r="C3362" s="960" t="s">
        <v>4256</v>
      </c>
      <c r="D3362" s="960" t="s">
        <v>1906</v>
      </c>
      <c r="E3362" s="959">
        <v>0</v>
      </c>
      <c r="F3362" s="959">
        <v>0</v>
      </c>
      <c r="G3362" s="959">
        <v>0</v>
      </c>
      <c r="H3362" s="959">
        <v>4</v>
      </c>
    </row>
    <row r="3363" spans="1:8">
      <c r="A3363" s="959" t="s">
        <v>4204</v>
      </c>
      <c r="B3363" s="960" t="s">
        <v>4205</v>
      </c>
      <c r="C3363" s="960" t="s">
        <v>4256</v>
      </c>
      <c r="D3363" s="960" t="s">
        <v>4264</v>
      </c>
      <c r="E3363" s="959">
        <v>0</v>
      </c>
      <c r="F3363" s="959">
        <v>0</v>
      </c>
      <c r="G3363" s="959">
        <v>0</v>
      </c>
      <c r="H3363" s="959">
        <v>2</v>
      </c>
    </row>
    <row r="3364" spans="1:8">
      <c r="A3364" s="959" t="s">
        <v>4204</v>
      </c>
      <c r="B3364" s="960" t="s">
        <v>4205</v>
      </c>
      <c r="C3364" s="960" t="s">
        <v>4256</v>
      </c>
      <c r="D3364" s="960" t="s">
        <v>4261</v>
      </c>
      <c r="E3364" s="959">
        <v>0</v>
      </c>
      <c r="F3364" s="959">
        <v>0</v>
      </c>
      <c r="G3364" s="959">
        <v>0</v>
      </c>
      <c r="H3364" s="959">
        <v>15</v>
      </c>
    </row>
    <row r="3365" spans="1:8">
      <c r="A3365" s="959" t="s">
        <v>4204</v>
      </c>
      <c r="B3365" s="960" t="s">
        <v>4205</v>
      </c>
      <c r="C3365" s="960" t="s">
        <v>4267</v>
      </c>
      <c r="D3365" s="960" t="s">
        <v>4268</v>
      </c>
      <c r="E3365" s="959">
        <v>0</v>
      </c>
      <c r="F3365" s="959">
        <v>0</v>
      </c>
      <c r="G3365" s="959">
        <v>0</v>
      </c>
      <c r="H3365" s="959">
        <v>18</v>
      </c>
    </row>
    <row r="3366" spans="1:8">
      <c r="A3366" s="959" t="s">
        <v>4206</v>
      </c>
      <c r="B3366" s="960" t="s">
        <v>4207</v>
      </c>
      <c r="C3366" s="960" t="s">
        <v>4256</v>
      </c>
      <c r="D3366" s="960" t="s">
        <v>470</v>
      </c>
      <c r="E3366" s="959">
        <v>0</v>
      </c>
      <c r="F3366" s="959">
        <v>0</v>
      </c>
      <c r="G3366" s="959">
        <v>2</v>
      </c>
      <c r="H3366" s="959">
        <v>64</v>
      </c>
    </row>
    <row r="3367" spans="1:8">
      <c r="A3367" s="959" t="s">
        <v>4206</v>
      </c>
      <c r="B3367" s="960" t="s">
        <v>4207</v>
      </c>
      <c r="C3367" s="960" t="s">
        <v>4256</v>
      </c>
      <c r="D3367" s="960" t="s">
        <v>1904</v>
      </c>
      <c r="E3367" s="959">
        <v>0</v>
      </c>
      <c r="F3367" s="959">
        <v>0</v>
      </c>
      <c r="G3367" s="959">
        <v>10</v>
      </c>
      <c r="H3367" s="959">
        <v>180</v>
      </c>
    </row>
    <row r="3368" spans="1:8">
      <c r="A3368" s="959" t="s">
        <v>4206</v>
      </c>
      <c r="B3368" s="960" t="s">
        <v>4207</v>
      </c>
      <c r="C3368" s="960" t="s">
        <v>4256</v>
      </c>
      <c r="D3368" s="960" t="s">
        <v>4270</v>
      </c>
      <c r="E3368" s="959">
        <v>0</v>
      </c>
      <c r="F3368" s="959">
        <v>0</v>
      </c>
      <c r="G3368" s="959">
        <v>0</v>
      </c>
      <c r="H3368" s="959">
        <v>1</v>
      </c>
    </row>
    <row r="3369" spans="1:8">
      <c r="A3369" s="959" t="s">
        <v>4206</v>
      </c>
      <c r="B3369" s="960" t="s">
        <v>4207</v>
      </c>
      <c r="C3369" s="960" t="s">
        <v>4256</v>
      </c>
      <c r="D3369" s="960" t="s">
        <v>4259</v>
      </c>
      <c r="E3369" s="959">
        <v>0</v>
      </c>
      <c r="F3369" s="959">
        <v>0</v>
      </c>
      <c r="G3369" s="959">
        <v>0</v>
      </c>
      <c r="H3369" s="959">
        <v>3</v>
      </c>
    </row>
    <row r="3370" spans="1:8">
      <c r="A3370" s="959" t="s">
        <v>4206</v>
      </c>
      <c r="B3370" s="960" t="s">
        <v>4207</v>
      </c>
      <c r="C3370" s="960" t="s">
        <v>4256</v>
      </c>
      <c r="D3370" s="960" t="s">
        <v>4260</v>
      </c>
      <c r="E3370" s="959">
        <v>0</v>
      </c>
      <c r="F3370" s="959">
        <v>0</v>
      </c>
      <c r="G3370" s="959">
        <v>3</v>
      </c>
      <c r="H3370" s="959">
        <v>27</v>
      </c>
    </row>
    <row r="3371" spans="1:8">
      <c r="A3371" s="959" t="s">
        <v>4206</v>
      </c>
      <c r="B3371" s="960" t="s">
        <v>4207</v>
      </c>
      <c r="C3371" s="960" t="s">
        <v>4256</v>
      </c>
      <c r="D3371" s="960" t="s">
        <v>4265</v>
      </c>
      <c r="E3371" s="959">
        <v>0</v>
      </c>
      <c r="F3371" s="959">
        <v>0</v>
      </c>
      <c r="G3371" s="959">
        <v>1</v>
      </c>
      <c r="H3371" s="959">
        <v>0</v>
      </c>
    </row>
    <row r="3372" spans="1:8">
      <c r="A3372" s="959" t="s">
        <v>4206</v>
      </c>
      <c r="B3372" s="960" t="s">
        <v>4207</v>
      </c>
      <c r="C3372" s="960" t="s">
        <v>4256</v>
      </c>
      <c r="D3372" s="960" t="s">
        <v>4261</v>
      </c>
      <c r="E3372" s="959">
        <v>0</v>
      </c>
      <c r="F3372" s="959">
        <v>0</v>
      </c>
      <c r="G3372" s="959">
        <v>3</v>
      </c>
      <c r="H3372" s="959">
        <v>34</v>
      </c>
    </row>
    <row r="3373" spans="1:8">
      <c r="A3373" s="959" t="s">
        <v>4206</v>
      </c>
      <c r="B3373" s="960" t="s">
        <v>4207</v>
      </c>
      <c r="C3373" s="960" t="s">
        <v>4257</v>
      </c>
      <c r="D3373" s="960" t="s">
        <v>4258</v>
      </c>
      <c r="E3373" s="959">
        <v>0</v>
      </c>
      <c r="F3373" s="959">
        <v>1</v>
      </c>
      <c r="G3373" s="959">
        <v>0</v>
      </c>
      <c r="H3373" s="959">
        <v>1</v>
      </c>
    </row>
    <row r="3374" spans="1:8">
      <c r="A3374" s="959" t="s">
        <v>4206</v>
      </c>
      <c r="B3374" s="960" t="s">
        <v>4207</v>
      </c>
      <c r="C3374" s="960" t="s">
        <v>4267</v>
      </c>
      <c r="D3374" s="960" t="s">
        <v>4268</v>
      </c>
      <c r="E3374" s="959">
        <v>0</v>
      </c>
      <c r="F3374" s="959">
        <v>0</v>
      </c>
      <c r="G3374" s="959">
        <v>0</v>
      </c>
      <c r="H3374" s="959">
        <v>5</v>
      </c>
    </row>
    <row r="3375" spans="1:8">
      <c r="A3375" s="959" t="s">
        <v>4208</v>
      </c>
      <c r="B3375" s="960" t="s">
        <v>4209</v>
      </c>
      <c r="C3375" s="960" t="s">
        <v>4256</v>
      </c>
      <c r="D3375" s="960" t="s">
        <v>470</v>
      </c>
      <c r="E3375" s="959">
        <v>0</v>
      </c>
      <c r="F3375" s="959">
        <v>0</v>
      </c>
      <c r="G3375" s="959">
        <v>0</v>
      </c>
      <c r="H3375" s="959">
        <v>5</v>
      </c>
    </row>
    <row r="3376" spans="1:8">
      <c r="A3376" s="959" t="s">
        <v>4208</v>
      </c>
      <c r="B3376" s="960" t="s">
        <v>4209</v>
      </c>
      <c r="C3376" s="960" t="s">
        <v>4256</v>
      </c>
      <c r="D3376" s="960" t="s">
        <v>1906</v>
      </c>
      <c r="E3376" s="959">
        <v>0</v>
      </c>
      <c r="F3376" s="959">
        <v>3</v>
      </c>
      <c r="G3376" s="959">
        <v>0</v>
      </c>
      <c r="H3376" s="959">
        <v>0</v>
      </c>
    </row>
    <row r="3377" spans="1:8">
      <c r="A3377" s="959" t="s">
        <v>4208</v>
      </c>
      <c r="B3377" s="960" t="s">
        <v>4209</v>
      </c>
      <c r="C3377" s="960" t="s">
        <v>4257</v>
      </c>
      <c r="D3377" s="960" t="s">
        <v>4258</v>
      </c>
      <c r="E3377" s="959">
        <v>1</v>
      </c>
      <c r="F3377" s="959">
        <v>18</v>
      </c>
      <c r="G3377" s="959">
        <v>0</v>
      </c>
      <c r="H3377" s="959">
        <v>0</v>
      </c>
    </row>
    <row r="3378" spans="1:8">
      <c r="A3378" s="959" t="s">
        <v>4210</v>
      </c>
      <c r="B3378" s="960" t="s">
        <v>4211</v>
      </c>
      <c r="C3378" s="960" t="s">
        <v>4256</v>
      </c>
      <c r="D3378" s="960" t="s">
        <v>4259</v>
      </c>
      <c r="E3378" s="959">
        <v>0</v>
      </c>
      <c r="F3378" s="959">
        <v>0</v>
      </c>
      <c r="G3378" s="959">
        <v>0</v>
      </c>
      <c r="H3378" s="959">
        <v>1</v>
      </c>
    </row>
    <row r="3379" spans="1:8">
      <c r="A3379" s="959" t="s">
        <v>4210</v>
      </c>
      <c r="B3379" s="960" t="s">
        <v>4211</v>
      </c>
      <c r="C3379" s="960" t="s">
        <v>4256</v>
      </c>
      <c r="D3379" s="960" t="s">
        <v>1906</v>
      </c>
      <c r="E3379" s="959">
        <v>0</v>
      </c>
      <c r="F3379" s="959">
        <v>1</v>
      </c>
      <c r="G3379" s="959">
        <v>0</v>
      </c>
      <c r="H3379" s="959">
        <v>0</v>
      </c>
    </row>
    <row r="3380" spans="1:8">
      <c r="A3380" s="959" t="s">
        <v>4210</v>
      </c>
      <c r="B3380" s="960" t="s">
        <v>4211</v>
      </c>
      <c r="C3380" s="960" t="s">
        <v>4256</v>
      </c>
      <c r="D3380" s="960" t="s">
        <v>4264</v>
      </c>
      <c r="E3380" s="959">
        <v>0</v>
      </c>
      <c r="F3380" s="959">
        <v>2</v>
      </c>
      <c r="G3380" s="959">
        <v>0</v>
      </c>
      <c r="H3380" s="959">
        <v>3</v>
      </c>
    </row>
    <row r="3381" spans="1:8">
      <c r="A3381" s="959" t="s">
        <v>4210</v>
      </c>
      <c r="B3381" s="960" t="s">
        <v>4211</v>
      </c>
      <c r="C3381" s="960" t="s">
        <v>4257</v>
      </c>
      <c r="D3381" s="960" t="s">
        <v>4258</v>
      </c>
      <c r="E3381" s="959">
        <v>2</v>
      </c>
      <c r="F3381" s="959">
        <v>23</v>
      </c>
      <c r="G3381" s="959">
        <v>0</v>
      </c>
      <c r="H3381" s="959">
        <v>0</v>
      </c>
    </row>
    <row r="3382" spans="1:8">
      <c r="A3382" s="959" t="s">
        <v>4210</v>
      </c>
      <c r="B3382" s="960" t="s">
        <v>4211</v>
      </c>
      <c r="C3382" s="960" t="s">
        <v>4262</v>
      </c>
      <c r="D3382" s="960" t="s">
        <v>4263</v>
      </c>
      <c r="E3382" s="959">
        <v>0</v>
      </c>
      <c r="F3382" s="959">
        <v>1</v>
      </c>
      <c r="G3382" s="959">
        <v>0</v>
      </c>
      <c r="H3382" s="959">
        <v>0</v>
      </c>
    </row>
    <row r="3383" spans="1:8">
      <c r="A3383" s="959" t="s">
        <v>4319</v>
      </c>
      <c r="B3383" s="960" t="s">
        <v>4320</v>
      </c>
      <c r="C3383" s="960" t="s">
        <v>4256</v>
      </c>
      <c r="D3383" s="960" t="s">
        <v>1906</v>
      </c>
      <c r="E3383" s="959">
        <v>2</v>
      </c>
      <c r="F3383" s="959">
        <v>27</v>
      </c>
      <c r="G3383" s="959">
        <v>0</v>
      </c>
      <c r="H3383" s="959">
        <v>0</v>
      </c>
    </row>
    <row r="3384" spans="1:8">
      <c r="A3384" s="959" t="s">
        <v>4319</v>
      </c>
      <c r="B3384" s="960" t="s">
        <v>4320</v>
      </c>
      <c r="C3384" s="960" t="s">
        <v>4256</v>
      </c>
      <c r="D3384" s="960" t="s">
        <v>1907</v>
      </c>
      <c r="E3384" s="959">
        <v>12</v>
      </c>
      <c r="F3384" s="959">
        <v>155</v>
      </c>
      <c r="G3384" s="959">
        <v>0</v>
      </c>
      <c r="H3384" s="959">
        <v>0</v>
      </c>
    </row>
    <row r="3385" spans="1:8">
      <c r="A3385" s="959" t="s">
        <v>4319</v>
      </c>
      <c r="B3385" s="960" t="s">
        <v>4320</v>
      </c>
      <c r="C3385" s="960" t="s">
        <v>4256</v>
      </c>
      <c r="D3385" s="960" t="s">
        <v>4282</v>
      </c>
      <c r="E3385" s="959">
        <v>0</v>
      </c>
      <c r="F3385" s="959">
        <v>4</v>
      </c>
      <c r="G3385" s="959">
        <v>0</v>
      </c>
      <c r="H3385" s="959">
        <v>0</v>
      </c>
    </row>
    <row r="3386" spans="1:8">
      <c r="A3386" s="959" t="s">
        <v>4319</v>
      </c>
      <c r="B3386" s="960" t="s">
        <v>4320</v>
      </c>
      <c r="C3386" s="960" t="s">
        <v>4262</v>
      </c>
      <c r="D3386" s="960" t="s">
        <v>4263</v>
      </c>
      <c r="E3386" s="959">
        <v>1</v>
      </c>
      <c r="F3386" s="959">
        <v>14</v>
      </c>
      <c r="G3386" s="959">
        <v>0</v>
      </c>
      <c r="H3386" s="959">
        <v>0</v>
      </c>
    </row>
    <row r="3387" spans="1:8">
      <c r="A3387" s="959" t="s">
        <v>4212</v>
      </c>
      <c r="B3387" s="960" t="s">
        <v>1722</v>
      </c>
      <c r="C3387" s="960" t="s">
        <v>4267</v>
      </c>
      <c r="D3387" s="960" t="s">
        <v>4268</v>
      </c>
      <c r="E3387" s="959">
        <v>0</v>
      </c>
      <c r="F3387" s="959">
        <v>0</v>
      </c>
      <c r="G3387" s="959">
        <v>0</v>
      </c>
      <c r="H3387" s="959">
        <v>1</v>
      </c>
    </row>
    <row r="3388" spans="1:8">
      <c r="A3388" s="959" t="s">
        <v>4213</v>
      </c>
      <c r="B3388" s="960" t="s">
        <v>4214</v>
      </c>
      <c r="C3388" s="960" t="s">
        <v>4256</v>
      </c>
      <c r="D3388" s="960" t="s">
        <v>470</v>
      </c>
      <c r="E3388" s="959">
        <v>0</v>
      </c>
      <c r="F3388" s="959">
        <v>0</v>
      </c>
      <c r="G3388" s="959">
        <v>4</v>
      </c>
      <c r="H3388" s="959">
        <v>22</v>
      </c>
    </row>
    <row r="3389" spans="1:8">
      <c r="A3389" s="959" t="s">
        <v>4213</v>
      </c>
      <c r="B3389" s="960" t="s">
        <v>4214</v>
      </c>
      <c r="C3389" s="960" t="s">
        <v>4256</v>
      </c>
      <c r="D3389" s="960" t="s">
        <v>1904</v>
      </c>
      <c r="E3389" s="959">
        <v>0</v>
      </c>
      <c r="F3389" s="959">
        <v>0</v>
      </c>
      <c r="G3389" s="959">
        <v>4</v>
      </c>
      <c r="H3389" s="959">
        <v>95</v>
      </c>
    </row>
    <row r="3390" spans="1:8">
      <c r="A3390" s="959" t="s">
        <v>4213</v>
      </c>
      <c r="B3390" s="960" t="s">
        <v>4214</v>
      </c>
      <c r="C3390" s="960" t="s">
        <v>4256</v>
      </c>
      <c r="D3390" s="960" t="s">
        <v>4269</v>
      </c>
      <c r="E3390" s="959">
        <v>0</v>
      </c>
      <c r="F3390" s="959">
        <v>0</v>
      </c>
      <c r="G3390" s="959">
        <v>0</v>
      </c>
      <c r="H3390" s="959">
        <v>1</v>
      </c>
    </row>
    <row r="3391" spans="1:8">
      <c r="A3391" s="959" t="s">
        <v>4213</v>
      </c>
      <c r="B3391" s="960" t="s">
        <v>4214</v>
      </c>
      <c r="C3391" s="960" t="s">
        <v>4256</v>
      </c>
      <c r="D3391" s="960" t="s">
        <v>4270</v>
      </c>
      <c r="E3391" s="959">
        <v>0</v>
      </c>
      <c r="F3391" s="959">
        <v>0</v>
      </c>
      <c r="G3391" s="959">
        <v>0</v>
      </c>
      <c r="H3391" s="959">
        <v>1</v>
      </c>
    </row>
    <row r="3392" spans="1:8">
      <c r="A3392" s="959" t="s">
        <v>4213</v>
      </c>
      <c r="B3392" s="960" t="s">
        <v>4214</v>
      </c>
      <c r="C3392" s="960" t="s">
        <v>4256</v>
      </c>
      <c r="D3392" s="960" t="s">
        <v>4259</v>
      </c>
      <c r="E3392" s="959">
        <v>0</v>
      </c>
      <c r="F3392" s="959">
        <v>0</v>
      </c>
      <c r="G3392" s="959">
        <v>0</v>
      </c>
      <c r="H3392" s="959">
        <v>1</v>
      </c>
    </row>
    <row r="3393" spans="1:8">
      <c r="A3393" s="959" t="s">
        <v>4213</v>
      </c>
      <c r="B3393" s="960" t="s">
        <v>4214</v>
      </c>
      <c r="C3393" s="960" t="s">
        <v>4256</v>
      </c>
      <c r="D3393" s="960" t="s">
        <v>4260</v>
      </c>
      <c r="E3393" s="959">
        <v>0</v>
      </c>
      <c r="F3393" s="959">
        <v>0</v>
      </c>
      <c r="G3393" s="959">
        <v>8</v>
      </c>
      <c r="H3393" s="959">
        <v>66</v>
      </c>
    </row>
    <row r="3394" spans="1:8">
      <c r="A3394" s="959" t="s">
        <v>4213</v>
      </c>
      <c r="B3394" s="960" t="s">
        <v>4214</v>
      </c>
      <c r="C3394" s="960" t="s">
        <v>4256</v>
      </c>
      <c r="D3394" s="960" t="s">
        <v>4265</v>
      </c>
      <c r="E3394" s="959">
        <v>0</v>
      </c>
      <c r="F3394" s="959">
        <v>0</v>
      </c>
      <c r="G3394" s="959">
        <v>0</v>
      </c>
      <c r="H3394" s="959">
        <v>1</v>
      </c>
    </row>
    <row r="3395" spans="1:8">
      <c r="A3395" s="959" t="s">
        <v>4213</v>
      </c>
      <c r="B3395" s="960" t="s">
        <v>4214</v>
      </c>
      <c r="C3395" s="960" t="s">
        <v>4256</v>
      </c>
      <c r="D3395" s="960" t="s">
        <v>4271</v>
      </c>
      <c r="E3395" s="959">
        <v>0</v>
      </c>
      <c r="F3395" s="959">
        <v>0</v>
      </c>
      <c r="G3395" s="959">
        <v>1</v>
      </c>
      <c r="H3395" s="959">
        <v>8</v>
      </c>
    </row>
    <row r="3396" spans="1:8">
      <c r="A3396" s="959" t="s">
        <v>4213</v>
      </c>
      <c r="B3396" s="960" t="s">
        <v>4214</v>
      </c>
      <c r="C3396" s="960" t="s">
        <v>4256</v>
      </c>
      <c r="D3396" s="960" t="s">
        <v>1906</v>
      </c>
      <c r="E3396" s="959">
        <v>0</v>
      </c>
      <c r="F3396" s="959">
        <v>0</v>
      </c>
      <c r="G3396" s="959">
        <v>0</v>
      </c>
      <c r="H3396" s="959">
        <v>2</v>
      </c>
    </row>
    <row r="3397" spans="1:8">
      <c r="A3397" s="959" t="s">
        <v>4213</v>
      </c>
      <c r="B3397" s="960" t="s">
        <v>4214</v>
      </c>
      <c r="C3397" s="960" t="s">
        <v>4256</v>
      </c>
      <c r="D3397" s="960" t="s">
        <v>4261</v>
      </c>
      <c r="E3397" s="959">
        <v>0</v>
      </c>
      <c r="F3397" s="959">
        <v>0</v>
      </c>
      <c r="G3397" s="959">
        <v>4</v>
      </c>
      <c r="H3397" s="959">
        <v>82</v>
      </c>
    </row>
    <row r="3398" spans="1:8">
      <c r="A3398" s="959" t="s">
        <v>4213</v>
      </c>
      <c r="B3398" s="960" t="s">
        <v>4214</v>
      </c>
      <c r="C3398" s="960" t="s">
        <v>4257</v>
      </c>
      <c r="D3398" s="960" t="s">
        <v>4258</v>
      </c>
      <c r="E3398" s="959">
        <v>1</v>
      </c>
      <c r="F3398" s="959">
        <v>0</v>
      </c>
      <c r="G3398" s="959">
        <v>1</v>
      </c>
      <c r="H3398" s="959">
        <v>10</v>
      </c>
    </row>
    <row r="3399" spans="1:8">
      <c r="A3399" s="959" t="s">
        <v>4215</v>
      </c>
      <c r="B3399" s="960" t="s">
        <v>1718</v>
      </c>
      <c r="C3399" s="960" t="s">
        <v>4256</v>
      </c>
      <c r="D3399" s="960" t="s">
        <v>4259</v>
      </c>
      <c r="E3399" s="959">
        <v>0</v>
      </c>
      <c r="F3399" s="959">
        <v>1</v>
      </c>
      <c r="G3399" s="959">
        <v>0</v>
      </c>
      <c r="H3399" s="959">
        <v>0</v>
      </c>
    </row>
    <row r="3400" spans="1:8">
      <c r="A3400" s="959" t="s">
        <v>4215</v>
      </c>
      <c r="B3400" s="960" t="s">
        <v>1718</v>
      </c>
      <c r="C3400" s="960" t="s">
        <v>4256</v>
      </c>
      <c r="D3400" s="960" t="s">
        <v>1906</v>
      </c>
      <c r="E3400" s="959">
        <v>0</v>
      </c>
      <c r="F3400" s="959">
        <v>4</v>
      </c>
      <c r="G3400" s="959">
        <v>0</v>
      </c>
      <c r="H3400" s="959">
        <v>0</v>
      </c>
    </row>
    <row r="3401" spans="1:8">
      <c r="A3401" s="959" t="s">
        <v>4215</v>
      </c>
      <c r="B3401" s="960" t="s">
        <v>1718</v>
      </c>
      <c r="C3401" s="960" t="s">
        <v>4257</v>
      </c>
      <c r="D3401" s="960" t="s">
        <v>4258</v>
      </c>
      <c r="E3401" s="959">
        <v>0</v>
      </c>
      <c r="F3401" s="959">
        <v>2</v>
      </c>
      <c r="G3401" s="959">
        <v>0</v>
      </c>
      <c r="H3401" s="959">
        <v>0</v>
      </c>
    </row>
    <row r="3402" spans="1:8">
      <c r="A3402" s="959" t="s">
        <v>4217</v>
      </c>
      <c r="B3402" s="960" t="s">
        <v>4218</v>
      </c>
      <c r="C3402" s="960" t="s">
        <v>4275</v>
      </c>
      <c r="D3402" s="960" t="s">
        <v>4276</v>
      </c>
      <c r="E3402" s="959">
        <v>1</v>
      </c>
      <c r="F3402" s="959">
        <v>10</v>
      </c>
      <c r="G3402" s="959">
        <v>0</v>
      </c>
      <c r="H3402" s="959">
        <v>5</v>
      </c>
    </row>
    <row r="3403" spans="1:8">
      <c r="A3403" s="959" t="s">
        <v>4217</v>
      </c>
      <c r="B3403" s="960" t="s">
        <v>4218</v>
      </c>
      <c r="C3403" s="960" t="s">
        <v>4277</v>
      </c>
      <c r="D3403" s="960" t="s">
        <v>4278</v>
      </c>
      <c r="E3403" s="959">
        <v>0</v>
      </c>
      <c r="F3403" s="959">
        <v>0</v>
      </c>
      <c r="G3403" s="959">
        <v>0</v>
      </c>
      <c r="H3403" s="959">
        <v>4</v>
      </c>
    </row>
    <row r="3404" spans="1:8">
      <c r="A3404" s="959" t="s">
        <v>4217</v>
      </c>
      <c r="B3404" s="960" t="s">
        <v>4218</v>
      </c>
      <c r="C3404" s="960" t="s">
        <v>4277</v>
      </c>
      <c r="D3404" s="960" t="s">
        <v>4279</v>
      </c>
      <c r="E3404" s="959">
        <v>0</v>
      </c>
      <c r="F3404" s="959">
        <v>0</v>
      </c>
      <c r="G3404" s="959">
        <v>0</v>
      </c>
      <c r="H3404" s="959">
        <v>4</v>
      </c>
    </row>
    <row r="3405" spans="1:8">
      <c r="A3405" s="959" t="s">
        <v>4217</v>
      </c>
      <c r="B3405" s="960" t="s">
        <v>4218</v>
      </c>
      <c r="C3405" s="960" t="s">
        <v>4256</v>
      </c>
      <c r="D3405" s="960" t="s">
        <v>470</v>
      </c>
      <c r="E3405" s="959">
        <v>0</v>
      </c>
      <c r="F3405" s="959">
        <v>0</v>
      </c>
      <c r="G3405" s="959">
        <v>2</v>
      </c>
      <c r="H3405" s="959">
        <v>26</v>
      </c>
    </row>
    <row r="3406" spans="1:8">
      <c r="A3406" s="959" t="s">
        <v>4217</v>
      </c>
      <c r="B3406" s="960" t="s">
        <v>4218</v>
      </c>
      <c r="C3406" s="960" t="s">
        <v>4256</v>
      </c>
      <c r="D3406" s="960" t="s">
        <v>4265</v>
      </c>
      <c r="E3406" s="959">
        <v>0</v>
      </c>
      <c r="F3406" s="959">
        <v>0</v>
      </c>
      <c r="G3406" s="959">
        <v>6</v>
      </c>
      <c r="H3406" s="959">
        <v>0</v>
      </c>
    </row>
    <row r="3407" spans="1:8">
      <c r="A3407" s="959" t="s">
        <v>4217</v>
      </c>
      <c r="B3407" s="960" t="s">
        <v>4218</v>
      </c>
      <c r="C3407" s="960" t="s">
        <v>4256</v>
      </c>
      <c r="D3407" s="960" t="s">
        <v>1906</v>
      </c>
      <c r="E3407" s="959">
        <v>0</v>
      </c>
      <c r="F3407" s="959">
        <v>6</v>
      </c>
      <c r="G3407" s="959">
        <v>0</v>
      </c>
      <c r="H3407" s="959">
        <v>3</v>
      </c>
    </row>
    <row r="3408" spans="1:8">
      <c r="A3408" s="959" t="s">
        <v>4217</v>
      </c>
      <c r="B3408" s="960" t="s">
        <v>4218</v>
      </c>
      <c r="C3408" s="960" t="s">
        <v>4256</v>
      </c>
      <c r="D3408" s="960" t="s">
        <v>1907</v>
      </c>
      <c r="E3408" s="959">
        <v>0</v>
      </c>
      <c r="F3408" s="959">
        <v>15</v>
      </c>
      <c r="G3408" s="959">
        <v>1</v>
      </c>
      <c r="H3408" s="959">
        <v>19</v>
      </c>
    </row>
    <row r="3409" spans="1:8">
      <c r="A3409" s="959" t="s">
        <v>4217</v>
      </c>
      <c r="B3409" s="960" t="s">
        <v>4218</v>
      </c>
      <c r="C3409" s="960" t="s">
        <v>4257</v>
      </c>
      <c r="D3409" s="960" t="s">
        <v>4258</v>
      </c>
      <c r="E3409" s="959">
        <v>3</v>
      </c>
      <c r="F3409" s="959">
        <v>75</v>
      </c>
      <c r="G3409" s="959">
        <v>4</v>
      </c>
      <c r="H3409" s="959">
        <v>55</v>
      </c>
    </row>
    <row r="3410" spans="1:8">
      <c r="A3410" s="959" t="s">
        <v>4219</v>
      </c>
      <c r="B3410" s="960" t="s">
        <v>358</v>
      </c>
      <c r="C3410" s="960" t="s">
        <v>4275</v>
      </c>
      <c r="D3410" s="960" t="s">
        <v>4276</v>
      </c>
      <c r="E3410" s="959">
        <v>0</v>
      </c>
      <c r="F3410" s="959">
        <v>16</v>
      </c>
      <c r="G3410" s="959">
        <v>0</v>
      </c>
      <c r="H3410" s="959">
        <v>0</v>
      </c>
    </row>
    <row r="3411" spans="1:8">
      <c r="A3411" s="959" t="s">
        <v>4219</v>
      </c>
      <c r="B3411" s="960" t="s">
        <v>358</v>
      </c>
      <c r="C3411" s="960" t="s">
        <v>4256</v>
      </c>
      <c r="D3411" s="960" t="s">
        <v>470</v>
      </c>
      <c r="E3411" s="959">
        <v>0</v>
      </c>
      <c r="F3411" s="959">
        <v>1</v>
      </c>
      <c r="G3411" s="959">
        <v>0</v>
      </c>
      <c r="H3411" s="959">
        <v>2</v>
      </c>
    </row>
    <row r="3412" spans="1:8">
      <c r="A3412" s="959" t="s">
        <v>4219</v>
      </c>
      <c r="B3412" s="960" t="s">
        <v>358</v>
      </c>
      <c r="C3412" s="960" t="s">
        <v>4256</v>
      </c>
      <c r="D3412" s="960" t="s">
        <v>1904</v>
      </c>
      <c r="E3412" s="959">
        <v>0</v>
      </c>
      <c r="F3412" s="959">
        <v>2</v>
      </c>
      <c r="G3412" s="959">
        <v>0</v>
      </c>
      <c r="H3412" s="959">
        <v>2</v>
      </c>
    </row>
    <row r="3413" spans="1:8">
      <c r="A3413" s="959" t="s">
        <v>4219</v>
      </c>
      <c r="B3413" s="960" t="s">
        <v>358</v>
      </c>
      <c r="C3413" s="960" t="s">
        <v>4256</v>
      </c>
      <c r="D3413" s="960" t="s">
        <v>4270</v>
      </c>
      <c r="E3413" s="959">
        <v>0</v>
      </c>
      <c r="F3413" s="959">
        <v>0</v>
      </c>
      <c r="G3413" s="959">
        <v>0</v>
      </c>
      <c r="H3413" s="959">
        <v>1</v>
      </c>
    </row>
    <row r="3414" spans="1:8">
      <c r="A3414" s="959" t="s">
        <v>4219</v>
      </c>
      <c r="B3414" s="960" t="s">
        <v>358</v>
      </c>
      <c r="C3414" s="960" t="s">
        <v>4256</v>
      </c>
      <c r="D3414" s="960" t="s">
        <v>4260</v>
      </c>
      <c r="E3414" s="959">
        <v>0</v>
      </c>
      <c r="F3414" s="959">
        <v>2</v>
      </c>
      <c r="G3414" s="959">
        <v>0</v>
      </c>
      <c r="H3414" s="959">
        <v>2</v>
      </c>
    </row>
    <row r="3415" spans="1:8">
      <c r="A3415" s="959" t="s">
        <v>4219</v>
      </c>
      <c r="B3415" s="960" t="s">
        <v>358</v>
      </c>
      <c r="C3415" s="960" t="s">
        <v>4256</v>
      </c>
      <c r="D3415" s="960" t="s">
        <v>4271</v>
      </c>
      <c r="E3415" s="959">
        <v>0</v>
      </c>
      <c r="F3415" s="959">
        <v>2</v>
      </c>
      <c r="G3415" s="959">
        <v>0</v>
      </c>
      <c r="H3415" s="959">
        <v>0</v>
      </c>
    </row>
    <row r="3416" spans="1:8">
      <c r="A3416" s="959" t="s">
        <v>4219</v>
      </c>
      <c r="B3416" s="960" t="s">
        <v>358</v>
      </c>
      <c r="C3416" s="960" t="s">
        <v>4256</v>
      </c>
      <c r="D3416" s="960" t="s">
        <v>1906</v>
      </c>
      <c r="E3416" s="959">
        <v>0</v>
      </c>
      <c r="F3416" s="959">
        <v>1</v>
      </c>
      <c r="G3416" s="959">
        <v>0</v>
      </c>
      <c r="H3416" s="959">
        <v>0</v>
      </c>
    </row>
    <row r="3417" spans="1:8">
      <c r="A3417" s="959" t="s">
        <v>4219</v>
      </c>
      <c r="B3417" s="960" t="s">
        <v>358</v>
      </c>
      <c r="C3417" s="960" t="s">
        <v>4257</v>
      </c>
      <c r="D3417" s="960" t="s">
        <v>4258</v>
      </c>
      <c r="E3417" s="959">
        <v>1</v>
      </c>
      <c r="F3417" s="959">
        <v>12</v>
      </c>
      <c r="G3417" s="959">
        <v>0</v>
      </c>
      <c r="H3417" s="959">
        <v>0</v>
      </c>
    </row>
    <row r="3418" spans="1:8">
      <c r="A3418" s="959" t="s">
        <v>4219</v>
      </c>
      <c r="B3418" s="960" t="s">
        <v>358</v>
      </c>
      <c r="C3418" s="960" t="s">
        <v>4262</v>
      </c>
      <c r="D3418" s="960" t="s">
        <v>4263</v>
      </c>
      <c r="E3418" s="959">
        <v>1</v>
      </c>
      <c r="F3418" s="959">
        <v>166</v>
      </c>
      <c r="G3418" s="959">
        <v>0</v>
      </c>
      <c r="H3418" s="959">
        <v>0</v>
      </c>
    </row>
    <row r="3419" spans="1:8">
      <c r="A3419" s="959" t="s">
        <v>4220</v>
      </c>
      <c r="B3419" s="960" t="s">
        <v>4221</v>
      </c>
      <c r="C3419" s="960" t="s">
        <v>4256</v>
      </c>
      <c r="D3419" s="960" t="s">
        <v>1906</v>
      </c>
      <c r="E3419" s="959">
        <v>1</v>
      </c>
      <c r="F3419" s="959">
        <v>17</v>
      </c>
      <c r="G3419" s="959">
        <v>1</v>
      </c>
      <c r="H3419" s="959">
        <v>12</v>
      </c>
    </row>
    <row r="3420" spans="1:8">
      <c r="A3420" s="959" t="s">
        <v>4220</v>
      </c>
      <c r="B3420" s="960" t="s">
        <v>4221</v>
      </c>
      <c r="C3420" s="960" t="s">
        <v>4256</v>
      </c>
      <c r="D3420" s="960" t="s">
        <v>1907</v>
      </c>
      <c r="E3420" s="959">
        <v>4</v>
      </c>
      <c r="F3420" s="959">
        <v>60</v>
      </c>
      <c r="G3420" s="959">
        <v>2</v>
      </c>
      <c r="H3420" s="959">
        <v>31</v>
      </c>
    </row>
    <row r="3421" spans="1:8">
      <c r="A3421" s="959" t="s">
        <v>4220</v>
      </c>
      <c r="B3421" s="960" t="s">
        <v>4221</v>
      </c>
      <c r="C3421" s="960" t="s">
        <v>4257</v>
      </c>
      <c r="D3421" s="960" t="s">
        <v>4258</v>
      </c>
      <c r="E3421" s="959">
        <v>1</v>
      </c>
      <c r="F3421" s="959">
        <v>17</v>
      </c>
      <c r="G3421" s="959">
        <v>1</v>
      </c>
      <c r="H3421" s="959">
        <v>12</v>
      </c>
    </row>
    <row r="3422" spans="1:8">
      <c r="A3422" s="959" t="s">
        <v>4222</v>
      </c>
      <c r="B3422" s="960" t="s">
        <v>4223</v>
      </c>
      <c r="C3422" s="960" t="s">
        <v>4275</v>
      </c>
      <c r="D3422" s="960" t="s">
        <v>4276</v>
      </c>
      <c r="E3422" s="959">
        <v>1</v>
      </c>
      <c r="F3422" s="959">
        <v>8</v>
      </c>
      <c r="G3422" s="959">
        <v>0</v>
      </c>
      <c r="H3422" s="959">
        <v>0</v>
      </c>
    </row>
    <row r="3423" spans="1:8">
      <c r="A3423" s="959" t="s">
        <v>4222</v>
      </c>
      <c r="B3423" s="960" t="s">
        <v>4223</v>
      </c>
      <c r="C3423" s="960" t="s">
        <v>4256</v>
      </c>
      <c r="D3423" s="960" t="s">
        <v>4259</v>
      </c>
      <c r="E3423" s="959">
        <v>0</v>
      </c>
      <c r="F3423" s="959">
        <v>0</v>
      </c>
      <c r="G3423" s="959">
        <v>4</v>
      </c>
      <c r="H3423" s="959">
        <v>23</v>
      </c>
    </row>
    <row r="3424" spans="1:8">
      <c r="A3424" s="959" t="s">
        <v>4222</v>
      </c>
      <c r="B3424" s="960" t="s">
        <v>4223</v>
      </c>
      <c r="C3424" s="960" t="s">
        <v>4256</v>
      </c>
      <c r="D3424" s="960" t="s">
        <v>4272</v>
      </c>
      <c r="E3424" s="959">
        <v>0</v>
      </c>
      <c r="F3424" s="959">
        <v>0</v>
      </c>
      <c r="G3424" s="959">
        <v>0</v>
      </c>
      <c r="H3424" s="959">
        <v>4</v>
      </c>
    </row>
    <row r="3425" spans="1:8">
      <c r="A3425" s="959" t="s">
        <v>4222</v>
      </c>
      <c r="B3425" s="960" t="s">
        <v>4223</v>
      </c>
      <c r="C3425" s="960" t="s">
        <v>4256</v>
      </c>
      <c r="D3425" s="960" t="s">
        <v>1906</v>
      </c>
      <c r="E3425" s="959">
        <v>9</v>
      </c>
      <c r="F3425" s="959">
        <v>135</v>
      </c>
      <c r="G3425" s="959">
        <v>1</v>
      </c>
      <c r="H3425" s="959">
        <v>19</v>
      </c>
    </row>
    <row r="3426" spans="1:8">
      <c r="A3426" s="959" t="s">
        <v>4222</v>
      </c>
      <c r="B3426" s="960" t="s">
        <v>4223</v>
      </c>
      <c r="C3426" s="960" t="s">
        <v>4256</v>
      </c>
      <c r="D3426" s="960" t="s">
        <v>4264</v>
      </c>
      <c r="E3426" s="959">
        <v>0</v>
      </c>
      <c r="F3426" s="959">
        <v>3</v>
      </c>
      <c r="G3426" s="959">
        <v>0</v>
      </c>
      <c r="H3426" s="959">
        <v>2</v>
      </c>
    </row>
    <row r="3427" spans="1:8">
      <c r="A3427" s="959" t="s">
        <v>4222</v>
      </c>
      <c r="B3427" s="960" t="s">
        <v>4223</v>
      </c>
      <c r="C3427" s="960" t="s">
        <v>4256</v>
      </c>
      <c r="D3427" s="960" t="s">
        <v>1907</v>
      </c>
      <c r="E3427" s="959">
        <v>0</v>
      </c>
      <c r="F3427" s="959">
        <v>3</v>
      </c>
      <c r="G3427" s="959">
        <v>1</v>
      </c>
      <c r="H3427" s="959">
        <v>15</v>
      </c>
    </row>
    <row r="3428" spans="1:8">
      <c r="A3428" s="959" t="s">
        <v>4222</v>
      </c>
      <c r="B3428" s="960" t="s">
        <v>4223</v>
      </c>
      <c r="C3428" s="960" t="s">
        <v>4256</v>
      </c>
      <c r="D3428" s="961" t="s">
        <v>4266</v>
      </c>
      <c r="E3428" s="959">
        <v>0</v>
      </c>
      <c r="F3428" s="959">
        <v>0</v>
      </c>
      <c r="G3428" s="959">
        <v>0</v>
      </c>
      <c r="H3428" s="959">
        <v>4</v>
      </c>
    </row>
    <row r="3429" spans="1:8">
      <c r="A3429" s="959" t="s">
        <v>4222</v>
      </c>
      <c r="B3429" s="960" t="s">
        <v>4223</v>
      </c>
      <c r="C3429" s="960" t="s">
        <v>4257</v>
      </c>
      <c r="D3429" s="960" t="s">
        <v>4258</v>
      </c>
      <c r="E3429" s="959">
        <v>10</v>
      </c>
      <c r="F3429" s="959">
        <v>137</v>
      </c>
      <c r="G3429" s="959">
        <v>1</v>
      </c>
      <c r="H3429" s="959">
        <v>16</v>
      </c>
    </row>
    <row r="3430" spans="1:8">
      <c r="A3430" s="959" t="s">
        <v>4222</v>
      </c>
      <c r="B3430" s="960" t="s">
        <v>4223</v>
      </c>
      <c r="C3430" s="960" t="s">
        <v>4262</v>
      </c>
      <c r="D3430" s="960" t="s">
        <v>4263</v>
      </c>
      <c r="E3430" s="959">
        <v>72</v>
      </c>
      <c r="F3430" s="959">
        <v>1080</v>
      </c>
      <c r="G3430" s="959">
        <v>0</v>
      </c>
      <c r="H3430" s="959">
        <v>10</v>
      </c>
    </row>
    <row r="3431" spans="1:8">
      <c r="A3431" s="959" t="s">
        <v>4224</v>
      </c>
      <c r="B3431" s="960" t="s">
        <v>4225</v>
      </c>
      <c r="C3431" s="960" t="s">
        <v>4256</v>
      </c>
      <c r="D3431" s="960" t="s">
        <v>470</v>
      </c>
      <c r="E3431" s="959">
        <v>0</v>
      </c>
      <c r="F3431" s="959">
        <v>0</v>
      </c>
      <c r="G3431" s="959">
        <v>16</v>
      </c>
      <c r="H3431" s="959">
        <v>123</v>
      </c>
    </row>
    <row r="3432" spans="1:8">
      <c r="A3432" s="959" t="s">
        <v>4224</v>
      </c>
      <c r="B3432" s="960" t="s">
        <v>4225</v>
      </c>
      <c r="C3432" s="960" t="s">
        <v>4256</v>
      </c>
      <c r="D3432" s="960" t="s">
        <v>1904</v>
      </c>
      <c r="E3432" s="959">
        <v>0</v>
      </c>
      <c r="F3432" s="959">
        <v>2</v>
      </c>
      <c r="G3432" s="959">
        <v>1</v>
      </c>
      <c r="H3432" s="959">
        <v>57</v>
      </c>
    </row>
    <row r="3433" spans="1:8">
      <c r="A3433" s="959" t="s">
        <v>4224</v>
      </c>
      <c r="B3433" s="960" t="s">
        <v>4225</v>
      </c>
      <c r="C3433" s="960" t="s">
        <v>4256</v>
      </c>
      <c r="D3433" s="960" t="s">
        <v>4269</v>
      </c>
      <c r="E3433" s="959">
        <v>0</v>
      </c>
      <c r="F3433" s="959">
        <v>0</v>
      </c>
      <c r="G3433" s="959">
        <v>0</v>
      </c>
      <c r="H3433" s="959">
        <v>2</v>
      </c>
    </row>
    <row r="3434" spans="1:8">
      <c r="A3434" s="959" t="s">
        <v>4224</v>
      </c>
      <c r="B3434" s="960" t="s">
        <v>4225</v>
      </c>
      <c r="C3434" s="960" t="s">
        <v>4256</v>
      </c>
      <c r="D3434" s="960" t="s">
        <v>4270</v>
      </c>
      <c r="E3434" s="959">
        <v>0</v>
      </c>
      <c r="F3434" s="959">
        <v>0</v>
      </c>
      <c r="G3434" s="959">
        <v>1</v>
      </c>
      <c r="H3434" s="959">
        <v>2</v>
      </c>
    </row>
    <row r="3435" spans="1:8">
      <c r="A3435" s="959" t="s">
        <v>4224</v>
      </c>
      <c r="B3435" s="960" t="s">
        <v>4225</v>
      </c>
      <c r="C3435" s="960" t="s">
        <v>4256</v>
      </c>
      <c r="D3435" s="960" t="s">
        <v>4260</v>
      </c>
      <c r="E3435" s="959">
        <v>0</v>
      </c>
      <c r="F3435" s="959">
        <v>0</v>
      </c>
      <c r="G3435" s="959">
        <v>0</v>
      </c>
      <c r="H3435" s="959">
        <v>3</v>
      </c>
    </row>
    <row r="3436" spans="1:8">
      <c r="A3436" s="959" t="s">
        <v>4224</v>
      </c>
      <c r="B3436" s="960" t="s">
        <v>4225</v>
      </c>
      <c r="C3436" s="960" t="s">
        <v>4256</v>
      </c>
      <c r="D3436" s="960" t="s">
        <v>4265</v>
      </c>
      <c r="E3436" s="959">
        <v>0</v>
      </c>
      <c r="F3436" s="959">
        <v>0</v>
      </c>
      <c r="G3436" s="959">
        <v>0</v>
      </c>
      <c r="H3436" s="959">
        <v>2</v>
      </c>
    </row>
    <row r="3437" spans="1:8">
      <c r="A3437" s="959" t="s">
        <v>4224</v>
      </c>
      <c r="B3437" s="960" t="s">
        <v>4225</v>
      </c>
      <c r="C3437" s="960" t="s">
        <v>4256</v>
      </c>
      <c r="D3437" s="960" t="s">
        <v>4271</v>
      </c>
      <c r="E3437" s="959">
        <v>0</v>
      </c>
      <c r="F3437" s="959">
        <v>0</v>
      </c>
      <c r="G3437" s="959">
        <v>0</v>
      </c>
      <c r="H3437" s="959">
        <v>1</v>
      </c>
    </row>
    <row r="3438" spans="1:8">
      <c r="A3438" s="959" t="s">
        <v>4224</v>
      </c>
      <c r="B3438" s="960" t="s">
        <v>4225</v>
      </c>
      <c r="C3438" s="960" t="s">
        <v>4256</v>
      </c>
      <c r="D3438" s="960" t="s">
        <v>4264</v>
      </c>
      <c r="E3438" s="959">
        <v>0</v>
      </c>
      <c r="F3438" s="959">
        <v>0</v>
      </c>
      <c r="G3438" s="959">
        <v>0</v>
      </c>
      <c r="H3438" s="959">
        <v>6</v>
      </c>
    </row>
    <row r="3439" spans="1:8">
      <c r="A3439" s="959" t="s">
        <v>4224</v>
      </c>
      <c r="B3439" s="960" t="s">
        <v>4225</v>
      </c>
      <c r="C3439" s="960" t="s">
        <v>4256</v>
      </c>
      <c r="D3439" s="960" t="s">
        <v>4261</v>
      </c>
      <c r="E3439" s="959">
        <v>0</v>
      </c>
      <c r="F3439" s="959">
        <v>0</v>
      </c>
      <c r="G3439" s="959">
        <v>0</v>
      </c>
      <c r="H3439" s="959">
        <v>6</v>
      </c>
    </row>
    <row r="3440" spans="1:8">
      <c r="A3440" s="959" t="s">
        <v>4224</v>
      </c>
      <c r="B3440" s="960" t="s">
        <v>4225</v>
      </c>
      <c r="C3440" s="960" t="s">
        <v>4257</v>
      </c>
      <c r="D3440" s="960" t="s">
        <v>4258</v>
      </c>
      <c r="E3440" s="959">
        <v>0</v>
      </c>
      <c r="F3440" s="959">
        <v>0</v>
      </c>
      <c r="G3440" s="959">
        <v>0</v>
      </c>
      <c r="H3440" s="959">
        <v>2</v>
      </c>
    </row>
    <row r="3441" spans="1:8">
      <c r="A3441" s="959" t="s">
        <v>4224</v>
      </c>
      <c r="B3441" s="960" t="s">
        <v>4225</v>
      </c>
      <c r="C3441" s="960" t="s">
        <v>4267</v>
      </c>
      <c r="D3441" s="960" t="s">
        <v>4268</v>
      </c>
      <c r="E3441" s="959">
        <v>0</v>
      </c>
      <c r="F3441" s="959">
        <v>0</v>
      </c>
      <c r="G3441" s="959">
        <v>0</v>
      </c>
      <c r="H3441" s="959">
        <v>1</v>
      </c>
    </row>
    <row r="3442" spans="1:8">
      <c r="A3442" s="959" t="s">
        <v>4226</v>
      </c>
      <c r="B3442" s="960" t="s">
        <v>4227</v>
      </c>
      <c r="C3442" s="960" t="s">
        <v>4275</v>
      </c>
      <c r="D3442" s="960" t="s">
        <v>4276</v>
      </c>
      <c r="E3442" s="959">
        <v>5</v>
      </c>
      <c r="F3442" s="959">
        <v>46</v>
      </c>
      <c r="G3442" s="959">
        <v>4</v>
      </c>
      <c r="H3442" s="959">
        <v>51</v>
      </c>
    </row>
    <row r="3443" spans="1:8">
      <c r="A3443" s="959" t="s">
        <v>4226</v>
      </c>
      <c r="B3443" s="960" t="s">
        <v>4227</v>
      </c>
      <c r="C3443" s="960" t="s">
        <v>4277</v>
      </c>
      <c r="D3443" s="960" t="s">
        <v>4278</v>
      </c>
      <c r="E3443" s="959">
        <v>0</v>
      </c>
      <c r="F3443" s="959">
        <v>0</v>
      </c>
      <c r="G3443" s="959">
        <v>0</v>
      </c>
      <c r="H3443" s="959">
        <v>1</v>
      </c>
    </row>
    <row r="3444" spans="1:8">
      <c r="A3444" s="959" t="s">
        <v>4226</v>
      </c>
      <c r="B3444" s="960" t="s">
        <v>4227</v>
      </c>
      <c r="C3444" s="960" t="s">
        <v>4256</v>
      </c>
      <c r="D3444" s="960" t="s">
        <v>4260</v>
      </c>
      <c r="E3444" s="959">
        <v>0</v>
      </c>
      <c r="F3444" s="959">
        <v>0</v>
      </c>
      <c r="G3444" s="959">
        <v>0</v>
      </c>
      <c r="H3444" s="959">
        <v>6</v>
      </c>
    </row>
    <row r="3445" spans="1:8">
      <c r="A3445" s="959" t="s">
        <v>4226</v>
      </c>
      <c r="B3445" s="960" t="s">
        <v>4227</v>
      </c>
      <c r="C3445" s="960" t="s">
        <v>4256</v>
      </c>
      <c r="D3445" s="960" t="s">
        <v>4265</v>
      </c>
      <c r="E3445" s="959">
        <v>0</v>
      </c>
      <c r="F3445" s="959">
        <v>0</v>
      </c>
      <c r="G3445" s="959">
        <v>0</v>
      </c>
      <c r="H3445" s="959">
        <v>2</v>
      </c>
    </row>
    <row r="3446" spans="1:8">
      <c r="A3446" s="959" t="s">
        <v>4226</v>
      </c>
      <c r="B3446" s="960" t="s">
        <v>4227</v>
      </c>
      <c r="C3446" s="960" t="s">
        <v>4256</v>
      </c>
      <c r="D3446" s="960" t="s">
        <v>4271</v>
      </c>
      <c r="E3446" s="959">
        <v>0</v>
      </c>
      <c r="F3446" s="959">
        <v>0</v>
      </c>
      <c r="G3446" s="959">
        <v>0</v>
      </c>
      <c r="H3446" s="959">
        <v>1</v>
      </c>
    </row>
    <row r="3447" spans="1:8">
      <c r="A3447" s="959" t="s">
        <v>4226</v>
      </c>
      <c r="B3447" s="960" t="s">
        <v>4227</v>
      </c>
      <c r="C3447" s="960" t="s">
        <v>4256</v>
      </c>
      <c r="D3447" s="960" t="s">
        <v>1906</v>
      </c>
      <c r="E3447" s="959">
        <v>1</v>
      </c>
      <c r="F3447" s="959">
        <v>7</v>
      </c>
      <c r="G3447" s="959">
        <v>2</v>
      </c>
      <c r="H3447" s="959">
        <v>10</v>
      </c>
    </row>
    <row r="3448" spans="1:8">
      <c r="A3448" s="959" t="s">
        <v>4226</v>
      </c>
      <c r="B3448" s="960" t="s">
        <v>4227</v>
      </c>
      <c r="C3448" s="960" t="s">
        <v>4256</v>
      </c>
      <c r="D3448" s="960" t="s">
        <v>1907</v>
      </c>
      <c r="E3448" s="959">
        <v>0</v>
      </c>
      <c r="F3448" s="959">
        <v>1</v>
      </c>
      <c r="G3448" s="959">
        <v>6</v>
      </c>
      <c r="H3448" s="959">
        <v>59</v>
      </c>
    </row>
    <row r="3449" spans="1:8">
      <c r="A3449" s="959" t="s">
        <v>4226</v>
      </c>
      <c r="B3449" s="960" t="s">
        <v>4227</v>
      </c>
      <c r="C3449" s="960" t="s">
        <v>4257</v>
      </c>
      <c r="D3449" s="960" t="s">
        <v>4258</v>
      </c>
      <c r="E3449" s="959">
        <v>3</v>
      </c>
      <c r="F3449" s="959">
        <v>85</v>
      </c>
      <c r="G3449" s="959">
        <v>12</v>
      </c>
      <c r="H3449" s="959">
        <v>124</v>
      </c>
    </row>
    <row r="3450" spans="1:8">
      <c r="A3450" s="959" t="s">
        <v>4226</v>
      </c>
      <c r="B3450" s="960" t="s">
        <v>4227</v>
      </c>
      <c r="C3450" s="960" t="s">
        <v>4262</v>
      </c>
      <c r="D3450" s="960" t="s">
        <v>4263</v>
      </c>
      <c r="E3450" s="959">
        <v>0</v>
      </c>
      <c r="F3450" s="959">
        <v>10</v>
      </c>
      <c r="G3450" s="959">
        <v>0</v>
      </c>
      <c r="H3450" s="959">
        <v>0</v>
      </c>
    </row>
    <row r="3451" spans="1:8">
      <c r="A3451" s="959" t="s">
        <v>4228</v>
      </c>
      <c r="B3451" s="960" t="s">
        <v>1474</v>
      </c>
      <c r="C3451" s="960" t="s">
        <v>4262</v>
      </c>
      <c r="D3451" s="960" t="s">
        <v>4263</v>
      </c>
      <c r="E3451" s="959">
        <v>0</v>
      </c>
      <c r="F3451" s="959">
        <v>5</v>
      </c>
      <c r="G3451" s="959">
        <v>0</v>
      </c>
      <c r="H3451" s="959">
        <v>5</v>
      </c>
    </row>
    <row r="3452" spans="1:8">
      <c r="A3452" s="959" t="s">
        <v>4229</v>
      </c>
      <c r="B3452" s="960" t="s">
        <v>352</v>
      </c>
      <c r="C3452" s="960" t="s">
        <v>4277</v>
      </c>
      <c r="D3452" s="960" t="s">
        <v>4278</v>
      </c>
      <c r="E3452" s="959">
        <v>0</v>
      </c>
      <c r="F3452" s="959">
        <v>0</v>
      </c>
      <c r="G3452" s="959">
        <v>0</v>
      </c>
      <c r="H3452" s="959">
        <v>1</v>
      </c>
    </row>
    <row r="3453" spans="1:8">
      <c r="A3453" s="959" t="s">
        <v>4230</v>
      </c>
      <c r="B3453" s="960" t="s">
        <v>4231</v>
      </c>
      <c r="C3453" s="960" t="s">
        <v>4257</v>
      </c>
      <c r="D3453" s="960" t="s">
        <v>4258</v>
      </c>
      <c r="E3453" s="959">
        <v>1</v>
      </c>
      <c r="F3453" s="959">
        <v>11</v>
      </c>
      <c r="G3453" s="959">
        <v>0</v>
      </c>
      <c r="H3453" s="959">
        <v>0</v>
      </c>
    </row>
    <row r="3454" spans="1:8">
      <c r="A3454" s="959" t="s">
        <v>4232</v>
      </c>
      <c r="B3454" s="960" t="s">
        <v>4233</v>
      </c>
      <c r="C3454" s="960" t="s">
        <v>4256</v>
      </c>
      <c r="D3454" s="960" t="s">
        <v>1906</v>
      </c>
      <c r="E3454" s="959">
        <v>0</v>
      </c>
      <c r="F3454" s="959">
        <v>3</v>
      </c>
      <c r="G3454" s="959">
        <v>0</v>
      </c>
      <c r="H3454" s="959">
        <v>0</v>
      </c>
    </row>
    <row r="3455" spans="1:8">
      <c r="A3455" s="959" t="s">
        <v>4232</v>
      </c>
      <c r="B3455" s="960" t="s">
        <v>4233</v>
      </c>
      <c r="C3455" s="960" t="s">
        <v>4256</v>
      </c>
      <c r="D3455" s="960" t="s">
        <v>1907</v>
      </c>
      <c r="E3455" s="959">
        <v>0</v>
      </c>
      <c r="F3455" s="959">
        <v>3</v>
      </c>
      <c r="G3455" s="959">
        <v>1</v>
      </c>
      <c r="H3455" s="959">
        <v>14</v>
      </c>
    </row>
    <row r="3456" spans="1:8">
      <c r="A3456" s="959" t="s">
        <v>4232</v>
      </c>
      <c r="B3456" s="960" t="s">
        <v>4233</v>
      </c>
      <c r="C3456" s="960" t="s">
        <v>4257</v>
      </c>
      <c r="D3456" s="960" t="s">
        <v>4258</v>
      </c>
      <c r="E3456" s="959">
        <v>1</v>
      </c>
      <c r="F3456" s="959">
        <v>10</v>
      </c>
      <c r="G3456" s="959">
        <v>1</v>
      </c>
      <c r="H3456" s="959">
        <v>8</v>
      </c>
    </row>
    <row r="3457" spans="1:8">
      <c r="A3457" s="959" t="s">
        <v>4232</v>
      </c>
      <c r="B3457" s="960" t="s">
        <v>4233</v>
      </c>
      <c r="C3457" s="960" t="s">
        <v>4262</v>
      </c>
      <c r="D3457" s="960" t="s">
        <v>4263</v>
      </c>
      <c r="E3457" s="959">
        <v>3</v>
      </c>
      <c r="F3457" s="959">
        <v>7</v>
      </c>
      <c r="G3457" s="959">
        <v>0</v>
      </c>
      <c r="H3457" s="959">
        <v>0</v>
      </c>
    </row>
    <row r="3458" spans="1:8">
      <c r="A3458" s="959" t="s">
        <v>4321</v>
      </c>
      <c r="B3458" s="960" t="s">
        <v>4322</v>
      </c>
      <c r="C3458" s="960" t="s">
        <v>4256</v>
      </c>
      <c r="D3458" s="960" t="s">
        <v>1906</v>
      </c>
      <c r="E3458" s="959">
        <v>1</v>
      </c>
      <c r="F3458" s="959">
        <v>8</v>
      </c>
      <c r="G3458" s="959">
        <v>0</v>
      </c>
      <c r="H3458" s="959">
        <v>0</v>
      </c>
    </row>
    <row r="3459" spans="1:8">
      <c r="A3459" s="959" t="s">
        <v>4321</v>
      </c>
      <c r="B3459" s="960" t="s">
        <v>4322</v>
      </c>
      <c r="C3459" s="960" t="s">
        <v>4257</v>
      </c>
      <c r="D3459" s="960" t="s">
        <v>4258</v>
      </c>
      <c r="E3459" s="959">
        <v>3</v>
      </c>
      <c r="F3459" s="959">
        <v>57</v>
      </c>
      <c r="G3459" s="959">
        <v>0</v>
      </c>
      <c r="H3459" s="959">
        <v>3</v>
      </c>
    </row>
    <row r="3460" spans="1:8">
      <c r="A3460" s="959" t="s">
        <v>4321</v>
      </c>
      <c r="B3460" s="960" t="s">
        <v>4322</v>
      </c>
      <c r="C3460" s="960" t="s">
        <v>4262</v>
      </c>
      <c r="D3460" s="960" t="s">
        <v>4263</v>
      </c>
      <c r="E3460" s="959">
        <v>3</v>
      </c>
      <c r="F3460" s="959">
        <v>56</v>
      </c>
      <c r="G3460" s="959">
        <v>0</v>
      </c>
      <c r="H3460" s="959">
        <v>6</v>
      </c>
    </row>
    <row r="3461" spans="1:8">
      <c r="A3461" s="959" t="s">
        <v>4234</v>
      </c>
      <c r="B3461" s="960" t="s">
        <v>4235</v>
      </c>
      <c r="C3461" s="960" t="s">
        <v>4256</v>
      </c>
      <c r="D3461" s="960" t="s">
        <v>1906</v>
      </c>
      <c r="E3461" s="959">
        <v>1</v>
      </c>
      <c r="F3461" s="959">
        <v>9</v>
      </c>
      <c r="G3461" s="959">
        <v>1</v>
      </c>
      <c r="H3461" s="959">
        <v>11</v>
      </c>
    </row>
    <row r="3462" spans="1:8">
      <c r="A3462" s="959" t="s">
        <v>4234</v>
      </c>
      <c r="B3462" s="960" t="s">
        <v>4235</v>
      </c>
      <c r="C3462" s="960" t="s">
        <v>4257</v>
      </c>
      <c r="D3462" s="960" t="s">
        <v>4258</v>
      </c>
      <c r="E3462" s="959">
        <v>1</v>
      </c>
      <c r="F3462" s="959">
        <v>43</v>
      </c>
      <c r="G3462" s="959">
        <v>1</v>
      </c>
      <c r="H3462" s="959">
        <v>22</v>
      </c>
    </row>
    <row r="3463" spans="1:8">
      <c r="A3463" s="959" t="s">
        <v>4234</v>
      </c>
      <c r="B3463" s="960" t="s">
        <v>4235</v>
      </c>
      <c r="C3463" s="960" t="s">
        <v>4262</v>
      </c>
      <c r="D3463" s="960" t="s">
        <v>4263</v>
      </c>
      <c r="E3463" s="959">
        <v>0</v>
      </c>
      <c r="F3463" s="959">
        <v>31</v>
      </c>
      <c r="G3463" s="959">
        <v>0</v>
      </c>
      <c r="H3463" s="959">
        <v>29</v>
      </c>
    </row>
    <row r="3464" spans="1:8">
      <c r="A3464" s="959" t="s">
        <v>4236</v>
      </c>
      <c r="B3464" s="960" t="s">
        <v>1728</v>
      </c>
      <c r="C3464" s="960" t="s">
        <v>4256</v>
      </c>
      <c r="D3464" s="960" t="s">
        <v>4260</v>
      </c>
      <c r="E3464" s="959">
        <v>0</v>
      </c>
      <c r="F3464" s="959">
        <v>0</v>
      </c>
      <c r="G3464" s="959">
        <v>1</v>
      </c>
      <c r="H3464" s="959">
        <v>0</v>
      </c>
    </row>
    <row r="3465" spans="1:8">
      <c r="A3465" s="959" t="s">
        <v>4236</v>
      </c>
      <c r="B3465" s="960" t="s">
        <v>1728</v>
      </c>
      <c r="C3465" s="960" t="s">
        <v>4256</v>
      </c>
      <c r="D3465" s="960" t="s">
        <v>4271</v>
      </c>
      <c r="E3465" s="959">
        <v>0</v>
      </c>
      <c r="F3465" s="959">
        <v>0</v>
      </c>
      <c r="G3465" s="959">
        <v>0</v>
      </c>
      <c r="H3465" s="959">
        <v>1</v>
      </c>
    </row>
    <row r="3466" spans="1:8">
      <c r="A3466" s="959" t="s">
        <v>4236</v>
      </c>
      <c r="B3466" s="960" t="s">
        <v>1728</v>
      </c>
      <c r="C3466" s="960" t="s">
        <v>4257</v>
      </c>
      <c r="D3466" s="960" t="s">
        <v>4258</v>
      </c>
      <c r="E3466" s="959">
        <v>0</v>
      </c>
      <c r="F3466" s="959">
        <v>7</v>
      </c>
      <c r="G3466" s="959">
        <v>0</v>
      </c>
      <c r="H3466" s="959">
        <v>0</v>
      </c>
    </row>
    <row r="3467" spans="1:8">
      <c r="A3467" s="959" t="s">
        <v>4236</v>
      </c>
      <c r="B3467" s="960" t="s">
        <v>1728</v>
      </c>
      <c r="C3467" s="960" t="s">
        <v>4262</v>
      </c>
      <c r="D3467" s="960" t="s">
        <v>4263</v>
      </c>
      <c r="E3467" s="959">
        <v>23</v>
      </c>
      <c r="F3467" s="959">
        <v>601</v>
      </c>
      <c r="G3467" s="959">
        <v>0</v>
      </c>
      <c r="H3467" s="959">
        <v>0</v>
      </c>
    </row>
    <row r="3468" spans="1:8">
      <c r="A3468" s="959" t="s">
        <v>4237</v>
      </c>
      <c r="B3468" s="960" t="s">
        <v>4238</v>
      </c>
      <c r="C3468" s="960" t="s">
        <v>4256</v>
      </c>
      <c r="D3468" s="960" t="s">
        <v>470</v>
      </c>
      <c r="E3468" s="959">
        <v>0</v>
      </c>
      <c r="F3468" s="959">
        <v>0</v>
      </c>
      <c r="G3468" s="959">
        <v>0</v>
      </c>
      <c r="H3468" s="959">
        <v>20</v>
      </c>
    </row>
    <row r="3469" spans="1:8">
      <c r="A3469" s="959" t="s">
        <v>4237</v>
      </c>
      <c r="B3469" s="960" t="s">
        <v>4238</v>
      </c>
      <c r="C3469" s="960" t="s">
        <v>4256</v>
      </c>
      <c r="D3469" s="960" t="s">
        <v>1904</v>
      </c>
      <c r="E3469" s="959">
        <v>0</v>
      </c>
      <c r="F3469" s="959">
        <v>0</v>
      </c>
      <c r="G3469" s="959">
        <v>0</v>
      </c>
      <c r="H3469" s="959">
        <v>30</v>
      </c>
    </row>
    <row r="3470" spans="1:8">
      <c r="A3470" s="959" t="s">
        <v>4237</v>
      </c>
      <c r="B3470" s="960" t="s">
        <v>4238</v>
      </c>
      <c r="C3470" s="960" t="s">
        <v>4256</v>
      </c>
      <c r="D3470" s="960" t="s">
        <v>4264</v>
      </c>
      <c r="E3470" s="959">
        <v>0</v>
      </c>
      <c r="F3470" s="959">
        <v>0</v>
      </c>
      <c r="G3470" s="959">
        <v>0</v>
      </c>
      <c r="H3470" s="959">
        <v>16</v>
      </c>
    </row>
    <row r="3471" spans="1:8">
      <c r="A3471" s="959" t="s">
        <v>4237</v>
      </c>
      <c r="B3471" s="960" t="s">
        <v>4238</v>
      </c>
      <c r="C3471" s="960" t="s">
        <v>4256</v>
      </c>
      <c r="D3471" s="960" t="s">
        <v>1907</v>
      </c>
      <c r="E3471" s="959">
        <v>2</v>
      </c>
      <c r="F3471" s="959">
        <v>28</v>
      </c>
      <c r="G3471" s="959">
        <v>5</v>
      </c>
      <c r="H3471" s="959">
        <v>67</v>
      </c>
    </row>
    <row r="3472" spans="1:8">
      <c r="A3472" s="959" t="s">
        <v>4237</v>
      </c>
      <c r="B3472" s="960" t="s">
        <v>4238</v>
      </c>
      <c r="C3472" s="960" t="s">
        <v>4262</v>
      </c>
      <c r="D3472" s="960" t="s">
        <v>4263</v>
      </c>
      <c r="E3472" s="959">
        <v>1</v>
      </c>
      <c r="F3472" s="959">
        <v>0</v>
      </c>
      <c r="G3472" s="959">
        <v>0</v>
      </c>
      <c r="H3472" s="959">
        <v>0</v>
      </c>
    </row>
    <row r="3473" spans="1:8">
      <c r="A3473" s="959" t="s">
        <v>4237</v>
      </c>
      <c r="B3473" s="960" t="s">
        <v>4238</v>
      </c>
      <c r="C3473" s="960" t="s">
        <v>4267</v>
      </c>
      <c r="D3473" s="960" t="s">
        <v>4268</v>
      </c>
      <c r="E3473" s="959">
        <v>0</v>
      </c>
      <c r="F3473" s="959">
        <v>0</v>
      </c>
      <c r="G3473" s="959">
        <v>0</v>
      </c>
      <c r="H3473" s="959">
        <v>25</v>
      </c>
    </row>
    <row r="3474" spans="1:8">
      <c r="A3474" s="959" t="s">
        <v>4239</v>
      </c>
      <c r="B3474" s="960" t="s">
        <v>4240</v>
      </c>
      <c r="C3474" s="960" t="s">
        <v>4257</v>
      </c>
      <c r="D3474" s="960" t="s">
        <v>4258</v>
      </c>
      <c r="E3474" s="959">
        <v>0</v>
      </c>
      <c r="F3474" s="959">
        <v>4</v>
      </c>
      <c r="G3474" s="959">
        <v>0</v>
      </c>
      <c r="H3474" s="959">
        <v>0</v>
      </c>
    </row>
    <row r="3475" spans="1:8">
      <c r="A3475" s="959" t="s">
        <v>4239</v>
      </c>
      <c r="B3475" s="960" t="s">
        <v>4240</v>
      </c>
      <c r="C3475" s="960" t="s">
        <v>4262</v>
      </c>
      <c r="D3475" s="960" t="s">
        <v>4263</v>
      </c>
      <c r="E3475" s="959">
        <v>0</v>
      </c>
      <c r="F3475" s="959">
        <v>1</v>
      </c>
      <c r="G3475" s="959">
        <v>0</v>
      </c>
      <c r="H3475" s="959">
        <v>0</v>
      </c>
    </row>
    <row r="3476" spans="1:8">
      <c r="A3476" s="959" t="s">
        <v>4241</v>
      </c>
      <c r="B3476" s="960" t="s">
        <v>4242</v>
      </c>
      <c r="C3476" s="960" t="s">
        <v>4256</v>
      </c>
      <c r="D3476" s="960" t="s">
        <v>1906</v>
      </c>
      <c r="E3476" s="959">
        <v>10</v>
      </c>
      <c r="F3476" s="959">
        <v>173</v>
      </c>
      <c r="G3476" s="959">
        <v>0</v>
      </c>
      <c r="H3476" s="959">
        <v>0</v>
      </c>
    </row>
    <row r="3477" spans="1:8">
      <c r="A3477" s="959" t="s">
        <v>4241</v>
      </c>
      <c r="B3477" s="960" t="s">
        <v>4242</v>
      </c>
      <c r="C3477" s="960" t="s">
        <v>4256</v>
      </c>
      <c r="D3477" s="960" t="s">
        <v>4264</v>
      </c>
      <c r="E3477" s="959">
        <v>0</v>
      </c>
      <c r="F3477" s="959">
        <v>7</v>
      </c>
      <c r="G3477" s="959">
        <v>0</v>
      </c>
      <c r="H3477" s="959">
        <v>8</v>
      </c>
    </row>
    <row r="3478" spans="1:8">
      <c r="A3478" s="959" t="s">
        <v>4241</v>
      </c>
      <c r="B3478" s="960" t="s">
        <v>4242</v>
      </c>
      <c r="C3478" s="960" t="s">
        <v>4256</v>
      </c>
      <c r="D3478" s="960" t="s">
        <v>1907</v>
      </c>
      <c r="E3478" s="959">
        <v>0</v>
      </c>
      <c r="F3478" s="959">
        <v>1</v>
      </c>
      <c r="G3478" s="959">
        <v>0</v>
      </c>
      <c r="H3478" s="959">
        <v>0</v>
      </c>
    </row>
    <row r="3479" spans="1:8">
      <c r="A3479" s="959" t="s">
        <v>4241</v>
      </c>
      <c r="B3479" s="960" t="s">
        <v>4242</v>
      </c>
      <c r="C3479" s="960" t="s">
        <v>4257</v>
      </c>
      <c r="D3479" s="960" t="s">
        <v>4258</v>
      </c>
      <c r="E3479" s="959">
        <v>11</v>
      </c>
      <c r="F3479" s="959">
        <v>165</v>
      </c>
      <c r="G3479" s="959">
        <v>1</v>
      </c>
      <c r="H3479" s="959">
        <v>17</v>
      </c>
    </row>
    <row r="3480" spans="1:8">
      <c r="A3480" s="959" t="s">
        <v>4241</v>
      </c>
      <c r="B3480" s="960" t="s">
        <v>4242</v>
      </c>
      <c r="C3480" s="960" t="s">
        <v>4262</v>
      </c>
      <c r="D3480" s="960" t="s">
        <v>4263</v>
      </c>
      <c r="E3480" s="959">
        <v>2</v>
      </c>
      <c r="F3480" s="959">
        <v>112</v>
      </c>
      <c r="G3480" s="959">
        <v>3</v>
      </c>
      <c r="H3480" s="959">
        <v>7</v>
      </c>
    </row>
    <row r="3481" spans="1:8">
      <c r="A3481" s="959" t="s">
        <v>4243</v>
      </c>
      <c r="B3481" s="960" t="s">
        <v>4244</v>
      </c>
      <c r="C3481" s="960" t="s">
        <v>4256</v>
      </c>
      <c r="D3481" s="960" t="s">
        <v>4269</v>
      </c>
      <c r="E3481" s="959">
        <v>0</v>
      </c>
      <c r="F3481" s="959">
        <v>0</v>
      </c>
      <c r="G3481" s="959">
        <v>0</v>
      </c>
      <c r="H3481" s="959">
        <v>1</v>
      </c>
    </row>
    <row r="3482" spans="1:8">
      <c r="A3482" s="959" t="s">
        <v>4243</v>
      </c>
      <c r="B3482" s="960" t="s">
        <v>4244</v>
      </c>
      <c r="C3482" s="960" t="s">
        <v>4256</v>
      </c>
      <c r="D3482" s="960" t="s">
        <v>4259</v>
      </c>
      <c r="E3482" s="959">
        <v>0</v>
      </c>
      <c r="F3482" s="959">
        <v>1</v>
      </c>
      <c r="G3482" s="959">
        <v>0</v>
      </c>
      <c r="H3482" s="959">
        <v>23</v>
      </c>
    </row>
    <row r="3483" spans="1:8">
      <c r="A3483" s="959" t="s">
        <v>4243</v>
      </c>
      <c r="B3483" s="960" t="s">
        <v>4244</v>
      </c>
      <c r="C3483" s="960" t="s">
        <v>4256</v>
      </c>
      <c r="D3483" s="960" t="s">
        <v>1906</v>
      </c>
      <c r="E3483" s="959">
        <v>4</v>
      </c>
      <c r="F3483" s="959">
        <v>58</v>
      </c>
      <c r="G3483" s="959">
        <v>0</v>
      </c>
      <c r="H3483" s="959">
        <v>1</v>
      </c>
    </row>
    <row r="3484" spans="1:8">
      <c r="A3484" s="959" t="s">
        <v>4243</v>
      </c>
      <c r="B3484" s="960" t="s">
        <v>4244</v>
      </c>
      <c r="C3484" s="960" t="s">
        <v>4256</v>
      </c>
      <c r="D3484" s="960" t="s">
        <v>4264</v>
      </c>
      <c r="E3484" s="959">
        <v>0</v>
      </c>
      <c r="F3484" s="959">
        <v>1</v>
      </c>
      <c r="G3484" s="959">
        <v>2</v>
      </c>
      <c r="H3484" s="959">
        <v>29</v>
      </c>
    </row>
    <row r="3485" spans="1:8">
      <c r="A3485" s="959" t="s">
        <v>4243</v>
      </c>
      <c r="B3485" s="960" t="s">
        <v>4244</v>
      </c>
      <c r="C3485" s="960" t="s">
        <v>4256</v>
      </c>
      <c r="D3485" s="960" t="s">
        <v>1907</v>
      </c>
      <c r="E3485" s="959">
        <v>13</v>
      </c>
      <c r="F3485" s="959">
        <v>88</v>
      </c>
      <c r="G3485" s="959">
        <v>1</v>
      </c>
      <c r="H3485" s="959">
        <v>11</v>
      </c>
    </row>
    <row r="3486" spans="1:8">
      <c r="A3486" s="959" t="s">
        <v>4243</v>
      </c>
      <c r="B3486" s="960" t="s">
        <v>4244</v>
      </c>
      <c r="C3486" s="960" t="s">
        <v>4256</v>
      </c>
      <c r="D3486" s="961" t="s">
        <v>4266</v>
      </c>
      <c r="E3486" s="959">
        <v>0</v>
      </c>
      <c r="F3486" s="959">
        <v>2</v>
      </c>
      <c r="G3486" s="959">
        <v>0</v>
      </c>
      <c r="H3486" s="959">
        <v>0</v>
      </c>
    </row>
    <row r="3487" spans="1:8">
      <c r="A3487" s="959" t="s">
        <v>4243</v>
      </c>
      <c r="B3487" s="960" t="s">
        <v>4244</v>
      </c>
      <c r="C3487" s="960" t="s">
        <v>4257</v>
      </c>
      <c r="D3487" s="960" t="s">
        <v>4258</v>
      </c>
      <c r="E3487" s="959">
        <v>6</v>
      </c>
      <c r="F3487" s="959">
        <v>86</v>
      </c>
      <c r="G3487" s="959">
        <v>1</v>
      </c>
      <c r="H3487" s="959">
        <v>8</v>
      </c>
    </row>
    <row r="3488" spans="1:8">
      <c r="A3488" s="959" t="s">
        <v>4243</v>
      </c>
      <c r="B3488" s="960" t="s">
        <v>4244</v>
      </c>
      <c r="C3488" s="960" t="s">
        <v>4262</v>
      </c>
      <c r="D3488" s="960" t="s">
        <v>4263</v>
      </c>
      <c r="E3488" s="959">
        <v>5</v>
      </c>
      <c r="F3488" s="959">
        <v>476</v>
      </c>
      <c r="G3488" s="959">
        <v>0</v>
      </c>
      <c r="H3488" s="959">
        <v>0</v>
      </c>
    </row>
    <row r="3489" spans="1:8">
      <c r="A3489" s="959" t="s">
        <v>4245</v>
      </c>
      <c r="B3489" s="960" t="s">
        <v>4246</v>
      </c>
      <c r="C3489" s="960" t="s">
        <v>4256</v>
      </c>
      <c r="D3489" s="960" t="s">
        <v>1906</v>
      </c>
      <c r="E3489" s="959">
        <v>17</v>
      </c>
      <c r="F3489" s="959">
        <v>258</v>
      </c>
      <c r="G3489" s="959">
        <v>0</v>
      </c>
      <c r="H3489" s="959">
        <v>1</v>
      </c>
    </row>
    <row r="3490" spans="1:8">
      <c r="A3490" s="959" t="s">
        <v>4245</v>
      </c>
      <c r="B3490" s="960" t="s">
        <v>4246</v>
      </c>
      <c r="C3490" s="960" t="s">
        <v>4256</v>
      </c>
      <c r="D3490" s="960" t="s">
        <v>4264</v>
      </c>
      <c r="E3490" s="959">
        <v>0</v>
      </c>
      <c r="F3490" s="959">
        <v>3</v>
      </c>
      <c r="G3490" s="959">
        <v>0</v>
      </c>
      <c r="H3490" s="959">
        <v>0</v>
      </c>
    </row>
    <row r="3491" spans="1:8">
      <c r="A3491" s="959" t="s">
        <v>4245</v>
      </c>
      <c r="B3491" s="960" t="s">
        <v>4246</v>
      </c>
      <c r="C3491" s="960" t="s">
        <v>4256</v>
      </c>
      <c r="D3491" s="960" t="s">
        <v>1907</v>
      </c>
      <c r="E3491" s="959">
        <v>0</v>
      </c>
      <c r="F3491" s="959">
        <v>1</v>
      </c>
      <c r="G3491" s="959">
        <v>0</v>
      </c>
      <c r="H3491" s="959">
        <v>0</v>
      </c>
    </row>
    <row r="3492" spans="1:8">
      <c r="A3492" s="959" t="s">
        <v>4245</v>
      </c>
      <c r="B3492" s="960" t="s">
        <v>4246</v>
      </c>
      <c r="C3492" s="960" t="s">
        <v>4257</v>
      </c>
      <c r="D3492" s="960" t="s">
        <v>4258</v>
      </c>
      <c r="E3492" s="959">
        <v>43</v>
      </c>
      <c r="F3492" s="959">
        <v>720</v>
      </c>
      <c r="G3492" s="959">
        <v>1</v>
      </c>
      <c r="H3492" s="959">
        <v>22</v>
      </c>
    </row>
    <row r="3493" spans="1:8">
      <c r="A3493" s="959" t="s">
        <v>4245</v>
      </c>
      <c r="B3493" s="960" t="s">
        <v>4246</v>
      </c>
      <c r="C3493" s="960" t="s">
        <v>4262</v>
      </c>
      <c r="D3493" s="960" t="s">
        <v>4263</v>
      </c>
      <c r="E3493" s="959">
        <v>0</v>
      </c>
      <c r="F3493" s="959">
        <v>69</v>
      </c>
      <c r="G3493" s="959">
        <v>0</v>
      </c>
      <c r="H3493" s="959">
        <v>0</v>
      </c>
    </row>
    <row r="3494" spans="1:8">
      <c r="A3494" s="959" t="s">
        <v>4247</v>
      </c>
      <c r="B3494" s="960" t="s">
        <v>4248</v>
      </c>
      <c r="C3494" s="960" t="s">
        <v>4256</v>
      </c>
      <c r="D3494" s="960" t="s">
        <v>1904</v>
      </c>
      <c r="E3494" s="959">
        <v>0</v>
      </c>
      <c r="F3494" s="959">
        <v>0</v>
      </c>
      <c r="G3494" s="959">
        <v>0</v>
      </c>
      <c r="H3494" s="959">
        <v>1</v>
      </c>
    </row>
    <row r="3495" spans="1:8">
      <c r="A3495" s="959" t="s">
        <v>4247</v>
      </c>
      <c r="B3495" s="960" t="s">
        <v>4248</v>
      </c>
      <c r="C3495" s="960" t="s">
        <v>4256</v>
      </c>
      <c r="D3495" s="960" t="s">
        <v>4270</v>
      </c>
      <c r="E3495" s="959">
        <v>0</v>
      </c>
      <c r="F3495" s="959">
        <v>0</v>
      </c>
      <c r="G3495" s="959">
        <v>0</v>
      </c>
      <c r="H3495" s="959">
        <v>4</v>
      </c>
    </row>
    <row r="3496" spans="1:8">
      <c r="A3496" s="959" t="s">
        <v>4247</v>
      </c>
      <c r="B3496" s="960" t="s">
        <v>4248</v>
      </c>
      <c r="C3496" s="960" t="s">
        <v>4256</v>
      </c>
      <c r="D3496" s="960" t="s">
        <v>4259</v>
      </c>
      <c r="E3496" s="959">
        <v>0</v>
      </c>
      <c r="F3496" s="959">
        <v>0</v>
      </c>
      <c r="G3496" s="959">
        <v>4</v>
      </c>
      <c r="H3496" s="959">
        <v>29</v>
      </c>
    </row>
    <row r="3497" spans="1:8">
      <c r="A3497" s="959" t="s">
        <v>4247</v>
      </c>
      <c r="B3497" s="960" t="s">
        <v>4248</v>
      </c>
      <c r="C3497" s="960" t="s">
        <v>4256</v>
      </c>
      <c r="D3497" s="960" t="s">
        <v>4260</v>
      </c>
      <c r="E3497" s="959">
        <v>0</v>
      </c>
      <c r="F3497" s="959">
        <v>0</v>
      </c>
      <c r="G3497" s="959">
        <v>3</v>
      </c>
      <c r="H3497" s="959">
        <v>19</v>
      </c>
    </row>
    <row r="3498" spans="1:8">
      <c r="A3498" s="959" t="s">
        <v>4247</v>
      </c>
      <c r="B3498" s="960" t="s">
        <v>4248</v>
      </c>
      <c r="C3498" s="960" t="s">
        <v>4256</v>
      </c>
      <c r="D3498" s="960" t="s">
        <v>4265</v>
      </c>
      <c r="E3498" s="959">
        <v>0</v>
      </c>
      <c r="F3498" s="959">
        <v>0</v>
      </c>
      <c r="G3498" s="959">
        <v>0</v>
      </c>
      <c r="H3498" s="959">
        <v>1</v>
      </c>
    </row>
    <row r="3499" spans="1:8">
      <c r="A3499" s="959" t="s">
        <v>4247</v>
      </c>
      <c r="B3499" s="960" t="s">
        <v>4248</v>
      </c>
      <c r="C3499" s="960" t="s">
        <v>4256</v>
      </c>
      <c r="D3499" s="960" t="s">
        <v>1906</v>
      </c>
      <c r="E3499" s="959">
        <v>4</v>
      </c>
      <c r="F3499" s="959">
        <v>54</v>
      </c>
      <c r="G3499" s="959">
        <v>4</v>
      </c>
      <c r="H3499" s="959">
        <v>58</v>
      </c>
    </row>
    <row r="3500" spans="1:8">
      <c r="A3500" s="959" t="s">
        <v>4247</v>
      </c>
      <c r="B3500" s="960" t="s">
        <v>4248</v>
      </c>
      <c r="C3500" s="960" t="s">
        <v>4256</v>
      </c>
      <c r="D3500" s="960" t="s">
        <v>4261</v>
      </c>
      <c r="E3500" s="959">
        <v>0</v>
      </c>
      <c r="F3500" s="959">
        <v>0</v>
      </c>
      <c r="G3500" s="959">
        <v>0</v>
      </c>
      <c r="H3500" s="959">
        <v>16</v>
      </c>
    </row>
    <row r="3501" spans="1:8">
      <c r="A3501" s="959" t="s">
        <v>4247</v>
      </c>
      <c r="B3501" s="960" t="s">
        <v>4248</v>
      </c>
      <c r="C3501" s="960" t="s">
        <v>4257</v>
      </c>
      <c r="D3501" s="960" t="s">
        <v>4258</v>
      </c>
      <c r="E3501" s="959">
        <v>13</v>
      </c>
      <c r="F3501" s="959">
        <v>273</v>
      </c>
      <c r="G3501" s="959">
        <v>6</v>
      </c>
      <c r="H3501" s="959">
        <v>84</v>
      </c>
    </row>
    <row r="3502" spans="1:8">
      <c r="A3502" s="959" t="s">
        <v>4247</v>
      </c>
      <c r="B3502" s="960" t="s">
        <v>4248</v>
      </c>
      <c r="C3502" s="960" t="s">
        <v>4262</v>
      </c>
      <c r="D3502" s="960" t="s">
        <v>4263</v>
      </c>
      <c r="E3502" s="959">
        <v>7</v>
      </c>
      <c r="F3502" s="959">
        <v>15</v>
      </c>
      <c r="G3502" s="959">
        <v>0</v>
      </c>
      <c r="H3502" s="959">
        <v>3</v>
      </c>
    </row>
    <row r="3503" spans="1:8">
      <c r="A3503" s="959" t="s">
        <v>4249</v>
      </c>
      <c r="B3503" s="960" t="s">
        <v>4250</v>
      </c>
      <c r="C3503" s="960" t="s">
        <v>4275</v>
      </c>
      <c r="D3503" s="960" t="s">
        <v>4276</v>
      </c>
      <c r="E3503" s="959">
        <v>0</v>
      </c>
      <c r="F3503" s="959">
        <v>6</v>
      </c>
      <c r="G3503" s="959">
        <v>0</v>
      </c>
      <c r="H3503" s="959">
        <v>6</v>
      </c>
    </row>
    <row r="3504" spans="1:8">
      <c r="A3504" s="959" t="s">
        <v>4249</v>
      </c>
      <c r="B3504" s="960" t="s">
        <v>4250</v>
      </c>
      <c r="C3504" s="960" t="s">
        <v>4277</v>
      </c>
      <c r="D3504" s="960" t="s">
        <v>4278</v>
      </c>
      <c r="E3504" s="959">
        <v>0</v>
      </c>
      <c r="F3504" s="959">
        <v>0</v>
      </c>
      <c r="G3504" s="959">
        <v>4</v>
      </c>
      <c r="H3504" s="959">
        <v>32</v>
      </c>
    </row>
    <row r="3505" spans="1:8">
      <c r="A3505" s="959" t="s">
        <v>4249</v>
      </c>
      <c r="B3505" s="960" t="s">
        <v>4250</v>
      </c>
      <c r="C3505" s="960" t="s">
        <v>4277</v>
      </c>
      <c r="D3505" s="960" t="s">
        <v>4279</v>
      </c>
      <c r="E3505" s="959">
        <v>0</v>
      </c>
      <c r="F3505" s="959">
        <v>0</v>
      </c>
      <c r="G3505" s="959">
        <v>1</v>
      </c>
      <c r="H3505" s="959">
        <v>21</v>
      </c>
    </row>
    <row r="3506" spans="1:8">
      <c r="A3506" s="959" t="s">
        <v>4249</v>
      </c>
      <c r="B3506" s="960" t="s">
        <v>4250</v>
      </c>
      <c r="C3506" s="960" t="s">
        <v>4256</v>
      </c>
      <c r="D3506" s="960" t="s">
        <v>4260</v>
      </c>
      <c r="E3506" s="959">
        <v>0</v>
      </c>
      <c r="F3506" s="959">
        <v>0</v>
      </c>
      <c r="G3506" s="959">
        <v>1</v>
      </c>
      <c r="H3506" s="959">
        <v>15</v>
      </c>
    </row>
    <row r="3507" spans="1:8">
      <c r="A3507" s="959" t="s">
        <v>4249</v>
      </c>
      <c r="B3507" s="960" t="s">
        <v>4250</v>
      </c>
      <c r="C3507" s="960" t="s">
        <v>4256</v>
      </c>
      <c r="D3507" s="960" t="s">
        <v>4265</v>
      </c>
      <c r="E3507" s="959">
        <v>0</v>
      </c>
      <c r="F3507" s="959">
        <v>0</v>
      </c>
      <c r="G3507" s="959">
        <v>0</v>
      </c>
      <c r="H3507" s="959">
        <v>3</v>
      </c>
    </row>
    <row r="3508" spans="1:8">
      <c r="A3508" s="959" t="s">
        <v>4249</v>
      </c>
      <c r="B3508" s="960" t="s">
        <v>4250</v>
      </c>
      <c r="C3508" s="960" t="s">
        <v>4256</v>
      </c>
      <c r="D3508" s="960" t="s">
        <v>1906</v>
      </c>
      <c r="E3508" s="959">
        <v>0</v>
      </c>
      <c r="F3508" s="959">
        <v>3</v>
      </c>
      <c r="G3508" s="959">
        <v>0</v>
      </c>
      <c r="H3508" s="959">
        <v>7</v>
      </c>
    </row>
    <row r="3509" spans="1:8">
      <c r="A3509" s="959" t="s">
        <v>4249</v>
      </c>
      <c r="B3509" s="960" t="s">
        <v>4250</v>
      </c>
      <c r="C3509" s="960" t="s">
        <v>4256</v>
      </c>
      <c r="D3509" s="960" t="s">
        <v>1907</v>
      </c>
      <c r="E3509" s="959">
        <v>0</v>
      </c>
      <c r="F3509" s="959">
        <v>3</v>
      </c>
      <c r="G3509" s="959">
        <v>5</v>
      </c>
      <c r="H3509" s="959">
        <v>73</v>
      </c>
    </row>
    <row r="3510" spans="1:8">
      <c r="A3510" s="959" t="s">
        <v>4249</v>
      </c>
      <c r="B3510" s="960" t="s">
        <v>4250</v>
      </c>
      <c r="C3510" s="960" t="s">
        <v>4257</v>
      </c>
      <c r="D3510" s="960" t="s">
        <v>4285</v>
      </c>
      <c r="E3510" s="959">
        <v>0</v>
      </c>
      <c r="F3510" s="959">
        <v>0</v>
      </c>
      <c r="G3510" s="959">
        <v>0</v>
      </c>
      <c r="H3510" s="959">
        <v>8</v>
      </c>
    </row>
    <row r="3511" spans="1:8">
      <c r="A3511" s="959" t="s">
        <v>4249</v>
      </c>
      <c r="B3511" s="960" t="s">
        <v>4250</v>
      </c>
      <c r="C3511" s="960" t="s">
        <v>4257</v>
      </c>
      <c r="D3511" s="960" t="s">
        <v>4258</v>
      </c>
      <c r="E3511" s="959">
        <v>1</v>
      </c>
      <c r="F3511" s="959">
        <v>40</v>
      </c>
      <c r="G3511" s="959">
        <v>12</v>
      </c>
      <c r="H3511" s="959">
        <v>169</v>
      </c>
    </row>
    <row r="3512" spans="1:8">
      <c r="A3512" s="959" t="s">
        <v>4249</v>
      </c>
      <c r="B3512" s="960" t="s">
        <v>4250</v>
      </c>
      <c r="C3512" s="960" t="s">
        <v>4262</v>
      </c>
      <c r="D3512" s="960" t="s">
        <v>4263</v>
      </c>
      <c r="E3512" s="959">
        <v>0</v>
      </c>
      <c r="F3512" s="959">
        <v>2</v>
      </c>
      <c r="G3512" s="959">
        <v>0</v>
      </c>
      <c r="H3512" s="959">
        <v>0</v>
      </c>
    </row>
    <row r="3513" spans="1:8">
      <c r="A3513" s="959" t="s">
        <v>4249</v>
      </c>
      <c r="B3513" s="960" t="s">
        <v>4250</v>
      </c>
      <c r="C3513" s="960" t="s">
        <v>4267</v>
      </c>
      <c r="D3513" s="960" t="s">
        <v>4268</v>
      </c>
      <c r="E3513" s="959">
        <v>0</v>
      </c>
      <c r="F3513" s="959">
        <v>0</v>
      </c>
      <c r="G3513" s="959">
        <v>0</v>
      </c>
      <c r="H3513" s="959">
        <v>10</v>
      </c>
    </row>
    <row r="3514" spans="1:8">
      <c r="A3514" s="959" t="s">
        <v>4252</v>
      </c>
      <c r="B3514" s="960" t="s">
        <v>4253</v>
      </c>
      <c r="C3514" s="960" t="s">
        <v>4275</v>
      </c>
      <c r="D3514" s="960" t="s">
        <v>4276</v>
      </c>
      <c r="E3514" s="959">
        <v>2</v>
      </c>
      <c r="F3514" s="959">
        <v>114</v>
      </c>
      <c r="G3514" s="959">
        <v>1</v>
      </c>
      <c r="H3514" s="959">
        <v>8</v>
      </c>
    </row>
    <row r="3515" spans="1:8">
      <c r="A3515" s="959" t="s">
        <v>4252</v>
      </c>
      <c r="B3515" s="960" t="s">
        <v>4253</v>
      </c>
      <c r="C3515" s="960" t="s">
        <v>4277</v>
      </c>
      <c r="D3515" s="960" t="s">
        <v>4278</v>
      </c>
      <c r="E3515" s="959">
        <v>0</v>
      </c>
      <c r="F3515" s="959">
        <v>0</v>
      </c>
      <c r="G3515" s="959">
        <v>6</v>
      </c>
      <c r="H3515" s="959">
        <v>106</v>
      </c>
    </row>
    <row r="3516" spans="1:8">
      <c r="A3516" s="959" t="s">
        <v>4252</v>
      </c>
      <c r="B3516" s="960" t="s">
        <v>4253</v>
      </c>
      <c r="C3516" s="960" t="s">
        <v>4277</v>
      </c>
      <c r="D3516" s="960" t="s">
        <v>4279</v>
      </c>
      <c r="E3516" s="959">
        <v>0</v>
      </c>
      <c r="F3516" s="959">
        <v>0</v>
      </c>
      <c r="G3516" s="959">
        <v>1</v>
      </c>
      <c r="H3516" s="959">
        <v>83</v>
      </c>
    </row>
    <row r="3517" spans="1:8">
      <c r="A3517" s="959" t="s">
        <v>4252</v>
      </c>
      <c r="B3517" s="960" t="s">
        <v>4253</v>
      </c>
      <c r="C3517" s="960" t="s">
        <v>4277</v>
      </c>
      <c r="D3517" s="960" t="s">
        <v>4280</v>
      </c>
      <c r="E3517" s="959">
        <v>0</v>
      </c>
      <c r="F3517" s="959">
        <v>0</v>
      </c>
      <c r="G3517" s="959">
        <v>0</v>
      </c>
      <c r="H3517" s="959">
        <v>1</v>
      </c>
    </row>
    <row r="3518" spans="1:8">
      <c r="A3518" s="959" t="s">
        <v>4252</v>
      </c>
      <c r="B3518" s="960" t="s">
        <v>4253</v>
      </c>
      <c r="C3518" s="960" t="s">
        <v>4256</v>
      </c>
      <c r="D3518" s="960" t="s">
        <v>1906</v>
      </c>
      <c r="E3518" s="959">
        <v>1</v>
      </c>
      <c r="F3518" s="959">
        <v>22</v>
      </c>
      <c r="G3518" s="959">
        <v>1</v>
      </c>
      <c r="H3518" s="959">
        <v>8</v>
      </c>
    </row>
    <row r="3519" spans="1:8">
      <c r="A3519" s="959" t="s">
        <v>4252</v>
      </c>
      <c r="B3519" s="960" t="s">
        <v>4253</v>
      </c>
      <c r="C3519" s="960" t="s">
        <v>4257</v>
      </c>
      <c r="D3519" s="960" t="s">
        <v>4258</v>
      </c>
      <c r="E3519" s="959">
        <v>72</v>
      </c>
      <c r="F3519" s="959">
        <v>1059</v>
      </c>
      <c r="G3519" s="959">
        <v>6</v>
      </c>
      <c r="H3519" s="959">
        <v>76</v>
      </c>
    </row>
    <row r="3520" spans="1:8">
      <c r="A3520" s="959" t="s">
        <v>4252</v>
      </c>
      <c r="B3520" s="960" t="s">
        <v>4253</v>
      </c>
      <c r="C3520" s="960" t="s">
        <v>4267</v>
      </c>
      <c r="D3520" s="960" t="s">
        <v>4268</v>
      </c>
      <c r="E3520" s="959">
        <v>0</v>
      </c>
      <c r="F3520" s="959">
        <v>0</v>
      </c>
      <c r="G3520" s="959">
        <v>0</v>
      </c>
      <c r="H3520" s="959">
        <v>1</v>
      </c>
    </row>
    <row r="3521" spans="1:8">
      <c r="A3521" s="960"/>
      <c r="B3521" s="960"/>
      <c r="C3521" s="960"/>
      <c r="D3521" s="960"/>
      <c r="E3521" s="959"/>
      <c r="F3521" s="959"/>
      <c r="G3521" s="959"/>
      <c r="H3521" s="959"/>
    </row>
    <row r="3522" spans="1:8">
      <c r="A3522" s="960"/>
      <c r="B3522" s="960"/>
      <c r="C3522" s="960"/>
      <c r="D3522" s="960"/>
      <c r="E3522" s="959"/>
      <c r="F3522" s="959"/>
      <c r="G3522" s="959"/>
      <c r="H3522" s="959"/>
    </row>
    <row r="3523" spans="1:8">
      <c r="A3523" s="960"/>
      <c r="B3523" s="960"/>
      <c r="C3523" s="960"/>
      <c r="D3523" s="960"/>
      <c r="E3523" s="959"/>
      <c r="F3523" s="959"/>
      <c r="G3523" s="959"/>
      <c r="H3523" s="959"/>
    </row>
    <row r="3524" spans="1:8">
      <c r="A3524" s="960"/>
      <c r="B3524" s="960"/>
      <c r="C3524" s="960"/>
      <c r="D3524" s="960"/>
      <c r="E3524" s="959"/>
      <c r="F3524" s="959"/>
      <c r="G3524" s="959"/>
      <c r="H3524" s="959"/>
    </row>
    <row r="3525" spans="1:8">
      <c r="A3525" s="960"/>
      <c r="B3525" s="960"/>
      <c r="C3525" s="960"/>
      <c r="D3525" s="960"/>
      <c r="E3525" s="959"/>
      <c r="F3525" s="959"/>
      <c r="G3525" s="959"/>
      <c r="H3525" s="959"/>
    </row>
    <row r="3526" spans="1:8">
      <c r="A3526" s="960"/>
      <c r="B3526" s="960"/>
      <c r="C3526" s="960"/>
      <c r="D3526" s="960"/>
      <c r="E3526" s="959"/>
      <c r="F3526" s="959"/>
      <c r="G3526" s="959"/>
      <c r="H3526" s="959"/>
    </row>
    <row r="3527" spans="1:8">
      <c r="A3527" s="960"/>
      <c r="B3527" s="960"/>
      <c r="C3527" s="960"/>
      <c r="D3527" s="960"/>
      <c r="E3527" s="959"/>
      <c r="F3527" s="959"/>
      <c r="G3527" s="959"/>
      <c r="H3527" s="959"/>
    </row>
    <row r="3528" spans="1:8">
      <c r="A3528" s="960"/>
      <c r="B3528" s="960"/>
      <c r="C3528" s="960"/>
      <c r="D3528" s="960"/>
      <c r="E3528" s="959"/>
      <c r="F3528" s="959"/>
      <c r="G3528" s="959"/>
      <c r="H3528" s="959"/>
    </row>
    <row r="3529" spans="1:8">
      <c r="A3529" s="960"/>
      <c r="B3529" s="960"/>
      <c r="C3529" s="960"/>
      <c r="D3529" s="960"/>
      <c r="E3529" s="959"/>
      <c r="F3529" s="959"/>
      <c r="G3529" s="959"/>
      <c r="H3529" s="959"/>
    </row>
    <row r="3530" spans="1:8">
      <c r="A3530" s="960"/>
      <c r="B3530" s="960"/>
      <c r="C3530" s="960"/>
      <c r="D3530" s="960"/>
      <c r="E3530" s="959"/>
      <c r="F3530" s="959"/>
      <c r="G3530" s="959"/>
      <c r="H3530" s="959"/>
    </row>
    <row r="3531" spans="1:8">
      <c r="A3531" s="960"/>
      <c r="B3531" s="960"/>
      <c r="C3531" s="960"/>
      <c r="D3531" s="960"/>
      <c r="E3531" s="959"/>
      <c r="F3531" s="959"/>
      <c r="G3531" s="959"/>
      <c r="H3531" s="959"/>
    </row>
    <row r="3532" spans="1:8">
      <c r="A3532" s="960"/>
      <c r="B3532" s="960"/>
      <c r="C3532" s="960"/>
      <c r="D3532" s="960"/>
      <c r="E3532" s="959"/>
      <c r="F3532" s="959"/>
      <c r="G3532" s="959"/>
      <c r="H3532" s="959"/>
    </row>
    <row r="3533" spans="1:8">
      <c r="A3533" s="960"/>
      <c r="B3533" s="960"/>
      <c r="C3533" s="960"/>
      <c r="D3533" s="960"/>
      <c r="E3533" s="959"/>
      <c r="F3533" s="959"/>
      <c r="G3533" s="959"/>
      <c r="H3533" s="959"/>
    </row>
    <row r="3534" spans="1:8">
      <c r="A3534" s="960"/>
      <c r="B3534" s="960"/>
      <c r="C3534" s="960"/>
      <c r="D3534" s="960"/>
      <c r="E3534" s="959"/>
      <c r="F3534" s="959"/>
      <c r="G3534" s="959"/>
      <c r="H3534" s="959"/>
    </row>
    <row r="3535" spans="1:8">
      <c r="A3535" s="960"/>
      <c r="B3535" s="960"/>
      <c r="C3535" s="960"/>
      <c r="D3535" s="960"/>
      <c r="E3535" s="959"/>
      <c r="F3535" s="959"/>
      <c r="G3535" s="959"/>
      <c r="H3535" s="959"/>
    </row>
    <row r="3536" spans="1:8">
      <c r="A3536" s="960"/>
      <c r="B3536" s="960"/>
      <c r="C3536" s="960"/>
      <c r="D3536" s="960"/>
      <c r="E3536" s="959"/>
      <c r="F3536" s="959"/>
      <c r="G3536" s="959"/>
      <c r="H3536" s="959"/>
    </row>
    <row r="3537" spans="1:8">
      <c r="A3537" s="960"/>
      <c r="B3537" s="960"/>
      <c r="C3537" s="960"/>
      <c r="D3537" s="960"/>
      <c r="E3537" s="959"/>
      <c r="F3537" s="959"/>
      <c r="G3537" s="959"/>
      <c r="H3537" s="959"/>
    </row>
    <row r="3538" spans="1:8">
      <c r="A3538" s="960"/>
      <c r="B3538" s="960"/>
      <c r="C3538" s="960"/>
      <c r="D3538" s="960"/>
      <c r="E3538" s="959"/>
      <c r="F3538" s="959"/>
      <c r="G3538" s="959"/>
      <c r="H3538" s="959"/>
    </row>
    <row r="3539" spans="1:8">
      <c r="A3539" s="960"/>
      <c r="B3539" s="960"/>
      <c r="C3539" s="960"/>
      <c r="D3539" s="960"/>
      <c r="E3539" s="959"/>
      <c r="F3539" s="959"/>
      <c r="G3539" s="959"/>
      <c r="H3539" s="959"/>
    </row>
    <row r="3540" spans="1:8">
      <c r="A3540" s="960"/>
      <c r="B3540" s="960"/>
      <c r="C3540" s="960"/>
      <c r="D3540" s="960"/>
      <c r="E3540" s="959"/>
      <c r="F3540" s="959"/>
      <c r="G3540" s="959"/>
      <c r="H3540" s="959"/>
    </row>
    <row r="3541" spans="1:8">
      <c r="A3541" s="960"/>
      <c r="B3541" s="960"/>
      <c r="C3541" s="960"/>
      <c r="D3541" s="960"/>
      <c r="E3541" s="959"/>
      <c r="F3541" s="959"/>
      <c r="G3541" s="959"/>
      <c r="H3541" s="959"/>
    </row>
    <row r="3542" spans="1:8">
      <c r="A3542" s="960"/>
      <c r="B3542" s="960"/>
      <c r="C3542" s="960"/>
      <c r="D3542" s="960"/>
      <c r="E3542" s="959"/>
      <c r="F3542" s="959"/>
      <c r="G3542" s="959"/>
      <c r="H3542" s="959"/>
    </row>
    <row r="3543" spans="1:8">
      <c r="A3543" s="960"/>
      <c r="B3543" s="960"/>
      <c r="C3543" s="960"/>
      <c r="D3543" s="960"/>
      <c r="E3543" s="959"/>
      <c r="F3543" s="959"/>
      <c r="G3543" s="959"/>
      <c r="H3543" s="959"/>
    </row>
    <row r="3544" spans="1:8">
      <c r="A3544" s="960"/>
      <c r="B3544" s="960"/>
      <c r="C3544" s="960"/>
      <c r="D3544" s="960"/>
      <c r="E3544" s="959"/>
      <c r="F3544" s="959"/>
      <c r="G3544" s="959"/>
      <c r="H3544" s="959"/>
    </row>
    <row r="3545" spans="1:8">
      <c r="A3545" s="960"/>
      <c r="B3545" s="960"/>
      <c r="C3545" s="960"/>
      <c r="D3545" s="960"/>
      <c r="E3545" s="959"/>
      <c r="F3545" s="959"/>
      <c r="G3545" s="959"/>
      <c r="H3545" s="959"/>
    </row>
    <row r="3546" spans="1:8">
      <c r="A3546" s="960"/>
      <c r="B3546" s="960"/>
      <c r="C3546" s="960"/>
      <c r="D3546" s="960"/>
      <c r="E3546" s="959"/>
      <c r="F3546" s="959"/>
      <c r="G3546" s="959"/>
      <c r="H3546" s="959"/>
    </row>
    <row r="3547" spans="1:8">
      <c r="A3547" s="960"/>
      <c r="B3547" s="960"/>
      <c r="C3547" s="960"/>
      <c r="D3547" s="960"/>
      <c r="E3547" s="959"/>
      <c r="F3547" s="959"/>
      <c r="G3547" s="959"/>
      <c r="H3547" s="959"/>
    </row>
    <row r="3548" spans="1:8">
      <c r="A3548" s="960"/>
      <c r="B3548" s="960"/>
      <c r="C3548" s="960"/>
      <c r="D3548" s="960"/>
      <c r="E3548" s="959"/>
      <c r="F3548" s="959"/>
      <c r="G3548" s="959"/>
      <c r="H3548" s="959"/>
    </row>
    <row r="3549" spans="1:8">
      <c r="A3549" s="960"/>
      <c r="B3549" s="960"/>
      <c r="C3549" s="960"/>
      <c r="D3549" s="960"/>
      <c r="E3549" s="959"/>
      <c r="F3549" s="959"/>
      <c r="G3549" s="959"/>
      <c r="H3549" s="959"/>
    </row>
    <row r="3550" spans="1:8">
      <c r="A3550" s="960"/>
      <c r="B3550" s="960"/>
      <c r="C3550" s="960"/>
      <c r="D3550" s="960"/>
      <c r="E3550" s="959"/>
      <c r="F3550" s="959"/>
      <c r="G3550" s="959"/>
      <c r="H3550" s="959"/>
    </row>
  </sheetData>
  <mergeCells count="6">
    <mergeCell ref="G1:H1"/>
    <mergeCell ref="A1:A2"/>
    <mergeCell ref="B1:B2"/>
    <mergeCell ref="C1:C2"/>
    <mergeCell ref="D1:D2"/>
    <mergeCell ref="E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2:J36"/>
  <sheetViews>
    <sheetView zoomScale="70" zoomScaleNormal="70" workbookViewId="0">
      <selection activeCell="J18" sqref="J18"/>
    </sheetView>
  </sheetViews>
  <sheetFormatPr defaultColWidth="11.42578125" defaultRowHeight="12.75"/>
  <cols>
    <col min="1" max="1" width="3.7109375" style="3" customWidth="1"/>
    <col min="2" max="2" width="11.42578125" style="3"/>
    <col min="3" max="3" width="71.5703125" style="3" customWidth="1"/>
    <col min="4" max="16384" width="11.42578125" style="3"/>
  </cols>
  <sheetData>
    <row r="2" spans="2:10" ht="15.75">
      <c r="B2" s="1127" t="s">
        <v>2418</v>
      </c>
      <c r="C2" s="1127"/>
    </row>
    <row r="4" spans="2:10">
      <c r="B4" s="4" t="s">
        <v>2159</v>
      </c>
    </row>
    <row r="6" spans="2:10">
      <c r="B6" s="702" t="s">
        <v>1792</v>
      </c>
      <c r="C6" s="702" t="s">
        <v>1793</v>
      </c>
    </row>
    <row r="7" spans="2:10">
      <c r="B7" s="538"/>
      <c r="C7" s="539" t="s">
        <v>2207</v>
      </c>
    </row>
    <row r="8" spans="2:10">
      <c r="B8" s="483"/>
      <c r="C8" s="6" t="s">
        <v>2208</v>
      </c>
      <c r="J8" s="8"/>
    </row>
    <row r="9" spans="2:10">
      <c r="B9" s="62"/>
      <c r="C9" s="6" t="s">
        <v>101</v>
      </c>
    </row>
    <row r="10" spans="2:10">
      <c r="B10" s="6"/>
      <c r="C10" s="6" t="s">
        <v>25</v>
      </c>
    </row>
    <row r="11" spans="2:10">
      <c r="B11" s="484"/>
      <c r="C11" s="6" t="s">
        <v>102</v>
      </c>
    </row>
    <row r="12" spans="2:10">
      <c r="B12" s="485"/>
      <c r="C12" s="24" t="s">
        <v>103</v>
      </c>
    </row>
    <row r="15" spans="2:10">
      <c r="B15" s="4" t="s">
        <v>2158</v>
      </c>
    </row>
    <row r="17" spans="2:3">
      <c r="B17" s="702" t="s">
        <v>1781</v>
      </c>
      <c r="C17" s="702" t="s">
        <v>2157</v>
      </c>
    </row>
    <row r="18" spans="2:3">
      <c r="B18" s="6" t="s">
        <v>41</v>
      </c>
      <c r="C18" s="6" t="s">
        <v>52</v>
      </c>
    </row>
    <row r="19" spans="2:3">
      <c r="B19" s="346" t="s">
        <v>42</v>
      </c>
      <c r="C19" s="6" t="s">
        <v>56</v>
      </c>
    </row>
    <row r="20" spans="2:3">
      <c r="B20" s="6" t="s">
        <v>197</v>
      </c>
      <c r="C20" s="6" t="s">
        <v>1784</v>
      </c>
    </row>
    <row r="21" spans="2:3">
      <c r="B21" s="6" t="s">
        <v>47</v>
      </c>
      <c r="C21" s="6" t="s">
        <v>1785</v>
      </c>
    </row>
    <row r="22" spans="2:3">
      <c r="B22" s="6" t="s">
        <v>48</v>
      </c>
      <c r="C22" s="6" t="s">
        <v>1786</v>
      </c>
    </row>
    <row r="23" spans="2:3">
      <c r="B23" s="6" t="s">
        <v>44</v>
      </c>
      <c r="C23" s="6" t="s">
        <v>1787</v>
      </c>
    </row>
    <row r="24" spans="2:3">
      <c r="B24" s="6" t="s">
        <v>49</v>
      </c>
      <c r="C24" s="6" t="s">
        <v>1788</v>
      </c>
    </row>
    <row r="25" spans="2:3">
      <c r="B25" s="6" t="s">
        <v>50</v>
      </c>
      <c r="C25" s="6" t="s">
        <v>1789</v>
      </c>
    </row>
    <row r="26" spans="2:3">
      <c r="B26" s="6" t="s">
        <v>70</v>
      </c>
      <c r="C26" s="6" t="s">
        <v>1790</v>
      </c>
    </row>
    <row r="28" spans="2:3">
      <c r="B28" s="4" t="s">
        <v>528</v>
      </c>
    </row>
    <row r="30" spans="2:3">
      <c r="B30" s="702" t="s">
        <v>1792</v>
      </c>
      <c r="C30" s="702" t="s">
        <v>1794</v>
      </c>
    </row>
    <row r="31" spans="2:3">
      <c r="B31" s="486" t="s">
        <v>1796</v>
      </c>
      <c r="C31" s="6" t="s">
        <v>1795</v>
      </c>
    </row>
    <row r="32" spans="2:3">
      <c r="B32" s="487" t="s">
        <v>1796</v>
      </c>
      <c r="C32" s="7" t="s">
        <v>105</v>
      </c>
    </row>
    <row r="35" spans="2:3">
      <c r="B35" s="702" t="s">
        <v>1797</v>
      </c>
      <c r="C35" s="702" t="s">
        <v>1791</v>
      </c>
    </row>
    <row r="36" spans="2:3">
      <c r="B36" s="441" t="s">
        <v>62</v>
      </c>
      <c r="C36" s="6" t="s">
        <v>114</v>
      </c>
    </row>
  </sheetData>
  <mergeCells count="1">
    <mergeCell ref="B2:C2"/>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5"/>
  <sheetViews>
    <sheetView workbookViewId="0">
      <selection activeCell="A61" sqref="A61:A65"/>
    </sheetView>
  </sheetViews>
  <sheetFormatPr defaultRowHeight="15"/>
  <cols>
    <col min="1" max="1" width="40.85546875" customWidth="1"/>
    <col min="2" max="2" width="18" customWidth="1"/>
    <col min="3" max="3" width="21.85546875" customWidth="1"/>
    <col min="4" max="4" width="24.7109375" customWidth="1"/>
    <col min="5" max="5" width="21" customWidth="1"/>
    <col min="9" max="9" width="12" customWidth="1"/>
  </cols>
  <sheetData>
    <row r="2" spans="1:5" ht="15.75">
      <c r="A2" s="1200" t="s">
        <v>4323</v>
      </c>
      <c r="B2" s="1201"/>
      <c r="C2" s="1201"/>
      <c r="D2" s="1201"/>
      <c r="E2" s="1201"/>
    </row>
    <row r="3" spans="1:5" ht="15.75">
      <c r="A3" s="1200" t="s">
        <v>4324</v>
      </c>
      <c r="B3" s="1201"/>
      <c r="C3" s="1201"/>
      <c r="D3" s="1201"/>
      <c r="E3" s="1201"/>
    </row>
    <row r="4" spans="1:5" ht="15.75">
      <c r="A4" s="1200"/>
      <c r="B4" s="1201"/>
      <c r="C4" s="1201"/>
      <c r="D4" s="1201"/>
      <c r="E4" s="1201"/>
    </row>
    <row r="5" spans="1:5" ht="15" customHeight="1">
      <c r="A5" s="1202" t="s">
        <v>4325</v>
      </c>
      <c r="B5" s="1202"/>
      <c r="C5" s="1202"/>
      <c r="D5" s="1202"/>
      <c r="E5" s="1202"/>
    </row>
    <row r="6" spans="1:5">
      <c r="A6" s="821"/>
    </row>
    <row r="7" spans="1:5">
      <c r="A7" s="962"/>
      <c r="B7" s="963">
        <v>2009</v>
      </c>
      <c r="C7" s="963">
        <v>2013</v>
      </c>
      <c r="D7" s="963">
        <v>2016</v>
      </c>
    </row>
    <row r="8" spans="1:5">
      <c r="A8" s="964" t="s">
        <v>4326</v>
      </c>
      <c r="B8" s="965">
        <v>60483</v>
      </c>
      <c r="C8" s="965">
        <v>58731</v>
      </c>
      <c r="D8" s="965">
        <v>57423</v>
      </c>
      <c r="E8" s="966"/>
    </row>
    <row r="9" spans="1:5">
      <c r="A9" s="967" t="s">
        <v>4327</v>
      </c>
      <c r="B9" s="968">
        <v>14039</v>
      </c>
      <c r="C9" s="968">
        <v>15074</v>
      </c>
      <c r="D9" s="968">
        <v>15627</v>
      </c>
      <c r="E9" s="969"/>
    </row>
    <row r="10" spans="1:5">
      <c r="A10" s="967" t="s">
        <v>4328</v>
      </c>
      <c r="B10" s="968">
        <v>1369</v>
      </c>
      <c r="C10" s="968">
        <v>1635</v>
      </c>
      <c r="D10" s="968">
        <v>1056</v>
      </c>
      <c r="E10" s="969"/>
    </row>
    <row r="11" spans="1:5">
      <c r="A11" s="967" t="s">
        <v>1902</v>
      </c>
      <c r="B11" s="968">
        <v>30362</v>
      </c>
      <c r="C11" s="968">
        <v>27471</v>
      </c>
      <c r="D11" s="968">
        <v>26465</v>
      </c>
      <c r="E11" s="969"/>
    </row>
    <row r="12" spans="1:5">
      <c r="A12" s="967" t="s">
        <v>4329</v>
      </c>
      <c r="B12" s="968">
        <v>5167</v>
      </c>
      <c r="C12" s="968">
        <v>4571</v>
      </c>
      <c r="D12" s="968">
        <v>4626</v>
      </c>
      <c r="E12" s="969"/>
    </row>
    <row r="13" spans="1:5">
      <c r="A13" s="967" t="s">
        <v>4330</v>
      </c>
      <c r="B13" s="968">
        <v>5559</v>
      </c>
      <c r="C13" s="968">
        <v>5043</v>
      </c>
      <c r="D13" s="968">
        <v>4843</v>
      </c>
      <c r="E13" s="969"/>
    </row>
    <row r="14" spans="1:5">
      <c r="A14" s="967" t="s">
        <v>4331</v>
      </c>
      <c r="B14" s="968">
        <v>2424</v>
      </c>
      <c r="C14" s="968">
        <v>3419</v>
      </c>
      <c r="D14" s="968">
        <v>3514</v>
      </c>
      <c r="E14" s="969"/>
    </row>
    <row r="15" spans="1:5">
      <c r="A15" s="967" t="s">
        <v>4332</v>
      </c>
      <c r="B15" s="969">
        <v>441</v>
      </c>
      <c r="C15" s="969">
        <v>332</v>
      </c>
      <c r="D15" s="969">
        <v>358</v>
      </c>
      <c r="E15" s="969"/>
    </row>
    <row r="16" spans="1:5">
      <c r="A16" s="967" t="s">
        <v>4333</v>
      </c>
      <c r="B16" s="968">
        <v>1122</v>
      </c>
      <c r="C16" s="968">
        <v>1186</v>
      </c>
      <c r="D16" s="969">
        <v>934</v>
      </c>
      <c r="E16" s="969"/>
    </row>
    <row r="17" spans="1:5">
      <c r="A17" s="964" t="s">
        <v>4334</v>
      </c>
      <c r="B17" s="965">
        <v>4235429859</v>
      </c>
      <c r="C17" s="965">
        <v>4245914788</v>
      </c>
      <c r="D17" s="965">
        <v>4472067958</v>
      </c>
      <c r="E17" s="966"/>
    </row>
    <row r="18" spans="1:5">
      <c r="A18" s="967" t="s">
        <v>4327</v>
      </c>
      <c r="B18" s="968">
        <v>179415178</v>
      </c>
      <c r="C18" s="968">
        <v>251705790</v>
      </c>
      <c r="D18" s="968">
        <v>343328712</v>
      </c>
      <c r="E18" s="969"/>
    </row>
    <row r="19" spans="1:5">
      <c r="A19" s="967" t="s">
        <v>4328</v>
      </c>
      <c r="B19" s="968">
        <v>286089668</v>
      </c>
      <c r="C19" s="968">
        <v>270541850</v>
      </c>
      <c r="D19" s="968">
        <v>241596353</v>
      </c>
      <c r="E19" s="969"/>
    </row>
    <row r="20" spans="1:5">
      <c r="A20" s="967" t="s">
        <v>1902</v>
      </c>
      <c r="B20" s="968">
        <v>675214147</v>
      </c>
      <c r="C20" s="968">
        <v>667020323</v>
      </c>
      <c r="D20" s="968">
        <v>592498376</v>
      </c>
      <c r="E20" s="969"/>
    </row>
    <row r="21" spans="1:5">
      <c r="A21" s="967" t="s">
        <v>4329</v>
      </c>
      <c r="B21" s="968">
        <v>490548656</v>
      </c>
      <c r="C21" s="968">
        <v>531052589</v>
      </c>
      <c r="D21" s="968">
        <v>659771811</v>
      </c>
      <c r="E21" s="969"/>
    </row>
    <row r="22" spans="1:5">
      <c r="A22" s="967" t="s">
        <v>4330</v>
      </c>
      <c r="B22" s="968">
        <v>2404652373</v>
      </c>
      <c r="C22" s="968">
        <v>2285503791</v>
      </c>
      <c r="D22" s="968">
        <v>2369581137</v>
      </c>
      <c r="E22" s="969"/>
    </row>
    <row r="23" spans="1:5">
      <c r="A23" s="967" t="s">
        <v>4331</v>
      </c>
      <c r="B23" s="968">
        <v>48817532</v>
      </c>
      <c r="C23" s="968">
        <v>64920653</v>
      </c>
      <c r="D23" s="968">
        <v>61440789</v>
      </c>
      <c r="E23" s="969"/>
    </row>
    <row r="24" spans="1:5">
      <c r="A24" s="967" t="s">
        <v>4332</v>
      </c>
      <c r="B24" s="968">
        <v>88024134</v>
      </c>
      <c r="C24" s="968">
        <v>94770585</v>
      </c>
      <c r="D24" s="968">
        <v>116388980</v>
      </c>
      <c r="E24" s="969"/>
    </row>
    <row r="25" spans="1:5">
      <c r="A25" s="967" t="s">
        <v>4333</v>
      </c>
      <c r="B25" s="968">
        <v>62668171</v>
      </c>
      <c r="C25" s="968">
        <v>80399207</v>
      </c>
      <c r="D25" s="968">
        <v>87461800</v>
      </c>
      <c r="E25" s="969"/>
    </row>
    <row r="27" spans="1:5">
      <c r="A27" t="s">
        <v>4335</v>
      </c>
    </row>
    <row r="28" spans="1:5">
      <c r="A28" s="548" t="s">
        <v>4336</v>
      </c>
    </row>
    <row r="31" spans="1:5">
      <c r="A31" t="s">
        <v>4337</v>
      </c>
    </row>
    <row r="32" spans="1:5">
      <c r="A32" s="967" t="s">
        <v>4327</v>
      </c>
    </row>
    <row r="33" spans="1:13">
      <c r="A33" s="967" t="s">
        <v>4328</v>
      </c>
      <c r="B33" s="779">
        <f t="shared" ref="B33:D39" si="0">B18/B9</f>
        <v>12779.769071871217</v>
      </c>
      <c r="C33" s="779">
        <f t="shared" si="0"/>
        <v>16698.009154836142</v>
      </c>
      <c r="D33" s="779">
        <f t="shared" si="0"/>
        <v>21970.22537915147</v>
      </c>
    </row>
    <row r="34" spans="1:13">
      <c r="A34" s="967" t="s">
        <v>1902</v>
      </c>
      <c r="B34" s="779">
        <f t="shared" si="0"/>
        <v>208977.11322132943</v>
      </c>
      <c r="C34" s="779">
        <f t="shared" si="0"/>
        <v>165469.02140672784</v>
      </c>
      <c r="D34" s="779">
        <f t="shared" si="0"/>
        <v>228784.42518939395</v>
      </c>
    </row>
    <row r="35" spans="1:13">
      <c r="A35" s="967" t="s">
        <v>4329</v>
      </c>
      <c r="B35" s="779">
        <f t="shared" si="0"/>
        <v>22238.790165338251</v>
      </c>
      <c r="C35" s="779">
        <f t="shared" si="0"/>
        <v>24280.889774671472</v>
      </c>
      <c r="D35" s="779">
        <f t="shared" si="0"/>
        <v>22387.99833742679</v>
      </c>
    </row>
    <row r="36" spans="1:13">
      <c r="A36" s="967" t="s">
        <v>4330</v>
      </c>
      <c r="B36" s="779">
        <f t="shared" si="0"/>
        <v>94938.776078962648</v>
      </c>
      <c r="C36" s="779">
        <f t="shared" si="0"/>
        <v>116178.64559177423</v>
      </c>
      <c r="D36" s="779">
        <f t="shared" si="0"/>
        <v>142622.52723735408</v>
      </c>
    </row>
    <row r="37" spans="1:13">
      <c r="A37" s="967" t="s">
        <v>4331</v>
      </c>
      <c r="B37" s="779">
        <f t="shared" si="0"/>
        <v>432569.23421478685</v>
      </c>
      <c r="C37" s="779">
        <f t="shared" si="0"/>
        <v>453203.21058893518</v>
      </c>
      <c r="D37" s="779">
        <f t="shared" si="0"/>
        <v>489279.60706173861</v>
      </c>
    </row>
    <row r="38" spans="1:13">
      <c r="A38" s="967" t="s">
        <v>4332</v>
      </c>
      <c r="B38" s="779">
        <f t="shared" si="0"/>
        <v>20139.245874587457</v>
      </c>
      <c r="C38" s="779">
        <f t="shared" si="0"/>
        <v>18988.19918104709</v>
      </c>
      <c r="D38" s="779">
        <f t="shared" si="0"/>
        <v>17484.572851451336</v>
      </c>
    </row>
    <row r="39" spans="1:13">
      <c r="A39" s="967" t="s">
        <v>4333</v>
      </c>
      <c r="B39" s="779">
        <f t="shared" si="0"/>
        <v>199601.21088435373</v>
      </c>
      <c r="C39" s="779">
        <f t="shared" si="0"/>
        <v>285453.56927710841</v>
      </c>
      <c r="D39" s="779">
        <f t="shared" si="0"/>
        <v>325108.88268156425</v>
      </c>
    </row>
    <row r="42" spans="1:13">
      <c r="J42" t="s">
        <v>4509</v>
      </c>
      <c r="K42" t="s">
        <v>4514</v>
      </c>
    </row>
    <row r="43" spans="1:13">
      <c r="H43" t="s">
        <v>4508</v>
      </c>
      <c r="J43" s="1054">
        <v>0.12</v>
      </c>
      <c r="K43">
        <f>J43*0.28+J43</f>
        <v>0.15360000000000001</v>
      </c>
    </row>
    <row r="47" spans="1:13">
      <c r="K47" t="s">
        <v>4510</v>
      </c>
    </row>
    <row r="48" spans="1:13">
      <c r="A48" s="1" t="s">
        <v>4346</v>
      </c>
      <c r="B48" s="1" t="s">
        <v>4347</v>
      </c>
      <c r="C48" s="1" t="s">
        <v>4348</v>
      </c>
      <c r="D48" s="1" t="s">
        <v>4349</v>
      </c>
      <c r="E48" s="1" t="s">
        <v>4507</v>
      </c>
      <c r="F48" s="989" t="s">
        <v>4362</v>
      </c>
      <c r="K48" t="s">
        <v>4513</v>
      </c>
      <c r="L48" t="s">
        <v>4509</v>
      </c>
      <c r="M48" t="s">
        <v>4515</v>
      </c>
    </row>
    <row r="49" spans="1:12">
      <c r="A49" s="1" t="s">
        <v>4371</v>
      </c>
      <c r="B49" s="1">
        <v>471</v>
      </c>
      <c r="C49" s="1">
        <v>220</v>
      </c>
      <c r="D49" s="1"/>
      <c r="E49" s="1"/>
      <c r="F49" s="988">
        <v>212</v>
      </c>
      <c r="H49" t="s">
        <v>4370</v>
      </c>
      <c r="J49" s="986">
        <f>(B49+B51+B53)/3</f>
        <v>475.33333333333331</v>
      </c>
    </row>
    <row r="50" spans="1:12">
      <c r="A50" s="1" t="s">
        <v>4372</v>
      </c>
      <c r="B50" s="1">
        <v>831</v>
      </c>
      <c r="C50" s="1">
        <v>6000</v>
      </c>
      <c r="D50" s="988" t="s">
        <v>4350</v>
      </c>
      <c r="E50" s="1053">
        <v>321</v>
      </c>
      <c r="F50" s="988">
        <v>161</v>
      </c>
      <c r="H50" t="s">
        <v>4501</v>
      </c>
      <c r="J50">
        <f>AVERAGE(B50,B52)</f>
        <v>930</v>
      </c>
    </row>
    <row r="51" spans="1:12">
      <c r="A51" s="1" t="s">
        <v>4351</v>
      </c>
      <c r="B51" s="1">
        <v>488</v>
      </c>
      <c r="C51" s="1">
        <v>2900</v>
      </c>
      <c r="D51" s="1"/>
      <c r="E51" s="1"/>
      <c r="F51" s="988">
        <v>168</v>
      </c>
      <c r="H51" t="s">
        <v>4502</v>
      </c>
      <c r="J51">
        <f>B53</f>
        <v>467</v>
      </c>
    </row>
    <row r="52" spans="1:12">
      <c r="A52" s="1" t="s">
        <v>4352</v>
      </c>
      <c r="B52" s="1">
        <v>1029</v>
      </c>
      <c r="C52" s="1">
        <v>6650</v>
      </c>
      <c r="D52" s="1">
        <v>2300</v>
      </c>
      <c r="E52" s="1">
        <v>365</v>
      </c>
      <c r="F52" s="989">
        <v>155</v>
      </c>
      <c r="H52" t="s">
        <v>4503</v>
      </c>
      <c r="J52">
        <f>AVERAGE(B54,B58,B57)</f>
        <v>1108.3333333333333</v>
      </c>
    </row>
    <row r="53" spans="1:12">
      <c r="A53" s="1" t="s">
        <v>4353</v>
      </c>
      <c r="B53" s="1">
        <v>467</v>
      </c>
      <c r="C53" s="1">
        <v>2300</v>
      </c>
      <c r="D53" s="1"/>
      <c r="E53" s="1"/>
      <c r="F53" s="989">
        <v>200</v>
      </c>
      <c r="H53" t="s">
        <v>1894</v>
      </c>
      <c r="J53">
        <f>B55</f>
        <v>1083</v>
      </c>
    </row>
    <row r="54" spans="1:12">
      <c r="A54" s="1" t="s">
        <v>4354</v>
      </c>
      <c r="B54" s="1">
        <v>656</v>
      </c>
      <c r="C54" s="1">
        <v>2450</v>
      </c>
      <c r="D54" s="1">
        <v>2500</v>
      </c>
      <c r="E54" s="1"/>
      <c r="F54" s="989">
        <v>268</v>
      </c>
      <c r="H54" t="s">
        <v>4504</v>
      </c>
      <c r="J54">
        <f>B59</f>
        <v>2113</v>
      </c>
    </row>
    <row r="55" spans="1:12">
      <c r="A55" s="1" t="s">
        <v>4355</v>
      </c>
      <c r="B55" s="1">
        <v>1083</v>
      </c>
      <c r="C55" s="1">
        <v>6800</v>
      </c>
      <c r="D55" s="1">
        <v>2250</v>
      </c>
      <c r="E55" s="1">
        <v>225</v>
      </c>
      <c r="F55" s="989">
        <v>159</v>
      </c>
    </row>
    <row r="56" spans="1:12">
      <c r="A56" s="1" t="s">
        <v>4374</v>
      </c>
      <c r="B56" s="1">
        <v>656</v>
      </c>
      <c r="C56" s="1">
        <v>2450</v>
      </c>
      <c r="D56" s="1">
        <v>2500</v>
      </c>
      <c r="E56" s="1">
        <v>256</v>
      </c>
      <c r="F56" s="992">
        <f>B56/(C56/1000)</f>
        <v>267.75510204081633</v>
      </c>
      <c r="H56" t="s">
        <v>4505</v>
      </c>
      <c r="J56" s="986">
        <f>AVERAGE(B50,B52,B54,B55,B56:B59)</f>
        <v>1129.625</v>
      </c>
    </row>
    <row r="57" spans="1:12">
      <c r="A57" s="1" t="s">
        <v>4375</v>
      </c>
      <c r="B57" s="1">
        <v>808</v>
      </c>
      <c r="C57" s="1">
        <v>8000</v>
      </c>
      <c r="D57" s="1">
        <v>2300</v>
      </c>
      <c r="E57" s="1">
        <v>365</v>
      </c>
      <c r="F57" s="992">
        <f>B57/(C57/1000)</f>
        <v>101</v>
      </c>
      <c r="H57" t="s">
        <v>4506</v>
      </c>
      <c r="J57" s="986">
        <f>(B49+B51+B53)/3</f>
        <v>475.33333333333331</v>
      </c>
    </row>
    <row r="58" spans="1:12">
      <c r="A58" s="1" t="s">
        <v>4373</v>
      </c>
      <c r="B58" s="1">
        <v>1861</v>
      </c>
      <c r="C58" s="1">
        <v>15000</v>
      </c>
      <c r="D58" s="1">
        <v>10000</v>
      </c>
      <c r="E58" s="1">
        <v>981</v>
      </c>
      <c r="F58" s="992">
        <f>B58/(C58/1000)</f>
        <v>124.06666666666666</v>
      </c>
      <c r="H58" t="s">
        <v>4512</v>
      </c>
      <c r="J58" s="986">
        <f>D60</f>
        <v>4192.8571428571431</v>
      </c>
      <c r="K58">
        <f>0.3*J58</f>
        <v>1257.8571428571429</v>
      </c>
      <c r="L58">
        <f>K58*K43</f>
        <v>193.20685714285716</v>
      </c>
    </row>
    <row r="59" spans="1:12">
      <c r="A59" s="1" t="s">
        <v>4356</v>
      </c>
      <c r="B59" s="1">
        <v>2113</v>
      </c>
      <c r="C59" s="1">
        <v>13500</v>
      </c>
      <c r="D59" s="1">
        <v>7500</v>
      </c>
      <c r="E59" s="1">
        <v>781</v>
      </c>
      <c r="F59" s="988">
        <v>157</v>
      </c>
    </row>
    <row r="60" spans="1:12">
      <c r="A60" t="s">
        <v>4357</v>
      </c>
      <c r="C60" s="987" t="s">
        <v>4361</v>
      </c>
      <c r="D60">
        <f>AVERAGE(D52:D59)</f>
        <v>4192.8571428571431</v>
      </c>
      <c r="H60" t="s">
        <v>4519</v>
      </c>
      <c r="J60">
        <f>SUM(C49:C59)</f>
        <v>66270</v>
      </c>
    </row>
    <row r="61" spans="1:12">
      <c r="A61" t="s">
        <v>4358</v>
      </c>
      <c r="I61" t="s">
        <v>1821</v>
      </c>
      <c r="J61">
        <f>C49+C51+C53</f>
        <v>5420</v>
      </c>
    </row>
    <row r="62" spans="1:12">
      <c r="A62" t="s">
        <v>4359</v>
      </c>
      <c r="I62" t="s">
        <v>1822</v>
      </c>
      <c r="J62">
        <f>J60-J61</f>
        <v>60850</v>
      </c>
      <c r="K62">
        <f>J62/J60</f>
        <v>0.91821336954881549</v>
      </c>
    </row>
    <row r="63" spans="1:12">
      <c r="A63" t="s">
        <v>4360</v>
      </c>
      <c r="I63" t="s">
        <v>4506</v>
      </c>
      <c r="J63" s="986">
        <f>(C49+C51+C53)/3</f>
        <v>1806.6666666666667</v>
      </c>
    </row>
    <row r="64" spans="1:12">
      <c r="E64" s="985"/>
      <c r="I64" t="s">
        <v>4505</v>
      </c>
      <c r="J64" s="986">
        <f>(C50+C52+C54+C55+C56+C57+C58+C59)/8</f>
        <v>7606.25</v>
      </c>
      <c r="K64">
        <f>J64/J63</f>
        <v>4.2101014760147599</v>
      </c>
    </row>
    <row r="65" spans="1:11">
      <c r="A65" t="s">
        <v>4363</v>
      </c>
      <c r="B65">
        <v>676</v>
      </c>
      <c r="C65" t="s">
        <v>4364</v>
      </c>
      <c r="D65" s="990">
        <f>B65*0.3</f>
        <v>202.79999999999998</v>
      </c>
      <c r="E65" s="990" t="s">
        <v>2787</v>
      </c>
      <c r="I65" t="s">
        <v>4520</v>
      </c>
      <c r="J65">
        <v>4.2</v>
      </c>
      <c r="K65" t="s">
        <v>4521</v>
      </c>
    </row>
  </sheetData>
  <mergeCells count="4">
    <mergeCell ref="A2:E2"/>
    <mergeCell ref="A3:E3"/>
    <mergeCell ref="A4:E4"/>
    <mergeCell ref="A5:E5"/>
  </mergeCells>
  <hyperlinks>
    <hyperlink ref="A28" r:id="rId1"/>
  </hyperlinks>
  <pageMargins left="0.7" right="0.7" top="0.75" bottom="0.75" header="0.3" footer="0.3"/>
  <pageSetup paperSize="9" orientation="portrait" verticalDpi="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63"/>
  <sheetViews>
    <sheetView workbookViewId="0">
      <selection activeCell="A2" sqref="A2"/>
    </sheetView>
  </sheetViews>
  <sheetFormatPr defaultRowHeight="15"/>
  <cols>
    <col min="1" max="1" width="7.42578125" customWidth="1"/>
    <col min="2" max="2" width="7.140625" customWidth="1"/>
    <col min="3" max="3" width="38" customWidth="1"/>
    <col min="4" max="9" width="16" customWidth="1"/>
    <col min="10" max="12" width="16" style="564" customWidth="1"/>
    <col min="13" max="14" width="11.85546875" customWidth="1"/>
    <col min="15" max="15" width="16" customWidth="1"/>
    <col min="16" max="18" width="16" style="564" customWidth="1"/>
    <col min="19" max="21" width="16" customWidth="1"/>
    <col min="22" max="29" width="16" style="564" customWidth="1"/>
    <col min="30" max="44" width="16" customWidth="1"/>
    <col min="45" max="45" width="16" style="564" customWidth="1"/>
    <col min="257" max="257" width="7.42578125" customWidth="1"/>
    <col min="258" max="258" width="7.140625" customWidth="1"/>
    <col min="259" max="259" width="38" customWidth="1"/>
    <col min="260" max="268" width="16" customWidth="1"/>
    <col min="269" max="270" width="11.85546875" customWidth="1"/>
    <col min="271" max="301" width="16" customWidth="1"/>
    <col min="513" max="513" width="7.42578125" customWidth="1"/>
    <col min="514" max="514" width="7.140625" customWidth="1"/>
    <col min="515" max="515" width="38" customWidth="1"/>
    <col min="516" max="524" width="16" customWidth="1"/>
    <col min="525" max="526" width="11.85546875" customWidth="1"/>
    <col min="527" max="557" width="16" customWidth="1"/>
    <col min="769" max="769" width="7.42578125" customWidth="1"/>
    <col min="770" max="770" width="7.140625" customWidth="1"/>
    <col min="771" max="771" width="38" customWidth="1"/>
    <col min="772" max="780" width="16" customWidth="1"/>
    <col min="781" max="782" width="11.85546875" customWidth="1"/>
    <col min="783" max="813" width="16" customWidth="1"/>
    <col min="1025" max="1025" width="7.42578125" customWidth="1"/>
    <col min="1026" max="1026" width="7.140625" customWidth="1"/>
    <col min="1027" max="1027" width="38" customWidth="1"/>
    <col min="1028" max="1036" width="16" customWidth="1"/>
    <col min="1037" max="1038" width="11.85546875" customWidth="1"/>
    <col min="1039" max="1069" width="16" customWidth="1"/>
    <col min="1281" max="1281" width="7.42578125" customWidth="1"/>
    <col min="1282" max="1282" width="7.140625" customWidth="1"/>
    <col min="1283" max="1283" width="38" customWidth="1"/>
    <col min="1284" max="1292" width="16" customWidth="1"/>
    <col min="1293" max="1294" width="11.85546875" customWidth="1"/>
    <col min="1295" max="1325" width="16" customWidth="1"/>
    <col min="1537" max="1537" width="7.42578125" customWidth="1"/>
    <col min="1538" max="1538" width="7.140625" customWidth="1"/>
    <col min="1539" max="1539" width="38" customWidth="1"/>
    <col min="1540" max="1548" width="16" customWidth="1"/>
    <col min="1549" max="1550" width="11.85546875" customWidth="1"/>
    <col min="1551" max="1581" width="16" customWidth="1"/>
    <col min="1793" max="1793" width="7.42578125" customWidth="1"/>
    <col min="1794" max="1794" width="7.140625" customWidth="1"/>
    <col min="1795" max="1795" width="38" customWidth="1"/>
    <col min="1796" max="1804" width="16" customWidth="1"/>
    <col min="1805" max="1806" width="11.85546875" customWidth="1"/>
    <col min="1807" max="1837" width="16" customWidth="1"/>
    <col min="2049" max="2049" width="7.42578125" customWidth="1"/>
    <col min="2050" max="2050" width="7.140625" customWidth="1"/>
    <col min="2051" max="2051" width="38" customWidth="1"/>
    <col min="2052" max="2060" width="16" customWidth="1"/>
    <col min="2061" max="2062" width="11.85546875" customWidth="1"/>
    <col min="2063" max="2093" width="16" customWidth="1"/>
    <col min="2305" max="2305" width="7.42578125" customWidth="1"/>
    <col min="2306" max="2306" width="7.140625" customWidth="1"/>
    <col min="2307" max="2307" width="38" customWidth="1"/>
    <col min="2308" max="2316" width="16" customWidth="1"/>
    <col min="2317" max="2318" width="11.85546875" customWidth="1"/>
    <col min="2319" max="2349" width="16" customWidth="1"/>
    <col min="2561" max="2561" width="7.42578125" customWidth="1"/>
    <col min="2562" max="2562" width="7.140625" customWidth="1"/>
    <col min="2563" max="2563" width="38" customWidth="1"/>
    <col min="2564" max="2572" width="16" customWidth="1"/>
    <col min="2573" max="2574" width="11.85546875" customWidth="1"/>
    <col min="2575" max="2605" width="16" customWidth="1"/>
    <col min="2817" max="2817" width="7.42578125" customWidth="1"/>
    <col min="2818" max="2818" width="7.140625" customWidth="1"/>
    <col min="2819" max="2819" width="38" customWidth="1"/>
    <col min="2820" max="2828" width="16" customWidth="1"/>
    <col min="2829" max="2830" width="11.85546875" customWidth="1"/>
    <col min="2831" max="2861" width="16" customWidth="1"/>
    <col min="3073" max="3073" width="7.42578125" customWidth="1"/>
    <col min="3074" max="3074" width="7.140625" customWidth="1"/>
    <col min="3075" max="3075" width="38" customWidth="1"/>
    <col min="3076" max="3084" width="16" customWidth="1"/>
    <col min="3085" max="3086" width="11.85546875" customWidth="1"/>
    <col min="3087" max="3117" width="16" customWidth="1"/>
    <col min="3329" max="3329" width="7.42578125" customWidth="1"/>
    <col min="3330" max="3330" width="7.140625" customWidth="1"/>
    <col min="3331" max="3331" width="38" customWidth="1"/>
    <col min="3332" max="3340" width="16" customWidth="1"/>
    <col min="3341" max="3342" width="11.85546875" customWidth="1"/>
    <col min="3343" max="3373" width="16" customWidth="1"/>
    <col min="3585" max="3585" width="7.42578125" customWidth="1"/>
    <col min="3586" max="3586" width="7.140625" customWidth="1"/>
    <col min="3587" max="3587" width="38" customWidth="1"/>
    <col min="3588" max="3596" width="16" customWidth="1"/>
    <col min="3597" max="3598" width="11.85546875" customWidth="1"/>
    <col min="3599" max="3629" width="16" customWidth="1"/>
    <col min="3841" max="3841" width="7.42578125" customWidth="1"/>
    <col min="3842" max="3842" width="7.140625" customWidth="1"/>
    <col min="3843" max="3843" width="38" customWidth="1"/>
    <col min="3844" max="3852" width="16" customWidth="1"/>
    <col min="3853" max="3854" width="11.85546875" customWidth="1"/>
    <col min="3855" max="3885" width="16" customWidth="1"/>
    <col min="4097" max="4097" width="7.42578125" customWidth="1"/>
    <col min="4098" max="4098" width="7.140625" customWidth="1"/>
    <col min="4099" max="4099" width="38" customWidth="1"/>
    <col min="4100" max="4108" width="16" customWidth="1"/>
    <col min="4109" max="4110" width="11.85546875" customWidth="1"/>
    <col min="4111" max="4141" width="16" customWidth="1"/>
    <col min="4353" max="4353" width="7.42578125" customWidth="1"/>
    <col min="4354" max="4354" width="7.140625" customWidth="1"/>
    <col min="4355" max="4355" width="38" customWidth="1"/>
    <col min="4356" max="4364" width="16" customWidth="1"/>
    <col min="4365" max="4366" width="11.85546875" customWidth="1"/>
    <col min="4367" max="4397" width="16" customWidth="1"/>
    <col min="4609" max="4609" width="7.42578125" customWidth="1"/>
    <col min="4610" max="4610" width="7.140625" customWidth="1"/>
    <col min="4611" max="4611" width="38" customWidth="1"/>
    <col min="4612" max="4620" width="16" customWidth="1"/>
    <col min="4621" max="4622" width="11.85546875" customWidth="1"/>
    <col min="4623" max="4653" width="16" customWidth="1"/>
    <col min="4865" max="4865" width="7.42578125" customWidth="1"/>
    <col min="4866" max="4866" width="7.140625" customWidth="1"/>
    <col min="4867" max="4867" width="38" customWidth="1"/>
    <col min="4868" max="4876" width="16" customWidth="1"/>
    <col min="4877" max="4878" width="11.85546875" customWidth="1"/>
    <col min="4879" max="4909" width="16" customWidth="1"/>
    <col min="5121" max="5121" width="7.42578125" customWidth="1"/>
    <col min="5122" max="5122" width="7.140625" customWidth="1"/>
    <col min="5123" max="5123" width="38" customWidth="1"/>
    <col min="5124" max="5132" width="16" customWidth="1"/>
    <col min="5133" max="5134" width="11.85546875" customWidth="1"/>
    <col min="5135" max="5165" width="16" customWidth="1"/>
    <col min="5377" max="5377" width="7.42578125" customWidth="1"/>
    <col min="5378" max="5378" width="7.140625" customWidth="1"/>
    <col min="5379" max="5379" width="38" customWidth="1"/>
    <col min="5380" max="5388" width="16" customWidth="1"/>
    <col min="5389" max="5390" width="11.85546875" customWidth="1"/>
    <col min="5391" max="5421" width="16" customWidth="1"/>
    <col min="5633" max="5633" width="7.42578125" customWidth="1"/>
    <col min="5634" max="5634" width="7.140625" customWidth="1"/>
    <col min="5635" max="5635" width="38" customWidth="1"/>
    <col min="5636" max="5644" width="16" customWidth="1"/>
    <col min="5645" max="5646" width="11.85546875" customWidth="1"/>
    <col min="5647" max="5677" width="16" customWidth="1"/>
    <col min="5889" max="5889" width="7.42578125" customWidth="1"/>
    <col min="5890" max="5890" width="7.140625" customWidth="1"/>
    <col min="5891" max="5891" width="38" customWidth="1"/>
    <col min="5892" max="5900" width="16" customWidth="1"/>
    <col min="5901" max="5902" width="11.85546875" customWidth="1"/>
    <col min="5903" max="5933" width="16" customWidth="1"/>
    <col min="6145" max="6145" width="7.42578125" customWidth="1"/>
    <col min="6146" max="6146" width="7.140625" customWidth="1"/>
    <col min="6147" max="6147" width="38" customWidth="1"/>
    <col min="6148" max="6156" width="16" customWidth="1"/>
    <col min="6157" max="6158" width="11.85546875" customWidth="1"/>
    <col min="6159" max="6189" width="16" customWidth="1"/>
    <col min="6401" max="6401" width="7.42578125" customWidth="1"/>
    <col min="6402" max="6402" width="7.140625" customWidth="1"/>
    <col min="6403" max="6403" width="38" customWidth="1"/>
    <col min="6404" max="6412" width="16" customWidth="1"/>
    <col min="6413" max="6414" width="11.85546875" customWidth="1"/>
    <col min="6415" max="6445" width="16" customWidth="1"/>
    <col min="6657" max="6657" width="7.42578125" customWidth="1"/>
    <col min="6658" max="6658" width="7.140625" customWidth="1"/>
    <col min="6659" max="6659" width="38" customWidth="1"/>
    <col min="6660" max="6668" width="16" customWidth="1"/>
    <col min="6669" max="6670" width="11.85546875" customWidth="1"/>
    <col min="6671" max="6701" width="16" customWidth="1"/>
    <col min="6913" max="6913" width="7.42578125" customWidth="1"/>
    <col min="6914" max="6914" width="7.140625" customWidth="1"/>
    <col min="6915" max="6915" width="38" customWidth="1"/>
    <col min="6916" max="6924" width="16" customWidth="1"/>
    <col min="6925" max="6926" width="11.85546875" customWidth="1"/>
    <col min="6927" max="6957" width="16" customWidth="1"/>
    <col min="7169" max="7169" width="7.42578125" customWidth="1"/>
    <col min="7170" max="7170" width="7.140625" customWidth="1"/>
    <col min="7171" max="7171" width="38" customWidth="1"/>
    <col min="7172" max="7180" width="16" customWidth="1"/>
    <col min="7181" max="7182" width="11.85546875" customWidth="1"/>
    <col min="7183" max="7213" width="16" customWidth="1"/>
    <col min="7425" max="7425" width="7.42578125" customWidth="1"/>
    <col min="7426" max="7426" width="7.140625" customWidth="1"/>
    <col min="7427" max="7427" width="38" customWidth="1"/>
    <col min="7428" max="7436" width="16" customWidth="1"/>
    <col min="7437" max="7438" width="11.85546875" customWidth="1"/>
    <col min="7439" max="7469" width="16" customWidth="1"/>
    <col min="7681" max="7681" width="7.42578125" customWidth="1"/>
    <col min="7682" max="7682" width="7.140625" customWidth="1"/>
    <col min="7683" max="7683" width="38" customWidth="1"/>
    <col min="7684" max="7692" width="16" customWidth="1"/>
    <col min="7693" max="7694" width="11.85546875" customWidth="1"/>
    <col min="7695" max="7725" width="16" customWidth="1"/>
    <col min="7937" max="7937" width="7.42578125" customWidth="1"/>
    <col min="7938" max="7938" width="7.140625" customWidth="1"/>
    <col min="7939" max="7939" width="38" customWidth="1"/>
    <col min="7940" max="7948" width="16" customWidth="1"/>
    <col min="7949" max="7950" width="11.85546875" customWidth="1"/>
    <col min="7951" max="7981" width="16" customWidth="1"/>
    <col min="8193" max="8193" width="7.42578125" customWidth="1"/>
    <col min="8194" max="8194" width="7.140625" customWidth="1"/>
    <col min="8195" max="8195" width="38" customWidth="1"/>
    <col min="8196" max="8204" width="16" customWidth="1"/>
    <col min="8205" max="8206" width="11.85546875" customWidth="1"/>
    <col min="8207" max="8237" width="16" customWidth="1"/>
    <col min="8449" max="8449" width="7.42578125" customWidth="1"/>
    <col min="8450" max="8450" width="7.140625" customWidth="1"/>
    <col min="8451" max="8451" width="38" customWidth="1"/>
    <col min="8452" max="8460" width="16" customWidth="1"/>
    <col min="8461" max="8462" width="11.85546875" customWidth="1"/>
    <col min="8463" max="8493" width="16" customWidth="1"/>
    <col min="8705" max="8705" width="7.42578125" customWidth="1"/>
    <col min="8706" max="8706" width="7.140625" customWidth="1"/>
    <col min="8707" max="8707" width="38" customWidth="1"/>
    <col min="8708" max="8716" width="16" customWidth="1"/>
    <col min="8717" max="8718" width="11.85546875" customWidth="1"/>
    <col min="8719" max="8749" width="16" customWidth="1"/>
    <col min="8961" max="8961" width="7.42578125" customWidth="1"/>
    <col min="8962" max="8962" width="7.140625" customWidth="1"/>
    <col min="8963" max="8963" width="38" customWidth="1"/>
    <col min="8964" max="8972" width="16" customWidth="1"/>
    <col min="8973" max="8974" width="11.85546875" customWidth="1"/>
    <col min="8975" max="9005" width="16" customWidth="1"/>
    <col min="9217" max="9217" width="7.42578125" customWidth="1"/>
    <col min="9218" max="9218" width="7.140625" customWidth="1"/>
    <col min="9219" max="9219" width="38" customWidth="1"/>
    <col min="9220" max="9228" width="16" customWidth="1"/>
    <col min="9229" max="9230" width="11.85546875" customWidth="1"/>
    <col min="9231" max="9261" width="16" customWidth="1"/>
    <col min="9473" max="9473" width="7.42578125" customWidth="1"/>
    <col min="9474" max="9474" width="7.140625" customWidth="1"/>
    <col min="9475" max="9475" width="38" customWidth="1"/>
    <col min="9476" max="9484" width="16" customWidth="1"/>
    <col min="9485" max="9486" width="11.85546875" customWidth="1"/>
    <col min="9487" max="9517" width="16" customWidth="1"/>
    <col min="9729" max="9729" width="7.42578125" customWidth="1"/>
    <col min="9730" max="9730" width="7.140625" customWidth="1"/>
    <col min="9731" max="9731" width="38" customWidth="1"/>
    <col min="9732" max="9740" width="16" customWidth="1"/>
    <col min="9741" max="9742" width="11.85546875" customWidth="1"/>
    <col min="9743" max="9773" width="16" customWidth="1"/>
    <col min="9985" max="9985" width="7.42578125" customWidth="1"/>
    <col min="9986" max="9986" width="7.140625" customWidth="1"/>
    <col min="9987" max="9987" width="38" customWidth="1"/>
    <col min="9988" max="9996" width="16" customWidth="1"/>
    <col min="9997" max="9998" width="11.85546875" customWidth="1"/>
    <col min="9999" max="10029" width="16" customWidth="1"/>
    <col min="10241" max="10241" width="7.42578125" customWidth="1"/>
    <col min="10242" max="10242" width="7.140625" customWidth="1"/>
    <col min="10243" max="10243" width="38" customWidth="1"/>
    <col min="10244" max="10252" width="16" customWidth="1"/>
    <col min="10253" max="10254" width="11.85546875" customWidth="1"/>
    <col min="10255" max="10285" width="16" customWidth="1"/>
    <col min="10497" max="10497" width="7.42578125" customWidth="1"/>
    <col min="10498" max="10498" width="7.140625" customWidth="1"/>
    <col min="10499" max="10499" width="38" customWidth="1"/>
    <col min="10500" max="10508" width="16" customWidth="1"/>
    <col min="10509" max="10510" width="11.85546875" customWidth="1"/>
    <col min="10511" max="10541" width="16" customWidth="1"/>
    <col min="10753" max="10753" width="7.42578125" customWidth="1"/>
    <col min="10754" max="10754" width="7.140625" customWidth="1"/>
    <col min="10755" max="10755" width="38" customWidth="1"/>
    <col min="10756" max="10764" width="16" customWidth="1"/>
    <col min="10765" max="10766" width="11.85546875" customWidth="1"/>
    <col min="10767" max="10797" width="16" customWidth="1"/>
    <col min="11009" max="11009" width="7.42578125" customWidth="1"/>
    <col min="11010" max="11010" width="7.140625" customWidth="1"/>
    <col min="11011" max="11011" width="38" customWidth="1"/>
    <col min="11012" max="11020" width="16" customWidth="1"/>
    <col min="11021" max="11022" width="11.85546875" customWidth="1"/>
    <col min="11023" max="11053" width="16" customWidth="1"/>
    <col min="11265" max="11265" width="7.42578125" customWidth="1"/>
    <col min="11266" max="11266" width="7.140625" customWidth="1"/>
    <col min="11267" max="11267" width="38" customWidth="1"/>
    <col min="11268" max="11276" width="16" customWidth="1"/>
    <col min="11277" max="11278" width="11.85546875" customWidth="1"/>
    <col min="11279" max="11309" width="16" customWidth="1"/>
    <col min="11521" max="11521" width="7.42578125" customWidth="1"/>
    <col min="11522" max="11522" width="7.140625" customWidth="1"/>
    <col min="11523" max="11523" width="38" customWidth="1"/>
    <col min="11524" max="11532" width="16" customWidth="1"/>
    <col min="11533" max="11534" width="11.85546875" customWidth="1"/>
    <col min="11535" max="11565" width="16" customWidth="1"/>
    <col min="11777" max="11777" width="7.42578125" customWidth="1"/>
    <col min="11778" max="11778" width="7.140625" customWidth="1"/>
    <col min="11779" max="11779" width="38" customWidth="1"/>
    <col min="11780" max="11788" width="16" customWidth="1"/>
    <col min="11789" max="11790" width="11.85546875" customWidth="1"/>
    <col min="11791" max="11821" width="16" customWidth="1"/>
    <col min="12033" max="12033" width="7.42578125" customWidth="1"/>
    <col min="12034" max="12034" width="7.140625" customWidth="1"/>
    <col min="12035" max="12035" width="38" customWidth="1"/>
    <col min="12036" max="12044" width="16" customWidth="1"/>
    <col min="12045" max="12046" width="11.85546875" customWidth="1"/>
    <col min="12047" max="12077" width="16" customWidth="1"/>
    <col min="12289" max="12289" width="7.42578125" customWidth="1"/>
    <col min="12290" max="12290" width="7.140625" customWidth="1"/>
    <col min="12291" max="12291" width="38" customWidth="1"/>
    <col min="12292" max="12300" width="16" customWidth="1"/>
    <col min="12301" max="12302" width="11.85546875" customWidth="1"/>
    <col min="12303" max="12333" width="16" customWidth="1"/>
    <col min="12545" max="12545" width="7.42578125" customWidth="1"/>
    <col min="12546" max="12546" width="7.140625" customWidth="1"/>
    <col min="12547" max="12547" width="38" customWidth="1"/>
    <col min="12548" max="12556" width="16" customWidth="1"/>
    <col min="12557" max="12558" width="11.85546875" customWidth="1"/>
    <col min="12559" max="12589" width="16" customWidth="1"/>
    <col min="12801" max="12801" width="7.42578125" customWidth="1"/>
    <col min="12802" max="12802" width="7.140625" customWidth="1"/>
    <col min="12803" max="12803" width="38" customWidth="1"/>
    <col min="12804" max="12812" width="16" customWidth="1"/>
    <col min="12813" max="12814" width="11.85546875" customWidth="1"/>
    <col min="12815" max="12845" width="16" customWidth="1"/>
    <col min="13057" max="13057" width="7.42578125" customWidth="1"/>
    <col min="13058" max="13058" width="7.140625" customWidth="1"/>
    <col min="13059" max="13059" width="38" customWidth="1"/>
    <col min="13060" max="13068" width="16" customWidth="1"/>
    <col min="13069" max="13070" width="11.85546875" customWidth="1"/>
    <col min="13071" max="13101" width="16" customWidth="1"/>
    <col min="13313" max="13313" width="7.42578125" customWidth="1"/>
    <col min="13314" max="13314" width="7.140625" customWidth="1"/>
    <col min="13315" max="13315" width="38" customWidth="1"/>
    <col min="13316" max="13324" width="16" customWidth="1"/>
    <col min="13325" max="13326" width="11.85546875" customWidth="1"/>
    <col min="13327" max="13357" width="16" customWidth="1"/>
    <col min="13569" max="13569" width="7.42578125" customWidth="1"/>
    <col min="13570" max="13570" width="7.140625" customWidth="1"/>
    <col min="13571" max="13571" width="38" customWidth="1"/>
    <col min="13572" max="13580" width="16" customWidth="1"/>
    <col min="13581" max="13582" width="11.85546875" customWidth="1"/>
    <col min="13583" max="13613" width="16" customWidth="1"/>
    <col min="13825" max="13825" width="7.42578125" customWidth="1"/>
    <col min="13826" max="13826" width="7.140625" customWidth="1"/>
    <col min="13827" max="13827" width="38" customWidth="1"/>
    <col min="13828" max="13836" width="16" customWidth="1"/>
    <col min="13837" max="13838" width="11.85546875" customWidth="1"/>
    <col min="13839" max="13869" width="16" customWidth="1"/>
    <col min="14081" max="14081" width="7.42578125" customWidth="1"/>
    <col min="14082" max="14082" width="7.140625" customWidth="1"/>
    <col min="14083" max="14083" width="38" customWidth="1"/>
    <col min="14084" max="14092" width="16" customWidth="1"/>
    <col min="14093" max="14094" width="11.85546875" customWidth="1"/>
    <col min="14095" max="14125" width="16" customWidth="1"/>
    <col min="14337" max="14337" width="7.42578125" customWidth="1"/>
    <col min="14338" max="14338" width="7.140625" customWidth="1"/>
    <col min="14339" max="14339" width="38" customWidth="1"/>
    <col min="14340" max="14348" width="16" customWidth="1"/>
    <col min="14349" max="14350" width="11.85546875" customWidth="1"/>
    <col min="14351" max="14381" width="16" customWidth="1"/>
    <col min="14593" max="14593" width="7.42578125" customWidth="1"/>
    <col min="14594" max="14594" width="7.140625" customWidth="1"/>
    <col min="14595" max="14595" width="38" customWidth="1"/>
    <col min="14596" max="14604" width="16" customWidth="1"/>
    <col min="14605" max="14606" width="11.85546875" customWidth="1"/>
    <col min="14607" max="14637" width="16" customWidth="1"/>
    <col min="14849" max="14849" width="7.42578125" customWidth="1"/>
    <col min="14850" max="14850" width="7.140625" customWidth="1"/>
    <col min="14851" max="14851" width="38" customWidth="1"/>
    <col min="14852" max="14860" width="16" customWidth="1"/>
    <col min="14861" max="14862" width="11.85546875" customWidth="1"/>
    <col min="14863" max="14893" width="16" customWidth="1"/>
    <col min="15105" max="15105" width="7.42578125" customWidth="1"/>
    <col min="15106" max="15106" width="7.140625" customWidth="1"/>
    <col min="15107" max="15107" width="38" customWidth="1"/>
    <col min="15108" max="15116" width="16" customWidth="1"/>
    <col min="15117" max="15118" width="11.85546875" customWidth="1"/>
    <col min="15119" max="15149" width="16" customWidth="1"/>
    <col min="15361" max="15361" width="7.42578125" customWidth="1"/>
    <col min="15362" max="15362" width="7.140625" customWidth="1"/>
    <col min="15363" max="15363" width="38" customWidth="1"/>
    <col min="15364" max="15372" width="16" customWidth="1"/>
    <col min="15373" max="15374" width="11.85546875" customWidth="1"/>
    <col min="15375" max="15405" width="16" customWidth="1"/>
    <col min="15617" max="15617" width="7.42578125" customWidth="1"/>
    <col min="15618" max="15618" width="7.140625" customWidth="1"/>
    <col min="15619" max="15619" width="38" customWidth="1"/>
    <col min="15620" max="15628" width="16" customWidth="1"/>
    <col min="15629" max="15630" width="11.85546875" customWidth="1"/>
    <col min="15631" max="15661" width="16" customWidth="1"/>
    <col min="15873" max="15873" width="7.42578125" customWidth="1"/>
    <col min="15874" max="15874" width="7.140625" customWidth="1"/>
    <col min="15875" max="15875" width="38" customWidth="1"/>
    <col min="15876" max="15884" width="16" customWidth="1"/>
    <col min="15885" max="15886" width="11.85546875" customWidth="1"/>
    <col min="15887" max="15917" width="16" customWidth="1"/>
    <col min="16129" max="16129" width="7.42578125" customWidth="1"/>
    <col min="16130" max="16130" width="7.140625" customWidth="1"/>
    <col min="16131" max="16131" width="38" customWidth="1"/>
    <col min="16132" max="16140" width="16" customWidth="1"/>
    <col min="16141" max="16142" width="11.85546875" customWidth="1"/>
    <col min="16143" max="16173" width="16" customWidth="1"/>
  </cols>
  <sheetData>
    <row r="1" spans="1:77" s="564" customFormat="1" ht="66" customHeight="1">
      <c r="A1" s="993"/>
      <c r="B1" s="994"/>
      <c r="C1" s="995" t="s">
        <v>4376</v>
      </c>
      <c r="D1" s="995"/>
      <c r="E1" s="996"/>
      <c r="F1" s="996"/>
      <c r="G1" s="996"/>
      <c r="H1" s="996"/>
      <c r="I1" s="996"/>
      <c r="J1" s="996"/>
      <c r="K1" s="996"/>
      <c r="L1" s="996"/>
      <c r="M1" s="996"/>
      <c r="N1" s="996"/>
      <c r="O1" s="996"/>
      <c r="P1" s="996"/>
      <c r="Q1" s="996"/>
      <c r="R1" s="996"/>
      <c r="S1" s="996"/>
      <c r="T1" s="996"/>
      <c r="U1" s="996"/>
      <c r="V1" s="996"/>
      <c r="W1" s="996"/>
      <c r="X1" s="996"/>
      <c r="Y1" s="996"/>
      <c r="Z1" s="996"/>
      <c r="AA1" s="996"/>
      <c r="AB1" s="996"/>
      <c r="AC1" s="996"/>
      <c r="AD1" s="996"/>
      <c r="AE1" s="996"/>
      <c r="AF1" s="996"/>
      <c r="AG1" s="996"/>
      <c r="AH1" s="996"/>
      <c r="AI1" s="996"/>
      <c r="AJ1" s="996"/>
      <c r="AK1" s="996"/>
      <c r="AL1" s="996"/>
      <c r="AM1" s="996"/>
      <c r="AN1" s="996"/>
      <c r="AO1" s="996"/>
      <c r="AP1" s="996"/>
      <c r="AQ1" s="996"/>
      <c r="AR1" s="996"/>
      <c r="AS1" s="996"/>
      <c r="AT1" s="997"/>
      <c r="AU1" s="997"/>
      <c r="AV1" s="997"/>
      <c r="AW1" s="997"/>
      <c r="AX1" s="997"/>
      <c r="AY1" s="997"/>
      <c r="AZ1" s="997"/>
      <c r="BA1" s="997"/>
      <c r="BB1" s="997"/>
      <c r="BC1" s="997"/>
      <c r="BD1" s="997"/>
      <c r="BE1" s="997"/>
      <c r="BF1" s="997"/>
      <c r="BG1" s="997"/>
      <c r="BH1" s="997"/>
      <c r="BI1" s="997"/>
      <c r="BJ1" s="997"/>
      <c r="BK1" s="997"/>
      <c r="BL1" s="997"/>
      <c r="BM1" s="997"/>
      <c r="BN1" s="997"/>
      <c r="BO1" s="997"/>
      <c r="BP1" s="997"/>
      <c r="BQ1" s="997"/>
      <c r="BR1" s="997"/>
      <c r="BS1" s="997"/>
      <c r="BT1" s="997"/>
      <c r="BU1" s="997"/>
      <c r="BV1" s="997"/>
      <c r="BW1" s="997"/>
      <c r="BX1" s="997"/>
      <c r="BY1" s="997"/>
    </row>
    <row r="2" spans="1:77" s="564" customFormat="1" ht="36.75" customHeight="1">
      <c r="A2" s="998" t="s">
        <v>4377</v>
      </c>
      <c r="B2" s="999"/>
      <c r="C2" s="999"/>
      <c r="D2" s="999"/>
      <c r="E2" s="1000"/>
      <c r="F2" s="1000"/>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H2" s="999"/>
      <c r="AI2" s="999"/>
      <c r="AJ2" s="999"/>
      <c r="AK2" s="999"/>
      <c r="AL2" s="999"/>
      <c r="AM2" s="999"/>
      <c r="AN2" s="999"/>
      <c r="AO2" s="999"/>
      <c r="AP2" s="999"/>
      <c r="AQ2" s="999"/>
      <c r="AR2" s="999"/>
      <c r="AS2" s="999"/>
      <c r="AT2" s="997"/>
      <c r="AU2" s="997"/>
      <c r="AV2" s="997"/>
      <c r="AW2" s="997"/>
      <c r="AX2" s="997"/>
      <c r="AY2" s="997"/>
      <c r="AZ2" s="997"/>
      <c r="BA2" s="997"/>
      <c r="BB2" s="997"/>
      <c r="BC2" s="997"/>
      <c r="BD2" s="997"/>
      <c r="BE2" s="997"/>
      <c r="BF2" s="997"/>
      <c r="BG2" s="997"/>
      <c r="BH2" s="997"/>
      <c r="BI2" s="997"/>
      <c r="BJ2" s="997"/>
      <c r="BK2" s="997"/>
      <c r="BL2" s="997"/>
      <c r="BM2" s="997"/>
      <c r="BN2" s="997"/>
      <c r="BO2" s="997"/>
      <c r="BP2" s="997"/>
      <c r="BQ2" s="997"/>
      <c r="BR2" s="997"/>
      <c r="BS2" s="997"/>
      <c r="BT2" s="997"/>
      <c r="BU2" s="997"/>
      <c r="BV2" s="997"/>
      <c r="BW2" s="997"/>
      <c r="BX2" s="997"/>
      <c r="BY2" s="997"/>
    </row>
    <row r="3" spans="1:77" s="1003" customFormat="1" ht="12.75" customHeight="1">
      <c r="A3" s="1001"/>
      <c r="B3" s="1001"/>
      <c r="C3" s="1001"/>
      <c r="D3" s="1001"/>
      <c r="E3" s="1001"/>
      <c r="F3" s="1001"/>
      <c r="G3" s="1001"/>
      <c r="H3" s="1002"/>
      <c r="I3" s="1002"/>
      <c r="J3" s="1002"/>
      <c r="K3" s="1002"/>
      <c r="L3" s="1002"/>
      <c r="M3" s="1002"/>
      <c r="N3" s="1002"/>
      <c r="O3" s="1002"/>
      <c r="P3" s="1002"/>
      <c r="Q3" s="1002"/>
      <c r="R3" s="1002"/>
      <c r="S3" s="1002"/>
      <c r="T3" s="1002"/>
      <c r="U3" s="1002"/>
      <c r="V3" s="1002"/>
      <c r="W3" s="1002"/>
      <c r="X3" s="1002"/>
      <c r="Y3" s="1002"/>
      <c r="Z3" s="1002"/>
      <c r="AA3" s="1002"/>
      <c r="AB3" s="1002"/>
      <c r="AC3" s="1002"/>
      <c r="AD3" s="1002"/>
      <c r="AE3" s="1002"/>
      <c r="AF3" s="1002"/>
      <c r="AG3" s="1002"/>
      <c r="AH3" s="1002"/>
      <c r="AI3" s="1002"/>
      <c r="AJ3" s="1002"/>
      <c r="AK3" s="1002"/>
      <c r="AL3" s="1002"/>
      <c r="AM3" s="1002"/>
      <c r="AN3" s="1002"/>
      <c r="AO3" s="1002"/>
      <c r="AP3" s="1002"/>
      <c r="AQ3" s="1002"/>
      <c r="AR3" s="1002"/>
      <c r="AS3" s="1002"/>
    </row>
    <row r="4" spans="1:77" s="1003" customFormat="1" ht="13.5" customHeight="1">
      <c r="A4" s="1204"/>
      <c r="B4" s="1204"/>
      <c r="C4" s="1204" t="s">
        <v>4378</v>
      </c>
      <c r="D4" s="1204"/>
      <c r="E4" s="1004"/>
      <c r="F4" s="1001"/>
      <c r="G4" s="1001"/>
      <c r="H4" s="1002"/>
      <c r="I4" s="1002"/>
      <c r="J4" s="1002"/>
      <c r="K4" s="1002"/>
      <c r="L4" s="1002"/>
      <c r="M4" s="1002"/>
      <c r="N4" s="1002"/>
      <c r="O4" s="1002"/>
      <c r="P4" s="1002"/>
      <c r="Q4" s="1002"/>
      <c r="R4" s="1002"/>
      <c r="S4" s="1002"/>
      <c r="T4" s="1002"/>
      <c r="U4" s="1002"/>
      <c r="V4" s="1002"/>
      <c r="W4" s="1002"/>
      <c r="X4" s="1002"/>
      <c r="Y4" s="1002"/>
      <c r="Z4" s="1002"/>
      <c r="AA4" s="1002"/>
      <c r="AB4" s="1002"/>
      <c r="AC4" s="1002"/>
      <c r="AD4" s="1002"/>
      <c r="AE4" s="1002"/>
      <c r="AF4" s="1002"/>
      <c r="AG4" s="1002"/>
      <c r="AH4" s="1002"/>
      <c r="AI4" s="1002"/>
      <c r="AJ4" s="1002"/>
      <c r="AK4" s="1002"/>
      <c r="AL4" s="1002"/>
      <c r="AM4" s="1002"/>
      <c r="AN4" s="1002"/>
      <c r="AO4" s="1002"/>
      <c r="AP4" s="1002"/>
      <c r="AQ4" s="1002"/>
      <c r="AR4" s="1002"/>
      <c r="AS4" s="1002"/>
    </row>
    <row r="5" spans="1:77" s="1003" customFormat="1" ht="14.25" customHeight="1">
      <c r="A5" s="1005"/>
      <c r="B5" s="1005"/>
      <c r="C5" s="1004"/>
      <c r="D5" s="1006"/>
      <c r="E5" s="1006"/>
      <c r="F5" s="1006"/>
      <c r="G5" s="1006"/>
      <c r="H5" s="1007"/>
      <c r="I5" s="1007"/>
      <c r="J5" s="1007"/>
      <c r="K5" s="1007"/>
      <c r="L5" s="1007"/>
      <c r="M5" s="1007"/>
      <c r="N5" s="1007"/>
      <c r="O5" s="1007"/>
      <c r="P5" s="1007"/>
      <c r="Q5" s="1007"/>
      <c r="R5" s="1007"/>
      <c r="S5" s="1007"/>
      <c r="T5" s="1007"/>
      <c r="U5" s="1007"/>
      <c r="V5" s="1007"/>
      <c r="W5" s="1007"/>
      <c r="X5" s="1007"/>
      <c r="Y5" s="1007"/>
      <c r="Z5" s="1007"/>
      <c r="AA5" s="1007"/>
      <c r="AB5" s="1007"/>
      <c r="AC5" s="1007"/>
      <c r="AD5" s="1007"/>
      <c r="AE5" s="1007"/>
      <c r="AF5" s="1007"/>
      <c r="AG5" s="1007"/>
      <c r="AH5" s="1007"/>
      <c r="AI5" s="1007"/>
      <c r="AJ5" s="1007"/>
      <c r="AK5" s="1007"/>
      <c r="AL5" s="1007"/>
      <c r="AM5" s="1007"/>
      <c r="AN5" s="1007"/>
      <c r="AO5" s="1007"/>
      <c r="AP5" s="1007"/>
    </row>
    <row r="6" spans="1:77" s="1003" customFormat="1" ht="60" customHeight="1">
      <c r="A6" s="1008"/>
      <c r="B6" s="1009" t="s">
        <v>4379</v>
      </c>
      <c r="C6" s="1009"/>
      <c r="D6" s="1010" t="s">
        <v>4380</v>
      </c>
      <c r="E6" s="1010" t="s">
        <v>4381</v>
      </c>
      <c r="F6" s="1010" t="s">
        <v>4382</v>
      </c>
      <c r="G6" s="1010" t="s">
        <v>4383</v>
      </c>
      <c r="H6" s="1010" t="s">
        <v>4384</v>
      </c>
      <c r="I6" s="1010" t="s">
        <v>4385</v>
      </c>
      <c r="J6" s="1010" t="s">
        <v>4386</v>
      </c>
      <c r="K6" s="1010" t="s">
        <v>4387</v>
      </c>
      <c r="L6" s="1010" t="s">
        <v>4388</v>
      </c>
      <c r="M6" s="1010" t="s">
        <v>4389</v>
      </c>
      <c r="N6" s="1010" t="s">
        <v>4390</v>
      </c>
      <c r="O6" s="1010" t="s">
        <v>4391</v>
      </c>
      <c r="P6" s="1010" t="s">
        <v>4392</v>
      </c>
      <c r="Q6" s="1010" t="s">
        <v>4393</v>
      </c>
      <c r="R6" s="1010" t="s">
        <v>4394</v>
      </c>
      <c r="S6" s="1010" t="s">
        <v>4395</v>
      </c>
      <c r="T6" s="1010" t="s">
        <v>4396</v>
      </c>
      <c r="U6" s="1010" t="s">
        <v>4397</v>
      </c>
      <c r="V6" s="1010" t="s">
        <v>4398</v>
      </c>
      <c r="W6" s="1010" t="s">
        <v>4399</v>
      </c>
      <c r="X6" s="1010" t="s">
        <v>4400</v>
      </c>
      <c r="Y6" s="1010" t="s">
        <v>4401</v>
      </c>
      <c r="Z6" s="1010" t="s">
        <v>4402</v>
      </c>
      <c r="AA6" s="1010" t="s">
        <v>4403</v>
      </c>
      <c r="AB6" s="1010" t="s">
        <v>4404</v>
      </c>
      <c r="AC6" s="1010" t="s">
        <v>4405</v>
      </c>
      <c r="AD6" s="1010" t="s">
        <v>4406</v>
      </c>
      <c r="AE6" s="1010" t="s">
        <v>4407</v>
      </c>
      <c r="AF6" s="1010" t="s">
        <v>4408</v>
      </c>
      <c r="AG6" s="1010" t="s">
        <v>4409</v>
      </c>
      <c r="AH6" s="1010" t="s">
        <v>4410</v>
      </c>
      <c r="AI6" s="1010" t="s">
        <v>4411</v>
      </c>
      <c r="AJ6" s="1010" t="s">
        <v>4412</v>
      </c>
      <c r="AK6" s="1010" t="s">
        <v>4413</v>
      </c>
      <c r="AL6" s="1010" t="s">
        <v>4414</v>
      </c>
      <c r="AM6" s="1010" t="s">
        <v>4415</v>
      </c>
      <c r="AN6" s="1010" t="s">
        <v>4416</v>
      </c>
      <c r="AO6" s="1010" t="s">
        <v>4417</v>
      </c>
      <c r="AP6" s="1010" t="s">
        <v>4418</v>
      </c>
      <c r="AQ6" s="1010" t="s">
        <v>4419</v>
      </c>
      <c r="AR6" s="1010" t="s">
        <v>4420</v>
      </c>
      <c r="AS6" s="1010" t="s">
        <v>4421</v>
      </c>
    </row>
    <row r="7" spans="1:77" s="1003" customFormat="1" ht="15" customHeight="1">
      <c r="A7" s="1008"/>
      <c r="B7" s="1009"/>
      <c r="C7" s="1011" t="s">
        <v>4422</v>
      </c>
      <c r="D7" s="1012" t="s">
        <v>4423</v>
      </c>
      <c r="E7" s="1012" t="s">
        <v>4423</v>
      </c>
      <c r="F7" s="1012" t="s">
        <v>4423</v>
      </c>
      <c r="G7" s="1012" t="s">
        <v>4423</v>
      </c>
      <c r="H7" s="1012" t="s">
        <v>4423</v>
      </c>
      <c r="I7" s="1012" t="s">
        <v>4423</v>
      </c>
      <c r="J7" s="1012" t="s">
        <v>4423</v>
      </c>
      <c r="K7" s="1012" t="s">
        <v>4423</v>
      </c>
      <c r="L7" s="1012" t="s">
        <v>4423</v>
      </c>
      <c r="M7" s="1012" t="s">
        <v>4423</v>
      </c>
      <c r="N7" s="1012" t="s">
        <v>4423</v>
      </c>
      <c r="O7" s="1012" t="s">
        <v>4423</v>
      </c>
      <c r="P7" s="1012" t="s">
        <v>4423</v>
      </c>
      <c r="Q7" s="1012" t="s">
        <v>4423</v>
      </c>
      <c r="R7" s="1012" t="s">
        <v>4423</v>
      </c>
      <c r="S7" s="1012" t="s">
        <v>4423</v>
      </c>
      <c r="T7" s="1012" t="s">
        <v>4423</v>
      </c>
      <c r="U7" s="1012" t="s">
        <v>4423</v>
      </c>
      <c r="V7" s="1012" t="s">
        <v>4423</v>
      </c>
      <c r="W7" s="1012" t="s">
        <v>4423</v>
      </c>
      <c r="X7" s="1012" t="s">
        <v>4423</v>
      </c>
      <c r="Y7" s="1012" t="s">
        <v>4423</v>
      </c>
      <c r="Z7" s="1012" t="s">
        <v>4423</v>
      </c>
      <c r="AA7" s="1012" t="s">
        <v>4423</v>
      </c>
      <c r="AB7" s="1012" t="s">
        <v>4423</v>
      </c>
      <c r="AC7" s="1012" t="s">
        <v>4423</v>
      </c>
      <c r="AD7" s="1012" t="s">
        <v>4423</v>
      </c>
      <c r="AE7" s="1012" t="s">
        <v>4423</v>
      </c>
      <c r="AF7" s="1012" t="s">
        <v>4423</v>
      </c>
      <c r="AG7" s="1012" t="s">
        <v>4423</v>
      </c>
      <c r="AH7" s="1012" t="s">
        <v>4423</v>
      </c>
      <c r="AI7" s="1012" t="s">
        <v>4423</v>
      </c>
      <c r="AJ7" s="1012" t="s">
        <v>4423</v>
      </c>
      <c r="AK7" s="1012" t="s">
        <v>4423</v>
      </c>
      <c r="AL7" s="1012" t="s">
        <v>4423</v>
      </c>
      <c r="AM7" s="1012" t="s">
        <v>4423</v>
      </c>
      <c r="AN7" s="1012" t="s">
        <v>4423</v>
      </c>
      <c r="AO7" s="1012" t="s">
        <v>4423</v>
      </c>
      <c r="AP7" s="1012" t="s">
        <v>4423</v>
      </c>
      <c r="AQ7" s="1012" t="s">
        <v>4423</v>
      </c>
      <c r="AR7" s="1012" t="s">
        <v>4423</v>
      </c>
      <c r="AS7" s="1012" t="s">
        <v>4423</v>
      </c>
    </row>
    <row r="8" spans="1:77" s="1017" customFormat="1" ht="15" customHeight="1">
      <c r="A8" s="1013" t="s">
        <v>4424</v>
      </c>
      <c r="B8" s="1014" t="s">
        <v>4425</v>
      </c>
      <c r="C8" s="1014"/>
      <c r="D8" s="1015">
        <v>22</v>
      </c>
      <c r="E8" s="1015">
        <v>106</v>
      </c>
      <c r="F8" s="1016">
        <v>122</v>
      </c>
      <c r="G8" s="1015">
        <v>179</v>
      </c>
      <c r="H8" s="1015">
        <v>212</v>
      </c>
      <c r="I8" s="1016">
        <v>22</v>
      </c>
      <c r="J8" s="1016">
        <v>87</v>
      </c>
      <c r="K8" s="1016">
        <v>21</v>
      </c>
      <c r="L8" s="1016">
        <v>9</v>
      </c>
      <c r="M8" s="1016">
        <v>10</v>
      </c>
      <c r="N8" s="1016">
        <v>24</v>
      </c>
      <c r="O8" s="1016">
        <v>24</v>
      </c>
      <c r="P8" s="1016">
        <v>102</v>
      </c>
      <c r="Q8" s="1016">
        <v>15</v>
      </c>
      <c r="R8" s="1016">
        <v>120</v>
      </c>
      <c r="S8" s="1016">
        <v>31</v>
      </c>
      <c r="T8" s="1016">
        <v>14</v>
      </c>
      <c r="U8" s="1016">
        <v>17</v>
      </c>
      <c r="V8" s="1016">
        <v>24</v>
      </c>
      <c r="W8" s="1016">
        <v>20</v>
      </c>
      <c r="X8" s="1016">
        <v>13</v>
      </c>
      <c r="Y8" s="1016">
        <v>24</v>
      </c>
      <c r="Z8" s="1016">
        <v>21</v>
      </c>
      <c r="AA8" s="1016">
        <v>10</v>
      </c>
      <c r="AB8" s="1016">
        <v>17</v>
      </c>
      <c r="AC8" s="1016">
        <v>18</v>
      </c>
      <c r="AD8" s="1016">
        <v>7</v>
      </c>
      <c r="AE8" s="1016">
        <v>17</v>
      </c>
      <c r="AF8" s="1016">
        <v>40</v>
      </c>
      <c r="AG8" s="1016">
        <v>14</v>
      </c>
      <c r="AH8" s="1016">
        <v>11</v>
      </c>
      <c r="AI8" s="1016">
        <v>10</v>
      </c>
      <c r="AJ8" s="1016">
        <v>59</v>
      </c>
      <c r="AK8" s="1016">
        <v>70</v>
      </c>
      <c r="AL8" s="1016">
        <v>10</v>
      </c>
      <c r="AM8" s="1016">
        <v>7</v>
      </c>
      <c r="AN8" s="1016">
        <v>67</v>
      </c>
      <c r="AO8" s="1016">
        <v>13</v>
      </c>
      <c r="AP8" s="1016">
        <v>18</v>
      </c>
      <c r="AQ8" s="1016">
        <v>92</v>
      </c>
      <c r="AR8" s="1016">
        <v>7</v>
      </c>
      <c r="AS8" s="1016">
        <v>38</v>
      </c>
    </row>
    <row r="9" spans="1:77" ht="15" customHeight="1">
      <c r="D9" s="1018"/>
      <c r="E9" s="1018"/>
      <c r="F9" s="1018"/>
      <c r="G9" s="1018"/>
      <c r="H9" s="1018"/>
      <c r="I9" s="1018"/>
      <c r="J9" s="1018"/>
      <c r="K9" s="1018"/>
      <c r="L9" s="1018"/>
      <c r="M9" s="1018"/>
      <c r="N9" s="1018"/>
      <c r="O9" s="1018"/>
      <c r="P9" s="1018"/>
      <c r="Q9" s="1018"/>
      <c r="R9" s="1018"/>
      <c r="S9" s="1018"/>
      <c r="T9" s="1018"/>
      <c r="U9" s="1018"/>
      <c r="V9" s="1018"/>
      <c r="W9" s="1018"/>
      <c r="X9" s="1018"/>
      <c r="Y9" s="1018"/>
      <c r="Z9" s="1018"/>
      <c r="AA9" s="1018"/>
      <c r="AB9" s="1018"/>
      <c r="AC9" s="1018"/>
      <c r="AD9" s="1018"/>
      <c r="AE9" s="1018"/>
      <c r="AF9" s="1018"/>
      <c r="AG9" s="1018"/>
      <c r="AH9" s="1018"/>
      <c r="AI9" s="1018"/>
      <c r="AJ9" s="1018"/>
      <c r="AK9" s="1018"/>
      <c r="AL9" s="1018"/>
      <c r="AM9" s="1018"/>
      <c r="AN9" s="1018"/>
      <c r="AO9" s="1018"/>
      <c r="AP9" s="1018"/>
      <c r="AQ9" s="1018"/>
      <c r="AR9" s="1018"/>
      <c r="AS9" s="1018"/>
    </row>
    <row r="10" spans="1:77" s="1003" customFormat="1" ht="12.75" customHeight="1">
      <c r="A10" s="1019" t="s">
        <v>4426</v>
      </c>
      <c r="B10" s="1204" t="s">
        <v>4427</v>
      </c>
      <c r="C10" s="1204"/>
      <c r="D10" s="1020">
        <v>25211.893021487202</v>
      </c>
      <c r="E10" s="1020">
        <v>999.59816126880105</v>
      </c>
      <c r="F10" s="1020">
        <v>895.37009344958403</v>
      </c>
      <c r="G10" s="1020">
        <v>1107.0335600103399</v>
      </c>
      <c r="H10" s="1020">
        <v>949.76757247704802</v>
      </c>
      <c r="I10" s="1020">
        <v>659.90399101699302</v>
      </c>
      <c r="J10" s="1020">
        <v>2403.9747516718298</v>
      </c>
      <c r="K10" s="1020">
        <v>3532.3713684653299</v>
      </c>
      <c r="L10" s="1020">
        <v>1413.73493451994</v>
      </c>
      <c r="M10" s="1020">
        <v>5431.8299065721703</v>
      </c>
      <c r="N10" s="1020">
        <v>470.624270498991</v>
      </c>
      <c r="O10" s="1020">
        <v>22.589395710049502</v>
      </c>
      <c r="P10" s="1020">
        <v>16494.990196078401</v>
      </c>
      <c r="Q10" s="1020">
        <v>27854.799999999999</v>
      </c>
      <c r="R10" s="1020">
        <v>1475.5233620035799</v>
      </c>
      <c r="S10" s="1020">
        <v>3454.5486727539301</v>
      </c>
      <c r="T10" s="1020">
        <v>3158.1156807151501</v>
      </c>
      <c r="U10" s="1020">
        <v>3134.6285579119799</v>
      </c>
      <c r="V10" s="1020">
        <v>2773.02098161199</v>
      </c>
      <c r="W10" s="1020">
        <v>2981.8414337300801</v>
      </c>
      <c r="X10" s="1020">
        <v>3908.0531573133799</v>
      </c>
      <c r="Y10" s="1020">
        <v>3761.38251514801</v>
      </c>
      <c r="Z10" s="1020">
        <v>2827.6954748339299</v>
      </c>
      <c r="AA10" s="1020">
        <v>4230.3352137776001</v>
      </c>
      <c r="AB10" s="1020">
        <v>4043.0804074185698</v>
      </c>
      <c r="AC10" s="1020">
        <v>3971.6018114777198</v>
      </c>
      <c r="AD10" s="1020">
        <v>3172.6974738436402</v>
      </c>
      <c r="AE10" s="1020">
        <v>2403.4941047438401</v>
      </c>
      <c r="AF10" s="1020">
        <v>1103.3543917771301</v>
      </c>
      <c r="AG10" s="1020">
        <v>505.93854185474902</v>
      </c>
      <c r="AH10" s="1020">
        <v>20906.2426285041</v>
      </c>
      <c r="AI10" s="1020">
        <v>15669.1757026819</v>
      </c>
      <c r="AJ10" s="1020">
        <v>9392.3159828862808</v>
      </c>
      <c r="AK10" s="1020">
        <v>7590.0709463390604</v>
      </c>
      <c r="AL10" s="1020">
        <v>8206.6058442509693</v>
      </c>
      <c r="AM10" s="1020">
        <v>12663.7276247054</v>
      </c>
      <c r="AN10" s="1020">
        <v>10596.260373978799</v>
      </c>
      <c r="AO10" s="1020">
        <v>6826.2831486181603</v>
      </c>
      <c r="AP10" s="1020">
        <v>1647.5912222198201</v>
      </c>
      <c r="AQ10" s="1020">
        <v>1450.02655284817</v>
      </c>
      <c r="AR10" s="1020">
        <v>6555.2541647957596</v>
      </c>
      <c r="AS10" s="1020">
        <v>900.21162902191998</v>
      </c>
    </row>
    <row r="11" spans="1:77" s="1003" customFormat="1" ht="12.75" customHeight="1">
      <c r="A11" s="1004" t="s">
        <v>4428</v>
      </c>
      <c r="B11" s="1004" t="s">
        <v>4429</v>
      </c>
      <c r="C11" s="1004"/>
      <c r="D11" s="1021">
        <v>24750.222861365201</v>
      </c>
      <c r="E11" s="1021">
        <v>936.50443773312804</v>
      </c>
      <c r="F11" s="1021">
        <v>874.72949102211498</v>
      </c>
      <c r="G11" s="1021">
        <v>808.10024922281002</v>
      </c>
      <c r="H11" s="1021">
        <v>682.08525541301003</v>
      </c>
      <c r="I11" s="1021">
        <v>505.00713806589698</v>
      </c>
      <c r="J11" s="1021">
        <v>1950.8145587941301</v>
      </c>
      <c r="K11" s="1021">
        <v>2333.02870195268</v>
      </c>
      <c r="L11" s="1021">
        <v>1140.3931026901701</v>
      </c>
      <c r="M11" s="1021">
        <v>5354.2525813144302</v>
      </c>
      <c r="N11" s="1021">
        <v>459.24038739995802</v>
      </c>
      <c r="O11" s="1021">
        <v>5.7102682655272003</v>
      </c>
      <c r="P11" s="1021">
        <v>16235.705882352901</v>
      </c>
      <c r="Q11" s="1021">
        <v>27180.933333333302</v>
      </c>
      <c r="R11" s="1021">
        <v>1027.58245782267</v>
      </c>
      <c r="S11" s="1021">
        <v>3153.5029162409501</v>
      </c>
      <c r="T11" s="1021">
        <v>2969.1442228003202</v>
      </c>
      <c r="U11" s="1021">
        <v>2897.3158559456901</v>
      </c>
      <c r="V11" s="1021">
        <v>2550.7385177075798</v>
      </c>
      <c r="W11" s="1021">
        <v>2740.93054056659</v>
      </c>
      <c r="X11" s="1021">
        <v>3672.5622151143202</v>
      </c>
      <c r="Y11" s="1021">
        <v>3509.3997175260502</v>
      </c>
      <c r="Z11" s="1021">
        <v>2570.5799831757799</v>
      </c>
      <c r="AA11" s="1021">
        <v>3984.62795968929</v>
      </c>
      <c r="AB11" s="1021">
        <v>3812.29524059499</v>
      </c>
      <c r="AC11" s="1021">
        <v>3710.2932920896801</v>
      </c>
      <c r="AD11" s="1021">
        <v>2962.0548499386</v>
      </c>
      <c r="AE11" s="1021">
        <v>1920.73515955941</v>
      </c>
      <c r="AF11" s="1021">
        <v>842.29397044468794</v>
      </c>
      <c r="AG11" s="1021">
        <v>343.15642075977701</v>
      </c>
      <c r="AH11" s="1021">
        <v>20832.3910434629</v>
      </c>
      <c r="AI11" s="1021">
        <v>15619.363462864299</v>
      </c>
      <c r="AJ11" s="1021">
        <v>9138.0457313391798</v>
      </c>
      <c r="AK11" s="1021">
        <v>7400.1527530447402</v>
      </c>
      <c r="AL11" s="1021">
        <v>8017.24708388612</v>
      </c>
      <c r="AM11" s="1021">
        <v>12400.9166310781</v>
      </c>
      <c r="AN11" s="1021">
        <v>10307.9942140279</v>
      </c>
      <c r="AO11" s="1021">
        <v>6344.7828627467597</v>
      </c>
      <c r="AP11" s="1021">
        <v>1345.3194777513299</v>
      </c>
      <c r="AQ11" s="1021">
        <v>1016.0200415617001</v>
      </c>
      <c r="AR11" s="1021">
        <v>6084.4714807608398</v>
      </c>
      <c r="AS11" s="1021">
        <v>685.94104074074096</v>
      </c>
    </row>
    <row r="12" spans="1:77" s="1003" customFormat="1" ht="12.75" customHeight="1">
      <c r="A12" s="1004" t="s">
        <v>4430</v>
      </c>
      <c r="B12" s="1004" t="s">
        <v>4431</v>
      </c>
      <c r="C12" s="1004"/>
      <c r="D12" s="1021">
        <v>0</v>
      </c>
      <c r="E12" s="1021">
        <v>0</v>
      </c>
      <c r="F12" s="1021">
        <v>0</v>
      </c>
      <c r="G12" s="1021">
        <v>36.459122864883</v>
      </c>
      <c r="H12" s="1021">
        <v>37.680409978690101</v>
      </c>
      <c r="I12" s="1021">
        <v>1.14800875599948</v>
      </c>
      <c r="J12" s="1021">
        <v>0</v>
      </c>
      <c r="K12" s="1021">
        <v>0</v>
      </c>
      <c r="L12" s="1021">
        <v>30.693391471475</v>
      </c>
      <c r="M12" s="1021">
        <v>0</v>
      </c>
      <c r="N12" s="1021">
        <v>0</v>
      </c>
      <c r="O12" s="1021">
        <v>0</v>
      </c>
      <c r="P12" s="1021">
        <v>0</v>
      </c>
      <c r="Q12" s="1021">
        <v>0</v>
      </c>
      <c r="R12" s="1021">
        <v>0</v>
      </c>
      <c r="S12" s="1021">
        <v>0</v>
      </c>
      <c r="T12" s="1021">
        <v>0</v>
      </c>
      <c r="U12" s="1021">
        <v>0</v>
      </c>
      <c r="V12" s="1021">
        <v>0</v>
      </c>
      <c r="W12" s="1021">
        <v>0</v>
      </c>
      <c r="X12" s="1021">
        <v>0</v>
      </c>
      <c r="Y12" s="1021">
        <v>0</v>
      </c>
      <c r="Z12" s="1021">
        <v>0</v>
      </c>
      <c r="AA12" s="1021">
        <v>0</v>
      </c>
      <c r="AB12" s="1021">
        <v>0</v>
      </c>
      <c r="AC12" s="1021">
        <v>0</v>
      </c>
      <c r="AD12" s="1021">
        <v>0</v>
      </c>
      <c r="AE12" s="1021">
        <v>0</v>
      </c>
      <c r="AF12" s="1021">
        <v>0</v>
      </c>
      <c r="AG12" s="1021">
        <v>0</v>
      </c>
      <c r="AH12" s="1021">
        <v>0</v>
      </c>
      <c r="AI12" s="1021">
        <v>0</v>
      </c>
      <c r="AJ12" s="1021">
        <v>0</v>
      </c>
      <c r="AK12" s="1021">
        <v>0</v>
      </c>
      <c r="AL12" s="1021">
        <v>0</v>
      </c>
      <c r="AM12" s="1021">
        <v>0</v>
      </c>
      <c r="AN12" s="1021">
        <v>0</v>
      </c>
      <c r="AO12" s="1021">
        <v>0</v>
      </c>
      <c r="AP12" s="1021">
        <v>0</v>
      </c>
      <c r="AQ12" s="1021">
        <v>0</v>
      </c>
      <c r="AR12" s="1021">
        <v>0</v>
      </c>
      <c r="AS12" s="1021">
        <v>2.2010585034013599</v>
      </c>
    </row>
    <row r="13" spans="1:77" s="1003" customFormat="1" ht="12.75" customHeight="1">
      <c r="A13" s="1004" t="s">
        <v>4432</v>
      </c>
      <c r="B13" s="1004" t="s">
        <v>4433</v>
      </c>
      <c r="C13" s="1004"/>
      <c r="D13" s="1021">
        <v>356.13416202205002</v>
      </c>
      <c r="E13" s="1021">
        <v>26.705746583879701</v>
      </c>
      <c r="F13" s="1021">
        <v>6.4486759214553597</v>
      </c>
      <c r="G13" s="1021">
        <v>12.240016128232501</v>
      </c>
      <c r="H13" s="1021">
        <v>14.9032247569811</v>
      </c>
      <c r="I13" s="1021">
        <v>6.1681078349980503</v>
      </c>
      <c r="J13" s="1021">
        <v>4.0166730410919902</v>
      </c>
      <c r="K13" s="1021">
        <v>317.62863190590798</v>
      </c>
      <c r="L13" s="1021">
        <v>21.625713984230099</v>
      </c>
      <c r="M13" s="1021">
        <v>32.345358891752603</v>
      </c>
      <c r="N13" s="1021">
        <v>7.4900780569281098</v>
      </c>
      <c r="O13" s="1021">
        <v>16.8791274445223</v>
      </c>
      <c r="P13" s="1021">
        <v>3.8333333333333299</v>
      </c>
      <c r="Q13" s="1021">
        <v>0.8</v>
      </c>
      <c r="R13" s="1021">
        <v>167.64655579518299</v>
      </c>
      <c r="S13" s="1021">
        <v>28.079835763999299</v>
      </c>
      <c r="T13" s="1021">
        <v>42.205708858979499</v>
      </c>
      <c r="U13" s="1021">
        <v>63.795253386391998</v>
      </c>
      <c r="V13" s="1021">
        <v>24.0471323781601</v>
      </c>
      <c r="W13" s="1021">
        <v>34.438332756246297</v>
      </c>
      <c r="X13" s="1021">
        <v>23.503711163416298</v>
      </c>
      <c r="Y13" s="1021">
        <v>31.867031175789599</v>
      </c>
      <c r="Z13" s="1021">
        <v>33.150235705161002</v>
      </c>
      <c r="AA13" s="1021">
        <v>56.950115739983602</v>
      </c>
      <c r="AB13" s="1021">
        <v>23.931456317077799</v>
      </c>
      <c r="AC13" s="1021">
        <v>19.641845064861801</v>
      </c>
      <c r="AD13" s="1021">
        <v>19.607021735570999</v>
      </c>
      <c r="AE13" s="1021">
        <v>1.3357882105397401</v>
      </c>
      <c r="AF13" s="1021">
        <v>42.525029753942199</v>
      </c>
      <c r="AG13" s="1021">
        <v>29.4413404916201</v>
      </c>
      <c r="AH13" s="1021">
        <v>5.4181333333333299</v>
      </c>
      <c r="AI13" s="1021">
        <v>12.3547306275702</v>
      </c>
      <c r="AJ13" s="1021">
        <v>101.281478455025</v>
      </c>
      <c r="AK13" s="1021">
        <v>62.497414317522797</v>
      </c>
      <c r="AL13" s="1021">
        <v>30.624645356550602</v>
      </c>
      <c r="AM13" s="1021">
        <v>69.925808380619799</v>
      </c>
      <c r="AN13" s="1021">
        <v>119.93874296555001</v>
      </c>
      <c r="AO13" s="1021">
        <v>173.20925093062601</v>
      </c>
      <c r="AP13" s="1021">
        <v>156.21664201644299</v>
      </c>
      <c r="AQ13" s="1021">
        <v>157.55995513325101</v>
      </c>
      <c r="AR13" s="1021">
        <v>8.8868204864359193</v>
      </c>
      <c r="AS13" s="1021">
        <v>43.165529959183701</v>
      </c>
    </row>
    <row r="14" spans="1:77" s="1003" customFormat="1" ht="12.75" customHeight="1">
      <c r="A14" s="1004" t="s">
        <v>4434</v>
      </c>
      <c r="B14" s="1004" t="s">
        <v>4435</v>
      </c>
      <c r="C14" s="1004"/>
      <c r="D14" s="1021">
        <v>7.3891578700445697</v>
      </c>
      <c r="E14" s="1021">
        <v>12.522951958349401</v>
      </c>
      <c r="F14" s="1021">
        <v>3.5633920748372598</v>
      </c>
      <c r="G14" s="1021">
        <v>4.3861850004384104</v>
      </c>
      <c r="H14" s="1021">
        <v>4.2516575441861102</v>
      </c>
      <c r="I14" s="1021">
        <v>2.2960190426773899</v>
      </c>
      <c r="J14" s="1021">
        <v>11.851510329147199</v>
      </c>
      <c r="K14" s="1021">
        <v>17.6093240293356</v>
      </c>
      <c r="L14" s="1021">
        <v>2.67858400974026</v>
      </c>
      <c r="M14" s="1021">
        <v>29.381449871133999</v>
      </c>
      <c r="N14" s="1021">
        <v>0.603730557102095</v>
      </c>
      <c r="O14" s="1021">
        <v>0</v>
      </c>
      <c r="P14" s="1021">
        <v>106.725490196078</v>
      </c>
      <c r="Q14" s="1021">
        <v>102.333333333333</v>
      </c>
      <c r="R14" s="1021">
        <v>5.8428830432079604</v>
      </c>
      <c r="S14" s="1021">
        <v>12.033212142730999</v>
      </c>
      <c r="T14" s="1021">
        <v>5.5443876657292099</v>
      </c>
      <c r="U14" s="1021">
        <v>7.9744034019974999</v>
      </c>
      <c r="V14" s="1021">
        <v>10.770593787686</v>
      </c>
      <c r="W14" s="1021">
        <v>6.4430461735195799</v>
      </c>
      <c r="X14" s="1021">
        <v>3.8164066408876902</v>
      </c>
      <c r="Y14" s="1021">
        <v>12.2209383958988</v>
      </c>
      <c r="Z14" s="1021">
        <v>7.3326612161471596</v>
      </c>
      <c r="AA14" s="1021">
        <v>5.9280400654129197</v>
      </c>
      <c r="AB14" s="1021">
        <v>15.5338008096404</v>
      </c>
      <c r="AC14" s="1021">
        <v>7.1066093062605704</v>
      </c>
      <c r="AD14" s="1021">
        <v>11.502250225133</v>
      </c>
      <c r="AE14" s="1021">
        <v>43.823117145407601</v>
      </c>
      <c r="AF14" s="1021">
        <v>1.6964555433945401</v>
      </c>
      <c r="AG14" s="1021">
        <v>1.6871571173184401</v>
      </c>
      <c r="AH14" s="1021">
        <v>13.7809333333333</v>
      </c>
      <c r="AI14" s="1021">
        <v>5.4353660110852804</v>
      </c>
      <c r="AJ14" s="1021">
        <v>31.814843563968001</v>
      </c>
      <c r="AK14" s="1021">
        <v>14.9544285340721</v>
      </c>
      <c r="AL14" s="1021">
        <v>8.9828604201216091</v>
      </c>
      <c r="AM14" s="1021">
        <v>19.205568747271901</v>
      </c>
      <c r="AN14" s="1021">
        <v>26.0192708790137</v>
      </c>
      <c r="AO14" s="1021">
        <v>16.271856542583201</v>
      </c>
      <c r="AP14" s="1021">
        <v>1.21881463291504</v>
      </c>
      <c r="AQ14" s="1021">
        <v>5.5697066073836003</v>
      </c>
      <c r="AR14" s="1021">
        <v>0.24945463049579</v>
      </c>
      <c r="AS14" s="1021">
        <v>3.7278887830687801</v>
      </c>
    </row>
    <row r="15" spans="1:77" s="1003" customFormat="1" ht="12.75" customHeight="1">
      <c r="A15" s="1004" t="s">
        <v>4436</v>
      </c>
      <c r="B15" s="1004" t="s">
        <v>4437</v>
      </c>
      <c r="C15" s="1004"/>
      <c r="D15" s="1021">
        <v>6.1459066385174799</v>
      </c>
      <c r="E15" s="1021">
        <v>17.292712259159298</v>
      </c>
      <c r="F15" s="1021">
        <v>3.2185197797128899</v>
      </c>
      <c r="G15" s="1021">
        <v>236.535015308563</v>
      </c>
      <c r="H15" s="1021">
        <v>203.39419326450101</v>
      </c>
      <c r="I15" s="1021">
        <v>140.167322240239</v>
      </c>
      <c r="J15" s="1021">
        <v>425.82405487868499</v>
      </c>
      <c r="K15" s="1021">
        <v>860.26633332387303</v>
      </c>
      <c r="L15" s="1021">
        <v>197.72725371057501</v>
      </c>
      <c r="M15" s="1021">
        <v>0</v>
      </c>
      <c r="N15" s="1021">
        <v>0.84557066427726402</v>
      </c>
      <c r="O15" s="1021">
        <v>0</v>
      </c>
      <c r="P15" s="1021">
        <v>0.37254901960784298</v>
      </c>
      <c r="Q15" s="1021">
        <v>0</v>
      </c>
      <c r="R15" s="1021">
        <v>251.496903320185</v>
      </c>
      <c r="S15" s="1021">
        <v>179.65377474297799</v>
      </c>
      <c r="T15" s="1021">
        <v>108.356764443552</v>
      </c>
      <c r="U15" s="1021">
        <v>134.58176558988799</v>
      </c>
      <c r="V15" s="1021">
        <v>134.812201078719</v>
      </c>
      <c r="W15" s="1021">
        <v>183.346446035806</v>
      </c>
      <c r="X15" s="1021">
        <v>145.78011045729701</v>
      </c>
      <c r="Y15" s="1021">
        <v>96.685960545725194</v>
      </c>
      <c r="Z15" s="1021">
        <v>132.17935484159401</v>
      </c>
      <c r="AA15" s="1021">
        <v>159.07603916598501</v>
      </c>
      <c r="AB15" s="1021">
        <v>88.081343438147201</v>
      </c>
      <c r="AC15" s="1021">
        <v>200.32430957416801</v>
      </c>
      <c r="AD15" s="1021">
        <v>163.282848014736</v>
      </c>
      <c r="AE15" s="1021">
        <v>426.59484396021298</v>
      </c>
      <c r="AF15" s="1021">
        <v>199.76690820868299</v>
      </c>
      <c r="AG15" s="1021">
        <v>129.921779636872</v>
      </c>
      <c r="AH15" s="1021">
        <v>34.275618374558299</v>
      </c>
      <c r="AI15" s="1021">
        <v>13.230795744680901</v>
      </c>
      <c r="AJ15" s="1021">
        <v>50.022064695402001</v>
      </c>
      <c r="AK15" s="1021">
        <v>64.3019908761392</v>
      </c>
      <c r="AL15" s="1021">
        <v>1.0226649806522901</v>
      </c>
      <c r="AM15" s="1021">
        <v>97.817543605412496</v>
      </c>
      <c r="AN15" s="1021">
        <v>77.829587281026903</v>
      </c>
      <c r="AO15" s="1021">
        <v>250.028203468697</v>
      </c>
      <c r="AP15" s="1021">
        <v>140.58127632338099</v>
      </c>
      <c r="AQ15" s="1021">
        <v>245.99021814715499</v>
      </c>
      <c r="AR15" s="1021">
        <v>443.46742266916101</v>
      </c>
      <c r="AS15" s="1021">
        <v>160.23582975359</v>
      </c>
    </row>
    <row r="16" spans="1:77" s="1003" customFormat="1" ht="12.75" customHeight="1">
      <c r="A16" s="1004" t="s">
        <v>4438</v>
      </c>
      <c r="B16" s="1004" t="s">
        <v>4439</v>
      </c>
      <c r="C16" s="1004"/>
      <c r="D16" s="1021">
        <v>92.000933591367598</v>
      </c>
      <c r="E16" s="1021">
        <v>6.5723127342846102</v>
      </c>
      <c r="F16" s="1021">
        <v>7.4100146514635501</v>
      </c>
      <c r="G16" s="1021">
        <v>9.3129714854131507</v>
      </c>
      <c r="H16" s="1021">
        <v>7.4528315196797497</v>
      </c>
      <c r="I16" s="1021">
        <v>5.1173950771825103</v>
      </c>
      <c r="J16" s="1021">
        <v>11.4679546287802</v>
      </c>
      <c r="K16" s="1021">
        <v>3.8383772535307199</v>
      </c>
      <c r="L16" s="1021">
        <v>20.616888653757002</v>
      </c>
      <c r="M16" s="1021">
        <v>15.850516494845399</v>
      </c>
      <c r="N16" s="1021">
        <v>2.4445038207251701</v>
      </c>
      <c r="O16" s="1021">
        <v>0</v>
      </c>
      <c r="P16" s="1021">
        <v>148.35294117647101</v>
      </c>
      <c r="Q16" s="1021">
        <v>570.73333333333301</v>
      </c>
      <c r="R16" s="1021">
        <v>22.954562022338202</v>
      </c>
      <c r="S16" s="1021">
        <v>81.278933863275</v>
      </c>
      <c r="T16" s="1021">
        <v>32.864596946564902</v>
      </c>
      <c r="U16" s="1021">
        <v>30.961279588015</v>
      </c>
      <c r="V16" s="1021">
        <v>52.652536659844003</v>
      </c>
      <c r="W16" s="1021">
        <v>16.683068197914601</v>
      </c>
      <c r="X16" s="1021">
        <v>62.390713937458003</v>
      </c>
      <c r="Y16" s="1021">
        <v>111.208867504548</v>
      </c>
      <c r="Z16" s="1021">
        <v>84.453239895247805</v>
      </c>
      <c r="AA16" s="1021">
        <v>23.753059116925598</v>
      </c>
      <c r="AB16" s="1021">
        <v>103.238566258708</v>
      </c>
      <c r="AC16" s="1021">
        <v>34.235755442752399</v>
      </c>
      <c r="AD16" s="1021">
        <v>16.2505039295948</v>
      </c>
      <c r="AE16" s="1021">
        <v>11.005195868269199</v>
      </c>
      <c r="AF16" s="1021">
        <v>17.072027826421799</v>
      </c>
      <c r="AG16" s="1021">
        <v>1.7318438491620101</v>
      </c>
      <c r="AH16" s="1021">
        <v>20.376899999999999</v>
      </c>
      <c r="AI16" s="1021">
        <v>18.791347434292899</v>
      </c>
      <c r="AJ16" s="1021">
        <v>71.151864832704007</v>
      </c>
      <c r="AK16" s="1021">
        <v>48.164359566590697</v>
      </c>
      <c r="AL16" s="1021">
        <v>148.72858960751799</v>
      </c>
      <c r="AM16" s="1021">
        <v>75.862072893932805</v>
      </c>
      <c r="AN16" s="1021">
        <v>64.478558825250701</v>
      </c>
      <c r="AO16" s="1021">
        <v>41.990974929498002</v>
      </c>
      <c r="AP16" s="1021">
        <v>4.2550114957449896</v>
      </c>
      <c r="AQ16" s="1021">
        <v>24.88663139869</v>
      </c>
      <c r="AR16" s="1021">
        <v>18.1789862488307</v>
      </c>
      <c r="AS16" s="1021">
        <v>4.9402812819350004</v>
      </c>
    </row>
    <row r="17" spans="1:45" s="1025" customFormat="1" ht="12.75" customHeight="1">
      <c r="A17" s="1022"/>
      <c r="B17" s="1023"/>
      <c r="C17" s="1023"/>
      <c r="D17" s="1018"/>
      <c r="E17" s="1018"/>
      <c r="F17" s="1018"/>
      <c r="G17" s="1018"/>
      <c r="H17" s="1018"/>
      <c r="I17" s="1018"/>
      <c r="J17" s="1018"/>
      <c r="K17" s="1018"/>
      <c r="L17" s="1018"/>
      <c r="M17" s="1018"/>
      <c r="N17" s="1018"/>
      <c r="O17" s="1018"/>
      <c r="P17" s="1018"/>
      <c r="Q17" s="1018"/>
      <c r="R17" s="1018"/>
      <c r="S17" s="1018"/>
      <c r="T17" s="1018"/>
      <c r="U17" s="1018"/>
      <c r="V17" s="1018"/>
      <c r="W17" s="1018"/>
      <c r="X17" s="1018"/>
      <c r="Y17" s="1018"/>
      <c r="Z17" s="1018"/>
      <c r="AA17" s="1018"/>
      <c r="AB17" s="1018"/>
      <c r="AC17" s="1018"/>
      <c r="AD17" s="1018"/>
      <c r="AE17" s="1018"/>
      <c r="AF17" s="1018"/>
      <c r="AG17" s="1018"/>
      <c r="AH17" s="1018"/>
      <c r="AI17" s="1018"/>
      <c r="AJ17" s="1018"/>
      <c r="AK17" s="1018"/>
      <c r="AL17" s="1018"/>
      <c r="AM17" s="1024"/>
      <c r="AN17" s="1024"/>
      <c r="AO17" s="1024"/>
      <c r="AP17" s="1024"/>
      <c r="AQ17" s="1024"/>
      <c r="AR17" s="1024"/>
      <c r="AS17" s="1024"/>
    </row>
    <row r="18" spans="1:45" s="1003" customFormat="1" ht="12.75" customHeight="1">
      <c r="A18" s="1019" t="s">
        <v>4440</v>
      </c>
      <c r="B18" s="1026" t="s">
        <v>4441</v>
      </c>
      <c r="C18" s="1027"/>
      <c r="D18" s="1028">
        <v>12991.3441527797</v>
      </c>
      <c r="E18" s="1028">
        <v>389.67372645969903</v>
      </c>
      <c r="F18" s="1028">
        <v>348.34461674095797</v>
      </c>
      <c r="G18" s="1028">
        <v>343.99337244627998</v>
      </c>
      <c r="H18" s="1028">
        <v>307.19152868542801</v>
      </c>
      <c r="I18" s="1028">
        <v>333.81114356596203</v>
      </c>
      <c r="J18" s="1028">
        <v>911.36436678318398</v>
      </c>
      <c r="K18" s="1028">
        <v>1464.8085938842501</v>
      </c>
      <c r="L18" s="1028">
        <v>195.13563380101999</v>
      </c>
      <c r="M18" s="1028">
        <v>1473.8402302835</v>
      </c>
      <c r="N18" s="1028">
        <v>174.97564109889299</v>
      </c>
      <c r="O18" s="1028">
        <v>74.409098381078493</v>
      </c>
      <c r="P18" s="1028">
        <v>335.57843137254901</v>
      </c>
      <c r="Q18" s="1028">
        <v>1353.13333333333</v>
      </c>
      <c r="R18" s="1028">
        <v>331.51682642106101</v>
      </c>
      <c r="S18" s="1028">
        <v>854.71471278926003</v>
      </c>
      <c r="T18" s="1028">
        <v>824.66853487344304</v>
      </c>
      <c r="U18" s="1028">
        <v>780.35270661672905</v>
      </c>
      <c r="V18" s="1028">
        <v>855.59550846932598</v>
      </c>
      <c r="W18" s="1028">
        <v>939.258307082432</v>
      </c>
      <c r="X18" s="1028">
        <v>1152.11834386348</v>
      </c>
      <c r="Y18" s="1028">
        <v>920.66809758888701</v>
      </c>
      <c r="Z18" s="1028">
        <v>856.63005038324002</v>
      </c>
      <c r="AA18" s="1028">
        <v>1003.47506418643</v>
      </c>
      <c r="AB18" s="1028">
        <v>859.93221973262996</v>
      </c>
      <c r="AC18" s="1028">
        <v>1032.3322261703299</v>
      </c>
      <c r="AD18" s="1028">
        <v>566.68032136717102</v>
      </c>
      <c r="AE18" s="1028">
        <v>784.74833035674396</v>
      </c>
      <c r="AF18" s="1028">
        <v>321.512833645466</v>
      </c>
      <c r="AG18" s="1028">
        <v>289.86592858659202</v>
      </c>
      <c r="AH18" s="1028">
        <v>8488.8103366313298</v>
      </c>
      <c r="AI18" s="1028">
        <v>9024.9419485785802</v>
      </c>
      <c r="AJ18" s="1028">
        <v>4207.6071852841696</v>
      </c>
      <c r="AK18" s="1028">
        <v>3388.9472854779401</v>
      </c>
      <c r="AL18" s="1028">
        <v>4027.6119076285199</v>
      </c>
      <c r="AM18" s="1028">
        <v>2286.4251243998301</v>
      </c>
      <c r="AN18" s="1028">
        <v>3853.2499716105499</v>
      </c>
      <c r="AO18" s="1028">
        <v>2840.0451205583799</v>
      </c>
      <c r="AP18" s="1028">
        <v>169.032165440646</v>
      </c>
      <c r="AQ18" s="1028">
        <v>262.88453164108802</v>
      </c>
      <c r="AR18" s="1028">
        <v>2201.40322899906</v>
      </c>
      <c r="AS18" s="1028">
        <v>341.65078451398301</v>
      </c>
    </row>
    <row r="19" spans="1:45" s="564" customFormat="1">
      <c r="A19" s="1029"/>
      <c r="B19" s="1029"/>
      <c r="C19" s="1029"/>
      <c r="D19" s="1030"/>
      <c r="E19" s="1030"/>
      <c r="F19" s="1030"/>
      <c r="G19" s="1030"/>
      <c r="H19" s="1030"/>
      <c r="I19" s="1030"/>
      <c r="J19" s="1030"/>
      <c r="K19" s="1030"/>
      <c r="L19" s="1030"/>
      <c r="M19" s="1030"/>
      <c r="N19" s="1030"/>
      <c r="O19" s="1030"/>
      <c r="P19" s="1030"/>
      <c r="Q19" s="1030"/>
      <c r="R19" s="1030"/>
      <c r="S19" s="1030"/>
      <c r="T19" s="1030"/>
      <c r="U19" s="1030"/>
      <c r="V19" s="1030"/>
      <c r="W19" s="1030"/>
      <c r="X19" s="1030"/>
      <c r="Y19" s="1030"/>
      <c r="Z19" s="1030"/>
      <c r="AA19" s="1030"/>
      <c r="AB19" s="1030"/>
      <c r="AC19" s="1030"/>
      <c r="AD19" s="1030"/>
      <c r="AE19" s="1030"/>
      <c r="AF19" s="1030"/>
      <c r="AG19" s="1030"/>
      <c r="AH19" s="1030"/>
      <c r="AI19" s="1030"/>
      <c r="AJ19" s="1030"/>
      <c r="AK19" s="1030"/>
      <c r="AL19" s="1030"/>
      <c r="AM19" s="1030"/>
      <c r="AN19" s="1030"/>
      <c r="AO19" s="1030"/>
      <c r="AP19" s="1030"/>
      <c r="AQ19" s="1030"/>
      <c r="AR19" s="1030"/>
      <c r="AS19" s="1030"/>
    </row>
    <row r="20" spans="1:45" s="1003" customFormat="1" ht="12.75" customHeight="1">
      <c r="A20" s="1031" t="s">
        <v>4442</v>
      </c>
      <c r="B20" s="1203" t="s">
        <v>4443</v>
      </c>
      <c r="C20" s="1203"/>
      <c r="D20" s="1028">
        <v>12991.3441527797</v>
      </c>
      <c r="E20" s="1028">
        <v>389.67372645969903</v>
      </c>
      <c r="F20" s="1028">
        <v>348.34461674095797</v>
      </c>
      <c r="G20" s="1028">
        <v>343.99337244627998</v>
      </c>
      <c r="H20" s="1028">
        <v>307.19152868542801</v>
      </c>
      <c r="I20" s="1028">
        <v>333.81114356596203</v>
      </c>
      <c r="J20" s="1028">
        <v>911.36436678318398</v>
      </c>
      <c r="K20" s="1028">
        <v>1464.8085938842501</v>
      </c>
      <c r="L20" s="1028">
        <v>195.13563380101999</v>
      </c>
      <c r="M20" s="1028">
        <v>1473.8402302835</v>
      </c>
      <c r="N20" s="1028">
        <v>174.97564109889299</v>
      </c>
      <c r="O20" s="1028">
        <v>74.409098381078493</v>
      </c>
      <c r="P20" s="1028">
        <v>335.57843137254901</v>
      </c>
      <c r="Q20" s="1028">
        <v>1353.13333333333</v>
      </c>
      <c r="R20" s="1028">
        <v>331.51682642106101</v>
      </c>
      <c r="S20" s="1028">
        <v>854.71471278926003</v>
      </c>
      <c r="T20" s="1028">
        <v>824.66853487344304</v>
      </c>
      <c r="U20" s="1028">
        <v>780.35270661672905</v>
      </c>
      <c r="V20" s="1028">
        <v>855.59550846932598</v>
      </c>
      <c r="W20" s="1028">
        <v>939.258307082432</v>
      </c>
      <c r="X20" s="1028">
        <v>1152.11834386348</v>
      </c>
      <c r="Y20" s="1028">
        <v>920.66809758888701</v>
      </c>
      <c r="Z20" s="1028">
        <v>856.63005038324002</v>
      </c>
      <c r="AA20" s="1028">
        <v>1003.47506418643</v>
      </c>
      <c r="AB20" s="1028">
        <v>859.93221973262996</v>
      </c>
      <c r="AC20" s="1028">
        <v>1032.3322261703299</v>
      </c>
      <c r="AD20" s="1028">
        <v>566.68032136717102</v>
      </c>
      <c r="AE20" s="1028">
        <v>784.74833035674396</v>
      </c>
      <c r="AF20" s="1028">
        <v>321.512833645466</v>
      </c>
      <c r="AG20" s="1028">
        <v>289.86592858659202</v>
      </c>
      <c r="AH20" s="1028">
        <v>8488.8103366313298</v>
      </c>
      <c r="AI20" s="1028">
        <v>9024.9419485785802</v>
      </c>
      <c r="AJ20" s="1028">
        <v>4207.6071852841696</v>
      </c>
      <c r="AK20" s="1028">
        <v>3388.9472854779401</v>
      </c>
      <c r="AL20" s="1028">
        <v>4027.6119076285199</v>
      </c>
      <c r="AM20" s="1028">
        <v>2286.4251243998301</v>
      </c>
      <c r="AN20" s="1028">
        <v>3853.2499716105499</v>
      </c>
      <c r="AO20" s="1028">
        <v>2840.0451205583799</v>
      </c>
      <c r="AP20" s="1028">
        <v>169.032165440646</v>
      </c>
      <c r="AQ20" s="1028">
        <v>262.88453164108802</v>
      </c>
      <c r="AR20" s="1028">
        <v>2201.40322899906</v>
      </c>
      <c r="AS20" s="1028">
        <v>341.65078451398301</v>
      </c>
    </row>
    <row r="21" spans="1:45" s="1003" customFormat="1" ht="12.75" customHeight="1">
      <c r="A21" s="1004" t="s">
        <v>4444</v>
      </c>
      <c r="B21" s="1004" t="s">
        <v>4445</v>
      </c>
      <c r="C21" s="1004"/>
      <c r="D21" s="1021">
        <v>2427.8207899366598</v>
      </c>
      <c r="E21" s="1021">
        <v>48.273033568067902</v>
      </c>
      <c r="F21" s="1021">
        <v>72.743895285166204</v>
      </c>
      <c r="G21" s="1021">
        <v>56.264226996489697</v>
      </c>
      <c r="H21" s="1021">
        <v>39.892249916523802</v>
      </c>
      <c r="I21" s="1021">
        <v>50.596708068491402</v>
      </c>
      <c r="J21" s="1021">
        <v>235.84081983028599</v>
      </c>
      <c r="K21" s="1021">
        <v>155.16892945938</v>
      </c>
      <c r="L21" s="1021">
        <v>66.999067990491596</v>
      </c>
      <c r="M21" s="1021">
        <v>888.14433337628896</v>
      </c>
      <c r="N21" s="1021">
        <v>17.598652113925802</v>
      </c>
      <c r="O21" s="1021">
        <v>1.4597103076990401</v>
      </c>
      <c r="P21" s="1021">
        <v>0</v>
      </c>
      <c r="Q21" s="1021">
        <v>0</v>
      </c>
      <c r="R21" s="1021">
        <v>1.21123756444749</v>
      </c>
      <c r="S21" s="1021">
        <v>8.1257375022080899E-2</v>
      </c>
      <c r="T21" s="1021">
        <v>0</v>
      </c>
      <c r="U21" s="1021">
        <v>1.7946323501872701</v>
      </c>
      <c r="V21" s="1021">
        <v>9.9573513304198696E-2</v>
      </c>
      <c r="W21" s="1021">
        <v>0.48199798347432599</v>
      </c>
      <c r="X21" s="1021">
        <v>0</v>
      </c>
      <c r="Y21" s="1021">
        <v>0</v>
      </c>
      <c r="Z21" s="1021">
        <v>0</v>
      </c>
      <c r="AA21" s="1021">
        <v>0</v>
      </c>
      <c r="AB21" s="1021">
        <v>9.1884783468273401</v>
      </c>
      <c r="AC21" s="1021">
        <v>1.5651431472081201</v>
      </c>
      <c r="AD21" s="1021">
        <v>0</v>
      </c>
      <c r="AE21" s="1021">
        <v>164.045029582045</v>
      </c>
      <c r="AF21" s="1021">
        <v>64.755357525639496</v>
      </c>
      <c r="AG21" s="1021">
        <v>69.424578564245806</v>
      </c>
      <c r="AH21" s="1021">
        <v>1739.1048281507699</v>
      </c>
      <c r="AI21" s="1021">
        <v>811.06740638297902</v>
      </c>
      <c r="AJ21" s="1021">
        <v>16.518740607071098</v>
      </c>
      <c r="AK21" s="1021">
        <v>0</v>
      </c>
      <c r="AL21" s="1021">
        <v>3.7589817855168599</v>
      </c>
      <c r="AM21" s="1021">
        <v>0</v>
      </c>
      <c r="AN21" s="1021">
        <v>16.454683781358501</v>
      </c>
      <c r="AO21" s="1021">
        <v>0</v>
      </c>
      <c r="AP21" s="1021">
        <v>0</v>
      </c>
      <c r="AQ21" s="1021">
        <v>6.5338483474732101</v>
      </c>
      <c r="AR21" s="1021">
        <v>0</v>
      </c>
      <c r="AS21" s="1021">
        <v>91.489037962207107</v>
      </c>
    </row>
    <row r="22" spans="1:45" s="1003" customFormat="1" ht="12.75" customHeight="1">
      <c r="A22" s="1004" t="s">
        <v>4446</v>
      </c>
      <c r="B22" s="1004" t="s">
        <v>4447</v>
      </c>
      <c r="C22" s="1004"/>
      <c r="D22" s="1021">
        <v>10.2744539291579</v>
      </c>
      <c r="E22" s="1021">
        <v>0.45044309757038198</v>
      </c>
      <c r="F22" s="1021">
        <v>2.04034933181015</v>
      </c>
      <c r="G22" s="1021">
        <v>17.233319666326999</v>
      </c>
      <c r="H22" s="1021">
        <v>18.085448406260902</v>
      </c>
      <c r="I22" s="1021">
        <v>7.9776882021014401</v>
      </c>
      <c r="J22" s="1021">
        <v>2.1352651334936099</v>
      </c>
      <c r="K22" s="1021">
        <v>11.551473385631899</v>
      </c>
      <c r="L22" s="1021">
        <v>3.8091368506493501</v>
      </c>
      <c r="M22" s="1021">
        <v>0</v>
      </c>
      <c r="N22" s="1021">
        <v>0</v>
      </c>
      <c r="O22" s="1021">
        <v>0</v>
      </c>
      <c r="P22" s="1021">
        <v>0</v>
      </c>
      <c r="Q22" s="1021">
        <v>0</v>
      </c>
      <c r="R22" s="1021">
        <v>0</v>
      </c>
      <c r="S22" s="1021">
        <v>0</v>
      </c>
      <c r="T22" s="1021">
        <v>0</v>
      </c>
      <c r="U22" s="1021">
        <v>0</v>
      </c>
      <c r="V22" s="1021">
        <v>0</v>
      </c>
      <c r="W22" s="1021">
        <v>0</v>
      </c>
      <c r="X22" s="1021">
        <v>0</v>
      </c>
      <c r="Y22" s="1021">
        <v>0</v>
      </c>
      <c r="Z22" s="1021">
        <v>0</v>
      </c>
      <c r="AA22" s="1021">
        <v>0</v>
      </c>
      <c r="AB22" s="1021">
        <v>0</v>
      </c>
      <c r="AC22" s="1021">
        <v>0</v>
      </c>
      <c r="AD22" s="1021">
        <v>0</v>
      </c>
      <c r="AE22" s="1021">
        <v>15.9817666273472</v>
      </c>
      <c r="AF22" s="1021">
        <v>0</v>
      </c>
      <c r="AG22" s="1021">
        <v>0</v>
      </c>
      <c r="AH22" s="1021">
        <v>0</v>
      </c>
      <c r="AI22" s="1021">
        <v>0</v>
      </c>
      <c r="AJ22" s="1021">
        <v>0</v>
      </c>
      <c r="AK22" s="1021">
        <v>0</v>
      </c>
      <c r="AL22" s="1021">
        <v>0</v>
      </c>
      <c r="AM22" s="1021">
        <v>0</v>
      </c>
      <c r="AN22" s="1021">
        <v>0</v>
      </c>
      <c r="AO22" s="1021">
        <v>0</v>
      </c>
      <c r="AP22" s="1021">
        <v>0</v>
      </c>
      <c r="AQ22" s="1021">
        <v>0</v>
      </c>
      <c r="AR22" s="1021">
        <v>0</v>
      </c>
      <c r="AS22" s="1021">
        <v>3.9002242116402099</v>
      </c>
    </row>
    <row r="23" spans="1:45" s="1003" customFormat="1" ht="12.75" customHeight="1">
      <c r="A23" s="1004" t="s">
        <v>4448</v>
      </c>
      <c r="B23" s="1004" t="s">
        <v>4449</v>
      </c>
      <c r="C23" s="1004"/>
      <c r="D23" s="1021">
        <v>667.90993807177995</v>
      </c>
      <c r="E23" s="1021">
        <v>61.053607553413002</v>
      </c>
      <c r="F23" s="1021">
        <v>59.364575030391897</v>
      </c>
      <c r="G23" s="1021">
        <v>69.223839524645996</v>
      </c>
      <c r="H23" s="1021">
        <v>69.471159727135998</v>
      </c>
      <c r="I23" s="1021">
        <v>56.706446361395798</v>
      </c>
      <c r="J23" s="1021">
        <v>215.75905069514701</v>
      </c>
      <c r="K23" s="1021">
        <v>155.41982748626299</v>
      </c>
      <c r="L23" s="1021">
        <v>14.5176088242115</v>
      </c>
      <c r="M23" s="1021">
        <v>133.63401288659799</v>
      </c>
      <c r="N23" s="1021">
        <v>19.3280508925465</v>
      </c>
      <c r="O23" s="1021">
        <v>6.1764177950059098</v>
      </c>
      <c r="P23" s="1021">
        <v>0</v>
      </c>
      <c r="Q23" s="1021">
        <v>0</v>
      </c>
      <c r="R23" s="1021">
        <v>67.908091002540402</v>
      </c>
      <c r="S23" s="1021">
        <v>69.397633343932199</v>
      </c>
      <c r="T23" s="1021">
        <v>67.758131558859006</v>
      </c>
      <c r="U23" s="1021">
        <v>56.4762832397004</v>
      </c>
      <c r="V23" s="1021">
        <v>76.909885500912793</v>
      </c>
      <c r="W23" s="1021">
        <v>93.133960682667706</v>
      </c>
      <c r="X23" s="1021">
        <v>62.558829169468702</v>
      </c>
      <c r="Y23" s="1021">
        <v>66.389941045146401</v>
      </c>
      <c r="Z23" s="1021">
        <v>66.990291083290799</v>
      </c>
      <c r="AA23" s="1021">
        <v>91.741625020441504</v>
      </c>
      <c r="AB23" s="1021">
        <v>53.681040180756902</v>
      </c>
      <c r="AC23" s="1021">
        <v>103.849404836435</v>
      </c>
      <c r="AD23" s="1021">
        <v>35.448221285305003</v>
      </c>
      <c r="AE23" s="1021">
        <v>167.01628567921699</v>
      </c>
      <c r="AF23" s="1021">
        <v>62.286683465077601</v>
      </c>
      <c r="AG23" s="1021">
        <v>52.234646748603403</v>
      </c>
      <c r="AH23" s="1021">
        <v>729.44641083627801</v>
      </c>
      <c r="AI23" s="1021">
        <v>622.68904831038799</v>
      </c>
      <c r="AJ23" s="1021">
        <v>256.56516786805901</v>
      </c>
      <c r="AK23" s="1021">
        <v>334.74005718465202</v>
      </c>
      <c r="AL23" s="1021">
        <v>365.50582813709201</v>
      </c>
      <c r="AM23" s="1021">
        <v>382.45308463552999</v>
      </c>
      <c r="AN23" s="1021">
        <v>567.74609189653199</v>
      </c>
      <c r="AO23" s="1021">
        <v>209.165262831359</v>
      </c>
      <c r="AP23" s="1021">
        <v>50.908698153757399</v>
      </c>
      <c r="AQ23" s="1021">
        <v>65.041602749445104</v>
      </c>
      <c r="AR23" s="1021">
        <v>302.15155160586198</v>
      </c>
      <c r="AS23" s="1021">
        <v>63.782319132275099</v>
      </c>
    </row>
    <row r="24" spans="1:45" s="1003" customFormat="1" ht="12.75" customHeight="1">
      <c r="A24" s="1004" t="s">
        <v>4450</v>
      </c>
      <c r="B24" s="1004" t="s">
        <v>4451</v>
      </c>
      <c r="C24" s="1004"/>
      <c r="D24" s="1021">
        <v>1587.0982828055401</v>
      </c>
      <c r="E24" s="1021">
        <v>59.885844883146902</v>
      </c>
      <c r="F24" s="1021">
        <v>39.447337547958803</v>
      </c>
      <c r="G24" s="1021">
        <v>69.426415272885606</v>
      </c>
      <c r="H24" s="1021">
        <v>58.836662969014398</v>
      </c>
      <c r="I24" s="1021">
        <v>23.835778544558298</v>
      </c>
      <c r="J24" s="1021">
        <v>147.362550872295</v>
      </c>
      <c r="K24" s="1021">
        <v>296.79169416806701</v>
      </c>
      <c r="L24" s="1021">
        <v>7.0037149466604802</v>
      </c>
      <c r="M24" s="1021">
        <v>96.520627448453595</v>
      </c>
      <c r="N24" s="1021">
        <v>15.046286035910599</v>
      </c>
      <c r="O24" s="1021">
        <v>0</v>
      </c>
      <c r="P24" s="1021">
        <v>0</v>
      </c>
      <c r="Q24" s="1021">
        <v>0</v>
      </c>
      <c r="R24" s="1021">
        <v>53.707675104241503</v>
      </c>
      <c r="S24" s="1021">
        <v>228.238827256668</v>
      </c>
      <c r="T24" s="1021">
        <v>202.51103644033699</v>
      </c>
      <c r="U24" s="1021">
        <v>172.40948907615501</v>
      </c>
      <c r="V24" s="1021">
        <v>209.321232223267</v>
      </c>
      <c r="W24" s="1021">
        <v>210.06296063348401</v>
      </c>
      <c r="X24" s="1021">
        <v>250.85742188971099</v>
      </c>
      <c r="Y24" s="1021">
        <v>248.503382708781</v>
      </c>
      <c r="Z24" s="1021">
        <v>224.24629328053101</v>
      </c>
      <c r="AA24" s="1021">
        <v>144.358138266558</v>
      </c>
      <c r="AB24" s="1021">
        <v>203.31386635285301</v>
      </c>
      <c r="AC24" s="1021">
        <v>186.08291104060899</v>
      </c>
      <c r="AD24" s="1021">
        <v>182.521485591486</v>
      </c>
      <c r="AE24" s="1021">
        <v>96.228525504511097</v>
      </c>
      <c r="AF24" s="1021">
        <v>85.414895459888896</v>
      </c>
      <c r="AG24" s="1021">
        <v>50.2737399329609</v>
      </c>
      <c r="AH24" s="1021">
        <v>1453.23910883392</v>
      </c>
      <c r="AI24" s="1021">
        <v>1295.2977275880601</v>
      </c>
      <c r="AJ24" s="1021">
        <v>975.25293777930301</v>
      </c>
      <c r="AK24" s="1021">
        <v>999.96893464167397</v>
      </c>
      <c r="AL24" s="1021">
        <v>482.28302053620803</v>
      </c>
      <c r="AM24" s="1021">
        <v>787.69094810126603</v>
      </c>
      <c r="AN24" s="1021">
        <v>861.49974572783003</v>
      </c>
      <c r="AO24" s="1021">
        <v>812.49294639029904</v>
      </c>
      <c r="AP24" s="1021">
        <v>30.794736117121001</v>
      </c>
      <c r="AQ24" s="1021">
        <v>52.293926979695797</v>
      </c>
      <c r="AR24" s="1021">
        <v>573.246033988151</v>
      </c>
      <c r="AS24" s="1021">
        <v>68.501889717309197</v>
      </c>
    </row>
    <row r="25" spans="1:45" s="1003" customFormat="1" ht="12.75" customHeight="1">
      <c r="A25" s="1004" t="s">
        <v>4452</v>
      </c>
      <c r="B25" s="1004" t="s">
        <v>4453</v>
      </c>
      <c r="C25" s="1004"/>
      <c r="D25" s="1021">
        <v>221.97982134647</v>
      </c>
      <c r="E25" s="1021">
        <v>13.6991885861936</v>
      </c>
      <c r="F25" s="1021">
        <v>4.5471393960425903</v>
      </c>
      <c r="G25" s="1021">
        <v>3.1275022092682199</v>
      </c>
      <c r="H25" s="1021">
        <v>3.1347675061809901</v>
      </c>
      <c r="I25" s="1021">
        <v>3.32727748735245</v>
      </c>
      <c r="J25" s="1021">
        <v>26.6330868364862</v>
      </c>
      <c r="K25" s="1021">
        <v>47.761231206575502</v>
      </c>
      <c r="L25" s="1021">
        <v>7.2878061108534302</v>
      </c>
      <c r="M25" s="1021">
        <v>127.448456958763</v>
      </c>
      <c r="N25" s="1021">
        <v>1.7398183589672201E-2</v>
      </c>
      <c r="O25" s="1021">
        <v>1.17849104915306</v>
      </c>
      <c r="P25" s="1021">
        <v>0</v>
      </c>
      <c r="Q25" s="1021">
        <v>0</v>
      </c>
      <c r="R25" s="1021">
        <v>8.0911754081227905</v>
      </c>
      <c r="S25" s="1021">
        <v>6.2851048719307503</v>
      </c>
      <c r="T25" s="1021">
        <v>0</v>
      </c>
      <c r="U25" s="1021">
        <v>7.59987475031211</v>
      </c>
      <c r="V25" s="1021">
        <v>9.9463455385296307</v>
      </c>
      <c r="W25" s="1021">
        <v>6.8168434880975797</v>
      </c>
      <c r="X25" s="1021">
        <v>2.63954050100874</v>
      </c>
      <c r="Y25" s="1021">
        <v>3.33057815776418</v>
      </c>
      <c r="Z25" s="1021">
        <v>5.3142566683699499</v>
      </c>
      <c r="AA25" s="1021">
        <v>1.67620547833197</v>
      </c>
      <c r="AB25" s="1021">
        <v>4.5377598192430799</v>
      </c>
      <c r="AC25" s="1021">
        <v>5.6965629864636202</v>
      </c>
      <c r="AD25" s="1021">
        <v>2.5378659025788002</v>
      </c>
      <c r="AE25" s="1021">
        <v>22.163417974304199</v>
      </c>
      <c r="AF25" s="1021">
        <v>0.59791584782520601</v>
      </c>
      <c r="AG25" s="1021">
        <v>3.1508367486033499</v>
      </c>
      <c r="AH25" s="1021">
        <v>603.53356254416997</v>
      </c>
      <c r="AI25" s="1021">
        <v>2710.0125496692299</v>
      </c>
      <c r="AJ25" s="1021">
        <v>321.495936368689</v>
      </c>
      <c r="AK25" s="1021">
        <v>165.428226664768</v>
      </c>
      <c r="AL25" s="1021">
        <v>16.113872388059701</v>
      </c>
      <c r="AM25" s="1021">
        <v>167.61239633347901</v>
      </c>
      <c r="AN25" s="1021">
        <v>308.671139606336</v>
      </c>
      <c r="AO25" s="1021">
        <v>268.66891596164697</v>
      </c>
      <c r="AP25" s="1021">
        <v>27.477291691908299</v>
      </c>
      <c r="AQ25" s="1021">
        <v>2.15298377023954</v>
      </c>
      <c r="AR25" s="1021">
        <v>381.103832647334</v>
      </c>
      <c r="AS25" s="1021">
        <v>0.88284087679516299</v>
      </c>
    </row>
    <row r="26" spans="1:45" s="1003" customFormat="1" ht="12.75" customHeight="1">
      <c r="A26" s="1004" t="s">
        <v>4454</v>
      </c>
      <c r="B26" s="1004" t="s">
        <v>4455</v>
      </c>
      <c r="C26" s="1004"/>
      <c r="D26" s="1021">
        <v>0</v>
      </c>
      <c r="E26" s="1021">
        <v>0</v>
      </c>
      <c r="F26" s="1021">
        <v>0</v>
      </c>
      <c r="G26" s="1021">
        <v>0</v>
      </c>
      <c r="H26" s="1021">
        <v>0</v>
      </c>
      <c r="I26" s="1021">
        <v>0</v>
      </c>
      <c r="J26" s="1021">
        <v>0</v>
      </c>
      <c r="K26" s="1021">
        <v>0</v>
      </c>
      <c r="L26" s="1021">
        <v>0</v>
      </c>
      <c r="M26" s="1021">
        <v>0</v>
      </c>
      <c r="N26" s="1021">
        <v>0</v>
      </c>
      <c r="O26" s="1021">
        <v>0</v>
      </c>
      <c r="P26" s="1021">
        <v>0</v>
      </c>
      <c r="Q26" s="1021">
        <v>462</v>
      </c>
      <c r="R26" s="1021">
        <v>0</v>
      </c>
      <c r="S26" s="1021">
        <v>0</v>
      </c>
      <c r="T26" s="1021">
        <v>0</v>
      </c>
      <c r="U26" s="1021">
        <v>0</v>
      </c>
      <c r="V26" s="1021">
        <v>0</v>
      </c>
      <c r="W26" s="1021">
        <v>0</v>
      </c>
      <c r="X26" s="1021">
        <v>0</v>
      </c>
      <c r="Y26" s="1021">
        <v>0</v>
      </c>
      <c r="Z26" s="1021">
        <v>0</v>
      </c>
      <c r="AA26" s="1021">
        <v>0</v>
      </c>
      <c r="AB26" s="1021">
        <v>0</v>
      </c>
      <c r="AC26" s="1021">
        <v>0</v>
      </c>
      <c r="AD26" s="1021">
        <v>0</v>
      </c>
      <c r="AE26" s="1021">
        <v>0</v>
      </c>
      <c r="AF26" s="1021">
        <v>0</v>
      </c>
      <c r="AG26" s="1021">
        <v>0</v>
      </c>
      <c r="AH26" s="1021">
        <v>0</v>
      </c>
      <c r="AI26" s="1021">
        <v>0</v>
      </c>
      <c r="AJ26" s="1021">
        <v>0</v>
      </c>
      <c r="AK26" s="1021">
        <v>0</v>
      </c>
      <c r="AL26" s="1021">
        <v>0</v>
      </c>
      <c r="AM26" s="1021">
        <v>0</v>
      </c>
      <c r="AN26" s="1021">
        <v>0</v>
      </c>
      <c r="AO26" s="1021">
        <v>0</v>
      </c>
      <c r="AP26" s="1021">
        <v>0</v>
      </c>
      <c r="AQ26" s="1021">
        <v>0</v>
      </c>
      <c r="AR26" s="1021">
        <v>0</v>
      </c>
      <c r="AS26" s="1021">
        <v>0</v>
      </c>
    </row>
    <row r="27" spans="1:45" s="1032" customFormat="1" ht="12.75" customHeight="1">
      <c r="A27" s="1004" t="s">
        <v>4456</v>
      </c>
      <c r="B27" s="1004" t="s">
        <v>2379</v>
      </c>
      <c r="C27" s="1004"/>
      <c r="D27" s="1021">
        <v>164.74314935491401</v>
      </c>
      <c r="E27" s="1021">
        <v>29.615890486694902</v>
      </c>
      <c r="F27" s="1021">
        <v>15.6033091175583</v>
      </c>
      <c r="G27" s="1021">
        <v>14.476797952791101</v>
      </c>
      <c r="H27" s="1021">
        <v>14.5164171505161</v>
      </c>
      <c r="I27" s="1021">
        <v>23.128812628096998</v>
      </c>
      <c r="J27" s="1021">
        <v>87.7388339396432</v>
      </c>
      <c r="K27" s="1021">
        <v>120.408928767994</v>
      </c>
      <c r="L27" s="1021">
        <v>3.29891886595547</v>
      </c>
      <c r="M27" s="1021">
        <v>87.113412757731993</v>
      </c>
      <c r="N27" s="1021">
        <v>3.0517154081703701</v>
      </c>
      <c r="O27" s="1021">
        <v>0.32608172024773502</v>
      </c>
      <c r="P27" s="1021">
        <v>59.823529411764703</v>
      </c>
      <c r="Q27" s="1021">
        <v>109.133333333333</v>
      </c>
      <c r="R27" s="1021">
        <v>105.945779997427</v>
      </c>
      <c r="S27" s="1021">
        <v>4.8683981628687496</v>
      </c>
      <c r="T27" s="1021">
        <v>17.296102229811201</v>
      </c>
      <c r="U27" s="1021">
        <v>1.88826498127341</v>
      </c>
      <c r="V27" s="1021">
        <v>14.211428162858899</v>
      </c>
      <c r="W27" s="1021">
        <v>46.478450491835503</v>
      </c>
      <c r="X27" s="1021">
        <v>61.9704063046402</v>
      </c>
      <c r="Y27" s="1021">
        <v>1.41557883909377</v>
      </c>
      <c r="Z27" s="1021">
        <v>4.1517556974961698</v>
      </c>
      <c r="AA27" s="1021">
        <v>12.019627146361399</v>
      </c>
      <c r="AB27" s="1021">
        <v>7.2867662963660296</v>
      </c>
      <c r="AC27" s="1021">
        <v>36.505923477157403</v>
      </c>
      <c r="AD27" s="1021">
        <v>22.881697871469498</v>
      </c>
      <c r="AE27" s="1021">
        <v>33.302519335607499</v>
      </c>
      <c r="AF27" s="1021">
        <v>5.5636543293202001</v>
      </c>
      <c r="AG27" s="1021">
        <v>1.7877168603352001</v>
      </c>
      <c r="AH27" s="1021">
        <v>396.46642944640797</v>
      </c>
      <c r="AI27" s="1021">
        <v>182.37080670481001</v>
      </c>
      <c r="AJ27" s="1021">
        <v>68.152472068847203</v>
      </c>
      <c r="AK27" s="1021">
        <v>159.87986659072101</v>
      </c>
      <c r="AL27" s="1021">
        <v>127.722499640685</v>
      </c>
      <c r="AM27" s="1021">
        <v>334.87558707987802</v>
      </c>
      <c r="AN27" s="1021">
        <v>228.623540819711</v>
      </c>
      <c r="AO27" s="1021">
        <v>143.76762930062</v>
      </c>
      <c r="AP27" s="1021">
        <v>6.4474294244915598</v>
      </c>
      <c r="AQ27" s="1021">
        <v>93.392612027290198</v>
      </c>
      <c r="AR27" s="1021">
        <v>179.26412815715599</v>
      </c>
      <c r="AS27" s="1021">
        <v>12.940293898715</v>
      </c>
    </row>
    <row r="28" spans="1:45" s="1003" customFormat="1" ht="12.75" customHeight="1">
      <c r="A28" s="1004" t="s">
        <v>4457</v>
      </c>
      <c r="B28" s="1004" t="s">
        <v>4458</v>
      </c>
      <c r="C28" s="1004"/>
      <c r="D28" s="1021">
        <v>7704.76189627023</v>
      </c>
      <c r="E28" s="1021">
        <v>6.1249510944851497</v>
      </c>
      <c r="F28" s="1021">
        <v>5.4239778109238301</v>
      </c>
      <c r="G28" s="1021">
        <v>2.9485131688350199</v>
      </c>
      <c r="H28" s="1021">
        <v>4.73507146314103</v>
      </c>
      <c r="I28" s="1021">
        <v>7.8868885717991999</v>
      </c>
      <c r="J28" s="1021">
        <v>18.6898975238833</v>
      </c>
      <c r="K28" s="1021">
        <v>100.19526369601699</v>
      </c>
      <c r="L28" s="1021">
        <v>0</v>
      </c>
      <c r="M28" s="1021">
        <v>43.556696520618601</v>
      </c>
      <c r="N28" s="1021">
        <v>0.59329149558076399</v>
      </c>
      <c r="O28" s="1021">
        <v>0</v>
      </c>
      <c r="P28" s="1021">
        <v>275.75490196078403</v>
      </c>
      <c r="Q28" s="1021">
        <v>782</v>
      </c>
      <c r="R28" s="1021">
        <v>64.068044558541402</v>
      </c>
      <c r="S28" s="1021">
        <v>481.39197462285802</v>
      </c>
      <c r="T28" s="1021">
        <v>436.13901727601399</v>
      </c>
      <c r="U28" s="1021">
        <v>407.20975393258402</v>
      </c>
      <c r="V28" s="1021">
        <v>485.28517906179098</v>
      </c>
      <c r="W28" s="1021">
        <v>535.11705979736405</v>
      </c>
      <c r="X28" s="1021">
        <v>748.94083091795596</v>
      </c>
      <c r="Y28" s="1021">
        <v>483.59848346287401</v>
      </c>
      <c r="Z28" s="1021">
        <v>501.36689084057201</v>
      </c>
      <c r="AA28" s="1021">
        <v>671.87244456255098</v>
      </c>
      <c r="AB28" s="1021">
        <v>519.84559533044603</v>
      </c>
      <c r="AC28" s="1021">
        <v>665.25664617879295</v>
      </c>
      <c r="AD28" s="1021">
        <v>290.09415317232902</v>
      </c>
      <c r="AE28" s="1021">
        <v>6.4175741065450902</v>
      </c>
      <c r="AF28" s="1021">
        <v>1.4998568892131801</v>
      </c>
      <c r="AG28" s="1021">
        <v>0</v>
      </c>
      <c r="AH28" s="1021">
        <v>3460.89515995289</v>
      </c>
      <c r="AI28" s="1021">
        <v>2425.9253011085302</v>
      </c>
      <c r="AJ28" s="1021">
        <v>2236.6596392389602</v>
      </c>
      <c r="AK28" s="1021">
        <v>1505.7037098798701</v>
      </c>
      <c r="AL28" s="1021">
        <v>2504.6987031232702</v>
      </c>
      <c r="AM28" s="1021">
        <v>413.705803928416</v>
      </c>
      <c r="AN28" s="1021">
        <v>1583.9198698139</v>
      </c>
      <c r="AO28" s="1021">
        <v>1235.4483974055299</v>
      </c>
      <c r="AP28" s="1021">
        <v>11.5822925717583</v>
      </c>
      <c r="AQ28" s="1021">
        <v>20.712759289420301</v>
      </c>
      <c r="AR28" s="1021">
        <v>667.66450165263495</v>
      </c>
      <c r="AS28" s="1021">
        <v>0</v>
      </c>
    </row>
    <row r="29" spans="1:45" s="1003" customFormat="1" ht="12.75" customHeight="1">
      <c r="A29" s="1004" t="s">
        <v>4459</v>
      </c>
      <c r="B29" s="1004" t="s">
        <v>4460</v>
      </c>
      <c r="C29" s="1004"/>
      <c r="D29" s="1021">
        <v>206.75582106497799</v>
      </c>
      <c r="E29" s="1021">
        <v>170.57076719012699</v>
      </c>
      <c r="F29" s="1021">
        <v>149.17403322110599</v>
      </c>
      <c r="G29" s="1021">
        <v>111.29275765503699</v>
      </c>
      <c r="H29" s="1021">
        <v>98.519751546654803</v>
      </c>
      <c r="I29" s="1021">
        <v>160.351543702166</v>
      </c>
      <c r="J29" s="1021">
        <v>177.204861951949</v>
      </c>
      <c r="K29" s="1021">
        <v>577.51124571431797</v>
      </c>
      <c r="L29" s="1021">
        <v>92.219380212198502</v>
      </c>
      <c r="M29" s="1021">
        <v>97.422690335051598</v>
      </c>
      <c r="N29" s="1021">
        <v>119.34024696917</v>
      </c>
      <c r="O29" s="1021">
        <v>65.268397508972697</v>
      </c>
      <c r="P29" s="1021">
        <v>0</v>
      </c>
      <c r="Q29" s="1021">
        <v>0</v>
      </c>
      <c r="R29" s="1021">
        <v>30.5848227857396</v>
      </c>
      <c r="S29" s="1021">
        <v>64.451517155979502</v>
      </c>
      <c r="T29" s="1021">
        <v>100.964247368421</v>
      </c>
      <c r="U29" s="1021">
        <v>132.97440828651699</v>
      </c>
      <c r="V29" s="1021">
        <v>59.821864468661801</v>
      </c>
      <c r="W29" s="1021">
        <v>47.167034005508597</v>
      </c>
      <c r="X29" s="1021">
        <v>25.151315080699401</v>
      </c>
      <c r="Y29" s="1021">
        <v>117.430133375227</v>
      </c>
      <c r="Z29" s="1021">
        <v>54.5605628129791</v>
      </c>
      <c r="AA29" s="1021">
        <v>81.807023712183195</v>
      </c>
      <c r="AB29" s="1021">
        <v>62.078713406138199</v>
      </c>
      <c r="AC29" s="1021">
        <v>33.375634503666099</v>
      </c>
      <c r="AD29" s="1021">
        <v>33.196897544003299</v>
      </c>
      <c r="AE29" s="1021">
        <v>279.59321154716702</v>
      </c>
      <c r="AF29" s="1021">
        <v>101.394470128501</v>
      </c>
      <c r="AG29" s="1021">
        <v>112.994409731844</v>
      </c>
      <c r="AH29" s="1021">
        <v>106.124836866902</v>
      </c>
      <c r="AI29" s="1021">
        <v>977.57910881458997</v>
      </c>
      <c r="AJ29" s="1021">
        <v>332.96229135324199</v>
      </c>
      <c r="AK29" s="1021">
        <v>223.22649051625899</v>
      </c>
      <c r="AL29" s="1021">
        <v>527.52900201768898</v>
      </c>
      <c r="AM29" s="1021">
        <v>200.08730432125699</v>
      </c>
      <c r="AN29" s="1021">
        <v>286.33489996488601</v>
      </c>
      <c r="AO29" s="1021">
        <v>170.50196866892301</v>
      </c>
      <c r="AP29" s="1021">
        <v>41.821717481609703</v>
      </c>
      <c r="AQ29" s="1021">
        <v>22.756798477523699</v>
      </c>
      <c r="AR29" s="1021">
        <v>97.973180947926394</v>
      </c>
      <c r="AS29" s="1021">
        <v>100.15417871504199</v>
      </c>
    </row>
    <row r="30" spans="1:45" s="1025" customFormat="1" ht="12.75" customHeight="1">
      <c r="A30" s="1033"/>
      <c r="B30" s="1034"/>
      <c r="C30" s="1034"/>
      <c r="D30" s="1035"/>
      <c r="E30" s="1035"/>
      <c r="F30" s="1035"/>
      <c r="G30" s="1035"/>
      <c r="H30" s="1035"/>
      <c r="I30" s="1035"/>
      <c r="J30" s="1021"/>
      <c r="K30" s="1035"/>
      <c r="L30" s="1035"/>
      <c r="M30" s="1035"/>
      <c r="N30" s="1035"/>
      <c r="O30" s="1035"/>
      <c r="P30" s="1035"/>
      <c r="Q30" s="1036"/>
      <c r="R30" s="1036"/>
      <c r="S30" s="1035"/>
      <c r="T30" s="1035"/>
      <c r="U30" s="1035"/>
      <c r="V30" s="1035"/>
      <c r="W30" s="1035"/>
      <c r="X30" s="1035"/>
      <c r="Y30" s="1035"/>
      <c r="Z30" s="1035"/>
      <c r="AA30" s="1035"/>
      <c r="AB30" s="1035"/>
      <c r="AC30" s="1035"/>
      <c r="AD30" s="1035"/>
      <c r="AE30" s="1035"/>
      <c r="AF30" s="1035"/>
      <c r="AG30" s="1035"/>
      <c r="AH30" s="1035"/>
      <c r="AI30" s="1035"/>
      <c r="AJ30" s="1035"/>
      <c r="AK30" s="1035"/>
      <c r="AL30" s="1035"/>
      <c r="AM30" s="1024"/>
      <c r="AN30" s="1024"/>
      <c r="AO30" s="1024"/>
      <c r="AP30" s="1024"/>
      <c r="AQ30" s="1024"/>
      <c r="AR30" s="1024"/>
      <c r="AS30" s="1024"/>
    </row>
    <row r="31" spans="1:45" s="1003" customFormat="1" ht="12.75" customHeight="1">
      <c r="A31" s="1031" t="s">
        <v>4461</v>
      </c>
      <c r="B31" s="1203" t="s">
        <v>4462</v>
      </c>
      <c r="C31" s="1203"/>
      <c r="D31" s="1028">
        <v>12220.548868707499</v>
      </c>
      <c r="E31" s="1028">
        <v>609.92443480910197</v>
      </c>
      <c r="F31" s="1028">
        <v>547.025476708626</v>
      </c>
      <c r="G31" s="1028">
        <v>763.04018756406003</v>
      </c>
      <c r="H31" s="1028">
        <v>642.57604379162103</v>
      </c>
      <c r="I31" s="1028">
        <v>326.09284745103099</v>
      </c>
      <c r="J31" s="1028">
        <v>1492.6103848886501</v>
      </c>
      <c r="K31" s="1028">
        <v>2067.5627745810798</v>
      </c>
      <c r="L31" s="1028">
        <v>1218.5993007189199</v>
      </c>
      <c r="M31" s="1028">
        <v>3957.9896762886601</v>
      </c>
      <c r="N31" s="1028">
        <v>295.64862940009698</v>
      </c>
      <c r="O31" s="1028">
        <v>-51.819702671028999</v>
      </c>
      <c r="P31" s="1028">
        <v>16159.411764705899</v>
      </c>
      <c r="Q31" s="1028">
        <v>26501.666666666701</v>
      </c>
      <c r="R31" s="1028">
        <v>1144.00653558252</v>
      </c>
      <c r="S31" s="1028">
        <v>2599.8339599646702</v>
      </c>
      <c r="T31" s="1028">
        <v>2333.4471458417001</v>
      </c>
      <c r="U31" s="1028">
        <v>2354.2758512952601</v>
      </c>
      <c r="V31" s="1028">
        <v>1917.4254731426699</v>
      </c>
      <c r="W31" s="1028">
        <v>2042.58312664765</v>
      </c>
      <c r="X31" s="1028">
        <v>2755.9348134499</v>
      </c>
      <c r="Y31" s="1028">
        <v>2840.7144175591202</v>
      </c>
      <c r="Z31" s="1028">
        <v>1971.06542445069</v>
      </c>
      <c r="AA31" s="1028">
        <v>3226.8601495911698</v>
      </c>
      <c r="AB31" s="1028">
        <v>3183.1481876859302</v>
      </c>
      <c r="AC31" s="1028">
        <v>2939.2695853073901</v>
      </c>
      <c r="AD31" s="1028">
        <v>2606.0171524764601</v>
      </c>
      <c r="AE31" s="1028">
        <v>1618.74577438709</v>
      </c>
      <c r="AF31" s="1028">
        <v>781.84155813166296</v>
      </c>
      <c r="AG31" s="1028">
        <v>216.072613268156</v>
      </c>
      <c r="AH31" s="1028">
        <v>12417.432291872699</v>
      </c>
      <c r="AI31" s="1028">
        <v>6644.2337541033403</v>
      </c>
      <c r="AJ31" s="1028">
        <v>5184.7087976021203</v>
      </c>
      <c r="AK31" s="1028">
        <v>4201.1236608611198</v>
      </c>
      <c r="AL31" s="1028">
        <v>4178.9939366224398</v>
      </c>
      <c r="AM31" s="1028">
        <v>10377.302500305501</v>
      </c>
      <c r="AN31" s="1028">
        <v>6743.0104023682297</v>
      </c>
      <c r="AO31" s="1028">
        <v>3986.2380280597899</v>
      </c>
      <c r="AP31" s="1028">
        <v>1478.5590567791701</v>
      </c>
      <c r="AQ31" s="1028">
        <v>1187.14202120709</v>
      </c>
      <c r="AR31" s="1028">
        <v>4353.8509357966996</v>
      </c>
      <c r="AS31" s="1028">
        <v>558.56084450793696</v>
      </c>
    </row>
    <row r="32" spans="1:45" s="1003" customFormat="1" ht="12.75" customHeight="1">
      <c r="A32" s="1004"/>
      <c r="B32" s="1004"/>
      <c r="C32" s="1004"/>
      <c r="D32" s="1037"/>
      <c r="E32" s="1037"/>
      <c r="F32" s="1037"/>
      <c r="G32" s="1037"/>
      <c r="H32" s="1037"/>
      <c r="I32" s="1037"/>
      <c r="J32" s="1037"/>
      <c r="K32" s="1037"/>
      <c r="L32" s="1037"/>
      <c r="M32" s="1037"/>
      <c r="N32" s="1037"/>
      <c r="O32" s="1037"/>
      <c r="P32" s="1037"/>
      <c r="Q32" s="1037"/>
      <c r="R32" s="1037"/>
      <c r="S32" s="1037"/>
      <c r="T32" s="1037"/>
      <c r="U32" s="1037"/>
      <c r="V32" s="1037"/>
      <c r="W32" s="1037"/>
      <c r="X32" s="1037"/>
      <c r="Y32" s="1037"/>
      <c r="Z32" s="1037"/>
      <c r="AA32" s="1037"/>
      <c r="AB32" s="1037"/>
      <c r="AC32" s="1037"/>
      <c r="AD32" s="1037"/>
      <c r="AE32" s="1037"/>
      <c r="AF32" s="1037"/>
      <c r="AG32" s="1037"/>
      <c r="AH32" s="1037"/>
      <c r="AI32" s="1037"/>
      <c r="AJ32" s="1037"/>
      <c r="AK32" s="1037"/>
      <c r="AL32" s="1037"/>
      <c r="AM32" s="1037"/>
      <c r="AN32" s="1037"/>
      <c r="AO32" s="1037"/>
      <c r="AP32" s="1037"/>
      <c r="AQ32" s="1037"/>
      <c r="AR32" s="1037"/>
      <c r="AS32" s="1037"/>
    </row>
    <row r="33" spans="1:45" s="1003" customFormat="1" ht="12.75" customHeight="1">
      <c r="A33" s="1019" t="s">
        <v>4463</v>
      </c>
      <c r="B33" s="1204" t="s">
        <v>4464</v>
      </c>
      <c r="C33" s="1204"/>
      <c r="D33" s="1020">
        <v>8351.8648213464694</v>
      </c>
      <c r="E33" s="1020">
        <v>419.05592838411098</v>
      </c>
      <c r="F33" s="1020">
        <v>358.72615118334301</v>
      </c>
      <c r="G33" s="1020">
        <v>401.912035802118</v>
      </c>
      <c r="H33" s="1020">
        <v>342.865874396251</v>
      </c>
      <c r="I33" s="1020">
        <v>234.323511408743</v>
      </c>
      <c r="J33" s="1020">
        <v>833.69288109974104</v>
      </c>
      <c r="K33" s="1020">
        <v>1124.6525890309299</v>
      </c>
      <c r="L33" s="1020">
        <v>755.73969178455502</v>
      </c>
      <c r="M33" s="1020">
        <v>1901.5463675257699</v>
      </c>
      <c r="N33" s="1020">
        <v>214.63217706869</v>
      </c>
      <c r="O33" s="1020">
        <v>1.5253638196480901</v>
      </c>
      <c r="P33" s="1020">
        <v>10307.490196078399</v>
      </c>
      <c r="Q33" s="1020">
        <v>14744.2</v>
      </c>
      <c r="R33" s="1020">
        <v>404.022812361592</v>
      </c>
      <c r="S33" s="1020">
        <v>1184.6493420915001</v>
      </c>
      <c r="T33" s="1020">
        <v>955.805514282844</v>
      </c>
      <c r="U33" s="1020">
        <v>1269.0855177434501</v>
      </c>
      <c r="V33" s="1020">
        <v>949.23383533772198</v>
      </c>
      <c r="W33" s="1020">
        <v>1361.2334615679699</v>
      </c>
      <c r="X33" s="1020">
        <v>1920.88101822461</v>
      </c>
      <c r="Y33" s="1020">
        <v>1292.7435112088599</v>
      </c>
      <c r="Z33" s="1020">
        <v>1174.75732133367</v>
      </c>
      <c r="AA33" s="1020">
        <v>981.52080883074404</v>
      </c>
      <c r="AB33" s="1020">
        <v>1594.6526305027301</v>
      </c>
      <c r="AC33" s="1020">
        <v>1608.46019974619</v>
      </c>
      <c r="AD33" s="1020">
        <v>912.48466983217395</v>
      </c>
      <c r="AE33" s="1020">
        <v>831.67022635253602</v>
      </c>
      <c r="AF33" s="1020">
        <v>444.32485949369698</v>
      </c>
      <c r="AG33" s="1020">
        <v>144.14523981564199</v>
      </c>
      <c r="AH33" s="1020">
        <v>6535.5712050647799</v>
      </c>
      <c r="AI33" s="1020">
        <v>4733.1487141784401</v>
      </c>
      <c r="AJ33" s="1020">
        <v>3203.3230626375098</v>
      </c>
      <c r="AK33" s="1020">
        <v>2270.0108909331002</v>
      </c>
      <c r="AL33" s="1020">
        <v>3108.5130279436198</v>
      </c>
      <c r="AM33" s="1020">
        <v>3592.8851937581799</v>
      </c>
      <c r="AN33" s="1020">
        <v>4493.6385637275198</v>
      </c>
      <c r="AO33" s="1020">
        <v>2262.3801526508701</v>
      </c>
      <c r="AP33" s="1020">
        <v>472.74622659743301</v>
      </c>
      <c r="AQ33" s="1020">
        <v>396.28096637887597</v>
      </c>
      <c r="AR33" s="1020">
        <v>3218.8026324290599</v>
      </c>
      <c r="AS33" s="1020">
        <v>327.67648517309101</v>
      </c>
    </row>
    <row r="34" spans="1:45" s="1003" customFormat="1" ht="12.75" customHeight="1">
      <c r="A34" s="1004" t="s">
        <v>4465</v>
      </c>
      <c r="B34" s="1004" t="s">
        <v>4466</v>
      </c>
      <c r="C34" s="1004"/>
      <c r="D34" s="1038">
        <v>1329.6739308937399</v>
      </c>
      <c r="E34" s="1038">
        <v>56.620905106054799</v>
      </c>
      <c r="F34" s="1038">
        <v>41.984304241496702</v>
      </c>
      <c r="G34" s="1038">
        <v>30.520375549898301</v>
      </c>
      <c r="H34" s="1038">
        <v>29.229052753214301</v>
      </c>
      <c r="I34" s="1038">
        <v>21.9872856790764</v>
      </c>
      <c r="J34" s="1038">
        <v>61.7526538324054</v>
      </c>
      <c r="K34" s="1038">
        <v>77.050312763952604</v>
      </c>
      <c r="L34" s="1038">
        <v>88.503016645408195</v>
      </c>
      <c r="M34" s="1038">
        <v>64.819586855670096</v>
      </c>
      <c r="N34" s="1038">
        <v>60.841045592943097</v>
      </c>
      <c r="O34" s="1038">
        <v>0</v>
      </c>
      <c r="P34" s="1038">
        <v>1014.67647058824</v>
      </c>
      <c r="Q34" s="1036">
        <v>1789.06666666667</v>
      </c>
      <c r="R34" s="1038">
        <v>37.250380361334699</v>
      </c>
      <c r="S34" s="1038">
        <v>253.79968042042</v>
      </c>
      <c r="T34" s="1038">
        <v>209.240653173965</v>
      </c>
      <c r="U34" s="1038">
        <v>312.68726487203497</v>
      </c>
      <c r="V34" s="1038">
        <v>177.94987611329299</v>
      </c>
      <c r="W34" s="1038">
        <v>470.47018349400003</v>
      </c>
      <c r="X34" s="1038">
        <v>589.12239963012803</v>
      </c>
      <c r="Y34" s="1038">
        <v>271.37754691251899</v>
      </c>
      <c r="Z34" s="1038">
        <v>158.942261688809</v>
      </c>
      <c r="AA34" s="1038">
        <v>107.84955028618199</v>
      </c>
      <c r="AB34" s="1038">
        <v>422.70758798719601</v>
      </c>
      <c r="AC34" s="1038">
        <v>328.82120813592798</v>
      </c>
      <c r="AD34" s="1038">
        <v>107.94105546459301</v>
      </c>
      <c r="AE34" s="1038">
        <v>100.40171380112901</v>
      </c>
      <c r="AF34" s="1038">
        <v>39.0449589849609</v>
      </c>
      <c r="AG34" s="1038">
        <v>8.8826845363128495</v>
      </c>
      <c r="AH34" s="1038">
        <v>751.47233533568897</v>
      </c>
      <c r="AI34" s="1038">
        <v>1094.68977498659</v>
      </c>
      <c r="AJ34" s="1038">
        <v>453.35164386799403</v>
      </c>
      <c r="AK34" s="1038">
        <v>194.89695432373699</v>
      </c>
      <c r="AL34" s="1038">
        <v>603.09565373134296</v>
      </c>
      <c r="AM34" s="1038">
        <v>1223.7887505019601</v>
      </c>
      <c r="AN34" s="1038">
        <v>1292.89922760524</v>
      </c>
      <c r="AO34" s="1038">
        <v>104.765932318105</v>
      </c>
      <c r="AP34" s="1038">
        <v>7.4354533967979197</v>
      </c>
      <c r="AQ34" s="1038">
        <v>12.966922011902</v>
      </c>
      <c r="AR34" s="1038">
        <v>33.676330152790797</v>
      </c>
      <c r="AS34" s="1038">
        <v>21.339377647770199</v>
      </c>
    </row>
    <row r="35" spans="1:45" s="1003" customFormat="1" ht="12.75" customHeight="1">
      <c r="A35" s="1004" t="s">
        <v>4467</v>
      </c>
      <c r="B35" s="1004" t="s">
        <v>4468</v>
      </c>
      <c r="C35" s="1004"/>
      <c r="D35" s="1038">
        <v>2274.3842184377199</v>
      </c>
      <c r="E35" s="1038">
        <v>135.87273289240301</v>
      </c>
      <c r="F35" s="1038">
        <v>99.956901876966896</v>
      </c>
      <c r="G35" s="1038">
        <v>108.41650408625399</v>
      </c>
      <c r="H35" s="1038">
        <v>93.564825996555896</v>
      </c>
      <c r="I35" s="1038">
        <v>76.293937858347405</v>
      </c>
      <c r="J35" s="1038">
        <v>228.189440016449</v>
      </c>
      <c r="K35" s="1038">
        <v>478.45920205258602</v>
      </c>
      <c r="L35" s="1038">
        <v>226.57699062500001</v>
      </c>
      <c r="M35" s="1038">
        <v>450.902042010309</v>
      </c>
      <c r="N35" s="1038">
        <v>39.684376543252803</v>
      </c>
      <c r="O35" s="1038">
        <v>0.31513967917013203</v>
      </c>
      <c r="P35" s="1038">
        <v>2846.00980392157</v>
      </c>
      <c r="Q35" s="1036">
        <v>2712.4666666666699</v>
      </c>
      <c r="R35" s="1038">
        <v>129.40466623219299</v>
      </c>
      <c r="S35" s="1038">
        <v>310.63061860095399</v>
      </c>
      <c r="T35" s="1038">
        <v>220.49016384090001</v>
      </c>
      <c r="U35" s="1038">
        <v>308.41135014044897</v>
      </c>
      <c r="V35" s="1038">
        <v>275.78691714333098</v>
      </c>
      <c r="W35" s="1038">
        <v>341.77651248278602</v>
      </c>
      <c r="X35" s="1038">
        <v>406.50641501345001</v>
      </c>
      <c r="Y35" s="1038">
        <v>324.78255310071103</v>
      </c>
      <c r="Z35" s="1038">
        <v>276.43077625191597</v>
      </c>
      <c r="AA35" s="1038">
        <v>284.260014799673</v>
      </c>
      <c r="AB35" s="1038">
        <v>345.302202899642</v>
      </c>
      <c r="AC35" s="1038">
        <v>393.64070783981998</v>
      </c>
      <c r="AD35" s="1038">
        <v>242.32503278755601</v>
      </c>
      <c r="AE35" s="1038">
        <v>301.900080485861</v>
      </c>
      <c r="AF35" s="1038">
        <v>131.88820777494001</v>
      </c>
      <c r="AG35" s="1038">
        <v>49.039112675977698</v>
      </c>
      <c r="AH35" s="1038">
        <v>1647.3498085983499</v>
      </c>
      <c r="AI35" s="1038">
        <v>1018.32652497765</v>
      </c>
      <c r="AJ35" s="1038">
        <v>804.02589940338999</v>
      </c>
      <c r="AK35" s="1038">
        <v>549.66341910211304</v>
      </c>
      <c r="AL35" s="1038">
        <v>549.19844718076297</v>
      </c>
      <c r="AM35" s="1038">
        <v>605.32517285028405</v>
      </c>
      <c r="AN35" s="1038">
        <v>695.87414731770104</v>
      </c>
      <c r="AO35" s="1038">
        <v>552.11507459108896</v>
      </c>
      <c r="AP35" s="1038">
        <v>132.39577485215599</v>
      </c>
      <c r="AQ35" s="1038">
        <v>132.11091136818601</v>
      </c>
      <c r="AR35" s="1038">
        <v>472.93423046460902</v>
      </c>
      <c r="AS35" s="1038">
        <v>88.680277865457299</v>
      </c>
    </row>
    <row r="36" spans="1:45" s="1003" customFormat="1" ht="12.75" customHeight="1">
      <c r="A36" s="1004" t="s">
        <v>4469</v>
      </c>
      <c r="B36" s="1004" t="s">
        <v>4470</v>
      </c>
      <c r="C36" s="1004"/>
      <c r="D36" s="1038">
        <v>84.893274173117504</v>
      </c>
      <c r="E36" s="1038">
        <v>57.4847681889703</v>
      </c>
      <c r="F36" s="1038">
        <v>41.698931444152301</v>
      </c>
      <c r="G36" s="1038">
        <v>43.316706068760297</v>
      </c>
      <c r="H36" s="1038">
        <v>34.531953417834998</v>
      </c>
      <c r="I36" s="1038">
        <v>16.0072628226748</v>
      </c>
      <c r="J36" s="1038">
        <v>132.89810544018101</v>
      </c>
      <c r="K36" s="1038">
        <v>135.99972000249801</v>
      </c>
      <c r="L36" s="1038">
        <v>24.611529673005599</v>
      </c>
      <c r="M36" s="1038">
        <v>131.31443621133999</v>
      </c>
      <c r="N36" s="1038">
        <v>11.545683730600601</v>
      </c>
      <c r="O36" s="1038">
        <v>9.9028250426751896E-2</v>
      </c>
      <c r="P36" s="1038">
        <v>967.57843137254895</v>
      </c>
      <c r="Q36" s="1036">
        <v>980.33333333333303</v>
      </c>
      <c r="R36" s="1038">
        <v>23.789033660617601</v>
      </c>
      <c r="S36" s="1038">
        <v>107.133019455927</v>
      </c>
      <c r="T36" s="1038">
        <v>48.473275492165499</v>
      </c>
      <c r="U36" s="1038">
        <v>177.730947081773</v>
      </c>
      <c r="V36" s="1038">
        <v>68.158447718094806</v>
      </c>
      <c r="W36" s="1038">
        <v>161.68601310249801</v>
      </c>
      <c r="X36" s="1038">
        <v>274.39476886348302</v>
      </c>
      <c r="Y36" s="1038">
        <v>113.76550170332401</v>
      </c>
      <c r="Z36" s="1038">
        <v>156.170147547266</v>
      </c>
      <c r="AA36" s="1038">
        <v>22.812752330335201</v>
      </c>
      <c r="AB36" s="1038">
        <v>122.745240500847</v>
      </c>
      <c r="AC36" s="1038">
        <v>236.054701720248</v>
      </c>
      <c r="AD36" s="1038">
        <v>88.374951207531694</v>
      </c>
      <c r="AE36" s="1038">
        <v>172.145885570823</v>
      </c>
      <c r="AF36" s="1038">
        <v>35.281115412055598</v>
      </c>
      <c r="AG36" s="1038">
        <v>9.4972058491620093</v>
      </c>
      <c r="AH36" s="1038">
        <v>114.48762497055399</v>
      </c>
      <c r="AI36" s="1038">
        <v>914.91150677632697</v>
      </c>
      <c r="AJ36" s="1038">
        <v>128.965825243956</v>
      </c>
      <c r="AK36" s="1038">
        <v>142.727323306752</v>
      </c>
      <c r="AL36" s="1038">
        <v>109.618568021006</v>
      </c>
      <c r="AM36" s="1038">
        <v>148.45045752946299</v>
      </c>
      <c r="AN36" s="1038">
        <v>690.11548033045904</v>
      </c>
      <c r="AO36" s="1038">
        <v>84.010138268471493</v>
      </c>
      <c r="AP36" s="1038">
        <v>92.131831162555898</v>
      </c>
      <c r="AQ36" s="1038">
        <v>22.707773998066301</v>
      </c>
      <c r="AR36" s="1038">
        <v>889.211102712816</v>
      </c>
      <c r="AS36" s="1038">
        <v>35.2985630869237</v>
      </c>
    </row>
    <row r="37" spans="1:45" s="1003" customFormat="1" ht="12.75" customHeight="1">
      <c r="A37" s="1004" t="s">
        <v>4471</v>
      </c>
      <c r="B37" s="1004" t="s">
        <v>4472</v>
      </c>
      <c r="C37" s="1004"/>
      <c r="D37" s="1038">
        <v>1344.5460871686601</v>
      </c>
      <c r="E37" s="1038">
        <v>95.736217925183198</v>
      </c>
      <c r="F37" s="1038">
        <v>89.571933198689507</v>
      </c>
      <c r="G37" s="1038">
        <v>121.02961941144601</v>
      </c>
      <c r="H37" s="1038">
        <v>102.410305709773</v>
      </c>
      <c r="I37" s="1038">
        <v>80.996240180308703</v>
      </c>
      <c r="J37" s="1038">
        <v>226.34046887732501</v>
      </c>
      <c r="K37" s="1038">
        <v>189.23754511602601</v>
      </c>
      <c r="L37" s="1038">
        <v>174.10711861085301</v>
      </c>
      <c r="M37" s="1038">
        <v>711.46907164948402</v>
      </c>
      <c r="N37" s="1038">
        <v>51.421470394599503</v>
      </c>
      <c r="O37" s="1038">
        <v>0.280671327198319</v>
      </c>
      <c r="P37" s="1038">
        <v>3385.0784313725499</v>
      </c>
      <c r="Q37" s="1036">
        <v>4037.13333333333</v>
      </c>
      <c r="R37" s="1038">
        <v>129.92882597836899</v>
      </c>
      <c r="S37" s="1038">
        <v>340.92209455573197</v>
      </c>
      <c r="T37" s="1038">
        <v>320.47006303736401</v>
      </c>
      <c r="U37" s="1038">
        <v>231.64794034019999</v>
      </c>
      <c r="V37" s="1038">
        <v>277.32478484261799</v>
      </c>
      <c r="W37" s="1038">
        <v>184.782594353728</v>
      </c>
      <c r="X37" s="1038">
        <v>325.01683322125098</v>
      </c>
      <c r="Y37" s="1038">
        <v>379.16982611542898</v>
      </c>
      <c r="Z37" s="1038">
        <v>417.38632215125199</v>
      </c>
      <c r="AA37" s="1038">
        <v>398.48731966475901</v>
      </c>
      <c r="AB37" s="1038">
        <v>493.16511562794199</v>
      </c>
      <c r="AC37" s="1038">
        <v>393.97914420473802</v>
      </c>
      <c r="AD37" s="1038">
        <v>331.64142529676599</v>
      </c>
      <c r="AE37" s="1038">
        <v>124.191029607549</v>
      </c>
      <c r="AF37" s="1038">
        <v>127.321743404678</v>
      </c>
      <c r="AG37" s="1038">
        <v>39.782126731843597</v>
      </c>
      <c r="AH37" s="1038">
        <v>2207.0671161366299</v>
      </c>
      <c r="AI37" s="1038">
        <v>990.04114503844096</v>
      </c>
      <c r="AJ37" s="1038">
        <v>620.17522448716102</v>
      </c>
      <c r="AK37" s="1038">
        <v>563.23012673985102</v>
      </c>
      <c r="AL37" s="1038">
        <v>297.09786337755702</v>
      </c>
      <c r="AM37" s="1038">
        <v>792.40506438236605</v>
      </c>
      <c r="AN37" s="1038">
        <v>570.61759969763204</v>
      </c>
      <c r="AO37" s="1038">
        <v>692.80879608009002</v>
      </c>
      <c r="AP37" s="1038">
        <v>153.99538221549099</v>
      </c>
      <c r="AQ37" s="1038">
        <v>141.67200089060799</v>
      </c>
      <c r="AR37" s="1038">
        <v>662.02058144683497</v>
      </c>
      <c r="AS37" s="1038">
        <v>93.578228341647801</v>
      </c>
    </row>
    <row r="38" spans="1:45" s="1003" customFormat="1" ht="12.75" customHeight="1">
      <c r="A38" s="1004" t="s">
        <v>4473</v>
      </c>
      <c r="B38" s="1004" t="s">
        <v>4474</v>
      </c>
      <c r="C38" s="1004"/>
      <c r="D38" s="1038">
        <v>228.501041332395</v>
      </c>
      <c r="E38" s="1038">
        <v>8.3933643594292295</v>
      </c>
      <c r="F38" s="1038">
        <v>7.4121676186575796</v>
      </c>
      <c r="G38" s="1038">
        <v>9.0976976319982601</v>
      </c>
      <c r="H38" s="1038">
        <v>7.5484992290174597</v>
      </c>
      <c r="I38" s="1038">
        <v>1.5306809767803899</v>
      </c>
      <c r="J38" s="1038">
        <v>23.3210450137606</v>
      </c>
      <c r="K38" s="1038">
        <v>30.170071888197601</v>
      </c>
      <c r="L38" s="1038">
        <v>49.965191558441603</v>
      </c>
      <c r="M38" s="1038">
        <v>0.25773195876288701</v>
      </c>
      <c r="N38" s="1038">
        <v>3.73198589846197</v>
      </c>
      <c r="O38" s="1038">
        <v>0</v>
      </c>
      <c r="P38" s="1038">
        <v>255.76470588235301</v>
      </c>
      <c r="Q38" s="1036">
        <v>61.6</v>
      </c>
      <c r="R38" s="1038">
        <v>3.0902619221163401</v>
      </c>
      <c r="S38" s="1038">
        <v>16.071368560324998</v>
      </c>
      <c r="T38" s="1038">
        <v>10.707115930092399</v>
      </c>
      <c r="U38" s="1038">
        <v>32.521862952559303</v>
      </c>
      <c r="V38" s="1038">
        <v>13.436952685733299</v>
      </c>
      <c r="W38" s="1038">
        <v>14.686211292543801</v>
      </c>
      <c r="X38" s="1038">
        <v>8.2885030934768</v>
      </c>
      <c r="Y38" s="1038">
        <v>14.175618326442899</v>
      </c>
      <c r="Z38" s="1038">
        <v>7.9202875063873304</v>
      </c>
      <c r="AA38" s="1038">
        <v>3.7612400654129199</v>
      </c>
      <c r="AB38" s="1038">
        <v>4.9331687629448302</v>
      </c>
      <c r="AC38" s="1038">
        <v>9.9548817258883204</v>
      </c>
      <c r="AD38" s="1038">
        <v>6.5902589848546897</v>
      </c>
      <c r="AE38" s="1038">
        <v>9.5737568559313893</v>
      </c>
      <c r="AF38" s="1038">
        <v>9.6315233004985998</v>
      </c>
      <c r="AG38" s="1038">
        <v>2.6424531787709502</v>
      </c>
      <c r="AH38" s="1038">
        <v>141.57832732626599</v>
      </c>
      <c r="AI38" s="1038">
        <v>140.15733368496299</v>
      </c>
      <c r="AJ38" s="1038">
        <v>60.600860339332101</v>
      </c>
      <c r="AK38" s="1038">
        <v>36.803540404929599</v>
      </c>
      <c r="AL38" s="1038">
        <v>85.323362133775603</v>
      </c>
      <c r="AM38" s="1038">
        <v>32.256653862942002</v>
      </c>
      <c r="AN38" s="1038">
        <v>73.779799762007002</v>
      </c>
      <c r="AO38" s="1038">
        <v>74.957703130287598</v>
      </c>
      <c r="AP38" s="1038">
        <v>4.4713697245059896</v>
      </c>
      <c r="AQ38" s="1038">
        <v>3.92466653956668</v>
      </c>
      <c r="AR38" s="1038">
        <v>84.097271686934803</v>
      </c>
      <c r="AS38" s="1038">
        <v>6.8027152713529899</v>
      </c>
    </row>
    <row r="39" spans="1:45" s="1003" customFormat="1" ht="12.75" customHeight="1">
      <c r="A39" s="1004" t="s">
        <v>4475</v>
      </c>
      <c r="B39" s="1004" t="s">
        <v>4476</v>
      </c>
      <c r="C39" s="1004"/>
      <c r="D39" s="1038">
        <v>1987.6378135350701</v>
      </c>
      <c r="E39" s="1038">
        <v>49.1955293243347</v>
      </c>
      <c r="F39" s="1038">
        <v>53.539688714057903</v>
      </c>
      <c r="G39" s="1038">
        <v>64.733035848982396</v>
      </c>
      <c r="H39" s="1038">
        <v>55.490293284760803</v>
      </c>
      <c r="I39" s="1038">
        <v>22.986112965365201</v>
      </c>
      <c r="J39" s="1038">
        <v>106.46511412042901</v>
      </c>
      <c r="K39" s="1038">
        <v>137.92515646768999</v>
      </c>
      <c r="L39" s="1038">
        <v>168.71517708719799</v>
      </c>
      <c r="M39" s="1038">
        <v>406.31442036082501</v>
      </c>
      <c r="N39" s="1038">
        <v>20.072746812582601</v>
      </c>
      <c r="O39" s="1038">
        <v>0.69429215268963096</v>
      </c>
      <c r="P39" s="1038">
        <v>1408.73529411765</v>
      </c>
      <c r="Q39" s="1036">
        <v>4413.2666666666701</v>
      </c>
      <c r="R39" s="1038">
        <v>62.378751346296099</v>
      </c>
      <c r="S39" s="1038">
        <v>129.01607340399201</v>
      </c>
      <c r="T39" s="1038">
        <v>131.17715512253901</v>
      </c>
      <c r="U39" s="1038">
        <v>162.92135964419501</v>
      </c>
      <c r="V39" s="1038">
        <v>110.388891309399</v>
      </c>
      <c r="W39" s="1038">
        <v>146.4685992229</v>
      </c>
      <c r="X39" s="1038">
        <v>260.39004150975097</v>
      </c>
      <c r="Y39" s="1038">
        <v>153.89450249049099</v>
      </c>
      <c r="Z39" s="1038">
        <v>122.930516351558</v>
      </c>
      <c r="AA39" s="1038">
        <v>152.98443998364701</v>
      </c>
      <c r="AB39" s="1038">
        <v>168.61233187723599</v>
      </c>
      <c r="AC39" s="1038">
        <v>200.3101857163</v>
      </c>
      <c r="AD39" s="1038">
        <v>128.65328534588599</v>
      </c>
      <c r="AE39" s="1038">
        <v>90.059590136130296</v>
      </c>
      <c r="AF39" s="1038">
        <v>82.486102320726403</v>
      </c>
      <c r="AG39" s="1038">
        <v>22.821227173184401</v>
      </c>
      <c r="AH39" s="1038">
        <v>881.27204558303902</v>
      </c>
      <c r="AI39" s="1038">
        <v>369.73011146075498</v>
      </c>
      <c r="AJ39" s="1038">
        <v>568.91744863923896</v>
      </c>
      <c r="AK39" s="1038">
        <v>316.10915208937502</v>
      </c>
      <c r="AL39" s="1038">
        <v>1248.3140333609699</v>
      </c>
      <c r="AM39" s="1038">
        <v>375.07637437800099</v>
      </c>
      <c r="AN39" s="1038">
        <v>524.20116326128505</v>
      </c>
      <c r="AO39" s="1038">
        <v>320.69937580372198</v>
      </c>
      <c r="AP39" s="1038">
        <v>68.152271974614195</v>
      </c>
      <c r="AQ39" s="1038">
        <v>66.229076530987399</v>
      </c>
      <c r="AR39" s="1038">
        <v>567.50858207047099</v>
      </c>
      <c r="AS39" s="1038">
        <v>61.148899739984898</v>
      </c>
    </row>
    <row r="40" spans="1:45" s="1003" customFormat="1" ht="12.75" customHeight="1">
      <c r="A40" s="1004" t="s">
        <v>4477</v>
      </c>
      <c r="B40" s="1004" t="s">
        <v>206</v>
      </c>
      <c r="C40" s="1004"/>
      <c r="D40" s="1038">
        <v>788.48227307060802</v>
      </c>
      <c r="E40" s="1038">
        <v>9.8542203023524895</v>
      </c>
      <c r="F40" s="1038">
        <v>14.902354615251999</v>
      </c>
      <c r="G40" s="1038">
        <v>9.9164582606434593</v>
      </c>
      <c r="H40" s="1038">
        <v>7.14912931740845</v>
      </c>
      <c r="I40" s="1038">
        <v>10.2996472369957</v>
      </c>
      <c r="J40" s="1038">
        <v>10.910415112140999</v>
      </c>
      <c r="K40" s="1038">
        <v>18.967111747876999</v>
      </c>
      <c r="L40" s="1038">
        <v>9.4851613346475006</v>
      </c>
      <c r="M40" s="1038">
        <v>76.675264819587596</v>
      </c>
      <c r="N40" s="1038">
        <v>16.575610310390399</v>
      </c>
      <c r="O40" s="1038">
        <v>9.4104368188383594E-2</v>
      </c>
      <c r="P40" s="1038">
        <v>196.78431372548999</v>
      </c>
      <c r="Q40" s="1036">
        <v>579.06666666666695</v>
      </c>
      <c r="R40" s="1038">
        <v>5.2854971407286699</v>
      </c>
      <c r="S40" s="1038">
        <v>7.7230200777247804</v>
      </c>
      <c r="T40" s="1038">
        <v>12.133387263961399</v>
      </c>
      <c r="U40" s="1038">
        <v>11.454429993757801</v>
      </c>
      <c r="V40" s="1038">
        <v>7.7557059467832099</v>
      </c>
      <c r="W40" s="1038">
        <v>4.6035778870745601</v>
      </c>
      <c r="X40" s="1038">
        <v>7.9186252689979799</v>
      </c>
      <c r="Y40" s="1038">
        <v>10.2232514139243</v>
      </c>
      <c r="Z40" s="1038">
        <v>11.586610577414399</v>
      </c>
      <c r="AA40" s="1038">
        <v>10.834014472608301</v>
      </c>
      <c r="AB40" s="1038">
        <v>6.4018041800037704</v>
      </c>
      <c r="AC40" s="1038">
        <v>7.8680187817258904</v>
      </c>
      <c r="AD40" s="1038">
        <v>4.5845266475644699</v>
      </c>
      <c r="AE40" s="1038">
        <v>28.303634456594502</v>
      </c>
      <c r="AF40" s="1038">
        <v>8.1904458916048508</v>
      </c>
      <c r="AG40" s="1038">
        <v>7.1005559497206701</v>
      </c>
      <c r="AH40" s="1038">
        <v>527.20849481743198</v>
      </c>
      <c r="AI40" s="1038">
        <v>167.959936939031</v>
      </c>
      <c r="AJ40" s="1038">
        <v>80.888867124340095</v>
      </c>
      <c r="AK40" s="1038">
        <v>28.137947796706701</v>
      </c>
      <c r="AL40" s="1038">
        <v>183.02927634052</v>
      </c>
      <c r="AM40" s="1038">
        <v>25.1855091663029</v>
      </c>
      <c r="AN40" s="1038">
        <v>73.908547828801105</v>
      </c>
      <c r="AO40" s="1038">
        <v>3.6097005922165799</v>
      </c>
      <c r="AP40" s="1038">
        <v>11.099077902783799</v>
      </c>
      <c r="AQ40" s="1038">
        <v>2.2632880625876699</v>
      </c>
      <c r="AR40" s="1038">
        <v>246.71031845962</v>
      </c>
      <c r="AS40" s="1038">
        <v>9.0370332275132306</v>
      </c>
    </row>
    <row r="41" spans="1:45" s="1003" customFormat="1" ht="12.75" customHeight="1">
      <c r="A41" s="1004" t="s">
        <v>4478</v>
      </c>
      <c r="B41" s="1004" t="s">
        <v>4479</v>
      </c>
      <c r="C41" s="1004"/>
      <c r="D41" s="1038">
        <v>103.07294829932</v>
      </c>
      <c r="E41" s="1038">
        <v>0.88622998534515995</v>
      </c>
      <c r="F41" s="1038">
        <v>0.81174458162693397</v>
      </c>
      <c r="G41" s="1038">
        <v>3.51178853460239</v>
      </c>
      <c r="H41" s="1038">
        <v>2.7849152570129401</v>
      </c>
      <c r="I41" s="1038">
        <v>0.75885354780127101</v>
      </c>
      <c r="J41" s="1038">
        <v>5.4164563970960398</v>
      </c>
      <c r="K41" s="1038">
        <v>2.1910919940057201</v>
      </c>
      <c r="L41" s="1038">
        <v>1.2291305890538</v>
      </c>
      <c r="M41" s="1038">
        <v>6.7010309278350499</v>
      </c>
      <c r="N41" s="1038">
        <v>6.1921412415616901</v>
      </c>
      <c r="O41" s="1038">
        <v>0</v>
      </c>
      <c r="P41" s="1038">
        <v>59.401960784313701</v>
      </c>
      <c r="Q41" s="1036">
        <v>41.733333333333299</v>
      </c>
      <c r="R41" s="1038">
        <v>0.68922581329789001</v>
      </c>
      <c r="S41" s="1038">
        <v>0</v>
      </c>
      <c r="T41" s="1038">
        <v>0</v>
      </c>
      <c r="U41" s="1038">
        <v>0</v>
      </c>
      <c r="V41" s="1038">
        <v>0</v>
      </c>
      <c r="W41" s="1038">
        <v>0</v>
      </c>
      <c r="X41" s="1038">
        <v>0</v>
      </c>
      <c r="Y41" s="1038">
        <v>0</v>
      </c>
      <c r="Z41" s="1038">
        <v>0</v>
      </c>
      <c r="AA41" s="1038">
        <v>0</v>
      </c>
      <c r="AB41" s="1038">
        <v>0</v>
      </c>
      <c r="AC41" s="1038">
        <v>0</v>
      </c>
      <c r="AD41" s="1038">
        <v>0</v>
      </c>
      <c r="AE41" s="1038">
        <v>0.99786862307520696</v>
      </c>
      <c r="AF41" s="1038">
        <v>1.5403931655113701</v>
      </c>
      <c r="AG41" s="1038">
        <v>1.15083282681564</v>
      </c>
      <c r="AH41" s="1038">
        <v>0</v>
      </c>
      <c r="AI41" s="1038">
        <v>0</v>
      </c>
      <c r="AJ41" s="1038">
        <v>8.3263862975857705</v>
      </c>
      <c r="AK41" s="1038">
        <v>0.424606886909693</v>
      </c>
      <c r="AL41" s="1038">
        <v>0</v>
      </c>
      <c r="AM41" s="1038">
        <v>20.253164556961998</v>
      </c>
      <c r="AN41" s="1038">
        <v>1.74788337169833</v>
      </c>
      <c r="AO41" s="1038">
        <v>0</v>
      </c>
      <c r="AP41" s="1038">
        <v>0</v>
      </c>
      <c r="AQ41" s="1038">
        <v>2.2700961257200398</v>
      </c>
      <c r="AR41" s="1038">
        <v>165.637657156221</v>
      </c>
      <c r="AS41" s="1038">
        <v>1.79289397732426</v>
      </c>
    </row>
    <row r="42" spans="1:45" s="1003" customFormat="1" ht="12.75" customHeight="1">
      <c r="A42" s="1004" t="s">
        <v>4480</v>
      </c>
      <c r="B42" s="1004" t="s">
        <v>4481</v>
      </c>
      <c r="C42" s="1004"/>
      <c r="D42" s="1038">
        <v>210.673234435843</v>
      </c>
      <c r="E42" s="1038">
        <v>5.0119603000385702</v>
      </c>
      <c r="F42" s="1038">
        <v>8.8481248924429892</v>
      </c>
      <c r="G42" s="1038">
        <v>11.3698504095325</v>
      </c>
      <c r="H42" s="1038">
        <v>10.1568994306735</v>
      </c>
      <c r="I42" s="1038">
        <v>3.46349014139318</v>
      </c>
      <c r="J42" s="1038">
        <v>38.399182289953202</v>
      </c>
      <c r="K42" s="1038">
        <v>54.652376998092699</v>
      </c>
      <c r="L42" s="1038">
        <v>12.5463756609462</v>
      </c>
      <c r="M42" s="1038">
        <v>53.092782731958799</v>
      </c>
      <c r="N42" s="1038">
        <v>4.5671165442967503</v>
      </c>
      <c r="O42" s="1038">
        <v>4.21280419748764E-2</v>
      </c>
      <c r="P42" s="1038">
        <v>173.46078431372499</v>
      </c>
      <c r="Q42" s="1036">
        <v>129.53333333333299</v>
      </c>
      <c r="R42" s="1038">
        <v>12.2061699066382</v>
      </c>
      <c r="S42" s="1038">
        <v>19.353467016428201</v>
      </c>
      <c r="T42" s="1038">
        <v>3.1137004218561701</v>
      </c>
      <c r="U42" s="1038">
        <v>31.710362718476901</v>
      </c>
      <c r="V42" s="1038">
        <v>18.4322595784699</v>
      </c>
      <c r="W42" s="1038">
        <v>36.759769732441498</v>
      </c>
      <c r="X42" s="1038">
        <v>49.243431624075299</v>
      </c>
      <c r="Y42" s="1038">
        <v>25.354711146022801</v>
      </c>
      <c r="Z42" s="1038">
        <v>23.390399259070001</v>
      </c>
      <c r="AA42" s="1038">
        <v>0.53147722812755505</v>
      </c>
      <c r="AB42" s="1038">
        <v>30.785178666917702</v>
      </c>
      <c r="AC42" s="1038">
        <v>37.831351621545402</v>
      </c>
      <c r="AD42" s="1038">
        <v>2.3741340974212002</v>
      </c>
      <c r="AE42" s="1038">
        <v>4.0966668154429797</v>
      </c>
      <c r="AF42" s="1038">
        <v>8.9403692387206597</v>
      </c>
      <c r="AG42" s="1038">
        <v>3.2290408938547501</v>
      </c>
      <c r="AH42" s="1038">
        <v>265.13545229682001</v>
      </c>
      <c r="AI42" s="1038">
        <v>37.332380314679099</v>
      </c>
      <c r="AJ42" s="1038">
        <v>478.07090723450898</v>
      </c>
      <c r="AK42" s="1038">
        <v>438.01782028272601</v>
      </c>
      <c r="AL42" s="1038">
        <v>32.835823797678302</v>
      </c>
      <c r="AM42" s="1038">
        <v>370.14404652989998</v>
      </c>
      <c r="AN42" s="1038">
        <v>570.49471455268997</v>
      </c>
      <c r="AO42" s="1038">
        <v>429.41343186689198</v>
      </c>
      <c r="AP42" s="1038">
        <v>3.0650653685273301</v>
      </c>
      <c r="AQ42" s="1038">
        <v>12.136230851252201</v>
      </c>
      <c r="AR42" s="1038">
        <v>97.006558278765198</v>
      </c>
      <c r="AS42" s="1038">
        <v>9.9984960151171602</v>
      </c>
    </row>
    <row r="43" spans="1:45" s="1025" customFormat="1" ht="12.75" customHeight="1">
      <c r="A43" s="1033"/>
      <c r="B43" s="1034"/>
      <c r="C43" s="1034"/>
      <c r="D43" s="1039"/>
      <c r="E43" s="1039"/>
      <c r="F43" s="1039"/>
      <c r="G43" s="1039"/>
      <c r="H43" s="1039"/>
      <c r="I43" s="1039"/>
      <c r="J43" s="1039"/>
      <c r="K43" s="1039"/>
      <c r="L43" s="1039"/>
      <c r="M43" s="1039"/>
      <c r="N43" s="1039"/>
      <c r="O43" s="1039"/>
      <c r="P43" s="1039"/>
      <c r="Q43" s="1039"/>
      <c r="R43" s="1039"/>
      <c r="S43" s="1039"/>
      <c r="T43" s="1039"/>
      <c r="U43" s="1039"/>
      <c r="V43" s="1039"/>
      <c r="W43" s="1039"/>
      <c r="X43" s="1039"/>
      <c r="Y43" s="1039"/>
      <c r="Z43" s="1039"/>
      <c r="AA43" s="1039"/>
      <c r="AB43" s="1039"/>
      <c r="AC43" s="1039"/>
      <c r="AD43" s="1039"/>
      <c r="AE43" s="1039"/>
      <c r="AF43" s="1039"/>
      <c r="AG43" s="1039"/>
      <c r="AH43" s="1039"/>
      <c r="AI43" s="1039"/>
      <c r="AJ43" s="1039"/>
      <c r="AK43" s="1039"/>
      <c r="AL43" s="1039"/>
      <c r="AM43" s="1040"/>
      <c r="AN43" s="1040"/>
      <c r="AO43" s="1040"/>
      <c r="AP43" s="1040"/>
      <c r="AQ43" s="1040"/>
      <c r="AR43" s="1040"/>
      <c r="AS43" s="1040"/>
    </row>
    <row r="44" spans="1:45" s="1003" customFormat="1" ht="12.75" customHeight="1">
      <c r="A44" s="1031" t="s">
        <v>4482</v>
      </c>
      <c r="B44" s="1203" t="s">
        <v>4483</v>
      </c>
      <c r="C44" s="1203"/>
      <c r="D44" s="1028">
        <v>3868.68404736101</v>
      </c>
      <c r="E44" s="1028">
        <v>190.86850642498999</v>
      </c>
      <c r="F44" s="1028">
        <v>188.299325525283</v>
      </c>
      <c r="G44" s="1028">
        <v>361.12815176194198</v>
      </c>
      <c r="H44" s="1028">
        <v>299.71016939536997</v>
      </c>
      <c r="I44" s="1028">
        <v>91.769336042288202</v>
      </c>
      <c r="J44" s="1028">
        <v>658.91750378890902</v>
      </c>
      <c r="K44" s="1028">
        <v>942.91018555015705</v>
      </c>
      <c r="L44" s="1028">
        <v>462.85960893436902</v>
      </c>
      <c r="M44" s="1028">
        <v>2056.44330876289</v>
      </c>
      <c r="N44" s="1028">
        <v>81.016452331407905</v>
      </c>
      <c r="O44" s="1028">
        <v>-53.345066490677098</v>
      </c>
      <c r="P44" s="1028">
        <v>5851.9215686274501</v>
      </c>
      <c r="Q44" s="1028">
        <v>11757.4666666667</v>
      </c>
      <c r="R44" s="1028">
        <v>739.98372322092803</v>
      </c>
      <c r="S44" s="1028">
        <v>1415.1846178731701</v>
      </c>
      <c r="T44" s="1028">
        <v>1377.6416315588599</v>
      </c>
      <c r="U44" s="1028">
        <v>1085.19033355181</v>
      </c>
      <c r="V44" s="1028">
        <v>968.19163780494603</v>
      </c>
      <c r="W44" s="1028">
        <v>681.34966507967704</v>
      </c>
      <c r="X44" s="1028">
        <v>835.05379522528597</v>
      </c>
      <c r="Y44" s="1028">
        <v>1547.9709063502601</v>
      </c>
      <c r="Z44" s="1028">
        <v>796.308103117016</v>
      </c>
      <c r="AA44" s="1028">
        <v>2245.3393407604199</v>
      </c>
      <c r="AB44" s="1028">
        <v>1588.4955571831999</v>
      </c>
      <c r="AC44" s="1028">
        <v>1330.8093855612001</v>
      </c>
      <c r="AD44" s="1028">
        <v>1693.53248264429</v>
      </c>
      <c r="AE44" s="1028">
        <v>787.07554803455901</v>
      </c>
      <c r="AF44" s="1028">
        <v>337.51669863796701</v>
      </c>
      <c r="AG44" s="1028">
        <v>71.927373452514004</v>
      </c>
      <c r="AH44" s="1028">
        <v>5881.8610868080104</v>
      </c>
      <c r="AI44" s="1028">
        <v>1911.08503992491</v>
      </c>
      <c r="AJ44" s="1028">
        <v>1981.38573496461</v>
      </c>
      <c r="AK44" s="1028">
        <v>1931.11276992802</v>
      </c>
      <c r="AL44" s="1028">
        <v>1070.48090867883</v>
      </c>
      <c r="AM44" s="1028">
        <v>6784.4173065473597</v>
      </c>
      <c r="AN44" s="1028">
        <v>2249.3718386407099</v>
      </c>
      <c r="AO44" s="1028">
        <v>1723.8578754089101</v>
      </c>
      <c r="AP44" s="1028">
        <v>1005.81283018174</v>
      </c>
      <c r="AQ44" s="1028">
        <v>790.86105482821097</v>
      </c>
      <c r="AR44" s="1028">
        <v>1135.0483033676301</v>
      </c>
      <c r="AS44" s="1028">
        <v>230.88435933484499</v>
      </c>
    </row>
    <row r="45" spans="1:45" s="1003" customFormat="1" ht="12.75" customHeight="1">
      <c r="A45" s="1004"/>
      <c r="B45" s="1004"/>
      <c r="C45" s="1004"/>
      <c r="D45" s="1041"/>
      <c r="E45" s="1041"/>
      <c r="F45" s="1041"/>
      <c r="G45" s="1041"/>
      <c r="H45" s="1041"/>
      <c r="I45" s="1041"/>
      <c r="J45" s="1041"/>
      <c r="K45" s="1041"/>
      <c r="L45" s="1041"/>
      <c r="M45" s="1041"/>
      <c r="N45" s="1041"/>
      <c r="O45" s="1041"/>
      <c r="P45" s="1041"/>
      <c r="Q45" s="1041"/>
      <c r="R45" s="1041"/>
      <c r="S45" s="1041"/>
      <c r="T45" s="1041"/>
      <c r="U45" s="1041"/>
      <c r="V45" s="1041"/>
      <c r="W45" s="1041"/>
      <c r="X45" s="1041"/>
      <c r="Y45" s="1041"/>
      <c r="Z45" s="1041"/>
      <c r="AA45" s="1041"/>
      <c r="AB45" s="1041"/>
      <c r="AC45" s="1041"/>
      <c r="AD45" s="1041"/>
      <c r="AE45" s="1041"/>
      <c r="AF45" s="1041"/>
      <c r="AG45" s="1041"/>
      <c r="AH45" s="1041"/>
      <c r="AI45" s="1041"/>
      <c r="AJ45" s="1041"/>
      <c r="AK45" s="1041"/>
      <c r="AL45" s="1041"/>
      <c r="AM45" s="1041"/>
      <c r="AN45" s="1041"/>
      <c r="AO45" s="1041"/>
      <c r="AP45" s="1041"/>
      <c r="AQ45" s="1041"/>
      <c r="AR45" s="1041"/>
      <c r="AS45" s="1041"/>
    </row>
    <row r="46" spans="1:45" s="1003" customFormat="1" ht="12.75" customHeight="1">
      <c r="A46" s="1004" t="s">
        <v>4484</v>
      </c>
      <c r="B46" s="1004" t="s">
        <v>4485</v>
      </c>
      <c r="C46" s="1004"/>
      <c r="D46" s="1021">
        <v>3394.8862294628202</v>
      </c>
      <c r="E46" s="1021">
        <v>268.56845513459302</v>
      </c>
      <c r="F46" s="1021">
        <v>206.778894488943</v>
      </c>
      <c r="G46" s="1021">
        <v>250.10174346244699</v>
      </c>
      <c r="H46" s="1021">
        <v>219.26086936140999</v>
      </c>
      <c r="I46" s="1021">
        <v>208.56791253729401</v>
      </c>
      <c r="J46" s="1042">
        <v>605.80950813931395</v>
      </c>
      <c r="K46" s="1021">
        <v>594.52793287316604</v>
      </c>
      <c r="L46" s="1021">
        <v>265.195963479824</v>
      </c>
      <c r="M46" s="1021">
        <v>2313.9175280927798</v>
      </c>
      <c r="N46" s="1021">
        <v>95.431147451109993</v>
      </c>
      <c r="O46" s="1021">
        <v>3.1262311107585199</v>
      </c>
      <c r="P46" s="1021">
        <v>4340.5392156862699</v>
      </c>
      <c r="Q46" s="1042">
        <v>9018.6666666666697</v>
      </c>
      <c r="R46" s="1021">
        <v>685.743836917561</v>
      </c>
      <c r="S46" s="1021">
        <v>975.48844084084101</v>
      </c>
      <c r="T46" s="1021">
        <v>1966.7135501808</v>
      </c>
      <c r="U46" s="1021">
        <v>1337.1098584425699</v>
      </c>
      <c r="V46" s="1021">
        <v>702.99827213586298</v>
      </c>
      <c r="W46" s="1021">
        <v>493.42908803856</v>
      </c>
      <c r="X46" s="1021">
        <v>931.17014159381301</v>
      </c>
      <c r="Y46" s="1021">
        <v>1027.3755644617199</v>
      </c>
      <c r="Z46" s="1042">
        <v>851.63516934082804</v>
      </c>
      <c r="AA46" s="1021">
        <v>2547.3425856091599</v>
      </c>
      <c r="AB46" s="1021">
        <v>1475.3342232348</v>
      </c>
      <c r="AC46" s="1042">
        <v>1104.23012546531</v>
      </c>
      <c r="AD46" s="1021">
        <v>1833.5652622595201</v>
      </c>
      <c r="AE46" s="1021">
        <v>271.45088520419603</v>
      </c>
      <c r="AF46" s="1021">
        <v>190.39888566622099</v>
      </c>
      <c r="AG46" s="1021">
        <v>112.078207346369</v>
      </c>
      <c r="AH46" s="1042">
        <v>12364.4287579505</v>
      </c>
      <c r="AI46" s="1042">
        <v>1902.50310092973</v>
      </c>
      <c r="AJ46" s="1042">
        <v>1405.4299756615801</v>
      </c>
      <c r="AK46" s="1042">
        <v>1888.41135330623</v>
      </c>
      <c r="AL46" s="1042">
        <v>902.40464264787204</v>
      </c>
      <c r="AM46" s="1042">
        <v>2893.8018563945898</v>
      </c>
      <c r="AN46" s="1042">
        <v>1863.5382945144599</v>
      </c>
      <c r="AO46" s="1042">
        <v>1755.66834974619</v>
      </c>
      <c r="AP46" s="1042">
        <v>959.58458168902303</v>
      </c>
      <c r="AQ46" s="1042">
        <v>830.83899746299301</v>
      </c>
      <c r="AR46" s="1042">
        <v>2900.81071440599</v>
      </c>
      <c r="AS46" s="1042">
        <v>165.24564867422501</v>
      </c>
    </row>
    <row r="47" spans="1:45" s="1025" customFormat="1" ht="12.75" customHeight="1">
      <c r="A47" s="1033"/>
      <c r="B47" s="1034"/>
      <c r="C47" s="1034"/>
      <c r="D47" s="1035"/>
      <c r="E47" s="1035"/>
      <c r="F47" s="1035"/>
      <c r="G47" s="1035"/>
      <c r="H47" s="1035"/>
      <c r="I47" s="1035"/>
      <c r="J47" s="1035"/>
      <c r="K47" s="1035"/>
      <c r="L47" s="1035"/>
      <c r="M47" s="1035"/>
      <c r="N47" s="1035"/>
      <c r="O47" s="1035"/>
      <c r="P47" s="1035"/>
      <c r="Q47" s="1035"/>
      <c r="R47" s="1035"/>
      <c r="S47" s="1035"/>
      <c r="T47" s="1035"/>
      <c r="U47" s="1035"/>
      <c r="V47" s="1035"/>
      <c r="W47" s="1035"/>
      <c r="X47" s="1035"/>
      <c r="Y47" s="1035"/>
      <c r="Z47" s="1035"/>
      <c r="AA47" s="1035"/>
      <c r="AB47" s="1035"/>
      <c r="AC47" s="1035"/>
      <c r="AD47" s="1035"/>
      <c r="AE47" s="1035"/>
      <c r="AF47" s="1035"/>
      <c r="AG47" s="1035"/>
      <c r="AH47" s="1035"/>
      <c r="AI47" s="1035"/>
      <c r="AJ47" s="1035"/>
      <c r="AK47" s="1035"/>
      <c r="AL47" s="1035"/>
      <c r="AM47" s="1041"/>
      <c r="AN47" s="1041"/>
      <c r="AO47" s="1041"/>
      <c r="AP47" s="1041"/>
      <c r="AQ47" s="1041"/>
      <c r="AR47" s="1041"/>
      <c r="AS47" s="1041"/>
    </row>
    <row r="48" spans="1:45" s="1003" customFormat="1" ht="12.75" customHeight="1">
      <c r="A48" s="1031" t="s">
        <v>4486</v>
      </c>
      <c r="B48" s="1203" t="s">
        <v>4487</v>
      </c>
      <c r="C48" s="1203"/>
      <c r="D48" s="1028">
        <v>473.79781789819401</v>
      </c>
      <c r="E48" s="1028">
        <v>-77.699948709602793</v>
      </c>
      <c r="F48" s="1028">
        <v>-18.479568963659101</v>
      </c>
      <c r="G48" s="1028">
        <v>111.026408299495</v>
      </c>
      <c r="H48" s="1028">
        <v>80.449300033953307</v>
      </c>
      <c r="I48" s="1028">
        <v>-116.798576495006</v>
      </c>
      <c r="J48" s="1028">
        <v>53.107995649595097</v>
      </c>
      <c r="K48" s="1028">
        <v>348.38225267698999</v>
      </c>
      <c r="L48" s="1028">
        <v>197.66364545454499</v>
      </c>
      <c r="M48" s="1028">
        <v>-257.47421932989698</v>
      </c>
      <c r="N48" s="1028">
        <v>-14.414695119702101</v>
      </c>
      <c r="O48" s="1028">
        <v>-56.471297601435602</v>
      </c>
      <c r="P48" s="1028">
        <v>1511.38235294118</v>
      </c>
      <c r="Q48" s="1028">
        <v>2738.8</v>
      </c>
      <c r="R48" s="1028">
        <v>54.239886303366802</v>
      </c>
      <c r="S48" s="1028">
        <v>439.69617703232598</v>
      </c>
      <c r="T48" s="1028">
        <v>-589.07191862193702</v>
      </c>
      <c r="U48" s="1028">
        <v>-251.91952489076201</v>
      </c>
      <c r="V48" s="1028">
        <v>265.19336566908203</v>
      </c>
      <c r="W48" s="1028">
        <v>187.92057704111701</v>
      </c>
      <c r="X48" s="1028">
        <v>-96.116346368527203</v>
      </c>
      <c r="Y48" s="1028">
        <v>520.59534188854002</v>
      </c>
      <c r="Z48" s="1028">
        <v>-55.327066223811897</v>
      </c>
      <c r="AA48" s="1028">
        <v>-302.003244848733</v>
      </c>
      <c r="AB48" s="1028">
        <v>113.16133394840899</v>
      </c>
      <c r="AC48" s="1028">
        <v>226.579260095883</v>
      </c>
      <c r="AD48" s="1028">
        <v>-140.03277961522701</v>
      </c>
      <c r="AE48" s="1028">
        <v>515.62466283036304</v>
      </c>
      <c r="AF48" s="1028">
        <v>147.11781297174599</v>
      </c>
      <c r="AG48" s="1028">
        <v>-40.150833893854703</v>
      </c>
      <c r="AH48" s="1028">
        <v>-6482.5676711425203</v>
      </c>
      <c r="AI48" s="1028">
        <v>8.5819389951724894</v>
      </c>
      <c r="AJ48" s="1028">
        <v>575.95575930302903</v>
      </c>
      <c r="AK48" s="1028">
        <v>42.701416621789598</v>
      </c>
      <c r="AL48" s="1028">
        <v>168.07626603095599</v>
      </c>
      <c r="AM48" s="1028">
        <v>3890.6154501527699</v>
      </c>
      <c r="AN48" s="1028">
        <v>385.833544126253</v>
      </c>
      <c r="AO48" s="1028">
        <v>-31.810474337281399</v>
      </c>
      <c r="AP48" s="1028">
        <v>46.228248492715998</v>
      </c>
      <c r="AQ48" s="1028">
        <v>-39.9779426347827</v>
      </c>
      <c r="AR48" s="1028">
        <v>-1765.7624110383499</v>
      </c>
      <c r="AS48" s="1028">
        <v>65.638710660619793</v>
      </c>
    </row>
    <row r="49" spans="1:77" s="1003" customFormat="1" ht="12.75" customHeight="1">
      <c r="A49" s="1004"/>
      <c r="B49" s="1004"/>
      <c r="C49" s="1004"/>
      <c r="D49" s="1043"/>
      <c r="E49" s="1043"/>
      <c r="F49" s="1043"/>
      <c r="G49" s="1043"/>
      <c r="H49" s="1043"/>
      <c r="I49" s="1043"/>
      <c r="J49" s="1043"/>
      <c r="K49" s="1043"/>
      <c r="L49" s="1043"/>
      <c r="M49" s="1043"/>
      <c r="N49" s="1043"/>
      <c r="O49" s="1043"/>
      <c r="P49" s="1043"/>
      <c r="Q49" s="1043"/>
      <c r="R49" s="1043"/>
      <c r="S49" s="1043"/>
      <c r="T49" s="1043"/>
      <c r="U49" s="1043"/>
      <c r="V49" s="1043"/>
      <c r="W49" s="1043"/>
      <c r="X49" s="1043"/>
      <c r="Y49" s="1043"/>
      <c r="Z49" s="1043"/>
      <c r="AA49" s="1043"/>
      <c r="AB49" s="1043"/>
      <c r="AC49" s="1043"/>
      <c r="AD49" s="1043"/>
      <c r="AE49" s="1043"/>
      <c r="AF49" s="1043"/>
      <c r="AG49" s="1043"/>
      <c r="AH49" s="1043"/>
      <c r="AI49" s="1043"/>
      <c r="AJ49" s="1043"/>
      <c r="AK49" s="1043"/>
      <c r="AL49" s="1043"/>
      <c r="AM49" s="1043"/>
      <c r="AN49" s="1043"/>
      <c r="AO49" s="1043"/>
      <c r="AP49" s="1043"/>
      <c r="AQ49" s="1043"/>
      <c r="AR49" s="1043"/>
      <c r="AS49" s="1043"/>
    </row>
    <row r="50" spans="1:77" s="1003" customFormat="1" ht="12.75" customHeight="1">
      <c r="A50" s="1019" t="s">
        <v>4488</v>
      </c>
      <c r="B50" s="1204" t="s">
        <v>4489</v>
      </c>
      <c r="C50" s="1204"/>
      <c r="D50" s="1020">
        <v>228.03190279146099</v>
      </c>
      <c r="E50" s="1020">
        <v>88.522174387196301</v>
      </c>
      <c r="F50" s="1020">
        <v>82.428760235806394</v>
      </c>
      <c r="G50" s="1020">
        <v>85.812246968189797</v>
      </c>
      <c r="H50" s="1020">
        <v>86.667442343449295</v>
      </c>
      <c r="I50" s="1020">
        <v>70.579844765858098</v>
      </c>
      <c r="J50" s="1020">
        <v>186.17060200556801</v>
      </c>
      <c r="K50" s="1020">
        <v>60.944092936288101</v>
      </c>
      <c r="L50" s="1020">
        <v>71.828624281076102</v>
      </c>
      <c r="M50" s="1020">
        <v>102.31958956185601</v>
      </c>
      <c r="N50" s="1020">
        <v>77.811601179622798</v>
      </c>
      <c r="O50" s="1020">
        <v>29.818454051407201</v>
      </c>
      <c r="P50" s="1020">
        <v>0</v>
      </c>
      <c r="Q50" s="1020">
        <v>0</v>
      </c>
      <c r="R50" s="1020">
        <v>187.34738852647001</v>
      </c>
      <c r="S50" s="1020">
        <v>85.232291125242895</v>
      </c>
      <c r="T50" s="1020">
        <v>78.103668702290094</v>
      </c>
      <c r="U50" s="1020">
        <v>72.986905758427</v>
      </c>
      <c r="V50" s="1020">
        <v>68.595453974663897</v>
      </c>
      <c r="W50" s="1020">
        <v>177.80836955538101</v>
      </c>
      <c r="X50" s="1020">
        <v>287.69333537323502</v>
      </c>
      <c r="Y50" s="1020">
        <v>89.227719563419896</v>
      </c>
      <c r="Z50" s="1020">
        <v>102.478274118549</v>
      </c>
      <c r="AA50" s="1020">
        <v>96.279650245298399</v>
      </c>
      <c r="AB50" s="1020">
        <v>97.533422048578402</v>
      </c>
      <c r="AC50" s="1020">
        <v>195.07896880992701</v>
      </c>
      <c r="AD50" s="1020">
        <v>97.912413999181297</v>
      </c>
      <c r="AE50" s="1020">
        <v>75.955606828832899</v>
      </c>
      <c r="AF50" s="1020">
        <v>85.210196199683807</v>
      </c>
      <c r="AG50" s="1020">
        <v>29.117314111731801</v>
      </c>
      <c r="AH50" s="1020">
        <v>256.654877149588</v>
      </c>
      <c r="AI50" s="1020">
        <v>32.0579271231897</v>
      </c>
      <c r="AJ50" s="1020">
        <v>180.033992708282</v>
      </c>
      <c r="AK50" s="1020">
        <v>267.33896428386498</v>
      </c>
      <c r="AL50" s="1020">
        <v>120.75734593698201</v>
      </c>
      <c r="AM50" s="1020">
        <v>424.268894194675</v>
      </c>
      <c r="AN50" s="1020">
        <v>265.50856865514402</v>
      </c>
      <c r="AO50" s="1020">
        <v>329.46982129159602</v>
      </c>
      <c r="AP50" s="1020">
        <v>118.902345211308</v>
      </c>
      <c r="AQ50" s="1020">
        <v>183.44886185366201</v>
      </c>
      <c r="AR50" s="1020">
        <v>198.50328587464901</v>
      </c>
      <c r="AS50" s="1020">
        <v>67.564625650793602</v>
      </c>
    </row>
    <row r="51" spans="1:77" s="1003" customFormat="1" ht="12.75" customHeight="1">
      <c r="A51" s="1004" t="s">
        <v>4490</v>
      </c>
      <c r="B51" s="1004" t="s">
        <v>4491</v>
      </c>
      <c r="C51" s="1004"/>
      <c r="D51" s="1021">
        <v>228.03190279146099</v>
      </c>
      <c r="E51" s="1021">
        <v>88.522174387196301</v>
      </c>
      <c r="F51" s="1021">
        <v>82.428760235806394</v>
      </c>
      <c r="G51" s="1021">
        <v>85.812246968189797</v>
      </c>
      <c r="H51" s="1021">
        <v>86.667442343449295</v>
      </c>
      <c r="I51" s="1021">
        <v>70.579844765858098</v>
      </c>
      <c r="J51" s="1021">
        <v>186.17060200556801</v>
      </c>
      <c r="K51" s="1021">
        <v>60.944092936288101</v>
      </c>
      <c r="L51" s="1021">
        <v>71.828624281076102</v>
      </c>
      <c r="M51" s="1021">
        <v>102.31958956185601</v>
      </c>
      <c r="N51" s="1021">
        <v>77.811601179622798</v>
      </c>
      <c r="O51" s="1021">
        <v>29.818454051407201</v>
      </c>
      <c r="P51" s="1021">
        <v>0</v>
      </c>
      <c r="Q51" s="1021">
        <v>0</v>
      </c>
      <c r="R51" s="1021">
        <v>187.34738852647001</v>
      </c>
      <c r="S51" s="1021">
        <v>85.232291125242895</v>
      </c>
      <c r="T51" s="1021">
        <v>78.103668702290094</v>
      </c>
      <c r="U51" s="1021">
        <v>72.986905758427</v>
      </c>
      <c r="V51" s="1021">
        <v>68.595453974663897</v>
      </c>
      <c r="W51" s="1021">
        <v>177.80836955538101</v>
      </c>
      <c r="X51" s="1021">
        <v>287.69333537323502</v>
      </c>
      <c r="Y51" s="1021">
        <v>89.227719563419896</v>
      </c>
      <c r="Z51" s="1021">
        <v>102.478274118549</v>
      </c>
      <c r="AA51" s="1021">
        <v>96.279650245298399</v>
      </c>
      <c r="AB51" s="1021">
        <v>97.533422048578402</v>
      </c>
      <c r="AC51" s="1021">
        <v>195.07896880992701</v>
      </c>
      <c r="AD51" s="1021">
        <v>97.912413999181297</v>
      </c>
      <c r="AE51" s="1021">
        <v>75.955606828832899</v>
      </c>
      <c r="AF51" s="1021">
        <v>85.210196199683807</v>
      </c>
      <c r="AG51" s="1021">
        <v>29.117314111731801</v>
      </c>
      <c r="AH51" s="1021">
        <v>256.654877149588</v>
      </c>
      <c r="AI51" s="1021">
        <v>32.0579271231897</v>
      </c>
      <c r="AJ51" s="1021">
        <v>180.033992708282</v>
      </c>
      <c r="AK51" s="1021">
        <v>267.33896428386498</v>
      </c>
      <c r="AL51" s="1021">
        <v>120.75734593698201</v>
      </c>
      <c r="AM51" s="1021">
        <v>424.268894194675</v>
      </c>
      <c r="AN51" s="1021">
        <v>265.50856865514402</v>
      </c>
      <c r="AO51" s="1021">
        <v>329.46982129159602</v>
      </c>
      <c r="AP51" s="1021">
        <v>118.902345211308</v>
      </c>
      <c r="AQ51" s="1021">
        <v>183.44886185366201</v>
      </c>
      <c r="AR51" s="1021">
        <v>198.50328587464901</v>
      </c>
      <c r="AS51" s="1021">
        <v>67.564625650793602</v>
      </c>
    </row>
    <row r="52" spans="1:77" s="1003" customFormat="1" ht="12.75" customHeight="1">
      <c r="A52" s="1004" t="s">
        <v>4492</v>
      </c>
      <c r="B52" s="1004" t="s">
        <v>4493</v>
      </c>
      <c r="C52" s="1004"/>
      <c r="D52" s="1021">
        <v>0</v>
      </c>
      <c r="E52" s="1021">
        <v>0</v>
      </c>
      <c r="F52" s="1021">
        <v>0</v>
      </c>
      <c r="G52" s="1021">
        <v>0</v>
      </c>
      <c r="H52" s="1021">
        <v>0</v>
      </c>
      <c r="I52" s="1021">
        <v>0</v>
      </c>
      <c r="J52" s="1021">
        <v>0</v>
      </c>
      <c r="K52" s="1021">
        <v>0</v>
      </c>
      <c r="L52" s="1021">
        <v>0</v>
      </c>
      <c r="M52" s="1021">
        <v>0</v>
      </c>
      <c r="N52" s="1021">
        <v>0</v>
      </c>
      <c r="O52" s="1021">
        <v>0</v>
      </c>
      <c r="P52" s="1021">
        <v>0</v>
      </c>
      <c r="Q52" s="1021">
        <v>0</v>
      </c>
      <c r="R52" s="1021">
        <v>0</v>
      </c>
      <c r="S52" s="1021">
        <v>0</v>
      </c>
      <c r="T52" s="1021">
        <v>0</v>
      </c>
      <c r="U52" s="1021">
        <v>0</v>
      </c>
      <c r="V52" s="1021">
        <v>0</v>
      </c>
      <c r="W52" s="1021">
        <v>0</v>
      </c>
      <c r="X52" s="1021">
        <v>0</v>
      </c>
      <c r="Y52" s="1021">
        <v>0</v>
      </c>
      <c r="Z52" s="1021">
        <v>0</v>
      </c>
      <c r="AA52" s="1021">
        <v>0</v>
      </c>
      <c r="AB52" s="1021">
        <v>0</v>
      </c>
      <c r="AC52" s="1021">
        <v>0</v>
      </c>
      <c r="AD52" s="1021">
        <v>0</v>
      </c>
      <c r="AE52" s="1021">
        <v>0</v>
      </c>
      <c r="AF52" s="1021">
        <v>0</v>
      </c>
      <c r="AG52" s="1021">
        <v>0</v>
      </c>
      <c r="AH52" s="1021">
        <v>0</v>
      </c>
      <c r="AI52" s="1021">
        <v>0</v>
      </c>
      <c r="AJ52" s="1021">
        <v>0</v>
      </c>
      <c r="AK52" s="1021">
        <v>0</v>
      </c>
      <c r="AL52" s="1021">
        <v>0</v>
      </c>
      <c r="AM52" s="1021">
        <v>0</v>
      </c>
      <c r="AN52" s="1021">
        <v>0</v>
      </c>
      <c r="AO52" s="1021">
        <v>0</v>
      </c>
      <c r="AP52" s="1021">
        <v>0</v>
      </c>
      <c r="AQ52" s="1021">
        <v>0</v>
      </c>
      <c r="AR52" s="1021">
        <v>0</v>
      </c>
      <c r="AS52" s="1021">
        <v>0</v>
      </c>
    </row>
    <row r="53" spans="1:77" s="1025" customFormat="1" ht="12.75" customHeight="1">
      <c r="A53" s="1033"/>
      <c r="B53" s="1034"/>
      <c r="C53" s="1034"/>
      <c r="D53" s="1035"/>
      <c r="E53" s="1035"/>
      <c r="F53" s="1035"/>
      <c r="G53" s="1035"/>
      <c r="H53" s="1035"/>
      <c r="I53" s="1035"/>
      <c r="J53" s="1035"/>
      <c r="K53" s="1035"/>
      <c r="L53" s="1035"/>
      <c r="M53" s="1035"/>
      <c r="N53" s="1035"/>
      <c r="O53" s="1035"/>
      <c r="P53" s="1035"/>
      <c r="Q53" s="1035"/>
      <c r="R53" s="1035"/>
      <c r="S53" s="1035"/>
      <c r="T53" s="1035"/>
      <c r="U53" s="1035"/>
      <c r="V53" s="1035"/>
      <c r="W53" s="1035"/>
      <c r="X53" s="1035"/>
      <c r="Y53" s="1035"/>
      <c r="Z53" s="1035"/>
      <c r="AA53" s="1035"/>
      <c r="AB53" s="1035"/>
      <c r="AC53" s="1035"/>
      <c r="AD53" s="1035"/>
      <c r="AE53" s="1035"/>
      <c r="AF53" s="1035"/>
      <c r="AG53" s="1035"/>
      <c r="AH53" s="1035"/>
      <c r="AI53" s="1035"/>
      <c r="AJ53" s="1035"/>
      <c r="AK53" s="1035"/>
      <c r="AL53" s="1035"/>
      <c r="AM53" s="1024"/>
      <c r="AN53" s="1024"/>
      <c r="AO53" s="1024"/>
      <c r="AP53" s="1024"/>
      <c r="AQ53" s="1024"/>
      <c r="AR53" s="1024"/>
      <c r="AS53" s="1024"/>
    </row>
    <row r="54" spans="1:77" s="1003" customFormat="1" ht="12.75" customHeight="1">
      <c r="A54" s="1031" t="s">
        <v>4494</v>
      </c>
      <c r="B54" s="1203" t="s">
        <v>4495</v>
      </c>
      <c r="C54" s="1203"/>
      <c r="D54" s="1028">
        <v>245.765915106732</v>
      </c>
      <c r="E54" s="1028">
        <v>-166.22212309679901</v>
      </c>
      <c r="F54" s="1028">
        <v>-100.908329199465</v>
      </c>
      <c r="G54" s="1028">
        <v>25.214161331305601</v>
      </c>
      <c r="H54" s="1028">
        <v>-6.21814230949603</v>
      </c>
      <c r="I54" s="1028">
        <v>-187.378421260864</v>
      </c>
      <c r="J54" s="1028">
        <v>-133.06260635597201</v>
      </c>
      <c r="K54" s="1028">
        <v>287.43815974070202</v>
      </c>
      <c r="L54" s="1028">
        <v>125.835021173469</v>
      </c>
      <c r="M54" s="1028">
        <v>-359.79380889175297</v>
      </c>
      <c r="N54" s="1028">
        <v>-92.2262962993249</v>
      </c>
      <c r="O54" s="1028">
        <v>-86.289751652842796</v>
      </c>
      <c r="P54" s="1028">
        <v>1511.38235294118</v>
      </c>
      <c r="Q54" s="1028">
        <v>2738.8</v>
      </c>
      <c r="R54" s="1028">
        <v>-133.10750222310401</v>
      </c>
      <c r="S54" s="1028">
        <v>354.46388590708398</v>
      </c>
      <c r="T54" s="1028">
        <v>-667.17558732422697</v>
      </c>
      <c r="U54" s="1028">
        <v>-324.90643064918902</v>
      </c>
      <c r="V54" s="1028">
        <v>196.597911694418</v>
      </c>
      <c r="W54" s="1028">
        <v>10.1122074857368</v>
      </c>
      <c r="X54" s="1028">
        <v>-383.80968174176201</v>
      </c>
      <c r="Y54" s="1028">
        <v>431.36762232512001</v>
      </c>
      <c r="Z54" s="1028">
        <v>-157.80534034236101</v>
      </c>
      <c r="AA54" s="1028">
        <v>-398.28289509403101</v>
      </c>
      <c r="AB54" s="1028">
        <v>15.627911899830501</v>
      </c>
      <c r="AC54" s="1028">
        <v>31.500291285955999</v>
      </c>
      <c r="AD54" s="1028">
        <v>-237.94519361440899</v>
      </c>
      <c r="AE54" s="1028">
        <v>439.66905600153001</v>
      </c>
      <c r="AF54" s="1028">
        <v>61.907616772062099</v>
      </c>
      <c r="AG54" s="1028">
        <v>-69.268148005586596</v>
      </c>
      <c r="AH54" s="1028">
        <v>-6739.2225482921103</v>
      </c>
      <c r="AI54" s="1028">
        <v>-23.4759881280171</v>
      </c>
      <c r="AJ54" s="1028">
        <v>395.921766594747</v>
      </c>
      <c r="AK54" s="1028">
        <v>-224.63754766207501</v>
      </c>
      <c r="AL54" s="1028">
        <v>47.318920093974498</v>
      </c>
      <c r="AM54" s="1028">
        <v>3466.3465559581</v>
      </c>
      <c r="AN54" s="1028">
        <v>120.324975471109</v>
      </c>
      <c r="AO54" s="1028">
        <v>-361.28029562887798</v>
      </c>
      <c r="AP54" s="1028">
        <v>-72.674096718592196</v>
      </c>
      <c r="AQ54" s="1028">
        <v>-223.42680448844499</v>
      </c>
      <c r="AR54" s="1028">
        <v>-1964.2656969130001</v>
      </c>
      <c r="AS54" s="1028">
        <v>-1.9259149901738499</v>
      </c>
    </row>
    <row r="55" spans="1:77" s="1003" customFormat="1" ht="12.75" customHeight="1">
      <c r="A55" s="1044"/>
      <c r="B55" s="1045"/>
      <c r="C55" s="1045"/>
      <c r="D55" s="1039"/>
      <c r="E55" s="1039"/>
      <c r="F55" s="1039"/>
      <c r="G55" s="1039"/>
      <c r="H55" s="1039"/>
      <c r="I55" s="1039"/>
      <c r="J55" s="1039"/>
      <c r="K55" s="1039"/>
      <c r="L55" s="1039"/>
      <c r="M55" s="1039"/>
      <c r="N55" s="1039"/>
      <c r="O55" s="1039"/>
      <c r="P55" s="1039"/>
      <c r="Q55" s="1039"/>
      <c r="R55" s="1039"/>
      <c r="S55" s="1039"/>
      <c r="T55" s="1039"/>
      <c r="U55" s="1039"/>
      <c r="V55" s="1039"/>
      <c r="W55" s="1039"/>
      <c r="X55" s="1039"/>
      <c r="Y55" s="1039"/>
      <c r="Z55" s="1039"/>
      <c r="AA55" s="1039"/>
      <c r="AB55" s="1039"/>
      <c r="AC55" s="1039"/>
      <c r="AD55" s="1039"/>
      <c r="AE55" s="1039"/>
      <c r="AF55" s="1039"/>
      <c r="AG55" s="1039"/>
      <c r="AH55" s="1039"/>
      <c r="AI55" s="1039"/>
      <c r="AJ55" s="1039"/>
      <c r="AK55" s="1039"/>
      <c r="AL55" s="1039"/>
      <c r="AM55" s="1039"/>
      <c r="AN55" s="1039"/>
      <c r="AO55" s="1039"/>
      <c r="AP55" s="1039"/>
      <c r="AQ55" s="1039"/>
      <c r="AR55" s="1039"/>
      <c r="AS55" s="1039"/>
    </row>
    <row r="56" spans="1:77" s="1003" customFormat="1" ht="12.75" customHeight="1">
      <c r="A56" s="1046" t="s">
        <v>4496</v>
      </c>
      <c r="B56" s="1205" t="s">
        <v>4497</v>
      </c>
      <c r="C56" s="1205"/>
      <c r="D56" s="1047">
        <v>24966.1271063805</v>
      </c>
      <c r="E56" s="1047">
        <v>1165.8202843655999</v>
      </c>
      <c r="F56" s="1047">
        <v>996.27842264904996</v>
      </c>
      <c r="G56" s="1047">
        <v>1081.81939867903</v>
      </c>
      <c r="H56" s="1047">
        <v>955.98571478654503</v>
      </c>
      <c r="I56" s="1047">
        <v>847.28241227785702</v>
      </c>
      <c r="J56" s="1047">
        <v>2537.0373580278101</v>
      </c>
      <c r="K56" s="1047">
        <v>3244.9332087246298</v>
      </c>
      <c r="L56" s="1047">
        <v>1287.8999133464699</v>
      </c>
      <c r="M56" s="1047">
        <v>5791.6237154639202</v>
      </c>
      <c r="N56" s="1047">
        <v>562.85056679831598</v>
      </c>
      <c r="O56" s="1047">
        <v>108.879147362892</v>
      </c>
      <c r="P56" s="1047">
        <v>14983.607843137301</v>
      </c>
      <c r="Q56" s="1047">
        <v>25116</v>
      </c>
      <c r="R56" s="1047">
        <v>1608.6308642266799</v>
      </c>
      <c r="S56" s="1047">
        <v>3100.08478684685</v>
      </c>
      <c r="T56" s="1047">
        <v>3825.2912680393702</v>
      </c>
      <c r="U56" s="1047">
        <v>3459.5349885611699</v>
      </c>
      <c r="V56" s="1047">
        <v>2576.42306991757</v>
      </c>
      <c r="W56" s="1047">
        <v>2971.7292262443402</v>
      </c>
      <c r="X56" s="1047">
        <v>4291.8628390551403</v>
      </c>
      <c r="Y56" s="1047">
        <v>3330.01489282289</v>
      </c>
      <c r="Z56" s="1047">
        <v>2985.50081517629</v>
      </c>
      <c r="AA56" s="1047">
        <v>4628.6181088716303</v>
      </c>
      <c r="AB56" s="1047">
        <v>4027.4524955187399</v>
      </c>
      <c r="AC56" s="1047">
        <v>3940.1015201917699</v>
      </c>
      <c r="AD56" s="1047">
        <v>3410.6426674580398</v>
      </c>
      <c r="AE56" s="1047">
        <v>1963.8250487423099</v>
      </c>
      <c r="AF56" s="1047">
        <v>1041.4467750050701</v>
      </c>
      <c r="AG56" s="1047">
        <v>575.20668986033502</v>
      </c>
      <c r="AH56" s="1047">
        <v>27645.465176796199</v>
      </c>
      <c r="AI56" s="1047">
        <v>15692.6516908099</v>
      </c>
      <c r="AJ56" s="1047">
        <v>8996.3942162915391</v>
      </c>
      <c r="AK56" s="1047">
        <v>7814.70849400114</v>
      </c>
      <c r="AL56" s="1047">
        <v>8159.2869241569897</v>
      </c>
      <c r="AM56" s="1047">
        <v>9197.3810687472705</v>
      </c>
      <c r="AN56" s="1047">
        <v>10475.9353985077</v>
      </c>
      <c r="AO56" s="1047">
        <v>7187.56344424704</v>
      </c>
      <c r="AP56" s="1047">
        <v>1720.26531893841</v>
      </c>
      <c r="AQ56" s="1047">
        <v>1673.45335733662</v>
      </c>
      <c r="AR56" s="1047">
        <v>8519.5198617087608</v>
      </c>
      <c r="AS56" s="1047">
        <v>902.13754401209405</v>
      </c>
    </row>
    <row r="57" spans="1:77" s="1051" customFormat="1" ht="12.75" customHeight="1">
      <c r="A57" s="1048" t="s">
        <v>4498</v>
      </c>
      <c r="B57" s="1048"/>
      <c r="C57" s="1048"/>
      <c r="D57" s="1049"/>
      <c r="E57" s="1049"/>
      <c r="F57" s="1049"/>
      <c r="G57" s="1049"/>
      <c r="H57" s="1049"/>
      <c r="I57" s="1049"/>
      <c r="J57" s="1049"/>
      <c r="K57" s="1049"/>
      <c r="L57" s="1049"/>
      <c r="M57" s="1049"/>
      <c r="N57" s="1049"/>
      <c r="O57" s="1049"/>
      <c r="P57" s="1049"/>
      <c r="Q57" s="1049"/>
      <c r="R57" s="1049"/>
      <c r="S57" s="1049"/>
      <c r="T57" s="1049"/>
      <c r="U57" s="1049"/>
      <c r="V57" s="1049"/>
      <c r="W57" s="1049"/>
      <c r="X57" s="1049"/>
      <c r="Y57" s="1049"/>
      <c r="Z57" s="1049"/>
      <c r="AA57" s="1049"/>
      <c r="AB57" s="1049"/>
      <c r="AC57" s="1049"/>
      <c r="AD57" s="1049"/>
      <c r="AE57" s="1049"/>
      <c r="AF57" s="1049"/>
      <c r="AG57" s="1049"/>
      <c r="AH57" s="1049"/>
      <c r="AI57" s="1049"/>
      <c r="AJ57" s="1049"/>
      <c r="AK57" s="1049"/>
      <c r="AL57" s="1049"/>
      <c r="AM57" s="1049"/>
      <c r="AN57" s="1049"/>
      <c r="AO57" s="1049"/>
      <c r="AP57" s="1049"/>
      <c r="AQ57" s="1049"/>
      <c r="AR57" s="1049"/>
      <c r="AS57" s="1049"/>
      <c r="AT57" s="1050"/>
      <c r="AU57" s="1050"/>
      <c r="AV57" s="1050"/>
      <c r="AW57" s="1050"/>
      <c r="AX57" s="1050"/>
      <c r="AY57" s="1050"/>
      <c r="AZ57" s="1050"/>
      <c r="BA57" s="1050"/>
      <c r="BB57" s="1050"/>
      <c r="BC57" s="1050"/>
      <c r="BD57" s="1050"/>
      <c r="BE57" s="1050"/>
      <c r="BF57" s="1050"/>
      <c r="BG57" s="1050"/>
      <c r="BH57" s="1050"/>
      <c r="BI57" s="1050"/>
      <c r="BJ57" s="1050"/>
      <c r="BK57" s="1050"/>
      <c r="BL57" s="1050"/>
      <c r="BM57" s="1050"/>
      <c r="BN57" s="1050"/>
      <c r="BO57" s="1050"/>
      <c r="BP57" s="1050"/>
      <c r="BQ57" s="1050"/>
      <c r="BR57" s="1050"/>
      <c r="BS57" s="1050"/>
      <c r="BT57" s="1050"/>
      <c r="BU57" s="1050"/>
      <c r="BV57" s="1050"/>
      <c r="BW57" s="1050"/>
      <c r="BX57" s="1050"/>
      <c r="BY57" s="1050"/>
    </row>
    <row r="58" spans="1:77" s="1051" customFormat="1">
      <c r="A58" s="1048" t="s">
        <v>4499</v>
      </c>
      <c r="B58" s="1048"/>
      <c r="C58" s="1048"/>
      <c r="D58" s="1049"/>
      <c r="E58" s="1049"/>
      <c r="F58" s="1049"/>
      <c r="G58" s="1049"/>
      <c r="H58" s="1049"/>
      <c r="I58" s="1049"/>
      <c r="J58" s="1049"/>
      <c r="K58" s="1049"/>
      <c r="L58" s="1049"/>
      <c r="M58" s="1049"/>
      <c r="N58" s="1049"/>
      <c r="O58" s="1049"/>
      <c r="P58" s="1049"/>
      <c r="Q58" s="1049"/>
      <c r="R58" s="1049"/>
      <c r="S58" s="1049"/>
      <c r="T58" s="1049"/>
      <c r="U58" s="1049"/>
      <c r="V58" s="1049"/>
      <c r="W58" s="1049"/>
      <c r="X58" s="1049"/>
      <c r="Y58" s="1049"/>
      <c r="Z58" s="1049"/>
      <c r="AA58" s="1049"/>
      <c r="AB58" s="1049"/>
      <c r="AC58" s="1049"/>
      <c r="AD58" s="1049"/>
      <c r="AE58" s="1049"/>
      <c r="AF58" s="1049"/>
      <c r="AG58" s="1049"/>
      <c r="AH58" s="1049"/>
      <c r="AI58" s="1049"/>
      <c r="AJ58" s="1049"/>
      <c r="AK58" s="1049"/>
      <c r="AL58" s="1049"/>
      <c r="AM58" s="1049"/>
      <c r="AN58" s="1049"/>
      <c r="AO58" s="1049"/>
      <c r="AP58" s="1049"/>
      <c r="AQ58" s="1049"/>
      <c r="AR58" s="1049"/>
      <c r="AS58" s="1049"/>
      <c r="AT58" s="1050"/>
      <c r="AU58" s="1050"/>
      <c r="AV58" s="1050"/>
      <c r="AW58" s="1050"/>
      <c r="AX58" s="1050"/>
      <c r="AY58" s="1050"/>
      <c r="AZ58" s="1050"/>
      <c r="BA58" s="1050"/>
      <c r="BB58" s="1050"/>
      <c r="BC58" s="1050"/>
      <c r="BD58" s="1050"/>
      <c r="BE58" s="1050"/>
      <c r="BF58" s="1050"/>
      <c r="BG58" s="1050"/>
      <c r="BH58" s="1050"/>
      <c r="BI58" s="1050"/>
      <c r="BJ58" s="1050"/>
      <c r="BK58" s="1050"/>
      <c r="BL58" s="1050"/>
      <c r="BM58" s="1050"/>
      <c r="BN58" s="1050"/>
      <c r="BO58" s="1050"/>
      <c r="BP58" s="1050"/>
      <c r="BQ58" s="1050"/>
      <c r="BR58" s="1050"/>
      <c r="BS58" s="1050"/>
      <c r="BT58" s="1050"/>
      <c r="BU58" s="1050"/>
      <c r="BV58" s="1050"/>
      <c r="BW58" s="1050"/>
      <c r="BX58" s="1050"/>
      <c r="BY58" s="1050"/>
    </row>
    <row r="59" spans="1:77" s="1052" customFormat="1">
      <c r="A59" s="1048" t="s">
        <v>4500</v>
      </c>
      <c r="B59" s="1048"/>
      <c r="C59" s="1048"/>
      <c r="D59" s="1049"/>
      <c r="E59" s="1049"/>
      <c r="F59" s="1049"/>
      <c r="G59" s="1049"/>
      <c r="H59" s="1049"/>
      <c r="I59" s="1049"/>
      <c r="J59" s="1049"/>
      <c r="K59" s="1049"/>
      <c r="L59" s="1049"/>
      <c r="M59" s="1049"/>
      <c r="N59" s="1049"/>
      <c r="O59" s="1049"/>
      <c r="P59" s="1049"/>
      <c r="Q59" s="1049"/>
      <c r="R59" s="1049"/>
      <c r="S59" s="1049"/>
      <c r="T59" s="1049"/>
      <c r="U59" s="1049"/>
      <c r="V59" s="1049"/>
      <c r="W59" s="1049"/>
      <c r="X59" s="1049"/>
      <c r="Y59" s="1049"/>
      <c r="Z59" s="1049"/>
      <c r="AA59" s="1049"/>
      <c r="AB59" s="1049"/>
      <c r="AC59" s="1049"/>
      <c r="AD59" s="1049"/>
      <c r="AE59" s="1049"/>
      <c r="AF59" s="1049"/>
      <c r="AG59" s="1049"/>
      <c r="AH59" s="1049"/>
      <c r="AI59" s="1049"/>
      <c r="AJ59" s="1049"/>
      <c r="AK59" s="1049"/>
      <c r="AL59" s="1049"/>
      <c r="AM59" s="1049"/>
      <c r="AN59" s="1049"/>
      <c r="AO59" s="1049"/>
      <c r="AP59" s="1049"/>
      <c r="AQ59" s="1049"/>
      <c r="AR59" s="1049"/>
      <c r="AS59" s="1049"/>
      <c r="AT59" s="1050"/>
      <c r="AU59" s="1050"/>
      <c r="AV59" s="1050"/>
      <c r="AW59" s="1050"/>
      <c r="AX59" s="1050"/>
      <c r="AY59" s="1050"/>
      <c r="AZ59" s="1050"/>
      <c r="BA59" s="1050"/>
      <c r="BB59" s="1050"/>
      <c r="BC59" s="1050"/>
      <c r="BD59" s="1050"/>
      <c r="BE59" s="1050"/>
      <c r="BF59" s="1050"/>
      <c r="BG59" s="1050"/>
      <c r="BH59" s="1050"/>
      <c r="BI59" s="1050"/>
      <c r="BJ59" s="1050"/>
      <c r="BK59" s="1050"/>
      <c r="BL59" s="1050"/>
      <c r="BM59" s="1050"/>
      <c r="BN59" s="1050"/>
      <c r="BO59" s="1050"/>
      <c r="BP59" s="1050"/>
      <c r="BQ59" s="1050"/>
      <c r="BR59" s="1050"/>
      <c r="BS59" s="1050"/>
      <c r="BT59" s="1050"/>
      <c r="BU59" s="1050"/>
      <c r="BV59" s="1050"/>
      <c r="BW59" s="1050"/>
      <c r="BX59" s="1050"/>
      <c r="BY59" s="1050"/>
    </row>
    <row r="60" spans="1:77" s="564" customFormat="1">
      <c r="A60"/>
      <c r="B60"/>
      <c r="D60"/>
      <c r="E60"/>
      <c r="F60"/>
      <c r="G60"/>
      <c r="H60"/>
      <c r="I60"/>
      <c r="M60"/>
      <c r="N60"/>
      <c r="O60"/>
      <c r="S60"/>
      <c r="T60"/>
      <c r="U60"/>
      <c r="AD60"/>
      <c r="AE60"/>
      <c r="AF60"/>
      <c r="AG60"/>
      <c r="AH60"/>
      <c r="AI60"/>
      <c r="AJ60"/>
      <c r="AK60"/>
      <c r="AL60"/>
      <c r="AM60"/>
      <c r="AN60"/>
      <c r="AO60"/>
      <c r="AP60"/>
      <c r="AQ60"/>
      <c r="AR60"/>
    </row>
    <row r="61" spans="1:77" s="564" customFormat="1">
      <c r="A61"/>
      <c r="B61"/>
      <c r="D61"/>
      <c r="E61"/>
      <c r="F61"/>
      <c r="G61"/>
      <c r="H61"/>
      <c r="P61"/>
      <c r="Q61"/>
      <c r="R61"/>
      <c r="AA61"/>
      <c r="AB61"/>
      <c r="AC61"/>
      <c r="AD61"/>
      <c r="AE61"/>
      <c r="AF61"/>
      <c r="AG61"/>
      <c r="AH61"/>
      <c r="AI61"/>
      <c r="AJ61"/>
      <c r="AK61"/>
      <c r="AL61"/>
      <c r="AM61"/>
      <c r="AO61"/>
    </row>
    <row r="62" spans="1:77" s="564" customFormat="1">
      <c r="A62"/>
      <c r="B62"/>
      <c r="D62" s="846"/>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6"/>
      <c r="AC62" s="846"/>
      <c r="AD62" s="846"/>
      <c r="AE62" s="846"/>
      <c r="AF62" s="846"/>
      <c r="AG62" s="846"/>
      <c r="AH62" s="846"/>
      <c r="AI62" s="846"/>
      <c r="AJ62" s="846"/>
      <c r="AK62" s="846"/>
      <c r="AL62" s="846"/>
      <c r="AM62" s="846"/>
      <c r="AN62" s="846"/>
      <c r="AO62" s="846"/>
      <c r="AP62" s="846"/>
      <c r="AQ62" s="846"/>
      <c r="AR62" s="846"/>
      <c r="AS62" s="846"/>
    </row>
    <row r="63" spans="1:77" s="564" customFormat="1">
      <c r="A63"/>
      <c r="B63"/>
      <c r="D63" s="846"/>
      <c r="E63" s="846"/>
      <c r="F63" s="846"/>
      <c r="G63" s="846"/>
      <c r="H63" s="846"/>
      <c r="I63" s="846"/>
      <c r="J63" s="846"/>
      <c r="K63" s="846"/>
      <c r="L63" s="846"/>
      <c r="M63" s="846"/>
      <c r="N63" s="846"/>
      <c r="O63" s="846"/>
      <c r="P63" s="846"/>
      <c r="Q63" s="846"/>
      <c r="R63" s="846"/>
      <c r="S63" s="846"/>
      <c r="T63" s="846"/>
      <c r="U63" s="846"/>
      <c r="V63" s="846"/>
      <c r="W63" s="846"/>
      <c r="X63" s="846"/>
      <c r="Y63" s="846"/>
      <c r="Z63" s="846"/>
      <c r="AA63" s="846"/>
      <c r="AB63" s="846"/>
      <c r="AC63" s="846"/>
      <c r="AD63" s="846"/>
      <c r="AE63" s="846"/>
      <c r="AF63" s="846"/>
      <c r="AG63" s="846"/>
      <c r="AH63" s="846"/>
      <c r="AI63" s="846"/>
      <c r="AJ63" s="846"/>
      <c r="AK63" s="846"/>
      <c r="AL63" s="846"/>
      <c r="AM63" s="846"/>
      <c r="AN63" s="846"/>
      <c r="AO63" s="846"/>
      <c r="AP63" s="846"/>
      <c r="AQ63" s="846"/>
      <c r="AR63" s="846"/>
      <c r="AS63" s="846"/>
      <c r="AT63" s="846"/>
    </row>
  </sheetData>
  <mergeCells count="11">
    <mergeCell ref="B33:C33"/>
    <mergeCell ref="A4:B4"/>
    <mergeCell ref="C4:D4"/>
    <mergeCell ref="B10:C10"/>
    <mergeCell ref="B20:C20"/>
    <mergeCell ref="B31:C31"/>
    <mergeCell ref="B44:C44"/>
    <mergeCell ref="B48:C48"/>
    <mergeCell ref="B50:C50"/>
    <mergeCell ref="B54:C54"/>
    <mergeCell ref="B56:C56"/>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F35" sqref="F35"/>
    </sheetView>
  </sheetViews>
  <sheetFormatPr defaultRowHeight="15"/>
  <cols>
    <col min="1" max="1" width="20.140625" customWidth="1"/>
    <col min="2" max="2" width="16.28515625" customWidth="1"/>
    <col min="3" max="3" width="14.7109375" customWidth="1"/>
    <col min="4" max="4" width="21.42578125" customWidth="1"/>
    <col min="5" max="5" width="12.7109375" bestFit="1" customWidth="1"/>
  </cols>
  <sheetData>
    <row r="1" spans="1:5">
      <c r="A1" s="973" t="s">
        <v>4340</v>
      </c>
      <c r="B1" t="s">
        <v>4638</v>
      </c>
    </row>
    <row r="2" spans="1:5">
      <c r="A2" s="51" t="s">
        <v>4544</v>
      </c>
      <c r="B2" s="779">
        <v>71701.898059247542</v>
      </c>
    </row>
    <row r="3" spans="1:5">
      <c r="A3" s="51" t="s">
        <v>4545</v>
      </c>
      <c r="B3" s="779">
        <v>13546.382682688116</v>
      </c>
      <c r="D3" s="779"/>
      <c r="E3" s="779"/>
    </row>
    <row r="4" spans="1:5">
      <c r="A4" s="51" t="s">
        <v>4546</v>
      </c>
      <c r="B4" s="779">
        <v>7667.7483847827061</v>
      </c>
      <c r="D4" s="779"/>
      <c r="E4" s="779"/>
    </row>
    <row r="5" spans="1:5">
      <c r="A5" s="51" t="s">
        <v>4547</v>
      </c>
      <c r="B5" s="779">
        <v>7531.6791277342309</v>
      </c>
      <c r="D5" s="779"/>
      <c r="E5" s="779"/>
    </row>
    <row r="6" spans="1:5">
      <c r="A6" s="51" t="s">
        <v>4548</v>
      </c>
      <c r="B6" s="779">
        <v>7635.1492536966916</v>
      </c>
      <c r="D6" s="779"/>
      <c r="E6" s="779"/>
    </row>
    <row r="7" spans="1:5">
      <c r="A7" s="51" t="s">
        <v>4341</v>
      </c>
      <c r="B7" s="779">
        <v>28672.162222215098</v>
      </c>
      <c r="D7" s="779"/>
      <c r="E7" s="779"/>
    </row>
    <row r="8" spans="1:5">
      <c r="D8" s="848"/>
      <c r="E8" s="848"/>
    </row>
    <row r="9" spans="1:5">
      <c r="D9" s="848"/>
    </row>
    <row r="10" spans="1:5">
      <c r="D10" s="779"/>
    </row>
    <row r="20" spans="1:4" s="1063" customFormat="1" ht="24.75">
      <c r="A20" s="1072"/>
      <c r="B20" s="1073" t="s">
        <v>4552</v>
      </c>
      <c r="C20" s="1073" t="s">
        <v>4553</v>
      </c>
      <c r="D20" s="1073" t="s">
        <v>4554</v>
      </c>
    </row>
    <row r="21" spans="1:4">
      <c r="A21" s="1071" t="s">
        <v>4544</v>
      </c>
      <c r="B21" s="1070">
        <v>71701.898059247542</v>
      </c>
      <c r="C21" s="1070">
        <v>5182.817316110516</v>
      </c>
      <c r="D21" s="1070">
        <f t="shared" ref="D21:D26" si="0">B21/C21</f>
        <v>13.834540885005911</v>
      </c>
    </row>
    <row r="22" spans="1:4">
      <c r="A22" s="1071" t="s">
        <v>4545</v>
      </c>
      <c r="B22" s="1070">
        <v>13546.382682688116</v>
      </c>
      <c r="C22" s="1070">
        <v>481.72906989775396</v>
      </c>
      <c r="D22" s="1070">
        <f t="shared" si="0"/>
        <v>28.120334705072519</v>
      </c>
    </row>
    <row r="23" spans="1:4">
      <c r="A23" s="1071" t="s">
        <v>4546</v>
      </c>
      <c r="B23" s="1070">
        <v>7667.7483847827061</v>
      </c>
      <c r="C23" s="1070">
        <v>419.85960643142056</v>
      </c>
      <c r="D23" s="1070">
        <f t="shared" si="0"/>
        <v>18.262648436115153</v>
      </c>
    </row>
    <row r="24" spans="1:4">
      <c r="A24" s="1071" t="s">
        <v>4547</v>
      </c>
      <c r="B24" s="1070">
        <v>7531.6791277342309</v>
      </c>
      <c r="C24" s="1070">
        <v>10.640863374010653</v>
      </c>
      <c r="D24" s="1070">
        <f t="shared" si="0"/>
        <v>707.80714524816437</v>
      </c>
    </row>
    <row r="25" spans="1:4">
      <c r="A25" s="1071" t="s">
        <v>4548</v>
      </c>
      <c r="B25" s="1070">
        <v>7635.1492536966916</v>
      </c>
      <c r="C25" s="1070">
        <v>41.925725177514025</v>
      </c>
      <c r="D25" s="1070">
        <f t="shared" si="0"/>
        <v>182.11132237711757</v>
      </c>
    </row>
    <row r="26" spans="1:4" s="1062" customFormat="1">
      <c r="A26" s="1074" t="s">
        <v>4555</v>
      </c>
      <c r="B26" s="1075">
        <v>28672.162222215098</v>
      </c>
      <c r="C26" s="1075">
        <v>1910.3979088045476</v>
      </c>
      <c r="D26" s="1075">
        <f t="shared" si="0"/>
        <v>15.008476553534869</v>
      </c>
    </row>
    <row r="31" spans="1:4">
      <c r="A31" s="1105" t="s">
        <v>4549</v>
      </c>
      <c r="B31" s="1105" t="s">
        <v>4550</v>
      </c>
      <c r="C31" s="1105" t="s">
        <v>4551</v>
      </c>
    </row>
    <row r="32" spans="1:4">
      <c r="A32" s="52">
        <v>5542680</v>
      </c>
      <c r="B32" s="52">
        <v>44371.699806109616</v>
      </c>
      <c r="C32" s="52">
        <v>311</v>
      </c>
    </row>
  </sheetData>
  <pageMargins left="0.7" right="0.7" top="0.75" bottom="0.75" header="0.3" footer="0.3"/>
  <pageSetup paperSize="9" orientation="portrait" verticalDpi="0" r:id="rId3"/>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6"/>
  <sheetViews>
    <sheetView topLeftCell="A58" workbookViewId="0">
      <selection activeCell="A81" sqref="A81"/>
    </sheetView>
  </sheetViews>
  <sheetFormatPr defaultRowHeight="15"/>
  <cols>
    <col min="1" max="1" width="12.85546875" customWidth="1"/>
    <col min="2" max="2" width="33.5703125" customWidth="1"/>
  </cols>
  <sheetData>
    <row r="2" spans="1:10">
      <c r="A2" s="2" t="s">
        <v>4560</v>
      </c>
      <c r="B2" t="s">
        <v>4565</v>
      </c>
    </row>
    <row r="3" spans="1:10" s="1077" customFormat="1">
      <c r="A3" s="2"/>
    </row>
    <row r="4" spans="1:10">
      <c r="A4" s="2" t="s">
        <v>4561</v>
      </c>
    </row>
    <row r="5" spans="1:10">
      <c r="A5" t="s">
        <v>4562</v>
      </c>
    </row>
    <row r="6" spans="1:10">
      <c r="A6" t="s">
        <v>2233</v>
      </c>
    </row>
    <row r="7" spans="1:10">
      <c r="A7" t="s">
        <v>2232</v>
      </c>
    </row>
    <row r="9" spans="1:10">
      <c r="A9" s="2" t="s">
        <v>4563</v>
      </c>
    </row>
    <row r="10" spans="1:10">
      <c r="A10" s="3" t="s">
        <v>2403</v>
      </c>
      <c r="B10" s="3"/>
      <c r="C10" s="3"/>
      <c r="D10" s="3"/>
      <c r="E10" s="3"/>
      <c r="F10" s="3"/>
      <c r="G10" s="3"/>
      <c r="H10" s="3"/>
      <c r="I10" s="3"/>
      <c r="J10" s="3"/>
    </row>
    <row r="11" spans="1:10">
      <c r="A11" s="12" t="s">
        <v>2285</v>
      </c>
      <c r="B11" s="3"/>
      <c r="C11" s="3"/>
      <c r="D11" s="3"/>
      <c r="E11" s="3"/>
      <c r="F11" s="3"/>
      <c r="G11" s="3"/>
      <c r="H11" s="3"/>
      <c r="I11" s="3"/>
      <c r="J11" s="3"/>
    </row>
    <row r="12" spans="1:10">
      <c r="A12" s="617" t="s">
        <v>2284</v>
      </c>
      <c r="B12" s="3"/>
      <c r="C12" s="3"/>
      <c r="D12" s="3"/>
      <c r="E12" s="3"/>
      <c r="F12" s="3"/>
      <c r="G12" s="3"/>
      <c r="H12" s="3"/>
      <c r="I12" s="3"/>
      <c r="J12" s="3"/>
    </row>
    <row r="13" spans="1:10">
      <c r="A13" s="12"/>
      <c r="B13" s="3"/>
      <c r="C13" s="3"/>
      <c r="D13" s="3"/>
      <c r="E13" s="3"/>
      <c r="F13" s="3"/>
      <c r="G13" s="3"/>
      <c r="H13" s="3"/>
      <c r="I13" s="3"/>
      <c r="J13" s="3"/>
    </row>
    <row r="14" spans="1:10">
      <c r="A14" s="3" t="s">
        <v>2405</v>
      </c>
      <c r="B14" s="3"/>
      <c r="C14" s="3"/>
      <c r="D14" s="3"/>
      <c r="E14" s="3"/>
      <c r="F14" s="3"/>
      <c r="G14" s="3"/>
      <c r="H14" s="3"/>
      <c r="I14" s="3"/>
      <c r="J14" s="3"/>
    </row>
    <row r="15" spans="1:10">
      <c r="A15" s="12" t="s">
        <v>2282</v>
      </c>
      <c r="B15" s="3"/>
      <c r="C15" s="3"/>
      <c r="D15" s="3"/>
      <c r="E15" s="3"/>
      <c r="F15" s="3"/>
      <c r="G15" s="3"/>
      <c r="H15" s="3"/>
      <c r="I15" s="3"/>
      <c r="J15" s="3"/>
    </row>
    <row r="16" spans="1:10">
      <c r="A16" s="617" t="s">
        <v>2406</v>
      </c>
      <c r="B16" s="3"/>
      <c r="C16" s="3"/>
      <c r="D16" s="3"/>
      <c r="E16" s="3"/>
      <c r="F16" s="3"/>
      <c r="G16" s="3"/>
      <c r="H16" s="3"/>
      <c r="I16" s="3"/>
      <c r="J16" s="3"/>
    </row>
    <row r="17" spans="1:10">
      <c r="A17" s="3"/>
      <c r="B17" s="3"/>
      <c r="C17" s="3"/>
      <c r="D17" s="3"/>
      <c r="E17" s="3"/>
      <c r="F17" s="3"/>
      <c r="G17" s="3"/>
      <c r="H17" s="3"/>
      <c r="I17" s="3"/>
      <c r="J17" s="3"/>
    </row>
    <row r="18" spans="1:10">
      <c r="A18" s="53" t="s">
        <v>2411</v>
      </c>
      <c r="B18" s="3"/>
      <c r="C18" s="3"/>
      <c r="D18" s="3"/>
      <c r="E18" s="3"/>
      <c r="F18" s="3"/>
      <c r="G18" s="3"/>
      <c r="H18" s="3"/>
      <c r="I18" s="3"/>
      <c r="J18" s="3"/>
    </row>
    <row r="19" spans="1:10">
      <c r="A19" s="655" t="s">
        <v>2402</v>
      </c>
      <c r="B19" s="3"/>
      <c r="C19" s="3"/>
      <c r="D19" s="3"/>
      <c r="E19" s="3"/>
      <c r="F19" s="3"/>
      <c r="G19" s="3"/>
      <c r="H19" s="3"/>
      <c r="I19" s="3"/>
      <c r="J19" s="3"/>
    </row>
    <row r="21" spans="1:10">
      <c r="A21" s="86" t="s">
        <v>4564</v>
      </c>
    </row>
    <row r="22" spans="1:10">
      <c r="A22" s="12" t="s">
        <v>2282</v>
      </c>
      <c r="B22" s="3"/>
      <c r="C22" s="3"/>
      <c r="D22" s="548" t="s">
        <v>2283</v>
      </c>
    </row>
    <row r="23" spans="1:10">
      <c r="A23" s="12" t="s">
        <v>2285</v>
      </c>
      <c r="B23" s="3"/>
      <c r="C23" s="3"/>
      <c r="D23" s="548" t="s">
        <v>2284</v>
      </c>
    </row>
    <row r="24" spans="1:10">
      <c r="A24" s="12" t="s">
        <v>2289</v>
      </c>
      <c r="B24" s="3"/>
      <c r="C24" s="3"/>
      <c r="D24" s="548" t="s">
        <v>2288</v>
      </c>
    </row>
    <row r="25" spans="1:10">
      <c r="A25" t="s">
        <v>1936</v>
      </c>
    </row>
    <row r="26" spans="1:10">
      <c r="A26" t="s">
        <v>2463</v>
      </c>
    </row>
    <row r="27" spans="1:10">
      <c r="A27" t="s">
        <v>2467</v>
      </c>
    </row>
    <row r="28" spans="1:10">
      <c r="A28" s="111" t="s">
        <v>2007</v>
      </c>
    </row>
    <row r="29" spans="1:10">
      <c r="A29" s="108" t="s">
        <v>139</v>
      </c>
    </row>
    <row r="30" spans="1:10">
      <c r="A30" s="5" t="s">
        <v>155</v>
      </c>
    </row>
    <row r="32" spans="1:10">
      <c r="A32" s="2" t="s">
        <v>4566</v>
      </c>
    </row>
    <row r="33" spans="1:1">
      <c r="A33" t="s">
        <v>2485</v>
      </c>
    </row>
    <row r="34" spans="1:1">
      <c r="A34" t="s">
        <v>1944</v>
      </c>
    </row>
    <row r="35" spans="1:1" ht="6" customHeight="1"/>
    <row r="36" spans="1:1">
      <c r="A36" s="12" t="s">
        <v>167</v>
      </c>
    </row>
    <row r="37" spans="1:1">
      <c r="A37" s="111" t="s">
        <v>2007</v>
      </c>
    </row>
    <row r="38" spans="1:1" ht="6" customHeight="1"/>
    <row r="39" spans="1:1">
      <c r="A39" t="s">
        <v>2712</v>
      </c>
    </row>
    <row r="41" spans="1:1">
      <c r="A41" s="3" t="s">
        <v>2693</v>
      </c>
    </row>
    <row r="42" spans="1:1" s="1082" customFormat="1">
      <c r="A42" s="1084"/>
    </row>
    <row r="43" spans="1:1">
      <c r="A43" s="4" t="s">
        <v>4567</v>
      </c>
    </row>
    <row r="44" spans="1:1">
      <c r="A44" s="77" t="s">
        <v>1773</v>
      </c>
    </row>
    <row r="45" spans="1:1">
      <c r="A45" s="77" t="s">
        <v>1764</v>
      </c>
    </row>
    <row r="46" spans="1:1">
      <c r="A46" s="77" t="s">
        <v>2358</v>
      </c>
    </row>
    <row r="47" spans="1:1" s="1082" customFormat="1">
      <c r="A47" s="1083" t="s">
        <v>195</v>
      </c>
    </row>
    <row r="48" spans="1:1">
      <c r="A48" s="111" t="s">
        <v>196</v>
      </c>
    </row>
    <row r="49" spans="1:1" s="1082" customFormat="1">
      <c r="A49" s="1083" t="s">
        <v>217</v>
      </c>
    </row>
    <row r="50" spans="1:1">
      <c r="A50" s="111" t="s">
        <v>196</v>
      </c>
    </row>
    <row r="51" spans="1:1">
      <c r="A51" t="s">
        <v>4568</v>
      </c>
    </row>
    <row r="52" spans="1:1">
      <c r="A52" s="322" t="s">
        <v>1764</v>
      </c>
    </row>
    <row r="54" spans="1:1">
      <c r="A54" s="2" t="s">
        <v>4571</v>
      </c>
    </row>
    <row r="55" spans="1:1">
      <c r="A55" t="s">
        <v>4570</v>
      </c>
    </row>
    <row r="56" spans="1:1">
      <c r="A56" s="67"/>
    </row>
    <row r="57" spans="1:1">
      <c r="A57" s="73" t="s">
        <v>4572</v>
      </c>
    </row>
    <row r="58" spans="1:1">
      <c r="A58" t="s">
        <v>2120</v>
      </c>
    </row>
    <row r="59" spans="1:1">
      <c r="A59" t="s">
        <v>1931</v>
      </c>
    </row>
    <row r="60" spans="1:1">
      <c r="A60" t="s">
        <v>4533</v>
      </c>
    </row>
    <row r="62" spans="1:1">
      <c r="A62" s="2" t="s">
        <v>4574</v>
      </c>
    </row>
    <row r="63" spans="1:1">
      <c r="A63" t="s">
        <v>4575</v>
      </c>
    </row>
    <row r="64" spans="1:1">
      <c r="A64" t="s">
        <v>4573</v>
      </c>
    </row>
    <row r="65" spans="1:3" s="1077" customFormat="1"/>
    <row r="66" spans="1:3">
      <c r="A66" s="2" t="s">
        <v>4576</v>
      </c>
    </row>
    <row r="67" spans="1:3">
      <c r="A67" t="s">
        <v>4325</v>
      </c>
    </row>
    <row r="68" spans="1:3">
      <c r="A68" t="s">
        <v>4335</v>
      </c>
    </row>
    <row r="69" spans="1:3">
      <c r="A69" t="s">
        <v>4336</v>
      </c>
    </row>
    <row r="70" spans="1:3">
      <c r="A70" t="s">
        <v>4357</v>
      </c>
      <c r="C70" t="s">
        <v>4361</v>
      </c>
    </row>
    <row r="71" spans="1:3">
      <c r="A71" t="s">
        <v>4358</v>
      </c>
    </row>
    <row r="72" spans="1:3">
      <c r="A72" t="s">
        <v>4359</v>
      </c>
    </row>
    <row r="73" spans="1:3">
      <c r="A73" t="s">
        <v>4360</v>
      </c>
    </row>
    <row r="75" spans="1:3">
      <c r="A75" t="s">
        <v>4363</v>
      </c>
    </row>
    <row r="77" spans="1:3">
      <c r="A77" s="2" t="s">
        <v>4577</v>
      </c>
    </row>
    <row r="78" spans="1:3">
      <c r="A78" t="s">
        <v>4578</v>
      </c>
    </row>
    <row r="79" spans="1:3">
      <c r="A79" t="s">
        <v>4573</v>
      </c>
    </row>
    <row r="81" spans="1:1">
      <c r="A81" s="2" t="s">
        <v>4639</v>
      </c>
    </row>
    <row r="82" spans="1:1">
      <c r="A82" t="s">
        <v>4640</v>
      </c>
    </row>
    <row r="83" spans="1:1">
      <c r="A83" t="s">
        <v>4641</v>
      </c>
    </row>
    <row r="84" spans="1:1">
      <c r="A84" t="s">
        <v>4642</v>
      </c>
    </row>
    <row r="85" spans="1:1">
      <c r="A85" t="s">
        <v>4643</v>
      </c>
    </row>
    <row r="86" spans="1:1">
      <c r="A86" t="s">
        <v>4644</v>
      </c>
    </row>
  </sheetData>
  <hyperlinks>
    <hyperlink ref="A12" r:id="rId1"/>
    <hyperlink ref="D24" r:id="rId2"/>
    <hyperlink ref="D23" r:id="rId3"/>
    <hyperlink ref="D22" r:id="rId4"/>
  </hyperlinks>
  <pageMargins left="0.7" right="0.7" top="0.75" bottom="0.75" header="0.3" footer="0.3"/>
  <pageSetup paperSize="9" orientation="portrait" verticalDpi="0" r:id="rId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2"/>
  <sheetViews>
    <sheetView topLeftCell="A22" workbookViewId="0">
      <selection activeCell="A44" sqref="A44"/>
    </sheetView>
  </sheetViews>
  <sheetFormatPr defaultRowHeight="12.75"/>
  <cols>
    <col min="1" max="1" width="25.7109375" style="1084" customWidth="1"/>
    <col min="2" max="36" width="12.42578125" style="1087" bestFit="1" customWidth="1"/>
    <col min="37" max="16384" width="9.140625" style="1084"/>
  </cols>
  <sheetData>
    <row r="1" spans="1:36">
      <c r="A1" s="1085" t="s">
        <v>4630</v>
      </c>
      <c r="B1" s="1086" t="s">
        <v>4596</v>
      </c>
      <c r="C1" s="1086" t="s">
        <v>4597</v>
      </c>
      <c r="D1" s="1086" t="s">
        <v>4598</v>
      </c>
      <c r="E1" s="1086" t="s">
        <v>4599</v>
      </c>
      <c r="F1" s="1086" t="s">
        <v>4600</v>
      </c>
      <c r="G1" s="1086" t="s">
        <v>4601</v>
      </c>
      <c r="H1" s="1086" t="s">
        <v>4602</v>
      </c>
      <c r="I1" s="1086" t="s">
        <v>4603</v>
      </c>
      <c r="J1" s="1086" t="s">
        <v>4604</v>
      </c>
      <c r="K1" s="1086" t="s">
        <v>4605</v>
      </c>
      <c r="L1" s="1086" t="s">
        <v>4606</v>
      </c>
      <c r="M1" s="1086" t="s">
        <v>4607</v>
      </c>
      <c r="N1" s="1086" t="s">
        <v>4608</v>
      </c>
      <c r="O1" s="1086" t="s">
        <v>4609</v>
      </c>
      <c r="P1" s="1086" t="s">
        <v>4610</v>
      </c>
      <c r="Q1" s="1086" t="s">
        <v>4611</v>
      </c>
      <c r="R1" s="1086" t="s">
        <v>4612</v>
      </c>
      <c r="S1" s="1086" t="s">
        <v>4613</v>
      </c>
      <c r="T1" s="1086" t="s">
        <v>4614</v>
      </c>
      <c r="U1" s="1086" t="s">
        <v>4615</v>
      </c>
      <c r="V1" s="1086" t="s">
        <v>4616</v>
      </c>
      <c r="W1" s="1086" t="s">
        <v>4617</v>
      </c>
      <c r="X1" s="1086" t="s">
        <v>4618</v>
      </c>
      <c r="Y1" s="1086" t="s">
        <v>4619</v>
      </c>
      <c r="Z1" s="1086" t="s">
        <v>4620</v>
      </c>
      <c r="AA1" s="1086" t="s">
        <v>4621</v>
      </c>
      <c r="AB1" s="1086" t="s">
        <v>4622</v>
      </c>
      <c r="AC1" s="1086" t="s">
        <v>4623</v>
      </c>
      <c r="AD1" s="1086" t="s">
        <v>4624</v>
      </c>
      <c r="AE1" s="1086" t="s">
        <v>4625</v>
      </c>
      <c r="AF1" s="1086" t="s">
        <v>4626</v>
      </c>
      <c r="AG1" s="1086" t="s">
        <v>4627</v>
      </c>
      <c r="AH1" s="1086" t="s">
        <v>4628</v>
      </c>
      <c r="AI1" s="1086" t="s">
        <v>4629</v>
      </c>
      <c r="AJ1" s="1086"/>
    </row>
    <row r="2" spans="1:36" ht="15">
      <c r="A2" s="1116" t="s">
        <v>672</v>
      </c>
      <c r="B2" s="1116">
        <v>0.1089685</v>
      </c>
      <c r="C2" s="1116"/>
      <c r="D2" s="1116"/>
      <c r="E2" s="1116">
        <v>4.2376799999999999E-2</v>
      </c>
      <c r="F2" s="1116"/>
      <c r="G2" s="1116"/>
      <c r="H2" s="1116">
        <v>66.411596399999993</v>
      </c>
      <c r="I2" s="1116"/>
      <c r="J2" s="1116">
        <v>1.6481323999999999</v>
      </c>
      <c r="K2" s="1116"/>
      <c r="L2" s="1116"/>
      <c r="M2" s="1116"/>
      <c r="N2" s="1116"/>
      <c r="O2" s="1116"/>
      <c r="P2" s="1116"/>
      <c r="Q2" s="1116"/>
      <c r="R2" s="1116"/>
      <c r="S2" s="1116">
        <v>1.8904000000000001E-2</v>
      </c>
      <c r="T2" s="1116">
        <v>7.3031094999999997</v>
      </c>
      <c r="U2" s="1116"/>
      <c r="V2" s="1116"/>
      <c r="W2" s="1116">
        <v>101.03728700000001</v>
      </c>
      <c r="X2" s="1116"/>
      <c r="Y2" s="1116">
        <v>3.1066406</v>
      </c>
      <c r="Z2" s="1116">
        <v>0.74592559999999997</v>
      </c>
      <c r="AA2" s="1116"/>
      <c r="AB2" s="1116">
        <v>3.4081429999999999</v>
      </c>
      <c r="AC2" s="1116">
        <v>1.26406E-2</v>
      </c>
      <c r="AD2" s="1116">
        <v>7.0426799999999998E-2</v>
      </c>
      <c r="AE2" s="1116"/>
      <c r="AF2" s="1116">
        <v>0.21983900000000001</v>
      </c>
      <c r="AG2" s="1116"/>
      <c r="AH2" s="1116">
        <v>2.2364700000000001E-2</v>
      </c>
      <c r="AI2" s="1116"/>
    </row>
    <row r="3" spans="1:36" ht="15">
      <c r="A3" s="1116" t="s">
        <v>797</v>
      </c>
      <c r="B3" s="1116">
        <v>2.5054322999999998</v>
      </c>
      <c r="C3" s="1116"/>
      <c r="D3" s="1116">
        <v>2.1561602999999998</v>
      </c>
      <c r="E3" s="1116"/>
      <c r="F3" s="1116"/>
      <c r="G3" s="1116"/>
      <c r="H3" s="1116">
        <v>9.8750000000000004E-2</v>
      </c>
      <c r="I3" s="1116">
        <v>6.5200499999999995E-2</v>
      </c>
      <c r="J3" s="1116">
        <v>0.14303569999999999</v>
      </c>
      <c r="K3" s="1116">
        <v>4.1817100000000003E-2</v>
      </c>
      <c r="L3" s="1116"/>
      <c r="M3" s="1116">
        <v>1.0834984999999999</v>
      </c>
      <c r="N3" s="1116">
        <v>0.57560149999999999</v>
      </c>
      <c r="O3" s="1116">
        <v>1.0427348000000001</v>
      </c>
      <c r="P3" s="1116">
        <v>3.4808499999999999E-2</v>
      </c>
      <c r="Q3" s="1116"/>
      <c r="R3" s="1116"/>
      <c r="S3" s="1116">
        <v>0.1959352</v>
      </c>
      <c r="T3" s="1116">
        <v>9.1663800000000004E-2</v>
      </c>
      <c r="U3" s="1116"/>
      <c r="V3" s="1116"/>
      <c r="W3" s="1116"/>
      <c r="X3" s="1116"/>
      <c r="Y3" s="1116"/>
      <c r="Z3" s="1116"/>
      <c r="AA3" s="1116"/>
      <c r="AB3" s="1116"/>
      <c r="AC3" s="1116">
        <v>2.1855864</v>
      </c>
      <c r="AD3" s="1116">
        <v>0.92274630000000002</v>
      </c>
      <c r="AE3" s="1116"/>
      <c r="AF3" s="1116">
        <v>0.29611209999999999</v>
      </c>
      <c r="AG3" s="1116"/>
      <c r="AH3" s="1116"/>
      <c r="AI3" s="1116">
        <v>0.52329369999999997</v>
      </c>
    </row>
    <row r="4" spans="1:36" ht="15">
      <c r="A4" s="1116" t="s">
        <v>767</v>
      </c>
      <c r="B4" s="1116">
        <v>6.6558900000000004E-2</v>
      </c>
      <c r="C4" s="1116"/>
      <c r="D4" s="1116"/>
      <c r="E4" s="1116"/>
      <c r="F4" s="1116"/>
      <c r="G4" s="1116"/>
      <c r="H4" s="1116">
        <v>73.422699199999997</v>
      </c>
      <c r="I4" s="1116"/>
      <c r="J4" s="1116"/>
      <c r="K4" s="1116"/>
      <c r="L4" s="1116"/>
      <c r="M4" s="1116"/>
      <c r="N4" s="1116"/>
      <c r="O4" s="1116"/>
      <c r="P4" s="1116"/>
      <c r="Q4" s="1116"/>
      <c r="R4" s="1116"/>
      <c r="S4" s="1116"/>
      <c r="T4" s="1116">
        <v>12.3051631</v>
      </c>
      <c r="U4" s="1116"/>
      <c r="V4" s="1116"/>
      <c r="W4" s="1116">
        <v>19.836987400000002</v>
      </c>
      <c r="X4" s="1116"/>
      <c r="Y4" s="1116">
        <v>6.7929852000000004</v>
      </c>
      <c r="Z4" s="1116">
        <v>1.2576923</v>
      </c>
      <c r="AA4" s="1116"/>
      <c r="AB4" s="1116"/>
      <c r="AC4" s="1116">
        <v>1.0845E-3</v>
      </c>
      <c r="AD4" s="1116">
        <v>0.30032740000000002</v>
      </c>
      <c r="AE4" s="1116"/>
      <c r="AF4" s="1116"/>
      <c r="AG4" s="1116"/>
      <c r="AH4" s="1116"/>
      <c r="AI4" s="1116"/>
    </row>
    <row r="5" spans="1:36" ht="15">
      <c r="A5" s="1116" t="s">
        <v>774</v>
      </c>
      <c r="B5" s="1116">
        <v>7.0885000000000004E-2</v>
      </c>
      <c r="C5" s="1116"/>
      <c r="D5" s="1116"/>
      <c r="E5" s="1116"/>
      <c r="F5" s="1116"/>
      <c r="G5" s="1116"/>
      <c r="H5" s="1116">
        <v>6.2031327999999997</v>
      </c>
      <c r="I5" s="1116"/>
      <c r="J5" s="1116">
        <v>0.15293409999999999</v>
      </c>
      <c r="K5" s="1116"/>
      <c r="L5" s="1116"/>
      <c r="M5" s="1116"/>
      <c r="N5" s="1116">
        <v>1.85349E-2</v>
      </c>
      <c r="O5" s="1116"/>
      <c r="P5" s="1116"/>
      <c r="Q5" s="1116"/>
      <c r="R5" s="1116"/>
      <c r="S5" s="1116"/>
      <c r="T5" s="1116">
        <v>0.46025349999999998</v>
      </c>
      <c r="U5" s="1116"/>
      <c r="V5" s="1116"/>
      <c r="W5" s="1116">
        <v>3.5061532999999998</v>
      </c>
      <c r="X5" s="1116"/>
      <c r="Y5" s="1116"/>
      <c r="Z5" s="1116"/>
      <c r="AA5" s="1116"/>
      <c r="AB5" s="1116">
        <v>8.9791999999999997E-3</v>
      </c>
      <c r="AC5" s="1116">
        <v>2.8676999999999999E-3</v>
      </c>
      <c r="AD5" s="1116">
        <v>3.3497000000000002E-3</v>
      </c>
      <c r="AE5" s="1116"/>
      <c r="AF5" s="1116"/>
      <c r="AG5" s="1116"/>
      <c r="AH5" s="1116"/>
      <c r="AI5" s="1116"/>
    </row>
    <row r="6" spans="1:36" ht="15">
      <c r="A6" s="1116" t="s">
        <v>781</v>
      </c>
      <c r="B6" s="1116">
        <v>7.7275099999999999E-2</v>
      </c>
      <c r="C6" s="1116"/>
      <c r="D6" s="1116"/>
      <c r="E6" s="1116"/>
      <c r="F6" s="1116"/>
      <c r="G6" s="1116"/>
      <c r="H6" s="1116">
        <v>8.9986999999999998E-2</v>
      </c>
      <c r="I6" s="1116">
        <v>77.564254700000006</v>
      </c>
      <c r="J6" s="1116"/>
      <c r="K6" s="1116">
        <v>7.0674000000000001E-2</v>
      </c>
      <c r="L6" s="1116"/>
      <c r="M6" s="1116"/>
      <c r="N6" s="1116"/>
      <c r="O6" s="1116"/>
      <c r="P6" s="1116"/>
      <c r="Q6" s="1116"/>
      <c r="R6" s="1116"/>
      <c r="S6" s="1116">
        <v>0.26726309999999998</v>
      </c>
      <c r="T6" s="1116">
        <v>0.38485239999999998</v>
      </c>
      <c r="U6" s="1116"/>
      <c r="V6" s="1116"/>
      <c r="W6" s="1116">
        <v>61.647663799999997</v>
      </c>
      <c r="X6" s="1116"/>
      <c r="Y6" s="1116">
        <v>3.2771000000000002E-2</v>
      </c>
      <c r="Z6" s="1116">
        <v>0.52790029999999999</v>
      </c>
      <c r="AA6" s="1116"/>
      <c r="AB6" s="1116">
        <v>4.91177E-2</v>
      </c>
      <c r="AC6" s="1116">
        <v>5.7421800000000002E-2</v>
      </c>
      <c r="AD6" s="1116">
        <v>0.1098128</v>
      </c>
      <c r="AE6" s="1116"/>
      <c r="AF6" s="1116">
        <v>0.26663609999999999</v>
      </c>
      <c r="AG6" s="1116"/>
      <c r="AH6" s="1116">
        <v>0.17836389999999999</v>
      </c>
      <c r="AI6" s="1116"/>
    </row>
    <row r="7" spans="1:36" ht="15">
      <c r="A7" s="1116" t="s">
        <v>1748</v>
      </c>
      <c r="B7" s="1116"/>
      <c r="C7" s="1116"/>
      <c r="D7" s="1116"/>
      <c r="E7" s="1116"/>
      <c r="F7" s="1116"/>
      <c r="G7" s="1116"/>
      <c r="H7" s="1116"/>
      <c r="I7" s="1116"/>
      <c r="J7" s="1116"/>
      <c r="K7" s="1116"/>
      <c r="L7" s="1116"/>
      <c r="M7" s="1116"/>
      <c r="N7" s="1116">
        <v>1.6859386000000001</v>
      </c>
      <c r="O7" s="1116"/>
      <c r="P7" s="1116"/>
      <c r="Q7" s="1116"/>
      <c r="R7" s="1116"/>
      <c r="S7" s="1116">
        <v>0.41534520000000003</v>
      </c>
      <c r="T7" s="1116">
        <v>2.5294072000000001</v>
      </c>
      <c r="U7" s="1116"/>
      <c r="V7" s="1116"/>
      <c r="W7" s="1116">
        <v>1.0682843</v>
      </c>
      <c r="X7" s="1116"/>
      <c r="Y7" s="1116">
        <v>2.2105693</v>
      </c>
      <c r="Z7" s="1116"/>
      <c r="AA7" s="1116"/>
      <c r="AB7" s="1116">
        <v>0.50718450000000004</v>
      </c>
      <c r="AC7" s="1116">
        <v>0.52556959999999997</v>
      </c>
      <c r="AD7" s="1116">
        <v>2.5209747999999998</v>
      </c>
      <c r="AE7" s="1116"/>
      <c r="AF7" s="1116">
        <v>3.8733000000000001E-3</v>
      </c>
      <c r="AG7" s="1116"/>
      <c r="AH7" s="1116"/>
      <c r="AI7" s="1116"/>
    </row>
    <row r="8" spans="1:36" ht="15">
      <c r="A8" s="1116" t="s">
        <v>807</v>
      </c>
      <c r="B8" s="1116">
        <v>0.28443889999999999</v>
      </c>
      <c r="C8" s="1116"/>
      <c r="D8" s="1116">
        <v>8.2480999999999995E-3</v>
      </c>
      <c r="E8" s="1116">
        <v>0.27522249999999998</v>
      </c>
      <c r="F8" s="1116"/>
      <c r="G8" s="1116"/>
      <c r="H8" s="1116">
        <v>3.7224224000000001</v>
      </c>
      <c r="I8" s="1116"/>
      <c r="J8" s="1116">
        <v>4.2254E-2</v>
      </c>
      <c r="K8" s="1116"/>
      <c r="L8" s="1116"/>
      <c r="M8" s="1116"/>
      <c r="N8" s="1116">
        <v>2.2233900000000001E-2</v>
      </c>
      <c r="O8" s="1116"/>
      <c r="P8" s="1116"/>
      <c r="Q8" s="1116"/>
      <c r="R8" s="1116"/>
      <c r="S8" s="1116">
        <v>0.36766080000000001</v>
      </c>
      <c r="T8" s="1116">
        <v>0.25610949999999999</v>
      </c>
      <c r="U8" s="1116"/>
      <c r="V8" s="1116"/>
      <c r="W8" s="1116">
        <v>4.5163979999999997</v>
      </c>
      <c r="X8" s="1116"/>
      <c r="Y8" s="1116"/>
      <c r="Z8" s="1116">
        <v>0.10578220000000001</v>
      </c>
      <c r="AA8" s="1116"/>
      <c r="AB8" s="1116"/>
      <c r="AC8" s="1116">
        <v>0.1010798</v>
      </c>
      <c r="AD8" s="1116">
        <v>8.8892999999999993E-3</v>
      </c>
      <c r="AE8" s="1116"/>
      <c r="AF8" s="1116"/>
      <c r="AG8" s="1116"/>
      <c r="AH8" s="1116"/>
      <c r="AI8" s="1116"/>
    </row>
    <row r="9" spans="1:36" ht="15">
      <c r="A9" s="1116" t="s">
        <v>817</v>
      </c>
      <c r="B9" s="1116">
        <v>4.1978149</v>
      </c>
      <c r="C9" s="1116"/>
      <c r="D9" s="1116">
        <v>3.7535399999999997E-2</v>
      </c>
      <c r="E9" s="1116"/>
      <c r="F9" s="1116"/>
      <c r="G9" s="1116"/>
      <c r="H9" s="1116">
        <v>14.827187500000001</v>
      </c>
      <c r="I9" s="1116"/>
      <c r="J9" s="1116">
        <v>23.729191400000001</v>
      </c>
      <c r="K9" s="1116"/>
      <c r="L9" s="1116"/>
      <c r="M9" s="1116"/>
      <c r="N9" s="1116"/>
      <c r="O9" s="1116"/>
      <c r="P9" s="1116">
        <v>1.6630262</v>
      </c>
      <c r="Q9" s="1116"/>
      <c r="R9" s="1116"/>
      <c r="S9" s="1116">
        <v>1.6567031000000001</v>
      </c>
      <c r="T9" s="1116">
        <v>4.8443836999999998</v>
      </c>
      <c r="U9" s="1116"/>
      <c r="V9" s="1116"/>
      <c r="W9" s="1116">
        <v>40.004171999999997</v>
      </c>
      <c r="X9" s="1116"/>
      <c r="Y9" s="1116"/>
      <c r="Z9" s="1116">
        <v>0.49424649999999998</v>
      </c>
      <c r="AA9" s="1116">
        <v>0.45264149999999997</v>
      </c>
      <c r="AB9" s="1116">
        <v>6.1712500000000003E-2</v>
      </c>
      <c r="AC9" s="1116">
        <v>0.35661809999999999</v>
      </c>
      <c r="AD9" s="1116">
        <v>4.3869400000000003E-2</v>
      </c>
      <c r="AE9" s="1116"/>
      <c r="AF9" s="1116"/>
      <c r="AG9" s="1116"/>
      <c r="AH9" s="1116"/>
      <c r="AI9" s="1116"/>
    </row>
    <row r="10" spans="1:36" ht="15">
      <c r="A10" s="1116" t="s">
        <v>1572</v>
      </c>
      <c r="B10" s="1116">
        <v>3.0040399999999998E-2</v>
      </c>
      <c r="C10" s="1116"/>
      <c r="D10" s="1116"/>
      <c r="E10" s="1116"/>
      <c r="F10" s="1116"/>
      <c r="G10" s="1116"/>
      <c r="H10" s="1116">
        <v>7.1178001000000002</v>
      </c>
      <c r="I10" s="1116"/>
      <c r="J10" s="1116"/>
      <c r="K10" s="1116"/>
      <c r="L10" s="1116"/>
      <c r="M10" s="1116"/>
      <c r="N10" s="1116"/>
      <c r="O10" s="1116"/>
      <c r="P10" s="1116"/>
      <c r="Q10" s="1116"/>
      <c r="R10" s="1116"/>
      <c r="S10" s="1116">
        <v>2.8474900000000001E-2</v>
      </c>
      <c r="T10" s="1116">
        <v>0.63972770000000001</v>
      </c>
      <c r="U10" s="1116">
        <v>0.1156107</v>
      </c>
      <c r="V10" s="1116"/>
      <c r="W10" s="1116">
        <v>17.2805553</v>
      </c>
      <c r="X10" s="1116"/>
      <c r="Y10" s="1116">
        <v>0.21166670000000001</v>
      </c>
      <c r="Z10" s="1116">
        <v>6.4928799999999995E-2</v>
      </c>
      <c r="AA10" s="1116"/>
      <c r="AB10" s="1116">
        <v>0.2580614</v>
      </c>
      <c r="AC10" s="1116">
        <v>0.12128609999999999</v>
      </c>
      <c r="AD10" s="1116">
        <v>0.76122880000000004</v>
      </c>
      <c r="AE10" s="1116"/>
      <c r="AF10" s="1116"/>
      <c r="AG10" s="1116"/>
      <c r="AH10" s="1116"/>
      <c r="AI10" s="1116"/>
    </row>
    <row r="11" spans="1:36" ht="15">
      <c r="A11" s="1116" t="s">
        <v>331</v>
      </c>
      <c r="B11" s="1116"/>
      <c r="C11" s="1116"/>
      <c r="D11" s="1116"/>
      <c r="E11" s="1116"/>
      <c r="F11" s="1116">
        <v>3.0030692000000001</v>
      </c>
      <c r="G11" s="1116"/>
      <c r="H11" s="1116"/>
      <c r="I11" s="1116"/>
      <c r="J11" s="1116"/>
      <c r="K11" s="1116"/>
      <c r="L11" s="1116"/>
      <c r="M11" s="1116"/>
      <c r="N11" s="1116"/>
      <c r="O11" s="1116"/>
      <c r="P11" s="1116"/>
      <c r="Q11" s="1116"/>
      <c r="R11" s="1116"/>
      <c r="S11" s="1116">
        <v>1.2618300000000001E-2</v>
      </c>
      <c r="T11" s="1116"/>
      <c r="U11" s="1116">
        <v>1.0961247000000001</v>
      </c>
      <c r="V11" s="1116"/>
      <c r="W11" s="1116">
        <v>13.949962299999999</v>
      </c>
      <c r="X11" s="1116"/>
      <c r="Y11" s="1116">
        <v>0.76691580000000004</v>
      </c>
      <c r="Z11" s="1116"/>
      <c r="AA11" s="1116"/>
      <c r="AB11" s="1116"/>
      <c r="AC11" s="1116">
        <v>4.0216799999999997E-2</v>
      </c>
      <c r="AD11" s="1116">
        <v>0.5472979</v>
      </c>
      <c r="AE11" s="1116"/>
      <c r="AF11" s="1116"/>
      <c r="AG11" s="1116"/>
      <c r="AH11" s="1116"/>
      <c r="AI11" s="1116"/>
    </row>
    <row r="12" spans="1:36" ht="15">
      <c r="A12" s="1116" t="s">
        <v>829</v>
      </c>
      <c r="B12" s="1116"/>
      <c r="C12" s="1116"/>
      <c r="D12" s="1116"/>
      <c r="E12" s="1116"/>
      <c r="F12" s="1116"/>
      <c r="G12" s="1116"/>
      <c r="H12" s="1116"/>
      <c r="I12" s="1116"/>
      <c r="J12" s="1116">
        <v>0.18045420000000001</v>
      </c>
      <c r="K12" s="1116"/>
      <c r="L12" s="1116"/>
      <c r="M12" s="1116"/>
      <c r="N12" s="1116"/>
      <c r="O12" s="1116"/>
      <c r="P12" s="1116"/>
      <c r="Q12" s="1116"/>
      <c r="R12" s="1116"/>
      <c r="S12" s="1116"/>
      <c r="T12" s="1116"/>
      <c r="U12" s="1116"/>
      <c r="V12" s="1116"/>
      <c r="W12" s="1116">
        <v>2.7809299999999999E-2</v>
      </c>
      <c r="X12" s="1116"/>
      <c r="Y12" s="1116"/>
      <c r="Z12" s="1116"/>
      <c r="AA12" s="1116"/>
      <c r="AB12" s="1116"/>
      <c r="AC12" s="1116"/>
      <c r="AD12" s="1116"/>
      <c r="AE12" s="1116"/>
      <c r="AF12" s="1116"/>
      <c r="AG12" s="1116"/>
      <c r="AH12" s="1116"/>
      <c r="AI12" s="1116"/>
    </row>
    <row r="13" spans="1:36" ht="15">
      <c r="A13" s="1116" t="s">
        <v>777</v>
      </c>
      <c r="B13" s="1116"/>
      <c r="C13" s="1116"/>
      <c r="D13" s="1116">
        <v>4.2244999999999998E-2</v>
      </c>
      <c r="E13" s="1116"/>
      <c r="F13" s="1116">
        <v>6.3209899999999999E-2</v>
      </c>
      <c r="G13" s="1116"/>
      <c r="H13" s="1116">
        <v>2.4896710999999998</v>
      </c>
      <c r="I13" s="1116"/>
      <c r="J13" s="1116">
        <v>0.4732866</v>
      </c>
      <c r="K13" s="1116"/>
      <c r="L13" s="1116">
        <v>4.0407999999999998E-3</v>
      </c>
      <c r="M13" s="1116"/>
      <c r="N13" s="1116">
        <v>9.1412199999999999E-2</v>
      </c>
      <c r="O13" s="1116">
        <v>3.0788900000000001E-2</v>
      </c>
      <c r="P13" s="1116"/>
      <c r="Q13" s="1116"/>
      <c r="R13" s="1116"/>
      <c r="S13" s="1116">
        <v>3.2236899999999999E-2</v>
      </c>
      <c r="T13" s="1116">
        <v>0.60721449999999999</v>
      </c>
      <c r="U13" s="1116"/>
      <c r="V13" s="1116"/>
      <c r="W13" s="1116">
        <v>1.6943577000000001</v>
      </c>
      <c r="X13" s="1116"/>
      <c r="Y13" s="1116">
        <v>0.1939401</v>
      </c>
      <c r="Z13" s="1116"/>
      <c r="AA13" s="1116"/>
      <c r="AB13" s="1116"/>
      <c r="AC13" s="1116">
        <v>3.74595E-2</v>
      </c>
      <c r="AD13" s="1116">
        <v>8.4358600000000006E-2</v>
      </c>
      <c r="AE13" s="1116"/>
      <c r="AF13" s="1116"/>
      <c r="AG13" s="1116"/>
      <c r="AH13" s="1116"/>
      <c r="AI13" s="1116"/>
    </row>
    <row r="14" spans="1:36" ht="15">
      <c r="A14" s="1116" t="s">
        <v>838</v>
      </c>
      <c r="B14" s="1116">
        <v>0.18626889999999999</v>
      </c>
      <c r="C14" s="1116"/>
      <c r="D14" s="1116">
        <v>1.3493196999999999</v>
      </c>
      <c r="E14" s="1116"/>
      <c r="F14" s="1116"/>
      <c r="G14" s="1116"/>
      <c r="H14" s="1116">
        <v>15.490241899999999</v>
      </c>
      <c r="I14" s="1116"/>
      <c r="J14" s="1116">
        <v>2.1022476999999999</v>
      </c>
      <c r="K14" s="1116"/>
      <c r="L14" s="1116"/>
      <c r="M14" s="1116"/>
      <c r="N14" s="1116">
        <v>0.21886340000000001</v>
      </c>
      <c r="O14" s="1116"/>
      <c r="P14" s="1116"/>
      <c r="Q14" s="1116"/>
      <c r="R14" s="1116"/>
      <c r="S14" s="1116">
        <v>1.4990702</v>
      </c>
      <c r="T14" s="1116">
        <v>5.2801435999999997</v>
      </c>
      <c r="U14" s="1116"/>
      <c r="V14" s="1116"/>
      <c r="W14" s="1116"/>
      <c r="X14" s="1116"/>
      <c r="Y14" s="1116">
        <v>1.8831529</v>
      </c>
      <c r="Z14" s="1116">
        <v>0.18938859999999999</v>
      </c>
      <c r="AA14" s="1116"/>
      <c r="AB14" s="1116">
        <v>0.19502949999999999</v>
      </c>
      <c r="AC14" s="1116">
        <v>9.0397900000000003E-2</v>
      </c>
      <c r="AD14" s="1116">
        <v>0.20559949999999999</v>
      </c>
      <c r="AE14" s="1116"/>
      <c r="AF14" s="1116">
        <v>0.71655310000000005</v>
      </c>
      <c r="AG14" s="1116"/>
      <c r="AH14" s="1116">
        <v>0.69093119999999997</v>
      </c>
      <c r="AI14" s="1116"/>
    </row>
    <row r="15" spans="1:36" ht="15">
      <c r="A15" s="1116" t="s">
        <v>856</v>
      </c>
      <c r="B15" s="1116">
        <v>0.21492020000000001</v>
      </c>
      <c r="C15" s="1116"/>
      <c r="D15" s="1116"/>
      <c r="E15" s="1116"/>
      <c r="F15" s="1116"/>
      <c r="G15" s="1116"/>
      <c r="H15" s="1116">
        <v>43.772371700000001</v>
      </c>
      <c r="I15" s="1116"/>
      <c r="J15" s="1116">
        <v>5.6337999999999999E-2</v>
      </c>
      <c r="K15" s="1116"/>
      <c r="L15" s="1116">
        <v>5.9691099999999997E-2</v>
      </c>
      <c r="M15" s="1116"/>
      <c r="N15" s="1116"/>
      <c r="O15" s="1116"/>
      <c r="P15" s="1116"/>
      <c r="Q15" s="1116"/>
      <c r="R15" s="1116"/>
      <c r="S15" s="1116"/>
      <c r="T15" s="1116">
        <v>8.6454699999999995E-2</v>
      </c>
      <c r="U15" s="1116"/>
      <c r="V15" s="1116"/>
      <c r="W15" s="1116">
        <v>11.925216000000001</v>
      </c>
      <c r="X15" s="1116"/>
      <c r="Y15" s="1116"/>
      <c r="Z15" s="1116"/>
      <c r="AA15" s="1116">
        <v>9.0711E-2</v>
      </c>
      <c r="AB15" s="1116">
        <v>3.03503E-2</v>
      </c>
      <c r="AC15" s="1116"/>
      <c r="AD15" s="1116">
        <v>0.1153796</v>
      </c>
      <c r="AE15" s="1116"/>
      <c r="AF15" s="1116"/>
      <c r="AG15" s="1116"/>
      <c r="AH15" s="1116"/>
      <c r="AI15" s="1116"/>
    </row>
    <row r="16" spans="1:36" ht="15">
      <c r="A16" s="1116" t="s">
        <v>875</v>
      </c>
      <c r="B16" s="1116"/>
      <c r="C16" s="1116"/>
      <c r="D16" s="1116"/>
      <c r="E16" s="1116"/>
      <c r="F16" s="1116">
        <v>1.86126E-2</v>
      </c>
      <c r="G16" s="1116"/>
      <c r="H16" s="1116">
        <v>5.9523859000000003</v>
      </c>
      <c r="I16" s="1116"/>
      <c r="J16" s="1116"/>
      <c r="K16" s="1116"/>
      <c r="L16" s="1116"/>
      <c r="M16" s="1116"/>
      <c r="N16" s="1116"/>
      <c r="O16" s="1116"/>
      <c r="P16" s="1116"/>
      <c r="Q16" s="1116"/>
      <c r="R16" s="1116"/>
      <c r="S16" s="1116"/>
      <c r="T16" s="1116"/>
      <c r="U16" s="1116"/>
      <c r="V16" s="1116"/>
      <c r="W16" s="1116">
        <v>12.847193799999999</v>
      </c>
      <c r="X16" s="1116"/>
      <c r="Y16" s="1116"/>
      <c r="Z16" s="1116"/>
      <c r="AA16" s="1116"/>
      <c r="AB16" s="1116"/>
      <c r="AC16" s="1116"/>
      <c r="AD16" s="1116"/>
      <c r="AE16" s="1116"/>
      <c r="AF16" s="1116"/>
      <c r="AG16" s="1116"/>
      <c r="AH16" s="1116"/>
      <c r="AI16" s="1116"/>
    </row>
    <row r="17" spans="1:35" ht="15">
      <c r="A17" s="1116" t="s">
        <v>867</v>
      </c>
      <c r="B17" s="1116">
        <v>4.8422300000000001E-2</v>
      </c>
      <c r="C17" s="1116"/>
      <c r="D17" s="1116"/>
      <c r="E17" s="1116"/>
      <c r="F17" s="1116"/>
      <c r="G17" s="1116"/>
      <c r="H17" s="1116">
        <v>3.8610636999999999</v>
      </c>
      <c r="I17" s="1116"/>
      <c r="J17" s="1116"/>
      <c r="K17" s="1116"/>
      <c r="L17" s="1116"/>
      <c r="M17" s="1116"/>
      <c r="N17" s="1116"/>
      <c r="O17" s="1116"/>
      <c r="P17" s="1116"/>
      <c r="Q17" s="1116"/>
      <c r="R17" s="1116"/>
      <c r="S17" s="1116">
        <v>3.4559600000000003E-2</v>
      </c>
      <c r="T17" s="1116">
        <v>0.15169640000000001</v>
      </c>
      <c r="U17" s="1116"/>
      <c r="V17" s="1116"/>
      <c r="W17" s="1116">
        <v>17.32855</v>
      </c>
      <c r="X17" s="1116"/>
      <c r="Y17" s="1116"/>
      <c r="Z17" s="1116"/>
      <c r="AA17" s="1116"/>
      <c r="AB17" s="1116">
        <v>9.3303899999999995E-2</v>
      </c>
      <c r="AC17" s="1116">
        <v>2.4148699999999999E-2</v>
      </c>
      <c r="AD17" s="1116">
        <v>5.7558999999999999E-2</v>
      </c>
      <c r="AE17" s="1116"/>
      <c r="AF17" s="1116"/>
      <c r="AG17" s="1116"/>
      <c r="AH17" s="1116">
        <v>3.3306500000000003E-2</v>
      </c>
      <c r="AI17" s="1116"/>
    </row>
    <row r="18" spans="1:35" ht="15">
      <c r="A18" s="1116" t="s">
        <v>890</v>
      </c>
      <c r="B18" s="1116">
        <v>1.3487121</v>
      </c>
      <c r="C18" s="1116"/>
      <c r="D18" s="1116"/>
      <c r="E18" s="1116"/>
      <c r="F18" s="1116"/>
      <c r="G18" s="1116"/>
      <c r="H18" s="1116">
        <v>4.2484900000000003</v>
      </c>
      <c r="I18" s="1116"/>
      <c r="J18" s="1116">
        <v>2.2876000000000001E-2</v>
      </c>
      <c r="K18" s="1116"/>
      <c r="L18" s="1116"/>
      <c r="M18" s="1116">
        <v>3.5729999999999998E-3</v>
      </c>
      <c r="N18" s="1116"/>
      <c r="O18" s="1116"/>
      <c r="P18" s="1116"/>
      <c r="Q18" s="1116"/>
      <c r="R18" s="1116"/>
      <c r="S18" s="1116">
        <v>0.20935129999999999</v>
      </c>
      <c r="T18" s="1116">
        <v>6.1281521999999997</v>
      </c>
      <c r="U18" s="1116"/>
      <c r="V18" s="1116"/>
      <c r="W18" s="1116">
        <v>7.1398992000000003</v>
      </c>
      <c r="X18" s="1116"/>
      <c r="Y18" s="1116">
        <v>26.1927837</v>
      </c>
      <c r="Z18" s="1116">
        <v>0.13202700000000001</v>
      </c>
      <c r="AA18" s="1116"/>
      <c r="AB18" s="1116">
        <v>2.7587500000000001E-2</v>
      </c>
      <c r="AC18" s="1116">
        <v>0.23325879999999999</v>
      </c>
      <c r="AD18" s="1116">
        <v>3.1900900000000003E-2</v>
      </c>
      <c r="AE18" s="1116"/>
      <c r="AF18" s="1116">
        <v>0.1299786</v>
      </c>
      <c r="AG18" s="1116"/>
      <c r="AH18" s="1116"/>
      <c r="AI18" s="1116"/>
    </row>
    <row r="19" spans="1:35" ht="15">
      <c r="A19" s="1116" t="s">
        <v>900</v>
      </c>
      <c r="B19" s="1116">
        <v>4.2877852000000001</v>
      </c>
      <c r="C19" s="1116"/>
      <c r="D19" s="1116"/>
      <c r="E19" s="1116"/>
      <c r="F19" s="1116"/>
      <c r="G19" s="1116"/>
      <c r="H19" s="1116"/>
      <c r="I19" s="1116"/>
      <c r="J19" s="1116">
        <v>5.5176764</v>
      </c>
      <c r="K19" s="1116"/>
      <c r="L19" s="1116"/>
      <c r="M19" s="1116"/>
      <c r="N19" s="1116"/>
      <c r="O19" s="1116">
        <v>0.89783749999999996</v>
      </c>
      <c r="P19" s="1116"/>
      <c r="Q19" s="1116"/>
      <c r="R19" s="1116"/>
      <c r="S19" s="1116">
        <v>5.6520800000000003E-2</v>
      </c>
      <c r="T19" s="1116">
        <v>0.26061430000000002</v>
      </c>
      <c r="U19" s="1116">
        <v>7.2629200000000005E-2</v>
      </c>
      <c r="V19" s="1116"/>
      <c r="W19" s="1116">
        <v>1.3860553</v>
      </c>
      <c r="X19" s="1116"/>
      <c r="Y19" s="1116"/>
      <c r="Z19" s="1116"/>
      <c r="AA19" s="1116"/>
      <c r="AB19" s="1116"/>
      <c r="AC19" s="1116">
        <v>1.5884503999999999</v>
      </c>
      <c r="AD19" s="1116">
        <v>1.3445962</v>
      </c>
      <c r="AE19" s="1116"/>
      <c r="AF19" s="1116"/>
      <c r="AG19" s="1116"/>
      <c r="AH19" s="1116">
        <v>1.2921482</v>
      </c>
      <c r="AI19" s="1116"/>
    </row>
    <row r="20" spans="1:35" ht="15">
      <c r="A20" s="1116" t="s">
        <v>901</v>
      </c>
      <c r="B20" s="1116"/>
      <c r="C20" s="1116"/>
      <c r="D20" s="1116"/>
      <c r="E20" s="1116"/>
      <c r="F20" s="1116"/>
      <c r="G20" s="1116"/>
      <c r="H20" s="1116">
        <v>12.452851600000001</v>
      </c>
      <c r="I20" s="1116"/>
      <c r="J20" s="1116"/>
      <c r="K20" s="1116"/>
      <c r="L20" s="1116"/>
      <c r="M20" s="1116"/>
      <c r="N20" s="1116"/>
      <c r="O20" s="1116"/>
      <c r="P20" s="1116"/>
      <c r="Q20" s="1116"/>
      <c r="R20" s="1116"/>
      <c r="S20" s="1116"/>
      <c r="T20" s="1116">
        <v>0.69520210000000005</v>
      </c>
      <c r="U20" s="1116"/>
      <c r="V20" s="1116"/>
      <c r="W20" s="1116">
        <v>4.0150046000000001</v>
      </c>
      <c r="X20" s="1116"/>
      <c r="Y20" s="1116">
        <v>8.0740199999999998E-2</v>
      </c>
      <c r="Z20" s="1116">
        <v>0.49229479999999998</v>
      </c>
      <c r="AA20" s="1116"/>
      <c r="AB20" s="1116">
        <v>3.2984800000000002E-2</v>
      </c>
      <c r="AC20" s="1116">
        <v>1.3665699999999999E-2</v>
      </c>
      <c r="AD20" s="1116">
        <v>0.11936629999999999</v>
      </c>
      <c r="AE20" s="1116"/>
      <c r="AF20" s="1116"/>
      <c r="AG20" s="1116"/>
      <c r="AH20" s="1116">
        <v>1.1764699999999999E-2</v>
      </c>
      <c r="AI20" s="1116"/>
    </row>
    <row r="21" spans="1:35" ht="15">
      <c r="A21" s="1116" t="s">
        <v>912</v>
      </c>
      <c r="B21" s="1116">
        <v>0.15050640000000001</v>
      </c>
      <c r="C21" s="1116"/>
      <c r="D21" s="1116"/>
      <c r="E21" s="1116"/>
      <c r="F21" s="1116"/>
      <c r="G21" s="1116"/>
      <c r="H21" s="1116">
        <v>5.0139838000000001</v>
      </c>
      <c r="I21" s="1116"/>
      <c r="J21" s="1116">
        <v>2.53876E-2</v>
      </c>
      <c r="K21" s="1116"/>
      <c r="L21" s="1116"/>
      <c r="M21" s="1116"/>
      <c r="N21" s="1116"/>
      <c r="O21" s="1116"/>
      <c r="P21" s="1116"/>
      <c r="Q21" s="1116"/>
      <c r="R21" s="1116"/>
      <c r="S21" s="1116">
        <v>2.4729899999999999E-2</v>
      </c>
      <c r="T21" s="1116"/>
      <c r="U21" s="1116"/>
      <c r="V21" s="1116"/>
      <c r="W21" s="1116">
        <v>1.6630674000000001</v>
      </c>
      <c r="X21" s="1116"/>
      <c r="Y21" s="1116"/>
      <c r="Z21" s="1116"/>
      <c r="AA21" s="1116"/>
      <c r="AB21" s="1116">
        <v>1.66444E-2</v>
      </c>
      <c r="AC21" s="1116">
        <v>0.30442239999999998</v>
      </c>
      <c r="AD21" s="1116">
        <v>0.27617609999999998</v>
      </c>
      <c r="AE21" s="1116"/>
      <c r="AF21" s="1116"/>
      <c r="AG21" s="1116"/>
      <c r="AH21" s="1116"/>
      <c r="AI21" s="1116"/>
    </row>
    <row r="22" spans="1:35" ht="15">
      <c r="A22" s="1116" t="s">
        <v>920</v>
      </c>
      <c r="B22" s="1116">
        <v>1.4346686</v>
      </c>
      <c r="C22" s="1116"/>
      <c r="D22" s="1116">
        <v>0.48293239999999998</v>
      </c>
      <c r="E22" s="1116"/>
      <c r="F22" s="1116">
        <v>0.83384820000000004</v>
      </c>
      <c r="G22" s="1116"/>
      <c r="H22" s="1116">
        <v>9.8716007999999995</v>
      </c>
      <c r="I22" s="1116"/>
      <c r="J22" s="1116">
        <v>2.2249999999999999E-4</v>
      </c>
      <c r="K22" s="1116">
        <v>0.50724670000000005</v>
      </c>
      <c r="L22" s="1116">
        <v>0.68555639999999995</v>
      </c>
      <c r="M22" s="1116">
        <v>3.2714286000000001</v>
      </c>
      <c r="N22" s="1116">
        <v>0.47516370000000002</v>
      </c>
      <c r="O22" s="1116"/>
      <c r="P22" s="1116">
        <v>2.7720818999999999</v>
      </c>
      <c r="Q22" s="1116"/>
      <c r="R22" s="1116"/>
      <c r="S22" s="1116">
        <v>1.7325683999999999</v>
      </c>
      <c r="T22" s="1116">
        <v>8.1570844999999998</v>
      </c>
      <c r="U22" s="1116">
        <v>5.77779E-2</v>
      </c>
      <c r="V22" s="1116"/>
      <c r="W22" s="1116">
        <v>1.4940224</v>
      </c>
      <c r="X22" s="1116"/>
      <c r="Y22" s="1116">
        <v>14.5014314</v>
      </c>
      <c r="Z22" s="1116">
        <v>5.6184100000000001E-2</v>
      </c>
      <c r="AA22" s="1116"/>
      <c r="AB22" s="1116">
        <v>3.4657300000000002E-2</v>
      </c>
      <c r="AC22" s="1116">
        <v>5.6504365999999999</v>
      </c>
      <c r="AD22" s="1116">
        <v>4.0867032999999999</v>
      </c>
      <c r="AE22" s="1116"/>
      <c r="AF22" s="1116">
        <v>1.2789988000000001</v>
      </c>
      <c r="AG22" s="1116">
        <v>0.17288990000000001</v>
      </c>
      <c r="AH22" s="1116">
        <v>1.2280899999999999</v>
      </c>
      <c r="AI22" s="1116"/>
    </row>
    <row r="23" spans="1:35" ht="15">
      <c r="A23" s="1116" t="s">
        <v>924</v>
      </c>
      <c r="B23" s="1116">
        <v>0.82232609999999995</v>
      </c>
      <c r="C23" s="1116"/>
      <c r="D23" s="1116"/>
      <c r="E23" s="1116"/>
      <c r="F23" s="1116"/>
      <c r="G23" s="1116"/>
      <c r="H23" s="1116">
        <v>3.3723000000000003E-2</v>
      </c>
      <c r="I23" s="1116">
        <v>31.750032300000001</v>
      </c>
      <c r="J23" s="1116">
        <v>3.4521700000000002E-2</v>
      </c>
      <c r="K23" s="1116"/>
      <c r="L23" s="1116"/>
      <c r="M23" s="1116"/>
      <c r="N23" s="1116"/>
      <c r="O23" s="1116"/>
      <c r="P23" s="1116"/>
      <c r="Q23" s="1116"/>
      <c r="R23" s="1116"/>
      <c r="S23" s="1116"/>
      <c r="T23" s="1116"/>
      <c r="U23" s="1116"/>
      <c r="V23" s="1116"/>
      <c r="W23" s="1116">
        <v>78.347206299999996</v>
      </c>
      <c r="X23" s="1116"/>
      <c r="Y23" s="1116"/>
      <c r="Z23" s="1116">
        <v>1.30568E-2</v>
      </c>
      <c r="AA23" s="1116"/>
      <c r="AB23" s="1116">
        <v>0.64024210000000004</v>
      </c>
      <c r="AC23" s="1116"/>
      <c r="AD23" s="1116">
        <v>0.11762309999999999</v>
      </c>
      <c r="AE23" s="1116"/>
      <c r="AF23" s="1116"/>
      <c r="AG23" s="1116"/>
      <c r="AH23" s="1116"/>
      <c r="AI23" s="1116"/>
    </row>
    <row r="24" spans="1:35" ht="15">
      <c r="A24" s="1116" t="s">
        <v>929</v>
      </c>
      <c r="B24" s="1116">
        <v>2.7946200000000001E-2</v>
      </c>
      <c r="C24" s="1116"/>
      <c r="D24" s="1116"/>
      <c r="E24" s="1116"/>
      <c r="F24" s="1116">
        <v>7.5779999999999999E-4</v>
      </c>
      <c r="G24" s="1116"/>
      <c r="H24" s="1116">
        <v>8.7364723000000009</v>
      </c>
      <c r="I24" s="1116">
        <v>2.7220600000000001E-2</v>
      </c>
      <c r="J24" s="1116">
        <v>6.8617873999999999</v>
      </c>
      <c r="K24" s="1116"/>
      <c r="L24" s="1116">
        <v>9.5598999999999996E-3</v>
      </c>
      <c r="M24" s="1116"/>
      <c r="N24" s="1116"/>
      <c r="O24" s="1116"/>
      <c r="P24" s="1116"/>
      <c r="Q24" s="1116"/>
      <c r="R24" s="1116"/>
      <c r="S24" s="1116">
        <v>0.12761520000000001</v>
      </c>
      <c r="T24" s="1116">
        <v>0.85836029999999996</v>
      </c>
      <c r="U24" s="1116"/>
      <c r="V24" s="1116"/>
      <c r="W24" s="1116"/>
      <c r="X24" s="1116"/>
      <c r="Y24" s="1116"/>
      <c r="Z24" s="1116"/>
      <c r="AA24" s="1116"/>
      <c r="AB24" s="1116">
        <v>1.50248E-2</v>
      </c>
      <c r="AC24" s="1116">
        <v>1.8990799999999999E-2</v>
      </c>
      <c r="AD24" s="1116">
        <v>5.3069900000000003E-2</v>
      </c>
      <c r="AE24" s="1116"/>
      <c r="AF24" s="1116">
        <v>1.4778700000000001E-2</v>
      </c>
      <c r="AG24" s="1116"/>
      <c r="AH24" s="1116">
        <v>5.2103999999999996E-3</v>
      </c>
      <c r="AI24" s="1116"/>
    </row>
    <row r="25" spans="1:35" ht="15">
      <c r="A25" s="1116" t="s">
        <v>934</v>
      </c>
      <c r="B25" s="1116">
        <v>0.2334466</v>
      </c>
      <c r="C25" s="1116"/>
      <c r="D25" s="1116"/>
      <c r="E25" s="1116"/>
      <c r="F25" s="1116"/>
      <c r="G25" s="1116">
        <v>1.1328400000000001E-2</v>
      </c>
      <c r="H25" s="1116">
        <v>2.2377615</v>
      </c>
      <c r="I25" s="1116"/>
      <c r="J25" s="1116">
        <v>5.1287294000000001</v>
      </c>
      <c r="K25" s="1116"/>
      <c r="L25" s="1116">
        <v>0.10448</v>
      </c>
      <c r="M25" s="1116"/>
      <c r="N25" s="1116">
        <v>1.6226999999999999E-3</v>
      </c>
      <c r="O25" s="1116"/>
      <c r="P25" s="1116"/>
      <c r="Q25" s="1116"/>
      <c r="R25" s="1116"/>
      <c r="S25" s="1116">
        <v>9.6270000000000004E-4</v>
      </c>
      <c r="T25" s="1116">
        <v>3.1459999999999999E-3</v>
      </c>
      <c r="U25" s="1116"/>
      <c r="V25" s="1116"/>
      <c r="W25" s="1116">
        <v>1.3288420999999999</v>
      </c>
      <c r="X25" s="1116"/>
      <c r="Y25" s="1116"/>
      <c r="Z25" s="1116">
        <v>0.34259060000000002</v>
      </c>
      <c r="AA25" s="1116">
        <v>6.4247000000000002E-3</v>
      </c>
      <c r="AB25" s="1116">
        <v>3.7661300000000002E-2</v>
      </c>
      <c r="AC25" s="1116">
        <v>2.2005000000000002E-3</v>
      </c>
      <c r="AD25" s="1116">
        <v>9.0055999999999997E-2</v>
      </c>
      <c r="AE25" s="1116"/>
      <c r="AF25" s="1116"/>
      <c r="AG25" s="1116"/>
      <c r="AH25" s="1116"/>
      <c r="AI25" s="1116"/>
    </row>
    <row r="26" spans="1:35" ht="15">
      <c r="A26" s="1116" t="s">
        <v>951</v>
      </c>
      <c r="B26" s="1116"/>
      <c r="C26" s="1116"/>
      <c r="D26" s="1116"/>
      <c r="E26" s="1116"/>
      <c r="F26" s="1116"/>
      <c r="G26" s="1116"/>
      <c r="H26" s="1116">
        <v>1.0627E-3</v>
      </c>
      <c r="I26" s="1116"/>
      <c r="J26" s="1116">
        <v>1.4114287000000001</v>
      </c>
      <c r="K26" s="1116"/>
      <c r="L26" s="1116"/>
      <c r="M26" s="1116"/>
      <c r="N26" s="1116"/>
      <c r="O26" s="1116"/>
      <c r="P26" s="1116"/>
      <c r="Q26" s="1116"/>
      <c r="R26" s="1116"/>
      <c r="S26" s="1116">
        <v>0.35822219999999999</v>
      </c>
      <c r="T26" s="1116"/>
      <c r="U26" s="1116">
        <v>7.7199E-3</v>
      </c>
      <c r="V26" s="1116"/>
      <c r="W26" s="1116">
        <v>1.9106641</v>
      </c>
      <c r="X26" s="1116"/>
      <c r="Y26" s="1116"/>
      <c r="Z26" s="1116"/>
      <c r="AA26" s="1116"/>
      <c r="AB26" s="1116">
        <v>2.3519100000000001E-2</v>
      </c>
      <c r="AC26" s="1116"/>
      <c r="AD26" s="1116">
        <v>8.3035999999999995E-3</v>
      </c>
      <c r="AE26" s="1116"/>
      <c r="AF26" s="1116"/>
      <c r="AG26" s="1116"/>
      <c r="AH26" s="1116"/>
      <c r="AI26" s="1116"/>
    </row>
    <row r="27" spans="1:35" ht="15">
      <c r="A27" s="1116" t="s">
        <v>944</v>
      </c>
      <c r="B27" s="1116">
        <v>1.8627299999999999E-2</v>
      </c>
      <c r="C27" s="1116"/>
      <c r="D27" s="1116"/>
      <c r="E27" s="1116"/>
      <c r="F27" s="1116"/>
      <c r="G27" s="1116"/>
      <c r="H27" s="1116">
        <v>6.0093876000000002</v>
      </c>
      <c r="I27" s="1116">
        <v>7.9334999999999996E-3</v>
      </c>
      <c r="J27" s="1116"/>
      <c r="K27" s="1116"/>
      <c r="L27" s="1116"/>
      <c r="M27" s="1116"/>
      <c r="N27" s="1116"/>
      <c r="O27" s="1116"/>
      <c r="P27" s="1116"/>
      <c r="Q27" s="1116"/>
      <c r="R27" s="1116"/>
      <c r="S27" s="1116"/>
      <c r="T27" s="1116"/>
      <c r="U27" s="1116"/>
      <c r="V27" s="1116"/>
      <c r="W27" s="1116">
        <v>23.8888544</v>
      </c>
      <c r="X27" s="1116"/>
      <c r="Y27" s="1116"/>
      <c r="Z27" s="1116">
        <v>7.5183999999999997E-3</v>
      </c>
      <c r="AA27" s="1116"/>
      <c r="AB27" s="1116">
        <v>0.1245448</v>
      </c>
      <c r="AC27" s="1116"/>
      <c r="AD27" s="1116">
        <v>6.4760100000000001E-2</v>
      </c>
      <c r="AE27" s="1116"/>
      <c r="AF27" s="1116"/>
      <c r="AG27" s="1116"/>
      <c r="AH27" s="1116"/>
      <c r="AI27" s="1116"/>
    </row>
    <row r="28" spans="1:35" ht="15">
      <c r="A28" s="1116" t="s">
        <v>958</v>
      </c>
      <c r="B28" s="1116">
        <v>2.3904754000000001</v>
      </c>
      <c r="C28" s="1116"/>
      <c r="D28" s="1116"/>
      <c r="E28" s="1116"/>
      <c r="F28" s="1116">
        <v>0.2471991</v>
      </c>
      <c r="G28" s="1116"/>
      <c r="H28" s="1116"/>
      <c r="I28" s="1116">
        <v>5.8996956999999899</v>
      </c>
      <c r="J28" s="1116">
        <v>0.28119929999999999</v>
      </c>
      <c r="K28" s="1116"/>
      <c r="L28" s="1116"/>
      <c r="M28" s="1116">
        <v>0.13386909999999999</v>
      </c>
      <c r="N28" s="1116"/>
      <c r="O28" s="1116">
        <v>1.7269E-3</v>
      </c>
      <c r="P28" s="1116"/>
      <c r="Q28" s="1116"/>
      <c r="R28" s="1116"/>
      <c r="S28" s="1116">
        <v>9.9529999999999996E-4</v>
      </c>
      <c r="T28" s="1116">
        <v>0.14807609999999999</v>
      </c>
      <c r="U28" s="1116">
        <v>0.2327823</v>
      </c>
      <c r="V28" s="1116"/>
      <c r="W28" s="1116">
        <v>77.954280499999996</v>
      </c>
      <c r="X28" s="1116"/>
      <c r="Y28" s="1116"/>
      <c r="Z28" s="1116">
        <v>0.95347499999999996</v>
      </c>
      <c r="AA28" s="1116"/>
      <c r="AB28" s="1116">
        <v>0.18298400000000001</v>
      </c>
      <c r="AC28" s="1116">
        <v>0.1115913</v>
      </c>
      <c r="AD28" s="1116">
        <v>0.65667089999999995</v>
      </c>
      <c r="AE28" s="1116"/>
      <c r="AF28" s="1116">
        <v>3.1250442999999999</v>
      </c>
      <c r="AG28" s="1116"/>
      <c r="AH28" s="1116"/>
      <c r="AI28" s="1116"/>
    </row>
    <row r="29" spans="1:35" ht="15">
      <c r="A29" s="1116" t="s">
        <v>964</v>
      </c>
      <c r="B29" s="1116">
        <v>5.0025538000000003</v>
      </c>
      <c r="C29" s="1116">
        <v>0.2216399</v>
      </c>
      <c r="D29" s="1116"/>
      <c r="E29" s="1116"/>
      <c r="F29" s="1116"/>
      <c r="G29" s="1116"/>
      <c r="H29" s="1116">
        <v>43.173982600000002</v>
      </c>
      <c r="I29" s="1116"/>
      <c r="J29" s="1116">
        <v>2.0397000000000002E-3</v>
      </c>
      <c r="K29" s="1116"/>
      <c r="L29" s="1116"/>
      <c r="M29" s="1116">
        <v>0.56161039999999995</v>
      </c>
      <c r="N29" s="1116"/>
      <c r="O29" s="1116"/>
      <c r="P29" s="1116"/>
      <c r="Q29" s="1116"/>
      <c r="R29" s="1116"/>
      <c r="S29" s="1116"/>
      <c r="T29" s="1116">
        <v>14.5802248</v>
      </c>
      <c r="U29" s="1116">
        <v>1.0028497000000001</v>
      </c>
      <c r="V29" s="1116"/>
      <c r="W29" s="1116">
        <v>101.8559733</v>
      </c>
      <c r="X29" s="1116"/>
      <c r="Y29" s="1116">
        <v>1.0596599999999999E-2</v>
      </c>
      <c r="Z29" s="1116"/>
      <c r="AA29" s="1116"/>
      <c r="AB29" s="1116">
        <v>2.2203221000000002</v>
      </c>
      <c r="AC29" s="1116">
        <v>2.9827192</v>
      </c>
      <c r="AD29" s="1116">
        <v>4.7848160000000002</v>
      </c>
      <c r="AE29" s="1116"/>
      <c r="AF29" s="1116">
        <v>5.5566000000000001E-3</v>
      </c>
      <c r="AG29" s="1116"/>
      <c r="AH29" s="1116"/>
      <c r="AI29" s="1116"/>
    </row>
    <row r="30" spans="1:35" ht="15">
      <c r="A30" s="1116" t="s">
        <v>340</v>
      </c>
      <c r="B30" s="1116"/>
      <c r="C30" s="1116"/>
      <c r="D30" s="1116"/>
      <c r="E30" s="1116"/>
      <c r="F30" s="1116"/>
      <c r="G30" s="1116"/>
      <c r="H30" s="1116">
        <v>4.2005521000000003</v>
      </c>
      <c r="I30" s="1116"/>
      <c r="J30" s="1116"/>
      <c r="K30" s="1116"/>
      <c r="L30" s="1116"/>
      <c r="M30" s="1116"/>
      <c r="N30" s="1116"/>
      <c r="O30" s="1116"/>
      <c r="P30" s="1116"/>
      <c r="Q30" s="1116"/>
      <c r="R30" s="1116"/>
      <c r="S30" s="1116">
        <v>7.6200074999999998</v>
      </c>
      <c r="T30" s="1116"/>
      <c r="U30" s="1116"/>
      <c r="V30" s="1116"/>
      <c r="W30" s="1116"/>
      <c r="X30" s="1116"/>
      <c r="Y30" s="1116"/>
      <c r="Z30" s="1116"/>
      <c r="AA30" s="1116"/>
      <c r="AB30" s="1116"/>
      <c r="AC30" s="1116">
        <v>5.7308999999999997E-3</v>
      </c>
      <c r="AD30" s="1116">
        <v>0.16748979999999999</v>
      </c>
      <c r="AE30" s="1116"/>
      <c r="AF30" s="1116"/>
      <c r="AG30" s="1116"/>
      <c r="AH30" s="1116"/>
      <c r="AI30" s="1116">
        <v>4.0166370999999996</v>
      </c>
    </row>
    <row r="31" spans="1:35" ht="15">
      <c r="A31" s="1116" t="s">
        <v>1002</v>
      </c>
      <c r="B31" s="1116">
        <v>2.0630012999999998</v>
      </c>
      <c r="C31" s="1116"/>
      <c r="D31" s="1116"/>
      <c r="E31" s="1116">
        <v>5.7731299999999999E-2</v>
      </c>
      <c r="F31" s="1116"/>
      <c r="G31" s="1116">
        <v>1.7995897999999999</v>
      </c>
      <c r="H31" s="1116">
        <v>0.34392529999999999</v>
      </c>
      <c r="I31" s="1116">
        <v>10.181021700000001</v>
      </c>
      <c r="J31" s="1116">
        <v>1.6731999999999999E-3</v>
      </c>
      <c r="K31" s="1116"/>
      <c r="L31" s="1116">
        <v>1.0450600000000001E-2</v>
      </c>
      <c r="M31" s="1116"/>
      <c r="N31" s="1116"/>
      <c r="O31" s="1116"/>
      <c r="P31" s="1116"/>
      <c r="Q31" s="1116"/>
      <c r="R31" s="1116"/>
      <c r="S31" s="1116">
        <v>3.8308300000000003E-2</v>
      </c>
      <c r="T31" s="1116">
        <v>4.7019957000000003</v>
      </c>
      <c r="U31" s="1116">
        <v>0.40550900000000001</v>
      </c>
      <c r="V31" s="1116"/>
      <c r="W31" s="1116">
        <v>58.420438799999999</v>
      </c>
      <c r="X31" s="1116"/>
      <c r="Y31" s="1116"/>
      <c r="Z31" s="1116">
        <v>0.10150099999999999</v>
      </c>
      <c r="AA31" s="1116"/>
      <c r="AB31" s="1116">
        <v>0.43995069999999997</v>
      </c>
      <c r="AC31" s="1116">
        <v>0.1815427</v>
      </c>
      <c r="AD31" s="1116">
        <v>2.0807728000000001</v>
      </c>
      <c r="AE31" s="1116"/>
      <c r="AF31" s="1116">
        <v>0.91024099999999997</v>
      </c>
      <c r="AG31" s="1116"/>
      <c r="AH31" s="1116"/>
      <c r="AI31" s="1116">
        <v>0.41178789999999998</v>
      </c>
    </row>
    <row r="32" spans="1:35" ht="15">
      <c r="A32" s="1116" t="s">
        <v>1021</v>
      </c>
      <c r="B32" s="1116"/>
      <c r="C32" s="1116"/>
      <c r="D32" s="1116"/>
      <c r="E32" s="1116"/>
      <c r="F32" s="1116"/>
      <c r="G32" s="1116"/>
      <c r="H32" s="1116">
        <v>7.9242099999999996E-2</v>
      </c>
      <c r="I32" s="1116">
        <v>5.8000000000000004E-6</v>
      </c>
      <c r="J32" s="1116">
        <v>3.0549441000000002</v>
      </c>
      <c r="K32" s="1116"/>
      <c r="L32" s="1116"/>
      <c r="M32" s="1116"/>
      <c r="N32" s="1116"/>
      <c r="O32" s="1116"/>
      <c r="P32" s="1116"/>
      <c r="Q32" s="1116"/>
      <c r="R32" s="1116"/>
      <c r="S32" s="1116"/>
      <c r="T32" s="1116"/>
      <c r="U32" s="1116"/>
      <c r="V32" s="1116"/>
      <c r="W32" s="1116">
        <v>4.5762714999999998</v>
      </c>
      <c r="X32" s="1116"/>
      <c r="Y32" s="1116">
        <v>20.433250099999999</v>
      </c>
      <c r="Z32" s="1116"/>
      <c r="AA32" s="1116"/>
      <c r="AB32" s="1116"/>
      <c r="AC32" s="1116"/>
      <c r="AD32" s="1116"/>
      <c r="AE32" s="1116"/>
      <c r="AF32" s="1116"/>
      <c r="AG32" s="1116"/>
      <c r="AH32" s="1116"/>
      <c r="AI32" s="1116"/>
    </row>
    <row r="33" spans="1:35" ht="15">
      <c r="A33" s="1116" t="s">
        <v>1025</v>
      </c>
      <c r="B33" s="1116">
        <v>5.2341499999999999E-2</v>
      </c>
      <c r="C33" s="1116"/>
      <c r="D33" s="1116">
        <v>0.36813509999999999</v>
      </c>
      <c r="E33" s="1116"/>
      <c r="F33" s="1116"/>
      <c r="G33" s="1116">
        <v>0.17664659999999999</v>
      </c>
      <c r="H33" s="1116">
        <v>1.0667971999999999</v>
      </c>
      <c r="I33" s="1116"/>
      <c r="J33" s="1116">
        <v>5.7079215000000003</v>
      </c>
      <c r="K33" s="1116"/>
      <c r="L33" s="1116"/>
      <c r="M33" s="1116"/>
      <c r="N33" s="1116"/>
      <c r="O33" s="1116"/>
      <c r="P33" s="1116"/>
      <c r="Q33" s="1116"/>
      <c r="R33" s="1116"/>
      <c r="S33" s="1116"/>
      <c r="T33" s="1116">
        <v>0.80689880000000003</v>
      </c>
      <c r="U33" s="1116"/>
      <c r="V33" s="1116"/>
      <c r="W33" s="1116"/>
      <c r="X33" s="1116"/>
      <c r="Y33" s="1116"/>
      <c r="Z33" s="1116"/>
      <c r="AA33" s="1116"/>
      <c r="AB33" s="1116">
        <v>0.1214807</v>
      </c>
      <c r="AC33" s="1116">
        <v>4.4581999999999998E-3</v>
      </c>
      <c r="AD33" s="1116">
        <v>0.17566029999999999</v>
      </c>
      <c r="AE33" s="1116"/>
      <c r="AF33" s="1116">
        <v>2.9958637000000001</v>
      </c>
      <c r="AG33" s="1116"/>
      <c r="AH33" s="1116"/>
      <c r="AI33" s="1116"/>
    </row>
    <row r="34" spans="1:35" ht="15">
      <c r="A34" s="1116" t="s">
        <v>1605</v>
      </c>
      <c r="B34" s="1116">
        <v>8.6260002999999994</v>
      </c>
      <c r="C34" s="1116"/>
      <c r="D34" s="1116"/>
      <c r="E34" s="1116"/>
      <c r="F34" s="1116"/>
      <c r="G34" s="1116"/>
      <c r="H34" s="1116"/>
      <c r="I34" s="1116"/>
      <c r="J34" s="1116"/>
      <c r="K34" s="1116"/>
      <c r="L34" s="1116">
        <v>1.8648750000000001</v>
      </c>
      <c r="M34" s="1116"/>
      <c r="N34" s="1116">
        <v>4.8309199999999997E-2</v>
      </c>
      <c r="O34" s="1116"/>
      <c r="P34" s="1116">
        <v>3.6057036999999998</v>
      </c>
      <c r="Q34" s="1116"/>
      <c r="R34" s="1116"/>
      <c r="S34" s="1116">
        <v>5.2678374000000003</v>
      </c>
      <c r="T34" s="1116">
        <v>31.789144799999999</v>
      </c>
      <c r="U34" s="1116">
        <v>0.35382449999999999</v>
      </c>
      <c r="V34" s="1116"/>
      <c r="W34" s="1116">
        <v>19.6208548</v>
      </c>
      <c r="X34" s="1116"/>
      <c r="Y34" s="1116">
        <v>7.2369200999999999</v>
      </c>
      <c r="Z34" s="1116">
        <v>3.38713E-2</v>
      </c>
      <c r="AA34" s="1116"/>
      <c r="AB34" s="1116">
        <v>4.0672281999999997</v>
      </c>
      <c r="AC34" s="1116">
        <v>6.5828094000000004</v>
      </c>
      <c r="AD34" s="1116">
        <v>0.8456979</v>
      </c>
      <c r="AE34" s="1116"/>
      <c r="AF34" s="1116"/>
      <c r="AG34" s="1116">
        <v>0.91390150000000003</v>
      </c>
      <c r="AH34" s="1116"/>
      <c r="AI34" s="1116">
        <v>0.63296750000000002</v>
      </c>
    </row>
    <row r="35" spans="1:35" ht="15">
      <c r="A35" s="1116" t="s">
        <v>1027</v>
      </c>
      <c r="B35" s="1116"/>
      <c r="C35" s="1116"/>
      <c r="D35" s="1116"/>
      <c r="E35" s="1116"/>
      <c r="F35" s="1116"/>
      <c r="G35" s="1116"/>
      <c r="H35" s="1116">
        <v>2.5993620000000002</v>
      </c>
      <c r="I35" s="1116"/>
      <c r="J35" s="1116">
        <v>6.5808000000000004E-3</v>
      </c>
      <c r="K35" s="1116"/>
      <c r="L35" s="1116">
        <v>3.6531099999999997E-2</v>
      </c>
      <c r="M35" s="1116"/>
      <c r="N35" s="1116"/>
      <c r="O35" s="1116"/>
      <c r="P35" s="1116"/>
      <c r="Q35" s="1116"/>
      <c r="R35" s="1116"/>
      <c r="S35" s="1116">
        <v>0.1016079</v>
      </c>
      <c r="T35" s="1116">
        <v>2.8573403000000002</v>
      </c>
      <c r="U35" s="1116"/>
      <c r="V35" s="1116"/>
      <c r="W35" s="1116">
        <v>7.7250322000000002</v>
      </c>
      <c r="X35" s="1116"/>
      <c r="Y35" s="1116">
        <v>0.96258500000000002</v>
      </c>
      <c r="Z35" s="1116">
        <v>0.29392109999999999</v>
      </c>
      <c r="AA35" s="1116"/>
      <c r="AB35" s="1116">
        <v>9.1224899999999998E-2</v>
      </c>
      <c r="AC35" s="1116">
        <v>4.4199500000000003E-2</v>
      </c>
      <c r="AD35" s="1116">
        <v>0.47925679999999998</v>
      </c>
      <c r="AE35" s="1116"/>
      <c r="AF35" s="1116"/>
      <c r="AG35" s="1116"/>
      <c r="AH35" s="1116"/>
      <c r="AI35" s="1116"/>
    </row>
    <row r="36" spans="1:35" ht="15">
      <c r="A36" s="1116" t="s">
        <v>1030</v>
      </c>
      <c r="B36" s="1116"/>
      <c r="C36" s="1116"/>
      <c r="D36" s="1116"/>
      <c r="E36" s="1116"/>
      <c r="F36" s="1116"/>
      <c r="G36" s="1116"/>
      <c r="H36" s="1116">
        <v>6.2203929999999996</v>
      </c>
      <c r="I36" s="1116"/>
      <c r="J36" s="1116"/>
      <c r="K36" s="1116"/>
      <c r="L36" s="1116"/>
      <c r="M36" s="1116"/>
      <c r="N36" s="1116"/>
      <c r="O36" s="1116"/>
      <c r="P36" s="1116"/>
      <c r="Q36" s="1116"/>
      <c r="R36" s="1116"/>
      <c r="S36" s="1116"/>
      <c r="T36" s="1116"/>
      <c r="U36" s="1116"/>
      <c r="V36" s="1116"/>
      <c r="W36" s="1116">
        <v>4.3541837000000001</v>
      </c>
      <c r="X36" s="1116"/>
      <c r="Y36" s="1116">
        <v>3.2991600000000003E-2</v>
      </c>
      <c r="Z36" s="1116"/>
      <c r="AA36" s="1116"/>
      <c r="AB36" s="1116"/>
      <c r="AC36" s="1116"/>
      <c r="AD36" s="1116">
        <v>7.5455000000000001E-3</v>
      </c>
      <c r="AE36" s="1116"/>
      <c r="AF36" s="1116"/>
      <c r="AG36" s="1116"/>
      <c r="AH36" s="1116"/>
      <c r="AI36" s="1116"/>
    </row>
    <row r="37" spans="1:35" ht="15">
      <c r="A37" s="1116" t="s">
        <v>1037</v>
      </c>
      <c r="B37" s="1116">
        <v>3.7596999999999999E-3</v>
      </c>
      <c r="C37" s="1116"/>
      <c r="D37" s="1116">
        <v>9.4514000000000004E-3</v>
      </c>
      <c r="E37" s="1116"/>
      <c r="F37" s="1116"/>
      <c r="G37" s="1116"/>
      <c r="H37" s="1116"/>
      <c r="I37" s="1116">
        <v>7.2639999999999998E-4</v>
      </c>
      <c r="J37" s="1116">
        <v>12.512452700000001</v>
      </c>
      <c r="K37" s="1116"/>
      <c r="L37" s="1116"/>
      <c r="M37" s="1116"/>
      <c r="N37" s="1116"/>
      <c r="O37" s="1116"/>
      <c r="P37" s="1116"/>
      <c r="Q37" s="1116"/>
      <c r="R37" s="1116"/>
      <c r="S37" s="1116">
        <v>0.1366261</v>
      </c>
      <c r="T37" s="1116">
        <v>4.83472E-2</v>
      </c>
      <c r="U37" s="1116"/>
      <c r="V37" s="1116"/>
      <c r="W37" s="1116">
        <v>2.9000000000000002E-6</v>
      </c>
      <c r="X37" s="1116"/>
      <c r="Y37" s="1116"/>
      <c r="Z37" s="1116">
        <v>3.9716599999999998E-2</v>
      </c>
      <c r="AA37" s="1116"/>
      <c r="AB37" s="1116"/>
      <c r="AC37" s="1116"/>
      <c r="AD37" s="1116">
        <v>8.5502900000000007E-2</v>
      </c>
      <c r="AE37" s="1116"/>
      <c r="AF37" s="1116">
        <v>0.47988249999999999</v>
      </c>
      <c r="AG37" s="1116"/>
      <c r="AH37" s="1116">
        <v>1.5112999999999999E-3</v>
      </c>
      <c r="AI37" s="1116"/>
    </row>
    <row r="38" spans="1:35" ht="15">
      <c r="A38" s="1116" t="s">
        <v>1043</v>
      </c>
      <c r="B38" s="1116">
        <v>0.20239650000000001</v>
      </c>
      <c r="C38" s="1116"/>
      <c r="D38" s="1116"/>
      <c r="E38" s="1116"/>
      <c r="F38" s="1116"/>
      <c r="G38" s="1116"/>
      <c r="H38" s="1116">
        <v>0.50608589999999998</v>
      </c>
      <c r="I38" s="1116"/>
      <c r="J38" s="1116">
        <v>0.12681629999999999</v>
      </c>
      <c r="K38" s="1116"/>
      <c r="L38" s="1116">
        <v>1.57728E-2</v>
      </c>
      <c r="M38" s="1116"/>
      <c r="N38" s="1116"/>
      <c r="O38" s="1116"/>
      <c r="P38" s="1116">
        <v>0.22051490000000001</v>
      </c>
      <c r="Q38" s="1116"/>
      <c r="R38" s="1116"/>
      <c r="S38" s="1116"/>
      <c r="T38" s="1116">
        <v>0.55844970000000005</v>
      </c>
      <c r="U38" s="1116"/>
      <c r="V38" s="1116"/>
      <c r="W38" s="1116">
        <v>4.6786526999999998</v>
      </c>
      <c r="X38" s="1116"/>
      <c r="Y38" s="1116"/>
      <c r="Z38" s="1116">
        <v>2.73534E-2</v>
      </c>
      <c r="AA38" s="1116"/>
      <c r="AB38" s="1116">
        <v>8.5115E-3</v>
      </c>
      <c r="AC38" s="1116">
        <v>7.6428399999999994E-2</v>
      </c>
      <c r="AD38" s="1116">
        <v>0.47318650000000001</v>
      </c>
      <c r="AE38" s="1116"/>
      <c r="AF38" s="1116"/>
      <c r="AG38" s="1116"/>
      <c r="AH38" s="1116"/>
      <c r="AI38" s="1116"/>
    </row>
    <row r="39" spans="1:35" ht="15">
      <c r="A39" s="1116" t="s">
        <v>1046</v>
      </c>
      <c r="B39" s="1116"/>
      <c r="C39" s="1116"/>
      <c r="D39" s="1116"/>
      <c r="E39" s="1116"/>
      <c r="F39" s="1116"/>
      <c r="G39" s="1116"/>
      <c r="H39" s="1116"/>
      <c r="I39" s="1116"/>
      <c r="J39" s="1116"/>
      <c r="K39" s="1116"/>
      <c r="L39" s="1116"/>
      <c r="M39" s="1116"/>
      <c r="N39" s="1116"/>
      <c r="O39" s="1116"/>
      <c r="P39" s="1116"/>
      <c r="Q39" s="1116"/>
      <c r="R39" s="1116"/>
      <c r="S39" s="1116"/>
      <c r="T39" s="1116"/>
      <c r="U39" s="1116">
        <v>0.21067520000000001</v>
      </c>
      <c r="V39" s="1116"/>
      <c r="W39" s="1116">
        <v>27.139455699999999</v>
      </c>
      <c r="X39" s="1116"/>
      <c r="Y39" s="1116"/>
      <c r="Z39" s="1116"/>
      <c r="AA39" s="1116"/>
      <c r="AB39" s="1116"/>
      <c r="AC39" s="1116"/>
      <c r="AD39" s="1116">
        <v>0.39362560000000002</v>
      </c>
      <c r="AE39" s="1116"/>
      <c r="AF39" s="1116"/>
      <c r="AG39" s="1116"/>
      <c r="AH39" s="1116"/>
      <c r="AI39" s="1116"/>
    </row>
    <row r="40" spans="1:35" ht="15">
      <c r="A40" s="1116" t="s">
        <v>1324</v>
      </c>
      <c r="B40" s="1116">
        <v>0.18637400000000001</v>
      </c>
      <c r="C40" s="1116"/>
      <c r="D40" s="1116"/>
      <c r="E40" s="1116"/>
      <c r="F40" s="1116"/>
      <c r="G40" s="1116">
        <v>1.0104247</v>
      </c>
      <c r="H40" s="1116">
        <v>7.2147353000000001</v>
      </c>
      <c r="I40" s="1116"/>
      <c r="J40" s="1116"/>
      <c r="K40" s="1116"/>
      <c r="L40" s="1116"/>
      <c r="M40" s="1116"/>
      <c r="N40" s="1116"/>
      <c r="O40" s="1116"/>
      <c r="P40" s="1116"/>
      <c r="Q40" s="1116"/>
      <c r="R40" s="1116"/>
      <c r="S40" s="1116"/>
      <c r="T40" s="1116">
        <v>0.55471760000000003</v>
      </c>
      <c r="U40" s="1116">
        <v>1.3763453999999999</v>
      </c>
      <c r="V40" s="1116"/>
      <c r="W40" s="1116">
        <v>25.562602300000002</v>
      </c>
      <c r="X40" s="1116"/>
      <c r="Y40" s="1116">
        <v>4.4324126000000001</v>
      </c>
      <c r="Z40" s="1116">
        <v>0.1037951</v>
      </c>
      <c r="AA40" s="1116"/>
      <c r="AB40" s="1116">
        <v>1.3309101999999999</v>
      </c>
      <c r="AC40" s="1116">
        <v>0.23618130000000001</v>
      </c>
      <c r="AD40" s="1116">
        <v>1.3150386999999999</v>
      </c>
      <c r="AE40" s="1116"/>
      <c r="AF40" s="1116"/>
      <c r="AG40" s="1116"/>
      <c r="AH40" s="1116"/>
      <c r="AI40" s="1116"/>
    </row>
    <row r="41" spans="1:35" ht="15">
      <c r="A41" s="1116" t="s">
        <v>1387</v>
      </c>
      <c r="B41" s="1116">
        <v>8.3881000000000008E-3</v>
      </c>
      <c r="C41" s="1116"/>
      <c r="D41" s="1116">
        <v>1.03613E-2</v>
      </c>
      <c r="E41" s="1116"/>
      <c r="F41" s="1116"/>
      <c r="G41" s="1116"/>
      <c r="H41" s="1116">
        <v>16.747350699999998</v>
      </c>
      <c r="I41" s="1116"/>
      <c r="J41" s="1116">
        <v>3.5558999999999999E-3</v>
      </c>
      <c r="K41" s="1116"/>
      <c r="L41" s="1116"/>
      <c r="M41" s="1116">
        <v>5.4710000000000002E-3</v>
      </c>
      <c r="N41" s="1116"/>
      <c r="O41" s="1116"/>
      <c r="P41" s="1116"/>
      <c r="Q41" s="1116"/>
      <c r="R41" s="1116"/>
      <c r="S41" s="1116"/>
      <c r="T41" s="1116">
        <v>7.7629199999999995E-2</v>
      </c>
      <c r="U41" s="1116"/>
      <c r="V41" s="1116"/>
      <c r="W41" s="1116">
        <v>4.2627730000000001</v>
      </c>
      <c r="X41" s="1116"/>
      <c r="Y41" s="1116"/>
      <c r="Z41" s="1116">
        <v>0.11731809999999999</v>
      </c>
      <c r="AA41" s="1116"/>
      <c r="AB41" s="1116">
        <v>0.28816399999999998</v>
      </c>
      <c r="AC41" s="1116">
        <v>3.143E-3</v>
      </c>
      <c r="AD41" s="1116">
        <v>0.2099174</v>
      </c>
      <c r="AE41" s="1116"/>
      <c r="AF41" s="1116">
        <v>1.44692E-2</v>
      </c>
      <c r="AG41" s="1116"/>
      <c r="AH41" s="1116"/>
      <c r="AI41" s="1116"/>
    </row>
    <row r="42" spans="1:35" ht="15">
      <c r="A42" s="1116" t="s">
        <v>348</v>
      </c>
      <c r="B42" s="1116">
        <v>2.6570046999999999</v>
      </c>
      <c r="C42" s="1116">
        <v>1.9300000000000002E-5</v>
      </c>
      <c r="D42" s="1116"/>
      <c r="E42" s="1116"/>
      <c r="F42" s="1116"/>
      <c r="G42" s="1116"/>
      <c r="H42" s="1116">
        <v>85.386290200000005</v>
      </c>
      <c r="I42" s="1116"/>
      <c r="J42" s="1116"/>
      <c r="K42" s="1116"/>
      <c r="L42" s="1116"/>
      <c r="M42" s="1116"/>
      <c r="N42" s="1116"/>
      <c r="O42" s="1116"/>
      <c r="P42" s="1116"/>
      <c r="Q42" s="1116">
        <v>46.287265099999999</v>
      </c>
      <c r="R42" s="1116">
        <v>2.7298765</v>
      </c>
      <c r="S42" s="1116">
        <v>2.2473881000000002</v>
      </c>
      <c r="T42" s="1116">
        <v>179.287553</v>
      </c>
      <c r="U42" s="1116">
        <v>0.1430391</v>
      </c>
      <c r="V42" s="1116">
        <v>0.12864229999999999</v>
      </c>
      <c r="W42" s="1116">
        <v>138.08894129999999</v>
      </c>
      <c r="X42" s="1116">
        <v>9.9083400000000002E-2</v>
      </c>
      <c r="Y42" s="1116">
        <v>8.6220797000000005</v>
      </c>
      <c r="Z42" s="1116"/>
      <c r="AA42" s="1116"/>
      <c r="AB42" s="1116">
        <v>0.28523860000000001</v>
      </c>
      <c r="AC42" s="1116">
        <v>0.2082714</v>
      </c>
      <c r="AD42" s="1116">
        <v>4.9551959999999999</v>
      </c>
      <c r="AE42" s="1116"/>
      <c r="AF42" s="1116"/>
      <c r="AG42" s="1116">
        <v>2.827718</v>
      </c>
      <c r="AH42" s="1116"/>
      <c r="AI42" s="1116">
        <v>2.5960649999999998</v>
      </c>
    </row>
    <row r="43" spans="1:35" ht="15">
      <c r="A43" s="1116" t="s">
        <v>1053</v>
      </c>
      <c r="B43" s="1116">
        <v>0.10718759999999999</v>
      </c>
      <c r="C43" s="1116"/>
      <c r="D43" s="1116">
        <v>2.3700146000000002</v>
      </c>
      <c r="E43" s="1116"/>
      <c r="F43" s="1116"/>
      <c r="G43" s="1116"/>
      <c r="H43" s="1116">
        <v>2.8959358000000002</v>
      </c>
      <c r="I43" s="1116">
        <v>1.9363317</v>
      </c>
      <c r="J43" s="1116">
        <v>0.73480619999999996</v>
      </c>
      <c r="K43" s="1116"/>
      <c r="L43" s="1116">
        <v>0.40202660000000001</v>
      </c>
      <c r="M43" s="1116"/>
      <c r="N43" s="1116"/>
      <c r="O43" s="1116"/>
      <c r="P43" s="1116"/>
      <c r="Q43" s="1116"/>
      <c r="R43" s="1116"/>
      <c r="S43" s="1116"/>
      <c r="T43" s="1116">
        <v>2.5981974999999999</v>
      </c>
      <c r="U43" s="1116">
        <v>0.43062899999999998</v>
      </c>
      <c r="V43" s="1116"/>
      <c r="W43" s="1116">
        <v>68.0889734</v>
      </c>
      <c r="X43" s="1116"/>
      <c r="Y43" s="1116">
        <v>3.8367358999999999</v>
      </c>
      <c r="Z43" s="1116">
        <v>0.33062259999999999</v>
      </c>
      <c r="AA43" s="1116"/>
      <c r="AB43" s="1116">
        <v>1.44133E-2</v>
      </c>
      <c r="AC43" s="1116">
        <v>0.13026769999999999</v>
      </c>
      <c r="AD43" s="1116">
        <v>1.2040637000000001</v>
      </c>
      <c r="AE43" s="1116"/>
      <c r="AF43" s="1116"/>
      <c r="AG43" s="1116"/>
      <c r="AH43" s="1116">
        <v>0.17219880000000001</v>
      </c>
      <c r="AI43" s="1116"/>
    </row>
    <row r="44" spans="1:35" ht="15">
      <c r="A44" s="1116" t="s">
        <v>1253</v>
      </c>
      <c r="B44" s="1116">
        <v>6.4701000000000003E-3</v>
      </c>
      <c r="C44" s="1116"/>
      <c r="D44" s="1116">
        <v>0.11724859999999999</v>
      </c>
      <c r="E44" s="1116">
        <v>0.45776820000000001</v>
      </c>
      <c r="F44" s="1116">
        <v>1.96425E-2</v>
      </c>
      <c r="G44" s="1116"/>
      <c r="H44" s="1116">
        <v>0.50391280000000005</v>
      </c>
      <c r="I44" s="1116">
        <v>1.7935535</v>
      </c>
      <c r="J44" s="1116">
        <v>3.8563899999999998E-2</v>
      </c>
      <c r="K44" s="1116"/>
      <c r="L44" s="1116">
        <v>0.20147989999999999</v>
      </c>
      <c r="M44" s="1116">
        <v>4.564E-2</v>
      </c>
      <c r="N44" s="1116">
        <v>0.20713799999999999</v>
      </c>
      <c r="O44" s="1116"/>
      <c r="P44" s="1116">
        <v>7.8379999999999995E-3</v>
      </c>
      <c r="Q44" s="1116"/>
      <c r="R44" s="1116"/>
      <c r="S44" s="1116">
        <v>0.2287083</v>
      </c>
      <c r="T44" s="1116">
        <v>0.46325159999999999</v>
      </c>
      <c r="U44" s="1116">
        <v>6.8777099999999994E-2</v>
      </c>
      <c r="V44" s="1116"/>
      <c r="W44" s="1116">
        <v>1.6440721</v>
      </c>
      <c r="X44" s="1116"/>
      <c r="Y44" s="1116"/>
      <c r="Z44" s="1116">
        <v>4.7523700000000002E-2</v>
      </c>
      <c r="AA44" s="1116"/>
      <c r="AB44" s="1116">
        <v>2.7083400000000001E-2</v>
      </c>
      <c r="AC44" s="1116">
        <v>0.14141880000000001</v>
      </c>
      <c r="AD44" s="1116">
        <v>1.3563856999999999</v>
      </c>
      <c r="AE44" s="1116"/>
      <c r="AF44" s="1116"/>
      <c r="AG44" s="1116"/>
      <c r="AH44" s="1116">
        <v>1.4770999999999999E-2</v>
      </c>
      <c r="AI44" s="1116"/>
    </row>
    <row r="45" spans="1:35" ht="15">
      <c r="A45" s="1116" t="s">
        <v>1071</v>
      </c>
      <c r="B45" s="1116">
        <v>8.9260502000000006</v>
      </c>
      <c r="C45" s="1116"/>
      <c r="D45" s="1116"/>
      <c r="E45" s="1116"/>
      <c r="F45" s="1116"/>
      <c r="G45" s="1116"/>
      <c r="H45" s="1116">
        <v>0.5433521</v>
      </c>
      <c r="I45" s="1116">
        <v>0.253666</v>
      </c>
      <c r="J45" s="1116">
        <v>169.90957610000001</v>
      </c>
      <c r="K45" s="1116"/>
      <c r="L45" s="1116"/>
      <c r="M45" s="1116"/>
      <c r="N45" s="1116"/>
      <c r="O45" s="1116"/>
      <c r="P45" s="1116"/>
      <c r="Q45" s="1116"/>
      <c r="R45" s="1116"/>
      <c r="S45" s="1116">
        <v>0.3396691</v>
      </c>
      <c r="T45" s="1116">
        <v>4.5691382000000003</v>
      </c>
      <c r="U45" s="1116">
        <v>1.1567014</v>
      </c>
      <c r="V45" s="1116"/>
      <c r="W45" s="1116">
        <v>84.449301199999994</v>
      </c>
      <c r="X45" s="1116"/>
      <c r="Y45" s="1116">
        <v>2.0320000000000001E-4</v>
      </c>
      <c r="Z45" s="1116">
        <v>2.7323299999999998E-2</v>
      </c>
      <c r="AA45" s="1116"/>
      <c r="AB45" s="1116">
        <v>1.0629709000000001</v>
      </c>
      <c r="AC45" s="1116">
        <v>1.4519887</v>
      </c>
      <c r="AD45" s="1116">
        <v>8.0596893999999999</v>
      </c>
      <c r="AE45" s="1116"/>
      <c r="AF45" s="1116">
        <v>17.729916599999999</v>
      </c>
      <c r="AG45" s="1116"/>
      <c r="AH45" s="1116"/>
      <c r="AI45" s="1116"/>
    </row>
    <row r="46" spans="1:35" ht="15">
      <c r="A46" s="1116" t="s">
        <v>1068</v>
      </c>
      <c r="B46" s="1116"/>
      <c r="C46" s="1116"/>
      <c r="D46" s="1116"/>
      <c r="E46" s="1116"/>
      <c r="F46" s="1116"/>
      <c r="G46" s="1116"/>
      <c r="H46" s="1116">
        <v>0.25645879999999999</v>
      </c>
      <c r="I46" s="1116">
        <v>2.2389800000000001E-2</v>
      </c>
      <c r="J46" s="1116">
        <v>0.52421790000000001</v>
      </c>
      <c r="K46" s="1116"/>
      <c r="L46" s="1116"/>
      <c r="M46" s="1116"/>
      <c r="N46" s="1116"/>
      <c r="O46" s="1116"/>
      <c r="P46" s="1116"/>
      <c r="Q46" s="1116"/>
      <c r="R46" s="1116"/>
      <c r="S46" s="1116"/>
      <c r="T46" s="1116"/>
      <c r="U46" s="1116"/>
      <c r="V46" s="1116"/>
      <c r="W46" s="1116">
        <v>0.76016439999999996</v>
      </c>
      <c r="X46" s="1116"/>
      <c r="Y46" s="1116"/>
      <c r="Z46" s="1116"/>
      <c r="AA46" s="1116"/>
      <c r="AB46" s="1116"/>
      <c r="AC46" s="1116"/>
      <c r="AD46" s="1116"/>
      <c r="AE46" s="1116"/>
      <c r="AF46" s="1116"/>
      <c r="AG46" s="1116"/>
      <c r="AH46" s="1116"/>
      <c r="AI46" s="1116"/>
    </row>
    <row r="47" spans="1:35" ht="15">
      <c r="A47" s="1116" t="s">
        <v>1100</v>
      </c>
      <c r="B47" s="1116"/>
      <c r="C47" s="1116"/>
      <c r="D47" s="1116"/>
      <c r="E47" s="1116"/>
      <c r="F47" s="1116"/>
      <c r="G47" s="1116"/>
      <c r="H47" s="1116">
        <v>2.3919355000000002</v>
      </c>
      <c r="I47" s="1116"/>
      <c r="J47" s="1116">
        <v>0.44897199999999998</v>
      </c>
      <c r="K47" s="1116"/>
      <c r="L47" s="1116"/>
      <c r="M47" s="1116"/>
      <c r="N47" s="1116"/>
      <c r="O47" s="1116"/>
      <c r="P47" s="1116"/>
      <c r="Q47" s="1116"/>
      <c r="R47" s="1116"/>
      <c r="S47" s="1116"/>
      <c r="T47" s="1116"/>
      <c r="U47" s="1116"/>
      <c r="V47" s="1116"/>
      <c r="W47" s="1116">
        <v>15.7694125</v>
      </c>
      <c r="X47" s="1116"/>
      <c r="Y47" s="1116"/>
      <c r="Z47" s="1116"/>
      <c r="AA47" s="1116"/>
      <c r="AB47" s="1116"/>
      <c r="AC47" s="1116"/>
      <c r="AD47" s="1116">
        <v>1.2950100000000001E-2</v>
      </c>
      <c r="AE47" s="1116"/>
      <c r="AF47" s="1116"/>
      <c r="AG47" s="1116"/>
      <c r="AH47" s="1116"/>
      <c r="AI47" s="1116"/>
    </row>
    <row r="48" spans="1:35" ht="15">
      <c r="A48" s="1116" t="s">
        <v>342</v>
      </c>
      <c r="B48" s="1116">
        <v>3.7611981000000001</v>
      </c>
      <c r="C48" s="1116"/>
      <c r="D48" s="1116"/>
      <c r="E48" s="1116"/>
      <c r="F48" s="1116"/>
      <c r="G48" s="1116"/>
      <c r="H48" s="1116">
        <v>279.01632380000001</v>
      </c>
      <c r="I48" s="1116"/>
      <c r="J48" s="1116"/>
      <c r="K48" s="1116"/>
      <c r="L48" s="1116">
        <v>3.6556430999999998</v>
      </c>
      <c r="M48" s="1116"/>
      <c r="N48" s="1116">
        <v>2.8746347000000001</v>
      </c>
      <c r="O48" s="1116"/>
      <c r="P48" s="1116"/>
      <c r="Q48" s="1116">
        <v>8.8236345000000007</v>
      </c>
      <c r="R48" s="1116">
        <v>4.01182E-2</v>
      </c>
      <c r="S48" s="1116">
        <v>8.7986500000000003</v>
      </c>
      <c r="T48" s="1116">
        <v>14.761173299999999</v>
      </c>
      <c r="U48" s="1116"/>
      <c r="V48" s="1116"/>
      <c r="W48" s="1116"/>
      <c r="X48" s="1116"/>
      <c r="Y48" s="1116">
        <v>3.6599952999999998</v>
      </c>
      <c r="Z48" s="1116">
        <v>0.94149470000000002</v>
      </c>
      <c r="AA48" s="1116"/>
      <c r="AB48" s="1116">
        <v>1.2111148</v>
      </c>
      <c r="AC48" s="1116">
        <v>2.7922182000000002</v>
      </c>
      <c r="AD48" s="1116">
        <v>1.4565486000000001</v>
      </c>
      <c r="AE48" s="1116"/>
      <c r="AF48" s="1116"/>
      <c r="AG48" s="1116"/>
      <c r="AH48" s="1116"/>
      <c r="AI48" s="1116">
        <v>19.357424000000002</v>
      </c>
    </row>
    <row r="49" spans="1:35" ht="15">
      <c r="A49" s="1116" t="s">
        <v>1102</v>
      </c>
      <c r="B49" s="1116">
        <v>0.7881186</v>
      </c>
      <c r="C49" s="1116"/>
      <c r="D49" s="1116"/>
      <c r="E49" s="1116"/>
      <c r="F49" s="1116"/>
      <c r="G49" s="1116"/>
      <c r="H49" s="1116"/>
      <c r="I49" s="1116">
        <v>22.232864599999999</v>
      </c>
      <c r="J49" s="1116"/>
      <c r="K49" s="1116"/>
      <c r="L49" s="1116"/>
      <c r="M49" s="1116"/>
      <c r="N49" s="1116"/>
      <c r="O49" s="1116"/>
      <c r="P49" s="1116"/>
      <c r="Q49" s="1116"/>
      <c r="R49" s="1116"/>
      <c r="S49" s="1116"/>
      <c r="T49" s="1116">
        <v>0.75890349999999995</v>
      </c>
      <c r="U49" s="1116">
        <v>0.92172540000000003</v>
      </c>
      <c r="V49" s="1116"/>
      <c r="W49" s="1116">
        <v>55.014943700000003</v>
      </c>
      <c r="X49" s="1116"/>
      <c r="Y49" s="1116"/>
      <c r="Z49" s="1116">
        <v>0.25335459999999999</v>
      </c>
      <c r="AA49" s="1116"/>
      <c r="AB49" s="1116">
        <v>1.0469406000000001</v>
      </c>
      <c r="AC49" s="1116">
        <v>1.2903416999999999</v>
      </c>
      <c r="AD49" s="1116">
        <v>1.9586527</v>
      </c>
      <c r="AE49" s="1116"/>
      <c r="AF49" s="1116"/>
      <c r="AG49" s="1116"/>
      <c r="AH49" s="1116"/>
      <c r="AI49" s="1116"/>
    </row>
    <row r="50" spans="1:35" ht="15">
      <c r="A50" s="1116" t="s">
        <v>1104</v>
      </c>
      <c r="B50" s="1116">
        <v>0.79261910000000002</v>
      </c>
      <c r="C50" s="1116"/>
      <c r="D50" s="1116">
        <v>2.3603890999999999</v>
      </c>
      <c r="E50" s="1116"/>
      <c r="F50" s="1116"/>
      <c r="G50" s="1116">
        <v>6.5039999999999998E-4</v>
      </c>
      <c r="H50" s="1116">
        <v>11.6909575</v>
      </c>
      <c r="I50" s="1116"/>
      <c r="J50" s="1116">
        <v>2.8487955</v>
      </c>
      <c r="K50" s="1116"/>
      <c r="L50" s="1116">
        <v>0.13228400000000001</v>
      </c>
      <c r="M50" s="1116">
        <v>1.3039E-2</v>
      </c>
      <c r="N50" s="1116">
        <v>0.18852969999999999</v>
      </c>
      <c r="O50" s="1116">
        <v>0.64554080000000003</v>
      </c>
      <c r="P50" s="1116">
        <v>9.9134100000000003E-2</v>
      </c>
      <c r="Q50" s="1116"/>
      <c r="R50" s="1116"/>
      <c r="S50" s="1116">
        <v>0.9382393</v>
      </c>
      <c r="T50" s="1116">
        <v>3.8492351</v>
      </c>
      <c r="U50" s="1116"/>
      <c r="V50" s="1116"/>
      <c r="W50" s="1116">
        <v>14.746371099999999</v>
      </c>
      <c r="X50" s="1116"/>
      <c r="Y50" s="1116"/>
      <c r="Z50" s="1116">
        <v>1.2140957999999999</v>
      </c>
      <c r="AA50" s="1116"/>
      <c r="AB50" s="1116">
        <v>0.1485148</v>
      </c>
      <c r="AC50" s="1116">
        <v>0.53607879999999997</v>
      </c>
      <c r="AD50" s="1116">
        <v>0.71085039999999999</v>
      </c>
      <c r="AE50" s="1116"/>
      <c r="AF50" s="1116"/>
      <c r="AG50" s="1116"/>
      <c r="AH50" s="1116">
        <v>1.0236981000000001</v>
      </c>
      <c r="AI50" s="1116"/>
    </row>
    <row r="51" spans="1:35" ht="15">
      <c r="A51" s="1116" t="s">
        <v>1113</v>
      </c>
      <c r="B51" s="1116">
        <v>14.9968789</v>
      </c>
      <c r="C51" s="1116"/>
      <c r="D51" s="1116">
        <v>0.44325369999999997</v>
      </c>
      <c r="E51" s="1116"/>
      <c r="F51" s="1116">
        <v>2.4986692000000001</v>
      </c>
      <c r="G51" s="1116">
        <v>8.0236999999999999E-3</v>
      </c>
      <c r="H51" s="1116">
        <v>0.56251850000000003</v>
      </c>
      <c r="I51" s="1116">
        <v>1.26181E-2</v>
      </c>
      <c r="J51" s="1116">
        <v>1.1956834000000001</v>
      </c>
      <c r="K51" s="1116"/>
      <c r="L51" s="1116"/>
      <c r="M51" s="1116"/>
      <c r="N51" s="1116"/>
      <c r="O51" s="1116">
        <v>0.27206340000000001</v>
      </c>
      <c r="P51" s="1116">
        <v>3.2701668000000002</v>
      </c>
      <c r="Q51" s="1116"/>
      <c r="R51" s="1116"/>
      <c r="S51" s="1116">
        <v>3.2470309999999998</v>
      </c>
      <c r="T51" s="1116">
        <v>28.223547</v>
      </c>
      <c r="U51" s="1116"/>
      <c r="V51" s="1116"/>
      <c r="W51" s="1116">
        <v>9.2194382000000008</v>
      </c>
      <c r="X51" s="1116"/>
      <c r="Y51" s="1116">
        <v>36.174359099999997</v>
      </c>
      <c r="Z51" s="1116">
        <v>0.13329949999999999</v>
      </c>
      <c r="AA51" s="1116"/>
      <c r="AB51" s="1116">
        <v>0.2216544</v>
      </c>
      <c r="AC51" s="1116">
        <v>7.6045106000000002</v>
      </c>
      <c r="AD51" s="1116">
        <v>1.9937981</v>
      </c>
      <c r="AE51" s="1116"/>
      <c r="AF51" s="1116">
        <v>3.7596999999999999E-3</v>
      </c>
      <c r="AG51" s="1116"/>
      <c r="AH51" s="1116"/>
      <c r="AI51" s="1116">
        <v>1.63529E-2</v>
      </c>
    </row>
    <row r="52" spans="1:35" ht="15">
      <c r="A52" s="1116" t="s">
        <v>1116</v>
      </c>
      <c r="B52" s="1116"/>
      <c r="C52" s="1116"/>
      <c r="D52" s="1116"/>
      <c r="E52" s="1116"/>
      <c r="F52" s="1116"/>
      <c r="G52" s="1116">
        <v>0.1099217</v>
      </c>
      <c r="H52" s="1116">
        <v>1.0918093</v>
      </c>
      <c r="I52" s="1116"/>
      <c r="J52" s="1116">
        <v>0.84421559999999995</v>
      </c>
      <c r="K52" s="1116"/>
      <c r="L52" s="1116">
        <v>2.9228400000000002E-2</v>
      </c>
      <c r="M52" s="1116"/>
      <c r="N52" s="1116"/>
      <c r="O52" s="1116"/>
      <c r="P52" s="1116"/>
      <c r="Q52" s="1116"/>
      <c r="R52" s="1116"/>
      <c r="S52" s="1116"/>
      <c r="T52" s="1116">
        <v>2.3818782000000001</v>
      </c>
      <c r="U52" s="1116">
        <v>4.2182000000000001E-3</v>
      </c>
      <c r="V52" s="1116"/>
      <c r="W52" s="1116">
        <v>11.5536961</v>
      </c>
      <c r="X52" s="1116"/>
      <c r="Y52" s="1116">
        <v>0.89359960000000005</v>
      </c>
      <c r="Z52" s="1116">
        <v>9.9076000000000008E-3</v>
      </c>
      <c r="AA52" s="1116"/>
      <c r="AB52" s="1116"/>
      <c r="AC52" s="1116"/>
      <c r="AD52" s="1116">
        <v>3.3615800000000001E-2</v>
      </c>
      <c r="AE52" s="1116"/>
      <c r="AF52" s="1116">
        <v>6.5724679000000004</v>
      </c>
      <c r="AG52" s="1116"/>
      <c r="AH52" s="1116"/>
      <c r="AI52" s="1116"/>
    </row>
    <row r="53" spans="1:35" ht="15">
      <c r="A53" s="1116" t="s">
        <v>1125</v>
      </c>
      <c r="B53" s="1116">
        <v>0.1126771</v>
      </c>
      <c r="C53" s="1116"/>
      <c r="D53" s="1116"/>
      <c r="E53" s="1116"/>
      <c r="F53" s="1116"/>
      <c r="G53" s="1116"/>
      <c r="H53" s="1116">
        <v>3.1137000000000001E-3</v>
      </c>
      <c r="I53" s="1116"/>
      <c r="J53" s="1116">
        <v>22.486584400000002</v>
      </c>
      <c r="K53" s="1116"/>
      <c r="L53" s="1116"/>
      <c r="M53" s="1116">
        <v>0.31025199999999997</v>
      </c>
      <c r="N53" s="1116">
        <v>0.19158720000000001</v>
      </c>
      <c r="O53" s="1116"/>
      <c r="P53" s="1116"/>
      <c r="Q53" s="1116"/>
      <c r="R53" s="1116"/>
      <c r="S53" s="1116">
        <v>1.0713284000000001</v>
      </c>
      <c r="T53" s="1116">
        <v>0.39313749999999997</v>
      </c>
      <c r="U53" s="1116"/>
      <c r="V53" s="1116"/>
      <c r="W53" s="1116">
        <v>10.1841186</v>
      </c>
      <c r="X53" s="1116"/>
      <c r="Y53" s="1116">
        <v>0.1196507</v>
      </c>
      <c r="Z53" s="1116">
        <v>3.6097499999999998E-2</v>
      </c>
      <c r="AA53" s="1116"/>
      <c r="AB53" s="1116">
        <v>0.1309913</v>
      </c>
      <c r="AC53" s="1116">
        <v>0.2107762</v>
      </c>
      <c r="AD53" s="1116">
        <v>0.25167040000000002</v>
      </c>
      <c r="AE53" s="1116"/>
      <c r="AF53" s="1116">
        <v>0.83885920000000003</v>
      </c>
      <c r="AG53" s="1116"/>
      <c r="AH53" s="1116"/>
      <c r="AI53" s="1116"/>
    </row>
    <row r="54" spans="1:35" ht="15">
      <c r="A54" s="1116" t="s">
        <v>1127</v>
      </c>
      <c r="B54" s="1116">
        <v>1.233255</v>
      </c>
      <c r="C54" s="1116"/>
      <c r="D54" s="1116"/>
      <c r="E54" s="1116"/>
      <c r="F54" s="1116"/>
      <c r="G54" s="1116"/>
      <c r="H54" s="1116">
        <v>21.501362799999999</v>
      </c>
      <c r="I54" s="1116">
        <v>0.62190599999999996</v>
      </c>
      <c r="J54" s="1116">
        <v>46.432182699999998</v>
      </c>
      <c r="K54" s="1116"/>
      <c r="L54" s="1116"/>
      <c r="M54" s="1116"/>
      <c r="N54" s="1116"/>
      <c r="O54" s="1116"/>
      <c r="P54" s="1116"/>
      <c r="Q54" s="1116"/>
      <c r="R54" s="1116"/>
      <c r="S54" s="1116"/>
      <c r="T54" s="1116">
        <v>0.22460649999999999</v>
      </c>
      <c r="U54" s="1116"/>
      <c r="V54" s="1116"/>
      <c r="W54" s="1116">
        <v>10.850973700000001</v>
      </c>
      <c r="X54" s="1116"/>
      <c r="Y54" s="1116">
        <v>0.58851279999999995</v>
      </c>
      <c r="Z54" s="1116"/>
      <c r="AA54" s="1116"/>
      <c r="AB54" s="1116">
        <v>3.6343300000000002E-2</v>
      </c>
      <c r="AC54" s="1116"/>
      <c r="AD54" s="1116">
        <v>0.32718350000000002</v>
      </c>
      <c r="AE54" s="1116"/>
      <c r="AF54" s="1116"/>
      <c r="AG54" s="1116"/>
      <c r="AH54" s="1116"/>
      <c r="AI54" s="1116"/>
    </row>
    <row r="55" spans="1:35" ht="15">
      <c r="A55" s="1116" t="s">
        <v>1136</v>
      </c>
      <c r="B55" s="1116">
        <v>2.9500092000000002</v>
      </c>
      <c r="C55" s="1116"/>
      <c r="D55" s="1116">
        <v>0.13241059999999999</v>
      </c>
      <c r="E55" s="1116"/>
      <c r="F55" s="1116">
        <v>7.1085999999999996E-3</v>
      </c>
      <c r="G55" s="1116"/>
      <c r="H55" s="1116">
        <v>4.3030524999999997</v>
      </c>
      <c r="I55" s="1116">
        <v>3.3542000000000002E-2</v>
      </c>
      <c r="J55" s="1116"/>
      <c r="K55" s="1116"/>
      <c r="L55" s="1116">
        <v>1.9226900000000002E-2</v>
      </c>
      <c r="M55" s="1116"/>
      <c r="N55" s="1116"/>
      <c r="O55" s="1116"/>
      <c r="P55" s="1116"/>
      <c r="Q55" s="1116"/>
      <c r="R55" s="1116"/>
      <c r="S55" s="1116">
        <v>0.40879320000000002</v>
      </c>
      <c r="T55" s="1116">
        <v>8.628145</v>
      </c>
      <c r="U55" s="1116"/>
      <c r="V55" s="1116"/>
      <c r="W55" s="1116">
        <v>4.6167138000000003</v>
      </c>
      <c r="X55" s="1116"/>
      <c r="Y55" s="1116">
        <v>9.9383102000000001</v>
      </c>
      <c r="Z55" s="1116">
        <v>1.3226639</v>
      </c>
      <c r="AA55" s="1116"/>
      <c r="AB55" s="1116">
        <v>0.14272689999999999</v>
      </c>
      <c r="AC55" s="1116">
        <v>1.3706106</v>
      </c>
      <c r="AD55" s="1116">
        <v>2.2319433000000002</v>
      </c>
      <c r="AE55" s="1116"/>
      <c r="AF55" s="1116"/>
      <c r="AG55" s="1116"/>
      <c r="AH55" s="1116"/>
      <c r="AI55" s="1116"/>
    </row>
    <row r="56" spans="1:35" ht="15">
      <c r="A56" s="1116" t="s">
        <v>1137</v>
      </c>
      <c r="B56" s="1116"/>
      <c r="C56" s="1116"/>
      <c r="D56" s="1116"/>
      <c r="E56" s="1116"/>
      <c r="F56" s="1116"/>
      <c r="G56" s="1116"/>
      <c r="H56" s="1116">
        <v>0.36511349999999998</v>
      </c>
      <c r="I56" s="1116">
        <v>40.279068100000003</v>
      </c>
      <c r="J56" s="1116">
        <v>9.3568700000000005E-2</v>
      </c>
      <c r="K56" s="1116"/>
      <c r="L56" s="1116"/>
      <c r="M56" s="1116"/>
      <c r="N56" s="1116"/>
      <c r="O56" s="1116"/>
      <c r="P56" s="1116"/>
      <c r="Q56" s="1116"/>
      <c r="R56" s="1116"/>
      <c r="S56" s="1116"/>
      <c r="T56" s="1116"/>
      <c r="U56" s="1116">
        <v>0.30971670000000001</v>
      </c>
      <c r="V56" s="1116"/>
      <c r="W56" s="1116">
        <v>4.9019053000000001</v>
      </c>
      <c r="X56" s="1116"/>
      <c r="Y56" s="1116">
        <v>0.9772786</v>
      </c>
      <c r="Z56" s="1116"/>
      <c r="AA56" s="1116"/>
      <c r="AB56" s="1116">
        <v>0.41549580000000003</v>
      </c>
      <c r="AC56" s="1116"/>
      <c r="AD56" s="1116">
        <v>0.22804530000000001</v>
      </c>
      <c r="AE56" s="1116"/>
      <c r="AF56" s="1116"/>
      <c r="AG56" s="1116"/>
      <c r="AH56" s="1116"/>
      <c r="AI56" s="1116"/>
    </row>
    <row r="57" spans="1:35" ht="15">
      <c r="A57" s="1116" t="s">
        <v>1091</v>
      </c>
      <c r="B57" s="1116">
        <v>4.9795457000000001</v>
      </c>
      <c r="C57" s="1116"/>
      <c r="D57" s="1116"/>
      <c r="E57" s="1116"/>
      <c r="F57" s="1116">
        <v>0.61097789999999996</v>
      </c>
      <c r="G57" s="1116"/>
      <c r="H57" s="1116">
        <v>2.2230922</v>
      </c>
      <c r="I57" s="1116">
        <v>1.5760799999999998E-2</v>
      </c>
      <c r="J57" s="1116">
        <v>10.599517499999999</v>
      </c>
      <c r="K57" s="1116">
        <v>0.87196879999999999</v>
      </c>
      <c r="L57" s="1116">
        <v>0.28032469999999998</v>
      </c>
      <c r="M57" s="1116">
        <v>7.8032900000000002E-2</v>
      </c>
      <c r="N57" s="1116">
        <v>0.46905960000000002</v>
      </c>
      <c r="O57" s="1116"/>
      <c r="P57" s="1116">
        <v>4.6144531999999998</v>
      </c>
      <c r="Q57" s="1116"/>
      <c r="R57" s="1116"/>
      <c r="S57" s="1116">
        <v>1.6212986</v>
      </c>
      <c r="T57" s="1116">
        <v>9.6987401999999996</v>
      </c>
      <c r="U57" s="1116">
        <v>4.4790999999999997E-2</v>
      </c>
      <c r="V57" s="1116"/>
      <c r="W57" s="1116">
        <v>20.383161600000001</v>
      </c>
      <c r="X57" s="1116"/>
      <c r="Y57" s="1116"/>
      <c r="Z57" s="1116">
        <v>1.7052898999999999</v>
      </c>
      <c r="AA57" s="1116"/>
      <c r="AB57" s="1116"/>
      <c r="AC57" s="1116">
        <v>3.6352272000000001</v>
      </c>
      <c r="AD57" s="1116">
        <v>6.4735844</v>
      </c>
      <c r="AE57" s="1116">
        <v>0.2209275</v>
      </c>
      <c r="AF57" s="1116">
        <v>7.1646766</v>
      </c>
      <c r="AG57" s="1116"/>
      <c r="AH57" s="1116">
        <v>1.4426840000000001</v>
      </c>
      <c r="AI57" s="1116"/>
    </row>
    <row r="58" spans="1:35" ht="15">
      <c r="A58" s="1116" t="s">
        <v>1142</v>
      </c>
      <c r="B58" s="1116"/>
      <c r="C58" s="1116"/>
      <c r="D58" s="1116"/>
      <c r="E58" s="1116"/>
      <c r="F58" s="1116"/>
      <c r="G58" s="1116"/>
      <c r="H58" s="1116"/>
      <c r="I58" s="1116"/>
      <c r="J58" s="1116">
        <v>0.58574490000000001</v>
      </c>
      <c r="K58" s="1116"/>
      <c r="L58" s="1116"/>
      <c r="M58" s="1116"/>
      <c r="N58" s="1116"/>
      <c r="O58" s="1116"/>
      <c r="P58" s="1116"/>
      <c r="Q58" s="1116"/>
      <c r="R58" s="1116"/>
      <c r="S58" s="1116"/>
      <c r="T58" s="1116"/>
      <c r="U58" s="1116"/>
      <c r="V58" s="1116"/>
      <c r="W58" s="1116"/>
      <c r="X58" s="1116"/>
      <c r="Y58" s="1116"/>
      <c r="Z58" s="1116"/>
      <c r="AA58" s="1116"/>
      <c r="AB58" s="1116"/>
      <c r="AC58" s="1116"/>
      <c r="AD58" s="1116"/>
      <c r="AE58" s="1116"/>
      <c r="AF58" s="1116"/>
      <c r="AG58" s="1116"/>
      <c r="AH58" s="1116"/>
      <c r="AI58" s="1116"/>
    </row>
    <row r="59" spans="1:35" ht="15">
      <c r="A59" s="1116" t="s">
        <v>1147</v>
      </c>
      <c r="B59" s="1116">
        <v>1.35511E-2</v>
      </c>
      <c r="C59" s="1116"/>
      <c r="D59" s="1116"/>
      <c r="E59" s="1116"/>
      <c r="F59" s="1116"/>
      <c r="G59" s="1116">
        <v>8.4749572999999998</v>
      </c>
      <c r="H59" s="1116">
        <v>19.190856700000001</v>
      </c>
      <c r="I59" s="1116"/>
      <c r="J59" s="1116">
        <v>11.355275799999999</v>
      </c>
      <c r="K59" s="1116">
        <v>1.23497E-2</v>
      </c>
      <c r="L59" s="1116">
        <v>1.9150299999999999E-2</v>
      </c>
      <c r="M59" s="1116"/>
      <c r="N59" s="1116">
        <v>0.69569650000000005</v>
      </c>
      <c r="O59" s="1116">
        <v>0.14727460000000001</v>
      </c>
      <c r="P59" s="1116"/>
      <c r="Q59" s="1116"/>
      <c r="R59" s="1116"/>
      <c r="S59" s="1116">
        <v>4.4630144999999999</v>
      </c>
      <c r="T59" s="1116">
        <v>14.373802100000001</v>
      </c>
      <c r="U59" s="1116">
        <v>0.55071349999999997</v>
      </c>
      <c r="V59" s="1116"/>
      <c r="W59" s="1116">
        <v>25.919613399999999</v>
      </c>
      <c r="X59" s="1116"/>
      <c r="Y59" s="1116">
        <v>0.36070410000000003</v>
      </c>
      <c r="Z59" s="1116">
        <v>4.2448921999999998</v>
      </c>
      <c r="AA59" s="1116"/>
      <c r="AB59" s="1116"/>
      <c r="AC59" s="1116">
        <v>0.4174078</v>
      </c>
      <c r="AD59" s="1116">
        <v>3.5751210000000002</v>
      </c>
      <c r="AE59" s="1116"/>
      <c r="AF59" s="1116"/>
      <c r="AG59" s="1116"/>
      <c r="AH59" s="1116">
        <v>1.1297980999999999</v>
      </c>
      <c r="AI59" s="1116"/>
    </row>
    <row r="60" spans="1:35" ht="15">
      <c r="A60" s="1116" t="s">
        <v>1749</v>
      </c>
      <c r="B60" s="1116"/>
      <c r="C60" s="1116"/>
      <c r="D60" s="1116"/>
      <c r="E60" s="1116"/>
      <c r="F60" s="1116"/>
      <c r="G60" s="1116"/>
      <c r="H60" s="1116">
        <v>2.2639306000000001</v>
      </c>
      <c r="I60" s="1116"/>
      <c r="J60" s="1116">
        <v>1.6042399999999998E-2</v>
      </c>
      <c r="K60" s="1116">
        <v>5.5773299999999998E-2</v>
      </c>
      <c r="L60" s="1116"/>
      <c r="M60" s="1116"/>
      <c r="N60" s="1116"/>
      <c r="O60" s="1116"/>
      <c r="P60" s="1116"/>
      <c r="Q60" s="1116"/>
      <c r="R60" s="1116"/>
      <c r="S60" s="1116">
        <v>8.7380700000000006E-2</v>
      </c>
      <c r="T60" s="1116">
        <v>0.3871811</v>
      </c>
      <c r="U60" s="1116"/>
      <c r="V60" s="1116"/>
      <c r="W60" s="1116">
        <v>11.082223600000001</v>
      </c>
      <c r="X60" s="1116"/>
      <c r="Y60" s="1116"/>
      <c r="Z60" s="1116"/>
      <c r="AA60" s="1116"/>
      <c r="AB60" s="1116">
        <v>0.1841576</v>
      </c>
      <c r="AC60" s="1116">
        <v>4.5133E-2</v>
      </c>
      <c r="AD60" s="1116">
        <v>3.5561E-3</v>
      </c>
      <c r="AE60" s="1116"/>
      <c r="AF60" s="1116"/>
      <c r="AG60" s="1116"/>
      <c r="AH60" s="1116">
        <v>5.6030000000000001E-4</v>
      </c>
      <c r="AI60" s="1116"/>
    </row>
    <row r="61" spans="1:35" ht="15">
      <c r="A61" s="1116" t="s">
        <v>1340</v>
      </c>
      <c r="B61" s="1116">
        <v>3.1996395999999998</v>
      </c>
      <c r="C61" s="1116"/>
      <c r="D61" s="1116"/>
      <c r="E61" s="1116"/>
      <c r="F61" s="1116"/>
      <c r="G61" s="1116"/>
      <c r="H61" s="1116">
        <v>31.311027599999999</v>
      </c>
      <c r="I61" s="1116"/>
      <c r="J61" s="1116">
        <v>0.87183980000000005</v>
      </c>
      <c r="K61" s="1116"/>
      <c r="L61" s="1116">
        <v>0.22143280000000001</v>
      </c>
      <c r="M61" s="1116">
        <v>0.1576611</v>
      </c>
      <c r="N61" s="1116"/>
      <c r="O61" s="1116"/>
      <c r="P61" s="1116">
        <v>0.19550409999999999</v>
      </c>
      <c r="Q61" s="1116"/>
      <c r="R61" s="1116"/>
      <c r="S61" s="1116">
        <v>1.6163723000000001</v>
      </c>
      <c r="T61" s="1116">
        <v>2.0188358000000002</v>
      </c>
      <c r="U61" s="1116">
        <v>6.7434000000000001E-3</v>
      </c>
      <c r="V61" s="1116"/>
      <c r="W61" s="1116">
        <v>5.4200410999999997</v>
      </c>
      <c r="X61" s="1116"/>
      <c r="Y61" s="1116">
        <v>7.4459999999999999E-4</v>
      </c>
      <c r="Z61" s="1116">
        <v>1.5422362000000001</v>
      </c>
      <c r="AA61" s="1116"/>
      <c r="AB61" s="1116">
        <v>0.19863400000000001</v>
      </c>
      <c r="AC61" s="1116">
        <v>0.78479960000000004</v>
      </c>
      <c r="AD61" s="1116">
        <v>0.85662740000000004</v>
      </c>
      <c r="AE61" s="1116"/>
      <c r="AF61" s="1116">
        <v>1.6599884</v>
      </c>
      <c r="AG61" s="1116"/>
      <c r="AH61" s="1116">
        <v>2.5342400000000001E-2</v>
      </c>
      <c r="AI61" s="1116"/>
    </row>
    <row r="62" spans="1:35" ht="15">
      <c r="A62" s="1116" t="s">
        <v>1343</v>
      </c>
      <c r="B62" s="1116">
        <v>0.79413230000000001</v>
      </c>
      <c r="C62" s="1116"/>
      <c r="D62" s="1116">
        <v>1.7299999999999999E-2</v>
      </c>
      <c r="E62" s="1116"/>
      <c r="F62" s="1116"/>
      <c r="G62" s="1116"/>
      <c r="H62" s="1116">
        <v>29.471364600000001</v>
      </c>
      <c r="I62" s="1116"/>
      <c r="J62" s="1116">
        <v>0.12574689999999999</v>
      </c>
      <c r="K62" s="1116"/>
      <c r="L62" s="1116"/>
      <c r="M62" s="1116">
        <v>0.17436550000000001</v>
      </c>
      <c r="N62" s="1116">
        <v>1.6431E-3</v>
      </c>
      <c r="O62" s="1116"/>
      <c r="P62" s="1116"/>
      <c r="Q62" s="1116"/>
      <c r="R62" s="1116"/>
      <c r="S62" s="1116">
        <v>0.31971280000000002</v>
      </c>
      <c r="T62" s="1116">
        <v>0.37904100000000002</v>
      </c>
      <c r="U62" s="1116">
        <v>6.2379000000000002E-3</v>
      </c>
      <c r="V62" s="1116"/>
      <c r="W62" s="1116">
        <v>11.873576099999999</v>
      </c>
      <c r="X62" s="1116"/>
      <c r="Y62" s="1116"/>
      <c r="Z62" s="1116"/>
      <c r="AA62" s="1116"/>
      <c r="AB62" s="1116">
        <v>4.2643199999999999E-2</v>
      </c>
      <c r="AC62" s="1116">
        <v>0.15506259999999999</v>
      </c>
      <c r="AD62" s="1116">
        <v>0.20367589999999999</v>
      </c>
      <c r="AE62" s="1116"/>
      <c r="AF62" s="1116">
        <v>1.8344062999999999</v>
      </c>
      <c r="AG62" s="1116"/>
      <c r="AH62" s="1116"/>
      <c r="AI62" s="1116"/>
    </row>
    <row r="63" spans="1:35" ht="15">
      <c r="A63" s="1116" t="s">
        <v>1384</v>
      </c>
      <c r="B63" s="1116">
        <v>13.1367274</v>
      </c>
      <c r="C63" s="1116">
        <v>2.1117146999999998</v>
      </c>
      <c r="D63" s="1116">
        <v>1.1646320999999999</v>
      </c>
      <c r="E63" s="1116"/>
      <c r="F63" s="1116"/>
      <c r="G63" s="1116"/>
      <c r="H63" s="1116">
        <v>53.312676500000002</v>
      </c>
      <c r="I63" s="1116"/>
      <c r="J63" s="1116">
        <v>130.86432859999999</v>
      </c>
      <c r="K63" s="1116"/>
      <c r="L63" s="1116">
        <v>5.0039899999999998E-2</v>
      </c>
      <c r="M63" s="1116">
        <v>4.6719299999999998E-2</v>
      </c>
      <c r="N63" s="1116">
        <v>0.50015120000000002</v>
      </c>
      <c r="O63" s="1116"/>
      <c r="P63" s="1116">
        <v>7.8098100000000004E-2</v>
      </c>
      <c r="Q63" s="1116"/>
      <c r="R63" s="1116"/>
      <c r="S63" s="1116">
        <v>7.7729588999999999</v>
      </c>
      <c r="T63" s="1116">
        <v>3.0157419000000001</v>
      </c>
      <c r="U63" s="1116">
        <v>1.3340847</v>
      </c>
      <c r="V63" s="1116"/>
      <c r="W63" s="1116">
        <v>8.2787603000000001</v>
      </c>
      <c r="X63" s="1116"/>
      <c r="Y63" s="1116">
        <v>0.22458900000000001</v>
      </c>
      <c r="Z63" s="1116">
        <v>5.9391480000000003</v>
      </c>
      <c r="AA63" s="1116"/>
      <c r="AB63" s="1116">
        <v>4.3191148999999998</v>
      </c>
      <c r="AC63" s="1116">
        <v>2.9578069</v>
      </c>
      <c r="AD63" s="1116">
        <v>6.1371577000000004</v>
      </c>
      <c r="AE63" s="1116"/>
      <c r="AF63" s="1116">
        <v>13.8005847</v>
      </c>
      <c r="AG63" s="1116">
        <v>23.963774799999999</v>
      </c>
      <c r="AH63" s="1116">
        <v>7.4755585</v>
      </c>
      <c r="AI63" s="1116"/>
    </row>
    <row r="64" spans="1:35" ht="15">
      <c r="A64" s="1116" t="s">
        <v>1670</v>
      </c>
      <c r="B64" s="1116">
        <v>5.0047599999999998E-2</v>
      </c>
      <c r="C64" s="1116"/>
      <c r="D64" s="1116"/>
      <c r="E64" s="1116"/>
      <c r="F64" s="1116"/>
      <c r="G64" s="1116">
        <v>7.7753299999999997E-2</v>
      </c>
      <c r="H64" s="1116">
        <v>7.8155203000000002</v>
      </c>
      <c r="I64" s="1116"/>
      <c r="J64" s="1116">
        <v>0.46936679999999997</v>
      </c>
      <c r="K64" s="1116"/>
      <c r="L64" s="1116"/>
      <c r="M64" s="1116"/>
      <c r="N64" s="1116"/>
      <c r="O64" s="1116"/>
      <c r="P64" s="1116"/>
      <c r="Q64" s="1116"/>
      <c r="R64" s="1116"/>
      <c r="S64" s="1116"/>
      <c r="T64" s="1116"/>
      <c r="U64" s="1116"/>
      <c r="V64" s="1116"/>
      <c r="W64" s="1116">
        <v>0.92993999999999999</v>
      </c>
      <c r="X64" s="1116"/>
      <c r="Y64" s="1116"/>
      <c r="Z64" s="1116">
        <v>2.4444899999999999E-2</v>
      </c>
      <c r="AA64" s="1116"/>
      <c r="AB64" s="1116"/>
      <c r="AC64" s="1116"/>
      <c r="AD64" s="1116">
        <v>3.7251399999999997E-2</v>
      </c>
      <c r="AE64" s="1116"/>
      <c r="AF64" s="1116">
        <v>7.3818400000000006E-2</v>
      </c>
      <c r="AG64" s="1116"/>
      <c r="AH64" s="1116"/>
      <c r="AI64" s="1116"/>
    </row>
    <row r="65" spans="1:35" ht="15">
      <c r="A65" s="1116" t="s">
        <v>725</v>
      </c>
      <c r="B65" s="1116"/>
      <c r="C65" s="1116"/>
      <c r="D65" s="1116"/>
      <c r="E65" s="1116"/>
      <c r="F65" s="1116"/>
      <c r="G65" s="1116"/>
      <c r="H65" s="1116">
        <v>5.4479800000000002E-2</v>
      </c>
      <c r="I65" s="1116"/>
      <c r="J65" s="1116">
        <v>1.7805335</v>
      </c>
      <c r="K65" s="1116"/>
      <c r="L65" s="1116"/>
      <c r="M65" s="1116"/>
      <c r="N65" s="1116"/>
      <c r="O65" s="1116"/>
      <c r="P65" s="1116"/>
      <c r="Q65" s="1116"/>
      <c r="R65" s="1116"/>
      <c r="S65" s="1116"/>
      <c r="T65" s="1116">
        <v>1.8597099999999998E-2</v>
      </c>
      <c r="U65" s="1116"/>
      <c r="V65" s="1116"/>
      <c r="W65" s="1116">
        <v>0.32837139999999998</v>
      </c>
      <c r="X65" s="1116"/>
      <c r="Y65" s="1116"/>
      <c r="Z65" s="1116"/>
      <c r="AA65" s="1116"/>
      <c r="AB65" s="1116"/>
      <c r="AC65" s="1116"/>
      <c r="AD65" s="1116"/>
      <c r="AE65" s="1116"/>
      <c r="AF65" s="1116">
        <v>0.18424750000000001</v>
      </c>
      <c r="AG65" s="1116"/>
      <c r="AH65" s="1116"/>
      <c r="AI65" s="1116"/>
    </row>
    <row r="66" spans="1:35" ht="15">
      <c r="A66" s="1116" t="s">
        <v>1084</v>
      </c>
      <c r="B66" s="1116">
        <v>1.4756E-2</v>
      </c>
      <c r="C66" s="1116"/>
      <c r="D66" s="1116"/>
      <c r="E66" s="1116"/>
      <c r="F66" s="1116"/>
      <c r="G66" s="1116">
        <v>1.0306202</v>
      </c>
      <c r="H66" s="1116">
        <v>3.5087402999999999</v>
      </c>
      <c r="I66" s="1116"/>
      <c r="J66" s="1116">
        <v>7.5578744000000002</v>
      </c>
      <c r="K66" s="1116"/>
      <c r="L66" s="1116"/>
      <c r="M66" s="1116"/>
      <c r="N66" s="1116"/>
      <c r="O66" s="1116"/>
      <c r="P66" s="1116">
        <v>1.4888E-3</v>
      </c>
      <c r="Q66" s="1116"/>
      <c r="R66" s="1116"/>
      <c r="S66" s="1116">
        <v>9.5665000000000004E-3</v>
      </c>
      <c r="T66" s="1116">
        <v>0.27932709999999999</v>
      </c>
      <c r="U66" s="1116">
        <v>0.15797749999999999</v>
      </c>
      <c r="V66" s="1116"/>
      <c r="W66" s="1116">
        <v>22.8926415</v>
      </c>
      <c r="X66" s="1116"/>
      <c r="Y66" s="1116">
        <v>2.4312799999999999E-2</v>
      </c>
      <c r="Z66" s="1116"/>
      <c r="AA66" s="1116"/>
      <c r="AB66" s="1116">
        <v>0.48368280000000002</v>
      </c>
      <c r="AC66" s="1116">
        <v>3.7607000000000002E-2</v>
      </c>
      <c r="AD66" s="1116">
        <v>0.51454049999999996</v>
      </c>
      <c r="AE66" s="1116"/>
      <c r="AF66" s="1116">
        <v>0.10460029999999999</v>
      </c>
      <c r="AG66" s="1116"/>
      <c r="AH66" s="1116"/>
      <c r="AI66" s="1116"/>
    </row>
    <row r="67" spans="1:35" ht="15">
      <c r="A67" s="1116" t="s">
        <v>1184</v>
      </c>
      <c r="B67" s="1116">
        <v>1.1510640000000001</v>
      </c>
      <c r="C67" s="1116"/>
      <c r="D67" s="1116"/>
      <c r="E67" s="1116"/>
      <c r="F67" s="1116"/>
      <c r="G67" s="1116">
        <v>1.4898339</v>
      </c>
      <c r="H67" s="1116">
        <v>2.4931057000000001</v>
      </c>
      <c r="I67" s="1116">
        <v>0.16342429999999999</v>
      </c>
      <c r="J67" s="1116">
        <v>27.768832799999998</v>
      </c>
      <c r="K67" s="1116">
        <v>1.10259E-2</v>
      </c>
      <c r="L67" s="1116"/>
      <c r="M67" s="1116"/>
      <c r="N67" s="1116"/>
      <c r="O67" s="1116"/>
      <c r="P67" s="1116"/>
      <c r="Q67" s="1116"/>
      <c r="R67" s="1116"/>
      <c r="S67" s="1116">
        <v>4.35479E-2</v>
      </c>
      <c r="T67" s="1116">
        <v>0.30420540000000001</v>
      </c>
      <c r="U67" s="1116"/>
      <c r="V67" s="1116"/>
      <c r="W67" s="1116">
        <v>38.655337899999999</v>
      </c>
      <c r="X67" s="1116"/>
      <c r="Y67" s="1116">
        <v>25.7796825</v>
      </c>
      <c r="Z67" s="1116">
        <v>7.5370000000000005E-4</v>
      </c>
      <c r="AA67" s="1116"/>
      <c r="AB67" s="1116">
        <v>0.50183370000000005</v>
      </c>
      <c r="AC67" s="1116">
        <v>0.58845879999999995</v>
      </c>
      <c r="AD67" s="1116">
        <v>0.31818010000000002</v>
      </c>
      <c r="AE67" s="1116"/>
      <c r="AF67" s="1116">
        <v>2.219E-4</v>
      </c>
      <c r="AG67" s="1116"/>
      <c r="AH67" s="1116">
        <v>1.5E-6</v>
      </c>
      <c r="AI67" s="1116"/>
    </row>
    <row r="68" spans="1:35" ht="15">
      <c r="A68" s="1116" t="s">
        <v>1187</v>
      </c>
      <c r="B68" s="1116">
        <v>3.9441655999999998</v>
      </c>
      <c r="C68" s="1116"/>
      <c r="D68" s="1116"/>
      <c r="E68" s="1116"/>
      <c r="F68" s="1116">
        <v>0.83690719999999996</v>
      </c>
      <c r="G68" s="1116">
        <v>4.7749000000000003E-3</v>
      </c>
      <c r="H68" s="1116">
        <v>95.663333899999998</v>
      </c>
      <c r="I68" s="1116">
        <v>6.698E-3</v>
      </c>
      <c r="J68" s="1116">
        <v>3.5902099999999999E-2</v>
      </c>
      <c r="K68" s="1116"/>
      <c r="L68" s="1116"/>
      <c r="M68" s="1116">
        <v>0.1081266</v>
      </c>
      <c r="N68" s="1116"/>
      <c r="O68" s="1116"/>
      <c r="P68" s="1116"/>
      <c r="Q68" s="1116"/>
      <c r="R68" s="1116"/>
      <c r="S68" s="1116">
        <v>5.5479792000000003</v>
      </c>
      <c r="T68" s="1116">
        <v>5.2920796000000001</v>
      </c>
      <c r="U68" s="1116"/>
      <c r="V68" s="1116"/>
      <c r="W68" s="1116">
        <v>32.2104614</v>
      </c>
      <c r="X68" s="1116"/>
      <c r="Y68" s="1116"/>
      <c r="Z68" s="1116"/>
      <c r="AA68" s="1116">
        <v>9.6954999999999993E-3</v>
      </c>
      <c r="AB68" s="1116">
        <v>4.9547999999999997E-3</v>
      </c>
      <c r="AC68" s="1116"/>
      <c r="AD68" s="1116">
        <v>0.9173578</v>
      </c>
      <c r="AE68" s="1116"/>
      <c r="AF68" s="1116"/>
      <c r="AG68" s="1116"/>
      <c r="AH68" s="1116"/>
      <c r="AI68" s="1116"/>
    </row>
    <row r="69" spans="1:35" ht="15">
      <c r="A69" s="1116" t="s">
        <v>1135</v>
      </c>
      <c r="B69" s="1116"/>
      <c r="C69" s="1116"/>
      <c r="D69" s="1116"/>
      <c r="E69" s="1116"/>
      <c r="F69" s="1116"/>
      <c r="G69" s="1116"/>
      <c r="H69" s="1116"/>
      <c r="I69" s="1116"/>
      <c r="J69" s="1116"/>
      <c r="K69" s="1116"/>
      <c r="L69" s="1116"/>
      <c r="M69" s="1116"/>
      <c r="N69" s="1116"/>
      <c r="O69" s="1116"/>
      <c r="P69" s="1116"/>
      <c r="Q69" s="1116"/>
      <c r="R69" s="1116"/>
      <c r="S69" s="1116"/>
      <c r="T69" s="1116"/>
      <c r="U69" s="1116">
        <v>6.3694399999999998E-2</v>
      </c>
      <c r="V69" s="1116"/>
      <c r="W69" s="1116">
        <v>6.5421168999999999</v>
      </c>
      <c r="X69" s="1116"/>
      <c r="Y69" s="1116">
        <v>3.9045E-3</v>
      </c>
      <c r="Z69" s="1116"/>
      <c r="AA69" s="1116"/>
      <c r="AB69" s="1116"/>
      <c r="AC69" s="1116"/>
      <c r="AD69" s="1116">
        <v>0.29311029999999999</v>
      </c>
      <c r="AE69" s="1116"/>
      <c r="AF69" s="1116"/>
      <c r="AG69" s="1116"/>
      <c r="AH69" s="1116"/>
      <c r="AI69" s="1116"/>
    </row>
    <row r="70" spans="1:35" ht="15">
      <c r="A70" s="1116" t="s">
        <v>1155</v>
      </c>
      <c r="B70" s="1116">
        <v>7.0279974000000003</v>
      </c>
      <c r="C70" s="1116">
        <v>7.0172179999999997</v>
      </c>
      <c r="D70" s="1116"/>
      <c r="E70" s="1116"/>
      <c r="F70" s="1116"/>
      <c r="G70" s="1116"/>
      <c r="H70" s="1116">
        <v>9.9999999999999995E-8</v>
      </c>
      <c r="I70" s="1116">
        <v>45.353241799999999</v>
      </c>
      <c r="J70" s="1116">
        <v>0.4615611</v>
      </c>
      <c r="K70" s="1116"/>
      <c r="L70" s="1116"/>
      <c r="M70" s="1116"/>
      <c r="N70" s="1116">
        <v>0.64900089999999999</v>
      </c>
      <c r="O70" s="1116"/>
      <c r="P70" s="1116"/>
      <c r="Q70" s="1116"/>
      <c r="R70" s="1116"/>
      <c r="S70" s="1116">
        <v>3.1985177</v>
      </c>
      <c r="T70" s="1116">
        <v>4.6651815000000001</v>
      </c>
      <c r="U70" s="1116"/>
      <c r="V70" s="1116"/>
      <c r="W70" s="1116">
        <v>27.508171000000001</v>
      </c>
      <c r="X70" s="1116"/>
      <c r="Y70" s="1116"/>
      <c r="Z70" s="1116"/>
      <c r="AA70" s="1116"/>
      <c r="AB70" s="1116">
        <v>0.59151359999999997</v>
      </c>
      <c r="AC70" s="1116">
        <v>1.8439951999999999</v>
      </c>
      <c r="AD70" s="1116">
        <v>0.60882440000000004</v>
      </c>
      <c r="AE70" s="1116"/>
      <c r="AF70" s="1116"/>
      <c r="AG70" s="1116"/>
      <c r="AH70" s="1116"/>
      <c r="AI70" s="1116"/>
    </row>
    <row r="71" spans="1:35" ht="15">
      <c r="A71" s="1116" t="s">
        <v>1158</v>
      </c>
      <c r="B71" s="1116">
        <v>6.9159179999999996</v>
      </c>
      <c r="C71" s="1116"/>
      <c r="D71" s="1116"/>
      <c r="E71" s="1116"/>
      <c r="F71" s="1116"/>
      <c r="G71" s="1116"/>
      <c r="H71" s="1116">
        <v>27.4888549</v>
      </c>
      <c r="I71" s="1116">
        <v>0.26778629999999998</v>
      </c>
      <c r="J71" s="1116">
        <v>12.714720099999999</v>
      </c>
      <c r="K71" s="1116"/>
      <c r="L71" s="1116"/>
      <c r="M71" s="1116"/>
      <c r="N71" s="1116"/>
      <c r="O71" s="1116"/>
      <c r="P71" s="1116"/>
      <c r="Q71" s="1116"/>
      <c r="R71" s="1116"/>
      <c r="S71" s="1116">
        <v>0.48734270000000002</v>
      </c>
      <c r="T71" s="1116">
        <v>3.8567247999999998</v>
      </c>
      <c r="U71" s="1116"/>
      <c r="V71" s="1116"/>
      <c r="W71" s="1116">
        <v>2.1931680999999998</v>
      </c>
      <c r="X71" s="1116"/>
      <c r="Y71" s="1116"/>
      <c r="Z71" s="1116"/>
      <c r="AA71" s="1116"/>
      <c r="AB71" s="1116">
        <v>3.1009475000000002</v>
      </c>
      <c r="AC71" s="1116">
        <v>0.60995480000000002</v>
      </c>
      <c r="AD71" s="1116">
        <v>4.3032716999999998</v>
      </c>
      <c r="AE71" s="1116"/>
      <c r="AF71" s="1116">
        <v>7.7019887000000002</v>
      </c>
      <c r="AG71" s="1116"/>
      <c r="AH71" s="1116"/>
      <c r="AI71" s="1116">
        <v>2.4605831</v>
      </c>
    </row>
    <row r="72" spans="1:35" ht="15">
      <c r="A72" s="1116" t="s">
        <v>1149</v>
      </c>
      <c r="B72" s="1116">
        <v>10.8716943</v>
      </c>
      <c r="C72" s="1116"/>
      <c r="D72" s="1116">
        <v>1.0095651000000001</v>
      </c>
      <c r="E72" s="1116"/>
      <c r="F72" s="1116">
        <v>1.78E-2</v>
      </c>
      <c r="G72" s="1116"/>
      <c r="H72" s="1116">
        <v>34.255621099999999</v>
      </c>
      <c r="I72" s="1116"/>
      <c r="J72" s="1116">
        <v>4.34685E-2</v>
      </c>
      <c r="K72" s="1116">
        <v>1.1227442000000001</v>
      </c>
      <c r="L72" s="1116">
        <v>2.9476157000000001</v>
      </c>
      <c r="M72" s="1116">
        <v>1.5130423</v>
      </c>
      <c r="N72" s="1116">
        <v>0.16394220000000001</v>
      </c>
      <c r="O72" s="1116"/>
      <c r="P72" s="1116">
        <v>0.39487919999999999</v>
      </c>
      <c r="Q72" s="1116"/>
      <c r="R72" s="1116"/>
      <c r="S72" s="1116">
        <v>1.8767990999999999</v>
      </c>
      <c r="T72" s="1116">
        <v>4.7933903999999998</v>
      </c>
      <c r="U72" s="1116">
        <v>1.9976860000000001</v>
      </c>
      <c r="V72" s="1116"/>
      <c r="W72" s="1116">
        <v>12.5200265</v>
      </c>
      <c r="X72" s="1116"/>
      <c r="Y72" s="1116">
        <v>4.4719477000000003</v>
      </c>
      <c r="Z72" s="1116">
        <v>3.6251213</v>
      </c>
      <c r="AA72" s="1116"/>
      <c r="AB72" s="1116">
        <v>1.1369756</v>
      </c>
      <c r="AC72" s="1116">
        <v>4.5545118999999996</v>
      </c>
      <c r="AD72" s="1116">
        <v>4.6665418000000001</v>
      </c>
      <c r="AE72" s="1116"/>
      <c r="AF72" s="1116">
        <v>17.365587099999999</v>
      </c>
      <c r="AG72" s="1116"/>
      <c r="AH72" s="1116">
        <v>8.1090868</v>
      </c>
      <c r="AI72" s="1116"/>
    </row>
    <row r="73" spans="1:35" ht="15">
      <c r="A73" s="1116" t="s">
        <v>343</v>
      </c>
      <c r="B73" s="1116">
        <v>20.329704599999999</v>
      </c>
      <c r="C73" s="1116"/>
      <c r="D73" s="1116"/>
      <c r="E73" s="1116"/>
      <c r="F73" s="1116">
        <v>8.1976800000000002E-2</v>
      </c>
      <c r="G73" s="1116">
        <v>27.428622399999998</v>
      </c>
      <c r="H73" s="1116">
        <v>1.60345E-2</v>
      </c>
      <c r="I73" s="1116"/>
      <c r="J73" s="1116">
        <v>219.48479140000001</v>
      </c>
      <c r="K73" s="1116"/>
      <c r="L73" s="1116">
        <v>0.63875570000000004</v>
      </c>
      <c r="M73" s="1116">
        <v>2.9783141</v>
      </c>
      <c r="N73" s="1116">
        <v>1.6735627</v>
      </c>
      <c r="O73" s="1116">
        <v>6.5104151000000003</v>
      </c>
      <c r="P73" s="1116">
        <v>1.4458667999999999</v>
      </c>
      <c r="Q73" s="1116"/>
      <c r="R73" s="1116">
        <v>11.4332189</v>
      </c>
      <c r="S73" s="1116">
        <v>8.8314810999999995</v>
      </c>
      <c r="T73" s="1116">
        <v>4.7099552999999998</v>
      </c>
      <c r="U73" s="1116">
        <v>5.4509455999999998</v>
      </c>
      <c r="V73" s="1116"/>
      <c r="W73" s="1116">
        <v>10.047449</v>
      </c>
      <c r="X73" s="1116"/>
      <c r="Y73" s="1116">
        <v>49.503014700000001</v>
      </c>
      <c r="Z73" s="1116">
        <v>2.9824300000000002E-2</v>
      </c>
      <c r="AA73" s="1116"/>
      <c r="AB73" s="1116">
        <v>3.1890717999999998</v>
      </c>
      <c r="AC73" s="1116">
        <v>5.5491063</v>
      </c>
      <c r="AD73" s="1116">
        <v>10.0158249</v>
      </c>
      <c r="AE73" s="1116"/>
      <c r="AF73" s="1116">
        <v>4.6230767000000004</v>
      </c>
      <c r="AG73" s="1116"/>
      <c r="AH73" s="1116">
        <v>6.7806183000000004</v>
      </c>
      <c r="AI73" s="1116"/>
    </row>
    <row r="74" spans="1:35" ht="15">
      <c r="A74" s="1116" t="s">
        <v>1171</v>
      </c>
      <c r="B74" s="1116"/>
      <c r="C74" s="1116"/>
      <c r="D74" s="1116"/>
      <c r="E74" s="1116"/>
      <c r="F74" s="1116"/>
      <c r="G74" s="1116"/>
      <c r="H74" s="1116">
        <v>5.3060555999999997</v>
      </c>
      <c r="I74" s="1116">
        <v>3.0177200000000001E-2</v>
      </c>
      <c r="J74" s="1116">
        <v>6.9557894999999998</v>
      </c>
      <c r="K74" s="1116"/>
      <c r="L74" s="1116"/>
      <c r="M74" s="1116"/>
      <c r="N74" s="1116"/>
      <c r="O74" s="1116"/>
      <c r="P74" s="1116"/>
      <c r="Q74" s="1116"/>
      <c r="R74" s="1116"/>
      <c r="S74" s="1116"/>
      <c r="T74" s="1116"/>
      <c r="U74" s="1116"/>
      <c r="V74" s="1116"/>
      <c r="W74" s="1116">
        <v>3.3050377000000002</v>
      </c>
      <c r="X74" s="1116"/>
      <c r="Y74" s="1116"/>
      <c r="Z74" s="1116"/>
      <c r="AA74" s="1116"/>
      <c r="AB74" s="1116"/>
      <c r="AC74" s="1116"/>
      <c r="AD74" s="1116"/>
      <c r="AE74" s="1116"/>
      <c r="AF74" s="1116"/>
      <c r="AG74" s="1116"/>
      <c r="AH74" s="1116"/>
      <c r="AI74" s="1116"/>
    </row>
    <row r="75" spans="1:35" ht="15">
      <c r="A75" s="1116" t="s">
        <v>721</v>
      </c>
      <c r="B75" s="1116">
        <v>3.6853747000000001</v>
      </c>
      <c r="C75" s="1116"/>
      <c r="D75" s="1116"/>
      <c r="E75" s="1116"/>
      <c r="F75" s="1116">
        <v>1.4985804</v>
      </c>
      <c r="G75" s="1116"/>
      <c r="H75" s="1116">
        <v>42.871092300000001</v>
      </c>
      <c r="I75" s="1116">
        <v>45.260585300000002</v>
      </c>
      <c r="J75" s="1116">
        <v>11.8313422</v>
      </c>
      <c r="K75" s="1116">
        <v>0.38809670000000002</v>
      </c>
      <c r="L75" s="1116">
        <v>4.7125800000000002E-2</v>
      </c>
      <c r="M75" s="1116">
        <v>4.5619554000000004</v>
      </c>
      <c r="N75" s="1116">
        <v>1.2305676000000001</v>
      </c>
      <c r="O75" s="1116">
        <v>3.8430081</v>
      </c>
      <c r="P75" s="1116"/>
      <c r="Q75" s="1116"/>
      <c r="R75" s="1116"/>
      <c r="S75" s="1116">
        <v>10.769080600000001</v>
      </c>
      <c r="T75" s="1116">
        <v>12.9498856</v>
      </c>
      <c r="U75" s="1116">
        <v>8.6607500000000004E-2</v>
      </c>
      <c r="V75" s="1116"/>
      <c r="W75" s="1116">
        <v>37.368505300000002</v>
      </c>
      <c r="X75" s="1116"/>
      <c r="Y75" s="1116"/>
      <c r="Z75" s="1116">
        <v>1.5494379</v>
      </c>
      <c r="AA75" s="1116">
        <v>0.22232499999999999</v>
      </c>
      <c r="AB75" s="1116">
        <v>1.6686468000000001</v>
      </c>
      <c r="AC75" s="1116">
        <v>4.8728631</v>
      </c>
      <c r="AD75" s="1116">
        <v>1.950148</v>
      </c>
      <c r="AE75" s="1116"/>
      <c r="AF75" s="1116">
        <v>2.0602033999999998</v>
      </c>
      <c r="AG75" s="1116"/>
      <c r="AH75" s="1116"/>
      <c r="AI75" s="1116"/>
    </row>
    <row r="76" spans="1:35" ht="15">
      <c r="A76" s="1116" t="s">
        <v>699</v>
      </c>
      <c r="B76" s="1116">
        <v>1.4547554</v>
      </c>
      <c r="C76" s="1116"/>
      <c r="D76" s="1116"/>
      <c r="E76" s="1116"/>
      <c r="F76" s="1116">
        <v>1.0183412999999999</v>
      </c>
      <c r="G76" s="1116"/>
      <c r="H76" s="1116">
        <v>9.1189122999999999</v>
      </c>
      <c r="I76" s="1116">
        <v>2.8561099999999999E-2</v>
      </c>
      <c r="J76" s="1116">
        <v>0.54807969999999995</v>
      </c>
      <c r="K76" s="1116">
        <v>1.3806999999999999E-3</v>
      </c>
      <c r="L76" s="1116"/>
      <c r="M76" s="1116">
        <v>1.4479300000000001E-2</v>
      </c>
      <c r="N76" s="1116">
        <v>0.41184680000000001</v>
      </c>
      <c r="O76" s="1116">
        <v>3.1939999999999998E-3</v>
      </c>
      <c r="P76" s="1116"/>
      <c r="Q76" s="1116"/>
      <c r="R76" s="1116"/>
      <c r="S76" s="1116">
        <v>3.2205822</v>
      </c>
      <c r="T76" s="1116">
        <v>8.6241588999999994</v>
      </c>
      <c r="U76" s="1116">
        <v>0.7787193</v>
      </c>
      <c r="V76" s="1116"/>
      <c r="W76" s="1116">
        <v>90.792690100000002</v>
      </c>
      <c r="X76" s="1116"/>
      <c r="Y76" s="1116"/>
      <c r="Z76" s="1116">
        <v>1.1629266</v>
      </c>
      <c r="AA76" s="1116"/>
      <c r="AB76" s="1116">
        <v>0.26913730000000002</v>
      </c>
      <c r="AC76" s="1116">
        <v>1.0481867</v>
      </c>
      <c r="AD76" s="1116">
        <v>4.6837762999999999</v>
      </c>
      <c r="AE76" s="1116"/>
      <c r="AF76" s="1116"/>
      <c r="AG76" s="1116"/>
      <c r="AH76" s="1116"/>
      <c r="AI76" s="1116"/>
    </row>
    <row r="77" spans="1:35" ht="15">
      <c r="A77" s="1116" t="s">
        <v>677</v>
      </c>
      <c r="B77" s="1116">
        <v>1.9854088999999999</v>
      </c>
      <c r="C77" s="1116"/>
      <c r="D77" s="1116">
        <v>6.3702700000000001E-2</v>
      </c>
      <c r="E77" s="1116">
        <v>1.6953578</v>
      </c>
      <c r="F77" s="1116">
        <v>0.36570000000000003</v>
      </c>
      <c r="G77" s="1116"/>
      <c r="H77" s="1116">
        <v>4.4567900000000001E-2</v>
      </c>
      <c r="I77" s="1116"/>
      <c r="J77" s="1116">
        <v>22.34825</v>
      </c>
      <c r="K77" s="1116"/>
      <c r="L77" s="1116"/>
      <c r="M77" s="1116">
        <v>0.21189169999999999</v>
      </c>
      <c r="N77" s="1116">
        <v>9.9272799999999994E-2</v>
      </c>
      <c r="O77" s="1116"/>
      <c r="P77" s="1116">
        <v>3.7074799999999998E-2</v>
      </c>
      <c r="Q77" s="1116"/>
      <c r="R77" s="1116"/>
      <c r="S77" s="1116">
        <v>0.80555969999999999</v>
      </c>
      <c r="T77" s="1116">
        <v>5.2294653000000002</v>
      </c>
      <c r="U77" s="1116">
        <v>3.9703655000000002</v>
      </c>
      <c r="V77" s="1116"/>
      <c r="W77" s="1116">
        <v>22.6152625</v>
      </c>
      <c r="X77" s="1116"/>
      <c r="Y77" s="1116">
        <v>22.071193000000001</v>
      </c>
      <c r="Z77" s="1116">
        <v>0.14367830000000001</v>
      </c>
      <c r="AA77" s="1116"/>
      <c r="AB77" s="1116">
        <v>8.5620727999999993</v>
      </c>
      <c r="AC77" s="1116">
        <v>0.5543344</v>
      </c>
      <c r="AD77" s="1116">
        <v>2.4418380000000002</v>
      </c>
      <c r="AE77" s="1116"/>
      <c r="AF77" s="1116"/>
      <c r="AG77" s="1116"/>
      <c r="AH77" s="1116">
        <v>0.77788409999999997</v>
      </c>
      <c r="AI77" s="1116"/>
    </row>
    <row r="78" spans="1:35" ht="15">
      <c r="A78" s="1116" t="s">
        <v>1183</v>
      </c>
      <c r="B78" s="1116">
        <v>44.248353899999998</v>
      </c>
      <c r="C78" s="1116"/>
      <c r="D78" s="1116">
        <v>0.1058019</v>
      </c>
      <c r="E78" s="1116">
        <v>0.50573040000000002</v>
      </c>
      <c r="F78" s="1116"/>
      <c r="G78" s="1116">
        <v>3.4069189</v>
      </c>
      <c r="H78" s="1116">
        <v>11.174820499999999</v>
      </c>
      <c r="I78" s="1116"/>
      <c r="J78" s="1116">
        <v>4.0924956000000003</v>
      </c>
      <c r="K78" s="1116"/>
      <c r="L78" s="1116"/>
      <c r="M78" s="1116"/>
      <c r="N78" s="1116">
        <v>0.29570390000000002</v>
      </c>
      <c r="O78" s="1116"/>
      <c r="P78" s="1116"/>
      <c r="Q78" s="1116"/>
      <c r="R78" s="1116"/>
      <c r="S78" s="1116">
        <v>3.10554E-2</v>
      </c>
      <c r="T78" s="1116">
        <v>7.4504324000000004</v>
      </c>
      <c r="U78" s="1116"/>
      <c r="V78" s="1116"/>
      <c r="W78" s="1116">
        <v>2.67668E-2</v>
      </c>
      <c r="X78" s="1116"/>
      <c r="Y78" s="1116"/>
      <c r="Z78" s="1116">
        <v>1.0504465999999999</v>
      </c>
      <c r="AA78" s="1116"/>
      <c r="AB78" s="1116">
        <v>1.441802</v>
      </c>
      <c r="AC78" s="1116">
        <v>6.9638147000000004</v>
      </c>
      <c r="AD78" s="1116">
        <v>4.2256001999999997</v>
      </c>
      <c r="AE78" s="1116"/>
      <c r="AF78" s="1116">
        <v>0.16518260000000001</v>
      </c>
      <c r="AG78" s="1116"/>
      <c r="AH78" s="1116"/>
      <c r="AI78" s="1116"/>
    </row>
    <row r="79" spans="1:35" ht="15">
      <c r="A79" s="1116" t="s">
        <v>1197</v>
      </c>
      <c r="B79" s="1116"/>
      <c r="C79" s="1116"/>
      <c r="D79" s="1116">
        <v>1.80786E-2</v>
      </c>
      <c r="E79" s="1116"/>
      <c r="F79" s="1116"/>
      <c r="G79" s="1116"/>
      <c r="H79" s="1116">
        <v>1.0827E-3</v>
      </c>
      <c r="I79" s="1116">
        <v>3.724E-4</v>
      </c>
      <c r="J79" s="1116"/>
      <c r="K79" s="1116"/>
      <c r="L79" s="1116">
        <v>9.7E-5</v>
      </c>
      <c r="M79" s="1116"/>
      <c r="N79" s="1116"/>
      <c r="O79" s="1116"/>
      <c r="P79" s="1116"/>
      <c r="Q79" s="1116"/>
      <c r="R79" s="1116"/>
      <c r="S79" s="1116">
        <v>1.4322E-2</v>
      </c>
      <c r="T79" s="1116">
        <v>0.63184660000000004</v>
      </c>
      <c r="U79" s="1116"/>
      <c r="V79" s="1116"/>
      <c r="W79" s="1116">
        <v>15.9044331</v>
      </c>
      <c r="X79" s="1116"/>
      <c r="Y79" s="1116"/>
      <c r="Z79" s="1116"/>
      <c r="AA79" s="1116"/>
      <c r="AB79" s="1116"/>
      <c r="AC79" s="1116">
        <v>0.14713989999999999</v>
      </c>
      <c r="AD79" s="1116">
        <v>0.15443280000000001</v>
      </c>
      <c r="AE79" s="1116"/>
      <c r="AF79" s="1116"/>
      <c r="AG79" s="1116"/>
      <c r="AH79" s="1116"/>
      <c r="AI79" s="1116"/>
    </row>
    <row r="80" spans="1:35" ht="15">
      <c r="A80" s="1116" t="s">
        <v>1204</v>
      </c>
      <c r="B80" s="1116"/>
      <c r="C80" s="1116"/>
      <c r="D80" s="1116"/>
      <c r="E80" s="1116"/>
      <c r="F80" s="1116"/>
      <c r="G80" s="1116"/>
      <c r="H80" s="1116">
        <v>13.795314299999999</v>
      </c>
      <c r="I80" s="1116">
        <v>5.3004999999999997E-2</v>
      </c>
      <c r="J80" s="1116">
        <v>2.4607000000000001E-3</v>
      </c>
      <c r="K80" s="1116"/>
      <c r="L80" s="1116"/>
      <c r="M80" s="1116"/>
      <c r="N80" s="1116"/>
      <c r="O80" s="1116"/>
      <c r="P80" s="1116"/>
      <c r="Q80" s="1116"/>
      <c r="R80" s="1116"/>
      <c r="S80" s="1116"/>
      <c r="T80" s="1116">
        <v>0.3793861</v>
      </c>
      <c r="U80" s="1116"/>
      <c r="V80" s="1116"/>
      <c r="W80" s="1116">
        <v>0.63315460000000001</v>
      </c>
      <c r="X80" s="1116"/>
      <c r="Y80" s="1116"/>
      <c r="Z80" s="1116">
        <v>8.3359999999999999E-4</v>
      </c>
      <c r="AA80" s="1116"/>
      <c r="AB80" s="1116"/>
      <c r="AC80" s="1116"/>
      <c r="AD80" s="1116">
        <v>6.5791799999999998E-2</v>
      </c>
      <c r="AE80" s="1116"/>
      <c r="AF80" s="1116"/>
      <c r="AG80" s="1116"/>
      <c r="AH80" s="1116"/>
      <c r="AI80" s="1116"/>
    </row>
    <row r="81" spans="1:35" ht="15">
      <c r="A81" s="1116" t="s">
        <v>1208</v>
      </c>
      <c r="B81" s="1116"/>
      <c r="C81" s="1116"/>
      <c r="D81" s="1116"/>
      <c r="E81" s="1116"/>
      <c r="F81" s="1116"/>
      <c r="G81" s="1116"/>
      <c r="H81" s="1116">
        <v>12.3150054</v>
      </c>
      <c r="I81" s="1116"/>
      <c r="J81" s="1116"/>
      <c r="K81" s="1116"/>
      <c r="L81" s="1116"/>
      <c r="M81" s="1116"/>
      <c r="N81" s="1116"/>
      <c r="O81" s="1116"/>
      <c r="P81" s="1116"/>
      <c r="Q81" s="1116"/>
      <c r="R81" s="1116"/>
      <c r="S81" s="1116"/>
      <c r="T81" s="1116"/>
      <c r="U81" s="1116">
        <v>2.7909E-2</v>
      </c>
      <c r="V81" s="1116"/>
      <c r="W81" s="1116">
        <v>47.722692899999998</v>
      </c>
      <c r="X81" s="1116"/>
      <c r="Y81" s="1116">
        <v>1.1266707</v>
      </c>
      <c r="Z81" s="1116"/>
      <c r="AA81" s="1116"/>
      <c r="AB81" s="1116"/>
      <c r="AC81" s="1116"/>
      <c r="AD81" s="1116">
        <v>0.9924558</v>
      </c>
      <c r="AE81" s="1116"/>
      <c r="AF81" s="1116"/>
      <c r="AG81" s="1116"/>
      <c r="AH81" s="1116"/>
      <c r="AI81" s="1116"/>
    </row>
    <row r="82" spans="1:35" ht="15">
      <c r="A82" s="1116" t="s">
        <v>1214</v>
      </c>
      <c r="B82" s="1116">
        <v>37.144038999999999</v>
      </c>
      <c r="C82" s="1116">
        <v>7.9736973000000004</v>
      </c>
      <c r="D82" s="1116"/>
      <c r="E82" s="1116"/>
      <c r="F82" s="1116">
        <v>21.4240104</v>
      </c>
      <c r="G82" s="1116">
        <v>1.7442E-3</v>
      </c>
      <c r="H82" s="1116">
        <v>7.6134237000000002</v>
      </c>
      <c r="I82" s="1116"/>
      <c r="J82" s="1116">
        <v>2.4033617</v>
      </c>
      <c r="K82" s="1116">
        <v>3.8549327</v>
      </c>
      <c r="L82" s="1116"/>
      <c r="M82" s="1116"/>
      <c r="N82" s="1116">
        <v>10.230027700000001</v>
      </c>
      <c r="O82" s="1116"/>
      <c r="P82" s="1116">
        <v>7.7203834000000002</v>
      </c>
      <c r="Q82" s="1116"/>
      <c r="R82" s="1116"/>
      <c r="S82" s="1116">
        <v>17.710524100000001</v>
      </c>
      <c r="T82" s="1116">
        <v>25.447984000000002</v>
      </c>
      <c r="U82" s="1116">
        <v>7.1884112</v>
      </c>
      <c r="V82" s="1116">
        <v>1.47622E-2</v>
      </c>
      <c r="W82" s="1116">
        <v>15.465415200000001</v>
      </c>
      <c r="X82" s="1116"/>
      <c r="Y82" s="1116">
        <v>6.9533114999999999</v>
      </c>
      <c r="Z82" s="1116">
        <v>0.15870029999999999</v>
      </c>
      <c r="AA82" s="1116"/>
      <c r="AB82" s="1116">
        <v>0.14451520000000001</v>
      </c>
      <c r="AC82" s="1116">
        <v>20.742435499999999</v>
      </c>
      <c r="AD82" s="1116">
        <v>23.287049100000001</v>
      </c>
      <c r="AE82" s="1116"/>
      <c r="AF82" s="1116"/>
      <c r="AG82" s="1116"/>
      <c r="AH82" s="1116"/>
      <c r="AI82" s="1116">
        <v>7.7648691000000003</v>
      </c>
    </row>
    <row r="83" spans="1:35" ht="15">
      <c r="A83" s="1116" t="s">
        <v>1227</v>
      </c>
      <c r="B83" s="1116"/>
      <c r="C83" s="1116"/>
      <c r="D83" s="1116">
        <v>0.21421950000000001</v>
      </c>
      <c r="E83" s="1116"/>
      <c r="F83" s="1116">
        <v>1.5118483</v>
      </c>
      <c r="G83" s="1116"/>
      <c r="H83" s="1116">
        <v>11.974238700000001</v>
      </c>
      <c r="I83" s="1116">
        <v>19.4810394</v>
      </c>
      <c r="J83" s="1116"/>
      <c r="K83" s="1116"/>
      <c r="L83" s="1116"/>
      <c r="M83" s="1116"/>
      <c r="N83" s="1116"/>
      <c r="O83" s="1116"/>
      <c r="P83" s="1116"/>
      <c r="Q83" s="1116"/>
      <c r="R83" s="1116"/>
      <c r="S83" s="1116">
        <v>9.3300000000000005E-5</v>
      </c>
      <c r="T83" s="1116">
        <v>0.2068855</v>
      </c>
      <c r="U83" s="1116">
        <v>0.18221950000000001</v>
      </c>
      <c r="V83" s="1116"/>
      <c r="W83" s="1116">
        <v>21.8998819</v>
      </c>
      <c r="X83" s="1116"/>
      <c r="Y83" s="1116"/>
      <c r="Z83" s="1116"/>
      <c r="AA83" s="1116"/>
      <c r="AB83" s="1116">
        <v>0.22503429999999999</v>
      </c>
      <c r="AC83" s="1116"/>
      <c r="AD83" s="1116">
        <v>0.83597460000000001</v>
      </c>
      <c r="AE83" s="1116"/>
      <c r="AF83" s="1116">
        <v>3.5702900000000003E-2</v>
      </c>
      <c r="AG83" s="1116"/>
      <c r="AH83" s="1116"/>
      <c r="AI83" s="1116"/>
    </row>
    <row r="84" spans="1:35" ht="15">
      <c r="A84" s="1116" t="s">
        <v>1220</v>
      </c>
      <c r="B84" s="1116">
        <v>55.457491400000002</v>
      </c>
      <c r="C84" s="1116">
        <v>2.3773300000000001E-2</v>
      </c>
      <c r="D84" s="1116">
        <v>13.232744500000001</v>
      </c>
      <c r="E84" s="1116"/>
      <c r="F84" s="1116">
        <v>5.3193087999999999</v>
      </c>
      <c r="G84" s="1116"/>
      <c r="H84" s="1116"/>
      <c r="I84" s="1116"/>
      <c r="J84" s="1116">
        <v>1.3591046</v>
      </c>
      <c r="K84" s="1116">
        <v>0.8031507</v>
      </c>
      <c r="L84" s="1116"/>
      <c r="M84" s="1116"/>
      <c r="N84" s="1116">
        <v>1.7992226</v>
      </c>
      <c r="O84" s="1116"/>
      <c r="P84" s="1116">
        <v>10.003356399999999</v>
      </c>
      <c r="Q84" s="1116"/>
      <c r="R84" s="1116"/>
      <c r="S84" s="1116">
        <v>16.625034500000002</v>
      </c>
      <c r="T84" s="1116">
        <v>28.1158459</v>
      </c>
      <c r="U84" s="1116">
        <v>2.6448885999999998</v>
      </c>
      <c r="V84" s="1116">
        <v>5.90252E-2</v>
      </c>
      <c r="W84" s="1116">
        <v>83.765419800000004</v>
      </c>
      <c r="X84" s="1116"/>
      <c r="Y84" s="1116">
        <v>12.991156699999999</v>
      </c>
      <c r="Z84" s="1116">
        <v>1.01983E-2</v>
      </c>
      <c r="AA84" s="1116"/>
      <c r="AB84" s="1116">
        <v>0.2499248</v>
      </c>
      <c r="AC84" s="1116">
        <v>26.948005299999998</v>
      </c>
      <c r="AD84" s="1116">
        <v>26.472704</v>
      </c>
      <c r="AE84" s="1116"/>
      <c r="AF84" s="1116">
        <v>7.2883000000000002E-3</v>
      </c>
      <c r="AG84" s="1116"/>
      <c r="AH84" s="1116"/>
      <c r="AI84" s="1116">
        <v>12.8926078</v>
      </c>
    </row>
    <row r="85" spans="1:35" ht="15">
      <c r="A85" s="1116" t="s">
        <v>1240</v>
      </c>
      <c r="B85" s="1116">
        <v>0.87443579999999999</v>
      </c>
      <c r="C85" s="1116"/>
      <c r="D85" s="1116"/>
      <c r="E85" s="1116"/>
      <c r="F85" s="1116"/>
      <c r="G85" s="1116"/>
      <c r="H85" s="1116">
        <v>0</v>
      </c>
      <c r="I85" s="1116"/>
      <c r="J85" s="1116">
        <v>16.7803811</v>
      </c>
      <c r="K85" s="1116">
        <v>0.49072290000000002</v>
      </c>
      <c r="L85" s="1116">
        <v>1.9999999999999999E-7</v>
      </c>
      <c r="M85" s="1116">
        <v>0.44665120000000003</v>
      </c>
      <c r="N85" s="1116">
        <v>0.15635560000000001</v>
      </c>
      <c r="O85" s="1116"/>
      <c r="P85" s="1116">
        <v>1.3823426999999999</v>
      </c>
      <c r="Q85" s="1116"/>
      <c r="R85" s="1116"/>
      <c r="S85" s="1116">
        <v>0.76899309999999998</v>
      </c>
      <c r="T85" s="1116">
        <v>2.2548664</v>
      </c>
      <c r="U85" s="1116">
        <v>1.53624E-2</v>
      </c>
      <c r="V85" s="1116"/>
      <c r="W85" s="1116">
        <v>16.283050899999999</v>
      </c>
      <c r="X85" s="1116"/>
      <c r="Y85" s="1116"/>
      <c r="Z85" s="1116">
        <v>1.3301320999999999</v>
      </c>
      <c r="AA85" s="1116"/>
      <c r="AB85" s="1116">
        <v>0.110735</v>
      </c>
      <c r="AC85" s="1116">
        <v>1.4763926999999999</v>
      </c>
      <c r="AD85" s="1116">
        <v>1.3651099999999999E-2</v>
      </c>
      <c r="AE85" s="1116"/>
      <c r="AF85" s="1116"/>
      <c r="AG85" s="1116"/>
      <c r="AH85" s="1116"/>
      <c r="AI85" s="1116"/>
    </row>
    <row r="86" spans="1:35" ht="15">
      <c r="A86" s="1116" t="s">
        <v>1255</v>
      </c>
      <c r="B86" s="1116">
        <v>24.299644099999998</v>
      </c>
      <c r="C86" s="1116"/>
      <c r="D86" s="1116"/>
      <c r="E86" s="1116"/>
      <c r="F86" s="1116"/>
      <c r="G86" s="1116"/>
      <c r="H86" s="1116">
        <v>5.4133800000000003E-2</v>
      </c>
      <c r="I86" s="1116"/>
      <c r="J86" s="1116"/>
      <c r="K86" s="1116">
        <v>0.79741320000000004</v>
      </c>
      <c r="L86" s="1116"/>
      <c r="M86" s="1116"/>
      <c r="N86" s="1116">
        <v>9.9400000000000004E-5</v>
      </c>
      <c r="O86" s="1116"/>
      <c r="P86" s="1116">
        <v>0.26952979999999999</v>
      </c>
      <c r="Q86" s="1116"/>
      <c r="R86" s="1116"/>
      <c r="S86" s="1116">
        <v>1.47356</v>
      </c>
      <c r="T86" s="1116">
        <v>6.3798022000000003</v>
      </c>
      <c r="U86" s="1116">
        <v>0.36385709999999999</v>
      </c>
      <c r="V86" s="1116"/>
      <c r="W86" s="1116">
        <v>26.2025659</v>
      </c>
      <c r="X86" s="1116"/>
      <c r="Y86" s="1116">
        <v>2.4283077999999998</v>
      </c>
      <c r="Z86" s="1116">
        <v>1.0380976</v>
      </c>
      <c r="AA86" s="1116"/>
      <c r="AB86" s="1116">
        <v>0.34961209999999998</v>
      </c>
      <c r="AC86" s="1116">
        <v>4.5652647000000002</v>
      </c>
      <c r="AD86" s="1116">
        <v>4.7072123000000001</v>
      </c>
      <c r="AE86" s="1116"/>
      <c r="AF86" s="1116">
        <v>6.3159499999999993E-2</v>
      </c>
      <c r="AG86" s="1116"/>
      <c r="AH86" s="1116"/>
      <c r="AI86" s="1116"/>
    </row>
    <row r="87" spans="1:35" ht="15">
      <c r="A87" s="1116" t="s">
        <v>1256</v>
      </c>
      <c r="B87" s="1116">
        <v>32.987607099999998</v>
      </c>
      <c r="C87" s="1116"/>
      <c r="D87" s="1116"/>
      <c r="E87" s="1116"/>
      <c r="F87" s="1116"/>
      <c r="G87" s="1116"/>
      <c r="H87" s="1116">
        <v>1.1225512</v>
      </c>
      <c r="I87" s="1116"/>
      <c r="J87" s="1116">
        <v>13.449838400000001</v>
      </c>
      <c r="K87" s="1116"/>
      <c r="L87" s="1116"/>
      <c r="M87" s="1116"/>
      <c r="N87" s="1116">
        <v>0.30033080000000001</v>
      </c>
      <c r="O87" s="1116"/>
      <c r="P87" s="1116"/>
      <c r="Q87" s="1116"/>
      <c r="R87" s="1116"/>
      <c r="S87" s="1116">
        <v>1.5403643</v>
      </c>
      <c r="T87" s="1116">
        <v>6.0401151999999998</v>
      </c>
      <c r="U87" s="1116">
        <v>2.5899999999999999E-5</v>
      </c>
      <c r="V87" s="1116"/>
      <c r="W87" s="1116">
        <v>0.40958889999999998</v>
      </c>
      <c r="X87" s="1116"/>
      <c r="Y87" s="1116">
        <v>35.645003899999999</v>
      </c>
      <c r="Z87" s="1116">
        <v>7.3591799999999999E-2</v>
      </c>
      <c r="AA87" s="1116"/>
      <c r="AB87" s="1116">
        <v>5.2300597</v>
      </c>
      <c r="AC87" s="1116">
        <v>2.9595590999999999</v>
      </c>
      <c r="AD87" s="1116">
        <v>3.6727286000000001</v>
      </c>
      <c r="AE87" s="1116"/>
      <c r="AF87" s="1116"/>
      <c r="AG87" s="1116"/>
      <c r="AH87" s="1116"/>
      <c r="AI87" s="1116"/>
    </row>
    <row r="88" spans="1:35" ht="15">
      <c r="A88" s="1116" t="s">
        <v>1268</v>
      </c>
      <c r="B88" s="1116">
        <v>0.11845219999999999</v>
      </c>
      <c r="C88" s="1116"/>
      <c r="D88" s="1116"/>
      <c r="E88" s="1116"/>
      <c r="F88" s="1116"/>
      <c r="G88" s="1116">
        <v>4.1839999999999998E-4</v>
      </c>
      <c r="H88" s="1116">
        <v>18.421858100000001</v>
      </c>
      <c r="I88" s="1116"/>
      <c r="J88" s="1116"/>
      <c r="K88" s="1116"/>
      <c r="L88" s="1116">
        <v>3.1920000000000001E-4</v>
      </c>
      <c r="M88" s="1116"/>
      <c r="N88" s="1116"/>
      <c r="O88" s="1116"/>
      <c r="P88" s="1116">
        <v>4.4967E-2</v>
      </c>
      <c r="Q88" s="1116"/>
      <c r="R88" s="1116"/>
      <c r="S88" s="1116"/>
      <c r="T88" s="1116">
        <v>2.5325668000000001</v>
      </c>
      <c r="U88" s="1116"/>
      <c r="V88" s="1116"/>
      <c r="W88" s="1116">
        <v>16.112659000000001</v>
      </c>
      <c r="X88" s="1116"/>
      <c r="Y88" s="1116"/>
      <c r="Z88" s="1116">
        <v>1.12579E-2</v>
      </c>
      <c r="AA88" s="1116"/>
      <c r="AB88" s="1116">
        <v>0.49555529999999998</v>
      </c>
      <c r="AC88" s="1116">
        <v>6.2205099999999999E-2</v>
      </c>
      <c r="AD88" s="1116">
        <v>0.35001919999999997</v>
      </c>
      <c r="AE88" s="1116"/>
      <c r="AF88" s="1116"/>
      <c r="AG88" s="1116"/>
      <c r="AH88" s="1116"/>
      <c r="AI88" s="1116"/>
    </row>
    <row r="89" spans="1:35" ht="15">
      <c r="A89" s="1116" t="s">
        <v>1269</v>
      </c>
      <c r="B89" s="1116">
        <v>0.74050749999999999</v>
      </c>
      <c r="C89" s="1116"/>
      <c r="D89" s="1116">
        <v>9.5449999999999997E-3</v>
      </c>
      <c r="E89" s="1116"/>
      <c r="F89" s="1116"/>
      <c r="G89" s="1116"/>
      <c r="H89" s="1116">
        <v>39.832456399999998</v>
      </c>
      <c r="I89" s="1116">
        <v>0.6793344</v>
      </c>
      <c r="J89" s="1116"/>
      <c r="K89" s="1116"/>
      <c r="L89" s="1116"/>
      <c r="M89" s="1116"/>
      <c r="N89" s="1116"/>
      <c r="O89" s="1116"/>
      <c r="P89" s="1116"/>
      <c r="Q89" s="1116"/>
      <c r="R89" s="1116"/>
      <c r="S89" s="1116"/>
      <c r="T89" s="1116"/>
      <c r="U89" s="1116"/>
      <c r="V89" s="1116"/>
      <c r="W89" s="1116">
        <v>19.461375</v>
      </c>
      <c r="X89" s="1116"/>
      <c r="Y89" s="1116"/>
      <c r="Z89" s="1116"/>
      <c r="AA89" s="1116"/>
      <c r="AB89" s="1116"/>
      <c r="AC89" s="1116">
        <v>4.3410700000000003E-2</v>
      </c>
      <c r="AD89" s="1116">
        <v>3.8936600000000002E-2</v>
      </c>
      <c r="AE89" s="1116"/>
      <c r="AF89" s="1116"/>
      <c r="AG89" s="1116"/>
      <c r="AH89" s="1116"/>
      <c r="AI89" s="1116"/>
    </row>
    <row r="90" spans="1:35" ht="15">
      <c r="A90" s="1116" t="s">
        <v>1291</v>
      </c>
      <c r="B90" s="1116">
        <v>0.99940450000000003</v>
      </c>
      <c r="C90" s="1116"/>
      <c r="D90" s="1116"/>
      <c r="E90" s="1116"/>
      <c r="F90" s="1116">
        <v>0.82862579999999997</v>
      </c>
      <c r="G90" s="1116"/>
      <c r="H90" s="1116">
        <v>1.894E-4</v>
      </c>
      <c r="I90" s="1116">
        <v>3.01062E-2</v>
      </c>
      <c r="J90" s="1116">
        <v>52.051814899999997</v>
      </c>
      <c r="K90" s="1116"/>
      <c r="L90" s="1116"/>
      <c r="M90" s="1116"/>
      <c r="N90" s="1116"/>
      <c r="O90" s="1116"/>
      <c r="P90" s="1116"/>
      <c r="Q90" s="1116"/>
      <c r="R90" s="1116"/>
      <c r="S90" s="1116">
        <v>2.4161E-3</v>
      </c>
      <c r="T90" s="1116">
        <v>4.4100800000000002E-2</v>
      </c>
      <c r="U90" s="1116">
        <v>4.7506199999999998E-2</v>
      </c>
      <c r="V90" s="1116"/>
      <c r="W90" s="1116">
        <v>17.408771900000001</v>
      </c>
      <c r="X90" s="1116"/>
      <c r="Y90" s="1116">
        <v>5.84784E-2</v>
      </c>
      <c r="Z90" s="1116"/>
      <c r="AA90" s="1116"/>
      <c r="AB90" s="1116">
        <v>9.7479999999999995E-4</v>
      </c>
      <c r="AC90" s="1116">
        <v>1.7259500000000001E-2</v>
      </c>
      <c r="AD90" s="1116">
        <v>0.10063850000000001</v>
      </c>
      <c r="AE90" s="1116"/>
      <c r="AF90" s="1116">
        <v>3.2393000000000001E-3</v>
      </c>
      <c r="AG90" s="1116"/>
      <c r="AH90" s="1116"/>
      <c r="AI90" s="1116">
        <v>0.15892980000000001</v>
      </c>
    </row>
    <row r="91" spans="1:35" ht="15">
      <c r="A91" s="1116" t="s">
        <v>1278</v>
      </c>
      <c r="B91" s="1116">
        <v>1.3100199999999999E-2</v>
      </c>
      <c r="C91" s="1116"/>
      <c r="D91" s="1116"/>
      <c r="E91" s="1116"/>
      <c r="F91" s="1116"/>
      <c r="G91" s="1116">
        <v>2.0307162000000001</v>
      </c>
      <c r="H91" s="1116">
        <v>0.3068959</v>
      </c>
      <c r="I91" s="1116"/>
      <c r="J91" s="1116">
        <v>0.72606130000000002</v>
      </c>
      <c r="K91" s="1116"/>
      <c r="L91" s="1116"/>
      <c r="M91" s="1116">
        <v>0.13980609999999999</v>
      </c>
      <c r="N91" s="1116">
        <v>0.26295629999999998</v>
      </c>
      <c r="O91" s="1116">
        <v>0.30862410000000001</v>
      </c>
      <c r="P91" s="1116"/>
      <c r="Q91" s="1116"/>
      <c r="R91" s="1116"/>
      <c r="S91" s="1116">
        <v>0.31587939999999998</v>
      </c>
      <c r="T91" s="1116">
        <v>0.68361249999999996</v>
      </c>
      <c r="U91" s="1116"/>
      <c r="V91" s="1116"/>
      <c r="W91" s="1116">
        <v>11.6716707</v>
      </c>
      <c r="X91" s="1116"/>
      <c r="Y91" s="1116">
        <v>0.11941069999999999</v>
      </c>
      <c r="Z91" s="1116">
        <v>0.12657669999999999</v>
      </c>
      <c r="AA91" s="1116">
        <v>0.15183369999999999</v>
      </c>
      <c r="AB91" s="1116">
        <v>8.5433499999999996E-2</v>
      </c>
      <c r="AC91" s="1116">
        <v>7.5532299999999997E-2</v>
      </c>
      <c r="AD91" s="1116">
        <v>0.39156609999999997</v>
      </c>
      <c r="AE91" s="1116"/>
      <c r="AF91" s="1116"/>
      <c r="AG91" s="1116"/>
      <c r="AH91" s="1116"/>
      <c r="AI91" s="1116"/>
    </row>
    <row r="92" spans="1:35" ht="15">
      <c r="A92" s="1116" t="s">
        <v>1301</v>
      </c>
      <c r="B92" s="1116">
        <v>0.45755410000000002</v>
      </c>
      <c r="C92" s="1116"/>
      <c r="D92" s="1116">
        <v>9.8481000000000003E-3</v>
      </c>
      <c r="E92" s="1116"/>
      <c r="F92" s="1116"/>
      <c r="G92" s="1116"/>
      <c r="H92" s="1116">
        <v>0.13240940000000001</v>
      </c>
      <c r="I92" s="1116">
        <v>32.360511700000004</v>
      </c>
      <c r="J92" s="1116">
        <v>2.0496112000000002</v>
      </c>
      <c r="K92" s="1116"/>
      <c r="L92" s="1116"/>
      <c r="M92" s="1116"/>
      <c r="N92" s="1116">
        <v>8.4501999999999997E-3</v>
      </c>
      <c r="O92" s="1116"/>
      <c r="P92" s="1116"/>
      <c r="Q92" s="1116"/>
      <c r="R92" s="1116"/>
      <c r="S92" s="1116"/>
      <c r="T92" s="1116">
        <v>1.0900669999999999</v>
      </c>
      <c r="U92" s="1116">
        <v>3.2148599999999999E-2</v>
      </c>
      <c r="V92" s="1116"/>
      <c r="W92" s="1116">
        <v>102.05411290000001</v>
      </c>
      <c r="X92" s="1116"/>
      <c r="Y92" s="1116"/>
      <c r="Z92" s="1116">
        <v>0.1105145</v>
      </c>
      <c r="AA92" s="1116"/>
      <c r="AB92" s="1116">
        <v>0.73991099999999999</v>
      </c>
      <c r="AC92" s="1116">
        <v>7.9445600000000005E-2</v>
      </c>
      <c r="AD92" s="1116">
        <v>1.4854871000000001</v>
      </c>
      <c r="AE92" s="1116"/>
      <c r="AF92" s="1116"/>
      <c r="AG92" s="1116"/>
      <c r="AH92" s="1116"/>
      <c r="AI92" s="1116"/>
    </row>
    <row r="93" spans="1:35" ht="15">
      <c r="A93" s="1116" t="s">
        <v>1306</v>
      </c>
      <c r="B93" s="1116"/>
      <c r="C93" s="1116"/>
      <c r="D93" s="1116"/>
      <c r="E93" s="1116"/>
      <c r="F93" s="1116"/>
      <c r="G93" s="1116"/>
      <c r="H93" s="1116">
        <v>0.39642620000000001</v>
      </c>
      <c r="I93" s="1116">
        <v>0.2476014</v>
      </c>
      <c r="J93" s="1116">
        <v>7.4172954999999998</v>
      </c>
      <c r="K93" s="1116"/>
      <c r="L93" s="1116"/>
      <c r="M93" s="1116"/>
      <c r="N93" s="1116"/>
      <c r="O93" s="1116"/>
      <c r="P93" s="1116"/>
      <c r="Q93" s="1116"/>
      <c r="R93" s="1116"/>
      <c r="S93" s="1116">
        <v>0.22317989999999999</v>
      </c>
      <c r="T93" s="1116"/>
      <c r="U93" s="1116"/>
      <c r="V93" s="1116"/>
      <c r="W93" s="1116"/>
      <c r="X93" s="1116"/>
      <c r="Y93" s="1116"/>
      <c r="Z93" s="1116"/>
      <c r="AA93" s="1116"/>
      <c r="AB93" s="1116">
        <v>7.0980000000000001E-3</v>
      </c>
      <c r="AC93" s="1116"/>
      <c r="AD93" s="1116">
        <v>1.7251699999999998E-2</v>
      </c>
      <c r="AE93" s="1116"/>
      <c r="AF93" s="1116"/>
      <c r="AG93" s="1116"/>
      <c r="AH93" s="1116"/>
      <c r="AI93" s="1116"/>
    </row>
    <row r="94" spans="1:35" ht="15">
      <c r="A94" s="1116" t="s">
        <v>1311</v>
      </c>
      <c r="B94" s="1116">
        <v>5.5478795999999999</v>
      </c>
      <c r="C94" s="1116"/>
      <c r="D94" s="1116"/>
      <c r="E94" s="1116"/>
      <c r="F94" s="1116"/>
      <c r="G94" s="1116">
        <v>0.28687059999999998</v>
      </c>
      <c r="H94" s="1116">
        <v>21.7745575</v>
      </c>
      <c r="I94" s="1116"/>
      <c r="J94" s="1116">
        <v>133.9673262</v>
      </c>
      <c r="K94" s="1116"/>
      <c r="L94" s="1116">
        <v>0.49844840000000001</v>
      </c>
      <c r="M94" s="1116"/>
      <c r="N94" s="1116">
        <v>2.2465546999999999</v>
      </c>
      <c r="O94" s="1116">
        <v>0.66880450000000002</v>
      </c>
      <c r="P94" s="1116">
        <v>1.373413</v>
      </c>
      <c r="Q94" s="1116"/>
      <c r="R94" s="1116"/>
      <c r="S94" s="1116">
        <v>0.90752699999999997</v>
      </c>
      <c r="T94" s="1116">
        <v>12.022894300000001</v>
      </c>
      <c r="U94" s="1116">
        <v>3.9550500000000002E-2</v>
      </c>
      <c r="V94" s="1116">
        <v>0.5011023</v>
      </c>
      <c r="W94" s="1116">
        <v>21.817028400000002</v>
      </c>
      <c r="X94" s="1116"/>
      <c r="Y94" s="1116">
        <v>4.2183405</v>
      </c>
      <c r="Z94" s="1116">
        <v>22.257399899999999</v>
      </c>
      <c r="AA94" s="1116"/>
      <c r="AB94" s="1116">
        <v>1.1859359</v>
      </c>
      <c r="AC94" s="1116">
        <v>2.9332883000000001</v>
      </c>
      <c r="AD94" s="1116">
        <v>5.3501433</v>
      </c>
      <c r="AE94" s="1116"/>
      <c r="AF94" s="1116">
        <v>3.0645042999999998</v>
      </c>
      <c r="AG94" s="1116">
        <v>3.2471128999999999</v>
      </c>
      <c r="AH94" s="1116">
        <v>3.5355637</v>
      </c>
      <c r="AI94" s="1116"/>
    </row>
    <row r="95" spans="1:35" ht="15">
      <c r="A95" s="1116" t="s">
        <v>1316</v>
      </c>
      <c r="B95" s="1116"/>
      <c r="C95" s="1116"/>
      <c r="D95" s="1116"/>
      <c r="E95" s="1116"/>
      <c r="F95" s="1116">
        <v>5.3178000000000001E-3</v>
      </c>
      <c r="G95" s="1116"/>
      <c r="H95" s="1116">
        <v>6.4915159999999998</v>
      </c>
      <c r="I95" s="1116">
        <v>1.4532967999999999</v>
      </c>
      <c r="J95" s="1116"/>
      <c r="K95" s="1116"/>
      <c r="L95" s="1116">
        <v>9.1073600000000005E-2</v>
      </c>
      <c r="M95" s="1116"/>
      <c r="N95" s="1116"/>
      <c r="O95" s="1116"/>
      <c r="P95" s="1116">
        <v>1.6320000000000001E-4</v>
      </c>
      <c r="Q95" s="1116"/>
      <c r="R95" s="1116"/>
      <c r="S95" s="1116">
        <v>0.90773780000000004</v>
      </c>
      <c r="T95" s="1116">
        <v>1.3507735000000001</v>
      </c>
      <c r="U95" s="1116"/>
      <c r="V95" s="1116"/>
      <c r="W95" s="1116">
        <v>42.8794374</v>
      </c>
      <c r="X95" s="1116"/>
      <c r="Y95" s="1116">
        <v>0.21247279999999999</v>
      </c>
      <c r="Z95" s="1116"/>
      <c r="AA95" s="1116"/>
      <c r="AB95" s="1116">
        <v>0.47650969999999998</v>
      </c>
      <c r="AC95" s="1116">
        <v>0.1733798</v>
      </c>
      <c r="AD95" s="1116">
        <v>0.55765149999999997</v>
      </c>
      <c r="AE95" s="1116"/>
      <c r="AF95" s="1116"/>
      <c r="AG95" s="1116"/>
      <c r="AH95" s="1116">
        <v>9.0192999999999992E-3</v>
      </c>
      <c r="AI95" s="1116">
        <v>0.4187187</v>
      </c>
    </row>
    <row r="96" spans="1:35" ht="15">
      <c r="A96" s="1116" t="s">
        <v>1320</v>
      </c>
      <c r="B96" s="1116"/>
      <c r="C96" s="1116"/>
      <c r="D96" s="1116"/>
      <c r="E96" s="1116"/>
      <c r="F96" s="1116"/>
      <c r="G96" s="1116"/>
      <c r="H96" s="1116">
        <v>3.6638185999999999</v>
      </c>
      <c r="I96" s="1116"/>
      <c r="J96" s="1116"/>
      <c r="K96" s="1116"/>
      <c r="L96" s="1116"/>
      <c r="M96" s="1116"/>
      <c r="N96" s="1116">
        <v>1.7E-5</v>
      </c>
      <c r="O96" s="1116"/>
      <c r="P96" s="1116"/>
      <c r="Q96" s="1116"/>
      <c r="R96" s="1116"/>
      <c r="S96" s="1116"/>
      <c r="T96" s="1116">
        <v>1.4399999999999999E-5</v>
      </c>
      <c r="U96" s="1116">
        <v>1.293148</v>
      </c>
      <c r="V96" s="1116"/>
      <c r="W96" s="1116">
        <v>27.946510199999999</v>
      </c>
      <c r="X96" s="1116"/>
      <c r="Y96" s="1116">
        <v>0.1040394</v>
      </c>
      <c r="Z96" s="1116"/>
      <c r="AA96" s="1116"/>
      <c r="AB96" s="1116">
        <v>0.15095339999999999</v>
      </c>
      <c r="AC96" s="1116">
        <v>9.5049999999999996E-4</v>
      </c>
      <c r="AD96" s="1116">
        <v>1.0172239000000001</v>
      </c>
      <c r="AE96" s="1116"/>
      <c r="AF96" s="1116"/>
      <c r="AG96" s="1116"/>
      <c r="AH96" s="1116"/>
      <c r="AI96" s="1116"/>
    </row>
    <row r="97" spans="1:35" ht="15">
      <c r="A97" s="1116" t="s">
        <v>1325</v>
      </c>
      <c r="B97" s="1116">
        <v>7.5269630999999997</v>
      </c>
      <c r="C97" s="1116"/>
      <c r="D97" s="1116"/>
      <c r="E97" s="1116"/>
      <c r="F97" s="1116"/>
      <c r="G97" s="1116">
        <v>1.2294966000000001</v>
      </c>
      <c r="H97" s="1116">
        <v>0.27233180000000001</v>
      </c>
      <c r="I97" s="1116">
        <v>1.0203800000000001E-2</v>
      </c>
      <c r="J97" s="1116">
        <v>10.079248400000001</v>
      </c>
      <c r="K97" s="1116"/>
      <c r="L97" s="1116">
        <v>8.1407597999999997</v>
      </c>
      <c r="M97" s="1116"/>
      <c r="N97" s="1116"/>
      <c r="O97" s="1116"/>
      <c r="P97" s="1116"/>
      <c r="Q97" s="1116"/>
      <c r="R97" s="1116"/>
      <c r="S97" s="1116"/>
      <c r="T97" s="1116">
        <v>11.7798067</v>
      </c>
      <c r="U97" s="1116">
        <v>0.1269537</v>
      </c>
      <c r="V97" s="1116"/>
      <c r="W97" s="1116">
        <v>21.7789036</v>
      </c>
      <c r="X97" s="1116"/>
      <c r="Y97" s="1116">
        <v>0.23401060000000001</v>
      </c>
      <c r="Z97" s="1116">
        <v>0.1776055</v>
      </c>
      <c r="AA97" s="1116"/>
      <c r="AB97" s="1116">
        <v>0.1026159</v>
      </c>
      <c r="AC97" s="1116">
        <v>5.6884826000000004</v>
      </c>
      <c r="AD97" s="1116">
        <v>1.1396615999999999</v>
      </c>
      <c r="AE97" s="1116"/>
      <c r="AF97" s="1116"/>
      <c r="AG97" s="1116"/>
      <c r="AH97" s="1116"/>
      <c r="AI97" s="1116"/>
    </row>
    <row r="98" spans="1:35" ht="15">
      <c r="A98" s="1116" t="s">
        <v>1330</v>
      </c>
      <c r="B98" s="1116"/>
      <c r="C98" s="1116"/>
      <c r="D98" s="1116"/>
      <c r="E98" s="1116"/>
      <c r="F98" s="1116"/>
      <c r="G98" s="1116"/>
      <c r="H98" s="1116">
        <v>100.1772691</v>
      </c>
      <c r="I98" s="1116"/>
      <c r="J98" s="1116"/>
      <c r="K98" s="1116"/>
      <c r="L98" s="1116"/>
      <c r="M98" s="1116"/>
      <c r="N98" s="1116"/>
      <c r="O98" s="1116"/>
      <c r="P98" s="1116"/>
      <c r="Q98" s="1116"/>
      <c r="R98" s="1116"/>
      <c r="S98" s="1116"/>
      <c r="T98" s="1116">
        <v>0.64067529999999995</v>
      </c>
      <c r="U98" s="1116"/>
      <c r="V98" s="1116"/>
      <c r="W98" s="1116">
        <v>28.520165599999999</v>
      </c>
      <c r="X98" s="1116"/>
      <c r="Y98" s="1116"/>
      <c r="Z98" s="1116"/>
      <c r="AA98" s="1116"/>
      <c r="AB98" s="1116">
        <v>1.97851E-2</v>
      </c>
      <c r="AC98" s="1116"/>
      <c r="AD98" s="1116">
        <v>7.7337199999999995E-2</v>
      </c>
      <c r="AE98" s="1116"/>
      <c r="AF98" s="1116"/>
      <c r="AG98" s="1116"/>
      <c r="AH98" s="1116"/>
      <c r="AI98" s="1116"/>
    </row>
    <row r="99" spans="1:35" ht="15">
      <c r="A99" s="1116" t="s">
        <v>1349</v>
      </c>
      <c r="B99" s="1116">
        <v>4.0951978000000002</v>
      </c>
      <c r="C99" s="1116">
        <v>0.1741579</v>
      </c>
      <c r="D99" s="1116"/>
      <c r="E99" s="1116"/>
      <c r="F99" s="1116">
        <v>0.23497609999999999</v>
      </c>
      <c r="G99" s="1116"/>
      <c r="H99" s="1116">
        <v>3.4840987999999999</v>
      </c>
      <c r="I99" s="1116"/>
      <c r="J99" s="1116">
        <v>1.540497</v>
      </c>
      <c r="K99" s="1116"/>
      <c r="L99" s="1116">
        <v>0.25463849999999999</v>
      </c>
      <c r="M99" s="1116"/>
      <c r="N99" s="1116">
        <v>0.37318380000000001</v>
      </c>
      <c r="O99" s="1116"/>
      <c r="P99" s="1116"/>
      <c r="Q99" s="1116"/>
      <c r="R99" s="1116"/>
      <c r="S99" s="1116">
        <v>0.33496999999999999</v>
      </c>
      <c r="T99" s="1116">
        <v>1.3934926999999999</v>
      </c>
      <c r="U99" s="1116"/>
      <c r="V99" s="1116"/>
      <c r="W99" s="1116">
        <v>0.1940182</v>
      </c>
      <c r="X99" s="1116"/>
      <c r="Y99" s="1116">
        <v>1.1766932999999999</v>
      </c>
      <c r="Z99" s="1116"/>
      <c r="AA99" s="1116"/>
      <c r="AB99" s="1116"/>
      <c r="AC99" s="1116">
        <v>0.76404519999999998</v>
      </c>
      <c r="AD99" s="1116">
        <v>0.82661209999999996</v>
      </c>
      <c r="AE99" s="1116"/>
      <c r="AF99" s="1116"/>
      <c r="AG99" s="1116"/>
      <c r="AH99" s="1116">
        <v>1.1410795</v>
      </c>
      <c r="AI99" s="1116"/>
    </row>
    <row r="100" spans="1:35" ht="15">
      <c r="A100" s="1116" t="s">
        <v>1366</v>
      </c>
      <c r="B100" s="1116">
        <v>2.4065037</v>
      </c>
      <c r="C100" s="1116"/>
      <c r="D100" s="1116"/>
      <c r="E100" s="1116"/>
      <c r="F100" s="1116"/>
      <c r="G100" s="1116"/>
      <c r="H100" s="1116">
        <v>45.595413399999998</v>
      </c>
      <c r="I100" s="1116"/>
      <c r="J100" s="1116">
        <v>4.5150100999999996</v>
      </c>
      <c r="K100" s="1116"/>
      <c r="L100" s="1116"/>
      <c r="M100" s="1116"/>
      <c r="N100" s="1116"/>
      <c r="O100" s="1116"/>
      <c r="P100" s="1116"/>
      <c r="Q100" s="1116"/>
      <c r="R100" s="1116"/>
      <c r="S100" s="1116"/>
      <c r="T100" s="1116">
        <v>1.3993420999999999</v>
      </c>
      <c r="U100" s="1116"/>
      <c r="V100" s="1116"/>
      <c r="W100" s="1116">
        <v>25.512687100000001</v>
      </c>
      <c r="X100" s="1116"/>
      <c r="Y100" s="1116"/>
      <c r="Z100" s="1116">
        <v>0.16706770000000001</v>
      </c>
      <c r="AA100" s="1116"/>
      <c r="AB100" s="1116">
        <v>6.5571900000000002E-2</v>
      </c>
      <c r="AC100" s="1116">
        <v>0.47162579999999998</v>
      </c>
      <c r="AD100" s="1116">
        <v>0.27667249999999999</v>
      </c>
      <c r="AE100" s="1116"/>
      <c r="AF100" s="1116"/>
      <c r="AG100" s="1116"/>
      <c r="AH100" s="1116"/>
      <c r="AI100" s="1116"/>
    </row>
    <row r="101" spans="1:35" ht="15">
      <c r="A101" s="1116" t="s">
        <v>1383</v>
      </c>
      <c r="B101" s="1116">
        <v>3.704E-4</v>
      </c>
      <c r="C101" s="1116"/>
      <c r="D101" s="1116"/>
      <c r="E101" s="1116"/>
      <c r="F101" s="1116"/>
      <c r="G101" s="1116"/>
      <c r="H101" s="1116"/>
      <c r="I101" s="1116"/>
      <c r="J101" s="1116"/>
      <c r="K101" s="1116"/>
      <c r="L101" s="1116"/>
      <c r="M101" s="1116"/>
      <c r="N101" s="1116"/>
      <c r="O101" s="1116"/>
      <c r="P101" s="1116"/>
      <c r="Q101" s="1116"/>
      <c r="R101" s="1116"/>
      <c r="S101" s="1116">
        <v>4.2309300000000001E-2</v>
      </c>
      <c r="T101" s="1116">
        <v>0.1625857</v>
      </c>
      <c r="U101" s="1116"/>
      <c r="V101" s="1116"/>
      <c r="W101" s="1116">
        <v>31.755218500000002</v>
      </c>
      <c r="X101" s="1116"/>
      <c r="Y101" s="1116">
        <v>0.30762390000000001</v>
      </c>
      <c r="Z101" s="1116">
        <v>7.2799999999999994E-5</v>
      </c>
      <c r="AA101" s="1116"/>
      <c r="AB101" s="1116">
        <v>7.7109800000000006E-2</v>
      </c>
      <c r="AC101" s="1116">
        <v>5.3695000000000001E-3</v>
      </c>
      <c r="AD101" s="1116">
        <v>1.0858243999999999</v>
      </c>
      <c r="AE101" s="1116"/>
      <c r="AF101" s="1116"/>
      <c r="AG101" s="1116">
        <v>4.1938499999999997E-2</v>
      </c>
      <c r="AH101" s="1116"/>
      <c r="AI101" s="1116">
        <v>1.7798E-3</v>
      </c>
    </row>
    <row r="102" spans="1:35" ht="15">
      <c r="A102" s="1116" t="s">
        <v>1390</v>
      </c>
      <c r="B102" s="1116">
        <v>0.48810959999999998</v>
      </c>
      <c r="C102" s="1116"/>
      <c r="D102" s="1116">
        <v>2.1769424000000002</v>
      </c>
      <c r="E102" s="1116"/>
      <c r="F102" s="1116">
        <v>1.4260074</v>
      </c>
      <c r="G102" s="1116"/>
      <c r="H102" s="1116"/>
      <c r="I102" s="1116"/>
      <c r="J102" s="1116">
        <v>0.32891920000000002</v>
      </c>
      <c r="K102" s="1116">
        <v>8.9555800000000005E-2</v>
      </c>
      <c r="L102" s="1116"/>
      <c r="M102" s="1116">
        <v>0.37975619999999999</v>
      </c>
      <c r="N102" s="1116"/>
      <c r="O102" s="1116">
        <v>8.83993E-2</v>
      </c>
      <c r="P102" s="1116"/>
      <c r="Q102" s="1116"/>
      <c r="R102" s="1116"/>
      <c r="S102" s="1116">
        <v>0.31176179999999998</v>
      </c>
      <c r="T102" s="1116">
        <v>3.3595372999999999</v>
      </c>
      <c r="U102" s="1116"/>
      <c r="V102" s="1116"/>
      <c r="W102" s="1116">
        <v>6.6178217999999998</v>
      </c>
      <c r="X102" s="1116"/>
      <c r="Y102" s="1116">
        <v>2.4689099999999999E-2</v>
      </c>
      <c r="Z102" s="1116"/>
      <c r="AA102" s="1116"/>
      <c r="AB102" s="1116">
        <v>2.0100000000000001E-3</v>
      </c>
      <c r="AC102" s="1116">
        <v>0.62855810000000001</v>
      </c>
      <c r="AD102" s="1116">
        <v>0.7027677</v>
      </c>
      <c r="AE102" s="1116"/>
      <c r="AF102" s="1116">
        <v>4.3842457000000001</v>
      </c>
      <c r="AG102" s="1116"/>
      <c r="AH102" s="1116">
        <v>8.0938999999999994E-3</v>
      </c>
      <c r="AI102" s="1116"/>
    </row>
    <row r="103" spans="1:35" ht="15">
      <c r="A103" s="1116" t="s">
        <v>1394</v>
      </c>
      <c r="B103" s="1116">
        <v>0.62096739999999995</v>
      </c>
      <c r="C103" s="1116"/>
      <c r="D103" s="1116"/>
      <c r="E103" s="1116"/>
      <c r="F103" s="1116"/>
      <c r="G103" s="1116"/>
      <c r="H103" s="1116">
        <v>0.12548599999999999</v>
      </c>
      <c r="I103" s="1116"/>
      <c r="J103" s="1116"/>
      <c r="K103" s="1116"/>
      <c r="L103" s="1116"/>
      <c r="M103" s="1116"/>
      <c r="N103" s="1116"/>
      <c r="O103" s="1116"/>
      <c r="P103" s="1116"/>
      <c r="Q103" s="1116"/>
      <c r="R103" s="1116"/>
      <c r="S103" s="1116">
        <v>6.0269999999999996E-4</v>
      </c>
      <c r="T103" s="1116">
        <v>0.86216709999999996</v>
      </c>
      <c r="U103" s="1116">
        <v>0.16285050000000001</v>
      </c>
      <c r="V103" s="1116"/>
      <c r="W103" s="1116">
        <v>31.229881899999999</v>
      </c>
      <c r="X103" s="1116"/>
      <c r="Y103" s="1116">
        <v>2.3240400000000001E-2</v>
      </c>
      <c r="Z103" s="1116">
        <v>9.1369999999999993E-3</v>
      </c>
      <c r="AA103" s="1116">
        <v>2.16072E-2</v>
      </c>
      <c r="AB103" s="1116">
        <v>1.93493E-2</v>
      </c>
      <c r="AC103" s="1116">
        <v>0.42556480000000002</v>
      </c>
      <c r="AD103" s="1116">
        <v>2.9074990999999999</v>
      </c>
      <c r="AE103" s="1116"/>
      <c r="AF103" s="1116">
        <v>3.9210957999999998</v>
      </c>
      <c r="AG103" s="1116"/>
      <c r="AH103" s="1116"/>
      <c r="AI103" s="1116"/>
    </row>
    <row r="104" spans="1:35" ht="15">
      <c r="A104" s="1116" t="s">
        <v>947</v>
      </c>
      <c r="B104" s="1116">
        <v>5.6728999999999998E-3</v>
      </c>
      <c r="C104" s="1116"/>
      <c r="D104" s="1116">
        <v>3.2078200000000001E-2</v>
      </c>
      <c r="E104" s="1116"/>
      <c r="F104" s="1116">
        <v>0.9206278</v>
      </c>
      <c r="G104" s="1116"/>
      <c r="H104" s="1116">
        <v>10.0520754</v>
      </c>
      <c r="I104" s="1116"/>
      <c r="J104" s="1116"/>
      <c r="K104" s="1116"/>
      <c r="L104" s="1116"/>
      <c r="M104" s="1116"/>
      <c r="N104" s="1116"/>
      <c r="O104" s="1116"/>
      <c r="P104" s="1116"/>
      <c r="Q104" s="1116">
        <v>7.8536700000000001E-2</v>
      </c>
      <c r="R104" s="1116"/>
      <c r="S104" s="1116">
        <v>0.1268668</v>
      </c>
      <c r="T104" s="1116">
        <v>16.501747399999999</v>
      </c>
      <c r="U104" s="1116"/>
      <c r="V104" s="1116"/>
      <c r="W104" s="1116">
        <v>46.611012799999997</v>
      </c>
      <c r="X104" s="1116"/>
      <c r="Y104" s="1116">
        <v>0.20174590000000001</v>
      </c>
      <c r="Z104" s="1116">
        <v>0.59611670000000005</v>
      </c>
      <c r="AA104" s="1116"/>
      <c r="AB104" s="1116">
        <v>1.9577013999999999</v>
      </c>
      <c r="AC104" s="1116">
        <v>0.17984339999999999</v>
      </c>
      <c r="AD104" s="1116">
        <v>1.2381343</v>
      </c>
      <c r="AE104" s="1116"/>
      <c r="AF104" s="1116">
        <v>3.2790677000000001</v>
      </c>
      <c r="AG104" s="1116"/>
      <c r="AH104" s="1116"/>
      <c r="AI104" s="1116"/>
    </row>
    <row r="105" spans="1:35" ht="15">
      <c r="A105" s="1116" t="s">
        <v>1416</v>
      </c>
      <c r="B105" s="1116">
        <v>6.4915732000000004</v>
      </c>
      <c r="C105" s="1116"/>
      <c r="D105" s="1116"/>
      <c r="E105" s="1116"/>
      <c r="F105" s="1116">
        <v>3.5888700000000003E-2</v>
      </c>
      <c r="G105" s="1116"/>
      <c r="H105" s="1116">
        <v>76.444108200000002</v>
      </c>
      <c r="I105" s="1116">
        <v>5.0623399999999999E-2</v>
      </c>
      <c r="J105" s="1116">
        <v>45.685481199999998</v>
      </c>
      <c r="K105" s="1116"/>
      <c r="L105" s="1116"/>
      <c r="M105" s="1116">
        <v>0.68986150000000002</v>
      </c>
      <c r="N105" s="1116">
        <v>0.1378074</v>
      </c>
      <c r="O105" s="1116"/>
      <c r="P105" s="1116"/>
      <c r="Q105" s="1116"/>
      <c r="R105" s="1116"/>
      <c r="S105" s="1116">
        <v>2.1574390999999999</v>
      </c>
      <c r="T105" s="1116">
        <v>5.3582923999999998</v>
      </c>
      <c r="U105" s="1116"/>
      <c r="V105" s="1116">
        <v>4.3780899999999998E-2</v>
      </c>
      <c r="W105" s="1116">
        <v>79.878125699999998</v>
      </c>
      <c r="X105" s="1116"/>
      <c r="Y105" s="1116">
        <v>2.1403536999999999</v>
      </c>
      <c r="Z105" s="1116"/>
      <c r="AA105" s="1116"/>
      <c r="AB105" s="1116">
        <v>0.17540349999999999</v>
      </c>
      <c r="AC105" s="1116">
        <v>0.85661149999999997</v>
      </c>
      <c r="AD105" s="1116">
        <v>1.63002</v>
      </c>
      <c r="AE105" s="1116"/>
      <c r="AF105" s="1116"/>
      <c r="AG105" s="1116"/>
      <c r="AH105" s="1116"/>
      <c r="AI105" s="1116"/>
    </row>
    <row r="106" spans="1:35" ht="15">
      <c r="A106" s="1116" t="s">
        <v>350</v>
      </c>
      <c r="B106" s="1116"/>
      <c r="C106" s="1116"/>
      <c r="D106" s="1116"/>
      <c r="E106" s="1116"/>
      <c r="F106" s="1116"/>
      <c r="G106" s="1116"/>
      <c r="H106" s="1116"/>
      <c r="I106" s="1116"/>
      <c r="J106" s="1116"/>
      <c r="K106" s="1116"/>
      <c r="L106" s="1116"/>
      <c r="M106" s="1116"/>
      <c r="N106" s="1116">
        <v>1.4416278</v>
      </c>
      <c r="O106" s="1116"/>
      <c r="P106" s="1116">
        <v>2.8487860999999999</v>
      </c>
      <c r="Q106" s="1116"/>
      <c r="R106" s="1116">
        <v>1.2645E-3</v>
      </c>
      <c r="S106" s="1116">
        <v>3.6922128000000001</v>
      </c>
      <c r="T106" s="1116">
        <v>2.8484441999999999</v>
      </c>
      <c r="U106" s="1116">
        <v>0.27653680000000003</v>
      </c>
      <c r="V106" s="1116"/>
      <c r="W106" s="1116">
        <v>28.7820009</v>
      </c>
      <c r="X106" s="1116"/>
      <c r="Y106" s="1116">
        <v>2.1680000000000001E-4</v>
      </c>
      <c r="Z106" s="1116"/>
      <c r="AA106" s="1116"/>
      <c r="AB106" s="1116">
        <v>0.50103059999999999</v>
      </c>
      <c r="AC106" s="1116">
        <v>2.5810247999999998</v>
      </c>
      <c r="AD106" s="1116">
        <v>6.7997382999999996</v>
      </c>
      <c r="AE106" s="1116"/>
      <c r="AF106" s="1116"/>
      <c r="AG106" s="1116"/>
      <c r="AH106" s="1116"/>
      <c r="AI106" s="1116"/>
    </row>
    <row r="107" spans="1:35" ht="15">
      <c r="A107" s="1116" t="s">
        <v>1426</v>
      </c>
      <c r="B107" s="1116">
        <v>2.9534570000000002</v>
      </c>
      <c r="C107" s="1116"/>
      <c r="D107" s="1116">
        <v>6.5507999999999999E-3</v>
      </c>
      <c r="E107" s="1116"/>
      <c r="F107" s="1116">
        <v>4.5916999999999998E-3</v>
      </c>
      <c r="G107" s="1116"/>
      <c r="H107" s="1116">
        <v>6.6136667999999998</v>
      </c>
      <c r="I107" s="1116"/>
      <c r="J107" s="1116"/>
      <c r="K107" s="1116"/>
      <c r="L107" s="1116"/>
      <c r="M107" s="1116"/>
      <c r="N107" s="1116"/>
      <c r="O107" s="1116"/>
      <c r="P107" s="1116"/>
      <c r="Q107" s="1116"/>
      <c r="R107" s="1116"/>
      <c r="S107" s="1116"/>
      <c r="T107" s="1116">
        <v>2.9891936000000001</v>
      </c>
      <c r="U107" s="1116"/>
      <c r="V107" s="1116"/>
      <c r="W107" s="1116">
        <v>12.827585900000001</v>
      </c>
      <c r="X107" s="1116"/>
      <c r="Y107" s="1116"/>
      <c r="Z107" s="1116"/>
      <c r="AA107" s="1116"/>
      <c r="AB107" s="1116">
        <v>1.8397E-2</v>
      </c>
      <c r="AC107" s="1116">
        <v>0.38637529999999998</v>
      </c>
      <c r="AD107" s="1116">
        <v>0.25287389999999998</v>
      </c>
      <c r="AE107" s="1116"/>
      <c r="AF107" s="1116"/>
      <c r="AG107" s="1116"/>
      <c r="AH107" s="1116"/>
      <c r="AI107" s="1116"/>
    </row>
    <row r="108" spans="1:35" ht="15">
      <c r="A108" s="1116" t="s">
        <v>1429</v>
      </c>
      <c r="B108" s="1116"/>
      <c r="C108" s="1116"/>
      <c r="D108" s="1116"/>
      <c r="E108" s="1116"/>
      <c r="F108" s="1116">
        <v>1.5147300000000001E-2</v>
      </c>
      <c r="G108" s="1116"/>
      <c r="H108" s="1116">
        <v>17.724453400000002</v>
      </c>
      <c r="I108" s="1116"/>
      <c r="J108" s="1116">
        <v>3.8136706999999999</v>
      </c>
      <c r="K108" s="1116"/>
      <c r="L108" s="1116">
        <v>1.3171238999999999</v>
      </c>
      <c r="M108" s="1116"/>
      <c r="N108" s="1116"/>
      <c r="O108" s="1116"/>
      <c r="P108" s="1116"/>
      <c r="Q108" s="1116"/>
      <c r="R108" s="1116"/>
      <c r="S108" s="1116">
        <v>4.9788399999999997E-2</v>
      </c>
      <c r="T108" s="1116">
        <v>1.1073856</v>
      </c>
      <c r="U108" s="1116"/>
      <c r="V108" s="1116"/>
      <c r="W108" s="1116">
        <v>4.5958360999999996</v>
      </c>
      <c r="X108" s="1116"/>
      <c r="Y108" s="1116"/>
      <c r="Z108" s="1116"/>
      <c r="AA108" s="1116"/>
      <c r="AB108" s="1116">
        <v>0.18143980000000001</v>
      </c>
      <c r="AC108" s="1116">
        <v>0.15713360000000001</v>
      </c>
      <c r="AD108" s="1116">
        <v>0.11817660000000001</v>
      </c>
      <c r="AE108" s="1116"/>
      <c r="AF108" s="1116"/>
      <c r="AG108" s="1116"/>
      <c r="AH108" s="1116"/>
      <c r="AI108" s="1116"/>
    </row>
    <row r="109" spans="1:35" ht="15">
      <c r="A109" s="1116" t="s">
        <v>1094</v>
      </c>
      <c r="B109" s="1116">
        <v>1.0121399999999999E-2</v>
      </c>
      <c r="C109" s="1116">
        <v>0.21395349999999999</v>
      </c>
      <c r="D109" s="1116"/>
      <c r="E109" s="1116"/>
      <c r="F109" s="1116"/>
      <c r="G109" s="1116"/>
      <c r="H109" s="1116">
        <v>305.99704939999998</v>
      </c>
      <c r="I109" s="1116"/>
      <c r="J109" s="1116"/>
      <c r="K109" s="1116"/>
      <c r="L109" s="1116"/>
      <c r="M109" s="1116"/>
      <c r="N109" s="1116"/>
      <c r="O109" s="1116"/>
      <c r="P109" s="1116"/>
      <c r="Q109" s="1116">
        <v>4.3917699999999997E-2</v>
      </c>
      <c r="R109" s="1116"/>
      <c r="S109" s="1116">
        <v>0.1449328</v>
      </c>
      <c r="T109" s="1116">
        <v>5.4779798</v>
      </c>
      <c r="U109" s="1116">
        <v>1.5726973</v>
      </c>
      <c r="V109" s="1116"/>
      <c r="W109" s="1116">
        <v>25.290760299999999</v>
      </c>
      <c r="X109" s="1116"/>
      <c r="Y109" s="1116">
        <v>7.6234159000000004</v>
      </c>
      <c r="Z109" s="1116">
        <v>2.1437379000000001</v>
      </c>
      <c r="AA109" s="1116"/>
      <c r="AB109" s="1116">
        <v>2.8622557</v>
      </c>
      <c r="AC109" s="1116">
        <v>1.4767368999999999</v>
      </c>
      <c r="AD109" s="1116">
        <v>2.6272378000000001</v>
      </c>
      <c r="AE109" s="1116"/>
      <c r="AF109" s="1116">
        <v>1.5487158000000001</v>
      </c>
      <c r="AG109" s="1116"/>
      <c r="AH109" s="1116"/>
      <c r="AI109" s="1116"/>
    </row>
    <row r="110" spans="1:35" ht="15">
      <c r="A110" s="1116" t="s">
        <v>1437</v>
      </c>
      <c r="B110" s="1116">
        <v>0.60434790000000005</v>
      </c>
      <c r="C110" s="1116"/>
      <c r="D110" s="1116"/>
      <c r="E110" s="1116"/>
      <c r="F110" s="1116">
        <v>9.8429999999999993E-3</v>
      </c>
      <c r="G110" s="1116"/>
      <c r="H110" s="1116">
        <v>90.717200199999994</v>
      </c>
      <c r="I110" s="1116">
        <v>1.9228795999999999</v>
      </c>
      <c r="J110" s="1116">
        <v>5.8219364000000002</v>
      </c>
      <c r="K110" s="1116"/>
      <c r="L110" s="1116"/>
      <c r="M110" s="1116"/>
      <c r="N110" s="1116"/>
      <c r="O110" s="1116"/>
      <c r="P110" s="1116"/>
      <c r="Q110" s="1116"/>
      <c r="R110" s="1116"/>
      <c r="S110" s="1116">
        <v>7.6237494000000003</v>
      </c>
      <c r="T110" s="1116">
        <v>1.3456368999999999</v>
      </c>
      <c r="U110" s="1116">
        <v>3.2888000000000001E-2</v>
      </c>
      <c r="V110" s="1116"/>
      <c r="W110" s="1116">
        <v>53.248649</v>
      </c>
      <c r="X110" s="1116"/>
      <c r="Y110" s="1116">
        <v>3.9001599999999997E-2</v>
      </c>
      <c r="Z110" s="1116">
        <v>3.9007999999999998E-3</v>
      </c>
      <c r="AA110" s="1116"/>
      <c r="AB110" s="1116">
        <v>2.6269000000000002E-3</v>
      </c>
      <c r="AC110" s="1116">
        <v>1.2738925000000001</v>
      </c>
      <c r="AD110" s="1116">
        <v>0.47590890000000002</v>
      </c>
      <c r="AE110" s="1116"/>
      <c r="AF110" s="1116">
        <v>10.443190599999999</v>
      </c>
      <c r="AG110" s="1116"/>
      <c r="AH110" s="1116"/>
      <c r="AI110" s="1116">
        <v>7.7420799999999998E-2</v>
      </c>
    </row>
    <row r="111" spans="1:35" ht="15">
      <c r="A111" s="1116" t="s">
        <v>1450</v>
      </c>
      <c r="B111" s="1116">
        <v>4.4091224000000002</v>
      </c>
      <c r="C111" s="1116"/>
      <c r="D111" s="1116"/>
      <c r="E111" s="1116"/>
      <c r="F111" s="1116"/>
      <c r="G111" s="1116">
        <v>0.6983724</v>
      </c>
      <c r="H111" s="1116"/>
      <c r="I111" s="1116"/>
      <c r="J111" s="1116"/>
      <c r="K111" s="1116"/>
      <c r="L111" s="1116"/>
      <c r="M111" s="1116"/>
      <c r="N111" s="1116"/>
      <c r="O111" s="1116"/>
      <c r="P111" s="1116"/>
      <c r="Q111" s="1116"/>
      <c r="R111" s="1116"/>
      <c r="S111" s="1116">
        <v>9.4208899999999998E-2</v>
      </c>
      <c r="T111" s="1116">
        <v>3.4840563000000002</v>
      </c>
      <c r="U111" s="1116"/>
      <c r="V111" s="1116"/>
      <c r="W111" s="1116">
        <v>8.9168634000000004</v>
      </c>
      <c r="X111" s="1116"/>
      <c r="Y111" s="1116">
        <v>1.9176386000000001</v>
      </c>
      <c r="Z111" s="1116"/>
      <c r="AA111" s="1116"/>
      <c r="AB111" s="1116">
        <v>0.21152409999999999</v>
      </c>
      <c r="AC111" s="1116">
        <v>0.94937369999999999</v>
      </c>
      <c r="AD111" s="1116">
        <v>0.27212829999999999</v>
      </c>
      <c r="AE111" s="1116"/>
      <c r="AF111" s="1116">
        <v>1.0807799999999999E-2</v>
      </c>
      <c r="AG111" s="1116"/>
      <c r="AH111" s="1116"/>
      <c r="AI111" s="1116">
        <v>0.203542</v>
      </c>
    </row>
    <row r="112" spans="1:35" ht="15">
      <c r="A112" s="1116" t="s">
        <v>1458</v>
      </c>
      <c r="B112" s="1116"/>
      <c r="C112" s="1116"/>
      <c r="D112" s="1116"/>
      <c r="E112" s="1116"/>
      <c r="F112" s="1116"/>
      <c r="G112" s="1116"/>
      <c r="H112" s="1116">
        <v>0.99340050000000002</v>
      </c>
      <c r="I112" s="1116">
        <v>0.22862009999999999</v>
      </c>
      <c r="J112" s="1116">
        <v>5.4651604000000003</v>
      </c>
      <c r="K112" s="1116"/>
      <c r="L112" s="1116"/>
      <c r="M112" s="1116"/>
      <c r="N112" s="1116"/>
      <c r="O112" s="1116"/>
      <c r="P112" s="1116"/>
      <c r="Q112" s="1116"/>
      <c r="R112" s="1116"/>
      <c r="S112" s="1116"/>
      <c r="T112" s="1116">
        <v>0.45402009999999998</v>
      </c>
      <c r="U112" s="1116"/>
      <c r="V112" s="1116"/>
      <c r="W112" s="1116">
        <v>13.012907500000001</v>
      </c>
      <c r="X112" s="1116"/>
      <c r="Y112" s="1116"/>
      <c r="Z112" s="1116">
        <v>3.9827999999999999E-3</v>
      </c>
      <c r="AA112" s="1116"/>
      <c r="AB112" s="1116"/>
      <c r="AC112" s="1116"/>
      <c r="AD112" s="1116"/>
      <c r="AE112" s="1116"/>
      <c r="AF112" s="1116"/>
      <c r="AG112" s="1116"/>
      <c r="AH112" s="1116">
        <v>8.9557300000000006E-2</v>
      </c>
      <c r="AI112" s="1116"/>
    </row>
    <row r="113" spans="1:35" ht="15">
      <c r="A113" s="1116" t="s">
        <v>1463</v>
      </c>
      <c r="B113" s="1116"/>
      <c r="C113" s="1116"/>
      <c r="D113" s="1116"/>
      <c r="E113" s="1116"/>
      <c r="F113" s="1116"/>
      <c r="G113" s="1116"/>
      <c r="H113" s="1116">
        <v>22.487611900000001</v>
      </c>
      <c r="I113" s="1116">
        <v>1.1999999999999999E-6</v>
      </c>
      <c r="J113" s="1116"/>
      <c r="K113" s="1116"/>
      <c r="L113" s="1116"/>
      <c r="M113" s="1116"/>
      <c r="N113" s="1116"/>
      <c r="O113" s="1116"/>
      <c r="P113" s="1116"/>
      <c r="Q113" s="1116"/>
      <c r="R113" s="1116"/>
      <c r="S113" s="1116"/>
      <c r="T113" s="1116"/>
      <c r="U113" s="1116">
        <v>5.2002000000000003E-3</v>
      </c>
      <c r="V113" s="1116"/>
      <c r="W113" s="1116">
        <v>10.447742099999999</v>
      </c>
      <c r="X113" s="1116"/>
      <c r="Y113" s="1116">
        <v>4.2177588999999998</v>
      </c>
      <c r="Z113" s="1116"/>
      <c r="AA113" s="1116"/>
      <c r="AB113" s="1116">
        <v>0.42990010000000001</v>
      </c>
      <c r="AC113" s="1116"/>
      <c r="AD113" s="1116">
        <v>2.7780800000000001E-2</v>
      </c>
      <c r="AE113" s="1116"/>
      <c r="AF113" s="1116"/>
      <c r="AG113" s="1116"/>
      <c r="AH113" s="1116"/>
      <c r="AI113" s="1116"/>
    </row>
    <row r="114" spans="1:35" ht="15">
      <c r="A114" s="1116" t="s">
        <v>1028</v>
      </c>
      <c r="B114" s="1116"/>
      <c r="C114" s="1116"/>
      <c r="D114" s="1116"/>
      <c r="E114" s="1116"/>
      <c r="F114" s="1116"/>
      <c r="G114" s="1116"/>
      <c r="H114" s="1116">
        <v>1.4652809</v>
      </c>
      <c r="I114" s="1116"/>
      <c r="J114" s="1116"/>
      <c r="K114" s="1116"/>
      <c r="L114" s="1116"/>
      <c r="M114" s="1116"/>
      <c r="N114" s="1116"/>
      <c r="O114" s="1116"/>
      <c r="P114" s="1116"/>
      <c r="Q114" s="1116"/>
      <c r="R114" s="1116"/>
      <c r="S114" s="1116"/>
      <c r="T114" s="1116"/>
      <c r="U114" s="1116"/>
      <c r="V114" s="1116"/>
      <c r="W114" s="1116">
        <v>24.8982879</v>
      </c>
      <c r="X114" s="1116"/>
      <c r="Y114" s="1116"/>
      <c r="Z114" s="1116"/>
      <c r="AA114" s="1116"/>
      <c r="AB114" s="1116"/>
      <c r="AC114" s="1116"/>
      <c r="AD114" s="1116">
        <v>0.15848570000000001</v>
      </c>
      <c r="AE114" s="1116"/>
      <c r="AF114" s="1116"/>
      <c r="AG114" s="1116"/>
      <c r="AH114" s="1116"/>
      <c r="AI114" s="1116"/>
    </row>
    <row r="115" spans="1:35" ht="15">
      <c r="A115" s="1116" t="s">
        <v>1464</v>
      </c>
      <c r="B115" s="1116">
        <v>12.7232935</v>
      </c>
      <c r="C115" s="1116">
        <v>0.79496140000000004</v>
      </c>
      <c r="D115" s="1116">
        <v>0.29173470000000001</v>
      </c>
      <c r="E115" s="1116"/>
      <c r="F115" s="1116"/>
      <c r="G115" s="1116"/>
      <c r="H115" s="1116">
        <v>0.10612679999999999</v>
      </c>
      <c r="I115" s="1116"/>
      <c r="J115" s="1116"/>
      <c r="K115" s="1116"/>
      <c r="L115" s="1116">
        <v>0.34454269999999998</v>
      </c>
      <c r="M115" s="1116">
        <v>0.97915370000000002</v>
      </c>
      <c r="N115" s="1116"/>
      <c r="O115" s="1116"/>
      <c r="P115" s="1116"/>
      <c r="Q115" s="1116"/>
      <c r="R115" s="1116"/>
      <c r="S115" s="1116">
        <v>1.5953586</v>
      </c>
      <c r="T115" s="1116">
        <v>2.2858499000000001</v>
      </c>
      <c r="U115" s="1116"/>
      <c r="V115" s="1116">
        <v>0.40047549999999998</v>
      </c>
      <c r="W115" s="1116">
        <v>17.777913000000002</v>
      </c>
      <c r="X115" s="1116"/>
      <c r="Y115" s="1116">
        <v>15.670925499999999</v>
      </c>
      <c r="Z115" s="1116">
        <v>2.8080000000000002E-3</v>
      </c>
      <c r="AA115" s="1116"/>
      <c r="AB115" s="1116"/>
      <c r="AC115" s="1116">
        <v>3.3650418000000002</v>
      </c>
      <c r="AD115" s="1116">
        <v>2.0695945</v>
      </c>
      <c r="AE115" s="1116"/>
      <c r="AF115" s="1116">
        <v>3.7115122</v>
      </c>
      <c r="AG115" s="1116"/>
      <c r="AH115" s="1116"/>
      <c r="AI115" s="1116"/>
    </row>
    <row r="116" spans="1:35" ht="15">
      <c r="A116" s="1116" t="s">
        <v>1473</v>
      </c>
      <c r="B116" s="1116">
        <v>4.5422200000000003E-2</v>
      </c>
      <c r="C116" s="1116"/>
      <c r="D116" s="1116"/>
      <c r="E116" s="1116"/>
      <c r="F116" s="1116"/>
      <c r="G116" s="1116"/>
      <c r="H116" s="1116">
        <v>28.271462</v>
      </c>
      <c r="I116" s="1116"/>
      <c r="J116" s="1116">
        <v>2.0933910999999998</v>
      </c>
      <c r="K116" s="1116"/>
      <c r="L116" s="1116"/>
      <c r="M116" s="1116"/>
      <c r="N116" s="1116"/>
      <c r="O116" s="1116"/>
      <c r="P116" s="1116"/>
      <c r="Q116" s="1116"/>
      <c r="R116" s="1116"/>
      <c r="S116" s="1116"/>
      <c r="T116" s="1116">
        <v>0.16926150000000001</v>
      </c>
      <c r="U116" s="1116"/>
      <c r="V116" s="1116"/>
      <c r="W116" s="1116">
        <v>19.751071199999998</v>
      </c>
      <c r="X116" s="1116"/>
      <c r="Y116" s="1116"/>
      <c r="Z116" s="1116">
        <v>0.48956620000000001</v>
      </c>
      <c r="AA116" s="1116"/>
      <c r="AB116" s="1116"/>
      <c r="AC116" s="1116">
        <v>1.6392500000000001E-2</v>
      </c>
      <c r="AD116" s="1116">
        <v>0.1201064</v>
      </c>
      <c r="AE116" s="1116">
        <v>0.14992259999999999</v>
      </c>
      <c r="AF116" s="1116">
        <v>2.7894999999999999E-3</v>
      </c>
      <c r="AG116" s="1116"/>
      <c r="AH116" s="1116"/>
      <c r="AI116" s="1116"/>
    </row>
    <row r="117" spans="1:35" ht="15">
      <c r="A117" s="1116" t="s">
        <v>1482</v>
      </c>
      <c r="B117" s="1116">
        <v>2.4302964</v>
      </c>
      <c r="C117" s="1116">
        <v>0.49656980000000001</v>
      </c>
      <c r="D117" s="1116"/>
      <c r="E117" s="1116"/>
      <c r="F117" s="1116"/>
      <c r="G117" s="1116"/>
      <c r="H117" s="1116">
        <v>41.850172000000001</v>
      </c>
      <c r="I117" s="1116"/>
      <c r="J117" s="1116">
        <v>8.4014800000000001E-2</v>
      </c>
      <c r="K117" s="1116"/>
      <c r="L117" s="1116"/>
      <c r="M117" s="1116">
        <v>7.4843900000000005E-2</v>
      </c>
      <c r="N117" s="1116"/>
      <c r="O117" s="1116">
        <v>0.91781869999999999</v>
      </c>
      <c r="P117" s="1116"/>
      <c r="Q117" s="1116"/>
      <c r="R117" s="1116"/>
      <c r="S117" s="1116">
        <v>3.6570401000000001</v>
      </c>
      <c r="T117" s="1116">
        <v>4.4669613999999997</v>
      </c>
      <c r="U117" s="1116"/>
      <c r="V117" s="1116"/>
      <c r="W117" s="1116">
        <v>15.661201800000001</v>
      </c>
      <c r="X117" s="1116"/>
      <c r="Y117" s="1116">
        <v>0.1100034</v>
      </c>
      <c r="Z117" s="1116">
        <v>7.0567099999999994E-2</v>
      </c>
      <c r="AA117" s="1116"/>
      <c r="AB117" s="1116">
        <v>0.45118809999999998</v>
      </c>
      <c r="AC117" s="1116">
        <v>0.89935830000000005</v>
      </c>
      <c r="AD117" s="1116">
        <v>2.0729554000000001</v>
      </c>
      <c r="AE117" s="1116"/>
      <c r="AF117" s="1116"/>
      <c r="AG117" s="1116"/>
      <c r="AH117" s="1116">
        <v>4.9599999999999999E-5</v>
      </c>
      <c r="AI117" s="1116"/>
    </row>
    <row r="118" spans="1:35" ht="15">
      <c r="A118" s="1116" t="s">
        <v>1481</v>
      </c>
      <c r="B118" s="1116"/>
      <c r="C118" s="1116"/>
      <c r="D118" s="1116"/>
      <c r="E118" s="1116"/>
      <c r="F118" s="1116"/>
      <c r="G118" s="1116"/>
      <c r="H118" s="1116">
        <v>53.474376100000001</v>
      </c>
      <c r="I118" s="1116"/>
      <c r="J118" s="1116"/>
      <c r="K118" s="1116"/>
      <c r="L118" s="1116"/>
      <c r="M118" s="1116"/>
      <c r="N118" s="1116"/>
      <c r="O118" s="1116"/>
      <c r="P118" s="1116"/>
      <c r="Q118" s="1116"/>
      <c r="R118" s="1116"/>
      <c r="S118" s="1116"/>
      <c r="T118" s="1116">
        <v>1.8403209</v>
      </c>
      <c r="U118" s="1116">
        <v>0.96897489999999997</v>
      </c>
      <c r="V118" s="1116"/>
      <c r="W118" s="1116">
        <v>37.088833299999997</v>
      </c>
      <c r="X118" s="1116"/>
      <c r="Y118" s="1116">
        <v>0.1724232</v>
      </c>
      <c r="Z118" s="1116">
        <v>8.1563999999999994E-3</v>
      </c>
      <c r="AA118" s="1116"/>
      <c r="AB118" s="1116">
        <v>0.86515030000000004</v>
      </c>
      <c r="AC118" s="1116"/>
      <c r="AD118" s="1116">
        <v>4.0232036000000004</v>
      </c>
      <c r="AE118" s="1116"/>
      <c r="AF118" s="1116"/>
      <c r="AG118" s="1116"/>
      <c r="AH118" s="1116"/>
      <c r="AI118" s="1116"/>
    </row>
    <row r="119" spans="1:35" ht="15">
      <c r="A119" s="1116" t="s">
        <v>1746</v>
      </c>
      <c r="B119" s="1116"/>
      <c r="C119" s="1116"/>
      <c r="D119" s="1116"/>
      <c r="E119" s="1116"/>
      <c r="F119" s="1116"/>
      <c r="G119" s="1116"/>
      <c r="H119" s="1116">
        <v>6.7365000000000003E-3</v>
      </c>
      <c r="I119" s="1116">
        <v>0.22109290000000001</v>
      </c>
      <c r="J119" s="1116">
        <v>0.79166119999999995</v>
      </c>
      <c r="K119" s="1116"/>
      <c r="L119" s="1116"/>
      <c r="M119" s="1116"/>
      <c r="N119" s="1116"/>
      <c r="O119" s="1116"/>
      <c r="P119" s="1116"/>
      <c r="Q119" s="1116"/>
      <c r="R119" s="1116"/>
      <c r="S119" s="1116"/>
      <c r="T119" s="1116"/>
      <c r="U119" s="1116"/>
      <c r="V119" s="1116"/>
      <c r="W119" s="1116">
        <v>0.68709770000000003</v>
      </c>
      <c r="X119" s="1116"/>
      <c r="Y119" s="1116"/>
      <c r="Z119" s="1116"/>
      <c r="AA119" s="1116"/>
      <c r="AB119" s="1116"/>
      <c r="AC119" s="1116"/>
      <c r="AD119" s="1116">
        <v>9.1351000000000002E-3</v>
      </c>
      <c r="AE119" s="1116"/>
      <c r="AF119" s="1116"/>
      <c r="AG119" s="1116"/>
      <c r="AH119" s="1116"/>
      <c r="AI119" s="1116"/>
    </row>
    <row r="120" spans="1:35" ht="15">
      <c r="A120" s="1116" t="s">
        <v>1496</v>
      </c>
      <c r="B120" s="1116">
        <v>1.7433094</v>
      </c>
      <c r="C120" s="1116"/>
      <c r="D120" s="1116">
        <v>4.2064299999999999E-2</v>
      </c>
      <c r="E120" s="1116"/>
      <c r="F120" s="1116"/>
      <c r="G120" s="1116"/>
      <c r="H120" s="1116">
        <v>2.7119570999999998</v>
      </c>
      <c r="I120" s="1116"/>
      <c r="J120" s="1116">
        <v>7.0936700000000005E-2</v>
      </c>
      <c r="K120" s="1116"/>
      <c r="L120" s="1116"/>
      <c r="M120" s="1116">
        <v>7.8515000000000001E-2</v>
      </c>
      <c r="N120" s="1116"/>
      <c r="O120" s="1116"/>
      <c r="P120" s="1116">
        <v>0.32955620000000002</v>
      </c>
      <c r="Q120" s="1116"/>
      <c r="R120" s="1116"/>
      <c r="S120" s="1116"/>
      <c r="T120" s="1116">
        <v>9.9476099999999998E-2</v>
      </c>
      <c r="U120" s="1116"/>
      <c r="V120" s="1116"/>
      <c r="W120" s="1116"/>
      <c r="X120" s="1116"/>
      <c r="Y120" s="1116"/>
      <c r="Z120" s="1116">
        <v>4.2348999999999998E-3</v>
      </c>
      <c r="AA120" s="1116"/>
      <c r="AB120" s="1116">
        <v>2.0416000000000002E-3</v>
      </c>
      <c r="AC120" s="1116">
        <v>0.44671709999999998</v>
      </c>
      <c r="AD120" s="1116">
        <v>6.7313499999999998E-2</v>
      </c>
      <c r="AE120" s="1116"/>
      <c r="AF120" s="1116"/>
      <c r="AG120" s="1116"/>
      <c r="AH120" s="1116"/>
      <c r="AI120" s="1116"/>
    </row>
    <row r="121" spans="1:35" ht="15">
      <c r="A121" s="1116" t="s">
        <v>1511</v>
      </c>
      <c r="B121" s="1116">
        <v>0.70474150000000002</v>
      </c>
      <c r="C121" s="1116"/>
      <c r="D121" s="1116">
        <v>0.1864085</v>
      </c>
      <c r="E121" s="1116"/>
      <c r="F121" s="1116"/>
      <c r="G121" s="1116"/>
      <c r="H121" s="1116">
        <v>21.255493900000001</v>
      </c>
      <c r="I121" s="1116"/>
      <c r="J121" s="1116">
        <v>8.8542179999999995</v>
      </c>
      <c r="K121" s="1116"/>
      <c r="L121" s="1116"/>
      <c r="M121" s="1116"/>
      <c r="N121" s="1116">
        <v>0.1039712</v>
      </c>
      <c r="O121" s="1116">
        <v>9.6692100000000003E-2</v>
      </c>
      <c r="P121" s="1116">
        <v>6.5246000000000002E-3</v>
      </c>
      <c r="Q121" s="1116"/>
      <c r="R121" s="1116"/>
      <c r="S121" s="1116">
        <v>5.32025E-2</v>
      </c>
      <c r="T121" s="1116">
        <v>0.1431568</v>
      </c>
      <c r="U121" s="1116"/>
      <c r="V121" s="1116"/>
      <c r="W121" s="1116">
        <v>16.529503500000001</v>
      </c>
      <c r="X121" s="1116"/>
      <c r="Y121" s="1116"/>
      <c r="Z121" s="1116">
        <v>2.8044699999999999E-2</v>
      </c>
      <c r="AA121" s="1116"/>
      <c r="AB121" s="1116">
        <v>6.0550000000000003E-4</v>
      </c>
      <c r="AC121" s="1116">
        <v>0.1235144</v>
      </c>
      <c r="AD121" s="1116">
        <v>0.15055779999999999</v>
      </c>
      <c r="AE121" s="1116"/>
      <c r="AF121" s="1116"/>
      <c r="AG121" s="1116"/>
      <c r="AH121" s="1116"/>
      <c r="AI121" s="1116"/>
    </row>
    <row r="122" spans="1:35" ht="15">
      <c r="A122" s="1116" t="s">
        <v>1523</v>
      </c>
      <c r="B122" s="1116"/>
      <c r="C122" s="1116"/>
      <c r="D122" s="1116"/>
      <c r="E122" s="1116"/>
      <c r="F122" s="1116">
        <v>7.0999999999999998E-6</v>
      </c>
      <c r="G122" s="1116"/>
      <c r="H122" s="1116">
        <v>0.14206009999999999</v>
      </c>
      <c r="I122" s="1116"/>
      <c r="J122" s="1116">
        <v>7.0084199999999999E-2</v>
      </c>
      <c r="K122" s="1116"/>
      <c r="L122" s="1116"/>
      <c r="M122" s="1116"/>
      <c r="N122" s="1116"/>
      <c r="O122" s="1116"/>
      <c r="P122" s="1116"/>
      <c r="Q122" s="1116"/>
      <c r="R122" s="1116"/>
      <c r="S122" s="1116"/>
      <c r="T122" s="1116"/>
      <c r="U122" s="1116"/>
      <c r="V122" s="1116"/>
      <c r="W122" s="1116">
        <v>2.7753899999999998</v>
      </c>
      <c r="X122" s="1116"/>
      <c r="Y122" s="1116">
        <v>8.1878999999999997E-3</v>
      </c>
      <c r="Z122" s="1116"/>
      <c r="AA122" s="1116"/>
      <c r="AB122" s="1116">
        <v>1.84216E-2</v>
      </c>
      <c r="AC122" s="1116"/>
      <c r="AD122" s="1116">
        <v>2.7055599999999999E-2</v>
      </c>
      <c r="AE122" s="1116"/>
      <c r="AF122" s="1116"/>
      <c r="AG122" s="1116"/>
      <c r="AH122" s="1116"/>
      <c r="AI122" s="1116"/>
    </row>
    <row r="123" spans="1:35" ht="15">
      <c r="A123" s="1116" t="s">
        <v>1524</v>
      </c>
      <c r="B123" s="1116"/>
      <c r="C123" s="1116"/>
      <c r="D123" s="1116"/>
      <c r="E123" s="1116"/>
      <c r="F123" s="1116"/>
      <c r="G123" s="1116"/>
      <c r="H123" s="1116">
        <v>4.0505100000000002E-2</v>
      </c>
      <c r="I123" s="1116"/>
      <c r="J123" s="1116">
        <v>1.8110911999999999</v>
      </c>
      <c r="K123" s="1116"/>
      <c r="L123" s="1116"/>
      <c r="M123" s="1116"/>
      <c r="N123" s="1116"/>
      <c r="O123" s="1116"/>
      <c r="P123" s="1116"/>
      <c r="Q123" s="1116"/>
      <c r="R123" s="1116"/>
      <c r="S123" s="1116"/>
      <c r="T123" s="1116"/>
      <c r="U123" s="1116"/>
      <c r="V123" s="1116"/>
      <c r="W123" s="1116">
        <v>20.26643</v>
      </c>
      <c r="X123" s="1116"/>
      <c r="Y123" s="1116"/>
      <c r="Z123" s="1116"/>
      <c r="AA123" s="1116"/>
      <c r="AB123" s="1116"/>
      <c r="AC123" s="1116"/>
      <c r="AD123" s="1116"/>
      <c r="AE123" s="1116"/>
      <c r="AF123" s="1116"/>
      <c r="AG123" s="1116"/>
      <c r="AH123" s="1116"/>
      <c r="AI123" s="1116"/>
    </row>
    <row r="124" spans="1:35" ht="15">
      <c r="A124" s="1116" t="s">
        <v>1530</v>
      </c>
      <c r="B124" s="1116"/>
      <c r="C124" s="1116"/>
      <c r="D124" s="1116"/>
      <c r="E124" s="1116"/>
      <c r="F124" s="1116"/>
      <c r="G124" s="1116"/>
      <c r="H124" s="1116">
        <v>4.5012942999999996</v>
      </c>
      <c r="I124" s="1116">
        <v>0.94171340000000003</v>
      </c>
      <c r="J124" s="1116">
        <v>2.4273636999999999</v>
      </c>
      <c r="K124" s="1116"/>
      <c r="L124" s="1116">
        <v>0.15136769999999999</v>
      </c>
      <c r="M124" s="1116"/>
      <c r="N124" s="1116"/>
      <c r="O124" s="1116"/>
      <c r="P124" s="1116"/>
      <c r="Q124" s="1116"/>
      <c r="R124" s="1116"/>
      <c r="S124" s="1116">
        <v>0.1007805</v>
      </c>
      <c r="T124" s="1116">
        <v>0.78641360000000005</v>
      </c>
      <c r="U124" s="1116"/>
      <c r="V124" s="1116"/>
      <c r="W124" s="1116">
        <v>8.9195999999999998E-3</v>
      </c>
      <c r="X124" s="1116"/>
      <c r="Y124" s="1116">
        <v>0.15347240000000001</v>
      </c>
      <c r="Z124" s="1116"/>
      <c r="AA124" s="1116"/>
      <c r="AB124" s="1116">
        <v>1.3585399999999999E-2</v>
      </c>
      <c r="AC124" s="1116">
        <v>8.4235999999999998E-3</v>
      </c>
      <c r="AD124" s="1116">
        <v>0.44384230000000002</v>
      </c>
      <c r="AE124" s="1116"/>
      <c r="AF124" s="1116"/>
      <c r="AG124" s="1116"/>
      <c r="AH124" s="1116"/>
      <c r="AI124" s="1116"/>
    </row>
    <row r="125" spans="1:35" ht="15">
      <c r="A125" s="1116" t="s">
        <v>1532</v>
      </c>
      <c r="B125" s="1116">
        <v>2.1495299999999998E-2</v>
      </c>
      <c r="C125" s="1116">
        <v>1.0299E-3</v>
      </c>
      <c r="D125" s="1116"/>
      <c r="E125" s="1116"/>
      <c r="F125" s="1116"/>
      <c r="G125" s="1116"/>
      <c r="H125" s="1116">
        <v>0.29678979999999999</v>
      </c>
      <c r="I125" s="1116"/>
      <c r="J125" s="1116">
        <v>0.29228949999999998</v>
      </c>
      <c r="K125" s="1116"/>
      <c r="L125" s="1116"/>
      <c r="M125" s="1116"/>
      <c r="N125" s="1116"/>
      <c r="O125" s="1116"/>
      <c r="P125" s="1116"/>
      <c r="Q125" s="1116"/>
      <c r="R125" s="1116"/>
      <c r="S125" s="1116"/>
      <c r="T125" s="1116"/>
      <c r="U125" s="1116"/>
      <c r="V125" s="1116"/>
      <c r="W125" s="1116">
        <v>0.27730739999999998</v>
      </c>
      <c r="X125" s="1116"/>
      <c r="Y125" s="1116">
        <v>3.4057954000000001</v>
      </c>
      <c r="Z125" s="1116"/>
      <c r="AA125" s="1116"/>
      <c r="AB125" s="1116"/>
      <c r="AC125" s="1116"/>
      <c r="AD125" s="1116">
        <v>8.9146999999999994E-3</v>
      </c>
      <c r="AE125" s="1116"/>
      <c r="AF125" s="1116"/>
      <c r="AG125" s="1116"/>
      <c r="AH125" s="1116"/>
      <c r="AI125" s="1116"/>
    </row>
    <row r="126" spans="1:35" ht="15">
      <c r="A126" s="1116" t="s">
        <v>1536</v>
      </c>
      <c r="B126" s="1116">
        <v>0.92509050000000004</v>
      </c>
      <c r="C126" s="1116"/>
      <c r="D126" s="1116">
        <v>0.54857739999999999</v>
      </c>
      <c r="E126" s="1116"/>
      <c r="F126" s="1116">
        <v>0.10285329999999999</v>
      </c>
      <c r="G126" s="1116"/>
      <c r="H126" s="1116">
        <v>20.206219900000001</v>
      </c>
      <c r="I126" s="1116">
        <v>2.8221E-2</v>
      </c>
      <c r="J126" s="1116">
        <v>15.2180307</v>
      </c>
      <c r="K126" s="1116"/>
      <c r="L126" s="1116">
        <v>0.63558060000000005</v>
      </c>
      <c r="M126" s="1116">
        <v>3.21122E-2</v>
      </c>
      <c r="N126" s="1116"/>
      <c r="O126" s="1116">
        <v>1.2774203</v>
      </c>
      <c r="P126" s="1116"/>
      <c r="Q126" s="1116"/>
      <c r="R126" s="1116"/>
      <c r="S126" s="1116">
        <v>1.8859250000000001</v>
      </c>
      <c r="T126" s="1116">
        <v>1.3203754000000001</v>
      </c>
      <c r="U126" s="1116">
        <v>0.1051554</v>
      </c>
      <c r="V126" s="1116"/>
      <c r="W126" s="1116">
        <v>20.339796499999999</v>
      </c>
      <c r="X126" s="1116"/>
      <c r="Y126" s="1116"/>
      <c r="Z126" s="1116">
        <v>1.1176172</v>
      </c>
      <c r="AA126" s="1116"/>
      <c r="AB126" s="1116">
        <v>5.4098300000000002E-2</v>
      </c>
      <c r="AC126" s="1116">
        <v>0.80672560000000004</v>
      </c>
      <c r="AD126" s="1116">
        <v>0.17038059999999999</v>
      </c>
      <c r="AE126" s="1116"/>
      <c r="AF126" s="1116"/>
      <c r="AG126" s="1116"/>
      <c r="AH126" s="1116"/>
      <c r="AI126" s="1116"/>
    </row>
    <row r="127" spans="1:35" ht="15">
      <c r="A127" s="1116" t="s">
        <v>1538</v>
      </c>
      <c r="B127" s="1116">
        <v>1.8383199999999999E-2</v>
      </c>
      <c r="C127" s="1116">
        <v>2.7794599999999999E-2</v>
      </c>
      <c r="D127" s="1116"/>
      <c r="E127" s="1116"/>
      <c r="F127" s="1116">
        <v>2.5897900000000001E-2</v>
      </c>
      <c r="G127" s="1116"/>
      <c r="H127" s="1116">
        <v>4.2117129000000002</v>
      </c>
      <c r="I127" s="1116"/>
      <c r="J127" s="1116"/>
      <c r="K127" s="1116"/>
      <c r="L127" s="1116">
        <v>0.18762470000000001</v>
      </c>
      <c r="M127" s="1116"/>
      <c r="N127" s="1116"/>
      <c r="O127" s="1116"/>
      <c r="P127" s="1116"/>
      <c r="Q127" s="1116"/>
      <c r="R127" s="1116"/>
      <c r="S127" s="1116">
        <v>0.19746340000000001</v>
      </c>
      <c r="T127" s="1116">
        <v>6.1595893999999998</v>
      </c>
      <c r="U127" s="1116">
        <v>1.8748600000000001E-2</v>
      </c>
      <c r="V127" s="1116"/>
      <c r="W127" s="1116">
        <v>8.3582897999999997</v>
      </c>
      <c r="X127" s="1116"/>
      <c r="Y127" s="1116"/>
      <c r="Z127" s="1116">
        <v>3.9790000000000002E-4</v>
      </c>
      <c r="AA127" s="1116"/>
      <c r="AB127" s="1116">
        <v>0.11954389999999999</v>
      </c>
      <c r="AC127" s="1116">
        <v>0.48706769999999999</v>
      </c>
      <c r="AD127" s="1116">
        <v>0.50663290000000005</v>
      </c>
      <c r="AE127" s="1116"/>
      <c r="AF127" s="1116">
        <v>3.8037399999999999E-2</v>
      </c>
      <c r="AG127" s="1116"/>
      <c r="AH127" s="1116"/>
      <c r="AI127" s="1116"/>
    </row>
    <row r="128" spans="1:35" ht="15">
      <c r="A128" s="1116" t="s">
        <v>1544</v>
      </c>
      <c r="B128" s="1116">
        <v>10.8140523</v>
      </c>
      <c r="C128" s="1116"/>
      <c r="D128" s="1116">
        <v>2.1774100000000001E-2</v>
      </c>
      <c r="E128" s="1116"/>
      <c r="F128" s="1116"/>
      <c r="G128" s="1116">
        <v>5.8840000000000003E-2</v>
      </c>
      <c r="H128" s="1116">
        <v>31.912591500000001</v>
      </c>
      <c r="I128" s="1116"/>
      <c r="J128" s="1116">
        <v>4.8538202000000004</v>
      </c>
      <c r="K128" s="1116">
        <v>6.6810000000000003E-3</v>
      </c>
      <c r="L128" s="1116"/>
      <c r="M128" s="1116"/>
      <c r="N128" s="1116"/>
      <c r="O128" s="1116"/>
      <c r="P128" s="1116"/>
      <c r="Q128" s="1116"/>
      <c r="R128" s="1116"/>
      <c r="S128" s="1116">
        <v>1.8201999999999999E-3</v>
      </c>
      <c r="T128" s="1116">
        <v>2.3934126</v>
      </c>
      <c r="U128" s="1116"/>
      <c r="V128" s="1116"/>
      <c r="W128" s="1116">
        <v>37.489517300000003</v>
      </c>
      <c r="X128" s="1116"/>
      <c r="Y128" s="1116"/>
      <c r="Z128" s="1116">
        <v>3.5431299999999999E-2</v>
      </c>
      <c r="AA128" s="1116"/>
      <c r="AB128" s="1116">
        <v>4.7602699999999998E-2</v>
      </c>
      <c r="AC128" s="1116">
        <v>2.2298499999999999E-2</v>
      </c>
      <c r="AD128" s="1116">
        <v>0.23093130000000001</v>
      </c>
      <c r="AE128" s="1116"/>
      <c r="AF128" s="1116"/>
      <c r="AG128" s="1116"/>
      <c r="AH128" s="1116"/>
      <c r="AI128" s="1116"/>
    </row>
    <row r="129" spans="1:35" ht="15">
      <c r="A129" s="1116" t="s">
        <v>1121</v>
      </c>
      <c r="B129" s="1116"/>
      <c r="C129" s="1116"/>
      <c r="D129" s="1116"/>
      <c r="E129" s="1116"/>
      <c r="F129" s="1116"/>
      <c r="G129" s="1116"/>
      <c r="H129" s="1116">
        <v>4.0859300999999801</v>
      </c>
      <c r="I129" s="1116">
        <v>5.8659999999999995E-4</v>
      </c>
      <c r="J129" s="1116"/>
      <c r="K129" s="1116"/>
      <c r="L129" s="1116"/>
      <c r="M129" s="1116"/>
      <c r="N129" s="1116"/>
      <c r="O129" s="1116"/>
      <c r="P129" s="1116"/>
      <c r="Q129" s="1116"/>
      <c r="R129" s="1116"/>
      <c r="S129" s="1116"/>
      <c r="T129" s="1116">
        <v>2.1670200000000001E-2</v>
      </c>
      <c r="U129" s="1116"/>
      <c r="V129" s="1116"/>
      <c r="W129" s="1116">
        <v>1.1083054000000001</v>
      </c>
      <c r="X129" s="1116"/>
      <c r="Y129" s="1116"/>
      <c r="Z129" s="1116">
        <v>7.4285000000000002E-3</v>
      </c>
      <c r="AA129" s="1116"/>
      <c r="AB129" s="1116">
        <v>3.7820000000000002E-3</v>
      </c>
      <c r="AC129" s="1116"/>
      <c r="AD129" s="1116">
        <v>0.1122446</v>
      </c>
      <c r="AE129" s="1116"/>
      <c r="AF129" s="1116"/>
      <c r="AG129" s="1116"/>
      <c r="AH129" s="1116"/>
      <c r="AI129" s="1116"/>
    </row>
    <row r="130" spans="1:35" ht="15">
      <c r="A130" s="1116" t="s">
        <v>1600</v>
      </c>
      <c r="B130" s="1116">
        <v>3.4294313000000001</v>
      </c>
      <c r="C130" s="1116"/>
      <c r="D130" s="1116">
        <v>1.7966202</v>
      </c>
      <c r="E130" s="1116"/>
      <c r="F130" s="1116"/>
      <c r="G130" s="1116"/>
      <c r="H130" s="1116">
        <v>0.23234589999999999</v>
      </c>
      <c r="I130" s="1116">
        <v>16.186827399999999</v>
      </c>
      <c r="J130" s="1116">
        <v>0.44539990000000002</v>
      </c>
      <c r="K130" s="1116"/>
      <c r="L130" s="1116">
        <v>0.19580449999999999</v>
      </c>
      <c r="M130" s="1116"/>
      <c r="N130" s="1116"/>
      <c r="O130" s="1116"/>
      <c r="P130" s="1116">
        <v>0.74295350000000004</v>
      </c>
      <c r="Q130" s="1116"/>
      <c r="R130" s="1116"/>
      <c r="S130" s="1116">
        <v>4.4984299999999998E-2</v>
      </c>
      <c r="T130" s="1116">
        <v>5.3601422000000003</v>
      </c>
      <c r="U130" s="1116">
        <v>0.15538869999999999</v>
      </c>
      <c r="V130" s="1116"/>
      <c r="W130" s="1116">
        <v>11.3940216</v>
      </c>
      <c r="X130" s="1116"/>
      <c r="Y130" s="1116">
        <v>0.19395760000000001</v>
      </c>
      <c r="Z130" s="1116">
        <v>1.2643314999999999</v>
      </c>
      <c r="AA130" s="1116"/>
      <c r="AB130" s="1116">
        <v>3.36703E-2</v>
      </c>
      <c r="AC130" s="1116">
        <v>0.49446250000000003</v>
      </c>
      <c r="AD130" s="1116">
        <v>1.4908481</v>
      </c>
      <c r="AE130" s="1116"/>
      <c r="AF130" s="1116">
        <v>3.38923</v>
      </c>
      <c r="AG130" s="1116"/>
      <c r="AH130" s="1116"/>
      <c r="AI130" s="1116"/>
    </row>
    <row r="131" spans="1:35" ht="15">
      <c r="A131" s="1116" t="s">
        <v>1604</v>
      </c>
      <c r="B131" s="1116">
        <v>2.0265936</v>
      </c>
      <c r="C131" s="1116"/>
      <c r="D131" s="1116">
        <v>0.60290469999999996</v>
      </c>
      <c r="E131" s="1116"/>
      <c r="F131" s="1116"/>
      <c r="G131" s="1116">
        <v>1.3076064000000001</v>
      </c>
      <c r="H131" s="1116">
        <v>12.724289300000001</v>
      </c>
      <c r="I131" s="1116"/>
      <c r="J131" s="1116">
        <v>1.1531319</v>
      </c>
      <c r="K131" s="1116"/>
      <c r="L131" s="1116"/>
      <c r="M131" s="1116"/>
      <c r="N131" s="1116"/>
      <c r="O131" s="1116"/>
      <c r="P131" s="1116">
        <v>0.18052099999999999</v>
      </c>
      <c r="Q131" s="1116"/>
      <c r="R131" s="1116"/>
      <c r="S131" s="1116">
        <v>1.2956023999999999</v>
      </c>
      <c r="T131" s="1116">
        <v>2.7039360000000001</v>
      </c>
      <c r="U131" s="1116">
        <v>1.7696300000000002E-2</v>
      </c>
      <c r="V131" s="1116"/>
      <c r="W131" s="1116">
        <v>15.041632099999999</v>
      </c>
      <c r="X131" s="1116"/>
      <c r="Y131" s="1116"/>
      <c r="Z131" s="1116"/>
      <c r="AA131" s="1116">
        <v>8.1115300000000001E-2</v>
      </c>
      <c r="AB131" s="1116">
        <v>7.0358400000000001E-2</v>
      </c>
      <c r="AC131" s="1116">
        <v>0.43923760000000001</v>
      </c>
      <c r="AD131" s="1116">
        <v>0.14300470000000001</v>
      </c>
      <c r="AE131" s="1116"/>
      <c r="AF131" s="1116"/>
      <c r="AG131" s="1116"/>
      <c r="AH131" s="1116"/>
      <c r="AI131" s="1116"/>
    </row>
    <row r="132" spans="1:35" ht="15">
      <c r="A132" s="1116" t="s">
        <v>1602</v>
      </c>
      <c r="B132" s="1116">
        <v>3.6025944999999999</v>
      </c>
      <c r="C132" s="1116"/>
      <c r="D132" s="1116">
        <v>3.7686E-3</v>
      </c>
      <c r="E132" s="1116"/>
      <c r="F132" s="1116"/>
      <c r="G132" s="1116"/>
      <c r="H132" s="1116">
        <v>17.643304400000002</v>
      </c>
      <c r="I132" s="1116"/>
      <c r="J132" s="1116">
        <v>0.2978886</v>
      </c>
      <c r="K132" s="1116"/>
      <c r="L132" s="1116"/>
      <c r="M132" s="1116"/>
      <c r="N132" s="1116">
        <v>0.14648349999999999</v>
      </c>
      <c r="O132" s="1116"/>
      <c r="P132" s="1116"/>
      <c r="Q132" s="1116"/>
      <c r="R132" s="1116"/>
      <c r="S132" s="1116">
        <v>1.0101600000000001E-2</v>
      </c>
      <c r="T132" s="1116">
        <v>1.8341799999999998E-2</v>
      </c>
      <c r="U132" s="1116">
        <v>0.54441019999999996</v>
      </c>
      <c r="V132" s="1116"/>
      <c r="W132" s="1116">
        <v>20.326621299999999</v>
      </c>
      <c r="X132" s="1116"/>
      <c r="Y132" s="1116">
        <v>1.3786035000000001</v>
      </c>
      <c r="Z132" s="1116">
        <v>1.8899999999999999E-5</v>
      </c>
      <c r="AA132" s="1116"/>
      <c r="AB132" s="1116">
        <v>1.2115089000000001</v>
      </c>
      <c r="AC132" s="1116">
        <v>0.21578230000000001</v>
      </c>
      <c r="AD132" s="1116">
        <v>1.3085909</v>
      </c>
      <c r="AE132" s="1116"/>
      <c r="AF132" s="1116"/>
      <c r="AG132" s="1116"/>
      <c r="AH132" s="1116"/>
      <c r="AI132" s="1116"/>
    </row>
    <row r="133" spans="1:35" ht="15">
      <c r="A133" s="1116" t="s">
        <v>1558</v>
      </c>
      <c r="B133" s="1116"/>
      <c r="C133" s="1116"/>
      <c r="D133" s="1116"/>
      <c r="E133" s="1116"/>
      <c r="F133" s="1116"/>
      <c r="G133" s="1116"/>
      <c r="H133" s="1116">
        <v>74.224198299999998</v>
      </c>
      <c r="I133" s="1116"/>
      <c r="J133" s="1116"/>
      <c r="K133" s="1116"/>
      <c r="L133" s="1116"/>
      <c r="M133" s="1116"/>
      <c r="N133" s="1116"/>
      <c r="O133" s="1116"/>
      <c r="P133" s="1116"/>
      <c r="Q133" s="1116"/>
      <c r="R133" s="1116"/>
      <c r="S133" s="1116"/>
      <c r="T133" s="1116"/>
      <c r="U133" s="1116">
        <v>0.19660730000000001</v>
      </c>
      <c r="V133" s="1116"/>
      <c r="W133" s="1116">
        <v>44.600130299999996</v>
      </c>
      <c r="X133" s="1116"/>
      <c r="Y133" s="1116">
        <v>2.247468</v>
      </c>
      <c r="Z133" s="1116"/>
      <c r="AA133" s="1116"/>
      <c r="AB133" s="1116"/>
      <c r="AC133" s="1116"/>
      <c r="AD133" s="1116">
        <v>3.4190526000000001</v>
      </c>
      <c r="AE133" s="1116"/>
      <c r="AF133" s="1116"/>
      <c r="AG133" s="1116"/>
      <c r="AH133" s="1116"/>
      <c r="AI133" s="1116"/>
    </row>
    <row r="134" spans="1:35" ht="15">
      <c r="A134" s="1116" t="s">
        <v>1559</v>
      </c>
      <c r="B134" s="1116"/>
      <c r="C134" s="1116"/>
      <c r="D134" s="1116"/>
      <c r="E134" s="1116"/>
      <c r="F134" s="1116"/>
      <c r="G134" s="1116"/>
      <c r="H134" s="1116"/>
      <c r="I134" s="1116"/>
      <c r="J134" s="1116"/>
      <c r="K134" s="1116"/>
      <c r="L134" s="1116"/>
      <c r="M134" s="1116"/>
      <c r="N134" s="1116">
        <v>8.8656100000000002E-2</v>
      </c>
      <c r="O134" s="1116"/>
      <c r="P134" s="1116">
        <v>0.46239160000000001</v>
      </c>
      <c r="Q134" s="1116"/>
      <c r="R134" s="1116"/>
      <c r="S134" s="1116">
        <v>0.39241500000000001</v>
      </c>
      <c r="T134" s="1116">
        <v>0.92725049999999998</v>
      </c>
      <c r="U134" s="1116">
        <v>7.0020600000000002E-2</v>
      </c>
      <c r="V134" s="1116"/>
      <c r="W134" s="1116">
        <v>55.219203499999999</v>
      </c>
      <c r="X134" s="1116"/>
      <c r="Y134" s="1116">
        <v>0.31943769999999999</v>
      </c>
      <c r="Z134" s="1116"/>
      <c r="AA134" s="1116"/>
      <c r="AB134" s="1116"/>
      <c r="AC134" s="1116">
        <v>0.35030450000000002</v>
      </c>
      <c r="AD134" s="1116">
        <v>4.7937189</v>
      </c>
      <c r="AE134" s="1116"/>
      <c r="AF134" s="1116"/>
      <c r="AG134" s="1116"/>
      <c r="AH134" s="1116"/>
      <c r="AI134" s="1116"/>
    </row>
    <row r="135" spans="1:35" ht="15">
      <c r="A135" s="1116" t="s">
        <v>1561</v>
      </c>
      <c r="B135" s="1116"/>
      <c r="C135" s="1116"/>
      <c r="D135" s="1116"/>
      <c r="E135" s="1116"/>
      <c r="F135" s="1116"/>
      <c r="G135" s="1116"/>
      <c r="H135" s="1116">
        <v>5.9000000000000003E-6</v>
      </c>
      <c r="I135" s="1116"/>
      <c r="J135" s="1116">
        <v>11.550565000000001</v>
      </c>
      <c r="K135" s="1116"/>
      <c r="L135" s="1116"/>
      <c r="M135" s="1116"/>
      <c r="N135" s="1116"/>
      <c r="O135" s="1116"/>
      <c r="P135" s="1116"/>
      <c r="Q135" s="1116"/>
      <c r="R135" s="1116"/>
      <c r="S135" s="1116"/>
      <c r="T135" s="1116"/>
      <c r="U135" s="1116"/>
      <c r="V135" s="1116"/>
      <c r="W135" s="1116">
        <v>0.16922770000000001</v>
      </c>
      <c r="X135" s="1116"/>
      <c r="Y135" s="1116"/>
      <c r="Z135" s="1116"/>
      <c r="AA135" s="1116"/>
      <c r="AB135" s="1116"/>
      <c r="AC135" s="1116"/>
      <c r="AD135" s="1116"/>
      <c r="AE135" s="1116"/>
      <c r="AF135" s="1116"/>
      <c r="AG135" s="1116"/>
      <c r="AH135" s="1116"/>
      <c r="AI135" s="1116"/>
    </row>
    <row r="136" spans="1:35" ht="15">
      <c r="A136" s="1116" t="s">
        <v>1562</v>
      </c>
      <c r="B136" s="1116"/>
      <c r="C136" s="1116"/>
      <c r="D136" s="1116">
        <v>5.3755400000000002E-2</v>
      </c>
      <c r="E136" s="1116"/>
      <c r="F136" s="1116"/>
      <c r="G136" s="1116">
        <v>1.18867E-2</v>
      </c>
      <c r="H136" s="1116">
        <v>5.3288456000000002</v>
      </c>
      <c r="I136" s="1116"/>
      <c r="J136" s="1116"/>
      <c r="K136" s="1116"/>
      <c r="L136" s="1116"/>
      <c r="M136" s="1116"/>
      <c r="N136" s="1116"/>
      <c r="O136" s="1116"/>
      <c r="P136" s="1116"/>
      <c r="Q136" s="1116"/>
      <c r="R136" s="1116"/>
      <c r="S136" s="1116">
        <v>0.2522221</v>
      </c>
      <c r="T136" s="1116">
        <v>1.5028000000000001E-3</v>
      </c>
      <c r="U136" s="1116"/>
      <c r="V136" s="1116"/>
      <c r="W136" s="1116">
        <v>6.7761524</v>
      </c>
      <c r="X136" s="1116"/>
      <c r="Y136" s="1116"/>
      <c r="Z136" s="1116"/>
      <c r="AA136" s="1116"/>
      <c r="AB136" s="1116">
        <v>7.29876E-2</v>
      </c>
      <c r="AC136" s="1116">
        <v>2.4969100000000001E-2</v>
      </c>
      <c r="AD136" s="1116">
        <v>1.4765500000000001E-2</v>
      </c>
      <c r="AE136" s="1116"/>
      <c r="AF136" s="1116"/>
      <c r="AG136" s="1116"/>
      <c r="AH136" s="1116"/>
      <c r="AI136" s="1116"/>
    </row>
    <row r="137" spans="1:35" ht="15">
      <c r="A137" s="1116" t="s">
        <v>1564</v>
      </c>
      <c r="B137" s="1116">
        <v>3.6327753</v>
      </c>
      <c r="C137" s="1116">
        <v>0.22153129999999999</v>
      </c>
      <c r="D137" s="1116"/>
      <c r="E137" s="1116"/>
      <c r="F137" s="1116"/>
      <c r="G137" s="1116"/>
      <c r="H137" s="1116">
        <v>30.344966700000001</v>
      </c>
      <c r="I137" s="1116">
        <v>1.0131000000000001E-3</v>
      </c>
      <c r="J137" s="1116">
        <v>1.3299785</v>
      </c>
      <c r="K137" s="1116"/>
      <c r="L137" s="1116">
        <v>10.857117799999999</v>
      </c>
      <c r="M137" s="1116"/>
      <c r="N137" s="1116"/>
      <c r="O137" s="1116"/>
      <c r="P137" s="1116"/>
      <c r="Q137" s="1116"/>
      <c r="R137" s="1116"/>
      <c r="S137" s="1116">
        <v>1.2830642999999999</v>
      </c>
      <c r="T137" s="1116">
        <v>2.7628363</v>
      </c>
      <c r="U137" s="1116"/>
      <c r="V137" s="1116"/>
      <c r="W137" s="1116">
        <v>16.8491982</v>
      </c>
      <c r="X137" s="1116"/>
      <c r="Y137" s="1116">
        <v>3.8602600000000001E-2</v>
      </c>
      <c r="Z137" s="1116">
        <v>0.106351</v>
      </c>
      <c r="AA137" s="1116"/>
      <c r="AB137" s="1116">
        <v>0.97345090000000001</v>
      </c>
      <c r="AC137" s="1116">
        <v>4.2311132999999996</v>
      </c>
      <c r="AD137" s="1116">
        <v>0.69759970000000004</v>
      </c>
      <c r="AE137" s="1116"/>
      <c r="AF137" s="1116">
        <v>7.247E-4</v>
      </c>
      <c r="AG137" s="1116"/>
      <c r="AH137" s="1116"/>
      <c r="AI137" s="1116"/>
    </row>
    <row r="138" spans="1:35" ht="15">
      <c r="A138" s="1116" t="s">
        <v>1567</v>
      </c>
      <c r="B138" s="1116">
        <v>4.6466899999999998E-2</v>
      </c>
      <c r="C138" s="1116"/>
      <c r="D138" s="1116"/>
      <c r="E138" s="1116"/>
      <c r="F138" s="1116"/>
      <c r="G138" s="1116"/>
      <c r="H138" s="1116">
        <v>14.414108499999999</v>
      </c>
      <c r="I138" s="1116">
        <v>7.1721699999999999E-2</v>
      </c>
      <c r="J138" s="1116">
        <v>7.4817900000000007E-2</v>
      </c>
      <c r="K138" s="1116"/>
      <c r="L138" s="1116"/>
      <c r="M138" s="1116"/>
      <c r="N138" s="1116"/>
      <c r="O138" s="1116"/>
      <c r="P138" s="1116">
        <v>0.20754210000000001</v>
      </c>
      <c r="Q138" s="1116"/>
      <c r="R138" s="1116"/>
      <c r="S138" s="1116"/>
      <c r="T138" s="1116">
        <v>0.27023419999999998</v>
      </c>
      <c r="U138" s="1116"/>
      <c r="V138" s="1116"/>
      <c r="W138" s="1116">
        <v>8.8189392000000009</v>
      </c>
      <c r="X138" s="1116"/>
      <c r="Y138" s="1116">
        <v>1.9210472000000001</v>
      </c>
      <c r="Z138" s="1116"/>
      <c r="AA138" s="1116"/>
      <c r="AB138" s="1116"/>
      <c r="AC138" s="1116">
        <v>0.1829047</v>
      </c>
      <c r="AD138" s="1116">
        <v>0.1736374</v>
      </c>
      <c r="AE138" s="1116"/>
      <c r="AF138" s="1116"/>
      <c r="AG138" s="1116"/>
      <c r="AH138" s="1116"/>
      <c r="AI138" s="1116"/>
    </row>
    <row r="139" spans="1:35" ht="15">
      <c r="A139" s="1116" t="s">
        <v>1574</v>
      </c>
      <c r="B139" s="1116"/>
      <c r="C139" s="1116"/>
      <c r="D139" s="1116"/>
      <c r="E139" s="1116"/>
      <c r="F139" s="1116"/>
      <c r="G139" s="1116"/>
      <c r="H139" s="1116">
        <v>5.4556507999999999</v>
      </c>
      <c r="I139" s="1116"/>
      <c r="J139" s="1116">
        <v>3.8331597999999998</v>
      </c>
      <c r="K139" s="1116"/>
      <c r="L139" s="1116"/>
      <c r="M139" s="1116"/>
      <c r="N139" s="1116"/>
      <c r="O139" s="1116"/>
      <c r="P139" s="1116"/>
      <c r="Q139" s="1116"/>
      <c r="R139" s="1116"/>
      <c r="S139" s="1116"/>
      <c r="T139" s="1116"/>
      <c r="U139" s="1116">
        <v>3.9153399999999998E-2</v>
      </c>
      <c r="V139" s="1116"/>
      <c r="W139" s="1116">
        <v>5.0920399999999998E-2</v>
      </c>
      <c r="X139" s="1116"/>
      <c r="Y139" s="1116"/>
      <c r="Z139" s="1116"/>
      <c r="AA139" s="1116"/>
      <c r="AB139" s="1116"/>
      <c r="AC139" s="1116"/>
      <c r="AD139" s="1116"/>
      <c r="AE139" s="1116"/>
      <c r="AF139" s="1116"/>
      <c r="AG139" s="1116"/>
      <c r="AH139" s="1116"/>
      <c r="AI139" s="1116"/>
    </row>
    <row r="140" spans="1:35" ht="15">
      <c r="A140" s="1116" t="s">
        <v>1594</v>
      </c>
      <c r="B140" s="1116">
        <v>2.9756299999999999E-2</v>
      </c>
      <c r="C140" s="1116"/>
      <c r="D140" s="1116"/>
      <c r="E140" s="1116"/>
      <c r="F140" s="1116"/>
      <c r="G140" s="1116"/>
      <c r="H140" s="1116">
        <v>6.8539417</v>
      </c>
      <c r="I140" s="1116"/>
      <c r="J140" s="1116">
        <v>0.30578549999999999</v>
      </c>
      <c r="K140" s="1116"/>
      <c r="L140" s="1116"/>
      <c r="M140" s="1116"/>
      <c r="N140" s="1116"/>
      <c r="O140" s="1116"/>
      <c r="P140" s="1116"/>
      <c r="Q140" s="1116"/>
      <c r="R140" s="1116"/>
      <c r="S140" s="1116">
        <v>4.8983100000000002E-2</v>
      </c>
      <c r="T140" s="1116">
        <v>4.2629054000000002</v>
      </c>
      <c r="U140" s="1116">
        <v>0.2099433</v>
      </c>
      <c r="V140" s="1116"/>
      <c r="W140" s="1116">
        <v>23.413240600000002</v>
      </c>
      <c r="X140" s="1116"/>
      <c r="Y140" s="1116">
        <v>0.92833830000000095</v>
      </c>
      <c r="Z140" s="1116"/>
      <c r="AA140" s="1116"/>
      <c r="AB140" s="1116">
        <v>1.43269E-2</v>
      </c>
      <c r="AC140" s="1116">
        <v>6.4983999999999997E-3</v>
      </c>
      <c r="AD140" s="1116">
        <v>0.17271700000000001</v>
      </c>
      <c r="AE140" s="1116"/>
      <c r="AF140" s="1116">
        <v>1.2972872</v>
      </c>
      <c r="AG140" s="1116"/>
      <c r="AH140" s="1116"/>
      <c r="AI140" s="1116"/>
    </row>
    <row r="141" spans="1:35" ht="15">
      <c r="A141" s="1116" t="s">
        <v>1598</v>
      </c>
      <c r="B141" s="1116">
        <v>7.8463130000000003</v>
      </c>
      <c r="C141" s="1116"/>
      <c r="D141" s="1116"/>
      <c r="E141" s="1116"/>
      <c r="F141" s="1116">
        <v>6.4524999999999999E-3</v>
      </c>
      <c r="G141" s="1116"/>
      <c r="H141" s="1116">
        <v>25.473816299999999</v>
      </c>
      <c r="I141" s="1116"/>
      <c r="J141" s="1116"/>
      <c r="K141" s="1116"/>
      <c r="L141" s="1116"/>
      <c r="M141" s="1116"/>
      <c r="N141" s="1116"/>
      <c r="O141" s="1116"/>
      <c r="P141" s="1116"/>
      <c r="Q141" s="1116"/>
      <c r="R141" s="1116"/>
      <c r="S141" s="1116">
        <v>4.0787972000000003</v>
      </c>
      <c r="T141" s="1116">
        <v>10.222542900000001</v>
      </c>
      <c r="U141" s="1116">
        <v>0.1159342</v>
      </c>
      <c r="V141" s="1116"/>
      <c r="W141" s="1116">
        <v>34.994843600000003</v>
      </c>
      <c r="X141" s="1116"/>
      <c r="Y141" s="1116">
        <v>5.1487394999999996</v>
      </c>
      <c r="Z141" s="1116">
        <v>1.89047E-2</v>
      </c>
      <c r="AA141" s="1116"/>
      <c r="AB141" s="1116">
        <v>0.2391268</v>
      </c>
      <c r="AC141" s="1116">
        <v>2.2441835999999999</v>
      </c>
      <c r="AD141" s="1116">
        <v>3.3087456</v>
      </c>
      <c r="AE141" s="1116"/>
      <c r="AF141" s="1116">
        <v>3.1341299</v>
      </c>
      <c r="AG141" s="1116"/>
      <c r="AH141" s="1116">
        <v>0.11689869999999999</v>
      </c>
      <c r="AI141" s="1116"/>
    </row>
    <row r="142" spans="1:35" ht="15">
      <c r="A142" s="1116" t="s">
        <v>1608</v>
      </c>
      <c r="B142" s="1116">
        <v>0.1470157</v>
      </c>
      <c r="C142" s="1116"/>
      <c r="D142" s="1116">
        <v>4.8873699999999999E-2</v>
      </c>
      <c r="E142" s="1116"/>
      <c r="F142" s="1116"/>
      <c r="G142" s="1116"/>
      <c r="H142" s="1116">
        <v>6.4114996</v>
      </c>
      <c r="I142" s="1116">
        <v>2.9494800000000002E-2</v>
      </c>
      <c r="J142" s="1116">
        <v>3.0033441999999999</v>
      </c>
      <c r="K142" s="1116">
        <v>1.31658E-2</v>
      </c>
      <c r="L142" s="1116">
        <v>0.22434850000000001</v>
      </c>
      <c r="M142" s="1116">
        <v>8.4409999999999997E-4</v>
      </c>
      <c r="N142" s="1116"/>
      <c r="O142" s="1116"/>
      <c r="P142" s="1116"/>
      <c r="Q142" s="1116"/>
      <c r="R142" s="1116"/>
      <c r="S142" s="1116">
        <v>0.36934240000000002</v>
      </c>
      <c r="T142" s="1116">
        <v>5.1468407999999997</v>
      </c>
      <c r="U142" s="1116"/>
      <c r="V142" s="1116"/>
      <c r="W142" s="1116">
        <v>15.3400096</v>
      </c>
      <c r="X142" s="1116"/>
      <c r="Y142" s="1116">
        <v>1.894771</v>
      </c>
      <c r="Z142" s="1116"/>
      <c r="AA142" s="1116"/>
      <c r="AB142" s="1116"/>
      <c r="AC142" s="1116">
        <v>0.17512559999999999</v>
      </c>
      <c r="AD142" s="1116">
        <v>0.30216680000000001</v>
      </c>
      <c r="AE142" s="1116"/>
      <c r="AF142" s="1116">
        <v>5.71271E-2</v>
      </c>
      <c r="AG142" s="1116"/>
      <c r="AH142" s="1116">
        <v>3.0467600000000001E-2</v>
      </c>
      <c r="AI142" s="1116">
        <v>0.1489132</v>
      </c>
    </row>
    <row r="143" spans="1:35" ht="15">
      <c r="A143" s="1116" t="s">
        <v>1614</v>
      </c>
      <c r="B143" s="1116"/>
      <c r="C143" s="1116"/>
      <c r="D143" s="1116">
        <v>2.6516000000000001E-2</v>
      </c>
      <c r="E143" s="1116"/>
      <c r="F143" s="1116"/>
      <c r="G143" s="1116"/>
      <c r="H143" s="1116"/>
      <c r="I143" s="1116"/>
      <c r="J143" s="1116"/>
      <c r="K143" s="1116"/>
      <c r="L143" s="1116"/>
      <c r="M143" s="1116"/>
      <c r="N143" s="1116"/>
      <c r="O143" s="1116"/>
      <c r="P143" s="1116"/>
      <c r="Q143" s="1116"/>
      <c r="R143" s="1116"/>
      <c r="S143" s="1116"/>
      <c r="T143" s="1116">
        <v>4.3581000000000002E-3</v>
      </c>
      <c r="U143" s="1116"/>
      <c r="V143" s="1116"/>
      <c r="W143" s="1116"/>
      <c r="X143" s="1116"/>
      <c r="Y143" s="1116"/>
      <c r="Z143" s="1116"/>
      <c r="AA143" s="1116"/>
      <c r="AB143" s="1116"/>
      <c r="AC143" s="1116"/>
      <c r="AD143" s="1116">
        <v>2.1049999999999999E-4</v>
      </c>
      <c r="AE143" s="1116"/>
      <c r="AF143" s="1116"/>
      <c r="AG143" s="1116"/>
      <c r="AH143" s="1116"/>
      <c r="AI143" s="1116"/>
    </row>
    <row r="144" spans="1:35" ht="15">
      <c r="A144" s="1116" t="s">
        <v>1625</v>
      </c>
      <c r="B144" s="1116"/>
      <c r="C144" s="1116"/>
      <c r="D144" s="1116"/>
      <c r="E144" s="1116"/>
      <c r="F144" s="1116"/>
      <c r="G144" s="1116"/>
      <c r="H144" s="1116"/>
      <c r="I144" s="1116"/>
      <c r="J144" s="1116">
        <v>6.47176E-2</v>
      </c>
      <c r="K144" s="1116"/>
      <c r="L144" s="1116"/>
      <c r="M144" s="1116"/>
      <c r="N144" s="1116"/>
      <c r="O144" s="1116"/>
      <c r="P144" s="1116"/>
      <c r="Q144" s="1116"/>
      <c r="R144" s="1116"/>
      <c r="S144" s="1116"/>
      <c r="T144" s="1116"/>
      <c r="U144" s="1116"/>
      <c r="V144" s="1116"/>
      <c r="W144" s="1116"/>
      <c r="X144" s="1116"/>
      <c r="Y144" s="1116"/>
      <c r="Z144" s="1116"/>
      <c r="AA144" s="1116"/>
      <c r="AB144" s="1116"/>
      <c r="AC144" s="1116"/>
      <c r="AD144" s="1116">
        <v>5.5130000000000001E-4</v>
      </c>
      <c r="AE144" s="1116"/>
      <c r="AF144" s="1116"/>
      <c r="AG144" s="1116"/>
      <c r="AH144" s="1116"/>
      <c r="AI144" s="1116"/>
    </row>
    <row r="145" spans="1:36" ht="15">
      <c r="A145" s="1116" t="s">
        <v>1627</v>
      </c>
      <c r="B145" s="1116">
        <v>0.47198180000000001</v>
      </c>
      <c r="C145" s="1116"/>
      <c r="D145" s="1116"/>
      <c r="E145" s="1116"/>
      <c r="F145" s="1116"/>
      <c r="G145" s="1116"/>
      <c r="H145" s="1116">
        <v>0.32380720000000002</v>
      </c>
      <c r="I145" s="1116"/>
      <c r="J145" s="1116"/>
      <c r="K145" s="1116"/>
      <c r="L145" s="1116"/>
      <c r="M145" s="1116"/>
      <c r="N145" s="1116"/>
      <c r="O145" s="1116"/>
      <c r="P145" s="1116"/>
      <c r="Q145" s="1116"/>
      <c r="R145" s="1116"/>
      <c r="S145" s="1116"/>
      <c r="T145" s="1116">
        <v>1.4408071</v>
      </c>
      <c r="U145" s="1116">
        <v>0.35401329999999998</v>
      </c>
      <c r="V145" s="1116"/>
      <c r="W145" s="1116">
        <v>52.281586799999999</v>
      </c>
      <c r="X145" s="1116"/>
      <c r="Y145" s="1116"/>
      <c r="Z145" s="1116">
        <v>1.1103699999999999E-2</v>
      </c>
      <c r="AA145" s="1116"/>
      <c r="AB145" s="1116">
        <v>1.0927871</v>
      </c>
      <c r="AC145" s="1116">
        <v>0.14186370000000001</v>
      </c>
      <c r="AD145" s="1116">
        <v>0.17152010000000001</v>
      </c>
      <c r="AE145" s="1116"/>
      <c r="AF145" s="1116"/>
      <c r="AG145" s="1116"/>
      <c r="AH145" s="1116"/>
      <c r="AI145" s="1116"/>
    </row>
    <row r="146" spans="1:36" ht="15">
      <c r="A146" s="1116" t="s">
        <v>1631</v>
      </c>
      <c r="B146" s="1116">
        <v>1.0891655</v>
      </c>
      <c r="C146" s="1116"/>
      <c r="D146" s="1116"/>
      <c r="E146" s="1116"/>
      <c r="F146" s="1116"/>
      <c r="G146" s="1116"/>
      <c r="H146" s="1116">
        <v>6.9420251000000004</v>
      </c>
      <c r="I146" s="1116">
        <v>21.928461200000001</v>
      </c>
      <c r="J146" s="1116">
        <v>38.146523899999998</v>
      </c>
      <c r="K146" s="1116"/>
      <c r="L146" s="1116">
        <v>0.53092620000000001</v>
      </c>
      <c r="M146" s="1116">
        <v>2.65536E-2</v>
      </c>
      <c r="N146" s="1116">
        <v>4.0454999999999996E-3</v>
      </c>
      <c r="O146" s="1116"/>
      <c r="P146" s="1116">
        <v>4.0711333999999999</v>
      </c>
      <c r="Q146" s="1116"/>
      <c r="R146" s="1116"/>
      <c r="S146" s="1116">
        <v>1.605397</v>
      </c>
      <c r="T146" s="1116">
        <v>3.0474768999999999</v>
      </c>
      <c r="U146" s="1116"/>
      <c r="V146" s="1116"/>
      <c r="W146" s="1116">
        <v>21.8321583</v>
      </c>
      <c r="X146" s="1116"/>
      <c r="Y146" s="1116">
        <v>0.25769530000000002</v>
      </c>
      <c r="Z146" s="1116">
        <v>0.74201130000000004</v>
      </c>
      <c r="AA146" s="1116"/>
      <c r="AB146" s="1116">
        <v>1.6391146999999999</v>
      </c>
      <c r="AC146" s="1116">
        <v>2.0723733000000002</v>
      </c>
      <c r="AD146" s="1116">
        <v>2.8478216000000001</v>
      </c>
      <c r="AE146" s="1116"/>
      <c r="AF146" s="1116">
        <v>1.0448E-3</v>
      </c>
      <c r="AG146" s="1116"/>
      <c r="AH146" s="1116"/>
      <c r="AI146" s="1116"/>
    </row>
    <row r="147" spans="1:36" ht="15">
      <c r="A147" s="1116" t="s">
        <v>1636</v>
      </c>
      <c r="B147" s="1116">
        <v>1.8060529999999999</v>
      </c>
      <c r="C147" s="1116"/>
      <c r="D147" s="1116">
        <v>1.2978699999999999E-2</v>
      </c>
      <c r="E147" s="1116"/>
      <c r="F147" s="1116"/>
      <c r="G147" s="1116"/>
      <c r="H147" s="1116">
        <v>0.7497994</v>
      </c>
      <c r="I147" s="1116">
        <v>0.19916239999999999</v>
      </c>
      <c r="J147" s="1116">
        <v>16.194520900000001</v>
      </c>
      <c r="K147" s="1116">
        <v>0.164266</v>
      </c>
      <c r="L147" s="1116">
        <v>4.2281000000000003E-3</v>
      </c>
      <c r="M147" s="1116"/>
      <c r="N147" s="1116"/>
      <c r="O147" s="1116"/>
      <c r="P147" s="1116"/>
      <c r="Q147" s="1116"/>
      <c r="R147" s="1116"/>
      <c r="S147" s="1116">
        <v>0.99756679999999998</v>
      </c>
      <c r="T147" s="1116">
        <v>0.2178225</v>
      </c>
      <c r="U147" s="1116">
        <v>7.45479E-2</v>
      </c>
      <c r="V147" s="1116"/>
      <c r="W147" s="1116">
        <v>1.7761000000000001E-3</v>
      </c>
      <c r="X147" s="1116"/>
      <c r="Y147" s="1116"/>
      <c r="Z147" s="1116">
        <v>0.39885120000000002</v>
      </c>
      <c r="AA147" s="1116"/>
      <c r="AB147" s="1116">
        <v>0.45214989999999999</v>
      </c>
      <c r="AC147" s="1116">
        <v>8.5637900000000003E-2</v>
      </c>
      <c r="AD147" s="1116">
        <v>0.83276329999999998</v>
      </c>
      <c r="AE147" s="1116"/>
      <c r="AF147" s="1116"/>
      <c r="AG147" s="1116"/>
      <c r="AH147" s="1116">
        <v>0.125305</v>
      </c>
      <c r="AI147" s="1116">
        <v>2.6534499999999999E-2</v>
      </c>
    </row>
    <row r="148" spans="1:36" ht="15">
      <c r="A148" s="1116" t="s">
        <v>1639</v>
      </c>
      <c r="B148" s="1116"/>
      <c r="C148" s="1116"/>
      <c r="D148" s="1116"/>
      <c r="E148" s="1116"/>
      <c r="F148" s="1116"/>
      <c r="G148" s="1116"/>
      <c r="H148" s="1116">
        <v>22.552801599999999</v>
      </c>
      <c r="I148" s="1116"/>
      <c r="J148" s="1116"/>
      <c r="K148" s="1116"/>
      <c r="L148" s="1116"/>
      <c r="M148" s="1116"/>
      <c r="N148" s="1116"/>
      <c r="O148" s="1116"/>
      <c r="P148" s="1116"/>
      <c r="Q148" s="1116"/>
      <c r="R148" s="1116"/>
      <c r="S148" s="1116"/>
      <c r="T148" s="1116"/>
      <c r="U148" s="1116"/>
      <c r="V148" s="1116"/>
      <c r="W148" s="1116">
        <v>4.9582046000000002</v>
      </c>
      <c r="X148" s="1116"/>
      <c r="Y148" s="1116"/>
      <c r="Z148" s="1116"/>
      <c r="AA148" s="1116"/>
      <c r="AB148" s="1116">
        <v>6.0458999999999999E-3</v>
      </c>
      <c r="AC148" s="1116"/>
      <c r="AD148" s="1116"/>
      <c r="AE148" s="1116"/>
      <c r="AF148" s="1116"/>
      <c r="AG148" s="1116"/>
      <c r="AH148" s="1116"/>
      <c r="AI148" s="1116"/>
    </row>
    <row r="149" spans="1:36" ht="15">
      <c r="A149" s="1116" t="s">
        <v>1641</v>
      </c>
      <c r="B149" s="1116">
        <v>0.97974760000000005</v>
      </c>
      <c r="C149" s="1116"/>
      <c r="D149" s="1116"/>
      <c r="E149" s="1116"/>
      <c r="F149" s="1116"/>
      <c r="G149" s="1116"/>
      <c r="H149" s="1116">
        <v>1.1825782</v>
      </c>
      <c r="I149" s="1116">
        <v>23.245396400000001</v>
      </c>
      <c r="J149" s="1116"/>
      <c r="K149" s="1116"/>
      <c r="L149" s="1116">
        <v>0.1320971</v>
      </c>
      <c r="M149" s="1116">
        <v>4.6217599999999998E-2</v>
      </c>
      <c r="N149" s="1116"/>
      <c r="O149" s="1116"/>
      <c r="P149" s="1116">
        <v>0.17990129999999999</v>
      </c>
      <c r="Q149" s="1116"/>
      <c r="R149" s="1116"/>
      <c r="S149" s="1116">
        <v>1.31263E-2</v>
      </c>
      <c r="T149" s="1116">
        <v>1.2470439</v>
      </c>
      <c r="U149" s="1116"/>
      <c r="V149" s="1116"/>
      <c r="W149" s="1116">
        <v>1.939E-4</v>
      </c>
      <c r="X149" s="1116"/>
      <c r="Y149" s="1116">
        <v>0.96868609999999999</v>
      </c>
      <c r="Z149" s="1116">
        <v>3.3923E-3</v>
      </c>
      <c r="AA149" s="1116"/>
      <c r="AB149" s="1116"/>
      <c r="AC149" s="1116">
        <v>7.8505000000000005E-2</v>
      </c>
      <c r="AD149" s="1116">
        <v>0.1547114</v>
      </c>
      <c r="AE149" s="1116"/>
      <c r="AF149" s="1116"/>
      <c r="AG149" s="1116"/>
      <c r="AH149" s="1116">
        <v>8.8863999999999992E-3</v>
      </c>
      <c r="AI149" s="1116"/>
    </row>
    <row r="150" spans="1:36" ht="15">
      <c r="A150" s="1116" t="s">
        <v>967</v>
      </c>
      <c r="B150" s="1116"/>
      <c r="C150" s="1116"/>
      <c r="D150" s="1116"/>
      <c r="E150" s="1116"/>
      <c r="F150" s="1116">
        <v>4.6035E-3</v>
      </c>
      <c r="G150" s="1116"/>
      <c r="H150" s="1116">
        <v>35.084569799999997</v>
      </c>
      <c r="I150" s="1116"/>
      <c r="J150" s="1116"/>
      <c r="K150" s="1116"/>
      <c r="L150" s="1116"/>
      <c r="M150" s="1116"/>
      <c r="N150" s="1116"/>
      <c r="O150" s="1116"/>
      <c r="P150" s="1116"/>
      <c r="Q150" s="1116"/>
      <c r="R150" s="1116"/>
      <c r="S150" s="1116">
        <v>1.058897</v>
      </c>
      <c r="T150" s="1116">
        <v>0.85074240000000001</v>
      </c>
      <c r="U150" s="1116">
        <v>0.13359599999999999</v>
      </c>
      <c r="V150" s="1116"/>
      <c r="W150" s="1116">
        <v>37.469794800000003</v>
      </c>
      <c r="X150" s="1116"/>
      <c r="Y150" s="1116">
        <v>0.28000229999999998</v>
      </c>
      <c r="Z150" s="1116">
        <v>3.1744E-3</v>
      </c>
      <c r="AA150" s="1116"/>
      <c r="AB150" s="1116">
        <v>0.79095559999999998</v>
      </c>
      <c r="AC150" s="1116">
        <v>1.2310513000000001</v>
      </c>
      <c r="AD150" s="1116">
        <v>8.9667846999999998</v>
      </c>
      <c r="AE150" s="1116"/>
      <c r="AF150" s="1116">
        <v>0.33574110000000001</v>
      </c>
      <c r="AG150" s="1116">
        <v>2.8844316000000001</v>
      </c>
      <c r="AH150" s="1116">
        <v>0.54199189999999997</v>
      </c>
      <c r="AI150" s="1116"/>
    </row>
    <row r="151" spans="1:36" ht="15">
      <c r="A151" s="1116" t="s">
        <v>1660</v>
      </c>
      <c r="B151" s="1116">
        <v>45.162043500000003</v>
      </c>
      <c r="C151" s="1116"/>
      <c r="D151" s="1116">
        <v>0.10200819999999999</v>
      </c>
      <c r="E151" s="1116"/>
      <c r="F151" s="1116"/>
      <c r="G151" s="1116"/>
      <c r="H151" s="1116">
        <v>367.80946449999999</v>
      </c>
      <c r="I151" s="1116"/>
      <c r="J151" s="1116">
        <v>6.7570411999999997</v>
      </c>
      <c r="K151" s="1116"/>
      <c r="L151" s="1116">
        <v>4.2342898</v>
      </c>
      <c r="M151" s="1116">
        <v>1.0546504000000001</v>
      </c>
      <c r="N151" s="1116"/>
      <c r="O151" s="1116">
        <v>0.53211269999999999</v>
      </c>
      <c r="P151" s="1116">
        <v>2.8116151</v>
      </c>
      <c r="Q151" s="1116"/>
      <c r="R151" s="1116"/>
      <c r="S151" s="1116">
        <v>13.8278233</v>
      </c>
      <c r="T151" s="1116">
        <v>24.306102899999999</v>
      </c>
      <c r="U151" s="1116">
        <v>1.8144635</v>
      </c>
      <c r="V151" s="1116"/>
      <c r="W151" s="1116">
        <v>111.8067921</v>
      </c>
      <c r="X151" s="1116"/>
      <c r="Y151" s="1116"/>
      <c r="Z151" s="1116">
        <v>25.574999500000001</v>
      </c>
      <c r="AA151" s="1116"/>
      <c r="AB151" s="1116">
        <v>0.79106279999999995</v>
      </c>
      <c r="AC151" s="1116">
        <v>8.2130104999999993</v>
      </c>
      <c r="AD151" s="1116">
        <v>8.6730924999999992</v>
      </c>
      <c r="AE151" s="1116"/>
      <c r="AF151" s="1116">
        <v>25.6645428</v>
      </c>
      <c r="AG151" s="1116"/>
      <c r="AH151" s="1116">
        <v>14.112340400000001</v>
      </c>
      <c r="AI151" s="1116"/>
    </row>
    <row r="152" spans="1:36" ht="15">
      <c r="A152" s="1116" t="s">
        <v>1667</v>
      </c>
      <c r="B152" s="1116">
        <v>9.0268000000000001E-2</v>
      </c>
      <c r="C152" s="1116"/>
      <c r="D152" s="1116">
        <v>6.8671399999999994E-2</v>
      </c>
      <c r="E152" s="1116"/>
      <c r="F152" s="1116"/>
      <c r="G152" s="1116">
        <v>4.6725497000000003</v>
      </c>
      <c r="H152" s="1116">
        <v>35.119779899999997</v>
      </c>
      <c r="I152" s="1116"/>
      <c r="J152" s="1116">
        <v>11.9301928</v>
      </c>
      <c r="K152" s="1116"/>
      <c r="L152" s="1116">
        <v>0.7312864</v>
      </c>
      <c r="M152" s="1116"/>
      <c r="N152" s="1116">
        <v>0.60263789999999995</v>
      </c>
      <c r="O152" s="1116"/>
      <c r="P152" s="1116"/>
      <c r="Q152" s="1116"/>
      <c r="R152" s="1116"/>
      <c r="S152" s="1116">
        <v>4.3455431000000004</v>
      </c>
      <c r="T152" s="1116">
        <v>5.5697369999999999</v>
      </c>
      <c r="U152" s="1116">
        <v>4.7177499999999997E-2</v>
      </c>
      <c r="V152" s="1116"/>
      <c r="W152" s="1116">
        <v>37.8070393</v>
      </c>
      <c r="X152" s="1116"/>
      <c r="Y152" s="1116"/>
      <c r="Z152" s="1116"/>
      <c r="AA152" s="1116"/>
      <c r="AB152" s="1116">
        <v>0.14317969999999999</v>
      </c>
      <c r="AC152" s="1116">
        <v>0.51405619999999996</v>
      </c>
      <c r="AD152" s="1116">
        <v>0.62256639999999996</v>
      </c>
      <c r="AE152" s="1116"/>
      <c r="AF152" s="1116">
        <v>5.7570797999999996</v>
      </c>
      <c r="AG152" s="1116"/>
      <c r="AH152" s="1116"/>
      <c r="AI152" s="1116"/>
    </row>
    <row r="153" spans="1:36" ht="15">
      <c r="A153" s="1116" t="s">
        <v>1673</v>
      </c>
      <c r="B153" s="1116"/>
      <c r="C153" s="1116"/>
      <c r="D153" s="1116"/>
      <c r="E153" s="1116"/>
      <c r="F153" s="1116"/>
      <c r="G153" s="1116">
        <v>0.22899320000000001</v>
      </c>
      <c r="H153" s="1116">
        <v>6.2769275000000002</v>
      </c>
      <c r="I153" s="1116"/>
      <c r="J153" s="1116">
        <v>0.47950340000000002</v>
      </c>
      <c r="K153" s="1116"/>
      <c r="L153" s="1116"/>
      <c r="M153" s="1116"/>
      <c r="N153" s="1116"/>
      <c r="O153" s="1116"/>
      <c r="P153" s="1116"/>
      <c r="Q153" s="1116"/>
      <c r="R153" s="1116"/>
      <c r="S153" s="1116"/>
      <c r="T153" s="1116">
        <v>9.3464699999999998E-2</v>
      </c>
      <c r="U153" s="1116"/>
      <c r="V153" s="1116"/>
      <c r="W153" s="1116">
        <v>7.2316792000000003</v>
      </c>
      <c r="X153" s="1116"/>
      <c r="Y153" s="1116"/>
      <c r="Z153" s="1116"/>
      <c r="AA153" s="1116"/>
      <c r="AB153" s="1116">
        <v>1.1306699999999999E-2</v>
      </c>
      <c r="AC153" s="1116"/>
      <c r="AD153" s="1116">
        <v>3.8106599999999997E-2</v>
      </c>
      <c r="AE153" s="1116"/>
      <c r="AF153" s="1116"/>
      <c r="AG153" s="1116"/>
      <c r="AH153" s="1116"/>
      <c r="AI153" s="1116"/>
    </row>
    <row r="154" spans="1:36" ht="15">
      <c r="A154" s="1116" t="s">
        <v>1682</v>
      </c>
      <c r="B154" s="1116"/>
      <c r="C154" s="1116"/>
      <c r="D154" s="1116"/>
      <c r="E154" s="1116"/>
      <c r="F154" s="1116"/>
      <c r="G154" s="1116"/>
      <c r="H154" s="1116">
        <v>0.17335220000000001</v>
      </c>
      <c r="I154" s="1116"/>
      <c r="J154" s="1116">
        <v>0.14507300000000001</v>
      </c>
      <c r="K154" s="1116"/>
      <c r="L154" s="1116"/>
      <c r="M154" s="1116"/>
      <c r="N154" s="1116"/>
      <c r="O154" s="1116"/>
      <c r="P154" s="1116"/>
      <c r="Q154" s="1116"/>
      <c r="R154" s="1116"/>
      <c r="S154" s="1116"/>
      <c r="T154" s="1116"/>
      <c r="U154" s="1116"/>
      <c r="V154" s="1116"/>
      <c r="W154" s="1116">
        <v>2.231E-4</v>
      </c>
      <c r="X154" s="1116"/>
      <c r="Y154" s="1116"/>
      <c r="Z154" s="1116"/>
      <c r="AA154" s="1116"/>
      <c r="AB154" s="1116"/>
      <c r="AC154" s="1116"/>
      <c r="AD154" s="1116"/>
      <c r="AE154" s="1116"/>
      <c r="AF154" s="1116"/>
      <c r="AG154" s="1116"/>
      <c r="AH154" s="1116"/>
      <c r="AI154" s="1116"/>
    </row>
    <row r="155" spans="1:36" ht="15">
      <c r="A155" s="1116" t="s">
        <v>1684</v>
      </c>
      <c r="B155" s="1116"/>
      <c r="C155" s="1116"/>
      <c r="D155" s="1116"/>
      <c r="E155" s="1116"/>
      <c r="F155" s="1116"/>
      <c r="G155" s="1116"/>
      <c r="H155" s="1116"/>
      <c r="I155" s="1116"/>
      <c r="J155" s="1116">
        <v>0.48280040000000002</v>
      </c>
      <c r="K155" s="1116"/>
      <c r="L155" s="1116"/>
      <c r="M155" s="1116"/>
      <c r="N155" s="1116"/>
      <c r="O155" s="1116"/>
      <c r="P155" s="1116"/>
      <c r="Q155" s="1116"/>
      <c r="R155" s="1116"/>
      <c r="S155" s="1116"/>
      <c r="T155" s="1116">
        <v>7.0368999999999996E-3</v>
      </c>
      <c r="U155" s="1116"/>
      <c r="V155" s="1116"/>
      <c r="W155" s="1116">
        <v>0.37333620000000001</v>
      </c>
      <c r="X155" s="1116"/>
      <c r="Y155" s="1116"/>
      <c r="Z155" s="1116"/>
      <c r="AA155" s="1116"/>
      <c r="AB155" s="1116"/>
      <c r="AC155" s="1116"/>
      <c r="AD155" s="1116">
        <v>6.6265999999999999E-3</v>
      </c>
      <c r="AE155" s="1116"/>
      <c r="AF155" s="1116"/>
      <c r="AG155" s="1116"/>
      <c r="AH155" s="1116"/>
      <c r="AI155" s="1116"/>
    </row>
    <row r="156" spans="1:36" ht="15">
      <c r="A156" s="1116" t="s">
        <v>1686</v>
      </c>
      <c r="B156" s="1116"/>
      <c r="C156" s="1116"/>
      <c r="D156" s="1116"/>
      <c r="E156" s="1116"/>
      <c r="F156" s="1116"/>
      <c r="G156" s="1116"/>
      <c r="H156" s="1116">
        <v>0.1221826</v>
      </c>
      <c r="I156" s="1116"/>
      <c r="J156" s="1116">
        <v>6.9160690999999996</v>
      </c>
      <c r="K156" s="1116"/>
      <c r="L156" s="1116"/>
      <c r="M156" s="1116"/>
      <c r="N156" s="1116"/>
      <c r="O156" s="1116"/>
      <c r="P156" s="1116"/>
      <c r="Q156" s="1116"/>
      <c r="R156" s="1116"/>
      <c r="S156" s="1116"/>
      <c r="T156" s="1116"/>
      <c r="U156" s="1116"/>
      <c r="V156" s="1116"/>
      <c r="W156" s="1116">
        <v>2.4869015999999999</v>
      </c>
      <c r="X156" s="1116"/>
      <c r="Y156" s="1116"/>
      <c r="Z156" s="1116"/>
      <c r="AA156" s="1116">
        <v>4.2650000000000001E-4</v>
      </c>
      <c r="AB156" s="1116"/>
      <c r="AC156" s="1116"/>
      <c r="AD156" s="1116">
        <v>8.7813699999999995E-2</v>
      </c>
      <c r="AE156" s="1116"/>
      <c r="AF156" s="1116">
        <v>1.8721E-3</v>
      </c>
      <c r="AG156" s="1116"/>
      <c r="AH156" s="1116"/>
      <c r="AI156" s="1116"/>
    </row>
    <row r="157" spans="1:36" ht="15">
      <c r="A157" s="1116" t="s">
        <v>1692</v>
      </c>
      <c r="B157" s="1116"/>
      <c r="C157" s="1116"/>
      <c r="D157" s="1116"/>
      <c r="E157" s="1116"/>
      <c r="F157" s="1116"/>
      <c r="G157" s="1116"/>
      <c r="H157" s="1116">
        <v>6.9770669999999999</v>
      </c>
      <c r="I157" s="1116"/>
      <c r="J157" s="1116">
        <v>2.5945450999999999</v>
      </c>
      <c r="K157" s="1116"/>
      <c r="L157" s="1116">
        <v>3.9192000000000003E-3</v>
      </c>
      <c r="M157" s="1116"/>
      <c r="N157" s="1116"/>
      <c r="O157" s="1116"/>
      <c r="P157" s="1116">
        <v>6.2199999999999994E-5</v>
      </c>
      <c r="Q157" s="1116"/>
      <c r="R157" s="1116"/>
      <c r="S157" s="1116"/>
      <c r="T157" s="1116">
        <v>0.10947369999999999</v>
      </c>
      <c r="U157" s="1116"/>
      <c r="V157" s="1116"/>
      <c r="W157" s="1116"/>
      <c r="X157" s="1116"/>
      <c r="Y157" s="1116"/>
      <c r="Z157" s="1116">
        <v>3.87722E-2</v>
      </c>
      <c r="AA157" s="1116"/>
      <c r="AB157" s="1116"/>
      <c r="AC157" s="1116">
        <v>3.0580900000000001E-2</v>
      </c>
      <c r="AD157" s="1116">
        <v>2.483E-3</v>
      </c>
      <c r="AE157" s="1116"/>
      <c r="AF157" s="1116"/>
      <c r="AG157" s="1116"/>
      <c r="AH157" s="1116"/>
      <c r="AI157" s="1116"/>
    </row>
    <row r="158" spans="1:36" ht="15">
      <c r="A158" s="1116" t="s">
        <v>1697</v>
      </c>
      <c r="B158" s="1116"/>
      <c r="C158" s="1116"/>
      <c r="D158" s="1116"/>
      <c r="E158" s="1116"/>
      <c r="F158" s="1116"/>
      <c r="G158" s="1116"/>
      <c r="H158" s="1116"/>
      <c r="I158" s="1116"/>
      <c r="J158" s="1116">
        <v>0.13130510000000001</v>
      </c>
      <c r="K158" s="1116"/>
      <c r="L158" s="1116">
        <v>2.8736299999999999E-2</v>
      </c>
      <c r="M158" s="1116"/>
      <c r="N158" s="1116"/>
      <c r="O158" s="1116"/>
      <c r="P158" s="1116"/>
      <c r="Q158" s="1116"/>
      <c r="R158" s="1116"/>
      <c r="S158" s="1116"/>
      <c r="T158" s="1116">
        <v>0.86243970000000003</v>
      </c>
      <c r="U158" s="1116"/>
      <c r="V158" s="1116"/>
      <c r="W158" s="1116">
        <v>5.8901999999999999E-3</v>
      </c>
      <c r="X158" s="1116"/>
      <c r="Y158" s="1116"/>
      <c r="Z158" s="1116"/>
      <c r="AA158" s="1116">
        <v>1.28822E-2</v>
      </c>
      <c r="AB158" s="1116"/>
      <c r="AC158" s="1116"/>
      <c r="AD158" s="1116"/>
      <c r="AE158" s="1116"/>
      <c r="AF158" s="1116"/>
      <c r="AG158" s="1116"/>
      <c r="AH158" s="1116"/>
      <c r="AI158" s="1116"/>
    </row>
    <row r="159" spans="1:36" ht="15">
      <c r="A159" s="1116" t="s">
        <v>815</v>
      </c>
      <c r="B159" s="1116"/>
      <c r="C159" s="1116"/>
      <c r="D159" s="1116"/>
      <c r="E159" s="1116"/>
      <c r="F159" s="1116">
        <v>3.0143201999999998</v>
      </c>
      <c r="G159" s="1116">
        <v>1.0866999999999999E-3</v>
      </c>
      <c r="H159" s="1116">
        <v>5.5592702999999997</v>
      </c>
      <c r="I159" s="1116"/>
      <c r="J159" s="1116">
        <v>2.3159999999999999E-4</v>
      </c>
      <c r="K159" s="1116"/>
      <c r="L159" s="1116"/>
      <c r="M159" s="1116">
        <v>0.42294939999999998</v>
      </c>
      <c r="N159" s="1116">
        <v>7.8375600000000004E-2</v>
      </c>
      <c r="O159" s="1116"/>
      <c r="P159" s="1116">
        <v>0.1158126</v>
      </c>
      <c r="Q159" s="1116"/>
      <c r="R159" s="1116"/>
      <c r="S159" s="1116">
        <v>0.24039269999999999</v>
      </c>
      <c r="T159" s="1116">
        <v>5.2633964000000004</v>
      </c>
      <c r="U159" s="1116">
        <v>6.1781999999999997E-2</v>
      </c>
      <c r="V159" s="1116"/>
      <c r="W159" s="1116">
        <v>9.7069393999999996</v>
      </c>
      <c r="X159" s="1116"/>
      <c r="Y159" s="1116">
        <v>10.901676200000001</v>
      </c>
      <c r="Z159" s="1116"/>
      <c r="AA159" s="1116"/>
      <c r="AB159" s="1116">
        <v>0.1207598</v>
      </c>
      <c r="AC159" s="1116">
        <v>2.0050842000000002</v>
      </c>
      <c r="AD159" s="1116">
        <v>3.0605373999999999</v>
      </c>
      <c r="AE159" s="1116"/>
      <c r="AF159" s="1116"/>
      <c r="AG159" s="1116"/>
      <c r="AH159" s="1116">
        <v>1.7386432999999999</v>
      </c>
      <c r="AI159" s="1116"/>
    </row>
    <row r="160" spans="1:36" ht="15">
      <c r="A160" s="1116" t="s">
        <v>357</v>
      </c>
      <c r="B160" s="1116"/>
      <c r="C160" s="1116"/>
      <c r="D160" s="1116"/>
      <c r="E160" s="1116"/>
      <c r="F160" s="1116"/>
      <c r="G160" s="1116"/>
      <c r="H160" s="1116">
        <v>472.93099599999999</v>
      </c>
      <c r="I160" s="1116"/>
      <c r="J160" s="1116"/>
      <c r="K160" s="1116"/>
      <c r="L160" s="1116"/>
      <c r="M160" s="1116"/>
      <c r="N160" s="1116"/>
      <c r="O160" s="1116"/>
      <c r="P160" s="1116"/>
      <c r="Q160" s="1116">
        <v>79.476402399999998</v>
      </c>
      <c r="R160" s="1116">
        <v>0.63890519999999995</v>
      </c>
      <c r="S160" s="1116">
        <v>29.0485921</v>
      </c>
      <c r="T160" s="1116">
        <v>89.293372899999994</v>
      </c>
      <c r="U160" s="1116">
        <v>0.12429809999999999</v>
      </c>
      <c r="V160" s="1116"/>
      <c r="W160" s="1116">
        <v>5.6411200000000002E-2</v>
      </c>
      <c r="X160" s="1116"/>
      <c r="Y160" s="1116">
        <v>8.0243941000000003</v>
      </c>
      <c r="Z160" s="1116">
        <v>3.9521978999999998</v>
      </c>
      <c r="AA160" s="1116"/>
      <c r="AB160" s="1116">
        <v>2.5204309</v>
      </c>
      <c r="AC160" s="1116"/>
      <c r="AD160" s="1116">
        <v>12.1687806</v>
      </c>
      <c r="AE160" s="1116"/>
      <c r="AF160" s="1116">
        <v>19.797510899999999</v>
      </c>
      <c r="AG160" s="1116"/>
      <c r="AH160" s="1116"/>
      <c r="AI160" s="1116">
        <v>1.3929072</v>
      </c>
      <c r="AJ160" s="1087">
        <f>SUM(B160:AI160)</f>
        <v>719.42519949999985</v>
      </c>
    </row>
    <row r="161" spans="1:35" ht="15">
      <c r="A161" s="1116" t="s">
        <v>1718</v>
      </c>
      <c r="B161" s="1116">
        <v>0.81189549999999999</v>
      </c>
      <c r="C161" s="1116"/>
      <c r="D161" s="1116"/>
      <c r="E161" s="1116"/>
      <c r="F161" s="1116"/>
      <c r="G161" s="1116"/>
      <c r="H161" s="1116">
        <v>1.9588612999999999</v>
      </c>
      <c r="I161" s="1116"/>
      <c r="J161" s="1116">
        <v>9.5955334000000008</v>
      </c>
      <c r="K161" s="1116"/>
      <c r="L161" s="1116"/>
      <c r="M161" s="1116"/>
      <c r="N161" s="1116"/>
      <c r="O161" s="1116"/>
      <c r="P161" s="1116"/>
      <c r="Q161" s="1116"/>
      <c r="R161" s="1116"/>
      <c r="S161" s="1116"/>
      <c r="T161" s="1116">
        <v>3.887616</v>
      </c>
      <c r="U161" s="1116">
        <v>2.0081000000000001E-3</v>
      </c>
      <c r="V161" s="1116"/>
      <c r="W161" s="1116">
        <v>15.573868600000001</v>
      </c>
      <c r="X161" s="1116"/>
      <c r="Y161" s="1116">
        <v>0.3147894</v>
      </c>
      <c r="Z161" s="1116">
        <v>1.2680728999999999</v>
      </c>
      <c r="AA161" s="1116"/>
      <c r="AB161" s="1116">
        <v>0.15781290000000001</v>
      </c>
      <c r="AC161" s="1116">
        <v>0.80793700000000002</v>
      </c>
      <c r="AD161" s="1116">
        <v>0.45774399999999998</v>
      </c>
      <c r="AE161" s="1116"/>
      <c r="AF161" s="1116">
        <v>0.206818</v>
      </c>
      <c r="AG161" s="1116"/>
      <c r="AH161" s="1116"/>
      <c r="AI161" s="1116"/>
    </row>
    <row r="162" spans="1:35" ht="15">
      <c r="A162" s="1116" t="s">
        <v>1743</v>
      </c>
      <c r="B162" s="1116">
        <v>5.0764366000000001</v>
      </c>
      <c r="C162" s="1116"/>
      <c r="D162" s="1116"/>
      <c r="E162" s="1116"/>
      <c r="F162" s="1116"/>
      <c r="G162" s="1116"/>
      <c r="H162" s="1116">
        <v>0.40195930000000002</v>
      </c>
      <c r="I162" s="1116"/>
      <c r="J162" s="1116">
        <v>79.188702300000003</v>
      </c>
      <c r="K162" s="1116"/>
      <c r="L162" s="1116"/>
      <c r="M162" s="1116">
        <v>1.1511681</v>
      </c>
      <c r="N162" s="1116">
        <v>0.99688089999999996</v>
      </c>
      <c r="O162" s="1116"/>
      <c r="P162" s="1116">
        <v>0.40979399999999999</v>
      </c>
      <c r="Q162" s="1116"/>
      <c r="R162" s="1116"/>
      <c r="S162" s="1116">
        <v>1.8796028</v>
      </c>
      <c r="T162" s="1116">
        <v>4.3796920999999998</v>
      </c>
      <c r="U162" s="1116"/>
      <c r="V162" s="1116"/>
      <c r="W162" s="1116">
        <v>15.819929</v>
      </c>
      <c r="X162" s="1116"/>
      <c r="Y162" s="1116">
        <v>5.8825649000000002</v>
      </c>
      <c r="Z162" s="1116">
        <v>0.4925292</v>
      </c>
      <c r="AA162" s="1116"/>
      <c r="AB162" s="1116">
        <v>0.41143180000000001</v>
      </c>
      <c r="AC162" s="1116">
        <v>2.6457934000000001</v>
      </c>
      <c r="AD162" s="1116">
        <v>1.3216824</v>
      </c>
      <c r="AE162" s="1116"/>
      <c r="AF162" s="1116"/>
      <c r="AG162" s="1116"/>
      <c r="AH162" s="1116"/>
      <c r="AI162" s="111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2"/>
  <sheetViews>
    <sheetView topLeftCell="A115" workbookViewId="0">
      <selection activeCell="B2" sqref="B2"/>
    </sheetView>
  </sheetViews>
  <sheetFormatPr defaultRowHeight="11.25"/>
  <cols>
    <col min="1" max="1" width="25.7109375" style="1098" customWidth="1"/>
    <col min="2" max="2" width="13" style="1100" customWidth="1"/>
    <col min="3" max="3" width="9.5703125" style="1100" bestFit="1" customWidth="1"/>
    <col min="4" max="4" width="14.140625" style="1100" customWidth="1"/>
    <col min="5" max="16" width="9.5703125" style="1100" bestFit="1" customWidth="1"/>
    <col min="17" max="17" width="11" style="1100" bestFit="1" customWidth="1"/>
    <col min="18" max="18" width="9.5703125" style="1100" bestFit="1" customWidth="1"/>
    <col min="19" max="19" width="9.7109375" style="1100" bestFit="1" customWidth="1"/>
    <col min="20" max="20" width="10.42578125" style="1100" bestFit="1" customWidth="1"/>
    <col min="21" max="25" width="9.5703125" style="1100" bestFit="1" customWidth="1"/>
    <col min="26" max="26" width="9.7109375" style="1100" bestFit="1" customWidth="1"/>
    <col min="27" max="27" width="9.5703125" style="1100" bestFit="1" customWidth="1"/>
    <col min="28" max="28" width="10.42578125" style="1100" bestFit="1" customWidth="1"/>
    <col min="29" max="30" width="9.7109375" style="1100" bestFit="1" customWidth="1"/>
    <col min="31" max="35" width="9.5703125" style="1100" bestFit="1" customWidth="1"/>
    <col min="36" max="36" width="10.85546875" style="1100" bestFit="1" customWidth="1"/>
    <col min="37" max="37" width="10" style="1098" bestFit="1" customWidth="1"/>
    <col min="38" max="16384" width="9.140625" style="1098"/>
  </cols>
  <sheetData>
    <row r="1" spans="1:37" ht="67.5">
      <c r="A1" s="1097" t="s">
        <v>19</v>
      </c>
      <c r="B1" s="1104" t="s">
        <v>4596</v>
      </c>
      <c r="C1" s="1104" t="s">
        <v>4597</v>
      </c>
      <c r="D1" s="1104" t="s">
        <v>4598</v>
      </c>
      <c r="E1" s="1104" t="s">
        <v>4599</v>
      </c>
      <c r="F1" s="1104" t="s">
        <v>4600</v>
      </c>
      <c r="G1" s="1104" t="s">
        <v>4601</v>
      </c>
      <c r="H1" s="1104" t="s">
        <v>4602</v>
      </c>
      <c r="I1" s="1104" t="s">
        <v>4603</v>
      </c>
      <c r="J1" s="1104" t="s">
        <v>4604</v>
      </c>
      <c r="K1" s="1104" t="s">
        <v>4605</v>
      </c>
      <c r="L1" s="1104" t="s">
        <v>4606</v>
      </c>
      <c r="M1" s="1104" t="s">
        <v>4607</v>
      </c>
      <c r="N1" s="1104" t="s">
        <v>4608</v>
      </c>
      <c r="O1" s="1104" t="s">
        <v>4609</v>
      </c>
      <c r="P1" s="1104" t="s">
        <v>4610</v>
      </c>
      <c r="Q1" s="1104" t="s">
        <v>4611</v>
      </c>
      <c r="R1" s="1104" t="s">
        <v>4612</v>
      </c>
      <c r="S1" s="1104" t="s">
        <v>4613</v>
      </c>
      <c r="T1" s="1104" t="s">
        <v>4614</v>
      </c>
      <c r="U1" s="1104" t="s">
        <v>4615</v>
      </c>
      <c r="V1" s="1104" t="s">
        <v>4616</v>
      </c>
      <c r="W1" s="1104" t="s">
        <v>4617</v>
      </c>
      <c r="X1" s="1104" t="s">
        <v>4618</v>
      </c>
      <c r="Y1" s="1104" t="s">
        <v>4619</v>
      </c>
      <c r="Z1" s="1104" t="s">
        <v>4620</v>
      </c>
      <c r="AA1" s="1104" t="s">
        <v>4621</v>
      </c>
      <c r="AB1" s="1104" t="s">
        <v>4622</v>
      </c>
      <c r="AC1" s="1104" t="s">
        <v>4623</v>
      </c>
      <c r="AD1" s="1104" t="s">
        <v>4624</v>
      </c>
      <c r="AE1" s="1104" t="s">
        <v>4625</v>
      </c>
      <c r="AF1" s="1104" t="s">
        <v>4626</v>
      </c>
      <c r="AG1" s="1104" t="s">
        <v>4627</v>
      </c>
      <c r="AH1" s="1104" t="s">
        <v>4628</v>
      </c>
      <c r="AI1" s="1104" t="s">
        <v>4629</v>
      </c>
      <c r="AJ1" s="1104" t="s">
        <v>38</v>
      </c>
      <c r="AK1" s="1098" t="s">
        <v>2686</v>
      </c>
    </row>
    <row r="2" spans="1:37">
      <c r="A2" s="1099" t="s">
        <v>672</v>
      </c>
      <c r="B2" s="1100">
        <f>VLOOKUP(B$1,'cost per tipologia de sòl'!$A$2:$D$37,4,FALSE)*'T50'!B2</f>
        <v>1039559.49</v>
      </c>
      <c r="C2" s="1100">
        <f>VLOOKUP(C$1,'cost per tipologia de sòl'!$A$2:$D$37,4,FALSE)*'T50'!C2</f>
        <v>0</v>
      </c>
      <c r="D2" s="1100">
        <f>VLOOKUP(D$1,'cost per tipologia de sòl'!$A$2:$D$37,4,FALSE)*'T50'!D2</f>
        <v>0</v>
      </c>
      <c r="E2" s="1100">
        <f>VLOOKUP(E$1,'cost per tipologia de sòl'!$A$2:$D$37,4,FALSE)*'T50'!E2</f>
        <v>226292.11199999999</v>
      </c>
      <c r="F2" s="1100">
        <f>VLOOKUP(F$1,'cost per tipologia de sòl'!$A$2:$D$37,4,FALSE)*'T50'!F2</f>
        <v>0</v>
      </c>
      <c r="G2" s="1100">
        <f>VLOOKUP(G$1,'cost per tipologia de sòl'!$A$2:$D$37,4,FALSE)*'T50'!G2</f>
        <v>0</v>
      </c>
      <c r="H2" s="1100">
        <f>VLOOKUP(H$1,'cost per tipologia de sòl'!$A$2:$D$37,4,FALSE)*'T50'!H2</f>
        <v>0</v>
      </c>
      <c r="I2" s="1100">
        <f>VLOOKUP(I$1,'cost per tipologia de sòl'!$A$2:$D$37,4,FALSE)*'T50'!I2</f>
        <v>0</v>
      </c>
      <c r="J2" s="1100">
        <f>VLOOKUP(J$1,'cost per tipologia de sòl'!$A$2:$D$37,4,FALSE)*'T50'!J2</f>
        <v>90647.281999999992</v>
      </c>
      <c r="K2" s="1100">
        <f>VLOOKUP(K$1,'cost per tipologia de sòl'!$A$2:$D$37,4,FALSE)*'T50'!K2</f>
        <v>0</v>
      </c>
      <c r="L2" s="1100">
        <f>VLOOKUP(L$1,'cost per tipologia de sòl'!$A$2:$D$37,4,FALSE)*'T50'!L2</f>
        <v>0</v>
      </c>
      <c r="M2" s="1100">
        <f>VLOOKUP(M$1,'cost per tipologia de sòl'!$A$2:$D$37,4,FALSE)*'T50'!M2</f>
        <v>0</v>
      </c>
      <c r="N2" s="1100">
        <f>VLOOKUP(N$1,'cost per tipologia de sòl'!$A$2:$D$37,4,FALSE)*'T50'!N2</f>
        <v>0</v>
      </c>
      <c r="O2" s="1100">
        <f>VLOOKUP(O$1,'cost per tipologia de sòl'!$A$2:$D$37,4,FALSE)*'T50'!O2</f>
        <v>0</v>
      </c>
      <c r="P2" s="1100">
        <f>VLOOKUP(P$1,'cost per tipologia de sòl'!$A$2:$D$37,4,FALSE)*'T50'!P2</f>
        <v>0</v>
      </c>
      <c r="Q2" s="1100">
        <f>VLOOKUP(Q$1,'cost per tipologia de sòl'!$A$2:$D$37,4,FALSE)*'T50'!Q2</f>
        <v>0</v>
      </c>
      <c r="R2" s="1100">
        <f>VLOOKUP(R$1,'cost per tipologia de sòl'!$A$2:$D$37,4,FALSE)*'T50'!R2</f>
        <v>0</v>
      </c>
      <c r="S2" s="1100">
        <f>VLOOKUP(S$1,'cost per tipologia de sòl'!$A$2:$D$37,4,FALSE)*'T50'!S2</f>
        <v>190552.32000000001</v>
      </c>
      <c r="T2" s="1100">
        <f>VLOOKUP(T$1,'cost per tipologia de sòl'!$A$2:$D$37,4,FALSE)*'T50'!T2</f>
        <v>24611479.015000001</v>
      </c>
      <c r="U2" s="1100">
        <f>VLOOKUP(U$1,'cost per tipologia de sòl'!$A$2:$D$37,4,FALSE)*'T50'!U2</f>
        <v>0</v>
      </c>
      <c r="V2" s="1100">
        <f>VLOOKUP(V$1,'cost per tipologia de sòl'!$A$2:$D$37,4,FALSE)*'T50'!V2</f>
        <v>0</v>
      </c>
      <c r="W2" s="1100">
        <f>VLOOKUP(W$1,'cost per tipologia de sòl'!$A$2:$D$37,4,FALSE)*'T50'!W2</f>
        <v>0</v>
      </c>
      <c r="X2" s="1100">
        <f>VLOOKUP(X$1,'cost per tipologia de sòl'!$A$2:$D$37,4,FALSE)*'T50'!X2</f>
        <v>0</v>
      </c>
      <c r="Y2" s="1100">
        <f>VLOOKUP(Y$1,'cost per tipologia de sòl'!$A$2:$D$37,4,FALSE)*'T50'!Y2</f>
        <v>0</v>
      </c>
      <c r="Z2" s="1100">
        <f>VLOOKUP(Z$1,'cost per tipologia de sòl'!$A$2:$D$37,4,FALSE)*'T50'!Z2</f>
        <v>5475093.9040000001</v>
      </c>
      <c r="AA2" s="1100">
        <f>VLOOKUP(AA$1,'cost per tipologia de sòl'!$A$2:$D$37,4,FALSE)*'T50'!AA2</f>
        <v>0</v>
      </c>
      <c r="AB2" s="1100">
        <f>VLOOKUP(AB$1,'cost per tipologia de sòl'!$A$2:$D$37,4,FALSE)*'T50'!AB2</f>
        <v>32377358.5</v>
      </c>
      <c r="AC2" s="1100">
        <f>VLOOKUP(AC$1,'cost per tipologia de sòl'!$A$2:$D$37,4,FALSE)*'T50'!AC2</f>
        <v>120085.7</v>
      </c>
      <c r="AD2" s="1100">
        <f>VLOOKUP(AD$1,'cost per tipologia de sòl'!$A$2:$D$37,4,FALSE)*'T50'!AD2</f>
        <v>669054.6</v>
      </c>
      <c r="AE2" s="1100">
        <f>VLOOKUP(AE$1,'cost per tipologia de sòl'!$A$2:$D$37,4,FALSE)*'T50'!AE2</f>
        <v>0</v>
      </c>
      <c r="AF2" s="1100">
        <f>VLOOKUP(AF$1,'cost per tipologia de sòl'!$A$2:$D$37,4,FALSE)*'T50'!AF2</f>
        <v>0</v>
      </c>
      <c r="AG2" s="1100">
        <f>VLOOKUP(AG$1,'cost per tipologia de sòl'!$A$2:$D$37,4,FALSE)*'T50'!AG2</f>
        <v>0</v>
      </c>
      <c r="AH2" s="1100">
        <f>VLOOKUP(AH$1,'cost per tipologia de sòl'!$A$2:$D$37,4,FALSE)*'T50'!AH2</f>
        <v>0</v>
      </c>
      <c r="AI2" s="1100">
        <f>VLOOKUP(AI$1,'cost per tipologia de sòl'!$A$2:$D$37,4,FALSE)*'T50'!AI2</f>
        <v>0</v>
      </c>
      <c r="AJ2" s="1100">
        <f>SUM(B2:AI2)</f>
        <v>64800122.923</v>
      </c>
      <c r="AK2" s="1098">
        <f>15*AJ2/(50*1000000)</f>
        <v>19.440036876899999</v>
      </c>
    </row>
    <row r="3" spans="1:37">
      <c r="A3" s="1099" t="s">
        <v>797</v>
      </c>
      <c r="B3" s="1100">
        <f>VLOOKUP(B$1,'cost per tipologia de sòl'!$A$2:$D$37,4,FALSE)*'T50'!B3</f>
        <v>23901824.141999997</v>
      </c>
      <c r="C3" s="1100">
        <f>VLOOKUP(C$1,'cost per tipologia de sòl'!$A$2:$D$37,4,FALSE)*'T50'!C3</f>
        <v>0</v>
      </c>
      <c r="D3" s="1100">
        <f>VLOOKUP(D$1,'cost per tipologia de sòl'!$A$2:$D$37,4,FALSE)*'T50'!D3</f>
        <v>11513896.001999998</v>
      </c>
      <c r="E3" s="1100">
        <f>VLOOKUP(E$1,'cost per tipologia de sòl'!$A$2:$D$37,4,FALSE)*'T50'!E3</f>
        <v>0</v>
      </c>
      <c r="F3" s="1100">
        <f>VLOOKUP(F$1,'cost per tipologia de sòl'!$A$2:$D$37,4,FALSE)*'T50'!F3</f>
        <v>0</v>
      </c>
      <c r="G3" s="1100">
        <f>VLOOKUP(G$1,'cost per tipologia de sòl'!$A$2:$D$37,4,FALSE)*'T50'!G3</f>
        <v>0</v>
      </c>
      <c r="H3" s="1100">
        <f>VLOOKUP(H$1,'cost per tipologia de sòl'!$A$2:$D$37,4,FALSE)*'T50'!H3</f>
        <v>0</v>
      </c>
      <c r="I3" s="1100">
        <f>VLOOKUP(I$1,'cost per tipologia de sòl'!$A$2:$D$37,4,FALSE)*'T50'!I3</f>
        <v>0</v>
      </c>
      <c r="J3" s="1100">
        <f>VLOOKUP(J$1,'cost per tipologia de sòl'!$A$2:$D$37,4,FALSE)*'T50'!J3</f>
        <v>7866.9634999999989</v>
      </c>
      <c r="K3" s="1100">
        <f>VLOOKUP(K$1,'cost per tipologia de sòl'!$A$2:$D$37,4,FALSE)*'T50'!K3</f>
        <v>184413.41100000002</v>
      </c>
      <c r="L3" s="1100">
        <f>VLOOKUP(L$1,'cost per tipologia de sòl'!$A$2:$D$37,4,FALSE)*'T50'!L3</f>
        <v>0</v>
      </c>
      <c r="M3" s="1100">
        <f>VLOOKUP(M$1,'cost per tipologia de sòl'!$A$2:$D$37,4,FALSE)*'T50'!M3</f>
        <v>5807551.96</v>
      </c>
      <c r="N3" s="1100">
        <f>VLOOKUP(N$1,'cost per tipologia de sòl'!$A$2:$D$37,4,FALSE)*'T50'!N3</f>
        <v>3085224.04</v>
      </c>
      <c r="O3" s="1100">
        <f>VLOOKUP(O$1,'cost per tipologia de sòl'!$A$2:$D$37,4,FALSE)*'T50'!O3</f>
        <v>5589058.5279999999</v>
      </c>
      <c r="P3" s="1100">
        <f>VLOOKUP(P$1,'cost per tipologia de sòl'!$A$2:$D$37,4,FALSE)*'T50'!P3</f>
        <v>186573.56</v>
      </c>
      <c r="Q3" s="1100">
        <f>VLOOKUP(Q$1,'cost per tipologia de sòl'!$A$2:$D$37,4,FALSE)*'T50'!Q3</f>
        <v>0</v>
      </c>
      <c r="R3" s="1100">
        <f>VLOOKUP(R$1,'cost per tipologia de sòl'!$A$2:$D$37,4,FALSE)*'T50'!R3</f>
        <v>0</v>
      </c>
      <c r="S3" s="1100">
        <f>VLOOKUP(S$1,'cost per tipologia de sòl'!$A$2:$D$37,4,FALSE)*'T50'!S3</f>
        <v>1975026.8160000001</v>
      </c>
      <c r="T3" s="1100">
        <f>VLOOKUP(T$1,'cost per tipologia de sòl'!$A$2:$D$37,4,FALSE)*'T50'!T3</f>
        <v>308907.00599999999</v>
      </c>
      <c r="U3" s="1100">
        <f>VLOOKUP(U$1,'cost per tipologia de sòl'!$A$2:$D$37,4,FALSE)*'T50'!U3</f>
        <v>0</v>
      </c>
      <c r="V3" s="1100">
        <f>VLOOKUP(V$1,'cost per tipologia de sòl'!$A$2:$D$37,4,FALSE)*'T50'!V3</f>
        <v>0</v>
      </c>
      <c r="W3" s="1100">
        <f>VLOOKUP(W$1,'cost per tipologia de sòl'!$A$2:$D$37,4,FALSE)*'T50'!W3</f>
        <v>0</v>
      </c>
      <c r="X3" s="1100">
        <f>VLOOKUP(X$1,'cost per tipologia de sòl'!$A$2:$D$37,4,FALSE)*'T50'!X3</f>
        <v>0</v>
      </c>
      <c r="Y3" s="1100">
        <f>VLOOKUP(Y$1,'cost per tipologia de sòl'!$A$2:$D$37,4,FALSE)*'T50'!Y3</f>
        <v>0</v>
      </c>
      <c r="Z3" s="1100">
        <f>VLOOKUP(Z$1,'cost per tipologia de sòl'!$A$2:$D$37,4,FALSE)*'T50'!Z3</f>
        <v>0</v>
      </c>
      <c r="AA3" s="1100">
        <f>VLOOKUP(AA$1,'cost per tipologia de sòl'!$A$2:$D$37,4,FALSE)*'T50'!AA3</f>
        <v>0</v>
      </c>
      <c r="AB3" s="1100">
        <f>VLOOKUP(AB$1,'cost per tipologia de sòl'!$A$2:$D$37,4,FALSE)*'T50'!AB3</f>
        <v>0</v>
      </c>
      <c r="AC3" s="1100">
        <f>VLOOKUP(AC$1,'cost per tipologia de sòl'!$A$2:$D$37,4,FALSE)*'T50'!AC3</f>
        <v>20763070.800000001</v>
      </c>
      <c r="AD3" s="1100">
        <f>VLOOKUP(AD$1,'cost per tipologia de sòl'!$A$2:$D$37,4,FALSE)*'T50'!AD3</f>
        <v>8766089.8499999996</v>
      </c>
      <c r="AE3" s="1100">
        <f>VLOOKUP(AE$1,'cost per tipologia de sòl'!$A$2:$D$37,4,FALSE)*'T50'!AE3</f>
        <v>0</v>
      </c>
      <c r="AF3" s="1100">
        <f>VLOOKUP(AF$1,'cost per tipologia de sòl'!$A$2:$D$37,4,FALSE)*'T50'!AF3</f>
        <v>0</v>
      </c>
      <c r="AG3" s="1100">
        <f>VLOOKUP(AG$1,'cost per tipologia de sòl'!$A$2:$D$37,4,FALSE)*'T50'!AG3</f>
        <v>0</v>
      </c>
      <c r="AH3" s="1100">
        <f>VLOOKUP(AH$1,'cost per tipologia de sòl'!$A$2:$D$37,4,FALSE)*'T50'!AH3</f>
        <v>0</v>
      </c>
      <c r="AI3" s="1100">
        <f>VLOOKUP(AI$1,'cost per tipologia de sòl'!$A$2:$D$37,4,FALSE)*'T50'!AI3</f>
        <v>0</v>
      </c>
      <c r="AJ3" s="1100">
        <f t="shared" ref="AJ3:AJ66" si="0">SUM(B3:AI3)</f>
        <v>82089503.078499988</v>
      </c>
      <c r="AK3" s="1098">
        <f t="shared" ref="AK3:AK66" si="1">15*AJ3/(50*1000000)</f>
        <v>24.626850923549995</v>
      </c>
    </row>
    <row r="4" spans="1:37">
      <c r="A4" s="1099" t="s">
        <v>767</v>
      </c>
      <c r="B4" s="1100">
        <f>VLOOKUP(B$1,'cost per tipologia de sòl'!$A$2:$D$37,4,FALSE)*'T50'!B4</f>
        <v>634971.90600000008</v>
      </c>
      <c r="C4" s="1100">
        <f>VLOOKUP(C$1,'cost per tipologia de sòl'!$A$2:$D$37,4,FALSE)*'T50'!C4</f>
        <v>0</v>
      </c>
      <c r="D4" s="1100">
        <f>VLOOKUP(D$1,'cost per tipologia de sòl'!$A$2:$D$37,4,FALSE)*'T50'!D4</f>
        <v>0</v>
      </c>
      <c r="E4" s="1100">
        <f>VLOOKUP(E$1,'cost per tipologia de sòl'!$A$2:$D$37,4,FALSE)*'T50'!E4</f>
        <v>0</v>
      </c>
      <c r="F4" s="1100">
        <f>VLOOKUP(F$1,'cost per tipologia de sòl'!$A$2:$D$37,4,FALSE)*'T50'!F4</f>
        <v>0</v>
      </c>
      <c r="G4" s="1100">
        <f>VLOOKUP(G$1,'cost per tipologia de sòl'!$A$2:$D$37,4,FALSE)*'T50'!G4</f>
        <v>0</v>
      </c>
      <c r="H4" s="1100">
        <f>VLOOKUP(H$1,'cost per tipologia de sòl'!$A$2:$D$37,4,FALSE)*'T50'!H4</f>
        <v>0</v>
      </c>
      <c r="I4" s="1100">
        <f>VLOOKUP(I$1,'cost per tipologia de sòl'!$A$2:$D$37,4,FALSE)*'T50'!I4</f>
        <v>0</v>
      </c>
      <c r="J4" s="1100">
        <f>VLOOKUP(J$1,'cost per tipologia de sòl'!$A$2:$D$37,4,FALSE)*'T50'!J4</f>
        <v>0</v>
      </c>
      <c r="K4" s="1100">
        <f>VLOOKUP(K$1,'cost per tipologia de sòl'!$A$2:$D$37,4,FALSE)*'T50'!K4</f>
        <v>0</v>
      </c>
      <c r="L4" s="1100">
        <f>VLOOKUP(L$1,'cost per tipologia de sòl'!$A$2:$D$37,4,FALSE)*'T50'!L4</f>
        <v>0</v>
      </c>
      <c r="M4" s="1100">
        <f>VLOOKUP(M$1,'cost per tipologia de sòl'!$A$2:$D$37,4,FALSE)*'T50'!M4</f>
        <v>0</v>
      </c>
      <c r="N4" s="1100">
        <f>VLOOKUP(N$1,'cost per tipologia de sòl'!$A$2:$D$37,4,FALSE)*'T50'!N4</f>
        <v>0</v>
      </c>
      <c r="O4" s="1100">
        <f>VLOOKUP(O$1,'cost per tipologia de sòl'!$A$2:$D$37,4,FALSE)*'T50'!O4</f>
        <v>0</v>
      </c>
      <c r="P4" s="1100">
        <f>VLOOKUP(P$1,'cost per tipologia de sòl'!$A$2:$D$37,4,FALSE)*'T50'!P4</f>
        <v>0</v>
      </c>
      <c r="Q4" s="1100">
        <f>VLOOKUP(Q$1,'cost per tipologia de sòl'!$A$2:$D$37,4,FALSE)*'T50'!Q4</f>
        <v>0</v>
      </c>
      <c r="R4" s="1100">
        <f>VLOOKUP(R$1,'cost per tipologia de sòl'!$A$2:$D$37,4,FALSE)*'T50'!R4</f>
        <v>0</v>
      </c>
      <c r="S4" s="1100">
        <f>VLOOKUP(S$1,'cost per tipologia de sòl'!$A$2:$D$37,4,FALSE)*'T50'!S4</f>
        <v>0</v>
      </c>
      <c r="T4" s="1100">
        <f>VLOOKUP(T$1,'cost per tipologia de sòl'!$A$2:$D$37,4,FALSE)*'T50'!T4</f>
        <v>41468399.647</v>
      </c>
      <c r="U4" s="1100">
        <f>VLOOKUP(U$1,'cost per tipologia de sòl'!$A$2:$D$37,4,FALSE)*'T50'!U4</f>
        <v>0</v>
      </c>
      <c r="V4" s="1100">
        <f>VLOOKUP(V$1,'cost per tipologia de sòl'!$A$2:$D$37,4,FALSE)*'T50'!V4</f>
        <v>0</v>
      </c>
      <c r="W4" s="1100">
        <f>VLOOKUP(W$1,'cost per tipologia de sòl'!$A$2:$D$37,4,FALSE)*'T50'!W4</f>
        <v>0</v>
      </c>
      <c r="X4" s="1100">
        <f>VLOOKUP(X$1,'cost per tipologia de sòl'!$A$2:$D$37,4,FALSE)*'T50'!X4</f>
        <v>0</v>
      </c>
      <c r="Y4" s="1100">
        <f>VLOOKUP(Y$1,'cost per tipologia de sòl'!$A$2:$D$37,4,FALSE)*'T50'!Y4</f>
        <v>0</v>
      </c>
      <c r="Z4" s="1100">
        <f>VLOOKUP(Z$1,'cost per tipologia de sòl'!$A$2:$D$37,4,FALSE)*'T50'!Z4</f>
        <v>9231461.4820000008</v>
      </c>
      <c r="AA4" s="1100">
        <f>VLOOKUP(AA$1,'cost per tipologia de sòl'!$A$2:$D$37,4,FALSE)*'T50'!AA4</f>
        <v>0</v>
      </c>
      <c r="AB4" s="1100">
        <f>VLOOKUP(AB$1,'cost per tipologia de sòl'!$A$2:$D$37,4,FALSE)*'T50'!AB4</f>
        <v>0</v>
      </c>
      <c r="AC4" s="1100">
        <f>VLOOKUP(AC$1,'cost per tipologia de sòl'!$A$2:$D$37,4,FALSE)*'T50'!AC4</f>
        <v>10302.75</v>
      </c>
      <c r="AD4" s="1100">
        <f>VLOOKUP(AD$1,'cost per tipologia de sòl'!$A$2:$D$37,4,FALSE)*'T50'!AD4</f>
        <v>2853110.3000000003</v>
      </c>
      <c r="AE4" s="1100">
        <f>VLOOKUP(AE$1,'cost per tipologia de sòl'!$A$2:$D$37,4,FALSE)*'T50'!AE4</f>
        <v>0</v>
      </c>
      <c r="AF4" s="1100">
        <f>VLOOKUP(AF$1,'cost per tipologia de sòl'!$A$2:$D$37,4,FALSE)*'T50'!AF4</f>
        <v>0</v>
      </c>
      <c r="AG4" s="1100">
        <f>VLOOKUP(AG$1,'cost per tipologia de sòl'!$A$2:$D$37,4,FALSE)*'T50'!AG4</f>
        <v>0</v>
      </c>
      <c r="AH4" s="1100">
        <f>VLOOKUP(AH$1,'cost per tipologia de sòl'!$A$2:$D$37,4,FALSE)*'T50'!AH4</f>
        <v>0</v>
      </c>
      <c r="AI4" s="1100">
        <f>VLOOKUP(AI$1,'cost per tipologia de sòl'!$A$2:$D$37,4,FALSE)*'T50'!AI4</f>
        <v>0</v>
      </c>
      <c r="AJ4" s="1100">
        <f t="shared" si="0"/>
        <v>54198246.085000001</v>
      </c>
      <c r="AK4" s="1098">
        <f t="shared" si="1"/>
        <v>16.259473825499999</v>
      </c>
    </row>
    <row r="5" spans="1:37">
      <c r="A5" s="1099" t="s">
        <v>774</v>
      </c>
      <c r="B5" s="1100">
        <f>VLOOKUP(B$1,'cost per tipologia de sòl'!$A$2:$D$37,4,FALSE)*'T50'!B5</f>
        <v>676242.9</v>
      </c>
      <c r="C5" s="1100">
        <f>VLOOKUP(C$1,'cost per tipologia de sòl'!$A$2:$D$37,4,FALSE)*'T50'!C5</f>
        <v>0</v>
      </c>
      <c r="D5" s="1100">
        <f>VLOOKUP(D$1,'cost per tipologia de sòl'!$A$2:$D$37,4,FALSE)*'T50'!D5</f>
        <v>0</v>
      </c>
      <c r="E5" s="1100">
        <f>VLOOKUP(E$1,'cost per tipologia de sòl'!$A$2:$D$37,4,FALSE)*'T50'!E5</f>
        <v>0</v>
      </c>
      <c r="F5" s="1100">
        <f>VLOOKUP(F$1,'cost per tipologia de sòl'!$A$2:$D$37,4,FALSE)*'T50'!F5</f>
        <v>0</v>
      </c>
      <c r="G5" s="1100">
        <f>VLOOKUP(G$1,'cost per tipologia de sòl'!$A$2:$D$37,4,FALSE)*'T50'!G5</f>
        <v>0</v>
      </c>
      <c r="H5" s="1100">
        <f>VLOOKUP(H$1,'cost per tipologia de sòl'!$A$2:$D$37,4,FALSE)*'T50'!H5</f>
        <v>0</v>
      </c>
      <c r="I5" s="1100">
        <f>VLOOKUP(I$1,'cost per tipologia de sòl'!$A$2:$D$37,4,FALSE)*'T50'!I5</f>
        <v>0</v>
      </c>
      <c r="J5" s="1100">
        <f>VLOOKUP(J$1,'cost per tipologia de sòl'!$A$2:$D$37,4,FALSE)*'T50'!J5</f>
        <v>8411.3755000000001</v>
      </c>
      <c r="K5" s="1100">
        <f>VLOOKUP(K$1,'cost per tipologia de sòl'!$A$2:$D$37,4,FALSE)*'T50'!K5</f>
        <v>0</v>
      </c>
      <c r="L5" s="1100">
        <f>VLOOKUP(L$1,'cost per tipologia de sòl'!$A$2:$D$37,4,FALSE)*'T50'!L5</f>
        <v>0</v>
      </c>
      <c r="M5" s="1100">
        <f>VLOOKUP(M$1,'cost per tipologia de sòl'!$A$2:$D$37,4,FALSE)*'T50'!M5</f>
        <v>0</v>
      </c>
      <c r="N5" s="1100">
        <f>VLOOKUP(N$1,'cost per tipologia de sòl'!$A$2:$D$37,4,FALSE)*'T50'!N5</f>
        <v>99347.063999999998</v>
      </c>
      <c r="O5" s="1100">
        <f>VLOOKUP(O$1,'cost per tipologia de sòl'!$A$2:$D$37,4,FALSE)*'T50'!O5</f>
        <v>0</v>
      </c>
      <c r="P5" s="1100">
        <f>VLOOKUP(P$1,'cost per tipologia de sòl'!$A$2:$D$37,4,FALSE)*'T50'!P5</f>
        <v>0</v>
      </c>
      <c r="Q5" s="1100">
        <f>VLOOKUP(Q$1,'cost per tipologia de sòl'!$A$2:$D$37,4,FALSE)*'T50'!Q5</f>
        <v>0</v>
      </c>
      <c r="R5" s="1100">
        <f>VLOOKUP(R$1,'cost per tipologia de sòl'!$A$2:$D$37,4,FALSE)*'T50'!R5</f>
        <v>0</v>
      </c>
      <c r="S5" s="1100">
        <f>VLOOKUP(S$1,'cost per tipologia de sòl'!$A$2:$D$37,4,FALSE)*'T50'!S5</f>
        <v>0</v>
      </c>
      <c r="T5" s="1100">
        <f>VLOOKUP(T$1,'cost per tipologia de sòl'!$A$2:$D$37,4,FALSE)*'T50'!T5</f>
        <v>1551054.2949999999</v>
      </c>
      <c r="U5" s="1100">
        <f>VLOOKUP(U$1,'cost per tipologia de sòl'!$A$2:$D$37,4,FALSE)*'T50'!U5</f>
        <v>0</v>
      </c>
      <c r="V5" s="1100">
        <f>VLOOKUP(V$1,'cost per tipologia de sòl'!$A$2:$D$37,4,FALSE)*'T50'!V5</f>
        <v>0</v>
      </c>
      <c r="W5" s="1100">
        <f>VLOOKUP(W$1,'cost per tipologia de sòl'!$A$2:$D$37,4,FALSE)*'T50'!W5</f>
        <v>0</v>
      </c>
      <c r="X5" s="1100">
        <f>VLOOKUP(X$1,'cost per tipologia de sòl'!$A$2:$D$37,4,FALSE)*'T50'!X5</f>
        <v>0</v>
      </c>
      <c r="Y5" s="1100">
        <f>VLOOKUP(Y$1,'cost per tipologia de sòl'!$A$2:$D$37,4,FALSE)*'T50'!Y5</f>
        <v>0</v>
      </c>
      <c r="Z5" s="1100">
        <f>VLOOKUP(Z$1,'cost per tipologia de sòl'!$A$2:$D$37,4,FALSE)*'T50'!Z5</f>
        <v>0</v>
      </c>
      <c r="AA5" s="1100">
        <f>VLOOKUP(AA$1,'cost per tipologia de sòl'!$A$2:$D$37,4,FALSE)*'T50'!AA5</f>
        <v>0</v>
      </c>
      <c r="AB5" s="1100">
        <f>VLOOKUP(AB$1,'cost per tipologia de sòl'!$A$2:$D$37,4,FALSE)*'T50'!AB5</f>
        <v>85302.399999999994</v>
      </c>
      <c r="AC5" s="1100">
        <f>VLOOKUP(AC$1,'cost per tipologia de sòl'!$A$2:$D$37,4,FALSE)*'T50'!AC5</f>
        <v>27243.149999999998</v>
      </c>
      <c r="AD5" s="1100">
        <f>VLOOKUP(AD$1,'cost per tipologia de sòl'!$A$2:$D$37,4,FALSE)*'T50'!AD5</f>
        <v>31822.15</v>
      </c>
      <c r="AE5" s="1100">
        <f>VLOOKUP(AE$1,'cost per tipologia de sòl'!$A$2:$D$37,4,FALSE)*'T50'!AE5</f>
        <v>0</v>
      </c>
      <c r="AF5" s="1100">
        <f>VLOOKUP(AF$1,'cost per tipologia de sòl'!$A$2:$D$37,4,FALSE)*'T50'!AF5</f>
        <v>0</v>
      </c>
      <c r="AG5" s="1100">
        <f>VLOOKUP(AG$1,'cost per tipologia de sòl'!$A$2:$D$37,4,FALSE)*'T50'!AG5</f>
        <v>0</v>
      </c>
      <c r="AH5" s="1100">
        <f>VLOOKUP(AH$1,'cost per tipologia de sòl'!$A$2:$D$37,4,FALSE)*'T50'!AH5</f>
        <v>0</v>
      </c>
      <c r="AI5" s="1100">
        <f>VLOOKUP(AI$1,'cost per tipologia de sòl'!$A$2:$D$37,4,FALSE)*'T50'!AI5</f>
        <v>0</v>
      </c>
      <c r="AJ5" s="1100">
        <f t="shared" si="0"/>
        <v>2479423.3344999994</v>
      </c>
      <c r="AK5" s="1098">
        <f t="shared" si="1"/>
        <v>0.74382700034999982</v>
      </c>
    </row>
    <row r="6" spans="1:37">
      <c r="A6" s="1099" t="s">
        <v>781</v>
      </c>
      <c r="B6" s="1100">
        <f>VLOOKUP(B$1,'cost per tipologia de sòl'!$A$2:$D$37,4,FALSE)*'T50'!B6</f>
        <v>737204.45400000003</v>
      </c>
      <c r="C6" s="1100">
        <f>VLOOKUP(C$1,'cost per tipologia de sòl'!$A$2:$D$37,4,FALSE)*'T50'!C6</f>
        <v>0</v>
      </c>
      <c r="D6" s="1100">
        <f>VLOOKUP(D$1,'cost per tipologia de sòl'!$A$2:$D$37,4,FALSE)*'T50'!D6</f>
        <v>0</v>
      </c>
      <c r="E6" s="1100">
        <f>VLOOKUP(E$1,'cost per tipologia de sòl'!$A$2:$D$37,4,FALSE)*'T50'!E6</f>
        <v>0</v>
      </c>
      <c r="F6" s="1100">
        <f>VLOOKUP(F$1,'cost per tipologia de sòl'!$A$2:$D$37,4,FALSE)*'T50'!F6</f>
        <v>0</v>
      </c>
      <c r="G6" s="1100">
        <f>VLOOKUP(G$1,'cost per tipologia de sòl'!$A$2:$D$37,4,FALSE)*'T50'!G6</f>
        <v>0</v>
      </c>
      <c r="H6" s="1100">
        <f>VLOOKUP(H$1,'cost per tipologia de sòl'!$A$2:$D$37,4,FALSE)*'T50'!H6</f>
        <v>0</v>
      </c>
      <c r="I6" s="1100">
        <f>VLOOKUP(I$1,'cost per tipologia de sòl'!$A$2:$D$37,4,FALSE)*'T50'!I6</f>
        <v>0</v>
      </c>
      <c r="J6" s="1100">
        <f>VLOOKUP(J$1,'cost per tipologia de sòl'!$A$2:$D$37,4,FALSE)*'T50'!J6</f>
        <v>0</v>
      </c>
      <c r="K6" s="1100">
        <f>VLOOKUP(K$1,'cost per tipologia de sòl'!$A$2:$D$37,4,FALSE)*'T50'!K6</f>
        <v>311672.34000000003</v>
      </c>
      <c r="L6" s="1100">
        <f>VLOOKUP(L$1,'cost per tipologia de sòl'!$A$2:$D$37,4,FALSE)*'T50'!L6</f>
        <v>0</v>
      </c>
      <c r="M6" s="1100">
        <f>VLOOKUP(M$1,'cost per tipologia de sòl'!$A$2:$D$37,4,FALSE)*'T50'!M6</f>
        <v>0</v>
      </c>
      <c r="N6" s="1100">
        <f>VLOOKUP(N$1,'cost per tipologia de sòl'!$A$2:$D$37,4,FALSE)*'T50'!N6</f>
        <v>0</v>
      </c>
      <c r="O6" s="1100">
        <f>VLOOKUP(O$1,'cost per tipologia de sòl'!$A$2:$D$37,4,FALSE)*'T50'!O6</f>
        <v>0</v>
      </c>
      <c r="P6" s="1100">
        <f>VLOOKUP(P$1,'cost per tipologia de sòl'!$A$2:$D$37,4,FALSE)*'T50'!P6</f>
        <v>0</v>
      </c>
      <c r="Q6" s="1100">
        <f>VLOOKUP(Q$1,'cost per tipologia de sòl'!$A$2:$D$37,4,FALSE)*'T50'!Q6</f>
        <v>0</v>
      </c>
      <c r="R6" s="1100">
        <f>VLOOKUP(R$1,'cost per tipologia de sòl'!$A$2:$D$37,4,FALSE)*'T50'!R6</f>
        <v>0</v>
      </c>
      <c r="S6" s="1100">
        <f>VLOOKUP(S$1,'cost per tipologia de sòl'!$A$2:$D$37,4,FALSE)*'T50'!S6</f>
        <v>2694012.048</v>
      </c>
      <c r="T6" s="1100">
        <f>VLOOKUP(T$1,'cost per tipologia de sòl'!$A$2:$D$37,4,FALSE)*'T50'!T6</f>
        <v>1296952.588</v>
      </c>
      <c r="U6" s="1100">
        <f>VLOOKUP(U$1,'cost per tipologia de sòl'!$A$2:$D$37,4,FALSE)*'T50'!U6</f>
        <v>0</v>
      </c>
      <c r="V6" s="1100">
        <f>VLOOKUP(V$1,'cost per tipologia de sòl'!$A$2:$D$37,4,FALSE)*'T50'!V6</f>
        <v>0</v>
      </c>
      <c r="W6" s="1100">
        <f>VLOOKUP(W$1,'cost per tipologia de sòl'!$A$2:$D$37,4,FALSE)*'T50'!W6</f>
        <v>0</v>
      </c>
      <c r="X6" s="1100">
        <f>VLOOKUP(X$1,'cost per tipologia de sòl'!$A$2:$D$37,4,FALSE)*'T50'!X6</f>
        <v>0</v>
      </c>
      <c r="Y6" s="1100">
        <f>VLOOKUP(Y$1,'cost per tipologia de sòl'!$A$2:$D$37,4,FALSE)*'T50'!Y6</f>
        <v>0</v>
      </c>
      <c r="Z6" s="1100">
        <f>VLOOKUP(Z$1,'cost per tipologia de sòl'!$A$2:$D$37,4,FALSE)*'T50'!Z6</f>
        <v>3874788.202</v>
      </c>
      <c r="AA6" s="1100">
        <f>VLOOKUP(AA$1,'cost per tipologia de sòl'!$A$2:$D$37,4,FALSE)*'T50'!AA6</f>
        <v>0</v>
      </c>
      <c r="AB6" s="1100">
        <f>VLOOKUP(AB$1,'cost per tipologia de sòl'!$A$2:$D$37,4,FALSE)*'T50'!AB6</f>
        <v>466618.15</v>
      </c>
      <c r="AC6" s="1100">
        <f>VLOOKUP(AC$1,'cost per tipologia de sòl'!$A$2:$D$37,4,FALSE)*'T50'!AC6</f>
        <v>545507.1</v>
      </c>
      <c r="AD6" s="1100">
        <f>VLOOKUP(AD$1,'cost per tipologia de sòl'!$A$2:$D$37,4,FALSE)*'T50'!AD6</f>
        <v>1043221.6</v>
      </c>
      <c r="AE6" s="1100">
        <f>VLOOKUP(AE$1,'cost per tipologia de sòl'!$A$2:$D$37,4,FALSE)*'T50'!AE6</f>
        <v>0</v>
      </c>
      <c r="AF6" s="1100">
        <f>VLOOKUP(AF$1,'cost per tipologia de sòl'!$A$2:$D$37,4,FALSE)*'T50'!AF6</f>
        <v>0</v>
      </c>
      <c r="AG6" s="1100">
        <f>VLOOKUP(AG$1,'cost per tipologia de sòl'!$A$2:$D$37,4,FALSE)*'T50'!AG6</f>
        <v>0</v>
      </c>
      <c r="AH6" s="1100">
        <f>VLOOKUP(AH$1,'cost per tipologia de sòl'!$A$2:$D$37,4,FALSE)*'T50'!AH6</f>
        <v>0</v>
      </c>
      <c r="AI6" s="1100">
        <f>VLOOKUP(AI$1,'cost per tipologia de sòl'!$A$2:$D$37,4,FALSE)*'T50'!AI6</f>
        <v>0</v>
      </c>
      <c r="AJ6" s="1100">
        <f t="shared" si="0"/>
        <v>10969976.481999999</v>
      </c>
      <c r="AK6" s="1098">
        <f t="shared" si="1"/>
        <v>3.2909929445999997</v>
      </c>
    </row>
    <row r="7" spans="1:37">
      <c r="A7" s="1099" t="s">
        <v>1748</v>
      </c>
      <c r="B7" s="1100">
        <f>VLOOKUP(B$1,'cost per tipologia de sòl'!$A$2:$D$37,4,FALSE)*'T50'!B7</f>
        <v>0</v>
      </c>
      <c r="C7" s="1100">
        <f>VLOOKUP(C$1,'cost per tipologia de sòl'!$A$2:$D$37,4,FALSE)*'T50'!C7</f>
        <v>0</v>
      </c>
      <c r="D7" s="1100">
        <f>VLOOKUP(D$1,'cost per tipologia de sòl'!$A$2:$D$37,4,FALSE)*'T50'!D7</f>
        <v>0</v>
      </c>
      <c r="E7" s="1100">
        <f>VLOOKUP(E$1,'cost per tipologia de sòl'!$A$2:$D$37,4,FALSE)*'T50'!E7</f>
        <v>0</v>
      </c>
      <c r="F7" s="1100">
        <f>VLOOKUP(F$1,'cost per tipologia de sòl'!$A$2:$D$37,4,FALSE)*'T50'!F7</f>
        <v>0</v>
      </c>
      <c r="G7" s="1100">
        <f>VLOOKUP(G$1,'cost per tipologia de sòl'!$A$2:$D$37,4,FALSE)*'T50'!G7</f>
        <v>0</v>
      </c>
      <c r="H7" s="1100">
        <f>VLOOKUP(H$1,'cost per tipologia de sòl'!$A$2:$D$37,4,FALSE)*'T50'!H7</f>
        <v>0</v>
      </c>
      <c r="I7" s="1100">
        <f>VLOOKUP(I$1,'cost per tipologia de sòl'!$A$2:$D$37,4,FALSE)*'T50'!I7</f>
        <v>0</v>
      </c>
      <c r="J7" s="1100">
        <f>VLOOKUP(J$1,'cost per tipologia de sòl'!$A$2:$D$37,4,FALSE)*'T50'!J7</f>
        <v>0</v>
      </c>
      <c r="K7" s="1100">
        <f>VLOOKUP(K$1,'cost per tipologia de sòl'!$A$2:$D$37,4,FALSE)*'T50'!K7</f>
        <v>0</v>
      </c>
      <c r="L7" s="1100">
        <f>VLOOKUP(L$1,'cost per tipologia de sòl'!$A$2:$D$37,4,FALSE)*'T50'!L7</f>
        <v>0</v>
      </c>
      <c r="M7" s="1100">
        <f>VLOOKUP(M$1,'cost per tipologia de sòl'!$A$2:$D$37,4,FALSE)*'T50'!M7</f>
        <v>0</v>
      </c>
      <c r="N7" s="1100">
        <f>VLOOKUP(N$1,'cost per tipologia de sòl'!$A$2:$D$37,4,FALSE)*'T50'!N7</f>
        <v>9036630.8959999997</v>
      </c>
      <c r="O7" s="1100">
        <f>VLOOKUP(O$1,'cost per tipologia de sòl'!$A$2:$D$37,4,FALSE)*'T50'!O7</f>
        <v>0</v>
      </c>
      <c r="P7" s="1100">
        <f>VLOOKUP(P$1,'cost per tipologia de sòl'!$A$2:$D$37,4,FALSE)*'T50'!P7</f>
        <v>0</v>
      </c>
      <c r="Q7" s="1100">
        <f>VLOOKUP(Q$1,'cost per tipologia de sòl'!$A$2:$D$37,4,FALSE)*'T50'!Q7</f>
        <v>0</v>
      </c>
      <c r="R7" s="1100">
        <f>VLOOKUP(R$1,'cost per tipologia de sòl'!$A$2:$D$37,4,FALSE)*'T50'!R7</f>
        <v>0</v>
      </c>
      <c r="S7" s="1100">
        <f>VLOOKUP(S$1,'cost per tipologia de sòl'!$A$2:$D$37,4,FALSE)*'T50'!S7</f>
        <v>4186679.6160000004</v>
      </c>
      <c r="T7" s="1100">
        <f>VLOOKUP(T$1,'cost per tipologia de sòl'!$A$2:$D$37,4,FALSE)*'T50'!T7</f>
        <v>8524102.2640000004</v>
      </c>
      <c r="U7" s="1100">
        <f>VLOOKUP(U$1,'cost per tipologia de sòl'!$A$2:$D$37,4,FALSE)*'T50'!U7</f>
        <v>0</v>
      </c>
      <c r="V7" s="1100">
        <f>VLOOKUP(V$1,'cost per tipologia de sòl'!$A$2:$D$37,4,FALSE)*'T50'!V7</f>
        <v>0</v>
      </c>
      <c r="W7" s="1100">
        <f>VLOOKUP(W$1,'cost per tipologia de sòl'!$A$2:$D$37,4,FALSE)*'T50'!W7</f>
        <v>0</v>
      </c>
      <c r="X7" s="1100">
        <f>VLOOKUP(X$1,'cost per tipologia de sòl'!$A$2:$D$37,4,FALSE)*'T50'!X7</f>
        <v>0</v>
      </c>
      <c r="Y7" s="1100">
        <f>VLOOKUP(Y$1,'cost per tipologia de sòl'!$A$2:$D$37,4,FALSE)*'T50'!Y7</f>
        <v>0</v>
      </c>
      <c r="Z7" s="1100">
        <f>VLOOKUP(Z$1,'cost per tipologia de sòl'!$A$2:$D$37,4,FALSE)*'T50'!Z7</f>
        <v>0</v>
      </c>
      <c r="AA7" s="1100">
        <f>VLOOKUP(AA$1,'cost per tipologia de sòl'!$A$2:$D$37,4,FALSE)*'T50'!AA7</f>
        <v>0</v>
      </c>
      <c r="AB7" s="1100">
        <f>VLOOKUP(AB$1,'cost per tipologia de sòl'!$A$2:$D$37,4,FALSE)*'T50'!AB7</f>
        <v>4818252.75</v>
      </c>
      <c r="AC7" s="1100">
        <f>VLOOKUP(AC$1,'cost per tipologia de sòl'!$A$2:$D$37,4,FALSE)*'T50'!AC7</f>
        <v>4992911.1999999993</v>
      </c>
      <c r="AD7" s="1100">
        <f>VLOOKUP(AD$1,'cost per tipologia de sòl'!$A$2:$D$37,4,FALSE)*'T50'!AD7</f>
        <v>23949260.599999998</v>
      </c>
      <c r="AE7" s="1100">
        <f>VLOOKUP(AE$1,'cost per tipologia de sòl'!$A$2:$D$37,4,FALSE)*'T50'!AE7</f>
        <v>0</v>
      </c>
      <c r="AF7" s="1100">
        <f>VLOOKUP(AF$1,'cost per tipologia de sòl'!$A$2:$D$37,4,FALSE)*'T50'!AF7</f>
        <v>0</v>
      </c>
      <c r="AG7" s="1100">
        <f>VLOOKUP(AG$1,'cost per tipologia de sòl'!$A$2:$D$37,4,FALSE)*'T50'!AG7</f>
        <v>0</v>
      </c>
      <c r="AH7" s="1100">
        <f>VLOOKUP(AH$1,'cost per tipologia de sòl'!$A$2:$D$37,4,FALSE)*'T50'!AH7</f>
        <v>0</v>
      </c>
      <c r="AI7" s="1100">
        <f>VLOOKUP(AI$1,'cost per tipologia de sòl'!$A$2:$D$37,4,FALSE)*'T50'!AI7</f>
        <v>0</v>
      </c>
      <c r="AJ7" s="1100">
        <f t="shared" si="0"/>
        <v>55507837.325999998</v>
      </c>
      <c r="AK7" s="1098">
        <f t="shared" si="1"/>
        <v>16.652351197799998</v>
      </c>
    </row>
    <row r="8" spans="1:37">
      <c r="A8" s="1099" t="s">
        <v>807</v>
      </c>
      <c r="B8" s="1100">
        <f>VLOOKUP(B$1,'cost per tipologia de sòl'!$A$2:$D$37,4,FALSE)*'T50'!B8</f>
        <v>2713547.1060000001</v>
      </c>
      <c r="C8" s="1100">
        <f>VLOOKUP(C$1,'cost per tipologia de sòl'!$A$2:$D$37,4,FALSE)*'T50'!C8</f>
        <v>0</v>
      </c>
      <c r="D8" s="1100">
        <f>VLOOKUP(D$1,'cost per tipologia de sòl'!$A$2:$D$37,4,FALSE)*'T50'!D8</f>
        <v>44044.853999999999</v>
      </c>
      <c r="E8" s="1100">
        <f>VLOOKUP(E$1,'cost per tipologia de sòl'!$A$2:$D$37,4,FALSE)*'T50'!E8</f>
        <v>1469688.15</v>
      </c>
      <c r="F8" s="1100">
        <f>VLOOKUP(F$1,'cost per tipologia de sòl'!$A$2:$D$37,4,FALSE)*'T50'!F8</f>
        <v>0</v>
      </c>
      <c r="G8" s="1100">
        <f>VLOOKUP(G$1,'cost per tipologia de sòl'!$A$2:$D$37,4,FALSE)*'T50'!G8</f>
        <v>0</v>
      </c>
      <c r="H8" s="1100">
        <f>VLOOKUP(H$1,'cost per tipologia de sòl'!$A$2:$D$37,4,FALSE)*'T50'!H8</f>
        <v>0</v>
      </c>
      <c r="I8" s="1100">
        <f>VLOOKUP(I$1,'cost per tipologia de sòl'!$A$2:$D$37,4,FALSE)*'T50'!I8</f>
        <v>0</v>
      </c>
      <c r="J8" s="1100">
        <f>VLOOKUP(J$1,'cost per tipologia de sòl'!$A$2:$D$37,4,FALSE)*'T50'!J8</f>
        <v>2323.9699999999998</v>
      </c>
      <c r="K8" s="1100">
        <f>VLOOKUP(K$1,'cost per tipologia de sòl'!$A$2:$D$37,4,FALSE)*'T50'!K8</f>
        <v>0</v>
      </c>
      <c r="L8" s="1100">
        <f>VLOOKUP(L$1,'cost per tipologia de sòl'!$A$2:$D$37,4,FALSE)*'T50'!L8</f>
        <v>0</v>
      </c>
      <c r="M8" s="1100">
        <f>VLOOKUP(M$1,'cost per tipologia de sòl'!$A$2:$D$37,4,FALSE)*'T50'!M8</f>
        <v>0</v>
      </c>
      <c r="N8" s="1100">
        <f>VLOOKUP(N$1,'cost per tipologia de sòl'!$A$2:$D$37,4,FALSE)*'T50'!N8</f>
        <v>119173.704</v>
      </c>
      <c r="O8" s="1100">
        <f>VLOOKUP(O$1,'cost per tipologia de sòl'!$A$2:$D$37,4,FALSE)*'T50'!O8</f>
        <v>0</v>
      </c>
      <c r="P8" s="1100">
        <f>VLOOKUP(P$1,'cost per tipologia de sòl'!$A$2:$D$37,4,FALSE)*'T50'!P8</f>
        <v>0</v>
      </c>
      <c r="Q8" s="1100">
        <f>VLOOKUP(Q$1,'cost per tipologia de sòl'!$A$2:$D$37,4,FALSE)*'T50'!Q8</f>
        <v>0</v>
      </c>
      <c r="R8" s="1100">
        <f>VLOOKUP(R$1,'cost per tipologia de sòl'!$A$2:$D$37,4,FALSE)*'T50'!R8</f>
        <v>0</v>
      </c>
      <c r="S8" s="1100">
        <f>VLOOKUP(S$1,'cost per tipologia de sòl'!$A$2:$D$37,4,FALSE)*'T50'!S8</f>
        <v>3706020.8640000001</v>
      </c>
      <c r="T8" s="1100">
        <f>VLOOKUP(T$1,'cost per tipologia de sòl'!$A$2:$D$37,4,FALSE)*'T50'!T8</f>
        <v>863089.01500000001</v>
      </c>
      <c r="U8" s="1100">
        <f>VLOOKUP(U$1,'cost per tipologia de sòl'!$A$2:$D$37,4,FALSE)*'T50'!U8</f>
        <v>0</v>
      </c>
      <c r="V8" s="1100">
        <f>VLOOKUP(V$1,'cost per tipologia de sòl'!$A$2:$D$37,4,FALSE)*'T50'!V8</f>
        <v>0</v>
      </c>
      <c r="W8" s="1100">
        <f>VLOOKUP(W$1,'cost per tipologia de sòl'!$A$2:$D$37,4,FALSE)*'T50'!W8</f>
        <v>0</v>
      </c>
      <c r="X8" s="1100">
        <f>VLOOKUP(X$1,'cost per tipologia de sòl'!$A$2:$D$37,4,FALSE)*'T50'!X8</f>
        <v>0</v>
      </c>
      <c r="Y8" s="1100">
        <f>VLOOKUP(Y$1,'cost per tipologia de sòl'!$A$2:$D$37,4,FALSE)*'T50'!Y8</f>
        <v>0</v>
      </c>
      <c r="Z8" s="1100">
        <f>VLOOKUP(Z$1,'cost per tipologia de sòl'!$A$2:$D$37,4,FALSE)*'T50'!Z8</f>
        <v>776441.348</v>
      </c>
      <c r="AA8" s="1100">
        <f>VLOOKUP(AA$1,'cost per tipologia de sòl'!$A$2:$D$37,4,FALSE)*'T50'!AA8</f>
        <v>0</v>
      </c>
      <c r="AB8" s="1100">
        <f>VLOOKUP(AB$1,'cost per tipologia de sòl'!$A$2:$D$37,4,FALSE)*'T50'!AB8</f>
        <v>0</v>
      </c>
      <c r="AC8" s="1100">
        <f>VLOOKUP(AC$1,'cost per tipologia de sòl'!$A$2:$D$37,4,FALSE)*'T50'!AC8</f>
        <v>960258.1</v>
      </c>
      <c r="AD8" s="1100">
        <f>VLOOKUP(AD$1,'cost per tipologia de sòl'!$A$2:$D$37,4,FALSE)*'T50'!AD8</f>
        <v>84448.349999999991</v>
      </c>
      <c r="AE8" s="1100">
        <f>VLOOKUP(AE$1,'cost per tipologia de sòl'!$A$2:$D$37,4,FALSE)*'T50'!AE8</f>
        <v>0</v>
      </c>
      <c r="AF8" s="1100">
        <f>VLOOKUP(AF$1,'cost per tipologia de sòl'!$A$2:$D$37,4,FALSE)*'T50'!AF8</f>
        <v>0</v>
      </c>
      <c r="AG8" s="1100">
        <f>VLOOKUP(AG$1,'cost per tipologia de sòl'!$A$2:$D$37,4,FALSE)*'T50'!AG8</f>
        <v>0</v>
      </c>
      <c r="AH8" s="1100">
        <f>VLOOKUP(AH$1,'cost per tipologia de sòl'!$A$2:$D$37,4,FALSE)*'T50'!AH8</f>
        <v>0</v>
      </c>
      <c r="AI8" s="1100">
        <f>VLOOKUP(AI$1,'cost per tipologia de sòl'!$A$2:$D$37,4,FALSE)*'T50'!AI8</f>
        <v>0</v>
      </c>
      <c r="AJ8" s="1100">
        <f t="shared" si="0"/>
        <v>10739035.460999997</v>
      </c>
      <c r="AK8" s="1098">
        <f t="shared" si="1"/>
        <v>3.2217106382999994</v>
      </c>
    </row>
    <row r="9" spans="1:37">
      <c r="A9" s="1099" t="s">
        <v>817</v>
      </c>
      <c r="B9" s="1100">
        <f>VLOOKUP(B$1,'cost per tipologia de sòl'!$A$2:$D$37,4,FALSE)*'T50'!B9</f>
        <v>40047154.145999998</v>
      </c>
      <c r="C9" s="1100">
        <f>VLOOKUP(C$1,'cost per tipologia de sòl'!$A$2:$D$37,4,FALSE)*'T50'!C9</f>
        <v>0</v>
      </c>
      <c r="D9" s="1100">
        <f>VLOOKUP(D$1,'cost per tipologia de sòl'!$A$2:$D$37,4,FALSE)*'T50'!D9</f>
        <v>200439.03599999999</v>
      </c>
      <c r="E9" s="1100">
        <f>VLOOKUP(E$1,'cost per tipologia de sòl'!$A$2:$D$37,4,FALSE)*'T50'!E9</f>
        <v>0</v>
      </c>
      <c r="F9" s="1100">
        <f>VLOOKUP(F$1,'cost per tipologia de sòl'!$A$2:$D$37,4,FALSE)*'T50'!F9</f>
        <v>0</v>
      </c>
      <c r="G9" s="1100">
        <f>VLOOKUP(G$1,'cost per tipologia de sòl'!$A$2:$D$37,4,FALSE)*'T50'!G9</f>
        <v>0</v>
      </c>
      <c r="H9" s="1100">
        <f>VLOOKUP(H$1,'cost per tipologia de sòl'!$A$2:$D$37,4,FALSE)*'T50'!H9</f>
        <v>0</v>
      </c>
      <c r="I9" s="1100">
        <f>VLOOKUP(I$1,'cost per tipologia de sòl'!$A$2:$D$37,4,FALSE)*'T50'!I9</f>
        <v>0</v>
      </c>
      <c r="J9" s="1100">
        <f>VLOOKUP(J$1,'cost per tipologia de sòl'!$A$2:$D$37,4,FALSE)*'T50'!J9</f>
        <v>1305105.527</v>
      </c>
      <c r="K9" s="1100">
        <f>VLOOKUP(K$1,'cost per tipologia de sòl'!$A$2:$D$37,4,FALSE)*'T50'!K9</f>
        <v>0</v>
      </c>
      <c r="L9" s="1100">
        <f>VLOOKUP(L$1,'cost per tipologia de sòl'!$A$2:$D$37,4,FALSE)*'T50'!L9</f>
        <v>0</v>
      </c>
      <c r="M9" s="1100">
        <f>VLOOKUP(M$1,'cost per tipologia de sòl'!$A$2:$D$37,4,FALSE)*'T50'!M9</f>
        <v>0</v>
      </c>
      <c r="N9" s="1100">
        <f>VLOOKUP(N$1,'cost per tipologia de sòl'!$A$2:$D$37,4,FALSE)*'T50'!N9</f>
        <v>0</v>
      </c>
      <c r="O9" s="1100">
        <f>VLOOKUP(O$1,'cost per tipologia de sòl'!$A$2:$D$37,4,FALSE)*'T50'!O9</f>
        <v>0</v>
      </c>
      <c r="P9" s="1100">
        <f>VLOOKUP(P$1,'cost per tipologia de sòl'!$A$2:$D$37,4,FALSE)*'T50'!P9</f>
        <v>8913820.432</v>
      </c>
      <c r="Q9" s="1100">
        <f>VLOOKUP(Q$1,'cost per tipologia de sòl'!$A$2:$D$37,4,FALSE)*'T50'!Q9</f>
        <v>0</v>
      </c>
      <c r="R9" s="1100">
        <f>VLOOKUP(R$1,'cost per tipologia de sòl'!$A$2:$D$37,4,FALSE)*'T50'!R9</f>
        <v>0</v>
      </c>
      <c r="S9" s="1100">
        <f>VLOOKUP(S$1,'cost per tipologia de sòl'!$A$2:$D$37,4,FALSE)*'T50'!S9</f>
        <v>16699567.248000002</v>
      </c>
      <c r="T9" s="1100">
        <f>VLOOKUP(T$1,'cost per tipologia de sòl'!$A$2:$D$37,4,FALSE)*'T50'!T9</f>
        <v>16325573.069</v>
      </c>
      <c r="U9" s="1100">
        <f>VLOOKUP(U$1,'cost per tipologia de sòl'!$A$2:$D$37,4,FALSE)*'T50'!U9</f>
        <v>0</v>
      </c>
      <c r="V9" s="1100">
        <f>VLOOKUP(V$1,'cost per tipologia de sòl'!$A$2:$D$37,4,FALSE)*'T50'!V9</f>
        <v>0</v>
      </c>
      <c r="W9" s="1100">
        <f>VLOOKUP(W$1,'cost per tipologia de sòl'!$A$2:$D$37,4,FALSE)*'T50'!W9</f>
        <v>0</v>
      </c>
      <c r="X9" s="1100">
        <f>VLOOKUP(X$1,'cost per tipologia de sòl'!$A$2:$D$37,4,FALSE)*'T50'!X9</f>
        <v>0</v>
      </c>
      <c r="Y9" s="1100">
        <f>VLOOKUP(Y$1,'cost per tipologia de sòl'!$A$2:$D$37,4,FALSE)*'T50'!Y9</f>
        <v>0</v>
      </c>
      <c r="Z9" s="1100">
        <f>VLOOKUP(Z$1,'cost per tipologia de sòl'!$A$2:$D$37,4,FALSE)*'T50'!Z9</f>
        <v>3627769.31</v>
      </c>
      <c r="AA9" s="1100">
        <f>VLOOKUP(AA$1,'cost per tipologia de sòl'!$A$2:$D$37,4,FALSE)*'T50'!AA9</f>
        <v>4300094.25</v>
      </c>
      <c r="AB9" s="1100">
        <f>VLOOKUP(AB$1,'cost per tipologia de sòl'!$A$2:$D$37,4,FALSE)*'T50'!AB9</f>
        <v>586268.75</v>
      </c>
      <c r="AC9" s="1100">
        <f>VLOOKUP(AC$1,'cost per tipologia de sòl'!$A$2:$D$37,4,FALSE)*'T50'!AC9</f>
        <v>3387871.9499999997</v>
      </c>
      <c r="AD9" s="1100">
        <f>VLOOKUP(AD$1,'cost per tipologia de sòl'!$A$2:$D$37,4,FALSE)*'T50'!AD9</f>
        <v>416759.30000000005</v>
      </c>
      <c r="AE9" s="1100">
        <f>VLOOKUP(AE$1,'cost per tipologia de sòl'!$A$2:$D$37,4,FALSE)*'T50'!AE9</f>
        <v>0</v>
      </c>
      <c r="AF9" s="1100">
        <f>VLOOKUP(AF$1,'cost per tipologia de sòl'!$A$2:$D$37,4,FALSE)*'T50'!AF9</f>
        <v>0</v>
      </c>
      <c r="AG9" s="1100">
        <f>VLOOKUP(AG$1,'cost per tipologia de sòl'!$A$2:$D$37,4,FALSE)*'T50'!AG9</f>
        <v>0</v>
      </c>
      <c r="AH9" s="1100">
        <f>VLOOKUP(AH$1,'cost per tipologia de sòl'!$A$2:$D$37,4,FALSE)*'T50'!AH9</f>
        <v>0</v>
      </c>
      <c r="AI9" s="1100">
        <f>VLOOKUP(AI$1,'cost per tipologia de sòl'!$A$2:$D$37,4,FALSE)*'T50'!AI9</f>
        <v>0</v>
      </c>
      <c r="AJ9" s="1100">
        <f t="shared" si="0"/>
        <v>95810423.018000007</v>
      </c>
      <c r="AK9" s="1098">
        <f t="shared" si="1"/>
        <v>28.7431269054</v>
      </c>
    </row>
    <row r="10" spans="1:37">
      <c r="A10" s="1099" t="s">
        <v>1572</v>
      </c>
      <c r="B10" s="1100">
        <f>VLOOKUP(B$1,'cost per tipologia de sòl'!$A$2:$D$37,4,FALSE)*'T50'!B10</f>
        <v>286585.41599999997</v>
      </c>
      <c r="C10" s="1100">
        <f>VLOOKUP(C$1,'cost per tipologia de sòl'!$A$2:$D$37,4,FALSE)*'T50'!C10</f>
        <v>0</v>
      </c>
      <c r="D10" s="1100">
        <f>VLOOKUP(D$1,'cost per tipologia de sòl'!$A$2:$D$37,4,FALSE)*'T50'!D10</f>
        <v>0</v>
      </c>
      <c r="E10" s="1100">
        <f>VLOOKUP(E$1,'cost per tipologia de sòl'!$A$2:$D$37,4,FALSE)*'T50'!E10</f>
        <v>0</v>
      </c>
      <c r="F10" s="1100">
        <f>VLOOKUP(F$1,'cost per tipologia de sòl'!$A$2:$D$37,4,FALSE)*'T50'!F10</f>
        <v>0</v>
      </c>
      <c r="G10" s="1100">
        <f>VLOOKUP(G$1,'cost per tipologia de sòl'!$A$2:$D$37,4,FALSE)*'T50'!G10</f>
        <v>0</v>
      </c>
      <c r="H10" s="1100">
        <f>VLOOKUP(H$1,'cost per tipologia de sòl'!$A$2:$D$37,4,FALSE)*'T50'!H10</f>
        <v>0</v>
      </c>
      <c r="I10" s="1100">
        <f>VLOOKUP(I$1,'cost per tipologia de sòl'!$A$2:$D$37,4,FALSE)*'T50'!I10</f>
        <v>0</v>
      </c>
      <c r="J10" s="1100">
        <f>VLOOKUP(J$1,'cost per tipologia de sòl'!$A$2:$D$37,4,FALSE)*'T50'!J10</f>
        <v>0</v>
      </c>
      <c r="K10" s="1100">
        <f>VLOOKUP(K$1,'cost per tipologia de sòl'!$A$2:$D$37,4,FALSE)*'T50'!K10</f>
        <v>0</v>
      </c>
      <c r="L10" s="1100">
        <f>VLOOKUP(L$1,'cost per tipologia de sòl'!$A$2:$D$37,4,FALSE)*'T50'!L10</f>
        <v>0</v>
      </c>
      <c r="M10" s="1100">
        <f>VLOOKUP(M$1,'cost per tipologia de sòl'!$A$2:$D$37,4,FALSE)*'T50'!M10</f>
        <v>0</v>
      </c>
      <c r="N10" s="1100">
        <f>VLOOKUP(N$1,'cost per tipologia de sòl'!$A$2:$D$37,4,FALSE)*'T50'!N10</f>
        <v>0</v>
      </c>
      <c r="O10" s="1100">
        <f>VLOOKUP(O$1,'cost per tipologia de sòl'!$A$2:$D$37,4,FALSE)*'T50'!O10</f>
        <v>0</v>
      </c>
      <c r="P10" s="1100">
        <f>VLOOKUP(P$1,'cost per tipologia de sòl'!$A$2:$D$37,4,FALSE)*'T50'!P10</f>
        <v>0</v>
      </c>
      <c r="Q10" s="1100">
        <f>VLOOKUP(Q$1,'cost per tipologia de sòl'!$A$2:$D$37,4,FALSE)*'T50'!Q10</f>
        <v>0</v>
      </c>
      <c r="R10" s="1100">
        <f>VLOOKUP(R$1,'cost per tipologia de sòl'!$A$2:$D$37,4,FALSE)*'T50'!R10</f>
        <v>0</v>
      </c>
      <c r="S10" s="1100">
        <f>VLOOKUP(S$1,'cost per tipologia de sòl'!$A$2:$D$37,4,FALSE)*'T50'!S10</f>
        <v>287026.99200000003</v>
      </c>
      <c r="T10" s="1100">
        <f>VLOOKUP(T$1,'cost per tipologia de sòl'!$A$2:$D$37,4,FALSE)*'T50'!T10</f>
        <v>2155882.3489999999</v>
      </c>
      <c r="U10" s="1100">
        <f>VLOOKUP(U$1,'cost per tipologia de sòl'!$A$2:$D$37,4,FALSE)*'T50'!U10</f>
        <v>1213912.3499999999</v>
      </c>
      <c r="V10" s="1100">
        <f>VLOOKUP(V$1,'cost per tipologia de sòl'!$A$2:$D$37,4,FALSE)*'T50'!V10</f>
        <v>0</v>
      </c>
      <c r="W10" s="1100">
        <f>VLOOKUP(W$1,'cost per tipologia de sòl'!$A$2:$D$37,4,FALSE)*'T50'!W10</f>
        <v>0</v>
      </c>
      <c r="X10" s="1100">
        <f>VLOOKUP(X$1,'cost per tipologia de sòl'!$A$2:$D$37,4,FALSE)*'T50'!X10</f>
        <v>0</v>
      </c>
      <c r="Y10" s="1100">
        <f>VLOOKUP(Y$1,'cost per tipologia de sòl'!$A$2:$D$37,4,FALSE)*'T50'!Y10</f>
        <v>0</v>
      </c>
      <c r="Z10" s="1100">
        <f>VLOOKUP(Z$1,'cost per tipologia de sòl'!$A$2:$D$37,4,FALSE)*'T50'!Z10</f>
        <v>476577.39199999993</v>
      </c>
      <c r="AA10" s="1100">
        <f>VLOOKUP(AA$1,'cost per tipologia de sòl'!$A$2:$D$37,4,FALSE)*'T50'!AA10</f>
        <v>0</v>
      </c>
      <c r="AB10" s="1100">
        <f>VLOOKUP(AB$1,'cost per tipologia de sòl'!$A$2:$D$37,4,FALSE)*'T50'!AB10</f>
        <v>2451583.2999999998</v>
      </c>
      <c r="AC10" s="1100">
        <f>VLOOKUP(AC$1,'cost per tipologia de sòl'!$A$2:$D$37,4,FALSE)*'T50'!AC10</f>
        <v>1152217.95</v>
      </c>
      <c r="AD10" s="1100">
        <f>VLOOKUP(AD$1,'cost per tipologia de sòl'!$A$2:$D$37,4,FALSE)*'T50'!AD10</f>
        <v>7231673.6000000006</v>
      </c>
      <c r="AE10" s="1100">
        <f>VLOOKUP(AE$1,'cost per tipologia de sòl'!$A$2:$D$37,4,FALSE)*'T50'!AE10</f>
        <v>0</v>
      </c>
      <c r="AF10" s="1100">
        <f>VLOOKUP(AF$1,'cost per tipologia de sòl'!$A$2:$D$37,4,FALSE)*'T50'!AF10</f>
        <v>0</v>
      </c>
      <c r="AG10" s="1100">
        <f>VLOOKUP(AG$1,'cost per tipologia de sòl'!$A$2:$D$37,4,FALSE)*'T50'!AG10</f>
        <v>0</v>
      </c>
      <c r="AH10" s="1100">
        <f>VLOOKUP(AH$1,'cost per tipologia de sòl'!$A$2:$D$37,4,FALSE)*'T50'!AH10</f>
        <v>0</v>
      </c>
      <c r="AI10" s="1100">
        <f>VLOOKUP(AI$1,'cost per tipologia de sòl'!$A$2:$D$37,4,FALSE)*'T50'!AI10</f>
        <v>0</v>
      </c>
      <c r="AJ10" s="1100">
        <f t="shared" si="0"/>
        <v>15255459.348999999</v>
      </c>
      <c r="AK10" s="1098">
        <f t="shared" si="1"/>
        <v>4.5766378046999998</v>
      </c>
    </row>
    <row r="11" spans="1:37">
      <c r="A11" s="1099" t="s">
        <v>331</v>
      </c>
      <c r="B11" s="1100">
        <f>VLOOKUP(B$1,'cost per tipologia de sòl'!$A$2:$D$37,4,FALSE)*'T50'!B11</f>
        <v>0</v>
      </c>
      <c r="C11" s="1100">
        <f>VLOOKUP(C$1,'cost per tipologia de sòl'!$A$2:$D$37,4,FALSE)*'T50'!C11</f>
        <v>0</v>
      </c>
      <c r="D11" s="1100">
        <f>VLOOKUP(D$1,'cost per tipologia de sòl'!$A$2:$D$37,4,FALSE)*'T50'!D11</f>
        <v>0</v>
      </c>
      <c r="E11" s="1100">
        <f>VLOOKUP(E$1,'cost per tipologia de sòl'!$A$2:$D$37,4,FALSE)*'T50'!E11</f>
        <v>0</v>
      </c>
      <c r="F11" s="1100">
        <f>VLOOKUP(F$1,'cost per tipologia de sòl'!$A$2:$D$37,4,FALSE)*'T50'!F11</f>
        <v>0</v>
      </c>
      <c r="G11" s="1100">
        <f>VLOOKUP(G$1,'cost per tipologia de sòl'!$A$2:$D$37,4,FALSE)*'T50'!G11</f>
        <v>0</v>
      </c>
      <c r="H11" s="1100">
        <f>VLOOKUP(H$1,'cost per tipologia de sòl'!$A$2:$D$37,4,FALSE)*'T50'!H11</f>
        <v>0</v>
      </c>
      <c r="I11" s="1100">
        <f>VLOOKUP(I$1,'cost per tipologia de sòl'!$A$2:$D$37,4,FALSE)*'T50'!I11</f>
        <v>0</v>
      </c>
      <c r="J11" s="1100">
        <f>VLOOKUP(J$1,'cost per tipologia de sòl'!$A$2:$D$37,4,FALSE)*'T50'!J11</f>
        <v>0</v>
      </c>
      <c r="K11" s="1100">
        <f>VLOOKUP(K$1,'cost per tipologia de sòl'!$A$2:$D$37,4,FALSE)*'T50'!K11</f>
        <v>0</v>
      </c>
      <c r="L11" s="1100">
        <f>VLOOKUP(L$1,'cost per tipologia de sòl'!$A$2:$D$37,4,FALSE)*'T50'!L11</f>
        <v>0</v>
      </c>
      <c r="M11" s="1100">
        <f>VLOOKUP(M$1,'cost per tipologia de sòl'!$A$2:$D$37,4,FALSE)*'T50'!M11</f>
        <v>0</v>
      </c>
      <c r="N11" s="1100">
        <f>VLOOKUP(N$1,'cost per tipologia de sòl'!$A$2:$D$37,4,FALSE)*'T50'!N11</f>
        <v>0</v>
      </c>
      <c r="O11" s="1100">
        <f>VLOOKUP(O$1,'cost per tipologia de sòl'!$A$2:$D$37,4,FALSE)*'T50'!O11</f>
        <v>0</v>
      </c>
      <c r="P11" s="1100">
        <f>VLOOKUP(P$1,'cost per tipologia de sòl'!$A$2:$D$37,4,FALSE)*'T50'!P11</f>
        <v>0</v>
      </c>
      <c r="Q11" s="1100">
        <f>VLOOKUP(Q$1,'cost per tipologia de sòl'!$A$2:$D$37,4,FALSE)*'T50'!Q11</f>
        <v>0</v>
      </c>
      <c r="R11" s="1100">
        <f>VLOOKUP(R$1,'cost per tipologia de sòl'!$A$2:$D$37,4,FALSE)*'T50'!R11</f>
        <v>0</v>
      </c>
      <c r="S11" s="1100">
        <f>VLOOKUP(S$1,'cost per tipologia de sòl'!$A$2:$D$37,4,FALSE)*'T50'!S11</f>
        <v>127192.46400000001</v>
      </c>
      <c r="T11" s="1100">
        <f>VLOOKUP(T$1,'cost per tipologia de sòl'!$A$2:$D$37,4,FALSE)*'T50'!T11</f>
        <v>0</v>
      </c>
      <c r="U11" s="1100">
        <f>VLOOKUP(U$1,'cost per tipologia de sòl'!$A$2:$D$37,4,FALSE)*'T50'!U11</f>
        <v>11509309.350000001</v>
      </c>
      <c r="V11" s="1100">
        <f>VLOOKUP(V$1,'cost per tipologia de sòl'!$A$2:$D$37,4,FALSE)*'T50'!V11</f>
        <v>0</v>
      </c>
      <c r="W11" s="1100">
        <f>VLOOKUP(W$1,'cost per tipologia de sòl'!$A$2:$D$37,4,FALSE)*'T50'!W11</f>
        <v>0</v>
      </c>
      <c r="X11" s="1100">
        <f>VLOOKUP(X$1,'cost per tipologia de sòl'!$A$2:$D$37,4,FALSE)*'T50'!X11</f>
        <v>0</v>
      </c>
      <c r="Y11" s="1100">
        <f>VLOOKUP(Y$1,'cost per tipologia de sòl'!$A$2:$D$37,4,FALSE)*'T50'!Y11</f>
        <v>0</v>
      </c>
      <c r="Z11" s="1100">
        <f>VLOOKUP(Z$1,'cost per tipologia de sòl'!$A$2:$D$37,4,FALSE)*'T50'!Z11</f>
        <v>0</v>
      </c>
      <c r="AA11" s="1100">
        <f>VLOOKUP(AA$1,'cost per tipologia de sòl'!$A$2:$D$37,4,FALSE)*'T50'!AA11</f>
        <v>0</v>
      </c>
      <c r="AB11" s="1100">
        <f>VLOOKUP(AB$1,'cost per tipologia de sòl'!$A$2:$D$37,4,FALSE)*'T50'!AB11</f>
        <v>0</v>
      </c>
      <c r="AC11" s="1100">
        <f>VLOOKUP(AC$1,'cost per tipologia de sòl'!$A$2:$D$37,4,FALSE)*'T50'!AC11</f>
        <v>382059.6</v>
      </c>
      <c r="AD11" s="1100">
        <f>VLOOKUP(AD$1,'cost per tipologia de sòl'!$A$2:$D$37,4,FALSE)*'T50'!AD11</f>
        <v>5199330.05</v>
      </c>
      <c r="AE11" s="1100">
        <f>VLOOKUP(AE$1,'cost per tipologia de sòl'!$A$2:$D$37,4,FALSE)*'T50'!AE11</f>
        <v>0</v>
      </c>
      <c r="AF11" s="1100">
        <f>VLOOKUP(AF$1,'cost per tipologia de sòl'!$A$2:$D$37,4,FALSE)*'T50'!AF11</f>
        <v>0</v>
      </c>
      <c r="AG11" s="1100">
        <f>VLOOKUP(AG$1,'cost per tipologia de sòl'!$A$2:$D$37,4,FALSE)*'T50'!AG11</f>
        <v>0</v>
      </c>
      <c r="AH11" s="1100">
        <f>VLOOKUP(AH$1,'cost per tipologia de sòl'!$A$2:$D$37,4,FALSE)*'T50'!AH11</f>
        <v>0</v>
      </c>
      <c r="AI11" s="1100">
        <f>VLOOKUP(AI$1,'cost per tipologia de sòl'!$A$2:$D$37,4,FALSE)*'T50'!AI11</f>
        <v>0</v>
      </c>
      <c r="AJ11" s="1100">
        <f t="shared" si="0"/>
        <v>17217891.464000002</v>
      </c>
      <c r="AK11" s="1098">
        <f t="shared" si="1"/>
        <v>5.1653674392000006</v>
      </c>
    </row>
    <row r="12" spans="1:37">
      <c r="A12" s="1099" t="s">
        <v>829</v>
      </c>
      <c r="B12" s="1100">
        <f>VLOOKUP(B$1,'cost per tipologia de sòl'!$A$2:$D$37,4,FALSE)*'T50'!B12</f>
        <v>0</v>
      </c>
      <c r="C12" s="1100">
        <f>VLOOKUP(C$1,'cost per tipologia de sòl'!$A$2:$D$37,4,FALSE)*'T50'!C12</f>
        <v>0</v>
      </c>
      <c r="D12" s="1100">
        <f>VLOOKUP(D$1,'cost per tipologia de sòl'!$A$2:$D$37,4,FALSE)*'T50'!D12</f>
        <v>0</v>
      </c>
      <c r="E12" s="1100">
        <f>VLOOKUP(E$1,'cost per tipologia de sòl'!$A$2:$D$37,4,FALSE)*'T50'!E12</f>
        <v>0</v>
      </c>
      <c r="F12" s="1100">
        <f>VLOOKUP(F$1,'cost per tipologia de sòl'!$A$2:$D$37,4,FALSE)*'T50'!F12</f>
        <v>0</v>
      </c>
      <c r="G12" s="1100">
        <f>VLOOKUP(G$1,'cost per tipologia de sòl'!$A$2:$D$37,4,FALSE)*'T50'!G12</f>
        <v>0</v>
      </c>
      <c r="H12" s="1100">
        <f>VLOOKUP(H$1,'cost per tipologia de sòl'!$A$2:$D$37,4,FALSE)*'T50'!H12</f>
        <v>0</v>
      </c>
      <c r="I12" s="1100">
        <f>VLOOKUP(I$1,'cost per tipologia de sòl'!$A$2:$D$37,4,FALSE)*'T50'!I12</f>
        <v>0</v>
      </c>
      <c r="J12" s="1100">
        <f>VLOOKUP(J$1,'cost per tipologia de sòl'!$A$2:$D$37,4,FALSE)*'T50'!J12</f>
        <v>9924.9809999999998</v>
      </c>
      <c r="K12" s="1100">
        <f>VLOOKUP(K$1,'cost per tipologia de sòl'!$A$2:$D$37,4,FALSE)*'T50'!K12</f>
        <v>0</v>
      </c>
      <c r="L12" s="1100">
        <f>VLOOKUP(L$1,'cost per tipologia de sòl'!$A$2:$D$37,4,FALSE)*'T50'!L12</f>
        <v>0</v>
      </c>
      <c r="M12" s="1100">
        <f>VLOOKUP(M$1,'cost per tipologia de sòl'!$A$2:$D$37,4,FALSE)*'T50'!M12</f>
        <v>0</v>
      </c>
      <c r="N12" s="1100">
        <f>VLOOKUP(N$1,'cost per tipologia de sòl'!$A$2:$D$37,4,FALSE)*'T50'!N12</f>
        <v>0</v>
      </c>
      <c r="O12" s="1100">
        <f>VLOOKUP(O$1,'cost per tipologia de sòl'!$A$2:$D$37,4,FALSE)*'T50'!O12</f>
        <v>0</v>
      </c>
      <c r="P12" s="1100">
        <f>VLOOKUP(P$1,'cost per tipologia de sòl'!$A$2:$D$37,4,FALSE)*'T50'!P12</f>
        <v>0</v>
      </c>
      <c r="Q12" s="1100">
        <f>VLOOKUP(Q$1,'cost per tipologia de sòl'!$A$2:$D$37,4,FALSE)*'T50'!Q12</f>
        <v>0</v>
      </c>
      <c r="R12" s="1100">
        <f>VLOOKUP(R$1,'cost per tipologia de sòl'!$A$2:$D$37,4,FALSE)*'T50'!R12</f>
        <v>0</v>
      </c>
      <c r="S12" s="1100">
        <f>VLOOKUP(S$1,'cost per tipologia de sòl'!$A$2:$D$37,4,FALSE)*'T50'!S12</f>
        <v>0</v>
      </c>
      <c r="T12" s="1100">
        <f>VLOOKUP(T$1,'cost per tipologia de sòl'!$A$2:$D$37,4,FALSE)*'T50'!T12</f>
        <v>0</v>
      </c>
      <c r="U12" s="1100">
        <f>VLOOKUP(U$1,'cost per tipologia de sòl'!$A$2:$D$37,4,FALSE)*'T50'!U12</f>
        <v>0</v>
      </c>
      <c r="V12" s="1100">
        <f>VLOOKUP(V$1,'cost per tipologia de sòl'!$A$2:$D$37,4,FALSE)*'T50'!V12</f>
        <v>0</v>
      </c>
      <c r="W12" s="1100">
        <f>VLOOKUP(W$1,'cost per tipologia de sòl'!$A$2:$D$37,4,FALSE)*'T50'!W12</f>
        <v>0</v>
      </c>
      <c r="X12" s="1100">
        <f>VLOOKUP(X$1,'cost per tipologia de sòl'!$A$2:$D$37,4,FALSE)*'T50'!X12</f>
        <v>0</v>
      </c>
      <c r="Y12" s="1100">
        <f>VLOOKUP(Y$1,'cost per tipologia de sòl'!$A$2:$D$37,4,FALSE)*'T50'!Y12</f>
        <v>0</v>
      </c>
      <c r="Z12" s="1100">
        <f>VLOOKUP(Z$1,'cost per tipologia de sòl'!$A$2:$D$37,4,FALSE)*'T50'!Z12</f>
        <v>0</v>
      </c>
      <c r="AA12" s="1100">
        <f>VLOOKUP(AA$1,'cost per tipologia de sòl'!$A$2:$D$37,4,FALSE)*'T50'!AA12</f>
        <v>0</v>
      </c>
      <c r="AB12" s="1100">
        <f>VLOOKUP(AB$1,'cost per tipologia de sòl'!$A$2:$D$37,4,FALSE)*'T50'!AB12</f>
        <v>0</v>
      </c>
      <c r="AC12" s="1100">
        <f>VLOOKUP(AC$1,'cost per tipologia de sòl'!$A$2:$D$37,4,FALSE)*'T50'!AC12</f>
        <v>0</v>
      </c>
      <c r="AD12" s="1100">
        <f>VLOOKUP(AD$1,'cost per tipologia de sòl'!$A$2:$D$37,4,FALSE)*'T50'!AD12</f>
        <v>0</v>
      </c>
      <c r="AE12" s="1100">
        <f>VLOOKUP(AE$1,'cost per tipologia de sòl'!$A$2:$D$37,4,FALSE)*'T50'!AE12</f>
        <v>0</v>
      </c>
      <c r="AF12" s="1100">
        <f>VLOOKUP(AF$1,'cost per tipologia de sòl'!$A$2:$D$37,4,FALSE)*'T50'!AF12</f>
        <v>0</v>
      </c>
      <c r="AG12" s="1100">
        <f>VLOOKUP(AG$1,'cost per tipologia de sòl'!$A$2:$D$37,4,FALSE)*'T50'!AG12</f>
        <v>0</v>
      </c>
      <c r="AH12" s="1100">
        <f>VLOOKUP(AH$1,'cost per tipologia de sòl'!$A$2:$D$37,4,FALSE)*'T50'!AH12</f>
        <v>0</v>
      </c>
      <c r="AI12" s="1100">
        <f>VLOOKUP(AI$1,'cost per tipologia de sòl'!$A$2:$D$37,4,FALSE)*'T50'!AI12</f>
        <v>0</v>
      </c>
      <c r="AJ12" s="1100">
        <f t="shared" si="0"/>
        <v>9924.9809999999998</v>
      </c>
      <c r="AK12" s="1098">
        <f t="shared" si="1"/>
        <v>2.9774942999999999E-3</v>
      </c>
    </row>
    <row r="13" spans="1:37">
      <c r="A13" s="1099" t="s">
        <v>777</v>
      </c>
      <c r="B13" s="1100">
        <f>VLOOKUP(B$1,'cost per tipologia de sòl'!$A$2:$D$37,4,FALSE)*'T50'!B13</f>
        <v>0</v>
      </c>
      <c r="C13" s="1100">
        <f>VLOOKUP(C$1,'cost per tipologia de sòl'!$A$2:$D$37,4,FALSE)*'T50'!C13</f>
        <v>0</v>
      </c>
      <c r="D13" s="1100">
        <f>VLOOKUP(D$1,'cost per tipologia de sòl'!$A$2:$D$37,4,FALSE)*'T50'!D13</f>
        <v>225588.3</v>
      </c>
      <c r="E13" s="1100">
        <f>VLOOKUP(E$1,'cost per tipologia de sòl'!$A$2:$D$37,4,FALSE)*'T50'!E13</f>
        <v>0</v>
      </c>
      <c r="F13" s="1100">
        <f>VLOOKUP(F$1,'cost per tipologia de sòl'!$A$2:$D$37,4,FALSE)*'T50'!F13</f>
        <v>0</v>
      </c>
      <c r="G13" s="1100">
        <f>VLOOKUP(G$1,'cost per tipologia de sòl'!$A$2:$D$37,4,FALSE)*'T50'!G13</f>
        <v>0</v>
      </c>
      <c r="H13" s="1100">
        <f>VLOOKUP(H$1,'cost per tipologia de sòl'!$A$2:$D$37,4,FALSE)*'T50'!H13</f>
        <v>0</v>
      </c>
      <c r="I13" s="1100">
        <f>VLOOKUP(I$1,'cost per tipologia de sòl'!$A$2:$D$37,4,FALSE)*'T50'!I13</f>
        <v>0</v>
      </c>
      <c r="J13" s="1100">
        <f>VLOOKUP(J$1,'cost per tipologia de sòl'!$A$2:$D$37,4,FALSE)*'T50'!J13</f>
        <v>26030.762999999999</v>
      </c>
      <c r="K13" s="1100">
        <f>VLOOKUP(K$1,'cost per tipologia de sòl'!$A$2:$D$37,4,FALSE)*'T50'!K13</f>
        <v>0</v>
      </c>
      <c r="L13" s="1100">
        <f>VLOOKUP(L$1,'cost per tipologia de sòl'!$A$2:$D$37,4,FALSE)*'T50'!L13</f>
        <v>10546.487999999999</v>
      </c>
      <c r="M13" s="1100">
        <f>VLOOKUP(M$1,'cost per tipologia de sòl'!$A$2:$D$37,4,FALSE)*'T50'!M13</f>
        <v>0</v>
      </c>
      <c r="N13" s="1100">
        <f>VLOOKUP(N$1,'cost per tipologia de sòl'!$A$2:$D$37,4,FALSE)*'T50'!N13</f>
        <v>489969.39199999999</v>
      </c>
      <c r="O13" s="1100">
        <f>VLOOKUP(O$1,'cost per tipologia de sòl'!$A$2:$D$37,4,FALSE)*'T50'!O13</f>
        <v>165028.50400000002</v>
      </c>
      <c r="P13" s="1100">
        <f>VLOOKUP(P$1,'cost per tipologia de sòl'!$A$2:$D$37,4,FALSE)*'T50'!P13</f>
        <v>0</v>
      </c>
      <c r="Q13" s="1100">
        <f>VLOOKUP(Q$1,'cost per tipologia de sòl'!$A$2:$D$37,4,FALSE)*'T50'!Q13</f>
        <v>0</v>
      </c>
      <c r="R13" s="1100">
        <f>VLOOKUP(R$1,'cost per tipologia de sòl'!$A$2:$D$37,4,FALSE)*'T50'!R13</f>
        <v>0</v>
      </c>
      <c r="S13" s="1100">
        <f>VLOOKUP(S$1,'cost per tipologia de sòl'!$A$2:$D$37,4,FALSE)*'T50'!S13</f>
        <v>324947.95199999999</v>
      </c>
      <c r="T13" s="1100">
        <f>VLOOKUP(T$1,'cost per tipologia de sòl'!$A$2:$D$37,4,FALSE)*'T50'!T13</f>
        <v>2046312.865</v>
      </c>
      <c r="U13" s="1100">
        <f>VLOOKUP(U$1,'cost per tipologia de sòl'!$A$2:$D$37,4,FALSE)*'T50'!U13</f>
        <v>0</v>
      </c>
      <c r="V13" s="1100">
        <f>VLOOKUP(V$1,'cost per tipologia de sòl'!$A$2:$D$37,4,FALSE)*'T50'!V13</f>
        <v>0</v>
      </c>
      <c r="W13" s="1100">
        <f>VLOOKUP(W$1,'cost per tipologia de sòl'!$A$2:$D$37,4,FALSE)*'T50'!W13</f>
        <v>0</v>
      </c>
      <c r="X13" s="1100">
        <f>VLOOKUP(X$1,'cost per tipologia de sòl'!$A$2:$D$37,4,FALSE)*'T50'!X13</f>
        <v>0</v>
      </c>
      <c r="Y13" s="1100">
        <f>VLOOKUP(Y$1,'cost per tipologia de sòl'!$A$2:$D$37,4,FALSE)*'T50'!Y13</f>
        <v>0</v>
      </c>
      <c r="Z13" s="1100">
        <f>VLOOKUP(Z$1,'cost per tipologia de sòl'!$A$2:$D$37,4,FALSE)*'T50'!Z13</f>
        <v>0</v>
      </c>
      <c r="AA13" s="1100">
        <f>VLOOKUP(AA$1,'cost per tipologia de sòl'!$A$2:$D$37,4,FALSE)*'T50'!AA13</f>
        <v>0</v>
      </c>
      <c r="AB13" s="1100">
        <f>VLOOKUP(AB$1,'cost per tipologia de sòl'!$A$2:$D$37,4,FALSE)*'T50'!AB13</f>
        <v>0</v>
      </c>
      <c r="AC13" s="1100">
        <f>VLOOKUP(AC$1,'cost per tipologia de sòl'!$A$2:$D$37,4,FALSE)*'T50'!AC13</f>
        <v>355865.25</v>
      </c>
      <c r="AD13" s="1100">
        <f>VLOOKUP(AD$1,'cost per tipologia de sòl'!$A$2:$D$37,4,FALSE)*'T50'!AD13</f>
        <v>801406.70000000007</v>
      </c>
      <c r="AE13" s="1100">
        <f>VLOOKUP(AE$1,'cost per tipologia de sòl'!$A$2:$D$37,4,FALSE)*'T50'!AE13</f>
        <v>0</v>
      </c>
      <c r="AF13" s="1100">
        <f>VLOOKUP(AF$1,'cost per tipologia de sòl'!$A$2:$D$37,4,FALSE)*'T50'!AF13</f>
        <v>0</v>
      </c>
      <c r="AG13" s="1100">
        <f>VLOOKUP(AG$1,'cost per tipologia de sòl'!$A$2:$D$37,4,FALSE)*'T50'!AG13</f>
        <v>0</v>
      </c>
      <c r="AH13" s="1100">
        <f>VLOOKUP(AH$1,'cost per tipologia de sòl'!$A$2:$D$37,4,FALSE)*'T50'!AH13</f>
        <v>0</v>
      </c>
      <c r="AI13" s="1100">
        <f>VLOOKUP(AI$1,'cost per tipologia de sòl'!$A$2:$D$37,4,FALSE)*'T50'!AI13</f>
        <v>0</v>
      </c>
      <c r="AJ13" s="1100">
        <f t="shared" si="0"/>
        <v>4445696.2139999997</v>
      </c>
      <c r="AK13" s="1098">
        <f t="shared" si="1"/>
        <v>1.3337088641999999</v>
      </c>
    </row>
    <row r="14" spans="1:37">
      <c r="A14" s="1099" t="s">
        <v>838</v>
      </c>
      <c r="B14" s="1100">
        <f>VLOOKUP(B$1,'cost per tipologia de sòl'!$A$2:$D$37,4,FALSE)*'T50'!B14</f>
        <v>1777005.3059999999</v>
      </c>
      <c r="C14" s="1100">
        <f>VLOOKUP(C$1,'cost per tipologia de sòl'!$A$2:$D$37,4,FALSE)*'T50'!C14</f>
        <v>0</v>
      </c>
      <c r="D14" s="1100">
        <f>VLOOKUP(D$1,'cost per tipologia de sòl'!$A$2:$D$37,4,FALSE)*'T50'!D14</f>
        <v>7205367.1979999999</v>
      </c>
      <c r="E14" s="1100">
        <f>VLOOKUP(E$1,'cost per tipologia de sòl'!$A$2:$D$37,4,FALSE)*'T50'!E14</f>
        <v>0</v>
      </c>
      <c r="F14" s="1100">
        <f>VLOOKUP(F$1,'cost per tipologia de sòl'!$A$2:$D$37,4,FALSE)*'T50'!F14</f>
        <v>0</v>
      </c>
      <c r="G14" s="1100">
        <f>VLOOKUP(G$1,'cost per tipologia de sòl'!$A$2:$D$37,4,FALSE)*'T50'!G14</f>
        <v>0</v>
      </c>
      <c r="H14" s="1100">
        <f>VLOOKUP(H$1,'cost per tipologia de sòl'!$A$2:$D$37,4,FALSE)*'T50'!H14</f>
        <v>0</v>
      </c>
      <c r="I14" s="1100">
        <f>VLOOKUP(I$1,'cost per tipologia de sòl'!$A$2:$D$37,4,FALSE)*'T50'!I14</f>
        <v>0</v>
      </c>
      <c r="J14" s="1100">
        <f>VLOOKUP(J$1,'cost per tipologia de sòl'!$A$2:$D$37,4,FALSE)*'T50'!J14</f>
        <v>115623.6235</v>
      </c>
      <c r="K14" s="1100">
        <f>VLOOKUP(K$1,'cost per tipologia de sòl'!$A$2:$D$37,4,FALSE)*'T50'!K14</f>
        <v>0</v>
      </c>
      <c r="L14" s="1100">
        <f>VLOOKUP(L$1,'cost per tipologia de sòl'!$A$2:$D$37,4,FALSE)*'T50'!L14</f>
        <v>0</v>
      </c>
      <c r="M14" s="1100">
        <f>VLOOKUP(M$1,'cost per tipologia de sòl'!$A$2:$D$37,4,FALSE)*'T50'!M14</f>
        <v>0</v>
      </c>
      <c r="N14" s="1100">
        <f>VLOOKUP(N$1,'cost per tipologia de sòl'!$A$2:$D$37,4,FALSE)*'T50'!N14</f>
        <v>1173107.824</v>
      </c>
      <c r="O14" s="1100">
        <f>VLOOKUP(O$1,'cost per tipologia de sòl'!$A$2:$D$37,4,FALSE)*'T50'!O14</f>
        <v>0</v>
      </c>
      <c r="P14" s="1100">
        <f>VLOOKUP(P$1,'cost per tipologia de sòl'!$A$2:$D$37,4,FALSE)*'T50'!P14</f>
        <v>0</v>
      </c>
      <c r="Q14" s="1100">
        <f>VLOOKUP(Q$1,'cost per tipologia de sòl'!$A$2:$D$37,4,FALSE)*'T50'!Q14</f>
        <v>0</v>
      </c>
      <c r="R14" s="1100">
        <f>VLOOKUP(R$1,'cost per tipologia de sòl'!$A$2:$D$37,4,FALSE)*'T50'!R14</f>
        <v>0</v>
      </c>
      <c r="S14" s="1100">
        <f>VLOOKUP(S$1,'cost per tipologia de sòl'!$A$2:$D$37,4,FALSE)*'T50'!S14</f>
        <v>15110627.616</v>
      </c>
      <c r="T14" s="1100">
        <f>VLOOKUP(T$1,'cost per tipologia de sòl'!$A$2:$D$37,4,FALSE)*'T50'!T14</f>
        <v>17794083.932</v>
      </c>
      <c r="U14" s="1100">
        <f>VLOOKUP(U$1,'cost per tipologia de sòl'!$A$2:$D$37,4,FALSE)*'T50'!U14</f>
        <v>0</v>
      </c>
      <c r="V14" s="1100">
        <f>VLOOKUP(V$1,'cost per tipologia de sòl'!$A$2:$D$37,4,FALSE)*'T50'!V14</f>
        <v>0</v>
      </c>
      <c r="W14" s="1100">
        <f>VLOOKUP(W$1,'cost per tipologia de sòl'!$A$2:$D$37,4,FALSE)*'T50'!W14</f>
        <v>0</v>
      </c>
      <c r="X14" s="1100">
        <f>VLOOKUP(X$1,'cost per tipologia de sòl'!$A$2:$D$37,4,FALSE)*'T50'!X14</f>
        <v>0</v>
      </c>
      <c r="Y14" s="1100">
        <f>VLOOKUP(Y$1,'cost per tipologia de sòl'!$A$2:$D$37,4,FALSE)*'T50'!Y14</f>
        <v>0</v>
      </c>
      <c r="Z14" s="1100">
        <f>VLOOKUP(Z$1,'cost per tipologia de sòl'!$A$2:$D$37,4,FALSE)*'T50'!Z14</f>
        <v>1390112.324</v>
      </c>
      <c r="AA14" s="1100">
        <f>VLOOKUP(AA$1,'cost per tipologia de sòl'!$A$2:$D$37,4,FALSE)*'T50'!AA14</f>
        <v>0</v>
      </c>
      <c r="AB14" s="1100">
        <f>VLOOKUP(AB$1,'cost per tipologia de sòl'!$A$2:$D$37,4,FALSE)*'T50'!AB14</f>
        <v>1852780.25</v>
      </c>
      <c r="AC14" s="1100">
        <f>VLOOKUP(AC$1,'cost per tipologia de sòl'!$A$2:$D$37,4,FALSE)*'T50'!AC14</f>
        <v>858780.05</v>
      </c>
      <c r="AD14" s="1100">
        <f>VLOOKUP(AD$1,'cost per tipologia de sòl'!$A$2:$D$37,4,FALSE)*'T50'!AD14</f>
        <v>1953195.25</v>
      </c>
      <c r="AE14" s="1100">
        <f>VLOOKUP(AE$1,'cost per tipologia de sòl'!$A$2:$D$37,4,FALSE)*'T50'!AE14</f>
        <v>0</v>
      </c>
      <c r="AF14" s="1100">
        <f>VLOOKUP(AF$1,'cost per tipologia de sòl'!$A$2:$D$37,4,FALSE)*'T50'!AF14</f>
        <v>0</v>
      </c>
      <c r="AG14" s="1100">
        <f>VLOOKUP(AG$1,'cost per tipologia de sòl'!$A$2:$D$37,4,FALSE)*'T50'!AG14</f>
        <v>0</v>
      </c>
      <c r="AH14" s="1100">
        <f>VLOOKUP(AH$1,'cost per tipologia de sòl'!$A$2:$D$37,4,FALSE)*'T50'!AH14</f>
        <v>0</v>
      </c>
      <c r="AI14" s="1100">
        <f>VLOOKUP(AI$1,'cost per tipologia de sòl'!$A$2:$D$37,4,FALSE)*'T50'!AI14</f>
        <v>0</v>
      </c>
      <c r="AJ14" s="1100">
        <f t="shared" si="0"/>
        <v>49230683.373500004</v>
      </c>
      <c r="AK14" s="1098">
        <f t="shared" si="1"/>
        <v>14.769205012050001</v>
      </c>
    </row>
    <row r="15" spans="1:37">
      <c r="A15" s="1099" t="s">
        <v>856</v>
      </c>
      <c r="B15" s="1100">
        <f>VLOOKUP(B$1,'cost per tipologia de sòl'!$A$2:$D$37,4,FALSE)*'T50'!B15</f>
        <v>2050338.7080000001</v>
      </c>
      <c r="C15" s="1100">
        <f>VLOOKUP(C$1,'cost per tipologia de sòl'!$A$2:$D$37,4,FALSE)*'T50'!C15</f>
        <v>0</v>
      </c>
      <c r="D15" s="1100">
        <f>VLOOKUP(D$1,'cost per tipologia de sòl'!$A$2:$D$37,4,FALSE)*'T50'!D15</f>
        <v>0</v>
      </c>
      <c r="E15" s="1100">
        <f>VLOOKUP(E$1,'cost per tipologia de sòl'!$A$2:$D$37,4,FALSE)*'T50'!E15</f>
        <v>0</v>
      </c>
      <c r="F15" s="1100">
        <f>VLOOKUP(F$1,'cost per tipologia de sòl'!$A$2:$D$37,4,FALSE)*'T50'!F15</f>
        <v>0</v>
      </c>
      <c r="G15" s="1100">
        <f>VLOOKUP(G$1,'cost per tipologia de sòl'!$A$2:$D$37,4,FALSE)*'T50'!G15</f>
        <v>0</v>
      </c>
      <c r="H15" s="1100">
        <f>VLOOKUP(H$1,'cost per tipologia de sòl'!$A$2:$D$37,4,FALSE)*'T50'!H15</f>
        <v>0</v>
      </c>
      <c r="I15" s="1100">
        <f>VLOOKUP(I$1,'cost per tipologia de sòl'!$A$2:$D$37,4,FALSE)*'T50'!I15</f>
        <v>0</v>
      </c>
      <c r="J15" s="1100">
        <f>VLOOKUP(J$1,'cost per tipologia de sòl'!$A$2:$D$37,4,FALSE)*'T50'!J15</f>
        <v>3098.59</v>
      </c>
      <c r="K15" s="1100">
        <f>VLOOKUP(K$1,'cost per tipologia de sòl'!$A$2:$D$37,4,FALSE)*'T50'!K15</f>
        <v>0</v>
      </c>
      <c r="L15" s="1100">
        <f>VLOOKUP(L$1,'cost per tipologia de sòl'!$A$2:$D$37,4,FALSE)*'T50'!L15</f>
        <v>155793.77099999998</v>
      </c>
      <c r="M15" s="1100">
        <f>VLOOKUP(M$1,'cost per tipologia de sòl'!$A$2:$D$37,4,FALSE)*'T50'!M15</f>
        <v>0</v>
      </c>
      <c r="N15" s="1100">
        <f>VLOOKUP(N$1,'cost per tipologia de sòl'!$A$2:$D$37,4,FALSE)*'T50'!N15</f>
        <v>0</v>
      </c>
      <c r="O15" s="1100">
        <f>VLOOKUP(O$1,'cost per tipologia de sòl'!$A$2:$D$37,4,FALSE)*'T50'!O15</f>
        <v>0</v>
      </c>
      <c r="P15" s="1100">
        <f>VLOOKUP(P$1,'cost per tipologia de sòl'!$A$2:$D$37,4,FALSE)*'T50'!P15</f>
        <v>0</v>
      </c>
      <c r="Q15" s="1100">
        <f>VLOOKUP(Q$1,'cost per tipologia de sòl'!$A$2:$D$37,4,FALSE)*'T50'!Q15</f>
        <v>0</v>
      </c>
      <c r="R15" s="1100">
        <f>VLOOKUP(R$1,'cost per tipologia de sòl'!$A$2:$D$37,4,FALSE)*'T50'!R15</f>
        <v>0</v>
      </c>
      <c r="S15" s="1100">
        <f>VLOOKUP(S$1,'cost per tipologia de sòl'!$A$2:$D$37,4,FALSE)*'T50'!S15</f>
        <v>0</v>
      </c>
      <c r="T15" s="1100">
        <f>VLOOKUP(T$1,'cost per tipologia de sòl'!$A$2:$D$37,4,FALSE)*'T50'!T15</f>
        <v>291352.33899999998</v>
      </c>
      <c r="U15" s="1100">
        <f>VLOOKUP(U$1,'cost per tipologia de sòl'!$A$2:$D$37,4,FALSE)*'T50'!U15</f>
        <v>0</v>
      </c>
      <c r="V15" s="1100">
        <f>VLOOKUP(V$1,'cost per tipologia de sòl'!$A$2:$D$37,4,FALSE)*'T50'!V15</f>
        <v>0</v>
      </c>
      <c r="W15" s="1100">
        <f>VLOOKUP(W$1,'cost per tipologia de sòl'!$A$2:$D$37,4,FALSE)*'T50'!W15</f>
        <v>0</v>
      </c>
      <c r="X15" s="1100">
        <f>VLOOKUP(X$1,'cost per tipologia de sòl'!$A$2:$D$37,4,FALSE)*'T50'!X15</f>
        <v>0</v>
      </c>
      <c r="Y15" s="1100">
        <f>VLOOKUP(Y$1,'cost per tipologia de sòl'!$A$2:$D$37,4,FALSE)*'T50'!Y15</f>
        <v>0</v>
      </c>
      <c r="Z15" s="1100">
        <f>VLOOKUP(Z$1,'cost per tipologia de sòl'!$A$2:$D$37,4,FALSE)*'T50'!Z15</f>
        <v>0</v>
      </c>
      <c r="AA15" s="1100">
        <f>VLOOKUP(AA$1,'cost per tipologia de sòl'!$A$2:$D$37,4,FALSE)*'T50'!AA15</f>
        <v>861754.5</v>
      </c>
      <c r="AB15" s="1100">
        <f>VLOOKUP(AB$1,'cost per tipologia de sòl'!$A$2:$D$37,4,FALSE)*'T50'!AB15</f>
        <v>288327.84999999998</v>
      </c>
      <c r="AC15" s="1100">
        <f>VLOOKUP(AC$1,'cost per tipologia de sòl'!$A$2:$D$37,4,FALSE)*'T50'!AC15</f>
        <v>0</v>
      </c>
      <c r="AD15" s="1100">
        <f>VLOOKUP(AD$1,'cost per tipologia de sòl'!$A$2:$D$37,4,FALSE)*'T50'!AD15</f>
        <v>1096106.2</v>
      </c>
      <c r="AE15" s="1100">
        <f>VLOOKUP(AE$1,'cost per tipologia de sòl'!$A$2:$D$37,4,FALSE)*'T50'!AE15</f>
        <v>0</v>
      </c>
      <c r="AF15" s="1100">
        <f>VLOOKUP(AF$1,'cost per tipologia de sòl'!$A$2:$D$37,4,FALSE)*'T50'!AF15</f>
        <v>0</v>
      </c>
      <c r="AG15" s="1100">
        <f>VLOOKUP(AG$1,'cost per tipologia de sòl'!$A$2:$D$37,4,FALSE)*'T50'!AG15</f>
        <v>0</v>
      </c>
      <c r="AH15" s="1100">
        <f>VLOOKUP(AH$1,'cost per tipologia de sòl'!$A$2:$D$37,4,FALSE)*'T50'!AH15</f>
        <v>0</v>
      </c>
      <c r="AI15" s="1100">
        <f>VLOOKUP(AI$1,'cost per tipologia de sòl'!$A$2:$D$37,4,FALSE)*'T50'!AI15</f>
        <v>0</v>
      </c>
      <c r="AJ15" s="1100">
        <f t="shared" si="0"/>
        <v>4746771.9580000006</v>
      </c>
      <c r="AK15" s="1098">
        <f t="shared" si="1"/>
        <v>1.4240315874</v>
      </c>
    </row>
    <row r="16" spans="1:37">
      <c r="A16" s="1099" t="s">
        <v>875</v>
      </c>
      <c r="B16" s="1100">
        <f>VLOOKUP(B$1,'cost per tipologia de sòl'!$A$2:$D$37,4,FALSE)*'T50'!B16</f>
        <v>0</v>
      </c>
      <c r="C16" s="1100">
        <f>VLOOKUP(C$1,'cost per tipologia de sòl'!$A$2:$D$37,4,FALSE)*'T50'!C16</f>
        <v>0</v>
      </c>
      <c r="D16" s="1100">
        <f>VLOOKUP(D$1,'cost per tipologia de sòl'!$A$2:$D$37,4,FALSE)*'T50'!D16</f>
        <v>0</v>
      </c>
      <c r="E16" s="1100">
        <f>VLOOKUP(E$1,'cost per tipologia de sòl'!$A$2:$D$37,4,FALSE)*'T50'!E16</f>
        <v>0</v>
      </c>
      <c r="F16" s="1100">
        <f>VLOOKUP(F$1,'cost per tipologia de sòl'!$A$2:$D$37,4,FALSE)*'T50'!F16</f>
        <v>0</v>
      </c>
      <c r="G16" s="1100">
        <f>VLOOKUP(G$1,'cost per tipologia de sòl'!$A$2:$D$37,4,FALSE)*'T50'!G16</f>
        <v>0</v>
      </c>
      <c r="H16" s="1100">
        <f>VLOOKUP(H$1,'cost per tipologia de sòl'!$A$2:$D$37,4,FALSE)*'T50'!H16</f>
        <v>0</v>
      </c>
      <c r="I16" s="1100">
        <f>VLOOKUP(I$1,'cost per tipologia de sòl'!$A$2:$D$37,4,FALSE)*'T50'!I16</f>
        <v>0</v>
      </c>
      <c r="J16" s="1100">
        <f>VLOOKUP(J$1,'cost per tipologia de sòl'!$A$2:$D$37,4,FALSE)*'T50'!J16</f>
        <v>0</v>
      </c>
      <c r="K16" s="1100">
        <f>VLOOKUP(K$1,'cost per tipologia de sòl'!$A$2:$D$37,4,FALSE)*'T50'!K16</f>
        <v>0</v>
      </c>
      <c r="L16" s="1100">
        <f>VLOOKUP(L$1,'cost per tipologia de sòl'!$A$2:$D$37,4,FALSE)*'T50'!L16</f>
        <v>0</v>
      </c>
      <c r="M16" s="1100">
        <f>VLOOKUP(M$1,'cost per tipologia de sòl'!$A$2:$D$37,4,FALSE)*'T50'!M16</f>
        <v>0</v>
      </c>
      <c r="N16" s="1100">
        <f>VLOOKUP(N$1,'cost per tipologia de sòl'!$A$2:$D$37,4,FALSE)*'T50'!N16</f>
        <v>0</v>
      </c>
      <c r="O16" s="1100">
        <f>VLOOKUP(O$1,'cost per tipologia de sòl'!$A$2:$D$37,4,FALSE)*'T50'!O16</f>
        <v>0</v>
      </c>
      <c r="P16" s="1100">
        <f>VLOOKUP(P$1,'cost per tipologia de sòl'!$A$2:$D$37,4,FALSE)*'T50'!P16</f>
        <v>0</v>
      </c>
      <c r="Q16" s="1100">
        <f>VLOOKUP(Q$1,'cost per tipologia de sòl'!$A$2:$D$37,4,FALSE)*'T50'!Q16</f>
        <v>0</v>
      </c>
      <c r="R16" s="1100">
        <f>VLOOKUP(R$1,'cost per tipologia de sòl'!$A$2:$D$37,4,FALSE)*'T50'!R16</f>
        <v>0</v>
      </c>
      <c r="S16" s="1100">
        <f>VLOOKUP(S$1,'cost per tipologia de sòl'!$A$2:$D$37,4,FALSE)*'T50'!S16</f>
        <v>0</v>
      </c>
      <c r="T16" s="1100">
        <f>VLOOKUP(T$1,'cost per tipologia de sòl'!$A$2:$D$37,4,FALSE)*'T50'!T16</f>
        <v>0</v>
      </c>
      <c r="U16" s="1100">
        <f>VLOOKUP(U$1,'cost per tipologia de sòl'!$A$2:$D$37,4,FALSE)*'T50'!U16</f>
        <v>0</v>
      </c>
      <c r="V16" s="1100">
        <f>VLOOKUP(V$1,'cost per tipologia de sòl'!$A$2:$D$37,4,FALSE)*'T50'!V16</f>
        <v>0</v>
      </c>
      <c r="W16" s="1100">
        <f>VLOOKUP(W$1,'cost per tipologia de sòl'!$A$2:$D$37,4,FALSE)*'T50'!W16</f>
        <v>0</v>
      </c>
      <c r="X16" s="1100">
        <f>VLOOKUP(X$1,'cost per tipologia de sòl'!$A$2:$D$37,4,FALSE)*'T50'!X16</f>
        <v>0</v>
      </c>
      <c r="Y16" s="1100">
        <f>VLOOKUP(Y$1,'cost per tipologia de sòl'!$A$2:$D$37,4,FALSE)*'T50'!Y16</f>
        <v>0</v>
      </c>
      <c r="Z16" s="1100">
        <f>VLOOKUP(Z$1,'cost per tipologia de sòl'!$A$2:$D$37,4,FALSE)*'T50'!Z16</f>
        <v>0</v>
      </c>
      <c r="AA16" s="1100">
        <f>VLOOKUP(AA$1,'cost per tipologia de sòl'!$A$2:$D$37,4,FALSE)*'T50'!AA16</f>
        <v>0</v>
      </c>
      <c r="AB16" s="1100">
        <f>VLOOKUP(AB$1,'cost per tipologia de sòl'!$A$2:$D$37,4,FALSE)*'T50'!AB16</f>
        <v>0</v>
      </c>
      <c r="AC16" s="1100">
        <f>VLOOKUP(AC$1,'cost per tipologia de sòl'!$A$2:$D$37,4,FALSE)*'T50'!AC16</f>
        <v>0</v>
      </c>
      <c r="AD16" s="1100">
        <f>VLOOKUP(AD$1,'cost per tipologia de sòl'!$A$2:$D$37,4,FALSE)*'T50'!AD16</f>
        <v>0</v>
      </c>
      <c r="AE16" s="1100">
        <f>VLOOKUP(AE$1,'cost per tipologia de sòl'!$A$2:$D$37,4,FALSE)*'T50'!AE16</f>
        <v>0</v>
      </c>
      <c r="AF16" s="1100">
        <f>VLOOKUP(AF$1,'cost per tipologia de sòl'!$A$2:$D$37,4,FALSE)*'T50'!AF16</f>
        <v>0</v>
      </c>
      <c r="AG16" s="1100">
        <f>VLOOKUP(AG$1,'cost per tipologia de sòl'!$A$2:$D$37,4,FALSE)*'T50'!AG16</f>
        <v>0</v>
      </c>
      <c r="AH16" s="1100">
        <f>VLOOKUP(AH$1,'cost per tipologia de sòl'!$A$2:$D$37,4,FALSE)*'T50'!AH16</f>
        <v>0</v>
      </c>
      <c r="AI16" s="1100">
        <f>VLOOKUP(AI$1,'cost per tipologia de sòl'!$A$2:$D$37,4,FALSE)*'T50'!AI16</f>
        <v>0</v>
      </c>
      <c r="AJ16" s="1100">
        <f t="shared" si="0"/>
        <v>0</v>
      </c>
      <c r="AK16" s="1098">
        <f t="shared" si="1"/>
        <v>0</v>
      </c>
    </row>
    <row r="17" spans="1:37">
      <c r="A17" s="1099" t="s">
        <v>867</v>
      </c>
      <c r="B17" s="1100">
        <f>VLOOKUP(B$1,'cost per tipologia de sòl'!$A$2:$D$37,4,FALSE)*'T50'!B17</f>
        <v>461948.74200000003</v>
      </c>
      <c r="C17" s="1100">
        <f>VLOOKUP(C$1,'cost per tipologia de sòl'!$A$2:$D$37,4,FALSE)*'T50'!C17</f>
        <v>0</v>
      </c>
      <c r="D17" s="1100">
        <f>VLOOKUP(D$1,'cost per tipologia de sòl'!$A$2:$D$37,4,FALSE)*'T50'!D17</f>
        <v>0</v>
      </c>
      <c r="E17" s="1100">
        <f>VLOOKUP(E$1,'cost per tipologia de sòl'!$A$2:$D$37,4,FALSE)*'T50'!E17</f>
        <v>0</v>
      </c>
      <c r="F17" s="1100">
        <f>VLOOKUP(F$1,'cost per tipologia de sòl'!$A$2:$D$37,4,FALSE)*'T50'!F17</f>
        <v>0</v>
      </c>
      <c r="G17" s="1100">
        <f>VLOOKUP(G$1,'cost per tipologia de sòl'!$A$2:$D$37,4,FALSE)*'T50'!G17</f>
        <v>0</v>
      </c>
      <c r="H17" s="1100">
        <f>VLOOKUP(H$1,'cost per tipologia de sòl'!$A$2:$D$37,4,FALSE)*'T50'!H17</f>
        <v>0</v>
      </c>
      <c r="I17" s="1100">
        <f>VLOOKUP(I$1,'cost per tipologia de sòl'!$A$2:$D$37,4,FALSE)*'T50'!I17</f>
        <v>0</v>
      </c>
      <c r="J17" s="1100">
        <f>VLOOKUP(J$1,'cost per tipologia de sòl'!$A$2:$D$37,4,FALSE)*'T50'!J17</f>
        <v>0</v>
      </c>
      <c r="K17" s="1100">
        <f>VLOOKUP(K$1,'cost per tipologia de sòl'!$A$2:$D$37,4,FALSE)*'T50'!K17</f>
        <v>0</v>
      </c>
      <c r="L17" s="1100">
        <f>VLOOKUP(L$1,'cost per tipologia de sòl'!$A$2:$D$37,4,FALSE)*'T50'!L17</f>
        <v>0</v>
      </c>
      <c r="M17" s="1100">
        <f>VLOOKUP(M$1,'cost per tipologia de sòl'!$A$2:$D$37,4,FALSE)*'T50'!M17</f>
        <v>0</v>
      </c>
      <c r="N17" s="1100">
        <f>VLOOKUP(N$1,'cost per tipologia de sòl'!$A$2:$D$37,4,FALSE)*'T50'!N17</f>
        <v>0</v>
      </c>
      <c r="O17" s="1100">
        <f>VLOOKUP(O$1,'cost per tipologia de sòl'!$A$2:$D$37,4,FALSE)*'T50'!O17</f>
        <v>0</v>
      </c>
      <c r="P17" s="1100">
        <f>VLOOKUP(P$1,'cost per tipologia de sòl'!$A$2:$D$37,4,FALSE)*'T50'!P17</f>
        <v>0</v>
      </c>
      <c r="Q17" s="1100">
        <f>VLOOKUP(Q$1,'cost per tipologia de sòl'!$A$2:$D$37,4,FALSE)*'T50'!Q17</f>
        <v>0</v>
      </c>
      <c r="R17" s="1100">
        <f>VLOOKUP(R$1,'cost per tipologia de sòl'!$A$2:$D$37,4,FALSE)*'T50'!R17</f>
        <v>0</v>
      </c>
      <c r="S17" s="1100">
        <f>VLOOKUP(S$1,'cost per tipologia de sòl'!$A$2:$D$37,4,FALSE)*'T50'!S17</f>
        <v>348360.76800000004</v>
      </c>
      <c r="T17" s="1100">
        <f>VLOOKUP(T$1,'cost per tipologia de sòl'!$A$2:$D$37,4,FALSE)*'T50'!T17</f>
        <v>511216.86800000002</v>
      </c>
      <c r="U17" s="1100">
        <f>VLOOKUP(U$1,'cost per tipologia de sòl'!$A$2:$D$37,4,FALSE)*'T50'!U17</f>
        <v>0</v>
      </c>
      <c r="V17" s="1100">
        <f>VLOOKUP(V$1,'cost per tipologia de sòl'!$A$2:$D$37,4,FALSE)*'T50'!V17</f>
        <v>0</v>
      </c>
      <c r="W17" s="1100">
        <f>VLOOKUP(W$1,'cost per tipologia de sòl'!$A$2:$D$37,4,FALSE)*'T50'!W17</f>
        <v>0</v>
      </c>
      <c r="X17" s="1100">
        <f>VLOOKUP(X$1,'cost per tipologia de sòl'!$A$2:$D$37,4,FALSE)*'T50'!X17</f>
        <v>0</v>
      </c>
      <c r="Y17" s="1100">
        <f>VLOOKUP(Y$1,'cost per tipologia de sòl'!$A$2:$D$37,4,FALSE)*'T50'!Y17</f>
        <v>0</v>
      </c>
      <c r="Z17" s="1100">
        <f>VLOOKUP(Z$1,'cost per tipologia de sòl'!$A$2:$D$37,4,FALSE)*'T50'!Z17</f>
        <v>0</v>
      </c>
      <c r="AA17" s="1100">
        <f>VLOOKUP(AA$1,'cost per tipologia de sòl'!$A$2:$D$37,4,FALSE)*'T50'!AA17</f>
        <v>0</v>
      </c>
      <c r="AB17" s="1100">
        <f>VLOOKUP(AB$1,'cost per tipologia de sòl'!$A$2:$D$37,4,FALSE)*'T50'!AB17</f>
        <v>886387.04999999993</v>
      </c>
      <c r="AC17" s="1100">
        <f>VLOOKUP(AC$1,'cost per tipologia de sòl'!$A$2:$D$37,4,FALSE)*'T50'!AC17</f>
        <v>229412.65</v>
      </c>
      <c r="AD17" s="1100">
        <f>VLOOKUP(AD$1,'cost per tipologia de sòl'!$A$2:$D$37,4,FALSE)*'T50'!AD17</f>
        <v>546810.5</v>
      </c>
      <c r="AE17" s="1100">
        <f>VLOOKUP(AE$1,'cost per tipologia de sòl'!$A$2:$D$37,4,FALSE)*'T50'!AE17</f>
        <v>0</v>
      </c>
      <c r="AF17" s="1100">
        <f>VLOOKUP(AF$1,'cost per tipologia de sòl'!$A$2:$D$37,4,FALSE)*'T50'!AF17</f>
        <v>0</v>
      </c>
      <c r="AG17" s="1100">
        <f>VLOOKUP(AG$1,'cost per tipologia de sòl'!$A$2:$D$37,4,FALSE)*'T50'!AG17</f>
        <v>0</v>
      </c>
      <c r="AH17" s="1100">
        <f>VLOOKUP(AH$1,'cost per tipologia de sòl'!$A$2:$D$37,4,FALSE)*'T50'!AH17</f>
        <v>0</v>
      </c>
      <c r="AI17" s="1100">
        <f>VLOOKUP(AI$1,'cost per tipologia de sòl'!$A$2:$D$37,4,FALSE)*'T50'!AI17</f>
        <v>0</v>
      </c>
      <c r="AJ17" s="1100">
        <f t="shared" si="0"/>
        <v>2984136.5779999997</v>
      </c>
      <c r="AK17" s="1098">
        <f t="shared" si="1"/>
        <v>0.89524097339999986</v>
      </c>
    </row>
    <row r="18" spans="1:37">
      <c r="A18" s="1099" t="s">
        <v>890</v>
      </c>
      <c r="B18" s="1100">
        <f>VLOOKUP(B$1,'cost per tipologia de sòl'!$A$2:$D$37,4,FALSE)*'T50'!B18</f>
        <v>12866713.434</v>
      </c>
      <c r="C18" s="1100">
        <f>VLOOKUP(C$1,'cost per tipologia de sòl'!$A$2:$D$37,4,FALSE)*'T50'!C18</f>
        <v>0</v>
      </c>
      <c r="D18" s="1100">
        <f>VLOOKUP(D$1,'cost per tipologia de sòl'!$A$2:$D$37,4,FALSE)*'T50'!D18</f>
        <v>0</v>
      </c>
      <c r="E18" s="1100">
        <f>VLOOKUP(E$1,'cost per tipologia de sòl'!$A$2:$D$37,4,FALSE)*'T50'!E18</f>
        <v>0</v>
      </c>
      <c r="F18" s="1100">
        <f>VLOOKUP(F$1,'cost per tipologia de sòl'!$A$2:$D$37,4,FALSE)*'T50'!F18</f>
        <v>0</v>
      </c>
      <c r="G18" s="1100">
        <f>VLOOKUP(G$1,'cost per tipologia de sòl'!$A$2:$D$37,4,FALSE)*'T50'!G18</f>
        <v>0</v>
      </c>
      <c r="H18" s="1100">
        <f>VLOOKUP(H$1,'cost per tipologia de sòl'!$A$2:$D$37,4,FALSE)*'T50'!H18</f>
        <v>0</v>
      </c>
      <c r="I18" s="1100">
        <f>VLOOKUP(I$1,'cost per tipologia de sòl'!$A$2:$D$37,4,FALSE)*'T50'!I18</f>
        <v>0</v>
      </c>
      <c r="J18" s="1100">
        <f>VLOOKUP(J$1,'cost per tipologia de sòl'!$A$2:$D$37,4,FALSE)*'T50'!J18</f>
        <v>1258.18</v>
      </c>
      <c r="K18" s="1100">
        <f>VLOOKUP(K$1,'cost per tipologia de sòl'!$A$2:$D$37,4,FALSE)*'T50'!K18</f>
        <v>0</v>
      </c>
      <c r="L18" s="1100">
        <f>VLOOKUP(L$1,'cost per tipologia de sòl'!$A$2:$D$37,4,FALSE)*'T50'!L18</f>
        <v>0</v>
      </c>
      <c r="M18" s="1100">
        <f>VLOOKUP(M$1,'cost per tipologia de sòl'!$A$2:$D$37,4,FALSE)*'T50'!M18</f>
        <v>19151.28</v>
      </c>
      <c r="N18" s="1100">
        <f>VLOOKUP(N$1,'cost per tipologia de sòl'!$A$2:$D$37,4,FALSE)*'T50'!N18</f>
        <v>0</v>
      </c>
      <c r="O18" s="1100">
        <f>VLOOKUP(O$1,'cost per tipologia de sòl'!$A$2:$D$37,4,FALSE)*'T50'!O18</f>
        <v>0</v>
      </c>
      <c r="P18" s="1100">
        <f>VLOOKUP(P$1,'cost per tipologia de sòl'!$A$2:$D$37,4,FALSE)*'T50'!P18</f>
        <v>0</v>
      </c>
      <c r="Q18" s="1100">
        <f>VLOOKUP(Q$1,'cost per tipologia de sòl'!$A$2:$D$37,4,FALSE)*'T50'!Q18</f>
        <v>0</v>
      </c>
      <c r="R18" s="1100">
        <f>VLOOKUP(R$1,'cost per tipologia de sòl'!$A$2:$D$37,4,FALSE)*'T50'!R18</f>
        <v>0</v>
      </c>
      <c r="S18" s="1100">
        <f>VLOOKUP(S$1,'cost per tipologia de sòl'!$A$2:$D$37,4,FALSE)*'T50'!S18</f>
        <v>2110261.1039999998</v>
      </c>
      <c r="T18" s="1100">
        <f>VLOOKUP(T$1,'cost per tipologia de sòl'!$A$2:$D$37,4,FALSE)*'T50'!T18</f>
        <v>20651872.914000001</v>
      </c>
      <c r="U18" s="1100">
        <f>VLOOKUP(U$1,'cost per tipologia de sòl'!$A$2:$D$37,4,FALSE)*'T50'!U18</f>
        <v>0</v>
      </c>
      <c r="V18" s="1100">
        <f>VLOOKUP(V$1,'cost per tipologia de sòl'!$A$2:$D$37,4,FALSE)*'T50'!V18</f>
        <v>0</v>
      </c>
      <c r="W18" s="1100">
        <f>VLOOKUP(W$1,'cost per tipologia de sòl'!$A$2:$D$37,4,FALSE)*'T50'!W18</f>
        <v>0</v>
      </c>
      <c r="X18" s="1100">
        <f>VLOOKUP(X$1,'cost per tipologia de sòl'!$A$2:$D$37,4,FALSE)*'T50'!X18</f>
        <v>0</v>
      </c>
      <c r="Y18" s="1100">
        <f>VLOOKUP(Y$1,'cost per tipologia de sòl'!$A$2:$D$37,4,FALSE)*'T50'!Y18</f>
        <v>0</v>
      </c>
      <c r="Z18" s="1100">
        <f>VLOOKUP(Z$1,'cost per tipologia de sòl'!$A$2:$D$37,4,FALSE)*'T50'!Z18</f>
        <v>969078.18</v>
      </c>
      <c r="AA18" s="1100">
        <f>VLOOKUP(AA$1,'cost per tipologia de sòl'!$A$2:$D$37,4,FALSE)*'T50'!AA18</f>
        <v>0</v>
      </c>
      <c r="AB18" s="1100">
        <f>VLOOKUP(AB$1,'cost per tipologia de sòl'!$A$2:$D$37,4,FALSE)*'T50'!AB18</f>
        <v>262081.25</v>
      </c>
      <c r="AC18" s="1100">
        <f>VLOOKUP(AC$1,'cost per tipologia de sòl'!$A$2:$D$37,4,FALSE)*'T50'!AC18</f>
        <v>2215958.6</v>
      </c>
      <c r="AD18" s="1100">
        <f>VLOOKUP(AD$1,'cost per tipologia de sòl'!$A$2:$D$37,4,FALSE)*'T50'!AD18</f>
        <v>303058.55000000005</v>
      </c>
      <c r="AE18" s="1100">
        <f>VLOOKUP(AE$1,'cost per tipologia de sòl'!$A$2:$D$37,4,FALSE)*'T50'!AE18</f>
        <v>0</v>
      </c>
      <c r="AF18" s="1100">
        <f>VLOOKUP(AF$1,'cost per tipologia de sòl'!$A$2:$D$37,4,FALSE)*'T50'!AF18</f>
        <v>0</v>
      </c>
      <c r="AG18" s="1100">
        <f>VLOOKUP(AG$1,'cost per tipologia de sòl'!$A$2:$D$37,4,FALSE)*'T50'!AG18</f>
        <v>0</v>
      </c>
      <c r="AH18" s="1100">
        <f>VLOOKUP(AH$1,'cost per tipologia de sòl'!$A$2:$D$37,4,FALSE)*'T50'!AH18</f>
        <v>0</v>
      </c>
      <c r="AI18" s="1100">
        <f>VLOOKUP(AI$1,'cost per tipologia de sòl'!$A$2:$D$37,4,FALSE)*'T50'!AI18</f>
        <v>0</v>
      </c>
      <c r="AJ18" s="1100">
        <f t="shared" si="0"/>
        <v>39399433.491999999</v>
      </c>
      <c r="AK18" s="1098">
        <f t="shared" si="1"/>
        <v>11.8198300476</v>
      </c>
    </row>
    <row r="19" spans="1:37">
      <c r="A19" s="1099" t="s">
        <v>900</v>
      </c>
      <c r="B19" s="1100">
        <f>VLOOKUP(B$1,'cost per tipologia de sòl'!$A$2:$D$37,4,FALSE)*'T50'!B19</f>
        <v>40905470.807999998</v>
      </c>
      <c r="C19" s="1100">
        <f>VLOOKUP(C$1,'cost per tipologia de sòl'!$A$2:$D$37,4,FALSE)*'T50'!C19</f>
        <v>0</v>
      </c>
      <c r="D19" s="1100">
        <f>VLOOKUP(D$1,'cost per tipologia de sòl'!$A$2:$D$37,4,FALSE)*'T50'!D19</f>
        <v>0</v>
      </c>
      <c r="E19" s="1100">
        <f>VLOOKUP(E$1,'cost per tipologia de sòl'!$A$2:$D$37,4,FALSE)*'T50'!E19</f>
        <v>0</v>
      </c>
      <c r="F19" s="1100">
        <f>VLOOKUP(F$1,'cost per tipologia de sòl'!$A$2:$D$37,4,FALSE)*'T50'!F19</f>
        <v>0</v>
      </c>
      <c r="G19" s="1100">
        <f>VLOOKUP(G$1,'cost per tipologia de sòl'!$A$2:$D$37,4,FALSE)*'T50'!G19</f>
        <v>0</v>
      </c>
      <c r="H19" s="1100">
        <f>VLOOKUP(H$1,'cost per tipologia de sòl'!$A$2:$D$37,4,FALSE)*'T50'!H19</f>
        <v>0</v>
      </c>
      <c r="I19" s="1100">
        <f>VLOOKUP(I$1,'cost per tipologia de sòl'!$A$2:$D$37,4,FALSE)*'T50'!I19</f>
        <v>0</v>
      </c>
      <c r="J19" s="1100">
        <f>VLOOKUP(J$1,'cost per tipologia de sòl'!$A$2:$D$37,4,FALSE)*'T50'!J19</f>
        <v>303472.20199999999</v>
      </c>
      <c r="K19" s="1100">
        <f>VLOOKUP(K$1,'cost per tipologia de sòl'!$A$2:$D$37,4,FALSE)*'T50'!K19</f>
        <v>0</v>
      </c>
      <c r="L19" s="1100">
        <f>VLOOKUP(L$1,'cost per tipologia de sòl'!$A$2:$D$37,4,FALSE)*'T50'!L19</f>
        <v>0</v>
      </c>
      <c r="M19" s="1100">
        <f>VLOOKUP(M$1,'cost per tipologia de sòl'!$A$2:$D$37,4,FALSE)*'T50'!M19</f>
        <v>0</v>
      </c>
      <c r="N19" s="1100">
        <f>VLOOKUP(N$1,'cost per tipologia de sòl'!$A$2:$D$37,4,FALSE)*'T50'!N19</f>
        <v>0</v>
      </c>
      <c r="O19" s="1100">
        <f>VLOOKUP(O$1,'cost per tipologia de sòl'!$A$2:$D$37,4,FALSE)*'T50'!O19</f>
        <v>4812409</v>
      </c>
      <c r="P19" s="1100">
        <f>VLOOKUP(P$1,'cost per tipologia de sòl'!$A$2:$D$37,4,FALSE)*'T50'!P19</f>
        <v>0</v>
      </c>
      <c r="Q19" s="1100">
        <f>VLOOKUP(Q$1,'cost per tipologia de sòl'!$A$2:$D$37,4,FALSE)*'T50'!Q19</f>
        <v>0</v>
      </c>
      <c r="R19" s="1100">
        <f>VLOOKUP(R$1,'cost per tipologia de sòl'!$A$2:$D$37,4,FALSE)*'T50'!R19</f>
        <v>0</v>
      </c>
      <c r="S19" s="1100">
        <f>VLOOKUP(S$1,'cost per tipologia de sòl'!$A$2:$D$37,4,FALSE)*'T50'!S19</f>
        <v>569729.66399999999</v>
      </c>
      <c r="T19" s="1100">
        <f>VLOOKUP(T$1,'cost per tipologia de sòl'!$A$2:$D$37,4,FALSE)*'T50'!T19</f>
        <v>878270.19100000011</v>
      </c>
      <c r="U19" s="1100">
        <f>VLOOKUP(U$1,'cost per tipologia de sòl'!$A$2:$D$37,4,FALSE)*'T50'!U19</f>
        <v>762606.60000000009</v>
      </c>
      <c r="V19" s="1100">
        <f>VLOOKUP(V$1,'cost per tipologia de sòl'!$A$2:$D$37,4,FALSE)*'T50'!V19</f>
        <v>0</v>
      </c>
      <c r="W19" s="1100">
        <f>VLOOKUP(W$1,'cost per tipologia de sòl'!$A$2:$D$37,4,FALSE)*'T50'!W19</f>
        <v>0</v>
      </c>
      <c r="X19" s="1100">
        <f>VLOOKUP(X$1,'cost per tipologia de sòl'!$A$2:$D$37,4,FALSE)*'T50'!X19</f>
        <v>0</v>
      </c>
      <c r="Y19" s="1100">
        <f>VLOOKUP(Y$1,'cost per tipologia de sòl'!$A$2:$D$37,4,FALSE)*'T50'!Y19</f>
        <v>0</v>
      </c>
      <c r="Z19" s="1100">
        <f>VLOOKUP(Z$1,'cost per tipologia de sòl'!$A$2:$D$37,4,FALSE)*'T50'!Z19</f>
        <v>0</v>
      </c>
      <c r="AA19" s="1100">
        <f>VLOOKUP(AA$1,'cost per tipologia de sòl'!$A$2:$D$37,4,FALSE)*'T50'!AA19</f>
        <v>0</v>
      </c>
      <c r="AB19" s="1100">
        <f>VLOOKUP(AB$1,'cost per tipologia de sòl'!$A$2:$D$37,4,FALSE)*'T50'!AB19</f>
        <v>0</v>
      </c>
      <c r="AC19" s="1100">
        <f>VLOOKUP(AC$1,'cost per tipologia de sòl'!$A$2:$D$37,4,FALSE)*'T50'!AC19</f>
        <v>15090278.799999999</v>
      </c>
      <c r="AD19" s="1100">
        <f>VLOOKUP(AD$1,'cost per tipologia de sòl'!$A$2:$D$37,4,FALSE)*'T50'!AD19</f>
        <v>12773663.9</v>
      </c>
      <c r="AE19" s="1100">
        <f>VLOOKUP(AE$1,'cost per tipologia de sòl'!$A$2:$D$37,4,FALSE)*'T50'!AE19</f>
        <v>0</v>
      </c>
      <c r="AF19" s="1100">
        <f>VLOOKUP(AF$1,'cost per tipologia de sòl'!$A$2:$D$37,4,FALSE)*'T50'!AF19</f>
        <v>0</v>
      </c>
      <c r="AG19" s="1100">
        <f>VLOOKUP(AG$1,'cost per tipologia de sòl'!$A$2:$D$37,4,FALSE)*'T50'!AG19</f>
        <v>0</v>
      </c>
      <c r="AH19" s="1100">
        <f>VLOOKUP(AH$1,'cost per tipologia de sòl'!$A$2:$D$37,4,FALSE)*'T50'!AH19</f>
        <v>0</v>
      </c>
      <c r="AI19" s="1100">
        <f>VLOOKUP(AI$1,'cost per tipologia de sòl'!$A$2:$D$37,4,FALSE)*'T50'!AI19</f>
        <v>0</v>
      </c>
      <c r="AJ19" s="1100">
        <f t="shared" si="0"/>
        <v>76095901.164999992</v>
      </c>
      <c r="AK19" s="1098">
        <f t="shared" si="1"/>
        <v>22.828770349499997</v>
      </c>
    </row>
    <row r="20" spans="1:37">
      <c r="A20" s="1099" t="s">
        <v>901</v>
      </c>
      <c r="B20" s="1100">
        <f>VLOOKUP(B$1,'cost per tipologia de sòl'!$A$2:$D$37,4,FALSE)*'T50'!B20</f>
        <v>0</v>
      </c>
      <c r="C20" s="1100">
        <f>VLOOKUP(C$1,'cost per tipologia de sòl'!$A$2:$D$37,4,FALSE)*'T50'!C20</f>
        <v>0</v>
      </c>
      <c r="D20" s="1100">
        <f>VLOOKUP(D$1,'cost per tipologia de sòl'!$A$2:$D$37,4,FALSE)*'T50'!D20</f>
        <v>0</v>
      </c>
      <c r="E20" s="1100">
        <f>VLOOKUP(E$1,'cost per tipologia de sòl'!$A$2:$D$37,4,FALSE)*'T50'!E20</f>
        <v>0</v>
      </c>
      <c r="F20" s="1100">
        <f>VLOOKUP(F$1,'cost per tipologia de sòl'!$A$2:$D$37,4,FALSE)*'T50'!F20</f>
        <v>0</v>
      </c>
      <c r="G20" s="1100">
        <f>VLOOKUP(G$1,'cost per tipologia de sòl'!$A$2:$D$37,4,FALSE)*'T50'!G20</f>
        <v>0</v>
      </c>
      <c r="H20" s="1100">
        <f>VLOOKUP(H$1,'cost per tipologia de sòl'!$A$2:$D$37,4,FALSE)*'T50'!H20</f>
        <v>0</v>
      </c>
      <c r="I20" s="1100">
        <f>VLOOKUP(I$1,'cost per tipologia de sòl'!$A$2:$D$37,4,FALSE)*'T50'!I20</f>
        <v>0</v>
      </c>
      <c r="J20" s="1100">
        <f>VLOOKUP(J$1,'cost per tipologia de sòl'!$A$2:$D$37,4,FALSE)*'T50'!J20</f>
        <v>0</v>
      </c>
      <c r="K20" s="1100">
        <f>VLOOKUP(K$1,'cost per tipologia de sòl'!$A$2:$D$37,4,FALSE)*'T50'!K20</f>
        <v>0</v>
      </c>
      <c r="L20" s="1100">
        <f>VLOOKUP(L$1,'cost per tipologia de sòl'!$A$2:$D$37,4,FALSE)*'T50'!L20</f>
        <v>0</v>
      </c>
      <c r="M20" s="1100">
        <f>VLOOKUP(M$1,'cost per tipologia de sòl'!$A$2:$D$37,4,FALSE)*'T50'!M20</f>
        <v>0</v>
      </c>
      <c r="N20" s="1100">
        <f>VLOOKUP(N$1,'cost per tipologia de sòl'!$A$2:$D$37,4,FALSE)*'T50'!N20</f>
        <v>0</v>
      </c>
      <c r="O20" s="1100">
        <f>VLOOKUP(O$1,'cost per tipologia de sòl'!$A$2:$D$37,4,FALSE)*'T50'!O20</f>
        <v>0</v>
      </c>
      <c r="P20" s="1100">
        <f>VLOOKUP(P$1,'cost per tipologia de sòl'!$A$2:$D$37,4,FALSE)*'T50'!P20</f>
        <v>0</v>
      </c>
      <c r="Q20" s="1100">
        <f>VLOOKUP(Q$1,'cost per tipologia de sòl'!$A$2:$D$37,4,FALSE)*'T50'!Q20</f>
        <v>0</v>
      </c>
      <c r="R20" s="1100">
        <f>VLOOKUP(R$1,'cost per tipologia de sòl'!$A$2:$D$37,4,FALSE)*'T50'!R20</f>
        <v>0</v>
      </c>
      <c r="S20" s="1100">
        <f>VLOOKUP(S$1,'cost per tipologia de sòl'!$A$2:$D$37,4,FALSE)*'T50'!S20</f>
        <v>0</v>
      </c>
      <c r="T20" s="1100">
        <f>VLOOKUP(T$1,'cost per tipologia de sòl'!$A$2:$D$37,4,FALSE)*'T50'!T20</f>
        <v>2342831.077</v>
      </c>
      <c r="U20" s="1100">
        <f>VLOOKUP(U$1,'cost per tipologia de sòl'!$A$2:$D$37,4,FALSE)*'T50'!U20</f>
        <v>0</v>
      </c>
      <c r="V20" s="1100">
        <f>VLOOKUP(V$1,'cost per tipologia de sòl'!$A$2:$D$37,4,FALSE)*'T50'!V20</f>
        <v>0</v>
      </c>
      <c r="W20" s="1100">
        <f>VLOOKUP(W$1,'cost per tipologia de sòl'!$A$2:$D$37,4,FALSE)*'T50'!W20</f>
        <v>0</v>
      </c>
      <c r="X20" s="1100">
        <f>VLOOKUP(X$1,'cost per tipologia de sòl'!$A$2:$D$37,4,FALSE)*'T50'!X20</f>
        <v>0</v>
      </c>
      <c r="Y20" s="1100">
        <f>VLOOKUP(Y$1,'cost per tipologia de sòl'!$A$2:$D$37,4,FALSE)*'T50'!Y20</f>
        <v>0</v>
      </c>
      <c r="Z20" s="1100">
        <f>VLOOKUP(Z$1,'cost per tipologia de sòl'!$A$2:$D$37,4,FALSE)*'T50'!Z20</f>
        <v>3613443.8319999999</v>
      </c>
      <c r="AA20" s="1100">
        <f>VLOOKUP(AA$1,'cost per tipologia de sòl'!$A$2:$D$37,4,FALSE)*'T50'!AA20</f>
        <v>0</v>
      </c>
      <c r="AB20" s="1100">
        <f>VLOOKUP(AB$1,'cost per tipologia de sòl'!$A$2:$D$37,4,FALSE)*'T50'!AB20</f>
        <v>313355.60000000003</v>
      </c>
      <c r="AC20" s="1100">
        <f>VLOOKUP(AC$1,'cost per tipologia de sòl'!$A$2:$D$37,4,FALSE)*'T50'!AC20</f>
        <v>129824.15</v>
      </c>
      <c r="AD20" s="1100">
        <f>VLOOKUP(AD$1,'cost per tipologia de sòl'!$A$2:$D$37,4,FALSE)*'T50'!AD20</f>
        <v>1133979.8499999999</v>
      </c>
      <c r="AE20" s="1100">
        <f>VLOOKUP(AE$1,'cost per tipologia de sòl'!$A$2:$D$37,4,FALSE)*'T50'!AE20</f>
        <v>0</v>
      </c>
      <c r="AF20" s="1100">
        <f>VLOOKUP(AF$1,'cost per tipologia de sòl'!$A$2:$D$37,4,FALSE)*'T50'!AF20</f>
        <v>0</v>
      </c>
      <c r="AG20" s="1100">
        <f>VLOOKUP(AG$1,'cost per tipologia de sòl'!$A$2:$D$37,4,FALSE)*'T50'!AG20</f>
        <v>0</v>
      </c>
      <c r="AH20" s="1100">
        <f>VLOOKUP(AH$1,'cost per tipologia de sòl'!$A$2:$D$37,4,FALSE)*'T50'!AH20</f>
        <v>0</v>
      </c>
      <c r="AI20" s="1100">
        <f>VLOOKUP(AI$1,'cost per tipologia de sòl'!$A$2:$D$37,4,FALSE)*'T50'!AI20</f>
        <v>0</v>
      </c>
      <c r="AJ20" s="1100">
        <f t="shared" si="0"/>
        <v>7533434.5089999996</v>
      </c>
      <c r="AK20" s="1098">
        <f t="shared" si="1"/>
        <v>2.2600303526999999</v>
      </c>
    </row>
    <row r="21" spans="1:37">
      <c r="A21" s="1099" t="s">
        <v>912</v>
      </c>
      <c r="B21" s="1100">
        <f>VLOOKUP(B$1,'cost per tipologia de sòl'!$A$2:$D$37,4,FALSE)*'T50'!B21</f>
        <v>1435831.0560000001</v>
      </c>
      <c r="C21" s="1100">
        <f>VLOOKUP(C$1,'cost per tipologia de sòl'!$A$2:$D$37,4,FALSE)*'T50'!C21</f>
        <v>0</v>
      </c>
      <c r="D21" s="1100">
        <f>VLOOKUP(D$1,'cost per tipologia de sòl'!$A$2:$D$37,4,FALSE)*'T50'!D21</f>
        <v>0</v>
      </c>
      <c r="E21" s="1100">
        <f>VLOOKUP(E$1,'cost per tipologia de sòl'!$A$2:$D$37,4,FALSE)*'T50'!E21</f>
        <v>0</v>
      </c>
      <c r="F21" s="1100">
        <f>VLOOKUP(F$1,'cost per tipologia de sòl'!$A$2:$D$37,4,FALSE)*'T50'!F21</f>
        <v>0</v>
      </c>
      <c r="G21" s="1100">
        <f>VLOOKUP(G$1,'cost per tipologia de sòl'!$A$2:$D$37,4,FALSE)*'T50'!G21</f>
        <v>0</v>
      </c>
      <c r="H21" s="1100">
        <f>VLOOKUP(H$1,'cost per tipologia de sòl'!$A$2:$D$37,4,FALSE)*'T50'!H21</f>
        <v>0</v>
      </c>
      <c r="I21" s="1100">
        <f>VLOOKUP(I$1,'cost per tipologia de sòl'!$A$2:$D$37,4,FALSE)*'T50'!I21</f>
        <v>0</v>
      </c>
      <c r="J21" s="1100">
        <f>VLOOKUP(J$1,'cost per tipologia de sòl'!$A$2:$D$37,4,FALSE)*'T50'!J21</f>
        <v>1396.318</v>
      </c>
      <c r="K21" s="1100">
        <f>VLOOKUP(K$1,'cost per tipologia de sòl'!$A$2:$D$37,4,FALSE)*'T50'!K21</f>
        <v>0</v>
      </c>
      <c r="L21" s="1100">
        <f>VLOOKUP(L$1,'cost per tipologia de sòl'!$A$2:$D$37,4,FALSE)*'T50'!L21</f>
        <v>0</v>
      </c>
      <c r="M21" s="1100">
        <f>VLOOKUP(M$1,'cost per tipologia de sòl'!$A$2:$D$37,4,FALSE)*'T50'!M21</f>
        <v>0</v>
      </c>
      <c r="N21" s="1100">
        <f>VLOOKUP(N$1,'cost per tipologia de sòl'!$A$2:$D$37,4,FALSE)*'T50'!N21</f>
        <v>0</v>
      </c>
      <c r="O21" s="1100">
        <f>VLOOKUP(O$1,'cost per tipologia de sòl'!$A$2:$D$37,4,FALSE)*'T50'!O21</f>
        <v>0</v>
      </c>
      <c r="P21" s="1100">
        <f>VLOOKUP(P$1,'cost per tipologia de sòl'!$A$2:$D$37,4,FALSE)*'T50'!P21</f>
        <v>0</v>
      </c>
      <c r="Q21" s="1100">
        <f>VLOOKUP(Q$1,'cost per tipologia de sòl'!$A$2:$D$37,4,FALSE)*'T50'!Q21</f>
        <v>0</v>
      </c>
      <c r="R21" s="1100">
        <f>VLOOKUP(R$1,'cost per tipologia de sòl'!$A$2:$D$37,4,FALSE)*'T50'!R21</f>
        <v>0</v>
      </c>
      <c r="S21" s="1100">
        <f>VLOOKUP(S$1,'cost per tipologia de sòl'!$A$2:$D$37,4,FALSE)*'T50'!S21</f>
        <v>249277.39199999999</v>
      </c>
      <c r="T21" s="1100">
        <f>VLOOKUP(T$1,'cost per tipologia de sòl'!$A$2:$D$37,4,FALSE)*'T50'!T21</f>
        <v>0</v>
      </c>
      <c r="U21" s="1100">
        <f>VLOOKUP(U$1,'cost per tipologia de sòl'!$A$2:$D$37,4,FALSE)*'T50'!U21</f>
        <v>0</v>
      </c>
      <c r="V21" s="1100">
        <f>VLOOKUP(V$1,'cost per tipologia de sòl'!$A$2:$D$37,4,FALSE)*'T50'!V21</f>
        <v>0</v>
      </c>
      <c r="W21" s="1100">
        <f>VLOOKUP(W$1,'cost per tipologia de sòl'!$A$2:$D$37,4,FALSE)*'T50'!W21</f>
        <v>0</v>
      </c>
      <c r="X21" s="1100">
        <f>VLOOKUP(X$1,'cost per tipologia de sòl'!$A$2:$D$37,4,FALSE)*'T50'!X21</f>
        <v>0</v>
      </c>
      <c r="Y21" s="1100">
        <f>VLOOKUP(Y$1,'cost per tipologia de sòl'!$A$2:$D$37,4,FALSE)*'T50'!Y21</f>
        <v>0</v>
      </c>
      <c r="Z21" s="1100">
        <f>VLOOKUP(Z$1,'cost per tipologia de sòl'!$A$2:$D$37,4,FALSE)*'T50'!Z21</f>
        <v>0</v>
      </c>
      <c r="AA21" s="1100">
        <f>VLOOKUP(AA$1,'cost per tipologia de sòl'!$A$2:$D$37,4,FALSE)*'T50'!AA21</f>
        <v>0</v>
      </c>
      <c r="AB21" s="1100">
        <f>VLOOKUP(AB$1,'cost per tipologia de sòl'!$A$2:$D$37,4,FALSE)*'T50'!AB21</f>
        <v>158121.79999999999</v>
      </c>
      <c r="AC21" s="1100">
        <f>VLOOKUP(AC$1,'cost per tipologia de sòl'!$A$2:$D$37,4,FALSE)*'T50'!AC21</f>
        <v>2892012.8</v>
      </c>
      <c r="AD21" s="1100">
        <f>VLOOKUP(AD$1,'cost per tipologia de sòl'!$A$2:$D$37,4,FALSE)*'T50'!AD21</f>
        <v>2623672.9499999997</v>
      </c>
      <c r="AE21" s="1100">
        <f>VLOOKUP(AE$1,'cost per tipologia de sòl'!$A$2:$D$37,4,FALSE)*'T50'!AE21</f>
        <v>0</v>
      </c>
      <c r="AF21" s="1100">
        <f>VLOOKUP(AF$1,'cost per tipologia de sòl'!$A$2:$D$37,4,FALSE)*'T50'!AF21</f>
        <v>0</v>
      </c>
      <c r="AG21" s="1100">
        <f>VLOOKUP(AG$1,'cost per tipologia de sòl'!$A$2:$D$37,4,FALSE)*'T50'!AG21</f>
        <v>0</v>
      </c>
      <c r="AH21" s="1100">
        <f>VLOOKUP(AH$1,'cost per tipologia de sòl'!$A$2:$D$37,4,FALSE)*'T50'!AH21</f>
        <v>0</v>
      </c>
      <c r="AI21" s="1100">
        <f>VLOOKUP(AI$1,'cost per tipologia de sòl'!$A$2:$D$37,4,FALSE)*'T50'!AI21</f>
        <v>0</v>
      </c>
      <c r="AJ21" s="1100">
        <f t="shared" si="0"/>
        <v>7360312.3159999996</v>
      </c>
      <c r="AK21" s="1098">
        <f t="shared" si="1"/>
        <v>2.2080936948000001</v>
      </c>
    </row>
    <row r="22" spans="1:37">
      <c r="A22" s="1099" t="s">
        <v>920</v>
      </c>
      <c r="B22" s="1100">
        <f>VLOOKUP(B$1,'cost per tipologia de sòl'!$A$2:$D$37,4,FALSE)*'T50'!B22</f>
        <v>13686738.444</v>
      </c>
      <c r="C22" s="1100">
        <f>VLOOKUP(C$1,'cost per tipologia de sòl'!$A$2:$D$37,4,FALSE)*'T50'!C22</f>
        <v>0</v>
      </c>
      <c r="D22" s="1100">
        <f>VLOOKUP(D$1,'cost per tipologia de sòl'!$A$2:$D$37,4,FALSE)*'T50'!D22</f>
        <v>2578859.0159999998</v>
      </c>
      <c r="E22" s="1100">
        <f>VLOOKUP(E$1,'cost per tipologia de sòl'!$A$2:$D$37,4,FALSE)*'T50'!E22</f>
        <v>0</v>
      </c>
      <c r="F22" s="1100">
        <f>VLOOKUP(F$1,'cost per tipologia de sòl'!$A$2:$D$37,4,FALSE)*'T50'!F22</f>
        <v>0</v>
      </c>
      <c r="G22" s="1100">
        <f>VLOOKUP(G$1,'cost per tipologia de sòl'!$A$2:$D$37,4,FALSE)*'T50'!G22</f>
        <v>0</v>
      </c>
      <c r="H22" s="1100">
        <f>VLOOKUP(H$1,'cost per tipologia de sòl'!$A$2:$D$37,4,FALSE)*'T50'!H22</f>
        <v>0</v>
      </c>
      <c r="I22" s="1100">
        <f>VLOOKUP(I$1,'cost per tipologia de sòl'!$A$2:$D$37,4,FALSE)*'T50'!I22</f>
        <v>0</v>
      </c>
      <c r="J22" s="1100">
        <f>VLOOKUP(J$1,'cost per tipologia de sòl'!$A$2:$D$37,4,FALSE)*'T50'!J22</f>
        <v>12.237499999999999</v>
      </c>
      <c r="K22" s="1100">
        <f>VLOOKUP(K$1,'cost per tipologia de sòl'!$A$2:$D$37,4,FALSE)*'T50'!K22</f>
        <v>2236957.9470000002</v>
      </c>
      <c r="L22" s="1100">
        <f>VLOOKUP(L$1,'cost per tipologia de sòl'!$A$2:$D$37,4,FALSE)*'T50'!L22</f>
        <v>1789302.2039999999</v>
      </c>
      <c r="M22" s="1100">
        <f>VLOOKUP(M$1,'cost per tipologia de sòl'!$A$2:$D$37,4,FALSE)*'T50'!M22</f>
        <v>17534857.296</v>
      </c>
      <c r="N22" s="1100">
        <f>VLOOKUP(N$1,'cost per tipologia de sòl'!$A$2:$D$37,4,FALSE)*'T50'!N22</f>
        <v>2546877.432</v>
      </c>
      <c r="O22" s="1100">
        <f>VLOOKUP(O$1,'cost per tipologia de sòl'!$A$2:$D$37,4,FALSE)*'T50'!O22</f>
        <v>0</v>
      </c>
      <c r="P22" s="1100">
        <f>VLOOKUP(P$1,'cost per tipologia de sòl'!$A$2:$D$37,4,FALSE)*'T50'!P22</f>
        <v>14858358.983999999</v>
      </c>
      <c r="Q22" s="1100">
        <f>VLOOKUP(Q$1,'cost per tipologia de sòl'!$A$2:$D$37,4,FALSE)*'T50'!Q22</f>
        <v>0</v>
      </c>
      <c r="R22" s="1100">
        <f>VLOOKUP(R$1,'cost per tipologia de sòl'!$A$2:$D$37,4,FALSE)*'T50'!R22</f>
        <v>0</v>
      </c>
      <c r="S22" s="1100">
        <f>VLOOKUP(S$1,'cost per tipologia de sòl'!$A$2:$D$37,4,FALSE)*'T50'!S22</f>
        <v>17464289.471999999</v>
      </c>
      <c r="T22" s="1100">
        <f>VLOOKUP(T$1,'cost per tipologia de sòl'!$A$2:$D$37,4,FALSE)*'T50'!T22</f>
        <v>27489374.765000001</v>
      </c>
      <c r="U22" s="1100">
        <f>VLOOKUP(U$1,'cost per tipologia de sòl'!$A$2:$D$37,4,FALSE)*'T50'!U22</f>
        <v>606667.94999999995</v>
      </c>
      <c r="V22" s="1100">
        <f>VLOOKUP(V$1,'cost per tipologia de sòl'!$A$2:$D$37,4,FALSE)*'T50'!V22</f>
        <v>0</v>
      </c>
      <c r="W22" s="1100">
        <f>VLOOKUP(W$1,'cost per tipologia de sòl'!$A$2:$D$37,4,FALSE)*'T50'!W22</f>
        <v>0</v>
      </c>
      <c r="X22" s="1100">
        <f>VLOOKUP(X$1,'cost per tipologia de sòl'!$A$2:$D$37,4,FALSE)*'T50'!X22</f>
        <v>0</v>
      </c>
      <c r="Y22" s="1100">
        <f>VLOOKUP(Y$1,'cost per tipologia de sòl'!$A$2:$D$37,4,FALSE)*'T50'!Y22</f>
        <v>0</v>
      </c>
      <c r="Z22" s="1100">
        <f>VLOOKUP(Z$1,'cost per tipologia de sòl'!$A$2:$D$37,4,FALSE)*'T50'!Z22</f>
        <v>412391.29399999999</v>
      </c>
      <c r="AA22" s="1100">
        <f>VLOOKUP(AA$1,'cost per tipologia de sòl'!$A$2:$D$37,4,FALSE)*'T50'!AA22</f>
        <v>0</v>
      </c>
      <c r="AB22" s="1100">
        <f>VLOOKUP(AB$1,'cost per tipologia de sòl'!$A$2:$D$37,4,FALSE)*'T50'!AB22</f>
        <v>329244.35000000003</v>
      </c>
      <c r="AC22" s="1100">
        <f>VLOOKUP(AC$1,'cost per tipologia de sòl'!$A$2:$D$37,4,FALSE)*'T50'!AC22</f>
        <v>53679147.699999996</v>
      </c>
      <c r="AD22" s="1100">
        <f>VLOOKUP(AD$1,'cost per tipologia de sòl'!$A$2:$D$37,4,FALSE)*'T50'!AD22</f>
        <v>38823681.350000001</v>
      </c>
      <c r="AE22" s="1100">
        <f>VLOOKUP(AE$1,'cost per tipologia de sòl'!$A$2:$D$37,4,FALSE)*'T50'!AE22</f>
        <v>0</v>
      </c>
      <c r="AF22" s="1100">
        <f>VLOOKUP(AF$1,'cost per tipologia de sòl'!$A$2:$D$37,4,FALSE)*'T50'!AF22</f>
        <v>0</v>
      </c>
      <c r="AG22" s="1100">
        <f>VLOOKUP(AG$1,'cost per tipologia de sòl'!$A$2:$D$37,4,FALSE)*'T50'!AG22</f>
        <v>0</v>
      </c>
      <c r="AH22" s="1100">
        <f>VLOOKUP(AH$1,'cost per tipologia de sòl'!$A$2:$D$37,4,FALSE)*'T50'!AH22</f>
        <v>0</v>
      </c>
      <c r="AI22" s="1100">
        <f>VLOOKUP(AI$1,'cost per tipologia de sòl'!$A$2:$D$37,4,FALSE)*'T50'!AI22</f>
        <v>0</v>
      </c>
      <c r="AJ22" s="1100">
        <f t="shared" si="0"/>
        <v>194036760.44149998</v>
      </c>
      <c r="AK22" s="1098">
        <f t="shared" si="1"/>
        <v>58.211028132449989</v>
      </c>
    </row>
    <row r="23" spans="1:37">
      <c r="A23" s="1099" t="s">
        <v>924</v>
      </c>
      <c r="B23" s="1100">
        <f>VLOOKUP(B$1,'cost per tipologia de sòl'!$A$2:$D$37,4,FALSE)*'T50'!B23</f>
        <v>7844990.9939999999</v>
      </c>
      <c r="C23" s="1100">
        <f>VLOOKUP(C$1,'cost per tipologia de sòl'!$A$2:$D$37,4,FALSE)*'T50'!C23</f>
        <v>0</v>
      </c>
      <c r="D23" s="1100">
        <f>VLOOKUP(D$1,'cost per tipologia de sòl'!$A$2:$D$37,4,FALSE)*'T50'!D23</f>
        <v>0</v>
      </c>
      <c r="E23" s="1100">
        <f>VLOOKUP(E$1,'cost per tipologia de sòl'!$A$2:$D$37,4,FALSE)*'T50'!E23</f>
        <v>0</v>
      </c>
      <c r="F23" s="1100">
        <f>VLOOKUP(F$1,'cost per tipologia de sòl'!$A$2:$D$37,4,FALSE)*'T50'!F23</f>
        <v>0</v>
      </c>
      <c r="G23" s="1100">
        <f>VLOOKUP(G$1,'cost per tipologia de sòl'!$A$2:$D$37,4,FALSE)*'T50'!G23</f>
        <v>0</v>
      </c>
      <c r="H23" s="1100">
        <f>VLOOKUP(H$1,'cost per tipologia de sòl'!$A$2:$D$37,4,FALSE)*'T50'!H23</f>
        <v>0</v>
      </c>
      <c r="I23" s="1100">
        <f>VLOOKUP(I$1,'cost per tipologia de sòl'!$A$2:$D$37,4,FALSE)*'T50'!I23</f>
        <v>0</v>
      </c>
      <c r="J23" s="1100">
        <f>VLOOKUP(J$1,'cost per tipologia de sòl'!$A$2:$D$37,4,FALSE)*'T50'!J23</f>
        <v>1898.6935000000001</v>
      </c>
      <c r="K23" s="1100">
        <f>VLOOKUP(K$1,'cost per tipologia de sòl'!$A$2:$D$37,4,FALSE)*'T50'!K23</f>
        <v>0</v>
      </c>
      <c r="L23" s="1100">
        <f>VLOOKUP(L$1,'cost per tipologia de sòl'!$A$2:$D$37,4,FALSE)*'T50'!L23</f>
        <v>0</v>
      </c>
      <c r="M23" s="1100">
        <f>VLOOKUP(M$1,'cost per tipologia de sòl'!$A$2:$D$37,4,FALSE)*'T50'!M23</f>
        <v>0</v>
      </c>
      <c r="N23" s="1100">
        <f>VLOOKUP(N$1,'cost per tipologia de sòl'!$A$2:$D$37,4,FALSE)*'T50'!N23</f>
        <v>0</v>
      </c>
      <c r="O23" s="1100">
        <f>VLOOKUP(O$1,'cost per tipologia de sòl'!$A$2:$D$37,4,FALSE)*'T50'!O23</f>
        <v>0</v>
      </c>
      <c r="P23" s="1100">
        <f>VLOOKUP(P$1,'cost per tipologia de sòl'!$A$2:$D$37,4,FALSE)*'T50'!P23</f>
        <v>0</v>
      </c>
      <c r="Q23" s="1100">
        <f>VLOOKUP(Q$1,'cost per tipologia de sòl'!$A$2:$D$37,4,FALSE)*'T50'!Q23</f>
        <v>0</v>
      </c>
      <c r="R23" s="1100">
        <f>VLOOKUP(R$1,'cost per tipologia de sòl'!$A$2:$D$37,4,FALSE)*'T50'!R23</f>
        <v>0</v>
      </c>
      <c r="S23" s="1100">
        <f>VLOOKUP(S$1,'cost per tipologia de sòl'!$A$2:$D$37,4,FALSE)*'T50'!S23</f>
        <v>0</v>
      </c>
      <c r="T23" s="1100">
        <f>VLOOKUP(T$1,'cost per tipologia de sòl'!$A$2:$D$37,4,FALSE)*'T50'!T23</f>
        <v>0</v>
      </c>
      <c r="U23" s="1100">
        <f>VLOOKUP(U$1,'cost per tipologia de sòl'!$A$2:$D$37,4,FALSE)*'T50'!U23</f>
        <v>0</v>
      </c>
      <c r="V23" s="1100">
        <f>VLOOKUP(V$1,'cost per tipologia de sòl'!$A$2:$D$37,4,FALSE)*'T50'!V23</f>
        <v>0</v>
      </c>
      <c r="W23" s="1100">
        <f>VLOOKUP(W$1,'cost per tipologia de sòl'!$A$2:$D$37,4,FALSE)*'T50'!W23</f>
        <v>0</v>
      </c>
      <c r="X23" s="1100">
        <f>VLOOKUP(X$1,'cost per tipologia de sòl'!$A$2:$D$37,4,FALSE)*'T50'!X23</f>
        <v>0</v>
      </c>
      <c r="Y23" s="1100">
        <f>VLOOKUP(Y$1,'cost per tipologia de sòl'!$A$2:$D$37,4,FALSE)*'T50'!Y23</f>
        <v>0</v>
      </c>
      <c r="Z23" s="1100">
        <f>VLOOKUP(Z$1,'cost per tipologia de sòl'!$A$2:$D$37,4,FALSE)*'T50'!Z23</f>
        <v>95836.911999999997</v>
      </c>
      <c r="AA23" s="1100">
        <f>VLOOKUP(AA$1,'cost per tipologia de sòl'!$A$2:$D$37,4,FALSE)*'T50'!AA23</f>
        <v>0</v>
      </c>
      <c r="AB23" s="1100">
        <f>VLOOKUP(AB$1,'cost per tipologia de sòl'!$A$2:$D$37,4,FALSE)*'T50'!AB23</f>
        <v>6082299.9500000002</v>
      </c>
      <c r="AC23" s="1100">
        <f>VLOOKUP(AC$1,'cost per tipologia de sòl'!$A$2:$D$37,4,FALSE)*'T50'!AC23</f>
        <v>0</v>
      </c>
      <c r="AD23" s="1100">
        <f>VLOOKUP(AD$1,'cost per tipologia de sòl'!$A$2:$D$37,4,FALSE)*'T50'!AD23</f>
        <v>1117419.45</v>
      </c>
      <c r="AE23" s="1100">
        <f>VLOOKUP(AE$1,'cost per tipologia de sòl'!$A$2:$D$37,4,FALSE)*'T50'!AE23</f>
        <v>0</v>
      </c>
      <c r="AF23" s="1100">
        <f>VLOOKUP(AF$1,'cost per tipologia de sòl'!$A$2:$D$37,4,FALSE)*'T50'!AF23</f>
        <v>0</v>
      </c>
      <c r="AG23" s="1100">
        <f>VLOOKUP(AG$1,'cost per tipologia de sòl'!$A$2:$D$37,4,FALSE)*'T50'!AG23</f>
        <v>0</v>
      </c>
      <c r="AH23" s="1100">
        <f>VLOOKUP(AH$1,'cost per tipologia de sòl'!$A$2:$D$37,4,FALSE)*'T50'!AH23</f>
        <v>0</v>
      </c>
      <c r="AI23" s="1100">
        <f>VLOOKUP(AI$1,'cost per tipologia de sòl'!$A$2:$D$37,4,FALSE)*'T50'!AI23</f>
        <v>0</v>
      </c>
      <c r="AJ23" s="1100">
        <f t="shared" si="0"/>
        <v>15142445.999499999</v>
      </c>
      <c r="AK23" s="1098">
        <f t="shared" si="1"/>
        <v>4.5427337998499997</v>
      </c>
    </row>
    <row r="24" spans="1:37">
      <c r="A24" s="1099" t="s">
        <v>929</v>
      </c>
      <c r="B24" s="1100">
        <f>VLOOKUP(B$1,'cost per tipologia de sòl'!$A$2:$D$37,4,FALSE)*'T50'!B24</f>
        <v>266606.74800000002</v>
      </c>
      <c r="C24" s="1100">
        <f>VLOOKUP(C$1,'cost per tipologia de sòl'!$A$2:$D$37,4,FALSE)*'T50'!C24</f>
        <v>0</v>
      </c>
      <c r="D24" s="1100">
        <f>VLOOKUP(D$1,'cost per tipologia de sòl'!$A$2:$D$37,4,FALSE)*'T50'!D24</f>
        <v>0</v>
      </c>
      <c r="E24" s="1100">
        <f>VLOOKUP(E$1,'cost per tipologia de sòl'!$A$2:$D$37,4,FALSE)*'T50'!E24</f>
        <v>0</v>
      </c>
      <c r="F24" s="1100">
        <f>VLOOKUP(F$1,'cost per tipologia de sòl'!$A$2:$D$37,4,FALSE)*'T50'!F24</f>
        <v>0</v>
      </c>
      <c r="G24" s="1100">
        <f>VLOOKUP(G$1,'cost per tipologia de sòl'!$A$2:$D$37,4,FALSE)*'T50'!G24</f>
        <v>0</v>
      </c>
      <c r="H24" s="1100">
        <f>VLOOKUP(H$1,'cost per tipologia de sòl'!$A$2:$D$37,4,FALSE)*'T50'!H24</f>
        <v>0</v>
      </c>
      <c r="I24" s="1100">
        <f>VLOOKUP(I$1,'cost per tipologia de sòl'!$A$2:$D$37,4,FALSE)*'T50'!I24</f>
        <v>0</v>
      </c>
      <c r="J24" s="1100">
        <f>VLOOKUP(J$1,'cost per tipologia de sòl'!$A$2:$D$37,4,FALSE)*'T50'!J24</f>
        <v>377398.30699999997</v>
      </c>
      <c r="K24" s="1100">
        <f>VLOOKUP(K$1,'cost per tipologia de sòl'!$A$2:$D$37,4,FALSE)*'T50'!K24</f>
        <v>0</v>
      </c>
      <c r="L24" s="1100">
        <f>VLOOKUP(L$1,'cost per tipologia de sòl'!$A$2:$D$37,4,FALSE)*'T50'!L24</f>
        <v>24951.339</v>
      </c>
      <c r="M24" s="1100">
        <f>VLOOKUP(M$1,'cost per tipologia de sòl'!$A$2:$D$37,4,FALSE)*'T50'!M24</f>
        <v>0</v>
      </c>
      <c r="N24" s="1100">
        <f>VLOOKUP(N$1,'cost per tipologia de sòl'!$A$2:$D$37,4,FALSE)*'T50'!N24</f>
        <v>0</v>
      </c>
      <c r="O24" s="1100">
        <f>VLOOKUP(O$1,'cost per tipologia de sòl'!$A$2:$D$37,4,FALSE)*'T50'!O24</f>
        <v>0</v>
      </c>
      <c r="P24" s="1100">
        <f>VLOOKUP(P$1,'cost per tipologia de sòl'!$A$2:$D$37,4,FALSE)*'T50'!P24</f>
        <v>0</v>
      </c>
      <c r="Q24" s="1100">
        <f>VLOOKUP(Q$1,'cost per tipologia de sòl'!$A$2:$D$37,4,FALSE)*'T50'!Q24</f>
        <v>0</v>
      </c>
      <c r="R24" s="1100">
        <f>VLOOKUP(R$1,'cost per tipologia de sòl'!$A$2:$D$37,4,FALSE)*'T50'!R24</f>
        <v>0</v>
      </c>
      <c r="S24" s="1100">
        <f>VLOOKUP(S$1,'cost per tipologia de sòl'!$A$2:$D$37,4,FALSE)*'T50'!S24</f>
        <v>1286361.216</v>
      </c>
      <c r="T24" s="1100">
        <f>VLOOKUP(T$1,'cost per tipologia de sòl'!$A$2:$D$37,4,FALSE)*'T50'!T24</f>
        <v>2892674.2109999997</v>
      </c>
      <c r="U24" s="1100">
        <f>VLOOKUP(U$1,'cost per tipologia de sòl'!$A$2:$D$37,4,FALSE)*'T50'!U24</f>
        <v>0</v>
      </c>
      <c r="V24" s="1100">
        <f>VLOOKUP(V$1,'cost per tipologia de sòl'!$A$2:$D$37,4,FALSE)*'T50'!V24</f>
        <v>0</v>
      </c>
      <c r="W24" s="1100">
        <f>VLOOKUP(W$1,'cost per tipologia de sòl'!$A$2:$D$37,4,FALSE)*'T50'!W24</f>
        <v>0</v>
      </c>
      <c r="X24" s="1100">
        <f>VLOOKUP(X$1,'cost per tipologia de sòl'!$A$2:$D$37,4,FALSE)*'T50'!X24</f>
        <v>0</v>
      </c>
      <c r="Y24" s="1100">
        <f>VLOOKUP(Y$1,'cost per tipologia de sòl'!$A$2:$D$37,4,FALSE)*'T50'!Y24</f>
        <v>0</v>
      </c>
      <c r="Z24" s="1100">
        <f>VLOOKUP(Z$1,'cost per tipologia de sòl'!$A$2:$D$37,4,FALSE)*'T50'!Z24</f>
        <v>0</v>
      </c>
      <c r="AA24" s="1100">
        <f>VLOOKUP(AA$1,'cost per tipologia de sòl'!$A$2:$D$37,4,FALSE)*'T50'!AA24</f>
        <v>0</v>
      </c>
      <c r="AB24" s="1100">
        <f>VLOOKUP(AB$1,'cost per tipologia de sòl'!$A$2:$D$37,4,FALSE)*'T50'!AB24</f>
        <v>142735.6</v>
      </c>
      <c r="AC24" s="1100">
        <f>VLOOKUP(AC$1,'cost per tipologia de sòl'!$A$2:$D$37,4,FALSE)*'T50'!AC24</f>
        <v>180412.59999999998</v>
      </c>
      <c r="AD24" s="1100">
        <f>VLOOKUP(AD$1,'cost per tipologia de sòl'!$A$2:$D$37,4,FALSE)*'T50'!AD24</f>
        <v>504164.05000000005</v>
      </c>
      <c r="AE24" s="1100">
        <f>VLOOKUP(AE$1,'cost per tipologia de sòl'!$A$2:$D$37,4,FALSE)*'T50'!AE24</f>
        <v>0</v>
      </c>
      <c r="AF24" s="1100">
        <f>VLOOKUP(AF$1,'cost per tipologia de sòl'!$A$2:$D$37,4,FALSE)*'T50'!AF24</f>
        <v>0</v>
      </c>
      <c r="AG24" s="1100">
        <f>VLOOKUP(AG$1,'cost per tipologia de sòl'!$A$2:$D$37,4,FALSE)*'T50'!AG24</f>
        <v>0</v>
      </c>
      <c r="AH24" s="1100">
        <f>VLOOKUP(AH$1,'cost per tipologia de sòl'!$A$2:$D$37,4,FALSE)*'T50'!AH24</f>
        <v>0</v>
      </c>
      <c r="AI24" s="1100">
        <f>VLOOKUP(AI$1,'cost per tipologia de sòl'!$A$2:$D$37,4,FALSE)*'T50'!AI24</f>
        <v>0</v>
      </c>
      <c r="AJ24" s="1100">
        <f t="shared" si="0"/>
        <v>5675304.0709999986</v>
      </c>
      <c r="AK24" s="1098">
        <f t="shared" si="1"/>
        <v>1.7025912212999996</v>
      </c>
    </row>
    <row r="25" spans="1:37">
      <c r="A25" s="1099" t="s">
        <v>934</v>
      </c>
      <c r="B25" s="1100">
        <f>VLOOKUP(B$1,'cost per tipologia de sòl'!$A$2:$D$37,4,FALSE)*'T50'!B25</f>
        <v>2227080.5640000002</v>
      </c>
      <c r="C25" s="1100">
        <f>VLOOKUP(C$1,'cost per tipologia de sòl'!$A$2:$D$37,4,FALSE)*'T50'!C25</f>
        <v>0</v>
      </c>
      <c r="D25" s="1100">
        <f>VLOOKUP(D$1,'cost per tipologia de sòl'!$A$2:$D$37,4,FALSE)*'T50'!D25</f>
        <v>0</v>
      </c>
      <c r="E25" s="1100">
        <f>VLOOKUP(E$1,'cost per tipologia de sòl'!$A$2:$D$37,4,FALSE)*'T50'!E25</f>
        <v>0</v>
      </c>
      <c r="F25" s="1100">
        <f>VLOOKUP(F$1,'cost per tipologia de sòl'!$A$2:$D$37,4,FALSE)*'T50'!F25</f>
        <v>0</v>
      </c>
      <c r="G25" s="1100">
        <f>VLOOKUP(G$1,'cost per tipologia de sòl'!$A$2:$D$37,4,FALSE)*'T50'!G25</f>
        <v>0</v>
      </c>
      <c r="H25" s="1100">
        <f>VLOOKUP(H$1,'cost per tipologia de sòl'!$A$2:$D$37,4,FALSE)*'T50'!H25</f>
        <v>0</v>
      </c>
      <c r="I25" s="1100">
        <f>VLOOKUP(I$1,'cost per tipologia de sòl'!$A$2:$D$37,4,FALSE)*'T50'!I25</f>
        <v>0</v>
      </c>
      <c r="J25" s="1100">
        <f>VLOOKUP(J$1,'cost per tipologia de sòl'!$A$2:$D$37,4,FALSE)*'T50'!J25</f>
        <v>282080.11700000003</v>
      </c>
      <c r="K25" s="1100">
        <f>VLOOKUP(K$1,'cost per tipologia de sòl'!$A$2:$D$37,4,FALSE)*'T50'!K25</f>
        <v>0</v>
      </c>
      <c r="L25" s="1100">
        <f>VLOOKUP(L$1,'cost per tipologia de sòl'!$A$2:$D$37,4,FALSE)*'T50'!L25</f>
        <v>272692.8</v>
      </c>
      <c r="M25" s="1100">
        <f>VLOOKUP(M$1,'cost per tipologia de sòl'!$A$2:$D$37,4,FALSE)*'T50'!M25</f>
        <v>0</v>
      </c>
      <c r="N25" s="1100">
        <f>VLOOKUP(N$1,'cost per tipologia de sòl'!$A$2:$D$37,4,FALSE)*'T50'!N25</f>
        <v>8697.6720000000005</v>
      </c>
      <c r="O25" s="1100">
        <f>VLOOKUP(O$1,'cost per tipologia de sòl'!$A$2:$D$37,4,FALSE)*'T50'!O25</f>
        <v>0</v>
      </c>
      <c r="P25" s="1100">
        <f>VLOOKUP(P$1,'cost per tipologia de sòl'!$A$2:$D$37,4,FALSE)*'T50'!P25</f>
        <v>0</v>
      </c>
      <c r="Q25" s="1100">
        <f>VLOOKUP(Q$1,'cost per tipologia de sòl'!$A$2:$D$37,4,FALSE)*'T50'!Q25</f>
        <v>0</v>
      </c>
      <c r="R25" s="1100">
        <f>VLOOKUP(R$1,'cost per tipologia de sòl'!$A$2:$D$37,4,FALSE)*'T50'!R25</f>
        <v>0</v>
      </c>
      <c r="S25" s="1100">
        <f>VLOOKUP(S$1,'cost per tipologia de sòl'!$A$2:$D$37,4,FALSE)*'T50'!S25</f>
        <v>9704.0159999999996</v>
      </c>
      <c r="T25" s="1100">
        <f>VLOOKUP(T$1,'cost per tipologia de sòl'!$A$2:$D$37,4,FALSE)*'T50'!T25</f>
        <v>10602.02</v>
      </c>
      <c r="U25" s="1100">
        <f>VLOOKUP(U$1,'cost per tipologia de sòl'!$A$2:$D$37,4,FALSE)*'T50'!U25</f>
        <v>0</v>
      </c>
      <c r="V25" s="1100">
        <f>VLOOKUP(V$1,'cost per tipologia de sòl'!$A$2:$D$37,4,FALSE)*'T50'!V25</f>
        <v>0</v>
      </c>
      <c r="W25" s="1100">
        <f>VLOOKUP(W$1,'cost per tipologia de sòl'!$A$2:$D$37,4,FALSE)*'T50'!W25</f>
        <v>0</v>
      </c>
      <c r="X25" s="1100">
        <f>VLOOKUP(X$1,'cost per tipologia de sòl'!$A$2:$D$37,4,FALSE)*'T50'!X25</f>
        <v>0</v>
      </c>
      <c r="Y25" s="1100">
        <f>VLOOKUP(Y$1,'cost per tipologia de sòl'!$A$2:$D$37,4,FALSE)*'T50'!Y25</f>
        <v>0</v>
      </c>
      <c r="Z25" s="1100">
        <f>VLOOKUP(Z$1,'cost per tipologia de sòl'!$A$2:$D$37,4,FALSE)*'T50'!Z25</f>
        <v>2514615.0040000002</v>
      </c>
      <c r="AA25" s="1100">
        <f>VLOOKUP(AA$1,'cost per tipologia de sòl'!$A$2:$D$37,4,FALSE)*'T50'!AA25</f>
        <v>61034.65</v>
      </c>
      <c r="AB25" s="1100">
        <f>VLOOKUP(AB$1,'cost per tipologia de sòl'!$A$2:$D$37,4,FALSE)*'T50'!AB25</f>
        <v>357782.35000000003</v>
      </c>
      <c r="AC25" s="1100">
        <f>VLOOKUP(AC$1,'cost per tipologia de sòl'!$A$2:$D$37,4,FALSE)*'T50'!AC25</f>
        <v>20904.750000000004</v>
      </c>
      <c r="AD25" s="1100">
        <f>VLOOKUP(AD$1,'cost per tipologia de sòl'!$A$2:$D$37,4,FALSE)*'T50'!AD25</f>
        <v>855532</v>
      </c>
      <c r="AE25" s="1100">
        <f>VLOOKUP(AE$1,'cost per tipologia de sòl'!$A$2:$D$37,4,FALSE)*'T50'!AE25</f>
        <v>0</v>
      </c>
      <c r="AF25" s="1100">
        <f>VLOOKUP(AF$1,'cost per tipologia de sòl'!$A$2:$D$37,4,FALSE)*'T50'!AF25</f>
        <v>0</v>
      </c>
      <c r="AG25" s="1100">
        <f>VLOOKUP(AG$1,'cost per tipologia de sòl'!$A$2:$D$37,4,FALSE)*'T50'!AG25</f>
        <v>0</v>
      </c>
      <c r="AH25" s="1100">
        <f>VLOOKUP(AH$1,'cost per tipologia de sòl'!$A$2:$D$37,4,FALSE)*'T50'!AH25</f>
        <v>0</v>
      </c>
      <c r="AI25" s="1100">
        <f>VLOOKUP(AI$1,'cost per tipologia de sòl'!$A$2:$D$37,4,FALSE)*'T50'!AI25</f>
        <v>0</v>
      </c>
      <c r="AJ25" s="1100">
        <f t="shared" si="0"/>
        <v>6620725.943</v>
      </c>
      <c r="AK25" s="1098">
        <f t="shared" si="1"/>
        <v>1.9862177828999998</v>
      </c>
    </row>
    <row r="26" spans="1:37">
      <c r="A26" s="1099" t="s">
        <v>951</v>
      </c>
      <c r="B26" s="1100">
        <f>VLOOKUP(B$1,'cost per tipologia de sòl'!$A$2:$D$37,4,FALSE)*'T50'!B26</f>
        <v>0</v>
      </c>
      <c r="C26" s="1100">
        <f>VLOOKUP(C$1,'cost per tipologia de sòl'!$A$2:$D$37,4,FALSE)*'T50'!C26</f>
        <v>0</v>
      </c>
      <c r="D26" s="1100">
        <f>VLOOKUP(D$1,'cost per tipologia de sòl'!$A$2:$D$37,4,FALSE)*'T50'!D26</f>
        <v>0</v>
      </c>
      <c r="E26" s="1100">
        <f>VLOOKUP(E$1,'cost per tipologia de sòl'!$A$2:$D$37,4,FALSE)*'T50'!E26</f>
        <v>0</v>
      </c>
      <c r="F26" s="1100">
        <f>VLOOKUP(F$1,'cost per tipologia de sòl'!$A$2:$D$37,4,FALSE)*'T50'!F26</f>
        <v>0</v>
      </c>
      <c r="G26" s="1100">
        <f>VLOOKUP(G$1,'cost per tipologia de sòl'!$A$2:$D$37,4,FALSE)*'T50'!G26</f>
        <v>0</v>
      </c>
      <c r="H26" s="1100">
        <f>VLOOKUP(H$1,'cost per tipologia de sòl'!$A$2:$D$37,4,FALSE)*'T50'!H26</f>
        <v>0</v>
      </c>
      <c r="I26" s="1100">
        <f>VLOOKUP(I$1,'cost per tipologia de sòl'!$A$2:$D$37,4,FALSE)*'T50'!I26</f>
        <v>0</v>
      </c>
      <c r="J26" s="1100">
        <f>VLOOKUP(J$1,'cost per tipologia de sòl'!$A$2:$D$37,4,FALSE)*'T50'!J26</f>
        <v>77628.578500000003</v>
      </c>
      <c r="K26" s="1100">
        <f>VLOOKUP(K$1,'cost per tipologia de sòl'!$A$2:$D$37,4,FALSE)*'T50'!K26</f>
        <v>0</v>
      </c>
      <c r="L26" s="1100">
        <f>VLOOKUP(L$1,'cost per tipologia de sòl'!$A$2:$D$37,4,FALSE)*'T50'!L26</f>
        <v>0</v>
      </c>
      <c r="M26" s="1100">
        <f>VLOOKUP(M$1,'cost per tipologia de sòl'!$A$2:$D$37,4,FALSE)*'T50'!M26</f>
        <v>0</v>
      </c>
      <c r="N26" s="1100">
        <f>VLOOKUP(N$1,'cost per tipologia de sòl'!$A$2:$D$37,4,FALSE)*'T50'!N26</f>
        <v>0</v>
      </c>
      <c r="O26" s="1100">
        <f>VLOOKUP(O$1,'cost per tipologia de sòl'!$A$2:$D$37,4,FALSE)*'T50'!O26</f>
        <v>0</v>
      </c>
      <c r="P26" s="1100">
        <f>VLOOKUP(P$1,'cost per tipologia de sòl'!$A$2:$D$37,4,FALSE)*'T50'!P26</f>
        <v>0</v>
      </c>
      <c r="Q26" s="1100">
        <f>VLOOKUP(Q$1,'cost per tipologia de sòl'!$A$2:$D$37,4,FALSE)*'T50'!Q26</f>
        <v>0</v>
      </c>
      <c r="R26" s="1100">
        <f>VLOOKUP(R$1,'cost per tipologia de sòl'!$A$2:$D$37,4,FALSE)*'T50'!R26</f>
        <v>0</v>
      </c>
      <c r="S26" s="1100">
        <f>VLOOKUP(S$1,'cost per tipologia de sòl'!$A$2:$D$37,4,FALSE)*'T50'!S26</f>
        <v>3610879.7760000001</v>
      </c>
      <c r="T26" s="1100">
        <f>VLOOKUP(T$1,'cost per tipologia de sòl'!$A$2:$D$37,4,FALSE)*'T50'!T26</f>
        <v>0</v>
      </c>
      <c r="U26" s="1100">
        <f>VLOOKUP(U$1,'cost per tipologia de sòl'!$A$2:$D$37,4,FALSE)*'T50'!U26</f>
        <v>81058.95</v>
      </c>
      <c r="V26" s="1100">
        <f>VLOOKUP(V$1,'cost per tipologia de sòl'!$A$2:$D$37,4,FALSE)*'T50'!V26</f>
        <v>0</v>
      </c>
      <c r="W26" s="1100">
        <f>VLOOKUP(W$1,'cost per tipologia de sòl'!$A$2:$D$37,4,FALSE)*'T50'!W26</f>
        <v>0</v>
      </c>
      <c r="X26" s="1100">
        <f>VLOOKUP(X$1,'cost per tipologia de sòl'!$A$2:$D$37,4,FALSE)*'T50'!X26</f>
        <v>0</v>
      </c>
      <c r="Y26" s="1100">
        <f>VLOOKUP(Y$1,'cost per tipologia de sòl'!$A$2:$D$37,4,FALSE)*'T50'!Y26</f>
        <v>0</v>
      </c>
      <c r="Z26" s="1100">
        <f>VLOOKUP(Z$1,'cost per tipologia de sòl'!$A$2:$D$37,4,FALSE)*'T50'!Z26</f>
        <v>0</v>
      </c>
      <c r="AA26" s="1100">
        <f>VLOOKUP(AA$1,'cost per tipologia de sòl'!$A$2:$D$37,4,FALSE)*'T50'!AA26</f>
        <v>0</v>
      </c>
      <c r="AB26" s="1100">
        <f>VLOOKUP(AB$1,'cost per tipologia de sòl'!$A$2:$D$37,4,FALSE)*'T50'!AB26</f>
        <v>223431.45</v>
      </c>
      <c r="AC26" s="1100">
        <f>VLOOKUP(AC$1,'cost per tipologia de sòl'!$A$2:$D$37,4,FALSE)*'T50'!AC26</f>
        <v>0</v>
      </c>
      <c r="AD26" s="1100">
        <f>VLOOKUP(AD$1,'cost per tipologia de sòl'!$A$2:$D$37,4,FALSE)*'T50'!AD26</f>
        <v>78884.2</v>
      </c>
      <c r="AE26" s="1100">
        <f>VLOOKUP(AE$1,'cost per tipologia de sòl'!$A$2:$D$37,4,FALSE)*'T50'!AE26</f>
        <v>0</v>
      </c>
      <c r="AF26" s="1100">
        <f>VLOOKUP(AF$1,'cost per tipologia de sòl'!$A$2:$D$37,4,FALSE)*'T50'!AF26</f>
        <v>0</v>
      </c>
      <c r="AG26" s="1100">
        <f>VLOOKUP(AG$1,'cost per tipologia de sòl'!$A$2:$D$37,4,FALSE)*'T50'!AG26</f>
        <v>0</v>
      </c>
      <c r="AH26" s="1100">
        <f>VLOOKUP(AH$1,'cost per tipologia de sòl'!$A$2:$D$37,4,FALSE)*'T50'!AH26</f>
        <v>0</v>
      </c>
      <c r="AI26" s="1100">
        <f>VLOOKUP(AI$1,'cost per tipologia de sòl'!$A$2:$D$37,4,FALSE)*'T50'!AI26</f>
        <v>0</v>
      </c>
      <c r="AJ26" s="1100">
        <f t="shared" si="0"/>
        <v>4071882.9545000005</v>
      </c>
      <c r="AK26" s="1098">
        <f t="shared" si="1"/>
        <v>1.2215648863500002</v>
      </c>
    </row>
    <row r="27" spans="1:37">
      <c r="A27" s="1099" t="s">
        <v>944</v>
      </c>
      <c r="B27" s="1100">
        <f>VLOOKUP(B$1,'cost per tipologia de sòl'!$A$2:$D$37,4,FALSE)*'T50'!B27</f>
        <v>177704.44199999998</v>
      </c>
      <c r="C27" s="1100">
        <f>VLOOKUP(C$1,'cost per tipologia de sòl'!$A$2:$D$37,4,FALSE)*'T50'!C27</f>
        <v>0</v>
      </c>
      <c r="D27" s="1100">
        <f>VLOOKUP(D$1,'cost per tipologia de sòl'!$A$2:$D$37,4,FALSE)*'T50'!D27</f>
        <v>0</v>
      </c>
      <c r="E27" s="1100">
        <f>VLOOKUP(E$1,'cost per tipologia de sòl'!$A$2:$D$37,4,FALSE)*'T50'!E27</f>
        <v>0</v>
      </c>
      <c r="F27" s="1100">
        <f>VLOOKUP(F$1,'cost per tipologia de sòl'!$A$2:$D$37,4,FALSE)*'T50'!F27</f>
        <v>0</v>
      </c>
      <c r="G27" s="1100">
        <f>VLOOKUP(G$1,'cost per tipologia de sòl'!$A$2:$D$37,4,FALSE)*'T50'!G27</f>
        <v>0</v>
      </c>
      <c r="H27" s="1100">
        <f>VLOOKUP(H$1,'cost per tipologia de sòl'!$A$2:$D$37,4,FALSE)*'T50'!H27</f>
        <v>0</v>
      </c>
      <c r="I27" s="1100">
        <f>VLOOKUP(I$1,'cost per tipologia de sòl'!$A$2:$D$37,4,FALSE)*'T50'!I27</f>
        <v>0</v>
      </c>
      <c r="J27" s="1100">
        <f>VLOOKUP(J$1,'cost per tipologia de sòl'!$A$2:$D$37,4,FALSE)*'T50'!J27</f>
        <v>0</v>
      </c>
      <c r="K27" s="1100">
        <f>VLOOKUP(K$1,'cost per tipologia de sòl'!$A$2:$D$37,4,FALSE)*'T50'!K27</f>
        <v>0</v>
      </c>
      <c r="L27" s="1100">
        <f>VLOOKUP(L$1,'cost per tipologia de sòl'!$A$2:$D$37,4,FALSE)*'T50'!L27</f>
        <v>0</v>
      </c>
      <c r="M27" s="1100">
        <f>VLOOKUP(M$1,'cost per tipologia de sòl'!$A$2:$D$37,4,FALSE)*'T50'!M27</f>
        <v>0</v>
      </c>
      <c r="N27" s="1100">
        <f>VLOOKUP(N$1,'cost per tipologia de sòl'!$A$2:$D$37,4,FALSE)*'T50'!N27</f>
        <v>0</v>
      </c>
      <c r="O27" s="1100">
        <f>VLOOKUP(O$1,'cost per tipologia de sòl'!$A$2:$D$37,4,FALSE)*'T50'!O27</f>
        <v>0</v>
      </c>
      <c r="P27" s="1100">
        <f>VLOOKUP(P$1,'cost per tipologia de sòl'!$A$2:$D$37,4,FALSE)*'T50'!P27</f>
        <v>0</v>
      </c>
      <c r="Q27" s="1100">
        <f>VLOOKUP(Q$1,'cost per tipologia de sòl'!$A$2:$D$37,4,FALSE)*'T50'!Q27</f>
        <v>0</v>
      </c>
      <c r="R27" s="1100">
        <f>VLOOKUP(R$1,'cost per tipologia de sòl'!$A$2:$D$37,4,FALSE)*'T50'!R27</f>
        <v>0</v>
      </c>
      <c r="S27" s="1100">
        <f>VLOOKUP(S$1,'cost per tipologia de sòl'!$A$2:$D$37,4,FALSE)*'T50'!S27</f>
        <v>0</v>
      </c>
      <c r="T27" s="1100">
        <f>VLOOKUP(T$1,'cost per tipologia de sòl'!$A$2:$D$37,4,FALSE)*'T50'!T27</f>
        <v>0</v>
      </c>
      <c r="U27" s="1100">
        <f>VLOOKUP(U$1,'cost per tipologia de sòl'!$A$2:$D$37,4,FALSE)*'T50'!U27</f>
        <v>0</v>
      </c>
      <c r="V27" s="1100">
        <f>VLOOKUP(V$1,'cost per tipologia de sòl'!$A$2:$D$37,4,FALSE)*'T50'!V27</f>
        <v>0</v>
      </c>
      <c r="W27" s="1100">
        <f>VLOOKUP(W$1,'cost per tipologia de sòl'!$A$2:$D$37,4,FALSE)*'T50'!W27</f>
        <v>0</v>
      </c>
      <c r="X27" s="1100">
        <f>VLOOKUP(X$1,'cost per tipologia de sòl'!$A$2:$D$37,4,FALSE)*'T50'!X27</f>
        <v>0</v>
      </c>
      <c r="Y27" s="1100">
        <f>VLOOKUP(Y$1,'cost per tipologia de sòl'!$A$2:$D$37,4,FALSE)*'T50'!Y27</f>
        <v>0</v>
      </c>
      <c r="Z27" s="1100">
        <f>VLOOKUP(Z$1,'cost per tipologia de sòl'!$A$2:$D$37,4,FALSE)*'T50'!Z27</f>
        <v>55185.055999999997</v>
      </c>
      <c r="AA27" s="1100">
        <f>VLOOKUP(AA$1,'cost per tipologia de sòl'!$A$2:$D$37,4,FALSE)*'T50'!AA27</f>
        <v>0</v>
      </c>
      <c r="AB27" s="1100">
        <f>VLOOKUP(AB$1,'cost per tipologia de sòl'!$A$2:$D$37,4,FALSE)*'T50'!AB27</f>
        <v>1183175.5999999999</v>
      </c>
      <c r="AC27" s="1100">
        <f>VLOOKUP(AC$1,'cost per tipologia de sòl'!$A$2:$D$37,4,FALSE)*'T50'!AC27</f>
        <v>0</v>
      </c>
      <c r="AD27" s="1100">
        <f>VLOOKUP(AD$1,'cost per tipologia de sòl'!$A$2:$D$37,4,FALSE)*'T50'!AD27</f>
        <v>615220.94999999995</v>
      </c>
      <c r="AE27" s="1100">
        <f>VLOOKUP(AE$1,'cost per tipologia de sòl'!$A$2:$D$37,4,FALSE)*'T50'!AE27</f>
        <v>0</v>
      </c>
      <c r="AF27" s="1100">
        <f>VLOOKUP(AF$1,'cost per tipologia de sòl'!$A$2:$D$37,4,FALSE)*'T50'!AF27</f>
        <v>0</v>
      </c>
      <c r="AG27" s="1100">
        <f>VLOOKUP(AG$1,'cost per tipologia de sòl'!$A$2:$D$37,4,FALSE)*'T50'!AG27</f>
        <v>0</v>
      </c>
      <c r="AH27" s="1100">
        <f>VLOOKUP(AH$1,'cost per tipologia de sòl'!$A$2:$D$37,4,FALSE)*'T50'!AH27</f>
        <v>0</v>
      </c>
      <c r="AI27" s="1100">
        <f>VLOOKUP(AI$1,'cost per tipologia de sòl'!$A$2:$D$37,4,FALSE)*'T50'!AI27</f>
        <v>0</v>
      </c>
      <c r="AJ27" s="1100">
        <f t="shared" si="0"/>
        <v>2031286.0479999997</v>
      </c>
      <c r="AK27" s="1098">
        <f t="shared" si="1"/>
        <v>0.60938581439999995</v>
      </c>
    </row>
    <row r="28" spans="1:37">
      <c r="A28" s="1099" t="s">
        <v>958</v>
      </c>
      <c r="B28" s="1100">
        <f>VLOOKUP(B$1,'cost per tipologia de sòl'!$A$2:$D$37,4,FALSE)*'T50'!B28</f>
        <v>22805135.316</v>
      </c>
      <c r="C28" s="1100">
        <f>VLOOKUP(C$1,'cost per tipologia de sòl'!$A$2:$D$37,4,FALSE)*'T50'!C28</f>
        <v>0</v>
      </c>
      <c r="D28" s="1100">
        <f>VLOOKUP(D$1,'cost per tipologia de sòl'!$A$2:$D$37,4,FALSE)*'T50'!D28</f>
        <v>0</v>
      </c>
      <c r="E28" s="1100">
        <f>VLOOKUP(E$1,'cost per tipologia de sòl'!$A$2:$D$37,4,FALSE)*'T50'!E28</f>
        <v>0</v>
      </c>
      <c r="F28" s="1100">
        <f>VLOOKUP(F$1,'cost per tipologia de sòl'!$A$2:$D$37,4,FALSE)*'T50'!F28</f>
        <v>0</v>
      </c>
      <c r="G28" s="1100">
        <f>VLOOKUP(G$1,'cost per tipologia de sòl'!$A$2:$D$37,4,FALSE)*'T50'!G28</f>
        <v>0</v>
      </c>
      <c r="H28" s="1100">
        <f>VLOOKUP(H$1,'cost per tipologia de sòl'!$A$2:$D$37,4,FALSE)*'T50'!H28</f>
        <v>0</v>
      </c>
      <c r="I28" s="1100">
        <f>VLOOKUP(I$1,'cost per tipologia de sòl'!$A$2:$D$37,4,FALSE)*'T50'!I28</f>
        <v>0</v>
      </c>
      <c r="J28" s="1100">
        <f>VLOOKUP(J$1,'cost per tipologia de sòl'!$A$2:$D$37,4,FALSE)*'T50'!J28</f>
        <v>15465.961499999999</v>
      </c>
      <c r="K28" s="1100">
        <f>VLOOKUP(K$1,'cost per tipologia de sòl'!$A$2:$D$37,4,FALSE)*'T50'!K28</f>
        <v>0</v>
      </c>
      <c r="L28" s="1100">
        <f>VLOOKUP(L$1,'cost per tipologia de sòl'!$A$2:$D$37,4,FALSE)*'T50'!L28</f>
        <v>0</v>
      </c>
      <c r="M28" s="1100">
        <f>VLOOKUP(M$1,'cost per tipologia de sòl'!$A$2:$D$37,4,FALSE)*'T50'!M28</f>
        <v>717538.37599999993</v>
      </c>
      <c r="N28" s="1100">
        <f>VLOOKUP(N$1,'cost per tipologia de sòl'!$A$2:$D$37,4,FALSE)*'T50'!N28</f>
        <v>0</v>
      </c>
      <c r="O28" s="1100">
        <f>VLOOKUP(O$1,'cost per tipologia de sòl'!$A$2:$D$37,4,FALSE)*'T50'!O28</f>
        <v>9256.1839999999993</v>
      </c>
      <c r="P28" s="1100">
        <f>VLOOKUP(P$1,'cost per tipologia de sòl'!$A$2:$D$37,4,FALSE)*'T50'!P28</f>
        <v>0</v>
      </c>
      <c r="Q28" s="1100">
        <f>VLOOKUP(Q$1,'cost per tipologia de sòl'!$A$2:$D$37,4,FALSE)*'T50'!Q28</f>
        <v>0</v>
      </c>
      <c r="R28" s="1100">
        <f>VLOOKUP(R$1,'cost per tipologia de sòl'!$A$2:$D$37,4,FALSE)*'T50'!R28</f>
        <v>0</v>
      </c>
      <c r="S28" s="1100">
        <f>VLOOKUP(S$1,'cost per tipologia de sòl'!$A$2:$D$37,4,FALSE)*'T50'!S28</f>
        <v>10032.624</v>
      </c>
      <c r="T28" s="1100">
        <f>VLOOKUP(T$1,'cost per tipologia de sòl'!$A$2:$D$37,4,FALSE)*'T50'!T28</f>
        <v>499016.45699999994</v>
      </c>
      <c r="U28" s="1100">
        <f>VLOOKUP(U$1,'cost per tipologia de sòl'!$A$2:$D$37,4,FALSE)*'T50'!U28</f>
        <v>2444214.15</v>
      </c>
      <c r="V28" s="1100">
        <f>VLOOKUP(V$1,'cost per tipologia de sòl'!$A$2:$D$37,4,FALSE)*'T50'!V28</f>
        <v>0</v>
      </c>
      <c r="W28" s="1100">
        <f>VLOOKUP(W$1,'cost per tipologia de sòl'!$A$2:$D$37,4,FALSE)*'T50'!W28</f>
        <v>0</v>
      </c>
      <c r="X28" s="1100">
        <f>VLOOKUP(X$1,'cost per tipologia de sòl'!$A$2:$D$37,4,FALSE)*'T50'!X28</f>
        <v>0</v>
      </c>
      <c r="Y28" s="1100">
        <f>VLOOKUP(Y$1,'cost per tipologia de sòl'!$A$2:$D$37,4,FALSE)*'T50'!Y28</f>
        <v>0</v>
      </c>
      <c r="Z28" s="1100">
        <f>VLOOKUP(Z$1,'cost per tipologia de sòl'!$A$2:$D$37,4,FALSE)*'T50'!Z28</f>
        <v>6998506.5</v>
      </c>
      <c r="AA28" s="1100">
        <f>VLOOKUP(AA$1,'cost per tipologia de sòl'!$A$2:$D$37,4,FALSE)*'T50'!AA28</f>
        <v>0</v>
      </c>
      <c r="AB28" s="1100">
        <f>VLOOKUP(AB$1,'cost per tipologia de sòl'!$A$2:$D$37,4,FALSE)*'T50'!AB28</f>
        <v>1738348</v>
      </c>
      <c r="AC28" s="1100">
        <f>VLOOKUP(AC$1,'cost per tipologia de sòl'!$A$2:$D$37,4,FALSE)*'T50'!AC28</f>
        <v>1060117.3500000001</v>
      </c>
      <c r="AD28" s="1100">
        <f>VLOOKUP(AD$1,'cost per tipologia de sòl'!$A$2:$D$37,4,FALSE)*'T50'!AD28</f>
        <v>6238373.5499999998</v>
      </c>
      <c r="AE28" s="1100">
        <f>VLOOKUP(AE$1,'cost per tipologia de sòl'!$A$2:$D$37,4,FALSE)*'T50'!AE28</f>
        <v>0</v>
      </c>
      <c r="AF28" s="1100">
        <f>VLOOKUP(AF$1,'cost per tipologia de sòl'!$A$2:$D$37,4,FALSE)*'T50'!AF28</f>
        <v>0</v>
      </c>
      <c r="AG28" s="1100">
        <f>VLOOKUP(AG$1,'cost per tipologia de sòl'!$A$2:$D$37,4,FALSE)*'T50'!AG28</f>
        <v>0</v>
      </c>
      <c r="AH28" s="1100">
        <f>VLOOKUP(AH$1,'cost per tipologia de sòl'!$A$2:$D$37,4,FALSE)*'T50'!AH28</f>
        <v>0</v>
      </c>
      <c r="AI28" s="1100">
        <f>VLOOKUP(AI$1,'cost per tipologia de sòl'!$A$2:$D$37,4,FALSE)*'T50'!AI28</f>
        <v>0</v>
      </c>
      <c r="AJ28" s="1100">
        <f t="shared" si="0"/>
        <v>42536004.468499996</v>
      </c>
      <c r="AK28" s="1098">
        <f t="shared" si="1"/>
        <v>12.760801340549998</v>
      </c>
    </row>
    <row r="29" spans="1:37">
      <c r="A29" s="1099" t="s">
        <v>964</v>
      </c>
      <c r="B29" s="1100">
        <f>VLOOKUP(B$1,'cost per tipologia de sòl'!$A$2:$D$37,4,FALSE)*'T50'!B29</f>
        <v>47724363.252000004</v>
      </c>
      <c r="C29" s="1100">
        <f>VLOOKUP(C$1,'cost per tipologia de sòl'!$A$2:$D$37,4,FALSE)*'T50'!C29</f>
        <v>1626836.8659999999</v>
      </c>
      <c r="D29" s="1100">
        <f>VLOOKUP(D$1,'cost per tipologia de sòl'!$A$2:$D$37,4,FALSE)*'T50'!D29</f>
        <v>0</v>
      </c>
      <c r="E29" s="1100">
        <f>VLOOKUP(E$1,'cost per tipologia de sòl'!$A$2:$D$37,4,FALSE)*'T50'!E29</f>
        <v>0</v>
      </c>
      <c r="F29" s="1100">
        <f>VLOOKUP(F$1,'cost per tipologia de sòl'!$A$2:$D$37,4,FALSE)*'T50'!F29</f>
        <v>0</v>
      </c>
      <c r="G29" s="1100">
        <f>VLOOKUP(G$1,'cost per tipologia de sòl'!$A$2:$D$37,4,FALSE)*'T50'!G29</f>
        <v>0</v>
      </c>
      <c r="H29" s="1100">
        <f>VLOOKUP(H$1,'cost per tipologia de sòl'!$A$2:$D$37,4,FALSE)*'T50'!H29</f>
        <v>0</v>
      </c>
      <c r="I29" s="1100">
        <f>VLOOKUP(I$1,'cost per tipologia de sòl'!$A$2:$D$37,4,FALSE)*'T50'!I29</f>
        <v>0</v>
      </c>
      <c r="J29" s="1100">
        <f>VLOOKUP(J$1,'cost per tipologia de sòl'!$A$2:$D$37,4,FALSE)*'T50'!J29</f>
        <v>112.18350000000001</v>
      </c>
      <c r="K29" s="1100">
        <f>VLOOKUP(K$1,'cost per tipologia de sòl'!$A$2:$D$37,4,FALSE)*'T50'!K29</f>
        <v>0</v>
      </c>
      <c r="L29" s="1100">
        <f>VLOOKUP(L$1,'cost per tipologia de sòl'!$A$2:$D$37,4,FALSE)*'T50'!L29</f>
        <v>0</v>
      </c>
      <c r="M29" s="1100">
        <f>VLOOKUP(M$1,'cost per tipologia de sòl'!$A$2:$D$37,4,FALSE)*'T50'!M29</f>
        <v>3010231.7439999999</v>
      </c>
      <c r="N29" s="1100">
        <f>VLOOKUP(N$1,'cost per tipologia de sòl'!$A$2:$D$37,4,FALSE)*'T50'!N29</f>
        <v>0</v>
      </c>
      <c r="O29" s="1100">
        <f>VLOOKUP(O$1,'cost per tipologia de sòl'!$A$2:$D$37,4,FALSE)*'T50'!O29</f>
        <v>0</v>
      </c>
      <c r="P29" s="1100">
        <f>VLOOKUP(P$1,'cost per tipologia de sòl'!$A$2:$D$37,4,FALSE)*'T50'!P29</f>
        <v>0</v>
      </c>
      <c r="Q29" s="1100">
        <f>VLOOKUP(Q$1,'cost per tipologia de sòl'!$A$2:$D$37,4,FALSE)*'T50'!Q29</f>
        <v>0</v>
      </c>
      <c r="R29" s="1100">
        <f>VLOOKUP(R$1,'cost per tipologia de sòl'!$A$2:$D$37,4,FALSE)*'T50'!R29</f>
        <v>0</v>
      </c>
      <c r="S29" s="1100">
        <f>VLOOKUP(S$1,'cost per tipologia de sòl'!$A$2:$D$37,4,FALSE)*'T50'!S29</f>
        <v>0</v>
      </c>
      <c r="T29" s="1100">
        <f>VLOOKUP(T$1,'cost per tipologia de sòl'!$A$2:$D$37,4,FALSE)*'T50'!T29</f>
        <v>49135357.575999998</v>
      </c>
      <c r="U29" s="1100">
        <f>VLOOKUP(U$1,'cost per tipologia de sòl'!$A$2:$D$37,4,FALSE)*'T50'!U29</f>
        <v>10529921.850000001</v>
      </c>
      <c r="V29" s="1100">
        <f>VLOOKUP(V$1,'cost per tipologia de sòl'!$A$2:$D$37,4,FALSE)*'T50'!V29</f>
        <v>0</v>
      </c>
      <c r="W29" s="1100">
        <f>VLOOKUP(W$1,'cost per tipologia de sòl'!$A$2:$D$37,4,FALSE)*'T50'!W29</f>
        <v>0</v>
      </c>
      <c r="X29" s="1100">
        <f>VLOOKUP(X$1,'cost per tipologia de sòl'!$A$2:$D$37,4,FALSE)*'T50'!X29</f>
        <v>0</v>
      </c>
      <c r="Y29" s="1100">
        <f>VLOOKUP(Y$1,'cost per tipologia de sòl'!$A$2:$D$37,4,FALSE)*'T50'!Y29</f>
        <v>0</v>
      </c>
      <c r="Z29" s="1100">
        <f>VLOOKUP(Z$1,'cost per tipologia de sòl'!$A$2:$D$37,4,FALSE)*'T50'!Z29</f>
        <v>0</v>
      </c>
      <c r="AA29" s="1100">
        <f>VLOOKUP(AA$1,'cost per tipologia de sòl'!$A$2:$D$37,4,FALSE)*'T50'!AA29</f>
        <v>0</v>
      </c>
      <c r="AB29" s="1100">
        <f>VLOOKUP(AB$1,'cost per tipologia de sòl'!$A$2:$D$37,4,FALSE)*'T50'!AB29</f>
        <v>21093059.950000003</v>
      </c>
      <c r="AC29" s="1100">
        <f>VLOOKUP(AC$1,'cost per tipologia de sòl'!$A$2:$D$37,4,FALSE)*'T50'!AC29</f>
        <v>28335832.399999999</v>
      </c>
      <c r="AD29" s="1100">
        <f>VLOOKUP(AD$1,'cost per tipologia de sòl'!$A$2:$D$37,4,FALSE)*'T50'!AD29</f>
        <v>45455752</v>
      </c>
      <c r="AE29" s="1100">
        <f>VLOOKUP(AE$1,'cost per tipologia de sòl'!$A$2:$D$37,4,FALSE)*'T50'!AE29</f>
        <v>0</v>
      </c>
      <c r="AF29" s="1100">
        <f>VLOOKUP(AF$1,'cost per tipologia de sòl'!$A$2:$D$37,4,FALSE)*'T50'!AF29</f>
        <v>0</v>
      </c>
      <c r="AG29" s="1100">
        <f>VLOOKUP(AG$1,'cost per tipologia de sòl'!$A$2:$D$37,4,FALSE)*'T50'!AG29</f>
        <v>0</v>
      </c>
      <c r="AH29" s="1100">
        <f>VLOOKUP(AH$1,'cost per tipologia de sòl'!$A$2:$D$37,4,FALSE)*'T50'!AH29</f>
        <v>0</v>
      </c>
      <c r="AI29" s="1100">
        <f>VLOOKUP(AI$1,'cost per tipologia de sòl'!$A$2:$D$37,4,FALSE)*'T50'!AI29</f>
        <v>0</v>
      </c>
      <c r="AJ29" s="1100">
        <f t="shared" si="0"/>
        <v>206911467.8215</v>
      </c>
      <c r="AK29" s="1098">
        <f t="shared" si="1"/>
        <v>62.073440346450006</v>
      </c>
    </row>
    <row r="30" spans="1:37">
      <c r="A30" s="1099" t="s">
        <v>340</v>
      </c>
      <c r="B30" s="1100">
        <f>VLOOKUP(B$1,'cost per tipologia de sòl'!$A$2:$D$37,4,FALSE)*'T50'!B30</f>
        <v>0</v>
      </c>
      <c r="C30" s="1100">
        <f>VLOOKUP(C$1,'cost per tipologia de sòl'!$A$2:$D$37,4,FALSE)*'T50'!C30</f>
        <v>0</v>
      </c>
      <c r="D30" s="1100">
        <f>VLOOKUP(D$1,'cost per tipologia de sòl'!$A$2:$D$37,4,FALSE)*'T50'!D30</f>
        <v>0</v>
      </c>
      <c r="E30" s="1100">
        <f>VLOOKUP(E$1,'cost per tipologia de sòl'!$A$2:$D$37,4,FALSE)*'T50'!E30</f>
        <v>0</v>
      </c>
      <c r="F30" s="1100">
        <f>VLOOKUP(F$1,'cost per tipologia de sòl'!$A$2:$D$37,4,FALSE)*'T50'!F30</f>
        <v>0</v>
      </c>
      <c r="G30" s="1100">
        <f>VLOOKUP(G$1,'cost per tipologia de sòl'!$A$2:$D$37,4,FALSE)*'T50'!G30</f>
        <v>0</v>
      </c>
      <c r="H30" s="1100">
        <f>VLOOKUP(H$1,'cost per tipologia de sòl'!$A$2:$D$37,4,FALSE)*'T50'!H30</f>
        <v>0</v>
      </c>
      <c r="I30" s="1100">
        <f>VLOOKUP(I$1,'cost per tipologia de sòl'!$A$2:$D$37,4,FALSE)*'T50'!I30</f>
        <v>0</v>
      </c>
      <c r="J30" s="1100">
        <f>VLOOKUP(J$1,'cost per tipologia de sòl'!$A$2:$D$37,4,FALSE)*'T50'!J30</f>
        <v>0</v>
      </c>
      <c r="K30" s="1100">
        <f>VLOOKUP(K$1,'cost per tipologia de sòl'!$A$2:$D$37,4,FALSE)*'T50'!K30</f>
        <v>0</v>
      </c>
      <c r="L30" s="1100">
        <f>VLOOKUP(L$1,'cost per tipologia de sòl'!$A$2:$D$37,4,FALSE)*'T50'!L30</f>
        <v>0</v>
      </c>
      <c r="M30" s="1100">
        <f>VLOOKUP(M$1,'cost per tipologia de sòl'!$A$2:$D$37,4,FALSE)*'T50'!M30</f>
        <v>0</v>
      </c>
      <c r="N30" s="1100">
        <f>VLOOKUP(N$1,'cost per tipologia de sòl'!$A$2:$D$37,4,FALSE)*'T50'!N30</f>
        <v>0</v>
      </c>
      <c r="O30" s="1100">
        <f>VLOOKUP(O$1,'cost per tipologia de sòl'!$A$2:$D$37,4,FALSE)*'T50'!O30</f>
        <v>0</v>
      </c>
      <c r="P30" s="1100">
        <f>VLOOKUP(P$1,'cost per tipologia de sòl'!$A$2:$D$37,4,FALSE)*'T50'!P30</f>
        <v>0</v>
      </c>
      <c r="Q30" s="1100">
        <f>VLOOKUP(Q$1,'cost per tipologia de sòl'!$A$2:$D$37,4,FALSE)*'T50'!Q30</f>
        <v>0</v>
      </c>
      <c r="R30" s="1100">
        <f>VLOOKUP(R$1,'cost per tipologia de sòl'!$A$2:$D$37,4,FALSE)*'T50'!R30</f>
        <v>0</v>
      </c>
      <c r="S30" s="1100">
        <f>VLOOKUP(S$1,'cost per tipologia de sòl'!$A$2:$D$37,4,FALSE)*'T50'!S30</f>
        <v>76809675.599999994</v>
      </c>
      <c r="T30" s="1100">
        <f>VLOOKUP(T$1,'cost per tipologia de sòl'!$A$2:$D$37,4,FALSE)*'T50'!T30</f>
        <v>0</v>
      </c>
      <c r="U30" s="1100">
        <f>VLOOKUP(U$1,'cost per tipologia de sòl'!$A$2:$D$37,4,FALSE)*'T50'!U30</f>
        <v>0</v>
      </c>
      <c r="V30" s="1100">
        <f>VLOOKUP(V$1,'cost per tipologia de sòl'!$A$2:$D$37,4,FALSE)*'T50'!V30</f>
        <v>0</v>
      </c>
      <c r="W30" s="1100">
        <f>VLOOKUP(W$1,'cost per tipologia de sòl'!$A$2:$D$37,4,FALSE)*'T50'!W30</f>
        <v>0</v>
      </c>
      <c r="X30" s="1100">
        <f>VLOOKUP(X$1,'cost per tipologia de sòl'!$A$2:$D$37,4,FALSE)*'T50'!X30</f>
        <v>0</v>
      </c>
      <c r="Y30" s="1100">
        <f>VLOOKUP(Y$1,'cost per tipologia de sòl'!$A$2:$D$37,4,FALSE)*'T50'!Y30</f>
        <v>0</v>
      </c>
      <c r="Z30" s="1100">
        <f>VLOOKUP(Z$1,'cost per tipologia de sòl'!$A$2:$D$37,4,FALSE)*'T50'!Z30</f>
        <v>0</v>
      </c>
      <c r="AA30" s="1100">
        <f>VLOOKUP(AA$1,'cost per tipologia de sòl'!$A$2:$D$37,4,FALSE)*'T50'!AA30</f>
        <v>0</v>
      </c>
      <c r="AB30" s="1100">
        <f>VLOOKUP(AB$1,'cost per tipologia de sòl'!$A$2:$D$37,4,FALSE)*'T50'!AB30</f>
        <v>0</v>
      </c>
      <c r="AC30" s="1100">
        <f>VLOOKUP(AC$1,'cost per tipologia de sòl'!$A$2:$D$37,4,FALSE)*'T50'!AC30</f>
        <v>54443.549999999996</v>
      </c>
      <c r="AD30" s="1100">
        <f>VLOOKUP(AD$1,'cost per tipologia de sòl'!$A$2:$D$37,4,FALSE)*'T50'!AD30</f>
        <v>1591153.0999999999</v>
      </c>
      <c r="AE30" s="1100">
        <f>VLOOKUP(AE$1,'cost per tipologia de sòl'!$A$2:$D$37,4,FALSE)*'T50'!AE30</f>
        <v>0</v>
      </c>
      <c r="AF30" s="1100">
        <f>VLOOKUP(AF$1,'cost per tipologia de sòl'!$A$2:$D$37,4,FALSE)*'T50'!AF30</f>
        <v>0</v>
      </c>
      <c r="AG30" s="1100">
        <f>VLOOKUP(AG$1,'cost per tipologia de sòl'!$A$2:$D$37,4,FALSE)*'T50'!AG30</f>
        <v>0</v>
      </c>
      <c r="AH30" s="1100">
        <f>VLOOKUP(AH$1,'cost per tipologia de sòl'!$A$2:$D$37,4,FALSE)*'T50'!AH30</f>
        <v>0</v>
      </c>
      <c r="AI30" s="1100">
        <f>VLOOKUP(AI$1,'cost per tipologia de sòl'!$A$2:$D$37,4,FALSE)*'T50'!AI30</f>
        <v>0</v>
      </c>
      <c r="AJ30" s="1100">
        <f t="shared" si="0"/>
        <v>78455272.249999985</v>
      </c>
      <c r="AK30" s="1098">
        <f t="shared" si="1"/>
        <v>23.536581674999994</v>
      </c>
    </row>
    <row r="31" spans="1:37">
      <c r="A31" s="1099" t="s">
        <v>1002</v>
      </c>
      <c r="B31" s="1100">
        <f>VLOOKUP(B$1,'cost per tipologia de sòl'!$A$2:$D$37,4,FALSE)*'T50'!B31</f>
        <v>19681032.401999999</v>
      </c>
      <c r="C31" s="1100">
        <f>VLOOKUP(C$1,'cost per tipologia de sòl'!$A$2:$D$37,4,FALSE)*'T50'!C31</f>
        <v>0</v>
      </c>
      <c r="D31" s="1100">
        <f>VLOOKUP(D$1,'cost per tipologia de sòl'!$A$2:$D$37,4,FALSE)*'T50'!D31</f>
        <v>0</v>
      </c>
      <c r="E31" s="1100">
        <f>VLOOKUP(E$1,'cost per tipologia de sòl'!$A$2:$D$37,4,FALSE)*'T50'!E31</f>
        <v>308285.14199999999</v>
      </c>
      <c r="F31" s="1100">
        <f>VLOOKUP(F$1,'cost per tipologia de sòl'!$A$2:$D$37,4,FALSE)*'T50'!F31</f>
        <v>0</v>
      </c>
      <c r="G31" s="1100">
        <f>VLOOKUP(G$1,'cost per tipologia de sòl'!$A$2:$D$37,4,FALSE)*'T50'!G31</f>
        <v>0</v>
      </c>
      <c r="H31" s="1100">
        <f>VLOOKUP(H$1,'cost per tipologia de sòl'!$A$2:$D$37,4,FALSE)*'T50'!H31</f>
        <v>0</v>
      </c>
      <c r="I31" s="1100">
        <f>VLOOKUP(I$1,'cost per tipologia de sòl'!$A$2:$D$37,4,FALSE)*'T50'!I31</f>
        <v>0</v>
      </c>
      <c r="J31" s="1100">
        <f>VLOOKUP(J$1,'cost per tipologia de sòl'!$A$2:$D$37,4,FALSE)*'T50'!J31</f>
        <v>92.025999999999996</v>
      </c>
      <c r="K31" s="1100">
        <f>VLOOKUP(K$1,'cost per tipologia de sòl'!$A$2:$D$37,4,FALSE)*'T50'!K31</f>
        <v>0</v>
      </c>
      <c r="L31" s="1100">
        <f>VLOOKUP(L$1,'cost per tipologia de sòl'!$A$2:$D$37,4,FALSE)*'T50'!L31</f>
        <v>27276.066000000003</v>
      </c>
      <c r="M31" s="1100">
        <f>VLOOKUP(M$1,'cost per tipologia de sòl'!$A$2:$D$37,4,FALSE)*'T50'!M31</f>
        <v>0</v>
      </c>
      <c r="N31" s="1100">
        <f>VLOOKUP(N$1,'cost per tipologia de sòl'!$A$2:$D$37,4,FALSE)*'T50'!N31</f>
        <v>0</v>
      </c>
      <c r="O31" s="1100">
        <f>VLOOKUP(O$1,'cost per tipologia de sòl'!$A$2:$D$37,4,FALSE)*'T50'!O31</f>
        <v>0</v>
      </c>
      <c r="P31" s="1100">
        <f>VLOOKUP(P$1,'cost per tipologia de sòl'!$A$2:$D$37,4,FALSE)*'T50'!P31</f>
        <v>0</v>
      </c>
      <c r="Q31" s="1100">
        <f>VLOOKUP(Q$1,'cost per tipologia de sòl'!$A$2:$D$37,4,FALSE)*'T50'!Q31</f>
        <v>0</v>
      </c>
      <c r="R31" s="1100">
        <f>VLOOKUP(R$1,'cost per tipologia de sòl'!$A$2:$D$37,4,FALSE)*'T50'!R31</f>
        <v>0</v>
      </c>
      <c r="S31" s="1100">
        <f>VLOOKUP(S$1,'cost per tipologia de sòl'!$A$2:$D$37,4,FALSE)*'T50'!S31</f>
        <v>386147.66400000005</v>
      </c>
      <c r="T31" s="1100">
        <f>VLOOKUP(T$1,'cost per tipologia de sòl'!$A$2:$D$37,4,FALSE)*'T50'!T31</f>
        <v>15845725.509000001</v>
      </c>
      <c r="U31" s="1100">
        <f>VLOOKUP(U$1,'cost per tipologia de sòl'!$A$2:$D$37,4,FALSE)*'T50'!U31</f>
        <v>4257844.5</v>
      </c>
      <c r="V31" s="1100">
        <f>VLOOKUP(V$1,'cost per tipologia de sòl'!$A$2:$D$37,4,FALSE)*'T50'!V31</f>
        <v>0</v>
      </c>
      <c r="W31" s="1100">
        <f>VLOOKUP(W$1,'cost per tipologia de sòl'!$A$2:$D$37,4,FALSE)*'T50'!W31</f>
        <v>0</v>
      </c>
      <c r="X31" s="1100">
        <f>VLOOKUP(X$1,'cost per tipologia de sòl'!$A$2:$D$37,4,FALSE)*'T50'!X31</f>
        <v>0</v>
      </c>
      <c r="Y31" s="1100">
        <f>VLOOKUP(Y$1,'cost per tipologia de sòl'!$A$2:$D$37,4,FALSE)*'T50'!Y31</f>
        <v>0</v>
      </c>
      <c r="Z31" s="1100">
        <f>VLOOKUP(Z$1,'cost per tipologia de sòl'!$A$2:$D$37,4,FALSE)*'T50'!Z31</f>
        <v>745017.34</v>
      </c>
      <c r="AA31" s="1100">
        <f>VLOOKUP(AA$1,'cost per tipologia de sòl'!$A$2:$D$37,4,FALSE)*'T50'!AA31</f>
        <v>0</v>
      </c>
      <c r="AB31" s="1100">
        <f>VLOOKUP(AB$1,'cost per tipologia de sòl'!$A$2:$D$37,4,FALSE)*'T50'!AB31</f>
        <v>4179531.65</v>
      </c>
      <c r="AC31" s="1100">
        <f>VLOOKUP(AC$1,'cost per tipologia de sòl'!$A$2:$D$37,4,FALSE)*'T50'!AC31</f>
        <v>1724655.65</v>
      </c>
      <c r="AD31" s="1100">
        <f>VLOOKUP(AD$1,'cost per tipologia de sòl'!$A$2:$D$37,4,FALSE)*'T50'!AD31</f>
        <v>19767341.600000001</v>
      </c>
      <c r="AE31" s="1100">
        <f>VLOOKUP(AE$1,'cost per tipologia de sòl'!$A$2:$D$37,4,FALSE)*'T50'!AE31</f>
        <v>0</v>
      </c>
      <c r="AF31" s="1100">
        <f>VLOOKUP(AF$1,'cost per tipologia de sòl'!$A$2:$D$37,4,FALSE)*'T50'!AF31</f>
        <v>0</v>
      </c>
      <c r="AG31" s="1100">
        <f>VLOOKUP(AG$1,'cost per tipologia de sòl'!$A$2:$D$37,4,FALSE)*'T50'!AG31</f>
        <v>0</v>
      </c>
      <c r="AH31" s="1100">
        <f>VLOOKUP(AH$1,'cost per tipologia de sòl'!$A$2:$D$37,4,FALSE)*'T50'!AH31</f>
        <v>0</v>
      </c>
      <c r="AI31" s="1100">
        <f>VLOOKUP(AI$1,'cost per tipologia de sòl'!$A$2:$D$37,4,FALSE)*'T50'!AI31</f>
        <v>0</v>
      </c>
      <c r="AJ31" s="1100">
        <f t="shared" si="0"/>
        <v>66922949.549000002</v>
      </c>
      <c r="AK31" s="1098">
        <f t="shared" si="1"/>
        <v>20.076884864700002</v>
      </c>
    </row>
    <row r="32" spans="1:37">
      <c r="A32" s="1099" t="s">
        <v>1021</v>
      </c>
      <c r="B32" s="1100">
        <f>VLOOKUP(B$1,'cost per tipologia de sòl'!$A$2:$D$37,4,FALSE)*'T50'!B32</f>
        <v>0</v>
      </c>
      <c r="C32" s="1100">
        <f>VLOOKUP(C$1,'cost per tipologia de sòl'!$A$2:$D$37,4,FALSE)*'T50'!C32</f>
        <v>0</v>
      </c>
      <c r="D32" s="1100">
        <f>VLOOKUP(D$1,'cost per tipologia de sòl'!$A$2:$D$37,4,FALSE)*'T50'!D32</f>
        <v>0</v>
      </c>
      <c r="E32" s="1100">
        <f>VLOOKUP(E$1,'cost per tipologia de sòl'!$A$2:$D$37,4,FALSE)*'T50'!E32</f>
        <v>0</v>
      </c>
      <c r="F32" s="1100">
        <f>VLOOKUP(F$1,'cost per tipologia de sòl'!$A$2:$D$37,4,FALSE)*'T50'!F32</f>
        <v>0</v>
      </c>
      <c r="G32" s="1100">
        <f>VLOOKUP(G$1,'cost per tipologia de sòl'!$A$2:$D$37,4,FALSE)*'T50'!G32</f>
        <v>0</v>
      </c>
      <c r="H32" s="1100">
        <f>VLOOKUP(H$1,'cost per tipologia de sòl'!$A$2:$D$37,4,FALSE)*'T50'!H32</f>
        <v>0</v>
      </c>
      <c r="I32" s="1100">
        <f>VLOOKUP(I$1,'cost per tipologia de sòl'!$A$2:$D$37,4,FALSE)*'T50'!I32</f>
        <v>0</v>
      </c>
      <c r="J32" s="1100">
        <f>VLOOKUP(J$1,'cost per tipologia de sòl'!$A$2:$D$37,4,FALSE)*'T50'!J32</f>
        <v>168021.92550000001</v>
      </c>
      <c r="K32" s="1100">
        <f>VLOOKUP(K$1,'cost per tipologia de sòl'!$A$2:$D$37,4,FALSE)*'T50'!K32</f>
        <v>0</v>
      </c>
      <c r="L32" s="1100">
        <f>VLOOKUP(L$1,'cost per tipologia de sòl'!$A$2:$D$37,4,FALSE)*'T50'!L32</f>
        <v>0</v>
      </c>
      <c r="M32" s="1100">
        <f>VLOOKUP(M$1,'cost per tipologia de sòl'!$A$2:$D$37,4,FALSE)*'T50'!M32</f>
        <v>0</v>
      </c>
      <c r="N32" s="1100">
        <f>VLOOKUP(N$1,'cost per tipologia de sòl'!$A$2:$D$37,4,FALSE)*'T50'!N32</f>
        <v>0</v>
      </c>
      <c r="O32" s="1100">
        <f>VLOOKUP(O$1,'cost per tipologia de sòl'!$A$2:$D$37,4,FALSE)*'T50'!O32</f>
        <v>0</v>
      </c>
      <c r="P32" s="1100">
        <f>VLOOKUP(P$1,'cost per tipologia de sòl'!$A$2:$D$37,4,FALSE)*'T50'!P32</f>
        <v>0</v>
      </c>
      <c r="Q32" s="1100">
        <f>VLOOKUP(Q$1,'cost per tipologia de sòl'!$A$2:$D$37,4,FALSE)*'T50'!Q32</f>
        <v>0</v>
      </c>
      <c r="R32" s="1100">
        <f>VLOOKUP(R$1,'cost per tipologia de sòl'!$A$2:$D$37,4,FALSE)*'T50'!R32</f>
        <v>0</v>
      </c>
      <c r="S32" s="1100">
        <f>VLOOKUP(S$1,'cost per tipologia de sòl'!$A$2:$D$37,4,FALSE)*'T50'!S32</f>
        <v>0</v>
      </c>
      <c r="T32" s="1100">
        <f>VLOOKUP(T$1,'cost per tipologia de sòl'!$A$2:$D$37,4,FALSE)*'T50'!T32</f>
        <v>0</v>
      </c>
      <c r="U32" s="1100">
        <f>VLOOKUP(U$1,'cost per tipologia de sòl'!$A$2:$D$37,4,FALSE)*'T50'!U32</f>
        <v>0</v>
      </c>
      <c r="V32" s="1100">
        <f>VLOOKUP(V$1,'cost per tipologia de sòl'!$A$2:$D$37,4,FALSE)*'T50'!V32</f>
        <v>0</v>
      </c>
      <c r="W32" s="1100">
        <f>VLOOKUP(W$1,'cost per tipologia de sòl'!$A$2:$D$37,4,FALSE)*'T50'!W32</f>
        <v>0</v>
      </c>
      <c r="X32" s="1100">
        <f>VLOOKUP(X$1,'cost per tipologia de sòl'!$A$2:$D$37,4,FALSE)*'T50'!X32</f>
        <v>0</v>
      </c>
      <c r="Y32" s="1100">
        <f>VLOOKUP(Y$1,'cost per tipologia de sòl'!$A$2:$D$37,4,FALSE)*'T50'!Y32</f>
        <v>0</v>
      </c>
      <c r="Z32" s="1100">
        <f>VLOOKUP(Z$1,'cost per tipologia de sòl'!$A$2:$D$37,4,FALSE)*'T50'!Z32</f>
        <v>0</v>
      </c>
      <c r="AA32" s="1100">
        <f>VLOOKUP(AA$1,'cost per tipologia de sòl'!$A$2:$D$37,4,FALSE)*'T50'!AA32</f>
        <v>0</v>
      </c>
      <c r="AB32" s="1100">
        <f>VLOOKUP(AB$1,'cost per tipologia de sòl'!$A$2:$D$37,4,FALSE)*'T50'!AB32</f>
        <v>0</v>
      </c>
      <c r="AC32" s="1100">
        <f>VLOOKUP(AC$1,'cost per tipologia de sòl'!$A$2:$D$37,4,FALSE)*'T50'!AC32</f>
        <v>0</v>
      </c>
      <c r="AD32" s="1100">
        <f>VLOOKUP(AD$1,'cost per tipologia de sòl'!$A$2:$D$37,4,FALSE)*'T50'!AD32</f>
        <v>0</v>
      </c>
      <c r="AE32" s="1100">
        <f>VLOOKUP(AE$1,'cost per tipologia de sòl'!$A$2:$D$37,4,FALSE)*'T50'!AE32</f>
        <v>0</v>
      </c>
      <c r="AF32" s="1100">
        <f>VLOOKUP(AF$1,'cost per tipologia de sòl'!$A$2:$D$37,4,FALSE)*'T50'!AF32</f>
        <v>0</v>
      </c>
      <c r="AG32" s="1100">
        <f>VLOOKUP(AG$1,'cost per tipologia de sòl'!$A$2:$D$37,4,FALSE)*'T50'!AG32</f>
        <v>0</v>
      </c>
      <c r="AH32" s="1100">
        <f>VLOOKUP(AH$1,'cost per tipologia de sòl'!$A$2:$D$37,4,FALSE)*'T50'!AH32</f>
        <v>0</v>
      </c>
      <c r="AI32" s="1100">
        <f>VLOOKUP(AI$1,'cost per tipologia de sòl'!$A$2:$D$37,4,FALSE)*'T50'!AI32</f>
        <v>0</v>
      </c>
      <c r="AJ32" s="1100">
        <f t="shared" si="0"/>
        <v>168021.92550000001</v>
      </c>
      <c r="AK32" s="1098">
        <f t="shared" si="1"/>
        <v>5.0406577650000006E-2</v>
      </c>
    </row>
    <row r="33" spans="1:37">
      <c r="A33" s="1099" t="s">
        <v>1025</v>
      </c>
      <c r="B33" s="1100">
        <f>VLOOKUP(B$1,'cost per tipologia de sòl'!$A$2:$D$37,4,FALSE)*'T50'!B33</f>
        <v>499337.91</v>
      </c>
      <c r="C33" s="1100">
        <f>VLOOKUP(C$1,'cost per tipologia de sòl'!$A$2:$D$37,4,FALSE)*'T50'!C33</f>
        <v>0</v>
      </c>
      <c r="D33" s="1100">
        <f>VLOOKUP(D$1,'cost per tipologia de sòl'!$A$2:$D$37,4,FALSE)*'T50'!D33</f>
        <v>1965841.4339999999</v>
      </c>
      <c r="E33" s="1100">
        <f>VLOOKUP(E$1,'cost per tipologia de sòl'!$A$2:$D$37,4,FALSE)*'T50'!E33</f>
        <v>0</v>
      </c>
      <c r="F33" s="1100">
        <f>VLOOKUP(F$1,'cost per tipologia de sòl'!$A$2:$D$37,4,FALSE)*'T50'!F33</f>
        <v>0</v>
      </c>
      <c r="G33" s="1100">
        <f>VLOOKUP(G$1,'cost per tipologia de sòl'!$A$2:$D$37,4,FALSE)*'T50'!G33</f>
        <v>0</v>
      </c>
      <c r="H33" s="1100">
        <f>VLOOKUP(H$1,'cost per tipologia de sòl'!$A$2:$D$37,4,FALSE)*'T50'!H33</f>
        <v>0</v>
      </c>
      <c r="I33" s="1100">
        <f>VLOOKUP(I$1,'cost per tipologia de sòl'!$A$2:$D$37,4,FALSE)*'T50'!I33</f>
        <v>0</v>
      </c>
      <c r="J33" s="1100">
        <f>VLOOKUP(J$1,'cost per tipologia de sòl'!$A$2:$D$37,4,FALSE)*'T50'!J33</f>
        <v>313935.6825</v>
      </c>
      <c r="K33" s="1100">
        <f>VLOOKUP(K$1,'cost per tipologia de sòl'!$A$2:$D$37,4,FALSE)*'T50'!K33</f>
        <v>0</v>
      </c>
      <c r="L33" s="1100">
        <f>VLOOKUP(L$1,'cost per tipologia de sòl'!$A$2:$D$37,4,FALSE)*'T50'!L33</f>
        <v>0</v>
      </c>
      <c r="M33" s="1100">
        <f>VLOOKUP(M$1,'cost per tipologia de sòl'!$A$2:$D$37,4,FALSE)*'T50'!M33</f>
        <v>0</v>
      </c>
      <c r="N33" s="1100">
        <f>VLOOKUP(N$1,'cost per tipologia de sòl'!$A$2:$D$37,4,FALSE)*'T50'!N33</f>
        <v>0</v>
      </c>
      <c r="O33" s="1100">
        <f>VLOOKUP(O$1,'cost per tipologia de sòl'!$A$2:$D$37,4,FALSE)*'T50'!O33</f>
        <v>0</v>
      </c>
      <c r="P33" s="1100">
        <f>VLOOKUP(P$1,'cost per tipologia de sòl'!$A$2:$D$37,4,FALSE)*'T50'!P33</f>
        <v>0</v>
      </c>
      <c r="Q33" s="1100">
        <f>VLOOKUP(Q$1,'cost per tipologia de sòl'!$A$2:$D$37,4,FALSE)*'T50'!Q33</f>
        <v>0</v>
      </c>
      <c r="R33" s="1100">
        <f>VLOOKUP(R$1,'cost per tipologia de sòl'!$A$2:$D$37,4,FALSE)*'T50'!R33</f>
        <v>0</v>
      </c>
      <c r="S33" s="1100">
        <f>VLOOKUP(S$1,'cost per tipologia de sòl'!$A$2:$D$37,4,FALSE)*'T50'!S33</f>
        <v>0</v>
      </c>
      <c r="T33" s="1100">
        <f>VLOOKUP(T$1,'cost per tipologia de sòl'!$A$2:$D$37,4,FALSE)*'T50'!T33</f>
        <v>2719248.9560000002</v>
      </c>
      <c r="U33" s="1100">
        <f>VLOOKUP(U$1,'cost per tipologia de sòl'!$A$2:$D$37,4,FALSE)*'T50'!U33</f>
        <v>0</v>
      </c>
      <c r="V33" s="1100">
        <f>VLOOKUP(V$1,'cost per tipologia de sòl'!$A$2:$D$37,4,FALSE)*'T50'!V33</f>
        <v>0</v>
      </c>
      <c r="W33" s="1100">
        <f>VLOOKUP(W$1,'cost per tipologia de sòl'!$A$2:$D$37,4,FALSE)*'T50'!W33</f>
        <v>0</v>
      </c>
      <c r="X33" s="1100">
        <f>VLOOKUP(X$1,'cost per tipologia de sòl'!$A$2:$D$37,4,FALSE)*'T50'!X33</f>
        <v>0</v>
      </c>
      <c r="Y33" s="1100">
        <f>VLOOKUP(Y$1,'cost per tipologia de sòl'!$A$2:$D$37,4,FALSE)*'T50'!Y33</f>
        <v>0</v>
      </c>
      <c r="Z33" s="1100">
        <f>VLOOKUP(Z$1,'cost per tipologia de sòl'!$A$2:$D$37,4,FALSE)*'T50'!Z33</f>
        <v>0</v>
      </c>
      <c r="AA33" s="1100">
        <f>VLOOKUP(AA$1,'cost per tipologia de sòl'!$A$2:$D$37,4,FALSE)*'T50'!AA33</f>
        <v>0</v>
      </c>
      <c r="AB33" s="1100">
        <f>VLOOKUP(AB$1,'cost per tipologia de sòl'!$A$2:$D$37,4,FALSE)*'T50'!AB33</f>
        <v>1154066.6499999999</v>
      </c>
      <c r="AC33" s="1100">
        <f>VLOOKUP(AC$1,'cost per tipologia de sòl'!$A$2:$D$37,4,FALSE)*'T50'!AC33</f>
        <v>42352.9</v>
      </c>
      <c r="AD33" s="1100">
        <f>VLOOKUP(AD$1,'cost per tipologia de sòl'!$A$2:$D$37,4,FALSE)*'T50'!AD33</f>
        <v>1668772.8499999999</v>
      </c>
      <c r="AE33" s="1100">
        <f>VLOOKUP(AE$1,'cost per tipologia de sòl'!$A$2:$D$37,4,FALSE)*'T50'!AE33</f>
        <v>0</v>
      </c>
      <c r="AF33" s="1100">
        <f>VLOOKUP(AF$1,'cost per tipologia de sòl'!$A$2:$D$37,4,FALSE)*'T50'!AF33</f>
        <v>0</v>
      </c>
      <c r="AG33" s="1100">
        <f>VLOOKUP(AG$1,'cost per tipologia de sòl'!$A$2:$D$37,4,FALSE)*'T50'!AG33</f>
        <v>0</v>
      </c>
      <c r="AH33" s="1100">
        <f>VLOOKUP(AH$1,'cost per tipologia de sòl'!$A$2:$D$37,4,FALSE)*'T50'!AH33</f>
        <v>0</v>
      </c>
      <c r="AI33" s="1100">
        <f>VLOOKUP(AI$1,'cost per tipologia de sòl'!$A$2:$D$37,4,FALSE)*'T50'!AI33</f>
        <v>0</v>
      </c>
      <c r="AJ33" s="1100">
        <f t="shared" si="0"/>
        <v>8363556.3825000003</v>
      </c>
      <c r="AK33" s="1098">
        <f t="shared" si="1"/>
        <v>2.5090669147500004</v>
      </c>
    </row>
    <row r="34" spans="1:37">
      <c r="A34" s="1099" t="s">
        <v>1605</v>
      </c>
      <c r="B34" s="1100">
        <f>VLOOKUP(B$1,'cost per tipologia de sòl'!$A$2:$D$37,4,FALSE)*'T50'!B34</f>
        <v>82292042.861999989</v>
      </c>
      <c r="C34" s="1100">
        <f>VLOOKUP(C$1,'cost per tipologia de sòl'!$A$2:$D$37,4,FALSE)*'T50'!C34</f>
        <v>0</v>
      </c>
      <c r="D34" s="1100">
        <f>VLOOKUP(D$1,'cost per tipologia de sòl'!$A$2:$D$37,4,FALSE)*'T50'!D34</f>
        <v>0</v>
      </c>
      <c r="E34" s="1100">
        <f>VLOOKUP(E$1,'cost per tipologia de sòl'!$A$2:$D$37,4,FALSE)*'T50'!E34</f>
        <v>0</v>
      </c>
      <c r="F34" s="1100">
        <f>VLOOKUP(F$1,'cost per tipologia de sòl'!$A$2:$D$37,4,FALSE)*'T50'!F34</f>
        <v>0</v>
      </c>
      <c r="G34" s="1100">
        <f>VLOOKUP(G$1,'cost per tipologia de sòl'!$A$2:$D$37,4,FALSE)*'T50'!G34</f>
        <v>0</v>
      </c>
      <c r="H34" s="1100">
        <f>VLOOKUP(H$1,'cost per tipologia de sòl'!$A$2:$D$37,4,FALSE)*'T50'!H34</f>
        <v>0</v>
      </c>
      <c r="I34" s="1100">
        <f>VLOOKUP(I$1,'cost per tipologia de sòl'!$A$2:$D$37,4,FALSE)*'T50'!I34</f>
        <v>0</v>
      </c>
      <c r="J34" s="1100">
        <f>VLOOKUP(J$1,'cost per tipologia de sòl'!$A$2:$D$37,4,FALSE)*'T50'!J34</f>
        <v>0</v>
      </c>
      <c r="K34" s="1100">
        <f>VLOOKUP(K$1,'cost per tipologia de sòl'!$A$2:$D$37,4,FALSE)*'T50'!K34</f>
        <v>0</v>
      </c>
      <c r="L34" s="1100">
        <f>VLOOKUP(L$1,'cost per tipologia de sòl'!$A$2:$D$37,4,FALSE)*'T50'!L34</f>
        <v>4867323.75</v>
      </c>
      <c r="M34" s="1100">
        <f>VLOOKUP(M$1,'cost per tipologia de sòl'!$A$2:$D$37,4,FALSE)*'T50'!M34</f>
        <v>0</v>
      </c>
      <c r="N34" s="1100">
        <f>VLOOKUP(N$1,'cost per tipologia de sòl'!$A$2:$D$37,4,FALSE)*'T50'!N34</f>
        <v>258937.31199999998</v>
      </c>
      <c r="O34" s="1100">
        <f>VLOOKUP(O$1,'cost per tipologia de sòl'!$A$2:$D$37,4,FALSE)*'T50'!O34</f>
        <v>0</v>
      </c>
      <c r="P34" s="1100">
        <f>VLOOKUP(P$1,'cost per tipologia de sòl'!$A$2:$D$37,4,FALSE)*'T50'!P34</f>
        <v>19326571.831999999</v>
      </c>
      <c r="Q34" s="1100">
        <f>VLOOKUP(Q$1,'cost per tipologia de sòl'!$A$2:$D$37,4,FALSE)*'T50'!Q34</f>
        <v>0</v>
      </c>
      <c r="R34" s="1100">
        <f>VLOOKUP(R$1,'cost per tipologia de sòl'!$A$2:$D$37,4,FALSE)*'T50'!R34</f>
        <v>0</v>
      </c>
      <c r="S34" s="1100">
        <f>VLOOKUP(S$1,'cost per tipologia de sòl'!$A$2:$D$37,4,FALSE)*'T50'!S34</f>
        <v>53099800.992000006</v>
      </c>
      <c r="T34" s="1100">
        <f>VLOOKUP(T$1,'cost per tipologia de sòl'!$A$2:$D$37,4,FALSE)*'T50'!T34</f>
        <v>107129417.976</v>
      </c>
      <c r="U34" s="1100">
        <f>VLOOKUP(U$1,'cost per tipologia de sòl'!$A$2:$D$37,4,FALSE)*'T50'!U34</f>
        <v>3715157.25</v>
      </c>
      <c r="V34" s="1100">
        <f>VLOOKUP(V$1,'cost per tipologia de sòl'!$A$2:$D$37,4,FALSE)*'T50'!V34</f>
        <v>0</v>
      </c>
      <c r="W34" s="1100">
        <f>VLOOKUP(W$1,'cost per tipologia de sòl'!$A$2:$D$37,4,FALSE)*'T50'!W34</f>
        <v>0</v>
      </c>
      <c r="X34" s="1100">
        <f>VLOOKUP(X$1,'cost per tipologia de sòl'!$A$2:$D$37,4,FALSE)*'T50'!X34</f>
        <v>0</v>
      </c>
      <c r="Y34" s="1100">
        <f>VLOOKUP(Y$1,'cost per tipologia de sòl'!$A$2:$D$37,4,FALSE)*'T50'!Y34</f>
        <v>0</v>
      </c>
      <c r="Z34" s="1100">
        <f>VLOOKUP(Z$1,'cost per tipologia de sòl'!$A$2:$D$37,4,FALSE)*'T50'!Z34</f>
        <v>248615.342</v>
      </c>
      <c r="AA34" s="1100">
        <f>VLOOKUP(AA$1,'cost per tipologia de sòl'!$A$2:$D$37,4,FALSE)*'T50'!AA34</f>
        <v>0</v>
      </c>
      <c r="AB34" s="1100">
        <f>VLOOKUP(AB$1,'cost per tipologia de sòl'!$A$2:$D$37,4,FALSE)*'T50'!AB34</f>
        <v>38638667.899999999</v>
      </c>
      <c r="AC34" s="1100">
        <f>VLOOKUP(AC$1,'cost per tipologia de sòl'!$A$2:$D$37,4,FALSE)*'T50'!AC34</f>
        <v>62536689.300000004</v>
      </c>
      <c r="AD34" s="1100">
        <f>VLOOKUP(AD$1,'cost per tipologia de sòl'!$A$2:$D$37,4,FALSE)*'T50'!AD34</f>
        <v>8034130.0499999998</v>
      </c>
      <c r="AE34" s="1100">
        <f>VLOOKUP(AE$1,'cost per tipologia de sòl'!$A$2:$D$37,4,FALSE)*'T50'!AE34</f>
        <v>0</v>
      </c>
      <c r="AF34" s="1100">
        <f>VLOOKUP(AF$1,'cost per tipologia de sòl'!$A$2:$D$37,4,FALSE)*'T50'!AF34</f>
        <v>0</v>
      </c>
      <c r="AG34" s="1100">
        <f>VLOOKUP(AG$1,'cost per tipologia de sòl'!$A$2:$D$37,4,FALSE)*'T50'!AG34</f>
        <v>0</v>
      </c>
      <c r="AH34" s="1100">
        <f>VLOOKUP(AH$1,'cost per tipologia de sòl'!$A$2:$D$37,4,FALSE)*'T50'!AH34</f>
        <v>0</v>
      </c>
      <c r="AI34" s="1100">
        <f>VLOOKUP(AI$1,'cost per tipologia de sòl'!$A$2:$D$37,4,FALSE)*'T50'!AI34</f>
        <v>0</v>
      </c>
      <c r="AJ34" s="1100">
        <f t="shared" si="0"/>
        <v>380147354.56599998</v>
      </c>
      <c r="AK34" s="1098">
        <f t="shared" si="1"/>
        <v>114.04420636979999</v>
      </c>
    </row>
    <row r="35" spans="1:37">
      <c r="A35" s="1099" t="s">
        <v>1027</v>
      </c>
      <c r="B35" s="1100">
        <f>VLOOKUP(B$1,'cost per tipologia de sòl'!$A$2:$D$37,4,FALSE)*'T50'!B35</f>
        <v>0</v>
      </c>
      <c r="C35" s="1100">
        <f>VLOOKUP(C$1,'cost per tipologia de sòl'!$A$2:$D$37,4,FALSE)*'T50'!C35</f>
        <v>0</v>
      </c>
      <c r="D35" s="1100">
        <f>VLOOKUP(D$1,'cost per tipologia de sòl'!$A$2:$D$37,4,FALSE)*'T50'!D35</f>
        <v>0</v>
      </c>
      <c r="E35" s="1100">
        <f>VLOOKUP(E$1,'cost per tipologia de sòl'!$A$2:$D$37,4,FALSE)*'T50'!E35</f>
        <v>0</v>
      </c>
      <c r="F35" s="1100">
        <f>VLOOKUP(F$1,'cost per tipologia de sòl'!$A$2:$D$37,4,FALSE)*'T50'!F35</f>
        <v>0</v>
      </c>
      <c r="G35" s="1100">
        <f>VLOOKUP(G$1,'cost per tipologia de sòl'!$A$2:$D$37,4,FALSE)*'T50'!G35</f>
        <v>0</v>
      </c>
      <c r="H35" s="1100">
        <f>VLOOKUP(H$1,'cost per tipologia de sòl'!$A$2:$D$37,4,FALSE)*'T50'!H35</f>
        <v>0</v>
      </c>
      <c r="I35" s="1100">
        <f>VLOOKUP(I$1,'cost per tipologia de sòl'!$A$2:$D$37,4,FALSE)*'T50'!I35</f>
        <v>0</v>
      </c>
      <c r="J35" s="1100">
        <f>VLOOKUP(J$1,'cost per tipologia de sòl'!$A$2:$D$37,4,FALSE)*'T50'!J35</f>
        <v>361.94400000000002</v>
      </c>
      <c r="K35" s="1100">
        <f>VLOOKUP(K$1,'cost per tipologia de sòl'!$A$2:$D$37,4,FALSE)*'T50'!K35</f>
        <v>0</v>
      </c>
      <c r="L35" s="1100">
        <f>VLOOKUP(L$1,'cost per tipologia de sòl'!$A$2:$D$37,4,FALSE)*'T50'!L35</f>
        <v>95346.170999999988</v>
      </c>
      <c r="M35" s="1100">
        <f>VLOOKUP(M$1,'cost per tipologia de sòl'!$A$2:$D$37,4,FALSE)*'T50'!M35</f>
        <v>0</v>
      </c>
      <c r="N35" s="1100">
        <f>VLOOKUP(N$1,'cost per tipologia de sòl'!$A$2:$D$37,4,FALSE)*'T50'!N35</f>
        <v>0</v>
      </c>
      <c r="O35" s="1100">
        <f>VLOOKUP(O$1,'cost per tipologia de sòl'!$A$2:$D$37,4,FALSE)*'T50'!O35</f>
        <v>0</v>
      </c>
      <c r="P35" s="1100">
        <f>VLOOKUP(P$1,'cost per tipologia de sòl'!$A$2:$D$37,4,FALSE)*'T50'!P35</f>
        <v>0</v>
      </c>
      <c r="Q35" s="1100">
        <f>VLOOKUP(Q$1,'cost per tipologia de sòl'!$A$2:$D$37,4,FALSE)*'T50'!Q35</f>
        <v>0</v>
      </c>
      <c r="R35" s="1100">
        <f>VLOOKUP(R$1,'cost per tipologia de sòl'!$A$2:$D$37,4,FALSE)*'T50'!R35</f>
        <v>0</v>
      </c>
      <c r="S35" s="1100">
        <f>VLOOKUP(S$1,'cost per tipologia de sòl'!$A$2:$D$37,4,FALSE)*'T50'!S35</f>
        <v>1024207.632</v>
      </c>
      <c r="T35" s="1100">
        <f>VLOOKUP(T$1,'cost per tipologia de sòl'!$A$2:$D$37,4,FALSE)*'T50'!T35</f>
        <v>9629236.8110000007</v>
      </c>
      <c r="U35" s="1100">
        <f>VLOOKUP(U$1,'cost per tipologia de sòl'!$A$2:$D$37,4,FALSE)*'T50'!U35</f>
        <v>0</v>
      </c>
      <c r="V35" s="1100">
        <f>VLOOKUP(V$1,'cost per tipologia de sòl'!$A$2:$D$37,4,FALSE)*'T50'!V35</f>
        <v>0</v>
      </c>
      <c r="W35" s="1100">
        <f>VLOOKUP(W$1,'cost per tipologia de sòl'!$A$2:$D$37,4,FALSE)*'T50'!W35</f>
        <v>0</v>
      </c>
      <c r="X35" s="1100">
        <f>VLOOKUP(X$1,'cost per tipologia de sòl'!$A$2:$D$37,4,FALSE)*'T50'!X35</f>
        <v>0</v>
      </c>
      <c r="Y35" s="1100">
        <f>VLOOKUP(Y$1,'cost per tipologia de sòl'!$A$2:$D$37,4,FALSE)*'T50'!Y35</f>
        <v>0</v>
      </c>
      <c r="Z35" s="1100">
        <f>VLOOKUP(Z$1,'cost per tipologia de sòl'!$A$2:$D$37,4,FALSE)*'T50'!Z35</f>
        <v>2157380.8739999998</v>
      </c>
      <c r="AA35" s="1100">
        <f>VLOOKUP(AA$1,'cost per tipologia de sòl'!$A$2:$D$37,4,FALSE)*'T50'!AA35</f>
        <v>0</v>
      </c>
      <c r="AB35" s="1100">
        <f>VLOOKUP(AB$1,'cost per tipologia de sòl'!$A$2:$D$37,4,FALSE)*'T50'!AB35</f>
        <v>866636.54999999993</v>
      </c>
      <c r="AC35" s="1100">
        <f>VLOOKUP(AC$1,'cost per tipologia de sòl'!$A$2:$D$37,4,FALSE)*'T50'!AC35</f>
        <v>419895.25</v>
      </c>
      <c r="AD35" s="1100">
        <f>VLOOKUP(AD$1,'cost per tipologia de sòl'!$A$2:$D$37,4,FALSE)*'T50'!AD35</f>
        <v>4552939.5999999996</v>
      </c>
      <c r="AE35" s="1100">
        <f>VLOOKUP(AE$1,'cost per tipologia de sòl'!$A$2:$D$37,4,FALSE)*'T50'!AE35</f>
        <v>0</v>
      </c>
      <c r="AF35" s="1100">
        <f>VLOOKUP(AF$1,'cost per tipologia de sòl'!$A$2:$D$37,4,FALSE)*'T50'!AF35</f>
        <v>0</v>
      </c>
      <c r="AG35" s="1100">
        <f>VLOOKUP(AG$1,'cost per tipologia de sòl'!$A$2:$D$37,4,FALSE)*'T50'!AG35</f>
        <v>0</v>
      </c>
      <c r="AH35" s="1100">
        <f>VLOOKUP(AH$1,'cost per tipologia de sòl'!$A$2:$D$37,4,FALSE)*'T50'!AH35</f>
        <v>0</v>
      </c>
      <c r="AI35" s="1100">
        <f>VLOOKUP(AI$1,'cost per tipologia de sòl'!$A$2:$D$37,4,FALSE)*'T50'!AI35</f>
        <v>0</v>
      </c>
      <c r="AJ35" s="1100">
        <f t="shared" si="0"/>
        <v>18746004.832000002</v>
      </c>
      <c r="AK35" s="1098">
        <f t="shared" si="1"/>
        <v>5.6238014496000002</v>
      </c>
    </row>
    <row r="36" spans="1:37">
      <c r="A36" s="1099" t="s">
        <v>1030</v>
      </c>
      <c r="B36" s="1100">
        <f>VLOOKUP(B$1,'cost per tipologia de sòl'!$A$2:$D$37,4,FALSE)*'T50'!B36</f>
        <v>0</v>
      </c>
      <c r="C36" s="1100">
        <f>VLOOKUP(C$1,'cost per tipologia de sòl'!$A$2:$D$37,4,FALSE)*'T50'!C36</f>
        <v>0</v>
      </c>
      <c r="D36" s="1100">
        <f>VLOOKUP(D$1,'cost per tipologia de sòl'!$A$2:$D$37,4,FALSE)*'T50'!D36</f>
        <v>0</v>
      </c>
      <c r="E36" s="1100">
        <f>VLOOKUP(E$1,'cost per tipologia de sòl'!$A$2:$D$37,4,FALSE)*'T50'!E36</f>
        <v>0</v>
      </c>
      <c r="F36" s="1100">
        <f>VLOOKUP(F$1,'cost per tipologia de sòl'!$A$2:$D$37,4,FALSE)*'T50'!F36</f>
        <v>0</v>
      </c>
      <c r="G36" s="1100">
        <f>VLOOKUP(G$1,'cost per tipologia de sòl'!$A$2:$D$37,4,FALSE)*'T50'!G36</f>
        <v>0</v>
      </c>
      <c r="H36" s="1100">
        <f>VLOOKUP(H$1,'cost per tipologia de sòl'!$A$2:$D$37,4,FALSE)*'T50'!H36</f>
        <v>0</v>
      </c>
      <c r="I36" s="1100">
        <f>VLOOKUP(I$1,'cost per tipologia de sòl'!$A$2:$D$37,4,FALSE)*'T50'!I36</f>
        <v>0</v>
      </c>
      <c r="J36" s="1100">
        <f>VLOOKUP(J$1,'cost per tipologia de sòl'!$A$2:$D$37,4,FALSE)*'T50'!J36</f>
        <v>0</v>
      </c>
      <c r="K36" s="1100">
        <f>VLOOKUP(K$1,'cost per tipologia de sòl'!$A$2:$D$37,4,FALSE)*'T50'!K36</f>
        <v>0</v>
      </c>
      <c r="L36" s="1100">
        <f>VLOOKUP(L$1,'cost per tipologia de sòl'!$A$2:$D$37,4,FALSE)*'T50'!L36</f>
        <v>0</v>
      </c>
      <c r="M36" s="1100">
        <f>VLOOKUP(M$1,'cost per tipologia de sòl'!$A$2:$D$37,4,FALSE)*'T50'!M36</f>
        <v>0</v>
      </c>
      <c r="N36" s="1100">
        <f>VLOOKUP(N$1,'cost per tipologia de sòl'!$A$2:$D$37,4,FALSE)*'T50'!N36</f>
        <v>0</v>
      </c>
      <c r="O36" s="1100">
        <f>VLOOKUP(O$1,'cost per tipologia de sòl'!$A$2:$D$37,4,FALSE)*'T50'!O36</f>
        <v>0</v>
      </c>
      <c r="P36" s="1100">
        <f>VLOOKUP(P$1,'cost per tipologia de sòl'!$A$2:$D$37,4,FALSE)*'T50'!P36</f>
        <v>0</v>
      </c>
      <c r="Q36" s="1100">
        <f>VLOOKUP(Q$1,'cost per tipologia de sòl'!$A$2:$D$37,4,FALSE)*'T50'!Q36</f>
        <v>0</v>
      </c>
      <c r="R36" s="1100">
        <f>VLOOKUP(R$1,'cost per tipologia de sòl'!$A$2:$D$37,4,FALSE)*'T50'!R36</f>
        <v>0</v>
      </c>
      <c r="S36" s="1100">
        <f>VLOOKUP(S$1,'cost per tipologia de sòl'!$A$2:$D$37,4,FALSE)*'T50'!S36</f>
        <v>0</v>
      </c>
      <c r="T36" s="1100">
        <f>VLOOKUP(T$1,'cost per tipologia de sòl'!$A$2:$D$37,4,FALSE)*'T50'!T36</f>
        <v>0</v>
      </c>
      <c r="U36" s="1100">
        <f>VLOOKUP(U$1,'cost per tipologia de sòl'!$A$2:$D$37,4,FALSE)*'T50'!U36</f>
        <v>0</v>
      </c>
      <c r="V36" s="1100">
        <f>VLOOKUP(V$1,'cost per tipologia de sòl'!$A$2:$D$37,4,FALSE)*'T50'!V36</f>
        <v>0</v>
      </c>
      <c r="W36" s="1100">
        <f>VLOOKUP(W$1,'cost per tipologia de sòl'!$A$2:$D$37,4,FALSE)*'T50'!W36</f>
        <v>0</v>
      </c>
      <c r="X36" s="1100">
        <f>VLOOKUP(X$1,'cost per tipologia de sòl'!$A$2:$D$37,4,FALSE)*'T50'!X36</f>
        <v>0</v>
      </c>
      <c r="Y36" s="1100">
        <f>VLOOKUP(Y$1,'cost per tipologia de sòl'!$A$2:$D$37,4,FALSE)*'T50'!Y36</f>
        <v>0</v>
      </c>
      <c r="Z36" s="1100">
        <f>VLOOKUP(Z$1,'cost per tipologia de sòl'!$A$2:$D$37,4,FALSE)*'T50'!Z36</f>
        <v>0</v>
      </c>
      <c r="AA36" s="1100">
        <f>VLOOKUP(AA$1,'cost per tipologia de sòl'!$A$2:$D$37,4,FALSE)*'T50'!AA36</f>
        <v>0</v>
      </c>
      <c r="AB36" s="1100">
        <f>VLOOKUP(AB$1,'cost per tipologia de sòl'!$A$2:$D$37,4,FALSE)*'T50'!AB36</f>
        <v>0</v>
      </c>
      <c r="AC36" s="1100">
        <f>VLOOKUP(AC$1,'cost per tipologia de sòl'!$A$2:$D$37,4,FALSE)*'T50'!AC36</f>
        <v>0</v>
      </c>
      <c r="AD36" s="1100">
        <f>VLOOKUP(AD$1,'cost per tipologia de sòl'!$A$2:$D$37,4,FALSE)*'T50'!AD36</f>
        <v>71682.25</v>
      </c>
      <c r="AE36" s="1100">
        <f>VLOOKUP(AE$1,'cost per tipologia de sòl'!$A$2:$D$37,4,FALSE)*'T50'!AE36</f>
        <v>0</v>
      </c>
      <c r="AF36" s="1100">
        <f>VLOOKUP(AF$1,'cost per tipologia de sòl'!$A$2:$D$37,4,FALSE)*'T50'!AF36</f>
        <v>0</v>
      </c>
      <c r="AG36" s="1100">
        <f>VLOOKUP(AG$1,'cost per tipologia de sòl'!$A$2:$D$37,4,FALSE)*'T50'!AG36</f>
        <v>0</v>
      </c>
      <c r="AH36" s="1100">
        <f>VLOOKUP(AH$1,'cost per tipologia de sòl'!$A$2:$D$37,4,FALSE)*'T50'!AH36</f>
        <v>0</v>
      </c>
      <c r="AI36" s="1100">
        <f>VLOOKUP(AI$1,'cost per tipologia de sòl'!$A$2:$D$37,4,FALSE)*'T50'!AI36</f>
        <v>0</v>
      </c>
      <c r="AJ36" s="1100">
        <f t="shared" si="0"/>
        <v>71682.25</v>
      </c>
      <c r="AK36" s="1098">
        <f t="shared" si="1"/>
        <v>2.1504675000000001E-2</v>
      </c>
    </row>
    <row r="37" spans="1:37">
      <c r="A37" s="1099" t="s">
        <v>1037</v>
      </c>
      <c r="B37" s="1100">
        <f>VLOOKUP(B$1,'cost per tipologia de sòl'!$A$2:$D$37,4,FALSE)*'T50'!B37</f>
        <v>35867.538</v>
      </c>
      <c r="C37" s="1100">
        <f>VLOOKUP(C$1,'cost per tipologia de sòl'!$A$2:$D$37,4,FALSE)*'T50'!C37</f>
        <v>0</v>
      </c>
      <c r="D37" s="1100">
        <f>VLOOKUP(D$1,'cost per tipologia de sòl'!$A$2:$D$37,4,FALSE)*'T50'!D37</f>
        <v>50470.476000000002</v>
      </c>
      <c r="E37" s="1100">
        <f>VLOOKUP(E$1,'cost per tipologia de sòl'!$A$2:$D$37,4,FALSE)*'T50'!E37</f>
        <v>0</v>
      </c>
      <c r="F37" s="1100">
        <f>VLOOKUP(F$1,'cost per tipologia de sòl'!$A$2:$D$37,4,FALSE)*'T50'!F37</f>
        <v>0</v>
      </c>
      <c r="G37" s="1100">
        <f>VLOOKUP(G$1,'cost per tipologia de sòl'!$A$2:$D$37,4,FALSE)*'T50'!G37</f>
        <v>0</v>
      </c>
      <c r="H37" s="1100">
        <f>VLOOKUP(H$1,'cost per tipologia de sòl'!$A$2:$D$37,4,FALSE)*'T50'!H37</f>
        <v>0</v>
      </c>
      <c r="I37" s="1100">
        <f>VLOOKUP(I$1,'cost per tipologia de sòl'!$A$2:$D$37,4,FALSE)*'T50'!I37</f>
        <v>0</v>
      </c>
      <c r="J37" s="1100">
        <f>VLOOKUP(J$1,'cost per tipologia de sòl'!$A$2:$D$37,4,FALSE)*'T50'!J37</f>
        <v>688184.89850000001</v>
      </c>
      <c r="K37" s="1100">
        <f>VLOOKUP(K$1,'cost per tipologia de sòl'!$A$2:$D$37,4,FALSE)*'T50'!K37</f>
        <v>0</v>
      </c>
      <c r="L37" s="1100">
        <f>VLOOKUP(L$1,'cost per tipologia de sòl'!$A$2:$D$37,4,FALSE)*'T50'!L37</f>
        <v>0</v>
      </c>
      <c r="M37" s="1100">
        <f>VLOOKUP(M$1,'cost per tipologia de sòl'!$A$2:$D$37,4,FALSE)*'T50'!M37</f>
        <v>0</v>
      </c>
      <c r="N37" s="1100">
        <f>VLOOKUP(N$1,'cost per tipologia de sòl'!$A$2:$D$37,4,FALSE)*'T50'!N37</f>
        <v>0</v>
      </c>
      <c r="O37" s="1100">
        <f>VLOOKUP(O$1,'cost per tipologia de sòl'!$A$2:$D$37,4,FALSE)*'T50'!O37</f>
        <v>0</v>
      </c>
      <c r="P37" s="1100">
        <f>VLOOKUP(P$1,'cost per tipologia de sòl'!$A$2:$D$37,4,FALSE)*'T50'!P37</f>
        <v>0</v>
      </c>
      <c r="Q37" s="1100">
        <f>VLOOKUP(Q$1,'cost per tipologia de sòl'!$A$2:$D$37,4,FALSE)*'T50'!Q37</f>
        <v>0</v>
      </c>
      <c r="R37" s="1100">
        <f>VLOOKUP(R$1,'cost per tipologia de sòl'!$A$2:$D$37,4,FALSE)*'T50'!R37</f>
        <v>0</v>
      </c>
      <c r="S37" s="1100">
        <f>VLOOKUP(S$1,'cost per tipologia de sòl'!$A$2:$D$37,4,FALSE)*'T50'!S37</f>
        <v>1377191.088</v>
      </c>
      <c r="T37" s="1100">
        <f>VLOOKUP(T$1,'cost per tipologia de sòl'!$A$2:$D$37,4,FALSE)*'T50'!T37</f>
        <v>162930.06400000001</v>
      </c>
      <c r="U37" s="1100">
        <f>VLOOKUP(U$1,'cost per tipologia de sòl'!$A$2:$D$37,4,FALSE)*'T50'!U37</f>
        <v>0</v>
      </c>
      <c r="V37" s="1100">
        <f>VLOOKUP(V$1,'cost per tipologia de sòl'!$A$2:$D$37,4,FALSE)*'T50'!V37</f>
        <v>0</v>
      </c>
      <c r="W37" s="1100">
        <f>VLOOKUP(W$1,'cost per tipologia de sòl'!$A$2:$D$37,4,FALSE)*'T50'!W37</f>
        <v>0</v>
      </c>
      <c r="X37" s="1100">
        <f>VLOOKUP(X$1,'cost per tipologia de sòl'!$A$2:$D$37,4,FALSE)*'T50'!X37</f>
        <v>0</v>
      </c>
      <c r="Y37" s="1100">
        <f>VLOOKUP(Y$1,'cost per tipologia de sòl'!$A$2:$D$37,4,FALSE)*'T50'!Y37</f>
        <v>0</v>
      </c>
      <c r="Z37" s="1100">
        <f>VLOOKUP(Z$1,'cost per tipologia de sòl'!$A$2:$D$37,4,FALSE)*'T50'!Z37</f>
        <v>291519.84399999998</v>
      </c>
      <c r="AA37" s="1100">
        <f>VLOOKUP(AA$1,'cost per tipologia de sòl'!$A$2:$D$37,4,FALSE)*'T50'!AA37</f>
        <v>0</v>
      </c>
      <c r="AB37" s="1100">
        <f>VLOOKUP(AB$1,'cost per tipologia de sòl'!$A$2:$D$37,4,FALSE)*'T50'!AB37</f>
        <v>0</v>
      </c>
      <c r="AC37" s="1100">
        <f>VLOOKUP(AC$1,'cost per tipologia de sòl'!$A$2:$D$37,4,FALSE)*'T50'!AC37</f>
        <v>0</v>
      </c>
      <c r="AD37" s="1100">
        <f>VLOOKUP(AD$1,'cost per tipologia de sòl'!$A$2:$D$37,4,FALSE)*'T50'!AD37</f>
        <v>812277.55</v>
      </c>
      <c r="AE37" s="1100">
        <f>VLOOKUP(AE$1,'cost per tipologia de sòl'!$A$2:$D$37,4,FALSE)*'T50'!AE37</f>
        <v>0</v>
      </c>
      <c r="AF37" s="1100">
        <f>VLOOKUP(AF$1,'cost per tipologia de sòl'!$A$2:$D$37,4,FALSE)*'T50'!AF37</f>
        <v>0</v>
      </c>
      <c r="AG37" s="1100">
        <f>VLOOKUP(AG$1,'cost per tipologia de sòl'!$A$2:$D$37,4,FALSE)*'T50'!AG37</f>
        <v>0</v>
      </c>
      <c r="AH37" s="1100">
        <f>VLOOKUP(AH$1,'cost per tipologia de sòl'!$A$2:$D$37,4,FALSE)*'T50'!AH37</f>
        <v>0</v>
      </c>
      <c r="AI37" s="1100">
        <f>VLOOKUP(AI$1,'cost per tipologia de sòl'!$A$2:$D$37,4,FALSE)*'T50'!AI37</f>
        <v>0</v>
      </c>
      <c r="AJ37" s="1100">
        <f t="shared" si="0"/>
        <v>3418441.4585000006</v>
      </c>
      <c r="AK37" s="1098">
        <f t="shared" si="1"/>
        <v>1.0255324375500003</v>
      </c>
    </row>
    <row r="38" spans="1:37">
      <c r="A38" s="1099" t="s">
        <v>1043</v>
      </c>
      <c r="B38" s="1100">
        <f>VLOOKUP(B$1,'cost per tipologia de sòl'!$A$2:$D$37,4,FALSE)*'T50'!B38</f>
        <v>1930862.61</v>
      </c>
      <c r="C38" s="1100">
        <f>VLOOKUP(C$1,'cost per tipologia de sòl'!$A$2:$D$37,4,FALSE)*'T50'!C38</f>
        <v>0</v>
      </c>
      <c r="D38" s="1100">
        <f>VLOOKUP(D$1,'cost per tipologia de sòl'!$A$2:$D$37,4,FALSE)*'T50'!D38</f>
        <v>0</v>
      </c>
      <c r="E38" s="1100">
        <f>VLOOKUP(E$1,'cost per tipologia de sòl'!$A$2:$D$37,4,FALSE)*'T50'!E38</f>
        <v>0</v>
      </c>
      <c r="F38" s="1100">
        <f>VLOOKUP(F$1,'cost per tipologia de sòl'!$A$2:$D$37,4,FALSE)*'T50'!F38</f>
        <v>0</v>
      </c>
      <c r="G38" s="1100">
        <f>VLOOKUP(G$1,'cost per tipologia de sòl'!$A$2:$D$37,4,FALSE)*'T50'!G38</f>
        <v>0</v>
      </c>
      <c r="H38" s="1100">
        <f>VLOOKUP(H$1,'cost per tipologia de sòl'!$A$2:$D$37,4,FALSE)*'T50'!H38</f>
        <v>0</v>
      </c>
      <c r="I38" s="1100">
        <f>VLOOKUP(I$1,'cost per tipologia de sòl'!$A$2:$D$37,4,FALSE)*'T50'!I38</f>
        <v>0</v>
      </c>
      <c r="J38" s="1100">
        <f>VLOOKUP(J$1,'cost per tipologia de sòl'!$A$2:$D$37,4,FALSE)*'T50'!J38</f>
        <v>6974.8964999999998</v>
      </c>
      <c r="K38" s="1100">
        <f>VLOOKUP(K$1,'cost per tipologia de sòl'!$A$2:$D$37,4,FALSE)*'T50'!K38</f>
        <v>0</v>
      </c>
      <c r="L38" s="1100">
        <f>VLOOKUP(L$1,'cost per tipologia de sòl'!$A$2:$D$37,4,FALSE)*'T50'!L38</f>
        <v>41167.008000000002</v>
      </c>
      <c r="M38" s="1100">
        <f>VLOOKUP(M$1,'cost per tipologia de sòl'!$A$2:$D$37,4,FALSE)*'T50'!M38</f>
        <v>0</v>
      </c>
      <c r="N38" s="1100">
        <f>VLOOKUP(N$1,'cost per tipologia de sòl'!$A$2:$D$37,4,FALSE)*'T50'!N38</f>
        <v>0</v>
      </c>
      <c r="O38" s="1100">
        <f>VLOOKUP(O$1,'cost per tipologia de sòl'!$A$2:$D$37,4,FALSE)*'T50'!O38</f>
        <v>0</v>
      </c>
      <c r="P38" s="1100">
        <f>VLOOKUP(P$1,'cost per tipologia de sòl'!$A$2:$D$37,4,FALSE)*'T50'!P38</f>
        <v>1181959.8640000001</v>
      </c>
      <c r="Q38" s="1100">
        <f>VLOOKUP(Q$1,'cost per tipologia de sòl'!$A$2:$D$37,4,FALSE)*'T50'!Q38</f>
        <v>0</v>
      </c>
      <c r="R38" s="1100">
        <f>VLOOKUP(R$1,'cost per tipologia de sòl'!$A$2:$D$37,4,FALSE)*'T50'!R38</f>
        <v>0</v>
      </c>
      <c r="S38" s="1100">
        <f>VLOOKUP(S$1,'cost per tipologia de sòl'!$A$2:$D$37,4,FALSE)*'T50'!S38</f>
        <v>0</v>
      </c>
      <c r="T38" s="1100">
        <f>VLOOKUP(T$1,'cost per tipologia de sòl'!$A$2:$D$37,4,FALSE)*'T50'!T38</f>
        <v>1881975.4890000001</v>
      </c>
      <c r="U38" s="1100">
        <f>VLOOKUP(U$1,'cost per tipologia de sòl'!$A$2:$D$37,4,FALSE)*'T50'!U38</f>
        <v>0</v>
      </c>
      <c r="V38" s="1100">
        <f>VLOOKUP(V$1,'cost per tipologia de sòl'!$A$2:$D$37,4,FALSE)*'T50'!V38</f>
        <v>0</v>
      </c>
      <c r="W38" s="1100">
        <f>VLOOKUP(W$1,'cost per tipologia de sòl'!$A$2:$D$37,4,FALSE)*'T50'!W38</f>
        <v>0</v>
      </c>
      <c r="X38" s="1100">
        <f>VLOOKUP(X$1,'cost per tipologia de sòl'!$A$2:$D$37,4,FALSE)*'T50'!X38</f>
        <v>0</v>
      </c>
      <c r="Y38" s="1100">
        <f>VLOOKUP(Y$1,'cost per tipologia de sòl'!$A$2:$D$37,4,FALSE)*'T50'!Y38</f>
        <v>0</v>
      </c>
      <c r="Z38" s="1100">
        <f>VLOOKUP(Z$1,'cost per tipologia de sòl'!$A$2:$D$37,4,FALSE)*'T50'!Z38</f>
        <v>200773.95600000001</v>
      </c>
      <c r="AA38" s="1100">
        <f>VLOOKUP(AA$1,'cost per tipologia de sòl'!$A$2:$D$37,4,FALSE)*'T50'!AA38</f>
        <v>0</v>
      </c>
      <c r="AB38" s="1100">
        <f>VLOOKUP(AB$1,'cost per tipologia de sòl'!$A$2:$D$37,4,FALSE)*'T50'!AB38</f>
        <v>80859.25</v>
      </c>
      <c r="AC38" s="1100">
        <f>VLOOKUP(AC$1,'cost per tipologia de sòl'!$A$2:$D$37,4,FALSE)*'T50'!AC38</f>
        <v>726069.79999999993</v>
      </c>
      <c r="AD38" s="1100">
        <f>VLOOKUP(AD$1,'cost per tipologia de sòl'!$A$2:$D$37,4,FALSE)*'T50'!AD38</f>
        <v>4495271.75</v>
      </c>
      <c r="AE38" s="1100">
        <f>VLOOKUP(AE$1,'cost per tipologia de sòl'!$A$2:$D$37,4,FALSE)*'T50'!AE38</f>
        <v>0</v>
      </c>
      <c r="AF38" s="1100">
        <f>VLOOKUP(AF$1,'cost per tipologia de sòl'!$A$2:$D$37,4,FALSE)*'T50'!AF38</f>
        <v>0</v>
      </c>
      <c r="AG38" s="1100">
        <f>VLOOKUP(AG$1,'cost per tipologia de sòl'!$A$2:$D$37,4,FALSE)*'T50'!AG38</f>
        <v>0</v>
      </c>
      <c r="AH38" s="1100">
        <f>VLOOKUP(AH$1,'cost per tipologia de sòl'!$A$2:$D$37,4,FALSE)*'T50'!AH38</f>
        <v>0</v>
      </c>
      <c r="AI38" s="1100">
        <f>VLOOKUP(AI$1,'cost per tipologia de sòl'!$A$2:$D$37,4,FALSE)*'T50'!AI38</f>
        <v>0</v>
      </c>
      <c r="AJ38" s="1100">
        <f t="shared" si="0"/>
        <v>10545914.623500001</v>
      </c>
      <c r="AK38" s="1098">
        <f t="shared" si="1"/>
        <v>3.1637743870500006</v>
      </c>
    </row>
    <row r="39" spans="1:37">
      <c r="A39" s="1099" t="s">
        <v>1046</v>
      </c>
      <c r="B39" s="1100">
        <f>VLOOKUP(B$1,'cost per tipologia de sòl'!$A$2:$D$37,4,FALSE)*'T50'!B39</f>
        <v>0</v>
      </c>
      <c r="C39" s="1100">
        <f>VLOOKUP(C$1,'cost per tipologia de sòl'!$A$2:$D$37,4,FALSE)*'T50'!C39</f>
        <v>0</v>
      </c>
      <c r="D39" s="1100">
        <f>VLOOKUP(D$1,'cost per tipologia de sòl'!$A$2:$D$37,4,FALSE)*'T50'!D39</f>
        <v>0</v>
      </c>
      <c r="E39" s="1100">
        <f>VLOOKUP(E$1,'cost per tipologia de sòl'!$A$2:$D$37,4,FALSE)*'T50'!E39</f>
        <v>0</v>
      </c>
      <c r="F39" s="1100">
        <f>VLOOKUP(F$1,'cost per tipologia de sòl'!$A$2:$D$37,4,FALSE)*'T50'!F39</f>
        <v>0</v>
      </c>
      <c r="G39" s="1100">
        <f>VLOOKUP(G$1,'cost per tipologia de sòl'!$A$2:$D$37,4,FALSE)*'T50'!G39</f>
        <v>0</v>
      </c>
      <c r="H39" s="1100">
        <f>VLOOKUP(H$1,'cost per tipologia de sòl'!$A$2:$D$37,4,FALSE)*'T50'!H39</f>
        <v>0</v>
      </c>
      <c r="I39" s="1100">
        <f>VLOOKUP(I$1,'cost per tipologia de sòl'!$A$2:$D$37,4,FALSE)*'T50'!I39</f>
        <v>0</v>
      </c>
      <c r="J39" s="1100">
        <f>VLOOKUP(J$1,'cost per tipologia de sòl'!$A$2:$D$37,4,FALSE)*'T50'!J39</f>
        <v>0</v>
      </c>
      <c r="K39" s="1100">
        <f>VLOOKUP(K$1,'cost per tipologia de sòl'!$A$2:$D$37,4,FALSE)*'T50'!K39</f>
        <v>0</v>
      </c>
      <c r="L39" s="1100">
        <f>VLOOKUP(L$1,'cost per tipologia de sòl'!$A$2:$D$37,4,FALSE)*'T50'!L39</f>
        <v>0</v>
      </c>
      <c r="M39" s="1100">
        <f>VLOOKUP(M$1,'cost per tipologia de sòl'!$A$2:$D$37,4,FALSE)*'T50'!M39</f>
        <v>0</v>
      </c>
      <c r="N39" s="1100">
        <f>VLOOKUP(N$1,'cost per tipologia de sòl'!$A$2:$D$37,4,FALSE)*'T50'!N39</f>
        <v>0</v>
      </c>
      <c r="O39" s="1100">
        <f>VLOOKUP(O$1,'cost per tipologia de sòl'!$A$2:$D$37,4,FALSE)*'T50'!O39</f>
        <v>0</v>
      </c>
      <c r="P39" s="1100">
        <f>VLOOKUP(P$1,'cost per tipologia de sòl'!$A$2:$D$37,4,FALSE)*'T50'!P39</f>
        <v>0</v>
      </c>
      <c r="Q39" s="1100">
        <f>VLOOKUP(Q$1,'cost per tipologia de sòl'!$A$2:$D$37,4,FALSE)*'T50'!Q39</f>
        <v>0</v>
      </c>
      <c r="R39" s="1100">
        <f>VLOOKUP(R$1,'cost per tipologia de sòl'!$A$2:$D$37,4,FALSE)*'T50'!R39</f>
        <v>0</v>
      </c>
      <c r="S39" s="1100">
        <f>VLOOKUP(S$1,'cost per tipologia de sòl'!$A$2:$D$37,4,FALSE)*'T50'!S39</f>
        <v>0</v>
      </c>
      <c r="T39" s="1100">
        <f>VLOOKUP(T$1,'cost per tipologia de sòl'!$A$2:$D$37,4,FALSE)*'T50'!T39</f>
        <v>0</v>
      </c>
      <c r="U39" s="1100">
        <f>VLOOKUP(U$1,'cost per tipologia de sòl'!$A$2:$D$37,4,FALSE)*'T50'!U39</f>
        <v>2212089.6</v>
      </c>
      <c r="V39" s="1100">
        <f>VLOOKUP(V$1,'cost per tipologia de sòl'!$A$2:$D$37,4,FALSE)*'T50'!V39</f>
        <v>0</v>
      </c>
      <c r="W39" s="1100">
        <f>VLOOKUP(W$1,'cost per tipologia de sòl'!$A$2:$D$37,4,FALSE)*'T50'!W39</f>
        <v>0</v>
      </c>
      <c r="X39" s="1100">
        <f>VLOOKUP(X$1,'cost per tipologia de sòl'!$A$2:$D$37,4,FALSE)*'T50'!X39</f>
        <v>0</v>
      </c>
      <c r="Y39" s="1100">
        <f>VLOOKUP(Y$1,'cost per tipologia de sòl'!$A$2:$D$37,4,FALSE)*'T50'!Y39</f>
        <v>0</v>
      </c>
      <c r="Z39" s="1100">
        <f>VLOOKUP(Z$1,'cost per tipologia de sòl'!$A$2:$D$37,4,FALSE)*'T50'!Z39</f>
        <v>0</v>
      </c>
      <c r="AA39" s="1100">
        <f>VLOOKUP(AA$1,'cost per tipologia de sòl'!$A$2:$D$37,4,FALSE)*'T50'!AA39</f>
        <v>0</v>
      </c>
      <c r="AB39" s="1100">
        <f>VLOOKUP(AB$1,'cost per tipologia de sòl'!$A$2:$D$37,4,FALSE)*'T50'!AB39</f>
        <v>0</v>
      </c>
      <c r="AC39" s="1100">
        <f>VLOOKUP(AC$1,'cost per tipologia de sòl'!$A$2:$D$37,4,FALSE)*'T50'!AC39</f>
        <v>0</v>
      </c>
      <c r="AD39" s="1100">
        <f>VLOOKUP(AD$1,'cost per tipologia de sòl'!$A$2:$D$37,4,FALSE)*'T50'!AD39</f>
        <v>3739443.2000000002</v>
      </c>
      <c r="AE39" s="1100">
        <f>VLOOKUP(AE$1,'cost per tipologia de sòl'!$A$2:$D$37,4,FALSE)*'T50'!AE39</f>
        <v>0</v>
      </c>
      <c r="AF39" s="1100">
        <f>VLOOKUP(AF$1,'cost per tipologia de sòl'!$A$2:$D$37,4,FALSE)*'T50'!AF39</f>
        <v>0</v>
      </c>
      <c r="AG39" s="1100">
        <f>VLOOKUP(AG$1,'cost per tipologia de sòl'!$A$2:$D$37,4,FALSE)*'T50'!AG39</f>
        <v>0</v>
      </c>
      <c r="AH39" s="1100">
        <f>VLOOKUP(AH$1,'cost per tipologia de sòl'!$A$2:$D$37,4,FALSE)*'T50'!AH39</f>
        <v>0</v>
      </c>
      <c r="AI39" s="1100">
        <f>VLOOKUP(AI$1,'cost per tipologia de sòl'!$A$2:$D$37,4,FALSE)*'T50'!AI39</f>
        <v>0</v>
      </c>
      <c r="AJ39" s="1100">
        <f t="shared" si="0"/>
        <v>5951532.8000000007</v>
      </c>
      <c r="AK39" s="1098">
        <f t="shared" si="1"/>
        <v>1.7854598400000004</v>
      </c>
    </row>
    <row r="40" spans="1:37">
      <c r="A40" s="1099" t="s">
        <v>1324</v>
      </c>
      <c r="B40" s="1100">
        <f>VLOOKUP(B$1,'cost per tipologia de sòl'!$A$2:$D$37,4,FALSE)*'T50'!B40</f>
        <v>1778007.9600000002</v>
      </c>
      <c r="C40" s="1100">
        <f>VLOOKUP(C$1,'cost per tipologia de sòl'!$A$2:$D$37,4,FALSE)*'T50'!C40</f>
        <v>0</v>
      </c>
      <c r="D40" s="1100">
        <f>VLOOKUP(D$1,'cost per tipologia de sòl'!$A$2:$D$37,4,FALSE)*'T50'!D40</f>
        <v>0</v>
      </c>
      <c r="E40" s="1100">
        <f>VLOOKUP(E$1,'cost per tipologia de sòl'!$A$2:$D$37,4,FALSE)*'T50'!E40</f>
        <v>0</v>
      </c>
      <c r="F40" s="1100">
        <f>VLOOKUP(F$1,'cost per tipologia de sòl'!$A$2:$D$37,4,FALSE)*'T50'!F40</f>
        <v>0</v>
      </c>
      <c r="G40" s="1100">
        <f>VLOOKUP(G$1,'cost per tipologia de sòl'!$A$2:$D$37,4,FALSE)*'T50'!G40</f>
        <v>0</v>
      </c>
      <c r="H40" s="1100">
        <f>VLOOKUP(H$1,'cost per tipologia de sòl'!$A$2:$D$37,4,FALSE)*'T50'!H40</f>
        <v>0</v>
      </c>
      <c r="I40" s="1100">
        <f>VLOOKUP(I$1,'cost per tipologia de sòl'!$A$2:$D$37,4,FALSE)*'T50'!I40</f>
        <v>0</v>
      </c>
      <c r="J40" s="1100">
        <f>VLOOKUP(J$1,'cost per tipologia de sòl'!$A$2:$D$37,4,FALSE)*'T50'!J40</f>
        <v>0</v>
      </c>
      <c r="K40" s="1100">
        <f>VLOOKUP(K$1,'cost per tipologia de sòl'!$A$2:$D$37,4,FALSE)*'T50'!K40</f>
        <v>0</v>
      </c>
      <c r="L40" s="1100">
        <f>VLOOKUP(L$1,'cost per tipologia de sòl'!$A$2:$D$37,4,FALSE)*'T50'!L40</f>
        <v>0</v>
      </c>
      <c r="M40" s="1100">
        <f>VLOOKUP(M$1,'cost per tipologia de sòl'!$A$2:$D$37,4,FALSE)*'T50'!M40</f>
        <v>0</v>
      </c>
      <c r="N40" s="1100">
        <f>VLOOKUP(N$1,'cost per tipologia de sòl'!$A$2:$D$37,4,FALSE)*'T50'!N40</f>
        <v>0</v>
      </c>
      <c r="O40" s="1100">
        <f>VLOOKUP(O$1,'cost per tipologia de sòl'!$A$2:$D$37,4,FALSE)*'T50'!O40</f>
        <v>0</v>
      </c>
      <c r="P40" s="1100">
        <f>VLOOKUP(P$1,'cost per tipologia de sòl'!$A$2:$D$37,4,FALSE)*'T50'!P40</f>
        <v>0</v>
      </c>
      <c r="Q40" s="1100">
        <f>VLOOKUP(Q$1,'cost per tipologia de sòl'!$A$2:$D$37,4,FALSE)*'T50'!Q40</f>
        <v>0</v>
      </c>
      <c r="R40" s="1100">
        <f>VLOOKUP(R$1,'cost per tipologia de sòl'!$A$2:$D$37,4,FALSE)*'T50'!R40</f>
        <v>0</v>
      </c>
      <c r="S40" s="1100">
        <f>VLOOKUP(S$1,'cost per tipologia de sòl'!$A$2:$D$37,4,FALSE)*'T50'!S40</f>
        <v>0</v>
      </c>
      <c r="T40" s="1100">
        <f>VLOOKUP(T$1,'cost per tipologia de sòl'!$A$2:$D$37,4,FALSE)*'T50'!T40</f>
        <v>1869398.3120000002</v>
      </c>
      <c r="U40" s="1100">
        <f>VLOOKUP(U$1,'cost per tipologia de sòl'!$A$2:$D$37,4,FALSE)*'T50'!U40</f>
        <v>14451626.699999999</v>
      </c>
      <c r="V40" s="1100">
        <f>VLOOKUP(V$1,'cost per tipologia de sòl'!$A$2:$D$37,4,FALSE)*'T50'!V40</f>
        <v>0</v>
      </c>
      <c r="W40" s="1100">
        <f>VLOOKUP(W$1,'cost per tipologia de sòl'!$A$2:$D$37,4,FALSE)*'T50'!W40</f>
        <v>0</v>
      </c>
      <c r="X40" s="1100">
        <f>VLOOKUP(X$1,'cost per tipologia de sòl'!$A$2:$D$37,4,FALSE)*'T50'!X40</f>
        <v>0</v>
      </c>
      <c r="Y40" s="1100">
        <f>VLOOKUP(Y$1,'cost per tipologia de sòl'!$A$2:$D$37,4,FALSE)*'T50'!Y40</f>
        <v>0</v>
      </c>
      <c r="Z40" s="1100">
        <f>VLOOKUP(Z$1,'cost per tipologia de sòl'!$A$2:$D$37,4,FALSE)*'T50'!Z40</f>
        <v>761856.03399999999</v>
      </c>
      <c r="AA40" s="1100">
        <f>VLOOKUP(AA$1,'cost per tipologia de sòl'!$A$2:$D$37,4,FALSE)*'T50'!AA40</f>
        <v>0</v>
      </c>
      <c r="AB40" s="1100">
        <f>VLOOKUP(AB$1,'cost per tipologia de sòl'!$A$2:$D$37,4,FALSE)*'T50'!AB40</f>
        <v>12643646.899999999</v>
      </c>
      <c r="AC40" s="1100">
        <f>VLOOKUP(AC$1,'cost per tipologia de sòl'!$A$2:$D$37,4,FALSE)*'T50'!AC40</f>
        <v>2243722.35</v>
      </c>
      <c r="AD40" s="1100">
        <f>VLOOKUP(AD$1,'cost per tipologia de sòl'!$A$2:$D$37,4,FALSE)*'T50'!AD40</f>
        <v>12492867.649999999</v>
      </c>
      <c r="AE40" s="1100">
        <f>VLOOKUP(AE$1,'cost per tipologia de sòl'!$A$2:$D$37,4,FALSE)*'T50'!AE40</f>
        <v>0</v>
      </c>
      <c r="AF40" s="1100">
        <f>VLOOKUP(AF$1,'cost per tipologia de sòl'!$A$2:$D$37,4,FALSE)*'T50'!AF40</f>
        <v>0</v>
      </c>
      <c r="AG40" s="1100">
        <f>VLOOKUP(AG$1,'cost per tipologia de sòl'!$A$2:$D$37,4,FALSE)*'T50'!AG40</f>
        <v>0</v>
      </c>
      <c r="AH40" s="1100">
        <f>VLOOKUP(AH$1,'cost per tipologia de sòl'!$A$2:$D$37,4,FALSE)*'T50'!AH40</f>
        <v>0</v>
      </c>
      <c r="AI40" s="1100">
        <f>VLOOKUP(AI$1,'cost per tipologia de sòl'!$A$2:$D$37,4,FALSE)*'T50'!AI40</f>
        <v>0</v>
      </c>
      <c r="AJ40" s="1100">
        <f t="shared" si="0"/>
        <v>46241125.905999996</v>
      </c>
      <c r="AK40" s="1098">
        <f t="shared" si="1"/>
        <v>13.872337771799998</v>
      </c>
    </row>
    <row r="41" spans="1:37">
      <c r="A41" s="1099" t="s">
        <v>1387</v>
      </c>
      <c r="B41" s="1100">
        <f>VLOOKUP(B$1,'cost per tipologia de sòl'!$A$2:$D$37,4,FALSE)*'T50'!B41</f>
        <v>80022.474000000002</v>
      </c>
      <c r="C41" s="1100">
        <f>VLOOKUP(C$1,'cost per tipologia de sòl'!$A$2:$D$37,4,FALSE)*'T50'!C41</f>
        <v>0</v>
      </c>
      <c r="D41" s="1100">
        <f>VLOOKUP(D$1,'cost per tipologia de sòl'!$A$2:$D$37,4,FALSE)*'T50'!D41</f>
        <v>55329.342000000004</v>
      </c>
      <c r="E41" s="1100">
        <f>VLOOKUP(E$1,'cost per tipologia de sòl'!$A$2:$D$37,4,FALSE)*'T50'!E41</f>
        <v>0</v>
      </c>
      <c r="F41" s="1100">
        <f>VLOOKUP(F$1,'cost per tipologia de sòl'!$A$2:$D$37,4,FALSE)*'T50'!F41</f>
        <v>0</v>
      </c>
      <c r="G41" s="1100">
        <f>VLOOKUP(G$1,'cost per tipologia de sòl'!$A$2:$D$37,4,FALSE)*'T50'!G41</f>
        <v>0</v>
      </c>
      <c r="H41" s="1100">
        <f>VLOOKUP(H$1,'cost per tipologia de sòl'!$A$2:$D$37,4,FALSE)*'T50'!H41</f>
        <v>0</v>
      </c>
      <c r="I41" s="1100">
        <f>VLOOKUP(I$1,'cost per tipologia de sòl'!$A$2:$D$37,4,FALSE)*'T50'!I41</f>
        <v>0</v>
      </c>
      <c r="J41" s="1100">
        <f>VLOOKUP(J$1,'cost per tipologia de sòl'!$A$2:$D$37,4,FALSE)*'T50'!J41</f>
        <v>195.5745</v>
      </c>
      <c r="K41" s="1100">
        <f>VLOOKUP(K$1,'cost per tipologia de sòl'!$A$2:$D$37,4,FALSE)*'T50'!K41</f>
        <v>0</v>
      </c>
      <c r="L41" s="1100">
        <f>VLOOKUP(L$1,'cost per tipologia de sòl'!$A$2:$D$37,4,FALSE)*'T50'!L41</f>
        <v>0</v>
      </c>
      <c r="M41" s="1100">
        <f>VLOOKUP(M$1,'cost per tipologia de sòl'!$A$2:$D$37,4,FALSE)*'T50'!M41</f>
        <v>29324.560000000001</v>
      </c>
      <c r="N41" s="1100">
        <f>VLOOKUP(N$1,'cost per tipologia de sòl'!$A$2:$D$37,4,FALSE)*'T50'!N41</f>
        <v>0</v>
      </c>
      <c r="O41" s="1100">
        <f>VLOOKUP(O$1,'cost per tipologia de sòl'!$A$2:$D$37,4,FALSE)*'T50'!O41</f>
        <v>0</v>
      </c>
      <c r="P41" s="1100">
        <f>VLOOKUP(P$1,'cost per tipologia de sòl'!$A$2:$D$37,4,FALSE)*'T50'!P41</f>
        <v>0</v>
      </c>
      <c r="Q41" s="1100">
        <f>VLOOKUP(Q$1,'cost per tipologia de sòl'!$A$2:$D$37,4,FALSE)*'T50'!Q41</f>
        <v>0</v>
      </c>
      <c r="R41" s="1100">
        <f>VLOOKUP(R$1,'cost per tipologia de sòl'!$A$2:$D$37,4,FALSE)*'T50'!R41</f>
        <v>0</v>
      </c>
      <c r="S41" s="1100">
        <f>VLOOKUP(S$1,'cost per tipologia de sòl'!$A$2:$D$37,4,FALSE)*'T50'!S41</f>
        <v>0</v>
      </c>
      <c r="T41" s="1100">
        <f>VLOOKUP(T$1,'cost per tipologia de sòl'!$A$2:$D$37,4,FALSE)*'T50'!T41</f>
        <v>261610.40399999998</v>
      </c>
      <c r="U41" s="1100">
        <f>VLOOKUP(U$1,'cost per tipologia de sòl'!$A$2:$D$37,4,FALSE)*'T50'!U41</f>
        <v>0</v>
      </c>
      <c r="V41" s="1100">
        <f>VLOOKUP(V$1,'cost per tipologia de sòl'!$A$2:$D$37,4,FALSE)*'T50'!V41</f>
        <v>0</v>
      </c>
      <c r="W41" s="1100">
        <f>VLOOKUP(W$1,'cost per tipologia de sòl'!$A$2:$D$37,4,FALSE)*'T50'!W41</f>
        <v>0</v>
      </c>
      <c r="X41" s="1100">
        <f>VLOOKUP(X$1,'cost per tipologia de sòl'!$A$2:$D$37,4,FALSE)*'T50'!X41</f>
        <v>0</v>
      </c>
      <c r="Y41" s="1100">
        <f>VLOOKUP(Y$1,'cost per tipologia de sòl'!$A$2:$D$37,4,FALSE)*'T50'!Y41</f>
        <v>0</v>
      </c>
      <c r="Z41" s="1100">
        <f>VLOOKUP(Z$1,'cost per tipologia de sòl'!$A$2:$D$37,4,FALSE)*'T50'!Z41</f>
        <v>861114.85399999993</v>
      </c>
      <c r="AA41" s="1100">
        <f>VLOOKUP(AA$1,'cost per tipologia de sòl'!$A$2:$D$37,4,FALSE)*'T50'!AA41</f>
        <v>0</v>
      </c>
      <c r="AB41" s="1100">
        <f>VLOOKUP(AB$1,'cost per tipologia de sòl'!$A$2:$D$37,4,FALSE)*'T50'!AB41</f>
        <v>2737558</v>
      </c>
      <c r="AC41" s="1100">
        <f>VLOOKUP(AC$1,'cost per tipologia de sòl'!$A$2:$D$37,4,FALSE)*'T50'!AC41</f>
        <v>29858.5</v>
      </c>
      <c r="AD41" s="1100">
        <f>VLOOKUP(AD$1,'cost per tipologia de sòl'!$A$2:$D$37,4,FALSE)*'T50'!AD41</f>
        <v>1994215.3</v>
      </c>
      <c r="AE41" s="1100">
        <f>VLOOKUP(AE$1,'cost per tipologia de sòl'!$A$2:$D$37,4,FALSE)*'T50'!AE41</f>
        <v>0</v>
      </c>
      <c r="AF41" s="1100">
        <f>VLOOKUP(AF$1,'cost per tipologia de sòl'!$A$2:$D$37,4,FALSE)*'T50'!AF41</f>
        <v>0</v>
      </c>
      <c r="AG41" s="1100">
        <f>VLOOKUP(AG$1,'cost per tipologia de sòl'!$A$2:$D$37,4,FALSE)*'T50'!AG41</f>
        <v>0</v>
      </c>
      <c r="AH41" s="1100">
        <f>VLOOKUP(AH$1,'cost per tipologia de sòl'!$A$2:$D$37,4,FALSE)*'T50'!AH41</f>
        <v>0</v>
      </c>
      <c r="AI41" s="1100">
        <f>VLOOKUP(AI$1,'cost per tipologia de sòl'!$A$2:$D$37,4,FALSE)*'T50'!AI41</f>
        <v>0</v>
      </c>
      <c r="AJ41" s="1100">
        <f t="shared" si="0"/>
        <v>6049229.0084999995</v>
      </c>
      <c r="AK41" s="1098">
        <f t="shared" si="1"/>
        <v>1.8147687025499999</v>
      </c>
    </row>
    <row r="42" spans="1:37">
      <c r="A42" s="1099" t="s">
        <v>348</v>
      </c>
      <c r="B42" s="1100">
        <f>VLOOKUP(B$1,'cost per tipologia de sòl'!$A$2:$D$37,4,FALSE)*'T50'!B42</f>
        <v>25347824.838</v>
      </c>
      <c r="C42" s="1100">
        <f>VLOOKUP(C$1,'cost per tipologia de sòl'!$A$2:$D$37,4,FALSE)*'T50'!C42</f>
        <v>141.66200000000001</v>
      </c>
      <c r="D42" s="1100">
        <f>VLOOKUP(D$1,'cost per tipologia de sòl'!$A$2:$D$37,4,FALSE)*'T50'!D42</f>
        <v>0</v>
      </c>
      <c r="E42" s="1100">
        <f>VLOOKUP(E$1,'cost per tipologia de sòl'!$A$2:$D$37,4,FALSE)*'T50'!E42</f>
        <v>0</v>
      </c>
      <c r="F42" s="1100">
        <f>VLOOKUP(F$1,'cost per tipologia de sòl'!$A$2:$D$37,4,FALSE)*'T50'!F42</f>
        <v>0</v>
      </c>
      <c r="G42" s="1100">
        <f>VLOOKUP(G$1,'cost per tipologia de sòl'!$A$2:$D$37,4,FALSE)*'T50'!G42</f>
        <v>0</v>
      </c>
      <c r="H42" s="1100">
        <f>VLOOKUP(H$1,'cost per tipologia de sòl'!$A$2:$D$37,4,FALSE)*'T50'!H42</f>
        <v>0</v>
      </c>
      <c r="I42" s="1100">
        <f>VLOOKUP(I$1,'cost per tipologia de sòl'!$A$2:$D$37,4,FALSE)*'T50'!I42</f>
        <v>0</v>
      </c>
      <c r="J42" s="1100">
        <f>VLOOKUP(J$1,'cost per tipologia de sòl'!$A$2:$D$37,4,FALSE)*'T50'!J42</f>
        <v>0</v>
      </c>
      <c r="K42" s="1100">
        <f>VLOOKUP(K$1,'cost per tipologia de sòl'!$A$2:$D$37,4,FALSE)*'T50'!K42</f>
        <v>0</v>
      </c>
      <c r="L42" s="1100">
        <f>VLOOKUP(L$1,'cost per tipologia de sòl'!$A$2:$D$37,4,FALSE)*'T50'!L42</f>
        <v>0</v>
      </c>
      <c r="M42" s="1100">
        <f>VLOOKUP(M$1,'cost per tipologia de sòl'!$A$2:$D$37,4,FALSE)*'T50'!M42</f>
        <v>0</v>
      </c>
      <c r="N42" s="1100">
        <f>VLOOKUP(N$1,'cost per tipologia de sòl'!$A$2:$D$37,4,FALSE)*'T50'!N42</f>
        <v>0</v>
      </c>
      <c r="O42" s="1100">
        <f>VLOOKUP(O$1,'cost per tipologia de sòl'!$A$2:$D$37,4,FALSE)*'T50'!O42</f>
        <v>0</v>
      </c>
      <c r="P42" s="1100">
        <f>VLOOKUP(P$1,'cost per tipologia de sòl'!$A$2:$D$37,4,FALSE)*'T50'!P42</f>
        <v>0</v>
      </c>
      <c r="Q42" s="1100">
        <f>VLOOKUP(Q$1,'cost per tipologia de sòl'!$A$2:$D$37,4,FALSE)*'T50'!Q42</f>
        <v>1388617953</v>
      </c>
      <c r="R42" s="1100">
        <f>VLOOKUP(R$1,'cost per tipologia de sòl'!$A$2:$D$37,4,FALSE)*'T50'!R42</f>
        <v>0</v>
      </c>
      <c r="S42" s="1100">
        <f>VLOOKUP(S$1,'cost per tipologia de sòl'!$A$2:$D$37,4,FALSE)*'T50'!S42</f>
        <v>22653672.048</v>
      </c>
      <c r="T42" s="1100">
        <f>VLOOKUP(T$1,'cost per tipologia de sòl'!$A$2:$D$37,4,FALSE)*'T50'!T42</f>
        <v>604199053.61000001</v>
      </c>
      <c r="U42" s="1100">
        <f>VLOOKUP(U$1,'cost per tipologia de sòl'!$A$2:$D$37,4,FALSE)*'T50'!U42</f>
        <v>1501910.55</v>
      </c>
      <c r="V42" s="1100">
        <f>VLOOKUP(V$1,'cost per tipologia de sòl'!$A$2:$D$37,4,FALSE)*'T50'!V42</f>
        <v>689522.72799999989</v>
      </c>
      <c r="W42" s="1100">
        <f>VLOOKUP(W$1,'cost per tipologia de sòl'!$A$2:$D$37,4,FALSE)*'T50'!W42</f>
        <v>0</v>
      </c>
      <c r="X42" s="1100">
        <f>VLOOKUP(X$1,'cost per tipologia de sòl'!$A$2:$D$37,4,FALSE)*'T50'!X42</f>
        <v>1981668</v>
      </c>
      <c r="Y42" s="1100">
        <f>VLOOKUP(Y$1,'cost per tipologia de sòl'!$A$2:$D$37,4,FALSE)*'T50'!Y42</f>
        <v>0</v>
      </c>
      <c r="Z42" s="1100">
        <f>VLOOKUP(Z$1,'cost per tipologia de sòl'!$A$2:$D$37,4,FALSE)*'T50'!Z42</f>
        <v>0</v>
      </c>
      <c r="AA42" s="1100">
        <f>VLOOKUP(AA$1,'cost per tipologia de sòl'!$A$2:$D$37,4,FALSE)*'T50'!AA42</f>
        <v>0</v>
      </c>
      <c r="AB42" s="1100">
        <f>VLOOKUP(AB$1,'cost per tipologia de sòl'!$A$2:$D$37,4,FALSE)*'T50'!AB42</f>
        <v>2709766.7</v>
      </c>
      <c r="AC42" s="1100">
        <f>VLOOKUP(AC$1,'cost per tipologia de sòl'!$A$2:$D$37,4,FALSE)*'T50'!AC42</f>
        <v>1978578.3</v>
      </c>
      <c r="AD42" s="1100">
        <f>VLOOKUP(AD$1,'cost per tipologia de sòl'!$A$2:$D$37,4,FALSE)*'T50'!AD42</f>
        <v>47074362</v>
      </c>
      <c r="AE42" s="1100">
        <f>VLOOKUP(AE$1,'cost per tipologia de sòl'!$A$2:$D$37,4,FALSE)*'T50'!AE42</f>
        <v>0</v>
      </c>
      <c r="AF42" s="1100">
        <f>VLOOKUP(AF$1,'cost per tipologia de sòl'!$A$2:$D$37,4,FALSE)*'T50'!AF42</f>
        <v>0</v>
      </c>
      <c r="AG42" s="1100">
        <f>VLOOKUP(AG$1,'cost per tipologia de sòl'!$A$2:$D$37,4,FALSE)*'T50'!AG42</f>
        <v>0</v>
      </c>
      <c r="AH42" s="1100">
        <f>VLOOKUP(AH$1,'cost per tipologia de sòl'!$A$2:$D$37,4,FALSE)*'T50'!AH42</f>
        <v>0</v>
      </c>
      <c r="AI42" s="1100">
        <f>VLOOKUP(AI$1,'cost per tipologia de sòl'!$A$2:$D$37,4,FALSE)*'T50'!AI42</f>
        <v>0</v>
      </c>
      <c r="AJ42" s="1100">
        <f t="shared" si="0"/>
        <v>2096754453.4359999</v>
      </c>
      <c r="AK42" s="1098">
        <f t="shared" si="1"/>
        <v>629.02633603079994</v>
      </c>
    </row>
    <row r="43" spans="1:37">
      <c r="A43" s="1099" t="s">
        <v>1053</v>
      </c>
      <c r="B43" s="1100">
        <f>VLOOKUP(B$1,'cost per tipologia de sòl'!$A$2:$D$37,4,FALSE)*'T50'!B43</f>
        <v>1022569.7039999999</v>
      </c>
      <c r="C43" s="1100">
        <f>VLOOKUP(C$1,'cost per tipologia de sòl'!$A$2:$D$37,4,FALSE)*'T50'!C43</f>
        <v>0</v>
      </c>
      <c r="D43" s="1100">
        <f>VLOOKUP(D$1,'cost per tipologia de sòl'!$A$2:$D$37,4,FALSE)*'T50'!D43</f>
        <v>12655877.964000002</v>
      </c>
      <c r="E43" s="1100">
        <f>VLOOKUP(E$1,'cost per tipologia de sòl'!$A$2:$D$37,4,FALSE)*'T50'!E43</f>
        <v>0</v>
      </c>
      <c r="F43" s="1100">
        <f>VLOOKUP(F$1,'cost per tipologia de sòl'!$A$2:$D$37,4,FALSE)*'T50'!F43</f>
        <v>0</v>
      </c>
      <c r="G43" s="1100">
        <f>VLOOKUP(G$1,'cost per tipologia de sòl'!$A$2:$D$37,4,FALSE)*'T50'!G43</f>
        <v>0</v>
      </c>
      <c r="H43" s="1100">
        <f>VLOOKUP(H$1,'cost per tipologia de sòl'!$A$2:$D$37,4,FALSE)*'T50'!H43</f>
        <v>0</v>
      </c>
      <c r="I43" s="1100">
        <f>VLOOKUP(I$1,'cost per tipologia de sòl'!$A$2:$D$37,4,FALSE)*'T50'!I43</f>
        <v>0</v>
      </c>
      <c r="J43" s="1100">
        <f>VLOOKUP(J$1,'cost per tipologia de sòl'!$A$2:$D$37,4,FALSE)*'T50'!J43</f>
        <v>40414.341</v>
      </c>
      <c r="K43" s="1100">
        <f>VLOOKUP(K$1,'cost per tipologia de sòl'!$A$2:$D$37,4,FALSE)*'T50'!K43</f>
        <v>0</v>
      </c>
      <c r="L43" s="1100">
        <f>VLOOKUP(L$1,'cost per tipologia de sòl'!$A$2:$D$37,4,FALSE)*'T50'!L43</f>
        <v>1049289.426</v>
      </c>
      <c r="M43" s="1100">
        <f>VLOOKUP(M$1,'cost per tipologia de sòl'!$A$2:$D$37,4,FALSE)*'T50'!M43</f>
        <v>0</v>
      </c>
      <c r="N43" s="1100">
        <f>VLOOKUP(N$1,'cost per tipologia de sòl'!$A$2:$D$37,4,FALSE)*'T50'!N43</f>
        <v>0</v>
      </c>
      <c r="O43" s="1100">
        <f>VLOOKUP(O$1,'cost per tipologia de sòl'!$A$2:$D$37,4,FALSE)*'T50'!O43</f>
        <v>0</v>
      </c>
      <c r="P43" s="1100">
        <f>VLOOKUP(P$1,'cost per tipologia de sòl'!$A$2:$D$37,4,FALSE)*'T50'!P43</f>
        <v>0</v>
      </c>
      <c r="Q43" s="1100">
        <f>VLOOKUP(Q$1,'cost per tipologia de sòl'!$A$2:$D$37,4,FALSE)*'T50'!Q43</f>
        <v>0</v>
      </c>
      <c r="R43" s="1100">
        <f>VLOOKUP(R$1,'cost per tipologia de sòl'!$A$2:$D$37,4,FALSE)*'T50'!R43</f>
        <v>0</v>
      </c>
      <c r="S43" s="1100">
        <f>VLOOKUP(S$1,'cost per tipologia de sòl'!$A$2:$D$37,4,FALSE)*'T50'!S43</f>
        <v>0</v>
      </c>
      <c r="T43" s="1100">
        <f>VLOOKUP(T$1,'cost per tipologia de sòl'!$A$2:$D$37,4,FALSE)*'T50'!T43</f>
        <v>8755925.5749999993</v>
      </c>
      <c r="U43" s="1100">
        <f>VLOOKUP(U$1,'cost per tipologia de sòl'!$A$2:$D$37,4,FALSE)*'T50'!U43</f>
        <v>4521604.5</v>
      </c>
      <c r="V43" s="1100">
        <f>VLOOKUP(V$1,'cost per tipologia de sòl'!$A$2:$D$37,4,FALSE)*'T50'!V43</f>
        <v>0</v>
      </c>
      <c r="W43" s="1100">
        <f>VLOOKUP(W$1,'cost per tipologia de sòl'!$A$2:$D$37,4,FALSE)*'T50'!W43</f>
        <v>0</v>
      </c>
      <c r="X43" s="1100">
        <f>VLOOKUP(X$1,'cost per tipologia de sòl'!$A$2:$D$37,4,FALSE)*'T50'!X43</f>
        <v>0</v>
      </c>
      <c r="Y43" s="1100">
        <f>VLOOKUP(Y$1,'cost per tipologia de sòl'!$A$2:$D$37,4,FALSE)*'T50'!Y43</f>
        <v>0</v>
      </c>
      <c r="Z43" s="1100">
        <f>VLOOKUP(Z$1,'cost per tipologia de sòl'!$A$2:$D$37,4,FALSE)*'T50'!Z43</f>
        <v>2426769.8840000001</v>
      </c>
      <c r="AA43" s="1100">
        <f>VLOOKUP(AA$1,'cost per tipologia de sòl'!$A$2:$D$37,4,FALSE)*'T50'!AA43</f>
        <v>0</v>
      </c>
      <c r="AB43" s="1100">
        <f>VLOOKUP(AB$1,'cost per tipologia de sòl'!$A$2:$D$37,4,FALSE)*'T50'!AB43</f>
        <v>136926.35</v>
      </c>
      <c r="AC43" s="1100">
        <f>VLOOKUP(AC$1,'cost per tipologia de sòl'!$A$2:$D$37,4,FALSE)*'T50'!AC43</f>
        <v>1237543.1499999999</v>
      </c>
      <c r="AD43" s="1100">
        <f>VLOOKUP(AD$1,'cost per tipologia de sòl'!$A$2:$D$37,4,FALSE)*'T50'!AD43</f>
        <v>11438605.15</v>
      </c>
      <c r="AE43" s="1100">
        <f>VLOOKUP(AE$1,'cost per tipologia de sòl'!$A$2:$D$37,4,FALSE)*'T50'!AE43</f>
        <v>0</v>
      </c>
      <c r="AF43" s="1100">
        <f>VLOOKUP(AF$1,'cost per tipologia de sòl'!$A$2:$D$37,4,FALSE)*'T50'!AF43</f>
        <v>0</v>
      </c>
      <c r="AG43" s="1100">
        <f>VLOOKUP(AG$1,'cost per tipologia de sòl'!$A$2:$D$37,4,FALSE)*'T50'!AG43</f>
        <v>0</v>
      </c>
      <c r="AH43" s="1100">
        <f>VLOOKUP(AH$1,'cost per tipologia de sòl'!$A$2:$D$37,4,FALSE)*'T50'!AH43</f>
        <v>0</v>
      </c>
      <c r="AI43" s="1100">
        <f>VLOOKUP(AI$1,'cost per tipologia de sòl'!$A$2:$D$37,4,FALSE)*'T50'!AI43</f>
        <v>0</v>
      </c>
      <c r="AJ43" s="1100">
        <f t="shared" si="0"/>
        <v>43285526.044</v>
      </c>
      <c r="AK43" s="1098">
        <f t="shared" si="1"/>
        <v>12.9856578132</v>
      </c>
    </row>
    <row r="44" spans="1:37">
      <c r="A44" s="1099" t="s">
        <v>1253</v>
      </c>
      <c r="B44" s="1100">
        <f>VLOOKUP(B$1,'cost per tipologia de sòl'!$A$2:$D$37,4,FALSE)*'T50'!B44</f>
        <v>61724.754000000001</v>
      </c>
      <c r="C44" s="1100">
        <f>VLOOKUP(C$1,'cost per tipologia de sòl'!$A$2:$D$37,4,FALSE)*'T50'!C44</f>
        <v>0</v>
      </c>
      <c r="D44" s="1100">
        <f>VLOOKUP(D$1,'cost per tipologia de sòl'!$A$2:$D$37,4,FALSE)*'T50'!D44</f>
        <v>626107.52399999998</v>
      </c>
      <c r="E44" s="1100">
        <f>VLOOKUP(E$1,'cost per tipologia de sòl'!$A$2:$D$37,4,FALSE)*'T50'!E44</f>
        <v>2444482.1880000001</v>
      </c>
      <c r="F44" s="1100">
        <f>VLOOKUP(F$1,'cost per tipologia de sòl'!$A$2:$D$37,4,FALSE)*'T50'!F44</f>
        <v>0</v>
      </c>
      <c r="G44" s="1100">
        <f>VLOOKUP(G$1,'cost per tipologia de sòl'!$A$2:$D$37,4,FALSE)*'T50'!G44</f>
        <v>0</v>
      </c>
      <c r="H44" s="1100">
        <f>VLOOKUP(H$1,'cost per tipologia de sòl'!$A$2:$D$37,4,FALSE)*'T50'!H44</f>
        <v>0</v>
      </c>
      <c r="I44" s="1100">
        <f>VLOOKUP(I$1,'cost per tipologia de sòl'!$A$2:$D$37,4,FALSE)*'T50'!I44</f>
        <v>0</v>
      </c>
      <c r="J44" s="1100">
        <f>VLOOKUP(J$1,'cost per tipologia de sòl'!$A$2:$D$37,4,FALSE)*'T50'!J44</f>
        <v>2121.0144999999998</v>
      </c>
      <c r="K44" s="1100">
        <f>VLOOKUP(K$1,'cost per tipologia de sòl'!$A$2:$D$37,4,FALSE)*'T50'!K44</f>
        <v>0</v>
      </c>
      <c r="L44" s="1100">
        <f>VLOOKUP(L$1,'cost per tipologia de sòl'!$A$2:$D$37,4,FALSE)*'T50'!L44</f>
        <v>525862.53899999999</v>
      </c>
      <c r="M44" s="1100">
        <f>VLOOKUP(M$1,'cost per tipologia de sòl'!$A$2:$D$37,4,FALSE)*'T50'!M44</f>
        <v>244630.39999999999</v>
      </c>
      <c r="N44" s="1100">
        <f>VLOOKUP(N$1,'cost per tipologia de sòl'!$A$2:$D$37,4,FALSE)*'T50'!N44</f>
        <v>1110259.68</v>
      </c>
      <c r="O44" s="1100">
        <f>VLOOKUP(O$1,'cost per tipologia de sòl'!$A$2:$D$37,4,FALSE)*'T50'!O44</f>
        <v>0</v>
      </c>
      <c r="P44" s="1100">
        <f>VLOOKUP(P$1,'cost per tipologia de sòl'!$A$2:$D$37,4,FALSE)*'T50'!P44</f>
        <v>42011.68</v>
      </c>
      <c r="Q44" s="1100">
        <f>VLOOKUP(Q$1,'cost per tipologia de sòl'!$A$2:$D$37,4,FALSE)*'T50'!Q44</f>
        <v>0</v>
      </c>
      <c r="R44" s="1100">
        <f>VLOOKUP(R$1,'cost per tipologia de sòl'!$A$2:$D$37,4,FALSE)*'T50'!R44</f>
        <v>0</v>
      </c>
      <c r="S44" s="1100">
        <f>VLOOKUP(S$1,'cost per tipologia de sòl'!$A$2:$D$37,4,FALSE)*'T50'!S44</f>
        <v>2305379.6639999999</v>
      </c>
      <c r="T44" s="1100">
        <f>VLOOKUP(T$1,'cost per tipologia de sòl'!$A$2:$D$37,4,FALSE)*'T50'!T44</f>
        <v>1561157.892</v>
      </c>
      <c r="U44" s="1100">
        <f>VLOOKUP(U$1,'cost per tipologia de sòl'!$A$2:$D$37,4,FALSE)*'T50'!U44</f>
        <v>722159.54999999993</v>
      </c>
      <c r="V44" s="1100">
        <f>VLOOKUP(V$1,'cost per tipologia de sòl'!$A$2:$D$37,4,FALSE)*'T50'!V44</f>
        <v>0</v>
      </c>
      <c r="W44" s="1100">
        <f>VLOOKUP(W$1,'cost per tipologia de sòl'!$A$2:$D$37,4,FALSE)*'T50'!W44</f>
        <v>0</v>
      </c>
      <c r="X44" s="1100">
        <f>VLOOKUP(X$1,'cost per tipologia de sòl'!$A$2:$D$37,4,FALSE)*'T50'!X44</f>
        <v>0</v>
      </c>
      <c r="Y44" s="1100">
        <f>VLOOKUP(Y$1,'cost per tipologia de sòl'!$A$2:$D$37,4,FALSE)*'T50'!Y44</f>
        <v>0</v>
      </c>
      <c r="Z44" s="1100">
        <f>VLOOKUP(Z$1,'cost per tipologia de sòl'!$A$2:$D$37,4,FALSE)*'T50'!Z44</f>
        <v>348823.95800000004</v>
      </c>
      <c r="AA44" s="1100">
        <f>VLOOKUP(AA$1,'cost per tipologia de sòl'!$A$2:$D$37,4,FALSE)*'T50'!AA44</f>
        <v>0</v>
      </c>
      <c r="AB44" s="1100">
        <f>VLOOKUP(AB$1,'cost per tipologia de sòl'!$A$2:$D$37,4,FALSE)*'T50'!AB44</f>
        <v>257292.30000000002</v>
      </c>
      <c r="AC44" s="1100">
        <f>VLOOKUP(AC$1,'cost per tipologia de sòl'!$A$2:$D$37,4,FALSE)*'T50'!AC44</f>
        <v>1343478.6</v>
      </c>
      <c r="AD44" s="1100">
        <f>VLOOKUP(AD$1,'cost per tipologia de sòl'!$A$2:$D$37,4,FALSE)*'T50'!AD44</f>
        <v>12885664.149999999</v>
      </c>
      <c r="AE44" s="1100">
        <f>VLOOKUP(AE$1,'cost per tipologia de sòl'!$A$2:$D$37,4,FALSE)*'T50'!AE44</f>
        <v>0</v>
      </c>
      <c r="AF44" s="1100">
        <f>VLOOKUP(AF$1,'cost per tipologia de sòl'!$A$2:$D$37,4,FALSE)*'T50'!AF44</f>
        <v>0</v>
      </c>
      <c r="AG44" s="1100">
        <f>VLOOKUP(AG$1,'cost per tipologia de sòl'!$A$2:$D$37,4,FALSE)*'T50'!AG44</f>
        <v>0</v>
      </c>
      <c r="AH44" s="1100">
        <f>VLOOKUP(AH$1,'cost per tipologia de sòl'!$A$2:$D$37,4,FALSE)*'T50'!AH44</f>
        <v>0</v>
      </c>
      <c r="AI44" s="1100">
        <f>VLOOKUP(AI$1,'cost per tipologia de sòl'!$A$2:$D$37,4,FALSE)*'T50'!AI44</f>
        <v>0</v>
      </c>
      <c r="AJ44" s="1100">
        <f t="shared" si="0"/>
        <v>24481155.8935</v>
      </c>
      <c r="AK44" s="1098">
        <f t="shared" si="1"/>
        <v>7.3443467680500003</v>
      </c>
    </row>
    <row r="45" spans="1:37">
      <c r="A45" s="1099" t="s">
        <v>1071</v>
      </c>
      <c r="B45" s="1100">
        <f>VLOOKUP(B$1,'cost per tipologia de sòl'!$A$2:$D$37,4,FALSE)*'T50'!B45</f>
        <v>85154518.908000007</v>
      </c>
      <c r="C45" s="1100">
        <f>VLOOKUP(C$1,'cost per tipologia de sòl'!$A$2:$D$37,4,FALSE)*'T50'!C45</f>
        <v>0</v>
      </c>
      <c r="D45" s="1100">
        <f>VLOOKUP(D$1,'cost per tipologia de sòl'!$A$2:$D$37,4,FALSE)*'T50'!D45</f>
        <v>0</v>
      </c>
      <c r="E45" s="1100">
        <f>VLOOKUP(E$1,'cost per tipologia de sòl'!$A$2:$D$37,4,FALSE)*'T50'!E45</f>
        <v>0</v>
      </c>
      <c r="F45" s="1100">
        <f>VLOOKUP(F$1,'cost per tipologia de sòl'!$A$2:$D$37,4,FALSE)*'T50'!F45</f>
        <v>0</v>
      </c>
      <c r="G45" s="1100">
        <f>VLOOKUP(G$1,'cost per tipologia de sòl'!$A$2:$D$37,4,FALSE)*'T50'!G45</f>
        <v>0</v>
      </c>
      <c r="H45" s="1100">
        <f>VLOOKUP(H$1,'cost per tipologia de sòl'!$A$2:$D$37,4,FALSE)*'T50'!H45</f>
        <v>0</v>
      </c>
      <c r="I45" s="1100">
        <f>VLOOKUP(I$1,'cost per tipologia de sòl'!$A$2:$D$37,4,FALSE)*'T50'!I45</f>
        <v>0</v>
      </c>
      <c r="J45" s="1100">
        <f>VLOOKUP(J$1,'cost per tipologia de sòl'!$A$2:$D$37,4,FALSE)*'T50'!J45</f>
        <v>9345026.6854999997</v>
      </c>
      <c r="K45" s="1100">
        <f>VLOOKUP(K$1,'cost per tipologia de sòl'!$A$2:$D$37,4,FALSE)*'T50'!K45</f>
        <v>0</v>
      </c>
      <c r="L45" s="1100">
        <f>VLOOKUP(L$1,'cost per tipologia de sòl'!$A$2:$D$37,4,FALSE)*'T50'!L45</f>
        <v>0</v>
      </c>
      <c r="M45" s="1100">
        <f>VLOOKUP(M$1,'cost per tipologia de sòl'!$A$2:$D$37,4,FALSE)*'T50'!M45</f>
        <v>0</v>
      </c>
      <c r="N45" s="1100">
        <f>VLOOKUP(N$1,'cost per tipologia de sòl'!$A$2:$D$37,4,FALSE)*'T50'!N45</f>
        <v>0</v>
      </c>
      <c r="O45" s="1100">
        <f>VLOOKUP(O$1,'cost per tipologia de sòl'!$A$2:$D$37,4,FALSE)*'T50'!O45</f>
        <v>0</v>
      </c>
      <c r="P45" s="1100">
        <f>VLOOKUP(P$1,'cost per tipologia de sòl'!$A$2:$D$37,4,FALSE)*'T50'!P45</f>
        <v>0</v>
      </c>
      <c r="Q45" s="1100">
        <f>VLOOKUP(Q$1,'cost per tipologia de sòl'!$A$2:$D$37,4,FALSE)*'T50'!Q45</f>
        <v>0</v>
      </c>
      <c r="R45" s="1100">
        <f>VLOOKUP(R$1,'cost per tipologia de sòl'!$A$2:$D$37,4,FALSE)*'T50'!R45</f>
        <v>0</v>
      </c>
      <c r="S45" s="1100">
        <f>VLOOKUP(S$1,'cost per tipologia de sòl'!$A$2:$D$37,4,FALSE)*'T50'!S45</f>
        <v>3423864.5279999999</v>
      </c>
      <c r="T45" s="1100">
        <f>VLOOKUP(T$1,'cost per tipologia de sòl'!$A$2:$D$37,4,FALSE)*'T50'!T45</f>
        <v>15397995.734000001</v>
      </c>
      <c r="U45" s="1100">
        <f>VLOOKUP(U$1,'cost per tipologia de sòl'!$A$2:$D$37,4,FALSE)*'T50'!U45</f>
        <v>12145364.699999999</v>
      </c>
      <c r="V45" s="1100">
        <f>VLOOKUP(V$1,'cost per tipologia de sòl'!$A$2:$D$37,4,FALSE)*'T50'!V45</f>
        <v>0</v>
      </c>
      <c r="W45" s="1100">
        <f>VLOOKUP(W$1,'cost per tipologia de sòl'!$A$2:$D$37,4,FALSE)*'T50'!W45</f>
        <v>0</v>
      </c>
      <c r="X45" s="1100">
        <f>VLOOKUP(X$1,'cost per tipologia de sòl'!$A$2:$D$37,4,FALSE)*'T50'!X45</f>
        <v>0</v>
      </c>
      <c r="Y45" s="1100">
        <f>VLOOKUP(Y$1,'cost per tipologia de sòl'!$A$2:$D$37,4,FALSE)*'T50'!Y45</f>
        <v>0</v>
      </c>
      <c r="Z45" s="1100">
        <f>VLOOKUP(Z$1,'cost per tipologia de sòl'!$A$2:$D$37,4,FALSE)*'T50'!Z45</f>
        <v>200553.022</v>
      </c>
      <c r="AA45" s="1100">
        <f>VLOOKUP(AA$1,'cost per tipologia de sòl'!$A$2:$D$37,4,FALSE)*'T50'!AA45</f>
        <v>0</v>
      </c>
      <c r="AB45" s="1100">
        <f>VLOOKUP(AB$1,'cost per tipologia de sòl'!$A$2:$D$37,4,FALSE)*'T50'!AB45</f>
        <v>10098223.550000001</v>
      </c>
      <c r="AC45" s="1100">
        <f>VLOOKUP(AC$1,'cost per tipologia de sòl'!$A$2:$D$37,4,FALSE)*'T50'!AC45</f>
        <v>13793892.65</v>
      </c>
      <c r="AD45" s="1100">
        <f>VLOOKUP(AD$1,'cost per tipologia de sòl'!$A$2:$D$37,4,FALSE)*'T50'!AD45</f>
        <v>76567049.299999997</v>
      </c>
      <c r="AE45" s="1100">
        <f>VLOOKUP(AE$1,'cost per tipologia de sòl'!$A$2:$D$37,4,FALSE)*'T50'!AE45</f>
        <v>0</v>
      </c>
      <c r="AF45" s="1100">
        <f>VLOOKUP(AF$1,'cost per tipologia de sòl'!$A$2:$D$37,4,FALSE)*'T50'!AF45</f>
        <v>0</v>
      </c>
      <c r="AG45" s="1100">
        <f>VLOOKUP(AG$1,'cost per tipologia de sòl'!$A$2:$D$37,4,FALSE)*'T50'!AG45</f>
        <v>0</v>
      </c>
      <c r="AH45" s="1100">
        <f>VLOOKUP(AH$1,'cost per tipologia de sòl'!$A$2:$D$37,4,FALSE)*'T50'!AH45</f>
        <v>0</v>
      </c>
      <c r="AI45" s="1100">
        <f>VLOOKUP(AI$1,'cost per tipologia de sòl'!$A$2:$D$37,4,FALSE)*'T50'!AI45</f>
        <v>0</v>
      </c>
      <c r="AJ45" s="1100">
        <f t="shared" si="0"/>
        <v>226126489.07749999</v>
      </c>
      <c r="AK45" s="1098">
        <f t="shared" si="1"/>
        <v>67.837946723249999</v>
      </c>
    </row>
    <row r="46" spans="1:37">
      <c r="A46" s="1099" t="s">
        <v>1068</v>
      </c>
      <c r="B46" s="1100">
        <f>VLOOKUP(B$1,'cost per tipologia de sòl'!$A$2:$D$37,4,FALSE)*'T50'!B46</f>
        <v>0</v>
      </c>
      <c r="C46" s="1100">
        <f>VLOOKUP(C$1,'cost per tipologia de sòl'!$A$2:$D$37,4,FALSE)*'T50'!C46</f>
        <v>0</v>
      </c>
      <c r="D46" s="1100">
        <f>VLOOKUP(D$1,'cost per tipologia de sòl'!$A$2:$D$37,4,FALSE)*'T50'!D46</f>
        <v>0</v>
      </c>
      <c r="E46" s="1100">
        <f>VLOOKUP(E$1,'cost per tipologia de sòl'!$A$2:$D$37,4,FALSE)*'T50'!E46</f>
        <v>0</v>
      </c>
      <c r="F46" s="1100">
        <f>VLOOKUP(F$1,'cost per tipologia de sòl'!$A$2:$D$37,4,FALSE)*'T50'!F46</f>
        <v>0</v>
      </c>
      <c r="G46" s="1100">
        <f>VLOOKUP(G$1,'cost per tipologia de sòl'!$A$2:$D$37,4,FALSE)*'T50'!G46</f>
        <v>0</v>
      </c>
      <c r="H46" s="1100">
        <f>VLOOKUP(H$1,'cost per tipologia de sòl'!$A$2:$D$37,4,FALSE)*'T50'!H46</f>
        <v>0</v>
      </c>
      <c r="I46" s="1100">
        <f>VLOOKUP(I$1,'cost per tipologia de sòl'!$A$2:$D$37,4,FALSE)*'T50'!I46</f>
        <v>0</v>
      </c>
      <c r="J46" s="1100">
        <f>VLOOKUP(J$1,'cost per tipologia de sòl'!$A$2:$D$37,4,FALSE)*'T50'!J46</f>
        <v>28831.984500000002</v>
      </c>
      <c r="K46" s="1100">
        <f>VLOOKUP(K$1,'cost per tipologia de sòl'!$A$2:$D$37,4,FALSE)*'T50'!K46</f>
        <v>0</v>
      </c>
      <c r="L46" s="1100">
        <f>VLOOKUP(L$1,'cost per tipologia de sòl'!$A$2:$D$37,4,FALSE)*'T50'!L46</f>
        <v>0</v>
      </c>
      <c r="M46" s="1100">
        <f>VLOOKUP(M$1,'cost per tipologia de sòl'!$A$2:$D$37,4,FALSE)*'T50'!M46</f>
        <v>0</v>
      </c>
      <c r="N46" s="1100">
        <f>VLOOKUP(N$1,'cost per tipologia de sòl'!$A$2:$D$37,4,FALSE)*'T50'!N46</f>
        <v>0</v>
      </c>
      <c r="O46" s="1100">
        <f>VLOOKUP(O$1,'cost per tipologia de sòl'!$A$2:$D$37,4,FALSE)*'T50'!O46</f>
        <v>0</v>
      </c>
      <c r="P46" s="1100">
        <f>VLOOKUP(P$1,'cost per tipologia de sòl'!$A$2:$D$37,4,FALSE)*'T50'!P46</f>
        <v>0</v>
      </c>
      <c r="Q46" s="1100">
        <f>VLOOKUP(Q$1,'cost per tipologia de sòl'!$A$2:$D$37,4,FALSE)*'T50'!Q46</f>
        <v>0</v>
      </c>
      <c r="R46" s="1100">
        <f>VLOOKUP(R$1,'cost per tipologia de sòl'!$A$2:$D$37,4,FALSE)*'T50'!R46</f>
        <v>0</v>
      </c>
      <c r="S46" s="1100">
        <f>VLOOKUP(S$1,'cost per tipologia de sòl'!$A$2:$D$37,4,FALSE)*'T50'!S46</f>
        <v>0</v>
      </c>
      <c r="T46" s="1100">
        <f>VLOOKUP(T$1,'cost per tipologia de sòl'!$A$2:$D$37,4,FALSE)*'T50'!T46</f>
        <v>0</v>
      </c>
      <c r="U46" s="1100">
        <f>VLOOKUP(U$1,'cost per tipologia de sòl'!$A$2:$D$37,4,FALSE)*'T50'!U46</f>
        <v>0</v>
      </c>
      <c r="V46" s="1100">
        <f>VLOOKUP(V$1,'cost per tipologia de sòl'!$A$2:$D$37,4,FALSE)*'T50'!V46</f>
        <v>0</v>
      </c>
      <c r="W46" s="1100">
        <f>VLOOKUP(W$1,'cost per tipologia de sòl'!$A$2:$D$37,4,FALSE)*'T50'!W46</f>
        <v>0</v>
      </c>
      <c r="X46" s="1100">
        <f>VLOOKUP(X$1,'cost per tipologia de sòl'!$A$2:$D$37,4,FALSE)*'T50'!X46</f>
        <v>0</v>
      </c>
      <c r="Y46" s="1100">
        <f>VLOOKUP(Y$1,'cost per tipologia de sòl'!$A$2:$D$37,4,FALSE)*'T50'!Y46</f>
        <v>0</v>
      </c>
      <c r="Z46" s="1100">
        <f>VLOOKUP(Z$1,'cost per tipologia de sòl'!$A$2:$D$37,4,FALSE)*'T50'!Z46</f>
        <v>0</v>
      </c>
      <c r="AA46" s="1100">
        <f>VLOOKUP(AA$1,'cost per tipologia de sòl'!$A$2:$D$37,4,FALSE)*'T50'!AA46</f>
        <v>0</v>
      </c>
      <c r="AB46" s="1100">
        <f>VLOOKUP(AB$1,'cost per tipologia de sòl'!$A$2:$D$37,4,FALSE)*'T50'!AB46</f>
        <v>0</v>
      </c>
      <c r="AC46" s="1100">
        <f>VLOOKUP(AC$1,'cost per tipologia de sòl'!$A$2:$D$37,4,FALSE)*'T50'!AC46</f>
        <v>0</v>
      </c>
      <c r="AD46" s="1100">
        <f>VLOOKUP(AD$1,'cost per tipologia de sòl'!$A$2:$D$37,4,FALSE)*'T50'!AD46</f>
        <v>0</v>
      </c>
      <c r="AE46" s="1100">
        <f>VLOOKUP(AE$1,'cost per tipologia de sòl'!$A$2:$D$37,4,FALSE)*'T50'!AE46</f>
        <v>0</v>
      </c>
      <c r="AF46" s="1100">
        <f>VLOOKUP(AF$1,'cost per tipologia de sòl'!$A$2:$D$37,4,FALSE)*'T50'!AF46</f>
        <v>0</v>
      </c>
      <c r="AG46" s="1100">
        <f>VLOOKUP(AG$1,'cost per tipologia de sòl'!$A$2:$D$37,4,FALSE)*'T50'!AG46</f>
        <v>0</v>
      </c>
      <c r="AH46" s="1100">
        <f>VLOOKUP(AH$1,'cost per tipologia de sòl'!$A$2:$D$37,4,FALSE)*'T50'!AH46</f>
        <v>0</v>
      </c>
      <c r="AI46" s="1100">
        <f>VLOOKUP(AI$1,'cost per tipologia de sòl'!$A$2:$D$37,4,FALSE)*'T50'!AI46</f>
        <v>0</v>
      </c>
      <c r="AJ46" s="1100">
        <f t="shared" si="0"/>
        <v>28831.984500000002</v>
      </c>
      <c r="AK46" s="1098">
        <f t="shared" si="1"/>
        <v>8.6495953500000007E-3</v>
      </c>
    </row>
    <row r="47" spans="1:37">
      <c r="A47" s="1099" t="s">
        <v>1100</v>
      </c>
      <c r="B47" s="1100">
        <f>VLOOKUP(B$1,'cost per tipologia de sòl'!$A$2:$D$37,4,FALSE)*'T50'!B47</f>
        <v>0</v>
      </c>
      <c r="C47" s="1100">
        <f>VLOOKUP(C$1,'cost per tipologia de sòl'!$A$2:$D$37,4,FALSE)*'T50'!C47</f>
        <v>0</v>
      </c>
      <c r="D47" s="1100">
        <f>VLOOKUP(D$1,'cost per tipologia de sòl'!$A$2:$D$37,4,FALSE)*'T50'!D47</f>
        <v>0</v>
      </c>
      <c r="E47" s="1100">
        <f>VLOOKUP(E$1,'cost per tipologia de sòl'!$A$2:$D$37,4,FALSE)*'T50'!E47</f>
        <v>0</v>
      </c>
      <c r="F47" s="1100">
        <f>VLOOKUP(F$1,'cost per tipologia de sòl'!$A$2:$D$37,4,FALSE)*'T50'!F47</f>
        <v>0</v>
      </c>
      <c r="G47" s="1100">
        <f>VLOOKUP(G$1,'cost per tipologia de sòl'!$A$2:$D$37,4,FALSE)*'T50'!G47</f>
        <v>0</v>
      </c>
      <c r="H47" s="1100">
        <f>VLOOKUP(H$1,'cost per tipologia de sòl'!$A$2:$D$37,4,FALSE)*'T50'!H47</f>
        <v>0</v>
      </c>
      <c r="I47" s="1100">
        <f>VLOOKUP(I$1,'cost per tipologia de sòl'!$A$2:$D$37,4,FALSE)*'T50'!I47</f>
        <v>0</v>
      </c>
      <c r="J47" s="1100">
        <f>VLOOKUP(J$1,'cost per tipologia de sòl'!$A$2:$D$37,4,FALSE)*'T50'!J47</f>
        <v>24693.46</v>
      </c>
      <c r="K47" s="1100">
        <f>VLOOKUP(K$1,'cost per tipologia de sòl'!$A$2:$D$37,4,FALSE)*'T50'!K47</f>
        <v>0</v>
      </c>
      <c r="L47" s="1100">
        <f>VLOOKUP(L$1,'cost per tipologia de sòl'!$A$2:$D$37,4,FALSE)*'T50'!L47</f>
        <v>0</v>
      </c>
      <c r="M47" s="1100">
        <f>VLOOKUP(M$1,'cost per tipologia de sòl'!$A$2:$D$37,4,FALSE)*'T50'!M47</f>
        <v>0</v>
      </c>
      <c r="N47" s="1100">
        <f>VLOOKUP(N$1,'cost per tipologia de sòl'!$A$2:$D$37,4,FALSE)*'T50'!N47</f>
        <v>0</v>
      </c>
      <c r="O47" s="1100">
        <f>VLOOKUP(O$1,'cost per tipologia de sòl'!$A$2:$D$37,4,FALSE)*'T50'!O47</f>
        <v>0</v>
      </c>
      <c r="P47" s="1100">
        <f>VLOOKUP(P$1,'cost per tipologia de sòl'!$A$2:$D$37,4,FALSE)*'T50'!P47</f>
        <v>0</v>
      </c>
      <c r="Q47" s="1100">
        <f>VLOOKUP(Q$1,'cost per tipologia de sòl'!$A$2:$D$37,4,FALSE)*'T50'!Q47</f>
        <v>0</v>
      </c>
      <c r="R47" s="1100">
        <f>VLOOKUP(R$1,'cost per tipologia de sòl'!$A$2:$D$37,4,FALSE)*'T50'!R47</f>
        <v>0</v>
      </c>
      <c r="S47" s="1100">
        <f>VLOOKUP(S$1,'cost per tipologia de sòl'!$A$2:$D$37,4,FALSE)*'T50'!S47</f>
        <v>0</v>
      </c>
      <c r="T47" s="1100">
        <f>VLOOKUP(T$1,'cost per tipologia de sòl'!$A$2:$D$37,4,FALSE)*'T50'!T47</f>
        <v>0</v>
      </c>
      <c r="U47" s="1100">
        <f>VLOOKUP(U$1,'cost per tipologia de sòl'!$A$2:$D$37,4,FALSE)*'T50'!U47</f>
        <v>0</v>
      </c>
      <c r="V47" s="1100">
        <f>VLOOKUP(V$1,'cost per tipologia de sòl'!$A$2:$D$37,4,FALSE)*'T50'!V47</f>
        <v>0</v>
      </c>
      <c r="W47" s="1100">
        <f>VLOOKUP(W$1,'cost per tipologia de sòl'!$A$2:$D$37,4,FALSE)*'T50'!W47</f>
        <v>0</v>
      </c>
      <c r="X47" s="1100">
        <f>VLOOKUP(X$1,'cost per tipologia de sòl'!$A$2:$D$37,4,FALSE)*'T50'!X47</f>
        <v>0</v>
      </c>
      <c r="Y47" s="1100">
        <f>VLOOKUP(Y$1,'cost per tipologia de sòl'!$A$2:$D$37,4,FALSE)*'T50'!Y47</f>
        <v>0</v>
      </c>
      <c r="Z47" s="1100">
        <f>VLOOKUP(Z$1,'cost per tipologia de sòl'!$A$2:$D$37,4,FALSE)*'T50'!Z47</f>
        <v>0</v>
      </c>
      <c r="AA47" s="1100">
        <f>VLOOKUP(AA$1,'cost per tipologia de sòl'!$A$2:$D$37,4,FALSE)*'T50'!AA47</f>
        <v>0</v>
      </c>
      <c r="AB47" s="1100">
        <f>VLOOKUP(AB$1,'cost per tipologia de sòl'!$A$2:$D$37,4,FALSE)*'T50'!AB47</f>
        <v>0</v>
      </c>
      <c r="AC47" s="1100">
        <f>VLOOKUP(AC$1,'cost per tipologia de sòl'!$A$2:$D$37,4,FALSE)*'T50'!AC47</f>
        <v>0</v>
      </c>
      <c r="AD47" s="1100">
        <f>VLOOKUP(AD$1,'cost per tipologia de sòl'!$A$2:$D$37,4,FALSE)*'T50'!AD47</f>
        <v>123025.95000000001</v>
      </c>
      <c r="AE47" s="1100">
        <f>VLOOKUP(AE$1,'cost per tipologia de sòl'!$A$2:$D$37,4,FALSE)*'T50'!AE47</f>
        <v>0</v>
      </c>
      <c r="AF47" s="1100">
        <f>VLOOKUP(AF$1,'cost per tipologia de sòl'!$A$2:$D$37,4,FALSE)*'T50'!AF47</f>
        <v>0</v>
      </c>
      <c r="AG47" s="1100">
        <f>VLOOKUP(AG$1,'cost per tipologia de sòl'!$A$2:$D$37,4,FALSE)*'T50'!AG47</f>
        <v>0</v>
      </c>
      <c r="AH47" s="1100">
        <f>VLOOKUP(AH$1,'cost per tipologia de sòl'!$A$2:$D$37,4,FALSE)*'T50'!AH47</f>
        <v>0</v>
      </c>
      <c r="AI47" s="1100">
        <f>VLOOKUP(AI$1,'cost per tipologia de sòl'!$A$2:$D$37,4,FALSE)*'T50'!AI47</f>
        <v>0</v>
      </c>
      <c r="AJ47" s="1100">
        <f t="shared" si="0"/>
        <v>147719.41</v>
      </c>
      <c r="AK47" s="1098">
        <f t="shared" si="1"/>
        <v>4.4315822999999997E-2</v>
      </c>
    </row>
    <row r="48" spans="1:37">
      <c r="A48" s="1099" t="s">
        <v>342</v>
      </c>
      <c r="B48" s="1100">
        <f>VLOOKUP(B$1,'cost per tipologia de sòl'!$A$2:$D$37,4,FALSE)*'T50'!B48</f>
        <v>35881829.873999998</v>
      </c>
      <c r="C48" s="1100">
        <f>VLOOKUP(C$1,'cost per tipologia de sòl'!$A$2:$D$37,4,FALSE)*'T50'!C48</f>
        <v>0</v>
      </c>
      <c r="D48" s="1100">
        <f>VLOOKUP(D$1,'cost per tipologia de sòl'!$A$2:$D$37,4,FALSE)*'T50'!D48</f>
        <v>0</v>
      </c>
      <c r="E48" s="1100">
        <f>VLOOKUP(E$1,'cost per tipologia de sòl'!$A$2:$D$37,4,FALSE)*'T50'!E48</f>
        <v>0</v>
      </c>
      <c r="F48" s="1100">
        <f>VLOOKUP(F$1,'cost per tipologia de sòl'!$A$2:$D$37,4,FALSE)*'T50'!F48</f>
        <v>0</v>
      </c>
      <c r="G48" s="1100">
        <f>VLOOKUP(G$1,'cost per tipologia de sòl'!$A$2:$D$37,4,FALSE)*'T50'!G48</f>
        <v>0</v>
      </c>
      <c r="H48" s="1100">
        <f>VLOOKUP(H$1,'cost per tipologia de sòl'!$A$2:$D$37,4,FALSE)*'T50'!H48</f>
        <v>0</v>
      </c>
      <c r="I48" s="1100">
        <f>VLOOKUP(I$1,'cost per tipologia de sòl'!$A$2:$D$37,4,FALSE)*'T50'!I48</f>
        <v>0</v>
      </c>
      <c r="J48" s="1100">
        <f>VLOOKUP(J$1,'cost per tipologia de sòl'!$A$2:$D$37,4,FALSE)*'T50'!J48</f>
        <v>0</v>
      </c>
      <c r="K48" s="1100">
        <f>VLOOKUP(K$1,'cost per tipologia de sòl'!$A$2:$D$37,4,FALSE)*'T50'!K48</f>
        <v>0</v>
      </c>
      <c r="L48" s="1100">
        <f>VLOOKUP(L$1,'cost per tipologia de sòl'!$A$2:$D$37,4,FALSE)*'T50'!L48</f>
        <v>9541228.4910000004</v>
      </c>
      <c r="M48" s="1100">
        <f>VLOOKUP(M$1,'cost per tipologia de sòl'!$A$2:$D$37,4,FALSE)*'T50'!M48</f>
        <v>0</v>
      </c>
      <c r="N48" s="1100">
        <f>VLOOKUP(N$1,'cost per tipologia de sòl'!$A$2:$D$37,4,FALSE)*'T50'!N48</f>
        <v>15408041.992000001</v>
      </c>
      <c r="O48" s="1100">
        <f>VLOOKUP(O$1,'cost per tipologia de sòl'!$A$2:$D$37,4,FALSE)*'T50'!O48</f>
        <v>0</v>
      </c>
      <c r="P48" s="1100">
        <f>VLOOKUP(P$1,'cost per tipologia de sòl'!$A$2:$D$37,4,FALSE)*'T50'!P48</f>
        <v>0</v>
      </c>
      <c r="Q48" s="1100">
        <f>VLOOKUP(Q$1,'cost per tipologia de sòl'!$A$2:$D$37,4,FALSE)*'T50'!Q48</f>
        <v>264709035.00000003</v>
      </c>
      <c r="R48" s="1100">
        <f>VLOOKUP(R$1,'cost per tipologia de sòl'!$A$2:$D$37,4,FALSE)*'T50'!R48</f>
        <v>0</v>
      </c>
      <c r="S48" s="1100">
        <f>VLOOKUP(S$1,'cost per tipologia de sòl'!$A$2:$D$37,4,FALSE)*'T50'!S48</f>
        <v>88690392</v>
      </c>
      <c r="T48" s="1100">
        <f>VLOOKUP(T$1,'cost per tipologia de sòl'!$A$2:$D$37,4,FALSE)*'T50'!T48</f>
        <v>49745154.020999998</v>
      </c>
      <c r="U48" s="1100">
        <f>VLOOKUP(U$1,'cost per tipologia de sòl'!$A$2:$D$37,4,FALSE)*'T50'!U48</f>
        <v>0</v>
      </c>
      <c r="V48" s="1100">
        <f>VLOOKUP(V$1,'cost per tipologia de sòl'!$A$2:$D$37,4,FALSE)*'T50'!V48</f>
        <v>0</v>
      </c>
      <c r="W48" s="1100">
        <f>VLOOKUP(W$1,'cost per tipologia de sòl'!$A$2:$D$37,4,FALSE)*'T50'!W48</f>
        <v>0</v>
      </c>
      <c r="X48" s="1100">
        <f>VLOOKUP(X$1,'cost per tipologia de sòl'!$A$2:$D$37,4,FALSE)*'T50'!X48</f>
        <v>0</v>
      </c>
      <c r="Y48" s="1100">
        <f>VLOOKUP(Y$1,'cost per tipologia de sòl'!$A$2:$D$37,4,FALSE)*'T50'!Y48</f>
        <v>0</v>
      </c>
      <c r="Z48" s="1100">
        <f>VLOOKUP(Z$1,'cost per tipologia de sòl'!$A$2:$D$37,4,FALSE)*'T50'!Z48</f>
        <v>6910571.0980000002</v>
      </c>
      <c r="AA48" s="1100">
        <f>VLOOKUP(AA$1,'cost per tipologia de sòl'!$A$2:$D$37,4,FALSE)*'T50'!AA48</f>
        <v>0</v>
      </c>
      <c r="AB48" s="1100">
        <f>VLOOKUP(AB$1,'cost per tipologia de sòl'!$A$2:$D$37,4,FALSE)*'T50'!AB48</f>
        <v>11505590.6</v>
      </c>
      <c r="AC48" s="1100">
        <f>VLOOKUP(AC$1,'cost per tipologia de sòl'!$A$2:$D$37,4,FALSE)*'T50'!AC48</f>
        <v>26526072.900000002</v>
      </c>
      <c r="AD48" s="1100">
        <f>VLOOKUP(AD$1,'cost per tipologia de sòl'!$A$2:$D$37,4,FALSE)*'T50'!AD48</f>
        <v>13837211.700000001</v>
      </c>
      <c r="AE48" s="1100">
        <f>VLOOKUP(AE$1,'cost per tipologia de sòl'!$A$2:$D$37,4,FALSE)*'T50'!AE48</f>
        <v>0</v>
      </c>
      <c r="AF48" s="1100">
        <f>VLOOKUP(AF$1,'cost per tipologia de sòl'!$A$2:$D$37,4,FALSE)*'T50'!AF48</f>
        <v>0</v>
      </c>
      <c r="AG48" s="1100">
        <f>VLOOKUP(AG$1,'cost per tipologia de sòl'!$A$2:$D$37,4,FALSE)*'T50'!AG48</f>
        <v>0</v>
      </c>
      <c r="AH48" s="1100">
        <f>VLOOKUP(AH$1,'cost per tipologia de sòl'!$A$2:$D$37,4,FALSE)*'T50'!AH48</f>
        <v>0</v>
      </c>
      <c r="AI48" s="1100">
        <f>VLOOKUP(AI$1,'cost per tipologia de sòl'!$A$2:$D$37,4,FALSE)*'T50'!AI48</f>
        <v>0</v>
      </c>
      <c r="AJ48" s="1100">
        <f t="shared" si="0"/>
        <v>522755127.676</v>
      </c>
      <c r="AK48" s="1098">
        <f t="shared" si="1"/>
        <v>156.8265383028</v>
      </c>
    </row>
    <row r="49" spans="1:37">
      <c r="A49" s="1099" t="s">
        <v>1102</v>
      </c>
      <c r="B49" s="1100">
        <f>VLOOKUP(B$1,'cost per tipologia de sòl'!$A$2:$D$37,4,FALSE)*'T50'!B49</f>
        <v>7518651.4440000001</v>
      </c>
      <c r="C49" s="1100">
        <f>VLOOKUP(C$1,'cost per tipologia de sòl'!$A$2:$D$37,4,FALSE)*'T50'!C49</f>
        <v>0</v>
      </c>
      <c r="D49" s="1100">
        <f>VLOOKUP(D$1,'cost per tipologia de sòl'!$A$2:$D$37,4,FALSE)*'T50'!D49</f>
        <v>0</v>
      </c>
      <c r="E49" s="1100">
        <f>VLOOKUP(E$1,'cost per tipologia de sòl'!$A$2:$D$37,4,FALSE)*'T50'!E49</f>
        <v>0</v>
      </c>
      <c r="F49" s="1100">
        <f>VLOOKUP(F$1,'cost per tipologia de sòl'!$A$2:$D$37,4,FALSE)*'T50'!F49</f>
        <v>0</v>
      </c>
      <c r="G49" s="1100">
        <f>VLOOKUP(G$1,'cost per tipologia de sòl'!$A$2:$D$37,4,FALSE)*'T50'!G49</f>
        <v>0</v>
      </c>
      <c r="H49" s="1100">
        <f>VLOOKUP(H$1,'cost per tipologia de sòl'!$A$2:$D$37,4,FALSE)*'T50'!H49</f>
        <v>0</v>
      </c>
      <c r="I49" s="1100">
        <f>VLOOKUP(I$1,'cost per tipologia de sòl'!$A$2:$D$37,4,FALSE)*'T50'!I49</f>
        <v>0</v>
      </c>
      <c r="J49" s="1100">
        <f>VLOOKUP(J$1,'cost per tipologia de sòl'!$A$2:$D$37,4,FALSE)*'T50'!J49</f>
        <v>0</v>
      </c>
      <c r="K49" s="1100">
        <f>VLOOKUP(K$1,'cost per tipologia de sòl'!$A$2:$D$37,4,FALSE)*'T50'!K49</f>
        <v>0</v>
      </c>
      <c r="L49" s="1100">
        <f>VLOOKUP(L$1,'cost per tipologia de sòl'!$A$2:$D$37,4,FALSE)*'T50'!L49</f>
        <v>0</v>
      </c>
      <c r="M49" s="1100">
        <f>VLOOKUP(M$1,'cost per tipologia de sòl'!$A$2:$D$37,4,FALSE)*'T50'!M49</f>
        <v>0</v>
      </c>
      <c r="N49" s="1100">
        <f>VLOOKUP(N$1,'cost per tipologia de sòl'!$A$2:$D$37,4,FALSE)*'T50'!N49</f>
        <v>0</v>
      </c>
      <c r="O49" s="1100">
        <f>VLOOKUP(O$1,'cost per tipologia de sòl'!$A$2:$D$37,4,FALSE)*'T50'!O49</f>
        <v>0</v>
      </c>
      <c r="P49" s="1100">
        <f>VLOOKUP(P$1,'cost per tipologia de sòl'!$A$2:$D$37,4,FALSE)*'T50'!P49</f>
        <v>0</v>
      </c>
      <c r="Q49" s="1100">
        <f>VLOOKUP(Q$1,'cost per tipologia de sòl'!$A$2:$D$37,4,FALSE)*'T50'!Q49</f>
        <v>0</v>
      </c>
      <c r="R49" s="1100">
        <f>VLOOKUP(R$1,'cost per tipologia de sòl'!$A$2:$D$37,4,FALSE)*'T50'!R49</f>
        <v>0</v>
      </c>
      <c r="S49" s="1100">
        <f>VLOOKUP(S$1,'cost per tipologia de sòl'!$A$2:$D$37,4,FALSE)*'T50'!S49</f>
        <v>0</v>
      </c>
      <c r="T49" s="1100">
        <f>VLOOKUP(T$1,'cost per tipologia de sòl'!$A$2:$D$37,4,FALSE)*'T50'!T49</f>
        <v>2557504.7949999999</v>
      </c>
      <c r="U49" s="1100">
        <f>VLOOKUP(U$1,'cost per tipologia de sòl'!$A$2:$D$37,4,FALSE)*'T50'!U49</f>
        <v>9678116.7000000011</v>
      </c>
      <c r="V49" s="1100">
        <f>VLOOKUP(V$1,'cost per tipologia de sòl'!$A$2:$D$37,4,FALSE)*'T50'!V49</f>
        <v>0</v>
      </c>
      <c r="W49" s="1100">
        <f>VLOOKUP(W$1,'cost per tipologia de sòl'!$A$2:$D$37,4,FALSE)*'T50'!W49</f>
        <v>0</v>
      </c>
      <c r="X49" s="1100">
        <f>VLOOKUP(X$1,'cost per tipologia de sòl'!$A$2:$D$37,4,FALSE)*'T50'!X49</f>
        <v>0</v>
      </c>
      <c r="Y49" s="1100">
        <f>VLOOKUP(Y$1,'cost per tipologia de sòl'!$A$2:$D$37,4,FALSE)*'T50'!Y49</f>
        <v>0</v>
      </c>
      <c r="Z49" s="1100">
        <f>VLOOKUP(Z$1,'cost per tipologia de sòl'!$A$2:$D$37,4,FALSE)*'T50'!Z49</f>
        <v>1859622.764</v>
      </c>
      <c r="AA49" s="1100">
        <f>VLOOKUP(AA$1,'cost per tipologia de sòl'!$A$2:$D$37,4,FALSE)*'T50'!AA49</f>
        <v>0</v>
      </c>
      <c r="AB49" s="1100">
        <f>VLOOKUP(AB$1,'cost per tipologia de sòl'!$A$2:$D$37,4,FALSE)*'T50'!AB49</f>
        <v>9945935.7000000011</v>
      </c>
      <c r="AC49" s="1100">
        <f>VLOOKUP(AC$1,'cost per tipologia de sòl'!$A$2:$D$37,4,FALSE)*'T50'!AC49</f>
        <v>12258246.149999999</v>
      </c>
      <c r="AD49" s="1100">
        <f>VLOOKUP(AD$1,'cost per tipologia de sòl'!$A$2:$D$37,4,FALSE)*'T50'!AD49</f>
        <v>18607200.649999999</v>
      </c>
      <c r="AE49" s="1100">
        <f>VLOOKUP(AE$1,'cost per tipologia de sòl'!$A$2:$D$37,4,FALSE)*'T50'!AE49</f>
        <v>0</v>
      </c>
      <c r="AF49" s="1100">
        <f>VLOOKUP(AF$1,'cost per tipologia de sòl'!$A$2:$D$37,4,FALSE)*'T50'!AF49</f>
        <v>0</v>
      </c>
      <c r="AG49" s="1100">
        <f>VLOOKUP(AG$1,'cost per tipologia de sòl'!$A$2:$D$37,4,FALSE)*'T50'!AG49</f>
        <v>0</v>
      </c>
      <c r="AH49" s="1100">
        <f>VLOOKUP(AH$1,'cost per tipologia de sòl'!$A$2:$D$37,4,FALSE)*'T50'!AH49</f>
        <v>0</v>
      </c>
      <c r="AI49" s="1100">
        <f>VLOOKUP(AI$1,'cost per tipologia de sòl'!$A$2:$D$37,4,FALSE)*'T50'!AI49</f>
        <v>0</v>
      </c>
      <c r="AJ49" s="1100">
        <f t="shared" si="0"/>
        <v>62425278.203000002</v>
      </c>
      <c r="AK49" s="1098">
        <f t="shared" si="1"/>
        <v>18.7275834609</v>
      </c>
    </row>
    <row r="50" spans="1:37">
      <c r="A50" s="1099" t="s">
        <v>1104</v>
      </c>
      <c r="B50" s="1100">
        <f>VLOOKUP(B$1,'cost per tipologia de sòl'!$A$2:$D$37,4,FALSE)*'T50'!B50</f>
        <v>7561586.2140000006</v>
      </c>
      <c r="C50" s="1100">
        <f>VLOOKUP(C$1,'cost per tipologia de sòl'!$A$2:$D$37,4,FALSE)*'T50'!C50</f>
        <v>0</v>
      </c>
      <c r="D50" s="1100">
        <f>VLOOKUP(D$1,'cost per tipologia de sòl'!$A$2:$D$37,4,FALSE)*'T50'!D50</f>
        <v>12604477.794</v>
      </c>
      <c r="E50" s="1100">
        <f>VLOOKUP(E$1,'cost per tipologia de sòl'!$A$2:$D$37,4,FALSE)*'T50'!E50</f>
        <v>0</v>
      </c>
      <c r="F50" s="1100">
        <f>VLOOKUP(F$1,'cost per tipologia de sòl'!$A$2:$D$37,4,FALSE)*'T50'!F50</f>
        <v>0</v>
      </c>
      <c r="G50" s="1100">
        <f>VLOOKUP(G$1,'cost per tipologia de sòl'!$A$2:$D$37,4,FALSE)*'T50'!G50</f>
        <v>0</v>
      </c>
      <c r="H50" s="1100">
        <f>VLOOKUP(H$1,'cost per tipologia de sòl'!$A$2:$D$37,4,FALSE)*'T50'!H50</f>
        <v>0</v>
      </c>
      <c r="I50" s="1100">
        <f>VLOOKUP(I$1,'cost per tipologia de sòl'!$A$2:$D$37,4,FALSE)*'T50'!I50</f>
        <v>0</v>
      </c>
      <c r="J50" s="1100">
        <f>VLOOKUP(J$1,'cost per tipologia de sòl'!$A$2:$D$37,4,FALSE)*'T50'!J50</f>
        <v>156683.7525</v>
      </c>
      <c r="K50" s="1100">
        <f>VLOOKUP(K$1,'cost per tipologia de sòl'!$A$2:$D$37,4,FALSE)*'T50'!K50</f>
        <v>0</v>
      </c>
      <c r="L50" s="1100">
        <f>VLOOKUP(L$1,'cost per tipologia de sòl'!$A$2:$D$37,4,FALSE)*'T50'!L50</f>
        <v>345261.24000000005</v>
      </c>
      <c r="M50" s="1100">
        <f>VLOOKUP(M$1,'cost per tipologia de sòl'!$A$2:$D$37,4,FALSE)*'T50'!M50</f>
        <v>69889.040000000008</v>
      </c>
      <c r="N50" s="1100">
        <f>VLOOKUP(N$1,'cost per tipologia de sòl'!$A$2:$D$37,4,FALSE)*'T50'!N50</f>
        <v>1010519.1919999999</v>
      </c>
      <c r="O50" s="1100">
        <f>VLOOKUP(O$1,'cost per tipologia de sòl'!$A$2:$D$37,4,FALSE)*'T50'!O50</f>
        <v>3460098.6880000001</v>
      </c>
      <c r="P50" s="1100">
        <f>VLOOKUP(P$1,'cost per tipologia de sòl'!$A$2:$D$37,4,FALSE)*'T50'!P50</f>
        <v>531358.77600000007</v>
      </c>
      <c r="Q50" s="1100">
        <f>VLOOKUP(Q$1,'cost per tipologia de sòl'!$A$2:$D$37,4,FALSE)*'T50'!Q50</f>
        <v>0</v>
      </c>
      <c r="R50" s="1100">
        <f>VLOOKUP(R$1,'cost per tipologia de sòl'!$A$2:$D$37,4,FALSE)*'T50'!R50</f>
        <v>0</v>
      </c>
      <c r="S50" s="1100">
        <f>VLOOKUP(S$1,'cost per tipologia de sòl'!$A$2:$D$37,4,FALSE)*'T50'!S50</f>
        <v>9457452.1439999994</v>
      </c>
      <c r="T50" s="1100">
        <f>VLOOKUP(T$1,'cost per tipologia de sòl'!$A$2:$D$37,4,FALSE)*'T50'!T50</f>
        <v>12971922.287</v>
      </c>
      <c r="U50" s="1100">
        <f>VLOOKUP(U$1,'cost per tipologia de sòl'!$A$2:$D$37,4,FALSE)*'T50'!U50</f>
        <v>0</v>
      </c>
      <c r="V50" s="1100">
        <f>VLOOKUP(V$1,'cost per tipologia de sòl'!$A$2:$D$37,4,FALSE)*'T50'!V50</f>
        <v>0</v>
      </c>
      <c r="W50" s="1100">
        <f>VLOOKUP(W$1,'cost per tipologia de sòl'!$A$2:$D$37,4,FALSE)*'T50'!W50</f>
        <v>0</v>
      </c>
      <c r="X50" s="1100">
        <f>VLOOKUP(X$1,'cost per tipologia de sòl'!$A$2:$D$37,4,FALSE)*'T50'!X50</f>
        <v>0</v>
      </c>
      <c r="Y50" s="1100">
        <f>VLOOKUP(Y$1,'cost per tipologia de sòl'!$A$2:$D$37,4,FALSE)*'T50'!Y50</f>
        <v>0</v>
      </c>
      <c r="Z50" s="1100">
        <f>VLOOKUP(Z$1,'cost per tipologia de sòl'!$A$2:$D$37,4,FALSE)*'T50'!Z50</f>
        <v>8911463.1720000003</v>
      </c>
      <c r="AA50" s="1100">
        <f>VLOOKUP(AA$1,'cost per tipologia de sòl'!$A$2:$D$37,4,FALSE)*'T50'!AA50</f>
        <v>0</v>
      </c>
      <c r="AB50" s="1100">
        <f>VLOOKUP(AB$1,'cost per tipologia de sòl'!$A$2:$D$37,4,FALSE)*'T50'!AB50</f>
        <v>1410890.6</v>
      </c>
      <c r="AC50" s="1100">
        <f>VLOOKUP(AC$1,'cost per tipologia de sòl'!$A$2:$D$37,4,FALSE)*'T50'!AC50</f>
        <v>5092748.5999999996</v>
      </c>
      <c r="AD50" s="1100">
        <f>VLOOKUP(AD$1,'cost per tipologia de sòl'!$A$2:$D$37,4,FALSE)*'T50'!AD50</f>
        <v>6753078.7999999998</v>
      </c>
      <c r="AE50" s="1100">
        <f>VLOOKUP(AE$1,'cost per tipologia de sòl'!$A$2:$D$37,4,FALSE)*'T50'!AE50</f>
        <v>0</v>
      </c>
      <c r="AF50" s="1100">
        <f>VLOOKUP(AF$1,'cost per tipologia de sòl'!$A$2:$D$37,4,FALSE)*'T50'!AF50</f>
        <v>0</v>
      </c>
      <c r="AG50" s="1100">
        <f>VLOOKUP(AG$1,'cost per tipologia de sòl'!$A$2:$D$37,4,FALSE)*'T50'!AG50</f>
        <v>0</v>
      </c>
      <c r="AH50" s="1100">
        <f>VLOOKUP(AH$1,'cost per tipologia de sòl'!$A$2:$D$37,4,FALSE)*'T50'!AH50</f>
        <v>0</v>
      </c>
      <c r="AI50" s="1100">
        <f>VLOOKUP(AI$1,'cost per tipologia de sòl'!$A$2:$D$37,4,FALSE)*'T50'!AI50</f>
        <v>0</v>
      </c>
      <c r="AJ50" s="1100">
        <f t="shared" si="0"/>
        <v>70337430.299500003</v>
      </c>
      <c r="AK50" s="1098">
        <f t="shared" si="1"/>
        <v>21.101229089850001</v>
      </c>
    </row>
    <row r="51" spans="1:37">
      <c r="A51" s="1099" t="s">
        <v>1113</v>
      </c>
      <c r="B51" s="1100">
        <f>VLOOKUP(B$1,'cost per tipologia de sòl'!$A$2:$D$37,4,FALSE)*'T50'!B51</f>
        <v>143070224.706</v>
      </c>
      <c r="C51" s="1100">
        <f>VLOOKUP(C$1,'cost per tipologia de sòl'!$A$2:$D$37,4,FALSE)*'T50'!C51</f>
        <v>0</v>
      </c>
      <c r="D51" s="1100">
        <f>VLOOKUP(D$1,'cost per tipologia de sòl'!$A$2:$D$37,4,FALSE)*'T50'!D51</f>
        <v>2366974.7579999999</v>
      </c>
      <c r="E51" s="1100">
        <f>VLOOKUP(E$1,'cost per tipologia de sòl'!$A$2:$D$37,4,FALSE)*'T50'!E51</f>
        <v>0</v>
      </c>
      <c r="F51" s="1100">
        <f>VLOOKUP(F$1,'cost per tipologia de sòl'!$A$2:$D$37,4,FALSE)*'T50'!F51</f>
        <v>0</v>
      </c>
      <c r="G51" s="1100">
        <f>VLOOKUP(G$1,'cost per tipologia de sòl'!$A$2:$D$37,4,FALSE)*'T50'!G51</f>
        <v>0</v>
      </c>
      <c r="H51" s="1100">
        <f>VLOOKUP(H$1,'cost per tipologia de sòl'!$A$2:$D$37,4,FALSE)*'T50'!H51</f>
        <v>0</v>
      </c>
      <c r="I51" s="1100">
        <f>VLOOKUP(I$1,'cost per tipologia de sòl'!$A$2:$D$37,4,FALSE)*'T50'!I51</f>
        <v>0</v>
      </c>
      <c r="J51" s="1100">
        <f>VLOOKUP(J$1,'cost per tipologia de sòl'!$A$2:$D$37,4,FALSE)*'T50'!J51</f>
        <v>65762.587</v>
      </c>
      <c r="K51" s="1100">
        <f>VLOOKUP(K$1,'cost per tipologia de sòl'!$A$2:$D$37,4,FALSE)*'T50'!K51</f>
        <v>0</v>
      </c>
      <c r="L51" s="1100">
        <f>VLOOKUP(L$1,'cost per tipologia de sòl'!$A$2:$D$37,4,FALSE)*'T50'!L51</f>
        <v>0</v>
      </c>
      <c r="M51" s="1100">
        <f>VLOOKUP(M$1,'cost per tipologia de sòl'!$A$2:$D$37,4,FALSE)*'T50'!M51</f>
        <v>0</v>
      </c>
      <c r="N51" s="1100">
        <f>VLOOKUP(N$1,'cost per tipologia de sòl'!$A$2:$D$37,4,FALSE)*'T50'!N51</f>
        <v>0</v>
      </c>
      <c r="O51" s="1100">
        <f>VLOOKUP(O$1,'cost per tipologia de sòl'!$A$2:$D$37,4,FALSE)*'T50'!O51</f>
        <v>1458259.824</v>
      </c>
      <c r="P51" s="1100">
        <f>VLOOKUP(P$1,'cost per tipologia de sòl'!$A$2:$D$37,4,FALSE)*'T50'!P51</f>
        <v>17528094.048</v>
      </c>
      <c r="Q51" s="1100">
        <f>VLOOKUP(Q$1,'cost per tipologia de sòl'!$A$2:$D$37,4,FALSE)*'T50'!Q51</f>
        <v>0</v>
      </c>
      <c r="R51" s="1100">
        <f>VLOOKUP(R$1,'cost per tipologia de sòl'!$A$2:$D$37,4,FALSE)*'T50'!R51</f>
        <v>0</v>
      </c>
      <c r="S51" s="1100">
        <f>VLOOKUP(S$1,'cost per tipologia de sòl'!$A$2:$D$37,4,FALSE)*'T50'!S51</f>
        <v>32730072.479999997</v>
      </c>
      <c r="T51" s="1100">
        <f>VLOOKUP(T$1,'cost per tipologia de sòl'!$A$2:$D$37,4,FALSE)*'T50'!T51</f>
        <v>95113353.390000001</v>
      </c>
      <c r="U51" s="1100">
        <f>VLOOKUP(U$1,'cost per tipologia de sòl'!$A$2:$D$37,4,FALSE)*'T50'!U51</f>
        <v>0</v>
      </c>
      <c r="V51" s="1100">
        <f>VLOOKUP(V$1,'cost per tipologia de sòl'!$A$2:$D$37,4,FALSE)*'T50'!V51</f>
        <v>0</v>
      </c>
      <c r="W51" s="1100">
        <f>VLOOKUP(W$1,'cost per tipologia de sòl'!$A$2:$D$37,4,FALSE)*'T50'!W51</f>
        <v>0</v>
      </c>
      <c r="X51" s="1100">
        <f>VLOOKUP(X$1,'cost per tipologia de sòl'!$A$2:$D$37,4,FALSE)*'T50'!X51</f>
        <v>0</v>
      </c>
      <c r="Y51" s="1100">
        <f>VLOOKUP(Y$1,'cost per tipologia de sòl'!$A$2:$D$37,4,FALSE)*'T50'!Y51</f>
        <v>0</v>
      </c>
      <c r="Z51" s="1100">
        <f>VLOOKUP(Z$1,'cost per tipologia de sòl'!$A$2:$D$37,4,FALSE)*'T50'!Z51</f>
        <v>978418.33</v>
      </c>
      <c r="AA51" s="1100">
        <f>VLOOKUP(AA$1,'cost per tipologia de sòl'!$A$2:$D$37,4,FALSE)*'T50'!AA51</f>
        <v>0</v>
      </c>
      <c r="AB51" s="1100">
        <f>VLOOKUP(AB$1,'cost per tipologia de sòl'!$A$2:$D$37,4,FALSE)*'T50'!AB51</f>
        <v>2105716.7999999998</v>
      </c>
      <c r="AC51" s="1100">
        <f>VLOOKUP(AC$1,'cost per tipologia de sòl'!$A$2:$D$37,4,FALSE)*'T50'!AC51</f>
        <v>72242850.700000003</v>
      </c>
      <c r="AD51" s="1100">
        <f>VLOOKUP(AD$1,'cost per tipologia de sòl'!$A$2:$D$37,4,FALSE)*'T50'!AD51</f>
        <v>18941081.949999999</v>
      </c>
      <c r="AE51" s="1100">
        <f>VLOOKUP(AE$1,'cost per tipologia de sòl'!$A$2:$D$37,4,FALSE)*'T50'!AE51</f>
        <v>0</v>
      </c>
      <c r="AF51" s="1100">
        <f>VLOOKUP(AF$1,'cost per tipologia de sòl'!$A$2:$D$37,4,FALSE)*'T50'!AF51</f>
        <v>0</v>
      </c>
      <c r="AG51" s="1100">
        <f>VLOOKUP(AG$1,'cost per tipologia de sòl'!$A$2:$D$37,4,FALSE)*'T50'!AG51</f>
        <v>0</v>
      </c>
      <c r="AH51" s="1100">
        <f>VLOOKUP(AH$1,'cost per tipologia de sòl'!$A$2:$D$37,4,FALSE)*'T50'!AH51</f>
        <v>0</v>
      </c>
      <c r="AI51" s="1100">
        <f>VLOOKUP(AI$1,'cost per tipologia de sòl'!$A$2:$D$37,4,FALSE)*'T50'!AI51</f>
        <v>0</v>
      </c>
      <c r="AJ51" s="1100">
        <f t="shared" si="0"/>
        <v>386600809.57299995</v>
      </c>
      <c r="AK51" s="1098">
        <f t="shared" si="1"/>
        <v>115.98024287189999</v>
      </c>
    </row>
    <row r="52" spans="1:37">
      <c r="A52" s="1099" t="s">
        <v>1116</v>
      </c>
      <c r="B52" s="1100">
        <f>VLOOKUP(B$1,'cost per tipologia de sòl'!$A$2:$D$37,4,FALSE)*'T50'!B52</f>
        <v>0</v>
      </c>
      <c r="C52" s="1100">
        <f>VLOOKUP(C$1,'cost per tipologia de sòl'!$A$2:$D$37,4,FALSE)*'T50'!C52</f>
        <v>0</v>
      </c>
      <c r="D52" s="1100">
        <f>VLOOKUP(D$1,'cost per tipologia de sòl'!$A$2:$D$37,4,FALSE)*'T50'!D52</f>
        <v>0</v>
      </c>
      <c r="E52" s="1100">
        <f>VLOOKUP(E$1,'cost per tipologia de sòl'!$A$2:$D$37,4,FALSE)*'T50'!E52</f>
        <v>0</v>
      </c>
      <c r="F52" s="1100">
        <f>VLOOKUP(F$1,'cost per tipologia de sòl'!$A$2:$D$37,4,FALSE)*'T50'!F52</f>
        <v>0</v>
      </c>
      <c r="G52" s="1100">
        <f>VLOOKUP(G$1,'cost per tipologia de sòl'!$A$2:$D$37,4,FALSE)*'T50'!G52</f>
        <v>0</v>
      </c>
      <c r="H52" s="1100">
        <f>VLOOKUP(H$1,'cost per tipologia de sòl'!$A$2:$D$37,4,FALSE)*'T50'!H52</f>
        <v>0</v>
      </c>
      <c r="I52" s="1100">
        <f>VLOOKUP(I$1,'cost per tipologia de sòl'!$A$2:$D$37,4,FALSE)*'T50'!I52</f>
        <v>0</v>
      </c>
      <c r="J52" s="1100">
        <f>VLOOKUP(J$1,'cost per tipologia de sòl'!$A$2:$D$37,4,FALSE)*'T50'!J52</f>
        <v>46431.858</v>
      </c>
      <c r="K52" s="1100">
        <f>VLOOKUP(K$1,'cost per tipologia de sòl'!$A$2:$D$37,4,FALSE)*'T50'!K52</f>
        <v>0</v>
      </c>
      <c r="L52" s="1100">
        <f>VLOOKUP(L$1,'cost per tipologia de sòl'!$A$2:$D$37,4,FALSE)*'T50'!L52</f>
        <v>76286.124000000011</v>
      </c>
      <c r="M52" s="1100">
        <f>VLOOKUP(M$1,'cost per tipologia de sòl'!$A$2:$D$37,4,FALSE)*'T50'!M52</f>
        <v>0</v>
      </c>
      <c r="N52" s="1100">
        <f>VLOOKUP(N$1,'cost per tipologia de sòl'!$A$2:$D$37,4,FALSE)*'T50'!N52</f>
        <v>0</v>
      </c>
      <c r="O52" s="1100">
        <f>VLOOKUP(O$1,'cost per tipologia de sòl'!$A$2:$D$37,4,FALSE)*'T50'!O52</f>
        <v>0</v>
      </c>
      <c r="P52" s="1100">
        <f>VLOOKUP(P$1,'cost per tipologia de sòl'!$A$2:$D$37,4,FALSE)*'T50'!P52</f>
        <v>0</v>
      </c>
      <c r="Q52" s="1100">
        <f>VLOOKUP(Q$1,'cost per tipologia de sòl'!$A$2:$D$37,4,FALSE)*'T50'!Q52</f>
        <v>0</v>
      </c>
      <c r="R52" s="1100">
        <f>VLOOKUP(R$1,'cost per tipologia de sòl'!$A$2:$D$37,4,FALSE)*'T50'!R52</f>
        <v>0</v>
      </c>
      <c r="S52" s="1100">
        <f>VLOOKUP(S$1,'cost per tipologia de sòl'!$A$2:$D$37,4,FALSE)*'T50'!S52</f>
        <v>0</v>
      </c>
      <c r="T52" s="1100">
        <f>VLOOKUP(T$1,'cost per tipologia de sòl'!$A$2:$D$37,4,FALSE)*'T50'!T52</f>
        <v>8026929.534</v>
      </c>
      <c r="U52" s="1100">
        <f>VLOOKUP(U$1,'cost per tipologia de sòl'!$A$2:$D$37,4,FALSE)*'T50'!U52</f>
        <v>44291.1</v>
      </c>
      <c r="V52" s="1100">
        <f>VLOOKUP(V$1,'cost per tipologia de sòl'!$A$2:$D$37,4,FALSE)*'T50'!V52</f>
        <v>0</v>
      </c>
      <c r="W52" s="1100">
        <f>VLOOKUP(W$1,'cost per tipologia de sòl'!$A$2:$D$37,4,FALSE)*'T50'!W52</f>
        <v>0</v>
      </c>
      <c r="X52" s="1100">
        <f>VLOOKUP(X$1,'cost per tipologia de sòl'!$A$2:$D$37,4,FALSE)*'T50'!X52</f>
        <v>0</v>
      </c>
      <c r="Y52" s="1100">
        <f>VLOOKUP(Y$1,'cost per tipologia de sòl'!$A$2:$D$37,4,FALSE)*'T50'!Y52</f>
        <v>0</v>
      </c>
      <c r="Z52" s="1100">
        <f>VLOOKUP(Z$1,'cost per tipologia de sòl'!$A$2:$D$37,4,FALSE)*'T50'!Z52</f>
        <v>72721.784</v>
      </c>
      <c r="AA52" s="1100">
        <f>VLOOKUP(AA$1,'cost per tipologia de sòl'!$A$2:$D$37,4,FALSE)*'T50'!AA52</f>
        <v>0</v>
      </c>
      <c r="AB52" s="1100">
        <f>VLOOKUP(AB$1,'cost per tipologia de sòl'!$A$2:$D$37,4,FALSE)*'T50'!AB52</f>
        <v>0</v>
      </c>
      <c r="AC52" s="1100">
        <f>VLOOKUP(AC$1,'cost per tipologia de sòl'!$A$2:$D$37,4,FALSE)*'T50'!AC52</f>
        <v>0</v>
      </c>
      <c r="AD52" s="1100">
        <f>VLOOKUP(AD$1,'cost per tipologia de sòl'!$A$2:$D$37,4,FALSE)*'T50'!AD52</f>
        <v>319350.10000000003</v>
      </c>
      <c r="AE52" s="1100">
        <f>VLOOKUP(AE$1,'cost per tipologia de sòl'!$A$2:$D$37,4,FALSE)*'T50'!AE52</f>
        <v>0</v>
      </c>
      <c r="AF52" s="1100">
        <f>VLOOKUP(AF$1,'cost per tipologia de sòl'!$A$2:$D$37,4,FALSE)*'T50'!AF52</f>
        <v>0</v>
      </c>
      <c r="AG52" s="1100">
        <f>VLOOKUP(AG$1,'cost per tipologia de sòl'!$A$2:$D$37,4,FALSE)*'T50'!AG52</f>
        <v>0</v>
      </c>
      <c r="AH52" s="1100">
        <f>VLOOKUP(AH$1,'cost per tipologia de sòl'!$A$2:$D$37,4,FALSE)*'T50'!AH52</f>
        <v>0</v>
      </c>
      <c r="AI52" s="1100">
        <f>VLOOKUP(AI$1,'cost per tipologia de sòl'!$A$2:$D$37,4,FALSE)*'T50'!AI52</f>
        <v>0</v>
      </c>
      <c r="AJ52" s="1100">
        <f t="shared" si="0"/>
        <v>8586010.5</v>
      </c>
      <c r="AK52" s="1098">
        <f t="shared" si="1"/>
        <v>2.57580315</v>
      </c>
    </row>
    <row r="53" spans="1:37">
      <c r="A53" s="1099" t="s">
        <v>1125</v>
      </c>
      <c r="B53" s="1100">
        <f>VLOOKUP(B$1,'cost per tipologia de sòl'!$A$2:$D$37,4,FALSE)*'T50'!B53</f>
        <v>1074939.534</v>
      </c>
      <c r="C53" s="1100">
        <f>VLOOKUP(C$1,'cost per tipologia de sòl'!$A$2:$D$37,4,FALSE)*'T50'!C53</f>
        <v>0</v>
      </c>
      <c r="D53" s="1100">
        <f>VLOOKUP(D$1,'cost per tipologia de sòl'!$A$2:$D$37,4,FALSE)*'T50'!D53</f>
        <v>0</v>
      </c>
      <c r="E53" s="1100">
        <f>VLOOKUP(E$1,'cost per tipologia de sòl'!$A$2:$D$37,4,FALSE)*'T50'!E53</f>
        <v>0</v>
      </c>
      <c r="F53" s="1100">
        <f>VLOOKUP(F$1,'cost per tipologia de sòl'!$A$2:$D$37,4,FALSE)*'T50'!F53</f>
        <v>0</v>
      </c>
      <c r="G53" s="1100">
        <f>VLOOKUP(G$1,'cost per tipologia de sòl'!$A$2:$D$37,4,FALSE)*'T50'!G53</f>
        <v>0</v>
      </c>
      <c r="H53" s="1100">
        <f>VLOOKUP(H$1,'cost per tipologia de sòl'!$A$2:$D$37,4,FALSE)*'T50'!H53</f>
        <v>0</v>
      </c>
      <c r="I53" s="1100">
        <f>VLOOKUP(I$1,'cost per tipologia de sòl'!$A$2:$D$37,4,FALSE)*'T50'!I53</f>
        <v>0</v>
      </c>
      <c r="J53" s="1100">
        <f>VLOOKUP(J$1,'cost per tipologia de sòl'!$A$2:$D$37,4,FALSE)*'T50'!J53</f>
        <v>1236762.142</v>
      </c>
      <c r="K53" s="1100">
        <f>VLOOKUP(K$1,'cost per tipologia de sòl'!$A$2:$D$37,4,FALSE)*'T50'!K53</f>
        <v>0</v>
      </c>
      <c r="L53" s="1100">
        <f>VLOOKUP(L$1,'cost per tipologia de sòl'!$A$2:$D$37,4,FALSE)*'T50'!L53</f>
        <v>0</v>
      </c>
      <c r="M53" s="1100">
        <f>VLOOKUP(M$1,'cost per tipologia de sòl'!$A$2:$D$37,4,FALSE)*'T50'!M53</f>
        <v>1662950.7199999997</v>
      </c>
      <c r="N53" s="1100">
        <f>VLOOKUP(N$1,'cost per tipologia de sòl'!$A$2:$D$37,4,FALSE)*'T50'!N53</f>
        <v>1026907.3920000001</v>
      </c>
      <c r="O53" s="1100">
        <f>VLOOKUP(O$1,'cost per tipologia de sòl'!$A$2:$D$37,4,FALSE)*'T50'!O53</f>
        <v>0</v>
      </c>
      <c r="P53" s="1100">
        <f>VLOOKUP(P$1,'cost per tipologia de sòl'!$A$2:$D$37,4,FALSE)*'T50'!P53</f>
        <v>0</v>
      </c>
      <c r="Q53" s="1100">
        <f>VLOOKUP(Q$1,'cost per tipologia de sòl'!$A$2:$D$37,4,FALSE)*'T50'!Q53</f>
        <v>0</v>
      </c>
      <c r="R53" s="1100">
        <f>VLOOKUP(R$1,'cost per tipologia de sòl'!$A$2:$D$37,4,FALSE)*'T50'!R53</f>
        <v>0</v>
      </c>
      <c r="S53" s="1100">
        <f>VLOOKUP(S$1,'cost per tipologia de sòl'!$A$2:$D$37,4,FALSE)*'T50'!S53</f>
        <v>10798990.272</v>
      </c>
      <c r="T53" s="1100">
        <f>VLOOKUP(T$1,'cost per tipologia de sòl'!$A$2:$D$37,4,FALSE)*'T50'!T53</f>
        <v>1324873.375</v>
      </c>
      <c r="U53" s="1100">
        <f>VLOOKUP(U$1,'cost per tipologia de sòl'!$A$2:$D$37,4,FALSE)*'T50'!U53</f>
        <v>0</v>
      </c>
      <c r="V53" s="1100">
        <f>VLOOKUP(V$1,'cost per tipologia de sòl'!$A$2:$D$37,4,FALSE)*'T50'!V53</f>
        <v>0</v>
      </c>
      <c r="W53" s="1100">
        <f>VLOOKUP(W$1,'cost per tipologia de sòl'!$A$2:$D$37,4,FALSE)*'T50'!W53</f>
        <v>0</v>
      </c>
      <c r="X53" s="1100">
        <f>VLOOKUP(X$1,'cost per tipologia de sòl'!$A$2:$D$37,4,FALSE)*'T50'!X53</f>
        <v>0</v>
      </c>
      <c r="Y53" s="1100">
        <f>VLOOKUP(Y$1,'cost per tipologia de sòl'!$A$2:$D$37,4,FALSE)*'T50'!Y53</f>
        <v>0</v>
      </c>
      <c r="Z53" s="1100">
        <f>VLOOKUP(Z$1,'cost per tipologia de sòl'!$A$2:$D$37,4,FALSE)*'T50'!Z53</f>
        <v>264955.64999999997</v>
      </c>
      <c r="AA53" s="1100">
        <f>VLOOKUP(AA$1,'cost per tipologia de sòl'!$A$2:$D$37,4,FALSE)*'T50'!AA53</f>
        <v>0</v>
      </c>
      <c r="AB53" s="1100">
        <f>VLOOKUP(AB$1,'cost per tipologia de sòl'!$A$2:$D$37,4,FALSE)*'T50'!AB53</f>
        <v>1244417.3500000001</v>
      </c>
      <c r="AC53" s="1100">
        <f>VLOOKUP(AC$1,'cost per tipologia de sòl'!$A$2:$D$37,4,FALSE)*'T50'!AC53</f>
        <v>2002373.9</v>
      </c>
      <c r="AD53" s="1100">
        <f>VLOOKUP(AD$1,'cost per tipologia de sòl'!$A$2:$D$37,4,FALSE)*'T50'!AD53</f>
        <v>2390868.8000000003</v>
      </c>
      <c r="AE53" s="1100">
        <f>VLOOKUP(AE$1,'cost per tipologia de sòl'!$A$2:$D$37,4,FALSE)*'T50'!AE53</f>
        <v>0</v>
      </c>
      <c r="AF53" s="1100">
        <f>VLOOKUP(AF$1,'cost per tipologia de sòl'!$A$2:$D$37,4,FALSE)*'T50'!AF53</f>
        <v>0</v>
      </c>
      <c r="AG53" s="1100">
        <f>VLOOKUP(AG$1,'cost per tipologia de sòl'!$A$2:$D$37,4,FALSE)*'T50'!AG53</f>
        <v>0</v>
      </c>
      <c r="AH53" s="1100">
        <f>VLOOKUP(AH$1,'cost per tipologia de sòl'!$A$2:$D$37,4,FALSE)*'T50'!AH53</f>
        <v>0</v>
      </c>
      <c r="AI53" s="1100">
        <f>VLOOKUP(AI$1,'cost per tipologia de sòl'!$A$2:$D$37,4,FALSE)*'T50'!AI53</f>
        <v>0</v>
      </c>
      <c r="AJ53" s="1100">
        <f t="shared" si="0"/>
        <v>23028039.134999998</v>
      </c>
      <c r="AK53" s="1098">
        <f t="shared" si="1"/>
        <v>6.9084117404999992</v>
      </c>
    </row>
    <row r="54" spans="1:37">
      <c r="A54" s="1099" t="s">
        <v>1127</v>
      </c>
      <c r="B54" s="1100">
        <f>VLOOKUP(B$1,'cost per tipologia de sòl'!$A$2:$D$37,4,FALSE)*'T50'!B54</f>
        <v>11765252.699999999</v>
      </c>
      <c r="C54" s="1100">
        <f>VLOOKUP(C$1,'cost per tipologia de sòl'!$A$2:$D$37,4,FALSE)*'T50'!C54</f>
        <v>0</v>
      </c>
      <c r="D54" s="1100">
        <f>VLOOKUP(D$1,'cost per tipologia de sòl'!$A$2:$D$37,4,FALSE)*'T50'!D54</f>
        <v>0</v>
      </c>
      <c r="E54" s="1100">
        <f>VLOOKUP(E$1,'cost per tipologia de sòl'!$A$2:$D$37,4,FALSE)*'T50'!E54</f>
        <v>0</v>
      </c>
      <c r="F54" s="1100">
        <f>VLOOKUP(F$1,'cost per tipologia de sòl'!$A$2:$D$37,4,FALSE)*'T50'!F54</f>
        <v>0</v>
      </c>
      <c r="G54" s="1100">
        <f>VLOOKUP(G$1,'cost per tipologia de sòl'!$A$2:$D$37,4,FALSE)*'T50'!G54</f>
        <v>0</v>
      </c>
      <c r="H54" s="1100">
        <f>VLOOKUP(H$1,'cost per tipologia de sòl'!$A$2:$D$37,4,FALSE)*'T50'!H54</f>
        <v>0</v>
      </c>
      <c r="I54" s="1100">
        <f>VLOOKUP(I$1,'cost per tipologia de sòl'!$A$2:$D$37,4,FALSE)*'T50'!I54</f>
        <v>0</v>
      </c>
      <c r="J54" s="1100">
        <f>VLOOKUP(J$1,'cost per tipologia de sòl'!$A$2:$D$37,4,FALSE)*'T50'!J54</f>
        <v>2553770.0485</v>
      </c>
      <c r="K54" s="1100">
        <f>VLOOKUP(K$1,'cost per tipologia de sòl'!$A$2:$D$37,4,FALSE)*'T50'!K54</f>
        <v>0</v>
      </c>
      <c r="L54" s="1100">
        <f>VLOOKUP(L$1,'cost per tipologia de sòl'!$A$2:$D$37,4,FALSE)*'T50'!L54</f>
        <v>0</v>
      </c>
      <c r="M54" s="1100">
        <f>VLOOKUP(M$1,'cost per tipologia de sòl'!$A$2:$D$37,4,FALSE)*'T50'!M54</f>
        <v>0</v>
      </c>
      <c r="N54" s="1100">
        <f>VLOOKUP(N$1,'cost per tipologia de sòl'!$A$2:$D$37,4,FALSE)*'T50'!N54</f>
        <v>0</v>
      </c>
      <c r="O54" s="1100">
        <f>VLOOKUP(O$1,'cost per tipologia de sòl'!$A$2:$D$37,4,FALSE)*'T50'!O54</f>
        <v>0</v>
      </c>
      <c r="P54" s="1100">
        <f>VLOOKUP(P$1,'cost per tipologia de sòl'!$A$2:$D$37,4,FALSE)*'T50'!P54</f>
        <v>0</v>
      </c>
      <c r="Q54" s="1100">
        <f>VLOOKUP(Q$1,'cost per tipologia de sòl'!$A$2:$D$37,4,FALSE)*'T50'!Q54</f>
        <v>0</v>
      </c>
      <c r="R54" s="1100">
        <f>VLOOKUP(R$1,'cost per tipologia de sòl'!$A$2:$D$37,4,FALSE)*'T50'!R54</f>
        <v>0</v>
      </c>
      <c r="S54" s="1100">
        <f>VLOOKUP(S$1,'cost per tipologia de sòl'!$A$2:$D$37,4,FALSE)*'T50'!S54</f>
        <v>0</v>
      </c>
      <c r="T54" s="1100">
        <f>VLOOKUP(T$1,'cost per tipologia de sòl'!$A$2:$D$37,4,FALSE)*'T50'!T54</f>
        <v>756923.90499999991</v>
      </c>
      <c r="U54" s="1100">
        <f>VLOOKUP(U$1,'cost per tipologia de sòl'!$A$2:$D$37,4,FALSE)*'T50'!U54</f>
        <v>0</v>
      </c>
      <c r="V54" s="1100">
        <f>VLOOKUP(V$1,'cost per tipologia de sòl'!$A$2:$D$37,4,FALSE)*'T50'!V54</f>
        <v>0</v>
      </c>
      <c r="W54" s="1100">
        <f>VLOOKUP(W$1,'cost per tipologia de sòl'!$A$2:$D$37,4,FALSE)*'T50'!W54</f>
        <v>0</v>
      </c>
      <c r="X54" s="1100">
        <f>VLOOKUP(X$1,'cost per tipologia de sòl'!$A$2:$D$37,4,FALSE)*'T50'!X54</f>
        <v>0</v>
      </c>
      <c r="Y54" s="1100">
        <f>VLOOKUP(Y$1,'cost per tipologia de sòl'!$A$2:$D$37,4,FALSE)*'T50'!Y54</f>
        <v>0</v>
      </c>
      <c r="Z54" s="1100">
        <f>VLOOKUP(Z$1,'cost per tipologia de sòl'!$A$2:$D$37,4,FALSE)*'T50'!Z54</f>
        <v>0</v>
      </c>
      <c r="AA54" s="1100">
        <f>VLOOKUP(AA$1,'cost per tipologia de sòl'!$A$2:$D$37,4,FALSE)*'T50'!AA54</f>
        <v>0</v>
      </c>
      <c r="AB54" s="1100">
        <f>VLOOKUP(AB$1,'cost per tipologia de sòl'!$A$2:$D$37,4,FALSE)*'T50'!AB54</f>
        <v>345261.35000000003</v>
      </c>
      <c r="AC54" s="1100">
        <f>VLOOKUP(AC$1,'cost per tipologia de sòl'!$A$2:$D$37,4,FALSE)*'T50'!AC54</f>
        <v>0</v>
      </c>
      <c r="AD54" s="1100">
        <f>VLOOKUP(AD$1,'cost per tipologia de sòl'!$A$2:$D$37,4,FALSE)*'T50'!AD54</f>
        <v>3108243.25</v>
      </c>
      <c r="AE54" s="1100">
        <f>VLOOKUP(AE$1,'cost per tipologia de sòl'!$A$2:$D$37,4,FALSE)*'T50'!AE54</f>
        <v>0</v>
      </c>
      <c r="AF54" s="1100">
        <f>VLOOKUP(AF$1,'cost per tipologia de sòl'!$A$2:$D$37,4,FALSE)*'T50'!AF54</f>
        <v>0</v>
      </c>
      <c r="AG54" s="1100">
        <f>VLOOKUP(AG$1,'cost per tipologia de sòl'!$A$2:$D$37,4,FALSE)*'T50'!AG54</f>
        <v>0</v>
      </c>
      <c r="AH54" s="1100">
        <f>VLOOKUP(AH$1,'cost per tipologia de sòl'!$A$2:$D$37,4,FALSE)*'T50'!AH54</f>
        <v>0</v>
      </c>
      <c r="AI54" s="1100">
        <f>VLOOKUP(AI$1,'cost per tipologia de sòl'!$A$2:$D$37,4,FALSE)*'T50'!AI54</f>
        <v>0</v>
      </c>
      <c r="AJ54" s="1100">
        <f t="shared" si="0"/>
        <v>18529451.2535</v>
      </c>
      <c r="AK54" s="1098">
        <f t="shared" si="1"/>
        <v>5.5588353760500002</v>
      </c>
    </row>
    <row r="55" spans="1:37">
      <c r="A55" s="1099" t="s">
        <v>1136</v>
      </c>
      <c r="B55" s="1100">
        <f>VLOOKUP(B$1,'cost per tipologia de sòl'!$A$2:$D$37,4,FALSE)*'T50'!B55</f>
        <v>28143087.768000003</v>
      </c>
      <c r="C55" s="1100">
        <f>VLOOKUP(C$1,'cost per tipologia de sòl'!$A$2:$D$37,4,FALSE)*'T50'!C55</f>
        <v>0</v>
      </c>
      <c r="D55" s="1100">
        <f>VLOOKUP(D$1,'cost per tipologia de sòl'!$A$2:$D$37,4,FALSE)*'T50'!D55</f>
        <v>707072.60399999993</v>
      </c>
      <c r="E55" s="1100">
        <f>VLOOKUP(E$1,'cost per tipologia de sòl'!$A$2:$D$37,4,FALSE)*'T50'!E55</f>
        <v>0</v>
      </c>
      <c r="F55" s="1100">
        <f>VLOOKUP(F$1,'cost per tipologia de sòl'!$A$2:$D$37,4,FALSE)*'T50'!F55</f>
        <v>0</v>
      </c>
      <c r="G55" s="1100">
        <f>VLOOKUP(G$1,'cost per tipologia de sòl'!$A$2:$D$37,4,FALSE)*'T50'!G55</f>
        <v>0</v>
      </c>
      <c r="H55" s="1100">
        <f>VLOOKUP(H$1,'cost per tipologia de sòl'!$A$2:$D$37,4,FALSE)*'T50'!H55</f>
        <v>0</v>
      </c>
      <c r="I55" s="1100">
        <f>VLOOKUP(I$1,'cost per tipologia de sòl'!$A$2:$D$37,4,FALSE)*'T50'!I55</f>
        <v>0</v>
      </c>
      <c r="J55" s="1100">
        <f>VLOOKUP(J$1,'cost per tipologia de sòl'!$A$2:$D$37,4,FALSE)*'T50'!J55</f>
        <v>0</v>
      </c>
      <c r="K55" s="1100">
        <f>VLOOKUP(K$1,'cost per tipologia de sòl'!$A$2:$D$37,4,FALSE)*'T50'!K55</f>
        <v>0</v>
      </c>
      <c r="L55" s="1100">
        <f>VLOOKUP(L$1,'cost per tipologia de sòl'!$A$2:$D$37,4,FALSE)*'T50'!L55</f>
        <v>50182.209000000003</v>
      </c>
      <c r="M55" s="1100">
        <f>VLOOKUP(M$1,'cost per tipologia de sòl'!$A$2:$D$37,4,FALSE)*'T50'!M55</f>
        <v>0</v>
      </c>
      <c r="N55" s="1100">
        <f>VLOOKUP(N$1,'cost per tipologia de sòl'!$A$2:$D$37,4,FALSE)*'T50'!N55</f>
        <v>0</v>
      </c>
      <c r="O55" s="1100">
        <f>VLOOKUP(O$1,'cost per tipologia de sòl'!$A$2:$D$37,4,FALSE)*'T50'!O55</f>
        <v>0</v>
      </c>
      <c r="P55" s="1100">
        <f>VLOOKUP(P$1,'cost per tipologia de sòl'!$A$2:$D$37,4,FALSE)*'T50'!P55</f>
        <v>0</v>
      </c>
      <c r="Q55" s="1100">
        <f>VLOOKUP(Q$1,'cost per tipologia de sòl'!$A$2:$D$37,4,FALSE)*'T50'!Q55</f>
        <v>0</v>
      </c>
      <c r="R55" s="1100">
        <f>VLOOKUP(R$1,'cost per tipologia de sòl'!$A$2:$D$37,4,FALSE)*'T50'!R55</f>
        <v>0</v>
      </c>
      <c r="S55" s="1100">
        <f>VLOOKUP(S$1,'cost per tipologia de sòl'!$A$2:$D$37,4,FALSE)*'T50'!S55</f>
        <v>4120635.4560000002</v>
      </c>
      <c r="T55" s="1100">
        <f>VLOOKUP(T$1,'cost per tipologia de sòl'!$A$2:$D$37,4,FALSE)*'T50'!T55</f>
        <v>29076848.649999999</v>
      </c>
      <c r="U55" s="1100">
        <f>VLOOKUP(U$1,'cost per tipologia de sòl'!$A$2:$D$37,4,FALSE)*'T50'!U55</f>
        <v>0</v>
      </c>
      <c r="V55" s="1100">
        <f>VLOOKUP(V$1,'cost per tipologia de sòl'!$A$2:$D$37,4,FALSE)*'T50'!V55</f>
        <v>0</v>
      </c>
      <c r="W55" s="1100">
        <f>VLOOKUP(W$1,'cost per tipologia de sòl'!$A$2:$D$37,4,FALSE)*'T50'!W55</f>
        <v>0</v>
      </c>
      <c r="X55" s="1100">
        <f>VLOOKUP(X$1,'cost per tipologia de sòl'!$A$2:$D$37,4,FALSE)*'T50'!X55</f>
        <v>0</v>
      </c>
      <c r="Y55" s="1100">
        <f>VLOOKUP(Y$1,'cost per tipologia de sòl'!$A$2:$D$37,4,FALSE)*'T50'!Y55</f>
        <v>0</v>
      </c>
      <c r="Z55" s="1100">
        <f>VLOOKUP(Z$1,'cost per tipologia de sòl'!$A$2:$D$37,4,FALSE)*'T50'!Z55</f>
        <v>9708353.0260000005</v>
      </c>
      <c r="AA55" s="1100">
        <f>VLOOKUP(AA$1,'cost per tipologia de sòl'!$A$2:$D$37,4,FALSE)*'T50'!AA55</f>
        <v>0</v>
      </c>
      <c r="AB55" s="1100">
        <f>VLOOKUP(AB$1,'cost per tipologia de sòl'!$A$2:$D$37,4,FALSE)*'T50'!AB55</f>
        <v>1355905.5499999998</v>
      </c>
      <c r="AC55" s="1100">
        <f>VLOOKUP(AC$1,'cost per tipologia de sòl'!$A$2:$D$37,4,FALSE)*'T50'!AC55</f>
        <v>13020800.699999999</v>
      </c>
      <c r="AD55" s="1100">
        <f>VLOOKUP(AD$1,'cost per tipologia de sòl'!$A$2:$D$37,4,FALSE)*'T50'!AD55</f>
        <v>21203461.350000001</v>
      </c>
      <c r="AE55" s="1100">
        <f>VLOOKUP(AE$1,'cost per tipologia de sòl'!$A$2:$D$37,4,FALSE)*'T50'!AE55</f>
        <v>0</v>
      </c>
      <c r="AF55" s="1100">
        <f>VLOOKUP(AF$1,'cost per tipologia de sòl'!$A$2:$D$37,4,FALSE)*'T50'!AF55</f>
        <v>0</v>
      </c>
      <c r="AG55" s="1100">
        <f>VLOOKUP(AG$1,'cost per tipologia de sòl'!$A$2:$D$37,4,FALSE)*'T50'!AG55</f>
        <v>0</v>
      </c>
      <c r="AH55" s="1100">
        <f>VLOOKUP(AH$1,'cost per tipologia de sòl'!$A$2:$D$37,4,FALSE)*'T50'!AH55</f>
        <v>0</v>
      </c>
      <c r="AI55" s="1100">
        <f>VLOOKUP(AI$1,'cost per tipologia de sòl'!$A$2:$D$37,4,FALSE)*'T50'!AI55</f>
        <v>0</v>
      </c>
      <c r="AJ55" s="1100">
        <f t="shared" si="0"/>
        <v>107386347.31299999</v>
      </c>
      <c r="AK55" s="1098">
        <f t="shared" si="1"/>
        <v>32.215904193900002</v>
      </c>
    </row>
    <row r="56" spans="1:37">
      <c r="A56" s="1099" t="s">
        <v>1137</v>
      </c>
      <c r="B56" s="1100">
        <f>VLOOKUP(B$1,'cost per tipologia de sòl'!$A$2:$D$37,4,FALSE)*'T50'!B56</f>
        <v>0</v>
      </c>
      <c r="C56" s="1100">
        <f>VLOOKUP(C$1,'cost per tipologia de sòl'!$A$2:$D$37,4,FALSE)*'T50'!C56</f>
        <v>0</v>
      </c>
      <c r="D56" s="1100">
        <f>VLOOKUP(D$1,'cost per tipologia de sòl'!$A$2:$D$37,4,FALSE)*'T50'!D56</f>
        <v>0</v>
      </c>
      <c r="E56" s="1100">
        <f>VLOOKUP(E$1,'cost per tipologia de sòl'!$A$2:$D$37,4,FALSE)*'T50'!E56</f>
        <v>0</v>
      </c>
      <c r="F56" s="1100">
        <f>VLOOKUP(F$1,'cost per tipologia de sòl'!$A$2:$D$37,4,FALSE)*'T50'!F56</f>
        <v>0</v>
      </c>
      <c r="G56" s="1100">
        <f>VLOOKUP(G$1,'cost per tipologia de sòl'!$A$2:$D$37,4,FALSE)*'T50'!G56</f>
        <v>0</v>
      </c>
      <c r="H56" s="1100">
        <f>VLOOKUP(H$1,'cost per tipologia de sòl'!$A$2:$D$37,4,FALSE)*'T50'!H56</f>
        <v>0</v>
      </c>
      <c r="I56" s="1100">
        <f>VLOOKUP(I$1,'cost per tipologia de sòl'!$A$2:$D$37,4,FALSE)*'T50'!I56</f>
        <v>0</v>
      </c>
      <c r="J56" s="1100">
        <f>VLOOKUP(J$1,'cost per tipologia de sòl'!$A$2:$D$37,4,FALSE)*'T50'!J56</f>
        <v>5146.2785000000003</v>
      </c>
      <c r="K56" s="1100">
        <f>VLOOKUP(K$1,'cost per tipologia de sòl'!$A$2:$D$37,4,FALSE)*'T50'!K56</f>
        <v>0</v>
      </c>
      <c r="L56" s="1100">
        <f>VLOOKUP(L$1,'cost per tipologia de sòl'!$A$2:$D$37,4,FALSE)*'T50'!L56</f>
        <v>0</v>
      </c>
      <c r="M56" s="1100">
        <f>VLOOKUP(M$1,'cost per tipologia de sòl'!$A$2:$D$37,4,FALSE)*'T50'!M56</f>
        <v>0</v>
      </c>
      <c r="N56" s="1100">
        <f>VLOOKUP(N$1,'cost per tipologia de sòl'!$A$2:$D$37,4,FALSE)*'T50'!N56</f>
        <v>0</v>
      </c>
      <c r="O56" s="1100">
        <f>VLOOKUP(O$1,'cost per tipologia de sòl'!$A$2:$D$37,4,FALSE)*'T50'!O56</f>
        <v>0</v>
      </c>
      <c r="P56" s="1100">
        <f>VLOOKUP(P$1,'cost per tipologia de sòl'!$A$2:$D$37,4,FALSE)*'T50'!P56</f>
        <v>0</v>
      </c>
      <c r="Q56" s="1100">
        <f>VLOOKUP(Q$1,'cost per tipologia de sòl'!$A$2:$D$37,4,FALSE)*'T50'!Q56</f>
        <v>0</v>
      </c>
      <c r="R56" s="1100">
        <f>VLOOKUP(R$1,'cost per tipologia de sòl'!$A$2:$D$37,4,FALSE)*'T50'!R56</f>
        <v>0</v>
      </c>
      <c r="S56" s="1100">
        <f>VLOOKUP(S$1,'cost per tipologia de sòl'!$A$2:$D$37,4,FALSE)*'T50'!S56</f>
        <v>0</v>
      </c>
      <c r="T56" s="1100">
        <f>VLOOKUP(T$1,'cost per tipologia de sòl'!$A$2:$D$37,4,FALSE)*'T50'!T56</f>
        <v>0</v>
      </c>
      <c r="U56" s="1100">
        <f>VLOOKUP(U$1,'cost per tipologia de sòl'!$A$2:$D$37,4,FALSE)*'T50'!U56</f>
        <v>3252025.35</v>
      </c>
      <c r="V56" s="1100">
        <f>VLOOKUP(V$1,'cost per tipologia de sòl'!$A$2:$D$37,4,FALSE)*'T50'!V56</f>
        <v>0</v>
      </c>
      <c r="W56" s="1100">
        <f>VLOOKUP(W$1,'cost per tipologia de sòl'!$A$2:$D$37,4,FALSE)*'T50'!W56</f>
        <v>0</v>
      </c>
      <c r="X56" s="1100">
        <f>VLOOKUP(X$1,'cost per tipologia de sòl'!$A$2:$D$37,4,FALSE)*'T50'!X56</f>
        <v>0</v>
      </c>
      <c r="Y56" s="1100">
        <f>VLOOKUP(Y$1,'cost per tipologia de sòl'!$A$2:$D$37,4,FALSE)*'T50'!Y56</f>
        <v>0</v>
      </c>
      <c r="Z56" s="1100">
        <f>VLOOKUP(Z$1,'cost per tipologia de sòl'!$A$2:$D$37,4,FALSE)*'T50'!Z56</f>
        <v>0</v>
      </c>
      <c r="AA56" s="1100">
        <f>VLOOKUP(AA$1,'cost per tipologia de sòl'!$A$2:$D$37,4,FALSE)*'T50'!AA56</f>
        <v>0</v>
      </c>
      <c r="AB56" s="1100">
        <f>VLOOKUP(AB$1,'cost per tipologia de sòl'!$A$2:$D$37,4,FALSE)*'T50'!AB56</f>
        <v>3947210.1</v>
      </c>
      <c r="AC56" s="1100">
        <f>VLOOKUP(AC$1,'cost per tipologia de sòl'!$A$2:$D$37,4,FALSE)*'T50'!AC56</f>
        <v>0</v>
      </c>
      <c r="AD56" s="1100">
        <f>VLOOKUP(AD$1,'cost per tipologia de sòl'!$A$2:$D$37,4,FALSE)*'T50'!AD56</f>
        <v>2166430.35</v>
      </c>
      <c r="AE56" s="1100">
        <f>VLOOKUP(AE$1,'cost per tipologia de sòl'!$A$2:$D$37,4,FALSE)*'T50'!AE56</f>
        <v>0</v>
      </c>
      <c r="AF56" s="1100">
        <f>VLOOKUP(AF$1,'cost per tipologia de sòl'!$A$2:$D$37,4,FALSE)*'T50'!AF56</f>
        <v>0</v>
      </c>
      <c r="AG56" s="1100">
        <f>VLOOKUP(AG$1,'cost per tipologia de sòl'!$A$2:$D$37,4,FALSE)*'T50'!AG56</f>
        <v>0</v>
      </c>
      <c r="AH56" s="1100">
        <f>VLOOKUP(AH$1,'cost per tipologia de sòl'!$A$2:$D$37,4,FALSE)*'T50'!AH56</f>
        <v>0</v>
      </c>
      <c r="AI56" s="1100">
        <f>VLOOKUP(AI$1,'cost per tipologia de sòl'!$A$2:$D$37,4,FALSE)*'T50'!AI56</f>
        <v>0</v>
      </c>
      <c r="AJ56" s="1100">
        <f t="shared" si="0"/>
        <v>9370812.0785000008</v>
      </c>
      <c r="AK56" s="1098">
        <f t="shared" si="1"/>
        <v>2.8112436235500002</v>
      </c>
    </row>
    <row r="57" spans="1:37">
      <c r="A57" s="1099" t="s">
        <v>1091</v>
      </c>
      <c r="B57" s="1100">
        <f>VLOOKUP(B$1,'cost per tipologia de sòl'!$A$2:$D$37,4,FALSE)*'T50'!B57</f>
        <v>47504865.978</v>
      </c>
      <c r="C57" s="1100">
        <f>VLOOKUP(C$1,'cost per tipologia de sòl'!$A$2:$D$37,4,FALSE)*'T50'!C57</f>
        <v>0</v>
      </c>
      <c r="D57" s="1100">
        <f>VLOOKUP(D$1,'cost per tipologia de sòl'!$A$2:$D$37,4,FALSE)*'T50'!D57</f>
        <v>0</v>
      </c>
      <c r="E57" s="1100">
        <f>VLOOKUP(E$1,'cost per tipologia de sòl'!$A$2:$D$37,4,FALSE)*'T50'!E57</f>
        <v>0</v>
      </c>
      <c r="F57" s="1100">
        <f>VLOOKUP(F$1,'cost per tipologia de sòl'!$A$2:$D$37,4,FALSE)*'T50'!F57</f>
        <v>0</v>
      </c>
      <c r="G57" s="1100">
        <f>VLOOKUP(G$1,'cost per tipologia de sòl'!$A$2:$D$37,4,FALSE)*'T50'!G57</f>
        <v>0</v>
      </c>
      <c r="H57" s="1100">
        <f>VLOOKUP(H$1,'cost per tipologia de sòl'!$A$2:$D$37,4,FALSE)*'T50'!H57</f>
        <v>0</v>
      </c>
      <c r="I57" s="1100">
        <f>VLOOKUP(I$1,'cost per tipologia de sòl'!$A$2:$D$37,4,FALSE)*'T50'!I57</f>
        <v>0</v>
      </c>
      <c r="J57" s="1100">
        <f>VLOOKUP(J$1,'cost per tipologia de sòl'!$A$2:$D$37,4,FALSE)*'T50'!J57</f>
        <v>582973.46249999991</v>
      </c>
      <c r="K57" s="1100">
        <f>VLOOKUP(K$1,'cost per tipologia de sòl'!$A$2:$D$37,4,FALSE)*'T50'!K57</f>
        <v>3845382.4079999998</v>
      </c>
      <c r="L57" s="1100">
        <f>VLOOKUP(L$1,'cost per tipologia de sòl'!$A$2:$D$37,4,FALSE)*'T50'!L57</f>
        <v>731647.46699999995</v>
      </c>
      <c r="M57" s="1100">
        <f>VLOOKUP(M$1,'cost per tipologia de sòl'!$A$2:$D$37,4,FALSE)*'T50'!M57</f>
        <v>418256.34400000004</v>
      </c>
      <c r="N57" s="1100">
        <f>VLOOKUP(N$1,'cost per tipologia de sòl'!$A$2:$D$37,4,FALSE)*'T50'!N57</f>
        <v>2514159.4560000002</v>
      </c>
      <c r="O57" s="1100">
        <f>VLOOKUP(O$1,'cost per tipologia de sòl'!$A$2:$D$37,4,FALSE)*'T50'!O57</f>
        <v>0</v>
      </c>
      <c r="P57" s="1100">
        <f>VLOOKUP(P$1,'cost per tipologia de sòl'!$A$2:$D$37,4,FALSE)*'T50'!P57</f>
        <v>24733469.151999999</v>
      </c>
      <c r="Q57" s="1100">
        <f>VLOOKUP(Q$1,'cost per tipologia de sòl'!$A$2:$D$37,4,FALSE)*'T50'!Q57</f>
        <v>0</v>
      </c>
      <c r="R57" s="1100">
        <f>VLOOKUP(R$1,'cost per tipologia de sòl'!$A$2:$D$37,4,FALSE)*'T50'!R57</f>
        <v>0</v>
      </c>
      <c r="S57" s="1100">
        <f>VLOOKUP(S$1,'cost per tipologia de sòl'!$A$2:$D$37,4,FALSE)*'T50'!S57</f>
        <v>16342689.888</v>
      </c>
      <c r="T57" s="1100">
        <f>VLOOKUP(T$1,'cost per tipologia de sòl'!$A$2:$D$37,4,FALSE)*'T50'!T57</f>
        <v>32684754.473999999</v>
      </c>
      <c r="U57" s="1100">
        <f>VLOOKUP(U$1,'cost per tipologia de sòl'!$A$2:$D$37,4,FALSE)*'T50'!U57</f>
        <v>470305.5</v>
      </c>
      <c r="V57" s="1100">
        <f>VLOOKUP(V$1,'cost per tipologia de sòl'!$A$2:$D$37,4,FALSE)*'T50'!V57</f>
        <v>0</v>
      </c>
      <c r="W57" s="1100">
        <f>VLOOKUP(W$1,'cost per tipologia de sòl'!$A$2:$D$37,4,FALSE)*'T50'!W57</f>
        <v>0</v>
      </c>
      <c r="X57" s="1100">
        <f>VLOOKUP(X$1,'cost per tipologia de sòl'!$A$2:$D$37,4,FALSE)*'T50'!X57</f>
        <v>0</v>
      </c>
      <c r="Y57" s="1100">
        <f>VLOOKUP(Y$1,'cost per tipologia de sòl'!$A$2:$D$37,4,FALSE)*'T50'!Y57</f>
        <v>0</v>
      </c>
      <c r="Z57" s="1100">
        <f>VLOOKUP(Z$1,'cost per tipologia de sòl'!$A$2:$D$37,4,FALSE)*'T50'!Z57</f>
        <v>12516827.865999999</v>
      </c>
      <c r="AA57" s="1100">
        <f>VLOOKUP(AA$1,'cost per tipologia de sòl'!$A$2:$D$37,4,FALSE)*'T50'!AA57</f>
        <v>0</v>
      </c>
      <c r="AB57" s="1100">
        <f>VLOOKUP(AB$1,'cost per tipologia de sòl'!$A$2:$D$37,4,FALSE)*'T50'!AB57</f>
        <v>0</v>
      </c>
      <c r="AC57" s="1100">
        <f>VLOOKUP(AC$1,'cost per tipologia de sòl'!$A$2:$D$37,4,FALSE)*'T50'!AC57</f>
        <v>34534658.399999999</v>
      </c>
      <c r="AD57" s="1100">
        <f>VLOOKUP(AD$1,'cost per tipologia de sòl'!$A$2:$D$37,4,FALSE)*'T50'!AD57</f>
        <v>61499051.799999997</v>
      </c>
      <c r="AE57" s="1100">
        <f>VLOOKUP(AE$1,'cost per tipologia de sòl'!$A$2:$D$37,4,FALSE)*'T50'!AE57</f>
        <v>0</v>
      </c>
      <c r="AF57" s="1100">
        <f>VLOOKUP(AF$1,'cost per tipologia de sòl'!$A$2:$D$37,4,FALSE)*'T50'!AF57</f>
        <v>0</v>
      </c>
      <c r="AG57" s="1100">
        <f>VLOOKUP(AG$1,'cost per tipologia de sòl'!$A$2:$D$37,4,FALSE)*'T50'!AG57</f>
        <v>0</v>
      </c>
      <c r="AH57" s="1100">
        <f>VLOOKUP(AH$1,'cost per tipologia de sòl'!$A$2:$D$37,4,FALSE)*'T50'!AH57</f>
        <v>0</v>
      </c>
      <c r="AI57" s="1100">
        <f>VLOOKUP(AI$1,'cost per tipologia de sòl'!$A$2:$D$37,4,FALSE)*'T50'!AI57</f>
        <v>0</v>
      </c>
      <c r="AJ57" s="1100">
        <f t="shared" si="0"/>
        <v>238379042.19550002</v>
      </c>
      <c r="AK57" s="1098">
        <f t="shared" si="1"/>
        <v>71.513712658650007</v>
      </c>
    </row>
    <row r="58" spans="1:37">
      <c r="A58" s="1099" t="s">
        <v>1142</v>
      </c>
      <c r="B58" s="1100">
        <f>VLOOKUP(B$1,'cost per tipologia de sòl'!$A$2:$D$37,4,FALSE)*'T50'!B58</f>
        <v>0</v>
      </c>
      <c r="C58" s="1100">
        <f>VLOOKUP(C$1,'cost per tipologia de sòl'!$A$2:$D$37,4,FALSE)*'T50'!C58</f>
        <v>0</v>
      </c>
      <c r="D58" s="1100">
        <f>VLOOKUP(D$1,'cost per tipologia de sòl'!$A$2:$D$37,4,FALSE)*'T50'!D58</f>
        <v>0</v>
      </c>
      <c r="E58" s="1100">
        <f>VLOOKUP(E$1,'cost per tipologia de sòl'!$A$2:$D$37,4,FALSE)*'T50'!E58</f>
        <v>0</v>
      </c>
      <c r="F58" s="1100">
        <f>VLOOKUP(F$1,'cost per tipologia de sòl'!$A$2:$D$37,4,FALSE)*'T50'!F58</f>
        <v>0</v>
      </c>
      <c r="G58" s="1100">
        <f>VLOOKUP(G$1,'cost per tipologia de sòl'!$A$2:$D$37,4,FALSE)*'T50'!G58</f>
        <v>0</v>
      </c>
      <c r="H58" s="1100">
        <f>VLOOKUP(H$1,'cost per tipologia de sòl'!$A$2:$D$37,4,FALSE)*'T50'!H58</f>
        <v>0</v>
      </c>
      <c r="I58" s="1100">
        <f>VLOOKUP(I$1,'cost per tipologia de sòl'!$A$2:$D$37,4,FALSE)*'T50'!I58</f>
        <v>0</v>
      </c>
      <c r="J58" s="1100">
        <f>VLOOKUP(J$1,'cost per tipologia de sòl'!$A$2:$D$37,4,FALSE)*'T50'!J58</f>
        <v>32215.969499999999</v>
      </c>
      <c r="K58" s="1100">
        <f>VLOOKUP(K$1,'cost per tipologia de sòl'!$A$2:$D$37,4,FALSE)*'T50'!K58</f>
        <v>0</v>
      </c>
      <c r="L58" s="1100">
        <f>VLOOKUP(L$1,'cost per tipologia de sòl'!$A$2:$D$37,4,FALSE)*'T50'!L58</f>
        <v>0</v>
      </c>
      <c r="M58" s="1100">
        <f>VLOOKUP(M$1,'cost per tipologia de sòl'!$A$2:$D$37,4,FALSE)*'T50'!M58</f>
        <v>0</v>
      </c>
      <c r="N58" s="1100">
        <f>VLOOKUP(N$1,'cost per tipologia de sòl'!$A$2:$D$37,4,FALSE)*'T50'!N58</f>
        <v>0</v>
      </c>
      <c r="O58" s="1100">
        <f>VLOOKUP(O$1,'cost per tipologia de sòl'!$A$2:$D$37,4,FALSE)*'T50'!O58</f>
        <v>0</v>
      </c>
      <c r="P58" s="1100">
        <f>VLOOKUP(P$1,'cost per tipologia de sòl'!$A$2:$D$37,4,FALSE)*'T50'!P58</f>
        <v>0</v>
      </c>
      <c r="Q58" s="1100">
        <f>VLOOKUP(Q$1,'cost per tipologia de sòl'!$A$2:$D$37,4,FALSE)*'T50'!Q58</f>
        <v>0</v>
      </c>
      <c r="R58" s="1100">
        <f>VLOOKUP(R$1,'cost per tipologia de sòl'!$A$2:$D$37,4,FALSE)*'T50'!R58</f>
        <v>0</v>
      </c>
      <c r="S58" s="1100">
        <f>VLOOKUP(S$1,'cost per tipologia de sòl'!$A$2:$D$37,4,FALSE)*'T50'!S58</f>
        <v>0</v>
      </c>
      <c r="T58" s="1100">
        <f>VLOOKUP(T$1,'cost per tipologia de sòl'!$A$2:$D$37,4,FALSE)*'T50'!T58</f>
        <v>0</v>
      </c>
      <c r="U58" s="1100">
        <f>VLOOKUP(U$1,'cost per tipologia de sòl'!$A$2:$D$37,4,FALSE)*'T50'!U58</f>
        <v>0</v>
      </c>
      <c r="V58" s="1100">
        <f>VLOOKUP(V$1,'cost per tipologia de sòl'!$A$2:$D$37,4,FALSE)*'T50'!V58</f>
        <v>0</v>
      </c>
      <c r="W58" s="1100">
        <f>VLOOKUP(W$1,'cost per tipologia de sòl'!$A$2:$D$37,4,FALSE)*'T50'!W58</f>
        <v>0</v>
      </c>
      <c r="X58" s="1100">
        <f>VLOOKUP(X$1,'cost per tipologia de sòl'!$A$2:$D$37,4,FALSE)*'T50'!X58</f>
        <v>0</v>
      </c>
      <c r="Y58" s="1100">
        <f>VLOOKUP(Y$1,'cost per tipologia de sòl'!$A$2:$D$37,4,FALSE)*'T50'!Y58</f>
        <v>0</v>
      </c>
      <c r="Z58" s="1100">
        <f>VLOOKUP(Z$1,'cost per tipologia de sòl'!$A$2:$D$37,4,FALSE)*'T50'!Z58</f>
        <v>0</v>
      </c>
      <c r="AA58" s="1100">
        <f>VLOOKUP(AA$1,'cost per tipologia de sòl'!$A$2:$D$37,4,FALSE)*'T50'!AA58</f>
        <v>0</v>
      </c>
      <c r="AB58" s="1100">
        <f>VLOOKUP(AB$1,'cost per tipologia de sòl'!$A$2:$D$37,4,FALSE)*'T50'!AB58</f>
        <v>0</v>
      </c>
      <c r="AC58" s="1100">
        <f>VLOOKUP(AC$1,'cost per tipologia de sòl'!$A$2:$D$37,4,FALSE)*'T50'!AC58</f>
        <v>0</v>
      </c>
      <c r="AD58" s="1100">
        <f>VLOOKUP(AD$1,'cost per tipologia de sòl'!$A$2:$D$37,4,FALSE)*'T50'!AD58</f>
        <v>0</v>
      </c>
      <c r="AE58" s="1100">
        <f>VLOOKUP(AE$1,'cost per tipologia de sòl'!$A$2:$D$37,4,FALSE)*'T50'!AE58</f>
        <v>0</v>
      </c>
      <c r="AF58" s="1100">
        <f>VLOOKUP(AF$1,'cost per tipologia de sòl'!$A$2:$D$37,4,FALSE)*'T50'!AF58</f>
        <v>0</v>
      </c>
      <c r="AG58" s="1100">
        <f>VLOOKUP(AG$1,'cost per tipologia de sòl'!$A$2:$D$37,4,FALSE)*'T50'!AG58</f>
        <v>0</v>
      </c>
      <c r="AH58" s="1100">
        <f>VLOOKUP(AH$1,'cost per tipologia de sòl'!$A$2:$D$37,4,FALSE)*'T50'!AH58</f>
        <v>0</v>
      </c>
      <c r="AI58" s="1100">
        <f>VLOOKUP(AI$1,'cost per tipologia de sòl'!$A$2:$D$37,4,FALSE)*'T50'!AI58</f>
        <v>0</v>
      </c>
      <c r="AJ58" s="1100">
        <f t="shared" si="0"/>
        <v>32215.969499999999</v>
      </c>
      <c r="AK58" s="1098">
        <f t="shared" si="1"/>
        <v>9.6647908500000004E-3</v>
      </c>
    </row>
    <row r="59" spans="1:37">
      <c r="A59" s="1099" t="s">
        <v>1147</v>
      </c>
      <c r="B59" s="1100">
        <f>VLOOKUP(B$1,'cost per tipologia de sòl'!$A$2:$D$37,4,FALSE)*'T50'!B59</f>
        <v>129277.49400000001</v>
      </c>
      <c r="C59" s="1100">
        <f>VLOOKUP(C$1,'cost per tipologia de sòl'!$A$2:$D$37,4,FALSE)*'T50'!C59</f>
        <v>0</v>
      </c>
      <c r="D59" s="1100">
        <f>VLOOKUP(D$1,'cost per tipologia de sòl'!$A$2:$D$37,4,FALSE)*'T50'!D59</f>
        <v>0</v>
      </c>
      <c r="E59" s="1100">
        <f>VLOOKUP(E$1,'cost per tipologia de sòl'!$A$2:$D$37,4,FALSE)*'T50'!E59</f>
        <v>0</v>
      </c>
      <c r="F59" s="1100">
        <f>VLOOKUP(F$1,'cost per tipologia de sòl'!$A$2:$D$37,4,FALSE)*'T50'!F59</f>
        <v>0</v>
      </c>
      <c r="G59" s="1100">
        <f>VLOOKUP(G$1,'cost per tipologia de sòl'!$A$2:$D$37,4,FALSE)*'T50'!G59</f>
        <v>0</v>
      </c>
      <c r="H59" s="1100">
        <f>VLOOKUP(H$1,'cost per tipologia de sòl'!$A$2:$D$37,4,FALSE)*'T50'!H59</f>
        <v>0</v>
      </c>
      <c r="I59" s="1100">
        <f>VLOOKUP(I$1,'cost per tipologia de sòl'!$A$2:$D$37,4,FALSE)*'T50'!I59</f>
        <v>0</v>
      </c>
      <c r="J59" s="1100">
        <f>VLOOKUP(J$1,'cost per tipologia de sòl'!$A$2:$D$37,4,FALSE)*'T50'!J59</f>
        <v>624540.16899999999</v>
      </c>
      <c r="K59" s="1100">
        <f>VLOOKUP(K$1,'cost per tipologia de sòl'!$A$2:$D$37,4,FALSE)*'T50'!K59</f>
        <v>54462.176999999996</v>
      </c>
      <c r="L59" s="1100">
        <f>VLOOKUP(L$1,'cost per tipologia de sòl'!$A$2:$D$37,4,FALSE)*'T50'!L59</f>
        <v>49982.282999999996</v>
      </c>
      <c r="M59" s="1100">
        <f>VLOOKUP(M$1,'cost per tipologia de sòl'!$A$2:$D$37,4,FALSE)*'T50'!M59</f>
        <v>0</v>
      </c>
      <c r="N59" s="1100">
        <f>VLOOKUP(N$1,'cost per tipologia de sòl'!$A$2:$D$37,4,FALSE)*'T50'!N59</f>
        <v>3728933.24</v>
      </c>
      <c r="O59" s="1100">
        <f>VLOOKUP(O$1,'cost per tipologia de sòl'!$A$2:$D$37,4,FALSE)*'T50'!O59</f>
        <v>789391.85600000003</v>
      </c>
      <c r="P59" s="1100">
        <f>VLOOKUP(P$1,'cost per tipologia de sòl'!$A$2:$D$37,4,FALSE)*'T50'!P59</f>
        <v>0</v>
      </c>
      <c r="Q59" s="1100">
        <f>VLOOKUP(Q$1,'cost per tipologia de sòl'!$A$2:$D$37,4,FALSE)*'T50'!Q59</f>
        <v>0</v>
      </c>
      <c r="R59" s="1100">
        <f>VLOOKUP(R$1,'cost per tipologia de sòl'!$A$2:$D$37,4,FALSE)*'T50'!R59</f>
        <v>0</v>
      </c>
      <c r="S59" s="1100">
        <f>VLOOKUP(S$1,'cost per tipologia de sòl'!$A$2:$D$37,4,FALSE)*'T50'!S59</f>
        <v>44987186.159999996</v>
      </c>
      <c r="T59" s="1100">
        <f>VLOOKUP(T$1,'cost per tipologia de sòl'!$A$2:$D$37,4,FALSE)*'T50'!T59</f>
        <v>48439713.077</v>
      </c>
      <c r="U59" s="1100">
        <f>VLOOKUP(U$1,'cost per tipologia de sòl'!$A$2:$D$37,4,FALSE)*'T50'!U59</f>
        <v>5782491.75</v>
      </c>
      <c r="V59" s="1100">
        <f>VLOOKUP(V$1,'cost per tipologia de sòl'!$A$2:$D$37,4,FALSE)*'T50'!V59</f>
        <v>0</v>
      </c>
      <c r="W59" s="1100">
        <f>VLOOKUP(W$1,'cost per tipologia de sòl'!$A$2:$D$37,4,FALSE)*'T50'!W59</f>
        <v>0</v>
      </c>
      <c r="X59" s="1100">
        <f>VLOOKUP(X$1,'cost per tipologia de sòl'!$A$2:$D$37,4,FALSE)*'T50'!X59</f>
        <v>0</v>
      </c>
      <c r="Y59" s="1100">
        <f>VLOOKUP(Y$1,'cost per tipologia de sòl'!$A$2:$D$37,4,FALSE)*'T50'!Y59</f>
        <v>0</v>
      </c>
      <c r="Z59" s="1100">
        <f>VLOOKUP(Z$1,'cost per tipologia de sòl'!$A$2:$D$37,4,FALSE)*'T50'!Z59</f>
        <v>31157508.748</v>
      </c>
      <c r="AA59" s="1100">
        <f>VLOOKUP(AA$1,'cost per tipologia de sòl'!$A$2:$D$37,4,FALSE)*'T50'!AA59</f>
        <v>0</v>
      </c>
      <c r="AB59" s="1100">
        <f>VLOOKUP(AB$1,'cost per tipologia de sòl'!$A$2:$D$37,4,FALSE)*'T50'!AB59</f>
        <v>0</v>
      </c>
      <c r="AC59" s="1100">
        <f>VLOOKUP(AC$1,'cost per tipologia de sòl'!$A$2:$D$37,4,FALSE)*'T50'!AC59</f>
        <v>3965374.1</v>
      </c>
      <c r="AD59" s="1100">
        <f>VLOOKUP(AD$1,'cost per tipologia de sòl'!$A$2:$D$37,4,FALSE)*'T50'!AD59</f>
        <v>33963649.5</v>
      </c>
      <c r="AE59" s="1100">
        <f>VLOOKUP(AE$1,'cost per tipologia de sòl'!$A$2:$D$37,4,FALSE)*'T50'!AE59</f>
        <v>0</v>
      </c>
      <c r="AF59" s="1100">
        <f>VLOOKUP(AF$1,'cost per tipologia de sòl'!$A$2:$D$37,4,FALSE)*'T50'!AF59</f>
        <v>0</v>
      </c>
      <c r="AG59" s="1100">
        <f>VLOOKUP(AG$1,'cost per tipologia de sòl'!$A$2:$D$37,4,FALSE)*'T50'!AG59</f>
        <v>0</v>
      </c>
      <c r="AH59" s="1100">
        <f>VLOOKUP(AH$1,'cost per tipologia de sòl'!$A$2:$D$37,4,FALSE)*'T50'!AH59</f>
        <v>0</v>
      </c>
      <c r="AI59" s="1100">
        <f>VLOOKUP(AI$1,'cost per tipologia de sòl'!$A$2:$D$37,4,FALSE)*'T50'!AI59</f>
        <v>0</v>
      </c>
      <c r="AJ59" s="1100">
        <f t="shared" si="0"/>
        <v>173672510.55399999</v>
      </c>
      <c r="AK59" s="1098">
        <f t="shared" si="1"/>
        <v>52.101753166199998</v>
      </c>
    </row>
    <row r="60" spans="1:37">
      <c r="A60" s="1099" t="s">
        <v>1749</v>
      </c>
      <c r="B60" s="1100">
        <f>VLOOKUP(B$1,'cost per tipologia de sòl'!$A$2:$D$37,4,FALSE)*'T50'!B60</f>
        <v>0</v>
      </c>
      <c r="C60" s="1100">
        <f>VLOOKUP(C$1,'cost per tipologia de sòl'!$A$2:$D$37,4,FALSE)*'T50'!C60</f>
        <v>0</v>
      </c>
      <c r="D60" s="1100">
        <f>VLOOKUP(D$1,'cost per tipologia de sòl'!$A$2:$D$37,4,FALSE)*'T50'!D60</f>
        <v>0</v>
      </c>
      <c r="E60" s="1100">
        <f>VLOOKUP(E$1,'cost per tipologia de sòl'!$A$2:$D$37,4,FALSE)*'T50'!E60</f>
        <v>0</v>
      </c>
      <c r="F60" s="1100">
        <f>VLOOKUP(F$1,'cost per tipologia de sòl'!$A$2:$D$37,4,FALSE)*'T50'!F60</f>
        <v>0</v>
      </c>
      <c r="G60" s="1100">
        <f>VLOOKUP(G$1,'cost per tipologia de sòl'!$A$2:$D$37,4,FALSE)*'T50'!G60</f>
        <v>0</v>
      </c>
      <c r="H60" s="1100">
        <f>VLOOKUP(H$1,'cost per tipologia de sòl'!$A$2:$D$37,4,FALSE)*'T50'!H60</f>
        <v>0</v>
      </c>
      <c r="I60" s="1100">
        <f>VLOOKUP(I$1,'cost per tipologia de sòl'!$A$2:$D$37,4,FALSE)*'T50'!I60</f>
        <v>0</v>
      </c>
      <c r="J60" s="1100">
        <f>VLOOKUP(J$1,'cost per tipologia de sòl'!$A$2:$D$37,4,FALSE)*'T50'!J60</f>
        <v>882.33199999999988</v>
      </c>
      <c r="K60" s="1100">
        <f>VLOOKUP(K$1,'cost per tipologia de sòl'!$A$2:$D$37,4,FALSE)*'T50'!K60</f>
        <v>245960.253</v>
      </c>
      <c r="L60" s="1100">
        <f>VLOOKUP(L$1,'cost per tipologia de sòl'!$A$2:$D$37,4,FALSE)*'T50'!L60</f>
        <v>0</v>
      </c>
      <c r="M60" s="1100">
        <f>VLOOKUP(M$1,'cost per tipologia de sòl'!$A$2:$D$37,4,FALSE)*'T50'!M60</f>
        <v>0</v>
      </c>
      <c r="N60" s="1100">
        <f>VLOOKUP(N$1,'cost per tipologia de sòl'!$A$2:$D$37,4,FALSE)*'T50'!N60</f>
        <v>0</v>
      </c>
      <c r="O60" s="1100">
        <f>VLOOKUP(O$1,'cost per tipologia de sòl'!$A$2:$D$37,4,FALSE)*'T50'!O60</f>
        <v>0</v>
      </c>
      <c r="P60" s="1100">
        <f>VLOOKUP(P$1,'cost per tipologia de sòl'!$A$2:$D$37,4,FALSE)*'T50'!P60</f>
        <v>0</v>
      </c>
      <c r="Q60" s="1100">
        <f>VLOOKUP(Q$1,'cost per tipologia de sòl'!$A$2:$D$37,4,FALSE)*'T50'!Q60</f>
        <v>0</v>
      </c>
      <c r="R60" s="1100">
        <f>VLOOKUP(R$1,'cost per tipologia de sòl'!$A$2:$D$37,4,FALSE)*'T50'!R60</f>
        <v>0</v>
      </c>
      <c r="S60" s="1100">
        <f>VLOOKUP(S$1,'cost per tipologia de sòl'!$A$2:$D$37,4,FALSE)*'T50'!S60</f>
        <v>880797.45600000001</v>
      </c>
      <c r="T60" s="1100">
        <f>VLOOKUP(T$1,'cost per tipologia de sòl'!$A$2:$D$37,4,FALSE)*'T50'!T60</f>
        <v>1304800.307</v>
      </c>
      <c r="U60" s="1100">
        <f>VLOOKUP(U$1,'cost per tipologia de sòl'!$A$2:$D$37,4,FALSE)*'T50'!U60</f>
        <v>0</v>
      </c>
      <c r="V60" s="1100">
        <f>VLOOKUP(V$1,'cost per tipologia de sòl'!$A$2:$D$37,4,FALSE)*'T50'!V60</f>
        <v>0</v>
      </c>
      <c r="W60" s="1100">
        <f>VLOOKUP(W$1,'cost per tipologia de sòl'!$A$2:$D$37,4,FALSE)*'T50'!W60</f>
        <v>0</v>
      </c>
      <c r="X60" s="1100">
        <f>VLOOKUP(X$1,'cost per tipologia de sòl'!$A$2:$D$37,4,FALSE)*'T50'!X60</f>
        <v>0</v>
      </c>
      <c r="Y60" s="1100">
        <f>VLOOKUP(Y$1,'cost per tipologia de sòl'!$A$2:$D$37,4,FALSE)*'T50'!Y60</f>
        <v>0</v>
      </c>
      <c r="Z60" s="1100">
        <f>VLOOKUP(Z$1,'cost per tipologia de sòl'!$A$2:$D$37,4,FALSE)*'T50'!Z60</f>
        <v>0</v>
      </c>
      <c r="AA60" s="1100">
        <f>VLOOKUP(AA$1,'cost per tipologia de sòl'!$A$2:$D$37,4,FALSE)*'T50'!AA60</f>
        <v>0</v>
      </c>
      <c r="AB60" s="1100">
        <f>VLOOKUP(AB$1,'cost per tipologia de sòl'!$A$2:$D$37,4,FALSE)*'T50'!AB60</f>
        <v>1749497.2</v>
      </c>
      <c r="AC60" s="1100">
        <f>VLOOKUP(AC$1,'cost per tipologia de sòl'!$A$2:$D$37,4,FALSE)*'T50'!AC60</f>
        <v>428763.5</v>
      </c>
      <c r="AD60" s="1100">
        <f>VLOOKUP(AD$1,'cost per tipologia de sòl'!$A$2:$D$37,4,FALSE)*'T50'!AD60</f>
        <v>33782.949999999997</v>
      </c>
      <c r="AE60" s="1100">
        <f>VLOOKUP(AE$1,'cost per tipologia de sòl'!$A$2:$D$37,4,FALSE)*'T50'!AE60</f>
        <v>0</v>
      </c>
      <c r="AF60" s="1100">
        <f>VLOOKUP(AF$1,'cost per tipologia de sòl'!$A$2:$D$37,4,FALSE)*'T50'!AF60</f>
        <v>0</v>
      </c>
      <c r="AG60" s="1100">
        <f>VLOOKUP(AG$1,'cost per tipologia de sòl'!$A$2:$D$37,4,FALSE)*'T50'!AG60</f>
        <v>0</v>
      </c>
      <c r="AH60" s="1100">
        <f>VLOOKUP(AH$1,'cost per tipologia de sòl'!$A$2:$D$37,4,FALSE)*'T50'!AH60</f>
        <v>0</v>
      </c>
      <c r="AI60" s="1100">
        <f>VLOOKUP(AI$1,'cost per tipologia de sòl'!$A$2:$D$37,4,FALSE)*'T50'!AI60</f>
        <v>0</v>
      </c>
      <c r="AJ60" s="1100">
        <f t="shared" si="0"/>
        <v>4644483.9980000006</v>
      </c>
      <c r="AK60" s="1098">
        <f t="shared" si="1"/>
        <v>1.3933451994000003</v>
      </c>
    </row>
    <row r="61" spans="1:37">
      <c r="A61" s="1099" t="s">
        <v>1340</v>
      </c>
      <c r="B61" s="1100">
        <f>VLOOKUP(B$1,'cost per tipologia de sòl'!$A$2:$D$37,4,FALSE)*'T50'!B61</f>
        <v>30524561.783999998</v>
      </c>
      <c r="C61" s="1100">
        <f>VLOOKUP(C$1,'cost per tipologia de sòl'!$A$2:$D$37,4,FALSE)*'T50'!C61</f>
        <v>0</v>
      </c>
      <c r="D61" s="1100">
        <f>VLOOKUP(D$1,'cost per tipologia de sòl'!$A$2:$D$37,4,FALSE)*'T50'!D61</f>
        <v>0</v>
      </c>
      <c r="E61" s="1100">
        <f>VLOOKUP(E$1,'cost per tipologia de sòl'!$A$2:$D$37,4,FALSE)*'T50'!E61</f>
        <v>0</v>
      </c>
      <c r="F61" s="1100">
        <f>VLOOKUP(F$1,'cost per tipologia de sòl'!$A$2:$D$37,4,FALSE)*'T50'!F61</f>
        <v>0</v>
      </c>
      <c r="G61" s="1100">
        <f>VLOOKUP(G$1,'cost per tipologia de sòl'!$A$2:$D$37,4,FALSE)*'T50'!G61</f>
        <v>0</v>
      </c>
      <c r="H61" s="1100">
        <f>VLOOKUP(H$1,'cost per tipologia de sòl'!$A$2:$D$37,4,FALSE)*'T50'!H61</f>
        <v>0</v>
      </c>
      <c r="I61" s="1100">
        <f>VLOOKUP(I$1,'cost per tipologia de sòl'!$A$2:$D$37,4,FALSE)*'T50'!I61</f>
        <v>0</v>
      </c>
      <c r="J61" s="1100">
        <f>VLOOKUP(J$1,'cost per tipologia de sòl'!$A$2:$D$37,4,FALSE)*'T50'!J61</f>
        <v>47951.189000000006</v>
      </c>
      <c r="K61" s="1100">
        <f>VLOOKUP(K$1,'cost per tipologia de sòl'!$A$2:$D$37,4,FALSE)*'T50'!K61</f>
        <v>0</v>
      </c>
      <c r="L61" s="1100">
        <f>VLOOKUP(L$1,'cost per tipologia de sòl'!$A$2:$D$37,4,FALSE)*'T50'!L61</f>
        <v>577939.60800000001</v>
      </c>
      <c r="M61" s="1100">
        <f>VLOOKUP(M$1,'cost per tipologia de sòl'!$A$2:$D$37,4,FALSE)*'T50'!M61</f>
        <v>845063.49600000004</v>
      </c>
      <c r="N61" s="1100">
        <f>VLOOKUP(N$1,'cost per tipologia de sòl'!$A$2:$D$37,4,FALSE)*'T50'!N61</f>
        <v>0</v>
      </c>
      <c r="O61" s="1100">
        <f>VLOOKUP(O$1,'cost per tipologia de sòl'!$A$2:$D$37,4,FALSE)*'T50'!O61</f>
        <v>0</v>
      </c>
      <c r="P61" s="1100">
        <f>VLOOKUP(P$1,'cost per tipologia de sòl'!$A$2:$D$37,4,FALSE)*'T50'!P61</f>
        <v>1047901.9759999999</v>
      </c>
      <c r="Q61" s="1100">
        <f>VLOOKUP(Q$1,'cost per tipologia de sòl'!$A$2:$D$37,4,FALSE)*'T50'!Q61</f>
        <v>0</v>
      </c>
      <c r="R61" s="1100">
        <f>VLOOKUP(R$1,'cost per tipologia de sòl'!$A$2:$D$37,4,FALSE)*'T50'!R61</f>
        <v>0</v>
      </c>
      <c r="S61" s="1100">
        <f>VLOOKUP(S$1,'cost per tipologia de sòl'!$A$2:$D$37,4,FALSE)*'T50'!S61</f>
        <v>16293032.784000002</v>
      </c>
      <c r="T61" s="1100">
        <f>VLOOKUP(T$1,'cost per tipologia de sòl'!$A$2:$D$37,4,FALSE)*'T50'!T61</f>
        <v>6803476.6460000006</v>
      </c>
      <c r="U61" s="1100">
        <f>VLOOKUP(U$1,'cost per tipologia de sòl'!$A$2:$D$37,4,FALSE)*'T50'!U61</f>
        <v>70805.7</v>
      </c>
      <c r="V61" s="1100">
        <f>VLOOKUP(V$1,'cost per tipologia de sòl'!$A$2:$D$37,4,FALSE)*'T50'!V61</f>
        <v>0</v>
      </c>
      <c r="W61" s="1100">
        <f>VLOOKUP(W$1,'cost per tipologia de sòl'!$A$2:$D$37,4,FALSE)*'T50'!W61</f>
        <v>0</v>
      </c>
      <c r="X61" s="1100">
        <f>VLOOKUP(X$1,'cost per tipologia de sòl'!$A$2:$D$37,4,FALSE)*'T50'!X61</f>
        <v>0</v>
      </c>
      <c r="Y61" s="1100">
        <f>VLOOKUP(Y$1,'cost per tipologia de sòl'!$A$2:$D$37,4,FALSE)*'T50'!Y61</f>
        <v>0</v>
      </c>
      <c r="Z61" s="1100">
        <f>VLOOKUP(Z$1,'cost per tipologia de sòl'!$A$2:$D$37,4,FALSE)*'T50'!Z61</f>
        <v>11320013.708000001</v>
      </c>
      <c r="AA61" s="1100">
        <f>VLOOKUP(AA$1,'cost per tipologia de sòl'!$A$2:$D$37,4,FALSE)*'T50'!AA61</f>
        <v>0</v>
      </c>
      <c r="AB61" s="1100">
        <f>VLOOKUP(AB$1,'cost per tipologia de sòl'!$A$2:$D$37,4,FALSE)*'T50'!AB61</f>
        <v>1887023</v>
      </c>
      <c r="AC61" s="1100">
        <f>VLOOKUP(AC$1,'cost per tipologia de sòl'!$A$2:$D$37,4,FALSE)*'T50'!AC61</f>
        <v>7455596.2000000002</v>
      </c>
      <c r="AD61" s="1100">
        <f>VLOOKUP(AD$1,'cost per tipologia de sòl'!$A$2:$D$37,4,FALSE)*'T50'!AD61</f>
        <v>8137960.3000000007</v>
      </c>
      <c r="AE61" s="1100">
        <f>VLOOKUP(AE$1,'cost per tipologia de sòl'!$A$2:$D$37,4,FALSE)*'T50'!AE61</f>
        <v>0</v>
      </c>
      <c r="AF61" s="1100">
        <f>VLOOKUP(AF$1,'cost per tipologia de sòl'!$A$2:$D$37,4,FALSE)*'T50'!AF61</f>
        <v>0</v>
      </c>
      <c r="AG61" s="1100">
        <f>VLOOKUP(AG$1,'cost per tipologia de sòl'!$A$2:$D$37,4,FALSE)*'T50'!AG61</f>
        <v>0</v>
      </c>
      <c r="AH61" s="1100">
        <f>VLOOKUP(AH$1,'cost per tipologia de sòl'!$A$2:$D$37,4,FALSE)*'T50'!AH61</f>
        <v>0</v>
      </c>
      <c r="AI61" s="1100">
        <f>VLOOKUP(AI$1,'cost per tipologia de sòl'!$A$2:$D$37,4,FALSE)*'T50'!AI61</f>
        <v>0</v>
      </c>
      <c r="AJ61" s="1100">
        <f t="shared" si="0"/>
        <v>85011326.391000003</v>
      </c>
      <c r="AK61" s="1098">
        <f t="shared" si="1"/>
        <v>25.503397917299999</v>
      </c>
    </row>
    <row r="62" spans="1:37">
      <c r="A62" s="1099" t="s">
        <v>1343</v>
      </c>
      <c r="B62" s="1100">
        <f>VLOOKUP(B$1,'cost per tipologia de sòl'!$A$2:$D$37,4,FALSE)*'T50'!B62</f>
        <v>7576022.142</v>
      </c>
      <c r="C62" s="1100">
        <f>VLOOKUP(C$1,'cost per tipologia de sòl'!$A$2:$D$37,4,FALSE)*'T50'!C62</f>
        <v>0</v>
      </c>
      <c r="D62" s="1100">
        <f>VLOOKUP(D$1,'cost per tipologia de sòl'!$A$2:$D$37,4,FALSE)*'T50'!D62</f>
        <v>92382</v>
      </c>
      <c r="E62" s="1100">
        <f>VLOOKUP(E$1,'cost per tipologia de sòl'!$A$2:$D$37,4,FALSE)*'T50'!E62</f>
        <v>0</v>
      </c>
      <c r="F62" s="1100">
        <f>VLOOKUP(F$1,'cost per tipologia de sòl'!$A$2:$D$37,4,FALSE)*'T50'!F62</f>
        <v>0</v>
      </c>
      <c r="G62" s="1100">
        <f>VLOOKUP(G$1,'cost per tipologia de sòl'!$A$2:$D$37,4,FALSE)*'T50'!G62</f>
        <v>0</v>
      </c>
      <c r="H62" s="1100">
        <f>VLOOKUP(H$1,'cost per tipologia de sòl'!$A$2:$D$37,4,FALSE)*'T50'!H62</f>
        <v>0</v>
      </c>
      <c r="I62" s="1100">
        <f>VLOOKUP(I$1,'cost per tipologia de sòl'!$A$2:$D$37,4,FALSE)*'T50'!I62</f>
        <v>0</v>
      </c>
      <c r="J62" s="1100">
        <f>VLOOKUP(J$1,'cost per tipologia de sòl'!$A$2:$D$37,4,FALSE)*'T50'!J62</f>
        <v>6916.0794999999998</v>
      </c>
      <c r="K62" s="1100">
        <f>VLOOKUP(K$1,'cost per tipologia de sòl'!$A$2:$D$37,4,FALSE)*'T50'!K62</f>
        <v>0</v>
      </c>
      <c r="L62" s="1100">
        <f>VLOOKUP(L$1,'cost per tipologia de sòl'!$A$2:$D$37,4,FALSE)*'T50'!L62</f>
        <v>0</v>
      </c>
      <c r="M62" s="1100">
        <f>VLOOKUP(M$1,'cost per tipologia de sòl'!$A$2:$D$37,4,FALSE)*'T50'!M62</f>
        <v>934599.08000000007</v>
      </c>
      <c r="N62" s="1100">
        <f>VLOOKUP(N$1,'cost per tipologia de sòl'!$A$2:$D$37,4,FALSE)*'T50'!N62</f>
        <v>8807.0159999999996</v>
      </c>
      <c r="O62" s="1100">
        <f>VLOOKUP(O$1,'cost per tipologia de sòl'!$A$2:$D$37,4,FALSE)*'T50'!O62</f>
        <v>0</v>
      </c>
      <c r="P62" s="1100">
        <f>VLOOKUP(P$1,'cost per tipologia de sòl'!$A$2:$D$37,4,FALSE)*'T50'!P62</f>
        <v>0</v>
      </c>
      <c r="Q62" s="1100">
        <f>VLOOKUP(Q$1,'cost per tipologia de sòl'!$A$2:$D$37,4,FALSE)*'T50'!Q62</f>
        <v>0</v>
      </c>
      <c r="R62" s="1100">
        <f>VLOOKUP(R$1,'cost per tipologia de sòl'!$A$2:$D$37,4,FALSE)*'T50'!R62</f>
        <v>0</v>
      </c>
      <c r="S62" s="1100">
        <f>VLOOKUP(S$1,'cost per tipologia de sòl'!$A$2:$D$37,4,FALSE)*'T50'!S62</f>
        <v>3222705.0240000002</v>
      </c>
      <c r="T62" s="1100">
        <f>VLOOKUP(T$1,'cost per tipologia de sòl'!$A$2:$D$37,4,FALSE)*'T50'!T62</f>
        <v>1277368.1700000002</v>
      </c>
      <c r="U62" s="1100">
        <f>VLOOKUP(U$1,'cost per tipologia de sòl'!$A$2:$D$37,4,FALSE)*'T50'!U62</f>
        <v>65497.950000000004</v>
      </c>
      <c r="V62" s="1100">
        <f>VLOOKUP(V$1,'cost per tipologia de sòl'!$A$2:$D$37,4,FALSE)*'T50'!V62</f>
        <v>0</v>
      </c>
      <c r="W62" s="1100">
        <f>VLOOKUP(W$1,'cost per tipologia de sòl'!$A$2:$D$37,4,FALSE)*'T50'!W62</f>
        <v>0</v>
      </c>
      <c r="X62" s="1100">
        <f>VLOOKUP(X$1,'cost per tipologia de sòl'!$A$2:$D$37,4,FALSE)*'T50'!X62</f>
        <v>0</v>
      </c>
      <c r="Y62" s="1100">
        <f>VLOOKUP(Y$1,'cost per tipologia de sòl'!$A$2:$D$37,4,FALSE)*'T50'!Y62</f>
        <v>0</v>
      </c>
      <c r="Z62" s="1100">
        <f>VLOOKUP(Z$1,'cost per tipologia de sòl'!$A$2:$D$37,4,FALSE)*'T50'!Z62</f>
        <v>0</v>
      </c>
      <c r="AA62" s="1100">
        <f>VLOOKUP(AA$1,'cost per tipologia de sòl'!$A$2:$D$37,4,FALSE)*'T50'!AA62</f>
        <v>0</v>
      </c>
      <c r="AB62" s="1100">
        <f>VLOOKUP(AB$1,'cost per tipologia de sòl'!$A$2:$D$37,4,FALSE)*'T50'!AB62</f>
        <v>405110.39999999997</v>
      </c>
      <c r="AC62" s="1100">
        <f>VLOOKUP(AC$1,'cost per tipologia de sòl'!$A$2:$D$37,4,FALSE)*'T50'!AC62</f>
        <v>1473094.7</v>
      </c>
      <c r="AD62" s="1100">
        <f>VLOOKUP(AD$1,'cost per tipologia de sòl'!$A$2:$D$37,4,FALSE)*'T50'!AD62</f>
        <v>1934921.05</v>
      </c>
      <c r="AE62" s="1100">
        <f>VLOOKUP(AE$1,'cost per tipologia de sòl'!$A$2:$D$37,4,FALSE)*'T50'!AE62</f>
        <v>0</v>
      </c>
      <c r="AF62" s="1100">
        <f>VLOOKUP(AF$1,'cost per tipologia de sòl'!$A$2:$D$37,4,FALSE)*'T50'!AF62</f>
        <v>0</v>
      </c>
      <c r="AG62" s="1100">
        <f>VLOOKUP(AG$1,'cost per tipologia de sòl'!$A$2:$D$37,4,FALSE)*'T50'!AG62</f>
        <v>0</v>
      </c>
      <c r="AH62" s="1100">
        <f>VLOOKUP(AH$1,'cost per tipologia de sòl'!$A$2:$D$37,4,FALSE)*'T50'!AH62</f>
        <v>0</v>
      </c>
      <c r="AI62" s="1100">
        <f>VLOOKUP(AI$1,'cost per tipologia de sòl'!$A$2:$D$37,4,FALSE)*'T50'!AI62</f>
        <v>0</v>
      </c>
      <c r="AJ62" s="1100">
        <f t="shared" si="0"/>
        <v>16997423.611499999</v>
      </c>
      <c r="AK62" s="1098">
        <f t="shared" si="1"/>
        <v>5.0992270834499998</v>
      </c>
    </row>
    <row r="63" spans="1:37">
      <c r="A63" s="1099" t="s">
        <v>1384</v>
      </c>
      <c r="B63" s="1100">
        <f>VLOOKUP(B$1,'cost per tipologia de sòl'!$A$2:$D$37,4,FALSE)*'T50'!B63</f>
        <v>125324379.396</v>
      </c>
      <c r="C63" s="1100">
        <f>VLOOKUP(C$1,'cost per tipologia de sòl'!$A$2:$D$37,4,FALSE)*'T50'!C63</f>
        <v>15499985.897999998</v>
      </c>
      <c r="D63" s="1100">
        <f>VLOOKUP(D$1,'cost per tipologia de sòl'!$A$2:$D$37,4,FALSE)*'T50'!D63</f>
        <v>6219135.4139999999</v>
      </c>
      <c r="E63" s="1100">
        <f>VLOOKUP(E$1,'cost per tipologia de sòl'!$A$2:$D$37,4,FALSE)*'T50'!E63</f>
        <v>0</v>
      </c>
      <c r="F63" s="1100">
        <f>VLOOKUP(F$1,'cost per tipologia de sòl'!$A$2:$D$37,4,FALSE)*'T50'!F63</f>
        <v>0</v>
      </c>
      <c r="G63" s="1100">
        <f>VLOOKUP(G$1,'cost per tipologia de sòl'!$A$2:$D$37,4,FALSE)*'T50'!G63</f>
        <v>0</v>
      </c>
      <c r="H63" s="1100">
        <f>VLOOKUP(H$1,'cost per tipologia de sòl'!$A$2:$D$37,4,FALSE)*'T50'!H63</f>
        <v>0</v>
      </c>
      <c r="I63" s="1100">
        <f>VLOOKUP(I$1,'cost per tipologia de sòl'!$A$2:$D$37,4,FALSE)*'T50'!I63</f>
        <v>0</v>
      </c>
      <c r="J63" s="1100">
        <f>VLOOKUP(J$1,'cost per tipologia de sòl'!$A$2:$D$37,4,FALSE)*'T50'!J63</f>
        <v>7197538.0729999999</v>
      </c>
      <c r="K63" s="1100">
        <f>VLOOKUP(K$1,'cost per tipologia de sòl'!$A$2:$D$37,4,FALSE)*'T50'!K63</f>
        <v>0</v>
      </c>
      <c r="L63" s="1100">
        <f>VLOOKUP(L$1,'cost per tipologia de sòl'!$A$2:$D$37,4,FALSE)*'T50'!L63</f>
        <v>130604.139</v>
      </c>
      <c r="M63" s="1100">
        <f>VLOOKUP(M$1,'cost per tipologia de sòl'!$A$2:$D$37,4,FALSE)*'T50'!M63</f>
        <v>250415.448</v>
      </c>
      <c r="N63" s="1100">
        <f>VLOOKUP(N$1,'cost per tipologia de sòl'!$A$2:$D$37,4,FALSE)*'T50'!N63</f>
        <v>2680810.432</v>
      </c>
      <c r="O63" s="1100">
        <f>VLOOKUP(O$1,'cost per tipologia de sòl'!$A$2:$D$37,4,FALSE)*'T50'!O63</f>
        <v>0</v>
      </c>
      <c r="P63" s="1100">
        <f>VLOOKUP(P$1,'cost per tipologia de sòl'!$A$2:$D$37,4,FALSE)*'T50'!P63</f>
        <v>418605.81599999999</v>
      </c>
      <c r="Q63" s="1100">
        <f>VLOOKUP(Q$1,'cost per tipologia de sòl'!$A$2:$D$37,4,FALSE)*'T50'!Q63</f>
        <v>0</v>
      </c>
      <c r="R63" s="1100">
        <f>VLOOKUP(R$1,'cost per tipologia de sòl'!$A$2:$D$37,4,FALSE)*'T50'!R63</f>
        <v>0</v>
      </c>
      <c r="S63" s="1100">
        <f>VLOOKUP(S$1,'cost per tipologia de sòl'!$A$2:$D$37,4,FALSE)*'T50'!S63</f>
        <v>78351425.711999997</v>
      </c>
      <c r="T63" s="1100">
        <f>VLOOKUP(T$1,'cost per tipologia de sòl'!$A$2:$D$37,4,FALSE)*'T50'!T63</f>
        <v>10163050.203</v>
      </c>
      <c r="U63" s="1100">
        <f>VLOOKUP(U$1,'cost per tipologia de sòl'!$A$2:$D$37,4,FALSE)*'T50'!U63</f>
        <v>14007889.35</v>
      </c>
      <c r="V63" s="1100">
        <f>VLOOKUP(V$1,'cost per tipologia de sòl'!$A$2:$D$37,4,FALSE)*'T50'!V63</f>
        <v>0</v>
      </c>
      <c r="W63" s="1100">
        <f>VLOOKUP(W$1,'cost per tipologia de sòl'!$A$2:$D$37,4,FALSE)*'T50'!W63</f>
        <v>0</v>
      </c>
      <c r="X63" s="1100">
        <f>VLOOKUP(X$1,'cost per tipologia de sòl'!$A$2:$D$37,4,FALSE)*'T50'!X63</f>
        <v>0</v>
      </c>
      <c r="Y63" s="1100">
        <f>VLOOKUP(Y$1,'cost per tipologia de sòl'!$A$2:$D$37,4,FALSE)*'T50'!Y63</f>
        <v>0</v>
      </c>
      <c r="Z63" s="1100">
        <f>VLOOKUP(Z$1,'cost per tipologia de sòl'!$A$2:$D$37,4,FALSE)*'T50'!Z63</f>
        <v>43593346.32</v>
      </c>
      <c r="AA63" s="1100">
        <f>VLOOKUP(AA$1,'cost per tipologia de sòl'!$A$2:$D$37,4,FALSE)*'T50'!AA63</f>
        <v>0</v>
      </c>
      <c r="AB63" s="1100">
        <f>VLOOKUP(AB$1,'cost per tipologia de sòl'!$A$2:$D$37,4,FALSE)*'T50'!AB63</f>
        <v>41031591.549999997</v>
      </c>
      <c r="AC63" s="1100">
        <f>VLOOKUP(AC$1,'cost per tipologia de sòl'!$A$2:$D$37,4,FALSE)*'T50'!AC63</f>
        <v>28099165.550000001</v>
      </c>
      <c r="AD63" s="1100">
        <f>VLOOKUP(AD$1,'cost per tipologia de sòl'!$A$2:$D$37,4,FALSE)*'T50'!AD63</f>
        <v>58302998.150000006</v>
      </c>
      <c r="AE63" s="1100">
        <f>VLOOKUP(AE$1,'cost per tipologia de sòl'!$A$2:$D$37,4,FALSE)*'T50'!AE63</f>
        <v>0</v>
      </c>
      <c r="AF63" s="1100">
        <f>VLOOKUP(AF$1,'cost per tipologia de sòl'!$A$2:$D$37,4,FALSE)*'T50'!AF63</f>
        <v>0</v>
      </c>
      <c r="AG63" s="1100">
        <f>VLOOKUP(AG$1,'cost per tipologia de sòl'!$A$2:$D$37,4,FALSE)*'T50'!AG63</f>
        <v>0</v>
      </c>
      <c r="AH63" s="1100">
        <f>VLOOKUP(AH$1,'cost per tipologia de sòl'!$A$2:$D$37,4,FALSE)*'T50'!AH63</f>
        <v>0</v>
      </c>
      <c r="AI63" s="1100">
        <f>VLOOKUP(AI$1,'cost per tipologia de sòl'!$A$2:$D$37,4,FALSE)*'T50'!AI63</f>
        <v>0</v>
      </c>
      <c r="AJ63" s="1100">
        <f t="shared" si="0"/>
        <v>431270941.45100009</v>
      </c>
      <c r="AK63" s="1098">
        <f t="shared" si="1"/>
        <v>129.38128243530002</v>
      </c>
    </row>
    <row r="64" spans="1:37">
      <c r="A64" s="1099" t="s">
        <v>1670</v>
      </c>
      <c r="B64" s="1100">
        <f>VLOOKUP(B$1,'cost per tipologia de sòl'!$A$2:$D$37,4,FALSE)*'T50'!B64</f>
        <v>477454.10399999999</v>
      </c>
      <c r="C64" s="1100">
        <f>VLOOKUP(C$1,'cost per tipologia de sòl'!$A$2:$D$37,4,FALSE)*'T50'!C64</f>
        <v>0</v>
      </c>
      <c r="D64" s="1100">
        <f>VLOOKUP(D$1,'cost per tipologia de sòl'!$A$2:$D$37,4,FALSE)*'T50'!D64</f>
        <v>0</v>
      </c>
      <c r="E64" s="1100">
        <f>VLOOKUP(E$1,'cost per tipologia de sòl'!$A$2:$D$37,4,FALSE)*'T50'!E64</f>
        <v>0</v>
      </c>
      <c r="F64" s="1100">
        <f>VLOOKUP(F$1,'cost per tipologia de sòl'!$A$2:$D$37,4,FALSE)*'T50'!F64</f>
        <v>0</v>
      </c>
      <c r="G64" s="1100">
        <f>VLOOKUP(G$1,'cost per tipologia de sòl'!$A$2:$D$37,4,FALSE)*'T50'!G64</f>
        <v>0</v>
      </c>
      <c r="H64" s="1100">
        <f>VLOOKUP(H$1,'cost per tipologia de sòl'!$A$2:$D$37,4,FALSE)*'T50'!H64</f>
        <v>0</v>
      </c>
      <c r="I64" s="1100">
        <f>VLOOKUP(I$1,'cost per tipologia de sòl'!$A$2:$D$37,4,FALSE)*'T50'!I64</f>
        <v>0</v>
      </c>
      <c r="J64" s="1100">
        <f>VLOOKUP(J$1,'cost per tipologia de sòl'!$A$2:$D$37,4,FALSE)*'T50'!J64</f>
        <v>25815.173999999999</v>
      </c>
      <c r="K64" s="1100">
        <f>VLOOKUP(K$1,'cost per tipologia de sòl'!$A$2:$D$37,4,FALSE)*'T50'!K64</f>
        <v>0</v>
      </c>
      <c r="L64" s="1100">
        <f>VLOOKUP(L$1,'cost per tipologia de sòl'!$A$2:$D$37,4,FALSE)*'T50'!L64</f>
        <v>0</v>
      </c>
      <c r="M64" s="1100">
        <f>VLOOKUP(M$1,'cost per tipologia de sòl'!$A$2:$D$37,4,FALSE)*'T50'!M64</f>
        <v>0</v>
      </c>
      <c r="N64" s="1100">
        <f>VLOOKUP(N$1,'cost per tipologia de sòl'!$A$2:$D$37,4,FALSE)*'T50'!N64</f>
        <v>0</v>
      </c>
      <c r="O64" s="1100">
        <f>VLOOKUP(O$1,'cost per tipologia de sòl'!$A$2:$D$37,4,FALSE)*'T50'!O64</f>
        <v>0</v>
      </c>
      <c r="P64" s="1100">
        <f>VLOOKUP(P$1,'cost per tipologia de sòl'!$A$2:$D$37,4,FALSE)*'T50'!P64</f>
        <v>0</v>
      </c>
      <c r="Q64" s="1100">
        <f>VLOOKUP(Q$1,'cost per tipologia de sòl'!$A$2:$D$37,4,FALSE)*'T50'!Q64</f>
        <v>0</v>
      </c>
      <c r="R64" s="1100">
        <f>VLOOKUP(R$1,'cost per tipologia de sòl'!$A$2:$D$37,4,FALSE)*'T50'!R64</f>
        <v>0</v>
      </c>
      <c r="S64" s="1100">
        <f>VLOOKUP(S$1,'cost per tipologia de sòl'!$A$2:$D$37,4,FALSE)*'T50'!S64</f>
        <v>0</v>
      </c>
      <c r="T64" s="1100">
        <f>VLOOKUP(T$1,'cost per tipologia de sòl'!$A$2:$D$37,4,FALSE)*'T50'!T64</f>
        <v>0</v>
      </c>
      <c r="U64" s="1100">
        <f>VLOOKUP(U$1,'cost per tipologia de sòl'!$A$2:$D$37,4,FALSE)*'T50'!U64</f>
        <v>0</v>
      </c>
      <c r="V64" s="1100">
        <f>VLOOKUP(V$1,'cost per tipologia de sòl'!$A$2:$D$37,4,FALSE)*'T50'!V64</f>
        <v>0</v>
      </c>
      <c r="W64" s="1100">
        <f>VLOOKUP(W$1,'cost per tipologia de sòl'!$A$2:$D$37,4,FALSE)*'T50'!W64</f>
        <v>0</v>
      </c>
      <c r="X64" s="1100">
        <f>VLOOKUP(X$1,'cost per tipologia de sòl'!$A$2:$D$37,4,FALSE)*'T50'!X64</f>
        <v>0</v>
      </c>
      <c r="Y64" s="1100">
        <f>VLOOKUP(Y$1,'cost per tipologia de sòl'!$A$2:$D$37,4,FALSE)*'T50'!Y64</f>
        <v>0</v>
      </c>
      <c r="Z64" s="1100">
        <f>VLOOKUP(Z$1,'cost per tipologia de sòl'!$A$2:$D$37,4,FALSE)*'T50'!Z64</f>
        <v>179425.56599999999</v>
      </c>
      <c r="AA64" s="1100">
        <f>VLOOKUP(AA$1,'cost per tipologia de sòl'!$A$2:$D$37,4,FALSE)*'T50'!AA64</f>
        <v>0</v>
      </c>
      <c r="AB64" s="1100">
        <f>VLOOKUP(AB$1,'cost per tipologia de sòl'!$A$2:$D$37,4,FALSE)*'T50'!AB64</f>
        <v>0</v>
      </c>
      <c r="AC64" s="1100">
        <f>VLOOKUP(AC$1,'cost per tipologia de sòl'!$A$2:$D$37,4,FALSE)*'T50'!AC64</f>
        <v>0</v>
      </c>
      <c r="AD64" s="1100">
        <f>VLOOKUP(AD$1,'cost per tipologia de sòl'!$A$2:$D$37,4,FALSE)*'T50'!AD64</f>
        <v>353888.3</v>
      </c>
      <c r="AE64" s="1100">
        <f>VLOOKUP(AE$1,'cost per tipologia de sòl'!$A$2:$D$37,4,FALSE)*'T50'!AE64</f>
        <v>0</v>
      </c>
      <c r="AF64" s="1100">
        <f>VLOOKUP(AF$1,'cost per tipologia de sòl'!$A$2:$D$37,4,FALSE)*'T50'!AF64</f>
        <v>0</v>
      </c>
      <c r="AG64" s="1100">
        <f>VLOOKUP(AG$1,'cost per tipologia de sòl'!$A$2:$D$37,4,FALSE)*'T50'!AG64</f>
        <v>0</v>
      </c>
      <c r="AH64" s="1100">
        <f>VLOOKUP(AH$1,'cost per tipologia de sòl'!$A$2:$D$37,4,FALSE)*'T50'!AH64</f>
        <v>0</v>
      </c>
      <c r="AI64" s="1100">
        <f>VLOOKUP(AI$1,'cost per tipologia de sòl'!$A$2:$D$37,4,FALSE)*'T50'!AI64</f>
        <v>0</v>
      </c>
      <c r="AJ64" s="1100">
        <f t="shared" si="0"/>
        <v>1036583.1440000001</v>
      </c>
      <c r="AK64" s="1098">
        <f t="shared" si="1"/>
        <v>0.31097494320000002</v>
      </c>
    </row>
    <row r="65" spans="1:37">
      <c r="A65" s="1099" t="s">
        <v>725</v>
      </c>
      <c r="B65" s="1100">
        <f>VLOOKUP(B$1,'cost per tipologia de sòl'!$A$2:$D$37,4,FALSE)*'T50'!B65</f>
        <v>0</v>
      </c>
      <c r="C65" s="1100">
        <f>VLOOKUP(C$1,'cost per tipologia de sòl'!$A$2:$D$37,4,FALSE)*'T50'!C65</f>
        <v>0</v>
      </c>
      <c r="D65" s="1100">
        <f>VLOOKUP(D$1,'cost per tipologia de sòl'!$A$2:$D$37,4,FALSE)*'T50'!D65</f>
        <v>0</v>
      </c>
      <c r="E65" s="1100">
        <f>VLOOKUP(E$1,'cost per tipologia de sòl'!$A$2:$D$37,4,FALSE)*'T50'!E65</f>
        <v>0</v>
      </c>
      <c r="F65" s="1100">
        <f>VLOOKUP(F$1,'cost per tipologia de sòl'!$A$2:$D$37,4,FALSE)*'T50'!F65</f>
        <v>0</v>
      </c>
      <c r="G65" s="1100">
        <f>VLOOKUP(G$1,'cost per tipologia de sòl'!$A$2:$D$37,4,FALSE)*'T50'!G65</f>
        <v>0</v>
      </c>
      <c r="H65" s="1100">
        <f>VLOOKUP(H$1,'cost per tipologia de sòl'!$A$2:$D$37,4,FALSE)*'T50'!H65</f>
        <v>0</v>
      </c>
      <c r="I65" s="1100">
        <f>VLOOKUP(I$1,'cost per tipologia de sòl'!$A$2:$D$37,4,FALSE)*'T50'!I65</f>
        <v>0</v>
      </c>
      <c r="J65" s="1100">
        <f>VLOOKUP(J$1,'cost per tipologia de sòl'!$A$2:$D$37,4,FALSE)*'T50'!J65</f>
        <v>97929.342499999999</v>
      </c>
      <c r="K65" s="1100">
        <f>VLOOKUP(K$1,'cost per tipologia de sòl'!$A$2:$D$37,4,FALSE)*'T50'!K65</f>
        <v>0</v>
      </c>
      <c r="L65" s="1100">
        <f>VLOOKUP(L$1,'cost per tipologia de sòl'!$A$2:$D$37,4,FALSE)*'T50'!L65</f>
        <v>0</v>
      </c>
      <c r="M65" s="1100">
        <f>VLOOKUP(M$1,'cost per tipologia de sòl'!$A$2:$D$37,4,FALSE)*'T50'!M65</f>
        <v>0</v>
      </c>
      <c r="N65" s="1100">
        <f>VLOOKUP(N$1,'cost per tipologia de sòl'!$A$2:$D$37,4,FALSE)*'T50'!N65</f>
        <v>0</v>
      </c>
      <c r="O65" s="1100">
        <f>VLOOKUP(O$1,'cost per tipologia de sòl'!$A$2:$D$37,4,FALSE)*'T50'!O65</f>
        <v>0</v>
      </c>
      <c r="P65" s="1100">
        <f>VLOOKUP(P$1,'cost per tipologia de sòl'!$A$2:$D$37,4,FALSE)*'T50'!P65</f>
        <v>0</v>
      </c>
      <c r="Q65" s="1100">
        <f>VLOOKUP(Q$1,'cost per tipologia de sòl'!$A$2:$D$37,4,FALSE)*'T50'!Q65</f>
        <v>0</v>
      </c>
      <c r="R65" s="1100">
        <f>VLOOKUP(R$1,'cost per tipologia de sòl'!$A$2:$D$37,4,FALSE)*'T50'!R65</f>
        <v>0</v>
      </c>
      <c r="S65" s="1100">
        <f>VLOOKUP(S$1,'cost per tipologia de sòl'!$A$2:$D$37,4,FALSE)*'T50'!S65</f>
        <v>0</v>
      </c>
      <c r="T65" s="1100">
        <f>VLOOKUP(T$1,'cost per tipologia de sòl'!$A$2:$D$37,4,FALSE)*'T50'!T65</f>
        <v>62672.226999999992</v>
      </c>
      <c r="U65" s="1100">
        <f>VLOOKUP(U$1,'cost per tipologia de sòl'!$A$2:$D$37,4,FALSE)*'T50'!U65</f>
        <v>0</v>
      </c>
      <c r="V65" s="1100">
        <f>VLOOKUP(V$1,'cost per tipologia de sòl'!$A$2:$D$37,4,FALSE)*'T50'!V65</f>
        <v>0</v>
      </c>
      <c r="W65" s="1100">
        <f>VLOOKUP(W$1,'cost per tipologia de sòl'!$A$2:$D$37,4,FALSE)*'T50'!W65</f>
        <v>0</v>
      </c>
      <c r="X65" s="1100">
        <f>VLOOKUP(X$1,'cost per tipologia de sòl'!$A$2:$D$37,4,FALSE)*'T50'!X65</f>
        <v>0</v>
      </c>
      <c r="Y65" s="1100">
        <f>VLOOKUP(Y$1,'cost per tipologia de sòl'!$A$2:$D$37,4,FALSE)*'T50'!Y65</f>
        <v>0</v>
      </c>
      <c r="Z65" s="1100">
        <f>VLOOKUP(Z$1,'cost per tipologia de sòl'!$A$2:$D$37,4,FALSE)*'T50'!Z65</f>
        <v>0</v>
      </c>
      <c r="AA65" s="1100">
        <f>VLOOKUP(AA$1,'cost per tipologia de sòl'!$A$2:$D$37,4,FALSE)*'T50'!AA65</f>
        <v>0</v>
      </c>
      <c r="AB65" s="1100">
        <f>VLOOKUP(AB$1,'cost per tipologia de sòl'!$A$2:$D$37,4,FALSE)*'T50'!AB65</f>
        <v>0</v>
      </c>
      <c r="AC65" s="1100">
        <f>VLOOKUP(AC$1,'cost per tipologia de sòl'!$A$2:$D$37,4,FALSE)*'T50'!AC65</f>
        <v>0</v>
      </c>
      <c r="AD65" s="1100">
        <f>VLOOKUP(AD$1,'cost per tipologia de sòl'!$A$2:$D$37,4,FALSE)*'T50'!AD65</f>
        <v>0</v>
      </c>
      <c r="AE65" s="1100">
        <f>VLOOKUP(AE$1,'cost per tipologia de sòl'!$A$2:$D$37,4,FALSE)*'T50'!AE65</f>
        <v>0</v>
      </c>
      <c r="AF65" s="1100">
        <f>VLOOKUP(AF$1,'cost per tipologia de sòl'!$A$2:$D$37,4,FALSE)*'T50'!AF65</f>
        <v>0</v>
      </c>
      <c r="AG65" s="1100">
        <f>VLOOKUP(AG$1,'cost per tipologia de sòl'!$A$2:$D$37,4,FALSE)*'T50'!AG65</f>
        <v>0</v>
      </c>
      <c r="AH65" s="1100">
        <f>VLOOKUP(AH$1,'cost per tipologia de sòl'!$A$2:$D$37,4,FALSE)*'T50'!AH65</f>
        <v>0</v>
      </c>
      <c r="AI65" s="1100">
        <f>VLOOKUP(AI$1,'cost per tipologia de sòl'!$A$2:$D$37,4,FALSE)*'T50'!AI65</f>
        <v>0</v>
      </c>
      <c r="AJ65" s="1100">
        <f t="shared" si="0"/>
        <v>160601.56949999998</v>
      </c>
      <c r="AK65" s="1098">
        <f t="shared" si="1"/>
        <v>4.818047084999999E-2</v>
      </c>
    </row>
    <row r="66" spans="1:37">
      <c r="A66" s="1099" t="s">
        <v>1084</v>
      </c>
      <c r="B66" s="1100">
        <f>VLOOKUP(B$1,'cost per tipologia de sòl'!$A$2:$D$37,4,FALSE)*'T50'!B66</f>
        <v>140772.24</v>
      </c>
      <c r="C66" s="1100">
        <f>VLOOKUP(C$1,'cost per tipologia de sòl'!$A$2:$D$37,4,FALSE)*'T50'!C66</f>
        <v>0</v>
      </c>
      <c r="D66" s="1100">
        <f>VLOOKUP(D$1,'cost per tipologia de sòl'!$A$2:$D$37,4,FALSE)*'T50'!D66</f>
        <v>0</v>
      </c>
      <c r="E66" s="1100">
        <f>VLOOKUP(E$1,'cost per tipologia de sòl'!$A$2:$D$37,4,FALSE)*'T50'!E66</f>
        <v>0</v>
      </c>
      <c r="F66" s="1100">
        <f>VLOOKUP(F$1,'cost per tipologia de sòl'!$A$2:$D$37,4,FALSE)*'T50'!F66</f>
        <v>0</v>
      </c>
      <c r="G66" s="1100">
        <f>VLOOKUP(G$1,'cost per tipologia de sòl'!$A$2:$D$37,4,FALSE)*'T50'!G66</f>
        <v>0</v>
      </c>
      <c r="H66" s="1100">
        <f>VLOOKUP(H$1,'cost per tipologia de sòl'!$A$2:$D$37,4,FALSE)*'T50'!H66</f>
        <v>0</v>
      </c>
      <c r="I66" s="1100">
        <f>VLOOKUP(I$1,'cost per tipologia de sòl'!$A$2:$D$37,4,FALSE)*'T50'!I66</f>
        <v>0</v>
      </c>
      <c r="J66" s="1100">
        <f>VLOOKUP(J$1,'cost per tipologia de sòl'!$A$2:$D$37,4,FALSE)*'T50'!J66</f>
        <v>415683.092</v>
      </c>
      <c r="K66" s="1100">
        <f>VLOOKUP(K$1,'cost per tipologia de sòl'!$A$2:$D$37,4,FALSE)*'T50'!K66</f>
        <v>0</v>
      </c>
      <c r="L66" s="1100">
        <f>VLOOKUP(L$1,'cost per tipologia de sòl'!$A$2:$D$37,4,FALSE)*'T50'!L66</f>
        <v>0</v>
      </c>
      <c r="M66" s="1100">
        <f>VLOOKUP(M$1,'cost per tipologia de sòl'!$A$2:$D$37,4,FALSE)*'T50'!M66</f>
        <v>0</v>
      </c>
      <c r="N66" s="1100">
        <f>VLOOKUP(N$1,'cost per tipologia de sòl'!$A$2:$D$37,4,FALSE)*'T50'!N66</f>
        <v>0</v>
      </c>
      <c r="O66" s="1100">
        <f>VLOOKUP(O$1,'cost per tipologia de sòl'!$A$2:$D$37,4,FALSE)*'T50'!O66</f>
        <v>0</v>
      </c>
      <c r="P66" s="1100">
        <f>VLOOKUP(P$1,'cost per tipologia de sòl'!$A$2:$D$37,4,FALSE)*'T50'!P66</f>
        <v>7979.9679999999998</v>
      </c>
      <c r="Q66" s="1100">
        <f>VLOOKUP(Q$1,'cost per tipologia de sòl'!$A$2:$D$37,4,FALSE)*'T50'!Q66</f>
        <v>0</v>
      </c>
      <c r="R66" s="1100">
        <f>VLOOKUP(R$1,'cost per tipologia de sòl'!$A$2:$D$37,4,FALSE)*'T50'!R66</f>
        <v>0</v>
      </c>
      <c r="S66" s="1100">
        <f>VLOOKUP(S$1,'cost per tipologia de sòl'!$A$2:$D$37,4,FALSE)*'T50'!S66</f>
        <v>96430.32</v>
      </c>
      <c r="T66" s="1100">
        <f>VLOOKUP(T$1,'cost per tipologia de sòl'!$A$2:$D$37,4,FALSE)*'T50'!T66</f>
        <v>941332.32699999993</v>
      </c>
      <c r="U66" s="1100">
        <f>VLOOKUP(U$1,'cost per tipologia de sòl'!$A$2:$D$37,4,FALSE)*'T50'!U66</f>
        <v>1658763.75</v>
      </c>
      <c r="V66" s="1100">
        <f>VLOOKUP(V$1,'cost per tipologia de sòl'!$A$2:$D$37,4,FALSE)*'T50'!V66</f>
        <v>0</v>
      </c>
      <c r="W66" s="1100">
        <f>VLOOKUP(W$1,'cost per tipologia de sòl'!$A$2:$D$37,4,FALSE)*'T50'!W66</f>
        <v>0</v>
      </c>
      <c r="X66" s="1100">
        <f>VLOOKUP(X$1,'cost per tipologia de sòl'!$A$2:$D$37,4,FALSE)*'T50'!X66</f>
        <v>0</v>
      </c>
      <c r="Y66" s="1100">
        <f>VLOOKUP(Y$1,'cost per tipologia de sòl'!$A$2:$D$37,4,FALSE)*'T50'!Y66</f>
        <v>0</v>
      </c>
      <c r="Z66" s="1100">
        <f>VLOOKUP(Z$1,'cost per tipologia de sòl'!$A$2:$D$37,4,FALSE)*'T50'!Z66</f>
        <v>0</v>
      </c>
      <c r="AA66" s="1100">
        <f>VLOOKUP(AA$1,'cost per tipologia de sòl'!$A$2:$D$37,4,FALSE)*'T50'!AA66</f>
        <v>0</v>
      </c>
      <c r="AB66" s="1100">
        <f>VLOOKUP(AB$1,'cost per tipologia de sòl'!$A$2:$D$37,4,FALSE)*'T50'!AB66</f>
        <v>4594986.6000000006</v>
      </c>
      <c r="AC66" s="1100">
        <f>VLOOKUP(AC$1,'cost per tipologia de sòl'!$A$2:$D$37,4,FALSE)*'T50'!AC66</f>
        <v>357266.5</v>
      </c>
      <c r="AD66" s="1100">
        <f>VLOOKUP(AD$1,'cost per tipologia de sòl'!$A$2:$D$37,4,FALSE)*'T50'!AD66</f>
        <v>4888134.75</v>
      </c>
      <c r="AE66" s="1100">
        <f>VLOOKUP(AE$1,'cost per tipologia de sòl'!$A$2:$D$37,4,FALSE)*'T50'!AE66</f>
        <v>0</v>
      </c>
      <c r="AF66" s="1100">
        <f>VLOOKUP(AF$1,'cost per tipologia de sòl'!$A$2:$D$37,4,FALSE)*'T50'!AF66</f>
        <v>0</v>
      </c>
      <c r="AG66" s="1100">
        <f>VLOOKUP(AG$1,'cost per tipologia de sòl'!$A$2:$D$37,4,FALSE)*'T50'!AG66</f>
        <v>0</v>
      </c>
      <c r="AH66" s="1100">
        <f>VLOOKUP(AH$1,'cost per tipologia de sòl'!$A$2:$D$37,4,FALSE)*'T50'!AH66</f>
        <v>0</v>
      </c>
      <c r="AI66" s="1100">
        <f>VLOOKUP(AI$1,'cost per tipologia de sòl'!$A$2:$D$37,4,FALSE)*'T50'!AI66</f>
        <v>0</v>
      </c>
      <c r="AJ66" s="1100">
        <f t="shared" si="0"/>
        <v>13101349.547</v>
      </c>
      <c r="AK66" s="1098">
        <f t="shared" si="1"/>
        <v>3.9304048641000002</v>
      </c>
    </row>
    <row r="67" spans="1:37">
      <c r="A67" s="1099" t="s">
        <v>1184</v>
      </c>
      <c r="B67" s="1100">
        <f>VLOOKUP(B$1,'cost per tipologia de sòl'!$A$2:$D$37,4,FALSE)*'T50'!B67</f>
        <v>10981150.560000001</v>
      </c>
      <c r="C67" s="1100">
        <f>VLOOKUP(C$1,'cost per tipologia de sòl'!$A$2:$D$37,4,FALSE)*'T50'!C67</f>
        <v>0</v>
      </c>
      <c r="D67" s="1100">
        <f>VLOOKUP(D$1,'cost per tipologia de sòl'!$A$2:$D$37,4,FALSE)*'T50'!D67</f>
        <v>0</v>
      </c>
      <c r="E67" s="1100">
        <f>VLOOKUP(E$1,'cost per tipologia de sòl'!$A$2:$D$37,4,FALSE)*'T50'!E67</f>
        <v>0</v>
      </c>
      <c r="F67" s="1100">
        <f>VLOOKUP(F$1,'cost per tipologia de sòl'!$A$2:$D$37,4,FALSE)*'T50'!F67</f>
        <v>0</v>
      </c>
      <c r="G67" s="1100">
        <f>VLOOKUP(G$1,'cost per tipologia de sòl'!$A$2:$D$37,4,FALSE)*'T50'!G67</f>
        <v>0</v>
      </c>
      <c r="H67" s="1100">
        <f>VLOOKUP(H$1,'cost per tipologia de sòl'!$A$2:$D$37,4,FALSE)*'T50'!H67</f>
        <v>0</v>
      </c>
      <c r="I67" s="1100">
        <f>VLOOKUP(I$1,'cost per tipologia de sòl'!$A$2:$D$37,4,FALSE)*'T50'!I67</f>
        <v>0</v>
      </c>
      <c r="J67" s="1100">
        <f>VLOOKUP(J$1,'cost per tipologia de sòl'!$A$2:$D$37,4,FALSE)*'T50'!J67</f>
        <v>1527285.804</v>
      </c>
      <c r="K67" s="1100">
        <f>VLOOKUP(K$1,'cost per tipologia de sòl'!$A$2:$D$37,4,FALSE)*'T50'!K67</f>
        <v>48624.218999999997</v>
      </c>
      <c r="L67" s="1100">
        <f>VLOOKUP(L$1,'cost per tipologia de sòl'!$A$2:$D$37,4,FALSE)*'T50'!L67</f>
        <v>0</v>
      </c>
      <c r="M67" s="1100">
        <f>VLOOKUP(M$1,'cost per tipologia de sòl'!$A$2:$D$37,4,FALSE)*'T50'!M67</f>
        <v>0</v>
      </c>
      <c r="N67" s="1100">
        <f>VLOOKUP(N$1,'cost per tipologia de sòl'!$A$2:$D$37,4,FALSE)*'T50'!N67</f>
        <v>0</v>
      </c>
      <c r="O67" s="1100">
        <f>VLOOKUP(O$1,'cost per tipologia de sòl'!$A$2:$D$37,4,FALSE)*'T50'!O67</f>
        <v>0</v>
      </c>
      <c r="P67" s="1100">
        <f>VLOOKUP(P$1,'cost per tipologia de sòl'!$A$2:$D$37,4,FALSE)*'T50'!P67</f>
        <v>0</v>
      </c>
      <c r="Q67" s="1100">
        <f>VLOOKUP(Q$1,'cost per tipologia de sòl'!$A$2:$D$37,4,FALSE)*'T50'!Q67</f>
        <v>0</v>
      </c>
      <c r="R67" s="1100">
        <f>VLOOKUP(R$1,'cost per tipologia de sòl'!$A$2:$D$37,4,FALSE)*'T50'!R67</f>
        <v>0</v>
      </c>
      <c r="S67" s="1100">
        <f>VLOOKUP(S$1,'cost per tipologia de sòl'!$A$2:$D$37,4,FALSE)*'T50'!S67</f>
        <v>438962.83199999999</v>
      </c>
      <c r="T67" s="1100">
        <f>VLOOKUP(T$1,'cost per tipologia de sòl'!$A$2:$D$37,4,FALSE)*'T50'!T67</f>
        <v>1025172.1980000001</v>
      </c>
      <c r="U67" s="1100">
        <f>VLOOKUP(U$1,'cost per tipologia de sòl'!$A$2:$D$37,4,FALSE)*'T50'!U67</f>
        <v>0</v>
      </c>
      <c r="V67" s="1100">
        <f>VLOOKUP(V$1,'cost per tipologia de sòl'!$A$2:$D$37,4,FALSE)*'T50'!V67</f>
        <v>0</v>
      </c>
      <c r="W67" s="1100">
        <f>VLOOKUP(W$1,'cost per tipologia de sòl'!$A$2:$D$37,4,FALSE)*'T50'!W67</f>
        <v>0</v>
      </c>
      <c r="X67" s="1100">
        <f>VLOOKUP(X$1,'cost per tipologia de sòl'!$A$2:$D$37,4,FALSE)*'T50'!X67</f>
        <v>0</v>
      </c>
      <c r="Y67" s="1100">
        <f>VLOOKUP(Y$1,'cost per tipologia de sòl'!$A$2:$D$37,4,FALSE)*'T50'!Y67</f>
        <v>0</v>
      </c>
      <c r="Z67" s="1100">
        <f>VLOOKUP(Z$1,'cost per tipologia de sòl'!$A$2:$D$37,4,FALSE)*'T50'!Z67</f>
        <v>5532.1580000000004</v>
      </c>
      <c r="AA67" s="1100">
        <f>VLOOKUP(AA$1,'cost per tipologia de sòl'!$A$2:$D$37,4,FALSE)*'T50'!AA67</f>
        <v>0</v>
      </c>
      <c r="AB67" s="1100">
        <f>VLOOKUP(AB$1,'cost per tipologia de sòl'!$A$2:$D$37,4,FALSE)*'T50'!AB67</f>
        <v>4767420.1500000004</v>
      </c>
      <c r="AC67" s="1100">
        <f>VLOOKUP(AC$1,'cost per tipologia de sòl'!$A$2:$D$37,4,FALSE)*'T50'!AC67</f>
        <v>5590358.5999999996</v>
      </c>
      <c r="AD67" s="1100">
        <f>VLOOKUP(AD$1,'cost per tipologia de sòl'!$A$2:$D$37,4,FALSE)*'T50'!AD67</f>
        <v>3022710.95</v>
      </c>
      <c r="AE67" s="1100">
        <f>VLOOKUP(AE$1,'cost per tipologia de sòl'!$A$2:$D$37,4,FALSE)*'T50'!AE67</f>
        <v>0</v>
      </c>
      <c r="AF67" s="1100">
        <f>VLOOKUP(AF$1,'cost per tipologia de sòl'!$A$2:$D$37,4,FALSE)*'T50'!AF67</f>
        <v>0</v>
      </c>
      <c r="AG67" s="1100">
        <f>VLOOKUP(AG$1,'cost per tipologia de sòl'!$A$2:$D$37,4,FALSE)*'T50'!AG67</f>
        <v>0</v>
      </c>
      <c r="AH67" s="1100">
        <f>VLOOKUP(AH$1,'cost per tipologia de sòl'!$A$2:$D$37,4,FALSE)*'T50'!AH67</f>
        <v>0</v>
      </c>
      <c r="AI67" s="1100">
        <f>VLOOKUP(AI$1,'cost per tipologia de sòl'!$A$2:$D$37,4,FALSE)*'T50'!AI67</f>
        <v>0</v>
      </c>
      <c r="AJ67" s="1100">
        <f t="shared" ref="AJ67:AJ130" si="2">SUM(B67:AI67)</f>
        <v>27407217.471000005</v>
      </c>
      <c r="AK67" s="1098">
        <f t="shared" ref="AK67:AK130" si="3">15*AJ67/(50*1000000)</f>
        <v>8.2221652413000008</v>
      </c>
    </row>
    <row r="68" spans="1:37">
      <c r="A68" s="1099" t="s">
        <v>1187</v>
      </c>
      <c r="B68" s="1100">
        <f>VLOOKUP(B$1,'cost per tipologia de sòl'!$A$2:$D$37,4,FALSE)*'T50'!B68</f>
        <v>37627339.824000001</v>
      </c>
      <c r="C68" s="1100">
        <f>VLOOKUP(C$1,'cost per tipologia de sòl'!$A$2:$D$37,4,FALSE)*'T50'!C68</f>
        <v>0</v>
      </c>
      <c r="D68" s="1100">
        <f>VLOOKUP(D$1,'cost per tipologia de sòl'!$A$2:$D$37,4,FALSE)*'T50'!D68</f>
        <v>0</v>
      </c>
      <c r="E68" s="1100">
        <f>VLOOKUP(E$1,'cost per tipologia de sòl'!$A$2:$D$37,4,FALSE)*'T50'!E68</f>
        <v>0</v>
      </c>
      <c r="F68" s="1100">
        <f>VLOOKUP(F$1,'cost per tipologia de sòl'!$A$2:$D$37,4,FALSE)*'T50'!F68</f>
        <v>0</v>
      </c>
      <c r="G68" s="1100">
        <f>VLOOKUP(G$1,'cost per tipologia de sòl'!$A$2:$D$37,4,FALSE)*'T50'!G68</f>
        <v>0</v>
      </c>
      <c r="H68" s="1100">
        <f>VLOOKUP(H$1,'cost per tipologia de sòl'!$A$2:$D$37,4,FALSE)*'T50'!H68</f>
        <v>0</v>
      </c>
      <c r="I68" s="1100">
        <f>VLOOKUP(I$1,'cost per tipologia de sòl'!$A$2:$D$37,4,FALSE)*'T50'!I68</f>
        <v>0</v>
      </c>
      <c r="J68" s="1100">
        <f>VLOOKUP(J$1,'cost per tipologia de sòl'!$A$2:$D$37,4,FALSE)*'T50'!J68</f>
        <v>1974.6154999999999</v>
      </c>
      <c r="K68" s="1100">
        <f>VLOOKUP(K$1,'cost per tipologia de sòl'!$A$2:$D$37,4,FALSE)*'T50'!K68</f>
        <v>0</v>
      </c>
      <c r="L68" s="1100">
        <f>VLOOKUP(L$1,'cost per tipologia de sòl'!$A$2:$D$37,4,FALSE)*'T50'!L68</f>
        <v>0</v>
      </c>
      <c r="M68" s="1100">
        <f>VLOOKUP(M$1,'cost per tipologia de sòl'!$A$2:$D$37,4,FALSE)*'T50'!M68</f>
        <v>579558.576</v>
      </c>
      <c r="N68" s="1100">
        <f>VLOOKUP(N$1,'cost per tipologia de sòl'!$A$2:$D$37,4,FALSE)*'T50'!N68</f>
        <v>0</v>
      </c>
      <c r="O68" s="1100">
        <f>VLOOKUP(O$1,'cost per tipologia de sòl'!$A$2:$D$37,4,FALSE)*'T50'!O68</f>
        <v>0</v>
      </c>
      <c r="P68" s="1100">
        <f>VLOOKUP(P$1,'cost per tipologia de sòl'!$A$2:$D$37,4,FALSE)*'T50'!P68</f>
        <v>0</v>
      </c>
      <c r="Q68" s="1100">
        <f>VLOOKUP(Q$1,'cost per tipologia de sòl'!$A$2:$D$37,4,FALSE)*'T50'!Q68</f>
        <v>0</v>
      </c>
      <c r="R68" s="1100">
        <f>VLOOKUP(R$1,'cost per tipologia de sòl'!$A$2:$D$37,4,FALSE)*'T50'!R68</f>
        <v>0</v>
      </c>
      <c r="S68" s="1100">
        <f>VLOOKUP(S$1,'cost per tipologia de sòl'!$A$2:$D$37,4,FALSE)*'T50'!S68</f>
        <v>55923630.336000003</v>
      </c>
      <c r="T68" s="1100">
        <f>VLOOKUP(T$1,'cost per tipologia de sòl'!$A$2:$D$37,4,FALSE)*'T50'!T68</f>
        <v>17834308.252</v>
      </c>
      <c r="U68" s="1100">
        <f>VLOOKUP(U$1,'cost per tipologia de sòl'!$A$2:$D$37,4,FALSE)*'T50'!U68</f>
        <v>0</v>
      </c>
      <c r="V68" s="1100">
        <f>VLOOKUP(V$1,'cost per tipologia de sòl'!$A$2:$D$37,4,FALSE)*'T50'!V68</f>
        <v>0</v>
      </c>
      <c r="W68" s="1100">
        <f>VLOOKUP(W$1,'cost per tipologia de sòl'!$A$2:$D$37,4,FALSE)*'T50'!W68</f>
        <v>0</v>
      </c>
      <c r="X68" s="1100">
        <f>VLOOKUP(X$1,'cost per tipologia de sòl'!$A$2:$D$37,4,FALSE)*'T50'!X68</f>
        <v>0</v>
      </c>
      <c r="Y68" s="1100">
        <f>VLOOKUP(Y$1,'cost per tipologia de sòl'!$A$2:$D$37,4,FALSE)*'T50'!Y68</f>
        <v>0</v>
      </c>
      <c r="Z68" s="1100">
        <f>VLOOKUP(Z$1,'cost per tipologia de sòl'!$A$2:$D$37,4,FALSE)*'T50'!Z68</f>
        <v>0</v>
      </c>
      <c r="AA68" s="1100">
        <f>VLOOKUP(AA$1,'cost per tipologia de sòl'!$A$2:$D$37,4,FALSE)*'T50'!AA68</f>
        <v>92107.25</v>
      </c>
      <c r="AB68" s="1100">
        <f>VLOOKUP(AB$1,'cost per tipologia de sòl'!$A$2:$D$37,4,FALSE)*'T50'!AB68</f>
        <v>47070.6</v>
      </c>
      <c r="AC68" s="1100">
        <f>VLOOKUP(AC$1,'cost per tipologia de sòl'!$A$2:$D$37,4,FALSE)*'T50'!AC68</f>
        <v>0</v>
      </c>
      <c r="AD68" s="1100">
        <f>VLOOKUP(AD$1,'cost per tipologia de sòl'!$A$2:$D$37,4,FALSE)*'T50'!AD68</f>
        <v>8714899.0999999996</v>
      </c>
      <c r="AE68" s="1100">
        <f>VLOOKUP(AE$1,'cost per tipologia de sòl'!$A$2:$D$37,4,FALSE)*'T50'!AE68</f>
        <v>0</v>
      </c>
      <c r="AF68" s="1100">
        <f>VLOOKUP(AF$1,'cost per tipologia de sòl'!$A$2:$D$37,4,FALSE)*'T50'!AF68</f>
        <v>0</v>
      </c>
      <c r="AG68" s="1100">
        <f>VLOOKUP(AG$1,'cost per tipologia de sòl'!$A$2:$D$37,4,FALSE)*'T50'!AG68</f>
        <v>0</v>
      </c>
      <c r="AH68" s="1100">
        <f>VLOOKUP(AH$1,'cost per tipologia de sòl'!$A$2:$D$37,4,FALSE)*'T50'!AH68</f>
        <v>0</v>
      </c>
      <c r="AI68" s="1100">
        <f>VLOOKUP(AI$1,'cost per tipologia de sòl'!$A$2:$D$37,4,FALSE)*'T50'!AI68</f>
        <v>0</v>
      </c>
      <c r="AJ68" s="1100">
        <f t="shared" si="2"/>
        <v>120820888.5535</v>
      </c>
      <c r="AK68" s="1098">
        <f t="shared" si="3"/>
        <v>36.246266566050004</v>
      </c>
    </row>
    <row r="69" spans="1:37">
      <c r="A69" s="1099" t="s">
        <v>1135</v>
      </c>
      <c r="B69" s="1100">
        <f>VLOOKUP(B$1,'cost per tipologia de sòl'!$A$2:$D$37,4,FALSE)*'T50'!B69</f>
        <v>0</v>
      </c>
      <c r="C69" s="1100">
        <f>VLOOKUP(C$1,'cost per tipologia de sòl'!$A$2:$D$37,4,FALSE)*'T50'!C69</f>
        <v>0</v>
      </c>
      <c r="D69" s="1100">
        <f>VLOOKUP(D$1,'cost per tipologia de sòl'!$A$2:$D$37,4,FALSE)*'T50'!D69</f>
        <v>0</v>
      </c>
      <c r="E69" s="1100">
        <f>VLOOKUP(E$1,'cost per tipologia de sòl'!$A$2:$D$37,4,FALSE)*'T50'!E69</f>
        <v>0</v>
      </c>
      <c r="F69" s="1100">
        <f>VLOOKUP(F$1,'cost per tipologia de sòl'!$A$2:$D$37,4,FALSE)*'T50'!F69</f>
        <v>0</v>
      </c>
      <c r="G69" s="1100">
        <f>VLOOKUP(G$1,'cost per tipologia de sòl'!$A$2:$D$37,4,FALSE)*'T50'!G69</f>
        <v>0</v>
      </c>
      <c r="H69" s="1100">
        <f>VLOOKUP(H$1,'cost per tipologia de sòl'!$A$2:$D$37,4,FALSE)*'T50'!H69</f>
        <v>0</v>
      </c>
      <c r="I69" s="1100">
        <f>VLOOKUP(I$1,'cost per tipologia de sòl'!$A$2:$D$37,4,FALSE)*'T50'!I69</f>
        <v>0</v>
      </c>
      <c r="J69" s="1100">
        <f>VLOOKUP(J$1,'cost per tipologia de sòl'!$A$2:$D$37,4,FALSE)*'T50'!J69</f>
        <v>0</v>
      </c>
      <c r="K69" s="1100">
        <f>VLOOKUP(K$1,'cost per tipologia de sòl'!$A$2:$D$37,4,FALSE)*'T50'!K69</f>
        <v>0</v>
      </c>
      <c r="L69" s="1100">
        <f>VLOOKUP(L$1,'cost per tipologia de sòl'!$A$2:$D$37,4,FALSE)*'T50'!L69</f>
        <v>0</v>
      </c>
      <c r="M69" s="1100">
        <f>VLOOKUP(M$1,'cost per tipologia de sòl'!$A$2:$D$37,4,FALSE)*'T50'!M69</f>
        <v>0</v>
      </c>
      <c r="N69" s="1100">
        <f>VLOOKUP(N$1,'cost per tipologia de sòl'!$A$2:$D$37,4,FALSE)*'T50'!N69</f>
        <v>0</v>
      </c>
      <c r="O69" s="1100">
        <f>VLOOKUP(O$1,'cost per tipologia de sòl'!$A$2:$D$37,4,FALSE)*'T50'!O69</f>
        <v>0</v>
      </c>
      <c r="P69" s="1100">
        <f>VLOOKUP(P$1,'cost per tipologia de sòl'!$A$2:$D$37,4,FALSE)*'T50'!P69</f>
        <v>0</v>
      </c>
      <c r="Q69" s="1100">
        <f>VLOOKUP(Q$1,'cost per tipologia de sòl'!$A$2:$D$37,4,FALSE)*'T50'!Q69</f>
        <v>0</v>
      </c>
      <c r="R69" s="1100">
        <f>VLOOKUP(R$1,'cost per tipologia de sòl'!$A$2:$D$37,4,FALSE)*'T50'!R69</f>
        <v>0</v>
      </c>
      <c r="S69" s="1100">
        <f>VLOOKUP(S$1,'cost per tipologia de sòl'!$A$2:$D$37,4,FALSE)*'T50'!S69</f>
        <v>0</v>
      </c>
      <c r="T69" s="1100">
        <f>VLOOKUP(T$1,'cost per tipologia de sòl'!$A$2:$D$37,4,FALSE)*'T50'!T69</f>
        <v>0</v>
      </c>
      <c r="U69" s="1100">
        <f>VLOOKUP(U$1,'cost per tipologia de sòl'!$A$2:$D$37,4,FALSE)*'T50'!U69</f>
        <v>668791.19999999995</v>
      </c>
      <c r="V69" s="1100">
        <f>VLOOKUP(V$1,'cost per tipologia de sòl'!$A$2:$D$37,4,FALSE)*'T50'!V69</f>
        <v>0</v>
      </c>
      <c r="W69" s="1100">
        <f>VLOOKUP(W$1,'cost per tipologia de sòl'!$A$2:$D$37,4,FALSE)*'T50'!W69</f>
        <v>0</v>
      </c>
      <c r="X69" s="1100">
        <f>VLOOKUP(X$1,'cost per tipologia de sòl'!$A$2:$D$37,4,FALSE)*'T50'!X69</f>
        <v>0</v>
      </c>
      <c r="Y69" s="1100">
        <f>VLOOKUP(Y$1,'cost per tipologia de sòl'!$A$2:$D$37,4,FALSE)*'T50'!Y69</f>
        <v>0</v>
      </c>
      <c r="Z69" s="1100">
        <f>VLOOKUP(Z$1,'cost per tipologia de sòl'!$A$2:$D$37,4,FALSE)*'T50'!Z69</f>
        <v>0</v>
      </c>
      <c r="AA69" s="1100">
        <f>VLOOKUP(AA$1,'cost per tipologia de sòl'!$A$2:$D$37,4,FALSE)*'T50'!AA69</f>
        <v>0</v>
      </c>
      <c r="AB69" s="1100">
        <f>VLOOKUP(AB$1,'cost per tipologia de sòl'!$A$2:$D$37,4,FALSE)*'T50'!AB69</f>
        <v>0</v>
      </c>
      <c r="AC69" s="1100">
        <f>VLOOKUP(AC$1,'cost per tipologia de sòl'!$A$2:$D$37,4,FALSE)*'T50'!AC69</f>
        <v>0</v>
      </c>
      <c r="AD69" s="1100">
        <f>VLOOKUP(AD$1,'cost per tipologia de sòl'!$A$2:$D$37,4,FALSE)*'T50'!AD69</f>
        <v>2784547.85</v>
      </c>
      <c r="AE69" s="1100">
        <f>VLOOKUP(AE$1,'cost per tipologia de sòl'!$A$2:$D$37,4,FALSE)*'T50'!AE69</f>
        <v>0</v>
      </c>
      <c r="AF69" s="1100">
        <f>VLOOKUP(AF$1,'cost per tipologia de sòl'!$A$2:$D$37,4,FALSE)*'T50'!AF69</f>
        <v>0</v>
      </c>
      <c r="AG69" s="1100">
        <f>VLOOKUP(AG$1,'cost per tipologia de sòl'!$A$2:$D$37,4,FALSE)*'T50'!AG69</f>
        <v>0</v>
      </c>
      <c r="AH69" s="1100">
        <f>VLOOKUP(AH$1,'cost per tipologia de sòl'!$A$2:$D$37,4,FALSE)*'T50'!AH69</f>
        <v>0</v>
      </c>
      <c r="AI69" s="1100">
        <f>VLOOKUP(AI$1,'cost per tipologia de sòl'!$A$2:$D$37,4,FALSE)*'T50'!AI69</f>
        <v>0</v>
      </c>
      <c r="AJ69" s="1100">
        <f t="shared" si="2"/>
        <v>3453339.05</v>
      </c>
      <c r="AK69" s="1098">
        <f t="shared" si="3"/>
        <v>1.036001715</v>
      </c>
    </row>
    <row r="70" spans="1:37">
      <c r="A70" s="1099" t="s">
        <v>1155</v>
      </c>
      <c r="B70" s="1100">
        <f>VLOOKUP(B$1,'cost per tipologia de sòl'!$A$2:$D$37,4,FALSE)*'T50'!B70</f>
        <v>67047095.196000002</v>
      </c>
      <c r="C70" s="1100">
        <f>VLOOKUP(C$1,'cost per tipologia de sòl'!$A$2:$D$37,4,FALSE)*'T50'!C70</f>
        <v>51506380.119999997</v>
      </c>
      <c r="D70" s="1100">
        <f>VLOOKUP(D$1,'cost per tipologia de sòl'!$A$2:$D$37,4,FALSE)*'T50'!D70</f>
        <v>0</v>
      </c>
      <c r="E70" s="1100">
        <f>VLOOKUP(E$1,'cost per tipologia de sòl'!$A$2:$D$37,4,FALSE)*'T50'!E70</f>
        <v>0</v>
      </c>
      <c r="F70" s="1100">
        <f>VLOOKUP(F$1,'cost per tipologia de sòl'!$A$2:$D$37,4,FALSE)*'T50'!F70</f>
        <v>0</v>
      </c>
      <c r="G70" s="1100">
        <f>VLOOKUP(G$1,'cost per tipologia de sòl'!$A$2:$D$37,4,FALSE)*'T50'!G70</f>
        <v>0</v>
      </c>
      <c r="H70" s="1100">
        <f>VLOOKUP(H$1,'cost per tipologia de sòl'!$A$2:$D$37,4,FALSE)*'T50'!H70</f>
        <v>0</v>
      </c>
      <c r="I70" s="1100">
        <f>VLOOKUP(I$1,'cost per tipologia de sòl'!$A$2:$D$37,4,FALSE)*'T50'!I70</f>
        <v>0</v>
      </c>
      <c r="J70" s="1100">
        <f>VLOOKUP(J$1,'cost per tipologia de sòl'!$A$2:$D$37,4,FALSE)*'T50'!J70</f>
        <v>25385.860499999999</v>
      </c>
      <c r="K70" s="1100">
        <f>VLOOKUP(K$1,'cost per tipologia de sòl'!$A$2:$D$37,4,FALSE)*'T50'!K70</f>
        <v>0</v>
      </c>
      <c r="L70" s="1100">
        <f>VLOOKUP(L$1,'cost per tipologia de sòl'!$A$2:$D$37,4,FALSE)*'T50'!L70</f>
        <v>0</v>
      </c>
      <c r="M70" s="1100">
        <f>VLOOKUP(M$1,'cost per tipologia de sòl'!$A$2:$D$37,4,FALSE)*'T50'!M70</f>
        <v>0</v>
      </c>
      <c r="N70" s="1100">
        <f>VLOOKUP(N$1,'cost per tipologia de sòl'!$A$2:$D$37,4,FALSE)*'T50'!N70</f>
        <v>3478644.824</v>
      </c>
      <c r="O70" s="1100">
        <f>VLOOKUP(O$1,'cost per tipologia de sòl'!$A$2:$D$37,4,FALSE)*'T50'!O70</f>
        <v>0</v>
      </c>
      <c r="P70" s="1100">
        <f>VLOOKUP(P$1,'cost per tipologia de sòl'!$A$2:$D$37,4,FALSE)*'T50'!P70</f>
        <v>0</v>
      </c>
      <c r="Q70" s="1100">
        <f>VLOOKUP(Q$1,'cost per tipologia de sòl'!$A$2:$D$37,4,FALSE)*'T50'!Q70</f>
        <v>0</v>
      </c>
      <c r="R70" s="1100">
        <f>VLOOKUP(R$1,'cost per tipologia de sòl'!$A$2:$D$37,4,FALSE)*'T50'!R70</f>
        <v>0</v>
      </c>
      <c r="S70" s="1100">
        <f>VLOOKUP(S$1,'cost per tipologia de sòl'!$A$2:$D$37,4,FALSE)*'T50'!S70</f>
        <v>32241058.416000001</v>
      </c>
      <c r="T70" s="1100">
        <f>VLOOKUP(T$1,'cost per tipologia de sòl'!$A$2:$D$37,4,FALSE)*'T50'!T70</f>
        <v>15721661.655000001</v>
      </c>
      <c r="U70" s="1100">
        <f>VLOOKUP(U$1,'cost per tipologia de sòl'!$A$2:$D$37,4,FALSE)*'T50'!U70</f>
        <v>0</v>
      </c>
      <c r="V70" s="1100">
        <f>VLOOKUP(V$1,'cost per tipologia de sòl'!$A$2:$D$37,4,FALSE)*'T50'!V70</f>
        <v>0</v>
      </c>
      <c r="W70" s="1100">
        <f>VLOOKUP(W$1,'cost per tipologia de sòl'!$A$2:$D$37,4,FALSE)*'T50'!W70</f>
        <v>0</v>
      </c>
      <c r="X70" s="1100">
        <f>VLOOKUP(X$1,'cost per tipologia de sòl'!$A$2:$D$37,4,FALSE)*'T50'!X70</f>
        <v>0</v>
      </c>
      <c r="Y70" s="1100">
        <f>VLOOKUP(Y$1,'cost per tipologia de sòl'!$A$2:$D$37,4,FALSE)*'T50'!Y70</f>
        <v>0</v>
      </c>
      <c r="Z70" s="1100">
        <f>VLOOKUP(Z$1,'cost per tipologia de sòl'!$A$2:$D$37,4,FALSE)*'T50'!Z70</f>
        <v>0</v>
      </c>
      <c r="AA70" s="1100">
        <f>VLOOKUP(AA$1,'cost per tipologia de sòl'!$A$2:$D$37,4,FALSE)*'T50'!AA70</f>
        <v>0</v>
      </c>
      <c r="AB70" s="1100">
        <f>VLOOKUP(AB$1,'cost per tipologia de sòl'!$A$2:$D$37,4,FALSE)*'T50'!AB70</f>
        <v>5619379.2000000002</v>
      </c>
      <c r="AC70" s="1100">
        <f>VLOOKUP(AC$1,'cost per tipologia de sòl'!$A$2:$D$37,4,FALSE)*'T50'!AC70</f>
        <v>17517954.399999999</v>
      </c>
      <c r="AD70" s="1100">
        <f>VLOOKUP(AD$1,'cost per tipologia de sòl'!$A$2:$D$37,4,FALSE)*'T50'!AD70</f>
        <v>5783831.8000000007</v>
      </c>
      <c r="AE70" s="1100">
        <f>VLOOKUP(AE$1,'cost per tipologia de sòl'!$A$2:$D$37,4,FALSE)*'T50'!AE70</f>
        <v>0</v>
      </c>
      <c r="AF70" s="1100">
        <f>VLOOKUP(AF$1,'cost per tipologia de sòl'!$A$2:$D$37,4,FALSE)*'T50'!AF70</f>
        <v>0</v>
      </c>
      <c r="AG70" s="1100">
        <f>VLOOKUP(AG$1,'cost per tipologia de sòl'!$A$2:$D$37,4,FALSE)*'T50'!AG70</f>
        <v>0</v>
      </c>
      <c r="AH70" s="1100">
        <f>VLOOKUP(AH$1,'cost per tipologia de sòl'!$A$2:$D$37,4,FALSE)*'T50'!AH70</f>
        <v>0</v>
      </c>
      <c r="AI70" s="1100">
        <f>VLOOKUP(AI$1,'cost per tipologia de sòl'!$A$2:$D$37,4,FALSE)*'T50'!AI70</f>
        <v>0</v>
      </c>
      <c r="AJ70" s="1100">
        <f t="shared" si="2"/>
        <v>198941391.47150001</v>
      </c>
      <c r="AK70" s="1098">
        <f t="shared" si="3"/>
        <v>59.682417441450006</v>
      </c>
    </row>
    <row r="71" spans="1:37">
      <c r="A71" s="1099" t="s">
        <v>1158</v>
      </c>
      <c r="B71" s="1100">
        <f>VLOOKUP(B$1,'cost per tipologia de sòl'!$A$2:$D$37,4,FALSE)*'T50'!B71</f>
        <v>65977857.719999999</v>
      </c>
      <c r="C71" s="1100">
        <f>VLOOKUP(C$1,'cost per tipologia de sòl'!$A$2:$D$37,4,FALSE)*'T50'!C71</f>
        <v>0</v>
      </c>
      <c r="D71" s="1100">
        <f>VLOOKUP(D$1,'cost per tipologia de sòl'!$A$2:$D$37,4,FALSE)*'T50'!D71</f>
        <v>0</v>
      </c>
      <c r="E71" s="1100">
        <f>VLOOKUP(E$1,'cost per tipologia de sòl'!$A$2:$D$37,4,FALSE)*'T50'!E71</f>
        <v>0</v>
      </c>
      <c r="F71" s="1100">
        <f>VLOOKUP(F$1,'cost per tipologia de sòl'!$A$2:$D$37,4,FALSE)*'T50'!F71</f>
        <v>0</v>
      </c>
      <c r="G71" s="1100">
        <f>VLOOKUP(G$1,'cost per tipologia de sòl'!$A$2:$D$37,4,FALSE)*'T50'!G71</f>
        <v>0</v>
      </c>
      <c r="H71" s="1100">
        <f>VLOOKUP(H$1,'cost per tipologia de sòl'!$A$2:$D$37,4,FALSE)*'T50'!H71</f>
        <v>0</v>
      </c>
      <c r="I71" s="1100">
        <f>VLOOKUP(I$1,'cost per tipologia de sòl'!$A$2:$D$37,4,FALSE)*'T50'!I71</f>
        <v>0</v>
      </c>
      <c r="J71" s="1100">
        <f>VLOOKUP(J$1,'cost per tipologia de sòl'!$A$2:$D$37,4,FALSE)*'T50'!J71</f>
        <v>699309.60549999995</v>
      </c>
      <c r="K71" s="1100">
        <f>VLOOKUP(K$1,'cost per tipologia de sòl'!$A$2:$D$37,4,FALSE)*'T50'!K71</f>
        <v>0</v>
      </c>
      <c r="L71" s="1100">
        <f>VLOOKUP(L$1,'cost per tipologia de sòl'!$A$2:$D$37,4,FALSE)*'T50'!L71</f>
        <v>0</v>
      </c>
      <c r="M71" s="1100">
        <f>VLOOKUP(M$1,'cost per tipologia de sòl'!$A$2:$D$37,4,FALSE)*'T50'!M71</f>
        <v>0</v>
      </c>
      <c r="N71" s="1100">
        <f>VLOOKUP(N$1,'cost per tipologia de sòl'!$A$2:$D$37,4,FALSE)*'T50'!N71</f>
        <v>0</v>
      </c>
      <c r="O71" s="1100">
        <f>VLOOKUP(O$1,'cost per tipologia de sòl'!$A$2:$D$37,4,FALSE)*'T50'!O71</f>
        <v>0</v>
      </c>
      <c r="P71" s="1100">
        <f>VLOOKUP(P$1,'cost per tipologia de sòl'!$A$2:$D$37,4,FALSE)*'T50'!P71</f>
        <v>0</v>
      </c>
      <c r="Q71" s="1100">
        <f>VLOOKUP(Q$1,'cost per tipologia de sòl'!$A$2:$D$37,4,FALSE)*'T50'!Q71</f>
        <v>0</v>
      </c>
      <c r="R71" s="1100">
        <f>VLOOKUP(R$1,'cost per tipologia de sòl'!$A$2:$D$37,4,FALSE)*'T50'!R71</f>
        <v>0</v>
      </c>
      <c r="S71" s="1100">
        <f>VLOOKUP(S$1,'cost per tipologia de sòl'!$A$2:$D$37,4,FALSE)*'T50'!S71</f>
        <v>4912414.4160000002</v>
      </c>
      <c r="T71" s="1100">
        <f>VLOOKUP(T$1,'cost per tipologia de sòl'!$A$2:$D$37,4,FALSE)*'T50'!T71</f>
        <v>12997162.575999999</v>
      </c>
      <c r="U71" s="1100">
        <f>VLOOKUP(U$1,'cost per tipologia de sòl'!$A$2:$D$37,4,FALSE)*'T50'!U71</f>
        <v>0</v>
      </c>
      <c r="V71" s="1100">
        <f>VLOOKUP(V$1,'cost per tipologia de sòl'!$A$2:$D$37,4,FALSE)*'T50'!V71</f>
        <v>0</v>
      </c>
      <c r="W71" s="1100">
        <f>VLOOKUP(W$1,'cost per tipologia de sòl'!$A$2:$D$37,4,FALSE)*'T50'!W71</f>
        <v>0</v>
      </c>
      <c r="X71" s="1100">
        <f>VLOOKUP(X$1,'cost per tipologia de sòl'!$A$2:$D$37,4,FALSE)*'T50'!X71</f>
        <v>0</v>
      </c>
      <c r="Y71" s="1100">
        <f>VLOOKUP(Y$1,'cost per tipologia de sòl'!$A$2:$D$37,4,FALSE)*'T50'!Y71</f>
        <v>0</v>
      </c>
      <c r="Z71" s="1100">
        <f>VLOOKUP(Z$1,'cost per tipologia de sòl'!$A$2:$D$37,4,FALSE)*'T50'!Z71</f>
        <v>0</v>
      </c>
      <c r="AA71" s="1100">
        <f>VLOOKUP(AA$1,'cost per tipologia de sòl'!$A$2:$D$37,4,FALSE)*'T50'!AA71</f>
        <v>0</v>
      </c>
      <c r="AB71" s="1100">
        <f>VLOOKUP(AB$1,'cost per tipologia de sòl'!$A$2:$D$37,4,FALSE)*'T50'!AB71</f>
        <v>29459001.25</v>
      </c>
      <c r="AC71" s="1100">
        <f>VLOOKUP(AC$1,'cost per tipologia de sòl'!$A$2:$D$37,4,FALSE)*'T50'!AC71</f>
        <v>5794570.6000000006</v>
      </c>
      <c r="AD71" s="1100">
        <f>VLOOKUP(AD$1,'cost per tipologia de sòl'!$A$2:$D$37,4,FALSE)*'T50'!AD71</f>
        <v>40881081.149999999</v>
      </c>
      <c r="AE71" s="1100">
        <f>VLOOKUP(AE$1,'cost per tipologia de sòl'!$A$2:$D$37,4,FALSE)*'T50'!AE71</f>
        <v>0</v>
      </c>
      <c r="AF71" s="1100">
        <f>VLOOKUP(AF$1,'cost per tipologia de sòl'!$A$2:$D$37,4,FALSE)*'T50'!AF71</f>
        <v>0</v>
      </c>
      <c r="AG71" s="1100">
        <f>VLOOKUP(AG$1,'cost per tipologia de sòl'!$A$2:$D$37,4,FALSE)*'T50'!AG71</f>
        <v>0</v>
      </c>
      <c r="AH71" s="1100">
        <f>VLOOKUP(AH$1,'cost per tipologia de sòl'!$A$2:$D$37,4,FALSE)*'T50'!AH71</f>
        <v>0</v>
      </c>
      <c r="AI71" s="1100">
        <f>VLOOKUP(AI$1,'cost per tipologia de sòl'!$A$2:$D$37,4,FALSE)*'T50'!AI71</f>
        <v>0</v>
      </c>
      <c r="AJ71" s="1100">
        <f t="shared" si="2"/>
        <v>160721397.3175</v>
      </c>
      <c r="AK71" s="1098">
        <f t="shared" si="3"/>
        <v>48.216419195249998</v>
      </c>
    </row>
    <row r="72" spans="1:37">
      <c r="A72" s="1099" t="s">
        <v>1149</v>
      </c>
      <c r="B72" s="1100">
        <f>VLOOKUP(B$1,'cost per tipologia de sòl'!$A$2:$D$37,4,FALSE)*'T50'!B72</f>
        <v>103715963.62199999</v>
      </c>
      <c r="C72" s="1100">
        <f>VLOOKUP(C$1,'cost per tipologia de sòl'!$A$2:$D$37,4,FALSE)*'T50'!C72</f>
        <v>0</v>
      </c>
      <c r="D72" s="1100">
        <f>VLOOKUP(D$1,'cost per tipologia de sòl'!$A$2:$D$37,4,FALSE)*'T50'!D72</f>
        <v>5391077.6340000005</v>
      </c>
      <c r="E72" s="1100">
        <f>VLOOKUP(E$1,'cost per tipologia de sòl'!$A$2:$D$37,4,FALSE)*'T50'!E72</f>
        <v>0</v>
      </c>
      <c r="F72" s="1100">
        <f>VLOOKUP(F$1,'cost per tipologia de sòl'!$A$2:$D$37,4,FALSE)*'T50'!F72</f>
        <v>0</v>
      </c>
      <c r="G72" s="1100">
        <f>VLOOKUP(G$1,'cost per tipologia de sòl'!$A$2:$D$37,4,FALSE)*'T50'!G72</f>
        <v>0</v>
      </c>
      <c r="H72" s="1100">
        <f>VLOOKUP(H$1,'cost per tipologia de sòl'!$A$2:$D$37,4,FALSE)*'T50'!H72</f>
        <v>0</v>
      </c>
      <c r="I72" s="1100">
        <f>VLOOKUP(I$1,'cost per tipologia de sòl'!$A$2:$D$37,4,FALSE)*'T50'!I72</f>
        <v>0</v>
      </c>
      <c r="J72" s="1100">
        <f>VLOOKUP(J$1,'cost per tipologia de sòl'!$A$2:$D$37,4,FALSE)*'T50'!J72</f>
        <v>2390.7674999999999</v>
      </c>
      <c r="K72" s="1100">
        <f>VLOOKUP(K$1,'cost per tipologia de sòl'!$A$2:$D$37,4,FALSE)*'T50'!K72</f>
        <v>4951301.9220000003</v>
      </c>
      <c r="L72" s="1100">
        <f>VLOOKUP(L$1,'cost per tipologia de sòl'!$A$2:$D$37,4,FALSE)*'T50'!L72</f>
        <v>7693276.977</v>
      </c>
      <c r="M72" s="1100">
        <f>VLOOKUP(M$1,'cost per tipologia de sòl'!$A$2:$D$37,4,FALSE)*'T50'!M72</f>
        <v>8109906.7280000001</v>
      </c>
      <c r="N72" s="1100">
        <f>VLOOKUP(N$1,'cost per tipologia de sòl'!$A$2:$D$37,4,FALSE)*'T50'!N72</f>
        <v>878730.19200000004</v>
      </c>
      <c r="O72" s="1100">
        <f>VLOOKUP(O$1,'cost per tipologia de sòl'!$A$2:$D$37,4,FALSE)*'T50'!O72</f>
        <v>0</v>
      </c>
      <c r="P72" s="1100">
        <f>VLOOKUP(P$1,'cost per tipologia de sòl'!$A$2:$D$37,4,FALSE)*'T50'!P72</f>
        <v>2116552.5120000001</v>
      </c>
      <c r="Q72" s="1100">
        <f>VLOOKUP(Q$1,'cost per tipologia de sòl'!$A$2:$D$37,4,FALSE)*'T50'!Q72</f>
        <v>0</v>
      </c>
      <c r="R72" s="1100">
        <f>VLOOKUP(R$1,'cost per tipologia de sòl'!$A$2:$D$37,4,FALSE)*'T50'!R72</f>
        <v>0</v>
      </c>
      <c r="S72" s="1100">
        <f>VLOOKUP(S$1,'cost per tipologia de sòl'!$A$2:$D$37,4,FALSE)*'T50'!S72</f>
        <v>18918134.927999999</v>
      </c>
      <c r="T72" s="1100">
        <f>VLOOKUP(T$1,'cost per tipologia de sòl'!$A$2:$D$37,4,FALSE)*'T50'!T72</f>
        <v>16153725.648</v>
      </c>
      <c r="U72" s="1100">
        <f>VLOOKUP(U$1,'cost per tipologia de sòl'!$A$2:$D$37,4,FALSE)*'T50'!U72</f>
        <v>20975703</v>
      </c>
      <c r="V72" s="1100">
        <f>VLOOKUP(V$1,'cost per tipologia de sòl'!$A$2:$D$37,4,FALSE)*'T50'!V72</f>
        <v>0</v>
      </c>
      <c r="W72" s="1100">
        <f>VLOOKUP(W$1,'cost per tipologia de sòl'!$A$2:$D$37,4,FALSE)*'T50'!W72</f>
        <v>0</v>
      </c>
      <c r="X72" s="1100">
        <f>VLOOKUP(X$1,'cost per tipologia de sòl'!$A$2:$D$37,4,FALSE)*'T50'!X72</f>
        <v>0</v>
      </c>
      <c r="Y72" s="1100">
        <f>VLOOKUP(Y$1,'cost per tipologia de sòl'!$A$2:$D$37,4,FALSE)*'T50'!Y72</f>
        <v>0</v>
      </c>
      <c r="Z72" s="1100">
        <f>VLOOKUP(Z$1,'cost per tipologia de sòl'!$A$2:$D$37,4,FALSE)*'T50'!Z72</f>
        <v>26608390.342</v>
      </c>
      <c r="AA72" s="1100">
        <f>VLOOKUP(AA$1,'cost per tipologia de sòl'!$A$2:$D$37,4,FALSE)*'T50'!AA72</f>
        <v>0</v>
      </c>
      <c r="AB72" s="1100">
        <f>VLOOKUP(AB$1,'cost per tipologia de sòl'!$A$2:$D$37,4,FALSE)*'T50'!AB72</f>
        <v>10801268.199999999</v>
      </c>
      <c r="AC72" s="1100">
        <f>VLOOKUP(AC$1,'cost per tipologia de sòl'!$A$2:$D$37,4,FALSE)*'T50'!AC72</f>
        <v>43267863.049999997</v>
      </c>
      <c r="AD72" s="1100">
        <f>VLOOKUP(AD$1,'cost per tipologia de sòl'!$A$2:$D$37,4,FALSE)*'T50'!AD72</f>
        <v>44332147.100000001</v>
      </c>
      <c r="AE72" s="1100">
        <f>VLOOKUP(AE$1,'cost per tipologia de sòl'!$A$2:$D$37,4,FALSE)*'T50'!AE72</f>
        <v>0</v>
      </c>
      <c r="AF72" s="1100">
        <f>VLOOKUP(AF$1,'cost per tipologia de sòl'!$A$2:$D$37,4,FALSE)*'T50'!AF72</f>
        <v>0</v>
      </c>
      <c r="AG72" s="1100">
        <f>VLOOKUP(AG$1,'cost per tipologia de sòl'!$A$2:$D$37,4,FALSE)*'T50'!AG72</f>
        <v>0</v>
      </c>
      <c r="AH72" s="1100">
        <f>VLOOKUP(AH$1,'cost per tipologia de sòl'!$A$2:$D$37,4,FALSE)*'T50'!AH72</f>
        <v>0</v>
      </c>
      <c r="AI72" s="1100">
        <f>VLOOKUP(AI$1,'cost per tipologia de sòl'!$A$2:$D$37,4,FALSE)*'T50'!AI72</f>
        <v>0</v>
      </c>
      <c r="AJ72" s="1100">
        <f t="shared" si="2"/>
        <v>313916432.6225</v>
      </c>
      <c r="AK72" s="1098">
        <f t="shared" si="3"/>
        <v>94.174929786749999</v>
      </c>
    </row>
    <row r="73" spans="1:37">
      <c r="A73" s="1099" t="s">
        <v>343</v>
      </c>
      <c r="B73" s="1100">
        <f>VLOOKUP(B$1,'cost per tipologia de sòl'!$A$2:$D$37,4,FALSE)*'T50'!B73</f>
        <v>193945381.884</v>
      </c>
      <c r="C73" s="1100">
        <f>VLOOKUP(C$1,'cost per tipologia de sòl'!$A$2:$D$37,4,FALSE)*'T50'!C73</f>
        <v>0</v>
      </c>
      <c r="D73" s="1100">
        <f>VLOOKUP(D$1,'cost per tipologia de sòl'!$A$2:$D$37,4,FALSE)*'T50'!D73</f>
        <v>0</v>
      </c>
      <c r="E73" s="1100">
        <f>VLOOKUP(E$1,'cost per tipologia de sòl'!$A$2:$D$37,4,FALSE)*'T50'!E73</f>
        <v>0</v>
      </c>
      <c r="F73" s="1100">
        <f>VLOOKUP(F$1,'cost per tipologia de sòl'!$A$2:$D$37,4,FALSE)*'T50'!F73</f>
        <v>0</v>
      </c>
      <c r="G73" s="1100">
        <f>VLOOKUP(G$1,'cost per tipologia de sòl'!$A$2:$D$37,4,FALSE)*'T50'!G73</f>
        <v>0</v>
      </c>
      <c r="H73" s="1100">
        <f>VLOOKUP(H$1,'cost per tipologia de sòl'!$A$2:$D$37,4,FALSE)*'T50'!H73</f>
        <v>0</v>
      </c>
      <c r="I73" s="1100">
        <f>VLOOKUP(I$1,'cost per tipologia de sòl'!$A$2:$D$37,4,FALSE)*'T50'!I73</f>
        <v>0</v>
      </c>
      <c r="J73" s="1100">
        <f>VLOOKUP(J$1,'cost per tipologia de sòl'!$A$2:$D$37,4,FALSE)*'T50'!J73</f>
        <v>12071663.527000001</v>
      </c>
      <c r="K73" s="1100">
        <f>VLOOKUP(K$1,'cost per tipologia de sòl'!$A$2:$D$37,4,FALSE)*'T50'!K73</f>
        <v>0</v>
      </c>
      <c r="L73" s="1100">
        <f>VLOOKUP(L$1,'cost per tipologia de sòl'!$A$2:$D$37,4,FALSE)*'T50'!L73</f>
        <v>1667152.3770000001</v>
      </c>
      <c r="M73" s="1100">
        <f>VLOOKUP(M$1,'cost per tipologia de sòl'!$A$2:$D$37,4,FALSE)*'T50'!M73</f>
        <v>15963763.575999999</v>
      </c>
      <c r="N73" s="1100">
        <f>VLOOKUP(N$1,'cost per tipologia de sòl'!$A$2:$D$37,4,FALSE)*'T50'!N73</f>
        <v>8970296.0720000006</v>
      </c>
      <c r="O73" s="1100">
        <f>VLOOKUP(O$1,'cost per tipologia de sòl'!$A$2:$D$37,4,FALSE)*'T50'!O73</f>
        <v>34895824.936000004</v>
      </c>
      <c r="P73" s="1100">
        <f>VLOOKUP(P$1,'cost per tipologia de sòl'!$A$2:$D$37,4,FALSE)*'T50'!P73</f>
        <v>7749846.0479999995</v>
      </c>
      <c r="Q73" s="1100">
        <f>VLOOKUP(Q$1,'cost per tipologia de sòl'!$A$2:$D$37,4,FALSE)*'T50'!Q73</f>
        <v>0</v>
      </c>
      <c r="R73" s="1100">
        <f>VLOOKUP(R$1,'cost per tipologia de sòl'!$A$2:$D$37,4,FALSE)*'T50'!R73</f>
        <v>0</v>
      </c>
      <c r="S73" s="1100">
        <f>VLOOKUP(S$1,'cost per tipologia de sòl'!$A$2:$D$37,4,FALSE)*'T50'!S73</f>
        <v>89021329.487999991</v>
      </c>
      <c r="T73" s="1100">
        <f>VLOOKUP(T$1,'cost per tipologia de sòl'!$A$2:$D$37,4,FALSE)*'T50'!T73</f>
        <v>15872549.361</v>
      </c>
      <c r="U73" s="1100">
        <f>VLOOKUP(U$1,'cost per tipologia de sòl'!$A$2:$D$37,4,FALSE)*'T50'!U73</f>
        <v>57234928.799999997</v>
      </c>
      <c r="V73" s="1100">
        <f>VLOOKUP(V$1,'cost per tipologia de sòl'!$A$2:$D$37,4,FALSE)*'T50'!V73</f>
        <v>0</v>
      </c>
      <c r="W73" s="1100">
        <f>VLOOKUP(W$1,'cost per tipologia de sòl'!$A$2:$D$37,4,FALSE)*'T50'!W73</f>
        <v>0</v>
      </c>
      <c r="X73" s="1100">
        <f>VLOOKUP(X$1,'cost per tipologia de sòl'!$A$2:$D$37,4,FALSE)*'T50'!X73</f>
        <v>0</v>
      </c>
      <c r="Y73" s="1100">
        <f>VLOOKUP(Y$1,'cost per tipologia de sòl'!$A$2:$D$37,4,FALSE)*'T50'!Y73</f>
        <v>0</v>
      </c>
      <c r="Z73" s="1100">
        <f>VLOOKUP(Z$1,'cost per tipologia de sòl'!$A$2:$D$37,4,FALSE)*'T50'!Z73</f>
        <v>218910.36200000002</v>
      </c>
      <c r="AA73" s="1100">
        <f>VLOOKUP(AA$1,'cost per tipologia de sòl'!$A$2:$D$37,4,FALSE)*'T50'!AA73</f>
        <v>0</v>
      </c>
      <c r="AB73" s="1100">
        <f>VLOOKUP(AB$1,'cost per tipologia de sòl'!$A$2:$D$37,4,FALSE)*'T50'!AB73</f>
        <v>30296182.099999998</v>
      </c>
      <c r="AC73" s="1100">
        <f>VLOOKUP(AC$1,'cost per tipologia de sòl'!$A$2:$D$37,4,FALSE)*'T50'!AC73</f>
        <v>52716509.850000001</v>
      </c>
      <c r="AD73" s="1100">
        <f>VLOOKUP(AD$1,'cost per tipologia de sòl'!$A$2:$D$37,4,FALSE)*'T50'!AD73</f>
        <v>95150336.549999997</v>
      </c>
      <c r="AE73" s="1100">
        <f>VLOOKUP(AE$1,'cost per tipologia de sòl'!$A$2:$D$37,4,FALSE)*'T50'!AE73</f>
        <v>0</v>
      </c>
      <c r="AF73" s="1100">
        <f>VLOOKUP(AF$1,'cost per tipologia de sòl'!$A$2:$D$37,4,FALSE)*'T50'!AF73</f>
        <v>0</v>
      </c>
      <c r="AG73" s="1100">
        <f>VLOOKUP(AG$1,'cost per tipologia de sòl'!$A$2:$D$37,4,FALSE)*'T50'!AG73</f>
        <v>0</v>
      </c>
      <c r="AH73" s="1100">
        <f>VLOOKUP(AH$1,'cost per tipologia de sòl'!$A$2:$D$37,4,FALSE)*'T50'!AH73</f>
        <v>0</v>
      </c>
      <c r="AI73" s="1100">
        <f>VLOOKUP(AI$1,'cost per tipologia de sòl'!$A$2:$D$37,4,FALSE)*'T50'!AI73</f>
        <v>0</v>
      </c>
      <c r="AJ73" s="1100">
        <f t="shared" si="2"/>
        <v>615774674.93099999</v>
      </c>
      <c r="AK73" s="1098">
        <f t="shared" si="3"/>
        <v>184.73240247929999</v>
      </c>
    </row>
    <row r="74" spans="1:37">
      <c r="A74" s="1099" t="s">
        <v>1171</v>
      </c>
      <c r="B74" s="1100">
        <f>VLOOKUP(B$1,'cost per tipologia de sòl'!$A$2:$D$37,4,FALSE)*'T50'!B74</f>
        <v>0</v>
      </c>
      <c r="C74" s="1100">
        <f>VLOOKUP(C$1,'cost per tipologia de sòl'!$A$2:$D$37,4,FALSE)*'T50'!C74</f>
        <v>0</v>
      </c>
      <c r="D74" s="1100">
        <f>VLOOKUP(D$1,'cost per tipologia de sòl'!$A$2:$D$37,4,FALSE)*'T50'!D74</f>
        <v>0</v>
      </c>
      <c r="E74" s="1100">
        <f>VLOOKUP(E$1,'cost per tipologia de sòl'!$A$2:$D$37,4,FALSE)*'T50'!E74</f>
        <v>0</v>
      </c>
      <c r="F74" s="1100">
        <f>VLOOKUP(F$1,'cost per tipologia de sòl'!$A$2:$D$37,4,FALSE)*'T50'!F74</f>
        <v>0</v>
      </c>
      <c r="G74" s="1100">
        <f>VLOOKUP(G$1,'cost per tipologia de sòl'!$A$2:$D$37,4,FALSE)*'T50'!G74</f>
        <v>0</v>
      </c>
      <c r="H74" s="1100">
        <f>VLOOKUP(H$1,'cost per tipologia de sòl'!$A$2:$D$37,4,FALSE)*'T50'!H74</f>
        <v>0</v>
      </c>
      <c r="I74" s="1100">
        <f>VLOOKUP(I$1,'cost per tipologia de sòl'!$A$2:$D$37,4,FALSE)*'T50'!I74</f>
        <v>0</v>
      </c>
      <c r="J74" s="1100">
        <f>VLOOKUP(J$1,'cost per tipologia de sòl'!$A$2:$D$37,4,FALSE)*'T50'!J74</f>
        <v>382568.42249999999</v>
      </c>
      <c r="K74" s="1100">
        <f>VLOOKUP(K$1,'cost per tipologia de sòl'!$A$2:$D$37,4,FALSE)*'T50'!K74</f>
        <v>0</v>
      </c>
      <c r="L74" s="1100">
        <f>VLOOKUP(L$1,'cost per tipologia de sòl'!$A$2:$D$37,4,FALSE)*'T50'!L74</f>
        <v>0</v>
      </c>
      <c r="M74" s="1100">
        <f>VLOOKUP(M$1,'cost per tipologia de sòl'!$A$2:$D$37,4,FALSE)*'T50'!M74</f>
        <v>0</v>
      </c>
      <c r="N74" s="1100">
        <f>VLOOKUP(N$1,'cost per tipologia de sòl'!$A$2:$D$37,4,FALSE)*'T50'!N74</f>
        <v>0</v>
      </c>
      <c r="O74" s="1100">
        <f>VLOOKUP(O$1,'cost per tipologia de sòl'!$A$2:$D$37,4,FALSE)*'T50'!O74</f>
        <v>0</v>
      </c>
      <c r="P74" s="1100">
        <f>VLOOKUP(P$1,'cost per tipologia de sòl'!$A$2:$D$37,4,FALSE)*'T50'!P74</f>
        <v>0</v>
      </c>
      <c r="Q74" s="1100">
        <f>VLOOKUP(Q$1,'cost per tipologia de sòl'!$A$2:$D$37,4,FALSE)*'T50'!Q74</f>
        <v>0</v>
      </c>
      <c r="R74" s="1100">
        <f>VLOOKUP(R$1,'cost per tipologia de sòl'!$A$2:$D$37,4,FALSE)*'T50'!R74</f>
        <v>0</v>
      </c>
      <c r="S74" s="1100">
        <f>VLOOKUP(S$1,'cost per tipologia de sòl'!$A$2:$D$37,4,FALSE)*'T50'!S74</f>
        <v>0</v>
      </c>
      <c r="T74" s="1100">
        <f>VLOOKUP(T$1,'cost per tipologia de sòl'!$A$2:$D$37,4,FALSE)*'T50'!T74</f>
        <v>0</v>
      </c>
      <c r="U74" s="1100">
        <f>VLOOKUP(U$1,'cost per tipologia de sòl'!$A$2:$D$37,4,FALSE)*'T50'!U74</f>
        <v>0</v>
      </c>
      <c r="V74" s="1100">
        <f>VLOOKUP(V$1,'cost per tipologia de sòl'!$A$2:$D$37,4,FALSE)*'T50'!V74</f>
        <v>0</v>
      </c>
      <c r="W74" s="1100">
        <f>VLOOKUP(W$1,'cost per tipologia de sòl'!$A$2:$D$37,4,FALSE)*'T50'!W74</f>
        <v>0</v>
      </c>
      <c r="X74" s="1100">
        <f>VLOOKUP(X$1,'cost per tipologia de sòl'!$A$2:$D$37,4,FALSE)*'T50'!X74</f>
        <v>0</v>
      </c>
      <c r="Y74" s="1100">
        <f>VLOOKUP(Y$1,'cost per tipologia de sòl'!$A$2:$D$37,4,FALSE)*'T50'!Y74</f>
        <v>0</v>
      </c>
      <c r="Z74" s="1100">
        <f>VLOOKUP(Z$1,'cost per tipologia de sòl'!$A$2:$D$37,4,FALSE)*'T50'!Z74</f>
        <v>0</v>
      </c>
      <c r="AA74" s="1100">
        <f>VLOOKUP(AA$1,'cost per tipologia de sòl'!$A$2:$D$37,4,FALSE)*'T50'!AA74</f>
        <v>0</v>
      </c>
      <c r="AB74" s="1100">
        <f>VLOOKUP(AB$1,'cost per tipologia de sòl'!$A$2:$D$37,4,FALSE)*'T50'!AB74</f>
        <v>0</v>
      </c>
      <c r="AC74" s="1100">
        <f>VLOOKUP(AC$1,'cost per tipologia de sòl'!$A$2:$D$37,4,FALSE)*'T50'!AC74</f>
        <v>0</v>
      </c>
      <c r="AD74" s="1100">
        <f>VLOOKUP(AD$1,'cost per tipologia de sòl'!$A$2:$D$37,4,FALSE)*'T50'!AD74</f>
        <v>0</v>
      </c>
      <c r="AE74" s="1100">
        <f>VLOOKUP(AE$1,'cost per tipologia de sòl'!$A$2:$D$37,4,FALSE)*'T50'!AE74</f>
        <v>0</v>
      </c>
      <c r="AF74" s="1100">
        <f>VLOOKUP(AF$1,'cost per tipologia de sòl'!$A$2:$D$37,4,FALSE)*'T50'!AF74</f>
        <v>0</v>
      </c>
      <c r="AG74" s="1100">
        <f>VLOOKUP(AG$1,'cost per tipologia de sòl'!$A$2:$D$37,4,FALSE)*'T50'!AG74</f>
        <v>0</v>
      </c>
      <c r="AH74" s="1100">
        <f>VLOOKUP(AH$1,'cost per tipologia de sòl'!$A$2:$D$37,4,FALSE)*'T50'!AH74</f>
        <v>0</v>
      </c>
      <c r="AI74" s="1100">
        <f>VLOOKUP(AI$1,'cost per tipologia de sòl'!$A$2:$D$37,4,FALSE)*'T50'!AI74</f>
        <v>0</v>
      </c>
      <c r="AJ74" s="1100">
        <f t="shared" si="2"/>
        <v>382568.42249999999</v>
      </c>
      <c r="AK74" s="1098">
        <f t="shared" si="3"/>
        <v>0.11477052674999999</v>
      </c>
    </row>
    <row r="75" spans="1:37">
      <c r="A75" s="1099" t="s">
        <v>721</v>
      </c>
      <c r="B75" s="1100">
        <f>VLOOKUP(B$1,'cost per tipologia de sòl'!$A$2:$D$37,4,FALSE)*'T50'!B75</f>
        <v>35158474.638000004</v>
      </c>
      <c r="C75" s="1100">
        <f>VLOOKUP(C$1,'cost per tipologia de sòl'!$A$2:$D$37,4,FALSE)*'T50'!C75</f>
        <v>0</v>
      </c>
      <c r="D75" s="1100">
        <f>VLOOKUP(D$1,'cost per tipologia de sòl'!$A$2:$D$37,4,FALSE)*'T50'!D75</f>
        <v>0</v>
      </c>
      <c r="E75" s="1100">
        <f>VLOOKUP(E$1,'cost per tipologia de sòl'!$A$2:$D$37,4,FALSE)*'T50'!E75</f>
        <v>0</v>
      </c>
      <c r="F75" s="1100">
        <f>VLOOKUP(F$1,'cost per tipologia de sòl'!$A$2:$D$37,4,FALSE)*'T50'!F75</f>
        <v>0</v>
      </c>
      <c r="G75" s="1100">
        <f>VLOOKUP(G$1,'cost per tipologia de sòl'!$A$2:$D$37,4,FALSE)*'T50'!G75</f>
        <v>0</v>
      </c>
      <c r="H75" s="1100">
        <f>VLOOKUP(H$1,'cost per tipologia de sòl'!$A$2:$D$37,4,FALSE)*'T50'!H75</f>
        <v>0</v>
      </c>
      <c r="I75" s="1100">
        <f>VLOOKUP(I$1,'cost per tipologia de sòl'!$A$2:$D$37,4,FALSE)*'T50'!I75</f>
        <v>0</v>
      </c>
      <c r="J75" s="1100">
        <f>VLOOKUP(J$1,'cost per tipologia de sòl'!$A$2:$D$37,4,FALSE)*'T50'!J75</f>
        <v>650723.821</v>
      </c>
      <c r="K75" s="1100">
        <f>VLOOKUP(K$1,'cost per tipologia de sòl'!$A$2:$D$37,4,FALSE)*'T50'!K75</f>
        <v>1711506.4470000002</v>
      </c>
      <c r="L75" s="1100">
        <f>VLOOKUP(L$1,'cost per tipologia de sòl'!$A$2:$D$37,4,FALSE)*'T50'!L75</f>
        <v>122998.338</v>
      </c>
      <c r="M75" s="1100">
        <f>VLOOKUP(M$1,'cost per tipologia de sòl'!$A$2:$D$37,4,FALSE)*'T50'!M75</f>
        <v>24452080.944000002</v>
      </c>
      <c r="N75" s="1100">
        <f>VLOOKUP(N$1,'cost per tipologia de sòl'!$A$2:$D$37,4,FALSE)*'T50'!N75</f>
        <v>6595842.3360000001</v>
      </c>
      <c r="O75" s="1100">
        <f>VLOOKUP(O$1,'cost per tipologia de sòl'!$A$2:$D$37,4,FALSE)*'T50'!O75</f>
        <v>20598523.416000001</v>
      </c>
      <c r="P75" s="1100">
        <f>VLOOKUP(P$1,'cost per tipologia de sòl'!$A$2:$D$37,4,FALSE)*'T50'!P75</f>
        <v>0</v>
      </c>
      <c r="Q75" s="1100">
        <f>VLOOKUP(Q$1,'cost per tipologia de sòl'!$A$2:$D$37,4,FALSE)*'T50'!Q75</f>
        <v>0</v>
      </c>
      <c r="R75" s="1100">
        <f>VLOOKUP(R$1,'cost per tipologia de sòl'!$A$2:$D$37,4,FALSE)*'T50'!R75</f>
        <v>0</v>
      </c>
      <c r="S75" s="1100">
        <f>VLOOKUP(S$1,'cost per tipologia de sòl'!$A$2:$D$37,4,FALSE)*'T50'!S75</f>
        <v>108552332.448</v>
      </c>
      <c r="T75" s="1100">
        <f>VLOOKUP(T$1,'cost per tipologia de sòl'!$A$2:$D$37,4,FALSE)*'T50'!T75</f>
        <v>43641114.472000003</v>
      </c>
      <c r="U75" s="1100">
        <f>VLOOKUP(U$1,'cost per tipologia de sòl'!$A$2:$D$37,4,FALSE)*'T50'!U75</f>
        <v>909378.75</v>
      </c>
      <c r="V75" s="1100">
        <f>VLOOKUP(V$1,'cost per tipologia de sòl'!$A$2:$D$37,4,FALSE)*'T50'!V75</f>
        <v>0</v>
      </c>
      <c r="W75" s="1100">
        <f>VLOOKUP(W$1,'cost per tipologia de sòl'!$A$2:$D$37,4,FALSE)*'T50'!W75</f>
        <v>0</v>
      </c>
      <c r="X75" s="1100">
        <f>VLOOKUP(X$1,'cost per tipologia de sòl'!$A$2:$D$37,4,FALSE)*'T50'!X75</f>
        <v>0</v>
      </c>
      <c r="Y75" s="1100">
        <f>VLOOKUP(Y$1,'cost per tipologia de sòl'!$A$2:$D$37,4,FALSE)*'T50'!Y75</f>
        <v>0</v>
      </c>
      <c r="Z75" s="1100">
        <f>VLOOKUP(Z$1,'cost per tipologia de sòl'!$A$2:$D$37,4,FALSE)*'T50'!Z75</f>
        <v>11372874.186000001</v>
      </c>
      <c r="AA75" s="1100">
        <f>VLOOKUP(AA$1,'cost per tipologia de sòl'!$A$2:$D$37,4,FALSE)*'T50'!AA75</f>
        <v>2112087.5</v>
      </c>
      <c r="AB75" s="1100">
        <f>VLOOKUP(AB$1,'cost per tipologia de sòl'!$A$2:$D$37,4,FALSE)*'T50'!AB75</f>
        <v>15852144.600000001</v>
      </c>
      <c r="AC75" s="1100">
        <f>VLOOKUP(AC$1,'cost per tipologia de sòl'!$A$2:$D$37,4,FALSE)*'T50'!AC75</f>
        <v>46292199.450000003</v>
      </c>
      <c r="AD75" s="1100">
        <f>VLOOKUP(AD$1,'cost per tipologia de sòl'!$A$2:$D$37,4,FALSE)*'T50'!AD75</f>
        <v>18526406</v>
      </c>
      <c r="AE75" s="1100">
        <f>VLOOKUP(AE$1,'cost per tipologia de sòl'!$A$2:$D$37,4,FALSE)*'T50'!AE75</f>
        <v>0</v>
      </c>
      <c r="AF75" s="1100">
        <f>VLOOKUP(AF$1,'cost per tipologia de sòl'!$A$2:$D$37,4,FALSE)*'T50'!AF75</f>
        <v>0</v>
      </c>
      <c r="AG75" s="1100">
        <f>VLOOKUP(AG$1,'cost per tipologia de sòl'!$A$2:$D$37,4,FALSE)*'T50'!AG75</f>
        <v>0</v>
      </c>
      <c r="AH75" s="1100">
        <f>VLOOKUP(AH$1,'cost per tipologia de sòl'!$A$2:$D$37,4,FALSE)*'T50'!AH75</f>
        <v>0</v>
      </c>
      <c r="AI75" s="1100">
        <f>VLOOKUP(AI$1,'cost per tipologia de sòl'!$A$2:$D$37,4,FALSE)*'T50'!AI75</f>
        <v>0</v>
      </c>
      <c r="AJ75" s="1100">
        <f t="shared" si="2"/>
        <v>336548687.34600002</v>
      </c>
      <c r="AK75" s="1098">
        <f t="shared" si="3"/>
        <v>100.96460620380002</v>
      </c>
    </row>
    <row r="76" spans="1:37">
      <c r="A76" s="1099" t="s">
        <v>699</v>
      </c>
      <c r="B76" s="1100">
        <f>VLOOKUP(B$1,'cost per tipologia de sòl'!$A$2:$D$37,4,FALSE)*'T50'!B76</f>
        <v>13878366.516000001</v>
      </c>
      <c r="C76" s="1100">
        <f>VLOOKUP(C$1,'cost per tipologia de sòl'!$A$2:$D$37,4,FALSE)*'T50'!C76</f>
        <v>0</v>
      </c>
      <c r="D76" s="1100">
        <f>VLOOKUP(D$1,'cost per tipologia de sòl'!$A$2:$D$37,4,FALSE)*'T50'!D76</f>
        <v>0</v>
      </c>
      <c r="E76" s="1100">
        <f>VLOOKUP(E$1,'cost per tipologia de sòl'!$A$2:$D$37,4,FALSE)*'T50'!E76</f>
        <v>0</v>
      </c>
      <c r="F76" s="1100">
        <f>VLOOKUP(F$1,'cost per tipologia de sòl'!$A$2:$D$37,4,FALSE)*'T50'!F76</f>
        <v>0</v>
      </c>
      <c r="G76" s="1100">
        <f>VLOOKUP(G$1,'cost per tipologia de sòl'!$A$2:$D$37,4,FALSE)*'T50'!G76</f>
        <v>0</v>
      </c>
      <c r="H76" s="1100">
        <f>VLOOKUP(H$1,'cost per tipologia de sòl'!$A$2:$D$37,4,FALSE)*'T50'!H76</f>
        <v>0</v>
      </c>
      <c r="I76" s="1100">
        <f>VLOOKUP(I$1,'cost per tipologia de sòl'!$A$2:$D$37,4,FALSE)*'T50'!I76</f>
        <v>0</v>
      </c>
      <c r="J76" s="1100">
        <f>VLOOKUP(J$1,'cost per tipologia de sòl'!$A$2:$D$37,4,FALSE)*'T50'!J76</f>
        <v>30144.383499999996</v>
      </c>
      <c r="K76" s="1100">
        <f>VLOOKUP(K$1,'cost per tipologia de sòl'!$A$2:$D$37,4,FALSE)*'T50'!K76</f>
        <v>6088.8869999999997</v>
      </c>
      <c r="L76" s="1100">
        <f>VLOOKUP(L$1,'cost per tipologia de sòl'!$A$2:$D$37,4,FALSE)*'T50'!L76</f>
        <v>0</v>
      </c>
      <c r="M76" s="1100">
        <f>VLOOKUP(M$1,'cost per tipologia de sòl'!$A$2:$D$37,4,FALSE)*'T50'!M76</f>
        <v>77609.04800000001</v>
      </c>
      <c r="N76" s="1100">
        <f>VLOOKUP(N$1,'cost per tipologia de sòl'!$A$2:$D$37,4,FALSE)*'T50'!N76</f>
        <v>2207498.8480000002</v>
      </c>
      <c r="O76" s="1100">
        <f>VLOOKUP(O$1,'cost per tipologia de sòl'!$A$2:$D$37,4,FALSE)*'T50'!O76</f>
        <v>17119.84</v>
      </c>
      <c r="P76" s="1100">
        <f>VLOOKUP(P$1,'cost per tipologia de sòl'!$A$2:$D$37,4,FALSE)*'T50'!P76</f>
        <v>0</v>
      </c>
      <c r="Q76" s="1100">
        <f>VLOOKUP(Q$1,'cost per tipologia de sòl'!$A$2:$D$37,4,FALSE)*'T50'!Q76</f>
        <v>0</v>
      </c>
      <c r="R76" s="1100">
        <f>VLOOKUP(R$1,'cost per tipologia de sòl'!$A$2:$D$37,4,FALSE)*'T50'!R76</f>
        <v>0</v>
      </c>
      <c r="S76" s="1100">
        <f>VLOOKUP(S$1,'cost per tipologia de sòl'!$A$2:$D$37,4,FALSE)*'T50'!S76</f>
        <v>32463468.576000001</v>
      </c>
      <c r="T76" s="1100">
        <f>VLOOKUP(T$1,'cost per tipologia de sòl'!$A$2:$D$37,4,FALSE)*'T50'!T76</f>
        <v>29063415.492999997</v>
      </c>
      <c r="U76" s="1100">
        <f>VLOOKUP(U$1,'cost per tipologia de sòl'!$A$2:$D$37,4,FALSE)*'T50'!U76</f>
        <v>8176552.6500000004</v>
      </c>
      <c r="V76" s="1100">
        <f>VLOOKUP(V$1,'cost per tipologia de sòl'!$A$2:$D$37,4,FALSE)*'T50'!V76</f>
        <v>0</v>
      </c>
      <c r="W76" s="1100">
        <f>VLOOKUP(W$1,'cost per tipologia de sòl'!$A$2:$D$37,4,FALSE)*'T50'!W76</f>
        <v>0</v>
      </c>
      <c r="X76" s="1100">
        <f>VLOOKUP(X$1,'cost per tipologia de sòl'!$A$2:$D$37,4,FALSE)*'T50'!X76</f>
        <v>0</v>
      </c>
      <c r="Y76" s="1100">
        <f>VLOOKUP(Y$1,'cost per tipologia de sòl'!$A$2:$D$37,4,FALSE)*'T50'!Y76</f>
        <v>0</v>
      </c>
      <c r="Z76" s="1100">
        <f>VLOOKUP(Z$1,'cost per tipologia de sòl'!$A$2:$D$37,4,FALSE)*'T50'!Z76</f>
        <v>8535881.2440000009</v>
      </c>
      <c r="AA76" s="1100">
        <f>VLOOKUP(AA$1,'cost per tipologia de sòl'!$A$2:$D$37,4,FALSE)*'T50'!AA76</f>
        <v>0</v>
      </c>
      <c r="AB76" s="1100">
        <f>VLOOKUP(AB$1,'cost per tipologia de sòl'!$A$2:$D$37,4,FALSE)*'T50'!AB76</f>
        <v>2556804.35</v>
      </c>
      <c r="AC76" s="1100">
        <f>VLOOKUP(AC$1,'cost per tipologia de sòl'!$A$2:$D$37,4,FALSE)*'T50'!AC76</f>
        <v>9957773.6500000004</v>
      </c>
      <c r="AD76" s="1100">
        <f>VLOOKUP(AD$1,'cost per tipologia de sòl'!$A$2:$D$37,4,FALSE)*'T50'!AD76</f>
        <v>44495874.850000001</v>
      </c>
      <c r="AE76" s="1100">
        <f>VLOOKUP(AE$1,'cost per tipologia de sòl'!$A$2:$D$37,4,FALSE)*'T50'!AE76</f>
        <v>0</v>
      </c>
      <c r="AF76" s="1100">
        <f>VLOOKUP(AF$1,'cost per tipologia de sòl'!$A$2:$D$37,4,FALSE)*'T50'!AF76</f>
        <v>0</v>
      </c>
      <c r="AG76" s="1100">
        <f>VLOOKUP(AG$1,'cost per tipologia de sòl'!$A$2:$D$37,4,FALSE)*'T50'!AG76</f>
        <v>0</v>
      </c>
      <c r="AH76" s="1100">
        <f>VLOOKUP(AH$1,'cost per tipologia de sòl'!$A$2:$D$37,4,FALSE)*'T50'!AH76</f>
        <v>0</v>
      </c>
      <c r="AI76" s="1100">
        <f>VLOOKUP(AI$1,'cost per tipologia de sòl'!$A$2:$D$37,4,FALSE)*'T50'!AI76</f>
        <v>0</v>
      </c>
      <c r="AJ76" s="1100">
        <f t="shared" si="2"/>
        <v>151466598.3355</v>
      </c>
      <c r="AK76" s="1098">
        <f t="shared" si="3"/>
        <v>45.439979500650004</v>
      </c>
    </row>
    <row r="77" spans="1:37">
      <c r="A77" s="1099" t="s">
        <v>677</v>
      </c>
      <c r="B77" s="1100">
        <f>VLOOKUP(B$1,'cost per tipologia de sòl'!$A$2:$D$37,4,FALSE)*'T50'!B77</f>
        <v>18940800.905999999</v>
      </c>
      <c r="C77" s="1100">
        <f>VLOOKUP(C$1,'cost per tipologia de sòl'!$A$2:$D$37,4,FALSE)*'T50'!C77</f>
        <v>0</v>
      </c>
      <c r="D77" s="1100">
        <f>VLOOKUP(D$1,'cost per tipologia de sòl'!$A$2:$D$37,4,FALSE)*'T50'!D77</f>
        <v>340172.41800000001</v>
      </c>
      <c r="E77" s="1100">
        <f>VLOOKUP(E$1,'cost per tipologia de sòl'!$A$2:$D$37,4,FALSE)*'T50'!E77</f>
        <v>9053210.6520000007</v>
      </c>
      <c r="F77" s="1100">
        <f>VLOOKUP(F$1,'cost per tipologia de sòl'!$A$2:$D$37,4,FALSE)*'T50'!F77</f>
        <v>0</v>
      </c>
      <c r="G77" s="1100">
        <f>VLOOKUP(G$1,'cost per tipologia de sòl'!$A$2:$D$37,4,FALSE)*'T50'!G77</f>
        <v>0</v>
      </c>
      <c r="H77" s="1100">
        <f>VLOOKUP(H$1,'cost per tipologia de sòl'!$A$2:$D$37,4,FALSE)*'T50'!H77</f>
        <v>0</v>
      </c>
      <c r="I77" s="1100">
        <f>VLOOKUP(I$1,'cost per tipologia de sòl'!$A$2:$D$37,4,FALSE)*'T50'!I77</f>
        <v>0</v>
      </c>
      <c r="J77" s="1100">
        <f>VLOOKUP(J$1,'cost per tipologia de sòl'!$A$2:$D$37,4,FALSE)*'T50'!J77</f>
        <v>1229153.75</v>
      </c>
      <c r="K77" s="1100">
        <f>VLOOKUP(K$1,'cost per tipologia de sòl'!$A$2:$D$37,4,FALSE)*'T50'!K77</f>
        <v>0</v>
      </c>
      <c r="L77" s="1100">
        <f>VLOOKUP(L$1,'cost per tipologia de sòl'!$A$2:$D$37,4,FALSE)*'T50'!L77</f>
        <v>0</v>
      </c>
      <c r="M77" s="1100">
        <f>VLOOKUP(M$1,'cost per tipologia de sòl'!$A$2:$D$37,4,FALSE)*'T50'!M77</f>
        <v>1135739.5119999999</v>
      </c>
      <c r="N77" s="1100">
        <f>VLOOKUP(N$1,'cost per tipologia de sòl'!$A$2:$D$37,4,FALSE)*'T50'!N77</f>
        <v>532102.20799999998</v>
      </c>
      <c r="O77" s="1100">
        <f>VLOOKUP(O$1,'cost per tipologia de sòl'!$A$2:$D$37,4,FALSE)*'T50'!O77</f>
        <v>0</v>
      </c>
      <c r="P77" s="1100">
        <f>VLOOKUP(P$1,'cost per tipologia de sòl'!$A$2:$D$37,4,FALSE)*'T50'!P77</f>
        <v>198720.92799999999</v>
      </c>
      <c r="Q77" s="1100">
        <f>VLOOKUP(Q$1,'cost per tipologia de sòl'!$A$2:$D$37,4,FALSE)*'T50'!Q77</f>
        <v>0</v>
      </c>
      <c r="R77" s="1100">
        <f>VLOOKUP(R$1,'cost per tipologia de sòl'!$A$2:$D$37,4,FALSE)*'T50'!R77</f>
        <v>0</v>
      </c>
      <c r="S77" s="1100">
        <f>VLOOKUP(S$1,'cost per tipologia de sòl'!$A$2:$D$37,4,FALSE)*'T50'!S77</f>
        <v>8120041.7759999996</v>
      </c>
      <c r="T77" s="1100">
        <f>VLOOKUP(T$1,'cost per tipologia de sòl'!$A$2:$D$37,4,FALSE)*'T50'!T77</f>
        <v>17623298.061000001</v>
      </c>
      <c r="U77" s="1100">
        <f>VLOOKUP(U$1,'cost per tipologia de sòl'!$A$2:$D$37,4,FALSE)*'T50'!U77</f>
        <v>41688837.75</v>
      </c>
      <c r="V77" s="1100">
        <f>VLOOKUP(V$1,'cost per tipologia de sòl'!$A$2:$D$37,4,FALSE)*'T50'!V77</f>
        <v>0</v>
      </c>
      <c r="W77" s="1100">
        <f>VLOOKUP(W$1,'cost per tipologia de sòl'!$A$2:$D$37,4,FALSE)*'T50'!W77</f>
        <v>0</v>
      </c>
      <c r="X77" s="1100">
        <f>VLOOKUP(X$1,'cost per tipologia de sòl'!$A$2:$D$37,4,FALSE)*'T50'!X77</f>
        <v>0</v>
      </c>
      <c r="Y77" s="1100">
        <f>VLOOKUP(Y$1,'cost per tipologia de sòl'!$A$2:$D$37,4,FALSE)*'T50'!Y77</f>
        <v>0</v>
      </c>
      <c r="Z77" s="1100">
        <f>VLOOKUP(Z$1,'cost per tipologia de sòl'!$A$2:$D$37,4,FALSE)*'T50'!Z77</f>
        <v>1054598.7220000001</v>
      </c>
      <c r="AA77" s="1100">
        <f>VLOOKUP(AA$1,'cost per tipologia de sòl'!$A$2:$D$37,4,FALSE)*'T50'!AA77</f>
        <v>0</v>
      </c>
      <c r="AB77" s="1100">
        <f>VLOOKUP(AB$1,'cost per tipologia de sòl'!$A$2:$D$37,4,FALSE)*'T50'!AB77</f>
        <v>81339691.599999994</v>
      </c>
      <c r="AC77" s="1100">
        <f>VLOOKUP(AC$1,'cost per tipologia de sòl'!$A$2:$D$37,4,FALSE)*'T50'!AC77</f>
        <v>5266176.8</v>
      </c>
      <c r="AD77" s="1100">
        <f>VLOOKUP(AD$1,'cost per tipologia de sòl'!$A$2:$D$37,4,FALSE)*'T50'!AD77</f>
        <v>23197461</v>
      </c>
      <c r="AE77" s="1100">
        <f>VLOOKUP(AE$1,'cost per tipologia de sòl'!$A$2:$D$37,4,FALSE)*'T50'!AE77</f>
        <v>0</v>
      </c>
      <c r="AF77" s="1100">
        <f>VLOOKUP(AF$1,'cost per tipologia de sòl'!$A$2:$D$37,4,FALSE)*'T50'!AF77</f>
        <v>0</v>
      </c>
      <c r="AG77" s="1100">
        <f>VLOOKUP(AG$1,'cost per tipologia de sòl'!$A$2:$D$37,4,FALSE)*'T50'!AG77</f>
        <v>0</v>
      </c>
      <c r="AH77" s="1100">
        <f>VLOOKUP(AH$1,'cost per tipologia de sòl'!$A$2:$D$37,4,FALSE)*'T50'!AH77</f>
        <v>0</v>
      </c>
      <c r="AI77" s="1100">
        <f>VLOOKUP(AI$1,'cost per tipologia de sòl'!$A$2:$D$37,4,FALSE)*'T50'!AI77</f>
        <v>0</v>
      </c>
      <c r="AJ77" s="1100">
        <f t="shared" si="2"/>
        <v>209720006.083</v>
      </c>
      <c r="AK77" s="1098">
        <f t="shared" si="3"/>
        <v>62.9160018249</v>
      </c>
    </row>
    <row r="78" spans="1:37">
      <c r="A78" s="1099" t="s">
        <v>1183</v>
      </c>
      <c r="B78" s="1100">
        <f>VLOOKUP(B$1,'cost per tipologia de sòl'!$A$2:$D$37,4,FALSE)*'T50'!B78</f>
        <v>422129296.20599997</v>
      </c>
      <c r="C78" s="1100">
        <f>VLOOKUP(C$1,'cost per tipologia de sòl'!$A$2:$D$37,4,FALSE)*'T50'!C78</f>
        <v>0</v>
      </c>
      <c r="D78" s="1100">
        <f>VLOOKUP(D$1,'cost per tipologia de sòl'!$A$2:$D$37,4,FALSE)*'T50'!D78</f>
        <v>564982.14600000007</v>
      </c>
      <c r="E78" s="1100">
        <f>VLOOKUP(E$1,'cost per tipologia de sòl'!$A$2:$D$37,4,FALSE)*'T50'!E78</f>
        <v>2700600.3360000001</v>
      </c>
      <c r="F78" s="1100">
        <f>VLOOKUP(F$1,'cost per tipologia de sòl'!$A$2:$D$37,4,FALSE)*'T50'!F78</f>
        <v>0</v>
      </c>
      <c r="G78" s="1100">
        <f>VLOOKUP(G$1,'cost per tipologia de sòl'!$A$2:$D$37,4,FALSE)*'T50'!G78</f>
        <v>0</v>
      </c>
      <c r="H78" s="1100">
        <f>VLOOKUP(H$1,'cost per tipologia de sòl'!$A$2:$D$37,4,FALSE)*'T50'!H78</f>
        <v>0</v>
      </c>
      <c r="I78" s="1100">
        <f>VLOOKUP(I$1,'cost per tipologia de sòl'!$A$2:$D$37,4,FALSE)*'T50'!I78</f>
        <v>0</v>
      </c>
      <c r="J78" s="1100">
        <f>VLOOKUP(J$1,'cost per tipologia de sòl'!$A$2:$D$37,4,FALSE)*'T50'!J78</f>
        <v>225087.25800000003</v>
      </c>
      <c r="K78" s="1100">
        <f>VLOOKUP(K$1,'cost per tipologia de sòl'!$A$2:$D$37,4,FALSE)*'T50'!K78</f>
        <v>0</v>
      </c>
      <c r="L78" s="1100">
        <f>VLOOKUP(L$1,'cost per tipologia de sòl'!$A$2:$D$37,4,FALSE)*'T50'!L78</f>
        <v>0</v>
      </c>
      <c r="M78" s="1100">
        <f>VLOOKUP(M$1,'cost per tipologia de sòl'!$A$2:$D$37,4,FALSE)*'T50'!M78</f>
        <v>0</v>
      </c>
      <c r="N78" s="1100">
        <f>VLOOKUP(N$1,'cost per tipologia de sòl'!$A$2:$D$37,4,FALSE)*'T50'!N78</f>
        <v>1584972.9040000001</v>
      </c>
      <c r="O78" s="1100">
        <f>VLOOKUP(O$1,'cost per tipologia de sòl'!$A$2:$D$37,4,FALSE)*'T50'!O78</f>
        <v>0</v>
      </c>
      <c r="P78" s="1100">
        <f>VLOOKUP(P$1,'cost per tipologia de sòl'!$A$2:$D$37,4,FALSE)*'T50'!P78</f>
        <v>0</v>
      </c>
      <c r="Q78" s="1100">
        <f>VLOOKUP(Q$1,'cost per tipologia de sòl'!$A$2:$D$37,4,FALSE)*'T50'!Q78</f>
        <v>0</v>
      </c>
      <c r="R78" s="1100">
        <f>VLOOKUP(R$1,'cost per tipologia de sòl'!$A$2:$D$37,4,FALSE)*'T50'!R78</f>
        <v>0</v>
      </c>
      <c r="S78" s="1100">
        <f>VLOOKUP(S$1,'cost per tipologia de sòl'!$A$2:$D$37,4,FALSE)*'T50'!S78</f>
        <v>313038.43200000003</v>
      </c>
      <c r="T78" s="1100">
        <f>VLOOKUP(T$1,'cost per tipologia de sòl'!$A$2:$D$37,4,FALSE)*'T50'!T78</f>
        <v>25107957.188000001</v>
      </c>
      <c r="U78" s="1100">
        <f>VLOOKUP(U$1,'cost per tipologia de sòl'!$A$2:$D$37,4,FALSE)*'T50'!U78</f>
        <v>0</v>
      </c>
      <c r="V78" s="1100">
        <f>VLOOKUP(V$1,'cost per tipologia de sòl'!$A$2:$D$37,4,FALSE)*'T50'!V78</f>
        <v>0</v>
      </c>
      <c r="W78" s="1100">
        <f>VLOOKUP(W$1,'cost per tipologia de sòl'!$A$2:$D$37,4,FALSE)*'T50'!W78</f>
        <v>0</v>
      </c>
      <c r="X78" s="1100">
        <f>VLOOKUP(X$1,'cost per tipologia de sòl'!$A$2:$D$37,4,FALSE)*'T50'!X78</f>
        <v>0</v>
      </c>
      <c r="Y78" s="1100">
        <f>VLOOKUP(Y$1,'cost per tipologia de sòl'!$A$2:$D$37,4,FALSE)*'T50'!Y78</f>
        <v>0</v>
      </c>
      <c r="Z78" s="1100">
        <f>VLOOKUP(Z$1,'cost per tipologia de sòl'!$A$2:$D$37,4,FALSE)*'T50'!Z78</f>
        <v>7710278.0439999988</v>
      </c>
      <c r="AA78" s="1100">
        <f>VLOOKUP(AA$1,'cost per tipologia de sòl'!$A$2:$D$37,4,FALSE)*'T50'!AA78</f>
        <v>0</v>
      </c>
      <c r="AB78" s="1100">
        <f>VLOOKUP(AB$1,'cost per tipologia de sòl'!$A$2:$D$37,4,FALSE)*'T50'!AB78</f>
        <v>13697119</v>
      </c>
      <c r="AC78" s="1100">
        <f>VLOOKUP(AC$1,'cost per tipologia de sòl'!$A$2:$D$37,4,FALSE)*'T50'!AC78</f>
        <v>66156239.650000006</v>
      </c>
      <c r="AD78" s="1100">
        <f>VLOOKUP(AD$1,'cost per tipologia de sòl'!$A$2:$D$37,4,FALSE)*'T50'!AD78</f>
        <v>40143201.899999999</v>
      </c>
      <c r="AE78" s="1100">
        <f>VLOOKUP(AE$1,'cost per tipologia de sòl'!$A$2:$D$37,4,FALSE)*'T50'!AE78</f>
        <v>0</v>
      </c>
      <c r="AF78" s="1100">
        <f>VLOOKUP(AF$1,'cost per tipologia de sòl'!$A$2:$D$37,4,FALSE)*'T50'!AF78</f>
        <v>0</v>
      </c>
      <c r="AG78" s="1100">
        <f>VLOOKUP(AG$1,'cost per tipologia de sòl'!$A$2:$D$37,4,FALSE)*'T50'!AG78</f>
        <v>0</v>
      </c>
      <c r="AH78" s="1100">
        <f>VLOOKUP(AH$1,'cost per tipologia de sòl'!$A$2:$D$37,4,FALSE)*'T50'!AH78</f>
        <v>0</v>
      </c>
      <c r="AI78" s="1100">
        <f>VLOOKUP(AI$1,'cost per tipologia de sòl'!$A$2:$D$37,4,FALSE)*'T50'!AI78</f>
        <v>0</v>
      </c>
      <c r="AJ78" s="1100">
        <f t="shared" si="2"/>
        <v>580332773.06400001</v>
      </c>
      <c r="AK78" s="1098">
        <f t="shared" si="3"/>
        <v>174.09983191920003</v>
      </c>
    </row>
    <row r="79" spans="1:37">
      <c r="A79" s="1099" t="s">
        <v>1197</v>
      </c>
      <c r="B79" s="1100">
        <f>VLOOKUP(B$1,'cost per tipologia de sòl'!$A$2:$D$37,4,FALSE)*'T50'!B79</f>
        <v>0</v>
      </c>
      <c r="C79" s="1100">
        <f>VLOOKUP(C$1,'cost per tipologia de sòl'!$A$2:$D$37,4,FALSE)*'T50'!C79</f>
        <v>0</v>
      </c>
      <c r="D79" s="1100">
        <f>VLOOKUP(D$1,'cost per tipologia de sòl'!$A$2:$D$37,4,FALSE)*'T50'!D79</f>
        <v>96539.724000000002</v>
      </c>
      <c r="E79" s="1100">
        <f>VLOOKUP(E$1,'cost per tipologia de sòl'!$A$2:$D$37,4,FALSE)*'T50'!E79</f>
        <v>0</v>
      </c>
      <c r="F79" s="1100">
        <f>VLOOKUP(F$1,'cost per tipologia de sòl'!$A$2:$D$37,4,FALSE)*'T50'!F79</f>
        <v>0</v>
      </c>
      <c r="G79" s="1100">
        <f>VLOOKUP(G$1,'cost per tipologia de sòl'!$A$2:$D$37,4,FALSE)*'T50'!G79</f>
        <v>0</v>
      </c>
      <c r="H79" s="1100">
        <f>VLOOKUP(H$1,'cost per tipologia de sòl'!$A$2:$D$37,4,FALSE)*'T50'!H79</f>
        <v>0</v>
      </c>
      <c r="I79" s="1100">
        <f>VLOOKUP(I$1,'cost per tipologia de sòl'!$A$2:$D$37,4,FALSE)*'T50'!I79</f>
        <v>0</v>
      </c>
      <c r="J79" s="1100">
        <f>VLOOKUP(J$1,'cost per tipologia de sòl'!$A$2:$D$37,4,FALSE)*'T50'!J79</f>
        <v>0</v>
      </c>
      <c r="K79" s="1100">
        <f>VLOOKUP(K$1,'cost per tipologia de sòl'!$A$2:$D$37,4,FALSE)*'T50'!K79</f>
        <v>0</v>
      </c>
      <c r="L79" s="1100">
        <f>VLOOKUP(L$1,'cost per tipologia de sòl'!$A$2:$D$37,4,FALSE)*'T50'!L79</f>
        <v>253.17</v>
      </c>
      <c r="M79" s="1100">
        <f>VLOOKUP(M$1,'cost per tipologia de sòl'!$A$2:$D$37,4,FALSE)*'T50'!M79</f>
        <v>0</v>
      </c>
      <c r="N79" s="1100">
        <f>VLOOKUP(N$1,'cost per tipologia de sòl'!$A$2:$D$37,4,FALSE)*'T50'!N79</f>
        <v>0</v>
      </c>
      <c r="O79" s="1100">
        <f>VLOOKUP(O$1,'cost per tipologia de sòl'!$A$2:$D$37,4,FALSE)*'T50'!O79</f>
        <v>0</v>
      </c>
      <c r="P79" s="1100">
        <f>VLOOKUP(P$1,'cost per tipologia de sòl'!$A$2:$D$37,4,FALSE)*'T50'!P79</f>
        <v>0</v>
      </c>
      <c r="Q79" s="1100">
        <f>VLOOKUP(Q$1,'cost per tipologia de sòl'!$A$2:$D$37,4,FALSE)*'T50'!Q79</f>
        <v>0</v>
      </c>
      <c r="R79" s="1100">
        <f>VLOOKUP(R$1,'cost per tipologia de sòl'!$A$2:$D$37,4,FALSE)*'T50'!R79</f>
        <v>0</v>
      </c>
      <c r="S79" s="1100">
        <f>VLOOKUP(S$1,'cost per tipologia de sòl'!$A$2:$D$37,4,FALSE)*'T50'!S79</f>
        <v>144365.76000000001</v>
      </c>
      <c r="T79" s="1100">
        <f>VLOOKUP(T$1,'cost per tipologia de sòl'!$A$2:$D$37,4,FALSE)*'T50'!T79</f>
        <v>2129323.0419999999</v>
      </c>
      <c r="U79" s="1100">
        <f>VLOOKUP(U$1,'cost per tipologia de sòl'!$A$2:$D$37,4,FALSE)*'T50'!U79</f>
        <v>0</v>
      </c>
      <c r="V79" s="1100">
        <f>VLOOKUP(V$1,'cost per tipologia de sòl'!$A$2:$D$37,4,FALSE)*'T50'!V79</f>
        <v>0</v>
      </c>
      <c r="W79" s="1100">
        <f>VLOOKUP(W$1,'cost per tipologia de sòl'!$A$2:$D$37,4,FALSE)*'T50'!W79</f>
        <v>0</v>
      </c>
      <c r="X79" s="1100">
        <f>VLOOKUP(X$1,'cost per tipologia de sòl'!$A$2:$D$37,4,FALSE)*'T50'!X79</f>
        <v>0</v>
      </c>
      <c r="Y79" s="1100">
        <f>VLOOKUP(Y$1,'cost per tipologia de sòl'!$A$2:$D$37,4,FALSE)*'T50'!Y79</f>
        <v>0</v>
      </c>
      <c r="Z79" s="1100">
        <f>VLOOKUP(Z$1,'cost per tipologia de sòl'!$A$2:$D$37,4,FALSE)*'T50'!Z79</f>
        <v>0</v>
      </c>
      <c r="AA79" s="1100">
        <f>VLOOKUP(AA$1,'cost per tipologia de sòl'!$A$2:$D$37,4,FALSE)*'T50'!AA79</f>
        <v>0</v>
      </c>
      <c r="AB79" s="1100">
        <f>VLOOKUP(AB$1,'cost per tipologia de sòl'!$A$2:$D$37,4,FALSE)*'T50'!AB79</f>
        <v>0</v>
      </c>
      <c r="AC79" s="1100">
        <f>VLOOKUP(AC$1,'cost per tipologia de sòl'!$A$2:$D$37,4,FALSE)*'T50'!AC79</f>
        <v>1397829.0499999998</v>
      </c>
      <c r="AD79" s="1100">
        <f>VLOOKUP(AD$1,'cost per tipologia de sòl'!$A$2:$D$37,4,FALSE)*'T50'!AD79</f>
        <v>1467111.6</v>
      </c>
      <c r="AE79" s="1100">
        <f>VLOOKUP(AE$1,'cost per tipologia de sòl'!$A$2:$D$37,4,FALSE)*'T50'!AE79</f>
        <v>0</v>
      </c>
      <c r="AF79" s="1100">
        <f>VLOOKUP(AF$1,'cost per tipologia de sòl'!$A$2:$D$37,4,FALSE)*'T50'!AF79</f>
        <v>0</v>
      </c>
      <c r="AG79" s="1100">
        <f>VLOOKUP(AG$1,'cost per tipologia de sòl'!$A$2:$D$37,4,FALSE)*'T50'!AG79</f>
        <v>0</v>
      </c>
      <c r="AH79" s="1100">
        <f>VLOOKUP(AH$1,'cost per tipologia de sòl'!$A$2:$D$37,4,FALSE)*'T50'!AH79</f>
        <v>0</v>
      </c>
      <c r="AI79" s="1100">
        <f>VLOOKUP(AI$1,'cost per tipologia de sòl'!$A$2:$D$37,4,FALSE)*'T50'!AI79</f>
        <v>0</v>
      </c>
      <c r="AJ79" s="1100">
        <f t="shared" si="2"/>
        <v>5235422.3459999999</v>
      </c>
      <c r="AK79" s="1098">
        <f t="shared" si="3"/>
        <v>1.5706267037999999</v>
      </c>
    </row>
    <row r="80" spans="1:37">
      <c r="A80" s="1099" t="s">
        <v>1204</v>
      </c>
      <c r="B80" s="1100">
        <f>VLOOKUP(B$1,'cost per tipologia de sòl'!$A$2:$D$37,4,FALSE)*'T50'!B80</f>
        <v>0</v>
      </c>
      <c r="C80" s="1100">
        <f>VLOOKUP(C$1,'cost per tipologia de sòl'!$A$2:$D$37,4,FALSE)*'T50'!C80</f>
        <v>0</v>
      </c>
      <c r="D80" s="1100">
        <f>VLOOKUP(D$1,'cost per tipologia de sòl'!$A$2:$D$37,4,FALSE)*'T50'!D80</f>
        <v>0</v>
      </c>
      <c r="E80" s="1100">
        <f>VLOOKUP(E$1,'cost per tipologia de sòl'!$A$2:$D$37,4,FALSE)*'T50'!E80</f>
        <v>0</v>
      </c>
      <c r="F80" s="1100">
        <f>VLOOKUP(F$1,'cost per tipologia de sòl'!$A$2:$D$37,4,FALSE)*'T50'!F80</f>
        <v>0</v>
      </c>
      <c r="G80" s="1100">
        <f>VLOOKUP(G$1,'cost per tipologia de sòl'!$A$2:$D$37,4,FALSE)*'T50'!G80</f>
        <v>0</v>
      </c>
      <c r="H80" s="1100">
        <f>VLOOKUP(H$1,'cost per tipologia de sòl'!$A$2:$D$37,4,FALSE)*'T50'!H80</f>
        <v>0</v>
      </c>
      <c r="I80" s="1100">
        <f>VLOOKUP(I$1,'cost per tipologia de sòl'!$A$2:$D$37,4,FALSE)*'T50'!I80</f>
        <v>0</v>
      </c>
      <c r="J80" s="1100">
        <f>VLOOKUP(J$1,'cost per tipologia de sòl'!$A$2:$D$37,4,FALSE)*'T50'!J80</f>
        <v>135.33850000000001</v>
      </c>
      <c r="K80" s="1100">
        <f>VLOOKUP(K$1,'cost per tipologia de sòl'!$A$2:$D$37,4,FALSE)*'T50'!K80</f>
        <v>0</v>
      </c>
      <c r="L80" s="1100">
        <f>VLOOKUP(L$1,'cost per tipologia de sòl'!$A$2:$D$37,4,FALSE)*'T50'!L80</f>
        <v>0</v>
      </c>
      <c r="M80" s="1100">
        <f>VLOOKUP(M$1,'cost per tipologia de sòl'!$A$2:$D$37,4,FALSE)*'T50'!M80</f>
        <v>0</v>
      </c>
      <c r="N80" s="1100">
        <f>VLOOKUP(N$1,'cost per tipologia de sòl'!$A$2:$D$37,4,FALSE)*'T50'!N80</f>
        <v>0</v>
      </c>
      <c r="O80" s="1100">
        <f>VLOOKUP(O$1,'cost per tipologia de sòl'!$A$2:$D$37,4,FALSE)*'T50'!O80</f>
        <v>0</v>
      </c>
      <c r="P80" s="1100">
        <f>VLOOKUP(P$1,'cost per tipologia de sòl'!$A$2:$D$37,4,FALSE)*'T50'!P80</f>
        <v>0</v>
      </c>
      <c r="Q80" s="1100">
        <f>VLOOKUP(Q$1,'cost per tipologia de sòl'!$A$2:$D$37,4,FALSE)*'T50'!Q80</f>
        <v>0</v>
      </c>
      <c r="R80" s="1100">
        <f>VLOOKUP(R$1,'cost per tipologia de sòl'!$A$2:$D$37,4,FALSE)*'T50'!R80</f>
        <v>0</v>
      </c>
      <c r="S80" s="1100">
        <f>VLOOKUP(S$1,'cost per tipologia de sòl'!$A$2:$D$37,4,FALSE)*'T50'!S80</f>
        <v>0</v>
      </c>
      <c r="T80" s="1100">
        <f>VLOOKUP(T$1,'cost per tipologia de sòl'!$A$2:$D$37,4,FALSE)*'T50'!T80</f>
        <v>1278531.1570000001</v>
      </c>
      <c r="U80" s="1100">
        <f>VLOOKUP(U$1,'cost per tipologia de sòl'!$A$2:$D$37,4,FALSE)*'T50'!U80</f>
        <v>0</v>
      </c>
      <c r="V80" s="1100">
        <f>VLOOKUP(V$1,'cost per tipologia de sòl'!$A$2:$D$37,4,FALSE)*'T50'!V80</f>
        <v>0</v>
      </c>
      <c r="W80" s="1100">
        <f>VLOOKUP(W$1,'cost per tipologia de sòl'!$A$2:$D$37,4,FALSE)*'T50'!W80</f>
        <v>0</v>
      </c>
      <c r="X80" s="1100">
        <f>VLOOKUP(X$1,'cost per tipologia de sòl'!$A$2:$D$37,4,FALSE)*'T50'!X80</f>
        <v>0</v>
      </c>
      <c r="Y80" s="1100">
        <f>VLOOKUP(Y$1,'cost per tipologia de sòl'!$A$2:$D$37,4,FALSE)*'T50'!Y80</f>
        <v>0</v>
      </c>
      <c r="Z80" s="1100">
        <f>VLOOKUP(Z$1,'cost per tipologia de sòl'!$A$2:$D$37,4,FALSE)*'T50'!Z80</f>
        <v>6118.6239999999998</v>
      </c>
      <c r="AA80" s="1100">
        <f>VLOOKUP(AA$1,'cost per tipologia de sòl'!$A$2:$D$37,4,FALSE)*'T50'!AA80</f>
        <v>0</v>
      </c>
      <c r="AB80" s="1100">
        <f>VLOOKUP(AB$1,'cost per tipologia de sòl'!$A$2:$D$37,4,FALSE)*'T50'!AB80</f>
        <v>0</v>
      </c>
      <c r="AC80" s="1100">
        <f>VLOOKUP(AC$1,'cost per tipologia de sòl'!$A$2:$D$37,4,FALSE)*'T50'!AC80</f>
        <v>0</v>
      </c>
      <c r="AD80" s="1100">
        <f>VLOOKUP(AD$1,'cost per tipologia de sòl'!$A$2:$D$37,4,FALSE)*'T50'!AD80</f>
        <v>625022.1</v>
      </c>
      <c r="AE80" s="1100">
        <f>VLOOKUP(AE$1,'cost per tipologia de sòl'!$A$2:$D$37,4,FALSE)*'T50'!AE80</f>
        <v>0</v>
      </c>
      <c r="AF80" s="1100">
        <f>VLOOKUP(AF$1,'cost per tipologia de sòl'!$A$2:$D$37,4,FALSE)*'T50'!AF80</f>
        <v>0</v>
      </c>
      <c r="AG80" s="1100">
        <f>VLOOKUP(AG$1,'cost per tipologia de sòl'!$A$2:$D$37,4,FALSE)*'T50'!AG80</f>
        <v>0</v>
      </c>
      <c r="AH80" s="1100">
        <f>VLOOKUP(AH$1,'cost per tipologia de sòl'!$A$2:$D$37,4,FALSE)*'T50'!AH80</f>
        <v>0</v>
      </c>
      <c r="AI80" s="1100">
        <f>VLOOKUP(AI$1,'cost per tipologia de sòl'!$A$2:$D$37,4,FALSE)*'T50'!AI80</f>
        <v>0</v>
      </c>
      <c r="AJ80" s="1100">
        <f t="shared" si="2"/>
        <v>1909807.2195000001</v>
      </c>
      <c r="AK80" s="1098">
        <f t="shared" si="3"/>
        <v>0.57294216585000002</v>
      </c>
    </row>
    <row r="81" spans="1:37">
      <c r="A81" s="1099" t="s">
        <v>1208</v>
      </c>
      <c r="B81" s="1100">
        <f>VLOOKUP(B$1,'cost per tipologia de sòl'!$A$2:$D$37,4,FALSE)*'T50'!B81</f>
        <v>0</v>
      </c>
      <c r="C81" s="1100">
        <f>VLOOKUP(C$1,'cost per tipologia de sòl'!$A$2:$D$37,4,FALSE)*'T50'!C81</f>
        <v>0</v>
      </c>
      <c r="D81" s="1100">
        <f>VLOOKUP(D$1,'cost per tipologia de sòl'!$A$2:$D$37,4,FALSE)*'T50'!D81</f>
        <v>0</v>
      </c>
      <c r="E81" s="1100">
        <f>VLOOKUP(E$1,'cost per tipologia de sòl'!$A$2:$D$37,4,FALSE)*'T50'!E81</f>
        <v>0</v>
      </c>
      <c r="F81" s="1100">
        <f>VLOOKUP(F$1,'cost per tipologia de sòl'!$A$2:$D$37,4,FALSE)*'T50'!F81</f>
        <v>0</v>
      </c>
      <c r="G81" s="1100">
        <f>VLOOKUP(G$1,'cost per tipologia de sòl'!$A$2:$D$37,4,FALSE)*'T50'!G81</f>
        <v>0</v>
      </c>
      <c r="H81" s="1100">
        <f>VLOOKUP(H$1,'cost per tipologia de sòl'!$A$2:$D$37,4,FALSE)*'T50'!H81</f>
        <v>0</v>
      </c>
      <c r="I81" s="1100">
        <f>VLOOKUP(I$1,'cost per tipologia de sòl'!$A$2:$D$37,4,FALSE)*'T50'!I81</f>
        <v>0</v>
      </c>
      <c r="J81" s="1100">
        <f>VLOOKUP(J$1,'cost per tipologia de sòl'!$A$2:$D$37,4,FALSE)*'T50'!J81</f>
        <v>0</v>
      </c>
      <c r="K81" s="1100">
        <f>VLOOKUP(K$1,'cost per tipologia de sòl'!$A$2:$D$37,4,FALSE)*'T50'!K81</f>
        <v>0</v>
      </c>
      <c r="L81" s="1100">
        <f>VLOOKUP(L$1,'cost per tipologia de sòl'!$A$2:$D$37,4,FALSE)*'T50'!L81</f>
        <v>0</v>
      </c>
      <c r="M81" s="1100">
        <f>VLOOKUP(M$1,'cost per tipologia de sòl'!$A$2:$D$37,4,FALSE)*'T50'!M81</f>
        <v>0</v>
      </c>
      <c r="N81" s="1100">
        <f>VLOOKUP(N$1,'cost per tipologia de sòl'!$A$2:$D$37,4,FALSE)*'T50'!N81</f>
        <v>0</v>
      </c>
      <c r="O81" s="1100">
        <f>VLOOKUP(O$1,'cost per tipologia de sòl'!$A$2:$D$37,4,FALSE)*'T50'!O81</f>
        <v>0</v>
      </c>
      <c r="P81" s="1100">
        <f>VLOOKUP(P$1,'cost per tipologia de sòl'!$A$2:$D$37,4,FALSE)*'T50'!P81</f>
        <v>0</v>
      </c>
      <c r="Q81" s="1100">
        <f>VLOOKUP(Q$1,'cost per tipologia de sòl'!$A$2:$D$37,4,FALSE)*'T50'!Q81</f>
        <v>0</v>
      </c>
      <c r="R81" s="1100">
        <f>VLOOKUP(R$1,'cost per tipologia de sòl'!$A$2:$D$37,4,FALSE)*'T50'!R81</f>
        <v>0</v>
      </c>
      <c r="S81" s="1100">
        <f>VLOOKUP(S$1,'cost per tipologia de sòl'!$A$2:$D$37,4,FALSE)*'T50'!S81</f>
        <v>0</v>
      </c>
      <c r="T81" s="1100">
        <f>VLOOKUP(T$1,'cost per tipologia de sòl'!$A$2:$D$37,4,FALSE)*'T50'!T81</f>
        <v>0</v>
      </c>
      <c r="U81" s="1100">
        <f>VLOOKUP(U$1,'cost per tipologia de sòl'!$A$2:$D$37,4,FALSE)*'T50'!U81</f>
        <v>293044.5</v>
      </c>
      <c r="V81" s="1100">
        <f>VLOOKUP(V$1,'cost per tipologia de sòl'!$A$2:$D$37,4,FALSE)*'T50'!V81</f>
        <v>0</v>
      </c>
      <c r="W81" s="1100">
        <f>VLOOKUP(W$1,'cost per tipologia de sòl'!$A$2:$D$37,4,FALSE)*'T50'!W81</f>
        <v>0</v>
      </c>
      <c r="X81" s="1100">
        <f>VLOOKUP(X$1,'cost per tipologia de sòl'!$A$2:$D$37,4,FALSE)*'T50'!X81</f>
        <v>0</v>
      </c>
      <c r="Y81" s="1100">
        <f>VLOOKUP(Y$1,'cost per tipologia de sòl'!$A$2:$D$37,4,FALSE)*'T50'!Y81</f>
        <v>0</v>
      </c>
      <c r="Z81" s="1100">
        <f>VLOOKUP(Z$1,'cost per tipologia de sòl'!$A$2:$D$37,4,FALSE)*'T50'!Z81</f>
        <v>0</v>
      </c>
      <c r="AA81" s="1100">
        <f>VLOOKUP(AA$1,'cost per tipologia de sòl'!$A$2:$D$37,4,FALSE)*'T50'!AA81</f>
        <v>0</v>
      </c>
      <c r="AB81" s="1100">
        <f>VLOOKUP(AB$1,'cost per tipologia de sòl'!$A$2:$D$37,4,FALSE)*'T50'!AB81</f>
        <v>0</v>
      </c>
      <c r="AC81" s="1100">
        <f>VLOOKUP(AC$1,'cost per tipologia de sòl'!$A$2:$D$37,4,FALSE)*'T50'!AC81</f>
        <v>0</v>
      </c>
      <c r="AD81" s="1100">
        <f>VLOOKUP(AD$1,'cost per tipologia de sòl'!$A$2:$D$37,4,FALSE)*'T50'!AD81</f>
        <v>9428330.0999999996</v>
      </c>
      <c r="AE81" s="1100">
        <f>VLOOKUP(AE$1,'cost per tipologia de sòl'!$A$2:$D$37,4,FALSE)*'T50'!AE81</f>
        <v>0</v>
      </c>
      <c r="AF81" s="1100">
        <f>VLOOKUP(AF$1,'cost per tipologia de sòl'!$A$2:$D$37,4,FALSE)*'T50'!AF81</f>
        <v>0</v>
      </c>
      <c r="AG81" s="1100">
        <f>VLOOKUP(AG$1,'cost per tipologia de sòl'!$A$2:$D$37,4,FALSE)*'T50'!AG81</f>
        <v>0</v>
      </c>
      <c r="AH81" s="1100">
        <f>VLOOKUP(AH$1,'cost per tipologia de sòl'!$A$2:$D$37,4,FALSE)*'T50'!AH81</f>
        <v>0</v>
      </c>
      <c r="AI81" s="1100">
        <f>VLOOKUP(AI$1,'cost per tipologia de sòl'!$A$2:$D$37,4,FALSE)*'T50'!AI81</f>
        <v>0</v>
      </c>
      <c r="AJ81" s="1100">
        <f t="shared" si="2"/>
        <v>9721374.5999999996</v>
      </c>
      <c r="AK81" s="1098">
        <f t="shared" si="3"/>
        <v>2.9164123800000001</v>
      </c>
    </row>
    <row r="82" spans="1:37">
      <c r="A82" s="1099" t="s">
        <v>1214</v>
      </c>
      <c r="B82" s="1100">
        <f>VLOOKUP(B$1,'cost per tipologia de sòl'!$A$2:$D$37,4,FALSE)*'T50'!B82</f>
        <v>354354132.06</v>
      </c>
      <c r="C82" s="1100">
        <f>VLOOKUP(C$1,'cost per tipologia de sòl'!$A$2:$D$37,4,FALSE)*'T50'!C82</f>
        <v>58526938.182000004</v>
      </c>
      <c r="D82" s="1100">
        <f>VLOOKUP(D$1,'cost per tipologia de sòl'!$A$2:$D$37,4,FALSE)*'T50'!D82</f>
        <v>0</v>
      </c>
      <c r="E82" s="1100">
        <f>VLOOKUP(E$1,'cost per tipologia de sòl'!$A$2:$D$37,4,FALSE)*'T50'!E82</f>
        <v>0</v>
      </c>
      <c r="F82" s="1100">
        <f>VLOOKUP(F$1,'cost per tipologia de sòl'!$A$2:$D$37,4,FALSE)*'T50'!F82</f>
        <v>0</v>
      </c>
      <c r="G82" s="1100">
        <f>VLOOKUP(G$1,'cost per tipologia de sòl'!$A$2:$D$37,4,FALSE)*'T50'!G82</f>
        <v>0</v>
      </c>
      <c r="H82" s="1100">
        <f>VLOOKUP(H$1,'cost per tipologia de sòl'!$A$2:$D$37,4,FALSE)*'T50'!H82</f>
        <v>0</v>
      </c>
      <c r="I82" s="1100">
        <f>VLOOKUP(I$1,'cost per tipologia de sòl'!$A$2:$D$37,4,FALSE)*'T50'!I82</f>
        <v>0</v>
      </c>
      <c r="J82" s="1100">
        <f>VLOOKUP(J$1,'cost per tipologia de sòl'!$A$2:$D$37,4,FALSE)*'T50'!J82</f>
        <v>132184.89350000001</v>
      </c>
      <c r="K82" s="1100">
        <f>VLOOKUP(K$1,'cost per tipologia de sòl'!$A$2:$D$37,4,FALSE)*'T50'!K82</f>
        <v>17000253.206999999</v>
      </c>
      <c r="L82" s="1100">
        <f>VLOOKUP(L$1,'cost per tipologia de sòl'!$A$2:$D$37,4,FALSE)*'T50'!L82</f>
        <v>0</v>
      </c>
      <c r="M82" s="1100">
        <f>VLOOKUP(M$1,'cost per tipologia de sòl'!$A$2:$D$37,4,FALSE)*'T50'!M82</f>
        <v>0</v>
      </c>
      <c r="N82" s="1100">
        <f>VLOOKUP(N$1,'cost per tipologia de sòl'!$A$2:$D$37,4,FALSE)*'T50'!N82</f>
        <v>54832948.472000003</v>
      </c>
      <c r="O82" s="1100">
        <f>VLOOKUP(O$1,'cost per tipologia de sòl'!$A$2:$D$37,4,FALSE)*'T50'!O82</f>
        <v>0</v>
      </c>
      <c r="P82" s="1100">
        <f>VLOOKUP(P$1,'cost per tipologia de sòl'!$A$2:$D$37,4,FALSE)*'T50'!P82</f>
        <v>41381255.024000004</v>
      </c>
      <c r="Q82" s="1100">
        <f>VLOOKUP(Q$1,'cost per tipologia de sòl'!$A$2:$D$37,4,FALSE)*'T50'!Q82</f>
        <v>0</v>
      </c>
      <c r="R82" s="1100">
        <f>VLOOKUP(R$1,'cost per tipologia de sòl'!$A$2:$D$37,4,FALSE)*'T50'!R82</f>
        <v>0</v>
      </c>
      <c r="S82" s="1100">
        <f>VLOOKUP(S$1,'cost per tipologia de sòl'!$A$2:$D$37,4,FALSE)*'T50'!S82</f>
        <v>178522082.928</v>
      </c>
      <c r="T82" s="1100">
        <f>VLOOKUP(T$1,'cost per tipologia de sòl'!$A$2:$D$37,4,FALSE)*'T50'!T82</f>
        <v>85759706.080000013</v>
      </c>
      <c r="U82" s="1100">
        <f>VLOOKUP(U$1,'cost per tipologia de sòl'!$A$2:$D$37,4,FALSE)*'T50'!U82</f>
        <v>75478317.599999994</v>
      </c>
      <c r="V82" s="1100">
        <f>VLOOKUP(V$1,'cost per tipologia de sòl'!$A$2:$D$37,4,FALSE)*'T50'!V82</f>
        <v>79125.391999999993</v>
      </c>
      <c r="W82" s="1100">
        <f>VLOOKUP(W$1,'cost per tipologia de sòl'!$A$2:$D$37,4,FALSE)*'T50'!W82</f>
        <v>0</v>
      </c>
      <c r="X82" s="1100">
        <f>VLOOKUP(X$1,'cost per tipologia de sòl'!$A$2:$D$37,4,FALSE)*'T50'!X82</f>
        <v>0</v>
      </c>
      <c r="Y82" s="1100">
        <f>VLOOKUP(Y$1,'cost per tipologia de sòl'!$A$2:$D$37,4,FALSE)*'T50'!Y82</f>
        <v>0</v>
      </c>
      <c r="Z82" s="1100">
        <f>VLOOKUP(Z$1,'cost per tipologia de sòl'!$A$2:$D$37,4,FALSE)*'T50'!Z82</f>
        <v>1164860.2019999998</v>
      </c>
      <c r="AA82" s="1100">
        <f>VLOOKUP(AA$1,'cost per tipologia de sòl'!$A$2:$D$37,4,FALSE)*'T50'!AA82</f>
        <v>0</v>
      </c>
      <c r="AB82" s="1100">
        <f>VLOOKUP(AB$1,'cost per tipologia de sòl'!$A$2:$D$37,4,FALSE)*'T50'!AB82</f>
        <v>1372894.4000000001</v>
      </c>
      <c r="AC82" s="1100">
        <f>VLOOKUP(AC$1,'cost per tipologia de sòl'!$A$2:$D$37,4,FALSE)*'T50'!AC82</f>
        <v>197053137.25</v>
      </c>
      <c r="AD82" s="1100">
        <f>VLOOKUP(AD$1,'cost per tipologia de sòl'!$A$2:$D$37,4,FALSE)*'T50'!AD82</f>
        <v>221226966.45000002</v>
      </c>
      <c r="AE82" s="1100">
        <f>VLOOKUP(AE$1,'cost per tipologia de sòl'!$A$2:$D$37,4,FALSE)*'T50'!AE82</f>
        <v>0</v>
      </c>
      <c r="AF82" s="1100">
        <f>VLOOKUP(AF$1,'cost per tipologia de sòl'!$A$2:$D$37,4,FALSE)*'T50'!AF82</f>
        <v>0</v>
      </c>
      <c r="AG82" s="1100">
        <f>VLOOKUP(AG$1,'cost per tipologia de sòl'!$A$2:$D$37,4,FALSE)*'T50'!AG82</f>
        <v>0</v>
      </c>
      <c r="AH82" s="1100">
        <f>VLOOKUP(AH$1,'cost per tipologia de sòl'!$A$2:$D$37,4,FALSE)*'T50'!AH82</f>
        <v>0</v>
      </c>
      <c r="AI82" s="1100">
        <f>VLOOKUP(AI$1,'cost per tipologia de sòl'!$A$2:$D$37,4,FALSE)*'T50'!AI82</f>
        <v>0</v>
      </c>
      <c r="AJ82" s="1100">
        <f t="shared" si="2"/>
        <v>1286884802.1405001</v>
      </c>
      <c r="AK82" s="1098">
        <f t="shared" si="3"/>
        <v>386.06544064215007</v>
      </c>
    </row>
    <row r="83" spans="1:37">
      <c r="A83" s="1099" t="s">
        <v>1227</v>
      </c>
      <c r="B83" s="1100">
        <f>VLOOKUP(B$1,'cost per tipologia de sòl'!$A$2:$D$37,4,FALSE)*'T50'!B83</f>
        <v>0</v>
      </c>
      <c r="C83" s="1100">
        <f>VLOOKUP(C$1,'cost per tipologia de sòl'!$A$2:$D$37,4,FALSE)*'T50'!C83</f>
        <v>0</v>
      </c>
      <c r="D83" s="1100">
        <f>VLOOKUP(D$1,'cost per tipologia de sòl'!$A$2:$D$37,4,FALSE)*'T50'!D83</f>
        <v>1143932.1300000001</v>
      </c>
      <c r="E83" s="1100">
        <f>VLOOKUP(E$1,'cost per tipologia de sòl'!$A$2:$D$37,4,FALSE)*'T50'!E83</f>
        <v>0</v>
      </c>
      <c r="F83" s="1100">
        <f>VLOOKUP(F$1,'cost per tipologia de sòl'!$A$2:$D$37,4,FALSE)*'T50'!F83</f>
        <v>0</v>
      </c>
      <c r="G83" s="1100">
        <f>VLOOKUP(G$1,'cost per tipologia de sòl'!$A$2:$D$37,4,FALSE)*'T50'!G83</f>
        <v>0</v>
      </c>
      <c r="H83" s="1100">
        <f>VLOOKUP(H$1,'cost per tipologia de sòl'!$A$2:$D$37,4,FALSE)*'T50'!H83</f>
        <v>0</v>
      </c>
      <c r="I83" s="1100">
        <f>VLOOKUP(I$1,'cost per tipologia de sòl'!$A$2:$D$37,4,FALSE)*'T50'!I83</f>
        <v>0</v>
      </c>
      <c r="J83" s="1100">
        <f>VLOOKUP(J$1,'cost per tipologia de sòl'!$A$2:$D$37,4,FALSE)*'T50'!J83</f>
        <v>0</v>
      </c>
      <c r="K83" s="1100">
        <f>VLOOKUP(K$1,'cost per tipologia de sòl'!$A$2:$D$37,4,FALSE)*'T50'!K83</f>
        <v>0</v>
      </c>
      <c r="L83" s="1100">
        <f>VLOOKUP(L$1,'cost per tipologia de sòl'!$A$2:$D$37,4,FALSE)*'T50'!L83</f>
        <v>0</v>
      </c>
      <c r="M83" s="1100">
        <f>VLOOKUP(M$1,'cost per tipologia de sòl'!$A$2:$D$37,4,FALSE)*'T50'!M83</f>
        <v>0</v>
      </c>
      <c r="N83" s="1100">
        <f>VLOOKUP(N$1,'cost per tipologia de sòl'!$A$2:$D$37,4,FALSE)*'T50'!N83</f>
        <v>0</v>
      </c>
      <c r="O83" s="1100">
        <f>VLOOKUP(O$1,'cost per tipologia de sòl'!$A$2:$D$37,4,FALSE)*'T50'!O83</f>
        <v>0</v>
      </c>
      <c r="P83" s="1100">
        <f>VLOOKUP(P$1,'cost per tipologia de sòl'!$A$2:$D$37,4,FALSE)*'T50'!P83</f>
        <v>0</v>
      </c>
      <c r="Q83" s="1100">
        <f>VLOOKUP(Q$1,'cost per tipologia de sòl'!$A$2:$D$37,4,FALSE)*'T50'!Q83</f>
        <v>0</v>
      </c>
      <c r="R83" s="1100">
        <f>VLOOKUP(R$1,'cost per tipologia de sòl'!$A$2:$D$37,4,FALSE)*'T50'!R83</f>
        <v>0</v>
      </c>
      <c r="S83" s="1100">
        <f>VLOOKUP(S$1,'cost per tipologia de sòl'!$A$2:$D$37,4,FALSE)*'T50'!S83</f>
        <v>940.46400000000006</v>
      </c>
      <c r="T83" s="1100">
        <f>VLOOKUP(T$1,'cost per tipologia de sòl'!$A$2:$D$37,4,FALSE)*'T50'!T83</f>
        <v>697204.13500000001</v>
      </c>
      <c r="U83" s="1100">
        <f>VLOOKUP(U$1,'cost per tipologia de sòl'!$A$2:$D$37,4,FALSE)*'T50'!U83</f>
        <v>1913304.75</v>
      </c>
      <c r="V83" s="1100">
        <f>VLOOKUP(V$1,'cost per tipologia de sòl'!$A$2:$D$37,4,FALSE)*'T50'!V83</f>
        <v>0</v>
      </c>
      <c r="W83" s="1100">
        <f>VLOOKUP(W$1,'cost per tipologia de sòl'!$A$2:$D$37,4,FALSE)*'T50'!W83</f>
        <v>0</v>
      </c>
      <c r="X83" s="1100">
        <f>VLOOKUP(X$1,'cost per tipologia de sòl'!$A$2:$D$37,4,FALSE)*'T50'!X83</f>
        <v>0</v>
      </c>
      <c r="Y83" s="1100">
        <f>VLOOKUP(Y$1,'cost per tipologia de sòl'!$A$2:$D$37,4,FALSE)*'T50'!Y83</f>
        <v>0</v>
      </c>
      <c r="Z83" s="1100">
        <f>VLOOKUP(Z$1,'cost per tipologia de sòl'!$A$2:$D$37,4,FALSE)*'T50'!Z83</f>
        <v>0</v>
      </c>
      <c r="AA83" s="1100">
        <f>VLOOKUP(AA$1,'cost per tipologia de sòl'!$A$2:$D$37,4,FALSE)*'T50'!AA83</f>
        <v>0</v>
      </c>
      <c r="AB83" s="1100">
        <f>VLOOKUP(AB$1,'cost per tipologia de sòl'!$A$2:$D$37,4,FALSE)*'T50'!AB83</f>
        <v>2137825.85</v>
      </c>
      <c r="AC83" s="1100">
        <f>VLOOKUP(AC$1,'cost per tipologia de sòl'!$A$2:$D$37,4,FALSE)*'T50'!AC83</f>
        <v>0</v>
      </c>
      <c r="AD83" s="1100">
        <f>VLOOKUP(AD$1,'cost per tipologia de sòl'!$A$2:$D$37,4,FALSE)*'T50'!AD83</f>
        <v>7941758.7000000002</v>
      </c>
      <c r="AE83" s="1100">
        <f>VLOOKUP(AE$1,'cost per tipologia de sòl'!$A$2:$D$37,4,FALSE)*'T50'!AE83</f>
        <v>0</v>
      </c>
      <c r="AF83" s="1100">
        <f>VLOOKUP(AF$1,'cost per tipologia de sòl'!$A$2:$D$37,4,FALSE)*'T50'!AF83</f>
        <v>0</v>
      </c>
      <c r="AG83" s="1100">
        <f>VLOOKUP(AG$1,'cost per tipologia de sòl'!$A$2:$D$37,4,FALSE)*'T50'!AG83</f>
        <v>0</v>
      </c>
      <c r="AH83" s="1100">
        <f>VLOOKUP(AH$1,'cost per tipologia de sòl'!$A$2:$D$37,4,FALSE)*'T50'!AH83</f>
        <v>0</v>
      </c>
      <c r="AI83" s="1100">
        <f>VLOOKUP(AI$1,'cost per tipologia de sòl'!$A$2:$D$37,4,FALSE)*'T50'!AI83</f>
        <v>0</v>
      </c>
      <c r="AJ83" s="1100">
        <f t="shared" si="2"/>
        <v>13834966.028999999</v>
      </c>
      <c r="AK83" s="1098">
        <f t="shared" si="3"/>
        <v>4.1504898086999997</v>
      </c>
    </row>
    <row r="84" spans="1:37">
      <c r="A84" s="1099" t="s">
        <v>1220</v>
      </c>
      <c r="B84" s="1100">
        <f>VLOOKUP(B$1,'cost per tipologia de sòl'!$A$2:$D$37,4,FALSE)*'T50'!B84</f>
        <v>529064467.95600003</v>
      </c>
      <c r="C84" s="1100">
        <f>VLOOKUP(C$1,'cost per tipologia de sòl'!$A$2:$D$37,4,FALSE)*'T50'!C84</f>
        <v>174496.022</v>
      </c>
      <c r="D84" s="1100">
        <f>VLOOKUP(D$1,'cost per tipologia de sòl'!$A$2:$D$37,4,FALSE)*'T50'!D84</f>
        <v>70662855.63000001</v>
      </c>
      <c r="E84" s="1100">
        <f>VLOOKUP(E$1,'cost per tipologia de sòl'!$A$2:$D$37,4,FALSE)*'T50'!E84</f>
        <v>0</v>
      </c>
      <c r="F84" s="1100">
        <f>VLOOKUP(F$1,'cost per tipologia de sòl'!$A$2:$D$37,4,FALSE)*'T50'!F84</f>
        <v>0</v>
      </c>
      <c r="G84" s="1100">
        <f>VLOOKUP(G$1,'cost per tipologia de sòl'!$A$2:$D$37,4,FALSE)*'T50'!G84</f>
        <v>0</v>
      </c>
      <c r="H84" s="1100">
        <f>VLOOKUP(H$1,'cost per tipologia de sòl'!$A$2:$D$37,4,FALSE)*'T50'!H84</f>
        <v>0</v>
      </c>
      <c r="I84" s="1100">
        <f>VLOOKUP(I$1,'cost per tipologia de sòl'!$A$2:$D$37,4,FALSE)*'T50'!I84</f>
        <v>0</v>
      </c>
      <c r="J84" s="1100">
        <f>VLOOKUP(J$1,'cost per tipologia de sòl'!$A$2:$D$37,4,FALSE)*'T50'!J84</f>
        <v>74750.752999999997</v>
      </c>
      <c r="K84" s="1100">
        <f>VLOOKUP(K$1,'cost per tipologia de sòl'!$A$2:$D$37,4,FALSE)*'T50'!K84</f>
        <v>3541894.5869999998</v>
      </c>
      <c r="L84" s="1100">
        <f>VLOOKUP(L$1,'cost per tipologia de sòl'!$A$2:$D$37,4,FALSE)*'T50'!L84</f>
        <v>0</v>
      </c>
      <c r="M84" s="1100">
        <f>VLOOKUP(M$1,'cost per tipologia de sòl'!$A$2:$D$37,4,FALSE)*'T50'!M84</f>
        <v>0</v>
      </c>
      <c r="N84" s="1100">
        <f>VLOOKUP(N$1,'cost per tipologia de sòl'!$A$2:$D$37,4,FALSE)*'T50'!N84</f>
        <v>9643833.1359999999</v>
      </c>
      <c r="O84" s="1100">
        <f>VLOOKUP(O$1,'cost per tipologia de sòl'!$A$2:$D$37,4,FALSE)*'T50'!O84</f>
        <v>0</v>
      </c>
      <c r="P84" s="1100">
        <f>VLOOKUP(P$1,'cost per tipologia de sòl'!$A$2:$D$37,4,FALSE)*'T50'!P84</f>
        <v>53617990.303999998</v>
      </c>
      <c r="Q84" s="1100">
        <f>VLOOKUP(Q$1,'cost per tipologia de sòl'!$A$2:$D$37,4,FALSE)*'T50'!Q84</f>
        <v>0</v>
      </c>
      <c r="R84" s="1100">
        <f>VLOOKUP(R$1,'cost per tipologia de sòl'!$A$2:$D$37,4,FALSE)*'T50'!R84</f>
        <v>0</v>
      </c>
      <c r="S84" s="1100">
        <f>VLOOKUP(S$1,'cost per tipologia de sòl'!$A$2:$D$37,4,FALSE)*'T50'!S84</f>
        <v>167580347.76000002</v>
      </c>
      <c r="T84" s="1100">
        <f>VLOOKUP(T$1,'cost per tipologia de sòl'!$A$2:$D$37,4,FALSE)*'T50'!T84</f>
        <v>94750400.682999998</v>
      </c>
      <c r="U84" s="1100">
        <f>VLOOKUP(U$1,'cost per tipologia de sòl'!$A$2:$D$37,4,FALSE)*'T50'!U84</f>
        <v>27771330.299999997</v>
      </c>
      <c r="V84" s="1100">
        <f>VLOOKUP(V$1,'cost per tipologia de sòl'!$A$2:$D$37,4,FALSE)*'T50'!V84</f>
        <v>316375.07199999999</v>
      </c>
      <c r="W84" s="1100">
        <f>VLOOKUP(W$1,'cost per tipologia de sòl'!$A$2:$D$37,4,FALSE)*'T50'!W84</f>
        <v>0</v>
      </c>
      <c r="X84" s="1100">
        <f>VLOOKUP(X$1,'cost per tipologia de sòl'!$A$2:$D$37,4,FALSE)*'T50'!X84</f>
        <v>0</v>
      </c>
      <c r="Y84" s="1100">
        <f>VLOOKUP(Y$1,'cost per tipologia de sòl'!$A$2:$D$37,4,FALSE)*'T50'!Y84</f>
        <v>0</v>
      </c>
      <c r="Z84" s="1100">
        <f>VLOOKUP(Z$1,'cost per tipologia de sòl'!$A$2:$D$37,4,FALSE)*'T50'!Z84</f>
        <v>74855.521999999997</v>
      </c>
      <c r="AA84" s="1100">
        <f>VLOOKUP(AA$1,'cost per tipologia de sòl'!$A$2:$D$37,4,FALSE)*'T50'!AA84</f>
        <v>0</v>
      </c>
      <c r="AB84" s="1100">
        <f>VLOOKUP(AB$1,'cost per tipologia de sòl'!$A$2:$D$37,4,FALSE)*'T50'!AB84</f>
        <v>2374285.6</v>
      </c>
      <c r="AC84" s="1100">
        <f>VLOOKUP(AC$1,'cost per tipologia de sòl'!$A$2:$D$37,4,FALSE)*'T50'!AC84</f>
        <v>256006050.34999999</v>
      </c>
      <c r="AD84" s="1100">
        <f>VLOOKUP(AD$1,'cost per tipologia de sòl'!$A$2:$D$37,4,FALSE)*'T50'!AD84</f>
        <v>251490688</v>
      </c>
      <c r="AE84" s="1100">
        <f>VLOOKUP(AE$1,'cost per tipologia de sòl'!$A$2:$D$37,4,FALSE)*'T50'!AE84</f>
        <v>0</v>
      </c>
      <c r="AF84" s="1100">
        <f>VLOOKUP(AF$1,'cost per tipologia de sòl'!$A$2:$D$37,4,FALSE)*'T50'!AF84</f>
        <v>0</v>
      </c>
      <c r="AG84" s="1100">
        <f>VLOOKUP(AG$1,'cost per tipologia de sòl'!$A$2:$D$37,4,FALSE)*'T50'!AG84</f>
        <v>0</v>
      </c>
      <c r="AH84" s="1100">
        <f>VLOOKUP(AH$1,'cost per tipologia de sòl'!$A$2:$D$37,4,FALSE)*'T50'!AH84</f>
        <v>0</v>
      </c>
      <c r="AI84" s="1100">
        <f>VLOOKUP(AI$1,'cost per tipologia de sòl'!$A$2:$D$37,4,FALSE)*'T50'!AI84</f>
        <v>0</v>
      </c>
      <c r="AJ84" s="1100">
        <f t="shared" si="2"/>
        <v>1467144621.675</v>
      </c>
      <c r="AK84" s="1098">
        <f t="shared" si="3"/>
        <v>440.14338650249999</v>
      </c>
    </row>
    <row r="85" spans="1:37">
      <c r="A85" s="1099" t="s">
        <v>1240</v>
      </c>
      <c r="B85" s="1100">
        <f>VLOOKUP(B$1,'cost per tipologia de sòl'!$A$2:$D$37,4,FALSE)*'T50'!B85</f>
        <v>8342117.5319999997</v>
      </c>
      <c r="C85" s="1100">
        <f>VLOOKUP(C$1,'cost per tipologia de sòl'!$A$2:$D$37,4,FALSE)*'T50'!C85</f>
        <v>0</v>
      </c>
      <c r="D85" s="1100">
        <f>VLOOKUP(D$1,'cost per tipologia de sòl'!$A$2:$D$37,4,FALSE)*'T50'!D85</f>
        <v>0</v>
      </c>
      <c r="E85" s="1100">
        <f>VLOOKUP(E$1,'cost per tipologia de sòl'!$A$2:$D$37,4,FALSE)*'T50'!E85</f>
        <v>0</v>
      </c>
      <c r="F85" s="1100">
        <f>VLOOKUP(F$1,'cost per tipologia de sòl'!$A$2:$D$37,4,FALSE)*'T50'!F85</f>
        <v>0</v>
      </c>
      <c r="G85" s="1100">
        <f>VLOOKUP(G$1,'cost per tipologia de sòl'!$A$2:$D$37,4,FALSE)*'T50'!G85</f>
        <v>0</v>
      </c>
      <c r="H85" s="1100">
        <f>VLOOKUP(H$1,'cost per tipologia de sòl'!$A$2:$D$37,4,FALSE)*'T50'!H85</f>
        <v>0</v>
      </c>
      <c r="I85" s="1100">
        <f>VLOOKUP(I$1,'cost per tipologia de sòl'!$A$2:$D$37,4,FALSE)*'T50'!I85</f>
        <v>0</v>
      </c>
      <c r="J85" s="1100">
        <f>VLOOKUP(J$1,'cost per tipologia de sòl'!$A$2:$D$37,4,FALSE)*'T50'!J85</f>
        <v>922920.96049999993</v>
      </c>
      <c r="K85" s="1100">
        <f>VLOOKUP(K$1,'cost per tipologia de sòl'!$A$2:$D$37,4,FALSE)*'T50'!K85</f>
        <v>2164087.9890000001</v>
      </c>
      <c r="L85" s="1100">
        <f>VLOOKUP(L$1,'cost per tipologia de sòl'!$A$2:$D$37,4,FALSE)*'T50'!L85</f>
        <v>0.52200000000000002</v>
      </c>
      <c r="M85" s="1100">
        <f>VLOOKUP(M$1,'cost per tipologia de sòl'!$A$2:$D$37,4,FALSE)*'T50'!M85</f>
        <v>2394050.432</v>
      </c>
      <c r="N85" s="1100">
        <f>VLOOKUP(N$1,'cost per tipologia de sòl'!$A$2:$D$37,4,FALSE)*'T50'!N85</f>
        <v>838066.01600000006</v>
      </c>
      <c r="O85" s="1100">
        <f>VLOOKUP(O$1,'cost per tipologia de sòl'!$A$2:$D$37,4,FALSE)*'T50'!O85</f>
        <v>0</v>
      </c>
      <c r="P85" s="1100">
        <f>VLOOKUP(P$1,'cost per tipologia de sòl'!$A$2:$D$37,4,FALSE)*'T50'!P85</f>
        <v>7409356.8719999995</v>
      </c>
      <c r="Q85" s="1100">
        <f>VLOOKUP(Q$1,'cost per tipologia de sòl'!$A$2:$D$37,4,FALSE)*'T50'!Q85</f>
        <v>0</v>
      </c>
      <c r="R85" s="1100">
        <f>VLOOKUP(R$1,'cost per tipologia de sòl'!$A$2:$D$37,4,FALSE)*'T50'!R85</f>
        <v>0</v>
      </c>
      <c r="S85" s="1100">
        <f>VLOOKUP(S$1,'cost per tipologia de sòl'!$A$2:$D$37,4,FALSE)*'T50'!S85</f>
        <v>7751450.4479999999</v>
      </c>
      <c r="T85" s="1100">
        <f>VLOOKUP(T$1,'cost per tipologia de sòl'!$A$2:$D$37,4,FALSE)*'T50'!T85</f>
        <v>7598899.7680000002</v>
      </c>
      <c r="U85" s="1100">
        <f>VLOOKUP(U$1,'cost per tipologia de sòl'!$A$2:$D$37,4,FALSE)*'T50'!U85</f>
        <v>161305.20000000001</v>
      </c>
      <c r="V85" s="1100">
        <f>VLOOKUP(V$1,'cost per tipologia de sòl'!$A$2:$D$37,4,FALSE)*'T50'!V85</f>
        <v>0</v>
      </c>
      <c r="W85" s="1100">
        <f>VLOOKUP(W$1,'cost per tipologia de sòl'!$A$2:$D$37,4,FALSE)*'T50'!W85</f>
        <v>0</v>
      </c>
      <c r="X85" s="1100">
        <f>VLOOKUP(X$1,'cost per tipologia de sòl'!$A$2:$D$37,4,FALSE)*'T50'!X85</f>
        <v>0</v>
      </c>
      <c r="Y85" s="1100">
        <f>VLOOKUP(Y$1,'cost per tipologia de sòl'!$A$2:$D$37,4,FALSE)*'T50'!Y85</f>
        <v>0</v>
      </c>
      <c r="Z85" s="1100">
        <f>VLOOKUP(Z$1,'cost per tipologia de sòl'!$A$2:$D$37,4,FALSE)*'T50'!Z85</f>
        <v>9763169.6140000001</v>
      </c>
      <c r="AA85" s="1100">
        <f>VLOOKUP(AA$1,'cost per tipologia de sòl'!$A$2:$D$37,4,FALSE)*'T50'!AA85</f>
        <v>0</v>
      </c>
      <c r="AB85" s="1100">
        <f>VLOOKUP(AB$1,'cost per tipologia de sòl'!$A$2:$D$37,4,FALSE)*'T50'!AB85</f>
        <v>1051982.5</v>
      </c>
      <c r="AC85" s="1100">
        <f>VLOOKUP(AC$1,'cost per tipologia de sòl'!$A$2:$D$37,4,FALSE)*'T50'!AC85</f>
        <v>14025730.649999999</v>
      </c>
      <c r="AD85" s="1100">
        <f>VLOOKUP(AD$1,'cost per tipologia de sòl'!$A$2:$D$37,4,FALSE)*'T50'!AD85</f>
        <v>129685.45</v>
      </c>
      <c r="AE85" s="1100">
        <f>VLOOKUP(AE$1,'cost per tipologia de sòl'!$A$2:$D$37,4,FALSE)*'T50'!AE85</f>
        <v>0</v>
      </c>
      <c r="AF85" s="1100">
        <f>VLOOKUP(AF$1,'cost per tipologia de sòl'!$A$2:$D$37,4,FALSE)*'T50'!AF85</f>
        <v>0</v>
      </c>
      <c r="AG85" s="1100">
        <f>VLOOKUP(AG$1,'cost per tipologia de sòl'!$A$2:$D$37,4,FALSE)*'T50'!AG85</f>
        <v>0</v>
      </c>
      <c r="AH85" s="1100">
        <f>VLOOKUP(AH$1,'cost per tipologia de sòl'!$A$2:$D$37,4,FALSE)*'T50'!AH85</f>
        <v>0</v>
      </c>
      <c r="AI85" s="1100">
        <f>VLOOKUP(AI$1,'cost per tipologia de sòl'!$A$2:$D$37,4,FALSE)*'T50'!AI85</f>
        <v>0</v>
      </c>
      <c r="AJ85" s="1100">
        <f t="shared" si="2"/>
        <v>62552823.953500003</v>
      </c>
      <c r="AK85" s="1098">
        <f t="shared" si="3"/>
        <v>18.765847186049999</v>
      </c>
    </row>
    <row r="86" spans="1:37">
      <c r="A86" s="1099" t="s">
        <v>1255</v>
      </c>
      <c r="B86" s="1100">
        <f>VLOOKUP(B$1,'cost per tipologia de sòl'!$A$2:$D$37,4,FALSE)*'T50'!B86</f>
        <v>231818604.71399999</v>
      </c>
      <c r="C86" s="1100">
        <f>VLOOKUP(C$1,'cost per tipologia de sòl'!$A$2:$D$37,4,FALSE)*'T50'!C86</f>
        <v>0</v>
      </c>
      <c r="D86" s="1100">
        <f>VLOOKUP(D$1,'cost per tipologia de sòl'!$A$2:$D$37,4,FALSE)*'T50'!D86</f>
        <v>0</v>
      </c>
      <c r="E86" s="1100">
        <f>VLOOKUP(E$1,'cost per tipologia de sòl'!$A$2:$D$37,4,FALSE)*'T50'!E86</f>
        <v>0</v>
      </c>
      <c r="F86" s="1100">
        <f>VLOOKUP(F$1,'cost per tipologia de sòl'!$A$2:$D$37,4,FALSE)*'T50'!F86</f>
        <v>0</v>
      </c>
      <c r="G86" s="1100">
        <f>VLOOKUP(G$1,'cost per tipologia de sòl'!$A$2:$D$37,4,FALSE)*'T50'!G86</f>
        <v>0</v>
      </c>
      <c r="H86" s="1100">
        <f>VLOOKUP(H$1,'cost per tipologia de sòl'!$A$2:$D$37,4,FALSE)*'T50'!H86</f>
        <v>0</v>
      </c>
      <c r="I86" s="1100">
        <f>VLOOKUP(I$1,'cost per tipologia de sòl'!$A$2:$D$37,4,FALSE)*'T50'!I86</f>
        <v>0</v>
      </c>
      <c r="J86" s="1100">
        <f>VLOOKUP(J$1,'cost per tipologia de sòl'!$A$2:$D$37,4,FALSE)*'T50'!J86</f>
        <v>0</v>
      </c>
      <c r="K86" s="1100">
        <f>VLOOKUP(K$1,'cost per tipologia de sòl'!$A$2:$D$37,4,FALSE)*'T50'!K86</f>
        <v>3516592.2120000003</v>
      </c>
      <c r="L86" s="1100">
        <f>VLOOKUP(L$1,'cost per tipologia de sòl'!$A$2:$D$37,4,FALSE)*'T50'!L86</f>
        <v>0</v>
      </c>
      <c r="M86" s="1100">
        <f>VLOOKUP(M$1,'cost per tipologia de sòl'!$A$2:$D$37,4,FALSE)*'T50'!M86</f>
        <v>0</v>
      </c>
      <c r="N86" s="1100">
        <f>VLOOKUP(N$1,'cost per tipologia de sòl'!$A$2:$D$37,4,FALSE)*'T50'!N86</f>
        <v>532.78399999999999</v>
      </c>
      <c r="O86" s="1100">
        <f>VLOOKUP(O$1,'cost per tipologia de sòl'!$A$2:$D$37,4,FALSE)*'T50'!O86</f>
        <v>0</v>
      </c>
      <c r="P86" s="1100">
        <f>VLOOKUP(P$1,'cost per tipologia de sòl'!$A$2:$D$37,4,FALSE)*'T50'!P86</f>
        <v>1444679.7279999999</v>
      </c>
      <c r="Q86" s="1100">
        <f>VLOOKUP(Q$1,'cost per tipologia de sòl'!$A$2:$D$37,4,FALSE)*'T50'!Q86</f>
        <v>0</v>
      </c>
      <c r="R86" s="1100">
        <f>VLOOKUP(R$1,'cost per tipologia de sòl'!$A$2:$D$37,4,FALSE)*'T50'!R86</f>
        <v>0</v>
      </c>
      <c r="S86" s="1100">
        <f>VLOOKUP(S$1,'cost per tipologia de sòl'!$A$2:$D$37,4,FALSE)*'T50'!S86</f>
        <v>14853484.799999999</v>
      </c>
      <c r="T86" s="1100">
        <f>VLOOKUP(T$1,'cost per tipologia de sòl'!$A$2:$D$37,4,FALSE)*'T50'!T86</f>
        <v>21499933.414000001</v>
      </c>
      <c r="U86" s="1100">
        <f>VLOOKUP(U$1,'cost per tipologia de sòl'!$A$2:$D$37,4,FALSE)*'T50'!U86</f>
        <v>3820499.55</v>
      </c>
      <c r="V86" s="1100">
        <f>VLOOKUP(V$1,'cost per tipologia de sòl'!$A$2:$D$37,4,FALSE)*'T50'!V86</f>
        <v>0</v>
      </c>
      <c r="W86" s="1100">
        <f>VLOOKUP(W$1,'cost per tipologia de sòl'!$A$2:$D$37,4,FALSE)*'T50'!W86</f>
        <v>0</v>
      </c>
      <c r="X86" s="1100">
        <f>VLOOKUP(X$1,'cost per tipologia de sòl'!$A$2:$D$37,4,FALSE)*'T50'!X86</f>
        <v>0</v>
      </c>
      <c r="Y86" s="1100">
        <f>VLOOKUP(Y$1,'cost per tipologia de sòl'!$A$2:$D$37,4,FALSE)*'T50'!Y86</f>
        <v>0</v>
      </c>
      <c r="Z86" s="1100">
        <f>VLOOKUP(Z$1,'cost per tipologia de sòl'!$A$2:$D$37,4,FALSE)*'T50'!Z86</f>
        <v>7619636.3839999996</v>
      </c>
      <c r="AA86" s="1100">
        <f>VLOOKUP(AA$1,'cost per tipologia de sòl'!$A$2:$D$37,4,FALSE)*'T50'!AA86</f>
        <v>0</v>
      </c>
      <c r="AB86" s="1100">
        <f>VLOOKUP(AB$1,'cost per tipologia de sòl'!$A$2:$D$37,4,FALSE)*'T50'!AB86</f>
        <v>3321314.9499999997</v>
      </c>
      <c r="AC86" s="1100">
        <f>VLOOKUP(AC$1,'cost per tipologia de sòl'!$A$2:$D$37,4,FALSE)*'T50'!AC86</f>
        <v>43370014.649999999</v>
      </c>
      <c r="AD86" s="1100">
        <f>VLOOKUP(AD$1,'cost per tipologia de sòl'!$A$2:$D$37,4,FALSE)*'T50'!AD86</f>
        <v>44718516.850000001</v>
      </c>
      <c r="AE86" s="1100">
        <f>VLOOKUP(AE$1,'cost per tipologia de sòl'!$A$2:$D$37,4,FALSE)*'T50'!AE86</f>
        <v>0</v>
      </c>
      <c r="AF86" s="1100">
        <f>VLOOKUP(AF$1,'cost per tipologia de sòl'!$A$2:$D$37,4,FALSE)*'T50'!AF86</f>
        <v>0</v>
      </c>
      <c r="AG86" s="1100">
        <f>VLOOKUP(AG$1,'cost per tipologia de sòl'!$A$2:$D$37,4,FALSE)*'T50'!AG86</f>
        <v>0</v>
      </c>
      <c r="AH86" s="1100">
        <f>VLOOKUP(AH$1,'cost per tipologia de sòl'!$A$2:$D$37,4,FALSE)*'T50'!AH86</f>
        <v>0</v>
      </c>
      <c r="AI86" s="1100">
        <f>VLOOKUP(AI$1,'cost per tipologia de sòl'!$A$2:$D$37,4,FALSE)*'T50'!AI86</f>
        <v>0</v>
      </c>
      <c r="AJ86" s="1100">
        <f t="shared" si="2"/>
        <v>375983810.03600001</v>
      </c>
      <c r="AK86" s="1098">
        <f t="shared" si="3"/>
        <v>112.7951430108</v>
      </c>
    </row>
    <row r="87" spans="1:37">
      <c r="A87" s="1099" t="s">
        <v>1256</v>
      </c>
      <c r="B87" s="1100">
        <f>VLOOKUP(B$1,'cost per tipologia de sòl'!$A$2:$D$37,4,FALSE)*'T50'!B87</f>
        <v>314701771.73399997</v>
      </c>
      <c r="C87" s="1100">
        <f>VLOOKUP(C$1,'cost per tipologia de sòl'!$A$2:$D$37,4,FALSE)*'T50'!C87</f>
        <v>0</v>
      </c>
      <c r="D87" s="1100">
        <f>VLOOKUP(D$1,'cost per tipologia de sòl'!$A$2:$D$37,4,FALSE)*'T50'!D87</f>
        <v>0</v>
      </c>
      <c r="E87" s="1100">
        <f>VLOOKUP(E$1,'cost per tipologia de sòl'!$A$2:$D$37,4,FALSE)*'T50'!E87</f>
        <v>0</v>
      </c>
      <c r="F87" s="1100">
        <f>VLOOKUP(F$1,'cost per tipologia de sòl'!$A$2:$D$37,4,FALSE)*'T50'!F87</f>
        <v>0</v>
      </c>
      <c r="G87" s="1100">
        <f>VLOOKUP(G$1,'cost per tipologia de sòl'!$A$2:$D$37,4,FALSE)*'T50'!G87</f>
        <v>0</v>
      </c>
      <c r="H87" s="1100">
        <f>VLOOKUP(H$1,'cost per tipologia de sòl'!$A$2:$D$37,4,FALSE)*'T50'!H87</f>
        <v>0</v>
      </c>
      <c r="I87" s="1100">
        <f>VLOOKUP(I$1,'cost per tipologia de sòl'!$A$2:$D$37,4,FALSE)*'T50'!I87</f>
        <v>0</v>
      </c>
      <c r="J87" s="1100">
        <f>VLOOKUP(J$1,'cost per tipologia de sòl'!$A$2:$D$37,4,FALSE)*'T50'!J87</f>
        <v>739741.11200000008</v>
      </c>
      <c r="K87" s="1100">
        <f>VLOOKUP(K$1,'cost per tipologia de sòl'!$A$2:$D$37,4,FALSE)*'T50'!K87</f>
        <v>0</v>
      </c>
      <c r="L87" s="1100">
        <f>VLOOKUP(L$1,'cost per tipologia de sòl'!$A$2:$D$37,4,FALSE)*'T50'!L87</f>
        <v>0</v>
      </c>
      <c r="M87" s="1100">
        <f>VLOOKUP(M$1,'cost per tipologia de sòl'!$A$2:$D$37,4,FALSE)*'T50'!M87</f>
        <v>0</v>
      </c>
      <c r="N87" s="1100">
        <f>VLOOKUP(N$1,'cost per tipologia de sòl'!$A$2:$D$37,4,FALSE)*'T50'!N87</f>
        <v>1609773.088</v>
      </c>
      <c r="O87" s="1100">
        <f>VLOOKUP(O$1,'cost per tipologia de sòl'!$A$2:$D$37,4,FALSE)*'T50'!O87</f>
        <v>0</v>
      </c>
      <c r="P87" s="1100">
        <f>VLOOKUP(P$1,'cost per tipologia de sòl'!$A$2:$D$37,4,FALSE)*'T50'!P87</f>
        <v>0</v>
      </c>
      <c r="Q87" s="1100">
        <f>VLOOKUP(Q$1,'cost per tipologia de sòl'!$A$2:$D$37,4,FALSE)*'T50'!Q87</f>
        <v>0</v>
      </c>
      <c r="R87" s="1100">
        <f>VLOOKUP(R$1,'cost per tipologia de sòl'!$A$2:$D$37,4,FALSE)*'T50'!R87</f>
        <v>0</v>
      </c>
      <c r="S87" s="1100">
        <f>VLOOKUP(S$1,'cost per tipologia de sòl'!$A$2:$D$37,4,FALSE)*'T50'!S87</f>
        <v>15526872.143999999</v>
      </c>
      <c r="T87" s="1100">
        <f>VLOOKUP(T$1,'cost per tipologia de sòl'!$A$2:$D$37,4,FALSE)*'T50'!T87</f>
        <v>20355188.223999999</v>
      </c>
      <c r="U87" s="1100">
        <f>VLOOKUP(U$1,'cost per tipologia de sòl'!$A$2:$D$37,4,FALSE)*'T50'!U87</f>
        <v>271.95</v>
      </c>
      <c r="V87" s="1100">
        <f>VLOOKUP(V$1,'cost per tipologia de sòl'!$A$2:$D$37,4,FALSE)*'T50'!V87</f>
        <v>0</v>
      </c>
      <c r="W87" s="1100">
        <f>VLOOKUP(W$1,'cost per tipologia de sòl'!$A$2:$D$37,4,FALSE)*'T50'!W87</f>
        <v>0</v>
      </c>
      <c r="X87" s="1100">
        <f>VLOOKUP(X$1,'cost per tipologia de sòl'!$A$2:$D$37,4,FALSE)*'T50'!X87</f>
        <v>0</v>
      </c>
      <c r="Y87" s="1100">
        <f>VLOOKUP(Y$1,'cost per tipologia de sòl'!$A$2:$D$37,4,FALSE)*'T50'!Y87</f>
        <v>0</v>
      </c>
      <c r="Z87" s="1100">
        <f>VLOOKUP(Z$1,'cost per tipologia de sòl'!$A$2:$D$37,4,FALSE)*'T50'!Z87</f>
        <v>540163.81200000003</v>
      </c>
      <c r="AA87" s="1100">
        <f>VLOOKUP(AA$1,'cost per tipologia de sòl'!$A$2:$D$37,4,FALSE)*'T50'!AA87</f>
        <v>0</v>
      </c>
      <c r="AB87" s="1100">
        <f>VLOOKUP(AB$1,'cost per tipologia de sòl'!$A$2:$D$37,4,FALSE)*'T50'!AB87</f>
        <v>49685567.149999999</v>
      </c>
      <c r="AC87" s="1100">
        <f>VLOOKUP(AC$1,'cost per tipologia de sòl'!$A$2:$D$37,4,FALSE)*'T50'!AC87</f>
        <v>28115811.449999999</v>
      </c>
      <c r="AD87" s="1100">
        <f>VLOOKUP(AD$1,'cost per tipologia de sòl'!$A$2:$D$37,4,FALSE)*'T50'!AD87</f>
        <v>34890921.700000003</v>
      </c>
      <c r="AE87" s="1100">
        <f>VLOOKUP(AE$1,'cost per tipologia de sòl'!$A$2:$D$37,4,FALSE)*'T50'!AE87</f>
        <v>0</v>
      </c>
      <c r="AF87" s="1100">
        <f>VLOOKUP(AF$1,'cost per tipologia de sòl'!$A$2:$D$37,4,FALSE)*'T50'!AF87</f>
        <v>0</v>
      </c>
      <c r="AG87" s="1100">
        <f>VLOOKUP(AG$1,'cost per tipologia de sòl'!$A$2:$D$37,4,FALSE)*'T50'!AG87</f>
        <v>0</v>
      </c>
      <c r="AH87" s="1100">
        <f>VLOOKUP(AH$1,'cost per tipologia de sòl'!$A$2:$D$37,4,FALSE)*'T50'!AH87</f>
        <v>0</v>
      </c>
      <c r="AI87" s="1100">
        <f>VLOOKUP(AI$1,'cost per tipologia de sòl'!$A$2:$D$37,4,FALSE)*'T50'!AI87</f>
        <v>0</v>
      </c>
      <c r="AJ87" s="1100">
        <f t="shared" si="2"/>
        <v>466166082.36399984</v>
      </c>
      <c r="AK87" s="1098">
        <f t="shared" si="3"/>
        <v>139.84982470919994</v>
      </c>
    </row>
    <row r="88" spans="1:37">
      <c r="A88" s="1099" t="s">
        <v>1268</v>
      </c>
      <c r="B88" s="1100">
        <f>VLOOKUP(B$1,'cost per tipologia de sòl'!$A$2:$D$37,4,FALSE)*'T50'!B88</f>
        <v>1130033.9879999999</v>
      </c>
      <c r="C88" s="1100">
        <f>VLOOKUP(C$1,'cost per tipologia de sòl'!$A$2:$D$37,4,FALSE)*'T50'!C88</f>
        <v>0</v>
      </c>
      <c r="D88" s="1100">
        <f>VLOOKUP(D$1,'cost per tipologia de sòl'!$A$2:$D$37,4,FALSE)*'T50'!D88</f>
        <v>0</v>
      </c>
      <c r="E88" s="1100">
        <f>VLOOKUP(E$1,'cost per tipologia de sòl'!$A$2:$D$37,4,FALSE)*'T50'!E88</f>
        <v>0</v>
      </c>
      <c r="F88" s="1100">
        <f>VLOOKUP(F$1,'cost per tipologia de sòl'!$A$2:$D$37,4,FALSE)*'T50'!F88</f>
        <v>0</v>
      </c>
      <c r="G88" s="1100">
        <f>VLOOKUP(G$1,'cost per tipologia de sòl'!$A$2:$D$37,4,FALSE)*'T50'!G88</f>
        <v>0</v>
      </c>
      <c r="H88" s="1100">
        <f>VLOOKUP(H$1,'cost per tipologia de sòl'!$A$2:$D$37,4,FALSE)*'T50'!H88</f>
        <v>0</v>
      </c>
      <c r="I88" s="1100">
        <f>VLOOKUP(I$1,'cost per tipologia de sòl'!$A$2:$D$37,4,FALSE)*'T50'!I88</f>
        <v>0</v>
      </c>
      <c r="J88" s="1100">
        <f>VLOOKUP(J$1,'cost per tipologia de sòl'!$A$2:$D$37,4,FALSE)*'T50'!J88</f>
        <v>0</v>
      </c>
      <c r="K88" s="1100">
        <f>VLOOKUP(K$1,'cost per tipologia de sòl'!$A$2:$D$37,4,FALSE)*'T50'!K88</f>
        <v>0</v>
      </c>
      <c r="L88" s="1100">
        <f>VLOOKUP(L$1,'cost per tipologia de sòl'!$A$2:$D$37,4,FALSE)*'T50'!L88</f>
        <v>833.11199999999997</v>
      </c>
      <c r="M88" s="1100">
        <f>VLOOKUP(M$1,'cost per tipologia de sòl'!$A$2:$D$37,4,FALSE)*'T50'!M88</f>
        <v>0</v>
      </c>
      <c r="N88" s="1100">
        <f>VLOOKUP(N$1,'cost per tipologia de sòl'!$A$2:$D$37,4,FALSE)*'T50'!N88</f>
        <v>0</v>
      </c>
      <c r="O88" s="1100">
        <f>VLOOKUP(O$1,'cost per tipologia de sòl'!$A$2:$D$37,4,FALSE)*'T50'!O88</f>
        <v>0</v>
      </c>
      <c r="P88" s="1100">
        <f>VLOOKUP(P$1,'cost per tipologia de sòl'!$A$2:$D$37,4,FALSE)*'T50'!P88</f>
        <v>241023.12</v>
      </c>
      <c r="Q88" s="1100">
        <f>VLOOKUP(Q$1,'cost per tipologia de sòl'!$A$2:$D$37,4,FALSE)*'T50'!Q88</f>
        <v>0</v>
      </c>
      <c r="R88" s="1100">
        <f>VLOOKUP(R$1,'cost per tipologia de sòl'!$A$2:$D$37,4,FALSE)*'T50'!R88</f>
        <v>0</v>
      </c>
      <c r="S88" s="1100">
        <f>VLOOKUP(S$1,'cost per tipologia de sòl'!$A$2:$D$37,4,FALSE)*'T50'!S88</f>
        <v>0</v>
      </c>
      <c r="T88" s="1100">
        <f>VLOOKUP(T$1,'cost per tipologia de sòl'!$A$2:$D$37,4,FALSE)*'T50'!T88</f>
        <v>8534750.1160000004</v>
      </c>
      <c r="U88" s="1100">
        <f>VLOOKUP(U$1,'cost per tipologia de sòl'!$A$2:$D$37,4,FALSE)*'T50'!U88</f>
        <v>0</v>
      </c>
      <c r="V88" s="1100">
        <f>VLOOKUP(V$1,'cost per tipologia de sòl'!$A$2:$D$37,4,FALSE)*'T50'!V88</f>
        <v>0</v>
      </c>
      <c r="W88" s="1100">
        <f>VLOOKUP(W$1,'cost per tipologia de sòl'!$A$2:$D$37,4,FALSE)*'T50'!W88</f>
        <v>0</v>
      </c>
      <c r="X88" s="1100">
        <f>VLOOKUP(X$1,'cost per tipologia de sòl'!$A$2:$D$37,4,FALSE)*'T50'!X88</f>
        <v>0</v>
      </c>
      <c r="Y88" s="1100">
        <f>VLOOKUP(Y$1,'cost per tipologia de sòl'!$A$2:$D$37,4,FALSE)*'T50'!Y88</f>
        <v>0</v>
      </c>
      <c r="Z88" s="1100">
        <f>VLOOKUP(Z$1,'cost per tipologia de sòl'!$A$2:$D$37,4,FALSE)*'T50'!Z88</f>
        <v>82632.98599999999</v>
      </c>
      <c r="AA88" s="1100">
        <f>VLOOKUP(AA$1,'cost per tipologia de sòl'!$A$2:$D$37,4,FALSE)*'T50'!AA88</f>
        <v>0</v>
      </c>
      <c r="AB88" s="1100">
        <f>VLOOKUP(AB$1,'cost per tipologia de sòl'!$A$2:$D$37,4,FALSE)*'T50'!AB88</f>
        <v>4707775.3499999996</v>
      </c>
      <c r="AC88" s="1100">
        <f>VLOOKUP(AC$1,'cost per tipologia de sòl'!$A$2:$D$37,4,FALSE)*'T50'!AC88</f>
        <v>590948.44999999995</v>
      </c>
      <c r="AD88" s="1100">
        <f>VLOOKUP(AD$1,'cost per tipologia de sòl'!$A$2:$D$37,4,FALSE)*'T50'!AD88</f>
        <v>3325182.4</v>
      </c>
      <c r="AE88" s="1100">
        <f>VLOOKUP(AE$1,'cost per tipologia de sòl'!$A$2:$D$37,4,FALSE)*'T50'!AE88</f>
        <v>0</v>
      </c>
      <c r="AF88" s="1100">
        <f>VLOOKUP(AF$1,'cost per tipologia de sòl'!$A$2:$D$37,4,FALSE)*'T50'!AF88</f>
        <v>0</v>
      </c>
      <c r="AG88" s="1100">
        <f>VLOOKUP(AG$1,'cost per tipologia de sòl'!$A$2:$D$37,4,FALSE)*'T50'!AG88</f>
        <v>0</v>
      </c>
      <c r="AH88" s="1100">
        <f>VLOOKUP(AH$1,'cost per tipologia de sòl'!$A$2:$D$37,4,FALSE)*'T50'!AH88</f>
        <v>0</v>
      </c>
      <c r="AI88" s="1100">
        <f>VLOOKUP(AI$1,'cost per tipologia de sòl'!$A$2:$D$37,4,FALSE)*'T50'!AI88</f>
        <v>0</v>
      </c>
      <c r="AJ88" s="1100">
        <f t="shared" si="2"/>
        <v>18613179.521999996</v>
      </c>
      <c r="AK88" s="1098">
        <f t="shared" si="3"/>
        <v>5.5839538565999982</v>
      </c>
    </row>
    <row r="89" spans="1:37">
      <c r="A89" s="1099" t="s">
        <v>1269</v>
      </c>
      <c r="B89" s="1100">
        <f>VLOOKUP(B$1,'cost per tipologia de sòl'!$A$2:$D$37,4,FALSE)*'T50'!B89</f>
        <v>7064441.5499999998</v>
      </c>
      <c r="C89" s="1100">
        <f>VLOOKUP(C$1,'cost per tipologia de sòl'!$A$2:$D$37,4,FALSE)*'T50'!C89</f>
        <v>0</v>
      </c>
      <c r="D89" s="1100">
        <f>VLOOKUP(D$1,'cost per tipologia de sòl'!$A$2:$D$37,4,FALSE)*'T50'!D89</f>
        <v>50970.299999999996</v>
      </c>
      <c r="E89" s="1100">
        <f>VLOOKUP(E$1,'cost per tipologia de sòl'!$A$2:$D$37,4,FALSE)*'T50'!E89</f>
        <v>0</v>
      </c>
      <c r="F89" s="1100">
        <f>VLOOKUP(F$1,'cost per tipologia de sòl'!$A$2:$D$37,4,FALSE)*'T50'!F89</f>
        <v>0</v>
      </c>
      <c r="G89" s="1100">
        <f>VLOOKUP(G$1,'cost per tipologia de sòl'!$A$2:$D$37,4,FALSE)*'T50'!G89</f>
        <v>0</v>
      </c>
      <c r="H89" s="1100">
        <f>VLOOKUP(H$1,'cost per tipologia de sòl'!$A$2:$D$37,4,FALSE)*'T50'!H89</f>
        <v>0</v>
      </c>
      <c r="I89" s="1100">
        <f>VLOOKUP(I$1,'cost per tipologia de sòl'!$A$2:$D$37,4,FALSE)*'T50'!I89</f>
        <v>0</v>
      </c>
      <c r="J89" s="1100">
        <f>VLOOKUP(J$1,'cost per tipologia de sòl'!$A$2:$D$37,4,FALSE)*'T50'!J89</f>
        <v>0</v>
      </c>
      <c r="K89" s="1100">
        <f>VLOOKUP(K$1,'cost per tipologia de sòl'!$A$2:$D$37,4,FALSE)*'T50'!K89</f>
        <v>0</v>
      </c>
      <c r="L89" s="1100">
        <f>VLOOKUP(L$1,'cost per tipologia de sòl'!$A$2:$D$37,4,FALSE)*'T50'!L89</f>
        <v>0</v>
      </c>
      <c r="M89" s="1100">
        <f>VLOOKUP(M$1,'cost per tipologia de sòl'!$A$2:$D$37,4,FALSE)*'T50'!M89</f>
        <v>0</v>
      </c>
      <c r="N89" s="1100">
        <f>VLOOKUP(N$1,'cost per tipologia de sòl'!$A$2:$D$37,4,FALSE)*'T50'!N89</f>
        <v>0</v>
      </c>
      <c r="O89" s="1100">
        <f>VLOOKUP(O$1,'cost per tipologia de sòl'!$A$2:$D$37,4,FALSE)*'T50'!O89</f>
        <v>0</v>
      </c>
      <c r="P89" s="1100">
        <f>VLOOKUP(P$1,'cost per tipologia de sòl'!$A$2:$D$37,4,FALSE)*'T50'!P89</f>
        <v>0</v>
      </c>
      <c r="Q89" s="1100">
        <f>VLOOKUP(Q$1,'cost per tipologia de sòl'!$A$2:$D$37,4,FALSE)*'T50'!Q89</f>
        <v>0</v>
      </c>
      <c r="R89" s="1100">
        <f>VLOOKUP(R$1,'cost per tipologia de sòl'!$A$2:$D$37,4,FALSE)*'T50'!R89</f>
        <v>0</v>
      </c>
      <c r="S89" s="1100">
        <f>VLOOKUP(S$1,'cost per tipologia de sòl'!$A$2:$D$37,4,FALSE)*'T50'!S89</f>
        <v>0</v>
      </c>
      <c r="T89" s="1100">
        <f>VLOOKUP(T$1,'cost per tipologia de sòl'!$A$2:$D$37,4,FALSE)*'T50'!T89</f>
        <v>0</v>
      </c>
      <c r="U89" s="1100">
        <f>VLOOKUP(U$1,'cost per tipologia de sòl'!$A$2:$D$37,4,FALSE)*'T50'!U89</f>
        <v>0</v>
      </c>
      <c r="V89" s="1100">
        <f>VLOOKUP(V$1,'cost per tipologia de sòl'!$A$2:$D$37,4,FALSE)*'T50'!V89</f>
        <v>0</v>
      </c>
      <c r="W89" s="1100">
        <f>VLOOKUP(W$1,'cost per tipologia de sòl'!$A$2:$D$37,4,FALSE)*'T50'!W89</f>
        <v>0</v>
      </c>
      <c r="X89" s="1100">
        <f>VLOOKUP(X$1,'cost per tipologia de sòl'!$A$2:$D$37,4,FALSE)*'T50'!X89</f>
        <v>0</v>
      </c>
      <c r="Y89" s="1100">
        <f>VLOOKUP(Y$1,'cost per tipologia de sòl'!$A$2:$D$37,4,FALSE)*'T50'!Y89</f>
        <v>0</v>
      </c>
      <c r="Z89" s="1100">
        <f>VLOOKUP(Z$1,'cost per tipologia de sòl'!$A$2:$D$37,4,FALSE)*'T50'!Z89</f>
        <v>0</v>
      </c>
      <c r="AA89" s="1100">
        <f>VLOOKUP(AA$1,'cost per tipologia de sòl'!$A$2:$D$37,4,FALSE)*'T50'!AA89</f>
        <v>0</v>
      </c>
      <c r="AB89" s="1100">
        <f>VLOOKUP(AB$1,'cost per tipologia de sòl'!$A$2:$D$37,4,FALSE)*'T50'!AB89</f>
        <v>0</v>
      </c>
      <c r="AC89" s="1100">
        <f>VLOOKUP(AC$1,'cost per tipologia de sòl'!$A$2:$D$37,4,FALSE)*'T50'!AC89</f>
        <v>412401.65</v>
      </c>
      <c r="AD89" s="1100">
        <f>VLOOKUP(AD$1,'cost per tipologia de sòl'!$A$2:$D$37,4,FALSE)*'T50'!AD89</f>
        <v>369897.7</v>
      </c>
      <c r="AE89" s="1100">
        <f>VLOOKUP(AE$1,'cost per tipologia de sòl'!$A$2:$D$37,4,FALSE)*'T50'!AE89</f>
        <v>0</v>
      </c>
      <c r="AF89" s="1100">
        <f>VLOOKUP(AF$1,'cost per tipologia de sòl'!$A$2:$D$37,4,FALSE)*'T50'!AF89</f>
        <v>0</v>
      </c>
      <c r="AG89" s="1100">
        <f>VLOOKUP(AG$1,'cost per tipologia de sòl'!$A$2:$D$37,4,FALSE)*'T50'!AG89</f>
        <v>0</v>
      </c>
      <c r="AH89" s="1100">
        <f>VLOOKUP(AH$1,'cost per tipologia de sòl'!$A$2:$D$37,4,FALSE)*'T50'!AH89</f>
        <v>0</v>
      </c>
      <c r="AI89" s="1100">
        <f>VLOOKUP(AI$1,'cost per tipologia de sòl'!$A$2:$D$37,4,FALSE)*'T50'!AI89</f>
        <v>0</v>
      </c>
      <c r="AJ89" s="1100">
        <f t="shared" si="2"/>
        <v>7897711.2000000002</v>
      </c>
      <c r="AK89" s="1098">
        <f t="shared" si="3"/>
        <v>2.36931336</v>
      </c>
    </row>
    <row r="90" spans="1:37">
      <c r="A90" s="1099" t="s">
        <v>1291</v>
      </c>
      <c r="B90" s="1100">
        <f>VLOOKUP(B$1,'cost per tipologia de sòl'!$A$2:$D$37,4,FALSE)*'T50'!B90</f>
        <v>9534318.9299999997</v>
      </c>
      <c r="C90" s="1100">
        <f>VLOOKUP(C$1,'cost per tipologia de sòl'!$A$2:$D$37,4,FALSE)*'T50'!C90</f>
        <v>0</v>
      </c>
      <c r="D90" s="1100">
        <f>VLOOKUP(D$1,'cost per tipologia de sòl'!$A$2:$D$37,4,FALSE)*'T50'!D90</f>
        <v>0</v>
      </c>
      <c r="E90" s="1100">
        <f>VLOOKUP(E$1,'cost per tipologia de sòl'!$A$2:$D$37,4,FALSE)*'T50'!E90</f>
        <v>0</v>
      </c>
      <c r="F90" s="1100">
        <f>VLOOKUP(F$1,'cost per tipologia de sòl'!$A$2:$D$37,4,FALSE)*'T50'!F90</f>
        <v>0</v>
      </c>
      <c r="G90" s="1100">
        <f>VLOOKUP(G$1,'cost per tipologia de sòl'!$A$2:$D$37,4,FALSE)*'T50'!G90</f>
        <v>0</v>
      </c>
      <c r="H90" s="1100">
        <f>VLOOKUP(H$1,'cost per tipologia de sòl'!$A$2:$D$37,4,FALSE)*'T50'!H90</f>
        <v>0</v>
      </c>
      <c r="I90" s="1100">
        <f>VLOOKUP(I$1,'cost per tipologia de sòl'!$A$2:$D$37,4,FALSE)*'T50'!I90</f>
        <v>0</v>
      </c>
      <c r="J90" s="1100">
        <f>VLOOKUP(J$1,'cost per tipologia de sòl'!$A$2:$D$37,4,FALSE)*'T50'!J90</f>
        <v>2862849.8194999998</v>
      </c>
      <c r="K90" s="1100">
        <f>VLOOKUP(K$1,'cost per tipologia de sòl'!$A$2:$D$37,4,FALSE)*'T50'!K90</f>
        <v>0</v>
      </c>
      <c r="L90" s="1100">
        <f>VLOOKUP(L$1,'cost per tipologia de sòl'!$A$2:$D$37,4,FALSE)*'T50'!L90</f>
        <v>0</v>
      </c>
      <c r="M90" s="1100">
        <f>VLOOKUP(M$1,'cost per tipologia de sòl'!$A$2:$D$37,4,FALSE)*'T50'!M90</f>
        <v>0</v>
      </c>
      <c r="N90" s="1100">
        <f>VLOOKUP(N$1,'cost per tipologia de sòl'!$A$2:$D$37,4,FALSE)*'T50'!N90</f>
        <v>0</v>
      </c>
      <c r="O90" s="1100">
        <f>VLOOKUP(O$1,'cost per tipologia de sòl'!$A$2:$D$37,4,FALSE)*'T50'!O90</f>
        <v>0</v>
      </c>
      <c r="P90" s="1100">
        <f>VLOOKUP(P$1,'cost per tipologia de sòl'!$A$2:$D$37,4,FALSE)*'T50'!P90</f>
        <v>0</v>
      </c>
      <c r="Q90" s="1100">
        <f>VLOOKUP(Q$1,'cost per tipologia de sòl'!$A$2:$D$37,4,FALSE)*'T50'!Q90</f>
        <v>0</v>
      </c>
      <c r="R90" s="1100">
        <f>VLOOKUP(R$1,'cost per tipologia de sòl'!$A$2:$D$37,4,FALSE)*'T50'!R90</f>
        <v>0</v>
      </c>
      <c r="S90" s="1100">
        <f>VLOOKUP(S$1,'cost per tipologia de sòl'!$A$2:$D$37,4,FALSE)*'T50'!S90</f>
        <v>24354.288</v>
      </c>
      <c r="T90" s="1100">
        <f>VLOOKUP(T$1,'cost per tipologia de sòl'!$A$2:$D$37,4,FALSE)*'T50'!T90</f>
        <v>148619.696</v>
      </c>
      <c r="U90" s="1100">
        <f>VLOOKUP(U$1,'cost per tipologia de sòl'!$A$2:$D$37,4,FALSE)*'T50'!U90</f>
        <v>498815.1</v>
      </c>
      <c r="V90" s="1100">
        <f>VLOOKUP(V$1,'cost per tipologia de sòl'!$A$2:$D$37,4,FALSE)*'T50'!V90</f>
        <v>0</v>
      </c>
      <c r="W90" s="1100">
        <f>VLOOKUP(W$1,'cost per tipologia de sòl'!$A$2:$D$37,4,FALSE)*'T50'!W90</f>
        <v>0</v>
      </c>
      <c r="X90" s="1100">
        <f>VLOOKUP(X$1,'cost per tipologia de sòl'!$A$2:$D$37,4,FALSE)*'T50'!X90</f>
        <v>0</v>
      </c>
      <c r="Y90" s="1100">
        <f>VLOOKUP(Y$1,'cost per tipologia de sòl'!$A$2:$D$37,4,FALSE)*'T50'!Y90</f>
        <v>0</v>
      </c>
      <c r="Z90" s="1100">
        <f>VLOOKUP(Z$1,'cost per tipologia de sòl'!$A$2:$D$37,4,FALSE)*'T50'!Z90</f>
        <v>0</v>
      </c>
      <c r="AA90" s="1100">
        <f>VLOOKUP(AA$1,'cost per tipologia de sòl'!$A$2:$D$37,4,FALSE)*'T50'!AA90</f>
        <v>0</v>
      </c>
      <c r="AB90" s="1100">
        <f>VLOOKUP(AB$1,'cost per tipologia de sòl'!$A$2:$D$37,4,FALSE)*'T50'!AB90</f>
        <v>9260.6</v>
      </c>
      <c r="AC90" s="1100">
        <f>VLOOKUP(AC$1,'cost per tipologia de sòl'!$A$2:$D$37,4,FALSE)*'T50'!AC90</f>
        <v>163965.25</v>
      </c>
      <c r="AD90" s="1100">
        <f>VLOOKUP(AD$1,'cost per tipologia de sòl'!$A$2:$D$37,4,FALSE)*'T50'!AD90</f>
        <v>956065.75</v>
      </c>
      <c r="AE90" s="1100">
        <f>VLOOKUP(AE$1,'cost per tipologia de sòl'!$A$2:$D$37,4,FALSE)*'T50'!AE90</f>
        <v>0</v>
      </c>
      <c r="AF90" s="1100">
        <f>VLOOKUP(AF$1,'cost per tipologia de sòl'!$A$2:$D$37,4,FALSE)*'T50'!AF90</f>
        <v>0</v>
      </c>
      <c r="AG90" s="1100">
        <f>VLOOKUP(AG$1,'cost per tipologia de sòl'!$A$2:$D$37,4,FALSE)*'T50'!AG90</f>
        <v>0</v>
      </c>
      <c r="AH90" s="1100">
        <f>VLOOKUP(AH$1,'cost per tipologia de sòl'!$A$2:$D$37,4,FALSE)*'T50'!AH90</f>
        <v>0</v>
      </c>
      <c r="AI90" s="1100">
        <f>VLOOKUP(AI$1,'cost per tipologia de sòl'!$A$2:$D$37,4,FALSE)*'T50'!AI90</f>
        <v>0</v>
      </c>
      <c r="AJ90" s="1100">
        <f t="shared" si="2"/>
        <v>14198249.433499999</v>
      </c>
      <c r="AK90" s="1098">
        <f t="shared" si="3"/>
        <v>4.2594748300500003</v>
      </c>
    </row>
    <row r="91" spans="1:37">
      <c r="A91" s="1099" t="s">
        <v>1278</v>
      </c>
      <c r="B91" s="1100">
        <f>VLOOKUP(B$1,'cost per tipologia de sòl'!$A$2:$D$37,4,FALSE)*'T50'!B91</f>
        <v>124975.908</v>
      </c>
      <c r="C91" s="1100">
        <f>VLOOKUP(C$1,'cost per tipologia de sòl'!$A$2:$D$37,4,FALSE)*'T50'!C91</f>
        <v>0</v>
      </c>
      <c r="D91" s="1100">
        <f>VLOOKUP(D$1,'cost per tipologia de sòl'!$A$2:$D$37,4,FALSE)*'T50'!D91</f>
        <v>0</v>
      </c>
      <c r="E91" s="1100">
        <f>VLOOKUP(E$1,'cost per tipologia de sòl'!$A$2:$D$37,4,FALSE)*'T50'!E91</f>
        <v>0</v>
      </c>
      <c r="F91" s="1100">
        <f>VLOOKUP(F$1,'cost per tipologia de sòl'!$A$2:$D$37,4,FALSE)*'T50'!F91</f>
        <v>0</v>
      </c>
      <c r="G91" s="1100">
        <f>VLOOKUP(G$1,'cost per tipologia de sòl'!$A$2:$D$37,4,FALSE)*'T50'!G91</f>
        <v>0</v>
      </c>
      <c r="H91" s="1100">
        <f>VLOOKUP(H$1,'cost per tipologia de sòl'!$A$2:$D$37,4,FALSE)*'T50'!H91</f>
        <v>0</v>
      </c>
      <c r="I91" s="1100">
        <f>VLOOKUP(I$1,'cost per tipologia de sòl'!$A$2:$D$37,4,FALSE)*'T50'!I91</f>
        <v>0</v>
      </c>
      <c r="J91" s="1100">
        <f>VLOOKUP(J$1,'cost per tipologia de sòl'!$A$2:$D$37,4,FALSE)*'T50'!J91</f>
        <v>39933.371500000001</v>
      </c>
      <c r="K91" s="1100">
        <f>VLOOKUP(K$1,'cost per tipologia de sòl'!$A$2:$D$37,4,FALSE)*'T50'!K91</f>
        <v>0</v>
      </c>
      <c r="L91" s="1100">
        <f>VLOOKUP(L$1,'cost per tipologia de sòl'!$A$2:$D$37,4,FALSE)*'T50'!L91</f>
        <v>0</v>
      </c>
      <c r="M91" s="1100">
        <f>VLOOKUP(M$1,'cost per tipologia de sòl'!$A$2:$D$37,4,FALSE)*'T50'!M91</f>
        <v>749360.696</v>
      </c>
      <c r="N91" s="1100">
        <f>VLOOKUP(N$1,'cost per tipologia de sòl'!$A$2:$D$37,4,FALSE)*'T50'!N91</f>
        <v>1409445.7679999999</v>
      </c>
      <c r="O91" s="1100">
        <f>VLOOKUP(O$1,'cost per tipologia de sòl'!$A$2:$D$37,4,FALSE)*'T50'!O91</f>
        <v>1654225.176</v>
      </c>
      <c r="P91" s="1100">
        <f>VLOOKUP(P$1,'cost per tipologia de sòl'!$A$2:$D$37,4,FALSE)*'T50'!P91</f>
        <v>0</v>
      </c>
      <c r="Q91" s="1100">
        <f>VLOOKUP(Q$1,'cost per tipologia de sòl'!$A$2:$D$37,4,FALSE)*'T50'!Q91</f>
        <v>0</v>
      </c>
      <c r="R91" s="1100">
        <f>VLOOKUP(R$1,'cost per tipologia de sòl'!$A$2:$D$37,4,FALSE)*'T50'!R91</f>
        <v>0</v>
      </c>
      <c r="S91" s="1100">
        <f>VLOOKUP(S$1,'cost per tipologia de sòl'!$A$2:$D$37,4,FALSE)*'T50'!S91</f>
        <v>3184064.352</v>
      </c>
      <c r="T91" s="1100">
        <f>VLOOKUP(T$1,'cost per tipologia de sòl'!$A$2:$D$37,4,FALSE)*'T50'!T91</f>
        <v>2303774.125</v>
      </c>
      <c r="U91" s="1100">
        <f>VLOOKUP(U$1,'cost per tipologia de sòl'!$A$2:$D$37,4,FALSE)*'T50'!U91</f>
        <v>0</v>
      </c>
      <c r="V91" s="1100">
        <f>VLOOKUP(V$1,'cost per tipologia de sòl'!$A$2:$D$37,4,FALSE)*'T50'!V91</f>
        <v>0</v>
      </c>
      <c r="W91" s="1100">
        <f>VLOOKUP(W$1,'cost per tipologia de sòl'!$A$2:$D$37,4,FALSE)*'T50'!W91</f>
        <v>0</v>
      </c>
      <c r="X91" s="1100">
        <f>VLOOKUP(X$1,'cost per tipologia de sòl'!$A$2:$D$37,4,FALSE)*'T50'!X91</f>
        <v>0</v>
      </c>
      <c r="Y91" s="1100">
        <f>VLOOKUP(Y$1,'cost per tipologia de sòl'!$A$2:$D$37,4,FALSE)*'T50'!Y91</f>
        <v>0</v>
      </c>
      <c r="Z91" s="1100">
        <f>VLOOKUP(Z$1,'cost per tipologia de sòl'!$A$2:$D$37,4,FALSE)*'T50'!Z91</f>
        <v>929072.97799999989</v>
      </c>
      <c r="AA91" s="1100">
        <f>VLOOKUP(AA$1,'cost per tipologia de sòl'!$A$2:$D$37,4,FALSE)*'T50'!AA91</f>
        <v>1442420.15</v>
      </c>
      <c r="AB91" s="1100">
        <f>VLOOKUP(AB$1,'cost per tipologia de sòl'!$A$2:$D$37,4,FALSE)*'T50'!AB91</f>
        <v>811618.25</v>
      </c>
      <c r="AC91" s="1100">
        <f>VLOOKUP(AC$1,'cost per tipologia de sòl'!$A$2:$D$37,4,FALSE)*'T50'!AC91</f>
        <v>717556.85</v>
      </c>
      <c r="AD91" s="1100">
        <f>VLOOKUP(AD$1,'cost per tipologia de sòl'!$A$2:$D$37,4,FALSE)*'T50'!AD91</f>
        <v>3719877.9499999997</v>
      </c>
      <c r="AE91" s="1100">
        <f>VLOOKUP(AE$1,'cost per tipologia de sòl'!$A$2:$D$37,4,FALSE)*'T50'!AE91</f>
        <v>0</v>
      </c>
      <c r="AF91" s="1100">
        <f>VLOOKUP(AF$1,'cost per tipologia de sòl'!$A$2:$D$37,4,FALSE)*'T50'!AF91</f>
        <v>0</v>
      </c>
      <c r="AG91" s="1100">
        <f>VLOOKUP(AG$1,'cost per tipologia de sòl'!$A$2:$D$37,4,FALSE)*'T50'!AG91</f>
        <v>0</v>
      </c>
      <c r="AH91" s="1100">
        <f>VLOOKUP(AH$1,'cost per tipologia de sòl'!$A$2:$D$37,4,FALSE)*'T50'!AH91</f>
        <v>0</v>
      </c>
      <c r="AI91" s="1100">
        <f>VLOOKUP(AI$1,'cost per tipologia de sòl'!$A$2:$D$37,4,FALSE)*'T50'!AI91</f>
        <v>0</v>
      </c>
      <c r="AJ91" s="1100">
        <f t="shared" si="2"/>
        <v>17086325.574499998</v>
      </c>
      <c r="AK91" s="1098">
        <f t="shared" si="3"/>
        <v>5.1258976723499998</v>
      </c>
    </row>
    <row r="92" spans="1:37">
      <c r="A92" s="1099" t="s">
        <v>1301</v>
      </c>
      <c r="B92" s="1100">
        <f>VLOOKUP(B$1,'cost per tipologia de sòl'!$A$2:$D$37,4,FALSE)*'T50'!B92</f>
        <v>4365066.1140000001</v>
      </c>
      <c r="C92" s="1100">
        <f>VLOOKUP(C$1,'cost per tipologia de sòl'!$A$2:$D$37,4,FALSE)*'T50'!C92</f>
        <v>0</v>
      </c>
      <c r="D92" s="1100">
        <f>VLOOKUP(D$1,'cost per tipologia de sòl'!$A$2:$D$37,4,FALSE)*'T50'!D92</f>
        <v>52588.853999999999</v>
      </c>
      <c r="E92" s="1100">
        <f>VLOOKUP(E$1,'cost per tipologia de sòl'!$A$2:$D$37,4,FALSE)*'T50'!E92</f>
        <v>0</v>
      </c>
      <c r="F92" s="1100">
        <f>VLOOKUP(F$1,'cost per tipologia de sòl'!$A$2:$D$37,4,FALSE)*'T50'!F92</f>
        <v>0</v>
      </c>
      <c r="G92" s="1100">
        <f>VLOOKUP(G$1,'cost per tipologia de sòl'!$A$2:$D$37,4,FALSE)*'T50'!G92</f>
        <v>0</v>
      </c>
      <c r="H92" s="1100">
        <f>VLOOKUP(H$1,'cost per tipologia de sòl'!$A$2:$D$37,4,FALSE)*'T50'!H92</f>
        <v>0</v>
      </c>
      <c r="I92" s="1100">
        <f>VLOOKUP(I$1,'cost per tipologia de sòl'!$A$2:$D$37,4,FALSE)*'T50'!I92</f>
        <v>0</v>
      </c>
      <c r="J92" s="1100">
        <f>VLOOKUP(J$1,'cost per tipologia de sòl'!$A$2:$D$37,4,FALSE)*'T50'!J92</f>
        <v>112728.61600000001</v>
      </c>
      <c r="K92" s="1100">
        <f>VLOOKUP(K$1,'cost per tipologia de sòl'!$A$2:$D$37,4,FALSE)*'T50'!K92</f>
        <v>0</v>
      </c>
      <c r="L92" s="1100">
        <f>VLOOKUP(L$1,'cost per tipologia de sòl'!$A$2:$D$37,4,FALSE)*'T50'!L92</f>
        <v>0</v>
      </c>
      <c r="M92" s="1100">
        <f>VLOOKUP(M$1,'cost per tipologia de sòl'!$A$2:$D$37,4,FALSE)*'T50'!M92</f>
        <v>0</v>
      </c>
      <c r="N92" s="1100">
        <f>VLOOKUP(N$1,'cost per tipologia de sòl'!$A$2:$D$37,4,FALSE)*'T50'!N92</f>
        <v>45293.072</v>
      </c>
      <c r="O92" s="1100">
        <f>VLOOKUP(O$1,'cost per tipologia de sòl'!$A$2:$D$37,4,FALSE)*'T50'!O92</f>
        <v>0</v>
      </c>
      <c r="P92" s="1100">
        <f>VLOOKUP(P$1,'cost per tipologia de sòl'!$A$2:$D$37,4,FALSE)*'T50'!P92</f>
        <v>0</v>
      </c>
      <c r="Q92" s="1100">
        <f>VLOOKUP(Q$1,'cost per tipologia de sòl'!$A$2:$D$37,4,FALSE)*'T50'!Q92</f>
        <v>0</v>
      </c>
      <c r="R92" s="1100">
        <f>VLOOKUP(R$1,'cost per tipologia de sòl'!$A$2:$D$37,4,FALSE)*'T50'!R92</f>
        <v>0</v>
      </c>
      <c r="S92" s="1100">
        <f>VLOOKUP(S$1,'cost per tipologia de sòl'!$A$2:$D$37,4,FALSE)*'T50'!S92</f>
        <v>0</v>
      </c>
      <c r="T92" s="1100">
        <f>VLOOKUP(T$1,'cost per tipologia de sòl'!$A$2:$D$37,4,FALSE)*'T50'!T92</f>
        <v>3673525.7899999996</v>
      </c>
      <c r="U92" s="1100">
        <f>VLOOKUP(U$1,'cost per tipologia de sòl'!$A$2:$D$37,4,FALSE)*'T50'!U92</f>
        <v>337560.3</v>
      </c>
      <c r="V92" s="1100">
        <f>VLOOKUP(V$1,'cost per tipologia de sòl'!$A$2:$D$37,4,FALSE)*'T50'!V92</f>
        <v>0</v>
      </c>
      <c r="W92" s="1100">
        <f>VLOOKUP(W$1,'cost per tipologia de sòl'!$A$2:$D$37,4,FALSE)*'T50'!W92</f>
        <v>0</v>
      </c>
      <c r="X92" s="1100">
        <f>VLOOKUP(X$1,'cost per tipologia de sòl'!$A$2:$D$37,4,FALSE)*'T50'!X92</f>
        <v>0</v>
      </c>
      <c r="Y92" s="1100">
        <f>VLOOKUP(Y$1,'cost per tipologia de sòl'!$A$2:$D$37,4,FALSE)*'T50'!Y92</f>
        <v>0</v>
      </c>
      <c r="Z92" s="1100">
        <f>VLOOKUP(Z$1,'cost per tipologia de sòl'!$A$2:$D$37,4,FALSE)*'T50'!Z92</f>
        <v>811176.43</v>
      </c>
      <c r="AA92" s="1100">
        <f>VLOOKUP(AA$1,'cost per tipologia de sòl'!$A$2:$D$37,4,FALSE)*'T50'!AA92</f>
        <v>0</v>
      </c>
      <c r="AB92" s="1100">
        <f>VLOOKUP(AB$1,'cost per tipologia de sòl'!$A$2:$D$37,4,FALSE)*'T50'!AB92</f>
        <v>7029154.5</v>
      </c>
      <c r="AC92" s="1100">
        <f>VLOOKUP(AC$1,'cost per tipologia de sòl'!$A$2:$D$37,4,FALSE)*'T50'!AC92</f>
        <v>754733.20000000007</v>
      </c>
      <c r="AD92" s="1100">
        <f>VLOOKUP(AD$1,'cost per tipologia de sòl'!$A$2:$D$37,4,FALSE)*'T50'!AD92</f>
        <v>14112127.450000001</v>
      </c>
      <c r="AE92" s="1100">
        <f>VLOOKUP(AE$1,'cost per tipologia de sòl'!$A$2:$D$37,4,FALSE)*'T50'!AE92</f>
        <v>0</v>
      </c>
      <c r="AF92" s="1100">
        <f>VLOOKUP(AF$1,'cost per tipologia de sòl'!$A$2:$D$37,4,FALSE)*'T50'!AF92</f>
        <v>0</v>
      </c>
      <c r="AG92" s="1100">
        <f>VLOOKUP(AG$1,'cost per tipologia de sòl'!$A$2:$D$37,4,FALSE)*'T50'!AG92</f>
        <v>0</v>
      </c>
      <c r="AH92" s="1100">
        <f>VLOOKUP(AH$1,'cost per tipologia de sòl'!$A$2:$D$37,4,FALSE)*'T50'!AH92</f>
        <v>0</v>
      </c>
      <c r="AI92" s="1100">
        <f>VLOOKUP(AI$1,'cost per tipologia de sòl'!$A$2:$D$37,4,FALSE)*'T50'!AI92</f>
        <v>0</v>
      </c>
      <c r="AJ92" s="1100">
        <f t="shared" si="2"/>
        <v>31293954.326000005</v>
      </c>
      <c r="AK92" s="1098">
        <f t="shared" si="3"/>
        <v>9.3881862978000026</v>
      </c>
    </row>
    <row r="93" spans="1:37">
      <c r="A93" s="1099" t="s">
        <v>1306</v>
      </c>
      <c r="B93" s="1100">
        <f>VLOOKUP(B$1,'cost per tipologia de sòl'!$A$2:$D$37,4,FALSE)*'T50'!B93</f>
        <v>0</v>
      </c>
      <c r="C93" s="1100">
        <f>VLOOKUP(C$1,'cost per tipologia de sòl'!$A$2:$D$37,4,FALSE)*'T50'!C93</f>
        <v>0</v>
      </c>
      <c r="D93" s="1100">
        <f>VLOOKUP(D$1,'cost per tipologia de sòl'!$A$2:$D$37,4,FALSE)*'T50'!D93</f>
        <v>0</v>
      </c>
      <c r="E93" s="1100">
        <f>VLOOKUP(E$1,'cost per tipologia de sòl'!$A$2:$D$37,4,FALSE)*'T50'!E93</f>
        <v>0</v>
      </c>
      <c r="F93" s="1100">
        <f>VLOOKUP(F$1,'cost per tipologia de sòl'!$A$2:$D$37,4,FALSE)*'T50'!F93</f>
        <v>0</v>
      </c>
      <c r="G93" s="1100">
        <f>VLOOKUP(G$1,'cost per tipologia de sòl'!$A$2:$D$37,4,FALSE)*'T50'!G93</f>
        <v>0</v>
      </c>
      <c r="H93" s="1100">
        <f>VLOOKUP(H$1,'cost per tipologia de sòl'!$A$2:$D$37,4,FALSE)*'T50'!H93</f>
        <v>0</v>
      </c>
      <c r="I93" s="1100">
        <f>VLOOKUP(I$1,'cost per tipologia de sòl'!$A$2:$D$37,4,FALSE)*'T50'!I93</f>
        <v>0</v>
      </c>
      <c r="J93" s="1100">
        <f>VLOOKUP(J$1,'cost per tipologia de sòl'!$A$2:$D$37,4,FALSE)*'T50'!J93</f>
        <v>407951.2525</v>
      </c>
      <c r="K93" s="1100">
        <f>VLOOKUP(K$1,'cost per tipologia de sòl'!$A$2:$D$37,4,FALSE)*'T50'!K93</f>
        <v>0</v>
      </c>
      <c r="L93" s="1100">
        <f>VLOOKUP(L$1,'cost per tipologia de sòl'!$A$2:$D$37,4,FALSE)*'T50'!L93</f>
        <v>0</v>
      </c>
      <c r="M93" s="1100">
        <f>VLOOKUP(M$1,'cost per tipologia de sòl'!$A$2:$D$37,4,FALSE)*'T50'!M93</f>
        <v>0</v>
      </c>
      <c r="N93" s="1100">
        <f>VLOOKUP(N$1,'cost per tipologia de sòl'!$A$2:$D$37,4,FALSE)*'T50'!N93</f>
        <v>0</v>
      </c>
      <c r="O93" s="1100">
        <f>VLOOKUP(O$1,'cost per tipologia de sòl'!$A$2:$D$37,4,FALSE)*'T50'!O93</f>
        <v>0</v>
      </c>
      <c r="P93" s="1100">
        <f>VLOOKUP(P$1,'cost per tipologia de sòl'!$A$2:$D$37,4,FALSE)*'T50'!P93</f>
        <v>0</v>
      </c>
      <c r="Q93" s="1100">
        <f>VLOOKUP(Q$1,'cost per tipologia de sòl'!$A$2:$D$37,4,FALSE)*'T50'!Q93</f>
        <v>0</v>
      </c>
      <c r="R93" s="1100">
        <f>VLOOKUP(R$1,'cost per tipologia de sòl'!$A$2:$D$37,4,FALSE)*'T50'!R93</f>
        <v>0</v>
      </c>
      <c r="S93" s="1100">
        <f>VLOOKUP(S$1,'cost per tipologia de sòl'!$A$2:$D$37,4,FALSE)*'T50'!S93</f>
        <v>2249653.392</v>
      </c>
      <c r="T93" s="1100">
        <f>VLOOKUP(T$1,'cost per tipologia de sòl'!$A$2:$D$37,4,FALSE)*'T50'!T93</f>
        <v>0</v>
      </c>
      <c r="U93" s="1100">
        <f>VLOOKUP(U$1,'cost per tipologia de sòl'!$A$2:$D$37,4,FALSE)*'T50'!U93</f>
        <v>0</v>
      </c>
      <c r="V93" s="1100">
        <f>VLOOKUP(V$1,'cost per tipologia de sòl'!$A$2:$D$37,4,FALSE)*'T50'!V93</f>
        <v>0</v>
      </c>
      <c r="W93" s="1100">
        <f>VLOOKUP(W$1,'cost per tipologia de sòl'!$A$2:$D$37,4,FALSE)*'T50'!W93</f>
        <v>0</v>
      </c>
      <c r="X93" s="1100">
        <f>VLOOKUP(X$1,'cost per tipologia de sòl'!$A$2:$D$37,4,FALSE)*'T50'!X93</f>
        <v>0</v>
      </c>
      <c r="Y93" s="1100">
        <f>VLOOKUP(Y$1,'cost per tipologia de sòl'!$A$2:$D$37,4,FALSE)*'T50'!Y93</f>
        <v>0</v>
      </c>
      <c r="Z93" s="1100">
        <f>VLOOKUP(Z$1,'cost per tipologia de sòl'!$A$2:$D$37,4,FALSE)*'T50'!Z93</f>
        <v>0</v>
      </c>
      <c r="AA93" s="1100">
        <f>VLOOKUP(AA$1,'cost per tipologia de sòl'!$A$2:$D$37,4,FALSE)*'T50'!AA93</f>
        <v>0</v>
      </c>
      <c r="AB93" s="1100">
        <f>VLOOKUP(AB$1,'cost per tipologia de sòl'!$A$2:$D$37,4,FALSE)*'T50'!AB93</f>
        <v>67431</v>
      </c>
      <c r="AC93" s="1100">
        <f>VLOOKUP(AC$1,'cost per tipologia de sòl'!$A$2:$D$37,4,FALSE)*'T50'!AC93</f>
        <v>0</v>
      </c>
      <c r="AD93" s="1100">
        <f>VLOOKUP(AD$1,'cost per tipologia de sòl'!$A$2:$D$37,4,FALSE)*'T50'!AD93</f>
        <v>163891.15</v>
      </c>
      <c r="AE93" s="1100">
        <f>VLOOKUP(AE$1,'cost per tipologia de sòl'!$A$2:$D$37,4,FALSE)*'T50'!AE93</f>
        <v>0</v>
      </c>
      <c r="AF93" s="1100">
        <f>VLOOKUP(AF$1,'cost per tipologia de sòl'!$A$2:$D$37,4,FALSE)*'T50'!AF93</f>
        <v>0</v>
      </c>
      <c r="AG93" s="1100">
        <f>VLOOKUP(AG$1,'cost per tipologia de sòl'!$A$2:$D$37,4,FALSE)*'T50'!AG93</f>
        <v>0</v>
      </c>
      <c r="AH93" s="1100">
        <f>VLOOKUP(AH$1,'cost per tipologia de sòl'!$A$2:$D$37,4,FALSE)*'T50'!AH93</f>
        <v>0</v>
      </c>
      <c r="AI93" s="1100">
        <f>VLOOKUP(AI$1,'cost per tipologia de sòl'!$A$2:$D$37,4,FALSE)*'T50'!AI93</f>
        <v>0</v>
      </c>
      <c r="AJ93" s="1100">
        <f t="shared" si="2"/>
        <v>2888926.7944999998</v>
      </c>
      <c r="AK93" s="1098">
        <f t="shared" si="3"/>
        <v>0.8666780383499999</v>
      </c>
    </row>
    <row r="94" spans="1:37">
      <c r="A94" s="1099" t="s">
        <v>1311</v>
      </c>
      <c r="B94" s="1100">
        <f>VLOOKUP(B$1,'cost per tipologia de sòl'!$A$2:$D$37,4,FALSE)*'T50'!B94</f>
        <v>52926771.383999996</v>
      </c>
      <c r="C94" s="1100">
        <f>VLOOKUP(C$1,'cost per tipologia de sòl'!$A$2:$D$37,4,FALSE)*'T50'!C94</f>
        <v>0</v>
      </c>
      <c r="D94" s="1100">
        <f>VLOOKUP(D$1,'cost per tipologia de sòl'!$A$2:$D$37,4,FALSE)*'T50'!D94</f>
        <v>0</v>
      </c>
      <c r="E94" s="1100">
        <f>VLOOKUP(E$1,'cost per tipologia de sòl'!$A$2:$D$37,4,FALSE)*'T50'!E94</f>
        <v>0</v>
      </c>
      <c r="F94" s="1100">
        <f>VLOOKUP(F$1,'cost per tipologia de sòl'!$A$2:$D$37,4,FALSE)*'T50'!F94</f>
        <v>0</v>
      </c>
      <c r="G94" s="1100">
        <f>VLOOKUP(G$1,'cost per tipologia de sòl'!$A$2:$D$37,4,FALSE)*'T50'!G94</f>
        <v>0</v>
      </c>
      <c r="H94" s="1100">
        <f>VLOOKUP(H$1,'cost per tipologia de sòl'!$A$2:$D$37,4,FALSE)*'T50'!H94</f>
        <v>0</v>
      </c>
      <c r="I94" s="1100">
        <f>VLOOKUP(I$1,'cost per tipologia de sòl'!$A$2:$D$37,4,FALSE)*'T50'!I94</f>
        <v>0</v>
      </c>
      <c r="J94" s="1100">
        <f>VLOOKUP(J$1,'cost per tipologia de sòl'!$A$2:$D$37,4,FALSE)*'T50'!J94</f>
        <v>7368202.9410000006</v>
      </c>
      <c r="K94" s="1100">
        <f>VLOOKUP(K$1,'cost per tipologia de sòl'!$A$2:$D$37,4,FALSE)*'T50'!K94</f>
        <v>0</v>
      </c>
      <c r="L94" s="1100">
        <f>VLOOKUP(L$1,'cost per tipologia de sòl'!$A$2:$D$37,4,FALSE)*'T50'!L94</f>
        <v>1300950.324</v>
      </c>
      <c r="M94" s="1100">
        <f>VLOOKUP(M$1,'cost per tipologia de sòl'!$A$2:$D$37,4,FALSE)*'T50'!M94</f>
        <v>0</v>
      </c>
      <c r="N94" s="1100">
        <f>VLOOKUP(N$1,'cost per tipologia de sòl'!$A$2:$D$37,4,FALSE)*'T50'!N94</f>
        <v>12041533.192</v>
      </c>
      <c r="O94" s="1100">
        <f>VLOOKUP(O$1,'cost per tipologia de sòl'!$A$2:$D$37,4,FALSE)*'T50'!O94</f>
        <v>3584792.12</v>
      </c>
      <c r="P94" s="1100">
        <f>VLOOKUP(P$1,'cost per tipologia de sòl'!$A$2:$D$37,4,FALSE)*'T50'!P94</f>
        <v>7361493.6799999997</v>
      </c>
      <c r="Q94" s="1100">
        <f>VLOOKUP(Q$1,'cost per tipologia de sòl'!$A$2:$D$37,4,FALSE)*'T50'!Q94</f>
        <v>0</v>
      </c>
      <c r="R94" s="1100">
        <f>VLOOKUP(R$1,'cost per tipologia de sòl'!$A$2:$D$37,4,FALSE)*'T50'!R94</f>
        <v>0</v>
      </c>
      <c r="S94" s="1100">
        <f>VLOOKUP(S$1,'cost per tipologia de sòl'!$A$2:$D$37,4,FALSE)*'T50'!S94</f>
        <v>9147872.1600000001</v>
      </c>
      <c r="T94" s="1100">
        <f>VLOOKUP(T$1,'cost per tipologia de sòl'!$A$2:$D$37,4,FALSE)*'T50'!T94</f>
        <v>40517153.791000001</v>
      </c>
      <c r="U94" s="1100">
        <f>VLOOKUP(U$1,'cost per tipologia de sòl'!$A$2:$D$37,4,FALSE)*'T50'!U94</f>
        <v>415280.25</v>
      </c>
      <c r="V94" s="1100">
        <f>VLOOKUP(V$1,'cost per tipologia de sòl'!$A$2:$D$37,4,FALSE)*'T50'!V94</f>
        <v>2685908.3280000002</v>
      </c>
      <c r="W94" s="1100">
        <f>VLOOKUP(W$1,'cost per tipologia de sòl'!$A$2:$D$37,4,FALSE)*'T50'!W94</f>
        <v>0</v>
      </c>
      <c r="X94" s="1100">
        <f>VLOOKUP(X$1,'cost per tipologia de sòl'!$A$2:$D$37,4,FALSE)*'T50'!X94</f>
        <v>0</v>
      </c>
      <c r="Y94" s="1100">
        <f>VLOOKUP(Y$1,'cost per tipologia de sòl'!$A$2:$D$37,4,FALSE)*'T50'!Y94</f>
        <v>0</v>
      </c>
      <c r="Z94" s="1100">
        <f>VLOOKUP(Z$1,'cost per tipologia de sòl'!$A$2:$D$37,4,FALSE)*'T50'!Z94</f>
        <v>163369315.266</v>
      </c>
      <c r="AA94" s="1100">
        <f>VLOOKUP(AA$1,'cost per tipologia de sòl'!$A$2:$D$37,4,FALSE)*'T50'!AA94</f>
        <v>0</v>
      </c>
      <c r="AB94" s="1100">
        <f>VLOOKUP(AB$1,'cost per tipologia de sòl'!$A$2:$D$37,4,FALSE)*'T50'!AB94</f>
        <v>11266391.050000001</v>
      </c>
      <c r="AC94" s="1100">
        <f>VLOOKUP(AC$1,'cost per tipologia de sòl'!$A$2:$D$37,4,FALSE)*'T50'!AC94</f>
        <v>27866238.850000001</v>
      </c>
      <c r="AD94" s="1100">
        <f>VLOOKUP(AD$1,'cost per tipologia de sòl'!$A$2:$D$37,4,FALSE)*'T50'!AD94</f>
        <v>50826361.350000001</v>
      </c>
      <c r="AE94" s="1100">
        <f>VLOOKUP(AE$1,'cost per tipologia de sòl'!$A$2:$D$37,4,FALSE)*'T50'!AE94</f>
        <v>0</v>
      </c>
      <c r="AF94" s="1100">
        <f>VLOOKUP(AF$1,'cost per tipologia de sòl'!$A$2:$D$37,4,FALSE)*'T50'!AF94</f>
        <v>0</v>
      </c>
      <c r="AG94" s="1100">
        <f>VLOOKUP(AG$1,'cost per tipologia de sòl'!$A$2:$D$37,4,FALSE)*'T50'!AG94</f>
        <v>0</v>
      </c>
      <c r="AH94" s="1100">
        <f>VLOOKUP(AH$1,'cost per tipologia de sòl'!$A$2:$D$37,4,FALSE)*'T50'!AH94</f>
        <v>0</v>
      </c>
      <c r="AI94" s="1100">
        <f>VLOOKUP(AI$1,'cost per tipologia de sòl'!$A$2:$D$37,4,FALSE)*'T50'!AI94</f>
        <v>0</v>
      </c>
      <c r="AJ94" s="1100">
        <f t="shared" si="2"/>
        <v>390678264.68600005</v>
      </c>
      <c r="AK94" s="1098">
        <f t="shared" si="3"/>
        <v>117.20347940580002</v>
      </c>
    </row>
    <row r="95" spans="1:37">
      <c r="A95" s="1099" t="s">
        <v>1316</v>
      </c>
      <c r="B95" s="1100">
        <f>VLOOKUP(B$1,'cost per tipologia de sòl'!$A$2:$D$37,4,FALSE)*'T50'!B95</f>
        <v>0</v>
      </c>
      <c r="C95" s="1100">
        <f>VLOOKUP(C$1,'cost per tipologia de sòl'!$A$2:$D$37,4,FALSE)*'T50'!C95</f>
        <v>0</v>
      </c>
      <c r="D95" s="1100">
        <f>VLOOKUP(D$1,'cost per tipologia de sòl'!$A$2:$D$37,4,FALSE)*'T50'!D95</f>
        <v>0</v>
      </c>
      <c r="E95" s="1100">
        <f>VLOOKUP(E$1,'cost per tipologia de sòl'!$A$2:$D$37,4,FALSE)*'T50'!E95</f>
        <v>0</v>
      </c>
      <c r="F95" s="1100">
        <f>VLOOKUP(F$1,'cost per tipologia de sòl'!$A$2:$D$37,4,FALSE)*'T50'!F95</f>
        <v>0</v>
      </c>
      <c r="G95" s="1100">
        <f>VLOOKUP(G$1,'cost per tipologia de sòl'!$A$2:$D$37,4,FALSE)*'T50'!G95</f>
        <v>0</v>
      </c>
      <c r="H95" s="1100">
        <f>VLOOKUP(H$1,'cost per tipologia de sòl'!$A$2:$D$37,4,FALSE)*'T50'!H95</f>
        <v>0</v>
      </c>
      <c r="I95" s="1100">
        <f>VLOOKUP(I$1,'cost per tipologia de sòl'!$A$2:$D$37,4,FALSE)*'T50'!I95</f>
        <v>0</v>
      </c>
      <c r="J95" s="1100">
        <f>VLOOKUP(J$1,'cost per tipologia de sòl'!$A$2:$D$37,4,FALSE)*'T50'!J95</f>
        <v>0</v>
      </c>
      <c r="K95" s="1100">
        <f>VLOOKUP(K$1,'cost per tipologia de sòl'!$A$2:$D$37,4,FALSE)*'T50'!K95</f>
        <v>0</v>
      </c>
      <c r="L95" s="1100">
        <f>VLOOKUP(L$1,'cost per tipologia de sòl'!$A$2:$D$37,4,FALSE)*'T50'!L95</f>
        <v>237702.09600000002</v>
      </c>
      <c r="M95" s="1100">
        <f>VLOOKUP(M$1,'cost per tipologia de sòl'!$A$2:$D$37,4,FALSE)*'T50'!M95</f>
        <v>0</v>
      </c>
      <c r="N95" s="1100">
        <f>VLOOKUP(N$1,'cost per tipologia de sòl'!$A$2:$D$37,4,FALSE)*'T50'!N95</f>
        <v>0</v>
      </c>
      <c r="O95" s="1100">
        <f>VLOOKUP(O$1,'cost per tipologia de sòl'!$A$2:$D$37,4,FALSE)*'T50'!O95</f>
        <v>0</v>
      </c>
      <c r="P95" s="1100">
        <f>VLOOKUP(P$1,'cost per tipologia de sòl'!$A$2:$D$37,4,FALSE)*'T50'!P95</f>
        <v>874.75200000000007</v>
      </c>
      <c r="Q95" s="1100">
        <f>VLOOKUP(Q$1,'cost per tipologia de sòl'!$A$2:$D$37,4,FALSE)*'T50'!Q95</f>
        <v>0</v>
      </c>
      <c r="R95" s="1100">
        <f>VLOOKUP(R$1,'cost per tipologia de sòl'!$A$2:$D$37,4,FALSE)*'T50'!R95</f>
        <v>0</v>
      </c>
      <c r="S95" s="1100">
        <f>VLOOKUP(S$1,'cost per tipologia de sòl'!$A$2:$D$37,4,FALSE)*'T50'!S95</f>
        <v>9149997.0240000002</v>
      </c>
      <c r="T95" s="1100">
        <f>VLOOKUP(T$1,'cost per tipologia de sòl'!$A$2:$D$37,4,FALSE)*'T50'!T95</f>
        <v>4552106.6950000003</v>
      </c>
      <c r="U95" s="1100">
        <f>VLOOKUP(U$1,'cost per tipologia de sòl'!$A$2:$D$37,4,FALSE)*'T50'!U95</f>
        <v>0</v>
      </c>
      <c r="V95" s="1100">
        <f>VLOOKUP(V$1,'cost per tipologia de sòl'!$A$2:$D$37,4,FALSE)*'T50'!V95</f>
        <v>0</v>
      </c>
      <c r="W95" s="1100">
        <f>VLOOKUP(W$1,'cost per tipologia de sòl'!$A$2:$D$37,4,FALSE)*'T50'!W95</f>
        <v>0</v>
      </c>
      <c r="X95" s="1100">
        <f>VLOOKUP(X$1,'cost per tipologia de sòl'!$A$2:$D$37,4,FALSE)*'T50'!X95</f>
        <v>0</v>
      </c>
      <c r="Y95" s="1100">
        <f>VLOOKUP(Y$1,'cost per tipologia de sòl'!$A$2:$D$37,4,FALSE)*'T50'!Y95</f>
        <v>0</v>
      </c>
      <c r="Z95" s="1100">
        <f>VLOOKUP(Z$1,'cost per tipologia de sòl'!$A$2:$D$37,4,FALSE)*'T50'!Z95</f>
        <v>0</v>
      </c>
      <c r="AA95" s="1100">
        <f>VLOOKUP(AA$1,'cost per tipologia de sòl'!$A$2:$D$37,4,FALSE)*'T50'!AA95</f>
        <v>0</v>
      </c>
      <c r="AB95" s="1100">
        <f>VLOOKUP(AB$1,'cost per tipologia de sòl'!$A$2:$D$37,4,FALSE)*'T50'!AB95</f>
        <v>4526842.1499999994</v>
      </c>
      <c r="AC95" s="1100">
        <f>VLOOKUP(AC$1,'cost per tipologia de sòl'!$A$2:$D$37,4,FALSE)*'T50'!AC95</f>
        <v>1647108.1</v>
      </c>
      <c r="AD95" s="1100">
        <f>VLOOKUP(AD$1,'cost per tipologia de sòl'!$A$2:$D$37,4,FALSE)*'T50'!AD95</f>
        <v>5297689.25</v>
      </c>
      <c r="AE95" s="1100">
        <f>VLOOKUP(AE$1,'cost per tipologia de sòl'!$A$2:$D$37,4,FALSE)*'T50'!AE95</f>
        <v>0</v>
      </c>
      <c r="AF95" s="1100">
        <f>VLOOKUP(AF$1,'cost per tipologia de sòl'!$A$2:$D$37,4,FALSE)*'T50'!AF95</f>
        <v>0</v>
      </c>
      <c r="AG95" s="1100">
        <f>VLOOKUP(AG$1,'cost per tipologia de sòl'!$A$2:$D$37,4,FALSE)*'T50'!AG95</f>
        <v>0</v>
      </c>
      <c r="AH95" s="1100">
        <f>VLOOKUP(AH$1,'cost per tipologia de sòl'!$A$2:$D$37,4,FALSE)*'T50'!AH95</f>
        <v>0</v>
      </c>
      <c r="AI95" s="1100">
        <f>VLOOKUP(AI$1,'cost per tipologia de sòl'!$A$2:$D$37,4,FALSE)*'T50'!AI95</f>
        <v>0</v>
      </c>
      <c r="AJ95" s="1100">
        <f t="shared" si="2"/>
        <v>25412320.067000002</v>
      </c>
      <c r="AK95" s="1098">
        <f t="shared" si="3"/>
        <v>7.6236960200999997</v>
      </c>
    </row>
    <row r="96" spans="1:37">
      <c r="A96" s="1099" t="s">
        <v>1320</v>
      </c>
      <c r="B96" s="1100">
        <f>VLOOKUP(B$1,'cost per tipologia de sòl'!$A$2:$D$37,4,FALSE)*'T50'!B96</f>
        <v>0</v>
      </c>
      <c r="C96" s="1100">
        <f>VLOOKUP(C$1,'cost per tipologia de sòl'!$A$2:$D$37,4,FALSE)*'T50'!C96</f>
        <v>0</v>
      </c>
      <c r="D96" s="1100">
        <f>VLOOKUP(D$1,'cost per tipologia de sòl'!$A$2:$D$37,4,FALSE)*'T50'!D96</f>
        <v>0</v>
      </c>
      <c r="E96" s="1100">
        <f>VLOOKUP(E$1,'cost per tipologia de sòl'!$A$2:$D$37,4,FALSE)*'T50'!E96</f>
        <v>0</v>
      </c>
      <c r="F96" s="1100">
        <f>VLOOKUP(F$1,'cost per tipologia de sòl'!$A$2:$D$37,4,FALSE)*'T50'!F96</f>
        <v>0</v>
      </c>
      <c r="G96" s="1100">
        <f>VLOOKUP(G$1,'cost per tipologia de sòl'!$A$2:$D$37,4,FALSE)*'T50'!G96</f>
        <v>0</v>
      </c>
      <c r="H96" s="1100">
        <f>VLOOKUP(H$1,'cost per tipologia de sòl'!$A$2:$D$37,4,FALSE)*'T50'!H96</f>
        <v>0</v>
      </c>
      <c r="I96" s="1100">
        <f>VLOOKUP(I$1,'cost per tipologia de sòl'!$A$2:$D$37,4,FALSE)*'T50'!I96</f>
        <v>0</v>
      </c>
      <c r="J96" s="1100">
        <f>VLOOKUP(J$1,'cost per tipologia de sòl'!$A$2:$D$37,4,FALSE)*'T50'!J96</f>
        <v>0</v>
      </c>
      <c r="K96" s="1100">
        <f>VLOOKUP(K$1,'cost per tipologia de sòl'!$A$2:$D$37,4,FALSE)*'T50'!K96</f>
        <v>0</v>
      </c>
      <c r="L96" s="1100">
        <f>VLOOKUP(L$1,'cost per tipologia de sòl'!$A$2:$D$37,4,FALSE)*'T50'!L96</f>
        <v>0</v>
      </c>
      <c r="M96" s="1100">
        <f>VLOOKUP(M$1,'cost per tipologia de sòl'!$A$2:$D$37,4,FALSE)*'T50'!M96</f>
        <v>0</v>
      </c>
      <c r="N96" s="1100">
        <f>VLOOKUP(N$1,'cost per tipologia de sòl'!$A$2:$D$37,4,FALSE)*'T50'!N96</f>
        <v>91.12</v>
      </c>
      <c r="O96" s="1100">
        <f>VLOOKUP(O$1,'cost per tipologia de sòl'!$A$2:$D$37,4,FALSE)*'T50'!O96</f>
        <v>0</v>
      </c>
      <c r="P96" s="1100">
        <f>VLOOKUP(P$1,'cost per tipologia de sòl'!$A$2:$D$37,4,FALSE)*'T50'!P96</f>
        <v>0</v>
      </c>
      <c r="Q96" s="1100">
        <f>VLOOKUP(Q$1,'cost per tipologia de sòl'!$A$2:$D$37,4,FALSE)*'T50'!Q96</f>
        <v>0</v>
      </c>
      <c r="R96" s="1100">
        <f>VLOOKUP(R$1,'cost per tipologia de sòl'!$A$2:$D$37,4,FALSE)*'T50'!R96</f>
        <v>0</v>
      </c>
      <c r="S96" s="1100">
        <f>VLOOKUP(S$1,'cost per tipologia de sòl'!$A$2:$D$37,4,FALSE)*'T50'!S96</f>
        <v>0</v>
      </c>
      <c r="T96" s="1100">
        <f>VLOOKUP(T$1,'cost per tipologia de sòl'!$A$2:$D$37,4,FALSE)*'T50'!T96</f>
        <v>48.527999999999999</v>
      </c>
      <c r="U96" s="1100">
        <f>VLOOKUP(U$1,'cost per tipologia de sòl'!$A$2:$D$37,4,FALSE)*'T50'!U96</f>
        <v>13578054</v>
      </c>
      <c r="V96" s="1100">
        <f>VLOOKUP(V$1,'cost per tipologia de sòl'!$A$2:$D$37,4,FALSE)*'T50'!V96</f>
        <v>0</v>
      </c>
      <c r="W96" s="1100">
        <f>VLOOKUP(W$1,'cost per tipologia de sòl'!$A$2:$D$37,4,FALSE)*'T50'!W96</f>
        <v>0</v>
      </c>
      <c r="X96" s="1100">
        <f>VLOOKUP(X$1,'cost per tipologia de sòl'!$A$2:$D$37,4,FALSE)*'T50'!X96</f>
        <v>0</v>
      </c>
      <c r="Y96" s="1100">
        <f>VLOOKUP(Y$1,'cost per tipologia de sòl'!$A$2:$D$37,4,FALSE)*'T50'!Y96</f>
        <v>0</v>
      </c>
      <c r="Z96" s="1100">
        <f>VLOOKUP(Z$1,'cost per tipologia de sòl'!$A$2:$D$37,4,FALSE)*'T50'!Z96</f>
        <v>0</v>
      </c>
      <c r="AA96" s="1100">
        <f>VLOOKUP(AA$1,'cost per tipologia de sòl'!$A$2:$D$37,4,FALSE)*'T50'!AA96</f>
        <v>0</v>
      </c>
      <c r="AB96" s="1100">
        <f>VLOOKUP(AB$1,'cost per tipologia de sòl'!$A$2:$D$37,4,FALSE)*'T50'!AB96</f>
        <v>1434057.2999999998</v>
      </c>
      <c r="AC96" s="1100">
        <f>VLOOKUP(AC$1,'cost per tipologia de sòl'!$A$2:$D$37,4,FALSE)*'T50'!AC96</f>
        <v>9029.75</v>
      </c>
      <c r="AD96" s="1100">
        <f>VLOOKUP(AD$1,'cost per tipologia de sòl'!$A$2:$D$37,4,FALSE)*'T50'!AD96</f>
        <v>9663627.0500000007</v>
      </c>
      <c r="AE96" s="1100">
        <f>VLOOKUP(AE$1,'cost per tipologia de sòl'!$A$2:$D$37,4,FALSE)*'T50'!AE96</f>
        <v>0</v>
      </c>
      <c r="AF96" s="1100">
        <f>VLOOKUP(AF$1,'cost per tipologia de sòl'!$A$2:$D$37,4,FALSE)*'T50'!AF96</f>
        <v>0</v>
      </c>
      <c r="AG96" s="1100">
        <f>VLOOKUP(AG$1,'cost per tipologia de sòl'!$A$2:$D$37,4,FALSE)*'T50'!AG96</f>
        <v>0</v>
      </c>
      <c r="AH96" s="1100">
        <f>VLOOKUP(AH$1,'cost per tipologia de sòl'!$A$2:$D$37,4,FALSE)*'T50'!AH96</f>
        <v>0</v>
      </c>
      <c r="AI96" s="1100">
        <f>VLOOKUP(AI$1,'cost per tipologia de sòl'!$A$2:$D$37,4,FALSE)*'T50'!AI96</f>
        <v>0</v>
      </c>
      <c r="AJ96" s="1100">
        <f t="shared" si="2"/>
        <v>24684907.748</v>
      </c>
      <c r="AK96" s="1098">
        <f t="shared" si="3"/>
        <v>7.4054723243999998</v>
      </c>
    </row>
    <row r="97" spans="1:37">
      <c r="A97" s="1099" t="s">
        <v>1325</v>
      </c>
      <c r="B97" s="1100">
        <f>VLOOKUP(B$1,'cost per tipologia de sòl'!$A$2:$D$37,4,FALSE)*'T50'!B97</f>
        <v>71807227.973999992</v>
      </c>
      <c r="C97" s="1100">
        <f>VLOOKUP(C$1,'cost per tipologia de sòl'!$A$2:$D$37,4,FALSE)*'T50'!C97</f>
        <v>0</v>
      </c>
      <c r="D97" s="1100">
        <f>VLOOKUP(D$1,'cost per tipologia de sòl'!$A$2:$D$37,4,FALSE)*'T50'!D97</f>
        <v>0</v>
      </c>
      <c r="E97" s="1100">
        <f>VLOOKUP(E$1,'cost per tipologia de sòl'!$A$2:$D$37,4,FALSE)*'T50'!E97</f>
        <v>0</v>
      </c>
      <c r="F97" s="1100">
        <f>VLOOKUP(F$1,'cost per tipologia de sòl'!$A$2:$D$37,4,FALSE)*'T50'!F97</f>
        <v>0</v>
      </c>
      <c r="G97" s="1100">
        <f>VLOOKUP(G$1,'cost per tipologia de sòl'!$A$2:$D$37,4,FALSE)*'T50'!G97</f>
        <v>0</v>
      </c>
      <c r="H97" s="1100">
        <f>VLOOKUP(H$1,'cost per tipologia de sòl'!$A$2:$D$37,4,FALSE)*'T50'!H97</f>
        <v>0</v>
      </c>
      <c r="I97" s="1100">
        <f>VLOOKUP(I$1,'cost per tipologia de sòl'!$A$2:$D$37,4,FALSE)*'T50'!I97</f>
        <v>0</v>
      </c>
      <c r="J97" s="1100">
        <f>VLOOKUP(J$1,'cost per tipologia de sòl'!$A$2:$D$37,4,FALSE)*'T50'!J97</f>
        <v>554358.66200000001</v>
      </c>
      <c r="K97" s="1100">
        <f>VLOOKUP(K$1,'cost per tipologia de sòl'!$A$2:$D$37,4,FALSE)*'T50'!K97</f>
        <v>0</v>
      </c>
      <c r="L97" s="1100">
        <f>VLOOKUP(L$1,'cost per tipologia de sòl'!$A$2:$D$37,4,FALSE)*'T50'!L97</f>
        <v>21247383.077999998</v>
      </c>
      <c r="M97" s="1100">
        <f>VLOOKUP(M$1,'cost per tipologia de sòl'!$A$2:$D$37,4,FALSE)*'T50'!M97</f>
        <v>0</v>
      </c>
      <c r="N97" s="1100">
        <f>VLOOKUP(N$1,'cost per tipologia de sòl'!$A$2:$D$37,4,FALSE)*'T50'!N97</f>
        <v>0</v>
      </c>
      <c r="O97" s="1100">
        <f>VLOOKUP(O$1,'cost per tipologia de sòl'!$A$2:$D$37,4,FALSE)*'T50'!O97</f>
        <v>0</v>
      </c>
      <c r="P97" s="1100">
        <f>VLOOKUP(P$1,'cost per tipologia de sòl'!$A$2:$D$37,4,FALSE)*'T50'!P97</f>
        <v>0</v>
      </c>
      <c r="Q97" s="1100">
        <f>VLOOKUP(Q$1,'cost per tipologia de sòl'!$A$2:$D$37,4,FALSE)*'T50'!Q97</f>
        <v>0</v>
      </c>
      <c r="R97" s="1100">
        <f>VLOOKUP(R$1,'cost per tipologia de sòl'!$A$2:$D$37,4,FALSE)*'T50'!R97</f>
        <v>0</v>
      </c>
      <c r="S97" s="1100">
        <f>VLOOKUP(S$1,'cost per tipologia de sòl'!$A$2:$D$37,4,FALSE)*'T50'!S97</f>
        <v>0</v>
      </c>
      <c r="T97" s="1100">
        <f>VLOOKUP(T$1,'cost per tipologia de sòl'!$A$2:$D$37,4,FALSE)*'T50'!T97</f>
        <v>39697948.578999996</v>
      </c>
      <c r="U97" s="1100">
        <f>VLOOKUP(U$1,'cost per tipologia de sòl'!$A$2:$D$37,4,FALSE)*'T50'!U97</f>
        <v>1333013.8500000001</v>
      </c>
      <c r="V97" s="1100">
        <f>VLOOKUP(V$1,'cost per tipologia de sòl'!$A$2:$D$37,4,FALSE)*'T50'!V97</f>
        <v>0</v>
      </c>
      <c r="W97" s="1100">
        <f>VLOOKUP(W$1,'cost per tipologia de sòl'!$A$2:$D$37,4,FALSE)*'T50'!W97</f>
        <v>0</v>
      </c>
      <c r="X97" s="1100">
        <f>VLOOKUP(X$1,'cost per tipologia de sòl'!$A$2:$D$37,4,FALSE)*'T50'!X97</f>
        <v>0</v>
      </c>
      <c r="Y97" s="1100">
        <f>VLOOKUP(Y$1,'cost per tipologia de sòl'!$A$2:$D$37,4,FALSE)*'T50'!Y97</f>
        <v>0</v>
      </c>
      <c r="Z97" s="1100">
        <f>VLOOKUP(Z$1,'cost per tipologia de sòl'!$A$2:$D$37,4,FALSE)*'T50'!Z97</f>
        <v>1303624.3700000001</v>
      </c>
      <c r="AA97" s="1100">
        <f>VLOOKUP(AA$1,'cost per tipologia de sòl'!$A$2:$D$37,4,FALSE)*'T50'!AA97</f>
        <v>0</v>
      </c>
      <c r="AB97" s="1100">
        <f>VLOOKUP(AB$1,'cost per tipologia de sòl'!$A$2:$D$37,4,FALSE)*'T50'!AB97</f>
        <v>974851.04999999993</v>
      </c>
      <c r="AC97" s="1100">
        <f>VLOOKUP(AC$1,'cost per tipologia de sòl'!$A$2:$D$37,4,FALSE)*'T50'!AC97</f>
        <v>54040584.700000003</v>
      </c>
      <c r="AD97" s="1100">
        <f>VLOOKUP(AD$1,'cost per tipologia de sòl'!$A$2:$D$37,4,FALSE)*'T50'!AD97</f>
        <v>10826785.199999999</v>
      </c>
      <c r="AE97" s="1100">
        <f>VLOOKUP(AE$1,'cost per tipologia de sòl'!$A$2:$D$37,4,FALSE)*'T50'!AE97</f>
        <v>0</v>
      </c>
      <c r="AF97" s="1100">
        <f>VLOOKUP(AF$1,'cost per tipologia de sòl'!$A$2:$D$37,4,FALSE)*'T50'!AF97</f>
        <v>0</v>
      </c>
      <c r="AG97" s="1100">
        <f>VLOOKUP(AG$1,'cost per tipologia de sòl'!$A$2:$D$37,4,FALSE)*'T50'!AG97</f>
        <v>0</v>
      </c>
      <c r="AH97" s="1100">
        <f>VLOOKUP(AH$1,'cost per tipologia de sòl'!$A$2:$D$37,4,FALSE)*'T50'!AH97</f>
        <v>0</v>
      </c>
      <c r="AI97" s="1100">
        <f>VLOOKUP(AI$1,'cost per tipologia de sòl'!$A$2:$D$37,4,FALSE)*'T50'!AI97</f>
        <v>0</v>
      </c>
      <c r="AJ97" s="1100">
        <f t="shared" si="2"/>
        <v>201785777.463</v>
      </c>
      <c r="AK97" s="1098">
        <f t="shared" si="3"/>
        <v>60.535733238900001</v>
      </c>
    </row>
    <row r="98" spans="1:37">
      <c r="A98" s="1099" t="s">
        <v>1330</v>
      </c>
      <c r="B98" s="1100">
        <f>VLOOKUP(B$1,'cost per tipologia de sòl'!$A$2:$D$37,4,FALSE)*'T50'!B98</f>
        <v>0</v>
      </c>
      <c r="C98" s="1100">
        <f>VLOOKUP(C$1,'cost per tipologia de sòl'!$A$2:$D$37,4,FALSE)*'T50'!C98</f>
        <v>0</v>
      </c>
      <c r="D98" s="1100">
        <f>VLOOKUP(D$1,'cost per tipologia de sòl'!$A$2:$D$37,4,FALSE)*'T50'!D98</f>
        <v>0</v>
      </c>
      <c r="E98" s="1100">
        <f>VLOOKUP(E$1,'cost per tipologia de sòl'!$A$2:$D$37,4,FALSE)*'T50'!E98</f>
        <v>0</v>
      </c>
      <c r="F98" s="1100">
        <f>VLOOKUP(F$1,'cost per tipologia de sòl'!$A$2:$D$37,4,FALSE)*'T50'!F98</f>
        <v>0</v>
      </c>
      <c r="G98" s="1100">
        <f>VLOOKUP(G$1,'cost per tipologia de sòl'!$A$2:$D$37,4,FALSE)*'T50'!G98</f>
        <v>0</v>
      </c>
      <c r="H98" s="1100">
        <f>VLOOKUP(H$1,'cost per tipologia de sòl'!$A$2:$D$37,4,FALSE)*'T50'!H98</f>
        <v>0</v>
      </c>
      <c r="I98" s="1100">
        <f>VLOOKUP(I$1,'cost per tipologia de sòl'!$A$2:$D$37,4,FALSE)*'T50'!I98</f>
        <v>0</v>
      </c>
      <c r="J98" s="1100">
        <f>VLOOKUP(J$1,'cost per tipologia de sòl'!$A$2:$D$37,4,FALSE)*'T50'!J98</f>
        <v>0</v>
      </c>
      <c r="K98" s="1100">
        <f>VLOOKUP(K$1,'cost per tipologia de sòl'!$A$2:$D$37,4,FALSE)*'T50'!K98</f>
        <v>0</v>
      </c>
      <c r="L98" s="1100">
        <f>VLOOKUP(L$1,'cost per tipologia de sòl'!$A$2:$D$37,4,FALSE)*'T50'!L98</f>
        <v>0</v>
      </c>
      <c r="M98" s="1100">
        <f>VLOOKUP(M$1,'cost per tipologia de sòl'!$A$2:$D$37,4,FALSE)*'T50'!M98</f>
        <v>0</v>
      </c>
      <c r="N98" s="1100">
        <f>VLOOKUP(N$1,'cost per tipologia de sòl'!$A$2:$D$37,4,FALSE)*'T50'!N98</f>
        <v>0</v>
      </c>
      <c r="O98" s="1100">
        <f>VLOOKUP(O$1,'cost per tipologia de sòl'!$A$2:$D$37,4,FALSE)*'T50'!O98</f>
        <v>0</v>
      </c>
      <c r="P98" s="1100">
        <f>VLOOKUP(P$1,'cost per tipologia de sòl'!$A$2:$D$37,4,FALSE)*'T50'!P98</f>
        <v>0</v>
      </c>
      <c r="Q98" s="1100">
        <f>VLOOKUP(Q$1,'cost per tipologia de sòl'!$A$2:$D$37,4,FALSE)*'T50'!Q98</f>
        <v>0</v>
      </c>
      <c r="R98" s="1100">
        <f>VLOOKUP(R$1,'cost per tipologia de sòl'!$A$2:$D$37,4,FALSE)*'T50'!R98</f>
        <v>0</v>
      </c>
      <c r="S98" s="1100">
        <f>VLOOKUP(S$1,'cost per tipologia de sòl'!$A$2:$D$37,4,FALSE)*'T50'!S98</f>
        <v>0</v>
      </c>
      <c r="T98" s="1100">
        <f>VLOOKUP(T$1,'cost per tipologia de sòl'!$A$2:$D$37,4,FALSE)*'T50'!T98</f>
        <v>2159075.7609999999</v>
      </c>
      <c r="U98" s="1100">
        <f>VLOOKUP(U$1,'cost per tipologia de sòl'!$A$2:$D$37,4,FALSE)*'T50'!U98</f>
        <v>0</v>
      </c>
      <c r="V98" s="1100">
        <f>VLOOKUP(V$1,'cost per tipologia de sòl'!$A$2:$D$37,4,FALSE)*'T50'!V98</f>
        <v>0</v>
      </c>
      <c r="W98" s="1100">
        <f>VLOOKUP(W$1,'cost per tipologia de sòl'!$A$2:$D$37,4,FALSE)*'T50'!W98</f>
        <v>0</v>
      </c>
      <c r="X98" s="1100">
        <f>VLOOKUP(X$1,'cost per tipologia de sòl'!$A$2:$D$37,4,FALSE)*'T50'!X98</f>
        <v>0</v>
      </c>
      <c r="Y98" s="1100">
        <f>VLOOKUP(Y$1,'cost per tipologia de sòl'!$A$2:$D$37,4,FALSE)*'T50'!Y98</f>
        <v>0</v>
      </c>
      <c r="Z98" s="1100">
        <f>VLOOKUP(Z$1,'cost per tipologia de sòl'!$A$2:$D$37,4,FALSE)*'T50'!Z98</f>
        <v>0</v>
      </c>
      <c r="AA98" s="1100">
        <f>VLOOKUP(AA$1,'cost per tipologia de sòl'!$A$2:$D$37,4,FALSE)*'T50'!AA98</f>
        <v>0</v>
      </c>
      <c r="AB98" s="1100">
        <f>VLOOKUP(AB$1,'cost per tipologia de sòl'!$A$2:$D$37,4,FALSE)*'T50'!AB98</f>
        <v>187958.45</v>
      </c>
      <c r="AC98" s="1100">
        <f>VLOOKUP(AC$1,'cost per tipologia de sòl'!$A$2:$D$37,4,FALSE)*'T50'!AC98</f>
        <v>0</v>
      </c>
      <c r="AD98" s="1100">
        <f>VLOOKUP(AD$1,'cost per tipologia de sòl'!$A$2:$D$37,4,FALSE)*'T50'!AD98</f>
        <v>734703.39999999991</v>
      </c>
      <c r="AE98" s="1100">
        <f>VLOOKUP(AE$1,'cost per tipologia de sòl'!$A$2:$D$37,4,FALSE)*'T50'!AE98</f>
        <v>0</v>
      </c>
      <c r="AF98" s="1100">
        <f>VLOOKUP(AF$1,'cost per tipologia de sòl'!$A$2:$D$37,4,FALSE)*'T50'!AF98</f>
        <v>0</v>
      </c>
      <c r="AG98" s="1100">
        <f>VLOOKUP(AG$1,'cost per tipologia de sòl'!$A$2:$D$37,4,FALSE)*'T50'!AG98</f>
        <v>0</v>
      </c>
      <c r="AH98" s="1100">
        <f>VLOOKUP(AH$1,'cost per tipologia de sòl'!$A$2:$D$37,4,FALSE)*'T50'!AH98</f>
        <v>0</v>
      </c>
      <c r="AI98" s="1100">
        <f>VLOOKUP(AI$1,'cost per tipologia de sòl'!$A$2:$D$37,4,FALSE)*'T50'!AI98</f>
        <v>0</v>
      </c>
      <c r="AJ98" s="1100">
        <f t="shared" si="2"/>
        <v>3081737.611</v>
      </c>
      <c r="AK98" s="1098">
        <f t="shared" si="3"/>
        <v>0.92452128329999994</v>
      </c>
    </row>
    <row r="99" spans="1:37">
      <c r="A99" s="1099" t="s">
        <v>1349</v>
      </c>
      <c r="B99" s="1100">
        <f>VLOOKUP(B$1,'cost per tipologia de sòl'!$A$2:$D$37,4,FALSE)*'T50'!B99</f>
        <v>39068187.012000002</v>
      </c>
      <c r="C99" s="1100">
        <f>VLOOKUP(C$1,'cost per tipologia de sòl'!$A$2:$D$37,4,FALSE)*'T50'!C99</f>
        <v>1278318.986</v>
      </c>
      <c r="D99" s="1100">
        <f>VLOOKUP(D$1,'cost per tipologia de sòl'!$A$2:$D$37,4,FALSE)*'T50'!D99</f>
        <v>0</v>
      </c>
      <c r="E99" s="1100">
        <f>VLOOKUP(E$1,'cost per tipologia de sòl'!$A$2:$D$37,4,FALSE)*'T50'!E99</f>
        <v>0</v>
      </c>
      <c r="F99" s="1100">
        <f>VLOOKUP(F$1,'cost per tipologia de sòl'!$A$2:$D$37,4,FALSE)*'T50'!F99</f>
        <v>0</v>
      </c>
      <c r="G99" s="1100">
        <f>VLOOKUP(G$1,'cost per tipologia de sòl'!$A$2:$D$37,4,FALSE)*'T50'!G99</f>
        <v>0</v>
      </c>
      <c r="H99" s="1100">
        <f>VLOOKUP(H$1,'cost per tipologia de sòl'!$A$2:$D$37,4,FALSE)*'T50'!H99</f>
        <v>0</v>
      </c>
      <c r="I99" s="1100">
        <f>VLOOKUP(I$1,'cost per tipologia de sòl'!$A$2:$D$37,4,FALSE)*'T50'!I99</f>
        <v>0</v>
      </c>
      <c r="J99" s="1100">
        <f>VLOOKUP(J$1,'cost per tipologia de sòl'!$A$2:$D$37,4,FALSE)*'T50'!J99</f>
        <v>84727.335000000006</v>
      </c>
      <c r="K99" s="1100">
        <f>VLOOKUP(K$1,'cost per tipologia de sòl'!$A$2:$D$37,4,FALSE)*'T50'!K99</f>
        <v>0</v>
      </c>
      <c r="L99" s="1100">
        <f>VLOOKUP(L$1,'cost per tipologia de sòl'!$A$2:$D$37,4,FALSE)*'T50'!L99</f>
        <v>664606.48499999999</v>
      </c>
      <c r="M99" s="1100">
        <f>VLOOKUP(M$1,'cost per tipologia de sòl'!$A$2:$D$37,4,FALSE)*'T50'!M99</f>
        <v>0</v>
      </c>
      <c r="N99" s="1100">
        <f>VLOOKUP(N$1,'cost per tipologia de sòl'!$A$2:$D$37,4,FALSE)*'T50'!N99</f>
        <v>2000265.1680000001</v>
      </c>
      <c r="O99" s="1100">
        <f>VLOOKUP(O$1,'cost per tipologia de sòl'!$A$2:$D$37,4,FALSE)*'T50'!O99</f>
        <v>0</v>
      </c>
      <c r="P99" s="1100">
        <f>VLOOKUP(P$1,'cost per tipologia de sòl'!$A$2:$D$37,4,FALSE)*'T50'!P99</f>
        <v>0</v>
      </c>
      <c r="Q99" s="1100">
        <f>VLOOKUP(Q$1,'cost per tipologia de sòl'!$A$2:$D$37,4,FALSE)*'T50'!Q99</f>
        <v>0</v>
      </c>
      <c r="R99" s="1100">
        <f>VLOOKUP(R$1,'cost per tipologia de sòl'!$A$2:$D$37,4,FALSE)*'T50'!R99</f>
        <v>0</v>
      </c>
      <c r="S99" s="1100">
        <f>VLOOKUP(S$1,'cost per tipologia de sòl'!$A$2:$D$37,4,FALSE)*'T50'!S99</f>
        <v>3376497.6</v>
      </c>
      <c r="T99" s="1100">
        <f>VLOOKUP(T$1,'cost per tipologia de sòl'!$A$2:$D$37,4,FALSE)*'T50'!T99</f>
        <v>4696070.3989999993</v>
      </c>
      <c r="U99" s="1100">
        <f>VLOOKUP(U$1,'cost per tipologia de sòl'!$A$2:$D$37,4,FALSE)*'T50'!U99</f>
        <v>0</v>
      </c>
      <c r="V99" s="1100">
        <f>VLOOKUP(V$1,'cost per tipologia de sòl'!$A$2:$D$37,4,FALSE)*'T50'!V99</f>
        <v>0</v>
      </c>
      <c r="W99" s="1100">
        <f>VLOOKUP(W$1,'cost per tipologia de sòl'!$A$2:$D$37,4,FALSE)*'T50'!W99</f>
        <v>0</v>
      </c>
      <c r="X99" s="1100">
        <f>VLOOKUP(X$1,'cost per tipologia de sòl'!$A$2:$D$37,4,FALSE)*'T50'!X99</f>
        <v>0</v>
      </c>
      <c r="Y99" s="1100">
        <f>VLOOKUP(Y$1,'cost per tipologia de sòl'!$A$2:$D$37,4,FALSE)*'T50'!Y99</f>
        <v>0</v>
      </c>
      <c r="Z99" s="1100">
        <f>VLOOKUP(Z$1,'cost per tipologia de sòl'!$A$2:$D$37,4,FALSE)*'T50'!Z99</f>
        <v>0</v>
      </c>
      <c r="AA99" s="1100">
        <f>VLOOKUP(AA$1,'cost per tipologia de sòl'!$A$2:$D$37,4,FALSE)*'T50'!AA99</f>
        <v>0</v>
      </c>
      <c r="AB99" s="1100">
        <f>VLOOKUP(AB$1,'cost per tipologia de sòl'!$A$2:$D$37,4,FALSE)*'T50'!AB99</f>
        <v>0</v>
      </c>
      <c r="AC99" s="1100">
        <f>VLOOKUP(AC$1,'cost per tipologia de sòl'!$A$2:$D$37,4,FALSE)*'T50'!AC99</f>
        <v>7258429.3999999994</v>
      </c>
      <c r="AD99" s="1100">
        <f>VLOOKUP(AD$1,'cost per tipologia de sòl'!$A$2:$D$37,4,FALSE)*'T50'!AD99</f>
        <v>7852814.9499999993</v>
      </c>
      <c r="AE99" s="1100">
        <f>VLOOKUP(AE$1,'cost per tipologia de sòl'!$A$2:$D$37,4,FALSE)*'T50'!AE99</f>
        <v>0</v>
      </c>
      <c r="AF99" s="1100">
        <f>VLOOKUP(AF$1,'cost per tipologia de sòl'!$A$2:$D$37,4,FALSE)*'T50'!AF99</f>
        <v>0</v>
      </c>
      <c r="AG99" s="1100">
        <f>VLOOKUP(AG$1,'cost per tipologia de sòl'!$A$2:$D$37,4,FALSE)*'T50'!AG99</f>
        <v>0</v>
      </c>
      <c r="AH99" s="1100">
        <f>VLOOKUP(AH$1,'cost per tipologia de sòl'!$A$2:$D$37,4,FALSE)*'T50'!AH99</f>
        <v>0</v>
      </c>
      <c r="AI99" s="1100">
        <f>VLOOKUP(AI$1,'cost per tipologia de sòl'!$A$2:$D$37,4,FALSE)*'T50'!AI99</f>
        <v>0</v>
      </c>
      <c r="AJ99" s="1100">
        <f t="shared" si="2"/>
        <v>66279917.334999993</v>
      </c>
      <c r="AK99" s="1098">
        <f t="shared" si="3"/>
        <v>19.883975200499997</v>
      </c>
    </row>
    <row r="100" spans="1:37">
      <c r="A100" s="1099" t="s">
        <v>1366</v>
      </c>
      <c r="B100" s="1100">
        <f>VLOOKUP(B$1,'cost per tipologia de sòl'!$A$2:$D$37,4,FALSE)*'T50'!B100</f>
        <v>22958045.298</v>
      </c>
      <c r="C100" s="1100">
        <f>VLOOKUP(C$1,'cost per tipologia de sòl'!$A$2:$D$37,4,FALSE)*'T50'!C100</f>
        <v>0</v>
      </c>
      <c r="D100" s="1100">
        <f>VLOOKUP(D$1,'cost per tipologia de sòl'!$A$2:$D$37,4,FALSE)*'T50'!D100</f>
        <v>0</v>
      </c>
      <c r="E100" s="1100">
        <f>VLOOKUP(E$1,'cost per tipologia de sòl'!$A$2:$D$37,4,FALSE)*'T50'!E100</f>
        <v>0</v>
      </c>
      <c r="F100" s="1100">
        <f>VLOOKUP(F$1,'cost per tipologia de sòl'!$A$2:$D$37,4,FALSE)*'T50'!F100</f>
        <v>0</v>
      </c>
      <c r="G100" s="1100">
        <f>VLOOKUP(G$1,'cost per tipologia de sòl'!$A$2:$D$37,4,FALSE)*'T50'!G100</f>
        <v>0</v>
      </c>
      <c r="H100" s="1100">
        <f>VLOOKUP(H$1,'cost per tipologia de sòl'!$A$2:$D$37,4,FALSE)*'T50'!H100</f>
        <v>0</v>
      </c>
      <c r="I100" s="1100">
        <f>VLOOKUP(I$1,'cost per tipologia de sòl'!$A$2:$D$37,4,FALSE)*'T50'!I100</f>
        <v>0</v>
      </c>
      <c r="J100" s="1100">
        <f>VLOOKUP(J$1,'cost per tipologia de sòl'!$A$2:$D$37,4,FALSE)*'T50'!J100</f>
        <v>248325.55549999999</v>
      </c>
      <c r="K100" s="1100">
        <f>VLOOKUP(K$1,'cost per tipologia de sòl'!$A$2:$D$37,4,FALSE)*'T50'!K100</f>
        <v>0</v>
      </c>
      <c r="L100" s="1100">
        <f>VLOOKUP(L$1,'cost per tipologia de sòl'!$A$2:$D$37,4,FALSE)*'T50'!L100</f>
        <v>0</v>
      </c>
      <c r="M100" s="1100">
        <f>VLOOKUP(M$1,'cost per tipologia de sòl'!$A$2:$D$37,4,FALSE)*'T50'!M100</f>
        <v>0</v>
      </c>
      <c r="N100" s="1100">
        <f>VLOOKUP(N$1,'cost per tipologia de sòl'!$A$2:$D$37,4,FALSE)*'T50'!N100</f>
        <v>0</v>
      </c>
      <c r="O100" s="1100">
        <f>VLOOKUP(O$1,'cost per tipologia de sòl'!$A$2:$D$37,4,FALSE)*'T50'!O100</f>
        <v>0</v>
      </c>
      <c r="P100" s="1100">
        <f>VLOOKUP(P$1,'cost per tipologia de sòl'!$A$2:$D$37,4,FALSE)*'T50'!P100</f>
        <v>0</v>
      </c>
      <c r="Q100" s="1100">
        <f>VLOOKUP(Q$1,'cost per tipologia de sòl'!$A$2:$D$37,4,FALSE)*'T50'!Q100</f>
        <v>0</v>
      </c>
      <c r="R100" s="1100">
        <f>VLOOKUP(R$1,'cost per tipologia de sòl'!$A$2:$D$37,4,FALSE)*'T50'!R100</f>
        <v>0</v>
      </c>
      <c r="S100" s="1100">
        <f>VLOOKUP(S$1,'cost per tipologia de sòl'!$A$2:$D$37,4,FALSE)*'T50'!S100</f>
        <v>0</v>
      </c>
      <c r="T100" s="1100">
        <f>VLOOKUP(T$1,'cost per tipologia de sòl'!$A$2:$D$37,4,FALSE)*'T50'!T100</f>
        <v>4715782.8769999994</v>
      </c>
      <c r="U100" s="1100">
        <f>VLOOKUP(U$1,'cost per tipologia de sòl'!$A$2:$D$37,4,FALSE)*'T50'!U100</f>
        <v>0</v>
      </c>
      <c r="V100" s="1100">
        <f>VLOOKUP(V$1,'cost per tipologia de sòl'!$A$2:$D$37,4,FALSE)*'T50'!V100</f>
        <v>0</v>
      </c>
      <c r="W100" s="1100">
        <f>VLOOKUP(W$1,'cost per tipologia de sòl'!$A$2:$D$37,4,FALSE)*'T50'!W100</f>
        <v>0</v>
      </c>
      <c r="X100" s="1100">
        <f>VLOOKUP(X$1,'cost per tipologia de sòl'!$A$2:$D$37,4,FALSE)*'T50'!X100</f>
        <v>0</v>
      </c>
      <c r="Y100" s="1100">
        <f>VLOOKUP(Y$1,'cost per tipologia de sòl'!$A$2:$D$37,4,FALSE)*'T50'!Y100</f>
        <v>0</v>
      </c>
      <c r="Z100" s="1100">
        <f>VLOOKUP(Z$1,'cost per tipologia de sòl'!$A$2:$D$37,4,FALSE)*'T50'!Z100</f>
        <v>1226276.9180000001</v>
      </c>
      <c r="AA100" s="1100">
        <f>VLOOKUP(AA$1,'cost per tipologia de sòl'!$A$2:$D$37,4,FALSE)*'T50'!AA100</f>
        <v>0</v>
      </c>
      <c r="AB100" s="1100">
        <f>VLOOKUP(AB$1,'cost per tipologia de sòl'!$A$2:$D$37,4,FALSE)*'T50'!AB100</f>
        <v>622933.05000000005</v>
      </c>
      <c r="AC100" s="1100">
        <f>VLOOKUP(AC$1,'cost per tipologia de sòl'!$A$2:$D$37,4,FALSE)*'T50'!AC100</f>
        <v>4480445.0999999996</v>
      </c>
      <c r="AD100" s="1100">
        <f>VLOOKUP(AD$1,'cost per tipologia de sòl'!$A$2:$D$37,4,FALSE)*'T50'!AD100</f>
        <v>2628388.75</v>
      </c>
      <c r="AE100" s="1100">
        <f>VLOOKUP(AE$1,'cost per tipologia de sòl'!$A$2:$D$37,4,FALSE)*'T50'!AE100</f>
        <v>0</v>
      </c>
      <c r="AF100" s="1100">
        <f>VLOOKUP(AF$1,'cost per tipologia de sòl'!$A$2:$D$37,4,FALSE)*'T50'!AF100</f>
        <v>0</v>
      </c>
      <c r="AG100" s="1100">
        <f>VLOOKUP(AG$1,'cost per tipologia de sòl'!$A$2:$D$37,4,FALSE)*'T50'!AG100</f>
        <v>0</v>
      </c>
      <c r="AH100" s="1100">
        <f>VLOOKUP(AH$1,'cost per tipologia de sòl'!$A$2:$D$37,4,FALSE)*'T50'!AH100</f>
        <v>0</v>
      </c>
      <c r="AI100" s="1100">
        <f>VLOOKUP(AI$1,'cost per tipologia de sòl'!$A$2:$D$37,4,FALSE)*'T50'!AI100</f>
        <v>0</v>
      </c>
      <c r="AJ100" s="1100">
        <f t="shared" si="2"/>
        <v>36880197.548500001</v>
      </c>
      <c r="AK100" s="1098">
        <f t="shared" si="3"/>
        <v>11.06405926455</v>
      </c>
    </row>
    <row r="101" spans="1:37">
      <c r="A101" s="1099" t="s">
        <v>1383</v>
      </c>
      <c r="B101" s="1100">
        <f>VLOOKUP(B$1,'cost per tipologia de sòl'!$A$2:$D$37,4,FALSE)*'T50'!B101</f>
        <v>3533.616</v>
      </c>
      <c r="C101" s="1100">
        <f>VLOOKUP(C$1,'cost per tipologia de sòl'!$A$2:$D$37,4,FALSE)*'T50'!C101</f>
        <v>0</v>
      </c>
      <c r="D101" s="1100">
        <f>VLOOKUP(D$1,'cost per tipologia de sòl'!$A$2:$D$37,4,FALSE)*'T50'!D101</f>
        <v>0</v>
      </c>
      <c r="E101" s="1100">
        <f>VLOOKUP(E$1,'cost per tipologia de sòl'!$A$2:$D$37,4,FALSE)*'T50'!E101</f>
        <v>0</v>
      </c>
      <c r="F101" s="1100">
        <f>VLOOKUP(F$1,'cost per tipologia de sòl'!$A$2:$D$37,4,FALSE)*'T50'!F101</f>
        <v>0</v>
      </c>
      <c r="G101" s="1100">
        <f>VLOOKUP(G$1,'cost per tipologia de sòl'!$A$2:$D$37,4,FALSE)*'T50'!G101</f>
        <v>0</v>
      </c>
      <c r="H101" s="1100">
        <f>VLOOKUP(H$1,'cost per tipologia de sòl'!$A$2:$D$37,4,FALSE)*'T50'!H101</f>
        <v>0</v>
      </c>
      <c r="I101" s="1100">
        <f>VLOOKUP(I$1,'cost per tipologia de sòl'!$A$2:$D$37,4,FALSE)*'T50'!I101</f>
        <v>0</v>
      </c>
      <c r="J101" s="1100">
        <f>VLOOKUP(J$1,'cost per tipologia de sòl'!$A$2:$D$37,4,FALSE)*'T50'!J101</f>
        <v>0</v>
      </c>
      <c r="K101" s="1100">
        <f>VLOOKUP(K$1,'cost per tipologia de sòl'!$A$2:$D$37,4,FALSE)*'T50'!K101</f>
        <v>0</v>
      </c>
      <c r="L101" s="1100">
        <f>VLOOKUP(L$1,'cost per tipologia de sòl'!$A$2:$D$37,4,FALSE)*'T50'!L101</f>
        <v>0</v>
      </c>
      <c r="M101" s="1100">
        <f>VLOOKUP(M$1,'cost per tipologia de sòl'!$A$2:$D$37,4,FALSE)*'T50'!M101</f>
        <v>0</v>
      </c>
      <c r="N101" s="1100">
        <f>VLOOKUP(N$1,'cost per tipologia de sòl'!$A$2:$D$37,4,FALSE)*'T50'!N101</f>
        <v>0</v>
      </c>
      <c r="O101" s="1100">
        <f>VLOOKUP(O$1,'cost per tipologia de sòl'!$A$2:$D$37,4,FALSE)*'T50'!O101</f>
        <v>0</v>
      </c>
      <c r="P101" s="1100">
        <f>VLOOKUP(P$1,'cost per tipologia de sòl'!$A$2:$D$37,4,FALSE)*'T50'!P101</f>
        <v>0</v>
      </c>
      <c r="Q101" s="1100">
        <f>VLOOKUP(Q$1,'cost per tipologia de sòl'!$A$2:$D$37,4,FALSE)*'T50'!Q101</f>
        <v>0</v>
      </c>
      <c r="R101" s="1100">
        <f>VLOOKUP(R$1,'cost per tipologia de sòl'!$A$2:$D$37,4,FALSE)*'T50'!R101</f>
        <v>0</v>
      </c>
      <c r="S101" s="1100">
        <f>VLOOKUP(S$1,'cost per tipologia de sòl'!$A$2:$D$37,4,FALSE)*'T50'!S101</f>
        <v>426477.74400000001</v>
      </c>
      <c r="T101" s="1100">
        <f>VLOOKUP(T$1,'cost per tipologia de sòl'!$A$2:$D$37,4,FALSE)*'T50'!T101</f>
        <v>547913.80900000001</v>
      </c>
      <c r="U101" s="1100">
        <f>VLOOKUP(U$1,'cost per tipologia de sòl'!$A$2:$D$37,4,FALSE)*'T50'!U101</f>
        <v>0</v>
      </c>
      <c r="V101" s="1100">
        <f>VLOOKUP(V$1,'cost per tipologia de sòl'!$A$2:$D$37,4,FALSE)*'T50'!V101</f>
        <v>0</v>
      </c>
      <c r="W101" s="1100">
        <f>VLOOKUP(W$1,'cost per tipologia de sòl'!$A$2:$D$37,4,FALSE)*'T50'!W101</f>
        <v>0</v>
      </c>
      <c r="X101" s="1100">
        <f>VLOOKUP(X$1,'cost per tipologia de sòl'!$A$2:$D$37,4,FALSE)*'T50'!X101</f>
        <v>0</v>
      </c>
      <c r="Y101" s="1100">
        <f>VLOOKUP(Y$1,'cost per tipologia de sòl'!$A$2:$D$37,4,FALSE)*'T50'!Y101</f>
        <v>0</v>
      </c>
      <c r="Z101" s="1100">
        <f>VLOOKUP(Z$1,'cost per tipologia de sòl'!$A$2:$D$37,4,FALSE)*'T50'!Z101</f>
        <v>534.35199999999998</v>
      </c>
      <c r="AA101" s="1100">
        <f>VLOOKUP(AA$1,'cost per tipologia de sòl'!$A$2:$D$37,4,FALSE)*'T50'!AA101</f>
        <v>0</v>
      </c>
      <c r="AB101" s="1100">
        <f>VLOOKUP(AB$1,'cost per tipologia de sòl'!$A$2:$D$37,4,FALSE)*'T50'!AB101</f>
        <v>732543.10000000009</v>
      </c>
      <c r="AC101" s="1100">
        <f>VLOOKUP(AC$1,'cost per tipologia de sòl'!$A$2:$D$37,4,FALSE)*'T50'!AC101</f>
        <v>51010.25</v>
      </c>
      <c r="AD101" s="1100">
        <f>VLOOKUP(AD$1,'cost per tipologia de sòl'!$A$2:$D$37,4,FALSE)*'T50'!AD101</f>
        <v>10315331.799999999</v>
      </c>
      <c r="AE101" s="1100">
        <f>VLOOKUP(AE$1,'cost per tipologia de sòl'!$A$2:$D$37,4,FALSE)*'T50'!AE101</f>
        <v>0</v>
      </c>
      <c r="AF101" s="1100">
        <f>VLOOKUP(AF$1,'cost per tipologia de sòl'!$A$2:$D$37,4,FALSE)*'T50'!AF101</f>
        <v>0</v>
      </c>
      <c r="AG101" s="1100">
        <f>VLOOKUP(AG$1,'cost per tipologia de sòl'!$A$2:$D$37,4,FALSE)*'T50'!AG101</f>
        <v>0</v>
      </c>
      <c r="AH101" s="1100">
        <f>VLOOKUP(AH$1,'cost per tipologia de sòl'!$A$2:$D$37,4,FALSE)*'T50'!AH101</f>
        <v>0</v>
      </c>
      <c r="AI101" s="1100">
        <f>VLOOKUP(AI$1,'cost per tipologia de sòl'!$A$2:$D$37,4,FALSE)*'T50'!AI101</f>
        <v>0</v>
      </c>
      <c r="AJ101" s="1100">
        <f t="shared" si="2"/>
        <v>12077344.670999998</v>
      </c>
      <c r="AK101" s="1098">
        <f t="shared" si="3"/>
        <v>3.6232034012999992</v>
      </c>
    </row>
    <row r="102" spans="1:37">
      <c r="A102" s="1099" t="s">
        <v>1390</v>
      </c>
      <c r="B102" s="1100">
        <f>VLOOKUP(B$1,'cost per tipologia de sòl'!$A$2:$D$37,4,FALSE)*'T50'!B102</f>
        <v>4656565.5839999998</v>
      </c>
      <c r="C102" s="1100">
        <f>VLOOKUP(C$1,'cost per tipologia de sòl'!$A$2:$D$37,4,FALSE)*'T50'!C102</f>
        <v>0</v>
      </c>
      <c r="D102" s="1100">
        <f>VLOOKUP(D$1,'cost per tipologia de sòl'!$A$2:$D$37,4,FALSE)*'T50'!D102</f>
        <v>11624872.416000001</v>
      </c>
      <c r="E102" s="1100">
        <f>VLOOKUP(E$1,'cost per tipologia de sòl'!$A$2:$D$37,4,FALSE)*'T50'!E102</f>
        <v>0</v>
      </c>
      <c r="F102" s="1100">
        <f>VLOOKUP(F$1,'cost per tipologia de sòl'!$A$2:$D$37,4,FALSE)*'T50'!F102</f>
        <v>0</v>
      </c>
      <c r="G102" s="1100">
        <f>VLOOKUP(G$1,'cost per tipologia de sòl'!$A$2:$D$37,4,FALSE)*'T50'!G102</f>
        <v>0</v>
      </c>
      <c r="H102" s="1100">
        <f>VLOOKUP(H$1,'cost per tipologia de sòl'!$A$2:$D$37,4,FALSE)*'T50'!H102</f>
        <v>0</v>
      </c>
      <c r="I102" s="1100">
        <f>VLOOKUP(I$1,'cost per tipologia de sòl'!$A$2:$D$37,4,FALSE)*'T50'!I102</f>
        <v>0</v>
      </c>
      <c r="J102" s="1100">
        <f>VLOOKUP(J$1,'cost per tipologia de sòl'!$A$2:$D$37,4,FALSE)*'T50'!J102</f>
        <v>18090.556</v>
      </c>
      <c r="K102" s="1100">
        <f>VLOOKUP(K$1,'cost per tipologia de sòl'!$A$2:$D$37,4,FALSE)*'T50'!K102</f>
        <v>394941.07800000004</v>
      </c>
      <c r="L102" s="1100">
        <f>VLOOKUP(L$1,'cost per tipologia de sòl'!$A$2:$D$37,4,FALSE)*'T50'!L102</f>
        <v>0</v>
      </c>
      <c r="M102" s="1100">
        <f>VLOOKUP(M$1,'cost per tipologia de sòl'!$A$2:$D$37,4,FALSE)*'T50'!M102</f>
        <v>2035493.2319999998</v>
      </c>
      <c r="N102" s="1100">
        <f>VLOOKUP(N$1,'cost per tipologia de sòl'!$A$2:$D$37,4,FALSE)*'T50'!N102</f>
        <v>0</v>
      </c>
      <c r="O102" s="1100">
        <f>VLOOKUP(O$1,'cost per tipologia de sòl'!$A$2:$D$37,4,FALSE)*'T50'!O102</f>
        <v>473820.24800000002</v>
      </c>
      <c r="P102" s="1100">
        <f>VLOOKUP(P$1,'cost per tipologia de sòl'!$A$2:$D$37,4,FALSE)*'T50'!P102</f>
        <v>0</v>
      </c>
      <c r="Q102" s="1100">
        <f>VLOOKUP(Q$1,'cost per tipologia de sòl'!$A$2:$D$37,4,FALSE)*'T50'!Q102</f>
        <v>0</v>
      </c>
      <c r="R102" s="1100">
        <f>VLOOKUP(R$1,'cost per tipologia de sòl'!$A$2:$D$37,4,FALSE)*'T50'!R102</f>
        <v>0</v>
      </c>
      <c r="S102" s="1100">
        <f>VLOOKUP(S$1,'cost per tipologia de sòl'!$A$2:$D$37,4,FALSE)*'T50'!S102</f>
        <v>3142558.9439999997</v>
      </c>
      <c r="T102" s="1100">
        <f>VLOOKUP(T$1,'cost per tipologia de sòl'!$A$2:$D$37,4,FALSE)*'T50'!T102</f>
        <v>11321640.700999999</v>
      </c>
      <c r="U102" s="1100">
        <f>VLOOKUP(U$1,'cost per tipologia de sòl'!$A$2:$D$37,4,FALSE)*'T50'!U102</f>
        <v>0</v>
      </c>
      <c r="V102" s="1100">
        <f>VLOOKUP(V$1,'cost per tipologia de sòl'!$A$2:$D$37,4,FALSE)*'T50'!V102</f>
        <v>0</v>
      </c>
      <c r="W102" s="1100">
        <f>VLOOKUP(W$1,'cost per tipologia de sòl'!$A$2:$D$37,4,FALSE)*'T50'!W102</f>
        <v>0</v>
      </c>
      <c r="X102" s="1100">
        <f>VLOOKUP(X$1,'cost per tipologia de sòl'!$A$2:$D$37,4,FALSE)*'T50'!X102</f>
        <v>0</v>
      </c>
      <c r="Y102" s="1100">
        <f>VLOOKUP(Y$1,'cost per tipologia de sòl'!$A$2:$D$37,4,FALSE)*'T50'!Y102</f>
        <v>0</v>
      </c>
      <c r="Z102" s="1100">
        <f>VLOOKUP(Z$1,'cost per tipologia de sòl'!$A$2:$D$37,4,FALSE)*'T50'!Z102</f>
        <v>0</v>
      </c>
      <c r="AA102" s="1100">
        <f>VLOOKUP(AA$1,'cost per tipologia de sòl'!$A$2:$D$37,4,FALSE)*'T50'!AA102</f>
        <v>0</v>
      </c>
      <c r="AB102" s="1100">
        <f>VLOOKUP(AB$1,'cost per tipologia de sòl'!$A$2:$D$37,4,FALSE)*'T50'!AB102</f>
        <v>19095</v>
      </c>
      <c r="AC102" s="1100">
        <f>VLOOKUP(AC$1,'cost per tipologia de sòl'!$A$2:$D$37,4,FALSE)*'T50'!AC102</f>
        <v>5971301.9500000002</v>
      </c>
      <c r="AD102" s="1100">
        <f>VLOOKUP(AD$1,'cost per tipologia de sòl'!$A$2:$D$37,4,FALSE)*'T50'!AD102</f>
        <v>6676293.1500000004</v>
      </c>
      <c r="AE102" s="1100">
        <f>VLOOKUP(AE$1,'cost per tipologia de sòl'!$A$2:$D$37,4,FALSE)*'T50'!AE102</f>
        <v>0</v>
      </c>
      <c r="AF102" s="1100">
        <f>VLOOKUP(AF$1,'cost per tipologia de sòl'!$A$2:$D$37,4,FALSE)*'T50'!AF102</f>
        <v>0</v>
      </c>
      <c r="AG102" s="1100">
        <f>VLOOKUP(AG$1,'cost per tipologia de sòl'!$A$2:$D$37,4,FALSE)*'T50'!AG102</f>
        <v>0</v>
      </c>
      <c r="AH102" s="1100">
        <f>VLOOKUP(AH$1,'cost per tipologia de sòl'!$A$2:$D$37,4,FALSE)*'T50'!AH102</f>
        <v>0</v>
      </c>
      <c r="AI102" s="1100">
        <f>VLOOKUP(AI$1,'cost per tipologia de sòl'!$A$2:$D$37,4,FALSE)*'T50'!AI102</f>
        <v>0</v>
      </c>
      <c r="AJ102" s="1100">
        <f t="shared" si="2"/>
        <v>46334672.858999997</v>
      </c>
      <c r="AK102" s="1098">
        <f t="shared" si="3"/>
        <v>13.9004018577</v>
      </c>
    </row>
    <row r="103" spans="1:37">
      <c r="A103" s="1099" t="s">
        <v>1394</v>
      </c>
      <c r="B103" s="1100">
        <f>VLOOKUP(B$1,'cost per tipologia de sòl'!$A$2:$D$37,4,FALSE)*'T50'!B103</f>
        <v>5924028.9959999993</v>
      </c>
      <c r="C103" s="1100">
        <f>VLOOKUP(C$1,'cost per tipologia de sòl'!$A$2:$D$37,4,FALSE)*'T50'!C103</f>
        <v>0</v>
      </c>
      <c r="D103" s="1100">
        <f>VLOOKUP(D$1,'cost per tipologia de sòl'!$A$2:$D$37,4,FALSE)*'T50'!D103</f>
        <v>0</v>
      </c>
      <c r="E103" s="1100">
        <f>VLOOKUP(E$1,'cost per tipologia de sòl'!$A$2:$D$37,4,FALSE)*'T50'!E103</f>
        <v>0</v>
      </c>
      <c r="F103" s="1100">
        <f>VLOOKUP(F$1,'cost per tipologia de sòl'!$A$2:$D$37,4,FALSE)*'T50'!F103</f>
        <v>0</v>
      </c>
      <c r="G103" s="1100">
        <f>VLOOKUP(G$1,'cost per tipologia de sòl'!$A$2:$D$37,4,FALSE)*'T50'!G103</f>
        <v>0</v>
      </c>
      <c r="H103" s="1100">
        <f>VLOOKUP(H$1,'cost per tipologia de sòl'!$A$2:$D$37,4,FALSE)*'T50'!H103</f>
        <v>0</v>
      </c>
      <c r="I103" s="1100">
        <f>VLOOKUP(I$1,'cost per tipologia de sòl'!$A$2:$D$37,4,FALSE)*'T50'!I103</f>
        <v>0</v>
      </c>
      <c r="J103" s="1100">
        <f>VLOOKUP(J$1,'cost per tipologia de sòl'!$A$2:$D$37,4,FALSE)*'T50'!J103</f>
        <v>0</v>
      </c>
      <c r="K103" s="1100">
        <f>VLOOKUP(K$1,'cost per tipologia de sòl'!$A$2:$D$37,4,FALSE)*'T50'!K103</f>
        <v>0</v>
      </c>
      <c r="L103" s="1100">
        <f>VLOOKUP(L$1,'cost per tipologia de sòl'!$A$2:$D$37,4,FALSE)*'T50'!L103</f>
        <v>0</v>
      </c>
      <c r="M103" s="1100">
        <f>VLOOKUP(M$1,'cost per tipologia de sòl'!$A$2:$D$37,4,FALSE)*'T50'!M103</f>
        <v>0</v>
      </c>
      <c r="N103" s="1100">
        <f>VLOOKUP(N$1,'cost per tipologia de sòl'!$A$2:$D$37,4,FALSE)*'T50'!N103</f>
        <v>0</v>
      </c>
      <c r="O103" s="1100">
        <f>VLOOKUP(O$1,'cost per tipologia de sòl'!$A$2:$D$37,4,FALSE)*'T50'!O103</f>
        <v>0</v>
      </c>
      <c r="P103" s="1100">
        <f>VLOOKUP(P$1,'cost per tipologia de sòl'!$A$2:$D$37,4,FALSE)*'T50'!P103</f>
        <v>0</v>
      </c>
      <c r="Q103" s="1100">
        <f>VLOOKUP(Q$1,'cost per tipologia de sòl'!$A$2:$D$37,4,FALSE)*'T50'!Q103</f>
        <v>0</v>
      </c>
      <c r="R103" s="1100">
        <f>VLOOKUP(R$1,'cost per tipologia de sòl'!$A$2:$D$37,4,FALSE)*'T50'!R103</f>
        <v>0</v>
      </c>
      <c r="S103" s="1100">
        <f>VLOOKUP(S$1,'cost per tipologia de sòl'!$A$2:$D$37,4,FALSE)*'T50'!S103</f>
        <v>6075.2159999999994</v>
      </c>
      <c r="T103" s="1100">
        <f>VLOOKUP(T$1,'cost per tipologia de sòl'!$A$2:$D$37,4,FALSE)*'T50'!T103</f>
        <v>2905503.1269999999</v>
      </c>
      <c r="U103" s="1100">
        <f>VLOOKUP(U$1,'cost per tipologia de sòl'!$A$2:$D$37,4,FALSE)*'T50'!U103</f>
        <v>1709930.25</v>
      </c>
      <c r="V103" s="1100">
        <f>VLOOKUP(V$1,'cost per tipologia de sòl'!$A$2:$D$37,4,FALSE)*'T50'!V103</f>
        <v>0</v>
      </c>
      <c r="W103" s="1100">
        <f>VLOOKUP(W$1,'cost per tipologia de sòl'!$A$2:$D$37,4,FALSE)*'T50'!W103</f>
        <v>0</v>
      </c>
      <c r="X103" s="1100">
        <f>VLOOKUP(X$1,'cost per tipologia de sòl'!$A$2:$D$37,4,FALSE)*'T50'!X103</f>
        <v>0</v>
      </c>
      <c r="Y103" s="1100">
        <f>VLOOKUP(Y$1,'cost per tipologia de sòl'!$A$2:$D$37,4,FALSE)*'T50'!Y103</f>
        <v>0</v>
      </c>
      <c r="Z103" s="1100">
        <f>VLOOKUP(Z$1,'cost per tipologia de sòl'!$A$2:$D$37,4,FALSE)*'T50'!Z103</f>
        <v>67065.58</v>
      </c>
      <c r="AA103" s="1100">
        <f>VLOOKUP(AA$1,'cost per tipologia de sòl'!$A$2:$D$37,4,FALSE)*'T50'!AA103</f>
        <v>205268.4</v>
      </c>
      <c r="AB103" s="1100">
        <f>VLOOKUP(AB$1,'cost per tipologia de sòl'!$A$2:$D$37,4,FALSE)*'T50'!AB103</f>
        <v>183818.35</v>
      </c>
      <c r="AC103" s="1100">
        <f>VLOOKUP(AC$1,'cost per tipologia de sòl'!$A$2:$D$37,4,FALSE)*'T50'!AC103</f>
        <v>4042865.6</v>
      </c>
      <c r="AD103" s="1100">
        <f>VLOOKUP(AD$1,'cost per tipologia de sòl'!$A$2:$D$37,4,FALSE)*'T50'!AD103</f>
        <v>27621241.449999999</v>
      </c>
      <c r="AE103" s="1100">
        <f>VLOOKUP(AE$1,'cost per tipologia de sòl'!$A$2:$D$37,4,FALSE)*'T50'!AE103</f>
        <v>0</v>
      </c>
      <c r="AF103" s="1100">
        <f>VLOOKUP(AF$1,'cost per tipologia de sòl'!$A$2:$D$37,4,FALSE)*'T50'!AF103</f>
        <v>0</v>
      </c>
      <c r="AG103" s="1100">
        <f>VLOOKUP(AG$1,'cost per tipologia de sòl'!$A$2:$D$37,4,FALSE)*'T50'!AG103</f>
        <v>0</v>
      </c>
      <c r="AH103" s="1100">
        <f>VLOOKUP(AH$1,'cost per tipologia de sòl'!$A$2:$D$37,4,FALSE)*'T50'!AH103</f>
        <v>0</v>
      </c>
      <c r="AI103" s="1100">
        <f>VLOOKUP(AI$1,'cost per tipologia de sòl'!$A$2:$D$37,4,FALSE)*'T50'!AI103</f>
        <v>0</v>
      </c>
      <c r="AJ103" s="1100">
        <f t="shared" si="2"/>
        <v>42665796.968999997</v>
      </c>
      <c r="AK103" s="1098">
        <f t="shared" si="3"/>
        <v>12.799739090699999</v>
      </c>
    </row>
    <row r="104" spans="1:37">
      <c r="A104" s="1099" t="s">
        <v>947</v>
      </c>
      <c r="B104" s="1100">
        <f>VLOOKUP(B$1,'cost per tipologia de sòl'!$A$2:$D$37,4,FALSE)*'T50'!B104</f>
        <v>54119.466</v>
      </c>
      <c r="C104" s="1100">
        <f>VLOOKUP(C$1,'cost per tipologia de sòl'!$A$2:$D$37,4,FALSE)*'T50'!C104</f>
        <v>0</v>
      </c>
      <c r="D104" s="1100">
        <f>VLOOKUP(D$1,'cost per tipologia de sòl'!$A$2:$D$37,4,FALSE)*'T50'!D104</f>
        <v>171297.58800000002</v>
      </c>
      <c r="E104" s="1100">
        <f>VLOOKUP(E$1,'cost per tipologia de sòl'!$A$2:$D$37,4,FALSE)*'T50'!E104</f>
        <v>0</v>
      </c>
      <c r="F104" s="1100">
        <f>VLOOKUP(F$1,'cost per tipologia de sòl'!$A$2:$D$37,4,FALSE)*'T50'!F104</f>
        <v>0</v>
      </c>
      <c r="G104" s="1100">
        <f>VLOOKUP(G$1,'cost per tipologia de sòl'!$A$2:$D$37,4,FALSE)*'T50'!G104</f>
        <v>0</v>
      </c>
      <c r="H104" s="1100">
        <f>VLOOKUP(H$1,'cost per tipologia de sòl'!$A$2:$D$37,4,FALSE)*'T50'!H104</f>
        <v>0</v>
      </c>
      <c r="I104" s="1100">
        <f>VLOOKUP(I$1,'cost per tipologia de sòl'!$A$2:$D$37,4,FALSE)*'T50'!I104</f>
        <v>0</v>
      </c>
      <c r="J104" s="1100">
        <f>VLOOKUP(J$1,'cost per tipologia de sòl'!$A$2:$D$37,4,FALSE)*'T50'!J104</f>
        <v>0</v>
      </c>
      <c r="K104" s="1100">
        <f>VLOOKUP(K$1,'cost per tipologia de sòl'!$A$2:$D$37,4,FALSE)*'T50'!K104</f>
        <v>0</v>
      </c>
      <c r="L104" s="1100">
        <f>VLOOKUP(L$1,'cost per tipologia de sòl'!$A$2:$D$37,4,FALSE)*'T50'!L104</f>
        <v>0</v>
      </c>
      <c r="M104" s="1100">
        <f>VLOOKUP(M$1,'cost per tipologia de sòl'!$A$2:$D$37,4,FALSE)*'T50'!M104</f>
        <v>0</v>
      </c>
      <c r="N104" s="1100">
        <f>VLOOKUP(N$1,'cost per tipologia de sòl'!$A$2:$D$37,4,FALSE)*'T50'!N104</f>
        <v>0</v>
      </c>
      <c r="O104" s="1100">
        <f>VLOOKUP(O$1,'cost per tipologia de sòl'!$A$2:$D$37,4,FALSE)*'T50'!O104</f>
        <v>0</v>
      </c>
      <c r="P104" s="1100">
        <f>VLOOKUP(P$1,'cost per tipologia de sòl'!$A$2:$D$37,4,FALSE)*'T50'!P104</f>
        <v>0</v>
      </c>
      <c r="Q104" s="1100">
        <f>VLOOKUP(Q$1,'cost per tipologia de sòl'!$A$2:$D$37,4,FALSE)*'T50'!Q104</f>
        <v>2356101</v>
      </c>
      <c r="R104" s="1100">
        <f>VLOOKUP(R$1,'cost per tipologia de sòl'!$A$2:$D$37,4,FALSE)*'T50'!R104</f>
        <v>0</v>
      </c>
      <c r="S104" s="1100">
        <f>VLOOKUP(S$1,'cost per tipologia de sòl'!$A$2:$D$37,4,FALSE)*'T50'!S104</f>
        <v>1278817.344</v>
      </c>
      <c r="T104" s="1100">
        <f>VLOOKUP(T$1,'cost per tipologia de sòl'!$A$2:$D$37,4,FALSE)*'T50'!T104</f>
        <v>55610888.737999998</v>
      </c>
      <c r="U104" s="1100">
        <f>VLOOKUP(U$1,'cost per tipologia de sòl'!$A$2:$D$37,4,FALSE)*'T50'!U104</f>
        <v>0</v>
      </c>
      <c r="V104" s="1100">
        <f>VLOOKUP(V$1,'cost per tipologia de sòl'!$A$2:$D$37,4,FALSE)*'T50'!V104</f>
        <v>0</v>
      </c>
      <c r="W104" s="1100">
        <f>VLOOKUP(W$1,'cost per tipologia de sòl'!$A$2:$D$37,4,FALSE)*'T50'!W104</f>
        <v>0</v>
      </c>
      <c r="X104" s="1100">
        <f>VLOOKUP(X$1,'cost per tipologia de sòl'!$A$2:$D$37,4,FALSE)*'T50'!X104</f>
        <v>0</v>
      </c>
      <c r="Y104" s="1100">
        <f>VLOOKUP(Y$1,'cost per tipologia de sòl'!$A$2:$D$37,4,FALSE)*'T50'!Y104</f>
        <v>0</v>
      </c>
      <c r="Z104" s="1100">
        <f>VLOOKUP(Z$1,'cost per tipologia de sòl'!$A$2:$D$37,4,FALSE)*'T50'!Z104</f>
        <v>4375496.5780000007</v>
      </c>
      <c r="AA104" s="1100">
        <f>VLOOKUP(AA$1,'cost per tipologia de sòl'!$A$2:$D$37,4,FALSE)*'T50'!AA104</f>
        <v>0</v>
      </c>
      <c r="AB104" s="1100">
        <f>VLOOKUP(AB$1,'cost per tipologia de sòl'!$A$2:$D$37,4,FALSE)*'T50'!AB104</f>
        <v>18598163.300000001</v>
      </c>
      <c r="AC104" s="1100">
        <f>VLOOKUP(AC$1,'cost per tipologia de sòl'!$A$2:$D$37,4,FALSE)*'T50'!AC104</f>
        <v>1708512.2999999998</v>
      </c>
      <c r="AD104" s="1100">
        <f>VLOOKUP(AD$1,'cost per tipologia de sòl'!$A$2:$D$37,4,FALSE)*'T50'!AD104</f>
        <v>11762275.85</v>
      </c>
      <c r="AE104" s="1100">
        <f>VLOOKUP(AE$1,'cost per tipologia de sòl'!$A$2:$D$37,4,FALSE)*'T50'!AE104</f>
        <v>0</v>
      </c>
      <c r="AF104" s="1100">
        <f>VLOOKUP(AF$1,'cost per tipologia de sòl'!$A$2:$D$37,4,FALSE)*'T50'!AF104</f>
        <v>0</v>
      </c>
      <c r="AG104" s="1100">
        <f>VLOOKUP(AG$1,'cost per tipologia de sòl'!$A$2:$D$37,4,FALSE)*'T50'!AG104</f>
        <v>0</v>
      </c>
      <c r="AH104" s="1100">
        <f>VLOOKUP(AH$1,'cost per tipologia de sòl'!$A$2:$D$37,4,FALSE)*'T50'!AH104</f>
        <v>0</v>
      </c>
      <c r="AI104" s="1100">
        <f>VLOOKUP(AI$1,'cost per tipologia de sòl'!$A$2:$D$37,4,FALSE)*'T50'!AI104</f>
        <v>0</v>
      </c>
      <c r="AJ104" s="1100">
        <f t="shared" si="2"/>
        <v>95915672.16399999</v>
      </c>
      <c r="AK104" s="1098">
        <f t="shared" si="3"/>
        <v>28.774701649199997</v>
      </c>
    </row>
    <row r="105" spans="1:37">
      <c r="A105" s="1099" t="s">
        <v>1416</v>
      </c>
      <c r="B105" s="1100">
        <f>VLOOKUP(B$1,'cost per tipologia de sòl'!$A$2:$D$37,4,FALSE)*'T50'!B105</f>
        <v>61929608.328000002</v>
      </c>
      <c r="C105" s="1100">
        <f>VLOOKUP(C$1,'cost per tipologia de sòl'!$A$2:$D$37,4,FALSE)*'T50'!C105</f>
        <v>0</v>
      </c>
      <c r="D105" s="1100">
        <f>VLOOKUP(D$1,'cost per tipologia de sòl'!$A$2:$D$37,4,FALSE)*'T50'!D105</f>
        <v>0</v>
      </c>
      <c r="E105" s="1100">
        <f>VLOOKUP(E$1,'cost per tipologia de sòl'!$A$2:$D$37,4,FALSE)*'T50'!E105</f>
        <v>0</v>
      </c>
      <c r="F105" s="1100">
        <f>VLOOKUP(F$1,'cost per tipologia de sòl'!$A$2:$D$37,4,FALSE)*'T50'!F105</f>
        <v>0</v>
      </c>
      <c r="G105" s="1100">
        <f>VLOOKUP(G$1,'cost per tipologia de sòl'!$A$2:$D$37,4,FALSE)*'T50'!G105</f>
        <v>0</v>
      </c>
      <c r="H105" s="1100">
        <f>VLOOKUP(H$1,'cost per tipologia de sòl'!$A$2:$D$37,4,FALSE)*'T50'!H105</f>
        <v>0</v>
      </c>
      <c r="I105" s="1100">
        <f>VLOOKUP(I$1,'cost per tipologia de sòl'!$A$2:$D$37,4,FALSE)*'T50'!I105</f>
        <v>0</v>
      </c>
      <c r="J105" s="1100">
        <f>VLOOKUP(J$1,'cost per tipologia de sòl'!$A$2:$D$37,4,FALSE)*'T50'!J105</f>
        <v>2512701.466</v>
      </c>
      <c r="K105" s="1100">
        <f>VLOOKUP(K$1,'cost per tipologia de sòl'!$A$2:$D$37,4,FALSE)*'T50'!K105</f>
        <v>0</v>
      </c>
      <c r="L105" s="1100">
        <f>VLOOKUP(L$1,'cost per tipologia de sòl'!$A$2:$D$37,4,FALSE)*'T50'!L105</f>
        <v>0</v>
      </c>
      <c r="M105" s="1100">
        <f>VLOOKUP(M$1,'cost per tipologia de sòl'!$A$2:$D$37,4,FALSE)*'T50'!M105</f>
        <v>3697657.64</v>
      </c>
      <c r="N105" s="1100">
        <f>VLOOKUP(N$1,'cost per tipologia de sòl'!$A$2:$D$37,4,FALSE)*'T50'!N105</f>
        <v>738647.66399999999</v>
      </c>
      <c r="O105" s="1100">
        <f>VLOOKUP(O$1,'cost per tipologia de sòl'!$A$2:$D$37,4,FALSE)*'T50'!O105</f>
        <v>0</v>
      </c>
      <c r="P105" s="1100">
        <f>VLOOKUP(P$1,'cost per tipologia de sòl'!$A$2:$D$37,4,FALSE)*'T50'!P105</f>
        <v>0</v>
      </c>
      <c r="Q105" s="1100">
        <f>VLOOKUP(Q$1,'cost per tipologia de sòl'!$A$2:$D$37,4,FALSE)*'T50'!Q105</f>
        <v>0</v>
      </c>
      <c r="R105" s="1100">
        <f>VLOOKUP(R$1,'cost per tipologia de sòl'!$A$2:$D$37,4,FALSE)*'T50'!R105</f>
        <v>0</v>
      </c>
      <c r="S105" s="1100">
        <f>VLOOKUP(S$1,'cost per tipologia de sòl'!$A$2:$D$37,4,FALSE)*'T50'!S105</f>
        <v>21746986.127999999</v>
      </c>
      <c r="T105" s="1100">
        <f>VLOOKUP(T$1,'cost per tipologia de sòl'!$A$2:$D$37,4,FALSE)*'T50'!T105</f>
        <v>18057445.388</v>
      </c>
      <c r="U105" s="1100">
        <f>VLOOKUP(U$1,'cost per tipologia de sòl'!$A$2:$D$37,4,FALSE)*'T50'!U105</f>
        <v>0</v>
      </c>
      <c r="V105" s="1100">
        <f>VLOOKUP(V$1,'cost per tipologia de sòl'!$A$2:$D$37,4,FALSE)*'T50'!V105</f>
        <v>234665.62399999998</v>
      </c>
      <c r="W105" s="1100">
        <f>VLOOKUP(W$1,'cost per tipologia de sòl'!$A$2:$D$37,4,FALSE)*'T50'!W105</f>
        <v>0</v>
      </c>
      <c r="X105" s="1100">
        <f>VLOOKUP(X$1,'cost per tipologia de sòl'!$A$2:$D$37,4,FALSE)*'T50'!X105</f>
        <v>0</v>
      </c>
      <c r="Y105" s="1100">
        <f>VLOOKUP(Y$1,'cost per tipologia de sòl'!$A$2:$D$37,4,FALSE)*'T50'!Y105</f>
        <v>0</v>
      </c>
      <c r="Z105" s="1100">
        <f>VLOOKUP(Z$1,'cost per tipologia de sòl'!$A$2:$D$37,4,FALSE)*'T50'!Z105</f>
        <v>0</v>
      </c>
      <c r="AA105" s="1100">
        <f>VLOOKUP(AA$1,'cost per tipologia de sòl'!$A$2:$D$37,4,FALSE)*'T50'!AA105</f>
        <v>0</v>
      </c>
      <c r="AB105" s="1100">
        <f>VLOOKUP(AB$1,'cost per tipologia de sòl'!$A$2:$D$37,4,FALSE)*'T50'!AB105</f>
        <v>1666333.25</v>
      </c>
      <c r="AC105" s="1100">
        <f>VLOOKUP(AC$1,'cost per tipologia de sòl'!$A$2:$D$37,4,FALSE)*'T50'!AC105</f>
        <v>8137809.25</v>
      </c>
      <c r="AD105" s="1100">
        <f>VLOOKUP(AD$1,'cost per tipologia de sòl'!$A$2:$D$37,4,FALSE)*'T50'!AD105</f>
        <v>15485190</v>
      </c>
      <c r="AE105" s="1100">
        <f>VLOOKUP(AE$1,'cost per tipologia de sòl'!$A$2:$D$37,4,FALSE)*'T50'!AE105</f>
        <v>0</v>
      </c>
      <c r="AF105" s="1100">
        <f>VLOOKUP(AF$1,'cost per tipologia de sòl'!$A$2:$D$37,4,FALSE)*'T50'!AF105</f>
        <v>0</v>
      </c>
      <c r="AG105" s="1100">
        <f>VLOOKUP(AG$1,'cost per tipologia de sòl'!$A$2:$D$37,4,FALSE)*'T50'!AG105</f>
        <v>0</v>
      </c>
      <c r="AH105" s="1100">
        <f>VLOOKUP(AH$1,'cost per tipologia de sòl'!$A$2:$D$37,4,FALSE)*'T50'!AH105</f>
        <v>0</v>
      </c>
      <c r="AI105" s="1100">
        <f>VLOOKUP(AI$1,'cost per tipologia de sòl'!$A$2:$D$37,4,FALSE)*'T50'!AI105</f>
        <v>0</v>
      </c>
      <c r="AJ105" s="1100">
        <f t="shared" si="2"/>
        <v>134207044.73800001</v>
      </c>
      <c r="AK105" s="1098">
        <f t="shared" si="3"/>
        <v>40.262113421400002</v>
      </c>
    </row>
    <row r="106" spans="1:37">
      <c r="A106" s="1099" t="s">
        <v>350</v>
      </c>
      <c r="B106" s="1100">
        <f>VLOOKUP(B$1,'cost per tipologia de sòl'!$A$2:$D$37,4,FALSE)*'T50'!B106</f>
        <v>0</v>
      </c>
      <c r="C106" s="1100">
        <f>VLOOKUP(C$1,'cost per tipologia de sòl'!$A$2:$D$37,4,FALSE)*'T50'!C106</f>
        <v>0</v>
      </c>
      <c r="D106" s="1100">
        <f>VLOOKUP(D$1,'cost per tipologia de sòl'!$A$2:$D$37,4,FALSE)*'T50'!D106</f>
        <v>0</v>
      </c>
      <c r="E106" s="1100">
        <f>VLOOKUP(E$1,'cost per tipologia de sòl'!$A$2:$D$37,4,FALSE)*'T50'!E106</f>
        <v>0</v>
      </c>
      <c r="F106" s="1100">
        <f>VLOOKUP(F$1,'cost per tipologia de sòl'!$A$2:$D$37,4,FALSE)*'T50'!F106</f>
        <v>0</v>
      </c>
      <c r="G106" s="1100">
        <f>VLOOKUP(G$1,'cost per tipologia de sòl'!$A$2:$D$37,4,FALSE)*'T50'!G106</f>
        <v>0</v>
      </c>
      <c r="H106" s="1100">
        <f>VLOOKUP(H$1,'cost per tipologia de sòl'!$A$2:$D$37,4,FALSE)*'T50'!H106</f>
        <v>0</v>
      </c>
      <c r="I106" s="1100">
        <f>VLOOKUP(I$1,'cost per tipologia de sòl'!$A$2:$D$37,4,FALSE)*'T50'!I106</f>
        <v>0</v>
      </c>
      <c r="J106" s="1100">
        <f>VLOOKUP(J$1,'cost per tipologia de sòl'!$A$2:$D$37,4,FALSE)*'T50'!J106</f>
        <v>0</v>
      </c>
      <c r="K106" s="1100">
        <f>VLOOKUP(K$1,'cost per tipologia de sòl'!$A$2:$D$37,4,FALSE)*'T50'!K106</f>
        <v>0</v>
      </c>
      <c r="L106" s="1100">
        <f>VLOOKUP(L$1,'cost per tipologia de sòl'!$A$2:$D$37,4,FALSE)*'T50'!L106</f>
        <v>0</v>
      </c>
      <c r="M106" s="1100">
        <f>VLOOKUP(M$1,'cost per tipologia de sòl'!$A$2:$D$37,4,FALSE)*'T50'!M106</f>
        <v>0</v>
      </c>
      <c r="N106" s="1100">
        <f>VLOOKUP(N$1,'cost per tipologia de sòl'!$A$2:$D$37,4,FALSE)*'T50'!N106</f>
        <v>7727125.0080000004</v>
      </c>
      <c r="O106" s="1100">
        <f>VLOOKUP(O$1,'cost per tipologia de sòl'!$A$2:$D$37,4,FALSE)*'T50'!O106</f>
        <v>0</v>
      </c>
      <c r="P106" s="1100">
        <f>VLOOKUP(P$1,'cost per tipologia de sòl'!$A$2:$D$37,4,FALSE)*'T50'!P106</f>
        <v>15269493.495999999</v>
      </c>
      <c r="Q106" s="1100">
        <f>VLOOKUP(Q$1,'cost per tipologia de sòl'!$A$2:$D$37,4,FALSE)*'T50'!Q106</f>
        <v>0</v>
      </c>
      <c r="R106" s="1100">
        <f>VLOOKUP(R$1,'cost per tipologia de sòl'!$A$2:$D$37,4,FALSE)*'T50'!R106</f>
        <v>0</v>
      </c>
      <c r="S106" s="1100">
        <f>VLOOKUP(S$1,'cost per tipologia de sòl'!$A$2:$D$37,4,FALSE)*'T50'!S106</f>
        <v>37217505.024000004</v>
      </c>
      <c r="T106" s="1100">
        <f>VLOOKUP(T$1,'cost per tipologia de sòl'!$A$2:$D$37,4,FALSE)*'T50'!T106</f>
        <v>9599256.9539999999</v>
      </c>
      <c r="U106" s="1100">
        <f>VLOOKUP(U$1,'cost per tipologia de sòl'!$A$2:$D$37,4,FALSE)*'T50'!U106</f>
        <v>2903636.4000000004</v>
      </c>
      <c r="V106" s="1100">
        <f>VLOOKUP(V$1,'cost per tipologia de sòl'!$A$2:$D$37,4,FALSE)*'T50'!V106</f>
        <v>0</v>
      </c>
      <c r="W106" s="1100">
        <f>VLOOKUP(W$1,'cost per tipologia de sòl'!$A$2:$D$37,4,FALSE)*'T50'!W106</f>
        <v>0</v>
      </c>
      <c r="X106" s="1100">
        <f>VLOOKUP(X$1,'cost per tipologia de sòl'!$A$2:$D$37,4,FALSE)*'T50'!X106</f>
        <v>0</v>
      </c>
      <c r="Y106" s="1100">
        <f>VLOOKUP(Y$1,'cost per tipologia de sòl'!$A$2:$D$37,4,FALSE)*'T50'!Y106</f>
        <v>0</v>
      </c>
      <c r="Z106" s="1100">
        <f>VLOOKUP(Z$1,'cost per tipologia de sòl'!$A$2:$D$37,4,FALSE)*'T50'!Z106</f>
        <v>0</v>
      </c>
      <c r="AA106" s="1100">
        <f>VLOOKUP(AA$1,'cost per tipologia de sòl'!$A$2:$D$37,4,FALSE)*'T50'!AA106</f>
        <v>0</v>
      </c>
      <c r="AB106" s="1100">
        <f>VLOOKUP(AB$1,'cost per tipologia de sòl'!$A$2:$D$37,4,FALSE)*'T50'!AB106</f>
        <v>4759790.7</v>
      </c>
      <c r="AC106" s="1100">
        <f>VLOOKUP(AC$1,'cost per tipologia de sòl'!$A$2:$D$37,4,FALSE)*'T50'!AC106</f>
        <v>24519735.599999998</v>
      </c>
      <c r="AD106" s="1100">
        <f>VLOOKUP(AD$1,'cost per tipologia de sòl'!$A$2:$D$37,4,FALSE)*'T50'!AD106</f>
        <v>64597513.849999994</v>
      </c>
      <c r="AE106" s="1100">
        <f>VLOOKUP(AE$1,'cost per tipologia de sòl'!$A$2:$D$37,4,FALSE)*'T50'!AE106</f>
        <v>0</v>
      </c>
      <c r="AF106" s="1100">
        <f>VLOOKUP(AF$1,'cost per tipologia de sòl'!$A$2:$D$37,4,FALSE)*'T50'!AF106</f>
        <v>0</v>
      </c>
      <c r="AG106" s="1100">
        <f>VLOOKUP(AG$1,'cost per tipologia de sòl'!$A$2:$D$37,4,FALSE)*'T50'!AG106</f>
        <v>0</v>
      </c>
      <c r="AH106" s="1100">
        <f>VLOOKUP(AH$1,'cost per tipologia de sòl'!$A$2:$D$37,4,FALSE)*'T50'!AH106</f>
        <v>0</v>
      </c>
      <c r="AI106" s="1100">
        <f>VLOOKUP(AI$1,'cost per tipologia de sòl'!$A$2:$D$37,4,FALSE)*'T50'!AI106</f>
        <v>0</v>
      </c>
      <c r="AJ106" s="1100">
        <f t="shared" si="2"/>
        <v>166594057.03200001</v>
      </c>
      <c r="AK106" s="1098">
        <f t="shared" si="3"/>
        <v>49.978217109600003</v>
      </c>
    </row>
    <row r="107" spans="1:37">
      <c r="A107" s="1099" t="s">
        <v>1426</v>
      </c>
      <c r="B107" s="1100">
        <f>VLOOKUP(B$1,'cost per tipologia de sòl'!$A$2:$D$37,4,FALSE)*'T50'!B107</f>
        <v>28175979.780000001</v>
      </c>
      <c r="C107" s="1100">
        <f>VLOOKUP(C$1,'cost per tipologia de sòl'!$A$2:$D$37,4,FALSE)*'T50'!C107</f>
        <v>0</v>
      </c>
      <c r="D107" s="1100">
        <f>VLOOKUP(D$1,'cost per tipologia de sòl'!$A$2:$D$37,4,FALSE)*'T50'!D107</f>
        <v>34981.271999999997</v>
      </c>
      <c r="E107" s="1100">
        <f>VLOOKUP(E$1,'cost per tipologia de sòl'!$A$2:$D$37,4,FALSE)*'T50'!E107</f>
        <v>0</v>
      </c>
      <c r="F107" s="1100">
        <f>VLOOKUP(F$1,'cost per tipologia de sòl'!$A$2:$D$37,4,FALSE)*'T50'!F107</f>
        <v>0</v>
      </c>
      <c r="G107" s="1100">
        <f>VLOOKUP(G$1,'cost per tipologia de sòl'!$A$2:$D$37,4,FALSE)*'T50'!G107</f>
        <v>0</v>
      </c>
      <c r="H107" s="1100">
        <f>VLOOKUP(H$1,'cost per tipologia de sòl'!$A$2:$D$37,4,FALSE)*'T50'!H107</f>
        <v>0</v>
      </c>
      <c r="I107" s="1100">
        <f>VLOOKUP(I$1,'cost per tipologia de sòl'!$A$2:$D$37,4,FALSE)*'T50'!I107</f>
        <v>0</v>
      </c>
      <c r="J107" s="1100">
        <f>VLOOKUP(J$1,'cost per tipologia de sòl'!$A$2:$D$37,4,FALSE)*'T50'!J107</f>
        <v>0</v>
      </c>
      <c r="K107" s="1100">
        <f>VLOOKUP(K$1,'cost per tipologia de sòl'!$A$2:$D$37,4,FALSE)*'T50'!K107</f>
        <v>0</v>
      </c>
      <c r="L107" s="1100">
        <f>VLOOKUP(L$1,'cost per tipologia de sòl'!$A$2:$D$37,4,FALSE)*'T50'!L107</f>
        <v>0</v>
      </c>
      <c r="M107" s="1100">
        <f>VLOOKUP(M$1,'cost per tipologia de sòl'!$A$2:$D$37,4,FALSE)*'T50'!M107</f>
        <v>0</v>
      </c>
      <c r="N107" s="1100">
        <f>VLOOKUP(N$1,'cost per tipologia de sòl'!$A$2:$D$37,4,FALSE)*'T50'!N107</f>
        <v>0</v>
      </c>
      <c r="O107" s="1100">
        <f>VLOOKUP(O$1,'cost per tipologia de sòl'!$A$2:$D$37,4,FALSE)*'T50'!O107</f>
        <v>0</v>
      </c>
      <c r="P107" s="1100">
        <f>VLOOKUP(P$1,'cost per tipologia de sòl'!$A$2:$D$37,4,FALSE)*'T50'!P107</f>
        <v>0</v>
      </c>
      <c r="Q107" s="1100">
        <f>VLOOKUP(Q$1,'cost per tipologia de sòl'!$A$2:$D$37,4,FALSE)*'T50'!Q107</f>
        <v>0</v>
      </c>
      <c r="R107" s="1100">
        <f>VLOOKUP(R$1,'cost per tipologia de sòl'!$A$2:$D$37,4,FALSE)*'T50'!R107</f>
        <v>0</v>
      </c>
      <c r="S107" s="1100">
        <f>VLOOKUP(S$1,'cost per tipologia de sòl'!$A$2:$D$37,4,FALSE)*'T50'!S107</f>
        <v>0</v>
      </c>
      <c r="T107" s="1100">
        <f>VLOOKUP(T$1,'cost per tipologia de sòl'!$A$2:$D$37,4,FALSE)*'T50'!T107</f>
        <v>10073582.432</v>
      </c>
      <c r="U107" s="1100">
        <f>VLOOKUP(U$1,'cost per tipologia de sòl'!$A$2:$D$37,4,FALSE)*'T50'!U107</f>
        <v>0</v>
      </c>
      <c r="V107" s="1100">
        <f>VLOOKUP(V$1,'cost per tipologia de sòl'!$A$2:$D$37,4,FALSE)*'T50'!V107</f>
        <v>0</v>
      </c>
      <c r="W107" s="1100">
        <f>VLOOKUP(W$1,'cost per tipologia de sòl'!$A$2:$D$37,4,FALSE)*'T50'!W107</f>
        <v>0</v>
      </c>
      <c r="X107" s="1100">
        <f>VLOOKUP(X$1,'cost per tipologia de sòl'!$A$2:$D$37,4,FALSE)*'T50'!X107</f>
        <v>0</v>
      </c>
      <c r="Y107" s="1100">
        <f>VLOOKUP(Y$1,'cost per tipologia de sòl'!$A$2:$D$37,4,FALSE)*'T50'!Y107</f>
        <v>0</v>
      </c>
      <c r="Z107" s="1100">
        <f>VLOOKUP(Z$1,'cost per tipologia de sòl'!$A$2:$D$37,4,FALSE)*'T50'!Z107</f>
        <v>0</v>
      </c>
      <c r="AA107" s="1100">
        <f>VLOOKUP(AA$1,'cost per tipologia de sòl'!$A$2:$D$37,4,FALSE)*'T50'!AA107</f>
        <v>0</v>
      </c>
      <c r="AB107" s="1100">
        <f>VLOOKUP(AB$1,'cost per tipologia de sòl'!$A$2:$D$37,4,FALSE)*'T50'!AB107</f>
        <v>174771.5</v>
      </c>
      <c r="AC107" s="1100">
        <f>VLOOKUP(AC$1,'cost per tipologia de sòl'!$A$2:$D$37,4,FALSE)*'T50'!AC107</f>
        <v>3670565.3499999996</v>
      </c>
      <c r="AD107" s="1100">
        <f>VLOOKUP(AD$1,'cost per tipologia de sòl'!$A$2:$D$37,4,FALSE)*'T50'!AD107</f>
        <v>2402302.0499999998</v>
      </c>
      <c r="AE107" s="1100">
        <f>VLOOKUP(AE$1,'cost per tipologia de sòl'!$A$2:$D$37,4,FALSE)*'T50'!AE107</f>
        <v>0</v>
      </c>
      <c r="AF107" s="1100">
        <f>VLOOKUP(AF$1,'cost per tipologia de sòl'!$A$2:$D$37,4,FALSE)*'T50'!AF107</f>
        <v>0</v>
      </c>
      <c r="AG107" s="1100">
        <f>VLOOKUP(AG$1,'cost per tipologia de sòl'!$A$2:$D$37,4,FALSE)*'T50'!AG107</f>
        <v>0</v>
      </c>
      <c r="AH107" s="1100">
        <f>VLOOKUP(AH$1,'cost per tipologia de sòl'!$A$2:$D$37,4,FALSE)*'T50'!AH107</f>
        <v>0</v>
      </c>
      <c r="AI107" s="1100">
        <f>VLOOKUP(AI$1,'cost per tipologia de sòl'!$A$2:$D$37,4,FALSE)*'T50'!AI107</f>
        <v>0</v>
      </c>
      <c r="AJ107" s="1100">
        <f t="shared" si="2"/>
        <v>44532182.383999996</v>
      </c>
      <c r="AK107" s="1098">
        <f t="shared" si="3"/>
        <v>13.3596547152</v>
      </c>
    </row>
    <row r="108" spans="1:37">
      <c r="A108" s="1099" t="s">
        <v>1429</v>
      </c>
      <c r="B108" s="1100">
        <f>VLOOKUP(B$1,'cost per tipologia de sòl'!$A$2:$D$37,4,FALSE)*'T50'!B108</f>
        <v>0</v>
      </c>
      <c r="C108" s="1100">
        <f>VLOOKUP(C$1,'cost per tipologia de sòl'!$A$2:$D$37,4,FALSE)*'T50'!C108</f>
        <v>0</v>
      </c>
      <c r="D108" s="1100">
        <f>VLOOKUP(D$1,'cost per tipologia de sòl'!$A$2:$D$37,4,FALSE)*'T50'!D108</f>
        <v>0</v>
      </c>
      <c r="E108" s="1100">
        <f>VLOOKUP(E$1,'cost per tipologia de sòl'!$A$2:$D$37,4,FALSE)*'T50'!E108</f>
        <v>0</v>
      </c>
      <c r="F108" s="1100">
        <f>VLOOKUP(F$1,'cost per tipologia de sòl'!$A$2:$D$37,4,FALSE)*'T50'!F108</f>
        <v>0</v>
      </c>
      <c r="G108" s="1100">
        <f>VLOOKUP(G$1,'cost per tipologia de sòl'!$A$2:$D$37,4,FALSE)*'T50'!G108</f>
        <v>0</v>
      </c>
      <c r="H108" s="1100">
        <f>VLOOKUP(H$1,'cost per tipologia de sòl'!$A$2:$D$37,4,FALSE)*'T50'!H108</f>
        <v>0</v>
      </c>
      <c r="I108" s="1100">
        <f>VLOOKUP(I$1,'cost per tipologia de sòl'!$A$2:$D$37,4,FALSE)*'T50'!I108</f>
        <v>0</v>
      </c>
      <c r="J108" s="1100">
        <f>VLOOKUP(J$1,'cost per tipologia de sòl'!$A$2:$D$37,4,FALSE)*'T50'!J108</f>
        <v>209751.8885</v>
      </c>
      <c r="K108" s="1100">
        <f>VLOOKUP(K$1,'cost per tipologia de sòl'!$A$2:$D$37,4,FALSE)*'T50'!K108</f>
        <v>0</v>
      </c>
      <c r="L108" s="1100">
        <f>VLOOKUP(L$1,'cost per tipologia de sòl'!$A$2:$D$37,4,FALSE)*'T50'!L108</f>
        <v>3437693.3789999997</v>
      </c>
      <c r="M108" s="1100">
        <f>VLOOKUP(M$1,'cost per tipologia de sòl'!$A$2:$D$37,4,FALSE)*'T50'!M108</f>
        <v>0</v>
      </c>
      <c r="N108" s="1100">
        <f>VLOOKUP(N$1,'cost per tipologia de sòl'!$A$2:$D$37,4,FALSE)*'T50'!N108</f>
        <v>0</v>
      </c>
      <c r="O108" s="1100">
        <f>VLOOKUP(O$1,'cost per tipologia de sòl'!$A$2:$D$37,4,FALSE)*'T50'!O108</f>
        <v>0</v>
      </c>
      <c r="P108" s="1100">
        <f>VLOOKUP(P$1,'cost per tipologia de sòl'!$A$2:$D$37,4,FALSE)*'T50'!P108</f>
        <v>0</v>
      </c>
      <c r="Q108" s="1100">
        <f>VLOOKUP(Q$1,'cost per tipologia de sòl'!$A$2:$D$37,4,FALSE)*'T50'!Q108</f>
        <v>0</v>
      </c>
      <c r="R108" s="1100">
        <f>VLOOKUP(R$1,'cost per tipologia de sòl'!$A$2:$D$37,4,FALSE)*'T50'!R108</f>
        <v>0</v>
      </c>
      <c r="S108" s="1100">
        <f>VLOOKUP(S$1,'cost per tipologia de sòl'!$A$2:$D$37,4,FALSE)*'T50'!S108</f>
        <v>501867.07199999999</v>
      </c>
      <c r="T108" s="1100">
        <f>VLOOKUP(T$1,'cost per tipologia de sòl'!$A$2:$D$37,4,FALSE)*'T50'!T108</f>
        <v>3731889.4720000001</v>
      </c>
      <c r="U108" s="1100">
        <f>VLOOKUP(U$1,'cost per tipologia de sòl'!$A$2:$D$37,4,FALSE)*'T50'!U108</f>
        <v>0</v>
      </c>
      <c r="V108" s="1100">
        <f>VLOOKUP(V$1,'cost per tipologia de sòl'!$A$2:$D$37,4,FALSE)*'T50'!V108</f>
        <v>0</v>
      </c>
      <c r="W108" s="1100">
        <f>VLOOKUP(W$1,'cost per tipologia de sòl'!$A$2:$D$37,4,FALSE)*'T50'!W108</f>
        <v>0</v>
      </c>
      <c r="X108" s="1100">
        <f>VLOOKUP(X$1,'cost per tipologia de sòl'!$A$2:$D$37,4,FALSE)*'T50'!X108</f>
        <v>0</v>
      </c>
      <c r="Y108" s="1100">
        <f>VLOOKUP(Y$1,'cost per tipologia de sòl'!$A$2:$D$37,4,FALSE)*'T50'!Y108</f>
        <v>0</v>
      </c>
      <c r="Z108" s="1100">
        <f>VLOOKUP(Z$1,'cost per tipologia de sòl'!$A$2:$D$37,4,FALSE)*'T50'!Z108</f>
        <v>0</v>
      </c>
      <c r="AA108" s="1100">
        <f>VLOOKUP(AA$1,'cost per tipologia de sòl'!$A$2:$D$37,4,FALSE)*'T50'!AA108</f>
        <v>0</v>
      </c>
      <c r="AB108" s="1100">
        <f>VLOOKUP(AB$1,'cost per tipologia de sòl'!$A$2:$D$37,4,FALSE)*'T50'!AB108</f>
        <v>1723678.1</v>
      </c>
      <c r="AC108" s="1100">
        <f>VLOOKUP(AC$1,'cost per tipologia de sòl'!$A$2:$D$37,4,FALSE)*'T50'!AC108</f>
        <v>1492769.2000000002</v>
      </c>
      <c r="AD108" s="1100">
        <f>VLOOKUP(AD$1,'cost per tipologia de sòl'!$A$2:$D$37,4,FALSE)*'T50'!AD108</f>
        <v>1122677.7</v>
      </c>
      <c r="AE108" s="1100">
        <f>VLOOKUP(AE$1,'cost per tipologia de sòl'!$A$2:$D$37,4,FALSE)*'T50'!AE108</f>
        <v>0</v>
      </c>
      <c r="AF108" s="1100">
        <f>VLOOKUP(AF$1,'cost per tipologia de sòl'!$A$2:$D$37,4,FALSE)*'T50'!AF108</f>
        <v>0</v>
      </c>
      <c r="AG108" s="1100">
        <f>VLOOKUP(AG$1,'cost per tipologia de sòl'!$A$2:$D$37,4,FALSE)*'T50'!AG108</f>
        <v>0</v>
      </c>
      <c r="AH108" s="1100">
        <f>VLOOKUP(AH$1,'cost per tipologia de sòl'!$A$2:$D$37,4,FALSE)*'T50'!AH108</f>
        <v>0</v>
      </c>
      <c r="AI108" s="1100">
        <f>VLOOKUP(AI$1,'cost per tipologia de sòl'!$A$2:$D$37,4,FALSE)*'T50'!AI108</f>
        <v>0</v>
      </c>
      <c r="AJ108" s="1100">
        <f t="shared" si="2"/>
        <v>12220326.811499998</v>
      </c>
      <c r="AK108" s="1098">
        <f t="shared" si="3"/>
        <v>3.666098043449999</v>
      </c>
    </row>
    <row r="109" spans="1:37">
      <c r="A109" s="1099" t="s">
        <v>1094</v>
      </c>
      <c r="B109" s="1100">
        <f>VLOOKUP(B$1,'cost per tipologia de sòl'!$A$2:$D$37,4,FALSE)*'T50'!B109</f>
        <v>96558.155999999988</v>
      </c>
      <c r="C109" s="1100">
        <f>VLOOKUP(C$1,'cost per tipologia de sòl'!$A$2:$D$37,4,FALSE)*'T50'!C109</f>
        <v>1570418.69</v>
      </c>
      <c r="D109" s="1100">
        <f>VLOOKUP(D$1,'cost per tipologia de sòl'!$A$2:$D$37,4,FALSE)*'T50'!D109</f>
        <v>0</v>
      </c>
      <c r="E109" s="1100">
        <f>VLOOKUP(E$1,'cost per tipologia de sòl'!$A$2:$D$37,4,FALSE)*'T50'!E109</f>
        <v>0</v>
      </c>
      <c r="F109" s="1100">
        <f>VLOOKUP(F$1,'cost per tipologia de sòl'!$A$2:$D$37,4,FALSE)*'T50'!F109</f>
        <v>0</v>
      </c>
      <c r="G109" s="1100">
        <f>VLOOKUP(G$1,'cost per tipologia de sòl'!$A$2:$D$37,4,FALSE)*'T50'!G109</f>
        <v>0</v>
      </c>
      <c r="H109" s="1100">
        <f>VLOOKUP(H$1,'cost per tipologia de sòl'!$A$2:$D$37,4,FALSE)*'T50'!H109</f>
        <v>0</v>
      </c>
      <c r="I109" s="1100">
        <f>VLOOKUP(I$1,'cost per tipologia de sòl'!$A$2:$D$37,4,FALSE)*'T50'!I109</f>
        <v>0</v>
      </c>
      <c r="J109" s="1100">
        <f>VLOOKUP(J$1,'cost per tipologia de sòl'!$A$2:$D$37,4,FALSE)*'T50'!J109</f>
        <v>0</v>
      </c>
      <c r="K109" s="1100">
        <f>VLOOKUP(K$1,'cost per tipologia de sòl'!$A$2:$D$37,4,FALSE)*'T50'!K109</f>
        <v>0</v>
      </c>
      <c r="L109" s="1100">
        <f>VLOOKUP(L$1,'cost per tipologia de sòl'!$A$2:$D$37,4,FALSE)*'T50'!L109</f>
        <v>0</v>
      </c>
      <c r="M109" s="1100">
        <f>VLOOKUP(M$1,'cost per tipologia de sòl'!$A$2:$D$37,4,FALSE)*'T50'!M109</f>
        <v>0</v>
      </c>
      <c r="N109" s="1100">
        <f>VLOOKUP(N$1,'cost per tipologia de sòl'!$A$2:$D$37,4,FALSE)*'T50'!N109</f>
        <v>0</v>
      </c>
      <c r="O109" s="1100">
        <f>VLOOKUP(O$1,'cost per tipologia de sòl'!$A$2:$D$37,4,FALSE)*'T50'!O109</f>
        <v>0</v>
      </c>
      <c r="P109" s="1100">
        <f>VLOOKUP(P$1,'cost per tipologia de sòl'!$A$2:$D$37,4,FALSE)*'T50'!P109</f>
        <v>0</v>
      </c>
      <c r="Q109" s="1100">
        <f>VLOOKUP(Q$1,'cost per tipologia de sòl'!$A$2:$D$37,4,FALSE)*'T50'!Q109</f>
        <v>1317531</v>
      </c>
      <c r="R109" s="1100">
        <f>VLOOKUP(R$1,'cost per tipologia de sòl'!$A$2:$D$37,4,FALSE)*'T50'!R109</f>
        <v>0</v>
      </c>
      <c r="S109" s="1100">
        <f>VLOOKUP(S$1,'cost per tipologia de sòl'!$A$2:$D$37,4,FALSE)*'T50'!S109</f>
        <v>1460922.6240000001</v>
      </c>
      <c r="T109" s="1100">
        <f>VLOOKUP(T$1,'cost per tipologia de sòl'!$A$2:$D$37,4,FALSE)*'T50'!T109</f>
        <v>18460791.925999999</v>
      </c>
      <c r="U109" s="1100">
        <f>VLOOKUP(U$1,'cost per tipologia de sòl'!$A$2:$D$37,4,FALSE)*'T50'!U109</f>
        <v>16513321.65</v>
      </c>
      <c r="V109" s="1100">
        <f>VLOOKUP(V$1,'cost per tipologia de sòl'!$A$2:$D$37,4,FALSE)*'T50'!V109</f>
        <v>0</v>
      </c>
      <c r="W109" s="1100">
        <f>VLOOKUP(W$1,'cost per tipologia de sòl'!$A$2:$D$37,4,FALSE)*'T50'!W109</f>
        <v>0</v>
      </c>
      <c r="X109" s="1100">
        <f>VLOOKUP(X$1,'cost per tipologia de sòl'!$A$2:$D$37,4,FALSE)*'T50'!X109</f>
        <v>0</v>
      </c>
      <c r="Y109" s="1100">
        <f>VLOOKUP(Y$1,'cost per tipologia de sòl'!$A$2:$D$37,4,FALSE)*'T50'!Y109</f>
        <v>0</v>
      </c>
      <c r="Z109" s="1100">
        <f>VLOOKUP(Z$1,'cost per tipologia de sòl'!$A$2:$D$37,4,FALSE)*'T50'!Z109</f>
        <v>15735036.186000001</v>
      </c>
      <c r="AA109" s="1100">
        <f>VLOOKUP(AA$1,'cost per tipologia de sòl'!$A$2:$D$37,4,FALSE)*'T50'!AA109</f>
        <v>0</v>
      </c>
      <c r="AB109" s="1100">
        <f>VLOOKUP(AB$1,'cost per tipologia de sòl'!$A$2:$D$37,4,FALSE)*'T50'!AB109</f>
        <v>27191429.149999999</v>
      </c>
      <c r="AC109" s="1100">
        <f>VLOOKUP(AC$1,'cost per tipologia de sòl'!$A$2:$D$37,4,FALSE)*'T50'!AC109</f>
        <v>14029000.549999999</v>
      </c>
      <c r="AD109" s="1100">
        <f>VLOOKUP(AD$1,'cost per tipologia de sòl'!$A$2:$D$37,4,FALSE)*'T50'!AD109</f>
        <v>24958759.100000001</v>
      </c>
      <c r="AE109" s="1100">
        <f>VLOOKUP(AE$1,'cost per tipologia de sòl'!$A$2:$D$37,4,FALSE)*'T50'!AE109</f>
        <v>0</v>
      </c>
      <c r="AF109" s="1100">
        <f>VLOOKUP(AF$1,'cost per tipologia de sòl'!$A$2:$D$37,4,FALSE)*'T50'!AF109</f>
        <v>0</v>
      </c>
      <c r="AG109" s="1100">
        <f>VLOOKUP(AG$1,'cost per tipologia de sòl'!$A$2:$D$37,4,FALSE)*'T50'!AG109</f>
        <v>0</v>
      </c>
      <c r="AH109" s="1100">
        <f>VLOOKUP(AH$1,'cost per tipologia de sòl'!$A$2:$D$37,4,FALSE)*'T50'!AH109</f>
        <v>0</v>
      </c>
      <c r="AI109" s="1100">
        <f>VLOOKUP(AI$1,'cost per tipologia de sòl'!$A$2:$D$37,4,FALSE)*'T50'!AI109</f>
        <v>0</v>
      </c>
      <c r="AJ109" s="1100">
        <f t="shared" si="2"/>
        <v>121333769.03200001</v>
      </c>
      <c r="AK109" s="1098">
        <f t="shared" si="3"/>
        <v>36.400130709599999</v>
      </c>
    </row>
    <row r="110" spans="1:37">
      <c r="A110" s="1099" t="s">
        <v>1437</v>
      </c>
      <c r="B110" s="1100">
        <f>VLOOKUP(B$1,'cost per tipologia de sòl'!$A$2:$D$37,4,FALSE)*'T50'!B110</f>
        <v>5765478.966</v>
      </c>
      <c r="C110" s="1100">
        <f>VLOOKUP(C$1,'cost per tipologia de sòl'!$A$2:$D$37,4,FALSE)*'T50'!C110</f>
        <v>0</v>
      </c>
      <c r="D110" s="1100">
        <f>VLOOKUP(D$1,'cost per tipologia de sòl'!$A$2:$D$37,4,FALSE)*'T50'!D110</f>
        <v>0</v>
      </c>
      <c r="E110" s="1100">
        <f>VLOOKUP(E$1,'cost per tipologia de sòl'!$A$2:$D$37,4,FALSE)*'T50'!E110</f>
        <v>0</v>
      </c>
      <c r="F110" s="1100">
        <f>VLOOKUP(F$1,'cost per tipologia de sòl'!$A$2:$D$37,4,FALSE)*'T50'!F110</f>
        <v>0</v>
      </c>
      <c r="G110" s="1100">
        <f>VLOOKUP(G$1,'cost per tipologia de sòl'!$A$2:$D$37,4,FALSE)*'T50'!G110</f>
        <v>0</v>
      </c>
      <c r="H110" s="1100">
        <f>VLOOKUP(H$1,'cost per tipologia de sòl'!$A$2:$D$37,4,FALSE)*'T50'!H110</f>
        <v>0</v>
      </c>
      <c r="I110" s="1100">
        <f>VLOOKUP(I$1,'cost per tipologia de sòl'!$A$2:$D$37,4,FALSE)*'T50'!I110</f>
        <v>0</v>
      </c>
      <c r="J110" s="1100">
        <f>VLOOKUP(J$1,'cost per tipologia de sòl'!$A$2:$D$37,4,FALSE)*'T50'!J110</f>
        <v>320206.50200000004</v>
      </c>
      <c r="K110" s="1100">
        <f>VLOOKUP(K$1,'cost per tipologia de sòl'!$A$2:$D$37,4,FALSE)*'T50'!K110</f>
        <v>0</v>
      </c>
      <c r="L110" s="1100">
        <f>VLOOKUP(L$1,'cost per tipologia de sòl'!$A$2:$D$37,4,FALSE)*'T50'!L110</f>
        <v>0</v>
      </c>
      <c r="M110" s="1100">
        <f>VLOOKUP(M$1,'cost per tipologia de sòl'!$A$2:$D$37,4,FALSE)*'T50'!M110</f>
        <v>0</v>
      </c>
      <c r="N110" s="1100">
        <f>VLOOKUP(N$1,'cost per tipologia de sòl'!$A$2:$D$37,4,FALSE)*'T50'!N110</f>
        <v>0</v>
      </c>
      <c r="O110" s="1100">
        <f>VLOOKUP(O$1,'cost per tipologia de sòl'!$A$2:$D$37,4,FALSE)*'T50'!O110</f>
        <v>0</v>
      </c>
      <c r="P110" s="1100">
        <f>VLOOKUP(P$1,'cost per tipologia de sòl'!$A$2:$D$37,4,FALSE)*'T50'!P110</f>
        <v>0</v>
      </c>
      <c r="Q110" s="1100">
        <f>VLOOKUP(Q$1,'cost per tipologia de sòl'!$A$2:$D$37,4,FALSE)*'T50'!Q110</f>
        <v>0</v>
      </c>
      <c r="R110" s="1100">
        <f>VLOOKUP(R$1,'cost per tipologia de sòl'!$A$2:$D$37,4,FALSE)*'T50'!R110</f>
        <v>0</v>
      </c>
      <c r="S110" s="1100">
        <f>VLOOKUP(S$1,'cost per tipologia de sòl'!$A$2:$D$37,4,FALSE)*'T50'!S110</f>
        <v>76847393.952000007</v>
      </c>
      <c r="T110" s="1100">
        <f>VLOOKUP(T$1,'cost per tipologia de sòl'!$A$2:$D$37,4,FALSE)*'T50'!T110</f>
        <v>4534796.3530000001</v>
      </c>
      <c r="U110" s="1100">
        <f>VLOOKUP(U$1,'cost per tipologia de sòl'!$A$2:$D$37,4,FALSE)*'T50'!U110</f>
        <v>345324</v>
      </c>
      <c r="V110" s="1100">
        <f>VLOOKUP(V$1,'cost per tipologia de sòl'!$A$2:$D$37,4,FALSE)*'T50'!V110</f>
        <v>0</v>
      </c>
      <c r="W110" s="1100">
        <f>VLOOKUP(W$1,'cost per tipologia de sòl'!$A$2:$D$37,4,FALSE)*'T50'!W110</f>
        <v>0</v>
      </c>
      <c r="X110" s="1100">
        <f>VLOOKUP(X$1,'cost per tipologia de sòl'!$A$2:$D$37,4,FALSE)*'T50'!X110</f>
        <v>0</v>
      </c>
      <c r="Y110" s="1100">
        <f>VLOOKUP(Y$1,'cost per tipologia de sòl'!$A$2:$D$37,4,FALSE)*'T50'!Y110</f>
        <v>0</v>
      </c>
      <c r="Z110" s="1100">
        <f>VLOOKUP(Z$1,'cost per tipologia de sòl'!$A$2:$D$37,4,FALSE)*'T50'!Z110</f>
        <v>28631.871999999999</v>
      </c>
      <c r="AA110" s="1100">
        <f>VLOOKUP(AA$1,'cost per tipologia de sòl'!$A$2:$D$37,4,FALSE)*'T50'!AA110</f>
        <v>0</v>
      </c>
      <c r="AB110" s="1100">
        <f>VLOOKUP(AB$1,'cost per tipologia de sòl'!$A$2:$D$37,4,FALSE)*'T50'!AB110</f>
        <v>24955.550000000003</v>
      </c>
      <c r="AC110" s="1100">
        <f>VLOOKUP(AC$1,'cost per tipologia de sòl'!$A$2:$D$37,4,FALSE)*'T50'!AC110</f>
        <v>12101978.75</v>
      </c>
      <c r="AD110" s="1100">
        <f>VLOOKUP(AD$1,'cost per tipologia de sòl'!$A$2:$D$37,4,FALSE)*'T50'!AD110</f>
        <v>4521134.55</v>
      </c>
      <c r="AE110" s="1100">
        <f>VLOOKUP(AE$1,'cost per tipologia de sòl'!$A$2:$D$37,4,FALSE)*'T50'!AE110</f>
        <v>0</v>
      </c>
      <c r="AF110" s="1100">
        <f>VLOOKUP(AF$1,'cost per tipologia de sòl'!$A$2:$D$37,4,FALSE)*'T50'!AF110</f>
        <v>0</v>
      </c>
      <c r="AG110" s="1100">
        <f>VLOOKUP(AG$1,'cost per tipologia de sòl'!$A$2:$D$37,4,FALSE)*'T50'!AG110</f>
        <v>0</v>
      </c>
      <c r="AH110" s="1100">
        <f>VLOOKUP(AH$1,'cost per tipologia de sòl'!$A$2:$D$37,4,FALSE)*'T50'!AH110</f>
        <v>0</v>
      </c>
      <c r="AI110" s="1100">
        <f>VLOOKUP(AI$1,'cost per tipologia de sòl'!$A$2:$D$37,4,FALSE)*'T50'!AI110</f>
        <v>0</v>
      </c>
      <c r="AJ110" s="1100">
        <f t="shared" si="2"/>
        <v>104489900.49499999</v>
      </c>
      <c r="AK110" s="1098">
        <f t="shared" si="3"/>
        <v>31.346970148499999</v>
      </c>
    </row>
    <row r="111" spans="1:37">
      <c r="A111" s="1099" t="s">
        <v>1450</v>
      </c>
      <c r="B111" s="1100">
        <f>VLOOKUP(B$1,'cost per tipologia de sòl'!$A$2:$D$37,4,FALSE)*'T50'!B111</f>
        <v>42063027.696000002</v>
      </c>
      <c r="C111" s="1100">
        <f>VLOOKUP(C$1,'cost per tipologia de sòl'!$A$2:$D$37,4,FALSE)*'T50'!C111</f>
        <v>0</v>
      </c>
      <c r="D111" s="1100">
        <f>VLOOKUP(D$1,'cost per tipologia de sòl'!$A$2:$D$37,4,FALSE)*'T50'!D111</f>
        <v>0</v>
      </c>
      <c r="E111" s="1100">
        <f>VLOOKUP(E$1,'cost per tipologia de sòl'!$A$2:$D$37,4,FALSE)*'T50'!E111</f>
        <v>0</v>
      </c>
      <c r="F111" s="1100">
        <f>VLOOKUP(F$1,'cost per tipologia de sòl'!$A$2:$D$37,4,FALSE)*'T50'!F111</f>
        <v>0</v>
      </c>
      <c r="G111" s="1100">
        <f>VLOOKUP(G$1,'cost per tipologia de sòl'!$A$2:$D$37,4,FALSE)*'T50'!G111</f>
        <v>0</v>
      </c>
      <c r="H111" s="1100">
        <f>VLOOKUP(H$1,'cost per tipologia de sòl'!$A$2:$D$37,4,FALSE)*'T50'!H111</f>
        <v>0</v>
      </c>
      <c r="I111" s="1100">
        <f>VLOOKUP(I$1,'cost per tipologia de sòl'!$A$2:$D$37,4,FALSE)*'T50'!I111</f>
        <v>0</v>
      </c>
      <c r="J111" s="1100">
        <f>VLOOKUP(J$1,'cost per tipologia de sòl'!$A$2:$D$37,4,FALSE)*'T50'!J111</f>
        <v>0</v>
      </c>
      <c r="K111" s="1100">
        <f>VLOOKUP(K$1,'cost per tipologia de sòl'!$A$2:$D$37,4,FALSE)*'T50'!K111</f>
        <v>0</v>
      </c>
      <c r="L111" s="1100">
        <f>VLOOKUP(L$1,'cost per tipologia de sòl'!$A$2:$D$37,4,FALSE)*'T50'!L111</f>
        <v>0</v>
      </c>
      <c r="M111" s="1100">
        <f>VLOOKUP(M$1,'cost per tipologia de sòl'!$A$2:$D$37,4,FALSE)*'T50'!M111</f>
        <v>0</v>
      </c>
      <c r="N111" s="1100">
        <f>VLOOKUP(N$1,'cost per tipologia de sòl'!$A$2:$D$37,4,FALSE)*'T50'!N111</f>
        <v>0</v>
      </c>
      <c r="O111" s="1100">
        <f>VLOOKUP(O$1,'cost per tipologia de sòl'!$A$2:$D$37,4,FALSE)*'T50'!O111</f>
        <v>0</v>
      </c>
      <c r="P111" s="1100">
        <f>VLOOKUP(P$1,'cost per tipologia de sòl'!$A$2:$D$37,4,FALSE)*'T50'!P111</f>
        <v>0</v>
      </c>
      <c r="Q111" s="1100">
        <f>VLOOKUP(Q$1,'cost per tipologia de sòl'!$A$2:$D$37,4,FALSE)*'T50'!Q111</f>
        <v>0</v>
      </c>
      <c r="R111" s="1100">
        <f>VLOOKUP(R$1,'cost per tipologia de sòl'!$A$2:$D$37,4,FALSE)*'T50'!R111</f>
        <v>0</v>
      </c>
      <c r="S111" s="1100">
        <f>VLOOKUP(S$1,'cost per tipologia de sòl'!$A$2:$D$37,4,FALSE)*'T50'!S111</f>
        <v>949625.71199999994</v>
      </c>
      <c r="T111" s="1100">
        <f>VLOOKUP(T$1,'cost per tipologia de sòl'!$A$2:$D$37,4,FALSE)*'T50'!T111</f>
        <v>11741269.731000001</v>
      </c>
      <c r="U111" s="1100">
        <f>VLOOKUP(U$1,'cost per tipologia de sòl'!$A$2:$D$37,4,FALSE)*'T50'!U111</f>
        <v>0</v>
      </c>
      <c r="V111" s="1100">
        <f>VLOOKUP(V$1,'cost per tipologia de sòl'!$A$2:$D$37,4,FALSE)*'T50'!V111</f>
        <v>0</v>
      </c>
      <c r="W111" s="1100">
        <f>VLOOKUP(W$1,'cost per tipologia de sòl'!$A$2:$D$37,4,FALSE)*'T50'!W111</f>
        <v>0</v>
      </c>
      <c r="X111" s="1100">
        <f>VLOOKUP(X$1,'cost per tipologia de sòl'!$A$2:$D$37,4,FALSE)*'T50'!X111</f>
        <v>0</v>
      </c>
      <c r="Y111" s="1100">
        <f>VLOOKUP(Y$1,'cost per tipologia de sòl'!$A$2:$D$37,4,FALSE)*'T50'!Y111</f>
        <v>0</v>
      </c>
      <c r="Z111" s="1100">
        <f>VLOOKUP(Z$1,'cost per tipologia de sòl'!$A$2:$D$37,4,FALSE)*'T50'!Z111</f>
        <v>0</v>
      </c>
      <c r="AA111" s="1100">
        <f>VLOOKUP(AA$1,'cost per tipologia de sòl'!$A$2:$D$37,4,FALSE)*'T50'!AA111</f>
        <v>0</v>
      </c>
      <c r="AB111" s="1100">
        <f>VLOOKUP(AB$1,'cost per tipologia de sòl'!$A$2:$D$37,4,FALSE)*'T50'!AB111</f>
        <v>2009478.95</v>
      </c>
      <c r="AC111" s="1100">
        <f>VLOOKUP(AC$1,'cost per tipologia de sòl'!$A$2:$D$37,4,FALSE)*'T50'!AC111</f>
        <v>9019050.1500000004</v>
      </c>
      <c r="AD111" s="1100">
        <f>VLOOKUP(AD$1,'cost per tipologia de sòl'!$A$2:$D$37,4,FALSE)*'T50'!AD111</f>
        <v>2585218.85</v>
      </c>
      <c r="AE111" s="1100">
        <f>VLOOKUP(AE$1,'cost per tipologia de sòl'!$A$2:$D$37,4,FALSE)*'T50'!AE111</f>
        <v>0</v>
      </c>
      <c r="AF111" s="1100">
        <f>VLOOKUP(AF$1,'cost per tipologia de sòl'!$A$2:$D$37,4,FALSE)*'T50'!AF111</f>
        <v>0</v>
      </c>
      <c r="AG111" s="1100">
        <f>VLOOKUP(AG$1,'cost per tipologia de sòl'!$A$2:$D$37,4,FALSE)*'T50'!AG111</f>
        <v>0</v>
      </c>
      <c r="AH111" s="1100">
        <f>VLOOKUP(AH$1,'cost per tipologia de sòl'!$A$2:$D$37,4,FALSE)*'T50'!AH111</f>
        <v>0</v>
      </c>
      <c r="AI111" s="1100">
        <f>VLOOKUP(AI$1,'cost per tipologia de sòl'!$A$2:$D$37,4,FALSE)*'T50'!AI111</f>
        <v>0</v>
      </c>
      <c r="AJ111" s="1100">
        <f t="shared" si="2"/>
        <v>68367671.089000002</v>
      </c>
      <c r="AK111" s="1098">
        <f t="shared" si="3"/>
        <v>20.510301326700002</v>
      </c>
    </row>
    <row r="112" spans="1:37">
      <c r="A112" s="1099" t="s">
        <v>1458</v>
      </c>
      <c r="B112" s="1100">
        <f>VLOOKUP(B$1,'cost per tipologia de sòl'!$A$2:$D$37,4,FALSE)*'T50'!B112</f>
        <v>0</v>
      </c>
      <c r="C112" s="1100">
        <f>VLOOKUP(C$1,'cost per tipologia de sòl'!$A$2:$D$37,4,FALSE)*'T50'!C112</f>
        <v>0</v>
      </c>
      <c r="D112" s="1100">
        <f>VLOOKUP(D$1,'cost per tipologia de sòl'!$A$2:$D$37,4,FALSE)*'T50'!D112</f>
        <v>0</v>
      </c>
      <c r="E112" s="1100">
        <f>VLOOKUP(E$1,'cost per tipologia de sòl'!$A$2:$D$37,4,FALSE)*'T50'!E112</f>
        <v>0</v>
      </c>
      <c r="F112" s="1100">
        <f>VLOOKUP(F$1,'cost per tipologia de sòl'!$A$2:$D$37,4,FALSE)*'T50'!F112</f>
        <v>0</v>
      </c>
      <c r="G112" s="1100">
        <f>VLOOKUP(G$1,'cost per tipologia de sòl'!$A$2:$D$37,4,FALSE)*'T50'!G112</f>
        <v>0</v>
      </c>
      <c r="H112" s="1100">
        <f>VLOOKUP(H$1,'cost per tipologia de sòl'!$A$2:$D$37,4,FALSE)*'T50'!H112</f>
        <v>0</v>
      </c>
      <c r="I112" s="1100">
        <f>VLOOKUP(I$1,'cost per tipologia de sòl'!$A$2:$D$37,4,FALSE)*'T50'!I112</f>
        <v>0</v>
      </c>
      <c r="J112" s="1100">
        <f>VLOOKUP(J$1,'cost per tipologia de sòl'!$A$2:$D$37,4,FALSE)*'T50'!J112</f>
        <v>300583.82199999999</v>
      </c>
      <c r="K112" s="1100">
        <f>VLOOKUP(K$1,'cost per tipologia de sòl'!$A$2:$D$37,4,FALSE)*'T50'!K112</f>
        <v>0</v>
      </c>
      <c r="L112" s="1100">
        <f>VLOOKUP(L$1,'cost per tipologia de sòl'!$A$2:$D$37,4,FALSE)*'T50'!L112</f>
        <v>0</v>
      </c>
      <c r="M112" s="1100">
        <f>VLOOKUP(M$1,'cost per tipologia de sòl'!$A$2:$D$37,4,FALSE)*'T50'!M112</f>
        <v>0</v>
      </c>
      <c r="N112" s="1100">
        <f>VLOOKUP(N$1,'cost per tipologia de sòl'!$A$2:$D$37,4,FALSE)*'T50'!N112</f>
        <v>0</v>
      </c>
      <c r="O112" s="1100">
        <f>VLOOKUP(O$1,'cost per tipologia de sòl'!$A$2:$D$37,4,FALSE)*'T50'!O112</f>
        <v>0</v>
      </c>
      <c r="P112" s="1100">
        <f>VLOOKUP(P$1,'cost per tipologia de sòl'!$A$2:$D$37,4,FALSE)*'T50'!P112</f>
        <v>0</v>
      </c>
      <c r="Q112" s="1100">
        <f>VLOOKUP(Q$1,'cost per tipologia de sòl'!$A$2:$D$37,4,FALSE)*'T50'!Q112</f>
        <v>0</v>
      </c>
      <c r="R112" s="1100">
        <f>VLOOKUP(R$1,'cost per tipologia de sòl'!$A$2:$D$37,4,FALSE)*'T50'!R112</f>
        <v>0</v>
      </c>
      <c r="S112" s="1100">
        <f>VLOOKUP(S$1,'cost per tipologia de sòl'!$A$2:$D$37,4,FALSE)*'T50'!S112</f>
        <v>0</v>
      </c>
      <c r="T112" s="1100">
        <f>VLOOKUP(T$1,'cost per tipologia de sòl'!$A$2:$D$37,4,FALSE)*'T50'!T112</f>
        <v>1530047.737</v>
      </c>
      <c r="U112" s="1100">
        <f>VLOOKUP(U$1,'cost per tipologia de sòl'!$A$2:$D$37,4,FALSE)*'T50'!U112</f>
        <v>0</v>
      </c>
      <c r="V112" s="1100">
        <f>VLOOKUP(V$1,'cost per tipologia de sòl'!$A$2:$D$37,4,FALSE)*'T50'!V112</f>
        <v>0</v>
      </c>
      <c r="W112" s="1100">
        <f>VLOOKUP(W$1,'cost per tipologia de sòl'!$A$2:$D$37,4,FALSE)*'T50'!W112</f>
        <v>0</v>
      </c>
      <c r="X112" s="1100">
        <f>VLOOKUP(X$1,'cost per tipologia de sòl'!$A$2:$D$37,4,FALSE)*'T50'!X112</f>
        <v>0</v>
      </c>
      <c r="Y112" s="1100">
        <f>VLOOKUP(Y$1,'cost per tipologia de sòl'!$A$2:$D$37,4,FALSE)*'T50'!Y112</f>
        <v>0</v>
      </c>
      <c r="Z112" s="1100">
        <f>VLOOKUP(Z$1,'cost per tipologia de sòl'!$A$2:$D$37,4,FALSE)*'T50'!Z112</f>
        <v>29233.752</v>
      </c>
      <c r="AA112" s="1100">
        <f>VLOOKUP(AA$1,'cost per tipologia de sòl'!$A$2:$D$37,4,FALSE)*'T50'!AA112</f>
        <v>0</v>
      </c>
      <c r="AB112" s="1100">
        <f>VLOOKUP(AB$1,'cost per tipologia de sòl'!$A$2:$D$37,4,FALSE)*'T50'!AB112</f>
        <v>0</v>
      </c>
      <c r="AC112" s="1100">
        <f>VLOOKUP(AC$1,'cost per tipologia de sòl'!$A$2:$D$37,4,FALSE)*'T50'!AC112</f>
        <v>0</v>
      </c>
      <c r="AD112" s="1100">
        <f>VLOOKUP(AD$1,'cost per tipologia de sòl'!$A$2:$D$37,4,FALSE)*'T50'!AD112</f>
        <v>0</v>
      </c>
      <c r="AE112" s="1100">
        <f>VLOOKUP(AE$1,'cost per tipologia de sòl'!$A$2:$D$37,4,FALSE)*'T50'!AE112</f>
        <v>0</v>
      </c>
      <c r="AF112" s="1100">
        <f>VLOOKUP(AF$1,'cost per tipologia de sòl'!$A$2:$D$37,4,FALSE)*'T50'!AF112</f>
        <v>0</v>
      </c>
      <c r="AG112" s="1100">
        <f>VLOOKUP(AG$1,'cost per tipologia de sòl'!$A$2:$D$37,4,FALSE)*'T50'!AG112</f>
        <v>0</v>
      </c>
      <c r="AH112" s="1100">
        <f>VLOOKUP(AH$1,'cost per tipologia de sòl'!$A$2:$D$37,4,FALSE)*'T50'!AH112</f>
        <v>0</v>
      </c>
      <c r="AI112" s="1100">
        <f>VLOOKUP(AI$1,'cost per tipologia de sòl'!$A$2:$D$37,4,FALSE)*'T50'!AI112</f>
        <v>0</v>
      </c>
      <c r="AJ112" s="1100">
        <f t="shared" si="2"/>
        <v>1859865.311</v>
      </c>
      <c r="AK112" s="1098">
        <f t="shared" si="3"/>
        <v>0.5579595933</v>
      </c>
    </row>
    <row r="113" spans="1:37">
      <c r="A113" s="1099" t="s">
        <v>1463</v>
      </c>
      <c r="B113" s="1100">
        <f>VLOOKUP(B$1,'cost per tipologia de sòl'!$A$2:$D$37,4,FALSE)*'T50'!B113</f>
        <v>0</v>
      </c>
      <c r="C113" s="1100">
        <f>VLOOKUP(C$1,'cost per tipologia de sòl'!$A$2:$D$37,4,FALSE)*'T50'!C113</f>
        <v>0</v>
      </c>
      <c r="D113" s="1100">
        <f>VLOOKUP(D$1,'cost per tipologia de sòl'!$A$2:$D$37,4,FALSE)*'T50'!D113</f>
        <v>0</v>
      </c>
      <c r="E113" s="1100">
        <f>VLOOKUP(E$1,'cost per tipologia de sòl'!$A$2:$D$37,4,FALSE)*'T50'!E113</f>
        <v>0</v>
      </c>
      <c r="F113" s="1100">
        <f>VLOOKUP(F$1,'cost per tipologia de sòl'!$A$2:$D$37,4,FALSE)*'T50'!F113</f>
        <v>0</v>
      </c>
      <c r="G113" s="1100">
        <f>VLOOKUP(G$1,'cost per tipologia de sòl'!$A$2:$D$37,4,FALSE)*'T50'!G113</f>
        <v>0</v>
      </c>
      <c r="H113" s="1100">
        <f>VLOOKUP(H$1,'cost per tipologia de sòl'!$A$2:$D$37,4,FALSE)*'T50'!H113</f>
        <v>0</v>
      </c>
      <c r="I113" s="1100">
        <f>VLOOKUP(I$1,'cost per tipologia de sòl'!$A$2:$D$37,4,FALSE)*'T50'!I113</f>
        <v>0</v>
      </c>
      <c r="J113" s="1100">
        <f>VLOOKUP(J$1,'cost per tipologia de sòl'!$A$2:$D$37,4,FALSE)*'T50'!J113</f>
        <v>0</v>
      </c>
      <c r="K113" s="1100">
        <f>VLOOKUP(K$1,'cost per tipologia de sòl'!$A$2:$D$37,4,FALSE)*'T50'!K113</f>
        <v>0</v>
      </c>
      <c r="L113" s="1100">
        <f>VLOOKUP(L$1,'cost per tipologia de sòl'!$A$2:$D$37,4,FALSE)*'T50'!L113</f>
        <v>0</v>
      </c>
      <c r="M113" s="1100">
        <f>VLOOKUP(M$1,'cost per tipologia de sòl'!$A$2:$D$37,4,FALSE)*'T50'!M113</f>
        <v>0</v>
      </c>
      <c r="N113" s="1100">
        <f>VLOOKUP(N$1,'cost per tipologia de sòl'!$A$2:$D$37,4,FALSE)*'T50'!N113</f>
        <v>0</v>
      </c>
      <c r="O113" s="1100">
        <f>VLOOKUP(O$1,'cost per tipologia de sòl'!$A$2:$D$37,4,FALSE)*'T50'!O113</f>
        <v>0</v>
      </c>
      <c r="P113" s="1100">
        <f>VLOOKUP(P$1,'cost per tipologia de sòl'!$A$2:$D$37,4,FALSE)*'T50'!P113</f>
        <v>0</v>
      </c>
      <c r="Q113" s="1100">
        <f>VLOOKUP(Q$1,'cost per tipologia de sòl'!$A$2:$D$37,4,FALSE)*'T50'!Q113</f>
        <v>0</v>
      </c>
      <c r="R113" s="1100">
        <f>VLOOKUP(R$1,'cost per tipologia de sòl'!$A$2:$D$37,4,FALSE)*'T50'!R113</f>
        <v>0</v>
      </c>
      <c r="S113" s="1100">
        <f>VLOOKUP(S$1,'cost per tipologia de sòl'!$A$2:$D$37,4,FALSE)*'T50'!S113</f>
        <v>0</v>
      </c>
      <c r="T113" s="1100">
        <f>VLOOKUP(T$1,'cost per tipologia de sòl'!$A$2:$D$37,4,FALSE)*'T50'!T113</f>
        <v>0</v>
      </c>
      <c r="U113" s="1100">
        <f>VLOOKUP(U$1,'cost per tipologia de sòl'!$A$2:$D$37,4,FALSE)*'T50'!U113</f>
        <v>54602.100000000006</v>
      </c>
      <c r="V113" s="1100">
        <f>VLOOKUP(V$1,'cost per tipologia de sòl'!$A$2:$D$37,4,FALSE)*'T50'!V113</f>
        <v>0</v>
      </c>
      <c r="W113" s="1100">
        <f>VLOOKUP(W$1,'cost per tipologia de sòl'!$A$2:$D$37,4,FALSE)*'T50'!W113</f>
        <v>0</v>
      </c>
      <c r="X113" s="1100">
        <f>VLOOKUP(X$1,'cost per tipologia de sòl'!$A$2:$D$37,4,FALSE)*'T50'!X113</f>
        <v>0</v>
      </c>
      <c r="Y113" s="1100">
        <f>VLOOKUP(Y$1,'cost per tipologia de sòl'!$A$2:$D$37,4,FALSE)*'T50'!Y113</f>
        <v>0</v>
      </c>
      <c r="Z113" s="1100">
        <f>VLOOKUP(Z$1,'cost per tipologia de sòl'!$A$2:$D$37,4,FALSE)*'T50'!Z113</f>
        <v>0</v>
      </c>
      <c r="AA113" s="1100">
        <f>VLOOKUP(AA$1,'cost per tipologia de sòl'!$A$2:$D$37,4,FALSE)*'T50'!AA113</f>
        <v>0</v>
      </c>
      <c r="AB113" s="1100">
        <f>VLOOKUP(AB$1,'cost per tipologia de sòl'!$A$2:$D$37,4,FALSE)*'T50'!AB113</f>
        <v>4084050.95</v>
      </c>
      <c r="AC113" s="1100">
        <f>VLOOKUP(AC$1,'cost per tipologia de sòl'!$A$2:$D$37,4,FALSE)*'T50'!AC113</f>
        <v>0</v>
      </c>
      <c r="AD113" s="1100">
        <f>VLOOKUP(AD$1,'cost per tipologia de sòl'!$A$2:$D$37,4,FALSE)*'T50'!AD113</f>
        <v>263917.60000000003</v>
      </c>
      <c r="AE113" s="1100">
        <f>VLOOKUP(AE$1,'cost per tipologia de sòl'!$A$2:$D$37,4,FALSE)*'T50'!AE113</f>
        <v>0</v>
      </c>
      <c r="AF113" s="1100">
        <f>VLOOKUP(AF$1,'cost per tipologia de sòl'!$A$2:$D$37,4,FALSE)*'T50'!AF113</f>
        <v>0</v>
      </c>
      <c r="AG113" s="1100">
        <f>VLOOKUP(AG$1,'cost per tipologia de sòl'!$A$2:$D$37,4,FALSE)*'T50'!AG113</f>
        <v>0</v>
      </c>
      <c r="AH113" s="1100">
        <f>VLOOKUP(AH$1,'cost per tipologia de sòl'!$A$2:$D$37,4,FALSE)*'T50'!AH113</f>
        <v>0</v>
      </c>
      <c r="AI113" s="1100">
        <f>VLOOKUP(AI$1,'cost per tipologia de sòl'!$A$2:$D$37,4,FALSE)*'T50'!AI113</f>
        <v>0</v>
      </c>
      <c r="AJ113" s="1100">
        <f t="shared" si="2"/>
        <v>4402570.6500000004</v>
      </c>
      <c r="AK113" s="1098">
        <f t="shared" si="3"/>
        <v>1.3207711950000001</v>
      </c>
    </row>
    <row r="114" spans="1:37">
      <c r="A114" s="1099" t="s">
        <v>1028</v>
      </c>
      <c r="B114" s="1100">
        <f>VLOOKUP(B$1,'cost per tipologia de sòl'!$A$2:$D$37,4,FALSE)*'T50'!B114</f>
        <v>0</v>
      </c>
      <c r="C114" s="1100">
        <f>VLOOKUP(C$1,'cost per tipologia de sòl'!$A$2:$D$37,4,FALSE)*'T50'!C114</f>
        <v>0</v>
      </c>
      <c r="D114" s="1100">
        <f>VLOOKUP(D$1,'cost per tipologia de sòl'!$A$2:$D$37,4,FALSE)*'T50'!D114</f>
        <v>0</v>
      </c>
      <c r="E114" s="1100">
        <f>VLOOKUP(E$1,'cost per tipologia de sòl'!$A$2:$D$37,4,FALSE)*'T50'!E114</f>
        <v>0</v>
      </c>
      <c r="F114" s="1100">
        <f>VLOOKUP(F$1,'cost per tipologia de sòl'!$A$2:$D$37,4,FALSE)*'T50'!F114</f>
        <v>0</v>
      </c>
      <c r="G114" s="1100">
        <f>VLOOKUP(G$1,'cost per tipologia de sòl'!$A$2:$D$37,4,FALSE)*'T50'!G114</f>
        <v>0</v>
      </c>
      <c r="H114" s="1100">
        <f>VLOOKUP(H$1,'cost per tipologia de sòl'!$A$2:$D$37,4,FALSE)*'T50'!H114</f>
        <v>0</v>
      </c>
      <c r="I114" s="1100">
        <f>VLOOKUP(I$1,'cost per tipologia de sòl'!$A$2:$D$37,4,FALSE)*'T50'!I114</f>
        <v>0</v>
      </c>
      <c r="J114" s="1100">
        <f>VLOOKUP(J$1,'cost per tipologia de sòl'!$A$2:$D$37,4,FALSE)*'T50'!J114</f>
        <v>0</v>
      </c>
      <c r="K114" s="1100">
        <f>VLOOKUP(K$1,'cost per tipologia de sòl'!$A$2:$D$37,4,FALSE)*'T50'!K114</f>
        <v>0</v>
      </c>
      <c r="L114" s="1100">
        <f>VLOOKUP(L$1,'cost per tipologia de sòl'!$A$2:$D$37,4,FALSE)*'T50'!L114</f>
        <v>0</v>
      </c>
      <c r="M114" s="1100">
        <f>VLOOKUP(M$1,'cost per tipologia de sòl'!$A$2:$D$37,4,FALSE)*'T50'!M114</f>
        <v>0</v>
      </c>
      <c r="N114" s="1100">
        <f>VLOOKUP(N$1,'cost per tipologia de sòl'!$A$2:$D$37,4,FALSE)*'T50'!N114</f>
        <v>0</v>
      </c>
      <c r="O114" s="1100">
        <f>VLOOKUP(O$1,'cost per tipologia de sòl'!$A$2:$D$37,4,FALSE)*'T50'!O114</f>
        <v>0</v>
      </c>
      <c r="P114" s="1100">
        <f>VLOOKUP(P$1,'cost per tipologia de sòl'!$A$2:$D$37,4,FALSE)*'T50'!P114</f>
        <v>0</v>
      </c>
      <c r="Q114" s="1100">
        <f>VLOOKUP(Q$1,'cost per tipologia de sòl'!$A$2:$D$37,4,FALSE)*'T50'!Q114</f>
        <v>0</v>
      </c>
      <c r="R114" s="1100">
        <f>VLOOKUP(R$1,'cost per tipologia de sòl'!$A$2:$D$37,4,FALSE)*'T50'!R114</f>
        <v>0</v>
      </c>
      <c r="S114" s="1100">
        <f>VLOOKUP(S$1,'cost per tipologia de sòl'!$A$2:$D$37,4,FALSE)*'T50'!S114</f>
        <v>0</v>
      </c>
      <c r="T114" s="1100">
        <f>VLOOKUP(T$1,'cost per tipologia de sòl'!$A$2:$D$37,4,FALSE)*'T50'!T114</f>
        <v>0</v>
      </c>
      <c r="U114" s="1100">
        <f>VLOOKUP(U$1,'cost per tipologia de sòl'!$A$2:$D$37,4,FALSE)*'T50'!U114</f>
        <v>0</v>
      </c>
      <c r="V114" s="1100">
        <f>VLOOKUP(V$1,'cost per tipologia de sòl'!$A$2:$D$37,4,FALSE)*'T50'!V114</f>
        <v>0</v>
      </c>
      <c r="W114" s="1100">
        <f>VLOOKUP(W$1,'cost per tipologia de sòl'!$A$2:$D$37,4,FALSE)*'T50'!W114</f>
        <v>0</v>
      </c>
      <c r="X114" s="1100">
        <f>VLOOKUP(X$1,'cost per tipologia de sòl'!$A$2:$D$37,4,FALSE)*'T50'!X114</f>
        <v>0</v>
      </c>
      <c r="Y114" s="1100">
        <f>VLOOKUP(Y$1,'cost per tipologia de sòl'!$A$2:$D$37,4,FALSE)*'T50'!Y114</f>
        <v>0</v>
      </c>
      <c r="Z114" s="1100">
        <f>VLOOKUP(Z$1,'cost per tipologia de sòl'!$A$2:$D$37,4,FALSE)*'T50'!Z114</f>
        <v>0</v>
      </c>
      <c r="AA114" s="1100">
        <f>VLOOKUP(AA$1,'cost per tipologia de sòl'!$A$2:$D$37,4,FALSE)*'T50'!AA114</f>
        <v>0</v>
      </c>
      <c r="AB114" s="1100">
        <f>VLOOKUP(AB$1,'cost per tipologia de sòl'!$A$2:$D$37,4,FALSE)*'T50'!AB114</f>
        <v>0</v>
      </c>
      <c r="AC114" s="1100">
        <f>VLOOKUP(AC$1,'cost per tipologia de sòl'!$A$2:$D$37,4,FALSE)*'T50'!AC114</f>
        <v>0</v>
      </c>
      <c r="AD114" s="1100">
        <f>VLOOKUP(AD$1,'cost per tipologia de sòl'!$A$2:$D$37,4,FALSE)*'T50'!AD114</f>
        <v>1505614.1500000001</v>
      </c>
      <c r="AE114" s="1100">
        <f>VLOOKUP(AE$1,'cost per tipologia de sòl'!$A$2:$D$37,4,FALSE)*'T50'!AE114</f>
        <v>0</v>
      </c>
      <c r="AF114" s="1100">
        <f>VLOOKUP(AF$1,'cost per tipologia de sòl'!$A$2:$D$37,4,FALSE)*'T50'!AF114</f>
        <v>0</v>
      </c>
      <c r="AG114" s="1100">
        <f>VLOOKUP(AG$1,'cost per tipologia de sòl'!$A$2:$D$37,4,FALSE)*'T50'!AG114</f>
        <v>0</v>
      </c>
      <c r="AH114" s="1100">
        <f>VLOOKUP(AH$1,'cost per tipologia de sòl'!$A$2:$D$37,4,FALSE)*'T50'!AH114</f>
        <v>0</v>
      </c>
      <c r="AI114" s="1100">
        <f>VLOOKUP(AI$1,'cost per tipologia de sòl'!$A$2:$D$37,4,FALSE)*'T50'!AI114</f>
        <v>0</v>
      </c>
      <c r="AJ114" s="1100">
        <f t="shared" si="2"/>
        <v>1505614.1500000001</v>
      </c>
      <c r="AK114" s="1098">
        <f t="shared" si="3"/>
        <v>0.4516842450000001</v>
      </c>
    </row>
    <row r="115" spans="1:37">
      <c r="A115" s="1099" t="s">
        <v>1464</v>
      </c>
      <c r="B115" s="1100">
        <f>VLOOKUP(B$1,'cost per tipologia de sòl'!$A$2:$D$37,4,FALSE)*'T50'!B115</f>
        <v>121380219.99000001</v>
      </c>
      <c r="C115" s="1100">
        <f>VLOOKUP(C$1,'cost per tipologia de sòl'!$A$2:$D$37,4,FALSE)*'T50'!C115</f>
        <v>5835016.676</v>
      </c>
      <c r="D115" s="1100">
        <f>VLOOKUP(D$1,'cost per tipologia de sòl'!$A$2:$D$37,4,FALSE)*'T50'!D115</f>
        <v>1557863.2980000002</v>
      </c>
      <c r="E115" s="1100">
        <f>VLOOKUP(E$1,'cost per tipologia de sòl'!$A$2:$D$37,4,FALSE)*'T50'!E115</f>
        <v>0</v>
      </c>
      <c r="F115" s="1100">
        <f>VLOOKUP(F$1,'cost per tipologia de sòl'!$A$2:$D$37,4,FALSE)*'T50'!F115</f>
        <v>0</v>
      </c>
      <c r="G115" s="1100">
        <f>VLOOKUP(G$1,'cost per tipologia de sòl'!$A$2:$D$37,4,FALSE)*'T50'!G115</f>
        <v>0</v>
      </c>
      <c r="H115" s="1100">
        <f>VLOOKUP(H$1,'cost per tipologia de sòl'!$A$2:$D$37,4,FALSE)*'T50'!H115</f>
        <v>0</v>
      </c>
      <c r="I115" s="1100">
        <f>VLOOKUP(I$1,'cost per tipologia de sòl'!$A$2:$D$37,4,FALSE)*'T50'!I115</f>
        <v>0</v>
      </c>
      <c r="J115" s="1100">
        <f>VLOOKUP(J$1,'cost per tipologia de sòl'!$A$2:$D$37,4,FALSE)*'T50'!J115</f>
        <v>0</v>
      </c>
      <c r="K115" s="1100">
        <f>VLOOKUP(K$1,'cost per tipologia de sòl'!$A$2:$D$37,4,FALSE)*'T50'!K115</f>
        <v>0</v>
      </c>
      <c r="L115" s="1100">
        <f>VLOOKUP(L$1,'cost per tipologia de sòl'!$A$2:$D$37,4,FALSE)*'T50'!L115</f>
        <v>899256.44699999993</v>
      </c>
      <c r="M115" s="1100">
        <f>VLOOKUP(M$1,'cost per tipologia de sòl'!$A$2:$D$37,4,FALSE)*'T50'!M115</f>
        <v>5248263.8320000004</v>
      </c>
      <c r="N115" s="1100">
        <f>VLOOKUP(N$1,'cost per tipologia de sòl'!$A$2:$D$37,4,FALSE)*'T50'!N115</f>
        <v>0</v>
      </c>
      <c r="O115" s="1100">
        <f>VLOOKUP(O$1,'cost per tipologia de sòl'!$A$2:$D$37,4,FALSE)*'T50'!O115</f>
        <v>0</v>
      </c>
      <c r="P115" s="1100">
        <f>VLOOKUP(P$1,'cost per tipologia de sòl'!$A$2:$D$37,4,FALSE)*'T50'!P115</f>
        <v>0</v>
      </c>
      <c r="Q115" s="1100">
        <f>VLOOKUP(Q$1,'cost per tipologia de sòl'!$A$2:$D$37,4,FALSE)*'T50'!Q115</f>
        <v>0</v>
      </c>
      <c r="R115" s="1100">
        <f>VLOOKUP(R$1,'cost per tipologia de sòl'!$A$2:$D$37,4,FALSE)*'T50'!R115</f>
        <v>0</v>
      </c>
      <c r="S115" s="1100">
        <f>VLOOKUP(S$1,'cost per tipologia de sòl'!$A$2:$D$37,4,FALSE)*'T50'!S115</f>
        <v>16081214.687999999</v>
      </c>
      <c r="T115" s="1100">
        <f>VLOOKUP(T$1,'cost per tipologia de sòl'!$A$2:$D$37,4,FALSE)*'T50'!T115</f>
        <v>7703314.1630000006</v>
      </c>
      <c r="U115" s="1100">
        <f>VLOOKUP(U$1,'cost per tipologia de sòl'!$A$2:$D$37,4,FALSE)*'T50'!U115</f>
        <v>0</v>
      </c>
      <c r="V115" s="1100">
        <f>VLOOKUP(V$1,'cost per tipologia de sòl'!$A$2:$D$37,4,FALSE)*'T50'!V115</f>
        <v>2146548.6799999997</v>
      </c>
      <c r="W115" s="1100">
        <f>VLOOKUP(W$1,'cost per tipologia de sòl'!$A$2:$D$37,4,FALSE)*'T50'!W115</f>
        <v>0</v>
      </c>
      <c r="X115" s="1100">
        <f>VLOOKUP(X$1,'cost per tipologia de sòl'!$A$2:$D$37,4,FALSE)*'T50'!X115</f>
        <v>0</v>
      </c>
      <c r="Y115" s="1100">
        <f>VLOOKUP(Y$1,'cost per tipologia de sòl'!$A$2:$D$37,4,FALSE)*'T50'!Y115</f>
        <v>0</v>
      </c>
      <c r="Z115" s="1100">
        <f>VLOOKUP(Z$1,'cost per tipologia de sòl'!$A$2:$D$37,4,FALSE)*'T50'!Z115</f>
        <v>20610.72</v>
      </c>
      <c r="AA115" s="1100">
        <f>VLOOKUP(AA$1,'cost per tipologia de sòl'!$A$2:$D$37,4,FALSE)*'T50'!AA115</f>
        <v>0</v>
      </c>
      <c r="AB115" s="1100">
        <f>VLOOKUP(AB$1,'cost per tipologia de sòl'!$A$2:$D$37,4,FALSE)*'T50'!AB115</f>
        <v>0</v>
      </c>
      <c r="AC115" s="1100">
        <f>VLOOKUP(AC$1,'cost per tipologia de sòl'!$A$2:$D$37,4,FALSE)*'T50'!AC115</f>
        <v>31967897.100000001</v>
      </c>
      <c r="AD115" s="1100">
        <f>VLOOKUP(AD$1,'cost per tipologia de sòl'!$A$2:$D$37,4,FALSE)*'T50'!AD115</f>
        <v>19661147.75</v>
      </c>
      <c r="AE115" s="1100">
        <f>VLOOKUP(AE$1,'cost per tipologia de sòl'!$A$2:$D$37,4,FALSE)*'T50'!AE115</f>
        <v>0</v>
      </c>
      <c r="AF115" s="1100">
        <f>VLOOKUP(AF$1,'cost per tipologia de sòl'!$A$2:$D$37,4,FALSE)*'T50'!AF115</f>
        <v>0</v>
      </c>
      <c r="AG115" s="1100">
        <f>VLOOKUP(AG$1,'cost per tipologia de sòl'!$A$2:$D$37,4,FALSE)*'T50'!AG115</f>
        <v>0</v>
      </c>
      <c r="AH115" s="1100">
        <f>VLOOKUP(AH$1,'cost per tipologia de sòl'!$A$2:$D$37,4,FALSE)*'T50'!AH115</f>
        <v>0</v>
      </c>
      <c r="AI115" s="1100">
        <f>VLOOKUP(AI$1,'cost per tipologia de sòl'!$A$2:$D$37,4,FALSE)*'T50'!AI115</f>
        <v>0</v>
      </c>
      <c r="AJ115" s="1100">
        <f t="shared" si="2"/>
        <v>212501353.34399998</v>
      </c>
      <c r="AK115" s="1098">
        <f t="shared" si="3"/>
        <v>63.750406003199998</v>
      </c>
    </row>
    <row r="116" spans="1:37">
      <c r="A116" s="1099" t="s">
        <v>1473</v>
      </c>
      <c r="B116" s="1100">
        <f>VLOOKUP(B$1,'cost per tipologia de sòl'!$A$2:$D$37,4,FALSE)*'T50'!B116</f>
        <v>433327.788</v>
      </c>
      <c r="C116" s="1100">
        <f>VLOOKUP(C$1,'cost per tipologia de sòl'!$A$2:$D$37,4,FALSE)*'T50'!C116</f>
        <v>0</v>
      </c>
      <c r="D116" s="1100">
        <f>VLOOKUP(D$1,'cost per tipologia de sòl'!$A$2:$D$37,4,FALSE)*'T50'!D116</f>
        <v>0</v>
      </c>
      <c r="E116" s="1100">
        <f>VLOOKUP(E$1,'cost per tipologia de sòl'!$A$2:$D$37,4,FALSE)*'T50'!E116</f>
        <v>0</v>
      </c>
      <c r="F116" s="1100">
        <f>VLOOKUP(F$1,'cost per tipologia de sòl'!$A$2:$D$37,4,FALSE)*'T50'!F116</f>
        <v>0</v>
      </c>
      <c r="G116" s="1100">
        <f>VLOOKUP(G$1,'cost per tipologia de sòl'!$A$2:$D$37,4,FALSE)*'T50'!G116</f>
        <v>0</v>
      </c>
      <c r="H116" s="1100">
        <f>VLOOKUP(H$1,'cost per tipologia de sòl'!$A$2:$D$37,4,FALSE)*'T50'!H116</f>
        <v>0</v>
      </c>
      <c r="I116" s="1100">
        <f>VLOOKUP(I$1,'cost per tipologia de sòl'!$A$2:$D$37,4,FALSE)*'T50'!I116</f>
        <v>0</v>
      </c>
      <c r="J116" s="1100">
        <f>VLOOKUP(J$1,'cost per tipologia de sòl'!$A$2:$D$37,4,FALSE)*'T50'!J116</f>
        <v>115136.51049999999</v>
      </c>
      <c r="K116" s="1100">
        <f>VLOOKUP(K$1,'cost per tipologia de sòl'!$A$2:$D$37,4,FALSE)*'T50'!K116</f>
        <v>0</v>
      </c>
      <c r="L116" s="1100">
        <f>VLOOKUP(L$1,'cost per tipologia de sòl'!$A$2:$D$37,4,FALSE)*'T50'!L116</f>
        <v>0</v>
      </c>
      <c r="M116" s="1100">
        <f>VLOOKUP(M$1,'cost per tipologia de sòl'!$A$2:$D$37,4,FALSE)*'T50'!M116</f>
        <v>0</v>
      </c>
      <c r="N116" s="1100">
        <f>VLOOKUP(N$1,'cost per tipologia de sòl'!$A$2:$D$37,4,FALSE)*'T50'!N116</f>
        <v>0</v>
      </c>
      <c r="O116" s="1100">
        <f>VLOOKUP(O$1,'cost per tipologia de sòl'!$A$2:$D$37,4,FALSE)*'T50'!O116</f>
        <v>0</v>
      </c>
      <c r="P116" s="1100">
        <f>VLOOKUP(P$1,'cost per tipologia de sòl'!$A$2:$D$37,4,FALSE)*'T50'!P116</f>
        <v>0</v>
      </c>
      <c r="Q116" s="1100">
        <f>VLOOKUP(Q$1,'cost per tipologia de sòl'!$A$2:$D$37,4,FALSE)*'T50'!Q116</f>
        <v>0</v>
      </c>
      <c r="R116" s="1100">
        <f>VLOOKUP(R$1,'cost per tipologia de sòl'!$A$2:$D$37,4,FALSE)*'T50'!R116</f>
        <v>0</v>
      </c>
      <c r="S116" s="1100">
        <f>VLOOKUP(S$1,'cost per tipologia de sòl'!$A$2:$D$37,4,FALSE)*'T50'!S116</f>
        <v>0</v>
      </c>
      <c r="T116" s="1100">
        <f>VLOOKUP(T$1,'cost per tipologia de sòl'!$A$2:$D$37,4,FALSE)*'T50'!T116</f>
        <v>570411.255</v>
      </c>
      <c r="U116" s="1100">
        <f>VLOOKUP(U$1,'cost per tipologia de sòl'!$A$2:$D$37,4,FALSE)*'T50'!U116</f>
        <v>0</v>
      </c>
      <c r="V116" s="1100">
        <f>VLOOKUP(V$1,'cost per tipologia de sòl'!$A$2:$D$37,4,FALSE)*'T50'!V116</f>
        <v>0</v>
      </c>
      <c r="W116" s="1100">
        <f>VLOOKUP(W$1,'cost per tipologia de sòl'!$A$2:$D$37,4,FALSE)*'T50'!W116</f>
        <v>0</v>
      </c>
      <c r="X116" s="1100">
        <f>VLOOKUP(X$1,'cost per tipologia de sòl'!$A$2:$D$37,4,FALSE)*'T50'!X116</f>
        <v>0</v>
      </c>
      <c r="Y116" s="1100">
        <f>VLOOKUP(Y$1,'cost per tipologia de sòl'!$A$2:$D$37,4,FALSE)*'T50'!Y116</f>
        <v>0</v>
      </c>
      <c r="Z116" s="1100">
        <f>VLOOKUP(Z$1,'cost per tipologia de sòl'!$A$2:$D$37,4,FALSE)*'T50'!Z116</f>
        <v>3593415.9079999998</v>
      </c>
      <c r="AA116" s="1100">
        <f>VLOOKUP(AA$1,'cost per tipologia de sòl'!$A$2:$D$37,4,FALSE)*'T50'!AA116</f>
        <v>0</v>
      </c>
      <c r="AB116" s="1100">
        <f>VLOOKUP(AB$1,'cost per tipologia de sòl'!$A$2:$D$37,4,FALSE)*'T50'!AB116</f>
        <v>0</v>
      </c>
      <c r="AC116" s="1100">
        <f>VLOOKUP(AC$1,'cost per tipologia de sòl'!$A$2:$D$37,4,FALSE)*'T50'!AC116</f>
        <v>155728.75</v>
      </c>
      <c r="AD116" s="1100">
        <f>VLOOKUP(AD$1,'cost per tipologia de sòl'!$A$2:$D$37,4,FALSE)*'T50'!AD116</f>
        <v>1141010.8</v>
      </c>
      <c r="AE116" s="1100">
        <f>VLOOKUP(AE$1,'cost per tipologia de sòl'!$A$2:$D$37,4,FALSE)*'T50'!AE116</f>
        <v>0</v>
      </c>
      <c r="AF116" s="1100">
        <f>VLOOKUP(AF$1,'cost per tipologia de sòl'!$A$2:$D$37,4,FALSE)*'T50'!AF116</f>
        <v>0</v>
      </c>
      <c r="AG116" s="1100">
        <f>VLOOKUP(AG$1,'cost per tipologia de sòl'!$A$2:$D$37,4,FALSE)*'T50'!AG116</f>
        <v>0</v>
      </c>
      <c r="AH116" s="1100">
        <f>VLOOKUP(AH$1,'cost per tipologia de sòl'!$A$2:$D$37,4,FALSE)*'T50'!AH116</f>
        <v>0</v>
      </c>
      <c r="AI116" s="1100">
        <f>VLOOKUP(AI$1,'cost per tipologia de sòl'!$A$2:$D$37,4,FALSE)*'T50'!AI116</f>
        <v>0</v>
      </c>
      <c r="AJ116" s="1100">
        <f t="shared" si="2"/>
        <v>6009031.0115</v>
      </c>
      <c r="AK116" s="1098">
        <f t="shared" si="3"/>
        <v>1.8027093034499999</v>
      </c>
    </row>
    <row r="117" spans="1:37">
      <c r="A117" s="1099" t="s">
        <v>1482</v>
      </c>
      <c r="B117" s="1100">
        <f>VLOOKUP(B$1,'cost per tipologia de sòl'!$A$2:$D$37,4,FALSE)*'T50'!B117</f>
        <v>23185027.655999999</v>
      </c>
      <c r="C117" s="1100">
        <f>VLOOKUP(C$1,'cost per tipologia de sòl'!$A$2:$D$37,4,FALSE)*'T50'!C117</f>
        <v>3644822.3319999999</v>
      </c>
      <c r="D117" s="1100">
        <f>VLOOKUP(D$1,'cost per tipologia de sòl'!$A$2:$D$37,4,FALSE)*'T50'!D117</f>
        <v>0</v>
      </c>
      <c r="E117" s="1100">
        <f>VLOOKUP(E$1,'cost per tipologia de sòl'!$A$2:$D$37,4,FALSE)*'T50'!E117</f>
        <v>0</v>
      </c>
      <c r="F117" s="1100">
        <f>VLOOKUP(F$1,'cost per tipologia de sòl'!$A$2:$D$37,4,FALSE)*'T50'!F117</f>
        <v>0</v>
      </c>
      <c r="G117" s="1100">
        <f>VLOOKUP(G$1,'cost per tipologia de sòl'!$A$2:$D$37,4,FALSE)*'T50'!G117</f>
        <v>0</v>
      </c>
      <c r="H117" s="1100">
        <f>VLOOKUP(H$1,'cost per tipologia de sòl'!$A$2:$D$37,4,FALSE)*'T50'!H117</f>
        <v>0</v>
      </c>
      <c r="I117" s="1100">
        <f>VLOOKUP(I$1,'cost per tipologia de sòl'!$A$2:$D$37,4,FALSE)*'T50'!I117</f>
        <v>0</v>
      </c>
      <c r="J117" s="1100">
        <f>VLOOKUP(J$1,'cost per tipologia de sòl'!$A$2:$D$37,4,FALSE)*'T50'!J117</f>
        <v>4620.8140000000003</v>
      </c>
      <c r="K117" s="1100">
        <f>VLOOKUP(K$1,'cost per tipologia de sòl'!$A$2:$D$37,4,FALSE)*'T50'!K117</f>
        <v>0</v>
      </c>
      <c r="L117" s="1100">
        <f>VLOOKUP(L$1,'cost per tipologia de sòl'!$A$2:$D$37,4,FALSE)*'T50'!L117</f>
        <v>0</v>
      </c>
      <c r="M117" s="1100">
        <f>VLOOKUP(M$1,'cost per tipologia de sòl'!$A$2:$D$37,4,FALSE)*'T50'!M117</f>
        <v>401163.304</v>
      </c>
      <c r="N117" s="1100">
        <f>VLOOKUP(N$1,'cost per tipologia de sòl'!$A$2:$D$37,4,FALSE)*'T50'!N117</f>
        <v>0</v>
      </c>
      <c r="O117" s="1100">
        <f>VLOOKUP(O$1,'cost per tipologia de sòl'!$A$2:$D$37,4,FALSE)*'T50'!O117</f>
        <v>4919508.2319999998</v>
      </c>
      <c r="P117" s="1100">
        <f>VLOOKUP(P$1,'cost per tipologia de sòl'!$A$2:$D$37,4,FALSE)*'T50'!P117</f>
        <v>0</v>
      </c>
      <c r="Q117" s="1100">
        <f>VLOOKUP(Q$1,'cost per tipologia de sòl'!$A$2:$D$37,4,FALSE)*'T50'!Q117</f>
        <v>0</v>
      </c>
      <c r="R117" s="1100">
        <f>VLOOKUP(R$1,'cost per tipologia de sòl'!$A$2:$D$37,4,FALSE)*'T50'!R117</f>
        <v>0</v>
      </c>
      <c r="S117" s="1100">
        <f>VLOOKUP(S$1,'cost per tipologia de sòl'!$A$2:$D$37,4,FALSE)*'T50'!S117</f>
        <v>36862964.208000004</v>
      </c>
      <c r="T117" s="1100">
        <f>VLOOKUP(T$1,'cost per tipologia de sòl'!$A$2:$D$37,4,FALSE)*'T50'!T117</f>
        <v>15053659.918</v>
      </c>
      <c r="U117" s="1100">
        <f>VLOOKUP(U$1,'cost per tipologia de sòl'!$A$2:$D$37,4,FALSE)*'T50'!U117</f>
        <v>0</v>
      </c>
      <c r="V117" s="1100">
        <f>VLOOKUP(V$1,'cost per tipologia de sòl'!$A$2:$D$37,4,FALSE)*'T50'!V117</f>
        <v>0</v>
      </c>
      <c r="W117" s="1100">
        <f>VLOOKUP(W$1,'cost per tipologia de sòl'!$A$2:$D$37,4,FALSE)*'T50'!W117</f>
        <v>0</v>
      </c>
      <c r="X117" s="1100">
        <f>VLOOKUP(X$1,'cost per tipologia de sòl'!$A$2:$D$37,4,FALSE)*'T50'!X117</f>
        <v>0</v>
      </c>
      <c r="Y117" s="1100">
        <f>VLOOKUP(Y$1,'cost per tipologia de sòl'!$A$2:$D$37,4,FALSE)*'T50'!Y117</f>
        <v>0</v>
      </c>
      <c r="Z117" s="1100">
        <f>VLOOKUP(Z$1,'cost per tipologia de sòl'!$A$2:$D$37,4,FALSE)*'T50'!Z117</f>
        <v>517962.51399999997</v>
      </c>
      <c r="AA117" s="1100">
        <f>VLOOKUP(AA$1,'cost per tipologia de sòl'!$A$2:$D$37,4,FALSE)*'T50'!AA117</f>
        <v>0</v>
      </c>
      <c r="AB117" s="1100">
        <f>VLOOKUP(AB$1,'cost per tipologia de sòl'!$A$2:$D$37,4,FALSE)*'T50'!AB117</f>
        <v>4286286.95</v>
      </c>
      <c r="AC117" s="1100">
        <f>VLOOKUP(AC$1,'cost per tipologia de sòl'!$A$2:$D$37,4,FALSE)*'T50'!AC117</f>
        <v>8543903.8499999996</v>
      </c>
      <c r="AD117" s="1100">
        <f>VLOOKUP(AD$1,'cost per tipologia de sòl'!$A$2:$D$37,4,FALSE)*'T50'!AD117</f>
        <v>19693076.300000001</v>
      </c>
      <c r="AE117" s="1100">
        <f>VLOOKUP(AE$1,'cost per tipologia de sòl'!$A$2:$D$37,4,FALSE)*'T50'!AE117</f>
        <v>0</v>
      </c>
      <c r="AF117" s="1100">
        <f>VLOOKUP(AF$1,'cost per tipologia de sòl'!$A$2:$D$37,4,FALSE)*'T50'!AF117</f>
        <v>0</v>
      </c>
      <c r="AG117" s="1100">
        <f>VLOOKUP(AG$1,'cost per tipologia de sòl'!$A$2:$D$37,4,FALSE)*'T50'!AG117</f>
        <v>0</v>
      </c>
      <c r="AH117" s="1100">
        <f>VLOOKUP(AH$1,'cost per tipologia de sòl'!$A$2:$D$37,4,FALSE)*'T50'!AH117</f>
        <v>0</v>
      </c>
      <c r="AI117" s="1100">
        <f>VLOOKUP(AI$1,'cost per tipologia de sòl'!$A$2:$D$37,4,FALSE)*'T50'!AI117</f>
        <v>0</v>
      </c>
      <c r="AJ117" s="1100">
        <f t="shared" si="2"/>
        <v>117112996.07799999</v>
      </c>
      <c r="AK117" s="1098">
        <f t="shared" si="3"/>
        <v>35.133898823399996</v>
      </c>
    </row>
    <row r="118" spans="1:37">
      <c r="A118" s="1099" t="s">
        <v>1481</v>
      </c>
      <c r="B118" s="1100">
        <f>VLOOKUP(B$1,'cost per tipologia de sòl'!$A$2:$D$37,4,FALSE)*'T50'!B118</f>
        <v>0</v>
      </c>
      <c r="C118" s="1100">
        <f>VLOOKUP(C$1,'cost per tipologia de sòl'!$A$2:$D$37,4,FALSE)*'T50'!C118</f>
        <v>0</v>
      </c>
      <c r="D118" s="1100">
        <f>VLOOKUP(D$1,'cost per tipologia de sòl'!$A$2:$D$37,4,FALSE)*'T50'!D118</f>
        <v>0</v>
      </c>
      <c r="E118" s="1100">
        <f>VLOOKUP(E$1,'cost per tipologia de sòl'!$A$2:$D$37,4,FALSE)*'T50'!E118</f>
        <v>0</v>
      </c>
      <c r="F118" s="1100">
        <f>VLOOKUP(F$1,'cost per tipologia de sòl'!$A$2:$D$37,4,FALSE)*'T50'!F118</f>
        <v>0</v>
      </c>
      <c r="G118" s="1100">
        <f>VLOOKUP(G$1,'cost per tipologia de sòl'!$A$2:$D$37,4,FALSE)*'T50'!G118</f>
        <v>0</v>
      </c>
      <c r="H118" s="1100">
        <f>VLOOKUP(H$1,'cost per tipologia de sòl'!$A$2:$D$37,4,FALSE)*'T50'!H118</f>
        <v>0</v>
      </c>
      <c r="I118" s="1100">
        <f>VLOOKUP(I$1,'cost per tipologia de sòl'!$A$2:$D$37,4,FALSE)*'T50'!I118</f>
        <v>0</v>
      </c>
      <c r="J118" s="1100">
        <f>VLOOKUP(J$1,'cost per tipologia de sòl'!$A$2:$D$37,4,FALSE)*'T50'!J118</f>
        <v>0</v>
      </c>
      <c r="K118" s="1100">
        <f>VLOOKUP(K$1,'cost per tipologia de sòl'!$A$2:$D$37,4,FALSE)*'T50'!K118</f>
        <v>0</v>
      </c>
      <c r="L118" s="1100">
        <f>VLOOKUP(L$1,'cost per tipologia de sòl'!$A$2:$D$37,4,FALSE)*'T50'!L118</f>
        <v>0</v>
      </c>
      <c r="M118" s="1100">
        <f>VLOOKUP(M$1,'cost per tipologia de sòl'!$A$2:$D$37,4,FALSE)*'T50'!M118</f>
        <v>0</v>
      </c>
      <c r="N118" s="1100">
        <f>VLOOKUP(N$1,'cost per tipologia de sòl'!$A$2:$D$37,4,FALSE)*'T50'!N118</f>
        <v>0</v>
      </c>
      <c r="O118" s="1100">
        <f>VLOOKUP(O$1,'cost per tipologia de sòl'!$A$2:$D$37,4,FALSE)*'T50'!O118</f>
        <v>0</v>
      </c>
      <c r="P118" s="1100">
        <f>VLOOKUP(P$1,'cost per tipologia de sòl'!$A$2:$D$37,4,FALSE)*'T50'!P118</f>
        <v>0</v>
      </c>
      <c r="Q118" s="1100">
        <f>VLOOKUP(Q$1,'cost per tipologia de sòl'!$A$2:$D$37,4,FALSE)*'T50'!Q118</f>
        <v>0</v>
      </c>
      <c r="R118" s="1100">
        <f>VLOOKUP(R$1,'cost per tipologia de sòl'!$A$2:$D$37,4,FALSE)*'T50'!R118</f>
        <v>0</v>
      </c>
      <c r="S118" s="1100">
        <f>VLOOKUP(S$1,'cost per tipologia de sòl'!$A$2:$D$37,4,FALSE)*'T50'!S118</f>
        <v>0</v>
      </c>
      <c r="T118" s="1100">
        <f>VLOOKUP(T$1,'cost per tipologia de sòl'!$A$2:$D$37,4,FALSE)*'T50'!T118</f>
        <v>6201881.4330000002</v>
      </c>
      <c r="U118" s="1100">
        <f>VLOOKUP(U$1,'cost per tipologia de sòl'!$A$2:$D$37,4,FALSE)*'T50'!U118</f>
        <v>10174236.449999999</v>
      </c>
      <c r="V118" s="1100">
        <f>VLOOKUP(V$1,'cost per tipologia de sòl'!$A$2:$D$37,4,FALSE)*'T50'!V118</f>
        <v>0</v>
      </c>
      <c r="W118" s="1100">
        <f>VLOOKUP(W$1,'cost per tipologia de sòl'!$A$2:$D$37,4,FALSE)*'T50'!W118</f>
        <v>0</v>
      </c>
      <c r="X118" s="1100">
        <f>VLOOKUP(X$1,'cost per tipologia de sòl'!$A$2:$D$37,4,FALSE)*'T50'!X118</f>
        <v>0</v>
      </c>
      <c r="Y118" s="1100">
        <f>VLOOKUP(Y$1,'cost per tipologia de sòl'!$A$2:$D$37,4,FALSE)*'T50'!Y118</f>
        <v>0</v>
      </c>
      <c r="Z118" s="1100">
        <f>VLOOKUP(Z$1,'cost per tipologia de sòl'!$A$2:$D$37,4,FALSE)*'T50'!Z118</f>
        <v>59867.975999999995</v>
      </c>
      <c r="AA118" s="1100">
        <f>VLOOKUP(AA$1,'cost per tipologia de sòl'!$A$2:$D$37,4,FALSE)*'T50'!AA118</f>
        <v>0</v>
      </c>
      <c r="AB118" s="1100">
        <f>VLOOKUP(AB$1,'cost per tipologia de sòl'!$A$2:$D$37,4,FALSE)*'T50'!AB118</f>
        <v>8218927.8500000006</v>
      </c>
      <c r="AC118" s="1100">
        <f>VLOOKUP(AC$1,'cost per tipologia de sòl'!$A$2:$D$37,4,FALSE)*'T50'!AC118</f>
        <v>0</v>
      </c>
      <c r="AD118" s="1100">
        <f>VLOOKUP(AD$1,'cost per tipologia de sòl'!$A$2:$D$37,4,FALSE)*'T50'!AD118</f>
        <v>38220434.200000003</v>
      </c>
      <c r="AE118" s="1100">
        <f>VLOOKUP(AE$1,'cost per tipologia de sòl'!$A$2:$D$37,4,FALSE)*'T50'!AE118</f>
        <v>0</v>
      </c>
      <c r="AF118" s="1100">
        <f>VLOOKUP(AF$1,'cost per tipologia de sòl'!$A$2:$D$37,4,FALSE)*'T50'!AF118</f>
        <v>0</v>
      </c>
      <c r="AG118" s="1100">
        <f>VLOOKUP(AG$1,'cost per tipologia de sòl'!$A$2:$D$37,4,FALSE)*'T50'!AG118</f>
        <v>0</v>
      </c>
      <c r="AH118" s="1100">
        <f>VLOOKUP(AH$1,'cost per tipologia de sòl'!$A$2:$D$37,4,FALSE)*'T50'!AH118</f>
        <v>0</v>
      </c>
      <c r="AI118" s="1100">
        <f>VLOOKUP(AI$1,'cost per tipologia de sòl'!$A$2:$D$37,4,FALSE)*'T50'!AI118</f>
        <v>0</v>
      </c>
      <c r="AJ118" s="1100">
        <f t="shared" si="2"/>
        <v>62875347.909000002</v>
      </c>
      <c r="AK118" s="1098">
        <f t="shared" si="3"/>
        <v>18.862604372699998</v>
      </c>
    </row>
    <row r="119" spans="1:37">
      <c r="A119" s="1099" t="s">
        <v>1746</v>
      </c>
      <c r="B119" s="1100">
        <f>VLOOKUP(B$1,'cost per tipologia de sòl'!$A$2:$D$37,4,FALSE)*'T50'!B119</f>
        <v>0</v>
      </c>
      <c r="C119" s="1100">
        <f>VLOOKUP(C$1,'cost per tipologia de sòl'!$A$2:$D$37,4,FALSE)*'T50'!C119</f>
        <v>0</v>
      </c>
      <c r="D119" s="1100">
        <f>VLOOKUP(D$1,'cost per tipologia de sòl'!$A$2:$D$37,4,FALSE)*'T50'!D119</f>
        <v>0</v>
      </c>
      <c r="E119" s="1100">
        <f>VLOOKUP(E$1,'cost per tipologia de sòl'!$A$2:$D$37,4,FALSE)*'T50'!E119</f>
        <v>0</v>
      </c>
      <c r="F119" s="1100">
        <f>VLOOKUP(F$1,'cost per tipologia de sòl'!$A$2:$D$37,4,FALSE)*'T50'!F119</f>
        <v>0</v>
      </c>
      <c r="G119" s="1100">
        <f>VLOOKUP(G$1,'cost per tipologia de sòl'!$A$2:$D$37,4,FALSE)*'T50'!G119</f>
        <v>0</v>
      </c>
      <c r="H119" s="1100">
        <f>VLOOKUP(H$1,'cost per tipologia de sòl'!$A$2:$D$37,4,FALSE)*'T50'!H119</f>
        <v>0</v>
      </c>
      <c r="I119" s="1100">
        <f>VLOOKUP(I$1,'cost per tipologia de sòl'!$A$2:$D$37,4,FALSE)*'T50'!I119</f>
        <v>0</v>
      </c>
      <c r="J119" s="1100">
        <f>VLOOKUP(J$1,'cost per tipologia de sòl'!$A$2:$D$37,4,FALSE)*'T50'!J119</f>
        <v>43541.365999999995</v>
      </c>
      <c r="K119" s="1100">
        <f>VLOOKUP(K$1,'cost per tipologia de sòl'!$A$2:$D$37,4,FALSE)*'T50'!K119</f>
        <v>0</v>
      </c>
      <c r="L119" s="1100">
        <f>VLOOKUP(L$1,'cost per tipologia de sòl'!$A$2:$D$37,4,FALSE)*'T50'!L119</f>
        <v>0</v>
      </c>
      <c r="M119" s="1100">
        <f>VLOOKUP(M$1,'cost per tipologia de sòl'!$A$2:$D$37,4,FALSE)*'T50'!M119</f>
        <v>0</v>
      </c>
      <c r="N119" s="1100">
        <f>VLOOKUP(N$1,'cost per tipologia de sòl'!$A$2:$D$37,4,FALSE)*'T50'!N119</f>
        <v>0</v>
      </c>
      <c r="O119" s="1100">
        <f>VLOOKUP(O$1,'cost per tipologia de sòl'!$A$2:$D$37,4,FALSE)*'T50'!O119</f>
        <v>0</v>
      </c>
      <c r="P119" s="1100">
        <f>VLOOKUP(P$1,'cost per tipologia de sòl'!$A$2:$D$37,4,FALSE)*'T50'!P119</f>
        <v>0</v>
      </c>
      <c r="Q119" s="1100">
        <f>VLOOKUP(Q$1,'cost per tipologia de sòl'!$A$2:$D$37,4,FALSE)*'T50'!Q119</f>
        <v>0</v>
      </c>
      <c r="R119" s="1100">
        <f>VLOOKUP(R$1,'cost per tipologia de sòl'!$A$2:$D$37,4,FALSE)*'T50'!R119</f>
        <v>0</v>
      </c>
      <c r="S119" s="1100">
        <f>VLOOKUP(S$1,'cost per tipologia de sòl'!$A$2:$D$37,4,FALSE)*'T50'!S119</f>
        <v>0</v>
      </c>
      <c r="T119" s="1100">
        <f>VLOOKUP(T$1,'cost per tipologia de sòl'!$A$2:$D$37,4,FALSE)*'T50'!T119</f>
        <v>0</v>
      </c>
      <c r="U119" s="1100">
        <f>VLOOKUP(U$1,'cost per tipologia de sòl'!$A$2:$D$37,4,FALSE)*'T50'!U119</f>
        <v>0</v>
      </c>
      <c r="V119" s="1100">
        <f>VLOOKUP(V$1,'cost per tipologia de sòl'!$A$2:$D$37,4,FALSE)*'T50'!V119</f>
        <v>0</v>
      </c>
      <c r="W119" s="1100">
        <f>VLOOKUP(W$1,'cost per tipologia de sòl'!$A$2:$D$37,4,FALSE)*'T50'!W119</f>
        <v>0</v>
      </c>
      <c r="X119" s="1100">
        <f>VLOOKUP(X$1,'cost per tipologia de sòl'!$A$2:$D$37,4,FALSE)*'T50'!X119</f>
        <v>0</v>
      </c>
      <c r="Y119" s="1100">
        <f>VLOOKUP(Y$1,'cost per tipologia de sòl'!$A$2:$D$37,4,FALSE)*'T50'!Y119</f>
        <v>0</v>
      </c>
      <c r="Z119" s="1100">
        <f>VLOOKUP(Z$1,'cost per tipologia de sòl'!$A$2:$D$37,4,FALSE)*'T50'!Z119</f>
        <v>0</v>
      </c>
      <c r="AA119" s="1100">
        <f>VLOOKUP(AA$1,'cost per tipologia de sòl'!$A$2:$D$37,4,FALSE)*'T50'!AA119</f>
        <v>0</v>
      </c>
      <c r="AB119" s="1100">
        <f>VLOOKUP(AB$1,'cost per tipologia de sòl'!$A$2:$D$37,4,FALSE)*'T50'!AB119</f>
        <v>0</v>
      </c>
      <c r="AC119" s="1100">
        <f>VLOOKUP(AC$1,'cost per tipologia de sòl'!$A$2:$D$37,4,FALSE)*'T50'!AC119</f>
        <v>0</v>
      </c>
      <c r="AD119" s="1100">
        <f>VLOOKUP(AD$1,'cost per tipologia de sòl'!$A$2:$D$37,4,FALSE)*'T50'!AD119</f>
        <v>86783.45</v>
      </c>
      <c r="AE119" s="1100">
        <f>VLOOKUP(AE$1,'cost per tipologia de sòl'!$A$2:$D$37,4,FALSE)*'T50'!AE119</f>
        <v>0</v>
      </c>
      <c r="AF119" s="1100">
        <f>VLOOKUP(AF$1,'cost per tipologia de sòl'!$A$2:$D$37,4,FALSE)*'T50'!AF119</f>
        <v>0</v>
      </c>
      <c r="AG119" s="1100">
        <f>VLOOKUP(AG$1,'cost per tipologia de sòl'!$A$2:$D$37,4,FALSE)*'T50'!AG119</f>
        <v>0</v>
      </c>
      <c r="AH119" s="1100">
        <f>VLOOKUP(AH$1,'cost per tipologia de sòl'!$A$2:$D$37,4,FALSE)*'T50'!AH119</f>
        <v>0</v>
      </c>
      <c r="AI119" s="1100">
        <f>VLOOKUP(AI$1,'cost per tipologia de sòl'!$A$2:$D$37,4,FALSE)*'T50'!AI119</f>
        <v>0</v>
      </c>
      <c r="AJ119" s="1100">
        <f t="shared" si="2"/>
        <v>130324.81599999999</v>
      </c>
      <c r="AK119" s="1098">
        <f t="shared" si="3"/>
        <v>3.9097444799999992E-2</v>
      </c>
    </row>
    <row r="120" spans="1:37">
      <c r="A120" s="1099" t="s">
        <v>1496</v>
      </c>
      <c r="B120" s="1100">
        <f>VLOOKUP(B$1,'cost per tipologia de sòl'!$A$2:$D$37,4,FALSE)*'T50'!B120</f>
        <v>16631171.676000001</v>
      </c>
      <c r="C120" s="1100">
        <f>VLOOKUP(C$1,'cost per tipologia de sòl'!$A$2:$D$37,4,FALSE)*'T50'!C120</f>
        <v>0</v>
      </c>
      <c r="D120" s="1100">
        <f>VLOOKUP(D$1,'cost per tipologia de sòl'!$A$2:$D$37,4,FALSE)*'T50'!D120</f>
        <v>224623.36199999999</v>
      </c>
      <c r="E120" s="1100">
        <f>VLOOKUP(E$1,'cost per tipologia de sòl'!$A$2:$D$37,4,FALSE)*'T50'!E120</f>
        <v>0</v>
      </c>
      <c r="F120" s="1100">
        <f>VLOOKUP(F$1,'cost per tipologia de sòl'!$A$2:$D$37,4,FALSE)*'T50'!F120</f>
        <v>0</v>
      </c>
      <c r="G120" s="1100">
        <f>VLOOKUP(G$1,'cost per tipologia de sòl'!$A$2:$D$37,4,FALSE)*'T50'!G120</f>
        <v>0</v>
      </c>
      <c r="H120" s="1100">
        <f>VLOOKUP(H$1,'cost per tipologia de sòl'!$A$2:$D$37,4,FALSE)*'T50'!H120</f>
        <v>0</v>
      </c>
      <c r="I120" s="1100">
        <f>VLOOKUP(I$1,'cost per tipologia de sòl'!$A$2:$D$37,4,FALSE)*'T50'!I120</f>
        <v>0</v>
      </c>
      <c r="J120" s="1100">
        <f>VLOOKUP(J$1,'cost per tipologia de sòl'!$A$2:$D$37,4,FALSE)*'T50'!J120</f>
        <v>3901.5185000000001</v>
      </c>
      <c r="K120" s="1100">
        <f>VLOOKUP(K$1,'cost per tipologia de sòl'!$A$2:$D$37,4,FALSE)*'T50'!K120</f>
        <v>0</v>
      </c>
      <c r="L120" s="1100">
        <f>VLOOKUP(L$1,'cost per tipologia de sòl'!$A$2:$D$37,4,FALSE)*'T50'!L120</f>
        <v>0</v>
      </c>
      <c r="M120" s="1100">
        <f>VLOOKUP(M$1,'cost per tipologia de sòl'!$A$2:$D$37,4,FALSE)*'T50'!M120</f>
        <v>420840.4</v>
      </c>
      <c r="N120" s="1100">
        <f>VLOOKUP(N$1,'cost per tipologia de sòl'!$A$2:$D$37,4,FALSE)*'T50'!N120</f>
        <v>0</v>
      </c>
      <c r="O120" s="1100">
        <f>VLOOKUP(O$1,'cost per tipologia de sòl'!$A$2:$D$37,4,FALSE)*'T50'!O120</f>
        <v>0</v>
      </c>
      <c r="P120" s="1100">
        <f>VLOOKUP(P$1,'cost per tipologia de sòl'!$A$2:$D$37,4,FALSE)*'T50'!P120</f>
        <v>1766421.2320000001</v>
      </c>
      <c r="Q120" s="1100">
        <f>VLOOKUP(Q$1,'cost per tipologia de sòl'!$A$2:$D$37,4,FALSE)*'T50'!Q120</f>
        <v>0</v>
      </c>
      <c r="R120" s="1100">
        <f>VLOOKUP(R$1,'cost per tipologia de sòl'!$A$2:$D$37,4,FALSE)*'T50'!R120</f>
        <v>0</v>
      </c>
      <c r="S120" s="1100">
        <f>VLOOKUP(S$1,'cost per tipologia de sòl'!$A$2:$D$37,4,FALSE)*'T50'!S120</f>
        <v>0</v>
      </c>
      <c r="T120" s="1100">
        <f>VLOOKUP(T$1,'cost per tipologia de sòl'!$A$2:$D$37,4,FALSE)*'T50'!T120</f>
        <v>335234.45699999999</v>
      </c>
      <c r="U120" s="1100">
        <f>VLOOKUP(U$1,'cost per tipologia de sòl'!$A$2:$D$37,4,FALSE)*'T50'!U120</f>
        <v>0</v>
      </c>
      <c r="V120" s="1100">
        <f>VLOOKUP(V$1,'cost per tipologia de sòl'!$A$2:$D$37,4,FALSE)*'T50'!V120</f>
        <v>0</v>
      </c>
      <c r="W120" s="1100">
        <f>VLOOKUP(W$1,'cost per tipologia de sòl'!$A$2:$D$37,4,FALSE)*'T50'!W120</f>
        <v>0</v>
      </c>
      <c r="X120" s="1100">
        <f>VLOOKUP(X$1,'cost per tipologia de sòl'!$A$2:$D$37,4,FALSE)*'T50'!X120</f>
        <v>0</v>
      </c>
      <c r="Y120" s="1100">
        <f>VLOOKUP(Y$1,'cost per tipologia de sòl'!$A$2:$D$37,4,FALSE)*'T50'!Y120</f>
        <v>0</v>
      </c>
      <c r="Z120" s="1100">
        <f>VLOOKUP(Z$1,'cost per tipologia de sòl'!$A$2:$D$37,4,FALSE)*'T50'!Z120</f>
        <v>31084.165999999997</v>
      </c>
      <c r="AA120" s="1100">
        <f>VLOOKUP(AA$1,'cost per tipologia de sòl'!$A$2:$D$37,4,FALSE)*'T50'!AA120</f>
        <v>0</v>
      </c>
      <c r="AB120" s="1100">
        <f>VLOOKUP(AB$1,'cost per tipologia de sòl'!$A$2:$D$37,4,FALSE)*'T50'!AB120</f>
        <v>19395.2</v>
      </c>
      <c r="AC120" s="1100">
        <f>VLOOKUP(AC$1,'cost per tipologia de sòl'!$A$2:$D$37,4,FALSE)*'T50'!AC120</f>
        <v>4243812.45</v>
      </c>
      <c r="AD120" s="1100">
        <f>VLOOKUP(AD$1,'cost per tipologia de sòl'!$A$2:$D$37,4,FALSE)*'T50'!AD120</f>
        <v>639478.25</v>
      </c>
      <c r="AE120" s="1100">
        <f>VLOOKUP(AE$1,'cost per tipologia de sòl'!$A$2:$D$37,4,FALSE)*'T50'!AE120</f>
        <v>0</v>
      </c>
      <c r="AF120" s="1100">
        <f>VLOOKUP(AF$1,'cost per tipologia de sòl'!$A$2:$D$37,4,FALSE)*'T50'!AF120</f>
        <v>0</v>
      </c>
      <c r="AG120" s="1100">
        <f>VLOOKUP(AG$1,'cost per tipologia de sòl'!$A$2:$D$37,4,FALSE)*'T50'!AG120</f>
        <v>0</v>
      </c>
      <c r="AH120" s="1100">
        <f>VLOOKUP(AH$1,'cost per tipologia de sòl'!$A$2:$D$37,4,FALSE)*'T50'!AH120</f>
        <v>0</v>
      </c>
      <c r="AI120" s="1100">
        <f>VLOOKUP(AI$1,'cost per tipologia de sòl'!$A$2:$D$37,4,FALSE)*'T50'!AI120</f>
        <v>0</v>
      </c>
      <c r="AJ120" s="1100">
        <f t="shared" si="2"/>
        <v>24315962.7115</v>
      </c>
      <c r="AK120" s="1098">
        <f t="shared" si="3"/>
        <v>7.2947888134500003</v>
      </c>
    </row>
    <row r="121" spans="1:37">
      <c r="A121" s="1099" t="s">
        <v>1511</v>
      </c>
      <c r="B121" s="1100">
        <f>VLOOKUP(B$1,'cost per tipologia de sòl'!$A$2:$D$37,4,FALSE)*'T50'!B121</f>
        <v>6723233.9100000001</v>
      </c>
      <c r="C121" s="1100">
        <f>VLOOKUP(C$1,'cost per tipologia de sòl'!$A$2:$D$37,4,FALSE)*'T50'!C121</f>
        <v>0</v>
      </c>
      <c r="D121" s="1100">
        <f>VLOOKUP(D$1,'cost per tipologia de sòl'!$A$2:$D$37,4,FALSE)*'T50'!D121</f>
        <v>995421.39</v>
      </c>
      <c r="E121" s="1100">
        <f>VLOOKUP(E$1,'cost per tipologia de sòl'!$A$2:$D$37,4,FALSE)*'T50'!E121</f>
        <v>0</v>
      </c>
      <c r="F121" s="1100">
        <f>VLOOKUP(F$1,'cost per tipologia de sòl'!$A$2:$D$37,4,FALSE)*'T50'!F121</f>
        <v>0</v>
      </c>
      <c r="G121" s="1100">
        <f>VLOOKUP(G$1,'cost per tipologia de sòl'!$A$2:$D$37,4,FALSE)*'T50'!G121</f>
        <v>0</v>
      </c>
      <c r="H121" s="1100">
        <f>VLOOKUP(H$1,'cost per tipologia de sòl'!$A$2:$D$37,4,FALSE)*'T50'!H121</f>
        <v>0</v>
      </c>
      <c r="I121" s="1100">
        <f>VLOOKUP(I$1,'cost per tipologia de sòl'!$A$2:$D$37,4,FALSE)*'T50'!I121</f>
        <v>0</v>
      </c>
      <c r="J121" s="1100">
        <f>VLOOKUP(J$1,'cost per tipologia de sòl'!$A$2:$D$37,4,FALSE)*'T50'!J121</f>
        <v>486981.99</v>
      </c>
      <c r="K121" s="1100">
        <f>VLOOKUP(K$1,'cost per tipologia de sòl'!$A$2:$D$37,4,FALSE)*'T50'!K121</f>
        <v>0</v>
      </c>
      <c r="L121" s="1100">
        <f>VLOOKUP(L$1,'cost per tipologia de sòl'!$A$2:$D$37,4,FALSE)*'T50'!L121</f>
        <v>0</v>
      </c>
      <c r="M121" s="1100">
        <f>VLOOKUP(M$1,'cost per tipologia de sòl'!$A$2:$D$37,4,FALSE)*'T50'!M121</f>
        <v>0</v>
      </c>
      <c r="N121" s="1100">
        <f>VLOOKUP(N$1,'cost per tipologia de sòl'!$A$2:$D$37,4,FALSE)*'T50'!N121</f>
        <v>557285.63199999998</v>
      </c>
      <c r="O121" s="1100">
        <f>VLOOKUP(O$1,'cost per tipologia de sòl'!$A$2:$D$37,4,FALSE)*'T50'!O121</f>
        <v>518269.65600000002</v>
      </c>
      <c r="P121" s="1100">
        <f>VLOOKUP(P$1,'cost per tipologia de sòl'!$A$2:$D$37,4,FALSE)*'T50'!P121</f>
        <v>34971.856</v>
      </c>
      <c r="Q121" s="1100">
        <f>VLOOKUP(Q$1,'cost per tipologia de sòl'!$A$2:$D$37,4,FALSE)*'T50'!Q121</f>
        <v>0</v>
      </c>
      <c r="R121" s="1100">
        <f>VLOOKUP(R$1,'cost per tipologia de sòl'!$A$2:$D$37,4,FALSE)*'T50'!R121</f>
        <v>0</v>
      </c>
      <c r="S121" s="1100">
        <f>VLOOKUP(S$1,'cost per tipologia de sòl'!$A$2:$D$37,4,FALSE)*'T50'!S121</f>
        <v>536281.19999999995</v>
      </c>
      <c r="T121" s="1100">
        <f>VLOOKUP(T$1,'cost per tipologia de sòl'!$A$2:$D$37,4,FALSE)*'T50'!T121</f>
        <v>482438.41600000003</v>
      </c>
      <c r="U121" s="1100">
        <f>VLOOKUP(U$1,'cost per tipologia de sòl'!$A$2:$D$37,4,FALSE)*'T50'!U121</f>
        <v>0</v>
      </c>
      <c r="V121" s="1100">
        <f>VLOOKUP(V$1,'cost per tipologia de sòl'!$A$2:$D$37,4,FALSE)*'T50'!V121</f>
        <v>0</v>
      </c>
      <c r="W121" s="1100">
        <f>VLOOKUP(W$1,'cost per tipologia de sòl'!$A$2:$D$37,4,FALSE)*'T50'!W121</f>
        <v>0</v>
      </c>
      <c r="X121" s="1100">
        <f>VLOOKUP(X$1,'cost per tipologia de sòl'!$A$2:$D$37,4,FALSE)*'T50'!X121</f>
        <v>0</v>
      </c>
      <c r="Y121" s="1100">
        <f>VLOOKUP(Y$1,'cost per tipologia de sòl'!$A$2:$D$37,4,FALSE)*'T50'!Y121</f>
        <v>0</v>
      </c>
      <c r="Z121" s="1100">
        <f>VLOOKUP(Z$1,'cost per tipologia de sòl'!$A$2:$D$37,4,FALSE)*'T50'!Z121</f>
        <v>205848.098</v>
      </c>
      <c r="AA121" s="1100">
        <f>VLOOKUP(AA$1,'cost per tipologia de sòl'!$A$2:$D$37,4,FALSE)*'T50'!AA121</f>
        <v>0</v>
      </c>
      <c r="AB121" s="1100">
        <f>VLOOKUP(AB$1,'cost per tipologia de sòl'!$A$2:$D$37,4,FALSE)*'T50'!AB121</f>
        <v>5752.25</v>
      </c>
      <c r="AC121" s="1100">
        <f>VLOOKUP(AC$1,'cost per tipologia de sòl'!$A$2:$D$37,4,FALSE)*'T50'!AC121</f>
        <v>1173386.8</v>
      </c>
      <c r="AD121" s="1100">
        <f>VLOOKUP(AD$1,'cost per tipologia de sòl'!$A$2:$D$37,4,FALSE)*'T50'!AD121</f>
        <v>1430299.0999999999</v>
      </c>
      <c r="AE121" s="1100">
        <f>VLOOKUP(AE$1,'cost per tipologia de sòl'!$A$2:$D$37,4,FALSE)*'T50'!AE121</f>
        <v>0</v>
      </c>
      <c r="AF121" s="1100">
        <f>VLOOKUP(AF$1,'cost per tipologia de sòl'!$A$2:$D$37,4,FALSE)*'T50'!AF121</f>
        <v>0</v>
      </c>
      <c r="AG121" s="1100">
        <f>VLOOKUP(AG$1,'cost per tipologia de sòl'!$A$2:$D$37,4,FALSE)*'T50'!AG121</f>
        <v>0</v>
      </c>
      <c r="AH121" s="1100">
        <f>VLOOKUP(AH$1,'cost per tipologia de sòl'!$A$2:$D$37,4,FALSE)*'T50'!AH121</f>
        <v>0</v>
      </c>
      <c r="AI121" s="1100">
        <f>VLOOKUP(AI$1,'cost per tipologia de sòl'!$A$2:$D$37,4,FALSE)*'T50'!AI121</f>
        <v>0</v>
      </c>
      <c r="AJ121" s="1100">
        <f t="shared" si="2"/>
        <v>13150170.297999999</v>
      </c>
      <c r="AK121" s="1098">
        <f t="shared" si="3"/>
        <v>3.9450510893999993</v>
      </c>
    </row>
    <row r="122" spans="1:37">
      <c r="A122" s="1099" t="s">
        <v>1523</v>
      </c>
      <c r="B122" s="1100">
        <f>VLOOKUP(B$1,'cost per tipologia de sòl'!$A$2:$D$37,4,FALSE)*'T50'!B122</f>
        <v>0</v>
      </c>
      <c r="C122" s="1100">
        <f>VLOOKUP(C$1,'cost per tipologia de sòl'!$A$2:$D$37,4,FALSE)*'T50'!C122</f>
        <v>0</v>
      </c>
      <c r="D122" s="1100">
        <f>VLOOKUP(D$1,'cost per tipologia de sòl'!$A$2:$D$37,4,FALSE)*'T50'!D122</f>
        <v>0</v>
      </c>
      <c r="E122" s="1100">
        <f>VLOOKUP(E$1,'cost per tipologia de sòl'!$A$2:$D$37,4,FALSE)*'T50'!E122</f>
        <v>0</v>
      </c>
      <c r="F122" s="1100">
        <f>VLOOKUP(F$1,'cost per tipologia de sòl'!$A$2:$D$37,4,FALSE)*'T50'!F122</f>
        <v>0</v>
      </c>
      <c r="G122" s="1100">
        <f>VLOOKUP(G$1,'cost per tipologia de sòl'!$A$2:$D$37,4,FALSE)*'T50'!G122</f>
        <v>0</v>
      </c>
      <c r="H122" s="1100">
        <f>VLOOKUP(H$1,'cost per tipologia de sòl'!$A$2:$D$37,4,FALSE)*'T50'!H122</f>
        <v>0</v>
      </c>
      <c r="I122" s="1100">
        <f>VLOOKUP(I$1,'cost per tipologia de sòl'!$A$2:$D$37,4,FALSE)*'T50'!I122</f>
        <v>0</v>
      </c>
      <c r="J122" s="1100">
        <f>VLOOKUP(J$1,'cost per tipologia de sòl'!$A$2:$D$37,4,FALSE)*'T50'!J122</f>
        <v>3854.6309999999999</v>
      </c>
      <c r="K122" s="1100">
        <f>VLOOKUP(K$1,'cost per tipologia de sòl'!$A$2:$D$37,4,FALSE)*'T50'!K122</f>
        <v>0</v>
      </c>
      <c r="L122" s="1100">
        <f>VLOOKUP(L$1,'cost per tipologia de sòl'!$A$2:$D$37,4,FALSE)*'T50'!L122</f>
        <v>0</v>
      </c>
      <c r="M122" s="1100">
        <f>VLOOKUP(M$1,'cost per tipologia de sòl'!$A$2:$D$37,4,FALSE)*'T50'!M122</f>
        <v>0</v>
      </c>
      <c r="N122" s="1100">
        <f>VLOOKUP(N$1,'cost per tipologia de sòl'!$A$2:$D$37,4,FALSE)*'T50'!N122</f>
        <v>0</v>
      </c>
      <c r="O122" s="1100">
        <f>VLOOKUP(O$1,'cost per tipologia de sòl'!$A$2:$D$37,4,FALSE)*'T50'!O122</f>
        <v>0</v>
      </c>
      <c r="P122" s="1100">
        <f>VLOOKUP(P$1,'cost per tipologia de sòl'!$A$2:$D$37,4,FALSE)*'T50'!P122</f>
        <v>0</v>
      </c>
      <c r="Q122" s="1100">
        <f>VLOOKUP(Q$1,'cost per tipologia de sòl'!$A$2:$D$37,4,FALSE)*'T50'!Q122</f>
        <v>0</v>
      </c>
      <c r="R122" s="1100">
        <f>VLOOKUP(R$1,'cost per tipologia de sòl'!$A$2:$D$37,4,FALSE)*'T50'!R122</f>
        <v>0</v>
      </c>
      <c r="S122" s="1100">
        <f>VLOOKUP(S$1,'cost per tipologia de sòl'!$A$2:$D$37,4,FALSE)*'T50'!S122</f>
        <v>0</v>
      </c>
      <c r="T122" s="1100">
        <f>VLOOKUP(T$1,'cost per tipologia de sòl'!$A$2:$D$37,4,FALSE)*'T50'!T122</f>
        <v>0</v>
      </c>
      <c r="U122" s="1100">
        <f>VLOOKUP(U$1,'cost per tipologia de sòl'!$A$2:$D$37,4,FALSE)*'T50'!U122</f>
        <v>0</v>
      </c>
      <c r="V122" s="1100">
        <f>VLOOKUP(V$1,'cost per tipologia de sòl'!$A$2:$D$37,4,FALSE)*'T50'!V122</f>
        <v>0</v>
      </c>
      <c r="W122" s="1100">
        <f>VLOOKUP(W$1,'cost per tipologia de sòl'!$A$2:$D$37,4,FALSE)*'T50'!W122</f>
        <v>0</v>
      </c>
      <c r="X122" s="1100">
        <f>VLOOKUP(X$1,'cost per tipologia de sòl'!$A$2:$D$37,4,FALSE)*'T50'!X122</f>
        <v>0</v>
      </c>
      <c r="Y122" s="1100">
        <f>VLOOKUP(Y$1,'cost per tipologia de sòl'!$A$2:$D$37,4,FALSE)*'T50'!Y122</f>
        <v>0</v>
      </c>
      <c r="Z122" s="1100">
        <f>VLOOKUP(Z$1,'cost per tipologia de sòl'!$A$2:$D$37,4,FALSE)*'T50'!Z122</f>
        <v>0</v>
      </c>
      <c r="AA122" s="1100">
        <f>VLOOKUP(AA$1,'cost per tipologia de sòl'!$A$2:$D$37,4,FALSE)*'T50'!AA122</f>
        <v>0</v>
      </c>
      <c r="AB122" s="1100">
        <f>VLOOKUP(AB$1,'cost per tipologia de sòl'!$A$2:$D$37,4,FALSE)*'T50'!AB122</f>
        <v>175005.2</v>
      </c>
      <c r="AC122" s="1100">
        <f>VLOOKUP(AC$1,'cost per tipologia de sòl'!$A$2:$D$37,4,FALSE)*'T50'!AC122</f>
        <v>0</v>
      </c>
      <c r="AD122" s="1100">
        <f>VLOOKUP(AD$1,'cost per tipologia de sòl'!$A$2:$D$37,4,FALSE)*'T50'!AD122</f>
        <v>257028.19999999998</v>
      </c>
      <c r="AE122" s="1100">
        <f>VLOOKUP(AE$1,'cost per tipologia de sòl'!$A$2:$D$37,4,FALSE)*'T50'!AE122</f>
        <v>0</v>
      </c>
      <c r="AF122" s="1100">
        <f>VLOOKUP(AF$1,'cost per tipologia de sòl'!$A$2:$D$37,4,FALSE)*'T50'!AF122</f>
        <v>0</v>
      </c>
      <c r="AG122" s="1100">
        <f>VLOOKUP(AG$1,'cost per tipologia de sòl'!$A$2:$D$37,4,FALSE)*'T50'!AG122</f>
        <v>0</v>
      </c>
      <c r="AH122" s="1100">
        <f>VLOOKUP(AH$1,'cost per tipologia de sòl'!$A$2:$D$37,4,FALSE)*'T50'!AH122</f>
        <v>0</v>
      </c>
      <c r="AI122" s="1100">
        <f>VLOOKUP(AI$1,'cost per tipologia de sòl'!$A$2:$D$37,4,FALSE)*'T50'!AI122</f>
        <v>0</v>
      </c>
      <c r="AJ122" s="1100">
        <f t="shared" si="2"/>
        <v>435888.03099999996</v>
      </c>
      <c r="AK122" s="1098">
        <f t="shared" si="3"/>
        <v>0.1307664093</v>
      </c>
    </row>
    <row r="123" spans="1:37">
      <c r="A123" s="1099" t="s">
        <v>1524</v>
      </c>
      <c r="B123" s="1100">
        <f>VLOOKUP(B$1,'cost per tipologia de sòl'!$A$2:$D$37,4,FALSE)*'T50'!B123</f>
        <v>0</v>
      </c>
      <c r="C123" s="1100">
        <f>VLOOKUP(C$1,'cost per tipologia de sòl'!$A$2:$D$37,4,FALSE)*'T50'!C123</f>
        <v>0</v>
      </c>
      <c r="D123" s="1100">
        <f>VLOOKUP(D$1,'cost per tipologia de sòl'!$A$2:$D$37,4,FALSE)*'T50'!D123</f>
        <v>0</v>
      </c>
      <c r="E123" s="1100">
        <f>VLOOKUP(E$1,'cost per tipologia de sòl'!$A$2:$D$37,4,FALSE)*'T50'!E123</f>
        <v>0</v>
      </c>
      <c r="F123" s="1100">
        <f>VLOOKUP(F$1,'cost per tipologia de sòl'!$A$2:$D$37,4,FALSE)*'T50'!F123</f>
        <v>0</v>
      </c>
      <c r="G123" s="1100">
        <f>VLOOKUP(G$1,'cost per tipologia de sòl'!$A$2:$D$37,4,FALSE)*'T50'!G123</f>
        <v>0</v>
      </c>
      <c r="H123" s="1100">
        <f>VLOOKUP(H$1,'cost per tipologia de sòl'!$A$2:$D$37,4,FALSE)*'T50'!H123</f>
        <v>0</v>
      </c>
      <c r="I123" s="1100">
        <f>VLOOKUP(I$1,'cost per tipologia de sòl'!$A$2:$D$37,4,FALSE)*'T50'!I123</f>
        <v>0</v>
      </c>
      <c r="J123" s="1100">
        <f>VLOOKUP(J$1,'cost per tipologia de sòl'!$A$2:$D$37,4,FALSE)*'T50'!J123</f>
        <v>99610.015999999989</v>
      </c>
      <c r="K123" s="1100">
        <f>VLOOKUP(K$1,'cost per tipologia de sòl'!$A$2:$D$37,4,FALSE)*'T50'!K123</f>
        <v>0</v>
      </c>
      <c r="L123" s="1100">
        <f>VLOOKUP(L$1,'cost per tipologia de sòl'!$A$2:$D$37,4,FALSE)*'T50'!L123</f>
        <v>0</v>
      </c>
      <c r="M123" s="1100">
        <f>VLOOKUP(M$1,'cost per tipologia de sòl'!$A$2:$D$37,4,FALSE)*'T50'!M123</f>
        <v>0</v>
      </c>
      <c r="N123" s="1100">
        <f>VLOOKUP(N$1,'cost per tipologia de sòl'!$A$2:$D$37,4,FALSE)*'T50'!N123</f>
        <v>0</v>
      </c>
      <c r="O123" s="1100">
        <f>VLOOKUP(O$1,'cost per tipologia de sòl'!$A$2:$D$37,4,FALSE)*'T50'!O123</f>
        <v>0</v>
      </c>
      <c r="P123" s="1100">
        <f>VLOOKUP(P$1,'cost per tipologia de sòl'!$A$2:$D$37,4,FALSE)*'T50'!P123</f>
        <v>0</v>
      </c>
      <c r="Q123" s="1100">
        <f>VLOOKUP(Q$1,'cost per tipologia de sòl'!$A$2:$D$37,4,FALSE)*'T50'!Q123</f>
        <v>0</v>
      </c>
      <c r="R123" s="1100">
        <f>VLOOKUP(R$1,'cost per tipologia de sòl'!$A$2:$D$37,4,FALSE)*'T50'!R123</f>
        <v>0</v>
      </c>
      <c r="S123" s="1100">
        <f>VLOOKUP(S$1,'cost per tipologia de sòl'!$A$2:$D$37,4,FALSE)*'T50'!S123</f>
        <v>0</v>
      </c>
      <c r="T123" s="1100">
        <f>VLOOKUP(T$1,'cost per tipologia de sòl'!$A$2:$D$37,4,FALSE)*'T50'!T123</f>
        <v>0</v>
      </c>
      <c r="U123" s="1100">
        <f>VLOOKUP(U$1,'cost per tipologia de sòl'!$A$2:$D$37,4,FALSE)*'T50'!U123</f>
        <v>0</v>
      </c>
      <c r="V123" s="1100">
        <f>VLOOKUP(V$1,'cost per tipologia de sòl'!$A$2:$D$37,4,FALSE)*'T50'!V123</f>
        <v>0</v>
      </c>
      <c r="W123" s="1100">
        <f>VLOOKUP(W$1,'cost per tipologia de sòl'!$A$2:$D$37,4,FALSE)*'T50'!W123</f>
        <v>0</v>
      </c>
      <c r="X123" s="1100">
        <f>VLOOKUP(X$1,'cost per tipologia de sòl'!$A$2:$D$37,4,FALSE)*'T50'!X123</f>
        <v>0</v>
      </c>
      <c r="Y123" s="1100">
        <f>VLOOKUP(Y$1,'cost per tipologia de sòl'!$A$2:$D$37,4,FALSE)*'T50'!Y123</f>
        <v>0</v>
      </c>
      <c r="Z123" s="1100">
        <f>VLOOKUP(Z$1,'cost per tipologia de sòl'!$A$2:$D$37,4,FALSE)*'T50'!Z123</f>
        <v>0</v>
      </c>
      <c r="AA123" s="1100">
        <f>VLOOKUP(AA$1,'cost per tipologia de sòl'!$A$2:$D$37,4,FALSE)*'T50'!AA123</f>
        <v>0</v>
      </c>
      <c r="AB123" s="1100">
        <f>VLOOKUP(AB$1,'cost per tipologia de sòl'!$A$2:$D$37,4,FALSE)*'T50'!AB123</f>
        <v>0</v>
      </c>
      <c r="AC123" s="1100">
        <f>VLOOKUP(AC$1,'cost per tipologia de sòl'!$A$2:$D$37,4,FALSE)*'T50'!AC123</f>
        <v>0</v>
      </c>
      <c r="AD123" s="1100">
        <f>VLOOKUP(AD$1,'cost per tipologia de sòl'!$A$2:$D$37,4,FALSE)*'T50'!AD123</f>
        <v>0</v>
      </c>
      <c r="AE123" s="1100">
        <f>VLOOKUP(AE$1,'cost per tipologia de sòl'!$A$2:$D$37,4,FALSE)*'T50'!AE123</f>
        <v>0</v>
      </c>
      <c r="AF123" s="1100">
        <f>VLOOKUP(AF$1,'cost per tipologia de sòl'!$A$2:$D$37,4,FALSE)*'T50'!AF123</f>
        <v>0</v>
      </c>
      <c r="AG123" s="1100">
        <f>VLOOKUP(AG$1,'cost per tipologia de sòl'!$A$2:$D$37,4,FALSE)*'T50'!AG123</f>
        <v>0</v>
      </c>
      <c r="AH123" s="1100">
        <f>VLOOKUP(AH$1,'cost per tipologia de sòl'!$A$2:$D$37,4,FALSE)*'T50'!AH123</f>
        <v>0</v>
      </c>
      <c r="AI123" s="1100">
        <f>VLOOKUP(AI$1,'cost per tipologia de sòl'!$A$2:$D$37,4,FALSE)*'T50'!AI123</f>
        <v>0</v>
      </c>
      <c r="AJ123" s="1100">
        <f t="shared" si="2"/>
        <v>99610.015999999989</v>
      </c>
      <c r="AK123" s="1098">
        <f t="shared" si="3"/>
        <v>2.9883004799999995E-2</v>
      </c>
    </row>
    <row r="124" spans="1:37">
      <c r="A124" s="1099" t="s">
        <v>1530</v>
      </c>
      <c r="B124" s="1100">
        <f>VLOOKUP(B$1,'cost per tipologia de sòl'!$A$2:$D$37,4,FALSE)*'T50'!B124</f>
        <v>0</v>
      </c>
      <c r="C124" s="1100">
        <f>VLOOKUP(C$1,'cost per tipologia de sòl'!$A$2:$D$37,4,FALSE)*'T50'!C124</f>
        <v>0</v>
      </c>
      <c r="D124" s="1100">
        <f>VLOOKUP(D$1,'cost per tipologia de sòl'!$A$2:$D$37,4,FALSE)*'T50'!D124</f>
        <v>0</v>
      </c>
      <c r="E124" s="1100">
        <f>VLOOKUP(E$1,'cost per tipologia de sòl'!$A$2:$D$37,4,FALSE)*'T50'!E124</f>
        <v>0</v>
      </c>
      <c r="F124" s="1100">
        <f>VLOOKUP(F$1,'cost per tipologia de sòl'!$A$2:$D$37,4,FALSE)*'T50'!F124</f>
        <v>0</v>
      </c>
      <c r="G124" s="1100">
        <f>VLOOKUP(G$1,'cost per tipologia de sòl'!$A$2:$D$37,4,FALSE)*'T50'!G124</f>
        <v>0</v>
      </c>
      <c r="H124" s="1100">
        <f>VLOOKUP(H$1,'cost per tipologia de sòl'!$A$2:$D$37,4,FALSE)*'T50'!H124</f>
        <v>0</v>
      </c>
      <c r="I124" s="1100">
        <f>VLOOKUP(I$1,'cost per tipologia de sòl'!$A$2:$D$37,4,FALSE)*'T50'!I124</f>
        <v>0</v>
      </c>
      <c r="J124" s="1100">
        <f>VLOOKUP(J$1,'cost per tipologia de sòl'!$A$2:$D$37,4,FALSE)*'T50'!J124</f>
        <v>133505.00349999999</v>
      </c>
      <c r="K124" s="1100">
        <f>VLOOKUP(K$1,'cost per tipologia de sòl'!$A$2:$D$37,4,FALSE)*'T50'!K124</f>
        <v>0</v>
      </c>
      <c r="L124" s="1100">
        <f>VLOOKUP(L$1,'cost per tipologia de sòl'!$A$2:$D$37,4,FALSE)*'T50'!L124</f>
        <v>395069.69699999999</v>
      </c>
      <c r="M124" s="1100">
        <f>VLOOKUP(M$1,'cost per tipologia de sòl'!$A$2:$D$37,4,FALSE)*'T50'!M124</f>
        <v>0</v>
      </c>
      <c r="N124" s="1100">
        <f>VLOOKUP(N$1,'cost per tipologia de sòl'!$A$2:$D$37,4,FALSE)*'T50'!N124</f>
        <v>0</v>
      </c>
      <c r="O124" s="1100">
        <f>VLOOKUP(O$1,'cost per tipologia de sòl'!$A$2:$D$37,4,FALSE)*'T50'!O124</f>
        <v>0</v>
      </c>
      <c r="P124" s="1100">
        <f>VLOOKUP(P$1,'cost per tipologia de sòl'!$A$2:$D$37,4,FALSE)*'T50'!P124</f>
        <v>0</v>
      </c>
      <c r="Q124" s="1100">
        <f>VLOOKUP(Q$1,'cost per tipologia de sòl'!$A$2:$D$37,4,FALSE)*'T50'!Q124</f>
        <v>0</v>
      </c>
      <c r="R124" s="1100">
        <f>VLOOKUP(R$1,'cost per tipologia de sòl'!$A$2:$D$37,4,FALSE)*'T50'!R124</f>
        <v>0</v>
      </c>
      <c r="S124" s="1100">
        <f>VLOOKUP(S$1,'cost per tipologia de sòl'!$A$2:$D$37,4,FALSE)*'T50'!S124</f>
        <v>1015867.44</v>
      </c>
      <c r="T124" s="1100">
        <f>VLOOKUP(T$1,'cost per tipologia de sòl'!$A$2:$D$37,4,FALSE)*'T50'!T124</f>
        <v>2650213.8319999999</v>
      </c>
      <c r="U124" s="1100">
        <f>VLOOKUP(U$1,'cost per tipologia de sòl'!$A$2:$D$37,4,FALSE)*'T50'!U124</f>
        <v>0</v>
      </c>
      <c r="V124" s="1100">
        <f>VLOOKUP(V$1,'cost per tipologia de sòl'!$A$2:$D$37,4,FALSE)*'T50'!V124</f>
        <v>0</v>
      </c>
      <c r="W124" s="1100">
        <f>VLOOKUP(W$1,'cost per tipologia de sòl'!$A$2:$D$37,4,FALSE)*'T50'!W124</f>
        <v>0</v>
      </c>
      <c r="X124" s="1100">
        <f>VLOOKUP(X$1,'cost per tipologia de sòl'!$A$2:$D$37,4,FALSE)*'T50'!X124</f>
        <v>0</v>
      </c>
      <c r="Y124" s="1100">
        <f>VLOOKUP(Y$1,'cost per tipologia de sòl'!$A$2:$D$37,4,FALSE)*'T50'!Y124</f>
        <v>0</v>
      </c>
      <c r="Z124" s="1100">
        <f>VLOOKUP(Z$1,'cost per tipologia de sòl'!$A$2:$D$37,4,FALSE)*'T50'!Z124</f>
        <v>0</v>
      </c>
      <c r="AA124" s="1100">
        <f>VLOOKUP(AA$1,'cost per tipologia de sòl'!$A$2:$D$37,4,FALSE)*'T50'!AA124</f>
        <v>0</v>
      </c>
      <c r="AB124" s="1100">
        <f>VLOOKUP(AB$1,'cost per tipologia de sòl'!$A$2:$D$37,4,FALSE)*'T50'!AB124</f>
        <v>129061.29999999999</v>
      </c>
      <c r="AC124" s="1100">
        <f>VLOOKUP(AC$1,'cost per tipologia de sòl'!$A$2:$D$37,4,FALSE)*'T50'!AC124</f>
        <v>80024.2</v>
      </c>
      <c r="AD124" s="1100">
        <f>VLOOKUP(AD$1,'cost per tipologia de sòl'!$A$2:$D$37,4,FALSE)*'T50'!AD124</f>
        <v>4216501.8500000006</v>
      </c>
      <c r="AE124" s="1100">
        <f>VLOOKUP(AE$1,'cost per tipologia de sòl'!$A$2:$D$37,4,FALSE)*'T50'!AE124</f>
        <v>0</v>
      </c>
      <c r="AF124" s="1100">
        <f>VLOOKUP(AF$1,'cost per tipologia de sòl'!$A$2:$D$37,4,FALSE)*'T50'!AF124</f>
        <v>0</v>
      </c>
      <c r="AG124" s="1100">
        <f>VLOOKUP(AG$1,'cost per tipologia de sòl'!$A$2:$D$37,4,FALSE)*'T50'!AG124</f>
        <v>0</v>
      </c>
      <c r="AH124" s="1100">
        <f>VLOOKUP(AH$1,'cost per tipologia de sòl'!$A$2:$D$37,4,FALSE)*'T50'!AH124</f>
        <v>0</v>
      </c>
      <c r="AI124" s="1100">
        <f>VLOOKUP(AI$1,'cost per tipologia de sòl'!$A$2:$D$37,4,FALSE)*'T50'!AI124</f>
        <v>0</v>
      </c>
      <c r="AJ124" s="1100">
        <f t="shared" si="2"/>
        <v>8620243.3225000016</v>
      </c>
      <c r="AK124" s="1098">
        <f t="shared" si="3"/>
        <v>2.5860729967500005</v>
      </c>
    </row>
    <row r="125" spans="1:37">
      <c r="A125" s="1099" t="s">
        <v>1532</v>
      </c>
      <c r="B125" s="1100">
        <f>VLOOKUP(B$1,'cost per tipologia de sòl'!$A$2:$D$37,4,FALSE)*'T50'!B125</f>
        <v>205065.16199999998</v>
      </c>
      <c r="C125" s="1100">
        <f>VLOOKUP(C$1,'cost per tipologia de sòl'!$A$2:$D$37,4,FALSE)*'T50'!C125</f>
        <v>7559.4660000000003</v>
      </c>
      <c r="D125" s="1100">
        <f>VLOOKUP(D$1,'cost per tipologia de sòl'!$A$2:$D$37,4,FALSE)*'T50'!D125</f>
        <v>0</v>
      </c>
      <c r="E125" s="1100">
        <f>VLOOKUP(E$1,'cost per tipologia de sòl'!$A$2:$D$37,4,FALSE)*'T50'!E125</f>
        <v>0</v>
      </c>
      <c r="F125" s="1100">
        <f>VLOOKUP(F$1,'cost per tipologia de sòl'!$A$2:$D$37,4,FALSE)*'T50'!F125</f>
        <v>0</v>
      </c>
      <c r="G125" s="1100">
        <f>VLOOKUP(G$1,'cost per tipologia de sòl'!$A$2:$D$37,4,FALSE)*'T50'!G125</f>
        <v>0</v>
      </c>
      <c r="H125" s="1100">
        <f>VLOOKUP(H$1,'cost per tipologia de sòl'!$A$2:$D$37,4,FALSE)*'T50'!H125</f>
        <v>0</v>
      </c>
      <c r="I125" s="1100">
        <f>VLOOKUP(I$1,'cost per tipologia de sòl'!$A$2:$D$37,4,FALSE)*'T50'!I125</f>
        <v>0</v>
      </c>
      <c r="J125" s="1100">
        <f>VLOOKUP(J$1,'cost per tipologia de sòl'!$A$2:$D$37,4,FALSE)*'T50'!J125</f>
        <v>16075.922499999999</v>
      </c>
      <c r="K125" s="1100">
        <f>VLOOKUP(K$1,'cost per tipologia de sòl'!$A$2:$D$37,4,FALSE)*'T50'!K125</f>
        <v>0</v>
      </c>
      <c r="L125" s="1100">
        <f>VLOOKUP(L$1,'cost per tipologia de sòl'!$A$2:$D$37,4,FALSE)*'T50'!L125</f>
        <v>0</v>
      </c>
      <c r="M125" s="1100">
        <f>VLOOKUP(M$1,'cost per tipologia de sòl'!$A$2:$D$37,4,FALSE)*'T50'!M125</f>
        <v>0</v>
      </c>
      <c r="N125" s="1100">
        <f>VLOOKUP(N$1,'cost per tipologia de sòl'!$A$2:$D$37,4,FALSE)*'T50'!N125</f>
        <v>0</v>
      </c>
      <c r="O125" s="1100">
        <f>VLOOKUP(O$1,'cost per tipologia de sòl'!$A$2:$D$37,4,FALSE)*'T50'!O125</f>
        <v>0</v>
      </c>
      <c r="P125" s="1100">
        <f>VLOOKUP(P$1,'cost per tipologia de sòl'!$A$2:$D$37,4,FALSE)*'T50'!P125</f>
        <v>0</v>
      </c>
      <c r="Q125" s="1100">
        <f>VLOOKUP(Q$1,'cost per tipologia de sòl'!$A$2:$D$37,4,FALSE)*'T50'!Q125</f>
        <v>0</v>
      </c>
      <c r="R125" s="1100">
        <f>VLOOKUP(R$1,'cost per tipologia de sòl'!$A$2:$D$37,4,FALSE)*'T50'!R125</f>
        <v>0</v>
      </c>
      <c r="S125" s="1100">
        <f>VLOOKUP(S$1,'cost per tipologia de sòl'!$A$2:$D$37,4,FALSE)*'T50'!S125</f>
        <v>0</v>
      </c>
      <c r="T125" s="1100">
        <f>VLOOKUP(T$1,'cost per tipologia de sòl'!$A$2:$D$37,4,FALSE)*'T50'!T125</f>
        <v>0</v>
      </c>
      <c r="U125" s="1100">
        <f>VLOOKUP(U$1,'cost per tipologia de sòl'!$A$2:$D$37,4,FALSE)*'T50'!U125</f>
        <v>0</v>
      </c>
      <c r="V125" s="1100">
        <f>VLOOKUP(V$1,'cost per tipologia de sòl'!$A$2:$D$37,4,FALSE)*'T50'!V125</f>
        <v>0</v>
      </c>
      <c r="W125" s="1100">
        <f>VLOOKUP(W$1,'cost per tipologia de sòl'!$A$2:$D$37,4,FALSE)*'T50'!W125</f>
        <v>0</v>
      </c>
      <c r="X125" s="1100">
        <f>VLOOKUP(X$1,'cost per tipologia de sòl'!$A$2:$D$37,4,FALSE)*'T50'!X125</f>
        <v>0</v>
      </c>
      <c r="Y125" s="1100">
        <f>VLOOKUP(Y$1,'cost per tipologia de sòl'!$A$2:$D$37,4,FALSE)*'T50'!Y125</f>
        <v>0</v>
      </c>
      <c r="Z125" s="1100">
        <f>VLOOKUP(Z$1,'cost per tipologia de sòl'!$A$2:$D$37,4,FALSE)*'T50'!Z125</f>
        <v>0</v>
      </c>
      <c r="AA125" s="1100">
        <f>VLOOKUP(AA$1,'cost per tipologia de sòl'!$A$2:$D$37,4,FALSE)*'T50'!AA125</f>
        <v>0</v>
      </c>
      <c r="AB125" s="1100">
        <f>VLOOKUP(AB$1,'cost per tipologia de sòl'!$A$2:$D$37,4,FALSE)*'T50'!AB125</f>
        <v>0</v>
      </c>
      <c r="AC125" s="1100">
        <f>VLOOKUP(AC$1,'cost per tipologia de sòl'!$A$2:$D$37,4,FALSE)*'T50'!AC125</f>
        <v>0</v>
      </c>
      <c r="AD125" s="1100">
        <f>VLOOKUP(AD$1,'cost per tipologia de sòl'!$A$2:$D$37,4,FALSE)*'T50'!AD125</f>
        <v>84689.65</v>
      </c>
      <c r="AE125" s="1100">
        <f>VLOOKUP(AE$1,'cost per tipologia de sòl'!$A$2:$D$37,4,FALSE)*'T50'!AE125</f>
        <v>0</v>
      </c>
      <c r="AF125" s="1100">
        <f>VLOOKUP(AF$1,'cost per tipologia de sòl'!$A$2:$D$37,4,FALSE)*'T50'!AF125</f>
        <v>0</v>
      </c>
      <c r="AG125" s="1100">
        <f>VLOOKUP(AG$1,'cost per tipologia de sòl'!$A$2:$D$37,4,FALSE)*'T50'!AG125</f>
        <v>0</v>
      </c>
      <c r="AH125" s="1100">
        <f>VLOOKUP(AH$1,'cost per tipologia de sòl'!$A$2:$D$37,4,FALSE)*'T50'!AH125</f>
        <v>0</v>
      </c>
      <c r="AI125" s="1100">
        <f>VLOOKUP(AI$1,'cost per tipologia de sòl'!$A$2:$D$37,4,FALSE)*'T50'!AI125</f>
        <v>0</v>
      </c>
      <c r="AJ125" s="1100">
        <f t="shared" si="2"/>
        <v>313390.20049999992</v>
      </c>
      <c r="AK125" s="1098">
        <f t="shared" si="3"/>
        <v>9.401706014999997E-2</v>
      </c>
    </row>
    <row r="126" spans="1:37">
      <c r="A126" s="1099" t="s">
        <v>1536</v>
      </c>
      <c r="B126" s="1100">
        <f>VLOOKUP(B$1,'cost per tipologia de sòl'!$A$2:$D$37,4,FALSE)*'T50'!B126</f>
        <v>8825363.370000001</v>
      </c>
      <c r="C126" s="1100">
        <f>VLOOKUP(C$1,'cost per tipologia de sòl'!$A$2:$D$37,4,FALSE)*'T50'!C126</f>
        <v>0</v>
      </c>
      <c r="D126" s="1100">
        <f>VLOOKUP(D$1,'cost per tipologia de sòl'!$A$2:$D$37,4,FALSE)*'T50'!D126</f>
        <v>2929403.3160000001</v>
      </c>
      <c r="E126" s="1100">
        <f>VLOOKUP(E$1,'cost per tipologia de sòl'!$A$2:$D$37,4,FALSE)*'T50'!E126</f>
        <v>0</v>
      </c>
      <c r="F126" s="1100">
        <f>VLOOKUP(F$1,'cost per tipologia de sòl'!$A$2:$D$37,4,FALSE)*'T50'!F126</f>
        <v>0</v>
      </c>
      <c r="G126" s="1100">
        <f>VLOOKUP(G$1,'cost per tipologia de sòl'!$A$2:$D$37,4,FALSE)*'T50'!G126</f>
        <v>0</v>
      </c>
      <c r="H126" s="1100">
        <f>VLOOKUP(H$1,'cost per tipologia de sòl'!$A$2:$D$37,4,FALSE)*'T50'!H126</f>
        <v>0</v>
      </c>
      <c r="I126" s="1100">
        <f>VLOOKUP(I$1,'cost per tipologia de sòl'!$A$2:$D$37,4,FALSE)*'T50'!I126</f>
        <v>0</v>
      </c>
      <c r="J126" s="1100">
        <f>VLOOKUP(J$1,'cost per tipologia de sòl'!$A$2:$D$37,4,FALSE)*'T50'!J126</f>
        <v>836991.68850000005</v>
      </c>
      <c r="K126" s="1100">
        <f>VLOOKUP(K$1,'cost per tipologia de sòl'!$A$2:$D$37,4,FALSE)*'T50'!K126</f>
        <v>0</v>
      </c>
      <c r="L126" s="1100">
        <f>VLOOKUP(L$1,'cost per tipologia de sòl'!$A$2:$D$37,4,FALSE)*'T50'!L126</f>
        <v>1658865.3660000002</v>
      </c>
      <c r="M126" s="1100">
        <f>VLOOKUP(M$1,'cost per tipologia de sòl'!$A$2:$D$37,4,FALSE)*'T50'!M126</f>
        <v>172121.39199999999</v>
      </c>
      <c r="N126" s="1100">
        <f>VLOOKUP(N$1,'cost per tipologia de sòl'!$A$2:$D$37,4,FALSE)*'T50'!N126</f>
        <v>0</v>
      </c>
      <c r="O126" s="1100">
        <f>VLOOKUP(O$1,'cost per tipologia de sòl'!$A$2:$D$37,4,FALSE)*'T50'!O126</f>
        <v>6846972.8080000002</v>
      </c>
      <c r="P126" s="1100">
        <f>VLOOKUP(P$1,'cost per tipologia de sòl'!$A$2:$D$37,4,FALSE)*'T50'!P126</f>
        <v>0</v>
      </c>
      <c r="Q126" s="1100">
        <f>VLOOKUP(Q$1,'cost per tipologia de sòl'!$A$2:$D$37,4,FALSE)*'T50'!Q126</f>
        <v>0</v>
      </c>
      <c r="R126" s="1100">
        <f>VLOOKUP(R$1,'cost per tipologia de sòl'!$A$2:$D$37,4,FALSE)*'T50'!R126</f>
        <v>0</v>
      </c>
      <c r="S126" s="1100">
        <f>VLOOKUP(S$1,'cost per tipologia de sòl'!$A$2:$D$37,4,FALSE)*'T50'!S126</f>
        <v>19010124</v>
      </c>
      <c r="T126" s="1100">
        <f>VLOOKUP(T$1,'cost per tipologia de sòl'!$A$2:$D$37,4,FALSE)*'T50'!T126</f>
        <v>4449665.0980000002</v>
      </c>
      <c r="U126" s="1100">
        <f>VLOOKUP(U$1,'cost per tipologia de sòl'!$A$2:$D$37,4,FALSE)*'T50'!U126</f>
        <v>1104131.7</v>
      </c>
      <c r="V126" s="1100">
        <f>VLOOKUP(V$1,'cost per tipologia de sòl'!$A$2:$D$37,4,FALSE)*'T50'!V126</f>
        <v>0</v>
      </c>
      <c r="W126" s="1100">
        <f>VLOOKUP(W$1,'cost per tipologia de sòl'!$A$2:$D$37,4,FALSE)*'T50'!W126</f>
        <v>0</v>
      </c>
      <c r="X126" s="1100">
        <f>VLOOKUP(X$1,'cost per tipologia de sòl'!$A$2:$D$37,4,FALSE)*'T50'!X126</f>
        <v>0</v>
      </c>
      <c r="Y126" s="1100">
        <f>VLOOKUP(Y$1,'cost per tipologia de sòl'!$A$2:$D$37,4,FALSE)*'T50'!Y126</f>
        <v>0</v>
      </c>
      <c r="Z126" s="1100">
        <f>VLOOKUP(Z$1,'cost per tipologia de sòl'!$A$2:$D$37,4,FALSE)*'T50'!Z126</f>
        <v>8203310.2479999997</v>
      </c>
      <c r="AA126" s="1100">
        <f>VLOOKUP(AA$1,'cost per tipologia de sòl'!$A$2:$D$37,4,FALSE)*'T50'!AA126</f>
        <v>0</v>
      </c>
      <c r="AB126" s="1100">
        <f>VLOOKUP(AB$1,'cost per tipologia de sòl'!$A$2:$D$37,4,FALSE)*'T50'!AB126</f>
        <v>513933.85000000003</v>
      </c>
      <c r="AC126" s="1100">
        <f>VLOOKUP(AC$1,'cost per tipologia de sòl'!$A$2:$D$37,4,FALSE)*'T50'!AC126</f>
        <v>7663893.2000000002</v>
      </c>
      <c r="AD126" s="1100">
        <f>VLOOKUP(AD$1,'cost per tipologia de sòl'!$A$2:$D$37,4,FALSE)*'T50'!AD126</f>
        <v>1618615.7</v>
      </c>
      <c r="AE126" s="1100">
        <f>VLOOKUP(AE$1,'cost per tipologia de sòl'!$A$2:$D$37,4,FALSE)*'T50'!AE126</f>
        <v>0</v>
      </c>
      <c r="AF126" s="1100">
        <f>VLOOKUP(AF$1,'cost per tipologia de sòl'!$A$2:$D$37,4,FALSE)*'T50'!AF126</f>
        <v>0</v>
      </c>
      <c r="AG126" s="1100">
        <f>VLOOKUP(AG$1,'cost per tipologia de sòl'!$A$2:$D$37,4,FALSE)*'T50'!AG126</f>
        <v>0</v>
      </c>
      <c r="AH126" s="1100">
        <f>VLOOKUP(AH$1,'cost per tipologia de sòl'!$A$2:$D$37,4,FALSE)*'T50'!AH126</f>
        <v>0</v>
      </c>
      <c r="AI126" s="1100">
        <f>VLOOKUP(AI$1,'cost per tipologia de sòl'!$A$2:$D$37,4,FALSE)*'T50'!AI126</f>
        <v>0</v>
      </c>
      <c r="AJ126" s="1100">
        <f t="shared" si="2"/>
        <v>63833391.736500002</v>
      </c>
      <c r="AK126" s="1098">
        <f t="shared" si="3"/>
        <v>19.150017520950001</v>
      </c>
    </row>
    <row r="127" spans="1:37">
      <c r="A127" s="1099" t="s">
        <v>1538</v>
      </c>
      <c r="B127" s="1100">
        <f>VLOOKUP(B$1,'cost per tipologia de sòl'!$A$2:$D$37,4,FALSE)*'T50'!B127</f>
        <v>175375.728</v>
      </c>
      <c r="C127" s="1100">
        <f>VLOOKUP(C$1,'cost per tipologia de sòl'!$A$2:$D$37,4,FALSE)*'T50'!C127</f>
        <v>204012.364</v>
      </c>
      <c r="D127" s="1100">
        <f>VLOOKUP(D$1,'cost per tipologia de sòl'!$A$2:$D$37,4,FALSE)*'T50'!D127</f>
        <v>0</v>
      </c>
      <c r="E127" s="1100">
        <f>VLOOKUP(E$1,'cost per tipologia de sòl'!$A$2:$D$37,4,FALSE)*'T50'!E127</f>
        <v>0</v>
      </c>
      <c r="F127" s="1100">
        <f>VLOOKUP(F$1,'cost per tipologia de sòl'!$A$2:$D$37,4,FALSE)*'T50'!F127</f>
        <v>0</v>
      </c>
      <c r="G127" s="1100">
        <f>VLOOKUP(G$1,'cost per tipologia de sòl'!$A$2:$D$37,4,FALSE)*'T50'!G127</f>
        <v>0</v>
      </c>
      <c r="H127" s="1100">
        <f>VLOOKUP(H$1,'cost per tipologia de sòl'!$A$2:$D$37,4,FALSE)*'T50'!H127</f>
        <v>0</v>
      </c>
      <c r="I127" s="1100">
        <f>VLOOKUP(I$1,'cost per tipologia de sòl'!$A$2:$D$37,4,FALSE)*'T50'!I127</f>
        <v>0</v>
      </c>
      <c r="J127" s="1100">
        <f>VLOOKUP(J$1,'cost per tipologia de sòl'!$A$2:$D$37,4,FALSE)*'T50'!J127</f>
        <v>0</v>
      </c>
      <c r="K127" s="1100">
        <f>VLOOKUP(K$1,'cost per tipologia de sòl'!$A$2:$D$37,4,FALSE)*'T50'!K127</f>
        <v>0</v>
      </c>
      <c r="L127" s="1100">
        <f>VLOOKUP(L$1,'cost per tipologia de sòl'!$A$2:$D$37,4,FALSE)*'T50'!L127</f>
        <v>489700.467</v>
      </c>
      <c r="M127" s="1100">
        <f>VLOOKUP(M$1,'cost per tipologia de sòl'!$A$2:$D$37,4,FALSE)*'T50'!M127</f>
        <v>0</v>
      </c>
      <c r="N127" s="1100">
        <f>VLOOKUP(N$1,'cost per tipologia de sòl'!$A$2:$D$37,4,FALSE)*'T50'!N127</f>
        <v>0</v>
      </c>
      <c r="O127" s="1100">
        <f>VLOOKUP(O$1,'cost per tipologia de sòl'!$A$2:$D$37,4,FALSE)*'T50'!O127</f>
        <v>0</v>
      </c>
      <c r="P127" s="1100">
        <f>VLOOKUP(P$1,'cost per tipologia de sòl'!$A$2:$D$37,4,FALSE)*'T50'!P127</f>
        <v>0</v>
      </c>
      <c r="Q127" s="1100">
        <f>VLOOKUP(Q$1,'cost per tipologia de sòl'!$A$2:$D$37,4,FALSE)*'T50'!Q127</f>
        <v>0</v>
      </c>
      <c r="R127" s="1100">
        <f>VLOOKUP(R$1,'cost per tipologia de sòl'!$A$2:$D$37,4,FALSE)*'T50'!R127</f>
        <v>0</v>
      </c>
      <c r="S127" s="1100">
        <f>VLOOKUP(S$1,'cost per tipologia de sòl'!$A$2:$D$37,4,FALSE)*'T50'!S127</f>
        <v>1990431.0720000002</v>
      </c>
      <c r="T127" s="1100">
        <f>VLOOKUP(T$1,'cost per tipologia de sòl'!$A$2:$D$37,4,FALSE)*'T50'!T127</f>
        <v>20757816.278000001</v>
      </c>
      <c r="U127" s="1100">
        <f>VLOOKUP(U$1,'cost per tipologia de sòl'!$A$2:$D$37,4,FALSE)*'T50'!U127</f>
        <v>196860.30000000002</v>
      </c>
      <c r="V127" s="1100">
        <f>VLOOKUP(V$1,'cost per tipologia de sòl'!$A$2:$D$37,4,FALSE)*'T50'!V127</f>
        <v>0</v>
      </c>
      <c r="W127" s="1100">
        <f>VLOOKUP(W$1,'cost per tipologia de sòl'!$A$2:$D$37,4,FALSE)*'T50'!W127</f>
        <v>0</v>
      </c>
      <c r="X127" s="1100">
        <f>VLOOKUP(X$1,'cost per tipologia de sòl'!$A$2:$D$37,4,FALSE)*'T50'!X127</f>
        <v>0</v>
      </c>
      <c r="Y127" s="1100">
        <f>VLOOKUP(Y$1,'cost per tipologia de sòl'!$A$2:$D$37,4,FALSE)*'T50'!Y127</f>
        <v>0</v>
      </c>
      <c r="Z127" s="1100">
        <f>VLOOKUP(Z$1,'cost per tipologia de sòl'!$A$2:$D$37,4,FALSE)*'T50'!Z127</f>
        <v>2920.5860000000002</v>
      </c>
      <c r="AA127" s="1100">
        <f>VLOOKUP(AA$1,'cost per tipologia de sòl'!$A$2:$D$37,4,FALSE)*'T50'!AA127</f>
        <v>0</v>
      </c>
      <c r="AB127" s="1100">
        <f>VLOOKUP(AB$1,'cost per tipologia de sòl'!$A$2:$D$37,4,FALSE)*'T50'!AB127</f>
        <v>1135667.05</v>
      </c>
      <c r="AC127" s="1100">
        <f>VLOOKUP(AC$1,'cost per tipologia de sòl'!$A$2:$D$37,4,FALSE)*'T50'!AC127</f>
        <v>4627143.1500000004</v>
      </c>
      <c r="AD127" s="1100">
        <f>VLOOKUP(AD$1,'cost per tipologia de sòl'!$A$2:$D$37,4,FALSE)*'T50'!AD127</f>
        <v>4813012.5500000007</v>
      </c>
      <c r="AE127" s="1100">
        <f>VLOOKUP(AE$1,'cost per tipologia de sòl'!$A$2:$D$37,4,FALSE)*'T50'!AE127</f>
        <v>0</v>
      </c>
      <c r="AF127" s="1100">
        <f>VLOOKUP(AF$1,'cost per tipologia de sòl'!$A$2:$D$37,4,FALSE)*'T50'!AF127</f>
        <v>0</v>
      </c>
      <c r="AG127" s="1100">
        <f>VLOOKUP(AG$1,'cost per tipologia de sòl'!$A$2:$D$37,4,FALSE)*'T50'!AG127</f>
        <v>0</v>
      </c>
      <c r="AH127" s="1100">
        <f>VLOOKUP(AH$1,'cost per tipologia de sòl'!$A$2:$D$37,4,FALSE)*'T50'!AH127</f>
        <v>0</v>
      </c>
      <c r="AI127" s="1100">
        <f>VLOOKUP(AI$1,'cost per tipologia de sòl'!$A$2:$D$37,4,FALSE)*'T50'!AI127</f>
        <v>0</v>
      </c>
      <c r="AJ127" s="1100">
        <f t="shared" si="2"/>
        <v>34392939.545000002</v>
      </c>
      <c r="AK127" s="1098">
        <f t="shared" si="3"/>
        <v>10.3178818635</v>
      </c>
    </row>
    <row r="128" spans="1:37">
      <c r="A128" s="1099" t="s">
        <v>1544</v>
      </c>
      <c r="B128" s="1100">
        <f>VLOOKUP(B$1,'cost per tipologia de sòl'!$A$2:$D$37,4,FALSE)*'T50'!B128</f>
        <v>103166058.942</v>
      </c>
      <c r="C128" s="1100">
        <f>VLOOKUP(C$1,'cost per tipologia de sòl'!$A$2:$D$37,4,FALSE)*'T50'!C128</f>
        <v>0</v>
      </c>
      <c r="D128" s="1100">
        <f>VLOOKUP(D$1,'cost per tipologia de sòl'!$A$2:$D$37,4,FALSE)*'T50'!D128</f>
        <v>116273.694</v>
      </c>
      <c r="E128" s="1100">
        <f>VLOOKUP(E$1,'cost per tipologia de sòl'!$A$2:$D$37,4,FALSE)*'T50'!E128</f>
        <v>0</v>
      </c>
      <c r="F128" s="1100">
        <f>VLOOKUP(F$1,'cost per tipologia de sòl'!$A$2:$D$37,4,FALSE)*'T50'!F128</f>
        <v>0</v>
      </c>
      <c r="G128" s="1100">
        <f>VLOOKUP(G$1,'cost per tipologia de sòl'!$A$2:$D$37,4,FALSE)*'T50'!G128</f>
        <v>0</v>
      </c>
      <c r="H128" s="1100">
        <f>VLOOKUP(H$1,'cost per tipologia de sòl'!$A$2:$D$37,4,FALSE)*'T50'!H128</f>
        <v>0</v>
      </c>
      <c r="I128" s="1100">
        <f>VLOOKUP(I$1,'cost per tipologia de sòl'!$A$2:$D$37,4,FALSE)*'T50'!I128</f>
        <v>0</v>
      </c>
      <c r="J128" s="1100">
        <f>VLOOKUP(J$1,'cost per tipologia de sòl'!$A$2:$D$37,4,FALSE)*'T50'!J128</f>
        <v>266960.11100000003</v>
      </c>
      <c r="K128" s="1100">
        <f>VLOOKUP(K$1,'cost per tipologia de sòl'!$A$2:$D$37,4,FALSE)*'T50'!K128</f>
        <v>29463.210000000003</v>
      </c>
      <c r="L128" s="1100">
        <f>VLOOKUP(L$1,'cost per tipologia de sòl'!$A$2:$D$37,4,FALSE)*'T50'!L128</f>
        <v>0</v>
      </c>
      <c r="M128" s="1100">
        <f>VLOOKUP(M$1,'cost per tipologia de sòl'!$A$2:$D$37,4,FALSE)*'T50'!M128</f>
        <v>0</v>
      </c>
      <c r="N128" s="1100">
        <f>VLOOKUP(N$1,'cost per tipologia de sòl'!$A$2:$D$37,4,FALSE)*'T50'!N128</f>
        <v>0</v>
      </c>
      <c r="O128" s="1100">
        <f>VLOOKUP(O$1,'cost per tipologia de sòl'!$A$2:$D$37,4,FALSE)*'T50'!O128</f>
        <v>0</v>
      </c>
      <c r="P128" s="1100">
        <f>VLOOKUP(P$1,'cost per tipologia de sòl'!$A$2:$D$37,4,FALSE)*'T50'!P128</f>
        <v>0</v>
      </c>
      <c r="Q128" s="1100">
        <f>VLOOKUP(Q$1,'cost per tipologia de sòl'!$A$2:$D$37,4,FALSE)*'T50'!Q128</f>
        <v>0</v>
      </c>
      <c r="R128" s="1100">
        <f>VLOOKUP(R$1,'cost per tipologia de sòl'!$A$2:$D$37,4,FALSE)*'T50'!R128</f>
        <v>0</v>
      </c>
      <c r="S128" s="1100">
        <f>VLOOKUP(S$1,'cost per tipologia de sòl'!$A$2:$D$37,4,FALSE)*'T50'!S128</f>
        <v>18347.615999999998</v>
      </c>
      <c r="T128" s="1100">
        <f>VLOOKUP(T$1,'cost per tipologia de sòl'!$A$2:$D$37,4,FALSE)*'T50'!T128</f>
        <v>8065800.4620000003</v>
      </c>
      <c r="U128" s="1100">
        <f>VLOOKUP(U$1,'cost per tipologia de sòl'!$A$2:$D$37,4,FALSE)*'T50'!U128</f>
        <v>0</v>
      </c>
      <c r="V128" s="1100">
        <f>VLOOKUP(V$1,'cost per tipologia de sòl'!$A$2:$D$37,4,FALSE)*'T50'!V128</f>
        <v>0</v>
      </c>
      <c r="W128" s="1100">
        <f>VLOOKUP(W$1,'cost per tipologia de sòl'!$A$2:$D$37,4,FALSE)*'T50'!W128</f>
        <v>0</v>
      </c>
      <c r="X128" s="1100">
        <f>VLOOKUP(X$1,'cost per tipologia de sòl'!$A$2:$D$37,4,FALSE)*'T50'!X128</f>
        <v>0</v>
      </c>
      <c r="Y128" s="1100">
        <f>VLOOKUP(Y$1,'cost per tipologia de sòl'!$A$2:$D$37,4,FALSE)*'T50'!Y128</f>
        <v>0</v>
      </c>
      <c r="Z128" s="1100">
        <f>VLOOKUP(Z$1,'cost per tipologia de sòl'!$A$2:$D$37,4,FALSE)*'T50'!Z128</f>
        <v>260065.742</v>
      </c>
      <c r="AA128" s="1100">
        <f>VLOOKUP(AA$1,'cost per tipologia de sòl'!$A$2:$D$37,4,FALSE)*'T50'!AA128</f>
        <v>0</v>
      </c>
      <c r="AB128" s="1100">
        <f>VLOOKUP(AB$1,'cost per tipologia de sòl'!$A$2:$D$37,4,FALSE)*'T50'!AB128</f>
        <v>452225.64999999997</v>
      </c>
      <c r="AC128" s="1100">
        <f>VLOOKUP(AC$1,'cost per tipologia de sòl'!$A$2:$D$37,4,FALSE)*'T50'!AC128</f>
        <v>211835.75</v>
      </c>
      <c r="AD128" s="1100">
        <f>VLOOKUP(AD$1,'cost per tipologia de sòl'!$A$2:$D$37,4,FALSE)*'T50'!AD128</f>
        <v>2193847.35</v>
      </c>
      <c r="AE128" s="1100">
        <f>VLOOKUP(AE$1,'cost per tipologia de sòl'!$A$2:$D$37,4,FALSE)*'T50'!AE128</f>
        <v>0</v>
      </c>
      <c r="AF128" s="1100">
        <f>VLOOKUP(AF$1,'cost per tipologia de sòl'!$A$2:$D$37,4,FALSE)*'T50'!AF128</f>
        <v>0</v>
      </c>
      <c r="AG128" s="1100">
        <f>VLOOKUP(AG$1,'cost per tipologia de sòl'!$A$2:$D$37,4,FALSE)*'T50'!AG128</f>
        <v>0</v>
      </c>
      <c r="AH128" s="1100">
        <f>VLOOKUP(AH$1,'cost per tipologia de sòl'!$A$2:$D$37,4,FALSE)*'T50'!AH128</f>
        <v>0</v>
      </c>
      <c r="AI128" s="1100">
        <f>VLOOKUP(AI$1,'cost per tipologia de sòl'!$A$2:$D$37,4,FALSE)*'T50'!AI128</f>
        <v>0</v>
      </c>
      <c r="AJ128" s="1100">
        <f t="shared" si="2"/>
        <v>114780878.527</v>
      </c>
      <c r="AK128" s="1098">
        <f t="shared" si="3"/>
        <v>34.4342635581</v>
      </c>
    </row>
    <row r="129" spans="1:37">
      <c r="A129" s="1099" t="s">
        <v>1121</v>
      </c>
      <c r="B129" s="1100">
        <f>VLOOKUP(B$1,'cost per tipologia de sòl'!$A$2:$D$37,4,FALSE)*'T50'!B129</f>
        <v>0</v>
      </c>
      <c r="C129" s="1100">
        <f>VLOOKUP(C$1,'cost per tipologia de sòl'!$A$2:$D$37,4,FALSE)*'T50'!C129</f>
        <v>0</v>
      </c>
      <c r="D129" s="1100">
        <f>VLOOKUP(D$1,'cost per tipologia de sòl'!$A$2:$D$37,4,FALSE)*'T50'!D129</f>
        <v>0</v>
      </c>
      <c r="E129" s="1100">
        <f>VLOOKUP(E$1,'cost per tipologia de sòl'!$A$2:$D$37,4,FALSE)*'T50'!E129</f>
        <v>0</v>
      </c>
      <c r="F129" s="1100">
        <f>VLOOKUP(F$1,'cost per tipologia de sòl'!$A$2:$D$37,4,FALSE)*'T50'!F129</f>
        <v>0</v>
      </c>
      <c r="G129" s="1100">
        <f>VLOOKUP(G$1,'cost per tipologia de sòl'!$A$2:$D$37,4,FALSE)*'T50'!G129</f>
        <v>0</v>
      </c>
      <c r="H129" s="1100">
        <f>VLOOKUP(H$1,'cost per tipologia de sòl'!$A$2:$D$37,4,FALSE)*'T50'!H129</f>
        <v>0</v>
      </c>
      <c r="I129" s="1100">
        <f>VLOOKUP(I$1,'cost per tipologia de sòl'!$A$2:$D$37,4,FALSE)*'T50'!I129</f>
        <v>0</v>
      </c>
      <c r="J129" s="1100">
        <f>VLOOKUP(J$1,'cost per tipologia de sòl'!$A$2:$D$37,4,FALSE)*'T50'!J129</f>
        <v>0</v>
      </c>
      <c r="K129" s="1100">
        <f>VLOOKUP(K$1,'cost per tipologia de sòl'!$A$2:$D$37,4,FALSE)*'T50'!K129</f>
        <v>0</v>
      </c>
      <c r="L129" s="1100">
        <f>VLOOKUP(L$1,'cost per tipologia de sòl'!$A$2:$D$37,4,FALSE)*'T50'!L129</f>
        <v>0</v>
      </c>
      <c r="M129" s="1100">
        <f>VLOOKUP(M$1,'cost per tipologia de sòl'!$A$2:$D$37,4,FALSE)*'T50'!M129</f>
        <v>0</v>
      </c>
      <c r="N129" s="1100">
        <f>VLOOKUP(N$1,'cost per tipologia de sòl'!$A$2:$D$37,4,FALSE)*'T50'!N129</f>
        <v>0</v>
      </c>
      <c r="O129" s="1100">
        <f>VLOOKUP(O$1,'cost per tipologia de sòl'!$A$2:$D$37,4,FALSE)*'T50'!O129</f>
        <v>0</v>
      </c>
      <c r="P129" s="1100">
        <f>VLOOKUP(P$1,'cost per tipologia de sòl'!$A$2:$D$37,4,FALSE)*'T50'!P129</f>
        <v>0</v>
      </c>
      <c r="Q129" s="1100">
        <f>VLOOKUP(Q$1,'cost per tipologia de sòl'!$A$2:$D$37,4,FALSE)*'T50'!Q129</f>
        <v>0</v>
      </c>
      <c r="R129" s="1100">
        <f>VLOOKUP(R$1,'cost per tipologia de sòl'!$A$2:$D$37,4,FALSE)*'T50'!R129</f>
        <v>0</v>
      </c>
      <c r="S129" s="1100">
        <f>VLOOKUP(S$1,'cost per tipologia de sòl'!$A$2:$D$37,4,FALSE)*'T50'!S129</f>
        <v>0</v>
      </c>
      <c r="T129" s="1100">
        <f>VLOOKUP(T$1,'cost per tipologia de sòl'!$A$2:$D$37,4,FALSE)*'T50'!T129</f>
        <v>73028.574000000008</v>
      </c>
      <c r="U129" s="1100">
        <f>VLOOKUP(U$1,'cost per tipologia de sòl'!$A$2:$D$37,4,FALSE)*'T50'!U129</f>
        <v>0</v>
      </c>
      <c r="V129" s="1100">
        <f>VLOOKUP(V$1,'cost per tipologia de sòl'!$A$2:$D$37,4,FALSE)*'T50'!V129</f>
        <v>0</v>
      </c>
      <c r="W129" s="1100">
        <f>VLOOKUP(W$1,'cost per tipologia de sòl'!$A$2:$D$37,4,FALSE)*'T50'!W129</f>
        <v>0</v>
      </c>
      <c r="X129" s="1100">
        <f>VLOOKUP(X$1,'cost per tipologia de sòl'!$A$2:$D$37,4,FALSE)*'T50'!X129</f>
        <v>0</v>
      </c>
      <c r="Y129" s="1100">
        <f>VLOOKUP(Y$1,'cost per tipologia de sòl'!$A$2:$D$37,4,FALSE)*'T50'!Y129</f>
        <v>0</v>
      </c>
      <c r="Z129" s="1100">
        <f>VLOOKUP(Z$1,'cost per tipologia de sòl'!$A$2:$D$37,4,FALSE)*'T50'!Z129</f>
        <v>54525.19</v>
      </c>
      <c r="AA129" s="1100">
        <f>VLOOKUP(AA$1,'cost per tipologia de sòl'!$A$2:$D$37,4,FALSE)*'T50'!AA129</f>
        <v>0</v>
      </c>
      <c r="AB129" s="1100">
        <f>VLOOKUP(AB$1,'cost per tipologia de sòl'!$A$2:$D$37,4,FALSE)*'T50'!AB129</f>
        <v>35929</v>
      </c>
      <c r="AC129" s="1100">
        <f>VLOOKUP(AC$1,'cost per tipologia de sòl'!$A$2:$D$37,4,FALSE)*'T50'!AC129</f>
        <v>0</v>
      </c>
      <c r="AD129" s="1100">
        <f>VLOOKUP(AD$1,'cost per tipologia de sòl'!$A$2:$D$37,4,FALSE)*'T50'!AD129</f>
        <v>1066323.7</v>
      </c>
      <c r="AE129" s="1100">
        <f>VLOOKUP(AE$1,'cost per tipologia de sòl'!$A$2:$D$37,4,FALSE)*'T50'!AE129</f>
        <v>0</v>
      </c>
      <c r="AF129" s="1100">
        <f>VLOOKUP(AF$1,'cost per tipologia de sòl'!$A$2:$D$37,4,FALSE)*'T50'!AF129</f>
        <v>0</v>
      </c>
      <c r="AG129" s="1100">
        <f>VLOOKUP(AG$1,'cost per tipologia de sòl'!$A$2:$D$37,4,FALSE)*'T50'!AG129</f>
        <v>0</v>
      </c>
      <c r="AH129" s="1100">
        <f>VLOOKUP(AH$1,'cost per tipologia de sòl'!$A$2:$D$37,4,FALSE)*'T50'!AH129</f>
        <v>0</v>
      </c>
      <c r="AI129" s="1100">
        <f>VLOOKUP(AI$1,'cost per tipologia de sòl'!$A$2:$D$37,4,FALSE)*'T50'!AI129</f>
        <v>0</v>
      </c>
      <c r="AJ129" s="1100">
        <f t="shared" si="2"/>
        <v>1229806.4639999999</v>
      </c>
      <c r="AK129" s="1098">
        <f t="shared" si="3"/>
        <v>0.36894193919999996</v>
      </c>
    </row>
    <row r="130" spans="1:37">
      <c r="A130" s="1099" t="s">
        <v>1600</v>
      </c>
      <c r="B130" s="1100">
        <f>VLOOKUP(B$1,'cost per tipologia de sòl'!$A$2:$D$37,4,FALSE)*'T50'!B130</f>
        <v>32716774.602000002</v>
      </c>
      <c r="C130" s="1100">
        <f>VLOOKUP(C$1,'cost per tipologia de sòl'!$A$2:$D$37,4,FALSE)*'T50'!C130</f>
        <v>0</v>
      </c>
      <c r="D130" s="1100">
        <f>VLOOKUP(D$1,'cost per tipologia de sòl'!$A$2:$D$37,4,FALSE)*'T50'!D130</f>
        <v>9593951.8680000007</v>
      </c>
      <c r="E130" s="1100">
        <f>VLOOKUP(E$1,'cost per tipologia de sòl'!$A$2:$D$37,4,FALSE)*'T50'!E130</f>
        <v>0</v>
      </c>
      <c r="F130" s="1100">
        <f>VLOOKUP(F$1,'cost per tipologia de sòl'!$A$2:$D$37,4,FALSE)*'T50'!F130</f>
        <v>0</v>
      </c>
      <c r="G130" s="1100">
        <f>VLOOKUP(G$1,'cost per tipologia de sòl'!$A$2:$D$37,4,FALSE)*'T50'!G130</f>
        <v>0</v>
      </c>
      <c r="H130" s="1100">
        <f>VLOOKUP(H$1,'cost per tipologia de sòl'!$A$2:$D$37,4,FALSE)*'T50'!H130</f>
        <v>0</v>
      </c>
      <c r="I130" s="1100">
        <f>VLOOKUP(I$1,'cost per tipologia de sòl'!$A$2:$D$37,4,FALSE)*'T50'!I130</f>
        <v>0</v>
      </c>
      <c r="J130" s="1100">
        <f>VLOOKUP(J$1,'cost per tipologia de sòl'!$A$2:$D$37,4,FALSE)*'T50'!J130</f>
        <v>24496.994500000001</v>
      </c>
      <c r="K130" s="1100">
        <f>VLOOKUP(K$1,'cost per tipologia de sòl'!$A$2:$D$37,4,FALSE)*'T50'!K130</f>
        <v>0</v>
      </c>
      <c r="L130" s="1100">
        <f>VLOOKUP(L$1,'cost per tipologia de sòl'!$A$2:$D$37,4,FALSE)*'T50'!L130</f>
        <v>511049.745</v>
      </c>
      <c r="M130" s="1100">
        <f>VLOOKUP(M$1,'cost per tipologia de sòl'!$A$2:$D$37,4,FALSE)*'T50'!M130</f>
        <v>0</v>
      </c>
      <c r="N130" s="1100">
        <f>VLOOKUP(N$1,'cost per tipologia de sòl'!$A$2:$D$37,4,FALSE)*'T50'!N130</f>
        <v>0</v>
      </c>
      <c r="O130" s="1100">
        <f>VLOOKUP(O$1,'cost per tipologia de sòl'!$A$2:$D$37,4,FALSE)*'T50'!O130</f>
        <v>0</v>
      </c>
      <c r="P130" s="1100">
        <f>VLOOKUP(P$1,'cost per tipologia de sòl'!$A$2:$D$37,4,FALSE)*'T50'!P130</f>
        <v>3982230.7600000002</v>
      </c>
      <c r="Q130" s="1100">
        <f>VLOOKUP(Q$1,'cost per tipologia de sòl'!$A$2:$D$37,4,FALSE)*'T50'!Q130</f>
        <v>0</v>
      </c>
      <c r="R130" s="1100">
        <f>VLOOKUP(R$1,'cost per tipologia de sòl'!$A$2:$D$37,4,FALSE)*'T50'!R130</f>
        <v>0</v>
      </c>
      <c r="S130" s="1100">
        <f>VLOOKUP(S$1,'cost per tipologia de sòl'!$A$2:$D$37,4,FALSE)*'T50'!S130</f>
        <v>453441.74400000001</v>
      </c>
      <c r="T130" s="1100">
        <f>VLOOKUP(T$1,'cost per tipologia de sòl'!$A$2:$D$37,4,FALSE)*'T50'!T130</f>
        <v>18063679.214000002</v>
      </c>
      <c r="U130" s="1100">
        <f>VLOOKUP(U$1,'cost per tipologia de sòl'!$A$2:$D$37,4,FALSE)*'T50'!U130</f>
        <v>1631581.3499999999</v>
      </c>
      <c r="V130" s="1100">
        <f>VLOOKUP(V$1,'cost per tipologia de sòl'!$A$2:$D$37,4,FALSE)*'T50'!V130</f>
        <v>0</v>
      </c>
      <c r="W130" s="1100">
        <f>VLOOKUP(W$1,'cost per tipologia de sòl'!$A$2:$D$37,4,FALSE)*'T50'!W130</f>
        <v>0</v>
      </c>
      <c r="X130" s="1100">
        <f>VLOOKUP(X$1,'cost per tipologia de sòl'!$A$2:$D$37,4,FALSE)*'T50'!X130</f>
        <v>0</v>
      </c>
      <c r="Y130" s="1100">
        <f>VLOOKUP(Y$1,'cost per tipologia de sòl'!$A$2:$D$37,4,FALSE)*'T50'!Y130</f>
        <v>0</v>
      </c>
      <c r="Z130" s="1100">
        <f>VLOOKUP(Z$1,'cost per tipologia de sòl'!$A$2:$D$37,4,FALSE)*'T50'!Z130</f>
        <v>9280193.209999999</v>
      </c>
      <c r="AA130" s="1100">
        <f>VLOOKUP(AA$1,'cost per tipologia de sòl'!$A$2:$D$37,4,FALSE)*'T50'!AA130</f>
        <v>0</v>
      </c>
      <c r="AB130" s="1100">
        <f>VLOOKUP(AB$1,'cost per tipologia de sòl'!$A$2:$D$37,4,FALSE)*'T50'!AB130</f>
        <v>319867.84999999998</v>
      </c>
      <c r="AC130" s="1100">
        <f>VLOOKUP(AC$1,'cost per tipologia de sòl'!$A$2:$D$37,4,FALSE)*'T50'!AC130</f>
        <v>4697393.75</v>
      </c>
      <c r="AD130" s="1100">
        <f>VLOOKUP(AD$1,'cost per tipologia de sòl'!$A$2:$D$37,4,FALSE)*'T50'!AD130</f>
        <v>14163056.949999999</v>
      </c>
      <c r="AE130" s="1100">
        <f>VLOOKUP(AE$1,'cost per tipologia de sòl'!$A$2:$D$37,4,FALSE)*'T50'!AE130</f>
        <v>0</v>
      </c>
      <c r="AF130" s="1100">
        <f>VLOOKUP(AF$1,'cost per tipologia de sòl'!$A$2:$D$37,4,FALSE)*'T50'!AF130</f>
        <v>0</v>
      </c>
      <c r="AG130" s="1100">
        <f>VLOOKUP(AG$1,'cost per tipologia de sòl'!$A$2:$D$37,4,FALSE)*'T50'!AG130</f>
        <v>0</v>
      </c>
      <c r="AH130" s="1100">
        <f>VLOOKUP(AH$1,'cost per tipologia de sòl'!$A$2:$D$37,4,FALSE)*'T50'!AH130</f>
        <v>0</v>
      </c>
      <c r="AI130" s="1100">
        <f>VLOOKUP(AI$1,'cost per tipologia de sòl'!$A$2:$D$37,4,FALSE)*'T50'!AI130</f>
        <v>0</v>
      </c>
      <c r="AJ130" s="1100">
        <f t="shared" si="2"/>
        <v>95437718.037499994</v>
      </c>
      <c r="AK130" s="1098">
        <f t="shared" si="3"/>
        <v>28.63131541125</v>
      </c>
    </row>
    <row r="131" spans="1:37">
      <c r="A131" s="1099" t="s">
        <v>1604</v>
      </c>
      <c r="B131" s="1100">
        <f>VLOOKUP(B$1,'cost per tipologia de sòl'!$A$2:$D$37,4,FALSE)*'T50'!B131</f>
        <v>19333702.943999998</v>
      </c>
      <c r="C131" s="1100">
        <f>VLOOKUP(C$1,'cost per tipologia de sòl'!$A$2:$D$37,4,FALSE)*'T50'!C131</f>
        <v>0</v>
      </c>
      <c r="D131" s="1100">
        <f>VLOOKUP(D$1,'cost per tipologia de sòl'!$A$2:$D$37,4,FALSE)*'T50'!D131</f>
        <v>3219511.0979999998</v>
      </c>
      <c r="E131" s="1100">
        <f>VLOOKUP(E$1,'cost per tipologia de sòl'!$A$2:$D$37,4,FALSE)*'T50'!E131</f>
        <v>0</v>
      </c>
      <c r="F131" s="1100">
        <f>VLOOKUP(F$1,'cost per tipologia de sòl'!$A$2:$D$37,4,FALSE)*'T50'!F131</f>
        <v>0</v>
      </c>
      <c r="G131" s="1100">
        <f>VLOOKUP(G$1,'cost per tipologia de sòl'!$A$2:$D$37,4,FALSE)*'T50'!G131</f>
        <v>0</v>
      </c>
      <c r="H131" s="1100">
        <f>VLOOKUP(H$1,'cost per tipologia de sòl'!$A$2:$D$37,4,FALSE)*'T50'!H131</f>
        <v>0</v>
      </c>
      <c r="I131" s="1100">
        <f>VLOOKUP(I$1,'cost per tipologia de sòl'!$A$2:$D$37,4,FALSE)*'T50'!I131</f>
        <v>0</v>
      </c>
      <c r="J131" s="1100">
        <f>VLOOKUP(J$1,'cost per tipologia de sòl'!$A$2:$D$37,4,FALSE)*'T50'!J131</f>
        <v>63422.254500000003</v>
      </c>
      <c r="K131" s="1100">
        <f>VLOOKUP(K$1,'cost per tipologia de sòl'!$A$2:$D$37,4,FALSE)*'T50'!K131</f>
        <v>0</v>
      </c>
      <c r="L131" s="1100">
        <f>VLOOKUP(L$1,'cost per tipologia de sòl'!$A$2:$D$37,4,FALSE)*'T50'!L131</f>
        <v>0</v>
      </c>
      <c r="M131" s="1100">
        <f>VLOOKUP(M$1,'cost per tipologia de sòl'!$A$2:$D$37,4,FALSE)*'T50'!M131</f>
        <v>0</v>
      </c>
      <c r="N131" s="1100">
        <f>VLOOKUP(N$1,'cost per tipologia de sòl'!$A$2:$D$37,4,FALSE)*'T50'!N131</f>
        <v>0</v>
      </c>
      <c r="O131" s="1100">
        <f>VLOOKUP(O$1,'cost per tipologia de sòl'!$A$2:$D$37,4,FALSE)*'T50'!O131</f>
        <v>0</v>
      </c>
      <c r="P131" s="1100">
        <f>VLOOKUP(P$1,'cost per tipologia de sòl'!$A$2:$D$37,4,FALSE)*'T50'!P131</f>
        <v>967592.55999999994</v>
      </c>
      <c r="Q131" s="1100">
        <f>VLOOKUP(Q$1,'cost per tipologia de sòl'!$A$2:$D$37,4,FALSE)*'T50'!Q131</f>
        <v>0</v>
      </c>
      <c r="R131" s="1100">
        <f>VLOOKUP(R$1,'cost per tipologia de sòl'!$A$2:$D$37,4,FALSE)*'T50'!R131</f>
        <v>0</v>
      </c>
      <c r="S131" s="1100">
        <f>VLOOKUP(S$1,'cost per tipologia de sòl'!$A$2:$D$37,4,FALSE)*'T50'!S131</f>
        <v>13059672.192</v>
      </c>
      <c r="T131" s="1100">
        <f>VLOOKUP(T$1,'cost per tipologia de sòl'!$A$2:$D$37,4,FALSE)*'T50'!T131</f>
        <v>9112264.3200000003</v>
      </c>
      <c r="U131" s="1100">
        <f>VLOOKUP(U$1,'cost per tipologia de sòl'!$A$2:$D$37,4,FALSE)*'T50'!U131</f>
        <v>185811.15000000002</v>
      </c>
      <c r="V131" s="1100">
        <f>VLOOKUP(V$1,'cost per tipologia de sòl'!$A$2:$D$37,4,FALSE)*'T50'!V131</f>
        <v>0</v>
      </c>
      <c r="W131" s="1100">
        <f>VLOOKUP(W$1,'cost per tipologia de sòl'!$A$2:$D$37,4,FALSE)*'T50'!W131</f>
        <v>0</v>
      </c>
      <c r="X131" s="1100">
        <f>VLOOKUP(X$1,'cost per tipologia de sòl'!$A$2:$D$37,4,FALSE)*'T50'!X131</f>
        <v>0</v>
      </c>
      <c r="Y131" s="1100">
        <f>VLOOKUP(Y$1,'cost per tipologia de sòl'!$A$2:$D$37,4,FALSE)*'T50'!Y131</f>
        <v>0</v>
      </c>
      <c r="Z131" s="1100">
        <f>VLOOKUP(Z$1,'cost per tipologia de sòl'!$A$2:$D$37,4,FALSE)*'T50'!Z131</f>
        <v>0</v>
      </c>
      <c r="AA131" s="1100">
        <f>VLOOKUP(AA$1,'cost per tipologia de sòl'!$A$2:$D$37,4,FALSE)*'T50'!AA131</f>
        <v>770595.35</v>
      </c>
      <c r="AB131" s="1100">
        <f>VLOOKUP(AB$1,'cost per tipologia de sòl'!$A$2:$D$37,4,FALSE)*'T50'!AB131</f>
        <v>668404.80000000005</v>
      </c>
      <c r="AC131" s="1100">
        <f>VLOOKUP(AC$1,'cost per tipologia de sòl'!$A$2:$D$37,4,FALSE)*'T50'!AC131</f>
        <v>4172757.2</v>
      </c>
      <c r="AD131" s="1100">
        <f>VLOOKUP(AD$1,'cost per tipologia de sòl'!$A$2:$D$37,4,FALSE)*'T50'!AD131</f>
        <v>1358544.6500000001</v>
      </c>
      <c r="AE131" s="1100">
        <f>VLOOKUP(AE$1,'cost per tipologia de sòl'!$A$2:$D$37,4,FALSE)*'T50'!AE131</f>
        <v>0</v>
      </c>
      <c r="AF131" s="1100">
        <f>VLOOKUP(AF$1,'cost per tipologia de sòl'!$A$2:$D$37,4,FALSE)*'T50'!AF131</f>
        <v>0</v>
      </c>
      <c r="AG131" s="1100">
        <f>VLOOKUP(AG$1,'cost per tipologia de sòl'!$A$2:$D$37,4,FALSE)*'T50'!AG131</f>
        <v>0</v>
      </c>
      <c r="AH131" s="1100">
        <f>VLOOKUP(AH$1,'cost per tipologia de sòl'!$A$2:$D$37,4,FALSE)*'T50'!AH131</f>
        <v>0</v>
      </c>
      <c r="AI131" s="1100">
        <f>VLOOKUP(AI$1,'cost per tipologia de sòl'!$A$2:$D$37,4,FALSE)*'T50'!AI131</f>
        <v>0</v>
      </c>
      <c r="AJ131" s="1100">
        <f t="shared" ref="AJ131:AJ162" si="4">SUM(B131:AI131)</f>
        <v>52912278.5185</v>
      </c>
      <c r="AK131" s="1098">
        <f t="shared" ref="AK131:AK162" si="5">15*AJ131/(50*1000000)</f>
        <v>15.87368355555</v>
      </c>
    </row>
    <row r="132" spans="1:37">
      <c r="A132" s="1099" t="s">
        <v>1602</v>
      </c>
      <c r="B132" s="1100">
        <f>VLOOKUP(B$1,'cost per tipologia de sòl'!$A$2:$D$37,4,FALSE)*'T50'!B132</f>
        <v>34368751.530000001</v>
      </c>
      <c r="C132" s="1100">
        <f>VLOOKUP(C$1,'cost per tipologia de sòl'!$A$2:$D$37,4,FALSE)*'T50'!C132</f>
        <v>0</v>
      </c>
      <c r="D132" s="1100">
        <f>VLOOKUP(D$1,'cost per tipologia de sòl'!$A$2:$D$37,4,FALSE)*'T50'!D132</f>
        <v>20124.324000000001</v>
      </c>
      <c r="E132" s="1100">
        <f>VLOOKUP(E$1,'cost per tipologia de sòl'!$A$2:$D$37,4,FALSE)*'T50'!E132</f>
        <v>0</v>
      </c>
      <c r="F132" s="1100">
        <f>VLOOKUP(F$1,'cost per tipologia de sòl'!$A$2:$D$37,4,FALSE)*'T50'!F132</f>
        <v>0</v>
      </c>
      <c r="G132" s="1100">
        <f>VLOOKUP(G$1,'cost per tipologia de sòl'!$A$2:$D$37,4,FALSE)*'T50'!G132</f>
        <v>0</v>
      </c>
      <c r="H132" s="1100">
        <f>VLOOKUP(H$1,'cost per tipologia de sòl'!$A$2:$D$37,4,FALSE)*'T50'!H132</f>
        <v>0</v>
      </c>
      <c r="I132" s="1100">
        <f>VLOOKUP(I$1,'cost per tipologia de sòl'!$A$2:$D$37,4,FALSE)*'T50'!I132</f>
        <v>0</v>
      </c>
      <c r="J132" s="1100">
        <f>VLOOKUP(J$1,'cost per tipologia de sòl'!$A$2:$D$37,4,FALSE)*'T50'!J132</f>
        <v>16383.873</v>
      </c>
      <c r="K132" s="1100">
        <f>VLOOKUP(K$1,'cost per tipologia de sòl'!$A$2:$D$37,4,FALSE)*'T50'!K132</f>
        <v>0</v>
      </c>
      <c r="L132" s="1100">
        <f>VLOOKUP(L$1,'cost per tipologia de sòl'!$A$2:$D$37,4,FALSE)*'T50'!L132</f>
        <v>0</v>
      </c>
      <c r="M132" s="1100">
        <f>VLOOKUP(M$1,'cost per tipologia de sòl'!$A$2:$D$37,4,FALSE)*'T50'!M132</f>
        <v>0</v>
      </c>
      <c r="N132" s="1100">
        <f>VLOOKUP(N$1,'cost per tipologia de sòl'!$A$2:$D$37,4,FALSE)*'T50'!N132</f>
        <v>785151.55999999994</v>
      </c>
      <c r="O132" s="1100">
        <f>VLOOKUP(O$1,'cost per tipologia de sòl'!$A$2:$D$37,4,FALSE)*'T50'!O132</f>
        <v>0</v>
      </c>
      <c r="P132" s="1100">
        <f>VLOOKUP(P$1,'cost per tipologia de sòl'!$A$2:$D$37,4,FALSE)*'T50'!P132</f>
        <v>0</v>
      </c>
      <c r="Q132" s="1100">
        <f>VLOOKUP(Q$1,'cost per tipologia de sòl'!$A$2:$D$37,4,FALSE)*'T50'!Q132</f>
        <v>0</v>
      </c>
      <c r="R132" s="1100">
        <f>VLOOKUP(R$1,'cost per tipologia de sòl'!$A$2:$D$37,4,FALSE)*'T50'!R132</f>
        <v>0</v>
      </c>
      <c r="S132" s="1100">
        <f>VLOOKUP(S$1,'cost per tipologia de sòl'!$A$2:$D$37,4,FALSE)*'T50'!S132</f>
        <v>101824.12800000001</v>
      </c>
      <c r="T132" s="1100">
        <f>VLOOKUP(T$1,'cost per tipologia de sòl'!$A$2:$D$37,4,FALSE)*'T50'!T132</f>
        <v>61811.865999999995</v>
      </c>
      <c r="U132" s="1100">
        <f>VLOOKUP(U$1,'cost per tipologia de sòl'!$A$2:$D$37,4,FALSE)*'T50'!U132</f>
        <v>5716307.0999999996</v>
      </c>
      <c r="V132" s="1100">
        <f>VLOOKUP(V$1,'cost per tipologia de sòl'!$A$2:$D$37,4,FALSE)*'T50'!V132</f>
        <v>0</v>
      </c>
      <c r="W132" s="1100">
        <f>VLOOKUP(W$1,'cost per tipologia de sòl'!$A$2:$D$37,4,FALSE)*'T50'!W132</f>
        <v>0</v>
      </c>
      <c r="X132" s="1100">
        <f>VLOOKUP(X$1,'cost per tipologia de sòl'!$A$2:$D$37,4,FALSE)*'T50'!X132</f>
        <v>0</v>
      </c>
      <c r="Y132" s="1100">
        <f>VLOOKUP(Y$1,'cost per tipologia de sòl'!$A$2:$D$37,4,FALSE)*'T50'!Y132</f>
        <v>0</v>
      </c>
      <c r="Z132" s="1100">
        <f>VLOOKUP(Z$1,'cost per tipologia de sòl'!$A$2:$D$37,4,FALSE)*'T50'!Z132</f>
        <v>138.726</v>
      </c>
      <c r="AA132" s="1100">
        <f>VLOOKUP(AA$1,'cost per tipologia de sòl'!$A$2:$D$37,4,FALSE)*'T50'!AA132</f>
        <v>0</v>
      </c>
      <c r="AB132" s="1100">
        <f>VLOOKUP(AB$1,'cost per tipologia de sòl'!$A$2:$D$37,4,FALSE)*'T50'!AB132</f>
        <v>11509334.550000001</v>
      </c>
      <c r="AC132" s="1100">
        <f>VLOOKUP(AC$1,'cost per tipologia de sòl'!$A$2:$D$37,4,FALSE)*'T50'!AC132</f>
        <v>2049931.85</v>
      </c>
      <c r="AD132" s="1100">
        <f>VLOOKUP(AD$1,'cost per tipologia de sòl'!$A$2:$D$37,4,FALSE)*'T50'!AD132</f>
        <v>12431613.550000001</v>
      </c>
      <c r="AE132" s="1100">
        <f>VLOOKUP(AE$1,'cost per tipologia de sòl'!$A$2:$D$37,4,FALSE)*'T50'!AE132</f>
        <v>0</v>
      </c>
      <c r="AF132" s="1100">
        <f>VLOOKUP(AF$1,'cost per tipologia de sòl'!$A$2:$D$37,4,FALSE)*'T50'!AF132</f>
        <v>0</v>
      </c>
      <c r="AG132" s="1100">
        <f>VLOOKUP(AG$1,'cost per tipologia de sòl'!$A$2:$D$37,4,FALSE)*'T50'!AG132</f>
        <v>0</v>
      </c>
      <c r="AH132" s="1100">
        <f>VLOOKUP(AH$1,'cost per tipologia de sòl'!$A$2:$D$37,4,FALSE)*'T50'!AH132</f>
        <v>0</v>
      </c>
      <c r="AI132" s="1100">
        <f>VLOOKUP(AI$1,'cost per tipologia de sòl'!$A$2:$D$37,4,FALSE)*'T50'!AI132</f>
        <v>0</v>
      </c>
      <c r="AJ132" s="1100">
        <f t="shared" si="4"/>
        <v>67061373.057000011</v>
      </c>
      <c r="AK132" s="1098">
        <f t="shared" si="5"/>
        <v>20.118411917100001</v>
      </c>
    </row>
    <row r="133" spans="1:37">
      <c r="A133" s="1099" t="s">
        <v>1558</v>
      </c>
      <c r="B133" s="1100">
        <f>VLOOKUP(B$1,'cost per tipologia de sòl'!$A$2:$D$37,4,FALSE)*'T50'!B133</f>
        <v>0</v>
      </c>
      <c r="C133" s="1100">
        <f>VLOOKUP(C$1,'cost per tipologia de sòl'!$A$2:$D$37,4,FALSE)*'T50'!C133</f>
        <v>0</v>
      </c>
      <c r="D133" s="1100">
        <f>VLOOKUP(D$1,'cost per tipologia de sòl'!$A$2:$D$37,4,FALSE)*'T50'!D133</f>
        <v>0</v>
      </c>
      <c r="E133" s="1100">
        <f>VLOOKUP(E$1,'cost per tipologia de sòl'!$A$2:$D$37,4,FALSE)*'T50'!E133</f>
        <v>0</v>
      </c>
      <c r="F133" s="1100">
        <f>VLOOKUP(F$1,'cost per tipologia de sòl'!$A$2:$D$37,4,FALSE)*'T50'!F133</f>
        <v>0</v>
      </c>
      <c r="G133" s="1100">
        <f>VLOOKUP(G$1,'cost per tipologia de sòl'!$A$2:$D$37,4,FALSE)*'T50'!G133</f>
        <v>0</v>
      </c>
      <c r="H133" s="1100">
        <f>VLOOKUP(H$1,'cost per tipologia de sòl'!$A$2:$D$37,4,FALSE)*'T50'!H133</f>
        <v>0</v>
      </c>
      <c r="I133" s="1100">
        <f>VLOOKUP(I$1,'cost per tipologia de sòl'!$A$2:$D$37,4,FALSE)*'T50'!I133</f>
        <v>0</v>
      </c>
      <c r="J133" s="1100">
        <f>VLOOKUP(J$1,'cost per tipologia de sòl'!$A$2:$D$37,4,FALSE)*'T50'!J133</f>
        <v>0</v>
      </c>
      <c r="K133" s="1100">
        <f>VLOOKUP(K$1,'cost per tipologia de sòl'!$A$2:$D$37,4,FALSE)*'T50'!K133</f>
        <v>0</v>
      </c>
      <c r="L133" s="1100">
        <f>VLOOKUP(L$1,'cost per tipologia de sòl'!$A$2:$D$37,4,FALSE)*'T50'!L133</f>
        <v>0</v>
      </c>
      <c r="M133" s="1100">
        <f>VLOOKUP(M$1,'cost per tipologia de sòl'!$A$2:$D$37,4,FALSE)*'T50'!M133</f>
        <v>0</v>
      </c>
      <c r="N133" s="1100">
        <f>VLOOKUP(N$1,'cost per tipologia de sòl'!$A$2:$D$37,4,FALSE)*'T50'!N133</f>
        <v>0</v>
      </c>
      <c r="O133" s="1100">
        <f>VLOOKUP(O$1,'cost per tipologia de sòl'!$A$2:$D$37,4,FALSE)*'T50'!O133</f>
        <v>0</v>
      </c>
      <c r="P133" s="1100">
        <f>VLOOKUP(P$1,'cost per tipologia de sòl'!$A$2:$D$37,4,FALSE)*'T50'!P133</f>
        <v>0</v>
      </c>
      <c r="Q133" s="1100">
        <f>VLOOKUP(Q$1,'cost per tipologia de sòl'!$A$2:$D$37,4,FALSE)*'T50'!Q133</f>
        <v>0</v>
      </c>
      <c r="R133" s="1100">
        <f>VLOOKUP(R$1,'cost per tipologia de sòl'!$A$2:$D$37,4,FALSE)*'T50'!R133</f>
        <v>0</v>
      </c>
      <c r="S133" s="1100">
        <f>VLOOKUP(S$1,'cost per tipologia de sòl'!$A$2:$D$37,4,FALSE)*'T50'!S133</f>
        <v>0</v>
      </c>
      <c r="T133" s="1100">
        <f>VLOOKUP(T$1,'cost per tipologia de sòl'!$A$2:$D$37,4,FALSE)*'T50'!T133</f>
        <v>0</v>
      </c>
      <c r="U133" s="1100">
        <f>VLOOKUP(U$1,'cost per tipologia de sòl'!$A$2:$D$37,4,FALSE)*'T50'!U133</f>
        <v>2064376.6500000001</v>
      </c>
      <c r="V133" s="1100">
        <f>VLOOKUP(V$1,'cost per tipologia de sòl'!$A$2:$D$37,4,FALSE)*'T50'!V133</f>
        <v>0</v>
      </c>
      <c r="W133" s="1100">
        <f>VLOOKUP(W$1,'cost per tipologia de sòl'!$A$2:$D$37,4,FALSE)*'T50'!W133</f>
        <v>0</v>
      </c>
      <c r="X133" s="1100">
        <f>VLOOKUP(X$1,'cost per tipologia de sòl'!$A$2:$D$37,4,FALSE)*'T50'!X133</f>
        <v>0</v>
      </c>
      <c r="Y133" s="1100">
        <f>VLOOKUP(Y$1,'cost per tipologia de sòl'!$A$2:$D$37,4,FALSE)*'T50'!Y133</f>
        <v>0</v>
      </c>
      <c r="Z133" s="1100">
        <f>VLOOKUP(Z$1,'cost per tipologia de sòl'!$A$2:$D$37,4,FALSE)*'T50'!Z133</f>
        <v>0</v>
      </c>
      <c r="AA133" s="1100">
        <f>VLOOKUP(AA$1,'cost per tipologia de sòl'!$A$2:$D$37,4,FALSE)*'T50'!AA133</f>
        <v>0</v>
      </c>
      <c r="AB133" s="1100">
        <f>VLOOKUP(AB$1,'cost per tipologia de sòl'!$A$2:$D$37,4,FALSE)*'T50'!AB133</f>
        <v>0</v>
      </c>
      <c r="AC133" s="1100">
        <f>VLOOKUP(AC$1,'cost per tipologia de sòl'!$A$2:$D$37,4,FALSE)*'T50'!AC133</f>
        <v>0</v>
      </c>
      <c r="AD133" s="1100">
        <f>VLOOKUP(AD$1,'cost per tipologia de sòl'!$A$2:$D$37,4,FALSE)*'T50'!AD133</f>
        <v>32480999.699999999</v>
      </c>
      <c r="AE133" s="1100">
        <f>VLOOKUP(AE$1,'cost per tipologia de sòl'!$A$2:$D$37,4,FALSE)*'T50'!AE133</f>
        <v>0</v>
      </c>
      <c r="AF133" s="1100">
        <f>VLOOKUP(AF$1,'cost per tipologia de sòl'!$A$2:$D$37,4,FALSE)*'T50'!AF133</f>
        <v>0</v>
      </c>
      <c r="AG133" s="1100">
        <f>VLOOKUP(AG$1,'cost per tipologia de sòl'!$A$2:$D$37,4,FALSE)*'T50'!AG133</f>
        <v>0</v>
      </c>
      <c r="AH133" s="1100">
        <f>VLOOKUP(AH$1,'cost per tipologia de sòl'!$A$2:$D$37,4,FALSE)*'T50'!AH133</f>
        <v>0</v>
      </c>
      <c r="AI133" s="1100">
        <f>VLOOKUP(AI$1,'cost per tipologia de sòl'!$A$2:$D$37,4,FALSE)*'T50'!AI133</f>
        <v>0</v>
      </c>
      <c r="AJ133" s="1100">
        <f t="shared" si="4"/>
        <v>34545376.350000001</v>
      </c>
      <c r="AK133" s="1098">
        <f t="shared" si="5"/>
        <v>10.363612905</v>
      </c>
    </row>
    <row r="134" spans="1:37">
      <c r="A134" s="1099" t="s">
        <v>1559</v>
      </c>
      <c r="B134" s="1100">
        <f>VLOOKUP(B$1,'cost per tipologia de sòl'!$A$2:$D$37,4,FALSE)*'T50'!B134</f>
        <v>0</v>
      </c>
      <c r="C134" s="1100">
        <f>VLOOKUP(C$1,'cost per tipologia de sòl'!$A$2:$D$37,4,FALSE)*'T50'!C134</f>
        <v>0</v>
      </c>
      <c r="D134" s="1100">
        <f>VLOOKUP(D$1,'cost per tipologia de sòl'!$A$2:$D$37,4,FALSE)*'T50'!D134</f>
        <v>0</v>
      </c>
      <c r="E134" s="1100">
        <f>VLOOKUP(E$1,'cost per tipologia de sòl'!$A$2:$D$37,4,FALSE)*'T50'!E134</f>
        <v>0</v>
      </c>
      <c r="F134" s="1100">
        <f>VLOOKUP(F$1,'cost per tipologia de sòl'!$A$2:$D$37,4,FALSE)*'T50'!F134</f>
        <v>0</v>
      </c>
      <c r="G134" s="1100">
        <f>VLOOKUP(G$1,'cost per tipologia de sòl'!$A$2:$D$37,4,FALSE)*'T50'!G134</f>
        <v>0</v>
      </c>
      <c r="H134" s="1100">
        <f>VLOOKUP(H$1,'cost per tipologia de sòl'!$A$2:$D$37,4,FALSE)*'T50'!H134</f>
        <v>0</v>
      </c>
      <c r="I134" s="1100">
        <f>VLOOKUP(I$1,'cost per tipologia de sòl'!$A$2:$D$37,4,FALSE)*'T50'!I134</f>
        <v>0</v>
      </c>
      <c r="J134" s="1100">
        <f>VLOOKUP(J$1,'cost per tipologia de sòl'!$A$2:$D$37,4,FALSE)*'T50'!J134</f>
        <v>0</v>
      </c>
      <c r="K134" s="1100">
        <f>VLOOKUP(K$1,'cost per tipologia de sòl'!$A$2:$D$37,4,FALSE)*'T50'!K134</f>
        <v>0</v>
      </c>
      <c r="L134" s="1100">
        <f>VLOOKUP(L$1,'cost per tipologia de sòl'!$A$2:$D$37,4,FALSE)*'T50'!L134</f>
        <v>0</v>
      </c>
      <c r="M134" s="1100">
        <f>VLOOKUP(M$1,'cost per tipologia de sòl'!$A$2:$D$37,4,FALSE)*'T50'!M134</f>
        <v>0</v>
      </c>
      <c r="N134" s="1100">
        <f>VLOOKUP(N$1,'cost per tipologia de sòl'!$A$2:$D$37,4,FALSE)*'T50'!N134</f>
        <v>475196.696</v>
      </c>
      <c r="O134" s="1100">
        <f>VLOOKUP(O$1,'cost per tipologia de sòl'!$A$2:$D$37,4,FALSE)*'T50'!O134</f>
        <v>0</v>
      </c>
      <c r="P134" s="1100">
        <f>VLOOKUP(P$1,'cost per tipologia de sòl'!$A$2:$D$37,4,FALSE)*'T50'!P134</f>
        <v>2478418.9760000003</v>
      </c>
      <c r="Q134" s="1100">
        <f>VLOOKUP(Q$1,'cost per tipologia de sòl'!$A$2:$D$37,4,FALSE)*'T50'!Q134</f>
        <v>0</v>
      </c>
      <c r="R134" s="1100">
        <f>VLOOKUP(R$1,'cost per tipologia de sòl'!$A$2:$D$37,4,FALSE)*'T50'!R134</f>
        <v>0</v>
      </c>
      <c r="S134" s="1100">
        <f>VLOOKUP(S$1,'cost per tipologia de sòl'!$A$2:$D$37,4,FALSE)*'T50'!S134</f>
        <v>3955543.2</v>
      </c>
      <c r="T134" s="1100">
        <f>VLOOKUP(T$1,'cost per tipologia de sòl'!$A$2:$D$37,4,FALSE)*'T50'!T134</f>
        <v>3124834.1850000001</v>
      </c>
      <c r="U134" s="1100">
        <f>VLOOKUP(U$1,'cost per tipologia de sòl'!$A$2:$D$37,4,FALSE)*'T50'!U134</f>
        <v>735216.3</v>
      </c>
      <c r="V134" s="1100">
        <f>VLOOKUP(V$1,'cost per tipologia de sòl'!$A$2:$D$37,4,FALSE)*'T50'!V134</f>
        <v>0</v>
      </c>
      <c r="W134" s="1100">
        <f>VLOOKUP(W$1,'cost per tipologia de sòl'!$A$2:$D$37,4,FALSE)*'T50'!W134</f>
        <v>0</v>
      </c>
      <c r="X134" s="1100">
        <f>VLOOKUP(X$1,'cost per tipologia de sòl'!$A$2:$D$37,4,FALSE)*'T50'!X134</f>
        <v>0</v>
      </c>
      <c r="Y134" s="1100">
        <f>VLOOKUP(Y$1,'cost per tipologia de sòl'!$A$2:$D$37,4,FALSE)*'T50'!Y134</f>
        <v>0</v>
      </c>
      <c r="Z134" s="1100">
        <f>VLOOKUP(Z$1,'cost per tipologia de sòl'!$A$2:$D$37,4,FALSE)*'T50'!Z134</f>
        <v>0</v>
      </c>
      <c r="AA134" s="1100">
        <f>VLOOKUP(AA$1,'cost per tipologia de sòl'!$A$2:$D$37,4,FALSE)*'T50'!AA134</f>
        <v>0</v>
      </c>
      <c r="AB134" s="1100">
        <f>VLOOKUP(AB$1,'cost per tipologia de sòl'!$A$2:$D$37,4,FALSE)*'T50'!AB134</f>
        <v>0</v>
      </c>
      <c r="AC134" s="1100">
        <f>VLOOKUP(AC$1,'cost per tipologia de sòl'!$A$2:$D$37,4,FALSE)*'T50'!AC134</f>
        <v>3327892.75</v>
      </c>
      <c r="AD134" s="1100">
        <f>VLOOKUP(AD$1,'cost per tipologia de sòl'!$A$2:$D$37,4,FALSE)*'T50'!AD134</f>
        <v>45540329.549999997</v>
      </c>
      <c r="AE134" s="1100">
        <f>VLOOKUP(AE$1,'cost per tipologia de sòl'!$A$2:$D$37,4,FALSE)*'T50'!AE134</f>
        <v>0</v>
      </c>
      <c r="AF134" s="1100">
        <f>VLOOKUP(AF$1,'cost per tipologia de sòl'!$A$2:$D$37,4,FALSE)*'T50'!AF134</f>
        <v>0</v>
      </c>
      <c r="AG134" s="1100">
        <f>VLOOKUP(AG$1,'cost per tipologia de sòl'!$A$2:$D$37,4,FALSE)*'T50'!AG134</f>
        <v>0</v>
      </c>
      <c r="AH134" s="1100">
        <f>VLOOKUP(AH$1,'cost per tipologia de sòl'!$A$2:$D$37,4,FALSE)*'T50'!AH134</f>
        <v>0</v>
      </c>
      <c r="AI134" s="1100">
        <f>VLOOKUP(AI$1,'cost per tipologia de sòl'!$A$2:$D$37,4,FALSE)*'T50'!AI134</f>
        <v>0</v>
      </c>
      <c r="AJ134" s="1100">
        <f t="shared" si="4"/>
        <v>59637431.656999998</v>
      </c>
      <c r="AK134" s="1098">
        <f t="shared" si="5"/>
        <v>17.891229497099999</v>
      </c>
    </row>
    <row r="135" spans="1:37">
      <c r="A135" s="1099" t="s">
        <v>1561</v>
      </c>
      <c r="B135" s="1100">
        <f>VLOOKUP(B$1,'cost per tipologia de sòl'!$A$2:$D$37,4,FALSE)*'T50'!B135</f>
        <v>0</v>
      </c>
      <c r="C135" s="1100">
        <f>VLOOKUP(C$1,'cost per tipologia de sòl'!$A$2:$D$37,4,FALSE)*'T50'!C135</f>
        <v>0</v>
      </c>
      <c r="D135" s="1100">
        <f>VLOOKUP(D$1,'cost per tipologia de sòl'!$A$2:$D$37,4,FALSE)*'T50'!D135</f>
        <v>0</v>
      </c>
      <c r="E135" s="1100">
        <f>VLOOKUP(E$1,'cost per tipologia de sòl'!$A$2:$D$37,4,FALSE)*'T50'!E135</f>
        <v>0</v>
      </c>
      <c r="F135" s="1100">
        <f>VLOOKUP(F$1,'cost per tipologia de sòl'!$A$2:$D$37,4,FALSE)*'T50'!F135</f>
        <v>0</v>
      </c>
      <c r="G135" s="1100">
        <f>VLOOKUP(G$1,'cost per tipologia de sòl'!$A$2:$D$37,4,FALSE)*'T50'!G135</f>
        <v>0</v>
      </c>
      <c r="H135" s="1100">
        <f>VLOOKUP(H$1,'cost per tipologia de sòl'!$A$2:$D$37,4,FALSE)*'T50'!H135</f>
        <v>0</v>
      </c>
      <c r="I135" s="1100">
        <f>VLOOKUP(I$1,'cost per tipologia de sòl'!$A$2:$D$37,4,FALSE)*'T50'!I135</f>
        <v>0</v>
      </c>
      <c r="J135" s="1100">
        <f>VLOOKUP(J$1,'cost per tipologia de sòl'!$A$2:$D$37,4,FALSE)*'T50'!J135</f>
        <v>635281.07500000007</v>
      </c>
      <c r="K135" s="1100">
        <f>VLOOKUP(K$1,'cost per tipologia de sòl'!$A$2:$D$37,4,FALSE)*'T50'!K135</f>
        <v>0</v>
      </c>
      <c r="L135" s="1100">
        <f>VLOOKUP(L$1,'cost per tipologia de sòl'!$A$2:$D$37,4,FALSE)*'T50'!L135</f>
        <v>0</v>
      </c>
      <c r="M135" s="1100">
        <f>VLOOKUP(M$1,'cost per tipologia de sòl'!$A$2:$D$37,4,FALSE)*'T50'!M135</f>
        <v>0</v>
      </c>
      <c r="N135" s="1100">
        <f>VLOOKUP(N$1,'cost per tipologia de sòl'!$A$2:$D$37,4,FALSE)*'T50'!N135</f>
        <v>0</v>
      </c>
      <c r="O135" s="1100">
        <f>VLOOKUP(O$1,'cost per tipologia de sòl'!$A$2:$D$37,4,FALSE)*'T50'!O135</f>
        <v>0</v>
      </c>
      <c r="P135" s="1100">
        <f>VLOOKUP(P$1,'cost per tipologia de sòl'!$A$2:$D$37,4,FALSE)*'T50'!P135</f>
        <v>0</v>
      </c>
      <c r="Q135" s="1100">
        <f>VLOOKUP(Q$1,'cost per tipologia de sòl'!$A$2:$D$37,4,FALSE)*'T50'!Q135</f>
        <v>0</v>
      </c>
      <c r="R135" s="1100">
        <f>VLOOKUP(R$1,'cost per tipologia de sòl'!$A$2:$D$37,4,FALSE)*'T50'!R135</f>
        <v>0</v>
      </c>
      <c r="S135" s="1100">
        <f>VLOOKUP(S$1,'cost per tipologia de sòl'!$A$2:$D$37,4,FALSE)*'T50'!S135</f>
        <v>0</v>
      </c>
      <c r="T135" s="1100">
        <f>VLOOKUP(T$1,'cost per tipologia de sòl'!$A$2:$D$37,4,FALSE)*'T50'!T135</f>
        <v>0</v>
      </c>
      <c r="U135" s="1100">
        <f>VLOOKUP(U$1,'cost per tipologia de sòl'!$A$2:$D$37,4,FALSE)*'T50'!U135</f>
        <v>0</v>
      </c>
      <c r="V135" s="1100">
        <f>VLOOKUP(V$1,'cost per tipologia de sòl'!$A$2:$D$37,4,FALSE)*'T50'!V135</f>
        <v>0</v>
      </c>
      <c r="W135" s="1100">
        <f>VLOOKUP(W$1,'cost per tipologia de sòl'!$A$2:$D$37,4,FALSE)*'T50'!W135</f>
        <v>0</v>
      </c>
      <c r="X135" s="1100">
        <f>VLOOKUP(X$1,'cost per tipologia de sòl'!$A$2:$D$37,4,FALSE)*'T50'!X135</f>
        <v>0</v>
      </c>
      <c r="Y135" s="1100">
        <f>VLOOKUP(Y$1,'cost per tipologia de sòl'!$A$2:$D$37,4,FALSE)*'T50'!Y135</f>
        <v>0</v>
      </c>
      <c r="Z135" s="1100">
        <f>VLOOKUP(Z$1,'cost per tipologia de sòl'!$A$2:$D$37,4,FALSE)*'T50'!Z135</f>
        <v>0</v>
      </c>
      <c r="AA135" s="1100">
        <f>VLOOKUP(AA$1,'cost per tipologia de sòl'!$A$2:$D$37,4,FALSE)*'T50'!AA135</f>
        <v>0</v>
      </c>
      <c r="AB135" s="1100">
        <f>VLOOKUP(AB$1,'cost per tipologia de sòl'!$A$2:$D$37,4,FALSE)*'T50'!AB135</f>
        <v>0</v>
      </c>
      <c r="AC135" s="1100">
        <f>VLOOKUP(AC$1,'cost per tipologia de sòl'!$A$2:$D$37,4,FALSE)*'T50'!AC135</f>
        <v>0</v>
      </c>
      <c r="AD135" s="1100">
        <f>VLOOKUP(AD$1,'cost per tipologia de sòl'!$A$2:$D$37,4,FALSE)*'T50'!AD135</f>
        <v>0</v>
      </c>
      <c r="AE135" s="1100">
        <f>VLOOKUP(AE$1,'cost per tipologia de sòl'!$A$2:$D$37,4,FALSE)*'T50'!AE135</f>
        <v>0</v>
      </c>
      <c r="AF135" s="1100">
        <f>VLOOKUP(AF$1,'cost per tipologia de sòl'!$A$2:$D$37,4,FALSE)*'T50'!AF135</f>
        <v>0</v>
      </c>
      <c r="AG135" s="1100">
        <f>VLOOKUP(AG$1,'cost per tipologia de sòl'!$A$2:$D$37,4,FALSE)*'T50'!AG135</f>
        <v>0</v>
      </c>
      <c r="AH135" s="1100">
        <f>VLOOKUP(AH$1,'cost per tipologia de sòl'!$A$2:$D$37,4,FALSE)*'T50'!AH135</f>
        <v>0</v>
      </c>
      <c r="AI135" s="1100">
        <f>VLOOKUP(AI$1,'cost per tipologia de sòl'!$A$2:$D$37,4,FALSE)*'T50'!AI135</f>
        <v>0</v>
      </c>
      <c r="AJ135" s="1100">
        <f t="shared" si="4"/>
        <v>635281.07500000007</v>
      </c>
      <c r="AK135" s="1098">
        <f t="shared" si="5"/>
        <v>0.19058432250000004</v>
      </c>
    </row>
    <row r="136" spans="1:37">
      <c r="A136" s="1099" t="s">
        <v>1562</v>
      </c>
      <c r="B136" s="1100">
        <f>VLOOKUP(B$1,'cost per tipologia de sòl'!$A$2:$D$37,4,FALSE)*'T50'!B136</f>
        <v>0</v>
      </c>
      <c r="C136" s="1100">
        <f>VLOOKUP(C$1,'cost per tipologia de sòl'!$A$2:$D$37,4,FALSE)*'T50'!C136</f>
        <v>0</v>
      </c>
      <c r="D136" s="1100">
        <f>VLOOKUP(D$1,'cost per tipologia de sòl'!$A$2:$D$37,4,FALSE)*'T50'!D136</f>
        <v>287053.83600000001</v>
      </c>
      <c r="E136" s="1100">
        <f>VLOOKUP(E$1,'cost per tipologia de sòl'!$A$2:$D$37,4,FALSE)*'T50'!E136</f>
        <v>0</v>
      </c>
      <c r="F136" s="1100">
        <f>VLOOKUP(F$1,'cost per tipologia de sòl'!$A$2:$D$37,4,FALSE)*'T50'!F136</f>
        <v>0</v>
      </c>
      <c r="G136" s="1100">
        <f>VLOOKUP(G$1,'cost per tipologia de sòl'!$A$2:$D$37,4,FALSE)*'T50'!G136</f>
        <v>0</v>
      </c>
      <c r="H136" s="1100">
        <f>VLOOKUP(H$1,'cost per tipologia de sòl'!$A$2:$D$37,4,FALSE)*'T50'!H136</f>
        <v>0</v>
      </c>
      <c r="I136" s="1100">
        <f>VLOOKUP(I$1,'cost per tipologia de sòl'!$A$2:$D$37,4,FALSE)*'T50'!I136</f>
        <v>0</v>
      </c>
      <c r="J136" s="1100">
        <f>VLOOKUP(J$1,'cost per tipologia de sòl'!$A$2:$D$37,4,FALSE)*'T50'!J136</f>
        <v>0</v>
      </c>
      <c r="K136" s="1100">
        <f>VLOOKUP(K$1,'cost per tipologia de sòl'!$A$2:$D$37,4,FALSE)*'T50'!K136</f>
        <v>0</v>
      </c>
      <c r="L136" s="1100">
        <f>VLOOKUP(L$1,'cost per tipologia de sòl'!$A$2:$D$37,4,FALSE)*'T50'!L136</f>
        <v>0</v>
      </c>
      <c r="M136" s="1100">
        <f>VLOOKUP(M$1,'cost per tipologia de sòl'!$A$2:$D$37,4,FALSE)*'T50'!M136</f>
        <v>0</v>
      </c>
      <c r="N136" s="1100">
        <f>VLOOKUP(N$1,'cost per tipologia de sòl'!$A$2:$D$37,4,FALSE)*'T50'!N136</f>
        <v>0</v>
      </c>
      <c r="O136" s="1100">
        <f>VLOOKUP(O$1,'cost per tipologia de sòl'!$A$2:$D$37,4,FALSE)*'T50'!O136</f>
        <v>0</v>
      </c>
      <c r="P136" s="1100">
        <f>VLOOKUP(P$1,'cost per tipologia de sòl'!$A$2:$D$37,4,FALSE)*'T50'!P136</f>
        <v>0</v>
      </c>
      <c r="Q136" s="1100">
        <f>VLOOKUP(Q$1,'cost per tipologia de sòl'!$A$2:$D$37,4,FALSE)*'T50'!Q136</f>
        <v>0</v>
      </c>
      <c r="R136" s="1100">
        <f>VLOOKUP(R$1,'cost per tipologia de sòl'!$A$2:$D$37,4,FALSE)*'T50'!R136</f>
        <v>0</v>
      </c>
      <c r="S136" s="1100">
        <f>VLOOKUP(S$1,'cost per tipologia de sòl'!$A$2:$D$37,4,FALSE)*'T50'!S136</f>
        <v>2542398.7680000002</v>
      </c>
      <c r="T136" s="1100">
        <f>VLOOKUP(T$1,'cost per tipologia de sòl'!$A$2:$D$37,4,FALSE)*'T50'!T136</f>
        <v>5064.4360000000006</v>
      </c>
      <c r="U136" s="1100">
        <f>VLOOKUP(U$1,'cost per tipologia de sòl'!$A$2:$D$37,4,FALSE)*'T50'!U136</f>
        <v>0</v>
      </c>
      <c r="V136" s="1100">
        <f>VLOOKUP(V$1,'cost per tipologia de sòl'!$A$2:$D$37,4,FALSE)*'T50'!V136</f>
        <v>0</v>
      </c>
      <c r="W136" s="1100">
        <f>VLOOKUP(W$1,'cost per tipologia de sòl'!$A$2:$D$37,4,FALSE)*'T50'!W136</f>
        <v>0</v>
      </c>
      <c r="X136" s="1100">
        <f>VLOOKUP(X$1,'cost per tipologia de sòl'!$A$2:$D$37,4,FALSE)*'T50'!X136</f>
        <v>0</v>
      </c>
      <c r="Y136" s="1100">
        <f>VLOOKUP(Y$1,'cost per tipologia de sòl'!$A$2:$D$37,4,FALSE)*'T50'!Y136</f>
        <v>0</v>
      </c>
      <c r="Z136" s="1100">
        <f>VLOOKUP(Z$1,'cost per tipologia de sòl'!$A$2:$D$37,4,FALSE)*'T50'!Z136</f>
        <v>0</v>
      </c>
      <c r="AA136" s="1100">
        <f>VLOOKUP(AA$1,'cost per tipologia de sòl'!$A$2:$D$37,4,FALSE)*'T50'!AA136</f>
        <v>0</v>
      </c>
      <c r="AB136" s="1100">
        <f>VLOOKUP(AB$1,'cost per tipologia de sòl'!$A$2:$D$37,4,FALSE)*'T50'!AB136</f>
        <v>693382.2</v>
      </c>
      <c r="AC136" s="1100">
        <f>VLOOKUP(AC$1,'cost per tipologia de sòl'!$A$2:$D$37,4,FALSE)*'T50'!AC136</f>
        <v>237206.45</v>
      </c>
      <c r="AD136" s="1100">
        <f>VLOOKUP(AD$1,'cost per tipologia de sòl'!$A$2:$D$37,4,FALSE)*'T50'!AD136</f>
        <v>140272.25</v>
      </c>
      <c r="AE136" s="1100">
        <f>VLOOKUP(AE$1,'cost per tipologia de sòl'!$A$2:$D$37,4,FALSE)*'T50'!AE136</f>
        <v>0</v>
      </c>
      <c r="AF136" s="1100">
        <f>VLOOKUP(AF$1,'cost per tipologia de sòl'!$A$2:$D$37,4,FALSE)*'T50'!AF136</f>
        <v>0</v>
      </c>
      <c r="AG136" s="1100">
        <f>VLOOKUP(AG$1,'cost per tipologia de sòl'!$A$2:$D$37,4,FALSE)*'T50'!AG136</f>
        <v>0</v>
      </c>
      <c r="AH136" s="1100">
        <f>VLOOKUP(AH$1,'cost per tipologia de sòl'!$A$2:$D$37,4,FALSE)*'T50'!AH136</f>
        <v>0</v>
      </c>
      <c r="AI136" s="1100">
        <f>VLOOKUP(AI$1,'cost per tipologia de sòl'!$A$2:$D$37,4,FALSE)*'T50'!AI136</f>
        <v>0</v>
      </c>
      <c r="AJ136" s="1100">
        <f t="shared" si="4"/>
        <v>3905377.9400000004</v>
      </c>
      <c r="AK136" s="1098">
        <f t="shared" si="5"/>
        <v>1.1716133820000001</v>
      </c>
    </row>
    <row r="137" spans="1:37">
      <c r="A137" s="1099" t="s">
        <v>1564</v>
      </c>
      <c r="B137" s="1100">
        <f>VLOOKUP(B$1,'cost per tipologia de sòl'!$A$2:$D$37,4,FALSE)*'T50'!B137</f>
        <v>34656676.362000003</v>
      </c>
      <c r="C137" s="1100">
        <f>VLOOKUP(C$1,'cost per tipologia de sòl'!$A$2:$D$37,4,FALSE)*'T50'!C137</f>
        <v>1626039.7419999999</v>
      </c>
      <c r="D137" s="1100">
        <f>VLOOKUP(D$1,'cost per tipologia de sòl'!$A$2:$D$37,4,FALSE)*'T50'!D137</f>
        <v>0</v>
      </c>
      <c r="E137" s="1100">
        <f>VLOOKUP(E$1,'cost per tipologia de sòl'!$A$2:$D$37,4,FALSE)*'T50'!E137</f>
        <v>0</v>
      </c>
      <c r="F137" s="1100">
        <f>VLOOKUP(F$1,'cost per tipologia de sòl'!$A$2:$D$37,4,FALSE)*'T50'!F137</f>
        <v>0</v>
      </c>
      <c r="G137" s="1100">
        <f>VLOOKUP(G$1,'cost per tipologia de sòl'!$A$2:$D$37,4,FALSE)*'T50'!G137</f>
        <v>0</v>
      </c>
      <c r="H137" s="1100">
        <f>VLOOKUP(H$1,'cost per tipologia de sòl'!$A$2:$D$37,4,FALSE)*'T50'!H137</f>
        <v>0</v>
      </c>
      <c r="I137" s="1100">
        <f>VLOOKUP(I$1,'cost per tipologia de sòl'!$A$2:$D$37,4,FALSE)*'T50'!I137</f>
        <v>0</v>
      </c>
      <c r="J137" s="1100">
        <f>VLOOKUP(J$1,'cost per tipologia de sòl'!$A$2:$D$37,4,FALSE)*'T50'!J137</f>
        <v>73148.817500000005</v>
      </c>
      <c r="K137" s="1100">
        <f>VLOOKUP(K$1,'cost per tipologia de sòl'!$A$2:$D$37,4,FALSE)*'T50'!K137</f>
        <v>0</v>
      </c>
      <c r="L137" s="1100">
        <f>VLOOKUP(L$1,'cost per tipologia de sòl'!$A$2:$D$37,4,FALSE)*'T50'!L137</f>
        <v>28337077.457999997</v>
      </c>
      <c r="M137" s="1100">
        <f>VLOOKUP(M$1,'cost per tipologia de sòl'!$A$2:$D$37,4,FALSE)*'T50'!M137</f>
        <v>0</v>
      </c>
      <c r="N137" s="1100">
        <f>VLOOKUP(N$1,'cost per tipologia de sòl'!$A$2:$D$37,4,FALSE)*'T50'!N137</f>
        <v>0</v>
      </c>
      <c r="O137" s="1100">
        <f>VLOOKUP(O$1,'cost per tipologia de sòl'!$A$2:$D$37,4,FALSE)*'T50'!O137</f>
        <v>0</v>
      </c>
      <c r="P137" s="1100">
        <f>VLOOKUP(P$1,'cost per tipologia de sòl'!$A$2:$D$37,4,FALSE)*'T50'!P137</f>
        <v>0</v>
      </c>
      <c r="Q137" s="1100">
        <f>VLOOKUP(Q$1,'cost per tipologia de sòl'!$A$2:$D$37,4,FALSE)*'T50'!Q137</f>
        <v>0</v>
      </c>
      <c r="R137" s="1100">
        <f>VLOOKUP(R$1,'cost per tipologia de sòl'!$A$2:$D$37,4,FALSE)*'T50'!R137</f>
        <v>0</v>
      </c>
      <c r="S137" s="1100">
        <f>VLOOKUP(S$1,'cost per tipologia de sòl'!$A$2:$D$37,4,FALSE)*'T50'!S137</f>
        <v>12933288.143999999</v>
      </c>
      <c r="T137" s="1100">
        <f>VLOOKUP(T$1,'cost per tipologia de sòl'!$A$2:$D$37,4,FALSE)*'T50'!T137</f>
        <v>9310758.3310000002</v>
      </c>
      <c r="U137" s="1100">
        <f>VLOOKUP(U$1,'cost per tipologia de sòl'!$A$2:$D$37,4,FALSE)*'T50'!U137</f>
        <v>0</v>
      </c>
      <c r="V137" s="1100">
        <f>VLOOKUP(V$1,'cost per tipologia de sòl'!$A$2:$D$37,4,FALSE)*'T50'!V137</f>
        <v>0</v>
      </c>
      <c r="W137" s="1100">
        <f>VLOOKUP(W$1,'cost per tipologia de sòl'!$A$2:$D$37,4,FALSE)*'T50'!W137</f>
        <v>0</v>
      </c>
      <c r="X137" s="1100">
        <f>VLOOKUP(X$1,'cost per tipologia de sòl'!$A$2:$D$37,4,FALSE)*'T50'!X137</f>
        <v>0</v>
      </c>
      <c r="Y137" s="1100">
        <f>VLOOKUP(Y$1,'cost per tipologia de sòl'!$A$2:$D$37,4,FALSE)*'T50'!Y137</f>
        <v>0</v>
      </c>
      <c r="Z137" s="1100">
        <f>VLOOKUP(Z$1,'cost per tipologia de sòl'!$A$2:$D$37,4,FALSE)*'T50'!Z137</f>
        <v>780616.34</v>
      </c>
      <c r="AA137" s="1100">
        <f>VLOOKUP(AA$1,'cost per tipologia de sòl'!$A$2:$D$37,4,FALSE)*'T50'!AA137</f>
        <v>0</v>
      </c>
      <c r="AB137" s="1100">
        <f>VLOOKUP(AB$1,'cost per tipologia de sòl'!$A$2:$D$37,4,FALSE)*'T50'!AB137</f>
        <v>9247783.5500000007</v>
      </c>
      <c r="AC137" s="1100">
        <f>VLOOKUP(AC$1,'cost per tipologia de sòl'!$A$2:$D$37,4,FALSE)*'T50'!AC137</f>
        <v>40195576.349999994</v>
      </c>
      <c r="AD137" s="1100">
        <f>VLOOKUP(AD$1,'cost per tipologia de sòl'!$A$2:$D$37,4,FALSE)*'T50'!AD137</f>
        <v>6627197.1500000004</v>
      </c>
      <c r="AE137" s="1100">
        <f>VLOOKUP(AE$1,'cost per tipologia de sòl'!$A$2:$D$37,4,FALSE)*'T50'!AE137</f>
        <v>0</v>
      </c>
      <c r="AF137" s="1100">
        <f>VLOOKUP(AF$1,'cost per tipologia de sòl'!$A$2:$D$37,4,FALSE)*'T50'!AF137</f>
        <v>0</v>
      </c>
      <c r="AG137" s="1100">
        <f>VLOOKUP(AG$1,'cost per tipologia de sòl'!$A$2:$D$37,4,FALSE)*'T50'!AG137</f>
        <v>0</v>
      </c>
      <c r="AH137" s="1100">
        <f>VLOOKUP(AH$1,'cost per tipologia de sòl'!$A$2:$D$37,4,FALSE)*'T50'!AH137</f>
        <v>0</v>
      </c>
      <c r="AI137" s="1100">
        <f>VLOOKUP(AI$1,'cost per tipologia de sòl'!$A$2:$D$37,4,FALSE)*'T50'!AI137</f>
        <v>0</v>
      </c>
      <c r="AJ137" s="1100">
        <f t="shared" si="4"/>
        <v>143788162.24450001</v>
      </c>
      <c r="AK137" s="1098">
        <f t="shared" si="5"/>
        <v>43.136448673350003</v>
      </c>
    </row>
    <row r="138" spans="1:37">
      <c r="A138" s="1099" t="s">
        <v>1567</v>
      </c>
      <c r="B138" s="1100">
        <f>VLOOKUP(B$1,'cost per tipologia de sòl'!$A$2:$D$37,4,FALSE)*'T50'!B138</f>
        <v>443294.22599999997</v>
      </c>
      <c r="C138" s="1100">
        <f>VLOOKUP(C$1,'cost per tipologia de sòl'!$A$2:$D$37,4,FALSE)*'T50'!C138</f>
        <v>0</v>
      </c>
      <c r="D138" s="1100">
        <f>VLOOKUP(D$1,'cost per tipologia de sòl'!$A$2:$D$37,4,FALSE)*'T50'!D138</f>
        <v>0</v>
      </c>
      <c r="E138" s="1100">
        <f>VLOOKUP(E$1,'cost per tipologia de sòl'!$A$2:$D$37,4,FALSE)*'T50'!E138</f>
        <v>0</v>
      </c>
      <c r="F138" s="1100">
        <f>VLOOKUP(F$1,'cost per tipologia de sòl'!$A$2:$D$37,4,FALSE)*'T50'!F138</f>
        <v>0</v>
      </c>
      <c r="G138" s="1100">
        <f>VLOOKUP(G$1,'cost per tipologia de sòl'!$A$2:$D$37,4,FALSE)*'T50'!G138</f>
        <v>0</v>
      </c>
      <c r="H138" s="1100">
        <f>VLOOKUP(H$1,'cost per tipologia de sòl'!$A$2:$D$37,4,FALSE)*'T50'!H138</f>
        <v>0</v>
      </c>
      <c r="I138" s="1100">
        <f>VLOOKUP(I$1,'cost per tipologia de sòl'!$A$2:$D$37,4,FALSE)*'T50'!I138</f>
        <v>0</v>
      </c>
      <c r="J138" s="1100">
        <f>VLOOKUP(J$1,'cost per tipologia de sòl'!$A$2:$D$37,4,FALSE)*'T50'!J138</f>
        <v>4114.9845000000005</v>
      </c>
      <c r="K138" s="1100">
        <f>VLOOKUP(K$1,'cost per tipologia de sòl'!$A$2:$D$37,4,FALSE)*'T50'!K138</f>
        <v>0</v>
      </c>
      <c r="L138" s="1100">
        <f>VLOOKUP(L$1,'cost per tipologia de sòl'!$A$2:$D$37,4,FALSE)*'T50'!L138</f>
        <v>0</v>
      </c>
      <c r="M138" s="1100">
        <f>VLOOKUP(M$1,'cost per tipologia de sòl'!$A$2:$D$37,4,FALSE)*'T50'!M138</f>
        <v>0</v>
      </c>
      <c r="N138" s="1100">
        <f>VLOOKUP(N$1,'cost per tipologia de sòl'!$A$2:$D$37,4,FALSE)*'T50'!N138</f>
        <v>0</v>
      </c>
      <c r="O138" s="1100">
        <f>VLOOKUP(O$1,'cost per tipologia de sòl'!$A$2:$D$37,4,FALSE)*'T50'!O138</f>
        <v>0</v>
      </c>
      <c r="P138" s="1100">
        <f>VLOOKUP(P$1,'cost per tipologia de sòl'!$A$2:$D$37,4,FALSE)*'T50'!P138</f>
        <v>1112425.656</v>
      </c>
      <c r="Q138" s="1100">
        <f>VLOOKUP(Q$1,'cost per tipologia de sòl'!$A$2:$D$37,4,FALSE)*'T50'!Q138</f>
        <v>0</v>
      </c>
      <c r="R138" s="1100">
        <f>VLOOKUP(R$1,'cost per tipologia de sòl'!$A$2:$D$37,4,FALSE)*'T50'!R138</f>
        <v>0</v>
      </c>
      <c r="S138" s="1100">
        <f>VLOOKUP(S$1,'cost per tipologia de sòl'!$A$2:$D$37,4,FALSE)*'T50'!S138</f>
        <v>0</v>
      </c>
      <c r="T138" s="1100">
        <f>VLOOKUP(T$1,'cost per tipologia de sòl'!$A$2:$D$37,4,FALSE)*'T50'!T138</f>
        <v>910689.25399999996</v>
      </c>
      <c r="U138" s="1100">
        <f>VLOOKUP(U$1,'cost per tipologia de sòl'!$A$2:$D$37,4,FALSE)*'T50'!U138</f>
        <v>0</v>
      </c>
      <c r="V138" s="1100">
        <f>VLOOKUP(V$1,'cost per tipologia de sòl'!$A$2:$D$37,4,FALSE)*'T50'!V138</f>
        <v>0</v>
      </c>
      <c r="W138" s="1100">
        <f>VLOOKUP(W$1,'cost per tipologia de sòl'!$A$2:$D$37,4,FALSE)*'T50'!W138</f>
        <v>0</v>
      </c>
      <c r="X138" s="1100">
        <f>VLOOKUP(X$1,'cost per tipologia de sòl'!$A$2:$D$37,4,FALSE)*'T50'!X138</f>
        <v>0</v>
      </c>
      <c r="Y138" s="1100">
        <f>VLOOKUP(Y$1,'cost per tipologia de sòl'!$A$2:$D$37,4,FALSE)*'T50'!Y138</f>
        <v>0</v>
      </c>
      <c r="Z138" s="1100">
        <f>VLOOKUP(Z$1,'cost per tipologia de sòl'!$A$2:$D$37,4,FALSE)*'T50'!Z138</f>
        <v>0</v>
      </c>
      <c r="AA138" s="1100">
        <f>VLOOKUP(AA$1,'cost per tipologia de sòl'!$A$2:$D$37,4,FALSE)*'T50'!AA138</f>
        <v>0</v>
      </c>
      <c r="AB138" s="1100">
        <f>VLOOKUP(AB$1,'cost per tipologia de sòl'!$A$2:$D$37,4,FALSE)*'T50'!AB138</f>
        <v>0</v>
      </c>
      <c r="AC138" s="1100">
        <f>VLOOKUP(AC$1,'cost per tipologia de sòl'!$A$2:$D$37,4,FALSE)*'T50'!AC138</f>
        <v>1737594.6500000001</v>
      </c>
      <c r="AD138" s="1100">
        <f>VLOOKUP(AD$1,'cost per tipologia de sòl'!$A$2:$D$37,4,FALSE)*'T50'!AD138</f>
        <v>1649555.3</v>
      </c>
      <c r="AE138" s="1100">
        <f>VLOOKUP(AE$1,'cost per tipologia de sòl'!$A$2:$D$37,4,FALSE)*'T50'!AE138</f>
        <v>0</v>
      </c>
      <c r="AF138" s="1100">
        <f>VLOOKUP(AF$1,'cost per tipologia de sòl'!$A$2:$D$37,4,FALSE)*'T50'!AF138</f>
        <v>0</v>
      </c>
      <c r="AG138" s="1100">
        <f>VLOOKUP(AG$1,'cost per tipologia de sòl'!$A$2:$D$37,4,FALSE)*'T50'!AG138</f>
        <v>0</v>
      </c>
      <c r="AH138" s="1100">
        <f>VLOOKUP(AH$1,'cost per tipologia de sòl'!$A$2:$D$37,4,FALSE)*'T50'!AH138</f>
        <v>0</v>
      </c>
      <c r="AI138" s="1100">
        <f>VLOOKUP(AI$1,'cost per tipologia de sòl'!$A$2:$D$37,4,FALSE)*'T50'!AI138</f>
        <v>0</v>
      </c>
      <c r="AJ138" s="1100">
        <f t="shared" si="4"/>
        <v>5857674.0705000004</v>
      </c>
      <c r="AK138" s="1098">
        <f t="shared" si="5"/>
        <v>1.75730222115</v>
      </c>
    </row>
    <row r="139" spans="1:37">
      <c r="A139" s="1099" t="s">
        <v>1574</v>
      </c>
      <c r="B139" s="1100">
        <f>VLOOKUP(B$1,'cost per tipologia de sòl'!$A$2:$D$37,4,FALSE)*'T50'!B139</f>
        <v>0</v>
      </c>
      <c r="C139" s="1100">
        <f>VLOOKUP(C$1,'cost per tipologia de sòl'!$A$2:$D$37,4,FALSE)*'T50'!C139</f>
        <v>0</v>
      </c>
      <c r="D139" s="1100">
        <f>VLOOKUP(D$1,'cost per tipologia de sòl'!$A$2:$D$37,4,FALSE)*'T50'!D139</f>
        <v>0</v>
      </c>
      <c r="E139" s="1100">
        <f>VLOOKUP(E$1,'cost per tipologia de sòl'!$A$2:$D$37,4,FALSE)*'T50'!E139</f>
        <v>0</v>
      </c>
      <c r="F139" s="1100">
        <f>VLOOKUP(F$1,'cost per tipologia de sòl'!$A$2:$D$37,4,FALSE)*'T50'!F139</f>
        <v>0</v>
      </c>
      <c r="G139" s="1100">
        <f>VLOOKUP(G$1,'cost per tipologia de sòl'!$A$2:$D$37,4,FALSE)*'T50'!G139</f>
        <v>0</v>
      </c>
      <c r="H139" s="1100">
        <f>VLOOKUP(H$1,'cost per tipologia de sòl'!$A$2:$D$37,4,FALSE)*'T50'!H139</f>
        <v>0</v>
      </c>
      <c r="I139" s="1100">
        <f>VLOOKUP(I$1,'cost per tipologia de sòl'!$A$2:$D$37,4,FALSE)*'T50'!I139</f>
        <v>0</v>
      </c>
      <c r="J139" s="1100">
        <f>VLOOKUP(J$1,'cost per tipologia de sòl'!$A$2:$D$37,4,FALSE)*'T50'!J139</f>
        <v>210823.78899999999</v>
      </c>
      <c r="K139" s="1100">
        <f>VLOOKUP(K$1,'cost per tipologia de sòl'!$A$2:$D$37,4,FALSE)*'T50'!K139</f>
        <v>0</v>
      </c>
      <c r="L139" s="1100">
        <f>VLOOKUP(L$1,'cost per tipologia de sòl'!$A$2:$D$37,4,FALSE)*'T50'!L139</f>
        <v>0</v>
      </c>
      <c r="M139" s="1100">
        <f>VLOOKUP(M$1,'cost per tipologia de sòl'!$A$2:$D$37,4,FALSE)*'T50'!M139</f>
        <v>0</v>
      </c>
      <c r="N139" s="1100">
        <f>VLOOKUP(N$1,'cost per tipologia de sòl'!$A$2:$D$37,4,FALSE)*'T50'!N139</f>
        <v>0</v>
      </c>
      <c r="O139" s="1100">
        <f>VLOOKUP(O$1,'cost per tipologia de sòl'!$A$2:$D$37,4,FALSE)*'T50'!O139</f>
        <v>0</v>
      </c>
      <c r="P139" s="1100">
        <f>VLOOKUP(P$1,'cost per tipologia de sòl'!$A$2:$D$37,4,FALSE)*'T50'!P139</f>
        <v>0</v>
      </c>
      <c r="Q139" s="1100">
        <f>VLOOKUP(Q$1,'cost per tipologia de sòl'!$A$2:$D$37,4,FALSE)*'T50'!Q139</f>
        <v>0</v>
      </c>
      <c r="R139" s="1100">
        <f>VLOOKUP(R$1,'cost per tipologia de sòl'!$A$2:$D$37,4,FALSE)*'T50'!R139</f>
        <v>0</v>
      </c>
      <c r="S139" s="1100">
        <f>VLOOKUP(S$1,'cost per tipologia de sòl'!$A$2:$D$37,4,FALSE)*'T50'!S139</f>
        <v>0</v>
      </c>
      <c r="T139" s="1100">
        <f>VLOOKUP(T$1,'cost per tipologia de sòl'!$A$2:$D$37,4,FALSE)*'T50'!T139</f>
        <v>0</v>
      </c>
      <c r="U139" s="1100">
        <f>VLOOKUP(U$1,'cost per tipologia de sòl'!$A$2:$D$37,4,FALSE)*'T50'!U139</f>
        <v>411110.69999999995</v>
      </c>
      <c r="V139" s="1100">
        <f>VLOOKUP(V$1,'cost per tipologia de sòl'!$A$2:$D$37,4,FALSE)*'T50'!V139</f>
        <v>0</v>
      </c>
      <c r="W139" s="1100">
        <f>VLOOKUP(W$1,'cost per tipologia de sòl'!$A$2:$D$37,4,FALSE)*'T50'!W139</f>
        <v>0</v>
      </c>
      <c r="X139" s="1100">
        <f>VLOOKUP(X$1,'cost per tipologia de sòl'!$A$2:$D$37,4,FALSE)*'T50'!X139</f>
        <v>0</v>
      </c>
      <c r="Y139" s="1100">
        <f>VLOOKUP(Y$1,'cost per tipologia de sòl'!$A$2:$D$37,4,FALSE)*'T50'!Y139</f>
        <v>0</v>
      </c>
      <c r="Z139" s="1100">
        <f>VLOOKUP(Z$1,'cost per tipologia de sòl'!$A$2:$D$37,4,FALSE)*'T50'!Z139</f>
        <v>0</v>
      </c>
      <c r="AA139" s="1100">
        <f>VLOOKUP(AA$1,'cost per tipologia de sòl'!$A$2:$D$37,4,FALSE)*'T50'!AA139</f>
        <v>0</v>
      </c>
      <c r="AB139" s="1100">
        <f>VLOOKUP(AB$1,'cost per tipologia de sòl'!$A$2:$D$37,4,FALSE)*'T50'!AB139</f>
        <v>0</v>
      </c>
      <c r="AC139" s="1100">
        <f>VLOOKUP(AC$1,'cost per tipologia de sòl'!$A$2:$D$37,4,FALSE)*'T50'!AC139</f>
        <v>0</v>
      </c>
      <c r="AD139" s="1100">
        <f>VLOOKUP(AD$1,'cost per tipologia de sòl'!$A$2:$D$37,4,FALSE)*'T50'!AD139</f>
        <v>0</v>
      </c>
      <c r="AE139" s="1100">
        <f>VLOOKUP(AE$1,'cost per tipologia de sòl'!$A$2:$D$37,4,FALSE)*'T50'!AE139</f>
        <v>0</v>
      </c>
      <c r="AF139" s="1100">
        <f>VLOOKUP(AF$1,'cost per tipologia de sòl'!$A$2:$D$37,4,FALSE)*'T50'!AF139</f>
        <v>0</v>
      </c>
      <c r="AG139" s="1100">
        <f>VLOOKUP(AG$1,'cost per tipologia de sòl'!$A$2:$D$37,4,FALSE)*'T50'!AG139</f>
        <v>0</v>
      </c>
      <c r="AH139" s="1100">
        <f>VLOOKUP(AH$1,'cost per tipologia de sòl'!$A$2:$D$37,4,FALSE)*'T50'!AH139</f>
        <v>0</v>
      </c>
      <c r="AI139" s="1100">
        <f>VLOOKUP(AI$1,'cost per tipologia de sòl'!$A$2:$D$37,4,FALSE)*'T50'!AI139</f>
        <v>0</v>
      </c>
      <c r="AJ139" s="1100">
        <f t="shared" si="4"/>
        <v>621934.48899999994</v>
      </c>
      <c r="AK139" s="1098">
        <f t="shared" si="5"/>
        <v>0.18658034669999998</v>
      </c>
    </row>
    <row r="140" spans="1:37">
      <c r="A140" s="1099" t="s">
        <v>1594</v>
      </c>
      <c r="B140" s="1100">
        <f>VLOOKUP(B$1,'cost per tipologia de sòl'!$A$2:$D$37,4,FALSE)*'T50'!B140</f>
        <v>283875.10200000001</v>
      </c>
      <c r="C140" s="1100">
        <f>VLOOKUP(C$1,'cost per tipologia de sòl'!$A$2:$D$37,4,FALSE)*'T50'!C140</f>
        <v>0</v>
      </c>
      <c r="D140" s="1100">
        <f>VLOOKUP(D$1,'cost per tipologia de sòl'!$A$2:$D$37,4,FALSE)*'T50'!D140</f>
        <v>0</v>
      </c>
      <c r="E140" s="1100">
        <f>VLOOKUP(E$1,'cost per tipologia de sòl'!$A$2:$D$37,4,FALSE)*'T50'!E140</f>
        <v>0</v>
      </c>
      <c r="F140" s="1100">
        <f>VLOOKUP(F$1,'cost per tipologia de sòl'!$A$2:$D$37,4,FALSE)*'T50'!F140</f>
        <v>0</v>
      </c>
      <c r="G140" s="1100">
        <f>VLOOKUP(G$1,'cost per tipologia de sòl'!$A$2:$D$37,4,FALSE)*'T50'!G140</f>
        <v>0</v>
      </c>
      <c r="H140" s="1100">
        <f>VLOOKUP(H$1,'cost per tipologia de sòl'!$A$2:$D$37,4,FALSE)*'T50'!H140</f>
        <v>0</v>
      </c>
      <c r="I140" s="1100">
        <f>VLOOKUP(I$1,'cost per tipologia de sòl'!$A$2:$D$37,4,FALSE)*'T50'!I140</f>
        <v>0</v>
      </c>
      <c r="J140" s="1100">
        <f>VLOOKUP(J$1,'cost per tipologia de sòl'!$A$2:$D$37,4,FALSE)*'T50'!J140</f>
        <v>16818.202499999999</v>
      </c>
      <c r="K140" s="1100">
        <f>VLOOKUP(K$1,'cost per tipologia de sòl'!$A$2:$D$37,4,FALSE)*'T50'!K140</f>
        <v>0</v>
      </c>
      <c r="L140" s="1100">
        <f>VLOOKUP(L$1,'cost per tipologia de sòl'!$A$2:$D$37,4,FALSE)*'T50'!L140</f>
        <v>0</v>
      </c>
      <c r="M140" s="1100">
        <f>VLOOKUP(M$1,'cost per tipologia de sòl'!$A$2:$D$37,4,FALSE)*'T50'!M140</f>
        <v>0</v>
      </c>
      <c r="N140" s="1100">
        <f>VLOOKUP(N$1,'cost per tipologia de sòl'!$A$2:$D$37,4,FALSE)*'T50'!N140</f>
        <v>0</v>
      </c>
      <c r="O140" s="1100">
        <f>VLOOKUP(O$1,'cost per tipologia de sòl'!$A$2:$D$37,4,FALSE)*'T50'!O140</f>
        <v>0</v>
      </c>
      <c r="P140" s="1100">
        <f>VLOOKUP(P$1,'cost per tipologia de sòl'!$A$2:$D$37,4,FALSE)*'T50'!P140</f>
        <v>0</v>
      </c>
      <c r="Q140" s="1100">
        <f>VLOOKUP(Q$1,'cost per tipologia de sòl'!$A$2:$D$37,4,FALSE)*'T50'!Q140</f>
        <v>0</v>
      </c>
      <c r="R140" s="1100">
        <f>VLOOKUP(R$1,'cost per tipologia de sòl'!$A$2:$D$37,4,FALSE)*'T50'!R140</f>
        <v>0</v>
      </c>
      <c r="S140" s="1100">
        <f>VLOOKUP(S$1,'cost per tipologia de sòl'!$A$2:$D$37,4,FALSE)*'T50'!S140</f>
        <v>493749.64800000004</v>
      </c>
      <c r="T140" s="1100">
        <f>VLOOKUP(T$1,'cost per tipologia de sòl'!$A$2:$D$37,4,FALSE)*'T50'!T140</f>
        <v>14365991.198000001</v>
      </c>
      <c r="U140" s="1100">
        <f>VLOOKUP(U$1,'cost per tipologia de sòl'!$A$2:$D$37,4,FALSE)*'T50'!U140</f>
        <v>2204404.65</v>
      </c>
      <c r="V140" s="1100">
        <f>VLOOKUP(V$1,'cost per tipologia de sòl'!$A$2:$D$37,4,FALSE)*'T50'!V140</f>
        <v>0</v>
      </c>
      <c r="W140" s="1100">
        <f>VLOOKUP(W$1,'cost per tipologia de sòl'!$A$2:$D$37,4,FALSE)*'T50'!W140</f>
        <v>0</v>
      </c>
      <c r="X140" s="1100">
        <f>VLOOKUP(X$1,'cost per tipologia de sòl'!$A$2:$D$37,4,FALSE)*'T50'!X140</f>
        <v>0</v>
      </c>
      <c r="Y140" s="1100">
        <f>VLOOKUP(Y$1,'cost per tipologia de sòl'!$A$2:$D$37,4,FALSE)*'T50'!Y140</f>
        <v>0</v>
      </c>
      <c r="Z140" s="1100">
        <f>VLOOKUP(Z$1,'cost per tipologia de sòl'!$A$2:$D$37,4,FALSE)*'T50'!Z140</f>
        <v>0</v>
      </c>
      <c r="AA140" s="1100">
        <f>VLOOKUP(AA$1,'cost per tipologia de sòl'!$A$2:$D$37,4,FALSE)*'T50'!AA140</f>
        <v>0</v>
      </c>
      <c r="AB140" s="1100">
        <f>VLOOKUP(AB$1,'cost per tipologia de sòl'!$A$2:$D$37,4,FALSE)*'T50'!AB140</f>
        <v>136105.54999999999</v>
      </c>
      <c r="AC140" s="1100">
        <f>VLOOKUP(AC$1,'cost per tipologia de sòl'!$A$2:$D$37,4,FALSE)*'T50'!AC140</f>
        <v>61734.799999999996</v>
      </c>
      <c r="AD140" s="1100">
        <f>VLOOKUP(AD$1,'cost per tipologia de sòl'!$A$2:$D$37,4,FALSE)*'T50'!AD140</f>
        <v>1640811.5</v>
      </c>
      <c r="AE140" s="1100">
        <f>VLOOKUP(AE$1,'cost per tipologia de sòl'!$A$2:$D$37,4,FALSE)*'T50'!AE140</f>
        <v>0</v>
      </c>
      <c r="AF140" s="1100">
        <f>VLOOKUP(AF$1,'cost per tipologia de sòl'!$A$2:$D$37,4,FALSE)*'T50'!AF140</f>
        <v>0</v>
      </c>
      <c r="AG140" s="1100">
        <f>VLOOKUP(AG$1,'cost per tipologia de sòl'!$A$2:$D$37,4,FALSE)*'T50'!AG140</f>
        <v>0</v>
      </c>
      <c r="AH140" s="1100">
        <f>VLOOKUP(AH$1,'cost per tipologia de sòl'!$A$2:$D$37,4,FALSE)*'T50'!AH140</f>
        <v>0</v>
      </c>
      <c r="AI140" s="1100">
        <f>VLOOKUP(AI$1,'cost per tipologia de sòl'!$A$2:$D$37,4,FALSE)*'T50'!AI140</f>
        <v>0</v>
      </c>
      <c r="AJ140" s="1100">
        <f t="shared" si="4"/>
        <v>19203490.650500003</v>
      </c>
      <c r="AK140" s="1098">
        <f t="shared" si="5"/>
        <v>5.7610471951500006</v>
      </c>
    </row>
    <row r="141" spans="1:37">
      <c r="A141" s="1099" t="s">
        <v>1598</v>
      </c>
      <c r="B141" s="1100">
        <f>VLOOKUP(B$1,'cost per tipologia de sòl'!$A$2:$D$37,4,FALSE)*'T50'!B141</f>
        <v>74853826.019999996</v>
      </c>
      <c r="C141" s="1100">
        <f>VLOOKUP(C$1,'cost per tipologia de sòl'!$A$2:$D$37,4,FALSE)*'T50'!C141</f>
        <v>0</v>
      </c>
      <c r="D141" s="1100">
        <f>VLOOKUP(D$1,'cost per tipologia de sòl'!$A$2:$D$37,4,FALSE)*'T50'!D141</f>
        <v>0</v>
      </c>
      <c r="E141" s="1100">
        <f>VLOOKUP(E$1,'cost per tipologia de sòl'!$A$2:$D$37,4,FALSE)*'T50'!E141</f>
        <v>0</v>
      </c>
      <c r="F141" s="1100">
        <f>VLOOKUP(F$1,'cost per tipologia de sòl'!$A$2:$D$37,4,FALSE)*'T50'!F141</f>
        <v>0</v>
      </c>
      <c r="G141" s="1100">
        <f>VLOOKUP(G$1,'cost per tipologia de sòl'!$A$2:$D$37,4,FALSE)*'T50'!G141</f>
        <v>0</v>
      </c>
      <c r="H141" s="1100">
        <f>VLOOKUP(H$1,'cost per tipologia de sòl'!$A$2:$D$37,4,FALSE)*'T50'!H141</f>
        <v>0</v>
      </c>
      <c r="I141" s="1100">
        <f>VLOOKUP(I$1,'cost per tipologia de sòl'!$A$2:$D$37,4,FALSE)*'T50'!I141</f>
        <v>0</v>
      </c>
      <c r="J141" s="1100">
        <f>VLOOKUP(J$1,'cost per tipologia de sòl'!$A$2:$D$37,4,FALSE)*'T50'!J141</f>
        <v>0</v>
      </c>
      <c r="K141" s="1100">
        <f>VLOOKUP(K$1,'cost per tipologia de sòl'!$A$2:$D$37,4,FALSE)*'T50'!K141</f>
        <v>0</v>
      </c>
      <c r="L141" s="1100">
        <f>VLOOKUP(L$1,'cost per tipologia de sòl'!$A$2:$D$37,4,FALSE)*'T50'!L141</f>
        <v>0</v>
      </c>
      <c r="M141" s="1100">
        <f>VLOOKUP(M$1,'cost per tipologia de sòl'!$A$2:$D$37,4,FALSE)*'T50'!M141</f>
        <v>0</v>
      </c>
      <c r="N141" s="1100">
        <f>VLOOKUP(N$1,'cost per tipologia de sòl'!$A$2:$D$37,4,FALSE)*'T50'!N141</f>
        <v>0</v>
      </c>
      <c r="O141" s="1100">
        <f>VLOOKUP(O$1,'cost per tipologia de sòl'!$A$2:$D$37,4,FALSE)*'T50'!O141</f>
        <v>0</v>
      </c>
      <c r="P141" s="1100">
        <f>VLOOKUP(P$1,'cost per tipologia de sòl'!$A$2:$D$37,4,FALSE)*'T50'!P141</f>
        <v>0</v>
      </c>
      <c r="Q141" s="1100">
        <f>VLOOKUP(Q$1,'cost per tipologia de sòl'!$A$2:$D$37,4,FALSE)*'T50'!Q141</f>
        <v>0</v>
      </c>
      <c r="R141" s="1100">
        <f>VLOOKUP(R$1,'cost per tipologia de sòl'!$A$2:$D$37,4,FALSE)*'T50'!R141</f>
        <v>0</v>
      </c>
      <c r="S141" s="1100">
        <f>VLOOKUP(S$1,'cost per tipologia de sòl'!$A$2:$D$37,4,FALSE)*'T50'!S141</f>
        <v>41114275.776000001</v>
      </c>
      <c r="T141" s="1100">
        <f>VLOOKUP(T$1,'cost per tipologia de sòl'!$A$2:$D$37,4,FALSE)*'T50'!T141</f>
        <v>34449969.572999999</v>
      </c>
      <c r="U141" s="1100">
        <f>VLOOKUP(U$1,'cost per tipologia de sòl'!$A$2:$D$37,4,FALSE)*'T50'!U141</f>
        <v>1217309.1000000001</v>
      </c>
      <c r="V141" s="1100">
        <f>VLOOKUP(V$1,'cost per tipologia de sòl'!$A$2:$D$37,4,FALSE)*'T50'!V141</f>
        <v>0</v>
      </c>
      <c r="W141" s="1100">
        <f>VLOOKUP(W$1,'cost per tipologia de sòl'!$A$2:$D$37,4,FALSE)*'T50'!W141</f>
        <v>0</v>
      </c>
      <c r="X141" s="1100">
        <f>VLOOKUP(X$1,'cost per tipologia de sòl'!$A$2:$D$37,4,FALSE)*'T50'!X141</f>
        <v>0</v>
      </c>
      <c r="Y141" s="1100">
        <f>VLOOKUP(Y$1,'cost per tipologia de sòl'!$A$2:$D$37,4,FALSE)*'T50'!Y141</f>
        <v>0</v>
      </c>
      <c r="Z141" s="1100">
        <f>VLOOKUP(Z$1,'cost per tipologia de sòl'!$A$2:$D$37,4,FALSE)*'T50'!Z141</f>
        <v>138760.49799999999</v>
      </c>
      <c r="AA141" s="1100">
        <f>VLOOKUP(AA$1,'cost per tipologia de sòl'!$A$2:$D$37,4,FALSE)*'T50'!AA141</f>
        <v>0</v>
      </c>
      <c r="AB141" s="1100">
        <f>VLOOKUP(AB$1,'cost per tipologia de sòl'!$A$2:$D$37,4,FALSE)*'T50'!AB141</f>
        <v>2271704.6</v>
      </c>
      <c r="AC141" s="1100">
        <f>VLOOKUP(AC$1,'cost per tipologia de sòl'!$A$2:$D$37,4,FALSE)*'T50'!AC141</f>
        <v>21319744.199999999</v>
      </c>
      <c r="AD141" s="1100">
        <f>VLOOKUP(AD$1,'cost per tipologia de sòl'!$A$2:$D$37,4,FALSE)*'T50'!AD141</f>
        <v>31433083.199999999</v>
      </c>
      <c r="AE141" s="1100">
        <f>VLOOKUP(AE$1,'cost per tipologia de sòl'!$A$2:$D$37,4,FALSE)*'T50'!AE141</f>
        <v>0</v>
      </c>
      <c r="AF141" s="1100">
        <f>VLOOKUP(AF$1,'cost per tipologia de sòl'!$A$2:$D$37,4,FALSE)*'T50'!AF141</f>
        <v>0</v>
      </c>
      <c r="AG141" s="1100">
        <f>VLOOKUP(AG$1,'cost per tipologia de sòl'!$A$2:$D$37,4,FALSE)*'T50'!AG141</f>
        <v>0</v>
      </c>
      <c r="AH141" s="1100">
        <f>VLOOKUP(AH$1,'cost per tipologia de sòl'!$A$2:$D$37,4,FALSE)*'T50'!AH141</f>
        <v>0</v>
      </c>
      <c r="AI141" s="1100">
        <f>VLOOKUP(AI$1,'cost per tipologia de sòl'!$A$2:$D$37,4,FALSE)*'T50'!AI141</f>
        <v>0</v>
      </c>
      <c r="AJ141" s="1100">
        <f t="shared" si="4"/>
        <v>206798672.96699998</v>
      </c>
      <c r="AK141" s="1098">
        <f t="shared" si="5"/>
        <v>62.039601890099995</v>
      </c>
    </row>
    <row r="142" spans="1:37">
      <c r="A142" s="1099" t="s">
        <v>1608</v>
      </c>
      <c r="B142" s="1100">
        <f>VLOOKUP(B$1,'cost per tipologia de sòl'!$A$2:$D$37,4,FALSE)*'T50'!B142</f>
        <v>1402529.7779999999</v>
      </c>
      <c r="C142" s="1100">
        <f>VLOOKUP(C$1,'cost per tipologia de sòl'!$A$2:$D$37,4,FALSE)*'T50'!C142</f>
        <v>0</v>
      </c>
      <c r="D142" s="1100">
        <f>VLOOKUP(D$1,'cost per tipologia de sòl'!$A$2:$D$37,4,FALSE)*'T50'!D142</f>
        <v>260985.55799999999</v>
      </c>
      <c r="E142" s="1100">
        <f>VLOOKUP(E$1,'cost per tipologia de sòl'!$A$2:$D$37,4,FALSE)*'T50'!E142</f>
        <v>0</v>
      </c>
      <c r="F142" s="1100">
        <f>VLOOKUP(F$1,'cost per tipologia de sòl'!$A$2:$D$37,4,FALSE)*'T50'!F142</f>
        <v>0</v>
      </c>
      <c r="G142" s="1100">
        <f>VLOOKUP(G$1,'cost per tipologia de sòl'!$A$2:$D$37,4,FALSE)*'T50'!G142</f>
        <v>0</v>
      </c>
      <c r="H142" s="1100">
        <f>VLOOKUP(H$1,'cost per tipologia de sòl'!$A$2:$D$37,4,FALSE)*'T50'!H142</f>
        <v>0</v>
      </c>
      <c r="I142" s="1100">
        <f>VLOOKUP(I$1,'cost per tipologia de sòl'!$A$2:$D$37,4,FALSE)*'T50'!I142</f>
        <v>0</v>
      </c>
      <c r="J142" s="1100">
        <f>VLOOKUP(J$1,'cost per tipologia de sòl'!$A$2:$D$37,4,FALSE)*'T50'!J142</f>
        <v>165183.93099999998</v>
      </c>
      <c r="K142" s="1100">
        <f>VLOOKUP(K$1,'cost per tipologia de sòl'!$A$2:$D$37,4,FALSE)*'T50'!K142</f>
        <v>58061.178</v>
      </c>
      <c r="L142" s="1100">
        <f>VLOOKUP(L$1,'cost per tipologia de sòl'!$A$2:$D$37,4,FALSE)*'T50'!L142</f>
        <v>585549.58499999996</v>
      </c>
      <c r="M142" s="1100">
        <f>VLOOKUP(M$1,'cost per tipologia de sòl'!$A$2:$D$37,4,FALSE)*'T50'!M142</f>
        <v>4524.3760000000002</v>
      </c>
      <c r="N142" s="1100">
        <f>VLOOKUP(N$1,'cost per tipologia de sòl'!$A$2:$D$37,4,FALSE)*'T50'!N142</f>
        <v>0</v>
      </c>
      <c r="O142" s="1100">
        <f>VLOOKUP(O$1,'cost per tipologia de sòl'!$A$2:$D$37,4,FALSE)*'T50'!O142</f>
        <v>0</v>
      </c>
      <c r="P142" s="1100">
        <f>VLOOKUP(P$1,'cost per tipologia de sòl'!$A$2:$D$37,4,FALSE)*'T50'!P142</f>
        <v>0</v>
      </c>
      <c r="Q142" s="1100">
        <f>VLOOKUP(Q$1,'cost per tipologia de sòl'!$A$2:$D$37,4,FALSE)*'T50'!Q142</f>
        <v>0</v>
      </c>
      <c r="R142" s="1100">
        <f>VLOOKUP(R$1,'cost per tipologia de sòl'!$A$2:$D$37,4,FALSE)*'T50'!R142</f>
        <v>0</v>
      </c>
      <c r="S142" s="1100">
        <f>VLOOKUP(S$1,'cost per tipologia de sòl'!$A$2:$D$37,4,FALSE)*'T50'!S142</f>
        <v>3722971.392</v>
      </c>
      <c r="T142" s="1100">
        <f>VLOOKUP(T$1,'cost per tipologia de sòl'!$A$2:$D$37,4,FALSE)*'T50'!T142</f>
        <v>17344853.495999999</v>
      </c>
      <c r="U142" s="1100">
        <f>VLOOKUP(U$1,'cost per tipologia de sòl'!$A$2:$D$37,4,FALSE)*'T50'!U142</f>
        <v>0</v>
      </c>
      <c r="V142" s="1100">
        <f>VLOOKUP(V$1,'cost per tipologia de sòl'!$A$2:$D$37,4,FALSE)*'T50'!V142</f>
        <v>0</v>
      </c>
      <c r="W142" s="1100">
        <f>VLOOKUP(W$1,'cost per tipologia de sòl'!$A$2:$D$37,4,FALSE)*'T50'!W142</f>
        <v>0</v>
      </c>
      <c r="X142" s="1100">
        <f>VLOOKUP(X$1,'cost per tipologia de sòl'!$A$2:$D$37,4,FALSE)*'T50'!X142</f>
        <v>0</v>
      </c>
      <c r="Y142" s="1100">
        <f>VLOOKUP(Y$1,'cost per tipologia de sòl'!$A$2:$D$37,4,FALSE)*'T50'!Y142</f>
        <v>0</v>
      </c>
      <c r="Z142" s="1100">
        <f>VLOOKUP(Z$1,'cost per tipologia de sòl'!$A$2:$D$37,4,FALSE)*'T50'!Z142</f>
        <v>0</v>
      </c>
      <c r="AA142" s="1100">
        <f>VLOOKUP(AA$1,'cost per tipologia de sòl'!$A$2:$D$37,4,FALSE)*'T50'!AA142</f>
        <v>0</v>
      </c>
      <c r="AB142" s="1100">
        <f>VLOOKUP(AB$1,'cost per tipologia de sòl'!$A$2:$D$37,4,FALSE)*'T50'!AB142</f>
        <v>0</v>
      </c>
      <c r="AC142" s="1100">
        <f>VLOOKUP(AC$1,'cost per tipologia de sòl'!$A$2:$D$37,4,FALSE)*'T50'!AC142</f>
        <v>1663693.2</v>
      </c>
      <c r="AD142" s="1100">
        <f>VLOOKUP(AD$1,'cost per tipologia de sòl'!$A$2:$D$37,4,FALSE)*'T50'!AD142</f>
        <v>2870584.6</v>
      </c>
      <c r="AE142" s="1100">
        <f>VLOOKUP(AE$1,'cost per tipologia de sòl'!$A$2:$D$37,4,FALSE)*'T50'!AE142</f>
        <v>0</v>
      </c>
      <c r="AF142" s="1100">
        <f>VLOOKUP(AF$1,'cost per tipologia de sòl'!$A$2:$D$37,4,FALSE)*'T50'!AF142</f>
        <v>0</v>
      </c>
      <c r="AG142" s="1100">
        <f>VLOOKUP(AG$1,'cost per tipologia de sòl'!$A$2:$D$37,4,FALSE)*'T50'!AG142</f>
        <v>0</v>
      </c>
      <c r="AH142" s="1100">
        <f>VLOOKUP(AH$1,'cost per tipologia de sòl'!$A$2:$D$37,4,FALSE)*'T50'!AH142</f>
        <v>0</v>
      </c>
      <c r="AI142" s="1100">
        <f>VLOOKUP(AI$1,'cost per tipologia de sòl'!$A$2:$D$37,4,FALSE)*'T50'!AI142</f>
        <v>0</v>
      </c>
      <c r="AJ142" s="1100">
        <f t="shared" si="4"/>
        <v>28078937.094000001</v>
      </c>
      <c r="AK142" s="1098">
        <f t="shared" si="5"/>
        <v>8.4236811282000001</v>
      </c>
    </row>
    <row r="143" spans="1:37">
      <c r="A143" s="1099" t="s">
        <v>1614</v>
      </c>
      <c r="B143" s="1100">
        <f>VLOOKUP(B$1,'cost per tipologia de sòl'!$A$2:$D$37,4,FALSE)*'T50'!B143</f>
        <v>0</v>
      </c>
      <c r="C143" s="1100">
        <f>VLOOKUP(C$1,'cost per tipologia de sòl'!$A$2:$D$37,4,FALSE)*'T50'!C143</f>
        <v>0</v>
      </c>
      <c r="D143" s="1100">
        <f>VLOOKUP(D$1,'cost per tipologia de sòl'!$A$2:$D$37,4,FALSE)*'T50'!D143</f>
        <v>141595.44</v>
      </c>
      <c r="E143" s="1100">
        <f>VLOOKUP(E$1,'cost per tipologia de sòl'!$A$2:$D$37,4,FALSE)*'T50'!E143</f>
        <v>0</v>
      </c>
      <c r="F143" s="1100">
        <f>VLOOKUP(F$1,'cost per tipologia de sòl'!$A$2:$D$37,4,FALSE)*'T50'!F143</f>
        <v>0</v>
      </c>
      <c r="G143" s="1100">
        <f>VLOOKUP(G$1,'cost per tipologia de sòl'!$A$2:$D$37,4,FALSE)*'T50'!G143</f>
        <v>0</v>
      </c>
      <c r="H143" s="1100">
        <f>VLOOKUP(H$1,'cost per tipologia de sòl'!$A$2:$D$37,4,FALSE)*'T50'!H143</f>
        <v>0</v>
      </c>
      <c r="I143" s="1100">
        <f>VLOOKUP(I$1,'cost per tipologia de sòl'!$A$2:$D$37,4,FALSE)*'T50'!I143</f>
        <v>0</v>
      </c>
      <c r="J143" s="1100">
        <f>VLOOKUP(J$1,'cost per tipologia de sòl'!$A$2:$D$37,4,FALSE)*'T50'!J143</f>
        <v>0</v>
      </c>
      <c r="K143" s="1100">
        <f>VLOOKUP(K$1,'cost per tipologia de sòl'!$A$2:$D$37,4,FALSE)*'T50'!K143</f>
        <v>0</v>
      </c>
      <c r="L143" s="1100">
        <f>VLOOKUP(L$1,'cost per tipologia de sòl'!$A$2:$D$37,4,FALSE)*'T50'!L143</f>
        <v>0</v>
      </c>
      <c r="M143" s="1100">
        <f>VLOOKUP(M$1,'cost per tipologia de sòl'!$A$2:$D$37,4,FALSE)*'T50'!M143</f>
        <v>0</v>
      </c>
      <c r="N143" s="1100">
        <f>VLOOKUP(N$1,'cost per tipologia de sòl'!$A$2:$D$37,4,FALSE)*'T50'!N143</f>
        <v>0</v>
      </c>
      <c r="O143" s="1100">
        <f>VLOOKUP(O$1,'cost per tipologia de sòl'!$A$2:$D$37,4,FALSE)*'T50'!O143</f>
        <v>0</v>
      </c>
      <c r="P143" s="1100">
        <f>VLOOKUP(P$1,'cost per tipologia de sòl'!$A$2:$D$37,4,FALSE)*'T50'!P143</f>
        <v>0</v>
      </c>
      <c r="Q143" s="1100">
        <f>VLOOKUP(Q$1,'cost per tipologia de sòl'!$A$2:$D$37,4,FALSE)*'T50'!Q143</f>
        <v>0</v>
      </c>
      <c r="R143" s="1100">
        <f>VLOOKUP(R$1,'cost per tipologia de sòl'!$A$2:$D$37,4,FALSE)*'T50'!R143</f>
        <v>0</v>
      </c>
      <c r="S143" s="1100">
        <f>VLOOKUP(S$1,'cost per tipologia de sòl'!$A$2:$D$37,4,FALSE)*'T50'!S143</f>
        <v>0</v>
      </c>
      <c r="T143" s="1100">
        <f>VLOOKUP(T$1,'cost per tipologia de sòl'!$A$2:$D$37,4,FALSE)*'T50'!T143</f>
        <v>14686.797</v>
      </c>
      <c r="U143" s="1100">
        <f>VLOOKUP(U$1,'cost per tipologia de sòl'!$A$2:$D$37,4,FALSE)*'T50'!U143</f>
        <v>0</v>
      </c>
      <c r="V143" s="1100">
        <f>VLOOKUP(V$1,'cost per tipologia de sòl'!$A$2:$D$37,4,FALSE)*'T50'!V143</f>
        <v>0</v>
      </c>
      <c r="W143" s="1100">
        <f>VLOOKUP(W$1,'cost per tipologia de sòl'!$A$2:$D$37,4,FALSE)*'T50'!W143</f>
        <v>0</v>
      </c>
      <c r="X143" s="1100">
        <f>VLOOKUP(X$1,'cost per tipologia de sòl'!$A$2:$D$37,4,FALSE)*'T50'!X143</f>
        <v>0</v>
      </c>
      <c r="Y143" s="1100">
        <f>VLOOKUP(Y$1,'cost per tipologia de sòl'!$A$2:$D$37,4,FALSE)*'T50'!Y143</f>
        <v>0</v>
      </c>
      <c r="Z143" s="1100">
        <f>VLOOKUP(Z$1,'cost per tipologia de sòl'!$A$2:$D$37,4,FALSE)*'T50'!Z143</f>
        <v>0</v>
      </c>
      <c r="AA143" s="1100">
        <f>VLOOKUP(AA$1,'cost per tipologia de sòl'!$A$2:$D$37,4,FALSE)*'T50'!AA143</f>
        <v>0</v>
      </c>
      <c r="AB143" s="1100">
        <f>VLOOKUP(AB$1,'cost per tipologia de sòl'!$A$2:$D$37,4,FALSE)*'T50'!AB143</f>
        <v>0</v>
      </c>
      <c r="AC143" s="1100">
        <f>VLOOKUP(AC$1,'cost per tipologia de sòl'!$A$2:$D$37,4,FALSE)*'T50'!AC143</f>
        <v>0</v>
      </c>
      <c r="AD143" s="1100">
        <f>VLOOKUP(AD$1,'cost per tipologia de sòl'!$A$2:$D$37,4,FALSE)*'T50'!AD143</f>
        <v>1999.75</v>
      </c>
      <c r="AE143" s="1100">
        <f>VLOOKUP(AE$1,'cost per tipologia de sòl'!$A$2:$D$37,4,FALSE)*'T50'!AE143</f>
        <v>0</v>
      </c>
      <c r="AF143" s="1100">
        <f>VLOOKUP(AF$1,'cost per tipologia de sòl'!$A$2:$D$37,4,FALSE)*'T50'!AF143</f>
        <v>0</v>
      </c>
      <c r="AG143" s="1100">
        <f>VLOOKUP(AG$1,'cost per tipologia de sòl'!$A$2:$D$37,4,FALSE)*'T50'!AG143</f>
        <v>0</v>
      </c>
      <c r="AH143" s="1100">
        <f>VLOOKUP(AH$1,'cost per tipologia de sòl'!$A$2:$D$37,4,FALSE)*'T50'!AH143</f>
        <v>0</v>
      </c>
      <c r="AI143" s="1100">
        <f>VLOOKUP(AI$1,'cost per tipologia de sòl'!$A$2:$D$37,4,FALSE)*'T50'!AI143</f>
        <v>0</v>
      </c>
      <c r="AJ143" s="1100">
        <f t="shared" si="4"/>
        <v>158281.98699999999</v>
      </c>
      <c r="AK143" s="1098">
        <f t="shared" si="5"/>
        <v>4.7484596099999991E-2</v>
      </c>
    </row>
    <row r="144" spans="1:37">
      <c r="A144" s="1099" t="s">
        <v>1625</v>
      </c>
      <c r="B144" s="1100">
        <f>VLOOKUP(B$1,'cost per tipologia de sòl'!$A$2:$D$37,4,FALSE)*'T50'!B144</f>
        <v>0</v>
      </c>
      <c r="C144" s="1100">
        <f>VLOOKUP(C$1,'cost per tipologia de sòl'!$A$2:$D$37,4,FALSE)*'T50'!C144</f>
        <v>0</v>
      </c>
      <c r="D144" s="1100">
        <f>VLOOKUP(D$1,'cost per tipologia de sòl'!$A$2:$D$37,4,FALSE)*'T50'!D144</f>
        <v>0</v>
      </c>
      <c r="E144" s="1100">
        <f>VLOOKUP(E$1,'cost per tipologia de sòl'!$A$2:$D$37,4,FALSE)*'T50'!E144</f>
        <v>0</v>
      </c>
      <c r="F144" s="1100">
        <f>VLOOKUP(F$1,'cost per tipologia de sòl'!$A$2:$D$37,4,FALSE)*'T50'!F144</f>
        <v>0</v>
      </c>
      <c r="G144" s="1100">
        <f>VLOOKUP(G$1,'cost per tipologia de sòl'!$A$2:$D$37,4,FALSE)*'T50'!G144</f>
        <v>0</v>
      </c>
      <c r="H144" s="1100">
        <f>VLOOKUP(H$1,'cost per tipologia de sòl'!$A$2:$D$37,4,FALSE)*'T50'!H144</f>
        <v>0</v>
      </c>
      <c r="I144" s="1100">
        <f>VLOOKUP(I$1,'cost per tipologia de sòl'!$A$2:$D$37,4,FALSE)*'T50'!I144</f>
        <v>0</v>
      </c>
      <c r="J144" s="1100">
        <f>VLOOKUP(J$1,'cost per tipologia de sòl'!$A$2:$D$37,4,FALSE)*'T50'!J144</f>
        <v>3559.4679999999998</v>
      </c>
      <c r="K144" s="1100">
        <f>VLOOKUP(K$1,'cost per tipologia de sòl'!$A$2:$D$37,4,FALSE)*'T50'!K144</f>
        <v>0</v>
      </c>
      <c r="L144" s="1100">
        <f>VLOOKUP(L$1,'cost per tipologia de sòl'!$A$2:$D$37,4,FALSE)*'T50'!L144</f>
        <v>0</v>
      </c>
      <c r="M144" s="1100">
        <f>VLOOKUP(M$1,'cost per tipologia de sòl'!$A$2:$D$37,4,FALSE)*'T50'!M144</f>
        <v>0</v>
      </c>
      <c r="N144" s="1100">
        <f>VLOOKUP(N$1,'cost per tipologia de sòl'!$A$2:$D$37,4,FALSE)*'T50'!N144</f>
        <v>0</v>
      </c>
      <c r="O144" s="1100">
        <f>VLOOKUP(O$1,'cost per tipologia de sòl'!$A$2:$D$37,4,FALSE)*'T50'!O144</f>
        <v>0</v>
      </c>
      <c r="P144" s="1100">
        <f>VLOOKUP(P$1,'cost per tipologia de sòl'!$A$2:$D$37,4,FALSE)*'T50'!P144</f>
        <v>0</v>
      </c>
      <c r="Q144" s="1100">
        <f>VLOOKUP(Q$1,'cost per tipologia de sòl'!$A$2:$D$37,4,FALSE)*'T50'!Q144</f>
        <v>0</v>
      </c>
      <c r="R144" s="1100">
        <f>VLOOKUP(R$1,'cost per tipologia de sòl'!$A$2:$D$37,4,FALSE)*'T50'!R144</f>
        <v>0</v>
      </c>
      <c r="S144" s="1100">
        <f>VLOOKUP(S$1,'cost per tipologia de sòl'!$A$2:$D$37,4,FALSE)*'T50'!S144</f>
        <v>0</v>
      </c>
      <c r="T144" s="1100">
        <f>VLOOKUP(T$1,'cost per tipologia de sòl'!$A$2:$D$37,4,FALSE)*'T50'!T144</f>
        <v>0</v>
      </c>
      <c r="U144" s="1100">
        <f>VLOOKUP(U$1,'cost per tipologia de sòl'!$A$2:$D$37,4,FALSE)*'T50'!U144</f>
        <v>0</v>
      </c>
      <c r="V144" s="1100">
        <f>VLOOKUP(V$1,'cost per tipologia de sòl'!$A$2:$D$37,4,FALSE)*'T50'!V144</f>
        <v>0</v>
      </c>
      <c r="W144" s="1100">
        <f>VLOOKUP(W$1,'cost per tipologia de sòl'!$A$2:$D$37,4,FALSE)*'T50'!W144</f>
        <v>0</v>
      </c>
      <c r="X144" s="1100">
        <f>VLOOKUP(X$1,'cost per tipologia de sòl'!$A$2:$D$37,4,FALSE)*'T50'!X144</f>
        <v>0</v>
      </c>
      <c r="Y144" s="1100">
        <f>VLOOKUP(Y$1,'cost per tipologia de sòl'!$A$2:$D$37,4,FALSE)*'T50'!Y144</f>
        <v>0</v>
      </c>
      <c r="Z144" s="1100">
        <f>VLOOKUP(Z$1,'cost per tipologia de sòl'!$A$2:$D$37,4,FALSE)*'T50'!Z144</f>
        <v>0</v>
      </c>
      <c r="AA144" s="1100">
        <f>VLOOKUP(AA$1,'cost per tipologia de sòl'!$A$2:$D$37,4,FALSE)*'T50'!AA144</f>
        <v>0</v>
      </c>
      <c r="AB144" s="1100">
        <f>VLOOKUP(AB$1,'cost per tipologia de sòl'!$A$2:$D$37,4,FALSE)*'T50'!AB144</f>
        <v>0</v>
      </c>
      <c r="AC144" s="1100">
        <f>VLOOKUP(AC$1,'cost per tipologia de sòl'!$A$2:$D$37,4,FALSE)*'T50'!AC144</f>
        <v>0</v>
      </c>
      <c r="AD144" s="1100">
        <f>VLOOKUP(AD$1,'cost per tipologia de sòl'!$A$2:$D$37,4,FALSE)*'T50'!AD144</f>
        <v>5237.3500000000004</v>
      </c>
      <c r="AE144" s="1100">
        <f>VLOOKUP(AE$1,'cost per tipologia de sòl'!$A$2:$D$37,4,FALSE)*'T50'!AE144</f>
        <v>0</v>
      </c>
      <c r="AF144" s="1100">
        <f>VLOOKUP(AF$1,'cost per tipologia de sòl'!$A$2:$D$37,4,FALSE)*'T50'!AF144</f>
        <v>0</v>
      </c>
      <c r="AG144" s="1100">
        <f>VLOOKUP(AG$1,'cost per tipologia de sòl'!$A$2:$D$37,4,FALSE)*'T50'!AG144</f>
        <v>0</v>
      </c>
      <c r="AH144" s="1100">
        <f>VLOOKUP(AH$1,'cost per tipologia de sòl'!$A$2:$D$37,4,FALSE)*'T50'!AH144</f>
        <v>0</v>
      </c>
      <c r="AI144" s="1100">
        <f>VLOOKUP(AI$1,'cost per tipologia de sòl'!$A$2:$D$37,4,FALSE)*'T50'!AI144</f>
        <v>0</v>
      </c>
      <c r="AJ144" s="1100">
        <f t="shared" si="4"/>
        <v>8796.8179999999993</v>
      </c>
      <c r="AK144" s="1098">
        <f t="shared" si="5"/>
        <v>2.6390453999999997E-3</v>
      </c>
    </row>
    <row r="145" spans="1:37">
      <c r="A145" s="1099" t="s">
        <v>1627</v>
      </c>
      <c r="B145" s="1100">
        <f>VLOOKUP(B$1,'cost per tipologia de sòl'!$A$2:$D$37,4,FALSE)*'T50'!B145</f>
        <v>4502706.3720000004</v>
      </c>
      <c r="C145" s="1100">
        <f>VLOOKUP(C$1,'cost per tipologia de sòl'!$A$2:$D$37,4,FALSE)*'T50'!C145</f>
        <v>0</v>
      </c>
      <c r="D145" s="1100">
        <f>VLOOKUP(D$1,'cost per tipologia de sòl'!$A$2:$D$37,4,FALSE)*'T50'!D145</f>
        <v>0</v>
      </c>
      <c r="E145" s="1100">
        <f>VLOOKUP(E$1,'cost per tipologia de sòl'!$A$2:$D$37,4,FALSE)*'T50'!E145</f>
        <v>0</v>
      </c>
      <c r="F145" s="1100">
        <f>VLOOKUP(F$1,'cost per tipologia de sòl'!$A$2:$D$37,4,FALSE)*'T50'!F145</f>
        <v>0</v>
      </c>
      <c r="G145" s="1100">
        <f>VLOOKUP(G$1,'cost per tipologia de sòl'!$A$2:$D$37,4,FALSE)*'T50'!G145</f>
        <v>0</v>
      </c>
      <c r="H145" s="1100">
        <f>VLOOKUP(H$1,'cost per tipologia de sòl'!$A$2:$D$37,4,FALSE)*'T50'!H145</f>
        <v>0</v>
      </c>
      <c r="I145" s="1100">
        <f>VLOOKUP(I$1,'cost per tipologia de sòl'!$A$2:$D$37,4,FALSE)*'T50'!I145</f>
        <v>0</v>
      </c>
      <c r="J145" s="1100">
        <f>VLOOKUP(J$1,'cost per tipologia de sòl'!$A$2:$D$37,4,FALSE)*'T50'!J145</f>
        <v>0</v>
      </c>
      <c r="K145" s="1100">
        <f>VLOOKUP(K$1,'cost per tipologia de sòl'!$A$2:$D$37,4,FALSE)*'T50'!K145</f>
        <v>0</v>
      </c>
      <c r="L145" s="1100">
        <f>VLOOKUP(L$1,'cost per tipologia de sòl'!$A$2:$D$37,4,FALSE)*'T50'!L145</f>
        <v>0</v>
      </c>
      <c r="M145" s="1100">
        <f>VLOOKUP(M$1,'cost per tipologia de sòl'!$A$2:$D$37,4,FALSE)*'T50'!M145</f>
        <v>0</v>
      </c>
      <c r="N145" s="1100">
        <f>VLOOKUP(N$1,'cost per tipologia de sòl'!$A$2:$D$37,4,FALSE)*'T50'!N145</f>
        <v>0</v>
      </c>
      <c r="O145" s="1100">
        <f>VLOOKUP(O$1,'cost per tipologia de sòl'!$A$2:$D$37,4,FALSE)*'T50'!O145</f>
        <v>0</v>
      </c>
      <c r="P145" s="1100">
        <f>VLOOKUP(P$1,'cost per tipologia de sòl'!$A$2:$D$37,4,FALSE)*'T50'!P145</f>
        <v>0</v>
      </c>
      <c r="Q145" s="1100">
        <f>VLOOKUP(Q$1,'cost per tipologia de sòl'!$A$2:$D$37,4,FALSE)*'T50'!Q145</f>
        <v>0</v>
      </c>
      <c r="R145" s="1100">
        <f>VLOOKUP(R$1,'cost per tipologia de sòl'!$A$2:$D$37,4,FALSE)*'T50'!R145</f>
        <v>0</v>
      </c>
      <c r="S145" s="1100">
        <f>VLOOKUP(S$1,'cost per tipologia de sòl'!$A$2:$D$37,4,FALSE)*'T50'!S145</f>
        <v>0</v>
      </c>
      <c r="T145" s="1100">
        <f>VLOOKUP(T$1,'cost per tipologia de sòl'!$A$2:$D$37,4,FALSE)*'T50'!T145</f>
        <v>4855519.9270000001</v>
      </c>
      <c r="U145" s="1100">
        <f>VLOOKUP(U$1,'cost per tipologia de sòl'!$A$2:$D$37,4,FALSE)*'T50'!U145</f>
        <v>3717139.65</v>
      </c>
      <c r="V145" s="1100">
        <f>VLOOKUP(V$1,'cost per tipologia de sòl'!$A$2:$D$37,4,FALSE)*'T50'!V145</f>
        <v>0</v>
      </c>
      <c r="W145" s="1100">
        <f>VLOOKUP(W$1,'cost per tipologia de sòl'!$A$2:$D$37,4,FALSE)*'T50'!W145</f>
        <v>0</v>
      </c>
      <c r="X145" s="1100">
        <f>VLOOKUP(X$1,'cost per tipologia de sòl'!$A$2:$D$37,4,FALSE)*'T50'!X145</f>
        <v>0</v>
      </c>
      <c r="Y145" s="1100">
        <f>VLOOKUP(Y$1,'cost per tipologia de sòl'!$A$2:$D$37,4,FALSE)*'T50'!Y145</f>
        <v>0</v>
      </c>
      <c r="Z145" s="1100">
        <f>VLOOKUP(Z$1,'cost per tipologia de sòl'!$A$2:$D$37,4,FALSE)*'T50'!Z145</f>
        <v>81501.157999999996</v>
      </c>
      <c r="AA145" s="1100">
        <f>VLOOKUP(AA$1,'cost per tipologia de sòl'!$A$2:$D$37,4,FALSE)*'T50'!AA145</f>
        <v>0</v>
      </c>
      <c r="AB145" s="1100">
        <f>VLOOKUP(AB$1,'cost per tipologia de sòl'!$A$2:$D$37,4,FALSE)*'T50'!AB145</f>
        <v>10381477.449999999</v>
      </c>
      <c r="AC145" s="1100">
        <f>VLOOKUP(AC$1,'cost per tipologia de sòl'!$A$2:$D$37,4,FALSE)*'T50'!AC145</f>
        <v>1347705.1500000001</v>
      </c>
      <c r="AD145" s="1100">
        <f>VLOOKUP(AD$1,'cost per tipologia de sòl'!$A$2:$D$37,4,FALSE)*'T50'!AD145</f>
        <v>1629440.9500000002</v>
      </c>
      <c r="AE145" s="1100">
        <f>VLOOKUP(AE$1,'cost per tipologia de sòl'!$A$2:$D$37,4,FALSE)*'T50'!AE145</f>
        <v>0</v>
      </c>
      <c r="AF145" s="1100">
        <f>VLOOKUP(AF$1,'cost per tipologia de sòl'!$A$2:$D$37,4,FALSE)*'T50'!AF145</f>
        <v>0</v>
      </c>
      <c r="AG145" s="1100">
        <f>VLOOKUP(AG$1,'cost per tipologia de sòl'!$A$2:$D$37,4,FALSE)*'T50'!AG145</f>
        <v>0</v>
      </c>
      <c r="AH145" s="1100">
        <f>VLOOKUP(AH$1,'cost per tipologia de sòl'!$A$2:$D$37,4,FALSE)*'T50'!AH145</f>
        <v>0</v>
      </c>
      <c r="AI145" s="1100">
        <f>VLOOKUP(AI$1,'cost per tipologia de sòl'!$A$2:$D$37,4,FALSE)*'T50'!AI145</f>
        <v>0</v>
      </c>
      <c r="AJ145" s="1100">
        <f t="shared" si="4"/>
        <v>26515490.656999998</v>
      </c>
      <c r="AK145" s="1098">
        <f t="shared" si="5"/>
        <v>7.954647197099999</v>
      </c>
    </row>
    <row r="146" spans="1:37">
      <c r="A146" s="1099" t="s">
        <v>1631</v>
      </c>
      <c r="B146" s="1100">
        <f>VLOOKUP(B$1,'cost per tipologia de sòl'!$A$2:$D$37,4,FALSE)*'T50'!B146</f>
        <v>10390638.869999999</v>
      </c>
      <c r="C146" s="1100">
        <f>VLOOKUP(C$1,'cost per tipologia de sòl'!$A$2:$D$37,4,FALSE)*'T50'!C146</f>
        <v>0</v>
      </c>
      <c r="D146" s="1100">
        <f>VLOOKUP(D$1,'cost per tipologia de sòl'!$A$2:$D$37,4,FALSE)*'T50'!D146</f>
        <v>0</v>
      </c>
      <c r="E146" s="1100">
        <f>VLOOKUP(E$1,'cost per tipologia de sòl'!$A$2:$D$37,4,FALSE)*'T50'!E146</f>
        <v>0</v>
      </c>
      <c r="F146" s="1100">
        <f>VLOOKUP(F$1,'cost per tipologia de sòl'!$A$2:$D$37,4,FALSE)*'T50'!F146</f>
        <v>0</v>
      </c>
      <c r="G146" s="1100">
        <f>VLOOKUP(G$1,'cost per tipologia de sòl'!$A$2:$D$37,4,FALSE)*'T50'!G146</f>
        <v>0</v>
      </c>
      <c r="H146" s="1100">
        <f>VLOOKUP(H$1,'cost per tipologia de sòl'!$A$2:$D$37,4,FALSE)*'T50'!H146</f>
        <v>0</v>
      </c>
      <c r="I146" s="1100">
        <f>VLOOKUP(I$1,'cost per tipologia de sòl'!$A$2:$D$37,4,FALSE)*'T50'!I146</f>
        <v>0</v>
      </c>
      <c r="J146" s="1100">
        <f>VLOOKUP(J$1,'cost per tipologia de sòl'!$A$2:$D$37,4,FALSE)*'T50'!J146</f>
        <v>2098058.8144999999</v>
      </c>
      <c r="K146" s="1100">
        <f>VLOOKUP(K$1,'cost per tipologia de sòl'!$A$2:$D$37,4,FALSE)*'T50'!K146</f>
        <v>0</v>
      </c>
      <c r="L146" s="1100">
        <f>VLOOKUP(L$1,'cost per tipologia de sòl'!$A$2:$D$37,4,FALSE)*'T50'!L146</f>
        <v>1385717.382</v>
      </c>
      <c r="M146" s="1100">
        <f>VLOOKUP(M$1,'cost per tipologia de sòl'!$A$2:$D$37,4,FALSE)*'T50'!M146</f>
        <v>142327.296</v>
      </c>
      <c r="N146" s="1100">
        <f>VLOOKUP(N$1,'cost per tipologia de sòl'!$A$2:$D$37,4,FALSE)*'T50'!N146</f>
        <v>21683.879999999997</v>
      </c>
      <c r="O146" s="1100">
        <f>VLOOKUP(O$1,'cost per tipologia de sòl'!$A$2:$D$37,4,FALSE)*'T50'!O146</f>
        <v>0</v>
      </c>
      <c r="P146" s="1100">
        <f>VLOOKUP(P$1,'cost per tipologia de sòl'!$A$2:$D$37,4,FALSE)*'T50'!P146</f>
        <v>21821275.024</v>
      </c>
      <c r="Q146" s="1100">
        <f>VLOOKUP(Q$1,'cost per tipologia de sòl'!$A$2:$D$37,4,FALSE)*'T50'!Q146</f>
        <v>0</v>
      </c>
      <c r="R146" s="1100">
        <f>VLOOKUP(R$1,'cost per tipologia de sòl'!$A$2:$D$37,4,FALSE)*'T50'!R146</f>
        <v>0</v>
      </c>
      <c r="S146" s="1100">
        <f>VLOOKUP(S$1,'cost per tipologia de sòl'!$A$2:$D$37,4,FALSE)*'T50'!S146</f>
        <v>16182401.76</v>
      </c>
      <c r="T146" s="1100">
        <f>VLOOKUP(T$1,'cost per tipologia de sòl'!$A$2:$D$37,4,FALSE)*'T50'!T146</f>
        <v>10269997.152999999</v>
      </c>
      <c r="U146" s="1100">
        <f>VLOOKUP(U$1,'cost per tipologia de sòl'!$A$2:$D$37,4,FALSE)*'T50'!U146</f>
        <v>0</v>
      </c>
      <c r="V146" s="1100">
        <f>VLOOKUP(V$1,'cost per tipologia de sòl'!$A$2:$D$37,4,FALSE)*'T50'!V146</f>
        <v>0</v>
      </c>
      <c r="W146" s="1100">
        <f>VLOOKUP(W$1,'cost per tipologia de sòl'!$A$2:$D$37,4,FALSE)*'T50'!W146</f>
        <v>0</v>
      </c>
      <c r="X146" s="1100">
        <f>VLOOKUP(X$1,'cost per tipologia de sòl'!$A$2:$D$37,4,FALSE)*'T50'!X146</f>
        <v>0</v>
      </c>
      <c r="Y146" s="1100">
        <f>VLOOKUP(Y$1,'cost per tipologia de sòl'!$A$2:$D$37,4,FALSE)*'T50'!Y146</f>
        <v>0</v>
      </c>
      <c r="Z146" s="1100">
        <f>VLOOKUP(Z$1,'cost per tipologia de sòl'!$A$2:$D$37,4,FALSE)*'T50'!Z146</f>
        <v>5446362.9420000007</v>
      </c>
      <c r="AA146" s="1100">
        <f>VLOOKUP(AA$1,'cost per tipologia de sòl'!$A$2:$D$37,4,FALSE)*'T50'!AA146</f>
        <v>0</v>
      </c>
      <c r="AB146" s="1100">
        <f>VLOOKUP(AB$1,'cost per tipologia de sòl'!$A$2:$D$37,4,FALSE)*'T50'!AB146</f>
        <v>15571589.649999999</v>
      </c>
      <c r="AC146" s="1100">
        <f>VLOOKUP(AC$1,'cost per tipologia de sòl'!$A$2:$D$37,4,FALSE)*'T50'!AC146</f>
        <v>19687546.350000001</v>
      </c>
      <c r="AD146" s="1100">
        <f>VLOOKUP(AD$1,'cost per tipologia de sòl'!$A$2:$D$37,4,FALSE)*'T50'!AD146</f>
        <v>27054305.199999999</v>
      </c>
      <c r="AE146" s="1100">
        <f>VLOOKUP(AE$1,'cost per tipologia de sòl'!$A$2:$D$37,4,FALSE)*'T50'!AE146</f>
        <v>0</v>
      </c>
      <c r="AF146" s="1100">
        <f>VLOOKUP(AF$1,'cost per tipologia de sòl'!$A$2:$D$37,4,FALSE)*'T50'!AF146</f>
        <v>0</v>
      </c>
      <c r="AG146" s="1100">
        <f>VLOOKUP(AG$1,'cost per tipologia de sòl'!$A$2:$D$37,4,FALSE)*'T50'!AG146</f>
        <v>0</v>
      </c>
      <c r="AH146" s="1100">
        <f>VLOOKUP(AH$1,'cost per tipologia de sòl'!$A$2:$D$37,4,FALSE)*'T50'!AH146</f>
        <v>0</v>
      </c>
      <c r="AI146" s="1100">
        <f>VLOOKUP(AI$1,'cost per tipologia de sòl'!$A$2:$D$37,4,FALSE)*'T50'!AI146</f>
        <v>0</v>
      </c>
      <c r="AJ146" s="1100">
        <f t="shared" si="4"/>
        <v>130071904.32149999</v>
      </c>
      <c r="AK146" s="1098">
        <f t="shared" si="5"/>
        <v>39.021571296449999</v>
      </c>
    </row>
    <row r="147" spans="1:37">
      <c r="A147" s="1099" t="s">
        <v>1636</v>
      </c>
      <c r="B147" s="1100">
        <f>VLOOKUP(B$1,'cost per tipologia de sòl'!$A$2:$D$37,4,FALSE)*'T50'!B147</f>
        <v>17229745.619999997</v>
      </c>
      <c r="C147" s="1100">
        <f>VLOOKUP(C$1,'cost per tipologia de sòl'!$A$2:$D$37,4,FALSE)*'T50'!C147</f>
        <v>0</v>
      </c>
      <c r="D147" s="1100">
        <f>VLOOKUP(D$1,'cost per tipologia de sòl'!$A$2:$D$37,4,FALSE)*'T50'!D147</f>
        <v>69306.258000000002</v>
      </c>
      <c r="E147" s="1100">
        <f>VLOOKUP(E$1,'cost per tipologia de sòl'!$A$2:$D$37,4,FALSE)*'T50'!E147</f>
        <v>0</v>
      </c>
      <c r="F147" s="1100">
        <f>VLOOKUP(F$1,'cost per tipologia de sòl'!$A$2:$D$37,4,FALSE)*'T50'!F147</f>
        <v>0</v>
      </c>
      <c r="G147" s="1100">
        <f>VLOOKUP(G$1,'cost per tipologia de sòl'!$A$2:$D$37,4,FALSE)*'T50'!G147</f>
        <v>0</v>
      </c>
      <c r="H147" s="1100">
        <f>VLOOKUP(H$1,'cost per tipologia de sòl'!$A$2:$D$37,4,FALSE)*'T50'!H147</f>
        <v>0</v>
      </c>
      <c r="I147" s="1100">
        <f>VLOOKUP(I$1,'cost per tipologia de sòl'!$A$2:$D$37,4,FALSE)*'T50'!I147</f>
        <v>0</v>
      </c>
      <c r="J147" s="1100">
        <f>VLOOKUP(J$1,'cost per tipologia de sòl'!$A$2:$D$37,4,FALSE)*'T50'!J147</f>
        <v>890698.64950000006</v>
      </c>
      <c r="K147" s="1100">
        <f>VLOOKUP(K$1,'cost per tipologia de sòl'!$A$2:$D$37,4,FALSE)*'T50'!K147</f>
        <v>724413.05999999994</v>
      </c>
      <c r="L147" s="1100">
        <f>VLOOKUP(L$1,'cost per tipologia de sòl'!$A$2:$D$37,4,FALSE)*'T50'!L147</f>
        <v>11035.341</v>
      </c>
      <c r="M147" s="1100">
        <f>VLOOKUP(M$1,'cost per tipologia de sòl'!$A$2:$D$37,4,FALSE)*'T50'!M147</f>
        <v>0</v>
      </c>
      <c r="N147" s="1100">
        <f>VLOOKUP(N$1,'cost per tipologia de sòl'!$A$2:$D$37,4,FALSE)*'T50'!N147</f>
        <v>0</v>
      </c>
      <c r="O147" s="1100">
        <f>VLOOKUP(O$1,'cost per tipologia de sòl'!$A$2:$D$37,4,FALSE)*'T50'!O147</f>
        <v>0</v>
      </c>
      <c r="P147" s="1100">
        <f>VLOOKUP(P$1,'cost per tipologia de sòl'!$A$2:$D$37,4,FALSE)*'T50'!P147</f>
        <v>0</v>
      </c>
      <c r="Q147" s="1100">
        <f>VLOOKUP(Q$1,'cost per tipologia de sòl'!$A$2:$D$37,4,FALSE)*'T50'!Q147</f>
        <v>0</v>
      </c>
      <c r="R147" s="1100">
        <f>VLOOKUP(R$1,'cost per tipologia de sòl'!$A$2:$D$37,4,FALSE)*'T50'!R147</f>
        <v>0</v>
      </c>
      <c r="S147" s="1100">
        <f>VLOOKUP(S$1,'cost per tipologia de sòl'!$A$2:$D$37,4,FALSE)*'T50'!S147</f>
        <v>10055473.344000001</v>
      </c>
      <c r="T147" s="1100">
        <f>VLOOKUP(T$1,'cost per tipologia de sòl'!$A$2:$D$37,4,FALSE)*'T50'!T147</f>
        <v>734061.82499999995</v>
      </c>
      <c r="U147" s="1100">
        <f>VLOOKUP(U$1,'cost per tipologia de sòl'!$A$2:$D$37,4,FALSE)*'T50'!U147</f>
        <v>782752.95</v>
      </c>
      <c r="V147" s="1100">
        <f>VLOOKUP(V$1,'cost per tipologia de sòl'!$A$2:$D$37,4,FALSE)*'T50'!V147</f>
        <v>0</v>
      </c>
      <c r="W147" s="1100">
        <f>VLOOKUP(W$1,'cost per tipologia de sòl'!$A$2:$D$37,4,FALSE)*'T50'!W147</f>
        <v>0</v>
      </c>
      <c r="X147" s="1100">
        <f>VLOOKUP(X$1,'cost per tipologia de sòl'!$A$2:$D$37,4,FALSE)*'T50'!X147</f>
        <v>0</v>
      </c>
      <c r="Y147" s="1100">
        <f>VLOOKUP(Y$1,'cost per tipologia de sòl'!$A$2:$D$37,4,FALSE)*'T50'!Y147</f>
        <v>0</v>
      </c>
      <c r="Z147" s="1100">
        <f>VLOOKUP(Z$1,'cost per tipologia de sòl'!$A$2:$D$37,4,FALSE)*'T50'!Z147</f>
        <v>2927567.8080000002</v>
      </c>
      <c r="AA147" s="1100">
        <f>VLOOKUP(AA$1,'cost per tipologia de sòl'!$A$2:$D$37,4,FALSE)*'T50'!AA147</f>
        <v>0</v>
      </c>
      <c r="AB147" s="1100">
        <f>VLOOKUP(AB$1,'cost per tipologia de sòl'!$A$2:$D$37,4,FALSE)*'T50'!AB147</f>
        <v>4295424.05</v>
      </c>
      <c r="AC147" s="1100">
        <f>VLOOKUP(AC$1,'cost per tipologia de sòl'!$A$2:$D$37,4,FALSE)*'T50'!AC147</f>
        <v>813560.05</v>
      </c>
      <c r="AD147" s="1100">
        <f>VLOOKUP(AD$1,'cost per tipologia de sòl'!$A$2:$D$37,4,FALSE)*'T50'!AD147</f>
        <v>7911251.3499999996</v>
      </c>
      <c r="AE147" s="1100">
        <f>VLOOKUP(AE$1,'cost per tipologia de sòl'!$A$2:$D$37,4,FALSE)*'T50'!AE147</f>
        <v>0</v>
      </c>
      <c r="AF147" s="1100">
        <f>VLOOKUP(AF$1,'cost per tipologia de sòl'!$A$2:$D$37,4,FALSE)*'T50'!AF147</f>
        <v>0</v>
      </c>
      <c r="AG147" s="1100">
        <f>VLOOKUP(AG$1,'cost per tipologia de sòl'!$A$2:$D$37,4,FALSE)*'T50'!AG147</f>
        <v>0</v>
      </c>
      <c r="AH147" s="1100">
        <f>VLOOKUP(AH$1,'cost per tipologia de sòl'!$A$2:$D$37,4,FALSE)*'T50'!AH147</f>
        <v>0</v>
      </c>
      <c r="AI147" s="1100">
        <f>VLOOKUP(AI$1,'cost per tipologia de sòl'!$A$2:$D$37,4,FALSE)*'T50'!AI147</f>
        <v>0</v>
      </c>
      <c r="AJ147" s="1100">
        <f t="shared" si="4"/>
        <v>46445290.305499993</v>
      </c>
      <c r="AK147" s="1098">
        <f t="shared" si="5"/>
        <v>13.933587091649997</v>
      </c>
    </row>
    <row r="148" spans="1:37">
      <c r="A148" s="1099" t="s">
        <v>1639</v>
      </c>
      <c r="B148" s="1100">
        <f>VLOOKUP(B$1,'cost per tipologia de sòl'!$A$2:$D$37,4,FALSE)*'T50'!B148</f>
        <v>0</v>
      </c>
      <c r="C148" s="1100">
        <f>VLOOKUP(C$1,'cost per tipologia de sòl'!$A$2:$D$37,4,FALSE)*'T50'!C148</f>
        <v>0</v>
      </c>
      <c r="D148" s="1100">
        <f>VLOOKUP(D$1,'cost per tipologia de sòl'!$A$2:$D$37,4,FALSE)*'T50'!D148</f>
        <v>0</v>
      </c>
      <c r="E148" s="1100">
        <f>VLOOKUP(E$1,'cost per tipologia de sòl'!$A$2:$D$37,4,FALSE)*'T50'!E148</f>
        <v>0</v>
      </c>
      <c r="F148" s="1100">
        <f>VLOOKUP(F$1,'cost per tipologia de sòl'!$A$2:$D$37,4,FALSE)*'T50'!F148</f>
        <v>0</v>
      </c>
      <c r="G148" s="1100">
        <f>VLOOKUP(G$1,'cost per tipologia de sòl'!$A$2:$D$37,4,FALSE)*'T50'!G148</f>
        <v>0</v>
      </c>
      <c r="H148" s="1100">
        <f>VLOOKUP(H$1,'cost per tipologia de sòl'!$A$2:$D$37,4,FALSE)*'T50'!H148</f>
        <v>0</v>
      </c>
      <c r="I148" s="1100">
        <f>VLOOKUP(I$1,'cost per tipologia de sòl'!$A$2:$D$37,4,FALSE)*'T50'!I148</f>
        <v>0</v>
      </c>
      <c r="J148" s="1100">
        <f>VLOOKUP(J$1,'cost per tipologia de sòl'!$A$2:$D$37,4,FALSE)*'T50'!J148</f>
        <v>0</v>
      </c>
      <c r="K148" s="1100">
        <f>VLOOKUP(K$1,'cost per tipologia de sòl'!$A$2:$D$37,4,FALSE)*'T50'!K148</f>
        <v>0</v>
      </c>
      <c r="L148" s="1100">
        <f>VLOOKUP(L$1,'cost per tipologia de sòl'!$A$2:$D$37,4,FALSE)*'T50'!L148</f>
        <v>0</v>
      </c>
      <c r="M148" s="1100">
        <f>VLOOKUP(M$1,'cost per tipologia de sòl'!$A$2:$D$37,4,FALSE)*'T50'!M148</f>
        <v>0</v>
      </c>
      <c r="N148" s="1100">
        <f>VLOOKUP(N$1,'cost per tipologia de sòl'!$A$2:$D$37,4,FALSE)*'T50'!N148</f>
        <v>0</v>
      </c>
      <c r="O148" s="1100">
        <f>VLOOKUP(O$1,'cost per tipologia de sòl'!$A$2:$D$37,4,FALSE)*'T50'!O148</f>
        <v>0</v>
      </c>
      <c r="P148" s="1100">
        <f>VLOOKUP(P$1,'cost per tipologia de sòl'!$A$2:$D$37,4,FALSE)*'T50'!P148</f>
        <v>0</v>
      </c>
      <c r="Q148" s="1100">
        <f>VLOOKUP(Q$1,'cost per tipologia de sòl'!$A$2:$D$37,4,FALSE)*'T50'!Q148</f>
        <v>0</v>
      </c>
      <c r="R148" s="1100">
        <f>VLOOKUP(R$1,'cost per tipologia de sòl'!$A$2:$D$37,4,FALSE)*'T50'!R148</f>
        <v>0</v>
      </c>
      <c r="S148" s="1100">
        <f>VLOOKUP(S$1,'cost per tipologia de sòl'!$A$2:$D$37,4,FALSE)*'T50'!S148</f>
        <v>0</v>
      </c>
      <c r="T148" s="1100">
        <f>VLOOKUP(T$1,'cost per tipologia de sòl'!$A$2:$D$37,4,FALSE)*'T50'!T148</f>
        <v>0</v>
      </c>
      <c r="U148" s="1100">
        <f>VLOOKUP(U$1,'cost per tipologia de sòl'!$A$2:$D$37,4,FALSE)*'T50'!U148</f>
        <v>0</v>
      </c>
      <c r="V148" s="1100">
        <f>VLOOKUP(V$1,'cost per tipologia de sòl'!$A$2:$D$37,4,FALSE)*'T50'!V148</f>
        <v>0</v>
      </c>
      <c r="W148" s="1100">
        <f>VLOOKUP(W$1,'cost per tipologia de sòl'!$A$2:$D$37,4,FALSE)*'T50'!W148</f>
        <v>0</v>
      </c>
      <c r="X148" s="1100">
        <f>VLOOKUP(X$1,'cost per tipologia de sòl'!$A$2:$D$37,4,FALSE)*'T50'!X148</f>
        <v>0</v>
      </c>
      <c r="Y148" s="1100">
        <f>VLOOKUP(Y$1,'cost per tipologia de sòl'!$A$2:$D$37,4,FALSE)*'T50'!Y148</f>
        <v>0</v>
      </c>
      <c r="Z148" s="1100">
        <f>VLOOKUP(Z$1,'cost per tipologia de sòl'!$A$2:$D$37,4,FALSE)*'T50'!Z148</f>
        <v>0</v>
      </c>
      <c r="AA148" s="1100">
        <f>VLOOKUP(AA$1,'cost per tipologia de sòl'!$A$2:$D$37,4,FALSE)*'T50'!AA148</f>
        <v>0</v>
      </c>
      <c r="AB148" s="1100">
        <f>VLOOKUP(AB$1,'cost per tipologia de sòl'!$A$2:$D$37,4,FALSE)*'T50'!AB148</f>
        <v>57436.049999999996</v>
      </c>
      <c r="AC148" s="1100">
        <f>VLOOKUP(AC$1,'cost per tipologia de sòl'!$A$2:$D$37,4,FALSE)*'T50'!AC148</f>
        <v>0</v>
      </c>
      <c r="AD148" s="1100">
        <f>VLOOKUP(AD$1,'cost per tipologia de sòl'!$A$2:$D$37,4,FALSE)*'T50'!AD148</f>
        <v>0</v>
      </c>
      <c r="AE148" s="1100">
        <f>VLOOKUP(AE$1,'cost per tipologia de sòl'!$A$2:$D$37,4,FALSE)*'T50'!AE148</f>
        <v>0</v>
      </c>
      <c r="AF148" s="1100">
        <f>VLOOKUP(AF$1,'cost per tipologia de sòl'!$A$2:$D$37,4,FALSE)*'T50'!AF148</f>
        <v>0</v>
      </c>
      <c r="AG148" s="1100">
        <f>VLOOKUP(AG$1,'cost per tipologia de sòl'!$A$2:$D$37,4,FALSE)*'T50'!AG148</f>
        <v>0</v>
      </c>
      <c r="AH148" s="1100">
        <f>VLOOKUP(AH$1,'cost per tipologia de sòl'!$A$2:$D$37,4,FALSE)*'T50'!AH148</f>
        <v>0</v>
      </c>
      <c r="AI148" s="1100">
        <f>VLOOKUP(AI$1,'cost per tipologia de sòl'!$A$2:$D$37,4,FALSE)*'T50'!AI148</f>
        <v>0</v>
      </c>
      <c r="AJ148" s="1100">
        <f t="shared" si="4"/>
        <v>57436.049999999996</v>
      </c>
      <c r="AK148" s="1098">
        <f t="shared" si="5"/>
        <v>1.7230814999999997E-2</v>
      </c>
    </row>
    <row r="149" spans="1:37">
      <c r="A149" s="1099" t="s">
        <v>1641</v>
      </c>
      <c r="B149" s="1100">
        <f>VLOOKUP(B$1,'cost per tipologia de sòl'!$A$2:$D$37,4,FALSE)*'T50'!B149</f>
        <v>9346792.1040000003</v>
      </c>
      <c r="C149" s="1100">
        <f>VLOOKUP(C$1,'cost per tipologia de sòl'!$A$2:$D$37,4,FALSE)*'T50'!C149</f>
        <v>0</v>
      </c>
      <c r="D149" s="1100">
        <f>VLOOKUP(D$1,'cost per tipologia de sòl'!$A$2:$D$37,4,FALSE)*'T50'!D149</f>
        <v>0</v>
      </c>
      <c r="E149" s="1100">
        <f>VLOOKUP(E$1,'cost per tipologia de sòl'!$A$2:$D$37,4,FALSE)*'T50'!E149</f>
        <v>0</v>
      </c>
      <c r="F149" s="1100">
        <f>VLOOKUP(F$1,'cost per tipologia de sòl'!$A$2:$D$37,4,FALSE)*'T50'!F149</f>
        <v>0</v>
      </c>
      <c r="G149" s="1100">
        <f>VLOOKUP(G$1,'cost per tipologia de sòl'!$A$2:$D$37,4,FALSE)*'T50'!G149</f>
        <v>0</v>
      </c>
      <c r="H149" s="1100">
        <f>VLOOKUP(H$1,'cost per tipologia de sòl'!$A$2:$D$37,4,FALSE)*'T50'!H149</f>
        <v>0</v>
      </c>
      <c r="I149" s="1100">
        <f>VLOOKUP(I$1,'cost per tipologia de sòl'!$A$2:$D$37,4,FALSE)*'T50'!I149</f>
        <v>0</v>
      </c>
      <c r="J149" s="1100">
        <f>VLOOKUP(J$1,'cost per tipologia de sòl'!$A$2:$D$37,4,FALSE)*'T50'!J149</f>
        <v>0</v>
      </c>
      <c r="K149" s="1100">
        <f>VLOOKUP(K$1,'cost per tipologia de sòl'!$A$2:$D$37,4,FALSE)*'T50'!K149</f>
        <v>0</v>
      </c>
      <c r="L149" s="1100">
        <f>VLOOKUP(L$1,'cost per tipologia de sòl'!$A$2:$D$37,4,FALSE)*'T50'!L149</f>
        <v>344773.43099999998</v>
      </c>
      <c r="M149" s="1100">
        <f>VLOOKUP(M$1,'cost per tipologia de sòl'!$A$2:$D$37,4,FALSE)*'T50'!M149</f>
        <v>247726.33599999998</v>
      </c>
      <c r="N149" s="1100">
        <f>VLOOKUP(N$1,'cost per tipologia de sòl'!$A$2:$D$37,4,FALSE)*'T50'!N149</f>
        <v>0</v>
      </c>
      <c r="O149" s="1100">
        <f>VLOOKUP(O$1,'cost per tipologia de sòl'!$A$2:$D$37,4,FALSE)*'T50'!O149</f>
        <v>0</v>
      </c>
      <c r="P149" s="1100">
        <f>VLOOKUP(P$1,'cost per tipologia de sòl'!$A$2:$D$37,4,FALSE)*'T50'!P149</f>
        <v>964270.96799999988</v>
      </c>
      <c r="Q149" s="1100">
        <f>VLOOKUP(Q$1,'cost per tipologia de sòl'!$A$2:$D$37,4,FALSE)*'T50'!Q149</f>
        <v>0</v>
      </c>
      <c r="R149" s="1100">
        <f>VLOOKUP(R$1,'cost per tipologia de sòl'!$A$2:$D$37,4,FALSE)*'T50'!R149</f>
        <v>0</v>
      </c>
      <c r="S149" s="1100">
        <f>VLOOKUP(S$1,'cost per tipologia de sòl'!$A$2:$D$37,4,FALSE)*'T50'!S149</f>
        <v>132313.10399999999</v>
      </c>
      <c r="T149" s="1100">
        <f>VLOOKUP(T$1,'cost per tipologia de sòl'!$A$2:$D$37,4,FALSE)*'T50'!T149</f>
        <v>4202537.943</v>
      </c>
      <c r="U149" s="1100">
        <f>VLOOKUP(U$1,'cost per tipologia de sòl'!$A$2:$D$37,4,FALSE)*'T50'!U149</f>
        <v>0</v>
      </c>
      <c r="V149" s="1100">
        <f>VLOOKUP(V$1,'cost per tipologia de sòl'!$A$2:$D$37,4,FALSE)*'T50'!V149</f>
        <v>0</v>
      </c>
      <c r="W149" s="1100">
        <f>VLOOKUP(W$1,'cost per tipologia de sòl'!$A$2:$D$37,4,FALSE)*'T50'!W149</f>
        <v>0</v>
      </c>
      <c r="X149" s="1100">
        <f>VLOOKUP(X$1,'cost per tipologia de sòl'!$A$2:$D$37,4,FALSE)*'T50'!X149</f>
        <v>0</v>
      </c>
      <c r="Y149" s="1100">
        <f>VLOOKUP(Y$1,'cost per tipologia de sòl'!$A$2:$D$37,4,FALSE)*'T50'!Y149</f>
        <v>0</v>
      </c>
      <c r="Z149" s="1100">
        <f>VLOOKUP(Z$1,'cost per tipologia de sòl'!$A$2:$D$37,4,FALSE)*'T50'!Z149</f>
        <v>24899.482</v>
      </c>
      <c r="AA149" s="1100">
        <f>VLOOKUP(AA$1,'cost per tipologia de sòl'!$A$2:$D$37,4,FALSE)*'T50'!AA149</f>
        <v>0</v>
      </c>
      <c r="AB149" s="1100">
        <f>VLOOKUP(AB$1,'cost per tipologia de sòl'!$A$2:$D$37,4,FALSE)*'T50'!AB149</f>
        <v>0</v>
      </c>
      <c r="AC149" s="1100">
        <f>VLOOKUP(AC$1,'cost per tipologia de sòl'!$A$2:$D$37,4,FALSE)*'T50'!AC149</f>
        <v>745797.5</v>
      </c>
      <c r="AD149" s="1100">
        <f>VLOOKUP(AD$1,'cost per tipologia de sòl'!$A$2:$D$37,4,FALSE)*'T50'!AD149</f>
        <v>1469758.3</v>
      </c>
      <c r="AE149" s="1100">
        <f>VLOOKUP(AE$1,'cost per tipologia de sòl'!$A$2:$D$37,4,FALSE)*'T50'!AE149</f>
        <v>0</v>
      </c>
      <c r="AF149" s="1100">
        <f>VLOOKUP(AF$1,'cost per tipologia de sòl'!$A$2:$D$37,4,FALSE)*'T50'!AF149</f>
        <v>0</v>
      </c>
      <c r="AG149" s="1100">
        <f>VLOOKUP(AG$1,'cost per tipologia de sòl'!$A$2:$D$37,4,FALSE)*'T50'!AG149</f>
        <v>0</v>
      </c>
      <c r="AH149" s="1100">
        <f>VLOOKUP(AH$1,'cost per tipologia de sòl'!$A$2:$D$37,4,FALSE)*'T50'!AH149</f>
        <v>0</v>
      </c>
      <c r="AI149" s="1100">
        <f>VLOOKUP(AI$1,'cost per tipologia de sòl'!$A$2:$D$37,4,FALSE)*'T50'!AI149</f>
        <v>0</v>
      </c>
      <c r="AJ149" s="1100">
        <f t="shared" si="4"/>
        <v>17478869.168000001</v>
      </c>
      <c r="AK149" s="1098">
        <f t="shared" si="5"/>
        <v>5.2436607504000001</v>
      </c>
    </row>
    <row r="150" spans="1:37">
      <c r="A150" s="1099" t="s">
        <v>967</v>
      </c>
      <c r="B150" s="1100">
        <f>VLOOKUP(B$1,'cost per tipologia de sòl'!$A$2:$D$37,4,FALSE)*'T50'!B150</f>
        <v>0</v>
      </c>
      <c r="C150" s="1100">
        <f>VLOOKUP(C$1,'cost per tipologia de sòl'!$A$2:$D$37,4,FALSE)*'T50'!C150</f>
        <v>0</v>
      </c>
      <c r="D150" s="1100">
        <f>VLOOKUP(D$1,'cost per tipologia de sòl'!$A$2:$D$37,4,FALSE)*'T50'!D150</f>
        <v>0</v>
      </c>
      <c r="E150" s="1100">
        <f>VLOOKUP(E$1,'cost per tipologia de sòl'!$A$2:$D$37,4,FALSE)*'T50'!E150</f>
        <v>0</v>
      </c>
      <c r="F150" s="1100">
        <f>VLOOKUP(F$1,'cost per tipologia de sòl'!$A$2:$D$37,4,FALSE)*'T50'!F150</f>
        <v>0</v>
      </c>
      <c r="G150" s="1100">
        <f>VLOOKUP(G$1,'cost per tipologia de sòl'!$A$2:$D$37,4,FALSE)*'T50'!G150</f>
        <v>0</v>
      </c>
      <c r="H150" s="1100">
        <f>VLOOKUP(H$1,'cost per tipologia de sòl'!$A$2:$D$37,4,FALSE)*'T50'!H150</f>
        <v>0</v>
      </c>
      <c r="I150" s="1100">
        <f>VLOOKUP(I$1,'cost per tipologia de sòl'!$A$2:$D$37,4,FALSE)*'T50'!I150</f>
        <v>0</v>
      </c>
      <c r="J150" s="1100">
        <f>VLOOKUP(J$1,'cost per tipologia de sòl'!$A$2:$D$37,4,FALSE)*'T50'!J150</f>
        <v>0</v>
      </c>
      <c r="K150" s="1100">
        <f>VLOOKUP(K$1,'cost per tipologia de sòl'!$A$2:$D$37,4,FALSE)*'T50'!K150</f>
        <v>0</v>
      </c>
      <c r="L150" s="1100">
        <f>VLOOKUP(L$1,'cost per tipologia de sòl'!$A$2:$D$37,4,FALSE)*'T50'!L150</f>
        <v>0</v>
      </c>
      <c r="M150" s="1100">
        <f>VLOOKUP(M$1,'cost per tipologia de sòl'!$A$2:$D$37,4,FALSE)*'T50'!M150</f>
        <v>0</v>
      </c>
      <c r="N150" s="1100">
        <f>VLOOKUP(N$1,'cost per tipologia de sòl'!$A$2:$D$37,4,FALSE)*'T50'!N150</f>
        <v>0</v>
      </c>
      <c r="O150" s="1100">
        <f>VLOOKUP(O$1,'cost per tipologia de sòl'!$A$2:$D$37,4,FALSE)*'T50'!O150</f>
        <v>0</v>
      </c>
      <c r="P150" s="1100">
        <f>VLOOKUP(P$1,'cost per tipologia de sòl'!$A$2:$D$37,4,FALSE)*'T50'!P150</f>
        <v>0</v>
      </c>
      <c r="Q150" s="1100">
        <f>VLOOKUP(Q$1,'cost per tipologia de sòl'!$A$2:$D$37,4,FALSE)*'T50'!Q150</f>
        <v>0</v>
      </c>
      <c r="R150" s="1100">
        <f>VLOOKUP(R$1,'cost per tipologia de sòl'!$A$2:$D$37,4,FALSE)*'T50'!R150</f>
        <v>0</v>
      </c>
      <c r="S150" s="1100">
        <f>VLOOKUP(S$1,'cost per tipologia de sòl'!$A$2:$D$37,4,FALSE)*'T50'!S150</f>
        <v>10673681.76</v>
      </c>
      <c r="T150" s="1100">
        <f>VLOOKUP(T$1,'cost per tipologia de sòl'!$A$2:$D$37,4,FALSE)*'T50'!T150</f>
        <v>2867001.8879999998</v>
      </c>
      <c r="U150" s="1100">
        <f>VLOOKUP(U$1,'cost per tipologia de sòl'!$A$2:$D$37,4,FALSE)*'T50'!U150</f>
        <v>1402758</v>
      </c>
      <c r="V150" s="1100">
        <f>VLOOKUP(V$1,'cost per tipologia de sòl'!$A$2:$D$37,4,FALSE)*'T50'!V150</f>
        <v>0</v>
      </c>
      <c r="W150" s="1100">
        <f>VLOOKUP(W$1,'cost per tipologia de sòl'!$A$2:$D$37,4,FALSE)*'T50'!W150</f>
        <v>0</v>
      </c>
      <c r="X150" s="1100">
        <f>VLOOKUP(X$1,'cost per tipologia de sòl'!$A$2:$D$37,4,FALSE)*'T50'!X150</f>
        <v>0</v>
      </c>
      <c r="Y150" s="1100">
        <f>VLOOKUP(Y$1,'cost per tipologia de sòl'!$A$2:$D$37,4,FALSE)*'T50'!Y150</f>
        <v>0</v>
      </c>
      <c r="Z150" s="1100">
        <f>VLOOKUP(Z$1,'cost per tipologia de sòl'!$A$2:$D$37,4,FALSE)*'T50'!Z150</f>
        <v>23300.096000000001</v>
      </c>
      <c r="AA150" s="1100">
        <f>VLOOKUP(AA$1,'cost per tipologia de sòl'!$A$2:$D$37,4,FALSE)*'T50'!AA150</f>
        <v>0</v>
      </c>
      <c r="AB150" s="1100">
        <f>VLOOKUP(AB$1,'cost per tipologia de sòl'!$A$2:$D$37,4,FALSE)*'T50'!AB150</f>
        <v>7514078.2000000002</v>
      </c>
      <c r="AC150" s="1100">
        <f>VLOOKUP(AC$1,'cost per tipologia de sòl'!$A$2:$D$37,4,FALSE)*'T50'!AC150</f>
        <v>11694987.350000001</v>
      </c>
      <c r="AD150" s="1100">
        <f>VLOOKUP(AD$1,'cost per tipologia de sòl'!$A$2:$D$37,4,FALSE)*'T50'!AD150</f>
        <v>85184454.649999991</v>
      </c>
      <c r="AE150" s="1100">
        <f>VLOOKUP(AE$1,'cost per tipologia de sòl'!$A$2:$D$37,4,FALSE)*'T50'!AE150</f>
        <v>0</v>
      </c>
      <c r="AF150" s="1100">
        <f>VLOOKUP(AF$1,'cost per tipologia de sòl'!$A$2:$D$37,4,FALSE)*'T50'!AF150</f>
        <v>0</v>
      </c>
      <c r="AG150" s="1100">
        <f>VLOOKUP(AG$1,'cost per tipologia de sòl'!$A$2:$D$37,4,FALSE)*'T50'!AG150</f>
        <v>0</v>
      </c>
      <c r="AH150" s="1100">
        <f>VLOOKUP(AH$1,'cost per tipologia de sòl'!$A$2:$D$37,4,FALSE)*'T50'!AH150</f>
        <v>0</v>
      </c>
      <c r="AI150" s="1100">
        <f>VLOOKUP(AI$1,'cost per tipologia de sòl'!$A$2:$D$37,4,FALSE)*'T50'!AI150</f>
        <v>0</v>
      </c>
      <c r="AJ150" s="1100">
        <f t="shared" si="4"/>
        <v>119360261.94399999</v>
      </c>
      <c r="AK150" s="1098">
        <f t="shared" si="5"/>
        <v>35.8080785832</v>
      </c>
    </row>
    <row r="151" spans="1:37">
      <c r="A151" s="1099" t="s">
        <v>1660</v>
      </c>
      <c r="B151" s="1100">
        <f>VLOOKUP(B$1,'cost per tipologia de sòl'!$A$2:$D$37,4,FALSE)*'T50'!B151</f>
        <v>430845894.99000001</v>
      </c>
      <c r="C151" s="1100">
        <f>VLOOKUP(C$1,'cost per tipologia de sòl'!$A$2:$D$37,4,FALSE)*'T50'!C151</f>
        <v>0</v>
      </c>
      <c r="D151" s="1100">
        <f>VLOOKUP(D$1,'cost per tipologia de sòl'!$A$2:$D$37,4,FALSE)*'T50'!D151</f>
        <v>544723.78799999994</v>
      </c>
      <c r="E151" s="1100">
        <f>VLOOKUP(E$1,'cost per tipologia de sòl'!$A$2:$D$37,4,FALSE)*'T50'!E151</f>
        <v>0</v>
      </c>
      <c r="F151" s="1100">
        <f>VLOOKUP(F$1,'cost per tipologia de sòl'!$A$2:$D$37,4,FALSE)*'T50'!F151</f>
        <v>0</v>
      </c>
      <c r="G151" s="1100">
        <f>VLOOKUP(G$1,'cost per tipologia de sòl'!$A$2:$D$37,4,FALSE)*'T50'!G151</f>
        <v>0</v>
      </c>
      <c r="H151" s="1100">
        <f>VLOOKUP(H$1,'cost per tipologia de sòl'!$A$2:$D$37,4,FALSE)*'T50'!H151</f>
        <v>0</v>
      </c>
      <c r="I151" s="1100">
        <f>VLOOKUP(I$1,'cost per tipologia de sòl'!$A$2:$D$37,4,FALSE)*'T50'!I151</f>
        <v>0</v>
      </c>
      <c r="J151" s="1100">
        <f>VLOOKUP(J$1,'cost per tipologia de sòl'!$A$2:$D$37,4,FALSE)*'T50'!J151</f>
        <v>371637.266</v>
      </c>
      <c r="K151" s="1100">
        <f>VLOOKUP(K$1,'cost per tipologia de sòl'!$A$2:$D$37,4,FALSE)*'T50'!K151</f>
        <v>0</v>
      </c>
      <c r="L151" s="1100">
        <f>VLOOKUP(L$1,'cost per tipologia de sòl'!$A$2:$D$37,4,FALSE)*'T50'!L151</f>
        <v>11051496.378</v>
      </c>
      <c r="M151" s="1100">
        <f>VLOOKUP(M$1,'cost per tipologia de sòl'!$A$2:$D$37,4,FALSE)*'T50'!M151</f>
        <v>5652926.1440000003</v>
      </c>
      <c r="N151" s="1100">
        <f>VLOOKUP(N$1,'cost per tipologia de sòl'!$A$2:$D$37,4,FALSE)*'T50'!N151</f>
        <v>0</v>
      </c>
      <c r="O151" s="1100">
        <f>VLOOKUP(O$1,'cost per tipologia de sòl'!$A$2:$D$37,4,FALSE)*'T50'!O151</f>
        <v>2852124.0720000002</v>
      </c>
      <c r="P151" s="1100">
        <f>VLOOKUP(P$1,'cost per tipologia de sòl'!$A$2:$D$37,4,FALSE)*'T50'!P151</f>
        <v>15070256.936000001</v>
      </c>
      <c r="Q151" s="1100">
        <f>VLOOKUP(Q$1,'cost per tipologia de sòl'!$A$2:$D$37,4,FALSE)*'T50'!Q151</f>
        <v>0</v>
      </c>
      <c r="R151" s="1100">
        <f>VLOOKUP(R$1,'cost per tipologia de sòl'!$A$2:$D$37,4,FALSE)*'T50'!R151</f>
        <v>0</v>
      </c>
      <c r="S151" s="1100">
        <f>VLOOKUP(S$1,'cost per tipologia de sòl'!$A$2:$D$37,4,FALSE)*'T50'!S151</f>
        <v>139384458.86399999</v>
      </c>
      <c r="T151" s="1100">
        <f>VLOOKUP(T$1,'cost per tipologia de sòl'!$A$2:$D$37,4,FALSE)*'T50'!T151</f>
        <v>81911566.773000002</v>
      </c>
      <c r="U151" s="1100">
        <f>VLOOKUP(U$1,'cost per tipologia de sòl'!$A$2:$D$37,4,FALSE)*'T50'!U151</f>
        <v>19051866.75</v>
      </c>
      <c r="V151" s="1100">
        <f>VLOOKUP(V$1,'cost per tipologia de sòl'!$A$2:$D$37,4,FALSE)*'T50'!V151</f>
        <v>0</v>
      </c>
      <c r="W151" s="1100">
        <f>VLOOKUP(W$1,'cost per tipologia de sòl'!$A$2:$D$37,4,FALSE)*'T50'!W151</f>
        <v>0</v>
      </c>
      <c r="X151" s="1100">
        <f>VLOOKUP(X$1,'cost per tipologia de sòl'!$A$2:$D$37,4,FALSE)*'T50'!X151</f>
        <v>0</v>
      </c>
      <c r="Y151" s="1100">
        <f>VLOOKUP(Y$1,'cost per tipologia de sòl'!$A$2:$D$37,4,FALSE)*'T50'!Y151</f>
        <v>0</v>
      </c>
      <c r="Z151" s="1100">
        <f>VLOOKUP(Z$1,'cost per tipologia de sòl'!$A$2:$D$37,4,FALSE)*'T50'!Z151</f>
        <v>187720496.33000001</v>
      </c>
      <c r="AA151" s="1100">
        <f>VLOOKUP(AA$1,'cost per tipologia de sòl'!$A$2:$D$37,4,FALSE)*'T50'!AA151</f>
        <v>0</v>
      </c>
      <c r="AB151" s="1100">
        <f>VLOOKUP(AB$1,'cost per tipologia de sòl'!$A$2:$D$37,4,FALSE)*'T50'!AB151</f>
        <v>7515096.5999999996</v>
      </c>
      <c r="AC151" s="1100">
        <f>VLOOKUP(AC$1,'cost per tipologia de sòl'!$A$2:$D$37,4,FALSE)*'T50'!AC151</f>
        <v>78023599.75</v>
      </c>
      <c r="AD151" s="1100">
        <f>VLOOKUP(AD$1,'cost per tipologia de sòl'!$A$2:$D$37,4,FALSE)*'T50'!AD151</f>
        <v>82394378.749999985</v>
      </c>
      <c r="AE151" s="1100">
        <f>VLOOKUP(AE$1,'cost per tipologia de sòl'!$A$2:$D$37,4,FALSE)*'T50'!AE151</f>
        <v>0</v>
      </c>
      <c r="AF151" s="1100">
        <f>VLOOKUP(AF$1,'cost per tipologia de sòl'!$A$2:$D$37,4,FALSE)*'T50'!AF151</f>
        <v>0</v>
      </c>
      <c r="AG151" s="1100">
        <f>VLOOKUP(AG$1,'cost per tipologia de sòl'!$A$2:$D$37,4,FALSE)*'T50'!AG151</f>
        <v>0</v>
      </c>
      <c r="AH151" s="1100">
        <f>VLOOKUP(AH$1,'cost per tipologia de sòl'!$A$2:$D$37,4,FALSE)*'T50'!AH151</f>
        <v>0</v>
      </c>
      <c r="AI151" s="1100">
        <f>VLOOKUP(AI$1,'cost per tipologia de sòl'!$A$2:$D$37,4,FALSE)*'T50'!AI151</f>
        <v>0</v>
      </c>
      <c r="AJ151" s="1100">
        <f t="shared" si="4"/>
        <v>1062390523.391</v>
      </c>
      <c r="AK151" s="1098">
        <f t="shared" si="5"/>
        <v>318.7171570173</v>
      </c>
    </row>
    <row r="152" spans="1:37">
      <c r="A152" s="1099" t="s">
        <v>1667</v>
      </c>
      <c r="B152" s="1100">
        <f>VLOOKUP(B$1,'cost per tipologia de sòl'!$A$2:$D$37,4,FALSE)*'T50'!B152</f>
        <v>861156.72</v>
      </c>
      <c r="C152" s="1100">
        <f>VLOOKUP(C$1,'cost per tipologia de sòl'!$A$2:$D$37,4,FALSE)*'T50'!C152</f>
        <v>0</v>
      </c>
      <c r="D152" s="1100">
        <f>VLOOKUP(D$1,'cost per tipologia de sòl'!$A$2:$D$37,4,FALSE)*'T50'!D152</f>
        <v>366705.27599999995</v>
      </c>
      <c r="E152" s="1100">
        <f>VLOOKUP(E$1,'cost per tipologia de sòl'!$A$2:$D$37,4,FALSE)*'T50'!E152</f>
        <v>0</v>
      </c>
      <c r="F152" s="1100">
        <f>VLOOKUP(F$1,'cost per tipologia de sòl'!$A$2:$D$37,4,FALSE)*'T50'!F152</f>
        <v>0</v>
      </c>
      <c r="G152" s="1100">
        <f>VLOOKUP(G$1,'cost per tipologia de sòl'!$A$2:$D$37,4,FALSE)*'T50'!G152</f>
        <v>0</v>
      </c>
      <c r="H152" s="1100">
        <f>VLOOKUP(H$1,'cost per tipologia de sòl'!$A$2:$D$37,4,FALSE)*'T50'!H152</f>
        <v>0</v>
      </c>
      <c r="I152" s="1100">
        <f>VLOOKUP(I$1,'cost per tipologia de sòl'!$A$2:$D$37,4,FALSE)*'T50'!I152</f>
        <v>0</v>
      </c>
      <c r="J152" s="1100">
        <f>VLOOKUP(J$1,'cost per tipologia de sòl'!$A$2:$D$37,4,FALSE)*'T50'!J152</f>
        <v>656160.60400000005</v>
      </c>
      <c r="K152" s="1100">
        <f>VLOOKUP(K$1,'cost per tipologia de sòl'!$A$2:$D$37,4,FALSE)*'T50'!K152</f>
        <v>0</v>
      </c>
      <c r="L152" s="1100">
        <f>VLOOKUP(L$1,'cost per tipologia de sòl'!$A$2:$D$37,4,FALSE)*'T50'!L152</f>
        <v>1908657.504</v>
      </c>
      <c r="M152" s="1100">
        <f>VLOOKUP(M$1,'cost per tipologia de sòl'!$A$2:$D$37,4,FALSE)*'T50'!M152</f>
        <v>0</v>
      </c>
      <c r="N152" s="1100">
        <f>VLOOKUP(N$1,'cost per tipologia de sòl'!$A$2:$D$37,4,FALSE)*'T50'!N152</f>
        <v>3230139.1439999999</v>
      </c>
      <c r="O152" s="1100">
        <f>VLOOKUP(O$1,'cost per tipologia de sòl'!$A$2:$D$37,4,FALSE)*'T50'!O152</f>
        <v>0</v>
      </c>
      <c r="P152" s="1100">
        <f>VLOOKUP(P$1,'cost per tipologia de sòl'!$A$2:$D$37,4,FALSE)*'T50'!P152</f>
        <v>0</v>
      </c>
      <c r="Q152" s="1100">
        <f>VLOOKUP(Q$1,'cost per tipologia de sòl'!$A$2:$D$37,4,FALSE)*'T50'!Q152</f>
        <v>0</v>
      </c>
      <c r="R152" s="1100">
        <f>VLOOKUP(R$1,'cost per tipologia de sòl'!$A$2:$D$37,4,FALSE)*'T50'!R152</f>
        <v>0</v>
      </c>
      <c r="S152" s="1100">
        <f>VLOOKUP(S$1,'cost per tipologia de sòl'!$A$2:$D$37,4,FALSE)*'T50'!S152</f>
        <v>43803074.448000006</v>
      </c>
      <c r="T152" s="1100">
        <f>VLOOKUP(T$1,'cost per tipologia de sòl'!$A$2:$D$37,4,FALSE)*'T50'!T152</f>
        <v>18770013.690000001</v>
      </c>
      <c r="U152" s="1100">
        <f>VLOOKUP(U$1,'cost per tipologia de sòl'!$A$2:$D$37,4,FALSE)*'T50'!U152</f>
        <v>495363.74999999994</v>
      </c>
      <c r="V152" s="1100">
        <f>VLOOKUP(V$1,'cost per tipologia de sòl'!$A$2:$D$37,4,FALSE)*'T50'!V152</f>
        <v>0</v>
      </c>
      <c r="W152" s="1100">
        <f>VLOOKUP(W$1,'cost per tipologia de sòl'!$A$2:$D$37,4,FALSE)*'T50'!W152</f>
        <v>0</v>
      </c>
      <c r="X152" s="1100">
        <f>VLOOKUP(X$1,'cost per tipologia de sòl'!$A$2:$D$37,4,FALSE)*'T50'!X152</f>
        <v>0</v>
      </c>
      <c r="Y152" s="1100">
        <f>VLOOKUP(Y$1,'cost per tipologia de sòl'!$A$2:$D$37,4,FALSE)*'T50'!Y152</f>
        <v>0</v>
      </c>
      <c r="Z152" s="1100">
        <f>VLOOKUP(Z$1,'cost per tipologia de sòl'!$A$2:$D$37,4,FALSE)*'T50'!Z152</f>
        <v>0</v>
      </c>
      <c r="AA152" s="1100">
        <f>VLOOKUP(AA$1,'cost per tipologia de sòl'!$A$2:$D$37,4,FALSE)*'T50'!AA152</f>
        <v>0</v>
      </c>
      <c r="AB152" s="1100">
        <f>VLOOKUP(AB$1,'cost per tipologia de sòl'!$A$2:$D$37,4,FALSE)*'T50'!AB152</f>
        <v>1360207.15</v>
      </c>
      <c r="AC152" s="1100">
        <f>VLOOKUP(AC$1,'cost per tipologia de sòl'!$A$2:$D$37,4,FALSE)*'T50'!AC152</f>
        <v>4883533.8999999994</v>
      </c>
      <c r="AD152" s="1100">
        <f>VLOOKUP(AD$1,'cost per tipologia de sòl'!$A$2:$D$37,4,FALSE)*'T50'!AD152</f>
        <v>5914380.7999999998</v>
      </c>
      <c r="AE152" s="1100">
        <f>VLOOKUP(AE$1,'cost per tipologia de sòl'!$A$2:$D$37,4,FALSE)*'T50'!AE152</f>
        <v>0</v>
      </c>
      <c r="AF152" s="1100">
        <f>VLOOKUP(AF$1,'cost per tipologia de sòl'!$A$2:$D$37,4,FALSE)*'T50'!AF152</f>
        <v>0</v>
      </c>
      <c r="AG152" s="1100">
        <f>VLOOKUP(AG$1,'cost per tipologia de sòl'!$A$2:$D$37,4,FALSE)*'T50'!AG152</f>
        <v>0</v>
      </c>
      <c r="AH152" s="1100">
        <f>VLOOKUP(AH$1,'cost per tipologia de sòl'!$A$2:$D$37,4,FALSE)*'T50'!AH152</f>
        <v>0</v>
      </c>
      <c r="AI152" s="1100">
        <f>VLOOKUP(AI$1,'cost per tipologia de sòl'!$A$2:$D$37,4,FALSE)*'T50'!AI152</f>
        <v>0</v>
      </c>
      <c r="AJ152" s="1100">
        <f t="shared" si="4"/>
        <v>82249392.986000016</v>
      </c>
      <c r="AK152" s="1098">
        <f t="shared" si="5"/>
        <v>24.674817895800004</v>
      </c>
    </row>
    <row r="153" spans="1:37">
      <c r="A153" s="1099" t="s">
        <v>1673</v>
      </c>
      <c r="B153" s="1100">
        <f>VLOOKUP(B$1,'cost per tipologia de sòl'!$A$2:$D$37,4,FALSE)*'T50'!B153</f>
        <v>0</v>
      </c>
      <c r="C153" s="1100">
        <f>VLOOKUP(C$1,'cost per tipologia de sòl'!$A$2:$D$37,4,FALSE)*'T50'!C153</f>
        <v>0</v>
      </c>
      <c r="D153" s="1100">
        <f>VLOOKUP(D$1,'cost per tipologia de sòl'!$A$2:$D$37,4,FALSE)*'T50'!D153</f>
        <v>0</v>
      </c>
      <c r="E153" s="1100">
        <f>VLOOKUP(E$1,'cost per tipologia de sòl'!$A$2:$D$37,4,FALSE)*'T50'!E153</f>
        <v>0</v>
      </c>
      <c r="F153" s="1100">
        <f>VLOOKUP(F$1,'cost per tipologia de sòl'!$A$2:$D$37,4,FALSE)*'T50'!F153</f>
        <v>0</v>
      </c>
      <c r="G153" s="1100">
        <f>VLOOKUP(G$1,'cost per tipologia de sòl'!$A$2:$D$37,4,FALSE)*'T50'!G153</f>
        <v>0</v>
      </c>
      <c r="H153" s="1100">
        <f>VLOOKUP(H$1,'cost per tipologia de sòl'!$A$2:$D$37,4,FALSE)*'T50'!H153</f>
        <v>0</v>
      </c>
      <c r="I153" s="1100">
        <f>VLOOKUP(I$1,'cost per tipologia de sòl'!$A$2:$D$37,4,FALSE)*'T50'!I153</f>
        <v>0</v>
      </c>
      <c r="J153" s="1100">
        <f>VLOOKUP(J$1,'cost per tipologia de sòl'!$A$2:$D$37,4,FALSE)*'T50'!J153</f>
        <v>26372.687000000002</v>
      </c>
      <c r="K153" s="1100">
        <f>VLOOKUP(K$1,'cost per tipologia de sòl'!$A$2:$D$37,4,FALSE)*'T50'!K153</f>
        <v>0</v>
      </c>
      <c r="L153" s="1100">
        <f>VLOOKUP(L$1,'cost per tipologia de sòl'!$A$2:$D$37,4,FALSE)*'T50'!L153</f>
        <v>0</v>
      </c>
      <c r="M153" s="1100">
        <f>VLOOKUP(M$1,'cost per tipologia de sòl'!$A$2:$D$37,4,FALSE)*'T50'!M153</f>
        <v>0</v>
      </c>
      <c r="N153" s="1100">
        <f>VLOOKUP(N$1,'cost per tipologia de sòl'!$A$2:$D$37,4,FALSE)*'T50'!N153</f>
        <v>0</v>
      </c>
      <c r="O153" s="1100">
        <f>VLOOKUP(O$1,'cost per tipologia de sòl'!$A$2:$D$37,4,FALSE)*'T50'!O153</f>
        <v>0</v>
      </c>
      <c r="P153" s="1100">
        <f>VLOOKUP(P$1,'cost per tipologia de sòl'!$A$2:$D$37,4,FALSE)*'T50'!P153</f>
        <v>0</v>
      </c>
      <c r="Q153" s="1100">
        <f>VLOOKUP(Q$1,'cost per tipologia de sòl'!$A$2:$D$37,4,FALSE)*'T50'!Q153</f>
        <v>0</v>
      </c>
      <c r="R153" s="1100">
        <f>VLOOKUP(R$1,'cost per tipologia de sòl'!$A$2:$D$37,4,FALSE)*'T50'!R153</f>
        <v>0</v>
      </c>
      <c r="S153" s="1100">
        <f>VLOOKUP(S$1,'cost per tipologia de sòl'!$A$2:$D$37,4,FALSE)*'T50'!S153</f>
        <v>0</v>
      </c>
      <c r="T153" s="1100">
        <f>VLOOKUP(T$1,'cost per tipologia de sòl'!$A$2:$D$37,4,FALSE)*'T50'!T153</f>
        <v>314976.03899999999</v>
      </c>
      <c r="U153" s="1100">
        <f>VLOOKUP(U$1,'cost per tipologia de sòl'!$A$2:$D$37,4,FALSE)*'T50'!U153</f>
        <v>0</v>
      </c>
      <c r="V153" s="1100">
        <f>VLOOKUP(V$1,'cost per tipologia de sòl'!$A$2:$D$37,4,FALSE)*'T50'!V153</f>
        <v>0</v>
      </c>
      <c r="W153" s="1100">
        <f>VLOOKUP(W$1,'cost per tipologia de sòl'!$A$2:$D$37,4,FALSE)*'T50'!W153</f>
        <v>0</v>
      </c>
      <c r="X153" s="1100">
        <f>VLOOKUP(X$1,'cost per tipologia de sòl'!$A$2:$D$37,4,FALSE)*'T50'!X153</f>
        <v>0</v>
      </c>
      <c r="Y153" s="1100">
        <f>VLOOKUP(Y$1,'cost per tipologia de sòl'!$A$2:$D$37,4,FALSE)*'T50'!Y153</f>
        <v>0</v>
      </c>
      <c r="Z153" s="1100">
        <f>VLOOKUP(Z$1,'cost per tipologia de sòl'!$A$2:$D$37,4,FALSE)*'T50'!Z153</f>
        <v>0</v>
      </c>
      <c r="AA153" s="1100">
        <f>VLOOKUP(AA$1,'cost per tipologia de sòl'!$A$2:$D$37,4,FALSE)*'T50'!AA153</f>
        <v>0</v>
      </c>
      <c r="AB153" s="1100">
        <f>VLOOKUP(AB$1,'cost per tipologia de sòl'!$A$2:$D$37,4,FALSE)*'T50'!AB153</f>
        <v>107413.65</v>
      </c>
      <c r="AC153" s="1100">
        <f>VLOOKUP(AC$1,'cost per tipologia de sòl'!$A$2:$D$37,4,FALSE)*'T50'!AC153</f>
        <v>0</v>
      </c>
      <c r="AD153" s="1100">
        <f>VLOOKUP(AD$1,'cost per tipologia de sòl'!$A$2:$D$37,4,FALSE)*'T50'!AD153</f>
        <v>362012.69999999995</v>
      </c>
      <c r="AE153" s="1100">
        <f>VLOOKUP(AE$1,'cost per tipologia de sòl'!$A$2:$D$37,4,FALSE)*'T50'!AE153</f>
        <v>0</v>
      </c>
      <c r="AF153" s="1100">
        <f>VLOOKUP(AF$1,'cost per tipologia de sòl'!$A$2:$D$37,4,FALSE)*'T50'!AF153</f>
        <v>0</v>
      </c>
      <c r="AG153" s="1100">
        <f>VLOOKUP(AG$1,'cost per tipologia de sòl'!$A$2:$D$37,4,FALSE)*'T50'!AG153</f>
        <v>0</v>
      </c>
      <c r="AH153" s="1100">
        <f>VLOOKUP(AH$1,'cost per tipologia de sòl'!$A$2:$D$37,4,FALSE)*'T50'!AH153</f>
        <v>0</v>
      </c>
      <c r="AI153" s="1100">
        <f>VLOOKUP(AI$1,'cost per tipologia de sòl'!$A$2:$D$37,4,FALSE)*'T50'!AI153</f>
        <v>0</v>
      </c>
      <c r="AJ153" s="1100">
        <f t="shared" si="4"/>
        <v>810775.07599999988</v>
      </c>
      <c r="AK153" s="1098">
        <f t="shared" si="5"/>
        <v>0.24323252279999996</v>
      </c>
    </row>
    <row r="154" spans="1:37">
      <c r="A154" s="1099" t="s">
        <v>1682</v>
      </c>
      <c r="B154" s="1100">
        <f>VLOOKUP(B$1,'cost per tipologia de sòl'!$A$2:$D$37,4,FALSE)*'T50'!B154</f>
        <v>0</v>
      </c>
      <c r="C154" s="1100">
        <f>VLOOKUP(C$1,'cost per tipologia de sòl'!$A$2:$D$37,4,FALSE)*'T50'!C154</f>
        <v>0</v>
      </c>
      <c r="D154" s="1100">
        <f>VLOOKUP(D$1,'cost per tipologia de sòl'!$A$2:$D$37,4,FALSE)*'T50'!D154</f>
        <v>0</v>
      </c>
      <c r="E154" s="1100">
        <f>VLOOKUP(E$1,'cost per tipologia de sòl'!$A$2:$D$37,4,FALSE)*'T50'!E154</f>
        <v>0</v>
      </c>
      <c r="F154" s="1100">
        <f>VLOOKUP(F$1,'cost per tipologia de sòl'!$A$2:$D$37,4,FALSE)*'T50'!F154</f>
        <v>0</v>
      </c>
      <c r="G154" s="1100">
        <f>VLOOKUP(G$1,'cost per tipologia de sòl'!$A$2:$D$37,4,FALSE)*'T50'!G154</f>
        <v>0</v>
      </c>
      <c r="H154" s="1100">
        <f>VLOOKUP(H$1,'cost per tipologia de sòl'!$A$2:$D$37,4,FALSE)*'T50'!H154</f>
        <v>0</v>
      </c>
      <c r="I154" s="1100">
        <f>VLOOKUP(I$1,'cost per tipologia de sòl'!$A$2:$D$37,4,FALSE)*'T50'!I154</f>
        <v>0</v>
      </c>
      <c r="J154" s="1100">
        <f>VLOOKUP(J$1,'cost per tipologia de sòl'!$A$2:$D$37,4,FALSE)*'T50'!J154</f>
        <v>7979.0150000000003</v>
      </c>
      <c r="K154" s="1100">
        <f>VLOOKUP(K$1,'cost per tipologia de sòl'!$A$2:$D$37,4,FALSE)*'T50'!K154</f>
        <v>0</v>
      </c>
      <c r="L154" s="1100">
        <f>VLOOKUP(L$1,'cost per tipologia de sòl'!$A$2:$D$37,4,FALSE)*'T50'!L154</f>
        <v>0</v>
      </c>
      <c r="M154" s="1100">
        <f>VLOOKUP(M$1,'cost per tipologia de sòl'!$A$2:$D$37,4,FALSE)*'T50'!M154</f>
        <v>0</v>
      </c>
      <c r="N154" s="1100">
        <f>VLOOKUP(N$1,'cost per tipologia de sòl'!$A$2:$D$37,4,FALSE)*'T50'!N154</f>
        <v>0</v>
      </c>
      <c r="O154" s="1100">
        <f>VLOOKUP(O$1,'cost per tipologia de sòl'!$A$2:$D$37,4,FALSE)*'T50'!O154</f>
        <v>0</v>
      </c>
      <c r="P154" s="1100">
        <f>VLOOKUP(P$1,'cost per tipologia de sòl'!$A$2:$D$37,4,FALSE)*'T50'!P154</f>
        <v>0</v>
      </c>
      <c r="Q154" s="1100">
        <f>VLOOKUP(Q$1,'cost per tipologia de sòl'!$A$2:$D$37,4,FALSE)*'T50'!Q154</f>
        <v>0</v>
      </c>
      <c r="R154" s="1100">
        <f>VLOOKUP(R$1,'cost per tipologia de sòl'!$A$2:$D$37,4,FALSE)*'T50'!R154</f>
        <v>0</v>
      </c>
      <c r="S154" s="1100">
        <f>VLOOKUP(S$1,'cost per tipologia de sòl'!$A$2:$D$37,4,FALSE)*'T50'!S154</f>
        <v>0</v>
      </c>
      <c r="T154" s="1100">
        <f>VLOOKUP(T$1,'cost per tipologia de sòl'!$A$2:$D$37,4,FALSE)*'T50'!T154</f>
        <v>0</v>
      </c>
      <c r="U154" s="1100">
        <f>VLOOKUP(U$1,'cost per tipologia de sòl'!$A$2:$D$37,4,FALSE)*'T50'!U154</f>
        <v>0</v>
      </c>
      <c r="V154" s="1100">
        <f>VLOOKUP(V$1,'cost per tipologia de sòl'!$A$2:$D$37,4,FALSE)*'T50'!V154</f>
        <v>0</v>
      </c>
      <c r="W154" s="1100">
        <f>VLOOKUP(W$1,'cost per tipologia de sòl'!$A$2:$D$37,4,FALSE)*'T50'!W154</f>
        <v>0</v>
      </c>
      <c r="X154" s="1100">
        <f>VLOOKUP(X$1,'cost per tipologia de sòl'!$A$2:$D$37,4,FALSE)*'T50'!X154</f>
        <v>0</v>
      </c>
      <c r="Y154" s="1100">
        <f>VLOOKUP(Y$1,'cost per tipologia de sòl'!$A$2:$D$37,4,FALSE)*'T50'!Y154</f>
        <v>0</v>
      </c>
      <c r="Z154" s="1100">
        <f>VLOOKUP(Z$1,'cost per tipologia de sòl'!$A$2:$D$37,4,FALSE)*'T50'!Z154</f>
        <v>0</v>
      </c>
      <c r="AA154" s="1100">
        <f>VLOOKUP(AA$1,'cost per tipologia de sòl'!$A$2:$D$37,4,FALSE)*'T50'!AA154</f>
        <v>0</v>
      </c>
      <c r="AB154" s="1100">
        <f>VLOOKUP(AB$1,'cost per tipologia de sòl'!$A$2:$D$37,4,FALSE)*'T50'!AB154</f>
        <v>0</v>
      </c>
      <c r="AC154" s="1100">
        <f>VLOOKUP(AC$1,'cost per tipologia de sòl'!$A$2:$D$37,4,FALSE)*'T50'!AC154</f>
        <v>0</v>
      </c>
      <c r="AD154" s="1100">
        <f>VLOOKUP(AD$1,'cost per tipologia de sòl'!$A$2:$D$37,4,FALSE)*'T50'!AD154</f>
        <v>0</v>
      </c>
      <c r="AE154" s="1100">
        <f>VLOOKUP(AE$1,'cost per tipologia de sòl'!$A$2:$D$37,4,FALSE)*'T50'!AE154</f>
        <v>0</v>
      </c>
      <c r="AF154" s="1100">
        <f>VLOOKUP(AF$1,'cost per tipologia de sòl'!$A$2:$D$37,4,FALSE)*'T50'!AF154</f>
        <v>0</v>
      </c>
      <c r="AG154" s="1100">
        <f>VLOOKUP(AG$1,'cost per tipologia de sòl'!$A$2:$D$37,4,FALSE)*'T50'!AG154</f>
        <v>0</v>
      </c>
      <c r="AH154" s="1100">
        <f>VLOOKUP(AH$1,'cost per tipologia de sòl'!$A$2:$D$37,4,FALSE)*'T50'!AH154</f>
        <v>0</v>
      </c>
      <c r="AI154" s="1100">
        <f>VLOOKUP(AI$1,'cost per tipologia de sòl'!$A$2:$D$37,4,FALSE)*'T50'!AI154</f>
        <v>0</v>
      </c>
      <c r="AJ154" s="1100">
        <f t="shared" si="4"/>
        <v>7979.0150000000003</v>
      </c>
      <c r="AK154" s="1098">
        <f t="shared" si="5"/>
        <v>2.3937045000000001E-3</v>
      </c>
    </row>
    <row r="155" spans="1:37">
      <c r="A155" s="1099" t="s">
        <v>1684</v>
      </c>
      <c r="B155" s="1100">
        <f>VLOOKUP(B$1,'cost per tipologia de sòl'!$A$2:$D$37,4,FALSE)*'T50'!B155</f>
        <v>0</v>
      </c>
      <c r="C155" s="1100">
        <f>VLOOKUP(C$1,'cost per tipologia de sòl'!$A$2:$D$37,4,FALSE)*'T50'!C155</f>
        <v>0</v>
      </c>
      <c r="D155" s="1100">
        <f>VLOOKUP(D$1,'cost per tipologia de sòl'!$A$2:$D$37,4,FALSE)*'T50'!D155</f>
        <v>0</v>
      </c>
      <c r="E155" s="1100">
        <f>VLOOKUP(E$1,'cost per tipologia de sòl'!$A$2:$D$37,4,FALSE)*'T50'!E155</f>
        <v>0</v>
      </c>
      <c r="F155" s="1100">
        <f>VLOOKUP(F$1,'cost per tipologia de sòl'!$A$2:$D$37,4,FALSE)*'T50'!F155</f>
        <v>0</v>
      </c>
      <c r="G155" s="1100">
        <f>VLOOKUP(G$1,'cost per tipologia de sòl'!$A$2:$D$37,4,FALSE)*'T50'!G155</f>
        <v>0</v>
      </c>
      <c r="H155" s="1100">
        <f>VLOOKUP(H$1,'cost per tipologia de sòl'!$A$2:$D$37,4,FALSE)*'T50'!H155</f>
        <v>0</v>
      </c>
      <c r="I155" s="1100">
        <f>VLOOKUP(I$1,'cost per tipologia de sòl'!$A$2:$D$37,4,FALSE)*'T50'!I155</f>
        <v>0</v>
      </c>
      <c r="J155" s="1100">
        <f>VLOOKUP(J$1,'cost per tipologia de sòl'!$A$2:$D$37,4,FALSE)*'T50'!J155</f>
        <v>26554.022000000001</v>
      </c>
      <c r="K155" s="1100">
        <f>VLOOKUP(K$1,'cost per tipologia de sòl'!$A$2:$D$37,4,FALSE)*'T50'!K155</f>
        <v>0</v>
      </c>
      <c r="L155" s="1100">
        <f>VLOOKUP(L$1,'cost per tipologia de sòl'!$A$2:$D$37,4,FALSE)*'T50'!L155</f>
        <v>0</v>
      </c>
      <c r="M155" s="1100">
        <f>VLOOKUP(M$1,'cost per tipologia de sòl'!$A$2:$D$37,4,FALSE)*'T50'!M155</f>
        <v>0</v>
      </c>
      <c r="N155" s="1100">
        <f>VLOOKUP(N$1,'cost per tipologia de sòl'!$A$2:$D$37,4,FALSE)*'T50'!N155</f>
        <v>0</v>
      </c>
      <c r="O155" s="1100">
        <f>VLOOKUP(O$1,'cost per tipologia de sòl'!$A$2:$D$37,4,FALSE)*'T50'!O155</f>
        <v>0</v>
      </c>
      <c r="P155" s="1100">
        <f>VLOOKUP(P$1,'cost per tipologia de sòl'!$A$2:$D$37,4,FALSE)*'T50'!P155</f>
        <v>0</v>
      </c>
      <c r="Q155" s="1100">
        <f>VLOOKUP(Q$1,'cost per tipologia de sòl'!$A$2:$D$37,4,FALSE)*'T50'!Q155</f>
        <v>0</v>
      </c>
      <c r="R155" s="1100">
        <f>VLOOKUP(R$1,'cost per tipologia de sòl'!$A$2:$D$37,4,FALSE)*'T50'!R155</f>
        <v>0</v>
      </c>
      <c r="S155" s="1100">
        <f>VLOOKUP(S$1,'cost per tipologia de sòl'!$A$2:$D$37,4,FALSE)*'T50'!S155</f>
        <v>0</v>
      </c>
      <c r="T155" s="1100">
        <f>VLOOKUP(T$1,'cost per tipologia de sòl'!$A$2:$D$37,4,FALSE)*'T50'!T155</f>
        <v>23714.352999999999</v>
      </c>
      <c r="U155" s="1100">
        <f>VLOOKUP(U$1,'cost per tipologia de sòl'!$A$2:$D$37,4,FALSE)*'T50'!U155</f>
        <v>0</v>
      </c>
      <c r="V155" s="1100">
        <f>VLOOKUP(V$1,'cost per tipologia de sòl'!$A$2:$D$37,4,FALSE)*'T50'!V155</f>
        <v>0</v>
      </c>
      <c r="W155" s="1100">
        <f>VLOOKUP(W$1,'cost per tipologia de sòl'!$A$2:$D$37,4,FALSE)*'T50'!W155</f>
        <v>0</v>
      </c>
      <c r="X155" s="1100">
        <f>VLOOKUP(X$1,'cost per tipologia de sòl'!$A$2:$D$37,4,FALSE)*'T50'!X155</f>
        <v>0</v>
      </c>
      <c r="Y155" s="1100">
        <f>VLOOKUP(Y$1,'cost per tipologia de sòl'!$A$2:$D$37,4,FALSE)*'T50'!Y155</f>
        <v>0</v>
      </c>
      <c r="Z155" s="1100">
        <f>VLOOKUP(Z$1,'cost per tipologia de sòl'!$A$2:$D$37,4,FALSE)*'T50'!Z155</f>
        <v>0</v>
      </c>
      <c r="AA155" s="1100">
        <f>VLOOKUP(AA$1,'cost per tipologia de sòl'!$A$2:$D$37,4,FALSE)*'T50'!AA155</f>
        <v>0</v>
      </c>
      <c r="AB155" s="1100">
        <f>VLOOKUP(AB$1,'cost per tipologia de sòl'!$A$2:$D$37,4,FALSE)*'T50'!AB155</f>
        <v>0</v>
      </c>
      <c r="AC155" s="1100">
        <f>VLOOKUP(AC$1,'cost per tipologia de sòl'!$A$2:$D$37,4,FALSE)*'T50'!AC155</f>
        <v>0</v>
      </c>
      <c r="AD155" s="1100">
        <f>VLOOKUP(AD$1,'cost per tipologia de sòl'!$A$2:$D$37,4,FALSE)*'T50'!AD155</f>
        <v>62952.7</v>
      </c>
      <c r="AE155" s="1100">
        <f>VLOOKUP(AE$1,'cost per tipologia de sòl'!$A$2:$D$37,4,FALSE)*'T50'!AE155</f>
        <v>0</v>
      </c>
      <c r="AF155" s="1100">
        <f>VLOOKUP(AF$1,'cost per tipologia de sòl'!$A$2:$D$37,4,FALSE)*'T50'!AF155</f>
        <v>0</v>
      </c>
      <c r="AG155" s="1100">
        <f>VLOOKUP(AG$1,'cost per tipologia de sòl'!$A$2:$D$37,4,FALSE)*'T50'!AG155</f>
        <v>0</v>
      </c>
      <c r="AH155" s="1100">
        <f>VLOOKUP(AH$1,'cost per tipologia de sòl'!$A$2:$D$37,4,FALSE)*'T50'!AH155</f>
        <v>0</v>
      </c>
      <c r="AI155" s="1100">
        <f>VLOOKUP(AI$1,'cost per tipologia de sòl'!$A$2:$D$37,4,FALSE)*'T50'!AI155</f>
        <v>0</v>
      </c>
      <c r="AJ155" s="1100">
        <f t="shared" si="4"/>
        <v>113221.075</v>
      </c>
      <c r="AK155" s="1098">
        <f t="shared" si="5"/>
        <v>3.39663225E-2</v>
      </c>
    </row>
    <row r="156" spans="1:37">
      <c r="A156" s="1099" t="s">
        <v>1686</v>
      </c>
      <c r="B156" s="1100">
        <f>VLOOKUP(B$1,'cost per tipologia de sòl'!$A$2:$D$37,4,FALSE)*'T50'!B156</f>
        <v>0</v>
      </c>
      <c r="C156" s="1100">
        <f>VLOOKUP(C$1,'cost per tipologia de sòl'!$A$2:$D$37,4,FALSE)*'T50'!C156</f>
        <v>0</v>
      </c>
      <c r="D156" s="1100">
        <f>VLOOKUP(D$1,'cost per tipologia de sòl'!$A$2:$D$37,4,FALSE)*'T50'!D156</f>
        <v>0</v>
      </c>
      <c r="E156" s="1100">
        <f>VLOOKUP(E$1,'cost per tipologia de sòl'!$A$2:$D$37,4,FALSE)*'T50'!E156</f>
        <v>0</v>
      </c>
      <c r="F156" s="1100">
        <f>VLOOKUP(F$1,'cost per tipologia de sòl'!$A$2:$D$37,4,FALSE)*'T50'!F156</f>
        <v>0</v>
      </c>
      <c r="G156" s="1100">
        <f>VLOOKUP(G$1,'cost per tipologia de sòl'!$A$2:$D$37,4,FALSE)*'T50'!G156</f>
        <v>0</v>
      </c>
      <c r="H156" s="1100">
        <f>VLOOKUP(H$1,'cost per tipologia de sòl'!$A$2:$D$37,4,FALSE)*'T50'!H156</f>
        <v>0</v>
      </c>
      <c r="I156" s="1100">
        <f>VLOOKUP(I$1,'cost per tipologia de sòl'!$A$2:$D$37,4,FALSE)*'T50'!I156</f>
        <v>0</v>
      </c>
      <c r="J156" s="1100">
        <f>VLOOKUP(J$1,'cost per tipologia de sòl'!$A$2:$D$37,4,FALSE)*'T50'!J156</f>
        <v>380383.80049999995</v>
      </c>
      <c r="K156" s="1100">
        <f>VLOOKUP(K$1,'cost per tipologia de sòl'!$A$2:$D$37,4,FALSE)*'T50'!K156</f>
        <v>0</v>
      </c>
      <c r="L156" s="1100">
        <f>VLOOKUP(L$1,'cost per tipologia de sòl'!$A$2:$D$37,4,FALSE)*'T50'!L156</f>
        <v>0</v>
      </c>
      <c r="M156" s="1100">
        <f>VLOOKUP(M$1,'cost per tipologia de sòl'!$A$2:$D$37,4,FALSE)*'T50'!M156</f>
        <v>0</v>
      </c>
      <c r="N156" s="1100">
        <f>VLOOKUP(N$1,'cost per tipologia de sòl'!$A$2:$D$37,4,FALSE)*'T50'!N156</f>
        <v>0</v>
      </c>
      <c r="O156" s="1100">
        <f>VLOOKUP(O$1,'cost per tipologia de sòl'!$A$2:$D$37,4,FALSE)*'T50'!O156</f>
        <v>0</v>
      </c>
      <c r="P156" s="1100">
        <f>VLOOKUP(P$1,'cost per tipologia de sòl'!$A$2:$D$37,4,FALSE)*'T50'!P156</f>
        <v>0</v>
      </c>
      <c r="Q156" s="1100">
        <f>VLOOKUP(Q$1,'cost per tipologia de sòl'!$A$2:$D$37,4,FALSE)*'T50'!Q156</f>
        <v>0</v>
      </c>
      <c r="R156" s="1100">
        <f>VLOOKUP(R$1,'cost per tipologia de sòl'!$A$2:$D$37,4,FALSE)*'T50'!R156</f>
        <v>0</v>
      </c>
      <c r="S156" s="1100">
        <f>VLOOKUP(S$1,'cost per tipologia de sòl'!$A$2:$D$37,4,FALSE)*'T50'!S156</f>
        <v>0</v>
      </c>
      <c r="T156" s="1100">
        <f>VLOOKUP(T$1,'cost per tipologia de sòl'!$A$2:$D$37,4,FALSE)*'T50'!T156</f>
        <v>0</v>
      </c>
      <c r="U156" s="1100">
        <f>VLOOKUP(U$1,'cost per tipologia de sòl'!$A$2:$D$37,4,FALSE)*'T50'!U156</f>
        <v>0</v>
      </c>
      <c r="V156" s="1100">
        <f>VLOOKUP(V$1,'cost per tipologia de sòl'!$A$2:$D$37,4,FALSE)*'T50'!V156</f>
        <v>0</v>
      </c>
      <c r="W156" s="1100">
        <f>VLOOKUP(W$1,'cost per tipologia de sòl'!$A$2:$D$37,4,FALSE)*'T50'!W156</f>
        <v>0</v>
      </c>
      <c r="X156" s="1100">
        <f>VLOOKUP(X$1,'cost per tipologia de sòl'!$A$2:$D$37,4,FALSE)*'T50'!X156</f>
        <v>0</v>
      </c>
      <c r="Y156" s="1100">
        <f>VLOOKUP(Y$1,'cost per tipologia de sòl'!$A$2:$D$37,4,FALSE)*'T50'!Y156</f>
        <v>0</v>
      </c>
      <c r="Z156" s="1100">
        <f>VLOOKUP(Z$1,'cost per tipologia de sòl'!$A$2:$D$37,4,FALSE)*'T50'!Z156</f>
        <v>0</v>
      </c>
      <c r="AA156" s="1100">
        <f>VLOOKUP(AA$1,'cost per tipologia de sòl'!$A$2:$D$37,4,FALSE)*'T50'!AA156</f>
        <v>4051.75</v>
      </c>
      <c r="AB156" s="1100">
        <f>VLOOKUP(AB$1,'cost per tipologia de sòl'!$A$2:$D$37,4,FALSE)*'T50'!AB156</f>
        <v>0</v>
      </c>
      <c r="AC156" s="1100">
        <f>VLOOKUP(AC$1,'cost per tipologia de sòl'!$A$2:$D$37,4,FALSE)*'T50'!AC156</f>
        <v>0</v>
      </c>
      <c r="AD156" s="1100">
        <f>VLOOKUP(AD$1,'cost per tipologia de sòl'!$A$2:$D$37,4,FALSE)*'T50'!AD156</f>
        <v>834230.14999999991</v>
      </c>
      <c r="AE156" s="1100">
        <f>VLOOKUP(AE$1,'cost per tipologia de sòl'!$A$2:$D$37,4,FALSE)*'T50'!AE156</f>
        <v>0</v>
      </c>
      <c r="AF156" s="1100">
        <f>VLOOKUP(AF$1,'cost per tipologia de sòl'!$A$2:$D$37,4,FALSE)*'T50'!AF156</f>
        <v>0</v>
      </c>
      <c r="AG156" s="1100">
        <f>VLOOKUP(AG$1,'cost per tipologia de sòl'!$A$2:$D$37,4,FALSE)*'T50'!AG156</f>
        <v>0</v>
      </c>
      <c r="AH156" s="1100">
        <f>VLOOKUP(AH$1,'cost per tipologia de sòl'!$A$2:$D$37,4,FALSE)*'T50'!AH156</f>
        <v>0</v>
      </c>
      <c r="AI156" s="1100">
        <f>VLOOKUP(AI$1,'cost per tipologia de sòl'!$A$2:$D$37,4,FALSE)*'T50'!AI156</f>
        <v>0</v>
      </c>
      <c r="AJ156" s="1100">
        <f t="shared" si="4"/>
        <v>1218665.7004999998</v>
      </c>
      <c r="AK156" s="1098">
        <f t="shared" si="5"/>
        <v>0.36559971014999992</v>
      </c>
    </row>
    <row r="157" spans="1:37">
      <c r="A157" s="1099" t="s">
        <v>1692</v>
      </c>
      <c r="B157" s="1100">
        <f>VLOOKUP(B$1,'cost per tipologia de sòl'!$A$2:$D$37,4,FALSE)*'T50'!B157</f>
        <v>0</v>
      </c>
      <c r="C157" s="1100">
        <f>VLOOKUP(C$1,'cost per tipologia de sòl'!$A$2:$D$37,4,FALSE)*'T50'!C157</f>
        <v>0</v>
      </c>
      <c r="D157" s="1100">
        <f>VLOOKUP(D$1,'cost per tipologia de sòl'!$A$2:$D$37,4,FALSE)*'T50'!D157</f>
        <v>0</v>
      </c>
      <c r="E157" s="1100">
        <f>VLOOKUP(E$1,'cost per tipologia de sòl'!$A$2:$D$37,4,FALSE)*'T50'!E157</f>
        <v>0</v>
      </c>
      <c r="F157" s="1100">
        <f>VLOOKUP(F$1,'cost per tipologia de sòl'!$A$2:$D$37,4,FALSE)*'T50'!F157</f>
        <v>0</v>
      </c>
      <c r="G157" s="1100">
        <f>VLOOKUP(G$1,'cost per tipologia de sòl'!$A$2:$D$37,4,FALSE)*'T50'!G157</f>
        <v>0</v>
      </c>
      <c r="H157" s="1100">
        <f>VLOOKUP(H$1,'cost per tipologia de sòl'!$A$2:$D$37,4,FALSE)*'T50'!H157</f>
        <v>0</v>
      </c>
      <c r="I157" s="1100">
        <f>VLOOKUP(I$1,'cost per tipologia de sòl'!$A$2:$D$37,4,FALSE)*'T50'!I157</f>
        <v>0</v>
      </c>
      <c r="J157" s="1100">
        <f>VLOOKUP(J$1,'cost per tipologia de sòl'!$A$2:$D$37,4,FALSE)*'T50'!J157</f>
        <v>142699.98050000001</v>
      </c>
      <c r="K157" s="1100">
        <f>VLOOKUP(K$1,'cost per tipologia de sòl'!$A$2:$D$37,4,FALSE)*'T50'!K157</f>
        <v>0</v>
      </c>
      <c r="L157" s="1100">
        <f>VLOOKUP(L$1,'cost per tipologia de sòl'!$A$2:$D$37,4,FALSE)*'T50'!L157</f>
        <v>10229.112000000001</v>
      </c>
      <c r="M157" s="1100">
        <f>VLOOKUP(M$1,'cost per tipologia de sòl'!$A$2:$D$37,4,FALSE)*'T50'!M157</f>
        <v>0</v>
      </c>
      <c r="N157" s="1100">
        <f>VLOOKUP(N$1,'cost per tipologia de sòl'!$A$2:$D$37,4,FALSE)*'T50'!N157</f>
        <v>0</v>
      </c>
      <c r="O157" s="1100">
        <f>VLOOKUP(O$1,'cost per tipologia de sòl'!$A$2:$D$37,4,FALSE)*'T50'!O157</f>
        <v>0</v>
      </c>
      <c r="P157" s="1100">
        <f>VLOOKUP(P$1,'cost per tipologia de sòl'!$A$2:$D$37,4,FALSE)*'T50'!P157</f>
        <v>333.392</v>
      </c>
      <c r="Q157" s="1100">
        <f>VLOOKUP(Q$1,'cost per tipologia de sòl'!$A$2:$D$37,4,FALSE)*'T50'!Q157</f>
        <v>0</v>
      </c>
      <c r="R157" s="1100">
        <f>VLOOKUP(R$1,'cost per tipologia de sòl'!$A$2:$D$37,4,FALSE)*'T50'!R157</f>
        <v>0</v>
      </c>
      <c r="S157" s="1100">
        <f>VLOOKUP(S$1,'cost per tipologia de sòl'!$A$2:$D$37,4,FALSE)*'T50'!S157</f>
        <v>0</v>
      </c>
      <c r="T157" s="1100">
        <f>VLOOKUP(T$1,'cost per tipologia de sòl'!$A$2:$D$37,4,FALSE)*'T50'!T157</f>
        <v>368926.36900000001</v>
      </c>
      <c r="U157" s="1100">
        <f>VLOOKUP(U$1,'cost per tipologia de sòl'!$A$2:$D$37,4,FALSE)*'T50'!U157</f>
        <v>0</v>
      </c>
      <c r="V157" s="1100">
        <f>VLOOKUP(V$1,'cost per tipologia de sòl'!$A$2:$D$37,4,FALSE)*'T50'!V157</f>
        <v>0</v>
      </c>
      <c r="W157" s="1100">
        <f>VLOOKUP(W$1,'cost per tipologia de sòl'!$A$2:$D$37,4,FALSE)*'T50'!W157</f>
        <v>0</v>
      </c>
      <c r="X157" s="1100">
        <f>VLOOKUP(X$1,'cost per tipologia de sòl'!$A$2:$D$37,4,FALSE)*'T50'!X157</f>
        <v>0</v>
      </c>
      <c r="Y157" s="1100">
        <f>VLOOKUP(Y$1,'cost per tipologia de sòl'!$A$2:$D$37,4,FALSE)*'T50'!Y157</f>
        <v>0</v>
      </c>
      <c r="Z157" s="1100">
        <f>VLOOKUP(Z$1,'cost per tipologia de sòl'!$A$2:$D$37,4,FALSE)*'T50'!Z157</f>
        <v>284587.94799999997</v>
      </c>
      <c r="AA157" s="1100">
        <f>VLOOKUP(AA$1,'cost per tipologia de sòl'!$A$2:$D$37,4,FALSE)*'T50'!AA157</f>
        <v>0</v>
      </c>
      <c r="AB157" s="1100">
        <f>VLOOKUP(AB$1,'cost per tipologia de sòl'!$A$2:$D$37,4,FALSE)*'T50'!AB157</f>
        <v>0</v>
      </c>
      <c r="AC157" s="1100">
        <f>VLOOKUP(AC$1,'cost per tipologia de sòl'!$A$2:$D$37,4,FALSE)*'T50'!AC157</f>
        <v>290518.55</v>
      </c>
      <c r="AD157" s="1100">
        <f>VLOOKUP(AD$1,'cost per tipologia de sòl'!$A$2:$D$37,4,FALSE)*'T50'!AD157</f>
        <v>23588.5</v>
      </c>
      <c r="AE157" s="1100">
        <f>VLOOKUP(AE$1,'cost per tipologia de sòl'!$A$2:$D$37,4,FALSE)*'T50'!AE157</f>
        <v>0</v>
      </c>
      <c r="AF157" s="1100">
        <f>VLOOKUP(AF$1,'cost per tipologia de sòl'!$A$2:$D$37,4,FALSE)*'T50'!AF157</f>
        <v>0</v>
      </c>
      <c r="AG157" s="1100">
        <f>VLOOKUP(AG$1,'cost per tipologia de sòl'!$A$2:$D$37,4,FALSE)*'T50'!AG157</f>
        <v>0</v>
      </c>
      <c r="AH157" s="1100">
        <f>VLOOKUP(AH$1,'cost per tipologia de sòl'!$A$2:$D$37,4,FALSE)*'T50'!AH157</f>
        <v>0</v>
      </c>
      <c r="AI157" s="1100">
        <f>VLOOKUP(AI$1,'cost per tipologia de sòl'!$A$2:$D$37,4,FALSE)*'T50'!AI157</f>
        <v>0</v>
      </c>
      <c r="AJ157" s="1100">
        <f t="shared" si="4"/>
        <v>1120883.8514999999</v>
      </c>
      <c r="AK157" s="1098">
        <f t="shared" si="5"/>
        <v>0.33626515544999996</v>
      </c>
    </row>
    <row r="158" spans="1:37">
      <c r="A158" s="1099" t="s">
        <v>1697</v>
      </c>
      <c r="B158" s="1100">
        <f>VLOOKUP(B$1,'cost per tipologia de sòl'!$A$2:$D$37,4,FALSE)*'T50'!B158</f>
        <v>0</v>
      </c>
      <c r="C158" s="1100">
        <f>VLOOKUP(C$1,'cost per tipologia de sòl'!$A$2:$D$37,4,FALSE)*'T50'!C158</f>
        <v>0</v>
      </c>
      <c r="D158" s="1100">
        <f>VLOOKUP(D$1,'cost per tipologia de sòl'!$A$2:$D$37,4,FALSE)*'T50'!D158</f>
        <v>0</v>
      </c>
      <c r="E158" s="1100">
        <f>VLOOKUP(E$1,'cost per tipologia de sòl'!$A$2:$D$37,4,FALSE)*'T50'!E158</f>
        <v>0</v>
      </c>
      <c r="F158" s="1100">
        <f>VLOOKUP(F$1,'cost per tipologia de sòl'!$A$2:$D$37,4,FALSE)*'T50'!F158</f>
        <v>0</v>
      </c>
      <c r="G158" s="1100">
        <f>VLOOKUP(G$1,'cost per tipologia de sòl'!$A$2:$D$37,4,FALSE)*'T50'!G158</f>
        <v>0</v>
      </c>
      <c r="H158" s="1100">
        <f>VLOOKUP(H$1,'cost per tipologia de sòl'!$A$2:$D$37,4,FALSE)*'T50'!H158</f>
        <v>0</v>
      </c>
      <c r="I158" s="1100">
        <f>VLOOKUP(I$1,'cost per tipologia de sòl'!$A$2:$D$37,4,FALSE)*'T50'!I158</f>
        <v>0</v>
      </c>
      <c r="J158" s="1100">
        <f>VLOOKUP(J$1,'cost per tipologia de sòl'!$A$2:$D$37,4,FALSE)*'T50'!J158</f>
        <v>7221.7805000000008</v>
      </c>
      <c r="K158" s="1100">
        <f>VLOOKUP(K$1,'cost per tipologia de sòl'!$A$2:$D$37,4,FALSE)*'T50'!K158</f>
        <v>0</v>
      </c>
      <c r="L158" s="1100">
        <f>VLOOKUP(L$1,'cost per tipologia de sòl'!$A$2:$D$37,4,FALSE)*'T50'!L158</f>
        <v>75001.743000000002</v>
      </c>
      <c r="M158" s="1100">
        <f>VLOOKUP(M$1,'cost per tipologia de sòl'!$A$2:$D$37,4,FALSE)*'T50'!M158</f>
        <v>0</v>
      </c>
      <c r="N158" s="1100">
        <f>VLOOKUP(N$1,'cost per tipologia de sòl'!$A$2:$D$37,4,FALSE)*'T50'!N158</f>
        <v>0</v>
      </c>
      <c r="O158" s="1100">
        <f>VLOOKUP(O$1,'cost per tipologia de sòl'!$A$2:$D$37,4,FALSE)*'T50'!O158</f>
        <v>0</v>
      </c>
      <c r="P158" s="1100">
        <f>VLOOKUP(P$1,'cost per tipologia de sòl'!$A$2:$D$37,4,FALSE)*'T50'!P158</f>
        <v>0</v>
      </c>
      <c r="Q158" s="1100">
        <f>VLOOKUP(Q$1,'cost per tipologia de sòl'!$A$2:$D$37,4,FALSE)*'T50'!Q158</f>
        <v>0</v>
      </c>
      <c r="R158" s="1100">
        <f>VLOOKUP(R$1,'cost per tipologia de sòl'!$A$2:$D$37,4,FALSE)*'T50'!R158</f>
        <v>0</v>
      </c>
      <c r="S158" s="1100">
        <f>VLOOKUP(S$1,'cost per tipologia de sòl'!$A$2:$D$37,4,FALSE)*'T50'!S158</f>
        <v>0</v>
      </c>
      <c r="T158" s="1100">
        <f>VLOOKUP(T$1,'cost per tipologia de sòl'!$A$2:$D$37,4,FALSE)*'T50'!T158</f>
        <v>2906421.7889999999</v>
      </c>
      <c r="U158" s="1100">
        <f>VLOOKUP(U$1,'cost per tipologia de sòl'!$A$2:$D$37,4,FALSE)*'T50'!U158</f>
        <v>0</v>
      </c>
      <c r="V158" s="1100">
        <f>VLOOKUP(V$1,'cost per tipologia de sòl'!$A$2:$D$37,4,FALSE)*'T50'!V158</f>
        <v>0</v>
      </c>
      <c r="W158" s="1100">
        <f>VLOOKUP(W$1,'cost per tipologia de sòl'!$A$2:$D$37,4,FALSE)*'T50'!W158</f>
        <v>0</v>
      </c>
      <c r="X158" s="1100">
        <f>VLOOKUP(X$1,'cost per tipologia de sòl'!$A$2:$D$37,4,FALSE)*'T50'!X158</f>
        <v>0</v>
      </c>
      <c r="Y158" s="1100">
        <f>VLOOKUP(Y$1,'cost per tipologia de sòl'!$A$2:$D$37,4,FALSE)*'T50'!Y158</f>
        <v>0</v>
      </c>
      <c r="Z158" s="1100">
        <f>VLOOKUP(Z$1,'cost per tipologia de sòl'!$A$2:$D$37,4,FALSE)*'T50'!Z158</f>
        <v>0</v>
      </c>
      <c r="AA158" s="1100">
        <f>VLOOKUP(AA$1,'cost per tipologia de sòl'!$A$2:$D$37,4,FALSE)*'T50'!AA158</f>
        <v>122380.9</v>
      </c>
      <c r="AB158" s="1100">
        <f>VLOOKUP(AB$1,'cost per tipologia de sòl'!$A$2:$D$37,4,FALSE)*'T50'!AB158</f>
        <v>0</v>
      </c>
      <c r="AC158" s="1100">
        <f>VLOOKUP(AC$1,'cost per tipologia de sòl'!$A$2:$D$37,4,FALSE)*'T50'!AC158</f>
        <v>0</v>
      </c>
      <c r="AD158" s="1100">
        <f>VLOOKUP(AD$1,'cost per tipologia de sòl'!$A$2:$D$37,4,FALSE)*'T50'!AD158</f>
        <v>0</v>
      </c>
      <c r="AE158" s="1100">
        <f>VLOOKUP(AE$1,'cost per tipologia de sòl'!$A$2:$D$37,4,FALSE)*'T50'!AE158</f>
        <v>0</v>
      </c>
      <c r="AF158" s="1100">
        <f>VLOOKUP(AF$1,'cost per tipologia de sòl'!$A$2:$D$37,4,FALSE)*'T50'!AF158</f>
        <v>0</v>
      </c>
      <c r="AG158" s="1100">
        <f>VLOOKUP(AG$1,'cost per tipologia de sòl'!$A$2:$D$37,4,FALSE)*'T50'!AG158</f>
        <v>0</v>
      </c>
      <c r="AH158" s="1100">
        <f>VLOOKUP(AH$1,'cost per tipologia de sòl'!$A$2:$D$37,4,FALSE)*'T50'!AH158</f>
        <v>0</v>
      </c>
      <c r="AI158" s="1100">
        <f>VLOOKUP(AI$1,'cost per tipologia de sòl'!$A$2:$D$37,4,FALSE)*'T50'!AI158</f>
        <v>0</v>
      </c>
      <c r="AJ158" s="1100">
        <f t="shared" si="4"/>
        <v>3111026.2124999999</v>
      </c>
      <c r="AK158" s="1098">
        <f t="shared" si="5"/>
        <v>0.93330786374999997</v>
      </c>
    </row>
    <row r="159" spans="1:37">
      <c r="A159" s="1099" t="s">
        <v>815</v>
      </c>
      <c r="B159" s="1100">
        <f>VLOOKUP(B$1,'cost per tipologia de sòl'!$A$2:$D$37,4,FALSE)*'T50'!B159</f>
        <v>0</v>
      </c>
      <c r="C159" s="1100">
        <f>VLOOKUP(C$1,'cost per tipologia de sòl'!$A$2:$D$37,4,FALSE)*'T50'!C159</f>
        <v>0</v>
      </c>
      <c r="D159" s="1100">
        <f>VLOOKUP(D$1,'cost per tipologia de sòl'!$A$2:$D$37,4,FALSE)*'T50'!D159</f>
        <v>0</v>
      </c>
      <c r="E159" s="1100">
        <f>VLOOKUP(E$1,'cost per tipologia de sòl'!$A$2:$D$37,4,FALSE)*'T50'!E159</f>
        <v>0</v>
      </c>
      <c r="F159" s="1100">
        <f>VLOOKUP(F$1,'cost per tipologia de sòl'!$A$2:$D$37,4,FALSE)*'T50'!F159</f>
        <v>0</v>
      </c>
      <c r="G159" s="1100">
        <f>VLOOKUP(G$1,'cost per tipologia de sòl'!$A$2:$D$37,4,FALSE)*'T50'!G159</f>
        <v>0</v>
      </c>
      <c r="H159" s="1100">
        <f>VLOOKUP(H$1,'cost per tipologia de sòl'!$A$2:$D$37,4,FALSE)*'T50'!H159</f>
        <v>0</v>
      </c>
      <c r="I159" s="1100">
        <f>VLOOKUP(I$1,'cost per tipologia de sòl'!$A$2:$D$37,4,FALSE)*'T50'!I159</f>
        <v>0</v>
      </c>
      <c r="J159" s="1100">
        <f>VLOOKUP(J$1,'cost per tipologia de sòl'!$A$2:$D$37,4,FALSE)*'T50'!J159</f>
        <v>12.738</v>
      </c>
      <c r="K159" s="1100">
        <f>VLOOKUP(K$1,'cost per tipologia de sòl'!$A$2:$D$37,4,FALSE)*'T50'!K159</f>
        <v>0</v>
      </c>
      <c r="L159" s="1100">
        <f>VLOOKUP(L$1,'cost per tipologia de sòl'!$A$2:$D$37,4,FALSE)*'T50'!L159</f>
        <v>0</v>
      </c>
      <c r="M159" s="1100">
        <f>VLOOKUP(M$1,'cost per tipologia de sòl'!$A$2:$D$37,4,FALSE)*'T50'!M159</f>
        <v>2267008.784</v>
      </c>
      <c r="N159" s="1100">
        <f>VLOOKUP(N$1,'cost per tipologia de sòl'!$A$2:$D$37,4,FALSE)*'T50'!N159</f>
        <v>420093.21600000001</v>
      </c>
      <c r="O159" s="1100">
        <f>VLOOKUP(O$1,'cost per tipologia de sòl'!$A$2:$D$37,4,FALSE)*'T50'!O159</f>
        <v>0</v>
      </c>
      <c r="P159" s="1100">
        <f>VLOOKUP(P$1,'cost per tipologia de sòl'!$A$2:$D$37,4,FALSE)*'T50'!P159</f>
        <v>620755.53599999996</v>
      </c>
      <c r="Q159" s="1100">
        <f>VLOOKUP(Q$1,'cost per tipologia de sòl'!$A$2:$D$37,4,FALSE)*'T50'!Q159</f>
        <v>0</v>
      </c>
      <c r="R159" s="1100">
        <f>VLOOKUP(R$1,'cost per tipologia de sòl'!$A$2:$D$37,4,FALSE)*'T50'!R159</f>
        <v>0</v>
      </c>
      <c r="S159" s="1100">
        <f>VLOOKUP(S$1,'cost per tipologia de sòl'!$A$2:$D$37,4,FALSE)*'T50'!S159</f>
        <v>2423158.4159999997</v>
      </c>
      <c r="T159" s="1100">
        <f>VLOOKUP(T$1,'cost per tipologia de sòl'!$A$2:$D$37,4,FALSE)*'T50'!T159</f>
        <v>17737645.868000001</v>
      </c>
      <c r="U159" s="1100">
        <f>VLOOKUP(U$1,'cost per tipologia de sòl'!$A$2:$D$37,4,FALSE)*'T50'!U159</f>
        <v>648711</v>
      </c>
      <c r="V159" s="1100">
        <f>VLOOKUP(V$1,'cost per tipologia de sòl'!$A$2:$D$37,4,FALSE)*'T50'!V159</f>
        <v>0</v>
      </c>
      <c r="W159" s="1100">
        <f>VLOOKUP(W$1,'cost per tipologia de sòl'!$A$2:$D$37,4,FALSE)*'T50'!W159</f>
        <v>0</v>
      </c>
      <c r="X159" s="1100">
        <f>VLOOKUP(X$1,'cost per tipologia de sòl'!$A$2:$D$37,4,FALSE)*'T50'!X159</f>
        <v>0</v>
      </c>
      <c r="Y159" s="1100">
        <f>VLOOKUP(Y$1,'cost per tipologia de sòl'!$A$2:$D$37,4,FALSE)*'T50'!Y159</f>
        <v>0</v>
      </c>
      <c r="Z159" s="1100">
        <f>VLOOKUP(Z$1,'cost per tipologia de sòl'!$A$2:$D$37,4,FALSE)*'T50'!Z159</f>
        <v>0</v>
      </c>
      <c r="AA159" s="1100">
        <f>VLOOKUP(AA$1,'cost per tipologia de sòl'!$A$2:$D$37,4,FALSE)*'T50'!AA159</f>
        <v>0</v>
      </c>
      <c r="AB159" s="1100">
        <f>VLOOKUP(AB$1,'cost per tipologia de sòl'!$A$2:$D$37,4,FALSE)*'T50'!AB159</f>
        <v>1147218.1000000001</v>
      </c>
      <c r="AC159" s="1100">
        <f>VLOOKUP(AC$1,'cost per tipologia de sòl'!$A$2:$D$37,4,FALSE)*'T50'!AC159</f>
        <v>19048299.900000002</v>
      </c>
      <c r="AD159" s="1100">
        <f>VLOOKUP(AD$1,'cost per tipologia de sòl'!$A$2:$D$37,4,FALSE)*'T50'!AD159</f>
        <v>29075105.299999997</v>
      </c>
      <c r="AE159" s="1100">
        <f>VLOOKUP(AE$1,'cost per tipologia de sòl'!$A$2:$D$37,4,FALSE)*'T50'!AE159</f>
        <v>0</v>
      </c>
      <c r="AF159" s="1100">
        <f>VLOOKUP(AF$1,'cost per tipologia de sòl'!$A$2:$D$37,4,FALSE)*'T50'!AF159</f>
        <v>0</v>
      </c>
      <c r="AG159" s="1100">
        <f>VLOOKUP(AG$1,'cost per tipologia de sòl'!$A$2:$D$37,4,FALSE)*'T50'!AG159</f>
        <v>0</v>
      </c>
      <c r="AH159" s="1100">
        <f>VLOOKUP(AH$1,'cost per tipologia de sòl'!$A$2:$D$37,4,FALSE)*'T50'!AH159</f>
        <v>0</v>
      </c>
      <c r="AI159" s="1100">
        <f>VLOOKUP(AI$1,'cost per tipologia de sòl'!$A$2:$D$37,4,FALSE)*'T50'!AI159</f>
        <v>0</v>
      </c>
      <c r="AJ159" s="1100">
        <f t="shared" si="4"/>
        <v>73388008.857999995</v>
      </c>
      <c r="AK159" s="1098">
        <f t="shared" si="5"/>
        <v>22.016402657399997</v>
      </c>
    </row>
    <row r="160" spans="1:37">
      <c r="A160" s="1099" t="s">
        <v>357</v>
      </c>
      <c r="B160" s="1100">
        <f>VLOOKUP(B$1,'cost per tipologia de sòl'!$A$2:$D$37,4,FALSE)*'T50'!B160</f>
        <v>0</v>
      </c>
      <c r="C160" s="1100">
        <f>VLOOKUP(C$1,'cost per tipologia de sòl'!$A$2:$D$37,4,FALSE)*'T50'!C160</f>
        <v>0</v>
      </c>
      <c r="D160" s="1100">
        <f>VLOOKUP(D$1,'cost per tipologia de sòl'!$A$2:$D$37,4,FALSE)*'T50'!D160</f>
        <v>0</v>
      </c>
      <c r="E160" s="1100">
        <f>VLOOKUP(E$1,'cost per tipologia de sòl'!$A$2:$D$37,4,FALSE)*'T50'!E160</f>
        <v>0</v>
      </c>
      <c r="F160" s="1100">
        <f>VLOOKUP(F$1,'cost per tipologia de sòl'!$A$2:$D$37,4,FALSE)*'T50'!F160</f>
        <v>0</v>
      </c>
      <c r="G160" s="1100">
        <f>VLOOKUP(G$1,'cost per tipologia de sòl'!$A$2:$D$37,4,FALSE)*'T50'!G160</f>
        <v>0</v>
      </c>
      <c r="H160" s="1100">
        <f>VLOOKUP(H$1,'cost per tipologia de sòl'!$A$2:$D$37,4,FALSE)*'T50'!H160</f>
        <v>0</v>
      </c>
      <c r="I160" s="1100">
        <f>VLOOKUP(I$1,'cost per tipologia de sòl'!$A$2:$D$37,4,FALSE)*'T50'!I160</f>
        <v>0</v>
      </c>
      <c r="J160" s="1100">
        <f>VLOOKUP(J$1,'cost per tipologia de sòl'!$A$2:$D$37,4,FALSE)*'T50'!J160</f>
        <v>0</v>
      </c>
      <c r="K160" s="1100">
        <f>VLOOKUP(K$1,'cost per tipologia de sòl'!$A$2:$D$37,4,FALSE)*'T50'!K160</f>
        <v>0</v>
      </c>
      <c r="L160" s="1100">
        <f>VLOOKUP(L$1,'cost per tipologia de sòl'!$A$2:$D$37,4,FALSE)*'T50'!L160</f>
        <v>0</v>
      </c>
      <c r="M160" s="1100">
        <f>VLOOKUP(M$1,'cost per tipologia de sòl'!$A$2:$D$37,4,FALSE)*'T50'!M160</f>
        <v>0</v>
      </c>
      <c r="N160" s="1100">
        <f>VLOOKUP(N$1,'cost per tipologia de sòl'!$A$2:$D$37,4,FALSE)*'T50'!N160</f>
        <v>0</v>
      </c>
      <c r="O160" s="1100">
        <f>VLOOKUP(O$1,'cost per tipologia de sòl'!$A$2:$D$37,4,FALSE)*'T50'!O160</f>
        <v>0</v>
      </c>
      <c r="P160" s="1100">
        <f>VLOOKUP(P$1,'cost per tipologia de sòl'!$A$2:$D$37,4,FALSE)*'T50'!P160</f>
        <v>0</v>
      </c>
      <c r="Q160" s="1100">
        <f>VLOOKUP(Q$1,'cost per tipologia de sòl'!$A$2:$D$37,4,FALSE)*'T50'!Q160</f>
        <v>2384292072</v>
      </c>
      <c r="R160" s="1100">
        <f>VLOOKUP(R$1,'cost per tipologia de sòl'!$A$2:$D$37,4,FALSE)*'T50'!R160</f>
        <v>0</v>
      </c>
      <c r="S160" s="1100">
        <f>VLOOKUP(S$1,'cost per tipologia de sòl'!$A$2:$D$37,4,FALSE)*'T50'!S160</f>
        <v>292809808.36800003</v>
      </c>
      <c r="T160" s="1100">
        <f>VLOOKUP(T$1,'cost per tipologia de sòl'!$A$2:$D$37,4,FALSE)*'T50'!T160</f>
        <v>300918666.67299998</v>
      </c>
      <c r="U160" s="1100">
        <f>VLOOKUP(U$1,'cost per tipologia de sòl'!$A$2:$D$37,4,FALSE)*'T50'!U160</f>
        <v>1305130.05</v>
      </c>
      <c r="V160" s="1100">
        <f>VLOOKUP(V$1,'cost per tipologia de sòl'!$A$2:$D$37,4,FALSE)*'T50'!V160</f>
        <v>0</v>
      </c>
      <c r="W160" s="1100">
        <f>VLOOKUP(W$1,'cost per tipologia de sòl'!$A$2:$D$37,4,FALSE)*'T50'!W160</f>
        <v>0</v>
      </c>
      <c r="X160" s="1100">
        <f>VLOOKUP(X$1,'cost per tipologia de sòl'!$A$2:$D$37,4,FALSE)*'T50'!X160</f>
        <v>0</v>
      </c>
      <c r="Y160" s="1100">
        <f>VLOOKUP(Y$1,'cost per tipologia de sòl'!$A$2:$D$37,4,FALSE)*'T50'!Y160</f>
        <v>0</v>
      </c>
      <c r="Z160" s="1100">
        <f>VLOOKUP(Z$1,'cost per tipologia de sòl'!$A$2:$D$37,4,FALSE)*'T50'!Z160</f>
        <v>29009132.585999999</v>
      </c>
      <c r="AA160" s="1100">
        <f>VLOOKUP(AA$1,'cost per tipologia de sòl'!$A$2:$D$37,4,FALSE)*'T50'!AA160</f>
        <v>0</v>
      </c>
      <c r="AB160" s="1100">
        <f>VLOOKUP(AB$1,'cost per tipologia de sòl'!$A$2:$D$37,4,FALSE)*'T50'!AB160</f>
        <v>23944093.550000001</v>
      </c>
      <c r="AC160" s="1100">
        <f>VLOOKUP(AC$1,'cost per tipologia de sòl'!$A$2:$D$37,4,FALSE)*'T50'!AC160</f>
        <v>0</v>
      </c>
      <c r="AD160" s="1100">
        <f>VLOOKUP(AD$1,'cost per tipologia de sòl'!$A$2:$D$37,4,FALSE)*'T50'!AD160</f>
        <v>115603415.7</v>
      </c>
      <c r="AE160" s="1100">
        <f>VLOOKUP(AE$1,'cost per tipologia de sòl'!$A$2:$D$37,4,FALSE)*'T50'!AE160</f>
        <v>0</v>
      </c>
      <c r="AF160" s="1100">
        <f>VLOOKUP(AF$1,'cost per tipologia de sòl'!$A$2:$D$37,4,FALSE)*'T50'!AF160</f>
        <v>0</v>
      </c>
      <c r="AG160" s="1100">
        <f>VLOOKUP(AG$1,'cost per tipologia de sòl'!$A$2:$D$37,4,FALSE)*'T50'!AG160</f>
        <v>0</v>
      </c>
      <c r="AH160" s="1100">
        <f>VLOOKUP(AH$1,'cost per tipologia de sòl'!$A$2:$D$37,4,FALSE)*'T50'!AH160</f>
        <v>0</v>
      </c>
      <c r="AI160" s="1100">
        <f>VLOOKUP(AI$1,'cost per tipologia de sòl'!$A$2:$D$37,4,FALSE)*'T50'!AI160</f>
        <v>0</v>
      </c>
      <c r="AJ160" s="1100">
        <f t="shared" si="4"/>
        <v>3147882318.927</v>
      </c>
      <c r="AK160" s="1098">
        <f t="shared" si="5"/>
        <v>944.36469567810002</v>
      </c>
    </row>
    <row r="161" spans="1:37">
      <c r="A161" s="1099" t="s">
        <v>1718</v>
      </c>
      <c r="B161" s="1100">
        <f>VLOOKUP(B$1,'cost per tipologia de sòl'!$A$2:$D$37,4,FALSE)*'T50'!B161</f>
        <v>7745483.0700000003</v>
      </c>
      <c r="C161" s="1100">
        <f>VLOOKUP(C$1,'cost per tipologia de sòl'!$A$2:$D$37,4,FALSE)*'T50'!C161</f>
        <v>0</v>
      </c>
      <c r="D161" s="1100">
        <f>VLOOKUP(D$1,'cost per tipologia de sòl'!$A$2:$D$37,4,FALSE)*'T50'!D161</f>
        <v>0</v>
      </c>
      <c r="E161" s="1100">
        <f>VLOOKUP(E$1,'cost per tipologia de sòl'!$A$2:$D$37,4,FALSE)*'T50'!E161</f>
        <v>0</v>
      </c>
      <c r="F161" s="1100">
        <f>VLOOKUP(F$1,'cost per tipologia de sòl'!$A$2:$D$37,4,FALSE)*'T50'!F161</f>
        <v>0</v>
      </c>
      <c r="G161" s="1100">
        <f>VLOOKUP(G$1,'cost per tipologia de sòl'!$A$2:$D$37,4,FALSE)*'T50'!G161</f>
        <v>0</v>
      </c>
      <c r="H161" s="1100">
        <f>VLOOKUP(H$1,'cost per tipologia de sòl'!$A$2:$D$37,4,FALSE)*'T50'!H161</f>
        <v>0</v>
      </c>
      <c r="I161" s="1100">
        <f>VLOOKUP(I$1,'cost per tipologia de sòl'!$A$2:$D$37,4,FALSE)*'T50'!I161</f>
        <v>0</v>
      </c>
      <c r="J161" s="1100">
        <f>VLOOKUP(J$1,'cost per tipologia de sòl'!$A$2:$D$37,4,FALSE)*'T50'!J161</f>
        <v>527754.33700000006</v>
      </c>
      <c r="K161" s="1100">
        <f>VLOOKUP(K$1,'cost per tipologia de sòl'!$A$2:$D$37,4,FALSE)*'T50'!K161</f>
        <v>0</v>
      </c>
      <c r="L161" s="1100">
        <f>VLOOKUP(L$1,'cost per tipologia de sòl'!$A$2:$D$37,4,FALSE)*'T50'!L161</f>
        <v>0</v>
      </c>
      <c r="M161" s="1100">
        <f>VLOOKUP(M$1,'cost per tipologia de sòl'!$A$2:$D$37,4,FALSE)*'T50'!M161</f>
        <v>0</v>
      </c>
      <c r="N161" s="1100">
        <f>VLOOKUP(N$1,'cost per tipologia de sòl'!$A$2:$D$37,4,FALSE)*'T50'!N161</f>
        <v>0</v>
      </c>
      <c r="O161" s="1100">
        <f>VLOOKUP(O$1,'cost per tipologia de sòl'!$A$2:$D$37,4,FALSE)*'T50'!O161</f>
        <v>0</v>
      </c>
      <c r="P161" s="1100">
        <f>VLOOKUP(P$1,'cost per tipologia de sòl'!$A$2:$D$37,4,FALSE)*'T50'!P161</f>
        <v>0</v>
      </c>
      <c r="Q161" s="1100">
        <f>VLOOKUP(Q$1,'cost per tipologia de sòl'!$A$2:$D$37,4,FALSE)*'T50'!Q161</f>
        <v>0</v>
      </c>
      <c r="R161" s="1100">
        <f>VLOOKUP(R$1,'cost per tipologia de sòl'!$A$2:$D$37,4,FALSE)*'T50'!R161</f>
        <v>0</v>
      </c>
      <c r="S161" s="1100">
        <f>VLOOKUP(S$1,'cost per tipologia de sòl'!$A$2:$D$37,4,FALSE)*'T50'!S161</f>
        <v>0</v>
      </c>
      <c r="T161" s="1100">
        <f>VLOOKUP(T$1,'cost per tipologia de sòl'!$A$2:$D$37,4,FALSE)*'T50'!T161</f>
        <v>13101265.92</v>
      </c>
      <c r="U161" s="1100">
        <f>VLOOKUP(U$1,'cost per tipologia de sòl'!$A$2:$D$37,4,FALSE)*'T50'!U161</f>
        <v>21085.05</v>
      </c>
      <c r="V161" s="1100">
        <f>VLOOKUP(V$1,'cost per tipologia de sòl'!$A$2:$D$37,4,FALSE)*'T50'!V161</f>
        <v>0</v>
      </c>
      <c r="W161" s="1100">
        <f>VLOOKUP(W$1,'cost per tipologia de sòl'!$A$2:$D$37,4,FALSE)*'T50'!W161</f>
        <v>0</v>
      </c>
      <c r="X161" s="1100">
        <f>VLOOKUP(X$1,'cost per tipologia de sòl'!$A$2:$D$37,4,FALSE)*'T50'!X161</f>
        <v>0</v>
      </c>
      <c r="Y161" s="1100">
        <f>VLOOKUP(Y$1,'cost per tipologia de sòl'!$A$2:$D$37,4,FALSE)*'T50'!Y161</f>
        <v>0</v>
      </c>
      <c r="Z161" s="1100">
        <f>VLOOKUP(Z$1,'cost per tipologia de sòl'!$A$2:$D$37,4,FALSE)*'T50'!Z161</f>
        <v>9307655.0859999992</v>
      </c>
      <c r="AA161" s="1100">
        <f>VLOOKUP(AA$1,'cost per tipologia de sòl'!$A$2:$D$37,4,FALSE)*'T50'!AA161</f>
        <v>0</v>
      </c>
      <c r="AB161" s="1100">
        <f>VLOOKUP(AB$1,'cost per tipologia de sòl'!$A$2:$D$37,4,FALSE)*'T50'!AB161</f>
        <v>1499222.55</v>
      </c>
      <c r="AC161" s="1100">
        <f>VLOOKUP(AC$1,'cost per tipologia de sòl'!$A$2:$D$37,4,FALSE)*'T50'!AC161</f>
        <v>7675401.5</v>
      </c>
      <c r="AD161" s="1100">
        <f>VLOOKUP(AD$1,'cost per tipologia de sòl'!$A$2:$D$37,4,FALSE)*'T50'!AD161</f>
        <v>4348568</v>
      </c>
      <c r="AE161" s="1100">
        <f>VLOOKUP(AE$1,'cost per tipologia de sòl'!$A$2:$D$37,4,FALSE)*'T50'!AE161</f>
        <v>0</v>
      </c>
      <c r="AF161" s="1100">
        <f>VLOOKUP(AF$1,'cost per tipologia de sòl'!$A$2:$D$37,4,FALSE)*'T50'!AF161</f>
        <v>0</v>
      </c>
      <c r="AG161" s="1100">
        <f>VLOOKUP(AG$1,'cost per tipologia de sòl'!$A$2:$D$37,4,FALSE)*'T50'!AG161</f>
        <v>0</v>
      </c>
      <c r="AH161" s="1100">
        <f>VLOOKUP(AH$1,'cost per tipologia de sòl'!$A$2:$D$37,4,FALSE)*'T50'!AH161</f>
        <v>0</v>
      </c>
      <c r="AI161" s="1100">
        <f>VLOOKUP(AI$1,'cost per tipologia de sòl'!$A$2:$D$37,4,FALSE)*'T50'!AI161</f>
        <v>0</v>
      </c>
      <c r="AJ161" s="1100">
        <f t="shared" si="4"/>
        <v>44226435.512999997</v>
      </c>
      <c r="AK161" s="1098">
        <f t="shared" si="5"/>
        <v>13.267930653899999</v>
      </c>
    </row>
    <row r="162" spans="1:37">
      <c r="A162" s="1099" t="s">
        <v>1743</v>
      </c>
      <c r="B162" s="1100">
        <f>VLOOKUP(B$1,'cost per tipologia de sòl'!$A$2:$D$37,4,FALSE)*'T50'!B162</f>
        <v>48429205.163999997</v>
      </c>
      <c r="C162" s="1100">
        <f>VLOOKUP(C$1,'cost per tipologia de sòl'!$A$2:$D$37,4,FALSE)*'T50'!C162</f>
        <v>0</v>
      </c>
      <c r="D162" s="1100">
        <f>VLOOKUP(D$1,'cost per tipologia de sòl'!$A$2:$D$37,4,FALSE)*'T50'!D162</f>
        <v>0</v>
      </c>
      <c r="E162" s="1100">
        <f>VLOOKUP(E$1,'cost per tipologia de sòl'!$A$2:$D$37,4,FALSE)*'T50'!E162</f>
        <v>0</v>
      </c>
      <c r="F162" s="1100">
        <f>VLOOKUP(F$1,'cost per tipologia de sòl'!$A$2:$D$37,4,FALSE)*'T50'!F162</f>
        <v>0</v>
      </c>
      <c r="G162" s="1100">
        <f>VLOOKUP(G$1,'cost per tipologia de sòl'!$A$2:$D$37,4,FALSE)*'T50'!G162</f>
        <v>0</v>
      </c>
      <c r="H162" s="1100">
        <f>VLOOKUP(H$1,'cost per tipologia de sòl'!$A$2:$D$37,4,FALSE)*'T50'!H162</f>
        <v>0</v>
      </c>
      <c r="I162" s="1100">
        <f>VLOOKUP(I$1,'cost per tipologia de sòl'!$A$2:$D$37,4,FALSE)*'T50'!I162</f>
        <v>0</v>
      </c>
      <c r="J162" s="1100">
        <f>VLOOKUP(J$1,'cost per tipologia de sòl'!$A$2:$D$37,4,FALSE)*'T50'!J162</f>
        <v>4355378.6265000002</v>
      </c>
      <c r="K162" s="1100">
        <f>VLOOKUP(K$1,'cost per tipologia de sòl'!$A$2:$D$37,4,FALSE)*'T50'!K162</f>
        <v>0</v>
      </c>
      <c r="L162" s="1100">
        <f>VLOOKUP(L$1,'cost per tipologia de sòl'!$A$2:$D$37,4,FALSE)*'T50'!L162</f>
        <v>0</v>
      </c>
      <c r="M162" s="1100">
        <f>VLOOKUP(M$1,'cost per tipologia de sòl'!$A$2:$D$37,4,FALSE)*'T50'!M162</f>
        <v>6170261.0159999998</v>
      </c>
      <c r="N162" s="1100">
        <f>VLOOKUP(N$1,'cost per tipologia de sòl'!$A$2:$D$37,4,FALSE)*'T50'!N162</f>
        <v>5343281.6239999998</v>
      </c>
      <c r="O162" s="1100">
        <f>VLOOKUP(O$1,'cost per tipologia de sòl'!$A$2:$D$37,4,FALSE)*'T50'!O162</f>
        <v>0</v>
      </c>
      <c r="P162" s="1100">
        <f>VLOOKUP(P$1,'cost per tipologia de sòl'!$A$2:$D$37,4,FALSE)*'T50'!P162</f>
        <v>2196495.84</v>
      </c>
      <c r="Q162" s="1100">
        <f>VLOOKUP(Q$1,'cost per tipologia de sòl'!$A$2:$D$37,4,FALSE)*'T50'!Q162</f>
        <v>0</v>
      </c>
      <c r="R162" s="1100">
        <f>VLOOKUP(R$1,'cost per tipologia de sòl'!$A$2:$D$37,4,FALSE)*'T50'!R162</f>
        <v>0</v>
      </c>
      <c r="S162" s="1100">
        <f>VLOOKUP(S$1,'cost per tipologia de sòl'!$A$2:$D$37,4,FALSE)*'T50'!S162</f>
        <v>18946396.223999999</v>
      </c>
      <c r="T162" s="1100">
        <f>VLOOKUP(T$1,'cost per tipologia de sòl'!$A$2:$D$37,4,FALSE)*'T50'!T162</f>
        <v>14759562.376999998</v>
      </c>
      <c r="U162" s="1100">
        <f>VLOOKUP(U$1,'cost per tipologia de sòl'!$A$2:$D$37,4,FALSE)*'T50'!U162</f>
        <v>0</v>
      </c>
      <c r="V162" s="1100">
        <f>VLOOKUP(V$1,'cost per tipologia de sòl'!$A$2:$D$37,4,FALSE)*'T50'!V162</f>
        <v>0</v>
      </c>
      <c r="W162" s="1100">
        <f>VLOOKUP(W$1,'cost per tipologia de sòl'!$A$2:$D$37,4,FALSE)*'T50'!W162</f>
        <v>0</v>
      </c>
      <c r="X162" s="1100">
        <f>VLOOKUP(X$1,'cost per tipologia de sòl'!$A$2:$D$37,4,FALSE)*'T50'!X162</f>
        <v>0</v>
      </c>
      <c r="Y162" s="1100">
        <f>VLOOKUP(Y$1,'cost per tipologia de sòl'!$A$2:$D$37,4,FALSE)*'T50'!Y162</f>
        <v>0</v>
      </c>
      <c r="Z162" s="1100">
        <f>VLOOKUP(Z$1,'cost per tipologia de sòl'!$A$2:$D$37,4,FALSE)*'T50'!Z162</f>
        <v>3615164.3280000002</v>
      </c>
      <c r="AA162" s="1100">
        <f>VLOOKUP(AA$1,'cost per tipologia de sòl'!$A$2:$D$37,4,FALSE)*'T50'!AA162</f>
        <v>0</v>
      </c>
      <c r="AB162" s="1100">
        <f>VLOOKUP(AB$1,'cost per tipologia de sòl'!$A$2:$D$37,4,FALSE)*'T50'!AB162</f>
        <v>3908602.1</v>
      </c>
      <c r="AC162" s="1100">
        <f>VLOOKUP(AC$1,'cost per tipologia de sòl'!$A$2:$D$37,4,FALSE)*'T50'!AC162</f>
        <v>25135037.300000001</v>
      </c>
      <c r="AD162" s="1100">
        <f>VLOOKUP(AD$1,'cost per tipologia de sòl'!$A$2:$D$37,4,FALSE)*'T50'!AD162</f>
        <v>12555982.800000001</v>
      </c>
      <c r="AE162" s="1100">
        <f>VLOOKUP(AE$1,'cost per tipologia de sòl'!$A$2:$D$37,4,FALSE)*'T50'!AE162</f>
        <v>0</v>
      </c>
      <c r="AF162" s="1100">
        <f>VLOOKUP(AF$1,'cost per tipologia de sòl'!$A$2:$D$37,4,FALSE)*'T50'!AF162</f>
        <v>0</v>
      </c>
      <c r="AG162" s="1100">
        <f>VLOOKUP(AG$1,'cost per tipologia de sòl'!$A$2:$D$37,4,FALSE)*'T50'!AG162</f>
        <v>0</v>
      </c>
      <c r="AH162" s="1100">
        <f>VLOOKUP(AH$1,'cost per tipologia de sòl'!$A$2:$D$37,4,FALSE)*'T50'!AH162</f>
        <v>0</v>
      </c>
      <c r="AI162" s="1100">
        <f>VLOOKUP(AI$1,'cost per tipologia de sòl'!$A$2:$D$37,4,FALSE)*'T50'!AI162</f>
        <v>0</v>
      </c>
      <c r="AJ162" s="1100">
        <f t="shared" si="4"/>
        <v>145415367.39950001</v>
      </c>
      <c r="AK162" s="1098">
        <f t="shared" si="5"/>
        <v>43.624610219850005</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2"/>
  <sheetViews>
    <sheetView topLeftCell="A22" workbookViewId="0">
      <selection activeCell="A44" sqref="A44"/>
    </sheetView>
  </sheetViews>
  <sheetFormatPr defaultRowHeight="15"/>
  <cols>
    <col min="1" max="1" width="25.7109375" style="1095" customWidth="1"/>
    <col min="2" max="2" width="12.42578125" style="1101" bestFit="1" customWidth="1"/>
    <col min="3" max="3" width="11" style="1101" bestFit="1" customWidth="1"/>
    <col min="4" max="4" width="15.28515625" style="1101" bestFit="1" customWidth="1"/>
    <col min="5" max="5" width="11.140625" style="1101" bestFit="1" customWidth="1"/>
    <col min="6" max="6" width="15" style="1101" bestFit="1" customWidth="1"/>
    <col min="7" max="7" width="12.42578125" style="1101" bestFit="1" customWidth="1"/>
    <col min="8" max="8" width="12.5703125" style="1101" bestFit="1" customWidth="1"/>
    <col min="9" max="36" width="12.42578125" style="1101" bestFit="1" customWidth="1"/>
    <col min="37" max="16384" width="9.140625" style="1081"/>
  </cols>
  <sheetData>
    <row r="1" spans="1:36" ht="51.75">
      <c r="A1" s="1093" t="s">
        <v>4634</v>
      </c>
      <c r="B1" s="1094" t="s">
        <v>4596</v>
      </c>
      <c r="C1" s="1094" t="s">
        <v>4597</v>
      </c>
      <c r="D1" s="1094" t="s">
        <v>4598</v>
      </c>
      <c r="E1" s="1094" t="s">
        <v>4599</v>
      </c>
      <c r="F1" s="1094" t="s">
        <v>4600</v>
      </c>
      <c r="G1" s="1094" t="s">
        <v>4601</v>
      </c>
      <c r="H1" s="1094" t="s">
        <v>4602</v>
      </c>
      <c r="I1" s="1094" t="s">
        <v>4603</v>
      </c>
      <c r="J1" s="1094" t="s">
        <v>4604</v>
      </c>
      <c r="K1" s="1094" t="s">
        <v>4605</v>
      </c>
      <c r="L1" s="1094" t="s">
        <v>4606</v>
      </c>
      <c r="M1" s="1094" t="s">
        <v>4607</v>
      </c>
      <c r="N1" s="1094" t="s">
        <v>4608</v>
      </c>
      <c r="O1" s="1094" t="s">
        <v>4609</v>
      </c>
      <c r="P1" s="1094" t="s">
        <v>4610</v>
      </c>
      <c r="Q1" s="1094" t="s">
        <v>4611</v>
      </c>
      <c r="R1" s="1094" t="s">
        <v>4612</v>
      </c>
      <c r="S1" s="1094" t="s">
        <v>4613</v>
      </c>
      <c r="T1" s="1094" t="s">
        <v>4614</v>
      </c>
      <c r="U1" s="1094" t="s">
        <v>4615</v>
      </c>
      <c r="V1" s="1094" t="s">
        <v>4616</v>
      </c>
      <c r="W1" s="1094" t="s">
        <v>4617</v>
      </c>
      <c r="X1" s="1094" t="s">
        <v>4618</v>
      </c>
      <c r="Y1" s="1094" t="s">
        <v>4619</v>
      </c>
      <c r="Z1" s="1094" t="s">
        <v>4620</v>
      </c>
      <c r="AA1" s="1094" t="s">
        <v>4621</v>
      </c>
      <c r="AB1" s="1094" t="s">
        <v>4622</v>
      </c>
      <c r="AC1" s="1094" t="s">
        <v>4623</v>
      </c>
      <c r="AD1" s="1094" t="s">
        <v>4624</v>
      </c>
      <c r="AE1" s="1094" t="s">
        <v>4625</v>
      </c>
      <c r="AF1" s="1094" t="s">
        <v>4626</v>
      </c>
      <c r="AG1" s="1094" t="s">
        <v>4627</v>
      </c>
      <c r="AH1" s="1094" t="s">
        <v>4628</v>
      </c>
      <c r="AI1" s="1094" t="s">
        <v>4629</v>
      </c>
      <c r="AJ1" s="1094"/>
    </row>
    <row r="2" spans="1:36">
      <c r="A2" s="1096" t="s">
        <v>672</v>
      </c>
      <c r="B2" s="1101">
        <v>0.1263522</v>
      </c>
      <c r="E2" s="1101">
        <v>4.2376799999999999E-2</v>
      </c>
      <c r="H2" s="1101">
        <v>79.129638600000007</v>
      </c>
      <c r="J2" s="1101">
        <v>1.8814709000000001</v>
      </c>
      <c r="S2" s="1101">
        <v>3.4008999999999998E-2</v>
      </c>
      <c r="T2" s="1101">
        <v>8.5125429000000103</v>
      </c>
      <c r="U2" s="1101">
        <v>1.5718699999999999E-2</v>
      </c>
      <c r="W2" s="1101">
        <v>103.68403290000001</v>
      </c>
      <c r="Y2" s="1101">
        <v>3.8486577999999998</v>
      </c>
      <c r="Z2" s="1101">
        <v>0.8350031</v>
      </c>
      <c r="AB2" s="1101">
        <v>3.6923610999999998</v>
      </c>
      <c r="AC2" s="1101">
        <v>2.7590300000000002E-2</v>
      </c>
      <c r="AD2" s="1101">
        <v>0.13395570000000001</v>
      </c>
      <c r="AF2" s="1101">
        <v>0.67957179999999995</v>
      </c>
      <c r="AH2" s="1101">
        <v>1.0287249000000001</v>
      </c>
    </row>
    <row r="3" spans="1:36">
      <c r="A3" s="1096" t="s">
        <v>797</v>
      </c>
      <c r="B3" s="1101">
        <v>3.2879301000000001</v>
      </c>
      <c r="D3" s="1101">
        <v>2.2497664999999998</v>
      </c>
      <c r="H3" s="1101">
        <v>9.8750000000000004E-2</v>
      </c>
      <c r="I3" s="1101">
        <v>6.5455799999999995E-2</v>
      </c>
      <c r="J3" s="1101">
        <v>0.14303569999999999</v>
      </c>
      <c r="K3" s="1101">
        <v>4.57966E-2</v>
      </c>
      <c r="M3" s="1101">
        <v>1.6741375000000001</v>
      </c>
      <c r="N3" s="1101">
        <v>1.0526983000000001</v>
      </c>
      <c r="O3" s="1101">
        <v>1.0892021999999999</v>
      </c>
      <c r="P3" s="1101">
        <v>4.0648799999999999E-2</v>
      </c>
      <c r="S3" s="1101">
        <v>0.259299</v>
      </c>
      <c r="T3" s="1101">
        <v>0.19116810000000001</v>
      </c>
      <c r="AC3" s="1101">
        <v>2.5778458999999998</v>
      </c>
      <c r="AD3" s="1101">
        <v>1.3582913999999999</v>
      </c>
      <c r="AF3" s="1101">
        <v>0.29966809999999999</v>
      </c>
      <c r="AI3" s="1101">
        <v>0.54586159999999995</v>
      </c>
    </row>
    <row r="4" spans="1:36">
      <c r="A4" s="1096" t="s">
        <v>761</v>
      </c>
      <c r="B4" s="1101">
        <v>1.5078704999999999</v>
      </c>
      <c r="C4" s="1101">
        <v>0.1334292</v>
      </c>
      <c r="J4" s="1101">
        <v>34.700801900000002</v>
      </c>
      <c r="N4" s="1101">
        <v>1.7186374</v>
      </c>
      <c r="S4" s="1101">
        <v>0.4740781</v>
      </c>
      <c r="T4" s="1101">
        <v>0.9387858</v>
      </c>
      <c r="W4" s="1101">
        <v>0.13760049999999999</v>
      </c>
      <c r="Y4" s="1101">
        <v>23.0184499</v>
      </c>
      <c r="Z4" s="1101">
        <v>0.12643219999999999</v>
      </c>
      <c r="AC4" s="1101">
        <v>1.3640933</v>
      </c>
      <c r="AD4" s="1101">
        <v>1.4050142000000001</v>
      </c>
      <c r="AF4" s="1101">
        <v>17.382643999999999</v>
      </c>
    </row>
    <row r="5" spans="1:36">
      <c r="A5" s="1096" t="s">
        <v>767</v>
      </c>
      <c r="B5" s="1101">
        <v>9.0682399999999996E-2</v>
      </c>
      <c r="H5" s="1101">
        <v>92.675486399999897</v>
      </c>
      <c r="T5" s="1101">
        <v>13.8696056</v>
      </c>
      <c r="W5" s="1101">
        <v>20.449758200000002</v>
      </c>
      <c r="Y5" s="1101">
        <v>9.1950751999999998</v>
      </c>
      <c r="Z5" s="1101">
        <v>1.2576923</v>
      </c>
      <c r="AC5" s="1101">
        <v>9.3860000000000005E-4</v>
      </c>
      <c r="AD5" s="1101">
        <v>0.25827670000000003</v>
      </c>
    </row>
    <row r="6" spans="1:36">
      <c r="A6" s="1096" t="s">
        <v>774</v>
      </c>
      <c r="B6" s="1101">
        <v>0.1714376</v>
      </c>
      <c r="H6" s="1101">
        <v>6.4005051999999996</v>
      </c>
      <c r="J6" s="1101">
        <v>0.15379209999999999</v>
      </c>
      <c r="N6" s="1101">
        <v>1.9289199999999999E-2</v>
      </c>
      <c r="T6" s="1101">
        <v>0.72817670000000001</v>
      </c>
      <c r="W6" s="1101">
        <v>3.5253057999999999</v>
      </c>
      <c r="AB6" s="1101">
        <v>8.9998999999999999E-3</v>
      </c>
      <c r="AC6" s="1101">
        <v>4.2918000000000001E-3</v>
      </c>
      <c r="AD6" s="1101">
        <v>5.1142000000000002E-3</v>
      </c>
    </row>
    <row r="7" spans="1:36">
      <c r="A7" s="1096" t="s">
        <v>781</v>
      </c>
      <c r="B7" s="1101">
        <v>0.13440469999999999</v>
      </c>
      <c r="H7" s="1101">
        <v>0.11450050000000001</v>
      </c>
      <c r="I7" s="1101">
        <v>84.472808099999995</v>
      </c>
      <c r="K7" s="1101">
        <v>0.1256659</v>
      </c>
      <c r="S7" s="1101">
        <v>0.29380450000000002</v>
      </c>
      <c r="T7" s="1101">
        <v>0.38033939999999999</v>
      </c>
      <c r="W7" s="1101">
        <v>64.0070560999999</v>
      </c>
      <c r="Y7" s="1101">
        <v>7.6160900000000004E-2</v>
      </c>
      <c r="Z7" s="1101">
        <v>0.60131950000000001</v>
      </c>
      <c r="AB7" s="1101">
        <v>5.7386100000000002E-2</v>
      </c>
      <c r="AC7" s="1101">
        <v>0.1166898</v>
      </c>
      <c r="AD7" s="1101">
        <v>0.12549930000000001</v>
      </c>
      <c r="AF7" s="1101">
        <v>0.30093009999999998</v>
      </c>
      <c r="AH7" s="1101">
        <v>0.72565429999999997</v>
      </c>
    </row>
    <row r="8" spans="1:36">
      <c r="A8" s="1096" t="s">
        <v>1748</v>
      </c>
      <c r="N8" s="1101">
        <v>1.7529626</v>
      </c>
      <c r="S8" s="1101">
        <v>0.46556710000000001</v>
      </c>
      <c r="T8" s="1101">
        <v>3.3477429000000001</v>
      </c>
      <c r="W8" s="1101">
        <v>1.0683009000000001</v>
      </c>
      <c r="Y8" s="1101">
        <v>2.5720470999999998</v>
      </c>
      <c r="AB8" s="1101">
        <v>0.62633490000000003</v>
      </c>
      <c r="AC8" s="1101">
        <v>0.63857960000000002</v>
      </c>
      <c r="AD8" s="1101">
        <v>2.8105668000000001</v>
      </c>
      <c r="AF8" s="1101">
        <v>7.1713000000000002E-3</v>
      </c>
    </row>
    <row r="9" spans="1:36">
      <c r="A9" s="1096" t="s">
        <v>807</v>
      </c>
      <c r="B9" s="1101">
        <v>0.37500670000000003</v>
      </c>
      <c r="D9" s="1101">
        <v>9.0732E-3</v>
      </c>
      <c r="E9" s="1101">
        <v>0.32216080000000002</v>
      </c>
      <c r="H9" s="1101">
        <v>4.1196937</v>
      </c>
      <c r="J9" s="1101">
        <v>4.2909700000000002E-2</v>
      </c>
      <c r="N9" s="1101">
        <v>4.2666900000000001E-2</v>
      </c>
      <c r="S9" s="1101">
        <v>0.39016810000000002</v>
      </c>
      <c r="T9" s="1101">
        <v>0.3582321</v>
      </c>
      <c r="W9" s="1101">
        <v>4.6105872999999997</v>
      </c>
      <c r="Z9" s="1101">
        <v>0.1532618</v>
      </c>
      <c r="AC9" s="1101">
        <v>0.1119623</v>
      </c>
      <c r="AD9" s="1101">
        <v>9.4487000000000008E-3</v>
      </c>
    </row>
    <row r="10" spans="1:36">
      <c r="A10" s="1096" t="s">
        <v>817</v>
      </c>
      <c r="B10" s="1101">
        <v>4.7439966</v>
      </c>
      <c r="D10" s="1101">
        <v>3.8711700000000002E-2</v>
      </c>
      <c r="H10" s="1101">
        <v>15.601338800000001</v>
      </c>
      <c r="J10" s="1101">
        <v>25.6632596</v>
      </c>
      <c r="P10" s="1101">
        <v>1.7090167000000001</v>
      </c>
      <c r="S10" s="1101">
        <v>2.1470677</v>
      </c>
      <c r="T10" s="1101">
        <v>5.144158</v>
      </c>
      <c r="W10" s="1101">
        <v>40.141372500000003</v>
      </c>
      <c r="Z10" s="1101">
        <v>0.70662020000000003</v>
      </c>
      <c r="AA10" s="1101">
        <v>0.46202789999999999</v>
      </c>
      <c r="AB10" s="1101">
        <v>6.5384999999999999E-2</v>
      </c>
      <c r="AC10" s="1101">
        <v>0.38718360000000002</v>
      </c>
      <c r="AD10" s="1101">
        <v>4.4717199999999999E-2</v>
      </c>
    </row>
    <row r="11" spans="1:36">
      <c r="A11" s="1096" t="s">
        <v>1572</v>
      </c>
      <c r="B11" s="1101">
        <v>6.3727000000000006E-2</v>
      </c>
      <c r="H11" s="1101">
        <v>8.1703320999999995</v>
      </c>
      <c r="S11" s="1101">
        <v>3.7123700000000003E-2</v>
      </c>
      <c r="T11" s="1101">
        <v>1.0401655999999999</v>
      </c>
      <c r="U11" s="1101">
        <v>0.16670670000000001</v>
      </c>
      <c r="W11" s="1101">
        <v>17.6469077</v>
      </c>
      <c r="Y11" s="1101">
        <v>0.2260423</v>
      </c>
      <c r="Z11" s="1101">
        <v>0.5874414</v>
      </c>
      <c r="AB11" s="1101">
        <v>0.28603149999999999</v>
      </c>
      <c r="AC11" s="1101">
        <v>0.30838199999999999</v>
      </c>
      <c r="AD11" s="1101">
        <v>0.79150940000000003</v>
      </c>
    </row>
    <row r="12" spans="1:36">
      <c r="A12" s="1096" t="s">
        <v>331</v>
      </c>
      <c r="B12" s="1101">
        <v>1.0972906</v>
      </c>
      <c r="F12" s="1101">
        <v>4.0454062999999998</v>
      </c>
      <c r="N12" s="1101">
        <v>1.3473674</v>
      </c>
      <c r="S12" s="1101">
        <v>0.6092687</v>
      </c>
      <c r="T12" s="1101">
        <v>2.4078556999999998</v>
      </c>
      <c r="U12" s="1101">
        <v>6.9698912999999996</v>
      </c>
      <c r="V12" s="1101">
        <v>3.3958299999999997E-2</v>
      </c>
      <c r="W12" s="1101">
        <v>14.4006826</v>
      </c>
      <c r="Y12" s="1101">
        <v>2.4675419999999999</v>
      </c>
      <c r="AC12" s="1101">
        <v>1.8763528</v>
      </c>
      <c r="AD12" s="1101">
        <v>8.4879911000000003</v>
      </c>
    </row>
    <row r="13" spans="1:36">
      <c r="A13" s="1096" t="s">
        <v>829</v>
      </c>
      <c r="J13" s="1101">
        <v>0.21051159999999999</v>
      </c>
      <c r="W13" s="1101">
        <v>3.1222199999999999E-2</v>
      </c>
    </row>
    <row r="14" spans="1:36">
      <c r="A14" s="1096" t="s">
        <v>777</v>
      </c>
      <c r="D14" s="1101">
        <v>3.9415899999999997E-2</v>
      </c>
      <c r="F14" s="1101">
        <v>8.07504E-2</v>
      </c>
      <c r="H14" s="1101">
        <v>2.5768138</v>
      </c>
      <c r="J14" s="1101">
        <v>0.4777072</v>
      </c>
      <c r="L14" s="1101">
        <v>9.6177999999999993E-3</v>
      </c>
      <c r="N14" s="1101">
        <v>9.4560900000000003E-2</v>
      </c>
      <c r="O14" s="1101">
        <v>3.5016600000000002E-2</v>
      </c>
      <c r="S14" s="1101">
        <v>3.6800399999999997E-2</v>
      </c>
      <c r="T14" s="1101">
        <v>0.60658880000000004</v>
      </c>
      <c r="W14" s="1101">
        <v>1.6939801000000001</v>
      </c>
      <c r="Y14" s="1101">
        <v>0.2078304</v>
      </c>
      <c r="AC14" s="1101">
        <v>3.8520400000000003E-2</v>
      </c>
      <c r="AD14" s="1101">
        <v>8.8353500000000001E-2</v>
      </c>
    </row>
    <row r="15" spans="1:36">
      <c r="A15" s="1096" t="s">
        <v>838</v>
      </c>
      <c r="B15" s="1101">
        <v>0.81400729999999999</v>
      </c>
      <c r="D15" s="1101">
        <v>1.4207418000000001</v>
      </c>
      <c r="H15" s="1101">
        <v>17.1778865</v>
      </c>
      <c r="J15" s="1101">
        <v>2.5677097999999998</v>
      </c>
      <c r="N15" s="1101">
        <v>0.35653780000000002</v>
      </c>
      <c r="S15" s="1101">
        <v>1.6459299999999999</v>
      </c>
      <c r="T15" s="1101">
        <v>5.5796821999999997</v>
      </c>
      <c r="Y15" s="1101">
        <v>2.0619193999999998</v>
      </c>
      <c r="Z15" s="1101">
        <v>0.26375569999999998</v>
      </c>
      <c r="AB15" s="1101">
        <v>0.2107224</v>
      </c>
      <c r="AC15" s="1101">
        <v>9.0839699999999995E-2</v>
      </c>
      <c r="AD15" s="1101">
        <v>0.23756240000000001</v>
      </c>
      <c r="AF15" s="1101">
        <v>1.0278672</v>
      </c>
      <c r="AH15" s="1101">
        <v>1.1402283</v>
      </c>
    </row>
    <row r="16" spans="1:36">
      <c r="A16" s="1096" t="s">
        <v>856</v>
      </c>
      <c r="B16" s="1101">
        <v>0.51368259999999999</v>
      </c>
      <c r="H16" s="1101">
        <v>46.877794100000003</v>
      </c>
      <c r="J16" s="1101">
        <v>5.6337999999999999E-2</v>
      </c>
      <c r="L16" s="1101">
        <v>7.3758799999999999E-2</v>
      </c>
      <c r="T16" s="1101">
        <v>9.3087799999999998E-2</v>
      </c>
      <c r="W16" s="1101">
        <v>11.9604859</v>
      </c>
      <c r="AA16" s="1101">
        <v>0.1024552</v>
      </c>
      <c r="AB16" s="1101">
        <v>4.6412599999999998E-2</v>
      </c>
      <c r="AD16" s="1101">
        <v>0.1216714</v>
      </c>
    </row>
    <row r="17" spans="1:35">
      <c r="A17" s="1096" t="s">
        <v>336</v>
      </c>
      <c r="B17" s="1101">
        <v>4.1228293000000003</v>
      </c>
      <c r="C17" s="1101">
        <v>10.0415546</v>
      </c>
      <c r="J17" s="1101">
        <v>21.729008</v>
      </c>
      <c r="R17" s="1101">
        <v>0.1171836</v>
      </c>
      <c r="S17" s="1101">
        <v>0.1896389</v>
      </c>
      <c r="T17" s="1101">
        <v>0.74647019999999997</v>
      </c>
      <c r="U17" s="1101">
        <v>0.63113980000000003</v>
      </c>
      <c r="W17" s="1101">
        <v>5.6555961000000003</v>
      </c>
      <c r="Y17" s="1101">
        <v>0.57270960000000004</v>
      </c>
      <c r="Z17" s="1101">
        <v>0.222882</v>
      </c>
      <c r="AB17" s="1101">
        <v>0.79830840000000003</v>
      </c>
      <c r="AC17" s="1101">
        <v>1.9588116</v>
      </c>
      <c r="AD17" s="1101">
        <v>2.0291603999999999</v>
      </c>
      <c r="AF17" s="1101">
        <v>9.0485800000000005E-2</v>
      </c>
    </row>
    <row r="18" spans="1:35">
      <c r="A18" s="1096" t="s">
        <v>875</v>
      </c>
      <c r="F18" s="1101">
        <v>3.1557200000000001E-2</v>
      </c>
      <c r="H18" s="1101">
        <v>7.7313131000000004</v>
      </c>
      <c r="W18" s="1101">
        <v>12.986989299999999</v>
      </c>
    </row>
    <row r="19" spans="1:35">
      <c r="A19" s="1096" t="s">
        <v>867</v>
      </c>
      <c r="B19" s="1101">
        <v>0.29949740000000002</v>
      </c>
      <c r="H19" s="1101">
        <v>5.8668699999999996</v>
      </c>
      <c r="S19" s="1101">
        <v>4.0288999999999998E-2</v>
      </c>
      <c r="T19" s="1101">
        <v>0.19633339999999999</v>
      </c>
      <c r="W19" s="1101">
        <v>18.366807699999999</v>
      </c>
      <c r="AB19" s="1101">
        <v>9.6414700000000006E-2</v>
      </c>
      <c r="AC19" s="1101">
        <v>2.8831599999999999E-2</v>
      </c>
      <c r="AD19" s="1101">
        <v>5.7749500000000002E-2</v>
      </c>
      <c r="AH19" s="1101">
        <v>3.5009699999999998E-2</v>
      </c>
    </row>
    <row r="20" spans="1:35">
      <c r="A20" s="1096" t="s">
        <v>890</v>
      </c>
      <c r="B20" s="1101">
        <v>1.6908194999999999</v>
      </c>
      <c r="H20" s="1101">
        <v>5.5931823999999999</v>
      </c>
      <c r="J20" s="1101">
        <v>3.6389400000000002E-2</v>
      </c>
      <c r="M20" s="1101">
        <v>1.6388E-2</v>
      </c>
      <c r="S20" s="1101">
        <v>0.3985496</v>
      </c>
      <c r="T20" s="1101">
        <v>6.7357852999999901</v>
      </c>
      <c r="W20" s="1101">
        <v>7.1420262000000001</v>
      </c>
      <c r="Y20" s="1101">
        <v>26.276158500000001</v>
      </c>
      <c r="Z20" s="1101">
        <v>0.13202710000000001</v>
      </c>
      <c r="AB20" s="1101">
        <v>3.0704700000000001E-2</v>
      </c>
      <c r="AC20" s="1101">
        <v>0.3711102</v>
      </c>
      <c r="AD20" s="1101">
        <v>6.1812199999999998E-2</v>
      </c>
      <c r="AF20" s="1101">
        <v>0.28960409999999998</v>
      </c>
    </row>
    <row r="21" spans="1:35">
      <c r="A21" s="1096" t="s">
        <v>900</v>
      </c>
      <c r="B21" s="1101">
        <v>7.7138131000000003</v>
      </c>
      <c r="H21" s="1101">
        <v>1.5851999999999999E-3</v>
      </c>
      <c r="J21" s="1101">
        <v>7.9007221999999997</v>
      </c>
      <c r="K21" s="1101">
        <v>0.1121849</v>
      </c>
      <c r="O21" s="1101">
        <v>3.1311285999999998</v>
      </c>
      <c r="S21" s="1101">
        <v>0.30524269999999998</v>
      </c>
      <c r="T21" s="1101">
        <v>0.2791266</v>
      </c>
      <c r="U21" s="1101">
        <v>7.9301999999999997E-2</v>
      </c>
      <c r="W21" s="1101">
        <v>2.0394665999999999</v>
      </c>
      <c r="AC21" s="1101">
        <v>2.5037291000000002</v>
      </c>
      <c r="AD21" s="1101">
        <v>3.3543783999999999</v>
      </c>
      <c r="AF21" s="1101">
        <v>1.09788E-2</v>
      </c>
      <c r="AH21" s="1101">
        <v>2.2733398999999999</v>
      </c>
    </row>
    <row r="22" spans="1:35">
      <c r="A22" s="1096" t="s">
        <v>901</v>
      </c>
      <c r="H22" s="1101">
        <v>13.641132799999999</v>
      </c>
      <c r="T22" s="1101">
        <v>0.72418130000000003</v>
      </c>
      <c r="W22" s="1101">
        <v>4.0888422999999996</v>
      </c>
      <c r="Y22" s="1101">
        <v>8.7556200000000001E-2</v>
      </c>
      <c r="Z22" s="1101">
        <v>0.53991599999999995</v>
      </c>
      <c r="AB22" s="1101">
        <v>3.6838799999999998E-2</v>
      </c>
      <c r="AC22" s="1101">
        <v>1.53093E-2</v>
      </c>
      <c r="AD22" s="1101">
        <v>0.13066349999999999</v>
      </c>
      <c r="AH22" s="1101">
        <v>1.8756800000000001E-2</v>
      </c>
    </row>
    <row r="23" spans="1:35">
      <c r="A23" s="1096" t="s">
        <v>912</v>
      </c>
      <c r="B23" s="1101">
        <v>0.22031480000000001</v>
      </c>
      <c r="H23" s="1101">
        <v>5.3601899</v>
      </c>
      <c r="J23" s="1101">
        <v>4.0885400000000002E-2</v>
      </c>
      <c r="S23" s="1101">
        <v>5.6806000000000002E-2</v>
      </c>
      <c r="U23" s="1101">
        <v>1.6369999999999999E-4</v>
      </c>
      <c r="W23" s="1101">
        <v>1.6630674000000001</v>
      </c>
      <c r="AB23" s="1101">
        <v>2.0527299999999998E-2</v>
      </c>
      <c r="AC23" s="1101">
        <v>0.32912200000000003</v>
      </c>
      <c r="AD23" s="1101">
        <v>0.43721589999999999</v>
      </c>
    </row>
    <row r="24" spans="1:35">
      <c r="A24" s="1096" t="s">
        <v>920</v>
      </c>
      <c r="B24" s="1101">
        <v>2.0716698</v>
      </c>
      <c r="D24" s="1101">
        <v>0.4862513</v>
      </c>
      <c r="F24" s="1101">
        <v>0.95109319999999997</v>
      </c>
      <c r="H24" s="1101">
        <v>12.375463999999999</v>
      </c>
      <c r="J24" s="1101">
        <v>1.9131599999999999E-2</v>
      </c>
      <c r="K24" s="1101">
        <v>0.6226874</v>
      </c>
      <c r="L24" s="1101">
        <v>1.0965788999999999</v>
      </c>
      <c r="M24" s="1101">
        <v>3.5321552000000001</v>
      </c>
      <c r="N24" s="1101">
        <v>0.77995289999999995</v>
      </c>
      <c r="P24" s="1101">
        <v>3.1439864000000002</v>
      </c>
      <c r="S24" s="1101">
        <v>2.2384816000000001</v>
      </c>
      <c r="T24" s="1101">
        <v>9.9942651999999992</v>
      </c>
      <c r="U24" s="1101">
        <v>7.3390399999999995E-2</v>
      </c>
      <c r="W24" s="1101">
        <v>1.5029946000000001</v>
      </c>
      <c r="Y24" s="1101">
        <v>15.760345600000001</v>
      </c>
      <c r="Z24" s="1101">
        <v>6.5793500000000005E-2</v>
      </c>
      <c r="AB24" s="1101">
        <v>4.1372800000000001E-2</v>
      </c>
      <c r="AC24" s="1101">
        <v>6.8205513</v>
      </c>
      <c r="AD24" s="1101">
        <v>4.8222385000000001</v>
      </c>
      <c r="AF24" s="1101">
        <v>3.2499026999999998</v>
      </c>
      <c r="AG24" s="1101">
        <v>0.40685460000000001</v>
      </c>
      <c r="AH24" s="1101">
        <v>1.3939452999999999</v>
      </c>
    </row>
    <row r="25" spans="1:35">
      <c r="A25" s="1096" t="s">
        <v>924</v>
      </c>
      <c r="B25" s="1101">
        <v>0.9489495</v>
      </c>
      <c r="H25" s="1101">
        <v>4.3353000000000003E-2</v>
      </c>
      <c r="I25" s="1101">
        <v>50.388329599999899</v>
      </c>
      <c r="J25" s="1101">
        <v>0.115915</v>
      </c>
      <c r="W25" s="1101">
        <v>78.384929099999994</v>
      </c>
      <c r="Z25" s="1101">
        <v>1.30568E-2</v>
      </c>
      <c r="AB25" s="1101">
        <v>0.82020659999999901</v>
      </c>
      <c r="AD25" s="1101">
        <v>0.2875432</v>
      </c>
    </row>
    <row r="26" spans="1:35">
      <c r="A26" s="1096" t="s">
        <v>929</v>
      </c>
      <c r="B26" s="1101">
        <v>7.10393E-2</v>
      </c>
      <c r="F26" s="1101">
        <v>2.5950000000000001E-3</v>
      </c>
      <c r="H26" s="1101">
        <v>9.3782052</v>
      </c>
      <c r="I26" s="1101">
        <v>3.0886500000000001E-2</v>
      </c>
      <c r="J26" s="1101">
        <v>8.4101095000000008</v>
      </c>
      <c r="L26" s="1101">
        <v>1.55669E-2</v>
      </c>
      <c r="N26" s="1101">
        <v>6.0229999999999995E-4</v>
      </c>
      <c r="S26" s="1101">
        <v>0.1818283</v>
      </c>
      <c r="T26" s="1101">
        <v>1.0982547</v>
      </c>
      <c r="AB26" s="1101">
        <v>1.5589199999999999E-2</v>
      </c>
      <c r="AC26" s="1101">
        <v>5.2543100000000002E-2</v>
      </c>
      <c r="AD26" s="1101">
        <v>6.5434199999999998E-2</v>
      </c>
      <c r="AF26" s="1101">
        <v>8.5864599999999999E-2</v>
      </c>
      <c r="AH26" s="1101">
        <v>7.9403000000000008E-3</v>
      </c>
    </row>
    <row r="27" spans="1:35">
      <c r="A27" s="1096" t="s">
        <v>934</v>
      </c>
      <c r="B27" s="1101">
        <v>0.23635100000000001</v>
      </c>
      <c r="G27" s="1101">
        <v>1.1328400000000001E-2</v>
      </c>
      <c r="H27" s="1101">
        <v>2.3363836</v>
      </c>
      <c r="J27" s="1101">
        <v>5.1883739999999996</v>
      </c>
      <c r="L27" s="1101">
        <v>0.1098392</v>
      </c>
      <c r="N27" s="1101">
        <v>6.6182999999999997E-3</v>
      </c>
      <c r="S27" s="1101">
        <v>2.1226999999999999E-3</v>
      </c>
      <c r="T27" s="1101">
        <v>3.7193999999999999E-3</v>
      </c>
      <c r="W27" s="1101">
        <v>1.4013209</v>
      </c>
      <c r="Z27" s="1101">
        <v>0.34931259999999997</v>
      </c>
      <c r="AA27" s="1101">
        <v>6.4247000000000002E-3</v>
      </c>
      <c r="AB27" s="1101">
        <v>4.0369599999999999E-2</v>
      </c>
      <c r="AC27" s="1101">
        <v>2.2246000000000002E-3</v>
      </c>
      <c r="AD27" s="1101">
        <v>9.0187500000000004E-2</v>
      </c>
    </row>
    <row r="28" spans="1:35">
      <c r="A28" s="1096" t="s">
        <v>951</v>
      </c>
      <c r="H28" s="1101">
        <v>1.0627E-3</v>
      </c>
      <c r="J28" s="1101">
        <v>1.4830021</v>
      </c>
      <c r="S28" s="1101">
        <v>0.38621919999999998</v>
      </c>
      <c r="U28" s="1101">
        <v>1.0496E-2</v>
      </c>
      <c r="W28" s="1101">
        <v>2.0146940999999998</v>
      </c>
      <c r="AB28" s="1101">
        <v>2.3824700000000001E-2</v>
      </c>
      <c r="AD28" s="1101">
        <v>8.8032000000000006E-3</v>
      </c>
    </row>
    <row r="29" spans="1:35">
      <c r="A29" s="1096" t="s">
        <v>944</v>
      </c>
      <c r="B29" s="1101">
        <v>5.3133100000000003E-2</v>
      </c>
      <c r="F29" s="1101">
        <v>3.0000000000000001E-6</v>
      </c>
      <c r="H29" s="1101">
        <v>8.1942687000000003</v>
      </c>
      <c r="I29" s="1101">
        <v>1.6263E-2</v>
      </c>
      <c r="W29" s="1101">
        <v>23.900664800000001</v>
      </c>
      <c r="Z29" s="1101">
        <v>8.9297999999999999E-3</v>
      </c>
      <c r="AB29" s="1101">
        <v>0.13000590000000001</v>
      </c>
      <c r="AD29" s="1101">
        <v>6.5897800000000006E-2</v>
      </c>
    </row>
    <row r="30" spans="1:35">
      <c r="A30" s="1096" t="s">
        <v>958</v>
      </c>
      <c r="B30" s="1101">
        <v>2.9270518000000001</v>
      </c>
      <c r="F30" s="1101">
        <v>0.73965119999999995</v>
      </c>
      <c r="H30" s="1101">
        <v>2.1044000000000002E-3</v>
      </c>
      <c r="I30" s="1101">
        <v>9.5889512000000003</v>
      </c>
      <c r="J30" s="1101">
        <v>0.33721099999999998</v>
      </c>
      <c r="M30" s="1101">
        <v>0.97825359999999995</v>
      </c>
      <c r="O30" s="1101">
        <v>4.1105900000000001E-2</v>
      </c>
      <c r="S30" s="1101">
        <v>5.3005499999999997E-2</v>
      </c>
      <c r="T30" s="1101">
        <v>0.46023170000000002</v>
      </c>
      <c r="U30" s="1101">
        <v>0.32193060000000001</v>
      </c>
      <c r="W30" s="1101">
        <v>80.078703100000098</v>
      </c>
      <c r="Z30" s="1101">
        <v>1.2834207</v>
      </c>
      <c r="AB30" s="1101">
        <v>0.20543929999999999</v>
      </c>
      <c r="AC30" s="1101">
        <v>0.41054489999999999</v>
      </c>
      <c r="AD30" s="1101">
        <v>1.3856328</v>
      </c>
      <c r="AF30" s="1101">
        <v>4.0541384000000003</v>
      </c>
    </row>
    <row r="31" spans="1:35">
      <c r="A31" s="1096" t="s">
        <v>964</v>
      </c>
      <c r="B31" s="1101">
        <v>5.1504868000000004</v>
      </c>
      <c r="C31" s="1101">
        <v>0.27374219999999999</v>
      </c>
      <c r="H31" s="1101">
        <v>66.193352300000001</v>
      </c>
      <c r="J31" s="1101">
        <v>3.2309000000000001E-3</v>
      </c>
      <c r="M31" s="1101">
        <v>0.70239859999999998</v>
      </c>
      <c r="T31" s="1101">
        <v>17.456310800000001</v>
      </c>
      <c r="U31" s="1101">
        <v>1.5212057999999999</v>
      </c>
      <c r="W31" s="1101">
        <v>102.889551</v>
      </c>
      <c r="Y31" s="1101">
        <v>1.07102E-2</v>
      </c>
      <c r="AB31" s="1101">
        <v>2.4668874000000001</v>
      </c>
      <c r="AC31" s="1101">
        <v>3.2860011</v>
      </c>
      <c r="AD31" s="1101">
        <v>6.5464583000000003</v>
      </c>
      <c r="AF31" s="1101">
        <v>7.0155E-3</v>
      </c>
    </row>
    <row r="32" spans="1:35">
      <c r="A32" s="1096" t="s">
        <v>340</v>
      </c>
      <c r="H32" s="1101">
        <v>6.3412185000000001</v>
      </c>
      <c r="S32" s="1101">
        <v>16.205477800000001</v>
      </c>
      <c r="AC32" s="1101">
        <v>2.26086E-2</v>
      </c>
      <c r="AD32" s="1101">
        <v>0.16594310000000001</v>
      </c>
      <c r="AI32" s="1101">
        <v>7.3072045000000001</v>
      </c>
    </row>
    <row r="33" spans="1:35">
      <c r="A33" s="1096" t="s">
        <v>984</v>
      </c>
      <c r="G33" s="1101">
        <v>2.0309998999999999</v>
      </c>
      <c r="H33" s="1101">
        <v>48.180933500000002</v>
      </c>
      <c r="I33" s="1101">
        <v>2.4634076</v>
      </c>
      <c r="W33" s="1101">
        <v>18.3768989</v>
      </c>
      <c r="Y33" s="1101">
        <v>2.4821846999999999</v>
      </c>
      <c r="AB33" s="1101">
        <v>3.5426100000000002E-2</v>
      </c>
      <c r="AD33" s="1101">
        <v>8.1744999999999998E-2</v>
      </c>
    </row>
    <row r="34" spans="1:35">
      <c r="A34" s="1096" t="s">
        <v>1002</v>
      </c>
      <c r="B34" s="1101">
        <v>3.1416628000000002</v>
      </c>
      <c r="E34" s="1101">
        <v>0.18898809999999999</v>
      </c>
      <c r="G34" s="1101">
        <v>2.1017492</v>
      </c>
      <c r="H34" s="1101">
        <v>0.52432920000000005</v>
      </c>
      <c r="I34" s="1101">
        <v>15.856180500000001</v>
      </c>
      <c r="J34" s="1101">
        <v>1.6749E-3</v>
      </c>
      <c r="L34" s="1101">
        <v>2.2634100000000001E-2</v>
      </c>
      <c r="S34" s="1101">
        <v>0.2221361</v>
      </c>
      <c r="T34" s="1101">
        <v>5.0836532999999999</v>
      </c>
      <c r="U34" s="1101">
        <v>0.41702359999999999</v>
      </c>
      <c r="W34" s="1101">
        <v>59.081021900000003</v>
      </c>
      <c r="Z34" s="1101">
        <v>0.10460700000000001</v>
      </c>
      <c r="AB34" s="1101">
        <v>0.48831910000000001</v>
      </c>
      <c r="AC34" s="1101">
        <v>0.2532335</v>
      </c>
      <c r="AD34" s="1101">
        <v>2.3508110000000002</v>
      </c>
      <c r="AF34" s="1101">
        <v>2.5843273</v>
      </c>
      <c r="AI34" s="1101">
        <v>0.53076190000000001</v>
      </c>
    </row>
    <row r="35" spans="1:35">
      <c r="A35" s="1096" t="s">
        <v>1014</v>
      </c>
      <c r="I35" s="1101">
        <v>3.6797469999999999</v>
      </c>
      <c r="W35" s="1101">
        <v>7.0777406000000003</v>
      </c>
      <c r="X35" s="1101">
        <v>1.3937088</v>
      </c>
      <c r="AD35" s="1101">
        <v>5.1503300000000002E-2</v>
      </c>
    </row>
    <row r="36" spans="1:35">
      <c r="A36" s="1096" t="s">
        <v>1021</v>
      </c>
      <c r="H36" s="1101">
        <v>8.1346399999999999E-2</v>
      </c>
      <c r="I36" s="1101">
        <v>7.7000000000000008E-6</v>
      </c>
      <c r="J36" s="1101">
        <v>3.678722</v>
      </c>
      <c r="W36" s="1101">
        <v>4.5762714999999998</v>
      </c>
      <c r="Y36" s="1101">
        <v>22.629459199999999</v>
      </c>
    </row>
    <row r="37" spans="1:35">
      <c r="A37" s="1096" t="s">
        <v>1025</v>
      </c>
      <c r="B37" s="1101">
        <v>5.2341499999999999E-2</v>
      </c>
      <c r="D37" s="1101">
        <v>0.36837890000000001</v>
      </c>
      <c r="G37" s="1101">
        <v>0.21559120000000001</v>
      </c>
      <c r="H37" s="1101">
        <v>1.262429</v>
      </c>
      <c r="J37" s="1101">
        <v>6.2377690000000001</v>
      </c>
      <c r="T37" s="1101">
        <v>0.89776959999999995</v>
      </c>
      <c r="AB37" s="1101">
        <v>0.12990760000000001</v>
      </c>
      <c r="AC37" s="1101">
        <v>4.5139999999999998E-3</v>
      </c>
      <c r="AD37" s="1101">
        <v>0.2238773</v>
      </c>
      <c r="AF37" s="1101">
        <v>3.4642409000000001</v>
      </c>
    </row>
    <row r="38" spans="1:35">
      <c r="A38" s="1096" t="s">
        <v>1605</v>
      </c>
      <c r="B38" s="1101">
        <v>10.9591575</v>
      </c>
      <c r="L38" s="1101">
        <v>2.5570255999999998</v>
      </c>
      <c r="N38" s="1101">
        <v>0.1637141</v>
      </c>
      <c r="P38" s="1101">
        <v>3.6934792000000001</v>
      </c>
      <c r="S38" s="1101">
        <v>6.1492722999999998</v>
      </c>
      <c r="T38" s="1101">
        <v>35.143666500000002</v>
      </c>
      <c r="U38" s="1101">
        <v>0.57600810000000002</v>
      </c>
      <c r="W38" s="1101">
        <v>20.145713199999999</v>
      </c>
      <c r="Y38" s="1101">
        <v>7.6553196000000003</v>
      </c>
      <c r="Z38" s="1101">
        <v>5.8068300000000003E-2</v>
      </c>
      <c r="AB38" s="1101">
        <v>4.4123942999999999</v>
      </c>
      <c r="AC38" s="1101">
        <v>7.5681583000000003</v>
      </c>
      <c r="AD38" s="1101">
        <v>0.92651689999999998</v>
      </c>
      <c r="AG38" s="1101">
        <v>1.6471418</v>
      </c>
      <c r="AI38" s="1101">
        <v>0.86634330000000004</v>
      </c>
    </row>
    <row r="39" spans="1:35">
      <c r="A39" s="1096" t="s">
        <v>1027</v>
      </c>
      <c r="H39" s="1101">
        <v>2.8574367999999999</v>
      </c>
      <c r="J39" s="1101">
        <v>7.2214999999999996E-3</v>
      </c>
      <c r="L39" s="1101">
        <v>5.5015300000000003E-2</v>
      </c>
      <c r="S39" s="1101">
        <v>0.1138513</v>
      </c>
      <c r="T39" s="1101">
        <v>3.1816805000000001</v>
      </c>
      <c r="W39" s="1101">
        <v>7.9685018999999997</v>
      </c>
      <c r="Y39" s="1101">
        <v>1.0612716</v>
      </c>
      <c r="Z39" s="1101">
        <v>0.32102330000000001</v>
      </c>
      <c r="AB39" s="1101">
        <v>9.3040100000000001E-2</v>
      </c>
      <c r="AC39" s="1101">
        <v>5.1332000000000003E-2</v>
      </c>
      <c r="AD39" s="1101">
        <v>0.51888570000000001</v>
      </c>
    </row>
    <row r="40" spans="1:35">
      <c r="A40" s="1096" t="s">
        <v>1030</v>
      </c>
      <c r="H40" s="1101">
        <v>7.6484188</v>
      </c>
      <c r="W40" s="1101">
        <v>4.3541837000000001</v>
      </c>
      <c r="Y40" s="1101">
        <v>3.2991600000000003E-2</v>
      </c>
      <c r="AD40" s="1101">
        <v>0.23217940000000001</v>
      </c>
    </row>
    <row r="41" spans="1:35">
      <c r="A41" s="1096" t="s">
        <v>1037</v>
      </c>
      <c r="B41" s="1101">
        <v>4.6138000000000004E-3</v>
      </c>
      <c r="D41" s="1101">
        <v>1.4573300000000001E-2</v>
      </c>
      <c r="I41" s="1101">
        <v>7.3309999999999998E-4</v>
      </c>
      <c r="J41" s="1101">
        <v>14.8581386</v>
      </c>
      <c r="S41" s="1101">
        <v>0.16829089999999999</v>
      </c>
      <c r="T41" s="1101">
        <v>6.3243099999999997E-2</v>
      </c>
      <c r="W41" s="1101">
        <v>2.9000000000000002E-6</v>
      </c>
      <c r="Z41" s="1101">
        <v>0.1202495</v>
      </c>
      <c r="AC41" s="1101">
        <v>1.4600000000000001E-5</v>
      </c>
      <c r="AD41" s="1101">
        <v>0.13886319999999999</v>
      </c>
      <c r="AF41" s="1101">
        <v>0.53583150000000002</v>
      </c>
      <c r="AH41" s="1101">
        <v>5.437E-3</v>
      </c>
    </row>
    <row r="42" spans="1:35">
      <c r="A42" s="1096" t="s">
        <v>1043</v>
      </c>
      <c r="B42" s="1101">
        <v>0.27553080000000002</v>
      </c>
      <c r="H42" s="1101">
        <v>0.53661139999999996</v>
      </c>
      <c r="J42" s="1101">
        <v>0.13553280000000001</v>
      </c>
      <c r="L42" s="1101">
        <v>1.6547900000000001E-2</v>
      </c>
      <c r="P42" s="1101">
        <v>0.28288580000000002</v>
      </c>
      <c r="T42" s="1101">
        <v>0.57716480000000003</v>
      </c>
      <c r="W42" s="1101">
        <v>5.2001438999999996</v>
      </c>
      <c r="Y42" s="1101">
        <v>0.80583729999999998</v>
      </c>
      <c r="Z42" s="1101">
        <v>4.1979700000000002E-2</v>
      </c>
      <c r="AB42" s="1101">
        <v>8.5115E-3</v>
      </c>
      <c r="AC42" s="1101">
        <v>0.1009779</v>
      </c>
      <c r="AD42" s="1101">
        <v>0.51891229999999999</v>
      </c>
    </row>
    <row r="43" spans="1:35">
      <c r="A43" s="1096" t="s">
        <v>1046</v>
      </c>
      <c r="U43" s="1101">
        <v>0.22684670000000001</v>
      </c>
      <c r="W43" s="1101">
        <v>28.721386200000001</v>
      </c>
      <c r="AD43" s="1101">
        <v>0.45207130000000001</v>
      </c>
    </row>
    <row r="44" spans="1:35">
      <c r="A44" s="1096" t="s">
        <v>341</v>
      </c>
      <c r="H44" s="1101">
        <v>8.3165592999999998</v>
      </c>
      <c r="I44" s="1101">
        <v>7.4092447000000003</v>
      </c>
      <c r="J44" s="1101">
        <v>1.3917903</v>
      </c>
      <c r="L44" s="1101">
        <v>0.18411659999999999</v>
      </c>
      <c r="M44" s="1101">
        <v>0.14168239999999999</v>
      </c>
      <c r="N44" s="1101">
        <v>6.4112188000000003</v>
      </c>
      <c r="R44" s="1101">
        <v>0.64633130000000005</v>
      </c>
      <c r="S44" s="1101">
        <v>2.5183277999999998</v>
      </c>
      <c r="T44" s="1101">
        <v>4.1803834000000002</v>
      </c>
      <c r="U44" s="1101">
        <v>0.35602260000000002</v>
      </c>
      <c r="W44" s="1101">
        <v>15.2943113</v>
      </c>
      <c r="AB44" s="1101">
        <v>0.61914820000000004</v>
      </c>
      <c r="AC44" s="1101">
        <v>5.0933646000000001</v>
      </c>
      <c r="AD44" s="1101">
        <v>3.4011455000000002</v>
      </c>
      <c r="AH44" s="1101">
        <v>0.70591939999999997</v>
      </c>
    </row>
    <row r="45" spans="1:35">
      <c r="A45" s="1096" t="s">
        <v>1050</v>
      </c>
      <c r="B45" s="1101">
        <v>1.6187222000000001</v>
      </c>
      <c r="J45" s="1101">
        <v>5.0191005000000004</v>
      </c>
      <c r="S45" s="1101">
        <v>0.1213857</v>
      </c>
      <c r="Y45" s="1101">
        <v>2.3815898</v>
      </c>
      <c r="AB45" s="1101">
        <v>7.7215000000000001E-3</v>
      </c>
      <c r="AC45" s="1101">
        <v>0.40605940000000001</v>
      </c>
      <c r="AF45" s="1101">
        <v>1.494542</v>
      </c>
    </row>
    <row r="46" spans="1:35">
      <c r="A46" s="1096" t="s">
        <v>1324</v>
      </c>
      <c r="B46" s="1101">
        <v>1.1889116</v>
      </c>
      <c r="G46" s="1101">
        <v>1.07355</v>
      </c>
      <c r="H46" s="1101">
        <v>23.209110299999999</v>
      </c>
      <c r="S46" s="1101">
        <v>3.1052900000000001E-2</v>
      </c>
      <c r="T46" s="1101">
        <v>0.61023930000000004</v>
      </c>
      <c r="U46" s="1101">
        <v>1.7060518</v>
      </c>
      <c r="W46" s="1101">
        <v>26.155565899999999</v>
      </c>
      <c r="Y46" s="1101">
        <v>4.9222058999999998</v>
      </c>
      <c r="Z46" s="1101">
        <v>1.0924581</v>
      </c>
      <c r="AB46" s="1101">
        <v>1.5658505</v>
      </c>
      <c r="AC46" s="1101">
        <v>0.51704280000000002</v>
      </c>
      <c r="AD46" s="1101">
        <v>2.0199707999999998</v>
      </c>
      <c r="AI46" s="1101">
        <v>1.083E-4</v>
      </c>
    </row>
    <row r="47" spans="1:35">
      <c r="A47" s="1096" t="s">
        <v>1387</v>
      </c>
      <c r="B47" s="1101">
        <v>1.22849E-2</v>
      </c>
      <c r="D47" s="1101">
        <v>1.51524E-2</v>
      </c>
      <c r="H47" s="1101">
        <v>18.518804299999999</v>
      </c>
      <c r="J47" s="1101">
        <v>6.0777000000000001E-3</v>
      </c>
      <c r="M47" s="1101">
        <v>1.1672699999999999E-2</v>
      </c>
      <c r="T47" s="1101">
        <v>0.15762280000000001</v>
      </c>
      <c r="W47" s="1101">
        <v>4.2629070999999996</v>
      </c>
      <c r="Z47" s="1101">
        <v>0.14799979999999999</v>
      </c>
      <c r="AB47" s="1101">
        <v>0.32158320000000001</v>
      </c>
      <c r="AC47" s="1101">
        <v>7.8936000000000006E-3</v>
      </c>
      <c r="AD47" s="1101">
        <v>0.30070550000000001</v>
      </c>
      <c r="AF47" s="1101">
        <v>1.7666600000000001E-2</v>
      </c>
    </row>
    <row r="48" spans="1:35">
      <c r="A48" s="1096" t="s">
        <v>348</v>
      </c>
      <c r="B48" s="1101">
        <v>10.9093144</v>
      </c>
      <c r="H48" s="1101">
        <v>265.7895484</v>
      </c>
      <c r="Q48" s="1101">
        <v>95.881665400000003</v>
      </c>
      <c r="R48" s="1101">
        <v>10.443349100000001</v>
      </c>
      <c r="S48" s="1101">
        <v>6.6634301999999996</v>
      </c>
      <c r="T48" s="1101">
        <v>318.2815382</v>
      </c>
      <c r="U48" s="1101">
        <v>0.1430545</v>
      </c>
      <c r="V48" s="1101">
        <v>0.1343502</v>
      </c>
      <c r="W48" s="1101">
        <v>144.58204649999999</v>
      </c>
      <c r="X48" s="1101">
        <v>1.7928900000000001E-2</v>
      </c>
      <c r="Y48" s="1101">
        <v>9.9881615000000004</v>
      </c>
      <c r="AB48" s="1101">
        <v>0.3919301</v>
      </c>
      <c r="AC48" s="1101">
        <v>0.50408549999999996</v>
      </c>
      <c r="AD48" s="1101">
        <v>10.4929196</v>
      </c>
      <c r="AG48" s="1101">
        <v>6.6639793999999997</v>
      </c>
      <c r="AI48" s="1101">
        <v>3.7965810000000002</v>
      </c>
    </row>
    <row r="49" spans="1:35">
      <c r="A49" s="1096" t="s">
        <v>1053</v>
      </c>
      <c r="B49" s="1101">
        <v>0.1167296</v>
      </c>
      <c r="D49" s="1101">
        <v>3.9585617000000002</v>
      </c>
      <c r="H49" s="1101">
        <v>4.5523924999999998</v>
      </c>
      <c r="I49" s="1101">
        <v>3.2031044</v>
      </c>
      <c r="J49" s="1101">
        <v>1.2013853999999999</v>
      </c>
      <c r="L49" s="1101">
        <v>0.47895860000000001</v>
      </c>
      <c r="T49" s="1101">
        <v>3.0401381999999999</v>
      </c>
      <c r="U49" s="1101">
        <v>0.44253769999999998</v>
      </c>
      <c r="W49" s="1101">
        <v>71.190686299999896</v>
      </c>
      <c r="Y49" s="1101">
        <v>4.6297835000000003</v>
      </c>
      <c r="Z49" s="1101">
        <v>0.3918912</v>
      </c>
      <c r="AB49" s="1101">
        <v>2.22732E-2</v>
      </c>
      <c r="AC49" s="1101">
        <v>0.16590250000000001</v>
      </c>
      <c r="AD49" s="1101">
        <v>1.312009</v>
      </c>
      <c r="AH49" s="1101">
        <v>0.17219880000000001</v>
      </c>
    </row>
    <row r="50" spans="1:35">
      <c r="A50" s="1096" t="s">
        <v>1253</v>
      </c>
      <c r="B50" s="1101">
        <v>2.73184E-2</v>
      </c>
      <c r="D50" s="1101">
        <v>0.1356057</v>
      </c>
      <c r="E50" s="1101">
        <v>0.53588259999999999</v>
      </c>
      <c r="F50" s="1101">
        <v>2.4098899999999999E-2</v>
      </c>
      <c r="H50" s="1101">
        <v>0.56194929999999998</v>
      </c>
      <c r="I50" s="1101">
        <v>1.9298105999999999</v>
      </c>
      <c r="J50" s="1101">
        <v>3.8603499999999999E-2</v>
      </c>
      <c r="L50" s="1101">
        <v>0.79988329999999996</v>
      </c>
      <c r="M50" s="1101">
        <v>5.1799199999999997E-2</v>
      </c>
      <c r="N50" s="1101">
        <v>0.25641580000000003</v>
      </c>
      <c r="P50" s="1101">
        <v>9.2844200000000002E-2</v>
      </c>
      <c r="S50" s="1101">
        <v>0.27482269999999998</v>
      </c>
      <c r="T50" s="1101">
        <v>0.57242979999999999</v>
      </c>
      <c r="U50" s="1101">
        <v>7.7626399999999998E-2</v>
      </c>
      <c r="W50" s="1101">
        <v>1.6478507</v>
      </c>
      <c r="Z50" s="1101">
        <v>6.6023600000000002E-2</v>
      </c>
      <c r="AB50" s="1101">
        <v>2.7083400000000001E-2</v>
      </c>
      <c r="AC50" s="1101">
        <v>0.62989229999999996</v>
      </c>
      <c r="AD50" s="1101">
        <v>1.9130240999999999</v>
      </c>
      <c r="AH50" s="1101">
        <v>2.9111000000000001E-2</v>
      </c>
    </row>
    <row r="51" spans="1:35">
      <c r="A51" s="1096" t="s">
        <v>1071</v>
      </c>
      <c r="B51" s="1101">
        <v>11.5619298</v>
      </c>
      <c r="H51" s="1101">
        <v>0.5531644</v>
      </c>
      <c r="I51" s="1101">
        <v>0.31726769999999999</v>
      </c>
      <c r="J51" s="1101">
        <v>223.21329209999999</v>
      </c>
      <c r="S51" s="1101">
        <v>2.1101291</v>
      </c>
      <c r="T51" s="1101">
        <v>4.9955160000000003</v>
      </c>
      <c r="U51" s="1101">
        <v>1.5145462999999999</v>
      </c>
      <c r="W51" s="1101">
        <v>85.571580699999998</v>
      </c>
      <c r="Y51" s="1101">
        <v>2.0320000000000001E-4</v>
      </c>
      <c r="Z51" s="1101">
        <v>3.9837299999999999E-2</v>
      </c>
      <c r="AB51" s="1101">
        <v>1.3057265</v>
      </c>
      <c r="AC51" s="1101">
        <v>2.4789311999999999</v>
      </c>
      <c r="AD51" s="1101">
        <v>9.8926051000000008</v>
      </c>
      <c r="AF51" s="1101">
        <v>17.7299191</v>
      </c>
    </row>
    <row r="52" spans="1:35">
      <c r="A52" s="1096" t="s">
        <v>1068</v>
      </c>
      <c r="H52" s="1101">
        <v>0.2749431</v>
      </c>
      <c r="I52" s="1101">
        <v>2.6002399999999998E-2</v>
      </c>
      <c r="J52" s="1101">
        <v>0.5473962</v>
      </c>
      <c r="W52" s="1101">
        <v>0.81029300000000004</v>
      </c>
    </row>
    <row r="53" spans="1:35">
      <c r="A53" s="1096" t="s">
        <v>1100</v>
      </c>
      <c r="H53" s="1101">
        <v>2.9060248</v>
      </c>
      <c r="J53" s="1101">
        <v>0.53616920000000001</v>
      </c>
      <c r="W53" s="1101">
        <v>16.0975669</v>
      </c>
      <c r="AD53" s="1101">
        <v>1.43806E-2</v>
      </c>
    </row>
    <row r="54" spans="1:35">
      <c r="A54" s="1096" t="s">
        <v>342</v>
      </c>
      <c r="B54" s="1101">
        <v>8.7716866000000007</v>
      </c>
      <c r="H54" s="1101">
        <v>541.51214249999998</v>
      </c>
      <c r="L54" s="1101">
        <v>9.7806545000000007</v>
      </c>
      <c r="N54" s="1101">
        <v>10.836684699999999</v>
      </c>
      <c r="Q54" s="1101">
        <v>15.5936547</v>
      </c>
      <c r="S54" s="1101">
        <v>27.3509332</v>
      </c>
      <c r="T54" s="1101">
        <v>43.342854799999998</v>
      </c>
      <c r="Y54" s="1101">
        <v>10.4899588</v>
      </c>
      <c r="Z54" s="1101">
        <v>5.3850762000000003</v>
      </c>
      <c r="AB54" s="1101">
        <v>3.9299691000000001</v>
      </c>
      <c r="AC54" s="1101">
        <v>9.1281960000000009</v>
      </c>
      <c r="AD54" s="1101">
        <v>13.943090099999999</v>
      </c>
      <c r="AI54" s="1101">
        <v>44.926687700000002</v>
      </c>
    </row>
    <row r="55" spans="1:35">
      <c r="A55" s="1096" t="s">
        <v>1102</v>
      </c>
      <c r="B55" s="1101">
        <v>1.0459573</v>
      </c>
      <c r="I55" s="1101">
        <v>33.592951200000002</v>
      </c>
      <c r="T55" s="1101">
        <v>0.80476000000000003</v>
      </c>
      <c r="U55" s="1101">
        <v>0.96450329999999995</v>
      </c>
      <c r="W55" s="1101">
        <v>55.331581800000002</v>
      </c>
      <c r="Z55" s="1101">
        <v>0.2878114</v>
      </c>
      <c r="AB55" s="1101">
        <v>1.2017302999999999</v>
      </c>
      <c r="AC55" s="1101">
        <v>1.4718486</v>
      </c>
      <c r="AD55" s="1101">
        <v>2.0537880999999998</v>
      </c>
      <c r="AF55" s="1101">
        <v>2.2377999999999999E-2</v>
      </c>
    </row>
    <row r="56" spans="1:35">
      <c r="A56" s="1096" t="s">
        <v>1104</v>
      </c>
      <c r="B56" s="1101">
        <v>1.2114663000000001</v>
      </c>
      <c r="D56" s="1101">
        <v>2.4225354000000001</v>
      </c>
      <c r="G56" s="1101">
        <v>9.882999999999999E-4</v>
      </c>
      <c r="H56" s="1101">
        <v>12.6440821</v>
      </c>
      <c r="J56" s="1101">
        <v>3.1387489</v>
      </c>
      <c r="L56" s="1101">
        <v>0.13728290000000001</v>
      </c>
      <c r="M56" s="1101">
        <v>1.6098700000000001E-2</v>
      </c>
      <c r="N56" s="1101">
        <v>0.20666760000000001</v>
      </c>
      <c r="O56" s="1101">
        <v>0.77122029999999997</v>
      </c>
      <c r="P56" s="1101">
        <v>0.13808300000000001</v>
      </c>
      <c r="S56" s="1101">
        <v>1.1895575</v>
      </c>
      <c r="T56" s="1101">
        <v>4.2063698</v>
      </c>
      <c r="W56" s="1101">
        <v>14.777319800000001</v>
      </c>
      <c r="Z56" s="1101">
        <v>1.4495989</v>
      </c>
      <c r="AB56" s="1101">
        <v>0.17592099999999999</v>
      </c>
      <c r="AC56" s="1101">
        <v>0.66587260000000004</v>
      </c>
      <c r="AD56" s="1101">
        <v>0.80737840000000105</v>
      </c>
      <c r="AH56" s="1101">
        <v>1.6127171</v>
      </c>
    </row>
    <row r="57" spans="1:35">
      <c r="A57" s="1096" t="s">
        <v>1113</v>
      </c>
      <c r="B57" s="1101">
        <v>24.946675500000001</v>
      </c>
      <c r="D57" s="1101">
        <v>0.56970010000000004</v>
      </c>
      <c r="F57" s="1101">
        <v>2.9360236999999998</v>
      </c>
      <c r="G57" s="1101">
        <v>1.09123E-2</v>
      </c>
      <c r="H57" s="1101">
        <v>0.61984490000000003</v>
      </c>
      <c r="I57" s="1101">
        <v>2.8452100000000001E-2</v>
      </c>
      <c r="J57" s="1101">
        <v>6.5034692999999999</v>
      </c>
      <c r="N57" s="1101">
        <v>1.9226498999999999</v>
      </c>
      <c r="O57" s="1101">
        <v>0.74854449999999995</v>
      </c>
      <c r="P57" s="1101">
        <v>4.0339923000000004</v>
      </c>
      <c r="S57" s="1101">
        <v>5.7871334000000001</v>
      </c>
      <c r="T57" s="1101">
        <v>37.490200299999998</v>
      </c>
      <c r="U57" s="1101">
        <v>0.2940815</v>
      </c>
      <c r="W57" s="1101">
        <v>9.2194382000000008</v>
      </c>
      <c r="Y57" s="1101">
        <v>36.414476499999999</v>
      </c>
      <c r="Z57" s="1101">
        <v>1.4308700000000001</v>
      </c>
      <c r="AB57" s="1101">
        <v>0.2289736</v>
      </c>
      <c r="AC57" s="1101">
        <v>11.2689883</v>
      </c>
      <c r="AD57" s="1101">
        <v>5.7355733999999998</v>
      </c>
      <c r="AF57" s="1101">
        <v>0.33466499999999999</v>
      </c>
      <c r="AI57" s="1101">
        <v>1.71305E-2</v>
      </c>
    </row>
    <row r="58" spans="1:35">
      <c r="A58" s="1096" t="s">
        <v>1116</v>
      </c>
      <c r="G58" s="1101">
        <v>0.12907550000000001</v>
      </c>
      <c r="H58" s="1101">
        <v>1.6264189</v>
      </c>
      <c r="J58" s="1101">
        <v>0.93753660000000005</v>
      </c>
      <c r="K58" s="1101">
        <v>0.22554930000000001</v>
      </c>
      <c r="L58" s="1101">
        <v>2.9921400000000001E-2</v>
      </c>
      <c r="M58" s="1101">
        <v>0.24343219999999999</v>
      </c>
      <c r="T58" s="1101">
        <v>4.8938455000000003</v>
      </c>
      <c r="U58" s="1101">
        <v>5.0857999999999997E-3</v>
      </c>
      <c r="W58" s="1101">
        <v>12.7678411</v>
      </c>
      <c r="Y58" s="1101">
        <v>1.1731125</v>
      </c>
      <c r="Z58" s="1101">
        <v>1.00269E-2</v>
      </c>
      <c r="AC58" s="1101">
        <v>2.1025499999999999E-2</v>
      </c>
      <c r="AD58" s="1101">
        <v>4.0139500000000002E-2</v>
      </c>
      <c r="AF58" s="1101">
        <v>10.1640566</v>
      </c>
    </row>
    <row r="59" spans="1:35">
      <c r="A59" s="1096" t="s">
        <v>1125</v>
      </c>
      <c r="B59" s="1101">
        <v>0.13114890000000001</v>
      </c>
      <c r="H59" s="1101">
        <v>4.5500000000000002E-3</v>
      </c>
      <c r="J59" s="1101">
        <v>24.3645101</v>
      </c>
      <c r="K59" s="1101">
        <v>8.1920099999999996E-2</v>
      </c>
      <c r="M59" s="1101">
        <v>0.56313369999999996</v>
      </c>
      <c r="N59" s="1101">
        <v>0.27782950000000001</v>
      </c>
      <c r="O59" s="1101">
        <v>0.12967809999999999</v>
      </c>
      <c r="S59" s="1101">
        <v>1.1747278999999999</v>
      </c>
      <c r="T59" s="1101">
        <v>0.47064430000000002</v>
      </c>
      <c r="W59" s="1101">
        <v>10.245419399999999</v>
      </c>
      <c r="Y59" s="1101">
        <v>0.1255376</v>
      </c>
      <c r="Z59" s="1101">
        <v>3.8617199999999997E-2</v>
      </c>
      <c r="AB59" s="1101">
        <v>0.12555640000000001</v>
      </c>
      <c r="AC59" s="1101">
        <v>0.48587960000000002</v>
      </c>
      <c r="AD59" s="1101">
        <v>0.46224359999999998</v>
      </c>
      <c r="AF59" s="1101">
        <v>0.91121890000000005</v>
      </c>
    </row>
    <row r="60" spans="1:35">
      <c r="A60" s="1096" t="s">
        <v>1127</v>
      </c>
      <c r="B60" s="1101">
        <v>8.8719943999999806</v>
      </c>
      <c r="C60" s="1101">
        <v>4.4106429</v>
      </c>
      <c r="D60" s="1101">
        <v>0.39756999999999998</v>
      </c>
      <c r="H60" s="1101">
        <v>21.846698499999999</v>
      </c>
      <c r="I60" s="1101">
        <v>0.62682070000000001</v>
      </c>
      <c r="J60" s="1101">
        <v>53.123647000000503</v>
      </c>
      <c r="K60" s="1101">
        <v>0.27574759999999998</v>
      </c>
      <c r="L60" s="1101">
        <v>1.0620797</v>
      </c>
      <c r="S60" s="1101">
        <v>6.1519189999999204</v>
      </c>
      <c r="T60" s="1101">
        <v>6.7895380000000003</v>
      </c>
      <c r="U60" s="1101">
        <v>0.32459460000000001</v>
      </c>
      <c r="W60" s="1101">
        <v>11.0235767</v>
      </c>
      <c r="Y60" s="1101">
        <v>1.3485613000000001</v>
      </c>
      <c r="Z60" s="1101">
        <v>0.2423168</v>
      </c>
      <c r="AB60" s="1101">
        <v>0.1247443</v>
      </c>
      <c r="AC60" s="1101">
        <v>8.5288444999999999</v>
      </c>
      <c r="AD60" s="1101">
        <v>2.4745368000000001</v>
      </c>
      <c r="AF60" s="1101">
        <v>4.4493830000000001</v>
      </c>
      <c r="AH60" s="1101">
        <v>10.908076700000001</v>
      </c>
    </row>
    <row r="61" spans="1:35">
      <c r="A61" s="1096" t="s">
        <v>1136</v>
      </c>
      <c r="B61" s="1101">
        <v>4.7614960999999996</v>
      </c>
      <c r="D61" s="1101">
        <v>0.14747080000000001</v>
      </c>
      <c r="F61" s="1101">
        <v>2.8176199999999998E-2</v>
      </c>
      <c r="H61" s="1101">
        <v>4.6298826999999996</v>
      </c>
      <c r="I61" s="1101">
        <v>3.4547300000000003E-2</v>
      </c>
      <c r="J61" s="1101">
        <v>5.4799999999999997E-5</v>
      </c>
      <c r="L61" s="1101">
        <v>2.7884699999999998E-2</v>
      </c>
      <c r="S61" s="1101">
        <v>0.44702330000000001</v>
      </c>
      <c r="T61" s="1101">
        <v>9.2828306000000005</v>
      </c>
      <c r="W61" s="1101">
        <v>4.6211409000000003</v>
      </c>
      <c r="Y61" s="1101">
        <v>10.1556921</v>
      </c>
      <c r="Z61" s="1101">
        <v>1.3365719</v>
      </c>
      <c r="AB61" s="1101">
        <v>0.1654765</v>
      </c>
      <c r="AC61" s="1101">
        <v>1.7589252</v>
      </c>
      <c r="AD61" s="1101">
        <v>3.1132947999999998</v>
      </c>
      <c r="AH61" s="1101">
        <v>1.126E-4</v>
      </c>
    </row>
    <row r="62" spans="1:35">
      <c r="A62" s="1096" t="s">
        <v>1137</v>
      </c>
      <c r="H62" s="1101">
        <v>0.3937428</v>
      </c>
      <c r="I62" s="1101">
        <v>44.683675399999998</v>
      </c>
      <c r="J62" s="1101">
        <v>0.1029689</v>
      </c>
      <c r="U62" s="1101">
        <v>0.32762649999999999</v>
      </c>
      <c r="W62" s="1101">
        <v>4.9392315</v>
      </c>
      <c r="Y62" s="1101">
        <v>1.0940422000000001</v>
      </c>
      <c r="AB62" s="1101">
        <v>0.45835039999999999</v>
      </c>
      <c r="AD62" s="1101">
        <v>0.23811360000000001</v>
      </c>
    </row>
    <row r="63" spans="1:35">
      <c r="A63" s="1096" t="s">
        <v>1091</v>
      </c>
      <c r="B63" s="1101">
        <v>12.578578800000001</v>
      </c>
      <c r="F63" s="1101">
        <v>1.0988914999999999</v>
      </c>
      <c r="H63" s="1101">
        <v>2.4446558999999999</v>
      </c>
      <c r="I63" s="1101">
        <v>1.9110700000000001E-2</v>
      </c>
      <c r="J63" s="1101">
        <v>19.242492899999998</v>
      </c>
      <c r="K63" s="1101">
        <v>3.0734838999999998</v>
      </c>
      <c r="L63" s="1101">
        <v>0.55152219999999996</v>
      </c>
      <c r="M63" s="1101">
        <v>0.11549420000000001</v>
      </c>
      <c r="N63" s="1101">
        <v>0.8759884</v>
      </c>
      <c r="P63" s="1101">
        <v>10.375826099999999</v>
      </c>
      <c r="S63" s="1101">
        <v>6.7682472000000002</v>
      </c>
      <c r="T63" s="1101">
        <v>13.732764599999999</v>
      </c>
      <c r="U63" s="1101">
        <v>4.7705699999999997E-2</v>
      </c>
      <c r="W63" s="1101">
        <v>21.260920899999999</v>
      </c>
      <c r="Z63" s="1101">
        <v>1.9235914999999999</v>
      </c>
      <c r="AC63" s="1101">
        <v>8.8122389000000005</v>
      </c>
      <c r="AD63" s="1101">
        <v>9.1953701999999993</v>
      </c>
      <c r="AE63" s="1101">
        <v>0.34756740000000003</v>
      </c>
      <c r="AF63" s="1101">
        <v>7.4426252000000002</v>
      </c>
      <c r="AH63" s="1101">
        <v>2.3876048000000001</v>
      </c>
    </row>
    <row r="64" spans="1:35">
      <c r="A64" s="1096" t="s">
        <v>1142</v>
      </c>
      <c r="J64" s="1101">
        <v>0.69428630000000002</v>
      </c>
    </row>
    <row r="65" spans="1:35">
      <c r="A65" s="1096" t="s">
        <v>1147</v>
      </c>
      <c r="B65" s="1101">
        <v>6.6661866999999999</v>
      </c>
      <c r="D65" s="1101">
        <v>3.2880000000000002E-4</v>
      </c>
      <c r="G65" s="1101">
        <v>17.483194399999999</v>
      </c>
      <c r="H65" s="1101">
        <v>26.638931400000001</v>
      </c>
      <c r="J65" s="1101">
        <v>12.850255799999999</v>
      </c>
      <c r="K65" s="1101">
        <v>9.0168200000000004E-2</v>
      </c>
      <c r="L65" s="1101">
        <v>5.0013200000000001E-2</v>
      </c>
      <c r="N65" s="1101">
        <v>0.71181799999999995</v>
      </c>
      <c r="O65" s="1101">
        <v>0.83040789999999998</v>
      </c>
      <c r="S65" s="1101">
        <v>5.2562718999999998</v>
      </c>
      <c r="T65" s="1101">
        <v>16.012045700000002</v>
      </c>
      <c r="U65" s="1101">
        <v>19.2299319</v>
      </c>
      <c r="W65" s="1101">
        <v>26.182099099999999</v>
      </c>
      <c r="Y65" s="1101">
        <v>2.6654686000000001</v>
      </c>
      <c r="Z65" s="1101">
        <v>7.7330787000000001</v>
      </c>
      <c r="AC65" s="1101">
        <v>1.4495275999999999</v>
      </c>
      <c r="AD65" s="1101">
        <v>8.3547661000000009</v>
      </c>
      <c r="AH65" s="1101">
        <v>1.4520268999999999</v>
      </c>
    </row>
    <row r="66" spans="1:35">
      <c r="A66" s="1096" t="s">
        <v>1749</v>
      </c>
      <c r="H66" s="1101">
        <v>3.1798734999999998</v>
      </c>
      <c r="J66" s="1101">
        <v>1.6863900000000001E-2</v>
      </c>
      <c r="K66" s="1101">
        <v>7.4185399999999999E-2</v>
      </c>
      <c r="S66" s="1101">
        <v>0.17188000000000001</v>
      </c>
      <c r="T66" s="1101">
        <v>0.46353810000000001</v>
      </c>
      <c r="W66" s="1101">
        <v>11.0919408</v>
      </c>
      <c r="AB66" s="1101">
        <v>0.2044841</v>
      </c>
      <c r="AC66" s="1101">
        <v>6.1790600000000001E-2</v>
      </c>
      <c r="AD66" s="1101">
        <v>4.0210000000000003E-3</v>
      </c>
      <c r="AH66" s="1101">
        <v>1.6848E-3</v>
      </c>
    </row>
    <row r="67" spans="1:35">
      <c r="A67" s="1096" t="s">
        <v>1340</v>
      </c>
      <c r="B67" s="1101">
        <v>3.6286961999999998</v>
      </c>
      <c r="H67" s="1101">
        <v>35.843350999999998</v>
      </c>
      <c r="J67" s="1101">
        <v>2.0551971999999998</v>
      </c>
      <c r="L67" s="1101">
        <v>0.30861179999999999</v>
      </c>
      <c r="M67" s="1101">
        <v>0.2269862</v>
      </c>
      <c r="P67" s="1101">
        <v>0.35386139999999999</v>
      </c>
      <c r="S67" s="1101">
        <v>2.6324947999999999</v>
      </c>
      <c r="T67" s="1101">
        <v>2.0448992000000001</v>
      </c>
      <c r="U67" s="1101">
        <v>8.8450999999999998E-3</v>
      </c>
      <c r="W67" s="1101">
        <v>5.4201028999999998</v>
      </c>
      <c r="Y67" s="1101">
        <v>7.6239999999999999E-4</v>
      </c>
      <c r="Z67" s="1101">
        <v>1.9256347</v>
      </c>
      <c r="AB67" s="1101">
        <v>0.24471970000000001</v>
      </c>
      <c r="AC67" s="1101">
        <v>0.87880930000000002</v>
      </c>
      <c r="AD67" s="1101">
        <v>1.1638923999999999</v>
      </c>
      <c r="AF67" s="1101">
        <v>2.9294015</v>
      </c>
      <c r="AH67" s="1101">
        <v>3.7430100000000001E-2</v>
      </c>
    </row>
    <row r="68" spans="1:35">
      <c r="A68" s="1096" t="s">
        <v>1343</v>
      </c>
      <c r="B68" s="1101">
        <v>0.94225599999999998</v>
      </c>
      <c r="D68" s="1101">
        <v>2.30309E-2</v>
      </c>
      <c r="H68" s="1101">
        <v>31.092130900000001</v>
      </c>
      <c r="J68" s="1101">
        <v>0.1359718</v>
      </c>
      <c r="M68" s="1101">
        <v>0.21354090000000001</v>
      </c>
      <c r="N68" s="1101">
        <v>1.5916000000000001E-3</v>
      </c>
      <c r="S68" s="1101">
        <v>0.35946650000000002</v>
      </c>
      <c r="T68" s="1101">
        <v>0.38853969999999999</v>
      </c>
      <c r="U68" s="1101">
        <v>6.8073999999999999E-3</v>
      </c>
      <c r="W68" s="1101">
        <v>11.8937331</v>
      </c>
      <c r="AB68" s="1101">
        <v>4.8491800000000002E-2</v>
      </c>
      <c r="AC68" s="1101">
        <v>0.1642052</v>
      </c>
      <c r="AD68" s="1101">
        <v>0.27001789999999998</v>
      </c>
      <c r="AF68" s="1101">
        <v>1.8929786</v>
      </c>
    </row>
    <row r="69" spans="1:35">
      <c r="A69" s="1096" t="s">
        <v>1384</v>
      </c>
      <c r="B69" s="1101">
        <v>13.551424900000001</v>
      </c>
      <c r="C69" s="1101">
        <v>2.1420935999999999</v>
      </c>
      <c r="D69" s="1101">
        <v>1.2045116</v>
      </c>
      <c r="H69" s="1101">
        <v>57.562720200000001</v>
      </c>
      <c r="J69" s="1101">
        <v>145.46481</v>
      </c>
      <c r="L69" s="1101">
        <v>5.3175100000000003E-2</v>
      </c>
      <c r="M69" s="1101">
        <v>0.1490408</v>
      </c>
      <c r="N69" s="1101">
        <v>0.65585459999999995</v>
      </c>
      <c r="P69" s="1101">
        <v>0.1958733</v>
      </c>
      <c r="S69" s="1101">
        <v>8.0252613999999998</v>
      </c>
      <c r="T69" s="1101">
        <v>3.4604241</v>
      </c>
      <c r="U69" s="1101">
        <v>2.6454110000000002</v>
      </c>
      <c r="W69" s="1101">
        <v>8.2899651999999993</v>
      </c>
      <c r="Y69" s="1101">
        <v>0.22458900000000001</v>
      </c>
      <c r="Z69" s="1101">
        <v>8.1518928000000006</v>
      </c>
      <c r="AB69" s="1101">
        <v>4.7441269000000004</v>
      </c>
      <c r="AC69" s="1101">
        <v>3.289196</v>
      </c>
      <c r="AD69" s="1101">
        <v>6.8500496999999996</v>
      </c>
      <c r="AF69" s="1101">
        <v>15.7968002</v>
      </c>
      <c r="AG69" s="1101">
        <v>29.8077574</v>
      </c>
      <c r="AH69" s="1101">
        <v>7.8372928999999996</v>
      </c>
    </row>
    <row r="70" spans="1:35">
      <c r="A70" s="1096" t="s">
        <v>1670</v>
      </c>
      <c r="B70" s="1101">
        <v>9.3405799999999997E-2</v>
      </c>
      <c r="G70" s="1101">
        <v>0.14765829999999999</v>
      </c>
      <c r="H70" s="1101">
        <v>8.7271865000000002</v>
      </c>
      <c r="J70" s="1101">
        <v>0.65808169999999999</v>
      </c>
      <c r="W70" s="1101">
        <v>0.92993999999999999</v>
      </c>
      <c r="Z70" s="1101">
        <v>6.0741099999999999E-2</v>
      </c>
      <c r="AD70" s="1101">
        <v>4.0517299999999999E-2</v>
      </c>
      <c r="AF70" s="1101">
        <v>0.13943810000000001</v>
      </c>
    </row>
    <row r="71" spans="1:35">
      <c r="A71" s="1096" t="s">
        <v>725</v>
      </c>
      <c r="H71" s="1101">
        <v>5.4482299999999997E-2</v>
      </c>
      <c r="J71" s="1101">
        <v>2.22357</v>
      </c>
      <c r="T71" s="1101">
        <v>1.8597099999999998E-2</v>
      </c>
      <c r="W71" s="1101">
        <v>0.32837270000000002</v>
      </c>
      <c r="AF71" s="1101">
        <v>0.21178810000000001</v>
      </c>
    </row>
    <row r="72" spans="1:35">
      <c r="A72" s="1096" t="s">
        <v>1084</v>
      </c>
      <c r="B72" s="1101">
        <v>0.60197610000000001</v>
      </c>
      <c r="G72" s="1101">
        <v>1.0721063</v>
      </c>
      <c r="H72" s="1101">
        <v>4.3856811000000002</v>
      </c>
      <c r="J72" s="1101">
        <v>9.1501075000000007</v>
      </c>
      <c r="P72" s="1101">
        <v>2.5043000000000001E-3</v>
      </c>
      <c r="S72" s="1101">
        <v>1.98598E-2</v>
      </c>
      <c r="T72" s="1101">
        <v>1.1995328999999999</v>
      </c>
      <c r="U72" s="1101">
        <v>0.1707333</v>
      </c>
      <c r="W72" s="1101">
        <v>23.5365313</v>
      </c>
      <c r="Y72" s="1101">
        <v>2.4312799999999999E-2</v>
      </c>
      <c r="AB72" s="1101">
        <v>0.55280130000000005</v>
      </c>
      <c r="AC72" s="1101">
        <v>0.2435986</v>
      </c>
      <c r="AD72" s="1101">
        <v>0.81069729999999995</v>
      </c>
      <c r="AF72" s="1101">
        <v>1.0144495</v>
      </c>
    </row>
    <row r="73" spans="1:35">
      <c r="A73" s="1096" t="s">
        <v>1184</v>
      </c>
      <c r="B73" s="1101">
        <v>1.156137</v>
      </c>
      <c r="G73" s="1101">
        <v>2.3491906</v>
      </c>
      <c r="H73" s="1101">
        <v>3.1894973000000002</v>
      </c>
      <c r="I73" s="1101">
        <v>0.17782500000000001</v>
      </c>
      <c r="J73" s="1101">
        <v>31.256610200000001</v>
      </c>
      <c r="K73" s="1101">
        <v>1.10259E-2</v>
      </c>
      <c r="S73" s="1101">
        <v>4.35479E-2</v>
      </c>
      <c r="T73" s="1101">
        <v>0.30586079999999999</v>
      </c>
      <c r="W73" s="1101">
        <v>38.797858099999999</v>
      </c>
      <c r="Y73" s="1101">
        <v>27.0177838</v>
      </c>
      <c r="Z73" s="1101">
        <v>7.5370000000000005E-4</v>
      </c>
      <c r="AB73" s="1101">
        <v>0.69317379999999995</v>
      </c>
      <c r="AC73" s="1101">
        <v>0.58845879999999995</v>
      </c>
      <c r="AD73" s="1101">
        <v>0.31818010000000002</v>
      </c>
      <c r="AF73" s="1101">
        <v>2.219E-4</v>
      </c>
      <c r="AH73" s="1101">
        <v>1.5E-6</v>
      </c>
    </row>
    <row r="74" spans="1:35">
      <c r="A74" s="1096" t="s">
        <v>1187</v>
      </c>
      <c r="B74" s="1101">
        <v>4.4114176</v>
      </c>
      <c r="F74" s="1101">
        <v>1.5822456</v>
      </c>
      <c r="G74" s="1101">
        <v>4.7749000000000003E-3</v>
      </c>
      <c r="H74" s="1101">
        <v>109.59347940000001</v>
      </c>
      <c r="I74" s="1101">
        <v>6.698E-3</v>
      </c>
      <c r="J74" s="1101">
        <v>4.0641299999999998E-2</v>
      </c>
      <c r="M74" s="1101">
        <v>0.12082569999999999</v>
      </c>
      <c r="S74" s="1101">
        <v>5.6482469999999996</v>
      </c>
      <c r="T74" s="1101">
        <v>5.4762722000000004</v>
      </c>
      <c r="W74" s="1101">
        <v>33.053028099999999</v>
      </c>
      <c r="AA74" s="1101">
        <v>9.6954999999999993E-3</v>
      </c>
      <c r="AB74" s="1101">
        <v>5.3171E-3</v>
      </c>
      <c r="AD74" s="1101">
        <v>1.0408797999999999</v>
      </c>
    </row>
    <row r="75" spans="1:35">
      <c r="A75" s="1096" t="s">
        <v>1135</v>
      </c>
      <c r="U75" s="1101">
        <v>6.5795199999999998E-2</v>
      </c>
      <c r="W75" s="1101">
        <v>6.8061993000000003</v>
      </c>
      <c r="Y75" s="1101">
        <v>3.9045E-3</v>
      </c>
      <c r="AD75" s="1101">
        <v>0.30126540000000002</v>
      </c>
    </row>
    <row r="76" spans="1:35">
      <c r="A76" s="1096" t="s">
        <v>1155</v>
      </c>
      <c r="B76" s="1101">
        <v>7.2664812999999997</v>
      </c>
      <c r="C76" s="1101">
        <v>7.7679385999999999</v>
      </c>
      <c r="H76" s="1101">
        <v>6.9999999999999997E-7</v>
      </c>
      <c r="I76" s="1101">
        <v>54.661657300000002</v>
      </c>
      <c r="J76" s="1101">
        <v>0.4628332</v>
      </c>
      <c r="L76" s="1101">
        <v>7.8180000000000003E-4</v>
      </c>
      <c r="N76" s="1101">
        <v>1.6625510999999999</v>
      </c>
      <c r="P76" s="1101">
        <v>8.696E-4</v>
      </c>
      <c r="S76" s="1101">
        <v>3.6034543000000001</v>
      </c>
      <c r="T76" s="1101">
        <v>5.1431184999999999</v>
      </c>
      <c r="W76" s="1101">
        <v>28.803024400000002</v>
      </c>
      <c r="AB76" s="1101">
        <v>0.6290133</v>
      </c>
      <c r="AC76" s="1101">
        <v>2.0917425000000001</v>
      </c>
      <c r="AD76" s="1101">
        <v>1.1560994</v>
      </c>
    </row>
    <row r="77" spans="1:35">
      <c r="A77" s="1096" t="s">
        <v>1158</v>
      </c>
      <c r="B77" s="1101">
        <v>7.6297009999999998</v>
      </c>
      <c r="H77" s="1101">
        <v>30.539788600000001</v>
      </c>
      <c r="I77" s="1101">
        <v>0.2945818</v>
      </c>
      <c r="J77" s="1101">
        <v>15.8192472</v>
      </c>
      <c r="S77" s="1101">
        <v>0.51744690000000004</v>
      </c>
      <c r="T77" s="1101">
        <v>4.8313435</v>
      </c>
      <c r="W77" s="1101">
        <v>2.1979896999999999</v>
      </c>
      <c r="Y77" s="1101">
        <v>4.9449999999999997E-3</v>
      </c>
      <c r="AB77" s="1101">
        <v>3.8052106999999999</v>
      </c>
      <c r="AC77" s="1101">
        <v>0.64949230000000002</v>
      </c>
      <c r="AD77" s="1101">
        <v>5.3007606999999997</v>
      </c>
      <c r="AF77" s="1101">
        <v>9.1195094999999995</v>
      </c>
      <c r="AI77" s="1101">
        <v>4.1610076999999999</v>
      </c>
    </row>
    <row r="78" spans="1:35">
      <c r="A78" s="1096" t="s">
        <v>1149</v>
      </c>
      <c r="B78" s="1101">
        <v>14.1326011</v>
      </c>
      <c r="D78" s="1101">
        <v>1.0142464</v>
      </c>
      <c r="F78" s="1101">
        <v>2.30624E-2</v>
      </c>
      <c r="H78" s="1101">
        <v>41.729404500000001</v>
      </c>
      <c r="J78" s="1101">
        <v>5.1867000000000003E-2</v>
      </c>
      <c r="K78" s="1101">
        <v>1.4876803000000001</v>
      </c>
      <c r="L78" s="1101">
        <v>3.9327328000000001</v>
      </c>
      <c r="M78" s="1101">
        <v>2.2695519000000002</v>
      </c>
      <c r="N78" s="1101">
        <v>0.16394220000000001</v>
      </c>
      <c r="P78" s="1101">
        <v>0.9826047</v>
      </c>
      <c r="S78" s="1101">
        <v>2.1928988</v>
      </c>
      <c r="T78" s="1101">
        <v>5.4758787</v>
      </c>
      <c r="U78" s="1101">
        <v>3.1144921000000001</v>
      </c>
      <c r="W78" s="1101">
        <v>12.963272999999999</v>
      </c>
      <c r="Y78" s="1101">
        <v>5.9271368000000004</v>
      </c>
      <c r="Z78" s="1101">
        <v>4.4026819000000001</v>
      </c>
      <c r="AB78" s="1101">
        <v>1.18164</v>
      </c>
      <c r="AC78" s="1101">
        <v>5.9021328000000004</v>
      </c>
      <c r="AD78" s="1101">
        <v>5.9477219000000003</v>
      </c>
      <c r="AF78" s="1101">
        <v>23.643700299999999</v>
      </c>
      <c r="AH78" s="1101">
        <v>8.9143834000000002</v>
      </c>
      <c r="AI78" s="1101">
        <v>1.526E-4</v>
      </c>
    </row>
    <row r="79" spans="1:35">
      <c r="A79" s="1096" t="s">
        <v>343</v>
      </c>
      <c r="B79" s="1101">
        <v>22.1567884</v>
      </c>
      <c r="F79" s="1101">
        <v>8.1976800000000002E-2</v>
      </c>
      <c r="G79" s="1101">
        <v>27.428622399999998</v>
      </c>
      <c r="H79" s="1101">
        <v>1.7747700000000002E-2</v>
      </c>
      <c r="J79" s="1101">
        <v>220.51604090000001</v>
      </c>
      <c r="L79" s="1101">
        <v>0.63875910000000002</v>
      </c>
      <c r="M79" s="1101">
        <v>2.9860026999999998</v>
      </c>
      <c r="N79" s="1101">
        <v>1.6785426999999999</v>
      </c>
      <c r="O79" s="1101">
        <v>6.5124465999999996</v>
      </c>
      <c r="P79" s="1101">
        <v>1.4458667999999999</v>
      </c>
      <c r="R79" s="1101">
        <v>12.087093400000001</v>
      </c>
      <c r="S79" s="1101">
        <v>9.1021962999999992</v>
      </c>
      <c r="T79" s="1101">
        <v>4.9655357000000002</v>
      </c>
      <c r="U79" s="1101">
        <v>5.4581644000000002</v>
      </c>
      <c r="W79" s="1101">
        <v>10.047449</v>
      </c>
      <c r="Y79" s="1101">
        <v>50.343224200000002</v>
      </c>
      <c r="Z79" s="1101">
        <v>2.9824300000000002E-2</v>
      </c>
      <c r="AB79" s="1101">
        <v>3.3084984</v>
      </c>
      <c r="AC79" s="1101">
        <v>5.6944673999999997</v>
      </c>
      <c r="AD79" s="1101">
        <v>10.346547899999999</v>
      </c>
      <c r="AF79" s="1101">
        <v>4.6230767000000004</v>
      </c>
      <c r="AH79" s="1101">
        <v>7.3791235999999998</v>
      </c>
    </row>
    <row r="80" spans="1:35">
      <c r="A80" s="1096" t="s">
        <v>1171</v>
      </c>
      <c r="H80" s="1101">
        <v>5.7488229999999998</v>
      </c>
      <c r="I80" s="1101">
        <v>3.0905100000000001E-2</v>
      </c>
      <c r="J80" s="1101">
        <v>8.5301837000000003</v>
      </c>
      <c r="W80" s="1101">
        <v>3.3174157000000002</v>
      </c>
      <c r="AB80" s="1101">
        <v>5.2824000000000003E-2</v>
      </c>
    </row>
    <row r="81" spans="1:35">
      <c r="A81" s="1096" t="s">
        <v>721</v>
      </c>
      <c r="B81" s="1101">
        <v>4.3445264000000003</v>
      </c>
      <c r="F81" s="1101">
        <v>1.4985804</v>
      </c>
      <c r="H81" s="1101">
        <v>61.427401100000097</v>
      </c>
      <c r="I81" s="1101">
        <v>49.044001600000001</v>
      </c>
      <c r="J81" s="1101">
        <v>15.084153199999999</v>
      </c>
      <c r="K81" s="1101">
        <v>1.3492597</v>
      </c>
      <c r="L81" s="1101">
        <v>0.1181306</v>
      </c>
      <c r="M81" s="1101">
        <v>5.9918323000000004</v>
      </c>
      <c r="N81" s="1101">
        <v>1.4426558</v>
      </c>
      <c r="O81" s="1101">
        <v>7.0259742999999997</v>
      </c>
      <c r="S81" s="1101">
        <v>11.2665072</v>
      </c>
      <c r="T81" s="1101">
        <v>13.0245037</v>
      </c>
      <c r="U81" s="1101">
        <v>8.9610200000000001E-2</v>
      </c>
      <c r="W81" s="1101">
        <v>37.374322800000002</v>
      </c>
      <c r="Z81" s="1101">
        <v>1.5582608</v>
      </c>
      <c r="AA81" s="1101">
        <v>0.32764290000000001</v>
      </c>
      <c r="AB81" s="1101">
        <v>2.0656973000000001</v>
      </c>
      <c r="AC81" s="1101">
        <v>6.2626568000000002</v>
      </c>
      <c r="AD81" s="1101">
        <v>3.0769353000000002</v>
      </c>
      <c r="AF81" s="1101">
        <v>3.8318080999999999</v>
      </c>
    </row>
    <row r="82" spans="1:35">
      <c r="A82" s="1096" t="s">
        <v>699</v>
      </c>
      <c r="B82" s="1101">
        <v>2.2946708999999998</v>
      </c>
      <c r="E82" s="1101">
        <v>7.2670899999999997E-2</v>
      </c>
      <c r="F82" s="1101">
        <v>1.1627718</v>
      </c>
      <c r="H82" s="1101">
        <v>11.490951000000001</v>
      </c>
      <c r="I82" s="1101">
        <v>5.9721200000000002E-2</v>
      </c>
      <c r="J82" s="1101">
        <v>0.70593269999999997</v>
      </c>
      <c r="K82" s="1101">
        <v>4.7933999999999997E-3</v>
      </c>
      <c r="M82" s="1101">
        <v>1.7292499999999999E-2</v>
      </c>
      <c r="N82" s="1101">
        <v>0.57698269999999996</v>
      </c>
      <c r="O82" s="1101">
        <v>0.1115019</v>
      </c>
      <c r="S82" s="1101">
        <v>6.2081768999999998</v>
      </c>
      <c r="T82" s="1101">
        <v>11.764428000000001</v>
      </c>
      <c r="U82" s="1101">
        <v>1.0420642</v>
      </c>
      <c r="W82" s="1101">
        <v>92.931076000000104</v>
      </c>
      <c r="Z82" s="1101">
        <v>1.2250154</v>
      </c>
      <c r="AB82" s="1101">
        <v>0.53283389999999997</v>
      </c>
      <c r="AC82" s="1101">
        <v>1.7538476999999999</v>
      </c>
      <c r="AD82" s="1101">
        <v>7.1099614999999998</v>
      </c>
    </row>
    <row r="83" spans="1:35">
      <c r="A83" s="1096" t="s">
        <v>677</v>
      </c>
      <c r="B83" s="1101">
        <v>13.173496999999999</v>
      </c>
      <c r="D83" s="1101">
        <v>0.27957920000000003</v>
      </c>
      <c r="E83" s="1101">
        <v>2.4252286999999999</v>
      </c>
      <c r="F83" s="1101">
        <v>0.45746229999999999</v>
      </c>
      <c r="H83" s="1101">
        <v>0.12084540000000001</v>
      </c>
      <c r="J83" s="1101">
        <v>23.831955700000002</v>
      </c>
      <c r="M83" s="1101">
        <v>0.27085789999999998</v>
      </c>
      <c r="N83" s="1101">
        <v>0.12670770000000001</v>
      </c>
      <c r="P83" s="1101">
        <v>7.0761099999999993E-2</v>
      </c>
      <c r="S83" s="1101">
        <v>2.1829079</v>
      </c>
      <c r="T83" s="1101">
        <v>8.2407600999999993</v>
      </c>
      <c r="U83" s="1101">
        <v>4.8628030999999998</v>
      </c>
      <c r="W83" s="1101">
        <v>22.928955200000001</v>
      </c>
      <c r="Y83" s="1101">
        <v>24.9275223</v>
      </c>
      <c r="Z83" s="1101">
        <v>0.27213369999999998</v>
      </c>
      <c r="AB83" s="1101">
        <v>8.9235819999999997</v>
      </c>
      <c r="AC83" s="1101">
        <v>0.61669969999999996</v>
      </c>
      <c r="AD83" s="1101">
        <v>2.6955670999999999</v>
      </c>
      <c r="AF83" s="1101">
        <v>8.6344000000000004E-3</v>
      </c>
      <c r="AH83" s="1101">
        <v>1.271004</v>
      </c>
      <c r="AI83" s="1101">
        <v>0.30752780000000002</v>
      </c>
    </row>
    <row r="84" spans="1:35">
      <c r="A84" s="1096" t="s">
        <v>1183</v>
      </c>
      <c r="B84" s="1101">
        <v>50.898250699999998</v>
      </c>
      <c r="D84" s="1101">
        <v>0.1148241</v>
      </c>
      <c r="E84" s="1101">
        <v>0.59106449999999999</v>
      </c>
      <c r="G84" s="1101">
        <v>3.4760629000000001</v>
      </c>
      <c r="H84" s="1101">
        <v>11.327705099999999</v>
      </c>
      <c r="J84" s="1101">
        <v>5.2694972</v>
      </c>
      <c r="N84" s="1101">
        <v>0.46874310000000002</v>
      </c>
      <c r="S84" s="1101">
        <v>0.30691289999999999</v>
      </c>
      <c r="T84" s="1101">
        <v>9.4871473999999996</v>
      </c>
      <c r="W84" s="1101">
        <v>2.67668E-2</v>
      </c>
      <c r="Z84" s="1101">
        <v>1.0594992000000001</v>
      </c>
      <c r="AB84" s="1101">
        <v>2.0703656000000001</v>
      </c>
      <c r="AC84" s="1101">
        <v>7.7906515000000001</v>
      </c>
      <c r="AD84" s="1101">
        <v>5.1327653</v>
      </c>
      <c r="AF84" s="1101">
        <v>1.5149606</v>
      </c>
    </row>
    <row r="85" spans="1:35">
      <c r="A85" s="1096" t="s">
        <v>1197</v>
      </c>
      <c r="D85" s="1101">
        <v>2.6603000000000002E-2</v>
      </c>
      <c r="H85" s="1101">
        <v>5.3229199999999997E-2</v>
      </c>
      <c r="I85" s="1101">
        <v>0.12294769999999999</v>
      </c>
      <c r="L85" s="1101">
        <v>4.7859E-3</v>
      </c>
      <c r="S85" s="1101">
        <v>2.0252900000000001E-2</v>
      </c>
      <c r="T85" s="1101">
        <v>1.1590446000000001</v>
      </c>
      <c r="W85" s="1101">
        <v>16.450783099999999</v>
      </c>
      <c r="AC85" s="1101">
        <v>0.20335819999999999</v>
      </c>
      <c r="AD85" s="1101">
        <v>0.16076470000000001</v>
      </c>
    </row>
    <row r="86" spans="1:35">
      <c r="A86" s="1096" t="s">
        <v>345</v>
      </c>
      <c r="B86" s="1101">
        <v>1.0247588999999999</v>
      </c>
      <c r="T86" s="1101">
        <v>1.2020641000000001</v>
      </c>
      <c r="U86" s="1101">
        <v>1.4050200000000001E-2</v>
      </c>
      <c r="W86" s="1101">
        <v>8.8855605000000004</v>
      </c>
      <c r="Y86" s="1101">
        <v>1.526653</v>
      </c>
      <c r="Z86" s="1101">
        <v>2.8834458999999999</v>
      </c>
      <c r="AB86" s="1101">
        <v>0.12798889999999999</v>
      </c>
      <c r="AC86" s="1101">
        <v>9.5085199999999995E-2</v>
      </c>
      <c r="AD86" s="1101">
        <v>0.65920619999999996</v>
      </c>
      <c r="AE86" s="1101">
        <v>4.8266000000000003E-3</v>
      </c>
      <c r="AF86" s="1101">
        <v>0.68196210000000002</v>
      </c>
    </row>
    <row r="87" spans="1:35">
      <c r="A87" s="1096" t="s">
        <v>1204</v>
      </c>
      <c r="H87" s="1101">
        <v>17.558349100000001</v>
      </c>
      <c r="I87" s="1101">
        <v>0.2323556</v>
      </c>
      <c r="J87" s="1101">
        <v>3.509E-3</v>
      </c>
      <c r="P87" s="1101">
        <v>3.8399999999999998E-5</v>
      </c>
      <c r="T87" s="1101">
        <v>0.72528049999999999</v>
      </c>
      <c r="W87" s="1101">
        <v>0.66858200000000001</v>
      </c>
      <c r="Z87" s="1101">
        <v>9.4225999999999997E-3</v>
      </c>
      <c r="AD87" s="1101">
        <v>0.1223458</v>
      </c>
    </row>
    <row r="88" spans="1:35">
      <c r="A88" s="1096" t="s">
        <v>1208</v>
      </c>
      <c r="H88" s="1101">
        <v>14.8928168</v>
      </c>
      <c r="U88" s="1101">
        <v>3.0954499999999999E-2</v>
      </c>
      <c r="W88" s="1101">
        <v>56.527887700000001</v>
      </c>
      <c r="Y88" s="1101">
        <v>1.4336994999999999</v>
      </c>
      <c r="AD88" s="1101">
        <v>1.0821457000000001</v>
      </c>
    </row>
    <row r="89" spans="1:35">
      <c r="A89" s="1096" t="s">
        <v>1214</v>
      </c>
      <c r="B89" s="1101">
        <v>49.1892785</v>
      </c>
      <c r="C89" s="1101">
        <v>8.2822519000000003</v>
      </c>
      <c r="F89" s="1101">
        <v>22.227180700000002</v>
      </c>
      <c r="G89" s="1101">
        <v>1.7579E-3</v>
      </c>
      <c r="H89" s="1101">
        <v>8.7615569999999998</v>
      </c>
      <c r="J89" s="1101">
        <v>3.1963227999999999</v>
      </c>
      <c r="K89" s="1101">
        <v>4.0826618999999997</v>
      </c>
      <c r="N89" s="1101">
        <v>11.480236</v>
      </c>
      <c r="P89" s="1101">
        <v>9.5392308000000003</v>
      </c>
      <c r="S89" s="1101">
        <v>23.430554099999998</v>
      </c>
      <c r="T89" s="1101">
        <v>28.478051000000001</v>
      </c>
      <c r="U89" s="1101">
        <v>9.8967620000000007</v>
      </c>
      <c r="V89" s="1101">
        <v>3.3364900000000003E-2</v>
      </c>
      <c r="W89" s="1101">
        <v>15.563484900000001</v>
      </c>
      <c r="Y89" s="1101">
        <v>7.8218461000000001</v>
      </c>
      <c r="Z89" s="1101">
        <v>0.19526389999999999</v>
      </c>
      <c r="AB89" s="1101">
        <v>0.1618647</v>
      </c>
      <c r="AC89" s="1101">
        <v>23.2508698</v>
      </c>
      <c r="AD89" s="1101">
        <v>27.116913499999999</v>
      </c>
      <c r="AI89" s="1101">
        <v>10.2548934</v>
      </c>
    </row>
    <row r="90" spans="1:35">
      <c r="A90" s="1096" t="s">
        <v>1227</v>
      </c>
      <c r="D90" s="1101">
        <v>0.24198320000000001</v>
      </c>
      <c r="F90" s="1101">
        <v>2.3170571</v>
      </c>
      <c r="H90" s="1101">
        <v>13.321456599999999</v>
      </c>
      <c r="I90" s="1101">
        <v>20.802054099999999</v>
      </c>
      <c r="N90" s="1101">
        <v>8.9999999999999996E-7</v>
      </c>
      <c r="P90" s="1101">
        <v>4.6300000000000001E-5</v>
      </c>
      <c r="S90" s="1101">
        <v>7.8899999999999993E-5</v>
      </c>
      <c r="T90" s="1101">
        <v>0.34883930000000002</v>
      </c>
      <c r="U90" s="1101">
        <v>0.1855676</v>
      </c>
      <c r="W90" s="1101">
        <v>21.980966299999999</v>
      </c>
      <c r="AB90" s="1101">
        <v>0.2436159</v>
      </c>
      <c r="AD90" s="1101">
        <v>0.94211230000000101</v>
      </c>
      <c r="AF90" s="1101">
        <v>0.1208258</v>
      </c>
    </row>
    <row r="91" spans="1:35">
      <c r="A91" s="1096" t="s">
        <v>1220</v>
      </c>
      <c r="B91" s="1101">
        <v>64.585173499999996</v>
      </c>
      <c r="C91" s="1101">
        <v>3.7600599999999998E-2</v>
      </c>
      <c r="D91" s="1101">
        <v>13.953837500000001</v>
      </c>
      <c r="F91" s="1101">
        <v>5.6337009</v>
      </c>
      <c r="J91" s="1101">
        <v>1.4979317000000001</v>
      </c>
      <c r="K91" s="1101">
        <v>1.2903370000000001</v>
      </c>
      <c r="N91" s="1101">
        <v>2.6890263999999999</v>
      </c>
      <c r="P91" s="1101">
        <v>14.2197928</v>
      </c>
      <c r="S91" s="1101">
        <v>22.412982100000001</v>
      </c>
      <c r="T91" s="1101">
        <v>42.7166724</v>
      </c>
      <c r="U91" s="1101">
        <v>3.8968259000000001</v>
      </c>
      <c r="V91" s="1101">
        <v>5.90252E-2</v>
      </c>
      <c r="W91" s="1101">
        <v>84.295062599999994</v>
      </c>
      <c r="Y91" s="1101">
        <v>20.182461400000001</v>
      </c>
      <c r="Z91" s="1101">
        <v>0.11899369999999999</v>
      </c>
      <c r="AB91" s="1101">
        <v>0.2509287</v>
      </c>
      <c r="AC91" s="1101">
        <v>32.173387499999997</v>
      </c>
      <c r="AD91" s="1101">
        <v>38.555144599999998</v>
      </c>
      <c r="AF91" s="1101">
        <v>8.3823999999999999E-3</v>
      </c>
      <c r="AI91" s="1101">
        <v>13.493380800000001</v>
      </c>
    </row>
    <row r="92" spans="1:35">
      <c r="A92" s="1096" t="s">
        <v>1240</v>
      </c>
      <c r="B92" s="1101">
        <v>0.99056169999999999</v>
      </c>
      <c r="H92" s="1101">
        <v>0</v>
      </c>
      <c r="J92" s="1101">
        <v>18.312530500000001</v>
      </c>
      <c r="K92" s="1101">
        <v>0.68843469999999996</v>
      </c>
      <c r="L92" s="1101">
        <v>1.9892999999999998E-3</v>
      </c>
      <c r="M92" s="1101">
        <v>1.5628465</v>
      </c>
      <c r="N92" s="1101">
        <v>0.15635560000000001</v>
      </c>
      <c r="P92" s="1101">
        <v>1.6482332</v>
      </c>
      <c r="S92" s="1101">
        <v>0.92666159999999997</v>
      </c>
      <c r="T92" s="1101">
        <v>2.3415613</v>
      </c>
      <c r="U92" s="1101">
        <v>1.6245099999999998E-2</v>
      </c>
      <c r="W92" s="1101">
        <v>16.2981947</v>
      </c>
      <c r="Z92" s="1101">
        <v>1.3912500999999999</v>
      </c>
      <c r="AA92" s="1101">
        <v>2.83E-5</v>
      </c>
      <c r="AB92" s="1101">
        <v>0.12686169999999999</v>
      </c>
      <c r="AC92" s="1101">
        <v>1.9637486</v>
      </c>
      <c r="AD92" s="1101">
        <v>4.4871800000000003E-2</v>
      </c>
    </row>
    <row r="93" spans="1:35">
      <c r="A93" s="1096" t="s">
        <v>1255</v>
      </c>
      <c r="B93" s="1101">
        <v>32.516773999999998</v>
      </c>
      <c r="C93" s="1101">
        <v>9.7362900000000002E-2</v>
      </c>
      <c r="H93" s="1101">
        <v>5.4133800000000003E-2</v>
      </c>
      <c r="K93" s="1101">
        <v>0.79741320000000004</v>
      </c>
      <c r="N93" s="1101">
        <v>0.1053578</v>
      </c>
      <c r="P93" s="1101">
        <v>0.30297180000000001</v>
      </c>
      <c r="S93" s="1101">
        <v>1.9927368999999999</v>
      </c>
      <c r="T93" s="1101">
        <v>8.4658510000000007</v>
      </c>
      <c r="U93" s="1101">
        <v>0.56520680000000001</v>
      </c>
      <c r="W93" s="1101">
        <v>26.657506600000001</v>
      </c>
      <c r="Y93" s="1101">
        <v>3.2334803000000001</v>
      </c>
      <c r="Z93" s="1101">
        <v>1.6296328</v>
      </c>
      <c r="AB93" s="1101">
        <v>0.54164559999999995</v>
      </c>
      <c r="AC93" s="1101">
        <v>5.6522211999999996</v>
      </c>
      <c r="AD93" s="1101">
        <v>6.9603253</v>
      </c>
      <c r="AF93" s="1101">
        <v>7.0845099999999994E-2</v>
      </c>
      <c r="AH93" s="1101">
        <v>0.1139058</v>
      </c>
    </row>
    <row r="94" spans="1:35">
      <c r="A94" s="1096" t="s">
        <v>1256</v>
      </c>
      <c r="B94" s="1101">
        <v>42.356012100000001</v>
      </c>
      <c r="H94" s="1101">
        <v>1.1465139</v>
      </c>
      <c r="J94" s="1101">
        <v>15.2397288</v>
      </c>
      <c r="N94" s="1101">
        <v>0.67699690000000001</v>
      </c>
      <c r="S94" s="1101">
        <v>2.1587556999999999</v>
      </c>
      <c r="T94" s="1101">
        <v>7.4317827999999997</v>
      </c>
      <c r="U94" s="1101">
        <v>4.0152199999999999E-2</v>
      </c>
      <c r="W94" s="1101">
        <v>0.43486469999999999</v>
      </c>
      <c r="Y94" s="1101">
        <v>38.166768900000001</v>
      </c>
      <c r="Z94" s="1101">
        <v>5.7937380999999997</v>
      </c>
      <c r="AB94" s="1101">
        <v>6.2483940999999996</v>
      </c>
      <c r="AC94" s="1101">
        <v>6.5842581999999998</v>
      </c>
      <c r="AD94" s="1101">
        <v>5.8312220999999997</v>
      </c>
      <c r="AF94" s="1101">
        <v>1.6703800000000001E-2</v>
      </c>
    </row>
    <row r="95" spans="1:35">
      <c r="A95" s="1096" t="s">
        <v>1268</v>
      </c>
      <c r="B95" s="1101">
        <v>0.2388255</v>
      </c>
      <c r="G95" s="1101">
        <v>1.854E-3</v>
      </c>
      <c r="H95" s="1101">
        <v>20.783641500000002</v>
      </c>
      <c r="L95" s="1101">
        <v>1.5880000000000001E-4</v>
      </c>
      <c r="P95" s="1101">
        <v>4.7828299999999997E-2</v>
      </c>
      <c r="T95" s="1101">
        <v>2.7939745999999999</v>
      </c>
      <c r="W95" s="1101">
        <v>16.213545100000001</v>
      </c>
      <c r="Z95" s="1101">
        <v>7.2498999999999994E-2</v>
      </c>
      <c r="AB95" s="1101">
        <v>0.60149229999999998</v>
      </c>
      <c r="AC95" s="1101">
        <v>8.7512000000000006E-2</v>
      </c>
      <c r="AD95" s="1101">
        <v>0.38568530000000001</v>
      </c>
    </row>
    <row r="96" spans="1:35">
      <c r="A96" s="1096" t="s">
        <v>1269</v>
      </c>
      <c r="B96" s="1101">
        <v>0.98508569999999995</v>
      </c>
      <c r="D96" s="1101">
        <v>1.17819E-2</v>
      </c>
      <c r="H96" s="1101">
        <v>41.975547900000002</v>
      </c>
      <c r="I96" s="1101">
        <v>0.69740999999999997</v>
      </c>
      <c r="W96" s="1101">
        <v>19.526339</v>
      </c>
      <c r="AC96" s="1101">
        <v>5.1432400000000003E-2</v>
      </c>
      <c r="AD96" s="1101">
        <v>3.8956299999999999E-2</v>
      </c>
    </row>
    <row r="97" spans="1:35">
      <c r="A97" s="1096" t="s">
        <v>1291</v>
      </c>
      <c r="B97" s="1101">
        <v>1.6295702999999999</v>
      </c>
      <c r="F97" s="1101">
        <v>1.1839761</v>
      </c>
      <c r="H97" s="1101">
        <v>2.8410000000000002E-3</v>
      </c>
      <c r="I97" s="1101">
        <v>4.9682499999999997E-2</v>
      </c>
      <c r="J97" s="1101">
        <v>56.390484299999997</v>
      </c>
      <c r="S97" s="1101">
        <v>3.0722000000000002E-3</v>
      </c>
      <c r="T97" s="1101">
        <v>7.3613100000000001E-2</v>
      </c>
      <c r="U97" s="1101">
        <v>4.8344199999999997E-2</v>
      </c>
      <c r="W97" s="1101">
        <v>17.444028500000002</v>
      </c>
      <c r="Y97" s="1101">
        <v>5.84784E-2</v>
      </c>
      <c r="AB97" s="1101">
        <v>1.0539E-3</v>
      </c>
      <c r="AC97" s="1101">
        <v>3.7521400000000003E-2</v>
      </c>
      <c r="AD97" s="1101">
        <v>0.10386099999999999</v>
      </c>
      <c r="AF97" s="1101">
        <v>1.6820100000000001E-2</v>
      </c>
      <c r="AI97" s="1101">
        <v>0.36819289999999999</v>
      </c>
    </row>
    <row r="98" spans="1:35">
      <c r="A98" s="1096" t="s">
        <v>1278</v>
      </c>
      <c r="B98" s="1101">
        <v>1.86873E-2</v>
      </c>
      <c r="G98" s="1101">
        <v>2.1120038000000001</v>
      </c>
      <c r="H98" s="1101">
        <v>0.35616750000000003</v>
      </c>
      <c r="J98" s="1101">
        <v>0.73391669999999998</v>
      </c>
      <c r="M98" s="1101">
        <v>0.13980619999999999</v>
      </c>
      <c r="N98" s="1101">
        <v>0.29417690000000002</v>
      </c>
      <c r="O98" s="1101">
        <v>0.3397192</v>
      </c>
      <c r="S98" s="1101">
        <v>0.35125129999999999</v>
      </c>
      <c r="T98" s="1101">
        <v>0.71636350000000004</v>
      </c>
      <c r="W98" s="1101">
        <v>12.532540900000001</v>
      </c>
      <c r="Y98" s="1101">
        <v>0.13208590000000001</v>
      </c>
      <c r="Z98" s="1101">
        <v>0.16083120000000001</v>
      </c>
      <c r="AA98" s="1101">
        <v>0.15955849999999999</v>
      </c>
      <c r="AB98" s="1101">
        <v>8.9701199999999995E-2</v>
      </c>
      <c r="AC98" s="1101">
        <v>8.3463700000000002E-2</v>
      </c>
      <c r="AD98" s="1101">
        <v>0.43096410000000002</v>
      </c>
    </row>
    <row r="99" spans="1:35">
      <c r="A99" s="1096" t="s">
        <v>1301</v>
      </c>
      <c r="B99" s="1101">
        <v>0.96766750000000001</v>
      </c>
      <c r="D99" s="1101">
        <v>0.14177509999999999</v>
      </c>
      <c r="H99" s="1101">
        <v>0.14617479999999999</v>
      </c>
      <c r="I99" s="1101">
        <v>39.157389999999999</v>
      </c>
      <c r="J99" s="1101">
        <v>2.7185758999999998</v>
      </c>
      <c r="N99" s="1101">
        <v>0.3300728</v>
      </c>
      <c r="O99" s="1101">
        <v>3.3147099999999999E-2</v>
      </c>
      <c r="T99" s="1101">
        <v>3.2718050999999999</v>
      </c>
      <c r="U99" s="1101">
        <v>3.2630699999999999E-2</v>
      </c>
      <c r="W99" s="1101">
        <v>102.23370389999999</v>
      </c>
      <c r="Z99" s="1101">
        <v>0.12477050000000001</v>
      </c>
      <c r="AB99" s="1101">
        <v>0.7740823</v>
      </c>
      <c r="AC99" s="1101">
        <v>0.4912049</v>
      </c>
      <c r="AD99" s="1101">
        <v>2.0831206</v>
      </c>
    </row>
    <row r="100" spans="1:35">
      <c r="A100" s="1096" t="s">
        <v>1306</v>
      </c>
      <c r="H100" s="1101">
        <v>0.40634890000000001</v>
      </c>
      <c r="I100" s="1101">
        <v>0.25472529999999999</v>
      </c>
      <c r="J100" s="1101">
        <v>8.9962253000000008</v>
      </c>
      <c r="S100" s="1101">
        <v>0.29364099999999999</v>
      </c>
      <c r="AB100" s="1101">
        <v>7.1101999999999997E-3</v>
      </c>
      <c r="AD100" s="1101">
        <v>1.7947600000000001E-2</v>
      </c>
    </row>
    <row r="101" spans="1:35">
      <c r="A101" s="1096" t="s">
        <v>1310</v>
      </c>
      <c r="B101" s="1101">
        <v>0.2225279</v>
      </c>
      <c r="D101" s="1101">
        <v>7.8109999999999996E-4</v>
      </c>
      <c r="H101" s="1101">
        <v>10.259543600000001</v>
      </c>
      <c r="J101" s="1101">
        <v>0.17762649999999999</v>
      </c>
      <c r="L101" s="1101">
        <v>4.15757E-2</v>
      </c>
      <c r="M101" s="1101">
        <v>1.67046E-2</v>
      </c>
      <c r="S101" s="1101">
        <v>1.2998E-3</v>
      </c>
      <c r="T101" s="1101">
        <v>0.2709278</v>
      </c>
      <c r="W101" s="1101">
        <v>6.2709194000000004</v>
      </c>
      <c r="AB101" s="1101">
        <v>4.0588399999999997E-2</v>
      </c>
      <c r="AC101" s="1101">
        <v>0.26771810000000001</v>
      </c>
      <c r="AD101" s="1101">
        <v>0.1048769</v>
      </c>
      <c r="AF101" s="1101">
        <v>0.2106353</v>
      </c>
    </row>
    <row r="102" spans="1:35">
      <c r="A102" s="1096" t="s">
        <v>1311</v>
      </c>
      <c r="B102" s="1101">
        <v>9.0887691999999998</v>
      </c>
      <c r="G102" s="1101">
        <v>0.39308219999999999</v>
      </c>
      <c r="H102" s="1101">
        <v>23.987901699999998</v>
      </c>
      <c r="J102" s="1101">
        <v>140.7171386</v>
      </c>
      <c r="L102" s="1101">
        <v>0.68835959999999996</v>
      </c>
      <c r="N102" s="1101">
        <v>2.2465546999999999</v>
      </c>
      <c r="O102" s="1101">
        <v>0.80141399999999996</v>
      </c>
      <c r="P102" s="1101">
        <v>1.3748914000000001</v>
      </c>
      <c r="S102" s="1101">
        <v>2.6090567</v>
      </c>
      <c r="T102" s="1101">
        <v>12.822716</v>
      </c>
      <c r="U102" s="1101">
        <v>3.9497900000000002E-2</v>
      </c>
      <c r="V102" s="1101">
        <v>0.5011023</v>
      </c>
      <c r="W102" s="1101">
        <v>21.817028400000002</v>
      </c>
      <c r="Y102" s="1101">
        <v>5.0053200000000002</v>
      </c>
      <c r="Z102" s="1101">
        <v>22.742918599999999</v>
      </c>
      <c r="AB102" s="1101">
        <v>1.2657457000000001</v>
      </c>
      <c r="AC102" s="1101">
        <v>4.2979868000000003</v>
      </c>
      <c r="AD102" s="1101">
        <v>6.0184021999999997</v>
      </c>
      <c r="AF102" s="1101">
        <v>6.4662018000000003</v>
      </c>
      <c r="AG102" s="1101">
        <v>3.3674016</v>
      </c>
      <c r="AH102" s="1101">
        <v>4.6172518</v>
      </c>
    </row>
    <row r="103" spans="1:35">
      <c r="A103" s="1096" t="s">
        <v>1316</v>
      </c>
      <c r="B103" s="1101">
        <v>0.9498626</v>
      </c>
      <c r="F103" s="1101">
        <v>7.3756000000000004E-3</v>
      </c>
      <c r="H103" s="1101">
        <v>8.3747749999999996</v>
      </c>
      <c r="I103" s="1101">
        <v>1.9894334</v>
      </c>
      <c r="K103" s="1101">
        <v>1.53364E-2</v>
      </c>
      <c r="L103" s="1101">
        <v>0.12508159999999999</v>
      </c>
      <c r="P103" s="1101">
        <v>3.1080000000000002E-4</v>
      </c>
      <c r="S103" s="1101">
        <v>0.99321020000000004</v>
      </c>
      <c r="T103" s="1101">
        <v>14.8034912</v>
      </c>
      <c r="W103" s="1101">
        <v>44.630555399999999</v>
      </c>
      <c r="Y103" s="1101">
        <v>0.2149702</v>
      </c>
      <c r="AB103" s="1101">
        <v>0.6453681</v>
      </c>
      <c r="AC103" s="1101">
        <v>0.40136769999999999</v>
      </c>
      <c r="AD103" s="1101">
        <v>1.2697765999999999</v>
      </c>
      <c r="AH103" s="1101">
        <v>1.2211700000000001E-2</v>
      </c>
      <c r="AI103" s="1101">
        <v>0.96332739999999994</v>
      </c>
    </row>
    <row r="104" spans="1:35">
      <c r="A104" s="1096" t="s">
        <v>1320</v>
      </c>
      <c r="B104" s="1101">
        <v>3.2887301999999998</v>
      </c>
      <c r="C104" s="1101">
        <v>0.44092930000000002</v>
      </c>
      <c r="H104" s="1101">
        <v>7.3931952000000001</v>
      </c>
      <c r="N104" s="1101">
        <v>0.67284840000000001</v>
      </c>
      <c r="S104" s="1101">
        <v>1.9195754</v>
      </c>
      <c r="T104" s="1101">
        <v>0.48056599999999999</v>
      </c>
      <c r="U104" s="1101">
        <v>1.3134011999999999</v>
      </c>
      <c r="W104" s="1101">
        <v>29.879171599999999</v>
      </c>
      <c r="Y104" s="1101">
        <v>1.2014693999999999</v>
      </c>
      <c r="AB104" s="1101">
        <v>1.4276926000000001</v>
      </c>
      <c r="AC104" s="1101">
        <v>0.5489771</v>
      </c>
      <c r="AD104" s="1101">
        <v>3.5428961999999999</v>
      </c>
    </row>
    <row r="105" spans="1:35">
      <c r="A105" s="1096" t="s">
        <v>1325</v>
      </c>
      <c r="B105" s="1101">
        <v>14.339565800000001</v>
      </c>
      <c r="G105" s="1101">
        <v>1.2767850999999999</v>
      </c>
      <c r="H105" s="1101">
        <v>0.28632479999999999</v>
      </c>
      <c r="I105" s="1101">
        <v>1.1191599999999999E-2</v>
      </c>
      <c r="J105" s="1101">
        <v>11.252475799999999</v>
      </c>
      <c r="L105" s="1101">
        <v>8.6671890999999999</v>
      </c>
      <c r="N105" s="1101">
        <v>0.2091808</v>
      </c>
      <c r="P105" s="1101">
        <v>7.6740999999999997E-3</v>
      </c>
      <c r="S105" s="1101">
        <v>0.39584130000000001</v>
      </c>
      <c r="T105" s="1101">
        <v>13.8181479</v>
      </c>
      <c r="U105" s="1101">
        <v>0.28268880000000002</v>
      </c>
      <c r="W105" s="1101">
        <v>22.496847500000001</v>
      </c>
      <c r="Y105" s="1101">
        <v>1.1260619000000001</v>
      </c>
      <c r="Z105" s="1101">
        <v>0.1776055</v>
      </c>
      <c r="AB105" s="1101">
        <v>0.22151589999999999</v>
      </c>
      <c r="AC105" s="1101">
        <v>6.8145132000000004</v>
      </c>
      <c r="AD105" s="1101">
        <v>2.3199108000000002</v>
      </c>
      <c r="AH105" s="1101">
        <v>1.3449999999999999E-4</v>
      </c>
    </row>
    <row r="106" spans="1:35">
      <c r="A106" s="1096" t="s">
        <v>1330</v>
      </c>
      <c r="H106" s="1101">
        <v>113.9198117</v>
      </c>
      <c r="T106" s="1101">
        <v>0.64067529999999995</v>
      </c>
      <c r="W106" s="1101">
        <v>28.6549072</v>
      </c>
      <c r="AB106" s="1101">
        <v>2.0905400000000001E-2</v>
      </c>
      <c r="AC106" s="1101">
        <v>4.5669999999999999E-4</v>
      </c>
      <c r="AD106" s="1101">
        <v>8.12142E-2</v>
      </c>
    </row>
    <row r="107" spans="1:35">
      <c r="A107" s="1096" t="s">
        <v>347</v>
      </c>
      <c r="C107" s="1101">
        <v>4.1857512999999997</v>
      </c>
      <c r="D107" s="1101">
        <v>4.1887998</v>
      </c>
      <c r="F107" s="1101">
        <v>2.29293E-2</v>
      </c>
      <c r="H107" s="1101">
        <v>1.8290605</v>
      </c>
      <c r="J107" s="1101">
        <v>27.212766800000001</v>
      </c>
      <c r="K107" s="1101">
        <v>0.12137199999999999</v>
      </c>
      <c r="L107" s="1101">
        <v>3.7638104999999999</v>
      </c>
      <c r="M107" s="1101">
        <v>18.290525800000001</v>
      </c>
      <c r="N107" s="1101">
        <v>2.907988</v>
      </c>
      <c r="O107" s="1101">
        <v>11.6042554</v>
      </c>
      <c r="P107" s="1101">
        <v>3.1477556999999998</v>
      </c>
      <c r="R107" s="1101">
        <v>11.148600800000001</v>
      </c>
      <c r="S107" s="1101">
        <v>5.7881210000000003</v>
      </c>
      <c r="T107" s="1101">
        <v>6.1017598</v>
      </c>
      <c r="U107" s="1101">
        <v>3.7944453</v>
      </c>
      <c r="W107" s="1101">
        <v>1.1572183</v>
      </c>
      <c r="Y107" s="1101">
        <v>4.1586021999999998</v>
      </c>
      <c r="Z107" s="1101">
        <v>0.79688910000000002</v>
      </c>
      <c r="AB107" s="1101">
        <v>1.1690799999999999E-2</v>
      </c>
      <c r="AC107" s="1101">
        <v>17.132690100000001</v>
      </c>
      <c r="AD107" s="1101">
        <v>11.245656800000001</v>
      </c>
      <c r="AH107" s="1101">
        <v>24.903015100000001</v>
      </c>
      <c r="AI107" s="1101">
        <v>7.5372976999999999</v>
      </c>
    </row>
    <row r="108" spans="1:35">
      <c r="A108" s="1096" t="s">
        <v>1349</v>
      </c>
      <c r="B108" s="1101">
        <v>4.7748980000000003</v>
      </c>
      <c r="C108" s="1101">
        <v>0.18412429999999999</v>
      </c>
      <c r="F108" s="1101">
        <v>0.27217140000000001</v>
      </c>
      <c r="H108" s="1101">
        <v>3.9425077000000002</v>
      </c>
      <c r="J108" s="1101">
        <v>1.8335295</v>
      </c>
      <c r="L108" s="1101">
        <v>0.28398499999999999</v>
      </c>
      <c r="N108" s="1101">
        <v>0.47369889999999998</v>
      </c>
      <c r="O108" s="1101">
        <v>2.1375000000000001E-3</v>
      </c>
      <c r="S108" s="1101">
        <v>0.3791426</v>
      </c>
      <c r="T108" s="1101">
        <v>1.773231</v>
      </c>
      <c r="W108" s="1101">
        <v>0.1978914</v>
      </c>
      <c r="Y108" s="1101">
        <v>1.2340207999999999</v>
      </c>
      <c r="AC108" s="1101">
        <v>1.1609404000000001</v>
      </c>
      <c r="AD108" s="1101">
        <v>0.88091109999999995</v>
      </c>
      <c r="AH108" s="1101">
        <v>1.2949519</v>
      </c>
    </row>
    <row r="109" spans="1:35">
      <c r="A109" s="1096" t="s">
        <v>1352</v>
      </c>
      <c r="H109" s="1101">
        <v>1.2727508999999999</v>
      </c>
      <c r="J109" s="1101">
        <v>0.54772419999999999</v>
      </c>
      <c r="L109" s="1101">
        <v>7.8670199999999996E-2</v>
      </c>
      <c r="M109" s="1101">
        <v>2.2653E-3</v>
      </c>
      <c r="P109" s="1101">
        <v>3.6494000000000001E-3</v>
      </c>
      <c r="S109" s="1101">
        <v>0.2333356</v>
      </c>
      <c r="W109" s="1101">
        <v>7.8069000000000003E-3</v>
      </c>
      <c r="Y109" s="1101">
        <v>0.4843982</v>
      </c>
      <c r="AC109" s="1101">
        <v>5.8135000000000001E-3</v>
      </c>
      <c r="AD109" s="1101">
        <v>1.9423300000000001E-2</v>
      </c>
    </row>
    <row r="110" spans="1:35">
      <c r="A110" s="1096" t="s">
        <v>1366</v>
      </c>
      <c r="B110" s="1101">
        <v>3.0810843999999999</v>
      </c>
      <c r="H110" s="1101">
        <v>46.907092699999801</v>
      </c>
      <c r="J110" s="1101">
        <v>5.3950845000000003</v>
      </c>
      <c r="S110" s="1101">
        <v>7.8089999999999995E-4</v>
      </c>
      <c r="T110" s="1101">
        <v>1.6417242000000001</v>
      </c>
      <c r="W110" s="1101">
        <v>25.558376800000001</v>
      </c>
      <c r="Z110" s="1101">
        <v>0.18788389999999999</v>
      </c>
      <c r="AB110" s="1101">
        <v>6.9435200000000002E-2</v>
      </c>
      <c r="AC110" s="1101">
        <v>0.51902079999999995</v>
      </c>
      <c r="AD110" s="1101">
        <v>0.2857268</v>
      </c>
    </row>
    <row r="111" spans="1:35">
      <c r="A111" s="1096" t="s">
        <v>1383</v>
      </c>
      <c r="B111" s="1101">
        <v>1.8536E-3</v>
      </c>
      <c r="S111" s="1101">
        <v>7.4743299999999999E-2</v>
      </c>
      <c r="T111" s="1101">
        <v>0.26887990000000001</v>
      </c>
      <c r="W111" s="1101">
        <v>32.289617100000001</v>
      </c>
      <c r="Y111" s="1101">
        <v>0.46402179999999998</v>
      </c>
      <c r="Z111" s="1101">
        <v>9.9789999999999992E-4</v>
      </c>
      <c r="AB111" s="1101">
        <v>7.7282600000000007E-2</v>
      </c>
      <c r="AC111" s="1101">
        <v>6.3477999999999998E-3</v>
      </c>
      <c r="AD111" s="1101">
        <v>1.1308549000000001</v>
      </c>
      <c r="AG111" s="1101">
        <v>7.5790300000000005E-2</v>
      </c>
      <c r="AI111" s="1101">
        <v>1.8534700000000001E-2</v>
      </c>
    </row>
    <row r="112" spans="1:35">
      <c r="A112" s="1096" t="s">
        <v>1390</v>
      </c>
      <c r="B112" s="1101">
        <v>0.51482430000000001</v>
      </c>
      <c r="D112" s="1101">
        <v>2.1801208999999999</v>
      </c>
      <c r="F112" s="1101">
        <v>1.4982172</v>
      </c>
      <c r="J112" s="1101">
        <v>0.3372368</v>
      </c>
      <c r="K112" s="1101">
        <v>0.1953606</v>
      </c>
      <c r="M112" s="1101">
        <v>0.59392180000000006</v>
      </c>
      <c r="O112" s="1101">
        <v>0.25329699999999999</v>
      </c>
      <c r="S112" s="1101">
        <v>0.48795660000000002</v>
      </c>
      <c r="T112" s="1101">
        <v>3.5582693000000001</v>
      </c>
      <c r="W112" s="1101">
        <v>6.6178217999999998</v>
      </c>
      <c r="Y112" s="1101">
        <v>2.4689300000000001E-2</v>
      </c>
      <c r="AB112" s="1101">
        <v>2.0100000000000001E-3</v>
      </c>
      <c r="AC112" s="1101">
        <v>0.76647520000000002</v>
      </c>
      <c r="AD112" s="1101">
        <v>0.70921210000000001</v>
      </c>
      <c r="AF112" s="1101">
        <v>5.3544729000000002</v>
      </c>
      <c r="AH112" s="1101">
        <v>1.07659E-2</v>
      </c>
    </row>
    <row r="113" spans="1:35">
      <c r="A113" s="1096" t="s">
        <v>1394</v>
      </c>
      <c r="B113" s="1101">
        <v>1.7826740999999999</v>
      </c>
      <c r="H113" s="1101">
        <v>0.13910710000000001</v>
      </c>
      <c r="P113" s="1101">
        <v>1.21333E-2</v>
      </c>
      <c r="S113" s="1101">
        <v>1.3006500000000001E-2</v>
      </c>
      <c r="T113" s="1101">
        <v>1.4822114</v>
      </c>
      <c r="U113" s="1101">
        <v>0.17857290000000001</v>
      </c>
      <c r="W113" s="1101">
        <v>33.299453900000003</v>
      </c>
      <c r="Y113" s="1101">
        <v>2.3644600000000002E-2</v>
      </c>
      <c r="Z113" s="1101">
        <v>4.3640600000000002E-2</v>
      </c>
      <c r="AA113" s="1101">
        <v>2.3654999999999999E-2</v>
      </c>
      <c r="AB113" s="1101">
        <v>1.93504E-2</v>
      </c>
      <c r="AC113" s="1101">
        <v>1.1620718000000001</v>
      </c>
      <c r="AD113" s="1101">
        <v>4.1474877000000001</v>
      </c>
      <c r="AF113" s="1101">
        <v>4.7244976999999997</v>
      </c>
    </row>
    <row r="114" spans="1:35">
      <c r="A114" s="1096" t="s">
        <v>947</v>
      </c>
      <c r="B114" s="1101">
        <v>1.24963E-2</v>
      </c>
      <c r="D114" s="1101">
        <v>3.9714899999999997E-2</v>
      </c>
      <c r="F114" s="1101">
        <v>1.0634313</v>
      </c>
      <c r="H114" s="1101">
        <v>12.297857199999999</v>
      </c>
      <c r="Q114" s="1101">
        <v>0.1960848</v>
      </c>
      <c r="S114" s="1101">
        <v>0.15644420000000001</v>
      </c>
      <c r="T114" s="1101">
        <v>18.0043598</v>
      </c>
      <c r="W114" s="1101">
        <v>48.520498500000002</v>
      </c>
      <c r="Y114" s="1101">
        <v>0.2160897</v>
      </c>
      <c r="Z114" s="1101">
        <v>0.64192669999999996</v>
      </c>
      <c r="AB114" s="1101">
        <v>2.1261724000000002</v>
      </c>
      <c r="AC114" s="1101">
        <v>0.51176080000000002</v>
      </c>
      <c r="AD114" s="1101">
        <v>1.9495555</v>
      </c>
      <c r="AF114" s="1101">
        <v>4.5972777999999996</v>
      </c>
    </row>
    <row r="115" spans="1:35">
      <c r="A115" s="1096" t="s">
        <v>1416</v>
      </c>
      <c r="B115" s="1101">
        <v>9.5209021000000007</v>
      </c>
      <c r="F115" s="1101">
        <v>4.3155300000000001E-2</v>
      </c>
      <c r="H115" s="1101">
        <v>80.044864000000004</v>
      </c>
      <c r="I115" s="1101">
        <v>6.0771100000000002E-2</v>
      </c>
      <c r="J115" s="1101">
        <v>56.2056944999999</v>
      </c>
      <c r="L115" s="1101">
        <v>1.1038000000000001E-3</v>
      </c>
      <c r="M115" s="1101">
        <v>0.85103700000000004</v>
      </c>
      <c r="N115" s="1101">
        <v>0.24209020000000001</v>
      </c>
      <c r="S115" s="1101">
        <v>2.3083699000000002</v>
      </c>
      <c r="T115" s="1101">
        <v>6.1904915000000003</v>
      </c>
      <c r="V115" s="1101">
        <v>4.82741E-2</v>
      </c>
      <c r="W115" s="1101">
        <v>82.134781099999998</v>
      </c>
      <c r="Y115" s="1101">
        <v>3.3253347</v>
      </c>
      <c r="AB115" s="1101">
        <v>0.2237478</v>
      </c>
      <c r="AC115" s="1101">
        <v>0.97388220000000003</v>
      </c>
      <c r="AD115" s="1101">
        <v>1.9664029000000001</v>
      </c>
    </row>
    <row r="116" spans="1:35">
      <c r="A116" s="1096" t="s">
        <v>350</v>
      </c>
      <c r="B116" s="1101">
        <v>15.319320599999999</v>
      </c>
      <c r="C116" s="1101">
        <v>0.47014359999999999</v>
      </c>
      <c r="N116" s="1101">
        <v>13.5812048</v>
      </c>
      <c r="P116" s="1101">
        <v>13.7109205</v>
      </c>
      <c r="R116" s="1101">
        <v>2.4220253</v>
      </c>
      <c r="S116" s="1101">
        <v>18.981571299999999</v>
      </c>
      <c r="T116" s="1101">
        <v>22.1263644</v>
      </c>
      <c r="U116" s="1101">
        <v>2.9091048000000002</v>
      </c>
      <c r="V116" s="1101">
        <v>4.6598599999999997E-2</v>
      </c>
      <c r="W116" s="1101">
        <v>29.1202361</v>
      </c>
      <c r="Y116" s="1101">
        <v>2.1311887999999999</v>
      </c>
      <c r="Z116" s="1101">
        <v>0.16485620000000001</v>
      </c>
      <c r="AB116" s="1101">
        <v>0.50107670000000004</v>
      </c>
      <c r="AC116" s="1101">
        <v>19.578987699999999</v>
      </c>
      <c r="AD116" s="1101">
        <v>26.8867811</v>
      </c>
    </row>
    <row r="117" spans="1:35">
      <c r="A117" s="1096" t="s">
        <v>1426</v>
      </c>
      <c r="B117" s="1101">
        <v>2.9526933</v>
      </c>
      <c r="D117" s="1101">
        <v>6.4961999999999997E-3</v>
      </c>
      <c r="F117" s="1101">
        <v>4.4571999999999997E-3</v>
      </c>
      <c r="H117" s="1101">
        <v>7.8696983999999999</v>
      </c>
      <c r="T117" s="1101">
        <v>3.0310423000000002</v>
      </c>
      <c r="W117" s="1101">
        <v>12.8302408</v>
      </c>
      <c r="Z117" s="1101">
        <v>0.2429393</v>
      </c>
      <c r="AB117" s="1101">
        <v>1.9366899999999999E-2</v>
      </c>
      <c r="AC117" s="1101">
        <v>0.38589099999999998</v>
      </c>
      <c r="AD117" s="1101">
        <v>0.40982170000000001</v>
      </c>
    </row>
    <row r="118" spans="1:35">
      <c r="A118" s="1096" t="s">
        <v>1429</v>
      </c>
      <c r="F118" s="1101">
        <v>0.1176618</v>
      </c>
      <c r="H118" s="1101">
        <v>19.940497499999999</v>
      </c>
      <c r="J118" s="1101">
        <v>4.4904747</v>
      </c>
      <c r="L118" s="1101">
        <v>1.6741069</v>
      </c>
      <c r="N118" s="1101">
        <v>2.23E-5</v>
      </c>
      <c r="S118" s="1101">
        <v>5.2019099999999999E-2</v>
      </c>
      <c r="T118" s="1101">
        <v>1.2512840000000001</v>
      </c>
      <c r="W118" s="1101">
        <v>4.7893445000000003</v>
      </c>
      <c r="AB118" s="1101">
        <v>0.19353210000000001</v>
      </c>
      <c r="AC118" s="1101">
        <v>0.1771054</v>
      </c>
      <c r="AD118" s="1101">
        <v>0.1875423</v>
      </c>
      <c r="AI118" s="1101">
        <v>3.5604E-3</v>
      </c>
    </row>
    <row r="119" spans="1:35">
      <c r="A119" s="1096" t="s">
        <v>1094</v>
      </c>
      <c r="C119" s="1101">
        <v>6.1109299999999998E-2</v>
      </c>
      <c r="D119" s="1101">
        <v>0.38199870000000002</v>
      </c>
      <c r="F119" s="1101">
        <v>0.23627909999999999</v>
      </c>
      <c r="H119" s="1101">
        <v>741.44407829999898</v>
      </c>
      <c r="M119" s="1101">
        <v>4.7545715</v>
      </c>
      <c r="N119" s="1101">
        <v>1.0838738000000001</v>
      </c>
      <c r="P119" s="1101">
        <v>1.0518023999999999</v>
      </c>
      <c r="Q119" s="1101">
        <v>5.1557499999999999E-2</v>
      </c>
      <c r="S119" s="1101">
        <v>1.8713529</v>
      </c>
      <c r="T119" s="1101">
        <v>15.8819648</v>
      </c>
      <c r="U119" s="1101">
        <v>14.118478400000001</v>
      </c>
      <c r="W119" s="1101">
        <v>25.798098599999999</v>
      </c>
      <c r="Y119" s="1101">
        <v>19.536067299999999</v>
      </c>
      <c r="Z119" s="1101">
        <v>1.4387818999999999</v>
      </c>
      <c r="AB119" s="1101">
        <v>6.2604195000000002</v>
      </c>
      <c r="AC119" s="1101">
        <v>3.5638762000000002</v>
      </c>
      <c r="AD119" s="1101">
        <v>6.1048926999999997</v>
      </c>
      <c r="AF119" s="1101">
        <v>8.5534552000000001</v>
      </c>
    </row>
    <row r="120" spans="1:35">
      <c r="A120" s="1096" t="s">
        <v>1443</v>
      </c>
      <c r="D120" s="1101">
        <v>0.2905683</v>
      </c>
      <c r="G120" s="1101">
        <v>3.480064</v>
      </c>
      <c r="H120" s="1101">
        <v>14.634529499999999</v>
      </c>
      <c r="J120" s="1101">
        <v>7.9434605999999999</v>
      </c>
      <c r="K120" s="1101">
        <v>0.25509080000000001</v>
      </c>
      <c r="L120" s="1101">
        <v>0.16474559999999999</v>
      </c>
      <c r="N120" s="1101">
        <v>0.53299510000000005</v>
      </c>
      <c r="S120" s="1101">
        <v>2.6347877</v>
      </c>
      <c r="T120" s="1101">
        <v>0.84927059999999999</v>
      </c>
      <c r="Y120" s="1101">
        <v>1.0197948999999999</v>
      </c>
      <c r="Z120" s="1101">
        <v>9.5094300000000007E-2</v>
      </c>
      <c r="AB120" s="1101">
        <v>6.5935400000000005E-2</v>
      </c>
      <c r="AC120" s="1101">
        <v>0.48547950000000001</v>
      </c>
      <c r="AD120" s="1101">
        <v>9.5568700000000006E-2</v>
      </c>
      <c r="AE120" s="1101">
        <v>1.1685600000000001E-2</v>
      </c>
    </row>
    <row r="121" spans="1:35">
      <c r="A121" s="1096" t="s">
        <v>1437</v>
      </c>
      <c r="B121" s="1101">
        <v>2.6288521</v>
      </c>
      <c r="F121" s="1101">
        <v>2.99952E-2</v>
      </c>
      <c r="H121" s="1101">
        <v>105.1995976</v>
      </c>
      <c r="I121" s="1101">
        <v>2.1972396000000001</v>
      </c>
      <c r="J121" s="1101">
        <v>6.4021157999999998</v>
      </c>
      <c r="S121" s="1101">
        <v>10.7529716</v>
      </c>
      <c r="T121" s="1101">
        <v>3.1262482999999999</v>
      </c>
      <c r="U121" s="1101">
        <v>3.55906E-2</v>
      </c>
      <c r="W121" s="1101">
        <v>56.720694799999997</v>
      </c>
      <c r="Y121" s="1101">
        <v>4.0772000000000003E-2</v>
      </c>
      <c r="Z121" s="1101">
        <v>4.1389E-3</v>
      </c>
      <c r="AB121" s="1101">
        <v>3.4895999999999998E-3</v>
      </c>
      <c r="AC121" s="1101">
        <v>1.9736507000000001</v>
      </c>
      <c r="AD121" s="1101">
        <v>0.56292710000000001</v>
      </c>
      <c r="AF121" s="1101">
        <v>21.950366599999999</v>
      </c>
      <c r="AI121" s="1101">
        <v>0.1792357</v>
      </c>
    </row>
    <row r="122" spans="1:35">
      <c r="A122" s="1096" t="s">
        <v>1450</v>
      </c>
      <c r="B122" s="1101">
        <v>5.6224071999999996</v>
      </c>
      <c r="G122" s="1101">
        <v>1.8474105000000001</v>
      </c>
      <c r="S122" s="1101">
        <v>0.10837090000000001</v>
      </c>
      <c r="T122" s="1101">
        <v>5.1310703000000002</v>
      </c>
      <c r="W122" s="1101">
        <v>9.1278535999999999</v>
      </c>
      <c r="Y122" s="1101">
        <v>2.5529959999999998</v>
      </c>
      <c r="AB122" s="1101">
        <v>0.98527520000000002</v>
      </c>
      <c r="AC122" s="1101">
        <v>1.1337623999999999</v>
      </c>
      <c r="AD122" s="1101">
        <v>0.52756829999999999</v>
      </c>
      <c r="AF122" s="1101">
        <v>1.0807799999999999E-2</v>
      </c>
      <c r="AI122" s="1101">
        <v>0.2196949</v>
      </c>
    </row>
    <row r="123" spans="1:35">
      <c r="A123" s="1096" t="s">
        <v>1458</v>
      </c>
      <c r="D123" s="1101">
        <v>0.1369435</v>
      </c>
      <c r="H123" s="1101">
        <v>8.6049834999999995</v>
      </c>
      <c r="I123" s="1101">
        <v>3.9163918</v>
      </c>
      <c r="J123" s="1101">
        <v>64.489813499999997</v>
      </c>
      <c r="L123" s="1101">
        <v>6.9694133999999996</v>
      </c>
      <c r="M123" s="1101">
        <v>1.3761471000000001</v>
      </c>
      <c r="S123" s="1101">
        <v>1.1847E-2</v>
      </c>
      <c r="T123" s="1101">
        <v>2.1297676999999999</v>
      </c>
      <c r="W123" s="1101">
        <v>13.828677799999999</v>
      </c>
      <c r="Z123" s="1101">
        <v>0.12733149999999999</v>
      </c>
      <c r="AB123" s="1101">
        <v>0.27247769999999999</v>
      </c>
      <c r="AC123" s="1101">
        <v>1.5555197999999999</v>
      </c>
      <c r="AD123" s="1101">
        <v>1.5790736999999999</v>
      </c>
      <c r="AH123" s="1101">
        <v>6.7352625000000002</v>
      </c>
    </row>
    <row r="124" spans="1:35">
      <c r="A124" s="1096" t="s">
        <v>1463</v>
      </c>
      <c r="H124" s="1101">
        <v>24.395382699999999</v>
      </c>
      <c r="I124" s="1101">
        <v>1.7999999999999999E-6</v>
      </c>
      <c r="U124" s="1101">
        <v>2.0283499999999999E-2</v>
      </c>
      <c r="W124" s="1101">
        <v>10.4599183</v>
      </c>
      <c r="Y124" s="1101">
        <v>4.9499262999999996</v>
      </c>
      <c r="AB124" s="1101">
        <v>0.43177910000000003</v>
      </c>
      <c r="AD124" s="1101">
        <v>2.7803999999999999E-2</v>
      </c>
    </row>
    <row r="125" spans="1:35">
      <c r="A125" s="1096" t="s">
        <v>1028</v>
      </c>
      <c r="H125" s="1101">
        <v>2.5582457000000001</v>
      </c>
      <c r="W125" s="1101">
        <v>31.907605400000001</v>
      </c>
      <c r="AD125" s="1101">
        <v>0.23596900000000001</v>
      </c>
    </row>
    <row r="126" spans="1:35">
      <c r="A126" s="1096" t="s">
        <v>1464</v>
      </c>
      <c r="B126" s="1101">
        <v>17.243212400000001</v>
      </c>
      <c r="C126" s="1101">
        <v>0.80750489999999997</v>
      </c>
      <c r="D126" s="1101">
        <v>0.95640219999999998</v>
      </c>
      <c r="H126" s="1101">
        <v>0.10612679999999999</v>
      </c>
      <c r="K126" s="1101">
        <v>4.9999999999999998E-7</v>
      </c>
      <c r="L126" s="1101">
        <v>0.70725210000000005</v>
      </c>
      <c r="M126" s="1101">
        <v>1.2004969000000001</v>
      </c>
      <c r="S126" s="1101">
        <v>2.4749368999999999</v>
      </c>
      <c r="T126" s="1101">
        <v>3.1242283999999998</v>
      </c>
      <c r="V126" s="1101">
        <v>0.60358389999999995</v>
      </c>
      <c r="W126" s="1101">
        <v>17.991702700000001</v>
      </c>
      <c r="Y126" s="1101">
        <v>17.6049753</v>
      </c>
      <c r="Z126" s="1101">
        <v>4.1292999999999998E-3</v>
      </c>
      <c r="AC126" s="1101">
        <v>4.1536464000000004</v>
      </c>
      <c r="AD126" s="1101">
        <v>2.3548543999999998</v>
      </c>
      <c r="AF126" s="1101">
        <v>4.5005119999999996</v>
      </c>
    </row>
    <row r="127" spans="1:35">
      <c r="A127" s="1096" t="s">
        <v>1473</v>
      </c>
      <c r="B127" s="1101">
        <v>7.0024799999999998E-2</v>
      </c>
      <c r="H127" s="1101">
        <v>30.922793500000001</v>
      </c>
      <c r="J127" s="1101">
        <v>2.5912647999999998</v>
      </c>
      <c r="T127" s="1101">
        <v>0.22625690000000001</v>
      </c>
      <c r="W127" s="1101">
        <v>19.7505956</v>
      </c>
      <c r="Z127" s="1101">
        <v>0.55802560000000001</v>
      </c>
      <c r="AC127" s="1101">
        <v>3.4672799999999997E-2</v>
      </c>
      <c r="AD127" s="1101">
        <v>0.12876789999999999</v>
      </c>
      <c r="AE127" s="1101">
        <v>0.40634330000000002</v>
      </c>
      <c r="AF127" s="1101">
        <v>3.6193000000000002E-3</v>
      </c>
    </row>
    <row r="128" spans="1:35">
      <c r="A128" s="1096" t="s">
        <v>1482</v>
      </c>
      <c r="B128" s="1101">
        <v>3.4042721999999999</v>
      </c>
      <c r="C128" s="1101">
        <v>0.60360119999999995</v>
      </c>
      <c r="H128" s="1101">
        <v>51.4349212999999</v>
      </c>
      <c r="J128" s="1101">
        <v>8.6997099999999994E-2</v>
      </c>
      <c r="M128" s="1101">
        <v>0.13904420000000001</v>
      </c>
      <c r="N128" s="1101">
        <v>0.1175344</v>
      </c>
      <c r="O128" s="1101">
        <v>1.4113267</v>
      </c>
      <c r="P128" s="1101">
        <v>5.8983300000000002E-2</v>
      </c>
      <c r="S128" s="1101">
        <v>5.2509297000000004</v>
      </c>
      <c r="T128" s="1101">
        <v>4.7836540000000003</v>
      </c>
      <c r="W128" s="1101">
        <v>16.225778900000002</v>
      </c>
      <c r="Y128" s="1101">
        <v>0.1369069</v>
      </c>
      <c r="Z128" s="1101">
        <v>8.5072800000000004E-2</v>
      </c>
      <c r="AB128" s="1101">
        <v>0.56298190000000004</v>
      </c>
      <c r="AC128" s="1101">
        <v>1.2091368</v>
      </c>
      <c r="AD128" s="1101">
        <v>2.5184885000000001</v>
      </c>
      <c r="AH128" s="1101">
        <v>2.8032999999999999E-2</v>
      </c>
    </row>
    <row r="129" spans="1:35">
      <c r="A129" s="1096" t="s">
        <v>1481</v>
      </c>
      <c r="H129" s="1101">
        <v>53.829316499999997</v>
      </c>
      <c r="T129" s="1101">
        <v>2.8408278</v>
      </c>
      <c r="U129" s="1101">
        <v>1.1081344</v>
      </c>
      <c r="W129" s="1101">
        <v>37.518809500000003</v>
      </c>
      <c r="Y129" s="1101">
        <v>0.48709819999999998</v>
      </c>
      <c r="Z129" s="1101">
        <v>1.17497E-2</v>
      </c>
      <c r="AB129" s="1101">
        <v>0.86515030000000004</v>
      </c>
      <c r="AD129" s="1101">
        <v>4.2580610999999999</v>
      </c>
    </row>
    <row r="130" spans="1:35">
      <c r="A130" s="1096" t="s">
        <v>1746</v>
      </c>
      <c r="D130" s="1101">
        <v>2.48443E-2</v>
      </c>
      <c r="H130" s="1101">
        <v>0.4195103</v>
      </c>
      <c r="I130" s="1101">
        <v>0.2330171</v>
      </c>
      <c r="J130" s="1101">
        <v>0.7939155</v>
      </c>
      <c r="L130" s="1101">
        <v>7.0641099999999998E-2</v>
      </c>
      <c r="M130" s="1101">
        <v>4.45539E-2</v>
      </c>
      <c r="T130" s="1101">
        <v>1.16186E-2</v>
      </c>
      <c r="W130" s="1101">
        <v>0.68709770000000003</v>
      </c>
      <c r="Y130" s="1101">
        <v>0.30686869999999999</v>
      </c>
      <c r="AC130" s="1101">
        <v>4.3322100000000002E-2</v>
      </c>
      <c r="AD130" s="1101">
        <v>0.32855309999999999</v>
      </c>
    </row>
    <row r="131" spans="1:35">
      <c r="A131" s="1096" t="s">
        <v>1496</v>
      </c>
      <c r="B131" s="1101">
        <v>2.1840345000000001</v>
      </c>
      <c r="D131" s="1101">
        <v>4.2064299999999999E-2</v>
      </c>
      <c r="H131" s="1101">
        <v>2.8541107000000001</v>
      </c>
      <c r="J131" s="1101">
        <v>7.0938299999999996E-2</v>
      </c>
      <c r="M131" s="1101">
        <v>0.1000069</v>
      </c>
      <c r="P131" s="1101">
        <v>0.4524725</v>
      </c>
      <c r="T131" s="1101">
        <v>0.1145707</v>
      </c>
      <c r="Z131" s="1101">
        <v>4.2348999999999998E-3</v>
      </c>
      <c r="AB131" s="1101">
        <v>2.0416000000000002E-3</v>
      </c>
      <c r="AC131" s="1101">
        <v>0.48820930000000001</v>
      </c>
      <c r="AD131" s="1101">
        <v>8.6328799999999997E-2</v>
      </c>
    </row>
    <row r="132" spans="1:35">
      <c r="A132" s="1096" t="s">
        <v>1506</v>
      </c>
      <c r="B132" s="1101">
        <v>3.2555300000000002E-2</v>
      </c>
      <c r="H132" s="1101">
        <v>48.687233300000003</v>
      </c>
      <c r="J132" s="1101">
        <v>20.561494199999999</v>
      </c>
      <c r="L132" s="1101">
        <v>3.7299999999999999E-5</v>
      </c>
      <c r="W132" s="1101">
        <v>1.3155200000000001E-2</v>
      </c>
      <c r="Z132" s="1101">
        <v>8.2842999999999997E-3</v>
      </c>
      <c r="AB132" s="1101">
        <v>0.24512039999999999</v>
      </c>
      <c r="AD132" s="1101">
        <v>9.0886999999999996E-2</v>
      </c>
    </row>
    <row r="133" spans="1:35">
      <c r="A133" s="1096" t="s">
        <v>1511</v>
      </c>
      <c r="B133" s="1101">
        <v>1.0763851</v>
      </c>
      <c r="D133" s="1101">
        <v>0.1864565</v>
      </c>
      <c r="H133" s="1101">
        <v>22.248323800000001</v>
      </c>
      <c r="J133" s="1101">
        <v>11.2865234</v>
      </c>
      <c r="N133" s="1101">
        <v>0.20176620000000001</v>
      </c>
      <c r="O133" s="1101">
        <v>0.10222820000000001</v>
      </c>
      <c r="P133" s="1101">
        <v>3.7861499999999999E-2</v>
      </c>
      <c r="S133" s="1101">
        <v>6.9349300000000003E-2</v>
      </c>
      <c r="T133" s="1101">
        <v>0.27598109999999998</v>
      </c>
      <c r="W133" s="1101">
        <v>16.7608277</v>
      </c>
      <c r="Z133" s="1101">
        <v>3.2392799999999999E-2</v>
      </c>
      <c r="AB133" s="1101">
        <v>6.0550000000000003E-4</v>
      </c>
      <c r="AC133" s="1101">
        <v>0.1277645</v>
      </c>
      <c r="AD133" s="1101">
        <v>0.227884</v>
      </c>
    </row>
    <row r="134" spans="1:35">
      <c r="A134" s="1096" t="s">
        <v>1518</v>
      </c>
      <c r="B134" s="1101">
        <v>0.76825790000000005</v>
      </c>
      <c r="D134" s="1101">
        <v>0.79340379999999999</v>
      </c>
      <c r="H134" s="1101">
        <v>3.8295783999999999</v>
      </c>
      <c r="J134" s="1101">
        <v>1.9052180000000001</v>
      </c>
      <c r="K134" s="1101">
        <v>3.9102199999999997E-2</v>
      </c>
      <c r="L134" s="1101">
        <v>4.2929671000000003</v>
      </c>
      <c r="M134" s="1101">
        <v>0.3303162</v>
      </c>
      <c r="N134" s="1101">
        <v>0.77120169999999999</v>
      </c>
      <c r="R134" s="1101">
        <v>4.1422686000000004</v>
      </c>
      <c r="S134" s="1101">
        <v>3.1153415</v>
      </c>
      <c r="T134" s="1101">
        <v>7.1140882999999997</v>
      </c>
      <c r="W134" s="1101">
        <v>19.448804500000001</v>
      </c>
      <c r="Z134" s="1101">
        <v>4.1854500000000003E-2</v>
      </c>
      <c r="AB134" s="1101">
        <v>0.17465720000000001</v>
      </c>
      <c r="AC134" s="1101">
        <v>2.734432</v>
      </c>
      <c r="AD134" s="1101">
        <v>0.96033820000000003</v>
      </c>
      <c r="AH134" s="1101">
        <v>2.7950976999999999</v>
      </c>
      <c r="AI134" s="1101">
        <v>6.6860453</v>
      </c>
    </row>
    <row r="135" spans="1:35">
      <c r="A135" s="1096" t="s">
        <v>1523</v>
      </c>
      <c r="F135" s="1101">
        <v>9.6670000000000002E-4</v>
      </c>
      <c r="H135" s="1101">
        <v>0.2296079</v>
      </c>
      <c r="J135" s="1101">
        <v>7.2404800000000005E-2</v>
      </c>
      <c r="W135" s="1101">
        <v>3.2314479999999999</v>
      </c>
      <c r="Y135" s="1101">
        <v>8.4103000000000008E-3</v>
      </c>
      <c r="AB135" s="1101">
        <v>2.8689300000000001E-2</v>
      </c>
      <c r="AD135" s="1101">
        <v>2.9211399999999998E-2</v>
      </c>
    </row>
    <row r="136" spans="1:35">
      <c r="A136" s="1096" t="s">
        <v>1524</v>
      </c>
      <c r="H136" s="1101">
        <v>4.92608E-2</v>
      </c>
      <c r="J136" s="1101">
        <v>2.9230573999999998</v>
      </c>
      <c r="W136" s="1101">
        <v>21.260698099999999</v>
      </c>
    </row>
    <row r="137" spans="1:35">
      <c r="A137" s="1096" t="s">
        <v>1530</v>
      </c>
      <c r="H137" s="1101">
        <v>4.7990453000000004</v>
      </c>
      <c r="I137" s="1101">
        <v>2.8579938</v>
      </c>
      <c r="J137" s="1101">
        <v>3.3720867000000001</v>
      </c>
      <c r="L137" s="1101">
        <v>0.24917980000000001</v>
      </c>
      <c r="S137" s="1101">
        <v>0.13530909999999999</v>
      </c>
      <c r="T137" s="1101">
        <v>0.90575070000000002</v>
      </c>
      <c r="W137" s="1101">
        <v>8.9970999999999992E-3</v>
      </c>
      <c r="Y137" s="1101">
        <v>0.16021820000000001</v>
      </c>
      <c r="AB137" s="1101">
        <v>1.35853E-2</v>
      </c>
      <c r="AC137" s="1101">
        <v>2.94267E-2</v>
      </c>
      <c r="AD137" s="1101">
        <v>0.63307970000000002</v>
      </c>
    </row>
    <row r="138" spans="1:35">
      <c r="A138" s="1096" t="s">
        <v>353</v>
      </c>
      <c r="B138" s="1101">
        <v>4.5301974999999999</v>
      </c>
      <c r="H138" s="1101">
        <v>0.50707060000000004</v>
      </c>
      <c r="J138" s="1101">
        <v>5.7266558999999999</v>
      </c>
      <c r="L138" s="1101">
        <v>8.0142699999999997E-2</v>
      </c>
      <c r="M138" s="1101">
        <v>6.3398999999999999E-3</v>
      </c>
      <c r="N138" s="1101">
        <v>1.9077362</v>
      </c>
      <c r="R138" s="1101">
        <v>2.6805004000000001</v>
      </c>
      <c r="S138" s="1101">
        <v>8.9166001000000001</v>
      </c>
      <c r="T138" s="1101">
        <v>5.7766115999999998</v>
      </c>
      <c r="U138" s="1101">
        <v>0.3701275</v>
      </c>
      <c r="Y138" s="1101">
        <v>9.4369071000000009</v>
      </c>
      <c r="Z138" s="1101">
        <v>3.3243999999999999E-3</v>
      </c>
      <c r="AC138" s="1101">
        <v>1.0026790999999999</v>
      </c>
      <c r="AD138" s="1101">
        <v>1.7242310999999999</v>
      </c>
      <c r="AF138" s="1101">
        <v>2.5896999999999999E-3</v>
      </c>
    </row>
    <row r="139" spans="1:35">
      <c r="A139" s="1096" t="s">
        <v>1532</v>
      </c>
      <c r="B139" s="1101">
        <v>2.67791E-2</v>
      </c>
      <c r="C139" s="1101">
        <v>1.1881000000000001E-3</v>
      </c>
      <c r="H139" s="1101">
        <v>0.32753480000000001</v>
      </c>
      <c r="J139" s="1101">
        <v>0.34930290000000003</v>
      </c>
      <c r="W139" s="1101">
        <v>0.32046010000000003</v>
      </c>
      <c r="Y139" s="1101">
        <v>3.7561507999999999</v>
      </c>
      <c r="AD139" s="1101">
        <v>9.0494000000000008E-3</v>
      </c>
    </row>
    <row r="140" spans="1:35">
      <c r="A140" s="1096" t="s">
        <v>1536</v>
      </c>
      <c r="B140" s="1101">
        <v>2.7688788</v>
      </c>
      <c r="D140" s="1101">
        <v>0.72474320000000003</v>
      </c>
      <c r="F140" s="1101">
        <v>0.17451939999999999</v>
      </c>
      <c r="H140" s="1101">
        <v>22.538417800000001</v>
      </c>
      <c r="I140" s="1101">
        <v>3.1728699999999999E-2</v>
      </c>
      <c r="J140" s="1101">
        <v>20.007580000000001</v>
      </c>
      <c r="L140" s="1101">
        <v>0.64709179999999999</v>
      </c>
      <c r="M140" s="1101">
        <v>7.9944699999999994E-2</v>
      </c>
      <c r="O140" s="1101">
        <v>1.7921096999999999</v>
      </c>
      <c r="S140" s="1101">
        <v>1.9939382999999999</v>
      </c>
      <c r="T140" s="1101">
        <v>1.3964818000000001</v>
      </c>
      <c r="U140" s="1101">
        <v>0.1087172</v>
      </c>
      <c r="W140" s="1101">
        <v>20.448358599999999</v>
      </c>
      <c r="Z140" s="1101">
        <v>1.5494504</v>
      </c>
      <c r="AB140" s="1101">
        <v>7.5714799999999999E-2</v>
      </c>
      <c r="AC140" s="1101">
        <v>0.93414260000000005</v>
      </c>
      <c r="AD140" s="1101">
        <v>0.43229849999999997</v>
      </c>
    </row>
    <row r="141" spans="1:35">
      <c r="A141" s="1096" t="s">
        <v>1538</v>
      </c>
      <c r="B141" s="1101">
        <v>3.1947099999999999E-2</v>
      </c>
      <c r="C141" s="1101">
        <v>4.1785099999999999E-2</v>
      </c>
      <c r="F141" s="1101">
        <v>2.5897900000000001E-2</v>
      </c>
      <c r="H141" s="1101">
        <v>4.9115235999999998</v>
      </c>
      <c r="L141" s="1101">
        <v>0.357317</v>
      </c>
      <c r="S141" s="1101">
        <v>0.24287149999999999</v>
      </c>
      <c r="T141" s="1101">
        <v>8.0689685999999998</v>
      </c>
      <c r="U141" s="1101">
        <v>1.8749100000000001E-2</v>
      </c>
      <c r="W141" s="1101">
        <v>8.7046364000000001</v>
      </c>
      <c r="Z141" s="1101">
        <v>8.6979600000000004E-2</v>
      </c>
      <c r="AB141" s="1101">
        <v>0.13912269999999999</v>
      </c>
      <c r="AC141" s="1101">
        <v>0.58249209999999996</v>
      </c>
      <c r="AD141" s="1101">
        <v>0.68100050000000001</v>
      </c>
      <c r="AF141" s="1101">
        <v>4.46953E-2</v>
      </c>
    </row>
    <row r="142" spans="1:35">
      <c r="A142" s="1096" t="s">
        <v>1544</v>
      </c>
      <c r="B142" s="1101">
        <v>15.188998</v>
      </c>
      <c r="D142" s="1101">
        <v>8.3159300000000005E-2</v>
      </c>
      <c r="G142" s="1101">
        <v>0.2446699</v>
      </c>
      <c r="H142" s="1101">
        <v>41.148617799999997</v>
      </c>
      <c r="J142" s="1101">
        <v>5.2569045000000001</v>
      </c>
      <c r="K142" s="1101">
        <v>1.54746E-2</v>
      </c>
      <c r="S142" s="1101">
        <v>0.5905437</v>
      </c>
      <c r="T142" s="1101">
        <v>2.8402791999999999</v>
      </c>
      <c r="W142" s="1101">
        <v>38.829395900000002</v>
      </c>
      <c r="Z142" s="1101">
        <v>9.6110299999999996E-2</v>
      </c>
      <c r="AB142" s="1101">
        <v>8.7258600000000006E-2</v>
      </c>
      <c r="AC142" s="1101">
        <v>0.15133840000000001</v>
      </c>
      <c r="AD142" s="1101">
        <v>0.27160649999999997</v>
      </c>
      <c r="AF142" s="1101">
        <v>2.11538E-2</v>
      </c>
    </row>
    <row r="143" spans="1:35">
      <c r="A143" s="1096" t="s">
        <v>1121</v>
      </c>
      <c r="H143" s="1101">
        <v>8.0127894000000097</v>
      </c>
      <c r="I143" s="1101">
        <v>6.0380000000000004E-4</v>
      </c>
      <c r="T143" s="1101">
        <v>7.4315500000000007E-2</v>
      </c>
      <c r="W143" s="1101">
        <v>15.066856100000001</v>
      </c>
      <c r="Z143" s="1101">
        <v>1.37652E-2</v>
      </c>
      <c r="AB143" s="1101">
        <v>4.0150000000000003E-3</v>
      </c>
      <c r="AD143" s="1101">
        <v>0.12611230000000001</v>
      </c>
    </row>
    <row r="144" spans="1:35">
      <c r="A144" s="1096" t="s">
        <v>1600</v>
      </c>
      <c r="B144" s="1101">
        <v>7.1176579000000002</v>
      </c>
      <c r="D144" s="1101">
        <v>1.7991433999999999</v>
      </c>
      <c r="H144" s="1101">
        <v>0.24044789999999999</v>
      </c>
      <c r="I144" s="1101">
        <v>17.222272700000001</v>
      </c>
      <c r="J144" s="1101">
        <v>0.48136289999999998</v>
      </c>
      <c r="L144" s="1101">
        <v>0.19580449999999999</v>
      </c>
      <c r="P144" s="1101">
        <v>2.6919325000000001</v>
      </c>
      <c r="S144" s="1101">
        <v>0.53605590000000003</v>
      </c>
      <c r="T144" s="1101">
        <v>6.1386474</v>
      </c>
      <c r="U144" s="1101">
        <v>0.26451390000000002</v>
      </c>
      <c r="W144" s="1101">
        <v>11.434860799999999</v>
      </c>
      <c r="Y144" s="1101">
        <v>0.41385040000000001</v>
      </c>
      <c r="Z144" s="1101">
        <v>1.332586</v>
      </c>
      <c r="AB144" s="1101">
        <v>5.2929799999999999E-2</v>
      </c>
      <c r="AC144" s="1101">
        <v>1.6931148</v>
      </c>
      <c r="AD144" s="1101">
        <v>2.7646061999999998</v>
      </c>
      <c r="AF144" s="1101">
        <v>5.2398335999999999</v>
      </c>
    </row>
    <row r="145" spans="1:35">
      <c r="A145" s="1096" t="s">
        <v>1604</v>
      </c>
      <c r="B145" s="1101">
        <v>4.0025972000000003</v>
      </c>
      <c r="D145" s="1101">
        <v>1.3488836</v>
      </c>
      <c r="G145" s="1101">
        <v>1.4390556999999999</v>
      </c>
      <c r="H145" s="1101">
        <v>13.845546199999999</v>
      </c>
      <c r="J145" s="1101">
        <v>1.759209</v>
      </c>
      <c r="P145" s="1101">
        <v>0.49252639999999998</v>
      </c>
      <c r="S145" s="1101">
        <v>1.2956023999999999</v>
      </c>
      <c r="T145" s="1101">
        <v>2.7039361999999998</v>
      </c>
      <c r="U145" s="1101">
        <v>2.5166000000000001E-2</v>
      </c>
      <c r="W145" s="1101">
        <v>15.3362529</v>
      </c>
      <c r="AA145" s="1101">
        <v>8.79577E-2</v>
      </c>
      <c r="AB145" s="1101">
        <v>7.7241699999999996E-2</v>
      </c>
      <c r="AC145" s="1101">
        <v>0.49862339999999999</v>
      </c>
      <c r="AD145" s="1101">
        <v>0.2498088</v>
      </c>
    </row>
    <row r="146" spans="1:35">
      <c r="A146" s="1096" t="s">
        <v>1602</v>
      </c>
      <c r="B146" s="1101">
        <v>3.926336</v>
      </c>
      <c r="D146" s="1101">
        <v>3.9315000000000001E-3</v>
      </c>
      <c r="H146" s="1101">
        <v>31.973402100000001</v>
      </c>
      <c r="J146" s="1101">
        <v>0.38912750000000002</v>
      </c>
      <c r="N146" s="1101">
        <v>0.146565</v>
      </c>
      <c r="S146" s="1101">
        <v>0.2077891</v>
      </c>
      <c r="T146" s="1101">
        <v>0.14851600000000001</v>
      </c>
      <c r="U146" s="1101">
        <v>0.73234250000000001</v>
      </c>
      <c r="W146" s="1101">
        <v>24.081302699999998</v>
      </c>
      <c r="Y146" s="1101">
        <v>3.8403358999999999</v>
      </c>
      <c r="Z146" s="1101">
        <v>2.2156172000000001</v>
      </c>
      <c r="AB146" s="1101">
        <v>1.7833612999999999</v>
      </c>
      <c r="AC146" s="1101">
        <v>0.3730946</v>
      </c>
      <c r="AD146" s="1101">
        <v>3.1009400999999999</v>
      </c>
    </row>
    <row r="147" spans="1:35">
      <c r="A147" s="1096" t="s">
        <v>1558</v>
      </c>
      <c r="H147" s="1101">
        <v>101.8718417</v>
      </c>
      <c r="U147" s="1101">
        <v>0.21539430000000001</v>
      </c>
      <c r="W147" s="1101">
        <v>47.409566499999997</v>
      </c>
      <c r="Y147" s="1101">
        <v>4.4224940000000004</v>
      </c>
      <c r="AD147" s="1101">
        <v>5.9480142999999996</v>
      </c>
    </row>
    <row r="148" spans="1:35">
      <c r="A148" s="1096" t="s">
        <v>1559</v>
      </c>
      <c r="B148" s="1101">
        <v>0.20775360000000001</v>
      </c>
      <c r="N148" s="1101">
        <v>0.67528310000000002</v>
      </c>
      <c r="P148" s="1101">
        <v>10.407621300000001</v>
      </c>
      <c r="S148" s="1101">
        <v>9.2975305000000006</v>
      </c>
      <c r="T148" s="1101">
        <v>13.522076800000001</v>
      </c>
      <c r="U148" s="1101">
        <v>0.36320930000000001</v>
      </c>
      <c r="W148" s="1101">
        <v>55.293032099999998</v>
      </c>
      <c r="Y148" s="1101">
        <v>0.57817879999999999</v>
      </c>
      <c r="Z148" s="1101">
        <v>2.52748E-2</v>
      </c>
      <c r="AC148" s="1101">
        <v>3.4489542000000002</v>
      </c>
      <c r="AD148" s="1101">
        <v>12.8297238</v>
      </c>
    </row>
    <row r="149" spans="1:35">
      <c r="A149" s="1096" t="s">
        <v>1561</v>
      </c>
      <c r="H149" s="1101">
        <v>5.9000000000000003E-6</v>
      </c>
      <c r="J149" s="1101">
        <v>12.167157100000001</v>
      </c>
      <c r="W149" s="1101">
        <v>0.16922770000000001</v>
      </c>
    </row>
    <row r="150" spans="1:35">
      <c r="A150" s="1096" t="s">
        <v>1562</v>
      </c>
      <c r="D150" s="1101">
        <v>6.8540799999999999E-2</v>
      </c>
      <c r="G150" s="1101">
        <v>1.6867500000000001E-2</v>
      </c>
      <c r="H150" s="1101">
        <v>6.6592867000000098</v>
      </c>
      <c r="S150" s="1101">
        <v>0.3274782</v>
      </c>
      <c r="T150" s="1101">
        <v>2.9415999999999999E-3</v>
      </c>
      <c r="W150" s="1101">
        <v>7.3461144000000003</v>
      </c>
      <c r="AB150" s="1101">
        <v>9.3865400000000002E-2</v>
      </c>
      <c r="AC150" s="1101">
        <v>2.8847899999999999E-2</v>
      </c>
      <c r="AD150" s="1101">
        <v>1.15011E-2</v>
      </c>
    </row>
    <row r="151" spans="1:35">
      <c r="A151" s="1096" t="s">
        <v>1564</v>
      </c>
      <c r="B151" s="1101">
        <v>5.4726261999999997</v>
      </c>
      <c r="C151" s="1101">
        <v>0.2300982</v>
      </c>
      <c r="H151" s="1101">
        <v>37.332022799999997</v>
      </c>
      <c r="I151" s="1101">
        <v>1.1811E-3</v>
      </c>
      <c r="J151" s="1101">
        <v>1.6794297</v>
      </c>
      <c r="L151" s="1101">
        <v>12.017497199999999</v>
      </c>
      <c r="S151" s="1101">
        <v>1.6584293000000001</v>
      </c>
      <c r="T151" s="1101">
        <v>3.0625038</v>
      </c>
      <c r="W151" s="1101">
        <v>17.0947496</v>
      </c>
      <c r="Y151" s="1101">
        <v>4.2315899999999997E-2</v>
      </c>
      <c r="Z151" s="1101">
        <v>0.12268370000000001</v>
      </c>
      <c r="AB151" s="1101">
        <v>1.372925</v>
      </c>
      <c r="AC151" s="1101">
        <v>5.0509142000000002</v>
      </c>
      <c r="AD151" s="1101">
        <v>0.82513380000000003</v>
      </c>
      <c r="AF151" s="1101">
        <v>7.247E-4</v>
      </c>
    </row>
    <row r="152" spans="1:35">
      <c r="A152" s="1096" t="s">
        <v>1567</v>
      </c>
      <c r="B152" s="1101">
        <v>7.7435599999999993E-2</v>
      </c>
      <c r="H152" s="1101">
        <v>16.3718428</v>
      </c>
      <c r="I152" s="1101">
        <v>7.9116199999999998E-2</v>
      </c>
      <c r="J152" s="1101">
        <v>0.1038121</v>
      </c>
      <c r="N152" s="1101">
        <v>3.1600000000000002E-5</v>
      </c>
      <c r="P152" s="1101">
        <v>0.28292509999999998</v>
      </c>
      <c r="T152" s="1101">
        <v>0.28750369999999997</v>
      </c>
      <c r="W152" s="1101">
        <v>9.1212359000000003</v>
      </c>
      <c r="Y152" s="1101">
        <v>2.1180861000000002</v>
      </c>
      <c r="AC152" s="1101">
        <v>0.2151131</v>
      </c>
      <c r="AD152" s="1101">
        <v>0.2153785</v>
      </c>
    </row>
    <row r="153" spans="1:35">
      <c r="A153" s="1096" t="s">
        <v>1571</v>
      </c>
      <c r="B153" s="1101">
        <v>2.3111286999999998</v>
      </c>
      <c r="H153" s="1101">
        <v>70.297606000000002</v>
      </c>
      <c r="J153" s="1101">
        <v>0.11446240000000001</v>
      </c>
      <c r="S153" s="1101">
        <v>8.5991000000000001E-3</v>
      </c>
      <c r="T153" s="1101">
        <v>6.2437246999999996</v>
      </c>
      <c r="U153" s="1101">
        <v>0.34465289999999998</v>
      </c>
      <c r="Z153" s="1101">
        <v>1.53562E-2</v>
      </c>
      <c r="AB153" s="1101">
        <v>0.33079779999999998</v>
      </c>
      <c r="AC153" s="1101">
        <v>1.3344200000000001E-2</v>
      </c>
      <c r="AD153" s="1101">
        <v>1.0455751</v>
      </c>
      <c r="AH153" s="1101">
        <v>0.76470819999999995</v>
      </c>
      <c r="AI153" s="1101">
        <v>5.4108000000000003E-3</v>
      </c>
    </row>
    <row r="154" spans="1:35">
      <c r="A154" s="1096" t="s">
        <v>1574</v>
      </c>
      <c r="H154" s="1101">
        <v>6.1222145000000001</v>
      </c>
      <c r="J154" s="1101">
        <v>4.8892556000000003</v>
      </c>
      <c r="U154" s="1101">
        <v>0.231822</v>
      </c>
      <c r="W154" s="1101">
        <v>5.1587800000000003E-2</v>
      </c>
    </row>
    <row r="155" spans="1:35">
      <c r="A155" s="1096" t="s">
        <v>1594</v>
      </c>
      <c r="B155" s="1101">
        <v>4.3870899999999997E-2</v>
      </c>
      <c r="H155" s="1101">
        <v>8.4644399999999997</v>
      </c>
      <c r="J155" s="1101">
        <v>0.37112519999999999</v>
      </c>
      <c r="S155" s="1101">
        <v>0.12557080000000001</v>
      </c>
      <c r="T155" s="1101">
        <v>4.8502071999999998</v>
      </c>
      <c r="U155" s="1101">
        <v>0.26109759999999999</v>
      </c>
      <c r="W155" s="1101">
        <v>24.539353800000001</v>
      </c>
      <c r="Y155" s="1101">
        <v>1.0032981000000001</v>
      </c>
      <c r="AB155" s="1101">
        <v>2.9605099999999999E-2</v>
      </c>
      <c r="AC155" s="1101">
        <v>6.4996999999999997E-3</v>
      </c>
      <c r="AD155" s="1101">
        <v>0.1805321</v>
      </c>
      <c r="AF155" s="1101">
        <v>1.2972866000000001</v>
      </c>
    </row>
    <row r="156" spans="1:35">
      <c r="A156" s="1096" t="s">
        <v>1598</v>
      </c>
      <c r="B156" s="1101">
        <v>11.8266569</v>
      </c>
      <c r="F156" s="1101">
        <v>9.7233000000000007E-3</v>
      </c>
      <c r="H156" s="1101">
        <v>38.524418300000001</v>
      </c>
      <c r="L156" s="1101">
        <v>0.1225202</v>
      </c>
      <c r="S156" s="1101">
        <v>5.3157731999999998</v>
      </c>
      <c r="T156" s="1101">
        <v>13.9328453</v>
      </c>
      <c r="U156" s="1101">
        <v>0.1185783</v>
      </c>
      <c r="W156" s="1101">
        <v>36.499125599999999</v>
      </c>
      <c r="Y156" s="1101">
        <v>6.2953640999999996</v>
      </c>
      <c r="Z156" s="1101">
        <v>0.3658189</v>
      </c>
      <c r="AB156" s="1101">
        <v>0.34787570000000001</v>
      </c>
      <c r="AC156" s="1101">
        <v>3.0402577000000002</v>
      </c>
      <c r="AD156" s="1101">
        <v>4.9452315000000002</v>
      </c>
      <c r="AF156" s="1101">
        <v>4.6400927000000003</v>
      </c>
      <c r="AH156" s="1101">
        <v>0.19784309999999999</v>
      </c>
    </row>
    <row r="157" spans="1:35">
      <c r="A157" s="1096" t="s">
        <v>354</v>
      </c>
      <c r="C157" s="1101">
        <v>0.37961669999999997</v>
      </c>
      <c r="D157" s="1101">
        <v>1.448998</v>
      </c>
      <c r="F157" s="1101">
        <v>1.1051107</v>
      </c>
      <c r="H157" s="1101">
        <v>94.848111900000006</v>
      </c>
      <c r="J157" s="1101">
        <v>5.75735E-2</v>
      </c>
      <c r="L157" s="1101">
        <v>0.17372960000000001</v>
      </c>
      <c r="M157" s="1101">
        <v>1.520391</v>
      </c>
      <c r="N157" s="1101">
        <v>0.1568311</v>
      </c>
      <c r="P157" s="1101">
        <v>4.6285978999999999</v>
      </c>
      <c r="R157" s="1101">
        <v>3.0921999999999998E-3</v>
      </c>
      <c r="S157" s="1101">
        <v>3.9283465999999998</v>
      </c>
      <c r="T157" s="1101">
        <v>5.7394645000000004</v>
      </c>
      <c r="U157" s="1101">
        <v>0.32688469999999997</v>
      </c>
      <c r="Y157" s="1101">
        <v>0.77561009999999997</v>
      </c>
      <c r="Z157" s="1101">
        <v>0.89922650000000004</v>
      </c>
      <c r="AB157" s="1101">
        <v>1.0200975000000001</v>
      </c>
      <c r="AC157" s="1101">
        <v>4.3567657000000004</v>
      </c>
      <c r="AD157" s="1101">
        <v>6.5152280999999999</v>
      </c>
      <c r="AF157" s="1101">
        <v>10.993537099999999</v>
      </c>
      <c r="AH157" s="1101">
        <v>9.9090293999999997</v>
      </c>
      <c r="AI157" s="1101">
        <v>1.0786378999999999</v>
      </c>
    </row>
    <row r="158" spans="1:35">
      <c r="A158" s="1096" t="s">
        <v>1608</v>
      </c>
      <c r="B158" s="1101">
        <v>0.15984960000000001</v>
      </c>
      <c r="D158" s="1101">
        <v>6.3686800000000002E-2</v>
      </c>
      <c r="H158" s="1101">
        <v>7.5700921000000001</v>
      </c>
      <c r="I158" s="1101">
        <v>3.5786499999999999E-2</v>
      </c>
      <c r="J158" s="1101">
        <v>3.9791628000000001</v>
      </c>
      <c r="K158" s="1101">
        <v>2.9534600000000001E-2</v>
      </c>
      <c r="L158" s="1101">
        <v>0.2485791</v>
      </c>
      <c r="M158" s="1101">
        <v>1.8298999999999999E-2</v>
      </c>
      <c r="S158" s="1101">
        <v>0.49365700000000001</v>
      </c>
      <c r="T158" s="1101">
        <v>6.3741142000000002</v>
      </c>
      <c r="W158" s="1101">
        <v>17.081437699999999</v>
      </c>
      <c r="Y158" s="1101">
        <v>2.0944045</v>
      </c>
      <c r="AC158" s="1101">
        <v>0.2512607</v>
      </c>
      <c r="AD158" s="1101">
        <v>0.38989600000000002</v>
      </c>
      <c r="AF158" s="1101">
        <v>7.8486100000000003E-2</v>
      </c>
      <c r="AH158" s="1101">
        <v>4.2034500000000002E-2</v>
      </c>
      <c r="AI158" s="1101">
        <v>0.28670390000000001</v>
      </c>
    </row>
    <row r="159" spans="1:35">
      <c r="A159" s="1096" t="s">
        <v>1614</v>
      </c>
      <c r="D159" s="1101">
        <v>2.6528400000000001E-2</v>
      </c>
      <c r="T159" s="1101">
        <v>4.3581000000000002E-3</v>
      </c>
      <c r="AD159" s="1101">
        <v>2.1049999999999999E-4</v>
      </c>
    </row>
    <row r="160" spans="1:35">
      <c r="A160" s="1096" t="s">
        <v>356</v>
      </c>
      <c r="C160" s="1101">
        <v>1.7810067000000001</v>
      </c>
      <c r="J160" s="1101">
        <v>6.8806975000000001</v>
      </c>
      <c r="L160" s="1101">
        <v>2.2340650000000002</v>
      </c>
      <c r="R160" s="1101">
        <v>1.2415719999999999</v>
      </c>
      <c r="S160" s="1101">
        <v>3.3454594000000002</v>
      </c>
      <c r="T160" s="1101">
        <v>3.0370368000000001</v>
      </c>
      <c r="U160" s="1101">
        <v>0.20542940000000001</v>
      </c>
      <c r="W160" s="1101">
        <v>4.0240907999999997</v>
      </c>
      <c r="Y160" s="1101">
        <v>3.9382999999999996E-3</v>
      </c>
      <c r="Z160" s="1101">
        <v>8.5748900000000003E-2</v>
      </c>
      <c r="AB160" s="1101">
        <v>0.32388729999999999</v>
      </c>
      <c r="AC160" s="1101">
        <v>1.8687879999999999</v>
      </c>
      <c r="AD160" s="1101">
        <v>0.75141429999999998</v>
      </c>
      <c r="AI160" s="1101">
        <v>2.5052256000000002</v>
      </c>
    </row>
    <row r="161" spans="1:35">
      <c r="A161" s="1096" t="s">
        <v>1625</v>
      </c>
      <c r="J161" s="1101">
        <v>0.1174116</v>
      </c>
      <c r="AD161" s="1101">
        <v>1.5437000000000001E-3</v>
      </c>
    </row>
    <row r="162" spans="1:35">
      <c r="A162" s="1096" t="s">
        <v>1627</v>
      </c>
      <c r="B162" s="1101">
        <v>1.2057582</v>
      </c>
      <c r="H162" s="1101">
        <v>1.2983437</v>
      </c>
      <c r="T162" s="1101">
        <v>1.8049191</v>
      </c>
      <c r="U162" s="1101">
        <v>0.38013019999999997</v>
      </c>
      <c r="W162" s="1101">
        <v>58.666271799999997</v>
      </c>
      <c r="Z162" s="1101">
        <v>1.1103699999999999E-2</v>
      </c>
      <c r="AB162" s="1101">
        <v>1.8235976</v>
      </c>
      <c r="AC162" s="1101">
        <v>0.2334589</v>
      </c>
      <c r="AD162" s="1101">
        <v>0.28188020000000003</v>
      </c>
    </row>
    <row r="163" spans="1:35">
      <c r="A163" s="1095" t="s">
        <v>1631</v>
      </c>
      <c r="B163" s="1101">
        <v>1.1269369</v>
      </c>
      <c r="H163" s="1101">
        <v>7.7158479</v>
      </c>
      <c r="I163" s="1101">
        <v>22.491684899999999</v>
      </c>
      <c r="J163" s="1101">
        <v>40.143860199999999</v>
      </c>
      <c r="L163" s="1101">
        <v>0.561836</v>
      </c>
      <c r="M163" s="1101">
        <v>4.7024499999999997E-2</v>
      </c>
      <c r="N163" s="1101">
        <v>4.9557000000000004E-3</v>
      </c>
      <c r="P163" s="1101">
        <v>4.9463064000000001</v>
      </c>
      <c r="S163" s="1101">
        <v>1.7042716</v>
      </c>
      <c r="T163" s="1101">
        <v>3.1557102000000001</v>
      </c>
      <c r="W163" s="1101">
        <v>22.411377099999999</v>
      </c>
      <c r="Y163" s="1101">
        <v>0.25769530000000002</v>
      </c>
      <c r="Z163" s="1101">
        <v>0.97871859999999999</v>
      </c>
      <c r="AB163" s="1101">
        <v>1.7163051</v>
      </c>
      <c r="AC163" s="1101">
        <v>2.4438027</v>
      </c>
      <c r="AD163" s="1101">
        <v>3.2973009000000002</v>
      </c>
      <c r="AF163" s="1101">
        <v>3.7239E-3</v>
      </c>
    </row>
    <row r="164" spans="1:35">
      <c r="A164" s="1095" t="s">
        <v>1636</v>
      </c>
      <c r="B164" s="1101">
        <v>1.8171983</v>
      </c>
      <c r="D164" s="1101">
        <v>1.2978699999999999E-2</v>
      </c>
      <c r="H164" s="1101">
        <v>0.96842119999999998</v>
      </c>
      <c r="I164" s="1101">
        <v>0.22216330000000001</v>
      </c>
      <c r="J164" s="1101">
        <v>18.644828199999999</v>
      </c>
      <c r="K164" s="1101">
        <v>0.22245989999999999</v>
      </c>
      <c r="L164" s="1101">
        <v>5.6505000000000001E-3</v>
      </c>
      <c r="S164" s="1101">
        <v>1.1742668999999999</v>
      </c>
      <c r="T164" s="1101">
        <v>0.30880600000000002</v>
      </c>
      <c r="U164" s="1101">
        <v>7.7307000000000001E-2</v>
      </c>
      <c r="W164" s="1101">
        <v>1.804E-3</v>
      </c>
      <c r="Z164" s="1101">
        <v>0.4068542</v>
      </c>
      <c r="AB164" s="1101">
        <v>0.57292699999999996</v>
      </c>
      <c r="AC164" s="1101">
        <v>0.1195341</v>
      </c>
      <c r="AD164" s="1101">
        <v>1.4654887000000001</v>
      </c>
      <c r="AH164" s="1101">
        <v>0.1940462</v>
      </c>
      <c r="AI164" s="1101">
        <v>2.6534499999999999E-2</v>
      </c>
    </row>
    <row r="165" spans="1:35">
      <c r="A165" s="1095" t="s">
        <v>1639</v>
      </c>
      <c r="H165" s="1101">
        <v>23.896108999999999</v>
      </c>
      <c r="W165" s="1101">
        <v>4.9671586999999997</v>
      </c>
      <c r="AB165" s="1101">
        <v>5.8815999999999998E-3</v>
      </c>
    </row>
    <row r="166" spans="1:35">
      <c r="A166" s="1095" t="s">
        <v>1641</v>
      </c>
      <c r="B166" s="1101">
        <v>1.0644564000000001</v>
      </c>
      <c r="H166" s="1101">
        <v>1.4042252</v>
      </c>
      <c r="I166" s="1101">
        <v>25.021303400000001</v>
      </c>
      <c r="L166" s="1101">
        <v>0.22761410000000001</v>
      </c>
      <c r="M166" s="1101">
        <v>5.8629399999999998E-2</v>
      </c>
      <c r="P166" s="1101">
        <v>0.24460460000000001</v>
      </c>
      <c r="S166" s="1101">
        <v>1.9582700000000001E-2</v>
      </c>
      <c r="T166" s="1101">
        <v>1.3430595999999999</v>
      </c>
      <c r="W166" s="1101">
        <v>1.828E-4</v>
      </c>
      <c r="Y166" s="1101">
        <v>1.0492812</v>
      </c>
      <c r="Z166" s="1101">
        <v>3.3923E-3</v>
      </c>
      <c r="AC166" s="1101">
        <v>0.131022</v>
      </c>
      <c r="AD166" s="1101">
        <v>0.18381339999999999</v>
      </c>
      <c r="AH166" s="1101">
        <v>1.0207000000000001E-2</v>
      </c>
    </row>
    <row r="167" spans="1:35">
      <c r="A167" s="1095" t="s">
        <v>967</v>
      </c>
      <c r="F167" s="1101">
        <v>4.7413000000000004E-3</v>
      </c>
      <c r="H167" s="1101">
        <v>40.394111700000003</v>
      </c>
      <c r="I167" s="1101">
        <v>8.14E-5</v>
      </c>
      <c r="S167" s="1101">
        <v>1.1705295</v>
      </c>
      <c r="T167" s="1101">
        <v>0.98919570000000001</v>
      </c>
      <c r="U167" s="1101">
        <v>0.13469020000000001</v>
      </c>
      <c r="W167" s="1101">
        <v>38.182487999999999</v>
      </c>
      <c r="Y167" s="1101">
        <v>0.36164459999999998</v>
      </c>
      <c r="Z167" s="1101">
        <v>3.9361800000000002E-2</v>
      </c>
      <c r="AB167" s="1101">
        <v>0.94356439999999997</v>
      </c>
      <c r="AC167" s="1101">
        <v>1.2510193999999999</v>
      </c>
      <c r="AD167" s="1101">
        <v>9.5272875999999993</v>
      </c>
      <c r="AF167" s="1101">
        <v>0.34748509999999999</v>
      </c>
      <c r="AG167" s="1101">
        <v>2.9815065000000001</v>
      </c>
      <c r="AH167" s="1101">
        <v>0.55831200000000003</v>
      </c>
    </row>
    <row r="168" spans="1:35">
      <c r="A168" s="1095" t="s">
        <v>1660</v>
      </c>
      <c r="B168" s="1101">
        <v>46.019421800000003</v>
      </c>
      <c r="D168" s="1101">
        <v>0.1083042</v>
      </c>
      <c r="H168" s="1101">
        <v>391.33064239999999</v>
      </c>
      <c r="J168" s="1101">
        <v>7.9920353000000004</v>
      </c>
      <c r="L168" s="1101">
        <v>4.2344254000000001</v>
      </c>
      <c r="M168" s="1101">
        <v>1.1357782999999999</v>
      </c>
      <c r="O168" s="1101">
        <v>0.53211269999999999</v>
      </c>
      <c r="P168" s="1101">
        <v>2.9260126999999998</v>
      </c>
      <c r="S168" s="1101">
        <v>14.032276899999999</v>
      </c>
      <c r="T168" s="1101">
        <v>25.348601599999999</v>
      </c>
      <c r="U168" s="1101">
        <v>1.8853008</v>
      </c>
      <c r="W168" s="1101">
        <v>112.4690171</v>
      </c>
      <c r="Z168" s="1101">
        <v>25.8955603</v>
      </c>
      <c r="AB168" s="1101">
        <v>1.0722446999999999</v>
      </c>
      <c r="AC168" s="1101">
        <v>8.5248343000000002</v>
      </c>
      <c r="AD168" s="1101">
        <v>9.2564943999999993</v>
      </c>
      <c r="AF168" s="1101">
        <v>25.863357400000002</v>
      </c>
      <c r="AH168" s="1101">
        <v>14.259344799999999</v>
      </c>
    </row>
    <row r="169" spans="1:35">
      <c r="A169" s="1095" t="s">
        <v>1667</v>
      </c>
      <c r="B169" s="1101">
        <v>0.16252420000000001</v>
      </c>
      <c r="D169" s="1101">
        <v>7.7730099999999996E-2</v>
      </c>
      <c r="G169" s="1101">
        <v>4.9076952</v>
      </c>
      <c r="H169" s="1101">
        <v>36.1899102</v>
      </c>
      <c r="J169" s="1101">
        <v>17.709395799999999</v>
      </c>
      <c r="L169" s="1101">
        <v>1.0894793</v>
      </c>
      <c r="M169" s="1101">
        <v>0.36590980000000001</v>
      </c>
      <c r="N169" s="1101">
        <v>1.0551062</v>
      </c>
      <c r="S169" s="1101">
        <v>6.4256428000000003</v>
      </c>
      <c r="T169" s="1101">
        <v>6.3127266999999998</v>
      </c>
      <c r="U169" s="1101">
        <v>4.8859300000000001E-2</v>
      </c>
      <c r="W169" s="1101">
        <v>37.858049700000002</v>
      </c>
      <c r="AB169" s="1101">
        <v>0.14723240000000001</v>
      </c>
      <c r="AC169" s="1101">
        <v>0.98799950000000003</v>
      </c>
      <c r="AD169" s="1101">
        <v>0.85132090000000005</v>
      </c>
      <c r="AF169" s="1101">
        <v>7.2772654000000001</v>
      </c>
    </row>
    <row r="170" spans="1:35">
      <c r="A170" s="1095" t="s">
        <v>1673</v>
      </c>
      <c r="B170" s="1101">
        <v>7.1500000000000003E-4</v>
      </c>
      <c r="G170" s="1101">
        <v>0.29363660000000003</v>
      </c>
      <c r="H170" s="1101">
        <v>8.8753141000000006</v>
      </c>
      <c r="J170" s="1101">
        <v>0.96039079999999999</v>
      </c>
      <c r="T170" s="1101">
        <v>0.1185764</v>
      </c>
      <c r="W170" s="1101">
        <v>7.6010425000000001</v>
      </c>
      <c r="AB170" s="1101">
        <v>1.2477E-2</v>
      </c>
      <c r="AC170" s="1101">
        <v>2.6922999999999999E-3</v>
      </c>
      <c r="AD170" s="1101">
        <v>4.4147699999999998E-2</v>
      </c>
    </row>
    <row r="171" spans="1:35">
      <c r="A171" s="1095" t="s">
        <v>1677</v>
      </c>
      <c r="H171" s="1101">
        <v>6.3262859000000002</v>
      </c>
      <c r="J171" s="1101">
        <v>0.72647530000000005</v>
      </c>
      <c r="T171" s="1101">
        <v>6.6898100000000002E-2</v>
      </c>
      <c r="W171" s="1101">
        <v>4.2477213999999996</v>
      </c>
    </row>
    <row r="172" spans="1:35">
      <c r="A172" s="1095" t="s">
        <v>1682</v>
      </c>
      <c r="H172" s="1101">
        <v>0.17924329999999999</v>
      </c>
      <c r="J172" s="1101">
        <v>0.16025519999999999</v>
      </c>
      <c r="W172" s="1101">
        <v>2.231E-4</v>
      </c>
    </row>
    <row r="173" spans="1:35">
      <c r="A173" s="1095" t="s">
        <v>1684</v>
      </c>
      <c r="J173" s="1101">
        <v>0.52515089999999998</v>
      </c>
      <c r="T173" s="1101">
        <v>7.5696000000000001E-3</v>
      </c>
      <c r="W173" s="1101">
        <v>0.39460410000000001</v>
      </c>
      <c r="AD173" s="1101">
        <v>7.3806000000000002E-3</v>
      </c>
    </row>
    <row r="174" spans="1:35">
      <c r="A174" s="1095" t="s">
        <v>1686</v>
      </c>
      <c r="H174" s="1101">
        <v>0.13068289999999999</v>
      </c>
      <c r="J174" s="1101">
        <v>7.5268512000000003</v>
      </c>
      <c r="W174" s="1101">
        <v>2.4897963000000001</v>
      </c>
      <c r="AA174" s="1101">
        <v>4.2650000000000001E-4</v>
      </c>
      <c r="AD174" s="1101">
        <v>9.7383300000000006E-2</v>
      </c>
      <c r="AF174" s="1101">
        <v>2.9118999999999998E-3</v>
      </c>
    </row>
    <row r="175" spans="1:35">
      <c r="A175" s="1095" t="s">
        <v>1692</v>
      </c>
      <c r="H175" s="1101">
        <v>7.8843110999999997</v>
      </c>
      <c r="J175" s="1101">
        <v>3.3848410000000002</v>
      </c>
      <c r="L175" s="1101">
        <v>3.9192000000000003E-3</v>
      </c>
      <c r="P175" s="1101">
        <v>6.2199999999999994E-5</v>
      </c>
      <c r="T175" s="1101">
        <v>0.1888727</v>
      </c>
      <c r="Z175" s="1101">
        <v>3.9405900000000001E-2</v>
      </c>
      <c r="AC175" s="1101">
        <v>4.46398E-2</v>
      </c>
      <c r="AD175" s="1101">
        <v>2.483E-3</v>
      </c>
    </row>
    <row r="176" spans="1:35">
      <c r="A176" s="1095" t="s">
        <v>1697</v>
      </c>
      <c r="J176" s="1101">
        <v>0.13943900000000001</v>
      </c>
      <c r="L176" s="1101">
        <v>3.3093299999999999E-2</v>
      </c>
      <c r="T176" s="1101">
        <v>0.94792489999999996</v>
      </c>
      <c r="W176" s="1101">
        <v>5.8901999999999999E-3</v>
      </c>
      <c r="AA176" s="1101">
        <v>1.3965399999999999E-2</v>
      </c>
    </row>
    <row r="177" spans="1:35">
      <c r="A177" s="1095" t="s">
        <v>815</v>
      </c>
      <c r="B177" s="1101">
        <v>14.341007100000001</v>
      </c>
      <c r="D177" s="1101">
        <v>2.5755500000000001E-2</v>
      </c>
      <c r="F177" s="1101">
        <v>5.3994154999999999</v>
      </c>
      <c r="G177" s="1101">
        <v>0.66384279999999996</v>
      </c>
      <c r="H177" s="1101">
        <v>51.066144599999902</v>
      </c>
      <c r="J177" s="1101">
        <v>0.3663054</v>
      </c>
      <c r="K177" s="1101">
        <v>1.7045999999999999E-3</v>
      </c>
      <c r="L177" s="1101">
        <v>1.5190891</v>
      </c>
      <c r="M177" s="1101">
        <v>0.6331968</v>
      </c>
      <c r="N177" s="1101">
        <v>4.2658557999999998</v>
      </c>
      <c r="P177" s="1101">
        <v>1.0825986000000001</v>
      </c>
      <c r="S177" s="1101">
        <v>12.176492700000001</v>
      </c>
      <c r="T177" s="1101">
        <v>30.662578999999901</v>
      </c>
      <c r="U177" s="1101">
        <v>0.56321299999999996</v>
      </c>
      <c r="W177" s="1101">
        <v>28.356776400000001</v>
      </c>
      <c r="Y177" s="1101">
        <v>41.937676199999999</v>
      </c>
      <c r="Z177" s="1101">
        <v>1.6818403</v>
      </c>
      <c r="AB177" s="1101">
        <v>2.1875900000000001</v>
      </c>
      <c r="AC177" s="1101">
        <v>12.5955198</v>
      </c>
      <c r="AD177" s="1101">
        <v>17.5064697</v>
      </c>
      <c r="AF177" s="1101">
        <v>8.6149463999999991</v>
      </c>
      <c r="AG177" s="1101">
        <v>8.6352700000000004E-2</v>
      </c>
      <c r="AH177" s="1101">
        <v>6.1595405000000003</v>
      </c>
    </row>
    <row r="178" spans="1:35">
      <c r="A178" s="1095" t="s">
        <v>357</v>
      </c>
      <c r="H178" s="1101">
        <v>626.67957569999999</v>
      </c>
      <c r="J178" s="1101">
        <v>0.2058459</v>
      </c>
      <c r="P178" s="1101">
        <v>2.0193599999999999E-2</v>
      </c>
      <c r="Q178" s="1101">
        <v>124.42582229999999</v>
      </c>
      <c r="R178" s="1101">
        <v>25.347497199999999</v>
      </c>
      <c r="S178" s="1101">
        <v>32.952605599999998</v>
      </c>
      <c r="T178" s="1101">
        <v>105.7576256</v>
      </c>
      <c r="U178" s="1101">
        <v>2.4668787999999999</v>
      </c>
      <c r="W178" s="1101">
        <v>10.257664399999999</v>
      </c>
      <c r="Y178" s="1101">
        <v>18.315245900000001</v>
      </c>
      <c r="Z178" s="1101">
        <v>15.708419900000001</v>
      </c>
      <c r="AB178" s="1101">
        <v>5.5952643000000002</v>
      </c>
      <c r="AC178" s="1101">
        <v>0.81870589999999999</v>
      </c>
      <c r="AD178" s="1101">
        <v>20.0545464</v>
      </c>
      <c r="AF178" s="1101">
        <v>20.496609899999999</v>
      </c>
      <c r="AI178" s="1101">
        <v>2.2442389</v>
      </c>
    </row>
    <row r="179" spans="1:35">
      <c r="A179" s="1095" t="s">
        <v>1729</v>
      </c>
      <c r="H179" s="1101">
        <v>17.991273799999998</v>
      </c>
      <c r="S179" s="1101">
        <v>7.4400300000000003E-2</v>
      </c>
      <c r="T179" s="1101">
        <v>0.94392160000000003</v>
      </c>
      <c r="Y179" s="1101">
        <v>0.27210200000000001</v>
      </c>
      <c r="AB179" s="1101">
        <v>5.88727E-2</v>
      </c>
      <c r="AC179" s="1101">
        <v>6.8745799999999996E-2</v>
      </c>
      <c r="AD179" s="1101">
        <v>0.17399899999999999</v>
      </c>
      <c r="AF179" s="1101">
        <v>6.2389577999999997</v>
      </c>
    </row>
    <row r="180" spans="1:35">
      <c r="A180" s="1095" t="s">
        <v>1718</v>
      </c>
      <c r="B180" s="1101">
        <v>1.3921292000000001</v>
      </c>
      <c r="H180" s="1101">
        <v>2.2689968</v>
      </c>
      <c r="J180" s="1101">
        <v>12.3054954</v>
      </c>
      <c r="T180" s="1101">
        <v>4.9480003999999997</v>
      </c>
      <c r="U180" s="1101">
        <v>2.4291999999999998E-3</v>
      </c>
      <c r="W180" s="1101">
        <v>15.827839000000001</v>
      </c>
      <c r="Y180" s="1101">
        <v>0.37398720000000002</v>
      </c>
      <c r="Z180" s="1101">
        <v>2.1441767999999999</v>
      </c>
      <c r="AB180" s="1101">
        <v>0.299618</v>
      </c>
      <c r="AC180" s="1101">
        <v>0.83303519999999998</v>
      </c>
      <c r="AD180" s="1101">
        <v>0.65947279999999997</v>
      </c>
      <c r="AF180" s="1101">
        <v>0.31468829999999998</v>
      </c>
    </row>
    <row r="181" spans="1:35">
      <c r="A181" s="1095" t="s">
        <v>1743</v>
      </c>
      <c r="B181" s="1101">
        <v>5.4756001000000003</v>
      </c>
      <c r="H181" s="1101">
        <v>0.40195930000000002</v>
      </c>
      <c r="J181" s="1101">
        <v>82.088484800000003</v>
      </c>
      <c r="L181" s="1101">
        <v>2.26448E-2</v>
      </c>
      <c r="M181" s="1101">
        <v>1.5343021999999999</v>
      </c>
      <c r="N181" s="1101">
        <v>1.2416799000000001</v>
      </c>
      <c r="P181" s="1101">
        <v>0.40979399999999999</v>
      </c>
      <c r="S181" s="1101">
        <v>2.4445022000000001</v>
      </c>
      <c r="T181" s="1101">
        <v>5.3376080999999997</v>
      </c>
      <c r="W181" s="1101">
        <v>15.8514841</v>
      </c>
      <c r="Y181" s="1101">
        <v>6.3540957999999996</v>
      </c>
      <c r="Z181" s="1101">
        <v>0.68055290000000002</v>
      </c>
      <c r="AB181" s="1101">
        <v>0.44488919999999998</v>
      </c>
      <c r="AC181" s="1101">
        <v>3.0645934000000001</v>
      </c>
      <c r="AD181" s="1101">
        <v>1.5792588000000001</v>
      </c>
      <c r="AF181" s="1101">
        <v>5.0084400000000001E-2</v>
      </c>
    </row>
    <row r="182" spans="1:35">
      <c r="A182" s="1095" t="s">
        <v>358</v>
      </c>
      <c r="C182" s="1101">
        <v>0.63445560000000001</v>
      </c>
      <c r="D182" s="1101">
        <v>1.4573275000000001</v>
      </c>
      <c r="E182" s="1101">
        <v>0.47825879999999998</v>
      </c>
      <c r="K182" s="1101">
        <v>6.7834199999999997E-2</v>
      </c>
      <c r="N182" s="1101">
        <v>11.0201382</v>
      </c>
      <c r="P182" s="1101">
        <v>8.4428900000000001E-2</v>
      </c>
      <c r="R182" s="1101">
        <v>4.0727999999999997E-3</v>
      </c>
      <c r="S182" s="1101">
        <v>2.6751193</v>
      </c>
      <c r="T182" s="1101">
        <v>2.5915176</v>
      </c>
      <c r="U182" s="1101">
        <v>0.58641810000000005</v>
      </c>
      <c r="V182" s="1101">
        <v>0.30494159999999998</v>
      </c>
      <c r="AC182" s="1101">
        <v>5.9145059</v>
      </c>
      <c r="AD182" s="1101">
        <v>3.4953471</v>
      </c>
      <c r="AH182" s="1101">
        <v>2.4098500999999999</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83"/>
  <sheetViews>
    <sheetView topLeftCell="A143" workbookViewId="0">
      <selection activeCell="H169" sqref="H169"/>
    </sheetView>
  </sheetViews>
  <sheetFormatPr defaultRowHeight="15"/>
  <cols>
    <col min="1" max="1" width="25.7109375" style="1095" customWidth="1"/>
    <col min="2" max="2" width="12.42578125" style="1103" bestFit="1" customWidth="1"/>
    <col min="3" max="3" width="11" style="1103" bestFit="1" customWidth="1"/>
    <col min="4" max="4" width="15.28515625" style="1103" bestFit="1" customWidth="1"/>
    <col min="5" max="5" width="11.140625" style="1103" bestFit="1" customWidth="1"/>
    <col min="6" max="6" width="15" style="1103" bestFit="1" customWidth="1"/>
    <col min="7" max="7" width="12.42578125" style="1103" bestFit="1" customWidth="1"/>
    <col min="8" max="8" width="12.5703125" style="1103" bestFit="1" customWidth="1"/>
    <col min="9" max="18" width="12.42578125" style="1103" bestFit="1" customWidth="1"/>
    <col min="19" max="20" width="14.140625" style="1103" customWidth="1"/>
    <col min="21" max="21" width="14" style="1103" customWidth="1"/>
    <col min="22" max="25" width="12.42578125" style="1103" bestFit="1" customWidth="1"/>
    <col min="26" max="26" width="17" style="1103" customWidth="1"/>
    <col min="27" max="28" width="12.42578125" style="1103" bestFit="1" customWidth="1"/>
    <col min="29" max="30" width="14.5703125" style="1103" customWidth="1"/>
    <col min="31" max="36" width="12.42578125" style="1103" bestFit="1" customWidth="1"/>
    <col min="37" max="16384" width="9.140625" style="1081"/>
  </cols>
  <sheetData>
    <row r="1" spans="1:37" ht="51.75">
      <c r="A1" s="1093" t="s">
        <v>19</v>
      </c>
      <c r="B1" s="1102" t="s">
        <v>4596</v>
      </c>
      <c r="C1" s="1102" t="s">
        <v>4597</v>
      </c>
      <c r="D1" s="1102" t="s">
        <v>4598</v>
      </c>
      <c r="E1" s="1102" t="s">
        <v>4599</v>
      </c>
      <c r="F1" s="1102" t="s">
        <v>4600</v>
      </c>
      <c r="G1" s="1102" t="s">
        <v>4601</v>
      </c>
      <c r="H1" s="1102" t="s">
        <v>4602</v>
      </c>
      <c r="I1" s="1102" t="s">
        <v>4603</v>
      </c>
      <c r="J1" s="1102" t="s">
        <v>4604</v>
      </c>
      <c r="K1" s="1102" t="s">
        <v>4605</v>
      </c>
      <c r="L1" s="1102" t="s">
        <v>4606</v>
      </c>
      <c r="M1" s="1102" t="s">
        <v>4607</v>
      </c>
      <c r="N1" s="1102" t="s">
        <v>4608</v>
      </c>
      <c r="O1" s="1102" t="s">
        <v>4609</v>
      </c>
      <c r="P1" s="1102" t="s">
        <v>4610</v>
      </c>
      <c r="Q1" s="1102" t="s">
        <v>4611</v>
      </c>
      <c r="R1" s="1102" t="s">
        <v>4612</v>
      </c>
      <c r="S1" s="1102" t="s">
        <v>4613</v>
      </c>
      <c r="T1" s="1102" t="s">
        <v>4614</v>
      </c>
      <c r="U1" s="1102" t="s">
        <v>4615</v>
      </c>
      <c r="V1" s="1102" t="s">
        <v>4616</v>
      </c>
      <c r="W1" s="1102" t="s">
        <v>4617</v>
      </c>
      <c r="X1" s="1102" t="s">
        <v>4618</v>
      </c>
      <c r="Y1" s="1102" t="s">
        <v>4619</v>
      </c>
      <c r="Z1" s="1102" t="s">
        <v>4620</v>
      </c>
      <c r="AA1" s="1102" t="s">
        <v>4621</v>
      </c>
      <c r="AB1" s="1102" t="s">
        <v>4622</v>
      </c>
      <c r="AC1" s="1102" t="s">
        <v>4623</v>
      </c>
      <c r="AD1" s="1102" t="s">
        <v>4624</v>
      </c>
      <c r="AE1" s="1102" t="s">
        <v>4625</v>
      </c>
      <c r="AF1" s="1102" t="s">
        <v>4626</v>
      </c>
      <c r="AG1" s="1102" t="s">
        <v>4627</v>
      </c>
      <c r="AH1" s="1102" t="s">
        <v>4628</v>
      </c>
      <c r="AI1" s="1102" t="s">
        <v>4629</v>
      </c>
      <c r="AJ1" s="1102" t="s">
        <v>38</v>
      </c>
      <c r="AK1" s="1081" t="s">
        <v>2686</v>
      </c>
    </row>
    <row r="2" spans="1:37">
      <c r="A2" s="1096" t="s">
        <v>672</v>
      </c>
      <c r="B2" s="1103">
        <f>VLOOKUP(B$1,'cost per tipologia de sòl'!$A$2:$D$37,4,FALSE)*'T100'!B2</f>
        <v>1205399.9879999999</v>
      </c>
      <c r="C2" s="1103">
        <f>VLOOKUP(C$1,'cost per tipologia de sòl'!$A$2:$D$37,4,FALSE)*'T100'!C2</f>
        <v>0</v>
      </c>
      <c r="D2" s="1103">
        <f>VLOOKUP(D$1,'cost per tipologia de sòl'!$A$2:$D$37,4,FALSE)*'T100'!D2</f>
        <v>0</v>
      </c>
      <c r="E2" s="1103">
        <f>VLOOKUP(E$1,'cost per tipologia de sòl'!$A$2:$D$37,4,FALSE)*'T100'!E2</f>
        <v>226292.11199999999</v>
      </c>
      <c r="F2" s="1103">
        <f>VLOOKUP(F$1,'cost per tipologia de sòl'!$A$2:$D$37,4,FALSE)*'T100'!F2</f>
        <v>0</v>
      </c>
      <c r="G2" s="1103">
        <f>VLOOKUP(G$1,'cost per tipologia de sòl'!$A$2:$D$37,4,FALSE)*'T100'!G2</f>
        <v>0</v>
      </c>
      <c r="H2" s="1103">
        <f>VLOOKUP(H$1,'cost per tipologia de sòl'!$A$2:$D$37,4,FALSE)*'T100'!H2</f>
        <v>0</v>
      </c>
      <c r="I2" s="1103">
        <f>VLOOKUP(I$1,'cost per tipologia de sòl'!$A$2:$D$37,4,FALSE)*'T100'!I2</f>
        <v>0</v>
      </c>
      <c r="J2" s="1103">
        <f>VLOOKUP(J$1,'cost per tipologia de sòl'!$A$2:$D$37,4,FALSE)*'T100'!J2</f>
        <v>103480.8995</v>
      </c>
      <c r="K2" s="1103">
        <f>VLOOKUP(K$1,'cost per tipologia de sòl'!$A$2:$D$37,4,FALSE)*'T100'!K2</f>
        <v>0</v>
      </c>
      <c r="L2" s="1103">
        <f>VLOOKUP(L$1,'cost per tipologia de sòl'!$A$2:$D$37,4,FALSE)*'T100'!L2</f>
        <v>0</v>
      </c>
      <c r="M2" s="1103">
        <f>VLOOKUP(M$1,'cost per tipologia de sòl'!$A$2:$D$37,4,FALSE)*'T100'!M2</f>
        <v>0</v>
      </c>
      <c r="N2" s="1103">
        <f>VLOOKUP(N$1,'cost per tipologia de sòl'!$A$2:$D$37,4,FALSE)*'T100'!N2</f>
        <v>0</v>
      </c>
      <c r="O2" s="1103">
        <f>VLOOKUP(O$1,'cost per tipologia de sòl'!$A$2:$D$37,4,FALSE)*'T100'!O2</f>
        <v>0</v>
      </c>
      <c r="P2" s="1103">
        <f>VLOOKUP(P$1,'cost per tipologia de sòl'!$A$2:$D$37,4,FALSE)*'T100'!P2</f>
        <v>0</v>
      </c>
      <c r="Q2" s="1103">
        <f>VLOOKUP(Q$1,'cost per tipologia de sòl'!$A$2:$D$37,4,FALSE)*'T100'!Q2</f>
        <v>0</v>
      </c>
      <c r="R2" s="1103">
        <f>VLOOKUP(R$1,'cost per tipologia de sòl'!$A$2:$D$37,4,FALSE)*'T100'!R2</f>
        <v>0</v>
      </c>
      <c r="S2" s="1103">
        <f>VLOOKUP(S$1,'cost per tipologia de sòl'!$A$2:$D$37,4,FALSE)*'T100'!S2</f>
        <v>342810.72</v>
      </c>
      <c r="T2" s="1103">
        <f>VLOOKUP(T$1,'cost per tipologia de sòl'!$A$2:$D$37,4,FALSE)*'T100'!T2</f>
        <v>28687269.573000036</v>
      </c>
      <c r="U2" s="1103">
        <f>VLOOKUP(U$1,'cost per tipologia de sòl'!$A$2:$D$37,4,FALSE)*'T100'!U2</f>
        <v>165046.34999999998</v>
      </c>
      <c r="V2" s="1103">
        <f>VLOOKUP(V$1,'cost per tipologia de sòl'!$A$2:$D$37,4,FALSE)*'T100'!V2</f>
        <v>0</v>
      </c>
      <c r="W2" s="1103">
        <f>VLOOKUP(W$1,'cost per tipologia de sòl'!$A$2:$D$37,4,FALSE)*'T100'!W2</f>
        <v>0</v>
      </c>
      <c r="X2" s="1103">
        <f>VLOOKUP(X$1,'cost per tipologia de sòl'!$A$2:$D$37,4,FALSE)*'T100'!X2</f>
        <v>0</v>
      </c>
      <c r="Y2" s="1103">
        <f>VLOOKUP(Y$1,'cost per tipologia de sòl'!$A$2:$D$37,4,FALSE)*'T100'!Y2</f>
        <v>0</v>
      </c>
      <c r="Z2" s="1103">
        <f>VLOOKUP(Z$1,'cost per tipologia de sòl'!$A$2:$D$37,4,FALSE)*'T100'!Z2</f>
        <v>6128922.7539999997</v>
      </c>
      <c r="AA2" s="1103">
        <f>VLOOKUP(AA$1,'cost per tipologia de sòl'!$A$2:$D$37,4,FALSE)*'T100'!AA2</f>
        <v>0</v>
      </c>
      <c r="AB2" s="1103">
        <f>VLOOKUP(AB$1,'cost per tipologia de sòl'!$A$2:$D$37,4,FALSE)*'T100'!AB2</f>
        <v>35077430.449999996</v>
      </c>
      <c r="AC2" s="1103">
        <f>VLOOKUP(AC$1,'cost per tipologia de sòl'!$A$2:$D$37,4,FALSE)*'T100'!AC2</f>
        <v>262107.85</v>
      </c>
      <c r="AD2" s="1103">
        <f>VLOOKUP(AD$1,'cost per tipologia de sòl'!$A$2:$D$37,4,FALSE)*'T100'!AD2</f>
        <v>1272579.1500000001</v>
      </c>
      <c r="AE2" s="1103">
        <f>VLOOKUP(AE$1,'cost per tipologia de sòl'!$A$2:$D$37,4,FALSE)*'T100'!AE2</f>
        <v>0</v>
      </c>
      <c r="AF2" s="1103">
        <f>VLOOKUP(AF$1,'cost per tipologia de sòl'!$A$2:$D$37,4,FALSE)*'T100'!AF2</f>
        <v>0</v>
      </c>
      <c r="AG2" s="1103">
        <f>VLOOKUP(AG$1,'cost per tipologia de sòl'!$A$2:$D$37,4,FALSE)*'T100'!AG2</f>
        <v>0</v>
      </c>
      <c r="AH2" s="1103">
        <f>VLOOKUP(AH$1,'cost per tipologia de sòl'!$A$2:$D$37,4,FALSE)*'T100'!AH2</f>
        <v>0</v>
      </c>
      <c r="AI2" s="1103">
        <f>VLOOKUP(AI$1,'cost per tipologia de sòl'!$A$2:$D$37,4,FALSE)*'T100'!AI2</f>
        <v>0</v>
      </c>
      <c r="AJ2" s="1103">
        <f>SUM(B2:AI2)</f>
        <v>73471339.846500039</v>
      </c>
      <c r="AK2" s="1081">
        <f>15*AJ2/(50*1000000)</f>
        <v>22.041401953950015</v>
      </c>
    </row>
    <row r="3" spans="1:37">
      <c r="A3" s="1096" t="s">
        <v>797</v>
      </c>
      <c r="B3" s="1103">
        <f>VLOOKUP(B$1,'cost per tipologia de sòl'!$A$2:$D$37,4,FALSE)*'T100'!B3</f>
        <v>31366853.153999999</v>
      </c>
      <c r="C3" s="1103">
        <f>VLOOKUP(C$1,'cost per tipologia de sòl'!$A$2:$D$37,4,FALSE)*'T100'!C3</f>
        <v>0</v>
      </c>
      <c r="D3" s="1103">
        <f>VLOOKUP(D$1,'cost per tipologia de sòl'!$A$2:$D$37,4,FALSE)*'T100'!D3</f>
        <v>12013753.109999999</v>
      </c>
      <c r="E3" s="1103">
        <f>VLOOKUP(E$1,'cost per tipologia de sòl'!$A$2:$D$37,4,FALSE)*'T100'!E3</f>
        <v>0</v>
      </c>
      <c r="F3" s="1103">
        <f>VLOOKUP(F$1,'cost per tipologia de sòl'!$A$2:$D$37,4,FALSE)*'T100'!F3</f>
        <v>0</v>
      </c>
      <c r="G3" s="1103">
        <f>VLOOKUP(G$1,'cost per tipologia de sòl'!$A$2:$D$37,4,FALSE)*'T100'!G3</f>
        <v>0</v>
      </c>
      <c r="H3" s="1103">
        <f>VLOOKUP(H$1,'cost per tipologia de sòl'!$A$2:$D$37,4,FALSE)*'T100'!H3</f>
        <v>0</v>
      </c>
      <c r="I3" s="1103">
        <f>VLOOKUP(I$1,'cost per tipologia de sòl'!$A$2:$D$37,4,FALSE)*'T100'!I3</f>
        <v>0</v>
      </c>
      <c r="J3" s="1103">
        <f>VLOOKUP(J$1,'cost per tipologia de sòl'!$A$2:$D$37,4,FALSE)*'T100'!J3</f>
        <v>7866.9634999999989</v>
      </c>
      <c r="K3" s="1103">
        <f>VLOOKUP(K$1,'cost per tipologia de sòl'!$A$2:$D$37,4,FALSE)*'T100'!K3</f>
        <v>201963.00599999999</v>
      </c>
      <c r="L3" s="1103">
        <f>VLOOKUP(L$1,'cost per tipologia de sòl'!$A$2:$D$37,4,FALSE)*'T100'!L3</f>
        <v>0</v>
      </c>
      <c r="M3" s="1103">
        <f>VLOOKUP(M$1,'cost per tipologia de sòl'!$A$2:$D$37,4,FALSE)*'T100'!M3</f>
        <v>8973377</v>
      </c>
      <c r="N3" s="1103">
        <f>VLOOKUP(N$1,'cost per tipologia de sòl'!$A$2:$D$37,4,FALSE)*'T100'!N3</f>
        <v>5642462.8880000003</v>
      </c>
      <c r="O3" s="1103">
        <f>VLOOKUP(O$1,'cost per tipologia de sòl'!$A$2:$D$37,4,FALSE)*'T100'!O3</f>
        <v>5838123.7919999994</v>
      </c>
      <c r="P3" s="1103">
        <f>VLOOKUP(P$1,'cost per tipologia de sòl'!$A$2:$D$37,4,FALSE)*'T100'!P3</f>
        <v>217877.568</v>
      </c>
      <c r="Q3" s="1103">
        <f>VLOOKUP(Q$1,'cost per tipologia de sòl'!$A$2:$D$37,4,FALSE)*'T100'!Q3</f>
        <v>0</v>
      </c>
      <c r="R3" s="1103">
        <f>VLOOKUP(R$1,'cost per tipologia de sòl'!$A$2:$D$37,4,FALSE)*'T100'!R3</f>
        <v>0</v>
      </c>
      <c r="S3" s="1103">
        <f>VLOOKUP(S$1,'cost per tipologia de sòl'!$A$2:$D$37,4,FALSE)*'T100'!S3</f>
        <v>2613733.92</v>
      </c>
      <c r="T3" s="1103">
        <f>VLOOKUP(T$1,'cost per tipologia de sòl'!$A$2:$D$37,4,FALSE)*'T100'!T3</f>
        <v>644236.49699999997</v>
      </c>
      <c r="U3" s="1103">
        <f>VLOOKUP(U$1,'cost per tipologia de sòl'!$A$2:$D$37,4,FALSE)*'T100'!U3</f>
        <v>0</v>
      </c>
      <c r="V3" s="1103">
        <f>VLOOKUP(V$1,'cost per tipologia de sòl'!$A$2:$D$37,4,FALSE)*'T100'!V3</f>
        <v>0</v>
      </c>
      <c r="W3" s="1103">
        <f>VLOOKUP(W$1,'cost per tipologia de sòl'!$A$2:$D$37,4,FALSE)*'T100'!W3</f>
        <v>0</v>
      </c>
      <c r="X3" s="1103">
        <f>VLOOKUP(X$1,'cost per tipologia de sòl'!$A$2:$D$37,4,FALSE)*'T100'!X3</f>
        <v>0</v>
      </c>
      <c r="Y3" s="1103">
        <f>VLOOKUP(Y$1,'cost per tipologia de sòl'!$A$2:$D$37,4,FALSE)*'T100'!Y3</f>
        <v>0</v>
      </c>
      <c r="Z3" s="1103">
        <f>VLOOKUP(Z$1,'cost per tipologia de sòl'!$A$2:$D$37,4,FALSE)*'T100'!Z3</f>
        <v>0</v>
      </c>
      <c r="AA3" s="1103">
        <f>VLOOKUP(AA$1,'cost per tipologia de sòl'!$A$2:$D$37,4,FALSE)*'T100'!AA3</f>
        <v>0</v>
      </c>
      <c r="AB3" s="1103">
        <f>VLOOKUP(AB$1,'cost per tipologia de sòl'!$A$2:$D$37,4,FALSE)*'T100'!AB3</f>
        <v>0</v>
      </c>
      <c r="AC3" s="1103">
        <f>VLOOKUP(AC$1,'cost per tipologia de sòl'!$A$2:$D$37,4,FALSE)*'T100'!AC3</f>
        <v>24489536.049999997</v>
      </c>
      <c r="AD3" s="1103">
        <f>VLOOKUP(AD$1,'cost per tipologia de sòl'!$A$2:$D$37,4,FALSE)*'T100'!AD3</f>
        <v>12903768.299999999</v>
      </c>
      <c r="AE3" s="1103">
        <f>VLOOKUP(AE$1,'cost per tipologia de sòl'!$A$2:$D$37,4,FALSE)*'T100'!AE3</f>
        <v>0</v>
      </c>
      <c r="AF3" s="1103">
        <f>VLOOKUP(AF$1,'cost per tipologia de sòl'!$A$2:$D$37,4,FALSE)*'T100'!AF3</f>
        <v>0</v>
      </c>
      <c r="AG3" s="1103">
        <f>VLOOKUP(AG$1,'cost per tipologia de sòl'!$A$2:$D$37,4,FALSE)*'T100'!AG3</f>
        <v>0</v>
      </c>
      <c r="AH3" s="1103">
        <f>VLOOKUP(AH$1,'cost per tipologia de sòl'!$A$2:$D$37,4,FALSE)*'T100'!AH3</f>
        <v>0</v>
      </c>
      <c r="AI3" s="1103">
        <f>VLOOKUP(AI$1,'cost per tipologia de sòl'!$A$2:$D$37,4,FALSE)*'T100'!AI3</f>
        <v>0</v>
      </c>
      <c r="AJ3" s="1103">
        <f t="shared" ref="AJ3:AJ66" si="0">SUM(B3:AI3)</f>
        <v>104913552.24849999</v>
      </c>
      <c r="AK3" s="1117">
        <f t="shared" ref="AK3:AK66" si="1">15*AJ3/(50*1000000)</f>
        <v>31.474065674549998</v>
      </c>
    </row>
    <row r="4" spans="1:37">
      <c r="A4" s="1096" t="s">
        <v>761</v>
      </c>
      <c r="B4" s="1103">
        <f>VLOOKUP(B$1,'cost per tipologia de sòl'!$A$2:$D$37,4,FALSE)*'T100'!B4</f>
        <v>14385084.569999998</v>
      </c>
      <c r="C4" s="1103">
        <f>VLOOKUP(C$1,'cost per tipologia de sòl'!$A$2:$D$37,4,FALSE)*'T100'!C4</f>
        <v>979370.32799999998</v>
      </c>
      <c r="D4" s="1103">
        <f>VLOOKUP(D$1,'cost per tipologia de sòl'!$A$2:$D$37,4,FALSE)*'T100'!D4</f>
        <v>0</v>
      </c>
      <c r="E4" s="1103">
        <f>VLOOKUP(E$1,'cost per tipologia de sòl'!$A$2:$D$37,4,FALSE)*'T100'!E4</f>
        <v>0</v>
      </c>
      <c r="F4" s="1103">
        <f>VLOOKUP(F$1,'cost per tipologia de sòl'!$A$2:$D$37,4,FALSE)*'T100'!F4</f>
        <v>0</v>
      </c>
      <c r="G4" s="1103">
        <f>VLOOKUP(G$1,'cost per tipologia de sòl'!$A$2:$D$37,4,FALSE)*'T100'!G4</f>
        <v>0</v>
      </c>
      <c r="H4" s="1103">
        <f>VLOOKUP(H$1,'cost per tipologia de sòl'!$A$2:$D$37,4,FALSE)*'T100'!H4</f>
        <v>0</v>
      </c>
      <c r="I4" s="1103">
        <f>VLOOKUP(I$1,'cost per tipologia de sòl'!$A$2:$D$37,4,FALSE)*'T100'!I4</f>
        <v>0</v>
      </c>
      <c r="J4" s="1103">
        <f>VLOOKUP(J$1,'cost per tipologia de sòl'!$A$2:$D$37,4,FALSE)*'T100'!J4</f>
        <v>1908544.1045000001</v>
      </c>
      <c r="K4" s="1103">
        <f>VLOOKUP(K$1,'cost per tipologia de sòl'!$A$2:$D$37,4,FALSE)*'T100'!K4</f>
        <v>0</v>
      </c>
      <c r="L4" s="1103">
        <f>VLOOKUP(L$1,'cost per tipologia de sòl'!$A$2:$D$37,4,FALSE)*'T100'!L4</f>
        <v>0</v>
      </c>
      <c r="M4" s="1103">
        <f>VLOOKUP(M$1,'cost per tipologia de sòl'!$A$2:$D$37,4,FALSE)*'T100'!M4</f>
        <v>0</v>
      </c>
      <c r="N4" s="1103">
        <f>VLOOKUP(N$1,'cost per tipologia de sòl'!$A$2:$D$37,4,FALSE)*'T100'!N4</f>
        <v>9211896.4639999997</v>
      </c>
      <c r="O4" s="1103">
        <f>VLOOKUP(O$1,'cost per tipologia de sòl'!$A$2:$D$37,4,FALSE)*'T100'!O4</f>
        <v>0</v>
      </c>
      <c r="P4" s="1103">
        <f>VLOOKUP(P$1,'cost per tipologia de sòl'!$A$2:$D$37,4,FALSE)*'T100'!P4</f>
        <v>0</v>
      </c>
      <c r="Q4" s="1103">
        <f>VLOOKUP(Q$1,'cost per tipologia de sòl'!$A$2:$D$37,4,FALSE)*'T100'!Q4</f>
        <v>0</v>
      </c>
      <c r="R4" s="1103">
        <f>VLOOKUP(R$1,'cost per tipologia de sòl'!$A$2:$D$37,4,FALSE)*'T100'!R4</f>
        <v>0</v>
      </c>
      <c r="S4" s="1103">
        <f>VLOOKUP(S$1,'cost per tipologia de sòl'!$A$2:$D$37,4,FALSE)*'T100'!S4</f>
        <v>4778707.2479999997</v>
      </c>
      <c r="T4" s="1103">
        <f>VLOOKUP(T$1,'cost per tipologia de sòl'!$A$2:$D$37,4,FALSE)*'T100'!T4</f>
        <v>3163708.1460000002</v>
      </c>
      <c r="U4" s="1103">
        <f>VLOOKUP(U$1,'cost per tipologia de sòl'!$A$2:$D$37,4,FALSE)*'T100'!U4</f>
        <v>0</v>
      </c>
      <c r="V4" s="1103">
        <f>VLOOKUP(V$1,'cost per tipologia de sòl'!$A$2:$D$37,4,FALSE)*'T100'!V4</f>
        <v>0</v>
      </c>
      <c r="W4" s="1103">
        <f>VLOOKUP(W$1,'cost per tipologia de sòl'!$A$2:$D$37,4,FALSE)*'T100'!W4</f>
        <v>0</v>
      </c>
      <c r="X4" s="1103">
        <f>VLOOKUP(X$1,'cost per tipologia de sòl'!$A$2:$D$37,4,FALSE)*'T100'!X4</f>
        <v>0</v>
      </c>
      <c r="Y4" s="1103">
        <f>VLOOKUP(Y$1,'cost per tipologia de sòl'!$A$2:$D$37,4,FALSE)*'T100'!Y4</f>
        <v>0</v>
      </c>
      <c r="Z4" s="1103">
        <f>VLOOKUP(Z$1,'cost per tipologia de sòl'!$A$2:$D$37,4,FALSE)*'T100'!Z4</f>
        <v>928012.348</v>
      </c>
      <c r="AA4" s="1103">
        <f>VLOOKUP(AA$1,'cost per tipologia de sòl'!$A$2:$D$37,4,FALSE)*'T100'!AA4</f>
        <v>0</v>
      </c>
      <c r="AB4" s="1103">
        <f>VLOOKUP(AB$1,'cost per tipologia de sòl'!$A$2:$D$37,4,FALSE)*'T100'!AB4</f>
        <v>0</v>
      </c>
      <c r="AC4" s="1103">
        <f>VLOOKUP(AC$1,'cost per tipologia de sòl'!$A$2:$D$37,4,FALSE)*'T100'!AC4</f>
        <v>12958886.35</v>
      </c>
      <c r="AD4" s="1103">
        <f>VLOOKUP(AD$1,'cost per tipologia de sòl'!$A$2:$D$37,4,FALSE)*'T100'!AD4</f>
        <v>13347634.9</v>
      </c>
      <c r="AE4" s="1103">
        <f>VLOOKUP(AE$1,'cost per tipologia de sòl'!$A$2:$D$37,4,FALSE)*'T100'!AE4</f>
        <v>0</v>
      </c>
      <c r="AF4" s="1103">
        <f>VLOOKUP(AF$1,'cost per tipologia de sòl'!$A$2:$D$37,4,FALSE)*'T100'!AF4</f>
        <v>0</v>
      </c>
      <c r="AG4" s="1103">
        <f>VLOOKUP(AG$1,'cost per tipologia de sòl'!$A$2:$D$37,4,FALSE)*'T100'!AG4</f>
        <v>0</v>
      </c>
      <c r="AH4" s="1103">
        <f>VLOOKUP(AH$1,'cost per tipologia de sòl'!$A$2:$D$37,4,FALSE)*'T100'!AH4</f>
        <v>0</v>
      </c>
      <c r="AI4" s="1103">
        <f>VLOOKUP(AI$1,'cost per tipologia de sòl'!$A$2:$D$37,4,FALSE)*'T100'!AI4</f>
        <v>0</v>
      </c>
      <c r="AJ4" s="1103">
        <f t="shared" si="0"/>
        <v>61661844.458499998</v>
      </c>
      <c r="AK4" s="1117">
        <f t="shared" si="1"/>
        <v>18.49855333755</v>
      </c>
    </row>
    <row r="5" spans="1:37">
      <c r="A5" s="1096" t="s">
        <v>767</v>
      </c>
      <c r="B5" s="1103">
        <f>VLOOKUP(B$1,'cost per tipologia de sòl'!$A$2:$D$37,4,FALSE)*'T100'!B5</f>
        <v>865110.09600000002</v>
      </c>
      <c r="C5" s="1103">
        <f>VLOOKUP(C$1,'cost per tipologia de sòl'!$A$2:$D$37,4,FALSE)*'T100'!C5</f>
        <v>0</v>
      </c>
      <c r="D5" s="1103">
        <f>VLOOKUP(D$1,'cost per tipologia de sòl'!$A$2:$D$37,4,FALSE)*'T100'!D5</f>
        <v>0</v>
      </c>
      <c r="E5" s="1103">
        <f>VLOOKUP(E$1,'cost per tipologia de sòl'!$A$2:$D$37,4,FALSE)*'T100'!E5</f>
        <v>0</v>
      </c>
      <c r="F5" s="1103">
        <f>VLOOKUP(F$1,'cost per tipologia de sòl'!$A$2:$D$37,4,FALSE)*'T100'!F5</f>
        <v>0</v>
      </c>
      <c r="G5" s="1103">
        <f>VLOOKUP(G$1,'cost per tipologia de sòl'!$A$2:$D$37,4,FALSE)*'T100'!G5</f>
        <v>0</v>
      </c>
      <c r="H5" s="1103">
        <f>VLOOKUP(H$1,'cost per tipologia de sòl'!$A$2:$D$37,4,FALSE)*'T100'!H5</f>
        <v>0</v>
      </c>
      <c r="I5" s="1103">
        <f>VLOOKUP(I$1,'cost per tipologia de sòl'!$A$2:$D$37,4,FALSE)*'T100'!I5</f>
        <v>0</v>
      </c>
      <c r="J5" s="1103">
        <f>VLOOKUP(J$1,'cost per tipologia de sòl'!$A$2:$D$37,4,FALSE)*'T100'!J5</f>
        <v>0</v>
      </c>
      <c r="K5" s="1103">
        <f>VLOOKUP(K$1,'cost per tipologia de sòl'!$A$2:$D$37,4,FALSE)*'T100'!K5</f>
        <v>0</v>
      </c>
      <c r="L5" s="1103">
        <f>VLOOKUP(L$1,'cost per tipologia de sòl'!$A$2:$D$37,4,FALSE)*'T100'!L5</f>
        <v>0</v>
      </c>
      <c r="M5" s="1103">
        <f>VLOOKUP(M$1,'cost per tipologia de sòl'!$A$2:$D$37,4,FALSE)*'T100'!M5</f>
        <v>0</v>
      </c>
      <c r="N5" s="1103">
        <f>VLOOKUP(N$1,'cost per tipologia de sòl'!$A$2:$D$37,4,FALSE)*'T100'!N5</f>
        <v>0</v>
      </c>
      <c r="O5" s="1103">
        <f>VLOOKUP(O$1,'cost per tipologia de sòl'!$A$2:$D$37,4,FALSE)*'T100'!O5</f>
        <v>0</v>
      </c>
      <c r="P5" s="1103">
        <f>VLOOKUP(P$1,'cost per tipologia de sòl'!$A$2:$D$37,4,FALSE)*'T100'!P5</f>
        <v>0</v>
      </c>
      <c r="Q5" s="1103">
        <f>VLOOKUP(Q$1,'cost per tipologia de sòl'!$A$2:$D$37,4,FALSE)*'T100'!Q5</f>
        <v>0</v>
      </c>
      <c r="R5" s="1103">
        <f>VLOOKUP(R$1,'cost per tipologia de sòl'!$A$2:$D$37,4,FALSE)*'T100'!R5</f>
        <v>0</v>
      </c>
      <c r="S5" s="1103">
        <f>VLOOKUP(S$1,'cost per tipologia de sòl'!$A$2:$D$37,4,FALSE)*'T100'!S5</f>
        <v>0</v>
      </c>
      <c r="T5" s="1103">
        <f>VLOOKUP(T$1,'cost per tipologia de sòl'!$A$2:$D$37,4,FALSE)*'T100'!T5</f>
        <v>46740570.872000001</v>
      </c>
      <c r="U5" s="1103">
        <f>VLOOKUP(U$1,'cost per tipologia de sòl'!$A$2:$D$37,4,FALSE)*'T100'!U5</f>
        <v>0</v>
      </c>
      <c r="V5" s="1103">
        <f>VLOOKUP(V$1,'cost per tipologia de sòl'!$A$2:$D$37,4,FALSE)*'T100'!V5</f>
        <v>0</v>
      </c>
      <c r="W5" s="1103">
        <f>VLOOKUP(W$1,'cost per tipologia de sòl'!$A$2:$D$37,4,FALSE)*'T100'!W5</f>
        <v>0</v>
      </c>
      <c r="X5" s="1103">
        <f>VLOOKUP(X$1,'cost per tipologia de sòl'!$A$2:$D$37,4,FALSE)*'T100'!X5</f>
        <v>0</v>
      </c>
      <c r="Y5" s="1103">
        <f>VLOOKUP(Y$1,'cost per tipologia de sòl'!$A$2:$D$37,4,FALSE)*'T100'!Y5</f>
        <v>0</v>
      </c>
      <c r="Z5" s="1103">
        <f>VLOOKUP(Z$1,'cost per tipologia de sòl'!$A$2:$D$37,4,FALSE)*'T100'!Z5</f>
        <v>9231461.4820000008</v>
      </c>
      <c r="AA5" s="1103">
        <f>VLOOKUP(AA$1,'cost per tipologia de sòl'!$A$2:$D$37,4,FALSE)*'T100'!AA5</f>
        <v>0</v>
      </c>
      <c r="AB5" s="1103">
        <f>VLOOKUP(AB$1,'cost per tipologia de sòl'!$A$2:$D$37,4,FALSE)*'T100'!AB5</f>
        <v>0</v>
      </c>
      <c r="AC5" s="1103">
        <f>VLOOKUP(AC$1,'cost per tipologia de sòl'!$A$2:$D$37,4,FALSE)*'T100'!AC5</f>
        <v>8916.7000000000007</v>
      </c>
      <c r="AD5" s="1103">
        <f>VLOOKUP(AD$1,'cost per tipologia de sòl'!$A$2:$D$37,4,FALSE)*'T100'!AD5</f>
        <v>2453628.6500000004</v>
      </c>
      <c r="AE5" s="1103">
        <f>VLOOKUP(AE$1,'cost per tipologia de sòl'!$A$2:$D$37,4,FALSE)*'T100'!AE5</f>
        <v>0</v>
      </c>
      <c r="AF5" s="1103">
        <f>VLOOKUP(AF$1,'cost per tipologia de sòl'!$A$2:$D$37,4,FALSE)*'T100'!AF5</f>
        <v>0</v>
      </c>
      <c r="AG5" s="1103">
        <f>VLOOKUP(AG$1,'cost per tipologia de sòl'!$A$2:$D$37,4,FALSE)*'T100'!AG5</f>
        <v>0</v>
      </c>
      <c r="AH5" s="1103">
        <f>VLOOKUP(AH$1,'cost per tipologia de sòl'!$A$2:$D$37,4,FALSE)*'T100'!AH5</f>
        <v>0</v>
      </c>
      <c r="AI5" s="1103">
        <f>VLOOKUP(AI$1,'cost per tipologia de sòl'!$A$2:$D$37,4,FALSE)*'T100'!AI5</f>
        <v>0</v>
      </c>
      <c r="AJ5" s="1103">
        <f t="shared" si="0"/>
        <v>59299687.800000004</v>
      </c>
      <c r="AK5" s="1117">
        <f t="shared" si="1"/>
        <v>17.789906340000002</v>
      </c>
    </row>
    <row r="6" spans="1:37">
      <c r="A6" s="1096" t="s">
        <v>774</v>
      </c>
      <c r="B6" s="1103">
        <f>VLOOKUP(B$1,'cost per tipologia de sòl'!$A$2:$D$37,4,FALSE)*'T100'!B6</f>
        <v>1635514.7039999999</v>
      </c>
      <c r="C6" s="1103">
        <f>VLOOKUP(C$1,'cost per tipologia de sòl'!$A$2:$D$37,4,FALSE)*'T100'!C6</f>
        <v>0</v>
      </c>
      <c r="D6" s="1103">
        <f>VLOOKUP(D$1,'cost per tipologia de sòl'!$A$2:$D$37,4,FALSE)*'T100'!D6</f>
        <v>0</v>
      </c>
      <c r="E6" s="1103">
        <f>VLOOKUP(E$1,'cost per tipologia de sòl'!$A$2:$D$37,4,FALSE)*'T100'!E6</f>
        <v>0</v>
      </c>
      <c r="F6" s="1103">
        <f>VLOOKUP(F$1,'cost per tipologia de sòl'!$A$2:$D$37,4,FALSE)*'T100'!F6</f>
        <v>0</v>
      </c>
      <c r="G6" s="1103">
        <f>VLOOKUP(G$1,'cost per tipologia de sòl'!$A$2:$D$37,4,FALSE)*'T100'!G6</f>
        <v>0</v>
      </c>
      <c r="H6" s="1103">
        <f>VLOOKUP(H$1,'cost per tipologia de sòl'!$A$2:$D$37,4,FALSE)*'T100'!H6</f>
        <v>0</v>
      </c>
      <c r="I6" s="1103">
        <f>VLOOKUP(I$1,'cost per tipologia de sòl'!$A$2:$D$37,4,FALSE)*'T100'!I6</f>
        <v>0</v>
      </c>
      <c r="J6" s="1103">
        <f>VLOOKUP(J$1,'cost per tipologia de sòl'!$A$2:$D$37,4,FALSE)*'T100'!J6</f>
        <v>8458.5654999999988</v>
      </c>
      <c r="K6" s="1103">
        <f>VLOOKUP(K$1,'cost per tipologia de sòl'!$A$2:$D$37,4,FALSE)*'T100'!K6</f>
        <v>0</v>
      </c>
      <c r="L6" s="1103">
        <f>VLOOKUP(L$1,'cost per tipologia de sòl'!$A$2:$D$37,4,FALSE)*'T100'!L6</f>
        <v>0</v>
      </c>
      <c r="M6" s="1103">
        <f>VLOOKUP(M$1,'cost per tipologia de sòl'!$A$2:$D$37,4,FALSE)*'T100'!M6</f>
        <v>0</v>
      </c>
      <c r="N6" s="1103">
        <f>VLOOKUP(N$1,'cost per tipologia de sòl'!$A$2:$D$37,4,FALSE)*'T100'!N6</f>
        <v>103390.11199999999</v>
      </c>
      <c r="O6" s="1103">
        <f>VLOOKUP(O$1,'cost per tipologia de sòl'!$A$2:$D$37,4,FALSE)*'T100'!O6</f>
        <v>0</v>
      </c>
      <c r="P6" s="1103">
        <f>VLOOKUP(P$1,'cost per tipologia de sòl'!$A$2:$D$37,4,FALSE)*'T100'!P6</f>
        <v>0</v>
      </c>
      <c r="Q6" s="1103">
        <f>VLOOKUP(Q$1,'cost per tipologia de sòl'!$A$2:$D$37,4,FALSE)*'T100'!Q6</f>
        <v>0</v>
      </c>
      <c r="R6" s="1103">
        <f>VLOOKUP(R$1,'cost per tipologia de sòl'!$A$2:$D$37,4,FALSE)*'T100'!R6</f>
        <v>0</v>
      </c>
      <c r="S6" s="1103">
        <f>VLOOKUP(S$1,'cost per tipologia de sòl'!$A$2:$D$37,4,FALSE)*'T100'!S6</f>
        <v>0</v>
      </c>
      <c r="T6" s="1103">
        <f>VLOOKUP(T$1,'cost per tipologia de sòl'!$A$2:$D$37,4,FALSE)*'T100'!T6</f>
        <v>2453955.4789999998</v>
      </c>
      <c r="U6" s="1103">
        <f>VLOOKUP(U$1,'cost per tipologia de sòl'!$A$2:$D$37,4,FALSE)*'T100'!U6</f>
        <v>0</v>
      </c>
      <c r="V6" s="1103">
        <f>VLOOKUP(V$1,'cost per tipologia de sòl'!$A$2:$D$37,4,FALSE)*'T100'!V6</f>
        <v>0</v>
      </c>
      <c r="W6" s="1103">
        <f>VLOOKUP(W$1,'cost per tipologia de sòl'!$A$2:$D$37,4,FALSE)*'T100'!W6</f>
        <v>0</v>
      </c>
      <c r="X6" s="1103">
        <f>VLOOKUP(X$1,'cost per tipologia de sòl'!$A$2:$D$37,4,FALSE)*'T100'!X6</f>
        <v>0</v>
      </c>
      <c r="Y6" s="1103">
        <f>VLOOKUP(Y$1,'cost per tipologia de sòl'!$A$2:$D$37,4,FALSE)*'T100'!Y6</f>
        <v>0</v>
      </c>
      <c r="Z6" s="1103">
        <f>VLOOKUP(Z$1,'cost per tipologia de sòl'!$A$2:$D$37,4,FALSE)*'T100'!Z6</f>
        <v>0</v>
      </c>
      <c r="AA6" s="1103">
        <f>VLOOKUP(AA$1,'cost per tipologia de sòl'!$A$2:$D$37,4,FALSE)*'T100'!AA6</f>
        <v>0</v>
      </c>
      <c r="AB6" s="1103">
        <f>VLOOKUP(AB$1,'cost per tipologia de sòl'!$A$2:$D$37,4,FALSE)*'T100'!AB6</f>
        <v>85499.05</v>
      </c>
      <c r="AC6" s="1103">
        <f>VLOOKUP(AC$1,'cost per tipologia de sòl'!$A$2:$D$37,4,FALSE)*'T100'!AC6</f>
        <v>40772.1</v>
      </c>
      <c r="AD6" s="1103">
        <f>VLOOKUP(AD$1,'cost per tipologia de sòl'!$A$2:$D$37,4,FALSE)*'T100'!AD6</f>
        <v>48584.9</v>
      </c>
      <c r="AE6" s="1103">
        <f>VLOOKUP(AE$1,'cost per tipologia de sòl'!$A$2:$D$37,4,FALSE)*'T100'!AE6</f>
        <v>0</v>
      </c>
      <c r="AF6" s="1103">
        <f>VLOOKUP(AF$1,'cost per tipologia de sòl'!$A$2:$D$37,4,FALSE)*'T100'!AF6</f>
        <v>0</v>
      </c>
      <c r="AG6" s="1103">
        <f>VLOOKUP(AG$1,'cost per tipologia de sòl'!$A$2:$D$37,4,FALSE)*'T100'!AG6</f>
        <v>0</v>
      </c>
      <c r="AH6" s="1103">
        <f>VLOOKUP(AH$1,'cost per tipologia de sòl'!$A$2:$D$37,4,FALSE)*'T100'!AH6</f>
        <v>0</v>
      </c>
      <c r="AI6" s="1103">
        <f>VLOOKUP(AI$1,'cost per tipologia de sòl'!$A$2:$D$37,4,FALSE)*'T100'!AI6</f>
        <v>0</v>
      </c>
      <c r="AJ6" s="1103">
        <f t="shared" si="0"/>
        <v>4376174.9104999993</v>
      </c>
      <c r="AK6" s="1117">
        <f t="shared" si="1"/>
        <v>1.3128524731499998</v>
      </c>
    </row>
    <row r="7" spans="1:37">
      <c r="A7" s="1096" t="s">
        <v>781</v>
      </c>
      <c r="B7" s="1103">
        <f>VLOOKUP(B$1,'cost per tipologia de sòl'!$A$2:$D$37,4,FALSE)*'T100'!B7</f>
        <v>1282220.838</v>
      </c>
      <c r="C7" s="1103">
        <f>VLOOKUP(C$1,'cost per tipologia de sòl'!$A$2:$D$37,4,FALSE)*'T100'!C7</f>
        <v>0</v>
      </c>
      <c r="D7" s="1103">
        <f>VLOOKUP(D$1,'cost per tipologia de sòl'!$A$2:$D$37,4,FALSE)*'T100'!D7</f>
        <v>0</v>
      </c>
      <c r="E7" s="1103">
        <f>VLOOKUP(E$1,'cost per tipologia de sòl'!$A$2:$D$37,4,FALSE)*'T100'!E7</f>
        <v>0</v>
      </c>
      <c r="F7" s="1103">
        <f>VLOOKUP(F$1,'cost per tipologia de sòl'!$A$2:$D$37,4,FALSE)*'T100'!F7</f>
        <v>0</v>
      </c>
      <c r="G7" s="1103">
        <f>VLOOKUP(G$1,'cost per tipologia de sòl'!$A$2:$D$37,4,FALSE)*'T100'!G7</f>
        <v>0</v>
      </c>
      <c r="H7" s="1103">
        <f>VLOOKUP(H$1,'cost per tipologia de sòl'!$A$2:$D$37,4,FALSE)*'T100'!H7</f>
        <v>0</v>
      </c>
      <c r="I7" s="1103">
        <f>VLOOKUP(I$1,'cost per tipologia de sòl'!$A$2:$D$37,4,FALSE)*'T100'!I7</f>
        <v>0</v>
      </c>
      <c r="J7" s="1103">
        <f>VLOOKUP(J$1,'cost per tipologia de sòl'!$A$2:$D$37,4,FALSE)*'T100'!J7</f>
        <v>0</v>
      </c>
      <c r="K7" s="1103">
        <f>VLOOKUP(K$1,'cost per tipologia de sòl'!$A$2:$D$37,4,FALSE)*'T100'!K7</f>
        <v>554186.61899999995</v>
      </c>
      <c r="L7" s="1103">
        <f>VLOOKUP(L$1,'cost per tipologia de sòl'!$A$2:$D$37,4,FALSE)*'T100'!L7</f>
        <v>0</v>
      </c>
      <c r="M7" s="1103">
        <f>VLOOKUP(M$1,'cost per tipologia de sòl'!$A$2:$D$37,4,FALSE)*'T100'!M7</f>
        <v>0</v>
      </c>
      <c r="N7" s="1103">
        <f>VLOOKUP(N$1,'cost per tipologia de sòl'!$A$2:$D$37,4,FALSE)*'T100'!N7</f>
        <v>0</v>
      </c>
      <c r="O7" s="1103">
        <f>VLOOKUP(O$1,'cost per tipologia de sòl'!$A$2:$D$37,4,FALSE)*'T100'!O7</f>
        <v>0</v>
      </c>
      <c r="P7" s="1103">
        <f>VLOOKUP(P$1,'cost per tipologia de sòl'!$A$2:$D$37,4,FALSE)*'T100'!P7</f>
        <v>0</v>
      </c>
      <c r="Q7" s="1103">
        <f>VLOOKUP(Q$1,'cost per tipologia de sòl'!$A$2:$D$37,4,FALSE)*'T100'!Q7</f>
        <v>0</v>
      </c>
      <c r="R7" s="1103">
        <f>VLOOKUP(R$1,'cost per tipologia de sòl'!$A$2:$D$37,4,FALSE)*'T100'!R7</f>
        <v>0</v>
      </c>
      <c r="S7" s="1103">
        <f>VLOOKUP(S$1,'cost per tipologia de sòl'!$A$2:$D$37,4,FALSE)*'T100'!S7</f>
        <v>2961549.3600000003</v>
      </c>
      <c r="T7" s="1103">
        <f>VLOOKUP(T$1,'cost per tipologia de sòl'!$A$2:$D$37,4,FALSE)*'T100'!T7</f>
        <v>1281743.7779999999</v>
      </c>
      <c r="U7" s="1103">
        <f>VLOOKUP(U$1,'cost per tipologia de sòl'!$A$2:$D$37,4,FALSE)*'T100'!U7</f>
        <v>0</v>
      </c>
      <c r="V7" s="1103">
        <f>VLOOKUP(V$1,'cost per tipologia de sòl'!$A$2:$D$37,4,FALSE)*'T100'!V7</f>
        <v>0</v>
      </c>
      <c r="W7" s="1103">
        <f>VLOOKUP(W$1,'cost per tipologia de sòl'!$A$2:$D$37,4,FALSE)*'T100'!W7</f>
        <v>0</v>
      </c>
      <c r="X7" s="1103">
        <f>VLOOKUP(X$1,'cost per tipologia de sòl'!$A$2:$D$37,4,FALSE)*'T100'!X7</f>
        <v>0</v>
      </c>
      <c r="Y7" s="1103">
        <f>VLOOKUP(Y$1,'cost per tipologia de sòl'!$A$2:$D$37,4,FALSE)*'T100'!Y7</f>
        <v>0</v>
      </c>
      <c r="Z7" s="1103">
        <f>VLOOKUP(Z$1,'cost per tipologia de sòl'!$A$2:$D$37,4,FALSE)*'T100'!Z7</f>
        <v>4413685.13</v>
      </c>
      <c r="AA7" s="1103">
        <f>VLOOKUP(AA$1,'cost per tipologia de sòl'!$A$2:$D$37,4,FALSE)*'T100'!AA7</f>
        <v>0</v>
      </c>
      <c r="AB7" s="1103">
        <f>VLOOKUP(AB$1,'cost per tipologia de sòl'!$A$2:$D$37,4,FALSE)*'T100'!AB7</f>
        <v>545167.95000000007</v>
      </c>
      <c r="AC7" s="1103">
        <f>VLOOKUP(AC$1,'cost per tipologia de sòl'!$A$2:$D$37,4,FALSE)*'T100'!AC7</f>
        <v>1108553.0999999999</v>
      </c>
      <c r="AD7" s="1103">
        <f>VLOOKUP(AD$1,'cost per tipologia de sòl'!$A$2:$D$37,4,FALSE)*'T100'!AD7</f>
        <v>1192243.3500000001</v>
      </c>
      <c r="AE7" s="1103">
        <f>VLOOKUP(AE$1,'cost per tipologia de sòl'!$A$2:$D$37,4,FALSE)*'T100'!AE7</f>
        <v>0</v>
      </c>
      <c r="AF7" s="1103">
        <f>VLOOKUP(AF$1,'cost per tipologia de sòl'!$A$2:$D$37,4,FALSE)*'T100'!AF7</f>
        <v>0</v>
      </c>
      <c r="AG7" s="1103">
        <f>VLOOKUP(AG$1,'cost per tipologia de sòl'!$A$2:$D$37,4,FALSE)*'T100'!AG7</f>
        <v>0</v>
      </c>
      <c r="AH7" s="1103">
        <f>VLOOKUP(AH$1,'cost per tipologia de sòl'!$A$2:$D$37,4,FALSE)*'T100'!AH7</f>
        <v>0</v>
      </c>
      <c r="AI7" s="1103">
        <f>VLOOKUP(AI$1,'cost per tipologia de sòl'!$A$2:$D$37,4,FALSE)*'T100'!AI7</f>
        <v>0</v>
      </c>
      <c r="AJ7" s="1103">
        <f t="shared" si="0"/>
        <v>13339350.124999998</v>
      </c>
      <c r="AK7" s="1117">
        <f t="shared" si="1"/>
        <v>4.0018050374999996</v>
      </c>
    </row>
    <row r="8" spans="1:37">
      <c r="A8" s="1096" t="s">
        <v>1748</v>
      </c>
      <c r="B8" s="1103">
        <f>VLOOKUP(B$1,'cost per tipologia de sòl'!$A$2:$D$37,4,FALSE)*'T100'!B8</f>
        <v>0</v>
      </c>
      <c r="C8" s="1103">
        <f>VLOOKUP(C$1,'cost per tipologia de sòl'!$A$2:$D$37,4,FALSE)*'T100'!C8</f>
        <v>0</v>
      </c>
      <c r="D8" s="1103">
        <f>VLOOKUP(D$1,'cost per tipologia de sòl'!$A$2:$D$37,4,FALSE)*'T100'!D8</f>
        <v>0</v>
      </c>
      <c r="E8" s="1103">
        <f>VLOOKUP(E$1,'cost per tipologia de sòl'!$A$2:$D$37,4,FALSE)*'T100'!E8</f>
        <v>0</v>
      </c>
      <c r="F8" s="1103">
        <f>VLOOKUP(F$1,'cost per tipologia de sòl'!$A$2:$D$37,4,FALSE)*'T100'!F8</f>
        <v>0</v>
      </c>
      <c r="G8" s="1103">
        <f>VLOOKUP(G$1,'cost per tipologia de sòl'!$A$2:$D$37,4,FALSE)*'T100'!G8</f>
        <v>0</v>
      </c>
      <c r="H8" s="1103">
        <f>VLOOKUP(H$1,'cost per tipologia de sòl'!$A$2:$D$37,4,FALSE)*'T100'!H8</f>
        <v>0</v>
      </c>
      <c r="I8" s="1103">
        <f>VLOOKUP(I$1,'cost per tipologia de sòl'!$A$2:$D$37,4,FALSE)*'T100'!I8</f>
        <v>0</v>
      </c>
      <c r="J8" s="1103">
        <f>VLOOKUP(J$1,'cost per tipologia de sòl'!$A$2:$D$37,4,FALSE)*'T100'!J8</f>
        <v>0</v>
      </c>
      <c r="K8" s="1103">
        <f>VLOOKUP(K$1,'cost per tipologia de sòl'!$A$2:$D$37,4,FALSE)*'T100'!K8</f>
        <v>0</v>
      </c>
      <c r="L8" s="1103">
        <f>VLOOKUP(L$1,'cost per tipologia de sòl'!$A$2:$D$37,4,FALSE)*'T100'!L8</f>
        <v>0</v>
      </c>
      <c r="M8" s="1103">
        <f>VLOOKUP(M$1,'cost per tipologia de sòl'!$A$2:$D$37,4,FALSE)*'T100'!M8</f>
        <v>0</v>
      </c>
      <c r="N8" s="1103">
        <f>VLOOKUP(N$1,'cost per tipologia de sòl'!$A$2:$D$37,4,FALSE)*'T100'!N8</f>
        <v>9395879.5360000003</v>
      </c>
      <c r="O8" s="1103">
        <f>VLOOKUP(O$1,'cost per tipologia de sòl'!$A$2:$D$37,4,FALSE)*'T100'!O8</f>
        <v>0</v>
      </c>
      <c r="P8" s="1103">
        <f>VLOOKUP(P$1,'cost per tipologia de sòl'!$A$2:$D$37,4,FALSE)*'T100'!P8</f>
        <v>0</v>
      </c>
      <c r="Q8" s="1103">
        <f>VLOOKUP(Q$1,'cost per tipologia de sòl'!$A$2:$D$37,4,FALSE)*'T100'!Q8</f>
        <v>0</v>
      </c>
      <c r="R8" s="1103">
        <f>VLOOKUP(R$1,'cost per tipologia de sòl'!$A$2:$D$37,4,FALSE)*'T100'!R8</f>
        <v>0</v>
      </c>
      <c r="S8" s="1103">
        <f>VLOOKUP(S$1,'cost per tipologia de sòl'!$A$2:$D$37,4,FALSE)*'T100'!S8</f>
        <v>4692916.3679999998</v>
      </c>
      <c r="T8" s="1103">
        <f>VLOOKUP(T$1,'cost per tipologia de sòl'!$A$2:$D$37,4,FALSE)*'T100'!T8</f>
        <v>11281893.573000001</v>
      </c>
      <c r="U8" s="1103">
        <f>VLOOKUP(U$1,'cost per tipologia de sòl'!$A$2:$D$37,4,FALSE)*'T100'!U8</f>
        <v>0</v>
      </c>
      <c r="V8" s="1103">
        <f>VLOOKUP(V$1,'cost per tipologia de sòl'!$A$2:$D$37,4,FALSE)*'T100'!V8</f>
        <v>0</v>
      </c>
      <c r="W8" s="1103">
        <f>VLOOKUP(W$1,'cost per tipologia de sòl'!$A$2:$D$37,4,FALSE)*'T100'!W8</f>
        <v>0</v>
      </c>
      <c r="X8" s="1103">
        <f>VLOOKUP(X$1,'cost per tipologia de sòl'!$A$2:$D$37,4,FALSE)*'T100'!X8</f>
        <v>0</v>
      </c>
      <c r="Y8" s="1103">
        <f>VLOOKUP(Y$1,'cost per tipologia de sòl'!$A$2:$D$37,4,FALSE)*'T100'!Y8</f>
        <v>0</v>
      </c>
      <c r="Z8" s="1103">
        <f>VLOOKUP(Z$1,'cost per tipologia de sòl'!$A$2:$D$37,4,FALSE)*'T100'!Z8</f>
        <v>0</v>
      </c>
      <c r="AA8" s="1103">
        <f>VLOOKUP(AA$1,'cost per tipologia de sòl'!$A$2:$D$37,4,FALSE)*'T100'!AA8</f>
        <v>0</v>
      </c>
      <c r="AB8" s="1103">
        <f>VLOOKUP(AB$1,'cost per tipologia de sòl'!$A$2:$D$37,4,FALSE)*'T100'!AB8</f>
        <v>5950181.5499999998</v>
      </c>
      <c r="AC8" s="1103">
        <f>VLOOKUP(AC$1,'cost per tipologia de sòl'!$A$2:$D$37,4,FALSE)*'T100'!AC8</f>
        <v>6066506.2000000002</v>
      </c>
      <c r="AD8" s="1103">
        <f>VLOOKUP(AD$1,'cost per tipologia de sòl'!$A$2:$D$37,4,FALSE)*'T100'!AD8</f>
        <v>26700384.600000001</v>
      </c>
      <c r="AE8" s="1103">
        <f>VLOOKUP(AE$1,'cost per tipologia de sòl'!$A$2:$D$37,4,FALSE)*'T100'!AE8</f>
        <v>0</v>
      </c>
      <c r="AF8" s="1103">
        <f>VLOOKUP(AF$1,'cost per tipologia de sòl'!$A$2:$D$37,4,FALSE)*'T100'!AF8</f>
        <v>0</v>
      </c>
      <c r="AG8" s="1103">
        <f>VLOOKUP(AG$1,'cost per tipologia de sòl'!$A$2:$D$37,4,FALSE)*'T100'!AG8</f>
        <v>0</v>
      </c>
      <c r="AH8" s="1103">
        <f>VLOOKUP(AH$1,'cost per tipologia de sòl'!$A$2:$D$37,4,FALSE)*'T100'!AH8</f>
        <v>0</v>
      </c>
      <c r="AI8" s="1103">
        <f>VLOOKUP(AI$1,'cost per tipologia de sòl'!$A$2:$D$37,4,FALSE)*'T100'!AI8</f>
        <v>0</v>
      </c>
      <c r="AJ8" s="1103">
        <f t="shared" si="0"/>
        <v>64087761.827</v>
      </c>
      <c r="AK8" s="1117">
        <f t="shared" si="1"/>
        <v>19.2263285481</v>
      </c>
    </row>
    <row r="9" spans="1:37">
      <c r="A9" s="1096" t="s">
        <v>807</v>
      </c>
      <c r="B9" s="1103">
        <f>VLOOKUP(B$1,'cost per tipologia de sòl'!$A$2:$D$37,4,FALSE)*'T100'!B9</f>
        <v>3577563.9180000001</v>
      </c>
      <c r="C9" s="1103">
        <f>VLOOKUP(C$1,'cost per tipologia de sòl'!$A$2:$D$37,4,FALSE)*'T100'!C9</f>
        <v>0</v>
      </c>
      <c r="D9" s="1103">
        <f>VLOOKUP(D$1,'cost per tipologia de sòl'!$A$2:$D$37,4,FALSE)*'T100'!D9</f>
        <v>48450.887999999999</v>
      </c>
      <c r="E9" s="1103">
        <f>VLOOKUP(E$1,'cost per tipologia de sòl'!$A$2:$D$37,4,FALSE)*'T100'!E9</f>
        <v>1720338.672</v>
      </c>
      <c r="F9" s="1103">
        <f>VLOOKUP(F$1,'cost per tipologia de sòl'!$A$2:$D$37,4,FALSE)*'T100'!F9</f>
        <v>0</v>
      </c>
      <c r="G9" s="1103">
        <f>VLOOKUP(G$1,'cost per tipologia de sòl'!$A$2:$D$37,4,FALSE)*'T100'!G9</f>
        <v>0</v>
      </c>
      <c r="H9" s="1103">
        <f>VLOOKUP(H$1,'cost per tipologia de sòl'!$A$2:$D$37,4,FALSE)*'T100'!H9</f>
        <v>0</v>
      </c>
      <c r="I9" s="1103">
        <f>VLOOKUP(I$1,'cost per tipologia de sòl'!$A$2:$D$37,4,FALSE)*'T100'!I9</f>
        <v>0</v>
      </c>
      <c r="J9" s="1103">
        <f>VLOOKUP(J$1,'cost per tipologia de sòl'!$A$2:$D$37,4,FALSE)*'T100'!J9</f>
        <v>2360.0335</v>
      </c>
      <c r="K9" s="1103">
        <f>VLOOKUP(K$1,'cost per tipologia de sòl'!$A$2:$D$37,4,FALSE)*'T100'!K9</f>
        <v>0</v>
      </c>
      <c r="L9" s="1103">
        <f>VLOOKUP(L$1,'cost per tipologia de sòl'!$A$2:$D$37,4,FALSE)*'T100'!L9</f>
        <v>0</v>
      </c>
      <c r="M9" s="1103">
        <f>VLOOKUP(M$1,'cost per tipologia de sòl'!$A$2:$D$37,4,FALSE)*'T100'!M9</f>
        <v>0</v>
      </c>
      <c r="N9" s="1103">
        <f>VLOOKUP(N$1,'cost per tipologia de sòl'!$A$2:$D$37,4,FALSE)*'T100'!N9</f>
        <v>228694.584</v>
      </c>
      <c r="O9" s="1103">
        <f>VLOOKUP(O$1,'cost per tipologia de sòl'!$A$2:$D$37,4,FALSE)*'T100'!O9</f>
        <v>0</v>
      </c>
      <c r="P9" s="1103">
        <f>VLOOKUP(P$1,'cost per tipologia de sòl'!$A$2:$D$37,4,FALSE)*'T100'!P9</f>
        <v>0</v>
      </c>
      <c r="Q9" s="1103">
        <f>VLOOKUP(Q$1,'cost per tipologia de sòl'!$A$2:$D$37,4,FALSE)*'T100'!Q9</f>
        <v>0</v>
      </c>
      <c r="R9" s="1103">
        <f>VLOOKUP(R$1,'cost per tipologia de sòl'!$A$2:$D$37,4,FALSE)*'T100'!R9</f>
        <v>0</v>
      </c>
      <c r="S9" s="1103">
        <f>VLOOKUP(S$1,'cost per tipologia de sòl'!$A$2:$D$37,4,FALSE)*'T100'!S9</f>
        <v>3932894.4480000003</v>
      </c>
      <c r="T9" s="1103">
        <f>VLOOKUP(T$1,'cost per tipologia de sòl'!$A$2:$D$37,4,FALSE)*'T100'!T9</f>
        <v>1207242.1769999999</v>
      </c>
      <c r="U9" s="1103">
        <f>VLOOKUP(U$1,'cost per tipologia de sòl'!$A$2:$D$37,4,FALSE)*'T100'!U9</f>
        <v>0</v>
      </c>
      <c r="V9" s="1103">
        <f>VLOOKUP(V$1,'cost per tipologia de sòl'!$A$2:$D$37,4,FALSE)*'T100'!V9</f>
        <v>0</v>
      </c>
      <c r="W9" s="1103">
        <f>VLOOKUP(W$1,'cost per tipologia de sòl'!$A$2:$D$37,4,FALSE)*'T100'!W9</f>
        <v>0</v>
      </c>
      <c r="X9" s="1103">
        <f>VLOOKUP(X$1,'cost per tipologia de sòl'!$A$2:$D$37,4,FALSE)*'T100'!X9</f>
        <v>0</v>
      </c>
      <c r="Y9" s="1103">
        <f>VLOOKUP(Y$1,'cost per tipologia de sòl'!$A$2:$D$37,4,FALSE)*'T100'!Y9</f>
        <v>0</v>
      </c>
      <c r="Z9" s="1103">
        <f>VLOOKUP(Z$1,'cost per tipologia de sòl'!$A$2:$D$37,4,FALSE)*'T100'!Z9</f>
        <v>1124941.612</v>
      </c>
      <c r="AA9" s="1103">
        <f>VLOOKUP(AA$1,'cost per tipologia de sòl'!$A$2:$D$37,4,FALSE)*'T100'!AA9</f>
        <v>0</v>
      </c>
      <c r="AB9" s="1103">
        <f>VLOOKUP(AB$1,'cost per tipologia de sòl'!$A$2:$D$37,4,FALSE)*'T100'!AB9</f>
        <v>0</v>
      </c>
      <c r="AC9" s="1103">
        <f>VLOOKUP(AC$1,'cost per tipologia de sòl'!$A$2:$D$37,4,FALSE)*'T100'!AC9</f>
        <v>1063641.8500000001</v>
      </c>
      <c r="AD9" s="1103">
        <f>VLOOKUP(AD$1,'cost per tipologia de sòl'!$A$2:$D$37,4,FALSE)*'T100'!AD9</f>
        <v>89762.650000000009</v>
      </c>
      <c r="AE9" s="1103">
        <f>VLOOKUP(AE$1,'cost per tipologia de sòl'!$A$2:$D$37,4,FALSE)*'T100'!AE9</f>
        <v>0</v>
      </c>
      <c r="AF9" s="1103">
        <f>VLOOKUP(AF$1,'cost per tipologia de sòl'!$A$2:$D$37,4,FALSE)*'T100'!AF9</f>
        <v>0</v>
      </c>
      <c r="AG9" s="1103">
        <f>VLOOKUP(AG$1,'cost per tipologia de sòl'!$A$2:$D$37,4,FALSE)*'T100'!AG9</f>
        <v>0</v>
      </c>
      <c r="AH9" s="1103">
        <f>VLOOKUP(AH$1,'cost per tipologia de sòl'!$A$2:$D$37,4,FALSE)*'T100'!AH9</f>
        <v>0</v>
      </c>
      <c r="AI9" s="1103">
        <f>VLOOKUP(AI$1,'cost per tipologia de sòl'!$A$2:$D$37,4,FALSE)*'T100'!AI9</f>
        <v>0</v>
      </c>
      <c r="AJ9" s="1103">
        <f t="shared" si="0"/>
        <v>12995890.8325</v>
      </c>
      <c r="AK9" s="1117">
        <f t="shared" si="1"/>
        <v>3.8987672497499997</v>
      </c>
    </row>
    <row r="10" spans="1:37">
      <c r="A10" s="1096" t="s">
        <v>817</v>
      </c>
      <c r="B10" s="1103">
        <f>VLOOKUP(B$1,'cost per tipologia de sòl'!$A$2:$D$37,4,FALSE)*'T100'!B10</f>
        <v>45257727.564000003</v>
      </c>
      <c r="C10" s="1103">
        <f>VLOOKUP(C$1,'cost per tipologia de sòl'!$A$2:$D$37,4,FALSE)*'T100'!C10</f>
        <v>0</v>
      </c>
      <c r="D10" s="1103">
        <f>VLOOKUP(D$1,'cost per tipologia de sòl'!$A$2:$D$37,4,FALSE)*'T100'!D10</f>
        <v>206720.478</v>
      </c>
      <c r="E10" s="1103">
        <f>VLOOKUP(E$1,'cost per tipologia de sòl'!$A$2:$D$37,4,FALSE)*'T100'!E10</f>
        <v>0</v>
      </c>
      <c r="F10" s="1103">
        <f>VLOOKUP(F$1,'cost per tipologia de sòl'!$A$2:$D$37,4,FALSE)*'T100'!F10</f>
        <v>0</v>
      </c>
      <c r="G10" s="1103">
        <f>VLOOKUP(G$1,'cost per tipologia de sòl'!$A$2:$D$37,4,FALSE)*'T100'!G10</f>
        <v>0</v>
      </c>
      <c r="H10" s="1103">
        <f>VLOOKUP(H$1,'cost per tipologia de sòl'!$A$2:$D$37,4,FALSE)*'T100'!H10</f>
        <v>0</v>
      </c>
      <c r="I10" s="1103">
        <f>VLOOKUP(I$1,'cost per tipologia de sòl'!$A$2:$D$37,4,FALSE)*'T100'!I10</f>
        <v>0</v>
      </c>
      <c r="J10" s="1103">
        <f>VLOOKUP(J$1,'cost per tipologia de sòl'!$A$2:$D$37,4,FALSE)*'T100'!J10</f>
        <v>1411479.2779999999</v>
      </c>
      <c r="K10" s="1103">
        <f>VLOOKUP(K$1,'cost per tipologia de sòl'!$A$2:$D$37,4,FALSE)*'T100'!K10</f>
        <v>0</v>
      </c>
      <c r="L10" s="1103">
        <f>VLOOKUP(L$1,'cost per tipologia de sòl'!$A$2:$D$37,4,FALSE)*'T100'!L10</f>
        <v>0</v>
      </c>
      <c r="M10" s="1103">
        <f>VLOOKUP(M$1,'cost per tipologia de sòl'!$A$2:$D$37,4,FALSE)*'T100'!M10</f>
        <v>0</v>
      </c>
      <c r="N10" s="1103">
        <f>VLOOKUP(N$1,'cost per tipologia de sòl'!$A$2:$D$37,4,FALSE)*'T100'!N10</f>
        <v>0</v>
      </c>
      <c r="O10" s="1103">
        <f>VLOOKUP(O$1,'cost per tipologia de sòl'!$A$2:$D$37,4,FALSE)*'T100'!O10</f>
        <v>0</v>
      </c>
      <c r="P10" s="1103">
        <f>VLOOKUP(P$1,'cost per tipologia de sòl'!$A$2:$D$37,4,FALSE)*'T100'!P10</f>
        <v>9160329.5120000001</v>
      </c>
      <c r="Q10" s="1103">
        <f>VLOOKUP(Q$1,'cost per tipologia de sòl'!$A$2:$D$37,4,FALSE)*'T100'!Q10</f>
        <v>0</v>
      </c>
      <c r="R10" s="1103">
        <f>VLOOKUP(R$1,'cost per tipologia de sòl'!$A$2:$D$37,4,FALSE)*'T100'!R10</f>
        <v>0</v>
      </c>
      <c r="S10" s="1103">
        <f>VLOOKUP(S$1,'cost per tipologia de sòl'!$A$2:$D$37,4,FALSE)*'T100'!S10</f>
        <v>21642442.416000001</v>
      </c>
      <c r="T10" s="1103">
        <f>VLOOKUP(T$1,'cost per tipologia de sòl'!$A$2:$D$37,4,FALSE)*'T100'!T10</f>
        <v>17335812.460000001</v>
      </c>
      <c r="U10" s="1103">
        <f>VLOOKUP(U$1,'cost per tipologia de sòl'!$A$2:$D$37,4,FALSE)*'T100'!U10</f>
        <v>0</v>
      </c>
      <c r="V10" s="1103">
        <f>VLOOKUP(V$1,'cost per tipologia de sòl'!$A$2:$D$37,4,FALSE)*'T100'!V10</f>
        <v>0</v>
      </c>
      <c r="W10" s="1103">
        <f>VLOOKUP(W$1,'cost per tipologia de sòl'!$A$2:$D$37,4,FALSE)*'T100'!W10</f>
        <v>0</v>
      </c>
      <c r="X10" s="1103">
        <f>VLOOKUP(X$1,'cost per tipologia de sòl'!$A$2:$D$37,4,FALSE)*'T100'!X10</f>
        <v>0</v>
      </c>
      <c r="Y10" s="1103">
        <f>VLOOKUP(Y$1,'cost per tipologia de sòl'!$A$2:$D$37,4,FALSE)*'T100'!Y10</f>
        <v>0</v>
      </c>
      <c r="Z10" s="1103">
        <f>VLOOKUP(Z$1,'cost per tipologia de sòl'!$A$2:$D$37,4,FALSE)*'T100'!Z10</f>
        <v>5186592.2680000002</v>
      </c>
      <c r="AA10" s="1103">
        <f>VLOOKUP(AA$1,'cost per tipologia de sòl'!$A$2:$D$37,4,FALSE)*'T100'!AA10</f>
        <v>4389265.05</v>
      </c>
      <c r="AB10" s="1103">
        <f>VLOOKUP(AB$1,'cost per tipologia de sòl'!$A$2:$D$37,4,FALSE)*'T100'!AB10</f>
        <v>621157.5</v>
      </c>
      <c r="AC10" s="1103">
        <f>VLOOKUP(AC$1,'cost per tipologia de sòl'!$A$2:$D$37,4,FALSE)*'T100'!AC10</f>
        <v>3678244.2</v>
      </c>
      <c r="AD10" s="1103">
        <f>VLOOKUP(AD$1,'cost per tipologia de sòl'!$A$2:$D$37,4,FALSE)*'T100'!AD10</f>
        <v>424813.39999999997</v>
      </c>
      <c r="AE10" s="1103">
        <f>VLOOKUP(AE$1,'cost per tipologia de sòl'!$A$2:$D$37,4,FALSE)*'T100'!AE10</f>
        <v>0</v>
      </c>
      <c r="AF10" s="1103">
        <f>VLOOKUP(AF$1,'cost per tipologia de sòl'!$A$2:$D$37,4,FALSE)*'T100'!AF10</f>
        <v>0</v>
      </c>
      <c r="AG10" s="1103">
        <f>VLOOKUP(AG$1,'cost per tipologia de sòl'!$A$2:$D$37,4,FALSE)*'T100'!AG10</f>
        <v>0</v>
      </c>
      <c r="AH10" s="1103">
        <f>VLOOKUP(AH$1,'cost per tipologia de sòl'!$A$2:$D$37,4,FALSE)*'T100'!AH10</f>
        <v>0</v>
      </c>
      <c r="AI10" s="1103">
        <f>VLOOKUP(AI$1,'cost per tipologia de sòl'!$A$2:$D$37,4,FALSE)*'T100'!AI10</f>
        <v>0</v>
      </c>
      <c r="AJ10" s="1103">
        <f t="shared" si="0"/>
        <v>109314584.12600002</v>
      </c>
      <c r="AK10" s="1117">
        <f t="shared" si="1"/>
        <v>32.794375237800004</v>
      </c>
    </row>
    <row r="11" spans="1:37">
      <c r="A11" s="1096" t="s">
        <v>1572</v>
      </c>
      <c r="B11" s="1103">
        <f>VLOOKUP(B$1,'cost per tipologia de sòl'!$A$2:$D$37,4,FALSE)*'T100'!B11</f>
        <v>607955.58000000007</v>
      </c>
      <c r="C11" s="1103">
        <f>VLOOKUP(C$1,'cost per tipologia de sòl'!$A$2:$D$37,4,FALSE)*'T100'!C11</f>
        <v>0</v>
      </c>
      <c r="D11" s="1103">
        <f>VLOOKUP(D$1,'cost per tipologia de sòl'!$A$2:$D$37,4,FALSE)*'T100'!D11</f>
        <v>0</v>
      </c>
      <c r="E11" s="1103">
        <f>VLOOKUP(E$1,'cost per tipologia de sòl'!$A$2:$D$37,4,FALSE)*'T100'!E11</f>
        <v>0</v>
      </c>
      <c r="F11" s="1103">
        <f>VLOOKUP(F$1,'cost per tipologia de sòl'!$A$2:$D$37,4,FALSE)*'T100'!F11</f>
        <v>0</v>
      </c>
      <c r="G11" s="1103">
        <f>VLOOKUP(G$1,'cost per tipologia de sòl'!$A$2:$D$37,4,FALSE)*'T100'!G11</f>
        <v>0</v>
      </c>
      <c r="H11" s="1103">
        <f>VLOOKUP(H$1,'cost per tipologia de sòl'!$A$2:$D$37,4,FALSE)*'T100'!H11</f>
        <v>0</v>
      </c>
      <c r="I11" s="1103">
        <f>VLOOKUP(I$1,'cost per tipologia de sòl'!$A$2:$D$37,4,FALSE)*'T100'!I11</f>
        <v>0</v>
      </c>
      <c r="J11" s="1103">
        <f>VLOOKUP(J$1,'cost per tipologia de sòl'!$A$2:$D$37,4,FALSE)*'T100'!J11</f>
        <v>0</v>
      </c>
      <c r="K11" s="1103">
        <f>VLOOKUP(K$1,'cost per tipologia de sòl'!$A$2:$D$37,4,FALSE)*'T100'!K11</f>
        <v>0</v>
      </c>
      <c r="L11" s="1103">
        <f>VLOOKUP(L$1,'cost per tipologia de sòl'!$A$2:$D$37,4,FALSE)*'T100'!L11</f>
        <v>0</v>
      </c>
      <c r="M11" s="1103">
        <f>VLOOKUP(M$1,'cost per tipologia de sòl'!$A$2:$D$37,4,FALSE)*'T100'!M11</f>
        <v>0</v>
      </c>
      <c r="N11" s="1103">
        <f>VLOOKUP(N$1,'cost per tipologia de sòl'!$A$2:$D$37,4,FALSE)*'T100'!N11</f>
        <v>0</v>
      </c>
      <c r="O11" s="1103">
        <f>VLOOKUP(O$1,'cost per tipologia de sòl'!$A$2:$D$37,4,FALSE)*'T100'!O11</f>
        <v>0</v>
      </c>
      <c r="P11" s="1103">
        <f>VLOOKUP(P$1,'cost per tipologia de sòl'!$A$2:$D$37,4,FALSE)*'T100'!P11</f>
        <v>0</v>
      </c>
      <c r="Q11" s="1103">
        <f>VLOOKUP(Q$1,'cost per tipologia de sòl'!$A$2:$D$37,4,FALSE)*'T100'!Q11</f>
        <v>0</v>
      </c>
      <c r="R11" s="1103">
        <f>VLOOKUP(R$1,'cost per tipologia de sòl'!$A$2:$D$37,4,FALSE)*'T100'!R11</f>
        <v>0</v>
      </c>
      <c r="S11" s="1103">
        <f>VLOOKUP(S$1,'cost per tipologia de sòl'!$A$2:$D$37,4,FALSE)*'T100'!S11</f>
        <v>374206.89600000001</v>
      </c>
      <c r="T11" s="1103">
        <f>VLOOKUP(T$1,'cost per tipologia de sòl'!$A$2:$D$37,4,FALSE)*'T100'!T11</f>
        <v>3505358.0719999997</v>
      </c>
      <c r="U11" s="1103">
        <f>VLOOKUP(U$1,'cost per tipologia de sòl'!$A$2:$D$37,4,FALSE)*'T100'!U11</f>
        <v>1750420.35</v>
      </c>
      <c r="V11" s="1103">
        <f>VLOOKUP(V$1,'cost per tipologia de sòl'!$A$2:$D$37,4,FALSE)*'T100'!V11</f>
        <v>0</v>
      </c>
      <c r="W11" s="1103">
        <f>VLOOKUP(W$1,'cost per tipologia de sòl'!$A$2:$D$37,4,FALSE)*'T100'!W11</f>
        <v>0</v>
      </c>
      <c r="X11" s="1103">
        <f>VLOOKUP(X$1,'cost per tipologia de sòl'!$A$2:$D$37,4,FALSE)*'T100'!X11</f>
        <v>0</v>
      </c>
      <c r="Y11" s="1103">
        <f>VLOOKUP(Y$1,'cost per tipologia de sòl'!$A$2:$D$37,4,FALSE)*'T100'!Y11</f>
        <v>0</v>
      </c>
      <c r="Z11" s="1103">
        <f>VLOOKUP(Z$1,'cost per tipologia de sòl'!$A$2:$D$37,4,FALSE)*'T100'!Z11</f>
        <v>4311819.8760000002</v>
      </c>
      <c r="AA11" s="1103">
        <f>VLOOKUP(AA$1,'cost per tipologia de sòl'!$A$2:$D$37,4,FALSE)*'T100'!AA11</f>
        <v>0</v>
      </c>
      <c r="AB11" s="1103">
        <f>VLOOKUP(AB$1,'cost per tipologia de sòl'!$A$2:$D$37,4,FALSE)*'T100'!AB11</f>
        <v>2717299.25</v>
      </c>
      <c r="AC11" s="1103">
        <f>VLOOKUP(AC$1,'cost per tipologia de sòl'!$A$2:$D$37,4,FALSE)*'T100'!AC11</f>
        <v>2929629</v>
      </c>
      <c r="AD11" s="1103">
        <f>VLOOKUP(AD$1,'cost per tipologia de sòl'!$A$2:$D$37,4,FALSE)*'T100'!AD11</f>
        <v>7519339.3000000007</v>
      </c>
      <c r="AE11" s="1103">
        <f>VLOOKUP(AE$1,'cost per tipologia de sòl'!$A$2:$D$37,4,FALSE)*'T100'!AE11</f>
        <v>0</v>
      </c>
      <c r="AF11" s="1103">
        <f>VLOOKUP(AF$1,'cost per tipologia de sòl'!$A$2:$D$37,4,FALSE)*'T100'!AF11</f>
        <v>0</v>
      </c>
      <c r="AG11" s="1103">
        <f>VLOOKUP(AG$1,'cost per tipologia de sòl'!$A$2:$D$37,4,FALSE)*'T100'!AG11</f>
        <v>0</v>
      </c>
      <c r="AH11" s="1103">
        <f>VLOOKUP(AH$1,'cost per tipologia de sòl'!$A$2:$D$37,4,FALSE)*'T100'!AH11</f>
        <v>0</v>
      </c>
      <c r="AI11" s="1103">
        <f>VLOOKUP(AI$1,'cost per tipologia de sòl'!$A$2:$D$37,4,FALSE)*'T100'!AI11</f>
        <v>0</v>
      </c>
      <c r="AJ11" s="1103">
        <f t="shared" si="0"/>
        <v>23716028.324000001</v>
      </c>
      <c r="AK11" s="1117">
        <f t="shared" si="1"/>
        <v>7.1148084972000003</v>
      </c>
    </row>
    <row r="12" spans="1:37">
      <c r="A12" s="1096" t="s">
        <v>331</v>
      </c>
      <c r="B12" s="1103">
        <f>VLOOKUP(B$1,'cost per tipologia de sòl'!$A$2:$D$37,4,FALSE)*'T100'!B12</f>
        <v>10468152.324000001</v>
      </c>
      <c r="C12" s="1103">
        <f>VLOOKUP(C$1,'cost per tipologia de sòl'!$A$2:$D$37,4,FALSE)*'T100'!C12</f>
        <v>0</v>
      </c>
      <c r="D12" s="1103">
        <f>VLOOKUP(D$1,'cost per tipologia de sòl'!$A$2:$D$37,4,FALSE)*'T100'!D12</f>
        <v>0</v>
      </c>
      <c r="E12" s="1103">
        <f>VLOOKUP(E$1,'cost per tipologia de sòl'!$A$2:$D$37,4,FALSE)*'T100'!E12</f>
        <v>0</v>
      </c>
      <c r="F12" s="1103">
        <f>VLOOKUP(F$1,'cost per tipologia de sòl'!$A$2:$D$37,4,FALSE)*'T100'!F12</f>
        <v>0</v>
      </c>
      <c r="G12" s="1103">
        <f>VLOOKUP(G$1,'cost per tipologia de sòl'!$A$2:$D$37,4,FALSE)*'T100'!G12</f>
        <v>0</v>
      </c>
      <c r="H12" s="1103">
        <f>VLOOKUP(H$1,'cost per tipologia de sòl'!$A$2:$D$37,4,FALSE)*'T100'!H12</f>
        <v>0</v>
      </c>
      <c r="I12" s="1103">
        <f>VLOOKUP(I$1,'cost per tipologia de sòl'!$A$2:$D$37,4,FALSE)*'T100'!I12</f>
        <v>0</v>
      </c>
      <c r="J12" s="1103">
        <f>VLOOKUP(J$1,'cost per tipologia de sòl'!$A$2:$D$37,4,FALSE)*'T100'!J12</f>
        <v>0</v>
      </c>
      <c r="K12" s="1103">
        <f>VLOOKUP(K$1,'cost per tipologia de sòl'!$A$2:$D$37,4,FALSE)*'T100'!K12</f>
        <v>0</v>
      </c>
      <c r="L12" s="1103">
        <f>VLOOKUP(L$1,'cost per tipologia de sòl'!$A$2:$D$37,4,FALSE)*'T100'!L12</f>
        <v>0</v>
      </c>
      <c r="M12" s="1103">
        <f>VLOOKUP(M$1,'cost per tipologia de sòl'!$A$2:$D$37,4,FALSE)*'T100'!M12</f>
        <v>0</v>
      </c>
      <c r="N12" s="1103">
        <f>VLOOKUP(N$1,'cost per tipologia de sòl'!$A$2:$D$37,4,FALSE)*'T100'!N12</f>
        <v>7221889.2639999995</v>
      </c>
      <c r="O12" s="1103">
        <f>VLOOKUP(O$1,'cost per tipologia de sòl'!$A$2:$D$37,4,FALSE)*'T100'!O12</f>
        <v>0</v>
      </c>
      <c r="P12" s="1103">
        <f>VLOOKUP(P$1,'cost per tipologia de sòl'!$A$2:$D$37,4,FALSE)*'T100'!P12</f>
        <v>0</v>
      </c>
      <c r="Q12" s="1103">
        <f>VLOOKUP(Q$1,'cost per tipologia de sòl'!$A$2:$D$37,4,FALSE)*'T100'!Q12</f>
        <v>0</v>
      </c>
      <c r="R12" s="1103">
        <f>VLOOKUP(R$1,'cost per tipologia de sòl'!$A$2:$D$37,4,FALSE)*'T100'!R12</f>
        <v>0</v>
      </c>
      <c r="S12" s="1103">
        <f>VLOOKUP(S$1,'cost per tipologia de sòl'!$A$2:$D$37,4,FALSE)*'T100'!S12</f>
        <v>6141428.4960000003</v>
      </c>
      <c r="T12" s="1103">
        <f>VLOOKUP(T$1,'cost per tipologia de sòl'!$A$2:$D$37,4,FALSE)*'T100'!T12</f>
        <v>8114473.7089999998</v>
      </c>
      <c r="U12" s="1103">
        <f>VLOOKUP(U$1,'cost per tipologia de sòl'!$A$2:$D$37,4,FALSE)*'T100'!U12</f>
        <v>73183858.649999991</v>
      </c>
      <c r="V12" s="1103">
        <f>VLOOKUP(V$1,'cost per tipologia de sòl'!$A$2:$D$37,4,FALSE)*'T100'!V12</f>
        <v>182016.48799999998</v>
      </c>
      <c r="W12" s="1103">
        <f>VLOOKUP(W$1,'cost per tipologia de sòl'!$A$2:$D$37,4,FALSE)*'T100'!W12</f>
        <v>0</v>
      </c>
      <c r="X12" s="1103">
        <f>VLOOKUP(X$1,'cost per tipologia de sòl'!$A$2:$D$37,4,FALSE)*'T100'!X12</f>
        <v>0</v>
      </c>
      <c r="Y12" s="1103">
        <f>VLOOKUP(Y$1,'cost per tipologia de sòl'!$A$2:$D$37,4,FALSE)*'T100'!Y12</f>
        <v>0</v>
      </c>
      <c r="Z12" s="1103">
        <f>VLOOKUP(Z$1,'cost per tipologia de sòl'!$A$2:$D$37,4,FALSE)*'T100'!Z12</f>
        <v>0</v>
      </c>
      <c r="AA12" s="1103">
        <f>VLOOKUP(AA$1,'cost per tipologia de sòl'!$A$2:$D$37,4,FALSE)*'T100'!AA12</f>
        <v>0</v>
      </c>
      <c r="AB12" s="1103">
        <f>VLOOKUP(AB$1,'cost per tipologia de sòl'!$A$2:$D$37,4,FALSE)*'T100'!AB12</f>
        <v>0</v>
      </c>
      <c r="AC12" s="1103">
        <f>VLOOKUP(AC$1,'cost per tipologia de sòl'!$A$2:$D$37,4,FALSE)*'T100'!AC12</f>
        <v>17825351.600000001</v>
      </c>
      <c r="AD12" s="1103">
        <f>VLOOKUP(AD$1,'cost per tipologia de sòl'!$A$2:$D$37,4,FALSE)*'T100'!AD12</f>
        <v>80635915.450000003</v>
      </c>
      <c r="AE12" s="1103">
        <f>VLOOKUP(AE$1,'cost per tipologia de sòl'!$A$2:$D$37,4,FALSE)*'T100'!AE12</f>
        <v>0</v>
      </c>
      <c r="AF12" s="1103">
        <f>VLOOKUP(AF$1,'cost per tipologia de sòl'!$A$2:$D$37,4,FALSE)*'T100'!AF12</f>
        <v>0</v>
      </c>
      <c r="AG12" s="1103">
        <f>VLOOKUP(AG$1,'cost per tipologia de sòl'!$A$2:$D$37,4,FALSE)*'T100'!AG12</f>
        <v>0</v>
      </c>
      <c r="AH12" s="1103">
        <f>VLOOKUP(AH$1,'cost per tipologia de sòl'!$A$2:$D$37,4,FALSE)*'T100'!AH12</f>
        <v>0</v>
      </c>
      <c r="AI12" s="1103">
        <f>VLOOKUP(AI$1,'cost per tipologia de sòl'!$A$2:$D$37,4,FALSE)*'T100'!AI12</f>
        <v>0</v>
      </c>
      <c r="AJ12" s="1103">
        <f t="shared" si="0"/>
        <v>203773085.98100001</v>
      </c>
      <c r="AK12" s="1117">
        <f t="shared" si="1"/>
        <v>61.131925794300003</v>
      </c>
    </row>
    <row r="13" spans="1:37">
      <c r="A13" s="1096" t="s">
        <v>829</v>
      </c>
      <c r="B13" s="1103">
        <f>VLOOKUP(B$1,'cost per tipologia de sòl'!$A$2:$D$37,4,FALSE)*'T100'!B13</f>
        <v>0</v>
      </c>
      <c r="C13" s="1103">
        <f>VLOOKUP(C$1,'cost per tipologia de sòl'!$A$2:$D$37,4,FALSE)*'T100'!C13</f>
        <v>0</v>
      </c>
      <c r="D13" s="1103">
        <f>VLOOKUP(D$1,'cost per tipologia de sòl'!$A$2:$D$37,4,FALSE)*'T100'!D13</f>
        <v>0</v>
      </c>
      <c r="E13" s="1103">
        <f>VLOOKUP(E$1,'cost per tipologia de sòl'!$A$2:$D$37,4,FALSE)*'T100'!E13</f>
        <v>0</v>
      </c>
      <c r="F13" s="1103">
        <f>VLOOKUP(F$1,'cost per tipologia de sòl'!$A$2:$D$37,4,FALSE)*'T100'!F13</f>
        <v>0</v>
      </c>
      <c r="G13" s="1103">
        <f>VLOOKUP(G$1,'cost per tipologia de sòl'!$A$2:$D$37,4,FALSE)*'T100'!G13</f>
        <v>0</v>
      </c>
      <c r="H13" s="1103">
        <f>VLOOKUP(H$1,'cost per tipologia de sòl'!$A$2:$D$37,4,FALSE)*'T100'!H13</f>
        <v>0</v>
      </c>
      <c r="I13" s="1103">
        <f>VLOOKUP(I$1,'cost per tipologia de sòl'!$A$2:$D$37,4,FALSE)*'T100'!I13</f>
        <v>0</v>
      </c>
      <c r="J13" s="1103">
        <f>VLOOKUP(J$1,'cost per tipologia de sòl'!$A$2:$D$37,4,FALSE)*'T100'!J13</f>
        <v>11578.137999999999</v>
      </c>
      <c r="K13" s="1103">
        <f>VLOOKUP(K$1,'cost per tipologia de sòl'!$A$2:$D$37,4,FALSE)*'T100'!K13</f>
        <v>0</v>
      </c>
      <c r="L13" s="1103">
        <f>VLOOKUP(L$1,'cost per tipologia de sòl'!$A$2:$D$37,4,FALSE)*'T100'!L13</f>
        <v>0</v>
      </c>
      <c r="M13" s="1103">
        <f>VLOOKUP(M$1,'cost per tipologia de sòl'!$A$2:$D$37,4,FALSE)*'T100'!M13</f>
        <v>0</v>
      </c>
      <c r="N13" s="1103">
        <f>VLOOKUP(N$1,'cost per tipologia de sòl'!$A$2:$D$37,4,FALSE)*'T100'!N13</f>
        <v>0</v>
      </c>
      <c r="O13" s="1103">
        <f>VLOOKUP(O$1,'cost per tipologia de sòl'!$A$2:$D$37,4,FALSE)*'T100'!O13</f>
        <v>0</v>
      </c>
      <c r="P13" s="1103">
        <f>VLOOKUP(P$1,'cost per tipologia de sòl'!$A$2:$D$37,4,FALSE)*'T100'!P13</f>
        <v>0</v>
      </c>
      <c r="Q13" s="1103">
        <f>VLOOKUP(Q$1,'cost per tipologia de sòl'!$A$2:$D$37,4,FALSE)*'T100'!Q13</f>
        <v>0</v>
      </c>
      <c r="R13" s="1103">
        <f>VLOOKUP(R$1,'cost per tipologia de sòl'!$A$2:$D$37,4,FALSE)*'T100'!R13</f>
        <v>0</v>
      </c>
      <c r="S13" s="1103">
        <f>VLOOKUP(S$1,'cost per tipologia de sòl'!$A$2:$D$37,4,FALSE)*'T100'!S13</f>
        <v>0</v>
      </c>
      <c r="T13" s="1103">
        <f>VLOOKUP(T$1,'cost per tipologia de sòl'!$A$2:$D$37,4,FALSE)*'T100'!T13</f>
        <v>0</v>
      </c>
      <c r="U13" s="1103">
        <f>VLOOKUP(U$1,'cost per tipologia de sòl'!$A$2:$D$37,4,FALSE)*'T100'!U13</f>
        <v>0</v>
      </c>
      <c r="V13" s="1103">
        <f>VLOOKUP(V$1,'cost per tipologia de sòl'!$A$2:$D$37,4,FALSE)*'T100'!V13</f>
        <v>0</v>
      </c>
      <c r="W13" s="1103">
        <f>VLOOKUP(W$1,'cost per tipologia de sòl'!$A$2:$D$37,4,FALSE)*'T100'!W13</f>
        <v>0</v>
      </c>
      <c r="X13" s="1103">
        <f>VLOOKUP(X$1,'cost per tipologia de sòl'!$A$2:$D$37,4,FALSE)*'T100'!X13</f>
        <v>0</v>
      </c>
      <c r="Y13" s="1103">
        <f>VLOOKUP(Y$1,'cost per tipologia de sòl'!$A$2:$D$37,4,FALSE)*'T100'!Y13</f>
        <v>0</v>
      </c>
      <c r="Z13" s="1103">
        <f>VLOOKUP(Z$1,'cost per tipologia de sòl'!$A$2:$D$37,4,FALSE)*'T100'!Z13</f>
        <v>0</v>
      </c>
      <c r="AA13" s="1103">
        <f>VLOOKUP(AA$1,'cost per tipologia de sòl'!$A$2:$D$37,4,FALSE)*'T100'!AA13</f>
        <v>0</v>
      </c>
      <c r="AB13" s="1103">
        <f>VLOOKUP(AB$1,'cost per tipologia de sòl'!$A$2:$D$37,4,FALSE)*'T100'!AB13</f>
        <v>0</v>
      </c>
      <c r="AC13" s="1103">
        <f>VLOOKUP(AC$1,'cost per tipologia de sòl'!$A$2:$D$37,4,FALSE)*'T100'!AC13</f>
        <v>0</v>
      </c>
      <c r="AD13" s="1103">
        <f>VLOOKUP(AD$1,'cost per tipologia de sòl'!$A$2:$D$37,4,FALSE)*'T100'!AD13</f>
        <v>0</v>
      </c>
      <c r="AE13" s="1103">
        <f>VLOOKUP(AE$1,'cost per tipologia de sòl'!$A$2:$D$37,4,FALSE)*'T100'!AE13</f>
        <v>0</v>
      </c>
      <c r="AF13" s="1103">
        <f>VLOOKUP(AF$1,'cost per tipologia de sòl'!$A$2:$D$37,4,FALSE)*'T100'!AF13</f>
        <v>0</v>
      </c>
      <c r="AG13" s="1103">
        <f>VLOOKUP(AG$1,'cost per tipologia de sòl'!$A$2:$D$37,4,FALSE)*'T100'!AG13</f>
        <v>0</v>
      </c>
      <c r="AH13" s="1103">
        <f>VLOOKUP(AH$1,'cost per tipologia de sòl'!$A$2:$D$37,4,FALSE)*'T100'!AH13</f>
        <v>0</v>
      </c>
      <c r="AI13" s="1103">
        <f>VLOOKUP(AI$1,'cost per tipologia de sòl'!$A$2:$D$37,4,FALSE)*'T100'!AI13</f>
        <v>0</v>
      </c>
      <c r="AJ13" s="1103">
        <f t="shared" si="0"/>
        <v>11578.137999999999</v>
      </c>
      <c r="AK13" s="1117">
        <f t="shared" si="1"/>
        <v>3.4734413999999996E-3</v>
      </c>
    </row>
    <row r="14" spans="1:37">
      <c r="A14" s="1096" t="s">
        <v>777</v>
      </c>
      <c r="B14" s="1103">
        <f>VLOOKUP(B$1,'cost per tipologia de sòl'!$A$2:$D$37,4,FALSE)*'T100'!B14</f>
        <v>0</v>
      </c>
      <c r="C14" s="1103">
        <f>VLOOKUP(C$1,'cost per tipologia de sòl'!$A$2:$D$37,4,FALSE)*'T100'!C14</f>
        <v>0</v>
      </c>
      <c r="D14" s="1103">
        <f>VLOOKUP(D$1,'cost per tipologia de sòl'!$A$2:$D$37,4,FALSE)*'T100'!D14</f>
        <v>210480.90599999999</v>
      </c>
      <c r="E14" s="1103">
        <f>VLOOKUP(E$1,'cost per tipologia de sòl'!$A$2:$D$37,4,FALSE)*'T100'!E14</f>
        <v>0</v>
      </c>
      <c r="F14" s="1103">
        <f>VLOOKUP(F$1,'cost per tipologia de sòl'!$A$2:$D$37,4,FALSE)*'T100'!F14</f>
        <v>0</v>
      </c>
      <c r="G14" s="1103">
        <f>VLOOKUP(G$1,'cost per tipologia de sòl'!$A$2:$D$37,4,FALSE)*'T100'!G14</f>
        <v>0</v>
      </c>
      <c r="H14" s="1103">
        <f>VLOOKUP(H$1,'cost per tipologia de sòl'!$A$2:$D$37,4,FALSE)*'T100'!H14</f>
        <v>0</v>
      </c>
      <c r="I14" s="1103">
        <f>VLOOKUP(I$1,'cost per tipologia de sòl'!$A$2:$D$37,4,FALSE)*'T100'!I14</f>
        <v>0</v>
      </c>
      <c r="J14" s="1103">
        <f>VLOOKUP(J$1,'cost per tipologia de sòl'!$A$2:$D$37,4,FALSE)*'T100'!J14</f>
        <v>26273.896000000001</v>
      </c>
      <c r="K14" s="1103">
        <f>VLOOKUP(K$1,'cost per tipologia de sòl'!$A$2:$D$37,4,FALSE)*'T100'!K14</f>
        <v>0</v>
      </c>
      <c r="L14" s="1103">
        <f>VLOOKUP(L$1,'cost per tipologia de sòl'!$A$2:$D$37,4,FALSE)*'T100'!L14</f>
        <v>25102.457999999999</v>
      </c>
      <c r="M14" s="1103">
        <f>VLOOKUP(M$1,'cost per tipologia de sòl'!$A$2:$D$37,4,FALSE)*'T100'!M14</f>
        <v>0</v>
      </c>
      <c r="N14" s="1103">
        <f>VLOOKUP(N$1,'cost per tipologia de sòl'!$A$2:$D$37,4,FALSE)*'T100'!N14</f>
        <v>506846.424</v>
      </c>
      <c r="O14" s="1103">
        <f>VLOOKUP(O$1,'cost per tipologia de sòl'!$A$2:$D$37,4,FALSE)*'T100'!O14</f>
        <v>187688.97600000002</v>
      </c>
      <c r="P14" s="1103">
        <f>VLOOKUP(P$1,'cost per tipologia de sòl'!$A$2:$D$37,4,FALSE)*'T100'!P14</f>
        <v>0</v>
      </c>
      <c r="Q14" s="1103">
        <f>VLOOKUP(Q$1,'cost per tipologia de sòl'!$A$2:$D$37,4,FALSE)*'T100'!Q14</f>
        <v>0</v>
      </c>
      <c r="R14" s="1103">
        <f>VLOOKUP(R$1,'cost per tipologia de sòl'!$A$2:$D$37,4,FALSE)*'T100'!R14</f>
        <v>0</v>
      </c>
      <c r="S14" s="1103">
        <f>VLOOKUP(S$1,'cost per tipologia de sòl'!$A$2:$D$37,4,FALSE)*'T100'!S14</f>
        <v>370948.03199999995</v>
      </c>
      <c r="T14" s="1103">
        <f>VLOOKUP(T$1,'cost per tipologia de sòl'!$A$2:$D$37,4,FALSE)*'T100'!T14</f>
        <v>2044204.2560000001</v>
      </c>
      <c r="U14" s="1103">
        <f>VLOOKUP(U$1,'cost per tipologia de sòl'!$A$2:$D$37,4,FALSE)*'T100'!U14</f>
        <v>0</v>
      </c>
      <c r="V14" s="1103">
        <f>VLOOKUP(V$1,'cost per tipologia de sòl'!$A$2:$D$37,4,FALSE)*'T100'!V14</f>
        <v>0</v>
      </c>
      <c r="W14" s="1103">
        <f>VLOOKUP(W$1,'cost per tipologia de sòl'!$A$2:$D$37,4,FALSE)*'T100'!W14</f>
        <v>0</v>
      </c>
      <c r="X14" s="1103">
        <f>VLOOKUP(X$1,'cost per tipologia de sòl'!$A$2:$D$37,4,FALSE)*'T100'!X14</f>
        <v>0</v>
      </c>
      <c r="Y14" s="1103">
        <f>VLOOKUP(Y$1,'cost per tipologia de sòl'!$A$2:$D$37,4,FALSE)*'T100'!Y14</f>
        <v>0</v>
      </c>
      <c r="Z14" s="1103">
        <f>VLOOKUP(Z$1,'cost per tipologia de sòl'!$A$2:$D$37,4,FALSE)*'T100'!Z14</f>
        <v>0</v>
      </c>
      <c r="AA14" s="1103">
        <f>VLOOKUP(AA$1,'cost per tipologia de sòl'!$A$2:$D$37,4,FALSE)*'T100'!AA14</f>
        <v>0</v>
      </c>
      <c r="AB14" s="1103">
        <f>VLOOKUP(AB$1,'cost per tipologia de sòl'!$A$2:$D$37,4,FALSE)*'T100'!AB14</f>
        <v>0</v>
      </c>
      <c r="AC14" s="1103">
        <f>VLOOKUP(AC$1,'cost per tipologia de sòl'!$A$2:$D$37,4,FALSE)*'T100'!AC14</f>
        <v>365943.80000000005</v>
      </c>
      <c r="AD14" s="1103">
        <f>VLOOKUP(AD$1,'cost per tipologia de sòl'!$A$2:$D$37,4,FALSE)*'T100'!AD14</f>
        <v>839358.25</v>
      </c>
      <c r="AE14" s="1103">
        <f>VLOOKUP(AE$1,'cost per tipologia de sòl'!$A$2:$D$37,4,FALSE)*'T100'!AE14</f>
        <v>0</v>
      </c>
      <c r="AF14" s="1103">
        <f>VLOOKUP(AF$1,'cost per tipologia de sòl'!$A$2:$D$37,4,FALSE)*'T100'!AF14</f>
        <v>0</v>
      </c>
      <c r="AG14" s="1103">
        <f>VLOOKUP(AG$1,'cost per tipologia de sòl'!$A$2:$D$37,4,FALSE)*'T100'!AG14</f>
        <v>0</v>
      </c>
      <c r="AH14" s="1103">
        <f>VLOOKUP(AH$1,'cost per tipologia de sòl'!$A$2:$D$37,4,FALSE)*'T100'!AH14</f>
        <v>0</v>
      </c>
      <c r="AI14" s="1103">
        <f>VLOOKUP(AI$1,'cost per tipologia de sòl'!$A$2:$D$37,4,FALSE)*'T100'!AI14</f>
        <v>0</v>
      </c>
      <c r="AJ14" s="1103">
        <f t="shared" si="0"/>
        <v>4576846.9979999997</v>
      </c>
      <c r="AK14" s="1117">
        <f t="shared" si="1"/>
        <v>1.3730540994</v>
      </c>
    </row>
    <row r="15" spans="1:37">
      <c r="A15" s="1096" t="s">
        <v>838</v>
      </c>
      <c r="B15" s="1103">
        <f>VLOOKUP(B$1,'cost per tipologia de sòl'!$A$2:$D$37,4,FALSE)*'T100'!B15</f>
        <v>7765629.642</v>
      </c>
      <c r="C15" s="1103">
        <f>VLOOKUP(C$1,'cost per tipologia de sòl'!$A$2:$D$37,4,FALSE)*'T100'!C15</f>
        <v>0</v>
      </c>
      <c r="D15" s="1103">
        <f>VLOOKUP(D$1,'cost per tipologia de sòl'!$A$2:$D$37,4,FALSE)*'T100'!D15</f>
        <v>7586761.2120000003</v>
      </c>
      <c r="E15" s="1103">
        <f>VLOOKUP(E$1,'cost per tipologia de sòl'!$A$2:$D$37,4,FALSE)*'T100'!E15</f>
        <v>0</v>
      </c>
      <c r="F15" s="1103">
        <f>VLOOKUP(F$1,'cost per tipologia de sòl'!$A$2:$D$37,4,FALSE)*'T100'!F15</f>
        <v>0</v>
      </c>
      <c r="G15" s="1103">
        <f>VLOOKUP(G$1,'cost per tipologia de sòl'!$A$2:$D$37,4,FALSE)*'T100'!G15</f>
        <v>0</v>
      </c>
      <c r="H15" s="1103">
        <f>VLOOKUP(H$1,'cost per tipologia de sòl'!$A$2:$D$37,4,FALSE)*'T100'!H15</f>
        <v>0</v>
      </c>
      <c r="I15" s="1103">
        <f>VLOOKUP(I$1,'cost per tipologia de sòl'!$A$2:$D$37,4,FALSE)*'T100'!I15</f>
        <v>0</v>
      </c>
      <c r="J15" s="1103">
        <f>VLOOKUP(J$1,'cost per tipologia de sòl'!$A$2:$D$37,4,FALSE)*'T100'!J15</f>
        <v>141224.03899999999</v>
      </c>
      <c r="K15" s="1103">
        <f>VLOOKUP(K$1,'cost per tipologia de sòl'!$A$2:$D$37,4,FALSE)*'T100'!K15</f>
        <v>0</v>
      </c>
      <c r="L15" s="1103">
        <f>VLOOKUP(L$1,'cost per tipologia de sòl'!$A$2:$D$37,4,FALSE)*'T100'!L15</f>
        <v>0</v>
      </c>
      <c r="M15" s="1103">
        <f>VLOOKUP(M$1,'cost per tipologia de sòl'!$A$2:$D$37,4,FALSE)*'T100'!M15</f>
        <v>0</v>
      </c>
      <c r="N15" s="1103">
        <f>VLOOKUP(N$1,'cost per tipologia de sòl'!$A$2:$D$37,4,FALSE)*'T100'!N15</f>
        <v>1911042.608</v>
      </c>
      <c r="O15" s="1103">
        <f>VLOOKUP(O$1,'cost per tipologia de sòl'!$A$2:$D$37,4,FALSE)*'T100'!O15</f>
        <v>0</v>
      </c>
      <c r="P15" s="1103">
        <f>VLOOKUP(P$1,'cost per tipologia de sòl'!$A$2:$D$37,4,FALSE)*'T100'!P15</f>
        <v>0</v>
      </c>
      <c r="Q15" s="1103">
        <f>VLOOKUP(Q$1,'cost per tipologia de sòl'!$A$2:$D$37,4,FALSE)*'T100'!Q15</f>
        <v>0</v>
      </c>
      <c r="R15" s="1103">
        <f>VLOOKUP(R$1,'cost per tipologia de sòl'!$A$2:$D$37,4,FALSE)*'T100'!R15</f>
        <v>0</v>
      </c>
      <c r="S15" s="1103">
        <f>VLOOKUP(S$1,'cost per tipologia de sòl'!$A$2:$D$37,4,FALSE)*'T100'!S15</f>
        <v>16590974.399999999</v>
      </c>
      <c r="T15" s="1103">
        <f>VLOOKUP(T$1,'cost per tipologia de sòl'!$A$2:$D$37,4,FALSE)*'T100'!T15</f>
        <v>18803529.013999999</v>
      </c>
      <c r="U15" s="1103">
        <f>VLOOKUP(U$1,'cost per tipologia de sòl'!$A$2:$D$37,4,FALSE)*'T100'!U15</f>
        <v>0</v>
      </c>
      <c r="V15" s="1103">
        <f>VLOOKUP(V$1,'cost per tipologia de sòl'!$A$2:$D$37,4,FALSE)*'T100'!V15</f>
        <v>0</v>
      </c>
      <c r="W15" s="1103">
        <f>VLOOKUP(W$1,'cost per tipologia de sòl'!$A$2:$D$37,4,FALSE)*'T100'!W15</f>
        <v>0</v>
      </c>
      <c r="X15" s="1103">
        <f>VLOOKUP(X$1,'cost per tipologia de sòl'!$A$2:$D$37,4,FALSE)*'T100'!X15</f>
        <v>0</v>
      </c>
      <c r="Y15" s="1103">
        <f>VLOOKUP(Y$1,'cost per tipologia de sòl'!$A$2:$D$37,4,FALSE)*'T100'!Y15</f>
        <v>0</v>
      </c>
      <c r="Z15" s="1103">
        <f>VLOOKUP(Z$1,'cost per tipologia de sòl'!$A$2:$D$37,4,FALSE)*'T100'!Z15</f>
        <v>1935966.8379999998</v>
      </c>
      <c r="AA15" s="1103">
        <f>VLOOKUP(AA$1,'cost per tipologia de sòl'!$A$2:$D$37,4,FALSE)*'T100'!AA15</f>
        <v>0</v>
      </c>
      <c r="AB15" s="1103">
        <f>VLOOKUP(AB$1,'cost per tipologia de sòl'!$A$2:$D$37,4,FALSE)*'T100'!AB15</f>
        <v>2001862.8</v>
      </c>
      <c r="AC15" s="1103">
        <f>VLOOKUP(AC$1,'cost per tipologia de sòl'!$A$2:$D$37,4,FALSE)*'T100'!AC15</f>
        <v>862977.14999999991</v>
      </c>
      <c r="AD15" s="1103">
        <f>VLOOKUP(AD$1,'cost per tipologia de sòl'!$A$2:$D$37,4,FALSE)*'T100'!AD15</f>
        <v>2256842.8000000003</v>
      </c>
      <c r="AE15" s="1103">
        <f>VLOOKUP(AE$1,'cost per tipologia de sòl'!$A$2:$D$37,4,FALSE)*'T100'!AE15</f>
        <v>0</v>
      </c>
      <c r="AF15" s="1103">
        <f>VLOOKUP(AF$1,'cost per tipologia de sòl'!$A$2:$D$37,4,FALSE)*'T100'!AF15</f>
        <v>0</v>
      </c>
      <c r="AG15" s="1103">
        <f>VLOOKUP(AG$1,'cost per tipologia de sòl'!$A$2:$D$37,4,FALSE)*'T100'!AG15</f>
        <v>0</v>
      </c>
      <c r="AH15" s="1103">
        <f>VLOOKUP(AH$1,'cost per tipologia de sòl'!$A$2:$D$37,4,FALSE)*'T100'!AH15</f>
        <v>0</v>
      </c>
      <c r="AI15" s="1103">
        <f>VLOOKUP(AI$1,'cost per tipologia de sòl'!$A$2:$D$37,4,FALSE)*'T100'!AI15</f>
        <v>0</v>
      </c>
      <c r="AJ15" s="1103">
        <f t="shared" si="0"/>
        <v>59856810.502999991</v>
      </c>
      <c r="AK15" s="1117">
        <f t="shared" si="1"/>
        <v>17.957043150899995</v>
      </c>
    </row>
    <row r="16" spans="1:37">
      <c r="A16" s="1096" t="s">
        <v>856</v>
      </c>
      <c r="B16" s="1103">
        <f>VLOOKUP(B$1,'cost per tipologia de sòl'!$A$2:$D$37,4,FALSE)*'T100'!B16</f>
        <v>4900532.0039999997</v>
      </c>
      <c r="C16" s="1103">
        <f>VLOOKUP(C$1,'cost per tipologia de sòl'!$A$2:$D$37,4,FALSE)*'T100'!C16</f>
        <v>0</v>
      </c>
      <c r="D16" s="1103">
        <f>VLOOKUP(D$1,'cost per tipologia de sòl'!$A$2:$D$37,4,FALSE)*'T100'!D16</f>
        <v>0</v>
      </c>
      <c r="E16" s="1103">
        <f>VLOOKUP(E$1,'cost per tipologia de sòl'!$A$2:$D$37,4,FALSE)*'T100'!E16</f>
        <v>0</v>
      </c>
      <c r="F16" s="1103">
        <f>VLOOKUP(F$1,'cost per tipologia de sòl'!$A$2:$D$37,4,FALSE)*'T100'!F16</f>
        <v>0</v>
      </c>
      <c r="G16" s="1103">
        <f>VLOOKUP(G$1,'cost per tipologia de sòl'!$A$2:$D$37,4,FALSE)*'T100'!G16</f>
        <v>0</v>
      </c>
      <c r="H16" s="1103">
        <f>VLOOKUP(H$1,'cost per tipologia de sòl'!$A$2:$D$37,4,FALSE)*'T100'!H16</f>
        <v>0</v>
      </c>
      <c r="I16" s="1103">
        <f>VLOOKUP(I$1,'cost per tipologia de sòl'!$A$2:$D$37,4,FALSE)*'T100'!I16</f>
        <v>0</v>
      </c>
      <c r="J16" s="1103">
        <f>VLOOKUP(J$1,'cost per tipologia de sòl'!$A$2:$D$37,4,FALSE)*'T100'!J16</f>
        <v>3098.59</v>
      </c>
      <c r="K16" s="1103">
        <f>VLOOKUP(K$1,'cost per tipologia de sòl'!$A$2:$D$37,4,FALSE)*'T100'!K16</f>
        <v>0</v>
      </c>
      <c r="L16" s="1103">
        <f>VLOOKUP(L$1,'cost per tipologia de sòl'!$A$2:$D$37,4,FALSE)*'T100'!L16</f>
        <v>192510.46799999999</v>
      </c>
      <c r="M16" s="1103">
        <f>VLOOKUP(M$1,'cost per tipologia de sòl'!$A$2:$D$37,4,FALSE)*'T100'!M16</f>
        <v>0</v>
      </c>
      <c r="N16" s="1103">
        <f>VLOOKUP(N$1,'cost per tipologia de sòl'!$A$2:$D$37,4,FALSE)*'T100'!N16</f>
        <v>0</v>
      </c>
      <c r="O16" s="1103">
        <f>VLOOKUP(O$1,'cost per tipologia de sòl'!$A$2:$D$37,4,FALSE)*'T100'!O16</f>
        <v>0</v>
      </c>
      <c r="P16" s="1103">
        <f>VLOOKUP(P$1,'cost per tipologia de sòl'!$A$2:$D$37,4,FALSE)*'T100'!P16</f>
        <v>0</v>
      </c>
      <c r="Q16" s="1103">
        <f>VLOOKUP(Q$1,'cost per tipologia de sòl'!$A$2:$D$37,4,FALSE)*'T100'!Q16</f>
        <v>0</v>
      </c>
      <c r="R16" s="1103">
        <f>VLOOKUP(R$1,'cost per tipologia de sòl'!$A$2:$D$37,4,FALSE)*'T100'!R16</f>
        <v>0</v>
      </c>
      <c r="S16" s="1103">
        <f>VLOOKUP(S$1,'cost per tipologia de sòl'!$A$2:$D$37,4,FALSE)*'T100'!S16</f>
        <v>0</v>
      </c>
      <c r="T16" s="1103">
        <f>VLOOKUP(T$1,'cost per tipologia de sòl'!$A$2:$D$37,4,FALSE)*'T100'!T16</f>
        <v>313705.886</v>
      </c>
      <c r="U16" s="1103">
        <f>VLOOKUP(U$1,'cost per tipologia de sòl'!$A$2:$D$37,4,FALSE)*'T100'!U16</f>
        <v>0</v>
      </c>
      <c r="V16" s="1103">
        <f>VLOOKUP(V$1,'cost per tipologia de sòl'!$A$2:$D$37,4,FALSE)*'T100'!V16</f>
        <v>0</v>
      </c>
      <c r="W16" s="1103">
        <f>VLOOKUP(W$1,'cost per tipologia de sòl'!$A$2:$D$37,4,FALSE)*'T100'!W16</f>
        <v>0</v>
      </c>
      <c r="X16" s="1103">
        <f>VLOOKUP(X$1,'cost per tipologia de sòl'!$A$2:$D$37,4,FALSE)*'T100'!X16</f>
        <v>0</v>
      </c>
      <c r="Y16" s="1103">
        <f>VLOOKUP(Y$1,'cost per tipologia de sòl'!$A$2:$D$37,4,FALSE)*'T100'!Y16</f>
        <v>0</v>
      </c>
      <c r="Z16" s="1103">
        <f>VLOOKUP(Z$1,'cost per tipologia de sòl'!$A$2:$D$37,4,FALSE)*'T100'!Z16</f>
        <v>0</v>
      </c>
      <c r="AA16" s="1103">
        <f>VLOOKUP(AA$1,'cost per tipologia de sòl'!$A$2:$D$37,4,FALSE)*'T100'!AA16</f>
        <v>973324.39999999991</v>
      </c>
      <c r="AB16" s="1103">
        <f>VLOOKUP(AB$1,'cost per tipologia de sòl'!$A$2:$D$37,4,FALSE)*'T100'!AB16</f>
        <v>440919.7</v>
      </c>
      <c r="AC16" s="1103">
        <f>VLOOKUP(AC$1,'cost per tipologia de sòl'!$A$2:$D$37,4,FALSE)*'T100'!AC16</f>
        <v>0</v>
      </c>
      <c r="AD16" s="1103">
        <f>VLOOKUP(AD$1,'cost per tipologia de sòl'!$A$2:$D$37,4,FALSE)*'T100'!AD16</f>
        <v>1155878.3</v>
      </c>
      <c r="AE16" s="1103">
        <f>VLOOKUP(AE$1,'cost per tipologia de sòl'!$A$2:$D$37,4,FALSE)*'T100'!AE16</f>
        <v>0</v>
      </c>
      <c r="AF16" s="1103">
        <f>VLOOKUP(AF$1,'cost per tipologia de sòl'!$A$2:$D$37,4,FALSE)*'T100'!AF16</f>
        <v>0</v>
      </c>
      <c r="AG16" s="1103">
        <f>VLOOKUP(AG$1,'cost per tipologia de sòl'!$A$2:$D$37,4,FALSE)*'T100'!AG16</f>
        <v>0</v>
      </c>
      <c r="AH16" s="1103">
        <f>VLOOKUP(AH$1,'cost per tipologia de sòl'!$A$2:$D$37,4,FALSE)*'T100'!AH16</f>
        <v>0</v>
      </c>
      <c r="AI16" s="1103">
        <f>VLOOKUP(AI$1,'cost per tipologia de sòl'!$A$2:$D$37,4,FALSE)*'T100'!AI16</f>
        <v>0</v>
      </c>
      <c r="AJ16" s="1103">
        <f t="shared" si="0"/>
        <v>7979969.3479999993</v>
      </c>
      <c r="AK16" s="1117">
        <f t="shared" si="1"/>
        <v>2.3939908043999996</v>
      </c>
    </row>
    <row r="17" spans="1:37">
      <c r="A17" s="1096" t="s">
        <v>336</v>
      </c>
      <c r="B17" s="1103">
        <f>VLOOKUP(B$1,'cost per tipologia de sòl'!$A$2:$D$37,4,FALSE)*'T100'!B17</f>
        <v>39331791.522</v>
      </c>
      <c r="C17" s="1103">
        <f>VLOOKUP(C$1,'cost per tipologia de sòl'!$A$2:$D$37,4,FALSE)*'T100'!C17</f>
        <v>73705010.763999999</v>
      </c>
      <c r="D17" s="1103">
        <f>VLOOKUP(D$1,'cost per tipologia de sòl'!$A$2:$D$37,4,FALSE)*'T100'!D17</f>
        <v>0</v>
      </c>
      <c r="E17" s="1103">
        <f>VLOOKUP(E$1,'cost per tipologia de sòl'!$A$2:$D$37,4,FALSE)*'T100'!E17</f>
        <v>0</v>
      </c>
      <c r="F17" s="1103">
        <f>VLOOKUP(F$1,'cost per tipologia de sòl'!$A$2:$D$37,4,FALSE)*'T100'!F17</f>
        <v>0</v>
      </c>
      <c r="G17" s="1103">
        <f>VLOOKUP(G$1,'cost per tipologia de sòl'!$A$2:$D$37,4,FALSE)*'T100'!G17</f>
        <v>0</v>
      </c>
      <c r="H17" s="1103">
        <f>VLOOKUP(H$1,'cost per tipologia de sòl'!$A$2:$D$37,4,FALSE)*'T100'!H17</f>
        <v>0</v>
      </c>
      <c r="I17" s="1103">
        <f>VLOOKUP(I$1,'cost per tipologia de sòl'!$A$2:$D$37,4,FALSE)*'T100'!I17</f>
        <v>0</v>
      </c>
      <c r="J17" s="1103">
        <f>VLOOKUP(J$1,'cost per tipologia de sòl'!$A$2:$D$37,4,FALSE)*'T100'!J17</f>
        <v>1195095.44</v>
      </c>
      <c r="K17" s="1103">
        <f>VLOOKUP(K$1,'cost per tipologia de sòl'!$A$2:$D$37,4,FALSE)*'T100'!K17</f>
        <v>0</v>
      </c>
      <c r="L17" s="1103">
        <f>VLOOKUP(L$1,'cost per tipologia de sòl'!$A$2:$D$37,4,FALSE)*'T100'!L17</f>
        <v>0</v>
      </c>
      <c r="M17" s="1103">
        <f>VLOOKUP(M$1,'cost per tipologia de sòl'!$A$2:$D$37,4,FALSE)*'T100'!M17</f>
        <v>0</v>
      </c>
      <c r="N17" s="1103">
        <f>VLOOKUP(N$1,'cost per tipologia de sòl'!$A$2:$D$37,4,FALSE)*'T100'!N17</f>
        <v>0</v>
      </c>
      <c r="O17" s="1103">
        <f>VLOOKUP(O$1,'cost per tipologia de sòl'!$A$2:$D$37,4,FALSE)*'T100'!O17</f>
        <v>0</v>
      </c>
      <c r="P17" s="1103">
        <f>VLOOKUP(P$1,'cost per tipologia de sòl'!$A$2:$D$37,4,FALSE)*'T100'!P17</f>
        <v>0</v>
      </c>
      <c r="Q17" s="1103">
        <f>VLOOKUP(Q$1,'cost per tipologia de sòl'!$A$2:$D$37,4,FALSE)*'T100'!Q17</f>
        <v>0</v>
      </c>
      <c r="R17" s="1103">
        <f>VLOOKUP(R$1,'cost per tipologia de sòl'!$A$2:$D$37,4,FALSE)*'T100'!R17</f>
        <v>0</v>
      </c>
      <c r="S17" s="1103">
        <f>VLOOKUP(S$1,'cost per tipologia de sòl'!$A$2:$D$37,4,FALSE)*'T100'!S17</f>
        <v>1911560.112</v>
      </c>
      <c r="T17" s="1103">
        <f>VLOOKUP(T$1,'cost per tipologia de sòl'!$A$2:$D$37,4,FALSE)*'T100'!T17</f>
        <v>2515604.574</v>
      </c>
      <c r="U17" s="1103">
        <f>VLOOKUP(U$1,'cost per tipologia de sòl'!$A$2:$D$37,4,FALSE)*'T100'!U17</f>
        <v>6626967.9000000004</v>
      </c>
      <c r="V17" s="1103">
        <f>VLOOKUP(V$1,'cost per tipologia de sòl'!$A$2:$D$37,4,FALSE)*'T100'!V17</f>
        <v>0</v>
      </c>
      <c r="W17" s="1103">
        <f>VLOOKUP(W$1,'cost per tipologia de sòl'!$A$2:$D$37,4,FALSE)*'T100'!W17</f>
        <v>0</v>
      </c>
      <c r="X17" s="1103">
        <f>VLOOKUP(X$1,'cost per tipologia de sòl'!$A$2:$D$37,4,FALSE)*'T100'!X17</f>
        <v>0</v>
      </c>
      <c r="Y17" s="1103">
        <f>VLOOKUP(Y$1,'cost per tipologia de sòl'!$A$2:$D$37,4,FALSE)*'T100'!Y17</f>
        <v>0</v>
      </c>
      <c r="Z17" s="1103">
        <f>VLOOKUP(Z$1,'cost per tipologia de sòl'!$A$2:$D$37,4,FALSE)*'T100'!Z17</f>
        <v>1635953.88</v>
      </c>
      <c r="AA17" s="1103">
        <f>VLOOKUP(AA$1,'cost per tipologia de sòl'!$A$2:$D$37,4,FALSE)*'T100'!AA17</f>
        <v>0</v>
      </c>
      <c r="AB17" s="1103">
        <f>VLOOKUP(AB$1,'cost per tipologia de sòl'!$A$2:$D$37,4,FALSE)*'T100'!AB17</f>
        <v>7583929.7999999998</v>
      </c>
      <c r="AC17" s="1103">
        <f>VLOOKUP(AC$1,'cost per tipologia de sòl'!$A$2:$D$37,4,FALSE)*'T100'!AC17</f>
        <v>18608710.199999999</v>
      </c>
      <c r="AD17" s="1103">
        <f>VLOOKUP(AD$1,'cost per tipologia de sòl'!$A$2:$D$37,4,FALSE)*'T100'!AD17</f>
        <v>19277023.799999997</v>
      </c>
      <c r="AE17" s="1103">
        <f>VLOOKUP(AE$1,'cost per tipologia de sòl'!$A$2:$D$37,4,FALSE)*'T100'!AE17</f>
        <v>0</v>
      </c>
      <c r="AF17" s="1103">
        <f>VLOOKUP(AF$1,'cost per tipologia de sòl'!$A$2:$D$37,4,FALSE)*'T100'!AF17</f>
        <v>0</v>
      </c>
      <c r="AG17" s="1103">
        <f>VLOOKUP(AG$1,'cost per tipologia de sòl'!$A$2:$D$37,4,FALSE)*'T100'!AG17</f>
        <v>0</v>
      </c>
      <c r="AH17" s="1103">
        <f>VLOOKUP(AH$1,'cost per tipologia de sòl'!$A$2:$D$37,4,FALSE)*'T100'!AH17</f>
        <v>0</v>
      </c>
      <c r="AI17" s="1103">
        <f>VLOOKUP(AI$1,'cost per tipologia de sòl'!$A$2:$D$37,4,FALSE)*'T100'!AI17</f>
        <v>0</v>
      </c>
      <c r="AJ17" s="1103">
        <f t="shared" si="0"/>
        <v>172391647.99199998</v>
      </c>
      <c r="AK17" s="1117">
        <f t="shared" si="1"/>
        <v>51.717494397599992</v>
      </c>
    </row>
    <row r="18" spans="1:37">
      <c r="A18" s="1096" t="s">
        <v>875</v>
      </c>
      <c r="B18" s="1103">
        <f>VLOOKUP(B$1,'cost per tipologia de sòl'!$A$2:$D$37,4,FALSE)*'T100'!B18</f>
        <v>0</v>
      </c>
      <c r="C18" s="1103">
        <f>VLOOKUP(C$1,'cost per tipologia de sòl'!$A$2:$D$37,4,FALSE)*'T100'!C18</f>
        <v>0</v>
      </c>
      <c r="D18" s="1103">
        <f>VLOOKUP(D$1,'cost per tipologia de sòl'!$A$2:$D$37,4,FALSE)*'T100'!D18</f>
        <v>0</v>
      </c>
      <c r="E18" s="1103">
        <f>VLOOKUP(E$1,'cost per tipologia de sòl'!$A$2:$D$37,4,FALSE)*'T100'!E18</f>
        <v>0</v>
      </c>
      <c r="F18" s="1103">
        <f>VLOOKUP(F$1,'cost per tipologia de sòl'!$A$2:$D$37,4,FALSE)*'T100'!F18</f>
        <v>0</v>
      </c>
      <c r="G18" s="1103">
        <f>VLOOKUP(G$1,'cost per tipologia de sòl'!$A$2:$D$37,4,FALSE)*'T100'!G18</f>
        <v>0</v>
      </c>
      <c r="H18" s="1103">
        <f>VLOOKUP(H$1,'cost per tipologia de sòl'!$A$2:$D$37,4,FALSE)*'T100'!H18</f>
        <v>0</v>
      </c>
      <c r="I18" s="1103">
        <f>VLOOKUP(I$1,'cost per tipologia de sòl'!$A$2:$D$37,4,FALSE)*'T100'!I18</f>
        <v>0</v>
      </c>
      <c r="J18" s="1103">
        <f>VLOOKUP(J$1,'cost per tipologia de sòl'!$A$2:$D$37,4,FALSE)*'T100'!J18</f>
        <v>0</v>
      </c>
      <c r="K18" s="1103">
        <f>VLOOKUP(K$1,'cost per tipologia de sòl'!$A$2:$D$37,4,FALSE)*'T100'!K18</f>
        <v>0</v>
      </c>
      <c r="L18" s="1103">
        <f>VLOOKUP(L$1,'cost per tipologia de sòl'!$A$2:$D$37,4,FALSE)*'T100'!L18</f>
        <v>0</v>
      </c>
      <c r="M18" s="1103">
        <f>VLOOKUP(M$1,'cost per tipologia de sòl'!$A$2:$D$37,4,FALSE)*'T100'!M18</f>
        <v>0</v>
      </c>
      <c r="N18" s="1103">
        <f>VLOOKUP(N$1,'cost per tipologia de sòl'!$A$2:$D$37,4,FALSE)*'T100'!N18</f>
        <v>0</v>
      </c>
      <c r="O18" s="1103">
        <f>VLOOKUP(O$1,'cost per tipologia de sòl'!$A$2:$D$37,4,FALSE)*'T100'!O18</f>
        <v>0</v>
      </c>
      <c r="P18" s="1103">
        <f>VLOOKUP(P$1,'cost per tipologia de sòl'!$A$2:$D$37,4,FALSE)*'T100'!P18</f>
        <v>0</v>
      </c>
      <c r="Q18" s="1103">
        <f>VLOOKUP(Q$1,'cost per tipologia de sòl'!$A$2:$D$37,4,FALSE)*'T100'!Q18</f>
        <v>0</v>
      </c>
      <c r="R18" s="1103">
        <f>VLOOKUP(R$1,'cost per tipologia de sòl'!$A$2:$D$37,4,FALSE)*'T100'!R18</f>
        <v>0</v>
      </c>
      <c r="S18" s="1103">
        <f>VLOOKUP(S$1,'cost per tipologia de sòl'!$A$2:$D$37,4,FALSE)*'T100'!S18</f>
        <v>0</v>
      </c>
      <c r="T18" s="1103">
        <f>VLOOKUP(T$1,'cost per tipologia de sòl'!$A$2:$D$37,4,FALSE)*'T100'!T18</f>
        <v>0</v>
      </c>
      <c r="U18" s="1103">
        <f>VLOOKUP(U$1,'cost per tipologia de sòl'!$A$2:$D$37,4,FALSE)*'T100'!U18</f>
        <v>0</v>
      </c>
      <c r="V18" s="1103">
        <f>VLOOKUP(V$1,'cost per tipologia de sòl'!$A$2:$D$37,4,FALSE)*'T100'!V18</f>
        <v>0</v>
      </c>
      <c r="W18" s="1103">
        <f>VLOOKUP(W$1,'cost per tipologia de sòl'!$A$2:$D$37,4,FALSE)*'T100'!W18</f>
        <v>0</v>
      </c>
      <c r="X18" s="1103">
        <f>VLOOKUP(X$1,'cost per tipologia de sòl'!$A$2:$D$37,4,FALSE)*'T100'!X18</f>
        <v>0</v>
      </c>
      <c r="Y18" s="1103">
        <f>VLOOKUP(Y$1,'cost per tipologia de sòl'!$A$2:$D$37,4,FALSE)*'T100'!Y18</f>
        <v>0</v>
      </c>
      <c r="Z18" s="1103">
        <f>VLOOKUP(Z$1,'cost per tipologia de sòl'!$A$2:$D$37,4,FALSE)*'T100'!Z18</f>
        <v>0</v>
      </c>
      <c r="AA18" s="1103">
        <f>VLOOKUP(AA$1,'cost per tipologia de sòl'!$A$2:$D$37,4,FALSE)*'T100'!AA18</f>
        <v>0</v>
      </c>
      <c r="AB18" s="1103">
        <f>VLOOKUP(AB$1,'cost per tipologia de sòl'!$A$2:$D$37,4,FALSE)*'T100'!AB18</f>
        <v>0</v>
      </c>
      <c r="AC18" s="1103">
        <f>VLOOKUP(AC$1,'cost per tipologia de sòl'!$A$2:$D$37,4,FALSE)*'T100'!AC18</f>
        <v>0</v>
      </c>
      <c r="AD18" s="1103">
        <f>VLOOKUP(AD$1,'cost per tipologia de sòl'!$A$2:$D$37,4,FALSE)*'T100'!AD18</f>
        <v>0</v>
      </c>
      <c r="AE18" s="1103">
        <f>VLOOKUP(AE$1,'cost per tipologia de sòl'!$A$2:$D$37,4,FALSE)*'T100'!AE18</f>
        <v>0</v>
      </c>
      <c r="AF18" s="1103">
        <f>VLOOKUP(AF$1,'cost per tipologia de sòl'!$A$2:$D$37,4,FALSE)*'T100'!AF18</f>
        <v>0</v>
      </c>
      <c r="AG18" s="1103">
        <f>VLOOKUP(AG$1,'cost per tipologia de sòl'!$A$2:$D$37,4,FALSE)*'T100'!AG18</f>
        <v>0</v>
      </c>
      <c r="AH18" s="1103">
        <f>VLOOKUP(AH$1,'cost per tipologia de sòl'!$A$2:$D$37,4,FALSE)*'T100'!AH18</f>
        <v>0</v>
      </c>
      <c r="AI18" s="1103">
        <f>VLOOKUP(AI$1,'cost per tipologia de sòl'!$A$2:$D$37,4,FALSE)*'T100'!AI18</f>
        <v>0</v>
      </c>
      <c r="AJ18" s="1103">
        <f t="shared" si="0"/>
        <v>0</v>
      </c>
      <c r="AK18" s="1117">
        <f t="shared" si="1"/>
        <v>0</v>
      </c>
    </row>
    <row r="19" spans="1:37">
      <c r="A19" s="1096" t="s">
        <v>867</v>
      </c>
      <c r="B19" s="1103">
        <f>VLOOKUP(B$1,'cost per tipologia de sòl'!$A$2:$D$37,4,FALSE)*'T100'!B19</f>
        <v>2857205.1960000005</v>
      </c>
      <c r="C19" s="1103">
        <f>VLOOKUP(C$1,'cost per tipologia de sòl'!$A$2:$D$37,4,FALSE)*'T100'!C19</f>
        <v>0</v>
      </c>
      <c r="D19" s="1103">
        <f>VLOOKUP(D$1,'cost per tipologia de sòl'!$A$2:$D$37,4,FALSE)*'T100'!D19</f>
        <v>0</v>
      </c>
      <c r="E19" s="1103">
        <f>VLOOKUP(E$1,'cost per tipologia de sòl'!$A$2:$D$37,4,FALSE)*'T100'!E19</f>
        <v>0</v>
      </c>
      <c r="F19" s="1103">
        <f>VLOOKUP(F$1,'cost per tipologia de sòl'!$A$2:$D$37,4,FALSE)*'T100'!F19</f>
        <v>0</v>
      </c>
      <c r="G19" s="1103">
        <f>VLOOKUP(G$1,'cost per tipologia de sòl'!$A$2:$D$37,4,FALSE)*'T100'!G19</f>
        <v>0</v>
      </c>
      <c r="H19" s="1103">
        <f>VLOOKUP(H$1,'cost per tipologia de sòl'!$A$2:$D$37,4,FALSE)*'T100'!H19</f>
        <v>0</v>
      </c>
      <c r="I19" s="1103">
        <f>VLOOKUP(I$1,'cost per tipologia de sòl'!$A$2:$D$37,4,FALSE)*'T100'!I19</f>
        <v>0</v>
      </c>
      <c r="J19" s="1103">
        <f>VLOOKUP(J$1,'cost per tipologia de sòl'!$A$2:$D$37,4,FALSE)*'T100'!J19</f>
        <v>0</v>
      </c>
      <c r="K19" s="1103">
        <f>VLOOKUP(K$1,'cost per tipologia de sòl'!$A$2:$D$37,4,FALSE)*'T100'!K19</f>
        <v>0</v>
      </c>
      <c r="L19" s="1103">
        <f>VLOOKUP(L$1,'cost per tipologia de sòl'!$A$2:$D$37,4,FALSE)*'T100'!L19</f>
        <v>0</v>
      </c>
      <c r="M19" s="1103">
        <f>VLOOKUP(M$1,'cost per tipologia de sòl'!$A$2:$D$37,4,FALSE)*'T100'!M19</f>
        <v>0</v>
      </c>
      <c r="N19" s="1103">
        <f>VLOOKUP(N$1,'cost per tipologia de sòl'!$A$2:$D$37,4,FALSE)*'T100'!N19</f>
        <v>0</v>
      </c>
      <c r="O19" s="1103">
        <f>VLOOKUP(O$1,'cost per tipologia de sòl'!$A$2:$D$37,4,FALSE)*'T100'!O19</f>
        <v>0</v>
      </c>
      <c r="P19" s="1103">
        <f>VLOOKUP(P$1,'cost per tipologia de sòl'!$A$2:$D$37,4,FALSE)*'T100'!P19</f>
        <v>0</v>
      </c>
      <c r="Q19" s="1103">
        <f>VLOOKUP(Q$1,'cost per tipologia de sòl'!$A$2:$D$37,4,FALSE)*'T100'!Q19</f>
        <v>0</v>
      </c>
      <c r="R19" s="1103">
        <f>VLOOKUP(R$1,'cost per tipologia de sòl'!$A$2:$D$37,4,FALSE)*'T100'!R19</f>
        <v>0</v>
      </c>
      <c r="S19" s="1103">
        <f>VLOOKUP(S$1,'cost per tipologia de sòl'!$A$2:$D$37,4,FALSE)*'T100'!S19</f>
        <v>406113.12</v>
      </c>
      <c r="T19" s="1103">
        <f>VLOOKUP(T$1,'cost per tipologia de sòl'!$A$2:$D$37,4,FALSE)*'T100'!T19</f>
        <v>661643.55799999996</v>
      </c>
      <c r="U19" s="1103">
        <f>VLOOKUP(U$1,'cost per tipologia de sòl'!$A$2:$D$37,4,FALSE)*'T100'!U19</f>
        <v>0</v>
      </c>
      <c r="V19" s="1103">
        <f>VLOOKUP(V$1,'cost per tipologia de sòl'!$A$2:$D$37,4,FALSE)*'T100'!V19</f>
        <v>0</v>
      </c>
      <c r="W19" s="1103">
        <f>VLOOKUP(W$1,'cost per tipologia de sòl'!$A$2:$D$37,4,FALSE)*'T100'!W19</f>
        <v>0</v>
      </c>
      <c r="X19" s="1103">
        <f>VLOOKUP(X$1,'cost per tipologia de sòl'!$A$2:$D$37,4,FALSE)*'T100'!X19</f>
        <v>0</v>
      </c>
      <c r="Y19" s="1103">
        <f>VLOOKUP(Y$1,'cost per tipologia de sòl'!$A$2:$D$37,4,FALSE)*'T100'!Y19</f>
        <v>0</v>
      </c>
      <c r="Z19" s="1103">
        <f>VLOOKUP(Z$1,'cost per tipologia de sòl'!$A$2:$D$37,4,FALSE)*'T100'!Z19</f>
        <v>0</v>
      </c>
      <c r="AA19" s="1103">
        <f>VLOOKUP(AA$1,'cost per tipologia de sòl'!$A$2:$D$37,4,FALSE)*'T100'!AA19</f>
        <v>0</v>
      </c>
      <c r="AB19" s="1103">
        <f>VLOOKUP(AB$1,'cost per tipologia de sòl'!$A$2:$D$37,4,FALSE)*'T100'!AB19</f>
        <v>915939.65</v>
      </c>
      <c r="AC19" s="1103">
        <f>VLOOKUP(AC$1,'cost per tipologia de sòl'!$A$2:$D$37,4,FALSE)*'T100'!AC19</f>
        <v>273900.2</v>
      </c>
      <c r="AD19" s="1103">
        <f>VLOOKUP(AD$1,'cost per tipologia de sòl'!$A$2:$D$37,4,FALSE)*'T100'!AD19</f>
        <v>548620.25</v>
      </c>
      <c r="AE19" s="1103">
        <f>VLOOKUP(AE$1,'cost per tipologia de sòl'!$A$2:$D$37,4,FALSE)*'T100'!AE19</f>
        <v>0</v>
      </c>
      <c r="AF19" s="1103">
        <f>VLOOKUP(AF$1,'cost per tipologia de sòl'!$A$2:$D$37,4,FALSE)*'T100'!AF19</f>
        <v>0</v>
      </c>
      <c r="AG19" s="1103">
        <f>VLOOKUP(AG$1,'cost per tipologia de sòl'!$A$2:$D$37,4,FALSE)*'T100'!AG19</f>
        <v>0</v>
      </c>
      <c r="AH19" s="1103">
        <f>VLOOKUP(AH$1,'cost per tipologia de sòl'!$A$2:$D$37,4,FALSE)*'T100'!AH19</f>
        <v>0</v>
      </c>
      <c r="AI19" s="1103">
        <f>VLOOKUP(AI$1,'cost per tipologia de sòl'!$A$2:$D$37,4,FALSE)*'T100'!AI19</f>
        <v>0</v>
      </c>
      <c r="AJ19" s="1103">
        <f t="shared" si="0"/>
        <v>5663421.9740000013</v>
      </c>
      <c r="AK19" s="1117">
        <f t="shared" si="1"/>
        <v>1.6990265922000003</v>
      </c>
    </row>
    <row r="20" spans="1:37">
      <c r="A20" s="1096" t="s">
        <v>890</v>
      </c>
      <c r="B20" s="1103">
        <f>VLOOKUP(B$1,'cost per tipologia de sòl'!$A$2:$D$37,4,FALSE)*'T100'!B20</f>
        <v>16130418.029999999</v>
      </c>
      <c r="C20" s="1103">
        <f>VLOOKUP(C$1,'cost per tipologia de sòl'!$A$2:$D$37,4,FALSE)*'T100'!C20</f>
        <v>0</v>
      </c>
      <c r="D20" s="1103">
        <f>VLOOKUP(D$1,'cost per tipologia de sòl'!$A$2:$D$37,4,FALSE)*'T100'!D20</f>
        <v>0</v>
      </c>
      <c r="E20" s="1103">
        <f>VLOOKUP(E$1,'cost per tipologia de sòl'!$A$2:$D$37,4,FALSE)*'T100'!E20</f>
        <v>0</v>
      </c>
      <c r="F20" s="1103">
        <f>VLOOKUP(F$1,'cost per tipologia de sòl'!$A$2:$D$37,4,FALSE)*'T100'!F20</f>
        <v>0</v>
      </c>
      <c r="G20" s="1103">
        <f>VLOOKUP(G$1,'cost per tipologia de sòl'!$A$2:$D$37,4,FALSE)*'T100'!G20</f>
        <v>0</v>
      </c>
      <c r="H20" s="1103">
        <f>VLOOKUP(H$1,'cost per tipologia de sòl'!$A$2:$D$37,4,FALSE)*'T100'!H20</f>
        <v>0</v>
      </c>
      <c r="I20" s="1103">
        <f>VLOOKUP(I$1,'cost per tipologia de sòl'!$A$2:$D$37,4,FALSE)*'T100'!I20</f>
        <v>0</v>
      </c>
      <c r="J20" s="1103">
        <f>VLOOKUP(J$1,'cost per tipologia de sòl'!$A$2:$D$37,4,FALSE)*'T100'!J20</f>
        <v>2001.4170000000001</v>
      </c>
      <c r="K20" s="1103">
        <f>VLOOKUP(K$1,'cost per tipologia de sòl'!$A$2:$D$37,4,FALSE)*'T100'!K20</f>
        <v>0</v>
      </c>
      <c r="L20" s="1103">
        <f>VLOOKUP(L$1,'cost per tipologia de sòl'!$A$2:$D$37,4,FALSE)*'T100'!L20</f>
        <v>0</v>
      </c>
      <c r="M20" s="1103">
        <f>VLOOKUP(M$1,'cost per tipologia de sòl'!$A$2:$D$37,4,FALSE)*'T100'!M20</f>
        <v>87839.679999999993</v>
      </c>
      <c r="N20" s="1103">
        <f>VLOOKUP(N$1,'cost per tipologia de sòl'!$A$2:$D$37,4,FALSE)*'T100'!N20</f>
        <v>0</v>
      </c>
      <c r="O20" s="1103">
        <f>VLOOKUP(O$1,'cost per tipologia de sòl'!$A$2:$D$37,4,FALSE)*'T100'!O20</f>
        <v>0</v>
      </c>
      <c r="P20" s="1103">
        <f>VLOOKUP(P$1,'cost per tipologia de sòl'!$A$2:$D$37,4,FALSE)*'T100'!P20</f>
        <v>0</v>
      </c>
      <c r="Q20" s="1103">
        <f>VLOOKUP(Q$1,'cost per tipologia de sòl'!$A$2:$D$37,4,FALSE)*'T100'!Q20</f>
        <v>0</v>
      </c>
      <c r="R20" s="1103">
        <f>VLOOKUP(R$1,'cost per tipologia de sòl'!$A$2:$D$37,4,FALSE)*'T100'!R20</f>
        <v>0</v>
      </c>
      <c r="S20" s="1103">
        <f>VLOOKUP(S$1,'cost per tipologia de sòl'!$A$2:$D$37,4,FALSE)*'T100'!S20</f>
        <v>4017379.9679999999</v>
      </c>
      <c r="T20" s="1103">
        <f>VLOOKUP(T$1,'cost per tipologia de sòl'!$A$2:$D$37,4,FALSE)*'T100'!T20</f>
        <v>22699596.460999966</v>
      </c>
      <c r="U20" s="1103">
        <f>VLOOKUP(U$1,'cost per tipologia de sòl'!$A$2:$D$37,4,FALSE)*'T100'!U20</f>
        <v>0</v>
      </c>
      <c r="V20" s="1103">
        <f>VLOOKUP(V$1,'cost per tipologia de sòl'!$A$2:$D$37,4,FALSE)*'T100'!V20</f>
        <v>0</v>
      </c>
      <c r="W20" s="1103">
        <f>VLOOKUP(W$1,'cost per tipologia de sòl'!$A$2:$D$37,4,FALSE)*'T100'!W20</f>
        <v>0</v>
      </c>
      <c r="X20" s="1103">
        <f>VLOOKUP(X$1,'cost per tipologia de sòl'!$A$2:$D$37,4,FALSE)*'T100'!X20</f>
        <v>0</v>
      </c>
      <c r="Y20" s="1103">
        <f>VLOOKUP(Y$1,'cost per tipologia de sòl'!$A$2:$D$37,4,FALSE)*'T100'!Y20</f>
        <v>0</v>
      </c>
      <c r="Z20" s="1103">
        <f>VLOOKUP(Z$1,'cost per tipologia de sòl'!$A$2:$D$37,4,FALSE)*'T100'!Z20</f>
        <v>969078.91400000011</v>
      </c>
      <c r="AA20" s="1103">
        <f>VLOOKUP(AA$1,'cost per tipologia de sòl'!$A$2:$D$37,4,FALSE)*'T100'!AA20</f>
        <v>0</v>
      </c>
      <c r="AB20" s="1103">
        <f>VLOOKUP(AB$1,'cost per tipologia de sòl'!$A$2:$D$37,4,FALSE)*'T100'!AB20</f>
        <v>291694.65000000002</v>
      </c>
      <c r="AC20" s="1103">
        <f>VLOOKUP(AC$1,'cost per tipologia de sòl'!$A$2:$D$37,4,FALSE)*'T100'!AC20</f>
        <v>3525546.9</v>
      </c>
      <c r="AD20" s="1103">
        <f>VLOOKUP(AD$1,'cost per tipologia de sòl'!$A$2:$D$37,4,FALSE)*'T100'!AD20</f>
        <v>587215.9</v>
      </c>
      <c r="AE20" s="1103">
        <f>VLOOKUP(AE$1,'cost per tipologia de sòl'!$A$2:$D$37,4,FALSE)*'T100'!AE20</f>
        <v>0</v>
      </c>
      <c r="AF20" s="1103">
        <f>VLOOKUP(AF$1,'cost per tipologia de sòl'!$A$2:$D$37,4,FALSE)*'T100'!AF20</f>
        <v>0</v>
      </c>
      <c r="AG20" s="1103">
        <f>VLOOKUP(AG$1,'cost per tipologia de sòl'!$A$2:$D$37,4,FALSE)*'T100'!AG20</f>
        <v>0</v>
      </c>
      <c r="AH20" s="1103">
        <f>VLOOKUP(AH$1,'cost per tipologia de sòl'!$A$2:$D$37,4,FALSE)*'T100'!AH20</f>
        <v>0</v>
      </c>
      <c r="AI20" s="1103">
        <f>VLOOKUP(AI$1,'cost per tipologia de sòl'!$A$2:$D$37,4,FALSE)*'T100'!AI20</f>
        <v>0</v>
      </c>
      <c r="AJ20" s="1103">
        <f t="shared" si="0"/>
        <v>48310771.919999957</v>
      </c>
      <c r="AK20" s="1117">
        <f t="shared" si="1"/>
        <v>14.493231575999987</v>
      </c>
    </row>
    <row r="21" spans="1:37">
      <c r="A21" s="1096" t="s">
        <v>900</v>
      </c>
      <c r="B21" s="1103">
        <f>VLOOKUP(B$1,'cost per tipologia de sòl'!$A$2:$D$37,4,FALSE)*'T100'!B21</f>
        <v>73589776.974000007</v>
      </c>
      <c r="C21" s="1103">
        <f>VLOOKUP(C$1,'cost per tipologia de sòl'!$A$2:$D$37,4,FALSE)*'T100'!C21</f>
        <v>0</v>
      </c>
      <c r="D21" s="1103">
        <f>VLOOKUP(D$1,'cost per tipologia de sòl'!$A$2:$D$37,4,FALSE)*'T100'!D21</f>
        <v>0</v>
      </c>
      <c r="E21" s="1103">
        <f>VLOOKUP(E$1,'cost per tipologia de sòl'!$A$2:$D$37,4,FALSE)*'T100'!E21</f>
        <v>0</v>
      </c>
      <c r="F21" s="1103">
        <f>VLOOKUP(F$1,'cost per tipologia de sòl'!$A$2:$D$37,4,FALSE)*'T100'!F21</f>
        <v>0</v>
      </c>
      <c r="G21" s="1103">
        <f>VLOOKUP(G$1,'cost per tipologia de sòl'!$A$2:$D$37,4,FALSE)*'T100'!G21</f>
        <v>0</v>
      </c>
      <c r="H21" s="1103">
        <f>VLOOKUP(H$1,'cost per tipologia de sòl'!$A$2:$D$37,4,FALSE)*'T100'!H21</f>
        <v>0</v>
      </c>
      <c r="I21" s="1103">
        <f>VLOOKUP(I$1,'cost per tipologia de sòl'!$A$2:$D$37,4,FALSE)*'T100'!I21</f>
        <v>0</v>
      </c>
      <c r="J21" s="1103">
        <f>VLOOKUP(J$1,'cost per tipologia de sòl'!$A$2:$D$37,4,FALSE)*'T100'!J21</f>
        <v>434539.72099999996</v>
      </c>
      <c r="K21" s="1103">
        <f>VLOOKUP(K$1,'cost per tipologia de sòl'!$A$2:$D$37,4,FALSE)*'T100'!K21</f>
        <v>494735.40900000004</v>
      </c>
      <c r="L21" s="1103">
        <f>VLOOKUP(L$1,'cost per tipologia de sòl'!$A$2:$D$37,4,FALSE)*'T100'!L21</f>
        <v>0</v>
      </c>
      <c r="M21" s="1103">
        <f>VLOOKUP(M$1,'cost per tipologia de sòl'!$A$2:$D$37,4,FALSE)*'T100'!M21</f>
        <v>0</v>
      </c>
      <c r="N21" s="1103">
        <f>VLOOKUP(N$1,'cost per tipologia de sòl'!$A$2:$D$37,4,FALSE)*'T100'!N21</f>
        <v>0</v>
      </c>
      <c r="O21" s="1103">
        <f>VLOOKUP(O$1,'cost per tipologia de sòl'!$A$2:$D$37,4,FALSE)*'T100'!O21</f>
        <v>16782849.296</v>
      </c>
      <c r="P21" s="1103">
        <f>VLOOKUP(P$1,'cost per tipologia de sòl'!$A$2:$D$37,4,FALSE)*'T100'!P21</f>
        <v>0</v>
      </c>
      <c r="Q21" s="1103">
        <f>VLOOKUP(Q$1,'cost per tipologia de sòl'!$A$2:$D$37,4,FALSE)*'T100'!Q21</f>
        <v>0</v>
      </c>
      <c r="R21" s="1103">
        <f>VLOOKUP(R$1,'cost per tipologia de sòl'!$A$2:$D$37,4,FALSE)*'T100'!R21</f>
        <v>0</v>
      </c>
      <c r="S21" s="1103">
        <f>VLOOKUP(S$1,'cost per tipologia de sòl'!$A$2:$D$37,4,FALSE)*'T100'!S21</f>
        <v>3076846.4159999997</v>
      </c>
      <c r="T21" s="1103">
        <f>VLOOKUP(T$1,'cost per tipologia de sòl'!$A$2:$D$37,4,FALSE)*'T100'!T21</f>
        <v>940656.64199999999</v>
      </c>
      <c r="U21" s="1103">
        <f>VLOOKUP(U$1,'cost per tipologia de sòl'!$A$2:$D$37,4,FALSE)*'T100'!U21</f>
        <v>832671</v>
      </c>
      <c r="V21" s="1103">
        <f>VLOOKUP(V$1,'cost per tipologia de sòl'!$A$2:$D$37,4,FALSE)*'T100'!V21</f>
        <v>0</v>
      </c>
      <c r="W21" s="1103">
        <f>VLOOKUP(W$1,'cost per tipologia de sòl'!$A$2:$D$37,4,FALSE)*'T100'!W21</f>
        <v>0</v>
      </c>
      <c r="X21" s="1103">
        <f>VLOOKUP(X$1,'cost per tipologia de sòl'!$A$2:$D$37,4,FALSE)*'T100'!X21</f>
        <v>0</v>
      </c>
      <c r="Y21" s="1103">
        <f>VLOOKUP(Y$1,'cost per tipologia de sòl'!$A$2:$D$37,4,FALSE)*'T100'!Y21</f>
        <v>0</v>
      </c>
      <c r="Z21" s="1103">
        <f>VLOOKUP(Z$1,'cost per tipologia de sòl'!$A$2:$D$37,4,FALSE)*'T100'!Z21</f>
        <v>0</v>
      </c>
      <c r="AA21" s="1103">
        <f>VLOOKUP(AA$1,'cost per tipologia de sòl'!$A$2:$D$37,4,FALSE)*'T100'!AA21</f>
        <v>0</v>
      </c>
      <c r="AB21" s="1103">
        <f>VLOOKUP(AB$1,'cost per tipologia de sòl'!$A$2:$D$37,4,FALSE)*'T100'!AB21</f>
        <v>0</v>
      </c>
      <c r="AC21" s="1103">
        <f>VLOOKUP(AC$1,'cost per tipologia de sòl'!$A$2:$D$37,4,FALSE)*'T100'!AC21</f>
        <v>23785426.450000003</v>
      </c>
      <c r="AD21" s="1103">
        <f>VLOOKUP(AD$1,'cost per tipologia de sòl'!$A$2:$D$37,4,FALSE)*'T100'!AD21</f>
        <v>31866594.799999997</v>
      </c>
      <c r="AE21" s="1103">
        <f>VLOOKUP(AE$1,'cost per tipologia de sòl'!$A$2:$D$37,4,FALSE)*'T100'!AE21</f>
        <v>0</v>
      </c>
      <c r="AF21" s="1103">
        <f>VLOOKUP(AF$1,'cost per tipologia de sòl'!$A$2:$D$37,4,FALSE)*'T100'!AF21</f>
        <v>0</v>
      </c>
      <c r="AG21" s="1103">
        <f>VLOOKUP(AG$1,'cost per tipologia de sòl'!$A$2:$D$37,4,FALSE)*'T100'!AG21</f>
        <v>0</v>
      </c>
      <c r="AH21" s="1103">
        <f>VLOOKUP(AH$1,'cost per tipologia de sòl'!$A$2:$D$37,4,FALSE)*'T100'!AH21</f>
        <v>0</v>
      </c>
      <c r="AI21" s="1103">
        <f>VLOOKUP(AI$1,'cost per tipologia de sòl'!$A$2:$D$37,4,FALSE)*'T100'!AI21</f>
        <v>0</v>
      </c>
      <c r="AJ21" s="1103">
        <f t="shared" si="0"/>
        <v>151804096.708</v>
      </c>
      <c r="AK21" s="1117">
        <f t="shared" si="1"/>
        <v>45.541229012399995</v>
      </c>
    </row>
    <row r="22" spans="1:37">
      <c r="A22" s="1096" t="s">
        <v>901</v>
      </c>
      <c r="B22" s="1103">
        <f>VLOOKUP(B$1,'cost per tipologia de sòl'!$A$2:$D$37,4,FALSE)*'T100'!B22</f>
        <v>0</v>
      </c>
      <c r="C22" s="1103">
        <f>VLOOKUP(C$1,'cost per tipologia de sòl'!$A$2:$D$37,4,FALSE)*'T100'!C22</f>
        <v>0</v>
      </c>
      <c r="D22" s="1103">
        <f>VLOOKUP(D$1,'cost per tipologia de sòl'!$A$2:$D$37,4,FALSE)*'T100'!D22</f>
        <v>0</v>
      </c>
      <c r="E22" s="1103">
        <f>VLOOKUP(E$1,'cost per tipologia de sòl'!$A$2:$D$37,4,FALSE)*'T100'!E22</f>
        <v>0</v>
      </c>
      <c r="F22" s="1103">
        <f>VLOOKUP(F$1,'cost per tipologia de sòl'!$A$2:$D$37,4,FALSE)*'T100'!F22</f>
        <v>0</v>
      </c>
      <c r="G22" s="1103">
        <f>VLOOKUP(G$1,'cost per tipologia de sòl'!$A$2:$D$37,4,FALSE)*'T100'!G22</f>
        <v>0</v>
      </c>
      <c r="H22" s="1103">
        <f>VLOOKUP(H$1,'cost per tipologia de sòl'!$A$2:$D$37,4,FALSE)*'T100'!H22</f>
        <v>0</v>
      </c>
      <c r="I22" s="1103">
        <f>VLOOKUP(I$1,'cost per tipologia de sòl'!$A$2:$D$37,4,FALSE)*'T100'!I22</f>
        <v>0</v>
      </c>
      <c r="J22" s="1103">
        <f>VLOOKUP(J$1,'cost per tipologia de sòl'!$A$2:$D$37,4,FALSE)*'T100'!J22</f>
        <v>0</v>
      </c>
      <c r="K22" s="1103">
        <f>VLOOKUP(K$1,'cost per tipologia de sòl'!$A$2:$D$37,4,FALSE)*'T100'!K22</f>
        <v>0</v>
      </c>
      <c r="L22" s="1103">
        <f>VLOOKUP(L$1,'cost per tipologia de sòl'!$A$2:$D$37,4,FALSE)*'T100'!L22</f>
        <v>0</v>
      </c>
      <c r="M22" s="1103">
        <f>VLOOKUP(M$1,'cost per tipologia de sòl'!$A$2:$D$37,4,FALSE)*'T100'!M22</f>
        <v>0</v>
      </c>
      <c r="N22" s="1103">
        <f>VLOOKUP(N$1,'cost per tipologia de sòl'!$A$2:$D$37,4,FALSE)*'T100'!N22</f>
        <v>0</v>
      </c>
      <c r="O22" s="1103">
        <f>VLOOKUP(O$1,'cost per tipologia de sòl'!$A$2:$D$37,4,FALSE)*'T100'!O22</f>
        <v>0</v>
      </c>
      <c r="P22" s="1103">
        <f>VLOOKUP(P$1,'cost per tipologia de sòl'!$A$2:$D$37,4,FALSE)*'T100'!P22</f>
        <v>0</v>
      </c>
      <c r="Q22" s="1103">
        <f>VLOOKUP(Q$1,'cost per tipologia de sòl'!$A$2:$D$37,4,FALSE)*'T100'!Q22</f>
        <v>0</v>
      </c>
      <c r="R22" s="1103">
        <f>VLOOKUP(R$1,'cost per tipologia de sòl'!$A$2:$D$37,4,FALSE)*'T100'!R22</f>
        <v>0</v>
      </c>
      <c r="S22" s="1103">
        <f>VLOOKUP(S$1,'cost per tipologia de sòl'!$A$2:$D$37,4,FALSE)*'T100'!S22</f>
        <v>0</v>
      </c>
      <c r="T22" s="1103">
        <f>VLOOKUP(T$1,'cost per tipologia de sòl'!$A$2:$D$37,4,FALSE)*'T100'!T22</f>
        <v>2440490.9810000001</v>
      </c>
      <c r="U22" s="1103">
        <f>VLOOKUP(U$1,'cost per tipologia de sòl'!$A$2:$D$37,4,FALSE)*'T100'!U22</f>
        <v>0</v>
      </c>
      <c r="V22" s="1103">
        <f>VLOOKUP(V$1,'cost per tipologia de sòl'!$A$2:$D$37,4,FALSE)*'T100'!V22</f>
        <v>0</v>
      </c>
      <c r="W22" s="1103">
        <f>VLOOKUP(W$1,'cost per tipologia de sòl'!$A$2:$D$37,4,FALSE)*'T100'!W22</f>
        <v>0</v>
      </c>
      <c r="X22" s="1103">
        <f>VLOOKUP(X$1,'cost per tipologia de sòl'!$A$2:$D$37,4,FALSE)*'T100'!X22</f>
        <v>0</v>
      </c>
      <c r="Y22" s="1103">
        <f>VLOOKUP(Y$1,'cost per tipologia de sòl'!$A$2:$D$37,4,FALSE)*'T100'!Y22</f>
        <v>0</v>
      </c>
      <c r="Z22" s="1103">
        <f>VLOOKUP(Z$1,'cost per tipologia de sòl'!$A$2:$D$37,4,FALSE)*'T100'!Z22</f>
        <v>3962983.4399999995</v>
      </c>
      <c r="AA22" s="1103">
        <f>VLOOKUP(AA$1,'cost per tipologia de sòl'!$A$2:$D$37,4,FALSE)*'T100'!AA22</f>
        <v>0</v>
      </c>
      <c r="AB22" s="1103">
        <f>VLOOKUP(AB$1,'cost per tipologia de sòl'!$A$2:$D$37,4,FALSE)*'T100'!AB22</f>
        <v>349968.6</v>
      </c>
      <c r="AC22" s="1103">
        <f>VLOOKUP(AC$1,'cost per tipologia de sòl'!$A$2:$D$37,4,FALSE)*'T100'!AC22</f>
        <v>145438.35</v>
      </c>
      <c r="AD22" s="1103">
        <f>VLOOKUP(AD$1,'cost per tipologia de sòl'!$A$2:$D$37,4,FALSE)*'T100'!AD22</f>
        <v>1241303.25</v>
      </c>
      <c r="AE22" s="1103">
        <f>VLOOKUP(AE$1,'cost per tipologia de sòl'!$A$2:$D$37,4,FALSE)*'T100'!AE22</f>
        <v>0</v>
      </c>
      <c r="AF22" s="1103">
        <f>VLOOKUP(AF$1,'cost per tipologia de sòl'!$A$2:$D$37,4,FALSE)*'T100'!AF22</f>
        <v>0</v>
      </c>
      <c r="AG22" s="1103">
        <f>VLOOKUP(AG$1,'cost per tipologia de sòl'!$A$2:$D$37,4,FALSE)*'T100'!AG22</f>
        <v>0</v>
      </c>
      <c r="AH22" s="1103">
        <f>VLOOKUP(AH$1,'cost per tipologia de sòl'!$A$2:$D$37,4,FALSE)*'T100'!AH22</f>
        <v>0</v>
      </c>
      <c r="AI22" s="1103">
        <f>VLOOKUP(AI$1,'cost per tipologia de sòl'!$A$2:$D$37,4,FALSE)*'T100'!AI22</f>
        <v>0</v>
      </c>
      <c r="AJ22" s="1103">
        <f t="shared" si="0"/>
        <v>8140184.6209999993</v>
      </c>
      <c r="AK22" s="1117">
        <f t="shared" si="1"/>
        <v>2.4420553862999999</v>
      </c>
    </row>
    <row r="23" spans="1:37">
      <c r="A23" s="1096" t="s">
        <v>912</v>
      </c>
      <c r="B23" s="1103">
        <f>VLOOKUP(B$1,'cost per tipologia de sòl'!$A$2:$D$37,4,FALSE)*'T100'!B23</f>
        <v>2101803.1920000003</v>
      </c>
      <c r="C23" s="1103">
        <f>VLOOKUP(C$1,'cost per tipologia de sòl'!$A$2:$D$37,4,FALSE)*'T100'!C23</f>
        <v>0</v>
      </c>
      <c r="D23" s="1103">
        <f>VLOOKUP(D$1,'cost per tipologia de sòl'!$A$2:$D$37,4,FALSE)*'T100'!D23</f>
        <v>0</v>
      </c>
      <c r="E23" s="1103">
        <f>VLOOKUP(E$1,'cost per tipologia de sòl'!$A$2:$D$37,4,FALSE)*'T100'!E23</f>
        <v>0</v>
      </c>
      <c r="F23" s="1103">
        <f>VLOOKUP(F$1,'cost per tipologia de sòl'!$A$2:$D$37,4,FALSE)*'T100'!F23</f>
        <v>0</v>
      </c>
      <c r="G23" s="1103">
        <f>VLOOKUP(G$1,'cost per tipologia de sòl'!$A$2:$D$37,4,FALSE)*'T100'!G23</f>
        <v>0</v>
      </c>
      <c r="H23" s="1103">
        <f>VLOOKUP(H$1,'cost per tipologia de sòl'!$A$2:$D$37,4,FALSE)*'T100'!H23</f>
        <v>0</v>
      </c>
      <c r="I23" s="1103">
        <f>VLOOKUP(I$1,'cost per tipologia de sòl'!$A$2:$D$37,4,FALSE)*'T100'!I23</f>
        <v>0</v>
      </c>
      <c r="J23" s="1103">
        <f>VLOOKUP(J$1,'cost per tipologia de sòl'!$A$2:$D$37,4,FALSE)*'T100'!J23</f>
        <v>2248.6970000000001</v>
      </c>
      <c r="K23" s="1103">
        <f>VLOOKUP(K$1,'cost per tipologia de sòl'!$A$2:$D$37,4,FALSE)*'T100'!K23</f>
        <v>0</v>
      </c>
      <c r="L23" s="1103">
        <f>VLOOKUP(L$1,'cost per tipologia de sòl'!$A$2:$D$37,4,FALSE)*'T100'!L23</f>
        <v>0</v>
      </c>
      <c r="M23" s="1103">
        <f>VLOOKUP(M$1,'cost per tipologia de sòl'!$A$2:$D$37,4,FALSE)*'T100'!M23</f>
        <v>0</v>
      </c>
      <c r="N23" s="1103">
        <f>VLOOKUP(N$1,'cost per tipologia de sòl'!$A$2:$D$37,4,FALSE)*'T100'!N23</f>
        <v>0</v>
      </c>
      <c r="O23" s="1103">
        <f>VLOOKUP(O$1,'cost per tipologia de sòl'!$A$2:$D$37,4,FALSE)*'T100'!O23</f>
        <v>0</v>
      </c>
      <c r="P23" s="1103">
        <f>VLOOKUP(P$1,'cost per tipologia de sòl'!$A$2:$D$37,4,FALSE)*'T100'!P23</f>
        <v>0</v>
      </c>
      <c r="Q23" s="1103">
        <f>VLOOKUP(Q$1,'cost per tipologia de sòl'!$A$2:$D$37,4,FALSE)*'T100'!Q23</f>
        <v>0</v>
      </c>
      <c r="R23" s="1103">
        <f>VLOOKUP(R$1,'cost per tipologia de sòl'!$A$2:$D$37,4,FALSE)*'T100'!R23</f>
        <v>0</v>
      </c>
      <c r="S23" s="1103">
        <f>VLOOKUP(S$1,'cost per tipologia de sòl'!$A$2:$D$37,4,FALSE)*'T100'!S23</f>
        <v>572604.48</v>
      </c>
      <c r="T23" s="1103">
        <f>VLOOKUP(T$1,'cost per tipologia de sòl'!$A$2:$D$37,4,FALSE)*'T100'!T23</f>
        <v>0</v>
      </c>
      <c r="U23" s="1103">
        <f>VLOOKUP(U$1,'cost per tipologia de sòl'!$A$2:$D$37,4,FALSE)*'T100'!U23</f>
        <v>1718.85</v>
      </c>
      <c r="V23" s="1103">
        <f>VLOOKUP(V$1,'cost per tipologia de sòl'!$A$2:$D$37,4,FALSE)*'T100'!V23</f>
        <v>0</v>
      </c>
      <c r="W23" s="1103">
        <f>VLOOKUP(W$1,'cost per tipologia de sòl'!$A$2:$D$37,4,FALSE)*'T100'!W23</f>
        <v>0</v>
      </c>
      <c r="X23" s="1103">
        <f>VLOOKUP(X$1,'cost per tipologia de sòl'!$A$2:$D$37,4,FALSE)*'T100'!X23</f>
        <v>0</v>
      </c>
      <c r="Y23" s="1103">
        <f>VLOOKUP(Y$1,'cost per tipologia de sòl'!$A$2:$D$37,4,FALSE)*'T100'!Y23</f>
        <v>0</v>
      </c>
      <c r="Z23" s="1103">
        <f>VLOOKUP(Z$1,'cost per tipologia de sòl'!$A$2:$D$37,4,FALSE)*'T100'!Z23</f>
        <v>0</v>
      </c>
      <c r="AA23" s="1103">
        <f>VLOOKUP(AA$1,'cost per tipologia de sòl'!$A$2:$D$37,4,FALSE)*'T100'!AA23</f>
        <v>0</v>
      </c>
      <c r="AB23" s="1103">
        <f>VLOOKUP(AB$1,'cost per tipologia de sòl'!$A$2:$D$37,4,FALSE)*'T100'!AB23</f>
        <v>195009.34999999998</v>
      </c>
      <c r="AC23" s="1103">
        <f>VLOOKUP(AC$1,'cost per tipologia de sòl'!$A$2:$D$37,4,FALSE)*'T100'!AC23</f>
        <v>3126659.0000000005</v>
      </c>
      <c r="AD23" s="1103">
        <f>VLOOKUP(AD$1,'cost per tipologia de sòl'!$A$2:$D$37,4,FALSE)*'T100'!AD23</f>
        <v>4153551.05</v>
      </c>
      <c r="AE23" s="1103">
        <f>VLOOKUP(AE$1,'cost per tipologia de sòl'!$A$2:$D$37,4,FALSE)*'T100'!AE23</f>
        <v>0</v>
      </c>
      <c r="AF23" s="1103">
        <f>VLOOKUP(AF$1,'cost per tipologia de sòl'!$A$2:$D$37,4,FALSE)*'T100'!AF23</f>
        <v>0</v>
      </c>
      <c r="AG23" s="1103">
        <f>VLOOKUP(AG$1,'cost per tipologia de sòl'!$A$2:$D$37,4,FALSE)*'T100'!AG23</f>
        <v>0</v>
      </c>
      <c r="AH23" s="1103">
        <f>VLOOKUP(AH$1,'cost per tipologia de sòl'!$A$2:$D$37,4,FALSE)*'T100'!AH23</f>
        <v>0</v>
      </c>
      <c r="AI23" s="1103">
        <f>VLOOKUP(AI$1,'cost per tipologia de sòl'!$A$2:$D$37,4,FALSE)*'T100'!AI23</f>
        <v>0</v>
      </c>
      <c r="AJ23" s="1103">
        <f t="shared" si="0"/>
        <v>10153594.619000001</v>
      </c>
      <c r="AK23" s="1117">
        <f t="shared" si="1"/>
        <v>3.0460783857000004</v>
      </c>
    </row>
    <row r="24" spans="1:37">
      <c r="A24" s="1096" t="s">
        <v>920</v>
      </c>
      <c r="B24" s="1103">
        <f>VLOOKUP(B$1,'cost per tipologia de sòl'!$A$2:$D$37,4,FALSE)*'T100'!B24</f>
        <v>19763729.892000001</v>
      </c>
      <c r="C24" s="1103">
        <f>VLOOKUP(C$1,'cost per tipologia de sòl'!$A$2:$D$37,4,FALSE)*'T100'!C24</f>
        <v>0</v>
      </c>
      <c r="D24" s="1103">
        <f>VLOOKUP(D$1,'cost per tipologia de sòl'!$A$2:$D$37,4,FALSE)*'T100'!D24</f>
        <v>2596581.9419999998</v>
      </c>
      <c r="E24" s="1103">
        <f>VLOOKUP(E$1,'cost per tipologia de sòl'!$A$2:$D$37,4,FALSE)*'T100'!E24</f>
        <v>0</v>
      </c>
      <c r="F24" s="1103">
        <f>VLOOKUP(F$1,'cost per tipologia de sòl'!$A$2:$D$37,4,FALSE)*'T100'!F24</f>
        <v>0</v>
      </c>
      <c r="G24" s="1103">
        <f>VLOOKUP(G$1,'cost per tipologia de sòl'!$A$2:$D$37,4,FALSE)*'T100'!G24</f>
        <v>0</v>
      </c>
      <c r="H24" s="1103">
        <f>VLOOKUP(H$1,'cost per tipologia de sòl'!$A$2:$D$37,4,FALSE)*'T100'!H24</f>
        <v>0</v>
      </c>
      <c r="I24" s="1103">
        <f>VLOOKUP(I$1,'cost per tipologia de sòl'!$A$2:$D$37,4,FALSE)*'T100'!I24</f>
        <v>0</v>
      </c>
      <c r="J24" s="1103">
        <f>VLOOKUP(J$1,'cost per tipologia de sòl'!$A$2:$D$37,4,FALSE)*'T100'!J24</f>
        <v>1052.2379999999998</v>
      </c>
      <c r="K24" s="1103">
        <f>VLOOKUP(K$1,'cost per tipologia de sòl'!$A$2:$D$37,4,FALSE)*'T100'!K24</f>
        <v>2746051.4339999999</v>
      </c>
      <c r="L24" s="1103">
        <f>VLOOKUP(L$1,'cost per tipologia de sòl'!$A$2:$D$37,4,FALSE)*'T100'!L24</f>
        <v>2862070.9289999995</v>
      </c>
      <c r="M24" s="1103">
        <f>VLOOKUP(M$1,'cost per tipologia de sòl'!$A$2:$D$37,4,FALSE)*'T100'!M24</f>
        <v>18932351.872000001</v>
      </c>
      <c r="N24" s="1103">
        <f>VLOOKUP(N$1,'cost per tipologia de sòl'!$A$2:$D$37,4,FALSE)*'T100'!N24</f>
        <v>4180547.5439999998</v>
      </c>
      <c r="O24" s="1103">
        <f>VLOOKUP(O$1,'cost per tipologia de sòl'!$A$2:$D$37,4,FALSE)*'T100'!O24</f>
        <v>0</v>
      </c>
      <c r="P24" s="1103">
        <f>VLOOKUP(P$1,'cost per tipologia de sòl'!$A$2:$D$37,4,FALSE)*'T100'!P24</f>
        <v>16851767.104000002</v>
      </c>
      <c r="Q24" s="1103">
        <f>VLOOKUP(Q$1,'cost per tipologia de sòl'!$A$2:$D$37,4,FALSE)*'T100'!Q24</f>
        <v>0</v>
      </c>
      <c r="R24" s="1103">
        <f>VLOOKUP(R$1,'cost per tipologia de sòl'!$A$2:$D$37,4,FALSE)*'T100'!R24</f>
        <v>0</v>
      </c>
      <c r="S24" s="1103">
        <f>VLOOKUP(S$1,'cost per tipologia de sòl'!$A$2:$D$37,4,FALSE)*'T100'!S24</f>
        <v>22563894.528000001</v>
      </c>
      <c r="T24" s="1103">
        <f>VLOOKUP(T$1,'cost per tipologia de sòl'!$A$2:$D$37,4,FALSE)*'T100'!T24</f>
        <v>33680673.723999999</v>
      </c>
      <c r="U24" s="1103">
        <f>VLOOKUP(U$1,'cost per tipologia de sòl'!$A$2:$D$37,4,FALSE)*'T100'!U24</f>
        <v>770599.2</v>
      </c>
      <c r="V24" s="1103">
        <f>VLOOKUP(V$1,'cost per tipologia de sòl'!$A$2:$D$37,4,FALSE)*'T100'!V24</f>
        <v>0</v>
      </c>
      <c r="W24" s="1103">
        <f>VLOOKUP(W$1,'cost per tipologia de sòl'!$A$2:$D$37,4,FALSE)*'T100'!W24</f>
        <v>0</v>
      </c>
      <c r="X24" s="1103">
        <f>VLOOKUP(X$1,'cost per tipologia de sòl'!$A$2:$D$37,4,FALSE)*'T100'!X24</f>
        <v>0</v>
      </c>
      <c r="Y24" s="1103">
        <f>VLOOKUP(Y$1,'cost per tipologia de sòl'!$A$2:$D$37,4,FALSE)*'T100'!Y24</f>
        <v>0</v>
      </c>
      <c r="Z24" s="1103">
        <f>VLOOKUP(Z$1,'cost per tipologia de sòl'!$A$2:$D$37,4,FALSE)*'T100'!Z24</f>
        <v>482924.29000000004</v>
      </c>
      <c r="AA24" s="1103">
        <f>VLOOKUP(AA$1,'cost per tipologia de sòl'!$A$2:$D$37,4,FALSE)*'T100'!AA24</f>
        <v>0</v>
      </c>
      <c r="AB24" s="1103">
        <f>VLOOKUP(AB$1,'cost per tipologia de sòl'!$A$2:$D$37,4,FALSE)*'T100'!AB24</f>
        <v>393041.60000000003</v>
      </c>
      <c r="AC24" s="1103">
        <f>VLOOKUP(AC$1,'cost per tipologia de sòl'!$A$2:$D$37,4,FALSE)*'T100'!AC24</f>
        <v>64795237.350000001</v>
      </c>
      <c r="AD24" s="1103">
        <f>VLOOKUP(AD$1,'cost per tipologia de sòl'!$A$2:$D$37,4,FALSE)*'T100'!AD24</f>
        <v>45811265.75</v>
      </c>
      <c r="AE24" s="1103">
        <f>VLOOKUP(AE$1,'cost per tipologia de sòl'!$A$2:$D$37,4,FALSE)*'T100'!AE24</f>
        <v>0</v>
      </c>
      <c r="AF24" s="1103">
        <f>VLOOKUP(AF$1,'cost per tipologia de sòl'!$A$2:$D$37,4,FALSE)*'T100'!AF24</f>
        <v>0</v>
      </c>
      <c r="AG24" s="1103">
        <f>VLOOKUP(AG$1,'cost per tipologia de sòl'!$A$2:$D$37,4,FALSE)*'T100'!AG24</f>
        <v>0</v>
      </c>
      <c r="AH24" s="1103">
        <f>VLOOKUP(AH$1,'cost per tipologia de sòl'!$A$2:$D$37,4,FALSE)*'T100'!AH24</f>
        <v>0</v>
      </c>
      <c r="AI24" s="1103">
        <f>VLOOKUP(AI$1,'cost per tipologia de sòl'!$A$2:$D$37,4,FALSE)*'T100'!AI24</f>
        <v>0</v>
      </c>
      <c r="AJ24" s="1103">
        <f t="shared" si="0"/>
        <v>236431789.39700001</v>
      </c>
      <c r="AK24" s="1117">
        <f t="shared" si="1"/>
        <v>70.929536819100008</v>
      </c>
    </row>
    <row r="25" spans="1:37">
      <c r="A25" s="1096" t="s">
        <v>924</v>
      </c>
      <c r="B25" s="1103">
        <f>VLOOKUP(B$1,'cost per tipologia de sòl'!$A$2:$D$37,4,FALSE)*'T100'!B25</f>
        <v>9052978.2300000004</v>
      </c>
      <c r="C25" s="1103">
        <f>VLOOKUP(C$1,'cost per tipologia de sòl'!$A$2:$D$37,4,FALSE)*'T100'!C25</f>
        <v>0</v>
      </c>
      <c r="D25" s="1103">
        <f>VLOOKUP(D$1,'cost per tipologia de sòl'!$A$2:$D$37,4,FALSE)*'T100'!D25</f>
        <v>0</v>
      </c>
      <c r="E25" s="1103">
        <f>VLOOKUP(E$1,'cost per tipologia de sòl'!$A$2:$D$37,4,FALSE)*'T100'!E25</f>
        <v>0</v>
      </c>
      <c r="F25" s="1103">
        <f>VLOOKUP(F$1,'cost per tipologia de sòl'!$A$2:$D$37,4,FALSE)*'T100'!F25</f>
        <v>0</v>
      </c>
      <c r="G25" s="1103">
        <f>VLOOKUP(G$1,'cost per tipologia de sòl'!$A$2:$D$37,4,FALSE)*'T100'!G25</f>
        <v>0</v>
      </c>
      <c r="H25" s="1103">
        <f>VLOOKUP(H$1,'cost per tipologia de sòl'!$A$2:$D$37,4,FALSE)*'T100'!H25</f>
        <v>0</v>
      </c>
      <c r="I25" s="1103">
        <f>VLOOKUP(I$1,'cost per tipologia de sòl'!$A$2:$D$37,4,FALSE)*'T100'!I25</f>
        <v>0</v>
      </c>
      <c r="J25" s="1103">
        <f>VLOOKUP(J$1,'cost per tipologia de sòl'!$A$2:$D$37,4,FALSE)*'T100'!J25</f>
        <v>6375.3249999999998</v>
      </c>
      <c r="K25" s="1103">
        <f>VLOOKUP(K$1,'cost per tipologia de sòl'!$A$2:$D$37,4,FALSE)*'T100'!K25</f>
        <v>0</v>
      </c>
      <c r="L25" s="1103">
        <f>VLOOKUP(L$1,'cost per tipologia de sòl'!$A$2:$D$37,4,FALSE)*'T100'!L25</f>
        <v>0</v>
      </c>
      <c r="M25" s="1103">
        <f>VLOOKUP(M$1,'cost per tipologia de sòl'!$A$2:$D$37,4,FALSE)*'T100'!M25</f>
        <v>0</v>
      </c>
      <c r="N25" s="1103">
        <f>VLOOKUP(N$1,'cost per tipologia de sòl'!$A$2:$D$37,4,FALSE)*'T100'!N25</f>
        <v>0</v>
      </c>
      <c r="O25" s="1103">
        <f>VLOOKUP(O$1,'cost per tipologia de sòl'!$A$2:$D$37,4,FALSE)*'T100'!O25</f>
        <v>0</v>
      </c>
      <c r="P25" s="1103">
        <f>VLOOKUP(P$1,'cost per tipologia de sòl'!$A$2:$D$37,4,FALSE)*'T100'!P25</f>
        <v>0</v>
      </c>
      <c r="Q25" s="1103">
        <f>VLOOKUP(Q$1,'cost per tipologia de sòl'!$A$2:$D$37,4,FALSE)*'T100'!Q25</f>
        <v>0</v>
      </c>
      <c r="R25" s="1103">
        <f>VLOOKUP(R$1,'cost per tipologia de sòl'!$A$2:$D$37,4,FALSE)*'T100'!R25</f>
        <v>0</v>
      </c>
      <c r="S25" s="1103">
        <f>VLOOKUP(S$1,'cost per tipologia de sòl'!$A$2:$D$37,4,FALSE)*'T100'!S25</f>
        <v>0</v>
      </c>
      <c r="T25" s="1103">
        <f>VLOOKUP(T$1,'cost per tipologia de sòl'!$A$2:$D$37,4,FALSE)*'T100'!T25</f>
        <v>0</v>
      </c>
      <c r="U25" s="1103">
        <f>VLOOKUP(U$1,'cost per tipologia de sòl'!$A$2:$D$37,4,FALSE)*'T100'!U25</f>
        <v>0</v>
      </c>
      <c r="V25" s="1103">
        <f>VLOOKUP(V$1,'cost per tipologia de sòl'!$A$2:$D$37,4,FALSE)*'T100'!V25</f>
        <v>0</v>
      </c>
      <c r="W25" s="1103">
        <f>VLOOKUP(W$1,'cost per tipologia de sòl'!$A$2:$D$37,4,FALSE)*'T100'!W25</f>
        <v>0</v>
      </c>
      <c r="X25" s="1103">
        <f>VLOOKUP(X$1,'cost per tipologia de sòl'!$A$2:$D$37,4,FALSE)*'T100'!X25</f>
        <v>0</v>
      </c>
      <c r="Y25" s="1103">
        <f>VLOOKUP(Y$1,'cost per tipologia de sòl'!$A$2:$D$37,4,FALSE)*'T100'!Y25</f>
        <v>0</v>
      </c>
      <c r="Z25" s="1103">
        <f>VLOOKUP(Z$1,'cost per tipologia de sòl'!$A$2:$D$37,4,FALSE)*'T100'!Z25</f>
        <v>95836.911999999997</v>
      </c>
      <c r="AA25" s="1103">
        <f>VLOOKUP(AA$1,'cost per tipologia de sòl'!$A$2:$D$37,4,FALSE)*'T100'!AA25</f>
        <v>0</v>
      </c>
      <c r="AB25" s="1103">
        <f>VLOOKUP(AB$1,'cost per tipologia de sòl'!$A$2:$D$37,4,FALSE)*'T100'!AB25</f>
        <v>7791962.6999999909</v>
      </c>
      <c r="AC25" s="1103">
        <f>VLOOKUP(AC$1,'cost per tipologia de sòl'!$A$2:$D$37,4,FALSE)*'T100'!AC25</f>
        <v>0</v>
      </c>
      <c r="AD25" s="1103">
        <f>VLOOKUP(AD$1,'cost per tipologia de sòl'!$A$2:$D$37,4,FALSE)*'T100'!AD25</f>
        <v>2731660.4</v>
      </c>
      <c r="AE25" s="1103">
        <f>VLOOKUP(AE$1,'cost per tipologia de sòl'!$A$2:$D$37,4,FALSE)*'T100'!AE25</f>
        <v>0</v>
      </c>
      <c r="AF25" s="1103">
        <f>VLOOKUP(AF$1,'cost per tipologia de sòl'!$A$2:$D$37,4,FALSE)*'T100'!AF25</f>
        <v>0</v>
      </c>
      <c r="AG25" s="1103">
        <f>VLOOKUP(AG$1,'cost per tipologia de sòl'!$A$2:$D$37,4,FALSE)*'T100'!AG25</f>
        <v>0</v>
      </c>
      <c r="AH25" s="1103">
        <f>VLOOKUP(AH$1,'cost per tipologia de sòl'!$A$2:$D$37,4,FALSE)*'T100'!AH25</f>
        <v>0</v>
      </c>
      <c r="AI25" s="1103">
        <f>VLOOKUP(AI$1,'cost per tipologia de sòl'!$A$2:$D$37,4,FALSE)*'T100'!AI25</f>
        <v>0</v>
      </c>
      <c r="AJ25" s="1103">
        <f t="shared" si="0"/>
        <v>19678813.56699999</v>
      </c>
      <c r="AK25" s="1117">
        <f t="shared" si="1"/>
        <v>5.9036440700999977</v>
      </c>
    </row>
    <row r="26" spans="1:37">
      <c r="A26" s="1096" t="s">
        <v>929</v>
      </c>
      <c r="B26" s="1103">
        <f>VLOOKUP(B$1,'cost per tipologia de sòl'!$A$2:$D$37,4,FALSE)*'T100'!B26</f>
        <v>677714.92200000002</v>
      </c>
      <c r="C26" s="1103">
        <f>VLOOKUP(C$1,'cost per tipologia de sòl'!$A$2:$D$37,4,FALSE)*'T100'!C26</f>
        <v>0</v>
      </c>
      <c r="D26" s="1103">
        <f>VLOOKUP(D$1,'cost per tipologia de sòl'!$A$2:$D$37,4,FALSE)*'T100'!D26</f>
        <v>0</v>
      </c>
      <c r="E26" s="1103">
        <f>VLOOKUP(E$1,'cost per tipologia de sòl'!$A$2:$D$37,4,FALSE)*'T100'!E26</f>
        <v>0</v>
      </c>
      <c r="F26" s="1103">
        <f>VLOOKUP(F$1,'cost per tipologia de sòl'!$A$2:$D$37,4,FALSE)*'T100'!F26</f>
        <v>0</v>
      </c>
      <c r="G26" s="1103">
        <f>VLOOKUP(G$1,'cost per tipologia de sòl'!$A$2:$D$37,4,FALSE)*'T100'!G26</f>
        <v>0</v>
      </c>
      <c r="H26" s="1103">
        <f>VLOOKUP(H$1,'cost per tipologia de sòl'!$A$2:$D$37,4,FALSE)*'T100'!H26</f>
        <v>0</v>
      </c>
      <c r="I26" s="1103">
        <f>VLOOKUP(I$1,'cost per tipologia de sòl'!$A$2:$D$37,4,FALSE)*'T100'!I26</f>
        <v>0</v>
      </c>
      <c r="J26" s="1103">
        <f>VLOOKUP(J$1,'cost per tipologia de sòl'!$A$2:$D$37,4,FALSE)*'T100'!J26</f>
        <v>462556.02250000002</v>
      </c>
      <c r="K26" s="1103">
        <f>VLOOKUP(K$1,'cost per tipologia de sòl'!$A$2:$D$37,4,FALSE)*'T100'!K26</f>
        <v>0</v>
      </c>
      <c r="L26" s="1103">
        <f>VLOOKUP(L$1,'cost per tipologia de sòl'!$A$2:$D$37,4,FALSE)*'T100'!L26</f>
        <v>40629.608999999997</v>
      </c>
      <c r="M26" s="1103">
        <f>VLOOKUP(M$1,'cost per tipologia de sòl'!$A$2:$D$37,4,FALSE)*'T100'!M26</f>
        <v>0</v>
      </c>
      <c r="N26" s="1103">
        <f>VLOOKUP(N$1,'cost per tipologia de sòl'!$A$2:$D$37,4,FALSE)*'T100'!N26</f>
        <v>3228.3279999999995</v>
      </c>
      <c r="O26" s="1103">
        <f>VLOOKUP(O$1,'cost per tipologia de sòl'!$A$2:$D$37,4,FALSE)*'T100'!O26</f>
        <v>0</v>
      </c>
      <c r="P26" s="1103">
        <f>VLOOKUP(P$1,'cost per tipologia de sòl'!$A$2:$D$37,4,FALSE)*'T100'!P26</f>
        <v>0</v>
      </c>
      <c r="Q26" s="1103">
        <f>VLOOKUP(Q$1,'cost per tipologia de sòl'!$A$2:$D$37,4,FALSE)*'T100'!Q26</f>
        <v>0</v>
      </c>
      <c r="R26" s="1103">
        <f>VLOOKUP(R$1,'cost per tipologia de sòl'!$A$2:$D$37,4,FALSE)*'T100'!R26</f>
        <v>0</v>
      </c>
      <c r="S26" s="1103">
        <f>VLOOKUP(S$1,'cost per tipologia de sòl'!$A$2:$D$37,4,FALSE)*'T100'!S26</f>
        <v>1832829.264</v>
      </c>
      <c r="T26" s="1103">
        <f>VLOOKUP(T$1,'cost per tipologia de sòl'!$A$2:$D$37,4,FALSE)*'T100'!T26</f>
        <v>3701118.3390000002</v>
      </c>
      <c r="U26" s="1103">
        <f>VLOOKUP(U$1,'cost per tipologia de sòl'!$A$2:$D$37,4,FALSE)*'T100'!U26</f>
        <v>0</v>
      </c>
      <c r="V26" s="1103">
        <f>VLOOKUP(V$1,'cost per tipologia de sòl'!$A$2:$D$37,4,FALSE)*'T100'!V26</f>
        <v>0</v>
      </c>
      <c r="W26" s="1103">
        <f>VLOOKUP(W$1,'cost per tipologia de sòl'!$A$2:$D$37,4,FALSE)*'T100'!W26</f>
        <v>0</v>
      </c>
      <c r="X26" s="1103">
        <f>VLOOKUP(X$1,'cost per tipologia de sòl'!$A$2:$D$37,4,FALSE)*'T100'!X26</f>
        <v>0</v>
      </c>
      <c r="Y26" s="1103">
        <f>VLOOKUP(Y$1,'cost per tipologia de sòl'!$A$2:$D$37,4,FALSE)*'T100'!Y26</f>
        <v>0</v>
      </c>
      <c r="Z26" s="1103">
        <f>VLOOKUP(Z$1,'cost per tipologia de sòl'!$A$2:$D$37,4,FALSE)*'T100'!Z26</f>
        <v>0</v>
      </c>
      <c r="AA26" s="1103">
        <f>VLOOKUP(AA$1,'cost per tipologia de sòl'!$A$2:$D$37,4,FALSE)*'T100'!AA26</f>
        <v>0</v>
      </c>
      <c r="AB26" s="1103">
        <f>VLOOKUP(AB$1,'cost per tipologia de sòl'!$A$2:$D$37,4,FALSE)*'T100'!AB26</f>
        <v>148097.4</v>
      </c>
      <c r="AC26" s="1103">
        <f>VLOOKUP(AC$1,'cost per tipologia de sòl'!$A$2:$D$37,4,FALSE)*'T100'!AC26</f>
        <v>499159.45</v>
      </c>
      <c r="AD26" s="1103">
        <f>VLOOKUP(AD$1,'cost per tipologia de sòl'!$A$2:$D$37,4,FALSE)*'T100'!AD26</f>
        <v>621624.9</v>
      </c>
      <c r="AE26" s="1103">
        <f>VLOOKUP(AE$1,'cost per tipologia de sòl'!$A$2:$D$37,4,FALSE)*'T100'!AE26</f>
        <v>0</v>
      </c>
      <c r="AF26" s="1103">
        <f>VLOOKUP(AF$1,'cost per tipologia de sòl'!$A$2:$D$37,4,FALSE)*'T100'!AF26</f>
        <v>0</v>
      </c>
      <c r="AG26" s="1103">
        <f>VLOOKUP(AG$1,'cost per tipologia de sòl'!$A$2:$D$37,4,FALSE)*'T100'!AG26</f>
        <v>0</v>
      </c>
      <c r="AH26" s="1103">
        <f>VLOOKUP(AH$1,'cost per tipologia de sòl'!$A$2:$D$37,4,FALSE)*'T100'!AH26</f>
        <v>0</v>
      </c>
      <c r="AI26" s="1103">
        <f>VLOOKUP(AI$1,'cost per tipologia de sòl'!$A$2:$D$37,4,FALSE)*'T100'!AI26</f>
        <v>0</v>
      </c>
      <c r="AJ26" s="1103">
        <f t="shared" si="0"/>
        <v>7986958.2345000012</v>
      </c>
      <c r="AK26" s="1117">
        <f t="shared" si="1"/>
        <v>2.3960874703500004</v>
      </c>
    </row>
    <row r="27" spans="1:37">
      <c r="A27" s="1096" t="s">
        <v>934</v>
      </c>
      <c r="B27" s="1103">
        <f>VLOOKUP(B$1,'cost per tipologia de sòl'!$A$2:$D$37,4,FALSE)*'T100'!B27</f>
        <v>2254788.54</v>
      </c>
      <c r="C27" s="1103">
        <f>VLOOKUP(C$1,'cost per tipologia de sòl'!$A$2:$D$37,4,FALSE)*'T100'!C27</f>
        <v>0</v>
      </c>
      <c r="D27" s="1103">
        <f>VLOOKUP(D$1,'cost per tipologia de sòl'!$A$2:$D$37,4,FALSE)*'T100'!D27</f>
        <v>0</v>
      </c>
      <c r="E27" s="1103">
        <f>VLOOKUP(E$1,'cost per tipologia de sòl'!$A$2:$D$37,4,FALSE)*'T100'!E27</f>
        <v>0</v>
      </c>
      <c r="F27" s="1103">
        <f>VLOOKUP(F$1,'cost per tipologia de sòl'!$A$2:$D$37,4,FALSE)*'T100'!F27</f>
        <v>0</v>
      </c>
      <c r="G27" s="1103">
        <f>VLOOKUP(G$1,'cost per tipologia de sòl'!$A$2:$D$37,4,FALSE)*'T100'!G27</f>
        <v>0</v>
      </c>
      <c r="H27" s="1103">
        <f>VLOOKUP(H$1,'cost per tipologia de sòl'!$A$2:$D$37,4,FALSE)*'T100'!H27</f>
        <v>0</v>
      </c>
      <c r="I27" s="1103">
        <f>VLOOKUP(I$1,'cost per tipologia de sòl'!$A$2:$D$37,4,FALSE)*'T100'!I27</f>
        <v>0</v>
      </c>
      <c r="J27" s="1103">
        <f>VLOOKUP(J$1,'cost per tipologia de sòl'!$A$2:$D$37,4,FALSE)*'T100'!J27</f>
        <v>285360.56999999995</v>
      </c>
      <c r="K27" s="1103">
        <f>VLOOKUP(K$1,'cost per tipologia de sòl'!$A$2:$D$37,4,FALSE)*'T100'!K27</f>
        <v>0</v>
      </c>
      <c r="L27" s="1103">
        <f>VLOOKUP(L$1,'cost per tipologia de sòl'!$A$2:$D$37,4,FALSE)*'T100'!L27</f>
        <v>286680.31199999998</v>
      </c>
      <c r="M27" s="1103">
        <f>VLOOKUP(M$1,'cost per tipologia de sòl'!$A$2:$D$37,4,FALSE)*'T100'!M27</f>
        <v>0</v>
      </c>
      <c r="N27" s="1103">
        <f>VLOOKUP(N$1,'cost per tipologia de sòl'!$A$2:$D$37,4,FALSE)*'T100'!N27</f>
        <v>35474.087999999996</v>
      </c>
      <c r="O27" s="1103">
        <f>VLOOKUP(O$1,'cost per tipologia de sòl'!$A$2:$D$37,4,FALSE)*'T100'!O27</f>
        <v>0</v>
      </c>
      <c r="P27" s="1103">
        <f>VLOOKUP(P$1,'cost per tipologia de sòl'!$A$2:$D$37,4,FALSE)*'T100'!P27</f>
        <v>0</v>
      </c>
      <c r="Q27" s="1103">
        <f>VLOOKUP(Q$1,'cost per tipologia de sòl'!$A$2:$D$37,4,FALSE)*'T100'!Q27</f>
        <v>0</v>
      </c>
      <c r="R27" s="1103">
        <f>VLOOKUP(R$1,'cost per tipologia de sòl'!$A$2:$D$37,4,FALSE)*'T100'!R27</f>
        <v>0</v>
      </c>
      <c r="S27" s="1103">
        <f>VLOOKUP(S$1,'cost per tipologia de sòl'!$A$2:$D$37,4,FALSE)*'T100'!S27</f>
        <v>21396.815999999999</v>
      </c>
      <c r="T27" s="1103">
        <f>VLOOKUP(T$1,'cost per tipologia de sòl'!$A$2:$D$37,4,FALSE)*'T100'!T27</f>
        <v>12534.377999999999</v>
      </c>
      <c r="U27" s="1103">
        <f>VLOOKUP(U$1,'cost per tipologia de sòl'!$A$2:$D$37,4,FALSE)*'T100'!U27</f>
        <v>0</v>
      </c>
      <c r="V27" s="1103">
        <f>VLOOKUP(V$1,'cost per tipologia de sòl'!$A$2:$D$37,4,FALSE)*'T100'!V27</f>
        <v>0</v>
      </c>
      <c r="W27" s="1103">
        <f>VLOOKUP(W$1,'cost per tipologia de sòl'!$A$2:$D$37,4,FALSE)*'T100'!W27</f>
        <v>0</v>
      </c>
      <c r="X27" s="1103">
        <f>VLOOKUP(X$1,'cost per tipologia de sòl'!$A$2:$D$37,4,FALSE)*'T100'!X27</f>
        <v>0</v>
      </c>
      <c r="Y27" s="1103">
        <f>VLOOKUP(Y$1,'cost per tipologia de sòl'!$A$2:$D$37,4,FALSE)*'T100'!Y27</f>
        <v>0</v>
      </c>
      <c r="Z27" s="1103">
        <f>VLOOKUP(Z$1,'cost per tipologia de sòl'!$A$2:$D$37,4,FALSE)*'T100'!Z27</f>
        <v>2563954.4839999997</v>
      </c>
      <c r="AA27" s="1103">
        <f>VLOOKUP(AA$1,'cost per tipologia de sòl'!$A$2:$D$37,4,FALSE)*'T100'!AA27</f>
        <v>61034.65</v>
      </c>
      <c r="AB27" s="1103">
        <f>VLOOKUP(AB$1,'cost per tipologia de sòl'!$A$2:$D$37,4,FALSE)*'T100'!AB27</f>
        <v>383511.2</v>
      </c>
      <c r="AC27" s="1103">
        <f>VLOOKUP(AC$1,'cost per tipologia de sòl'!$A$2:$D$37,4,FALSE)*'T100'!AC27</f>
        <v>21133.7</v>
      </c>
      <c r="AD27" s="1103">
        <f>VLOOKUP(AD$1,'cost per tipologia de sòl'!$A$2:$D$37,4,FALSE)*'T100'!AD27</f>
        <v>856781.25</v>
      </c>
      <c r="AE27" s="1103">
        <f>VLOOKUP(AE$1,'cost per tipologia de sòl'!$A$2:$D$37,4,FALSE)*'T100'!AE27</f>
        <v>0</v>
      </c>
      <c r="AF27" s="1103">
        <f>VLOOKUP(AF$1,'cost per tipologia de sòl'!$A$2:$D$37,4,FALSE)*'T100'!AF27</f>
        <v>0</v>
      </c>
      <c r="AG27" s="1103">
        <f>VLOOKUP(AG$1,'cost per tipologia de sòl'!$A$2:$D$37,4,FALSE)*'T100'!AG27</f>
        <v>0</v>
      </c>
      <c r="AH27" s="1103">
        <f>VLOOKUP(AH$1,'cost per tipologia de sòl'!$A$2:$D$37,4,FALSE)*'T100'!AH27</f>
        <v>0</v>
      </c>
      <c r="AI27" s="1103">
        <f>VLOOKUP(AI$1,'cost per tipologia de sòl'!$A$2:$D$37,4,FALSE)*'T100'!AI27</f>
        <v>0</v>
      </c>
      <c r="AJ27" s="1103">
        <f t="shared" si="0"/>
        <v>6782649.9879999999</v>
      </c>
      <c r="AK27" s="1117">
        <f t="shared" si="1"/>
        <v>2.0347949964000001</v>
      </c>
    </row>
    <row r="28" spans="1:37">
      <c r="A28" s="1096" t="s">
        <v>951</v>
      </c>
      <c r="B28" s="1103">
        <f>VLOOKUP(B$1,'cost per tipologia de sòl'!$A$2:$D$37,4,FALSE)*'T100'!B28</f>
        <v>0</v>
      </c>
      <c r="C28" s="1103">
        <f>VLOOKUP(C$1,'cost per tipologia de sòl'!$A$2:$D$37,4,FALSE)*'T100'!C28</f>
        <v>0</v>
      </c>
      <c r="D28" s="1103">
        <f>VLOOKUP(D$1,'cost per tipologia de sòl'!$A$2:$D$37,4,FALSE)*'T100'!D28</f>
        <v>0</v>
      </c>
      <c r="E28" s="1103">
        <f>VLOOKUP(E$1,'cost per tipologia de sòl'!$A$2:$D$37,4,FALSE)*'T100'!E28</f>
        <v>0</v>
      </c>
      <c r="F28" s="1103">
        <f>VLOOKUP(F$1,'cost per tipologia de sòl'!$A$2:$D$37,4,FALSE)*'T100'!F28</f>
        <v>0</v>
      </c>
      <c r="G28" s="1103">
        <f>VLOOKUP(G$1,'cost per tipologia de sòl'!$A$2:$D$37,4,FALSE)*'T100'!G28</f>
        <v>0</v>
      </c>
      <c r="H28" s="1103">
        <f>VLOOKUP(H$1,'cost per tipologia de sòl'!$A$2:$D$37,4,FALSE)*'T100'!H28</f>
        <v>0</v>
      </c>
      <c r="I28" s="1103">
        <f>VLOOKUP(I$1,'cost per tipologia de sòl'!$A$2:$D$37,4,FALSE)*'T100'!I28</f>
        <v>0</v>
      </c>
      <c r="J28" s="1103">
        <f>VLOOKUP(J$1,'cost per tipologia de sòl'!$A$2:$D$37,4,FALSE)*'T100'!J28</f>
        <v>81565.1155</v>
      </c>
      <c r="K28" s="1103">
        <f>VLOOKUP(K$1,'cost per tipologia de sòl'!$A$2:$D$37,4,FALSE)*'T100'!K28</f>
        <v>0</v>
      </c>
      <c r="L28" s="1103">
        <f>VLOOKUP(L$1,'cost per tipologia de sòl'!$A$2:$D$37,4,FALSE)*'T100'!L28</f>
        <v>0</v>
      </c>
      <c r="M28" s="1103">
        <f>VLOOKUP(M$1,'cost per tipologia de sòl'!$A$2:$D$37,4,FALSE)*'T100'!M28</f>
        <v>0</v>
      </c>
      <c r="N28" s="1103">
        <f>VLOOKUP(N$1,'cost per tipologia de sòl'!$A$2:$D$37,4,FALSE)*'T100'!N28</f>
        <v>0</v>
      </c>
      <c r="O28" s="1103">
        <f>VLOOKUP(O$1,'cost per tipologia de sòl'!$A$2:$D$37,4,FALSE)*'T100'!O28</f>
        <v>0</v>
      </c>
      <c r="P28" s="1103">
        <f>VLOOKUP(P$1,'cost per tipologia de sòl'!$A$2:$D$37,4,FALSE)*'T100'!P28</f>
        <v>0</v>
      </c>
      <c r="Q28" s="1103">
        <f>VLOOKUP(Q$1,'cost per tipologia de sòl'!$A$2:$D$37,4,FALSE)*'T100'!Q28</f>
        <v>0</v>
      </c>
      <c r="R28" s="1103">
        <f>VLOOKUP(R$1,'cost per tipologia de sòl'!$A$2:$D$37,4,FALSE)*'T100'!R28</f>
        <v>0</v>
      </c>
      <c r="S28" s="1103">
        <f>VLOOKUP(S$1,'cost per tipologia de sòl'!$A$2:$D$37,4,FALSE)*'T100'!S28</f>
        <v>3893089.5359999998</v>
      </c>
      <c r="T28" s="1103">
        <f>VLOOKUP(T$1,'cost per tipologia de sòl'!$A$2:$D$37,4,FALSE)*'T100'!T28</f>
        <v>0</v>
      </c>
      <c r="U28" s="1103">
        <f>VLOOKUP(U$1,'cost per tipologia de sòl'!$A$2:$D$37,4,FALSE)*'T100'!U28</f>
        <v>110208</v>
      </c>
      <c r="V28" s="1103">
        <f>VLOOKUP(V$1,'cost per tipologia de sòl'!$A$2:$D$37,4,FALSE)*'T100'!V28</f>
        <v>0</v>
      </c>
      <c r="W28" s="1103">
        <f>VLOOKUP(W$1,'cost per tipologia de sòl'!$A$2:$D$37,4,FALSE)*'T100'!W28</f>
        <v>0</v>
      </c>
      <c r="X28" s="1103">
        <f>VLOOKUP(X$1,'cost per tipologia de sòl'!$A$2:$D$37,4,FALSE)*'T100'!X28</f>
        <v>0</v>
      </c>
      <c r="Y28" s="1103">
        <f>VLOOKUP(Y$1,'cost per tipologia de sòl'!$A$2:$D$37,4,FALSE)*'T100'!Y28</f>
        <v>0</v>
      </c>
      <c r="Z28" s="1103">
        <f>VLOOKUP(Z$1,'cost per tipologia de sòl'!$A$2:$D$37,4,FALSE)*'T100'!Z28</f>
        <v>0</v>
      </c>
      <c r="AA28" s="1103">
        <f>VLOOKUP(AA$1,'cost per tipologia de sòl'!$A$2:$D$37,4,FALSE)*'T100'!AA28</f>
        <v>0</v>
      </c>
      <c r="AB28" s="1103">
        <f>VLOOKUP(AB$1,'cost per tipologia de sòl'!$A$2:$D$37,4,FALSE)*'T100'!AB28</f>
        <v>226334.65</v>
      </c>
      <c r="AC28" s="1103">
        <f>VLOOKUP(AC$1,'cost per tipologia de sòl'!$A$2:$D$37,4,FALSE)*'T100'!AC28</f>
        <v>0</v>
      </c>
      <c r="AD28" s="1103">
        <f>VLOOKUP(AD$1,'cost per tipologia de sòl'!$A$2:$D$37,4,FALSE)*'T100'!AD28</f>
        <v>83630.400000000009</v>
      </c>
      <c r="AE28" s="1103">
        <f>VLOOKUP(AE$1,'cost per tipologia de sòl'!$A$2:$D$37,4,FALSE)*'T100'!AE28</f>
        <v>0</v>
      </c>
      <c r="AF28" s="1103">
        <f>VLOOKUP(AF$1,'cost per tipologia de sòl'!$A$2:$D$37,4,FALSE)*'T100'!AF28</f>
        <v>0</v>
      </c>
      <c r="AG28" s="1103">
        <f>VLOOKUP(AG$1,'cost per tipologia de sòl'!$A$2:$D$37,4,FALSE)*'T100'!AG28</f>
        <v>0</v>
      </c>
      <c r="AH28" s="1103">
        <f>VLOOKUP(AH$1,'cost per tipologia de sòl'!$A$2:$D$37,4,FALSE)*'T100'!AH28</f>
        <v>0</v>
      </c>
      <c r="AI28" s="1103">
        <f>VLOOKUP(AI$1,'cost per tipologia de sòl'!$A$2:$D$37,4,FALSE)*'T100'!AI28</f>
        <v>0</v>
      </c>
      <c r="AJ28" s="1103">
        <f t="shared" si="0"/>
        <v>4394827.7015000004</v>
      </c>
      <c r="AK28" s="1117">
        <f t="shared" si="1"/>
        <v>1.3184483104500002</v>
      </c>
    </row>
    <row r="29" spans="1:37">
      <c r="A29" s="1096" t="s">
        <v>944</v>
      </c>
      <c r="B29" s="1103">
        <f>VLOOKUP(B$1,'cost per tipologia de sòl'!$A$2:$D$37,4,FALSE)*'T100'!B29</f>
        <v>506889.77400000003</v>
      </c>
      <c r="C29" s="1103">
        <f>VLOOKUP(C$1,'cost per tipologia de sòl'!$A$2:$D$37,4,FALSE)*'T100'!C29</f>
        <v>0</v>
      </c>
      <c r="D29" s="1103">
        <f>VLOOKUP(D$1,'cost per tipologia de sòl'!$A$2:$D$37,4,FALSE)*'T100'!D29</f>
        <v>0</v>
      </c>
      <c r="E29" s="1103">
        <f>VLOOKUP(E$1,'cost per tipologia de sòl'!$A$2:$D$37,4,FALSE)*'T100'!E29</f>
        <v>0</v>
      </c>
      <c r="F29" s="1103">
        <f>VLOOKUP(F$1,'cost per tipologia de sòl'!$A$2:$D$37,4,FALSE)*'T100'!F29</f>
        <v>0</v>
      </c>
      <c r="G29" s="1103">
        <f>VLOOKUP(G$1,'cost per tipologia de sòl'!$A$2:$D$37,4,FALSE)*'T100'!G29</f>
        <v>0</v>
      </c>
      <c r="H29" s="1103">
        <f>VLOOKUP(H$1,'cost per tipologia de sòl'!$A$2:$D$37,4,FALSE)*'T100'!H29</f>
        <v>0</v>
      </c>
      <c r="I29" s="1103">
        <f>VLOOKUP(I$1,'cost per tipologia de sòl'!$A$2:$D$37,4,FALSE)*'T100'!I29</f>
        <v>0</v>
      </c>
      <c r="J29" s="1103">
        <f>VLOOKUP(J$1,'cost per tipologia de sòl'!$A$2:$D$37,4,FALSE)*'T100'!J29</f>
        <v>0</v>
      </c>
      <c r="K29" s="1103">
        <f>VLOOKUP(K$1,'cost per tipologia de sòl'!$A$2:$D$37,4,FALSE)*'T100'!K29</f>
        <v>0</v>
      </c>
      <c r="L29" s="1103">
        <f>VLOOKUP(L$1,'cost per tipologia de sòl'!$A$2:$D$37,4,FALSE)*'T100'!L29</f>
        <v>0</v>
      </c>
      <c r="M29" s="1103">
        <f>VLOOKUP(M$1,'cost per tipologia de sòl'!$A$2:$D$37,4,FALSE)*'T100'!M29</f>
        <v>0</v>
      </c>
      <c r="N29" s="1103">
        <f>VLOOKUP(N$1,'cost per tipologia de sòl'!$A$2:$D$37,4,FALSE)*'T100'!N29</f>
        <v>0</v>
      </c>
      <c r="O29" s="1103">
        <f>VLOOKUP(O$1,'cost per tipologia de sòl'!$A$2:$D$37,4,FALSE)*'T100'!O29</f>
        <v>0</v>
      </c>
      <c r="P29" s="1103">
        <f>VLOOKUP(P$1,'cost per tipologia de sòl'!$A$2:$D$37,4,FALSE)*'T100'!P29</f>
        <v>0</v>
      </c>
      <c r="Q29" s="1103">
        <f>VLOOKUP(Q$1,'cost per tipologia de sòl'!$A$2:$D$37,4,FALSE)*'T100'!Q29</f>
        <v>0</v>
      </c>
      <c r="R29" s="1103">
        <f>VLOOKUP(R$1,'cost per tipologia de sòl'!$A$2:$D$37,4,FALSE)*'T100'!R29</f>
        <v>0</v>
      </c>
      <c r="S29" s="1103">
        <f>VLOOKUP(S$1,'cost per tipologia de sòl'!$A$2:$D$37,4,FALSE)*'T100'!S29</f>
        <v>0</v>
      </c>
      <c r="T29" s="1103">
        <f>VLOOKUP(T$1,'cost per tipologia de sòl'!$A$2:$D$37,4,FALSE)*'T100'!T29</f>
        <v>0</v>
      </c>
      <c r="U29" s="1103">
        <f>VLOOKUP(U$1,'cost per tipologia de sòl'!$A$2:$D$37,4,FALSE)*'T100'!U29</f>
        <v>0</v>
      </c>
      <c r="V29" s="1103">
        <f>VLOOKUP(V$1,'cost per tipologia de sòl'!$A$2:$D$37,4,FALSE)*'T100'!V29</f>
        <v>0</v>
      </c>
      <c r="W29" s="1103">
        <f>VLOOKUP(W$1,'cost per tipologia de sòl'!$A$2:$D$37,4,FALSE)*'T100'!W29</f>
        <v>0</v>
      </c>
      <c r="X29" s="1103">
        <f>VLOOKUP(X$1,'cost per tipologia de sòl'!$A$2:$D$37,4,FALSE)*'T100'!X29</f>
        <v>0</v>
      </c>
      <c r="Y29" s="1103">
        <f>VLOOKUP(Y$1,'cost per tipologia de sòl'!$A$2:$D$37,4,FALSE)*'T100'!Y29</f>
        <v>0</v>
      </c>
      <c r="Z29" s="1103">
        <f>VLOOKUP(Z$1,'cost per tipologia de sòl'!$A$2:$D$37,4,FALSE)*'T100'!Z29</f>
        <v>65544.732000000004</v>
      </c>
      <c r="AA29" s="1103">
        <f>VLOOKUP(AA$1,'cost per tipologia de sòl'!$A$2:$D$37,4,FALSE)*'T100'!AA29</f>
        <v>0</v>
      </c>
      <c r="AB29" s="1103">
        <f>VLOOKUP(AB$1,'cost per tipologia de sòl'!$A$2:$D$37,4,FALSE)*'T100'!AB29</f>
        <v>1235056.05</v>
      </c>
      <c r="AC29" s="1103">
        <f>VLOOKUP(AC$1,'cost per tipologia de sòl'!$A$2:$D$37,4,FALSE)*'T100'!AC29</f>
        <v>0</v>
      </c>
      <c r="AD29" s="1103">
        <f>VLOOKUP(AD$1,'cost per tipologia de sòl'!$A$2:$D$37,4,FALSE)*'T100'!AD29</f>
        <v>626029.10000000009</v>
      </c>
      <c r="AE29" s="1103">
        <f>VLOOKUP(AE$1,'cost per tipologia de sòl'!$A$2:$D$37,4,FALSE)*'T100'!AE29</f>
        <v>0</v>
      </c>
      <c r="AF29" s="1103">
        <f>VLOOKUP(AF$1,'cost per tipologia de sòl'!$A$2:$D$37,4,FALSE)*'T100'!AF29</f>
        <v>0</v>
      </c>
      <c r="AG29" s="1103">
        <f>VLOOKUP(AG$1,'cost per tipologia de sòl'!$A$2:$D$37,4,FALSE)*'T100'!AG29</f>
        <v>0</v>
      </c>
      <c r="AH29" s="1103">
        <f>VLOOKUP(AH$1,'cost per tipologia de sòl'!$A$2:$D$37,4,FALSE)*'T100'!AH29</f>
        <v>0</v>
      </c>
      <c r="AI29" s="1103">
        <f>VLOOKUP(AI$1,'cost per tipologia de sòl'!$A$2:$D$37,4,FALSE)*'T100'!AI29</f>
        <v>0</v>
      </c>
      <c r="AJ29" s="1103">
        <f t="shared" si="0"/>
        <v>2433519.6560000004</v>
      </c>
      <c r="AK29" s="1117">
        <f t="shared" si="1"/>
        <v>0.73005589680000005</v>
      </c>
    </row>
    <row r="30" spans="1:37">
      <c r="A30" s="1096" t="s">
        <v>958</v>
      </c>
      <c r="B30" s="1103">
        <f>VLOOKUP(B$1,'cost per tipologia de sòl'!$A$2:$D$37,4,FALSE)*'T100'!B30</f>
        <v>27924074.172000002</v>
      </c>
      <c r="C30" s="1103">
        <f>VLOOKUP(C$1,'cost per tipologia de sòl'!$A$2:$D$37,4,FALSE)*'T100'!C30</f>
        <v>0</v>
      </c>
      <c r="D30" s="1103">
        <f>VLOOKUP(D$1,'cost per tipologia de sòl'!$A$2:$D$37,4,FALSE)*'T100'!D30</f>
        <v>0</v>
      </c>
      <c r="E30" s="1103">
        <f>VLOOKUP(E$1,'cost per tipologia de sòl'!$A$2:$D$37,4,FALSE)*'T100'!E30</f>
        <v>0</v>
      </c>
      <c r="F30" s="1103">
        <f>VLOOKUP(F$1,'cost per tipologia de sòl'!$A$2:$D$37,4,FALSE)*'T100'!F30</f>
        <v>0</v>
      </c>
      <c r="G30" s="1103">
        <f>VLOOKUP(G$1,'cost per tipologia de sòl'!$A$2:$D$37,4,FALSE)*'T100'!G30</f>
        <v>0</v>
      </c>
      <c r="H30" s="1103">
        <f>VLOOKUP(H$1,'cost per tipologia de sòl'!$A$2:$D$37,4,FALSE)*'T100'!H30</f>
        <v>0</v>
      </c>
      <c r="I30" s="1103">
        <f>VLOOKUP(I$1,'cost per tipologia de sòl'!$A$2:$D$37,4,FALSE)*'T100'!I30</f>
        <v>0</v>
      </c>
      <c r="J30" s="1103">
        <f>VLOOKUP(J$1,'cost per tipologia de sòl'!$A$2:$D$37,4,FALSE)*'T100'!J30</f>
        <v>18546.605</v>
      </c>
      <c r="K30" s="1103">
        <f>VLOOKUP(K$1,'cost per tipologia de sòl'!$A$2:$D$37,4,FALSE)*'T100'!K30</f>
        <v>0</v>
      </c>
      <c r="L30" s="1103">
        <f>VLOOKUP(L$1,'cost per tipologia de sòl'!$A$2:$D$37,4,FALSE)*'T100'!L30</f>
        <v>0</v>
      </c>
      <c r="M30" s="1103">
        <f>VLOOKUP(M$1,'cost per tipologia de sòl'!$A$2:$D$37,4,FALSE)*'T100'!M30</f>
        <v>5243439.2960000001</v>
      </c>
      <c r="N30" s="1103">
        <f>VLOOKUP(N$1,'cost per tipologia de sòl'!$A$2:$D$37,4,FALSE)*'T100'!N30</f>
        <v>0</v>
      </c>
      <c r="O30" s="1103">
        <f>VLOOKUP(O$1,'cost per tipologia de sòl'!$A$2:$D$37,4,FALSE)*'T100'!O30</f>
        <v>220327.62400000001</v>
      </c>
      <c r="P30" s="1103">
        <f>VLOOKUP(P$1,'cost per tipologia de sòl'!$A$2:$D$37,4,FALSE)*'T100'!P30</f>
        <v>0</v>
      </c>
      <c r="Q30" s="1103">
        <f>VLOOKUP(Q$1,'cost per tipologia de sòl'!$A$2:$D$37,4,FALSE)*'T100'!Q30</f>
        <v>0</v>
      </c>
      <c r="R30" s="1103">
        <f>VLOOKUP(R$1,'cost per tipologia de sòl'!$A$2:$D$37,4,FALSE)*'T100'!R30</f>
        <v>0</v>
      </c>
      <c r="S30" s="1103">
        <f>VLOOKUP(S$1,'cost per tipologia de sòl'!$A$2:$D$37,4,FALSE)*'T100'!S30</f>
        <v>534295.43999999994</v>
      </c>
      <c r="T30" s="1103">
        <f>VLOOKUP(T$1,'cost per tipologia de sòl'!$A$2:$D$37,4,FALSE)*'T100'!T30</f>
        <v>1550980.8290000001</v>
      </c>
      <c r="U30" s="1103">
        <f>VLOOKUP(U$1,'cost per tipologia de sòl'!$A$2:$D$37,4,FALSE)*'T100'!U30</f>
        <v>3380271.3000000003</v>
      </c>
      <c r="V30" s="1103">
        <f>VLOOKUP(V$1,'cost per tipologia de sòl'!$A$2:$D$37,4,FALSE)*'T100'!V30</f>
        <v>0</v>
      </c>
      <c r="W30" s="1103">
        <f>VLOOKUP(W$1,'cost per tipologia de sòl'!$A$2:$D$37,4,FALSE)*'T100'!W30</f>
        <v>0</v>
      </c>
      <c r="X30" s="1103">
        <f>VLOOKUP(X$1,'cost per tipologia de sòl'!$A$2:$D$37,4,FALSE)*'T100'!X30</f>
        <v>0</v>
      </c>
      <c r="Y30" s="1103">
        <f>VLOOKUP(Y$1,'cost per tipologia de sòl'!$A$2:$D$37,4,FALSE)*'T100'!Y30</f>
        <v>0</v>
      </c>
      <c r="Z30" s="1103">
        <f>VLOOKUP(Z$1,'cost per tipologia de sòl'!$A$2:$D$37,4,FALSE)*'T100'!Z30</f>
        <v>9420307.9379999992</v>
      </c>
      <c r="AA30" s="1103">
        <f>VLOOKUP(AA$1,'cost per tipologia de sòl'!$A$2:$D$37,4,FALSE)*'T100'!AA30</f>
        <v>0</v>
      </c>
      <c r="AB30" s="1103">
        <f>VLOOKUP(AB$1,'cost per tipologia de sòl'!$A$2:$D$37,4,FALSE)*'T100'!AB30</f>
        <v>1951673.3499999999</v>
      </c>
      <c r="AC30" s="1103">
        <f>VLOOKUP(AC$1,'cost per tipologia de sòl'!$A$2:$D$37,4,FALSE)*'T100'!AC30</f>
        <v>3900176.55</v>
      </c>
      <c r="AD30" s="1103">
        <f>VLOOKUP(AD$1,'cost per tipologia de sòl'!$A$2:$D$37,4,FALSE)*'T100'!AD30</f>
        <v>13163511.6</v>
      </c>
      <c r="AE30" s="1103">
        <f>VLOOKUP(AE$1,'cost per tipologia de sòl'!$A$2:$D$37,4,FALSE)*'T100'!AE30</f>
        <v>0</v>
      </c>
      <c r="AF30" s="1103">
        <f>VLOOKUP(AF$1,'cost per tipologia de sòl'!$A$2:$D$37,4,FALSE)*'T100'!AF30</f>
        <v>0</v>
      </c>
      <c r="AG30" s="1103">
        <f>VLOOKUP(AG$1,'cost per tipologia de sòl'!$A$2:$D$37,4,FALSE)*'T100'!AG30</f>
        <v>0</v>
      </c>
      <c r="AH30" s="1103">
        <f>VLOOKUP(AH$1,'cost per tipologia de sòl'!$A$2:$D$37,4,FALSE)*'T100'!AH30</f>
        <v>0</v>
      </c>
      <c r="AI30" s="1103">
        <f>VLOOKUP(AI$1,'cost per tipologia de sòl'!$A$2:$D$37,4,FALSE)*'T100'!AI30</f>
        <v>0</v>
      </c>
      <c r="AJ30" s="1103">
        <f t="shared" si="0"/>
        <v>67307604.703999996</v>
      </c>
      <c r="AK30" s="1117">
        <f t="shared" si="1"/>
        <v>20.1922814112</v>
      </c>
    </row>
    <row r="31" spans="1:37">
      <c r="A31" s="1096" t="s">
        <v>964</v>
      </c>
      <c r="B31" s="1103">
        <f>VLOOKUP(B$1,'cost per tipologia de sòl'!$A$2:$D$37,4,FALSE)*'T100'!B31</f>
        <v>49135644.072000004</v>
      </c>
      <c r="C31" s="1103">
        <f>VLOOKUP(C$1,'cost per tipologia de sòl'!$A$2:$D$37,4,FALSE)*'T100'!C31</f>
        <v>2009267.7479999999</v>
      </c>
      <c r="D31" s="1103">
        <f>VLOOKUP(D$1,'cost per tipologia de sòl'!$A$2:$D$37,4,FALSE)*'T100'!D31</f>
        <v>0</v>
      </c>
      <c r="E31" s="1103">
        <f>VLOOKUP(E$1,'cost per tipologia de sòl'!$A$2:$D$37,4,FALSE)*'T100'!E31</f>
        <v>0</v>
      </c>
      <c r="F31" s="1103">
        <f>VLOOKUP(F$1,'cost per tipologia de sòl'!$A$2:$D$37,4,FALSE)*'T100'!F31</f>
        <v>0</v>
      </c>
      <c r="G31" s="1103">
        <f>VLOOKUP(G$1,'cost per tipologia de sòl'!$A$2:$D$37,4,FALSE)*'T100'!G31</f>
        <v>0</v>
      </c>
      <c r="H31" s="1103">
        <f>VLOOKUP(H$1,'cost per tipologia de sòl'!$A$2:$D$37,4,FALSE)*'T100'!H31</f>
        <v>0</v>
      </c>
      <c r="I31" s="1103">
        <f>VLOOKUP(I$1,'cost per tipologia de sòl'!$A$2:$D$37,4,FALSE)*'T100'!I31</f>
        <v>0</v>
      </c>
      <c r="J31" s="1103">
        <f>VLOOKUP(J$1,'cost per tipologia de sòl'!$A$2:$D$37,4,FALSE)*'T100'!J31</f>
        <v>177.6995</v>
      </c>
      <c r="K31" s="1103">
        <f>VLOOKUP(K$1,'cost per tipologia de sòl'!$A$2:$D$37,4,FALSE)*'T100'!K31</f>
        <v>0</v>
      </c>
      <c r="L31" s="1103">
        <f>VLOOKUP(L$1,'cost per tipologia de sòl'!$A$2:$D$37,4,FALSE)*'T100'!L31</f>
        <v>0</v>
      </c>
      <c r="M31" s="1103">
        <f>VLOOKUP(M$1,'cost per tipologia de sòl'!$A$2:$D$37,4,FALSE)*'T100'!M31</f>
        <v>3764856.4959999998</v>
      </c>
      <c r="N31" s="1103">
        <f>VLOOKUP(N$1,'cost per tipologia de sòl'!$A$2:$D$37,4,FALSE)*'T100'!N31</f>
        <v>0</v>
      </c>
      <c r="O31" s="1103">
        <f>VLOOKUP(O$1,'cost per tipologia de sòl'!$A$2:$D$37,4,FALSE)*'T100'!O31</f>
        <v>0</v>
      </c>
      <c r="P31" s="1103">
        <f>VLOOKUP(P$1,'cost per tipologia de sòl'!$A$2:$D$37,4,FALSE)*'T100'!P31</f>
        <v>0</v>
      </c>
      <c r="Q31" s="1103">
        <f>VLOOKUP(Q$1,'cost per tipologia de sòl'!$A$2:$D$37,4,FALSE)*'T100'!Q31</f>
        <v>0</v>
      </c>
      <c r="R31" s="1103">
        <f>VLOOKUP(R$1,'cost per tipologia de sòl'!$A$2:$D$37,4,FALSE)*'T100'!R31</f>
        <v>0</v>
      </c>
      <c r="S31" s="1103">
        <f>VLOOKUP(S$1,'cost per tipologia de sòl'!$A$2:$D$37,4,FALSE)*'T100'!S31</f>
        <v>0</v>
      </c>
      <c r="T31" s="1103">
        <f>VLOOKUP(T$1,'cost per tipologia de sòl'!$A$2:$D$37,4,FALSE)*'T100'!T31</f>
        <v>58827767.396000005</v>
      </c>
      <c r="U31" s="1103">
        <f>VLOOKUP(U$1,'cost per tipologia de sòl'!$A$2:$D$37,4,FALSE)*'T100'!U31</f>
        <v>15972660.899999999</v>
      </c>
      <c r="V31" s="1103">
        <f>VLOOKUP(V$1,'cost per tipologia de sòl'!$A$2:$D$37,4,FALSE)*'T100'!V31</f>
        <v>0</v>
      </c>
      <c r="W31" s="1103">
        <f>VLOOKUP(W$1,'cost per tipologia de sòl'!$A$2:$D$37,4,FALSE)*'T100'!W31</f>
        <v>0</v>
      </c>
      <c r="X31" s="1103">
        <f>VLOOKUP(X$1,'cost per tipologia de sòl'!$A$2:$D$37,4,FALSE)*'T100'!X31</f>
        <v>0</v>
      </c>
      <c r="Y31" s="1103">
        <f>VLOOKUP(Y$1,'cost per tipologia de sòl'!$A$2:$D$37,4,FALSE)*'T100'!Y31</f>
        <v>0</v>
      </c>
      <c r="Z31" s="1103">
        <f>VLOOKUP(Z$1,'cost per tipologia de sòl'!$A$2:$D$37,4,FALSE)*'T100'!Z31</f>
        <v>0</v>
      </c>
      <c r="AA31" s="1103">
        <f>VLOOKUP(AA$1,'cost per tipologia de sòl'!$A$2:$D$37,4,FALSE)*'T100'!AA31</f>
        <v>0</v>
      </c>
      <c r="AB31" s="1103">
        <f>VLOOKUP(AB$1,'cost per tipologia de sòl'!$A$2:$D$37,4,FALSE)*'T100'!AB31</f>
        <v>23435430.300000001</v>
      </c>
      <c r="AC31" s="1103">
        <f>VLOOKUP(AC$1,'cost per tipologia de sòl'!$A$2:$D$37,4,FALSE)*'T100'!AC31</f>
        <v>31217010.449999999</v>
      </c>
      <c r="AD31" s="1103">
        <f>VLOOKUP(AD$1,'cost per tipologia de sòl'!$A$2:$D$37,4,FALSE)*'T100'!AD31</f>
        <v>62191353.850000001</v>
      </c>
      <c r="AE31" s="1103">
        <f>VLOOKUP(AE$1,'cost per tipologia de sòl'!$A$2:$D$37,4,FALSE)*'T100'!AE31</f>
        <v>0</v>
      </c>
      <c r="AF31" s="1103">
        <f>VLOOKUP(AF$1,'cost per tipologia de sòl'!$A$2:$D$37,4,FALSE)*'T100'!AF31</f>
        <v>0</v>
      </c>
      <c r="AG31" s="1103">
        <f>VLOOKUP(AG$1,'cost per tipologia de sòl'!$A$2:$D$37,4,FALSE)*'T100'!AG31</f>
        <v>0</v>
      </c>
      <c r="AH31" s="1103">
        <f>VLOOKUP(AH$1,'cost per tipologia de sòl'!$A$2:$D$37,4,FALSE)*'T100'!AH31</f>
        <v>0</v>
      </c>
      <c r="AI31" s="1103">
        <f>VLOOKUP(AI$1,'cost per tipologia de sòl'!$A$2:$D$37,4,FALSE)*'T100'!AI31</f>
        <v>0</v>
      </c>
      <c r="AJ31" s="1103">
        <f t="shared" si="0"/>
        <v>246554168.91150001</v>
      </c>
      <c r="AK31" s="1117">
        <f t="shared" si="1"/>
        <v>73.966250673450006</v>
      </c>
    </row>
    <row r="32" spans="1:37">
      <c r="A32" s="1096" t="s">
        <v>340</v>
      </c>
      <c r="B32" s="1103">
        <f>VLOOKUP(B$1,'cost per tipologia de sòl'!$A$2:$D$37,4,FALSE)*'T100'!B32</f>
        <v>0</v>
      </c>
      <c r="C32" s="1103">
        <f>VLOOKUP(C$1,'cost per tipologia de sòl'!$A$2:$D$37,4,FALSE)*'T100'!C32</f>
        <v>0</v>
      </c>
      <c r="D32" s="1103">
        <f>VLOOKUP(D$1,'cost per tipologia de sòl'!$A$2:$D$37,4,FALSE)*'T100'!D32</f>
        <v>0</v>
      </c>
      <c r="E32" s="1103">
        <f>VLOOKUP(E$1,'cost per tipologia de sòl'!$A$2:$D$37,4,FALSE)*'T100'!E32</f>
        <v>0</v>
      </c>
      <c r="F32" s="1103">
        <f>VLOOKUP(F$1,'cost per tipologia de sòl'!$A$2:$D$37,4,FALSE)*'T100'!F32</f>
        <v>0</v>
      </c>
      <c r="G32" s="1103">
        <f>VLOOKUP(G$1,'cost per tipologia de sòl'!$A$2:$D$37,4,FALSE)*'T100'!G32</f>
        <v>0</v>
      </c>
      <c r="H32" s="1103">
        <f>VLOOKUP(H$1,'cost per tipologia de sòl'!$A$2:$D$37,4,FALSE)*'T100'!H32</f>
        <v>0</v>
      </c>
      <c r="I32" s="1103">
        <f>VLOOKUP(I$1,'cost per tipologia de sòl'!$A$2:$D$37,4,FALSE)*'T100'!I32</f>
        <v>0</v>
      </c>
      <c r="J32" s="1103">
        <f>VLOOKUP(J$1,'cost per tipologia de sòl'!$A$2:$D$37,4,FALSE)*'T100'!J32</f>
        <v>0</v>
      </c>
      <c r="K32" s="1103">
        <f>VLOOKUP(K$1,'cost per tipologia de sòl'!$A$2:$D$37,4,FALSE)*'T100'!K32</f>
        <v>0</v>
      </c>
      <c r="L32" s="1103">
        <f>VLOOKUP(L$1,'cost per tipologia de sòl'!$A$2:$D$37,4,FALSE)*'T100'!L32</f>
        <v>0</v>
      </c>
      <c r="M32" s="1103">
        <f>VLOOKUP(M$1,'cost per tipologia de sòl'!$A$2:$D$37,4,FALSE)*'T100'!M32</f>
        <v>0</v>
      </c>
      <c r="N32" s="1103">
        <f>VLOOKUP(N$1,'cost per tipologia de sòl'!$A$2:$D$37,4,FALSE)*'T100'!N32</f>
        <v>0</v>
      </c>
      <c r="O32" s="1103">
        <f>VLOOKUP(O$1,'cost per tipologia de sòl'!$A$2:$D$37,4,FALSE)*'T100'!O32</f>
        <v>0</v>
      </c>
      <c r="P32" s="1103">
        <f>VLOOKUP(P$1,'cost per tipologia de sòl'!$A$2:$D$37,4,FALSE)*'T100'!P32</f>
        <v>0</v>
      </c>
      <c r="Q32" s="1103">
        <f>VLOOKUP(Q$1,'cost per tipologia de sòl'!$A$2:$D$37,4,FALSE)*'T100'!Q32</f>
        <v>0</v>
      </c>
      <c r="R32" s="1103">
        <f>VLOOKUP(R$1,'cost per tipologia de sòl'!$A$2:$D$37,4,FALSE)*'T100'!R32</f>
        <v>0</v>
      </c>
      <c r="S32" s="1103">
        <f>VLOOKUP(S$1,'cost per tipologia de sòl'!$A$2:$D$37,4,FALSE)*'T100'!S32</f>
        <v>163351216.22400001</v>
      </c>
      <c r="T32" s="1103">
        <f>VLOOKUP(T$1,'cost per tipologia de sòl'!$A$2:$D$37,4,FALSE)*'T100'!T32</f>
        <v>0</v>
      </c>
      <c r="U32" s="1103">
        <f>VLOOKUP(U$1,'cost per tipologia de sòl'!$A$2:$D$37,4,FALSE)*'T100'!U32</f>
        <v>0</v>
      </c>
      <c r="V32" s="1103">
        <f>VLOOKUP(V$1,'cost per tipologia de sòl'!$A$2:$D$37,4,FALSE)*'T100'!V32</f>
        <v>0</v>
      </c>
      <c r="W32" s="1103">
        <f>VLOOKUP(W$1,'cost per tipologia de sòl'!$A$2:$D$37,4,FALSE)*'T100'!W32</f>
        <v>0</v>
      </c>
      <c r="X32" s="1103">
        <f>VLOOKUP(X$1,'cost per tipologia de sòl'!$A$2:$D$37,4,FALSE)*'T100'!X32</f>
        <v>0</v>
      </c>
      <c r="Y32" s="1103">
        <f>VLOOKUP(Y$1,'cost per tipologia de sòl'!$A$2:$D$37,4,FALSE)*'T100'!Y32</f>
        <v>0</v>
      </c>
      <c r="Z32" s="1103">
        <f>VLOOKUP(Z$1,'cost per tipologia de sòl'!$A$2:$D$37,4,FALSE)*'T100'!Z32</f>
        <v>0</v>
      </c>
      <c r="AA32" s="1103">
        <f>VLOOKUP(AA$1,'cost per tipologia de sòl'!$A$2:$D$37,4,FALSE)*'T100'!AA32</f>
        <v>0</v>
      </c>
      <c r="AB32" s="1103">
        <f>VLOOKUP(AB$1,'cost per tipologia de sòl'!$A$2:$D$37,4,FALSE)*'T100'!AB32</f>
        <v>0</v>
      </c>
      <c r="AC32" s="1103">
        <f>VLOOKUP(AC$1,'cost per tipologia de sòl'!$A$2:$D$37,4,FALSE)*'T100'!AC32</f>
        <v>214781.69999999998</v>
      </c>
      <c r="AD32" s="1103">
        <f>VLOOKUP(AD$1,'cost per tipologia de sòl'!$A$2:$D$37,4,FALSE)*'T100'!AD32</f>
        <v>1576459.4500000002</v>
      </c>
      <c r="AE32" s="1103">
        <f>VLOOKUP(AE$1,'cost per tipologia de sòl'!$A$2:$D$37,4,FALSE)*'T100'!AE32</f>
        <v>0</v>
      </c>
      <c r="AF32" s="1103">
        <f>VLOOKUP(AF$1,'cost per tipologia de sòl'!$A$2:$D$37,4,FALSE)*'T100'!AF32</f>
        <v>0</v>
      </c>
      <c r="AG32" s="1103">
        <f>VLOOKUP(AG$1,'cost per tipologia de sòl'!$A$2:$D$37,4,FALSE)*'T100'!AG32</f>
        <v>0</v>
      </c>
      <c r="AH32" s="1103">
        <f>VLOOKUP(AH$1,'cost per tipologia de sòl'!$A$2:$D$37,4,FALSE)*'T100'!AH32</f>
        <v>0</v>
      </c>
      <c r="AI32" s="1103">
        <f>VLOOKUP(AI$1,'cost per tipologia de sòl'!$A$2:$D$37,4,FALSE)*'T100'!AI32</f>
        <v>0</v>
      </c>
      <c r="AJ32" s="1103">
        <f t="shared" si="0"/>
        <v>165142457.37399998</v>
      </c>
      <c r="AK32" s="1117">
        <f t="shared" si="1"/>
        <v>49.542737212199995</v>
      </c>
    </row>
    <row r="33" spans="1:37">
      <c r="A33" s="1096" t="s">
        <v>984</v>
      </c>
      <c r="B33" s="1103">
        <f>VLOOKUP(B$1,'cost per tipologia de sòl'!$A$2:$D$37,4,FALSE)*'T100'!B33</f>
        <v>0</v>
      </c>
      <c r="C33" s="1103">
        <f>VLOOKUP(C$1,'cost per tipologia de sòl'!$A$2:$D$37,4,FALSE)*'T100'!C33</f>
        <v>0</v>
      </c>
      <c r="D33" s="1103">
        <f>VLOOKUP(D$1,'cost per tipologia de sòl'!$A$2:$D$37,4,FALSE)*'T100'!D33</f>
        <v>0</v>
      </c>
      <c r="E33" s="1103">
        <f>VLOOKUP(E$1,'cost per tipologia de sòl'!$A$2:$D$37,4,FALSE)*'T100'!E33</f>
        <v>0</v>
      </c>
      <c r="F33" s="1103">
        <f>VLOOKUP(F$1,'cost per tipologia de sòl'!$A$2:$D$37,4,FALSE)*'T100'!F33</f>
        <v>0</v>
      </c>
      <c r="G33" s="1103">
        <f>VLOOKUP(G$1,'cost per tipologia de sòl'!$A$2:$D$37,4,FALSE)*'T100'!G33</f>
        <v>0</v>
      </c>
      <c r="H33" s="1103">
        <f>VLOOKUP(H$1,'cost per tipologia de sòl'!$A$2:$D$37,4,FALSE)*'T100'!H33</f>
        <v>0</v>
      </c>
      <c r="I33" s="1103">
        <f>VLOOKUP(I$1,'cost per tipologia de sòl'!$A$2:$D$37,4,FALSE)*'T100'!I33</f>
        <v>0</v>
      </c>
      <c r="J33" s="1103">
        <f>VLOOKUP(J$1,'cost per tipologia de sòl'!$A$2:$D$37,4,FALSE)*'T100'!J33</f>
        <v>0</v>
      </c>
      <c r="K33" s="1103">
        <f>VLOOKUP(K$1,'cost per tipologia de sòl'!$A$2:$D$37,4,FALSE)*'T100'!K33</f>
        <v>0</v>
      </c>
      <c r="L33" s="1103">
        <f>VLOOKUP(L$1,'cost per tipologia de sòl'!$A$2:$D$37,4,FALSE)*'T100'!L33</f>
        <v>0</v>
      </c>
      <c r="M33" s="1103">
        <f>VLOOKUP(M$1,'cost per tipologia de sòl'!$A$2:$D$37,4,FALSE)*'T100'!M33</f>
        <v>0</v>
      </c>
      <c r="N33" s="1103">
        <f>VLOOKUP(N$1,'cost per tipologia de sòl'!$A$2:$D$37,4,FALSE)*'T100'!N33</f>
        <v>0</v>
      </c>
      <c r="O33" s="1103">
        <f>VLOOKUP(O$1,'cost per tipologia de sòl'!$A$2:$D$37,4,FALSE)*'T100'!O33</f>
        <v>0</v>
      </c>
      <c r="P33" s="1103">
        <f>VLOOKUP(P$1,'cost per tipologia de sòl'!$A$2:$D$37,4,FALSE)*'T100'!P33</f>
        <v>0</v>
      </c>
      <c r="Q33" s="1103">
        <f>VLOOKUP(Q$1,'cost per tipologia de sòl'!$A$2:$D$37,4,FALSE)*'T100'!Q33</f>
        <v>0</v>
      </c>
      <c r="R33" s="1103">
        <f>VLOOKUP(R$1,'cost per tipologia de sòl'!$A$2:$D$37,4,FALSE)*'T100'!R33</f>
        <v>0</v>
      </c>
      <c r="S33" s="1103">
        <f>VLOOKUP(S$1,'cost per tipologia de sòl'!$A$2:$D$37,4,FALSE)*'T100'!S33</f>
        <v>0</v>
      </c>
      <c r="T33" s="1103">
        <f>VLOOKUP(T$1,'cost per tipologia de sòl'!$A$2:$D$37,4,FALSE)*'T100'!T33</f>
        <v>0</v>
      </c>
      <c r="U33" s="1103">
        <f>VLOOKUP(U$1,'cost per tipologia de sòl'!$A$2:$D$37,4,FALSE)*'T100'!U33</f>
        <v>0</v>
      </c>
      <c r="V33" s="1103">
        <f>VLOOKUP(V$1,'cost per tipologia de sòl'!$A$2:$D$37,4,FALSE)*'T100'!V33</f>
        <v>0</v>
      </c>
      <c r="W33" s="1103">
        <f>VLOOKUP(W$1,'cost per tipologia de sòl'!$A$2:$D$37,4,FALSE)*'T100'!W33</f>
        <v>0</v>
      </c>
      <c r="X33" s="1103">
        <f>VLOOKUP(X$1,'cost per tipologia de sòl'!$A$2:$D$37,4,FALSE)*'T100'!X33</f>
        <v>0</v>
      </c>
      <c r="Y33" s="1103">
        <f>VLOOKUP(Y$1,'cost per tipologia de sòl'!$A$2:$D$37,4,FALSE)*'T100'!Y33</f>
        <v>0</v>
      </c>
      <c r="Z33" s="1103">
        <f>VLOOKUP(Z$1,'cost per tipologia de sòl'!$A$2:$D$37,4,FALSE)*'T100'!Z33</f>
        <v>0</v>
      </c>
      <c r="AA33" s="1103">
        <f>VLOOKUP(AA$1,'cost per tipologia de sòl'!$A$2:$D$37,4,FALSE)*'T100'!AA33</f>
        <v>0</v>
      </c>
      <c r="AB33" s="1103">
        <f>VLOOKUP(AB$1,'cost per tipologia de sòl'!$A$2:$D$37,4,FALSE)*'T100'!AB33</f>
        <v>336547.95</v>
      </c>
      <c r="AC33" s="1103">
        <f>VLOOKUP(AC$1,'cost per tipologia de sòl'!$A$2:$D$37,4,FALSE)*'T100'!AC33</f>
        <v>0</v>
      </c>
      <c r="AD33" s="1103">
        <f>VLOOKUP(AD$1,'cost per tipologia de sòl'!$A$2:$D$37,4,FALSE)*'T100'!AD33</f>
        <v>776577.5</v>
      </c>
      <c r="AE33" s="1103">
        <f>VLOOKUP(AE$1,'cost per tipologia de sòl'!$A$2:$D$37,4,FALSE)*'T100'!AE33</f>
        <v>0</v>
      </c>
      <c r="AF33" s="1103">
        <f>VLOOKUP(AF$1,'cost per tipologia de sòl'!$A$2:$D$37,4,FALSE)*'T100'!AF33</f>
        <v>0</v>
      </c>
      <c r="AG33" s="1103">
        <f>VLOOKUP(AG$1,'cost per tipologia de sòl'!$A$2:$D$37,4,FALSE)*'T100'!AG33</f>
        <v>0</v>
      </c>
      <c r="AH33" s="1103">
        <f>VLOOKUP(AH$1,'cost per tipologia de sòl'!$A$2:$D$37,4,FALSE)*'T100'!AH33</f>
        <v>0</v>
      </c>
      <c r="AI33" s="1103">
        <f>VLOOKUP(AI$1,'cost per tipologia de sòl'!$A$2:$D$37,4,FALSE)*'T100'!AI33</f>
        <v>0</v>
      </c>
      <c r="AJ33" s="1103">
        <f t="shared" si="0"/>
        <v>1113125.45</v>
      </c>
      <c r="AK33" s="1117">
        <f t="shared" si="1"/>
        <v>0.33393763500000001</v>
      </c>
    </row>
    <row r="34" spans="1:37">
      <c r="A34" s="1096" t="s">
        <v>1002</v>
      </c>
      <c r="B34" s="1103">
        <f>VLOOKUP(B$1,'cost per tipologia de sòl'!$A$2:$D$37,4,FALSE)*'T100'!B34</f>
        <v>29971463.112000003</v>
      </c>
      <c r="C34" s="1103">
        <f>VLOOKUP(C$1,'cost per tipologia de sòl'!$A$2:$D$37,4,FALSE)*'T100'!C34</f>
        <v>0</v>
      </c>
      <c r="D34" s="1103">
        <f>VLOOKUP(D$1,'cost per tipologia de sòl'!$A$2:$D$37,4,FALSE)*'T100'!D34</f>
        <v>0</v>
      </c>
      <c r="E34" s="1103">
        <f>VLOOKUP(E$1,'cost per tipologia de sòl'!$A$2:$D$37,4,FALSE)*'T100'!E34</f>
        <v>1009196.4539999999</v>
      </c>
      <c r="F34" s="1103">
        <f>VLOOKUP(F$1,'cost per tipologia de sòl'!$A$2:$D$37,4,FALSE)*'T100'!F34</f>
        <v>0</v>
      </c>
      <c r="G34" s="1103">
        <f>VLOOKUP(G$1,'cost per tipologia de sòl'!$A$2:$D$37,4,FALSE)*'T100'!G34</f>
        <v>0</v>
      </c>
      <c r="H34" s="1103">
        <f>VLOOKUP(H$1,'cost per tipologia de sòl'!$A$2:$D$37,4,FALSE)*'T100'!H34</f>
        <v>0</v>
      </c>
      <c r="I34" s="1103">
        <f>VLOOKUP(I$1,'cost per tipologia de sòl'!$A$2:$D$37,4,FALSE)*'T100'!I34</f>
        <v>0</v>
      </c>
      <c r="J34" s="1103">
        <f>VLOOKUP(J$1,'cost per tipologia de sòl'!$A$2:$D$37,4,FALSE)*'T100'!J34</f>
        <v>92.119500000000002</v>
      </c>
      <c r="K34" s="1103">
        <f>VLOOKUP(K$1,'cost per tipologia de sòl'!$A$2:$D$37,4,FALSE)*'T100'!K34</f>
        <v>0</v>
      </c>
      <c r="L34" s="1103">
        <f>VLOOKUP(L$1,'cost per tipologia de sòl'!$A$2:$D$37,4,FALSE)*'T100'!L34</f>
        <v>59075.001000000004</v>
      </c>
      <c r="M34" s="1103">
        <f>VLOOKUP(M$1,'cost per tipologia de sòl'!$A$2:$D$37,4,FALSE)*'T100'!M34</f>
        <v>0</v>
      </c>
      <c r="N34" s="1103">
        <f>VLOOKUP(N$1,'cost per tipologia de sòl'!$A$2:$D$37,4,FALSE)*'T100'!N34</f>
        <v>0</v>
      </c>
      <c r="O34" s="1103">
        <f>VLOOKUP(O$1,'cost per tipologia de sòl'!$A$2:$D$37,4,FALSE)*'T100'!O34</f>
        <v>0</v>
      </c>
      <c r="P34" s="1103">
        <f>VLOOKUP(P$1,'cost per tipologia de sòl'!$A$2:$D$37,4,FALSE)*'T100'!P34</f>
        <v>0</v>
      </c>
      <c r="Q34" s="1103">
        <f>VLOOKUP(Q$1,'cost per tipologia de sòl'!$A$2:$D$37,4,FALSE)*'T100'!Q34</f>
        <v>0</v>
      </c>
      <c r="R34" s="1103">
        <f>VLOOKUP(R$1,'cost per tipologia de sòl'!$A$2:$D$37,4,FALSE)*'T100'!R34</f>
        <v>0</v>
      </c>
      <c r="S34" s="1103">
        <f>VLOOKUP(S$1,'cost per tipologia de sòl'!$A$2:$D$37,4,FALSE)*'T100'!S34</f>
        <v>2239131.8879999998</v>
      </c>
      <c r="T34" s="1103">
        <f>VLOOKUP(T$1,'cost per tipologia de sòl'!$A$2:$D$37,4,FALSE)*'T100'!T34</f>
        <v>17131911.620999999</v>
      </c>
      <c r="U34" s="1103">
        <f>VLOOKUP(U$1,'cost per tipologia de sòl'!$A$2:$D$37,4,FALSE)*'T100'!U34</f>
        <v>4378747.8</v>
      </c>
      <c r="V34" s="1103">
        <f>VLOOKUP(V$1,'cost per tipologia de sòl'!$A$2:$D$37,4,FALSE)*'T100'!V34</f>
        <v>0</v>
      </c>
      <c r="W34" s="1103">
        <f>VLOOKUP(W$1,'cost per tipologia de sòl'!$A$2:$D$37,4,FALSE)*'T100'!W34</f>
        <v>0</v>
      </c>
      <c r="X34" s="1103">
        <f>VLOOKUP(X$1,'cost per tipologia de sòl'!$A$2:$D$37,4,FALSE)*'T100'!X34</f>
        <v>0</v>
      </c>
      <c r="Y34" s="1103">
        <f>VLOOKUP(Y$1,'cost per tipologia de sòl'!$A$2:$D$37,4,FALSE)*'T100'!Y34</f>
        <v>0</v>
      </c>
      <c r="Z34" s="1103">
        <f>VLOOKUP(Z$1,'cost per tipologia de sòl'!$A$2:$D$37,4,FALSE)*'T100'!Z34</f>
        <v>767815.38</v>
      </c>
      <c r="AA34" s="1103">
        <f>VLOOKUP(AA$1,'cost per tipologia de sòl'!$A$2:$D$37,4,FALSE)*'T100'!AA34</f>
        <v>0</v>
      </c>
      <c r="AB34" s="1103">
        <f>VLOOKUP(AB$1,'cost per tipologia de sòl'!$A$2:$D$37,4,FALSE)*'T100'!AB34</f>
        <v>4639031.45</v>
      </c>
      <c r="AC34" s="1103">
        <f>VLOOKUP(AC$1,'cost per tipologia de sòl'!$A$2:$D$37,4,FALSE)*'T100'!AC34</f>
        <v>2405718.25</v>
      </c>
      <c r="AD34" s="1103">
        <f>VLOOKUP(AD$1,'cost per tipologia de sòl'!$A$2:$D$37,4,FALSE)*'T100'!AD34</f>
        <v>22332704.500000004</v>
      </c>
      <c r="AE34" s="1103">
        <f>VLOOKUP(AE$1,'cost per tipologia de sòl'!$A$2:$D$37,4,FALSE)*'T100'!AE34</f>
        <v>0</v>
      </c>
      <c r="AF34" s="1103">
        <f>VLOOKUP(AF$1,'cost per tipologia de sòl'!$A$2:$D$37,4,FALSE)*'T100'!AF34</f>
        <v>0</v>
      </c>
      <c r="AG34" s="1103">
        <f>VLOOKUP(AG$1,'cost per tipologia de sòl'!$A$2:$D$37,4,FALSE)*'T100'!AG34</f>
        <v>0</v>
      </c>
      <c r="AH34" s="1103">
        <f>VLOOKUP(AH$1,'cost per tipologia de sòl'!$A$2:$D$37,4,FALSE)*'T100'!AH34</f>
        <v>0</v>
      </c>
      <c r="AI34" s="1103">
        <f>VLOOKUP(AI$1,'cost per tipologia de sòl'!$A$2:$D$37,4,FALSE)*'T100'!AI34</f>
        <v>0</v>
      </c>
      <c r="AJ34" s="1103">
        <f t="shared" si="0"/>
        <v>84934887.575500011</v>
      </c>
      <c r="AK34" s="1117">
        <f t="shared" si="1"/>
        <v>25.480466272650002</v>
      </c>
    </row>
    <row r="35" spans="1:37">
      <c r="A35" s="1096" t="s">
        <v>1014</v>
      </c>
      <c r="B35" s="1103">
        <f>VLOOKUP(B$1,'cost per tipologia de sòl'!$A$2:$D$37,4,FALSE)*'T100'!B35</f>
        <v>0</v>
      </c>
      <c r="C35" s="1103">
        <f>VLOOKUP(C$1,'cost per tipologia de sòl'!$A$2:$D$37,4,FALSE)*'T100'!C35</f>
        <v>0</v>
      </c>
      <c r="D35" s="1103">
        <f>VLOOKUP(D$1,'cost per tipologia de sòl'!$A$2:$D$37,4,FALSE)*'T100'!D35</f>
        <v>0</v>
      </c>
      <c r="E35" s="1103">
        <f>VLOOKUP(E$1,'cost per tipologia de sòl'!$A$2:$D$37,4,FALSE)*'T100'!E35</f>
        <v>0</v>
      </c>
      <c r="F35" s="1103">
        <f>VLOOKUP(F$1,'cost per tipologia de sòl'!$A$2:$D$37,4,FALSE)*'T100'!F35</f>
        <v>0</v>
      </c>
      <c r="G35" s="1103">
        <f>VLOOKUP(G$1,'cost per tipologia de sòl'!$A$2:$D$37,4,FALSE)*'T100'!G35</f>
        <v>0</v>
      </c>
      <c r="H35" s="1103">
        <f>VLOOKUP(H$1,'cost per tipologia de sòl'!$A$2:$D$37,4,FALSE)*'T100'!H35</f>
        <v>0</v>
      </c>
      <c r="I35" s="1103">
        <f>VLOOKUP(I$1,'cost per tipologia de sòl'!$A$2:$D$37,4,FALSE)*'T100'!I35</f>
        <v>0</v>
      </c>
      <c r="J35" s="1103">
        <f>VLOOKUP(J$1,'cost per tipologia de sòl'!$A$2:$D$37,4,FALSE)*'T100'!J35</f>
        <v>0</v>
      </c>
      <c r="K35" s="1103">
        <f>VLOOKUP(K$1,'cost per tipologia de sòl'!$A$2:$D$37,4,FALSE)*'T100'!K35</f>
        <v>0</v>
      </c>
      <c r="L35" s="1103">
        <f>VLOOKUP(L$1,'cost per tipologia de sòl'!$A$2:$D$37,4,FALSE)*'T100'!L35</f>
        <v>0</v>
      </c>
      <c r="M35" s="1103">
        <f>VLOOKUP(M$1,'cost per tipologia de sòl'!$A$2:$D$37,4,FALSE)*'T100'!M35</f>
        <v>0</v>
      </c>
      <c r="N35" s="1103">
        <f>VLOOKUP(N$1,'cost per tipologia de sòl'!$A$2:$D$37,4,FALSE)*'T100'!N35</f>
        <v>0</v>
      </c>
      <c r="O35" s="1103">
        <f>VLOOKUP(O$1,'cost per tipologia de sòl'!$A$2:$D$37,4,FALSE)*'T100'!O35</f>
        <v>0</v>
      </c>
      <c r="P35" s="1103">
        <f>VLOOKUP(P$1,'cost per tipologia de sòl'!$A$2:$D$37,4,FALSE)*'T100'!P35</f>
        <v>0</v>
      </c>
      <c r="Q35" s="1103">
        <f>VLOOKUP(Q$1,'cost per tipologia de sòl'!$A$2:$D$37,4,FALSE)*'T100'!Q35</f>
        <v>0</v>
      </c>
      <c r="R35" s="1103">
        <f>VLOOKUP(R$1,'cost per tipologia de sòl'!$A$2:$D$37,4,FALSE)*'T100'!R35</f>
        <v>0</v>
      </c>
      <c r="S35" s="1103">
        <f>VLOOKUP(S$1,'cost per tipologia de sòl'!$A$2:$D$37,4,FALSE)*'T100'!S35</f>
        <v>0</v>
      </c>
      <c r="T35" s="1103">
        <f>VLOOKUP(T$1,'cost per tipologia de sòl'!$A$2:$D$37,4,FALSE)*'T100'!T35</f>
        <v>0</v>
      </c>
      <c r="U35" s="1103">
        <f>VLOOKUP(U$1,'cost per tipologia de sòl'!$A$2:$D$37,4,FALSE)*'T100'!U35</f>
        <v>0</v>
      </c>
      <c r="V35" s="1103">
        <f>VLOOKUP(V$1,'cost per tipologia de sòl'!$A$2:$D$37,4,FALSE)*'T100'!V35</f>
        <v>0</v>
      </c>
      <c r="W35" s="1103">
        <f>VLOOKUP(W$1,'cost per tipologia de sòl'!$A$2:$D$37,4,FALSE)*'T100'!W35</f>
        <v>0</v>
      </c>
      <c r="X35" s="1103">
        <f>VLOOKUP(X$1,'cost per tipologia de sòl'!$A$2:$D$37,4,FALSE)*'T100'!X35</f>
        <v>27874176</v>
      </c>
      <c r="Y35" s="1103">
        <f>VLOOKUP(Y$1,'cost per tipologia de sòl'!$A$2:$D$37,4,FALSE)*'T100'!Y35</f>
        <v>0</v>
      </c>
      <c r="Z35" s="1103">
        <f>VLOOKUP(Z$1,'cost per tipologia de sòl'!$A$2:$D$37,4,FALSE)*'T100'!Z35</f>
        <v>0</v>
      </c>
      <c r="AA35" s="1103">
        <f>VLOOKUP(AA$1,'cost per tipologia de sòl'!$A$2:$D$37,4,FALSE)*'T100'!AA35</f>
        <v>0</v>
      </c>
      <c r="AB35" s="1103">
        <f>VLOOKUP(AB$1,'cost per tipologia de sòl'!$A$2:$D$37,4,FALSE)*'T100'!AB35</f>
        <v>0</v>
      </c>
      <c r="AC35" s="1103">
        <f>VLOOKUP(AC$1,'cost per tipologia de sòl'!$A$2:$D$37,4,FALSE)*'T100'!AC35</f>
        <v>0</v>
      </c>
      <c r="AD35" s="1103">
        <f>VLOOKUP(AD$1,'cost per tipologia de sòl'!$A$2:$D$37,4,FALSE)*'T100'!AD35</f>
        <v>489281.35000000003</v>
      </c>
      <c r="AE35" s="1103">
        <f>VLOOKUP(AE$1,'cost per tipologia de sòl'!$A$2:$D$37,4,FALSE)*'T100'!AE35</f>
        <v>0</v>
      </c>
      <c r="AF35" s="1103">
        <f>VLOOKUP(AF$1,'cost per tipologia de sòl'!$A$2:$D$37,4,FALSE)*'T100'!AF35</f>
        <v>0</v>
      </c>
      <c r="AG35" s="1103">
        <f>VLOOKUP(AG$1,'cost per tipologia de sòl'!$A$2:$D$37,4,FALSE)*'T100'!AG35</f>
        <v>0</v>
      </c>
      <c r="AH35" s="1103">
        <f>VLOOKUP(AH$1,'cost per tipologia de sòl'!$A$2:$D$37,4,FALSE)*'T100'!AH35</f>
        <v>0</v>
      </c>
      <c r="AI35" s="1103">
        <f>VLOOKUP(AI$1,'cost per tipologia de sòl'!$A$2:$D$37,4,FALSE)*'T100'!AI35</f>
        <v>0</v>
      </c>
      <c r="AJ35" s="1103">
        <f t="shared" si="0"/>
        <v>28363457.350000001</v>
      </c>
      <c r="AK35" s="1117">
        <f t="shared" si="1"/>
        <v>8.5090372050000003</v>
      </c>
    </row>
    <row r="36" spans="1:37">
      <c r="A36" s="1096" t="s">
        <v>1021</v>
      </c>
      <c r="B36" s="1103">
        <f>VLOOKUP(B$1,'cost per tipologia de sòl'!$A$2:$D$37,4,FALSE)*'T100'!B36</f>
        <v>0</v>
      </c>
      <c r="C36" s="1103">
        <f>VLOOKUP(C$1,'cost per tipologia de sòl'!$A$2:$D$37,4,FALSE)*'T100'!C36</f>
        <v>0</v>
      </c>
      <c r="D36" s="1103">
        <f>VLOOKUP(D$1,'cost per tipologia de sòl'!$A$2:$D$37,4,FALSE)*'T100'!D36</f>
        <v>0</v>
      </c>
      <c r="E36" s="1103">
        <f>VLOOKUP(E$1,'cost per tipologia de sòl'!$A$2:$D$37,4,FALSE)*'T100'!E36</f>
        <v>0</v>
      </c>
      <c r="F36" s="1103">
        <f>VLOOKUP(F$1,'cost per tipologia de sòl'!$A$2:$D$37,4,FALSE)*'T100'!F36</f>
        <v>0</v>
      </c>
      <c r="G36" s="1103">
        <f>VLOOKUP(G$1,'cost per tipologia de sòl'!$A$2:$D$37,4,FALSE)*'T100'!G36</f>
        <v>0</v>
      </c>
      <c r="H36" s="1103">
        <f>VLOOKUP(H$1,'cost per tipologia de sòl'!$A$2:$D$37,4,FALSE)*'T100'!H36</f>
        <v>0</v>
      </c>
      <c r="I36" s="1103">
        <f>VLOOKUP(I$1,'cost per tipologia de sòl'!$A$2:$D$37,4,FALSE)*'T100'!I36</f>
        <v>0</v>
      </c>
      <c r="J36" s="1103">
        <f>VLOOKUP(J$1,'cost per tipologia de sòl'!$A$2:$D$37,4,FALSE)*'T100'!J36</f>
        <v>202329.71</v>
      </c>
      <c r="K36" s="1103">
        <f>VLOOKUP(K$1,'cost per tipologia de sòl'!$A$2:$D$37,4,FALSE)*'T100'!K36</f>
        <v>0</v>
      </c>
      <c r="L36" s="1103">
        <f>VLOOKUP(L$1,'cost per tipologia de sòl'!$A$2:$D$37,4,FALSE)*'T100'!L36</f>
        <v>0</v>
      </c>
      <c r="M36" s="1103">
        <f>VLOOKUP(M$1,'cost per tipologia de sòl'!$A$2:$D$37,4,FALSE)*'T100'!M36</f>
        <v>0</v>
      </c>
      <c r="N36" s="1103">
        <f>VLOOKUP(N$1,'cost per tipologia de sòl'!$A$2:$D$37,4,FALSE)*'T100'!N36</f>
        <v>0</v>
      </c>
      <c r="O36" s="1103">
        <f>VLOOKUP(O$1,'cost per tipologia de sòl'!$A$2:$D$37,4,FALSE)*'T100'!O36</f>
        <v>0</v>
      </c>
      <c r="P36" s="1103">
        <f>VLOOKUP(P$1,'cost per tipologia de sòl'!$A$2:$D$37,4,FALSE)*'T100'!P36</f>
        <v>0</v>
      </c>
      <c r="Q36" s="1103">
        <f>VLOOKUP(Q$1,'cost per tipologia de sòl'!$A$2:$D$37,4,FALSE)*'T100'!Q36</f>
        <v>0</v>
      </c>
      <c r="R36" s="1103">
        <f>VLOOKUP(R$1,'cost per tipologia de sòl'!$A$2:$D$37,4,FALSE)*'T100'!R36</f>
        <v>0</v>
      </c>
      <c r="S36" s="1103">
        <f>VLOOKUP(S$1,'cost per tipologia de sòl'!$A$2:$D$37,4,FALSE)*'T100'!S36</f>
        <v>0</v>
      </c>
      <c r="T36" s="1103">
        <f>VLOOKUP(T$1,'cost per tipologia de sòl'!$A$2:$D$37,4,FALSE)*'T100'!T36</f>
        <v>0</v>
      </c>
      <c r="U36" s="1103">
        <f>VLOOKUP(U$1,'cost per tipologia de sòl'!$A$2:$D$37,4,FALSE)*'T100'!U36</f>
        <v>0</v>
      </c>
      <c r="V36" s="1103">
        <f>VLOOKUP(V$1,'cost per tipologia de sòl'!$A$2:$D$37,4,FALSE)*'T100'!V36</f>
        <v>0</v>
      </c>
      <c r="W36" s="1103">
        <f>VLOOKUP(W$1,'cost per tipologia de sòl'!$A$2:$D$37,4,FALSE)*'T100'!W36</f>
        <v>0</v>
      </c>
      <c r="X36" s="1103">
        <f>VLOOKUP(X$1,'cost per tipologia de sòl'!$A$2:$D$37,4,FALSE)*'T100'!X36</f>
        <v>0</v>
      </c>
      <c r="Y36" s="1103">
        <f>VLOOKUP(Y$1,'cost per tipologia de sòl'!$A$2:$D$37,4,FALSE)*'T100'!Y36</f>
        <v>0</v>
      </c>
      <c r="Z36" s="1103">
        <f>VLOOKUP(Z$1,'cost per tipologia de sòl'!$A$2:$D$37,4,FALSE)*'T100'!Z36</f>
        <v>0</v>
      </c>
      <c r="AA36" s="1103">
        <f>VLOOKUP(AA$1,'cost per tipologia de sòl'!$A$2:$D$37,4,FALSE)*'T100'!AA36</f>
        <v>0</v>
      </c>
      <c r="AB36" s="1103">
        <f>VLOOKUP(AB$1,'cost per tipologia de sòl'!$A$2:$D$37,4,FALSE)*'T100'!AB36</f>
        <v>0</v>
      </c>
      <c r="AC36" s="1103">
        <f>VLOOKUP(AC$1,'cost per tipologia de sòl'!$A$2:$D$37,4,FALSE)*'T100'!AC36</f>
        <v>0</v>
      </c>
      <c r="AD36" s="1103">
        <f>VLOOKUP(AD$1,'cost per tipologia de sòl'!$A$2:$D$37,4,FALSE)*'T100'!AD36</f>
        <v>0</v>
      </c>
      <c r="AE36" s="1103">
        <f>VLOOKUP(AE$1,'cost per tipologia de sòl'!$A$2:$D$37,4,FALSE)*'T100'!AE36</f>
        <v>0</v>
      </c>
      <c r="AF36" s="1103">
        <f>VLOOKUP(AF$1,'cost per tipologia de sòl'!$A$2:$D$37,4,FALSE)*'T100'!AF36</f>
        <v>0</v>
      </c>
      <c r="AG36" s="1103">
        <f>VLOOKUP(AG$1,'cost per tipologia de sòl'!$A$2:$D$37,4,FALSE)*'T100'!AG36</f>
        <v>0</v>
      </c>
      <c r="AH36" s="1103">
        <f>VLOOKUP(AH$1,'cost per tipologia de sòl'!$A$2:$D$37,4,FALSE)*'T100'!AH36</f>
        <v>0</v>
      </c>
      <c r="AI36" s="1103">
        <f>VLOOKUP(AI$1,'cost per tipologia de sòl'!$A$2:$D$37,4,FALSE)*'T100'!AI36</f>
        <v>0</v>
      </c>
      <c r="AJ36" s="1103">
        <f t="shared" si="0"/>
        <v>202329.71</v>
      </c>
      <c r="AK36" s="1117">
        <f t="shared" si="1"/>
        <v>6.0698913E-2</v>
      </c>
    </row>
    <row r="37" spans="1:37">
      <c r="A37" s="1096" t="s">
        <v>1025</v>
      </c>
      <c r="B37" s="1103">
        <f>VLOOKUP(B$1,'cost per tipologia de sòl'!$A$2:$D$37,4,FALSE)*'T100'!B37</f>
        <v>499337.91</v>
      </c>
      <c r="C37" s="1103">
        <f>VLOOKUP(C$1,'cost per tipologia de sòl'!$A$2:$D$37,4,FALSE)*'T100'!C37</f>
        <v>0</v>
      </c>
      <c r="D37" s="1103">
        <f>VLOOKUP(D$1,'cost per tipologia de sòl'!$A$2:$D$37,4,FALSE)*'T100'!D37</f>
        <v>1967143.3260000001</v>
      </c>
      <c r="E37" s="1103">
        <f>VLOOKUP(E$1,'cost per tipologia de sòl'!$A$2:$D$37,4,FALSE)*'T100'!E37</f>
        <v>0</v>
      </c>
      <c r="F37" s="1103">
        <f>VLOOKUP(F$1,'cost per tipologia de sòl'!$A$2:$D$37,4,FALSE)*'T100'!F37</f>
        <v>0</v>
      </c>
      <c r="G37" s="1103">
        <f>VLOOKUP(G$1,'cost per tipologia de sòl'!$A$2:$D$37,4,FALSE)*'T100'!G37</f>
        <v>0</v>
      </c>
      <c r="H37" s="1103">
        <f>VLOOKUP(H$1,'cost per tipologia de sòl'!$A$2:$D$37,4,FALSE)*'T100'!H37</f>
        <v>0</v>
      </c>
      <c r="I37" s="1103">
        <f>VLOOKUP(I$1,'cost per tipologia de sòl'!$A$2:$D$37,4,FALSE)*'T100'!I37</f>
        <v>0</v>
      </c>
      <c r="J37" s="1103">
        <f>VLOOKUP(J$1,'cost per tipologia de sòl'!$A$2:$D$37,4,FALSE)*'T100'!J37</f>
        <v>343077.29499999998</v>
      </c>
      <c r="K37" s="1103">
        <f>VLOOKUP(K$1,'cost per tipologia de sòl'!$A$2:$D$37,4,FALSE)*'T100'!K37</f>
        <v>0</v>
      </c>
      <c r="L37" s="1103">
        <f>VLOOKUP(L$1,'cost per tipologia de sòl'!$A$2:$D$37,4,FALSE)*'T100'!L37</f>
        <v>0</v>
      </c>
      <c r="M37" s="1103">
        <f>VLOOKUP(M$1,'cost per tipologia de sòl'!$A$2:$D$37,4,FALSE)*'T100'!M37</f>
        <v>0</v>
      </c>
      <c r="N37" s="1103">
        <f>VLOOKUP(N$1,'cost per tipologia de sòl'!$A$2:$D$37,4,FALSE)*'T100'!N37</f>
        <v>0</v>
      </c>
      <c r="O37" s="1103">
        <f>VLOOKUP(O$1,'cost per tipologia de sòl'!$A$2:$D$37,4,FALSE)*'T100'!O37</f>
        <v>0</v>
      </c>
      <c r="P37" s="1103">
        <f>VLOOKUP(P$1,'cost per tipologia de sòl'!$A$2:$D$37,4,FALSE)*'T100'!P37</f>
        <v>0</v>
      </c>
      <c r="Q37" s="1103">
        <f>VLOOKUP(Q$1,'cost per tipologia de sòl'!$A$2:$D$37,4,FALSE)*'T100'!Q37</f>
        <v>0</v>
      </c>
      <c r="R37" s="1103">
        <f>VLOOKUP(R$1,'cost per tipologia de sòl'!$A$2:$D$37,4,FALSE)*'T100'!R37</f>
        <v>0</v>
      </c>
      <c r="S37" s="1103">
        <f>VLOOKUP(S$1,'cost per tipologia de sòl'!$A$2:$D$37,4,FALSE)*'T100'!S37</f>
        <v>0</v>
      </c>
      <c r="T37" s="1103">
        <f>VLOOKUP(T$1,'cost per tipologia de sòl'!$A$2:$D$37,4,FALSE)*'T100'!T37</f>
        <v>3025483.5519999997</v>
      </c>
      <c r="U37" s="1103">
        <f>VLOOKUP(U$1,'cost per tipologia de sòl'!$A$2:$D$37,4,FALSE)*'T100'!U37</f>
        <v>0</v>
      </c>
      <c r="V37" s="1103">
        <f>VLOOKUP(V$1,'cost per tipologia de sòl'!$A$2:$D$37,4,FALSE)*'T100'!V37</f>
        <v>0</v>
      </c>
      <c r="W37" s="1103">
        <f>VLOOKUP(W$1,'cost per tipologia de sòl'!$A$2:$D$37,4,FALSE)*'T100'!W37</f>
        <v>0</v>
      </c>
      <c r="X37" s="1103">
        <f>VLOOKUP(X$1,'cost per tipologia de sòl'!$A$2:$D$37,4,FALSE)*'T100'!X37</f>
        <v>0</v>
      </c>
      <c r="Y37" s="1103">
        <f>VLOOKUP(Y$1,'cost per tipologia de sòl'!$A$2:$D$37,4,FALSE)*'T100'!Y37</f>
        <v>0</v>
      </c>
      <c r="Z37" s="1103">
        <f>VLOOKUP(Z$1,'cost per tipologia de sòl'!$A$2:$D$37,4,FALSE)*'T100'!Z37</f>
        <v>0</v>
      </c>
      <c r="AA37" s="1103">
        <f>VLOOKUP(AA$1,'cost per tipologia de sòl'!$A$2:$D$37,4,FALSE)*'T100'!AA37</f>
        <v>0</v>
      </c>
      <c r="AB37" s="1103">
        <f>VLOOKUP(AB$1,'cost per tipologia de sòl'!$A$2:$D$37,4,FALSE)*'T100'!AB37</f>
        <v>1234122.2000000002</v>
      </c>
      <c r="AC37" s="1103">
        <f>VLOOKUP(AC$1,'cost per tipologia de sòl'!$A$2:$D$37,4,FALSE)*'T100'!AC37</f>
        <v>42883</v>
      </c>
      <c r="AD37" s="1103">
        <f>VLOOKUP(AD$1,'cost per tipologia de sòl'!$A$2:$D$37,4,FALSE)*'T100'!AD37</f>
        <v>2126834.35</v>
      </c>
      <c r="AE37" s="1103">
        <f>VLOOKUP(AE$1,'cost per tipologia de sòl'!$A$2:$D$37,4,FALSE)*'T100'!AE37</f>
        <v>0</v>
      </c>
      <c r="AF37" s="1103">
        <f>VLOOKUP(AF$1,'cost per tipologia de sòl'!$A$2:$D$37,4,FALSE)*'T100'!AF37</f>
        <v>0</v>
      </c>
      <c r="AG37" s="1103">
        <f>VLOOKUP(AG$1,'cost per tipologia de sòl'!$A$2:$D$37,4,FALSE)*'T100'!AG37</f>
        <v>0</v>
      </c>
      <c r="AH37" s="1103">
        <f>VLOOKUP(AH$1,'cost per tipologia de sòl'!$A$2:$D$37,4,FALSE)*'T100'!AH37</f>
        <v>0</v>
      </c>
      <c r="AI37" s="1103">
        <f>VLOOKUP(AI$1,'cost per tipologia de sòl'!$A$2:$D$37,4,FALSE)*'T100'!AI37</f>
        <v>0</v>
      </c>
      <c r="AJ37" s="1103">
        <f t="shared" si="0"/>
        <v>9238881.6329999994</v>
      </c>
      <c r="AK37" s="1117">
        <f t="shared" si="1"/>
        <v>2.7716644899</v>
      </c>
    </row>
    <row r="38" spans="1:37">
      <c r="A38" s="1096" t="s">
        <v>1605</v>
      </c>
      <c r="B38" s="1103">
        <f>VLOOKUP(B$1,'cost per tipologia de sòl'!$A$2:$D$37,4,FALSE)*'T100'!B38</f>
        <v>104550362.55</v>
      </c>
      <c r="C38" s="1103">
        <f>VLOOKUP(C$1,'cost per tipologia de sòl'!$A$2:$D$37,4,FALSE)*'T100'!C38</f>
        <v>0</v>
      </c>
      <c r="D38" s="1103">
        <f>VLOOKUP(D$1,'cost per tipologia de sòl'!$A$2:$D$37,4,FALSE)*'T100'!D38</f>
        <v>0</v>
      </c>
      <c r="E38" s="1103">
        <f>VLOOKUP(E$1,'cost per tipologia de sòl'!$A$2:$D$37,4,FALSE)*'T100'!E38</f>
        <v>0</v>
      </c>
      <c r="F38" s="1103">
        <f>VLOOKUP(F$1,'cost per tipologia de sòl'!$A$2:$D$37,4,FALSE)*'T100'!F38</f>
        <v>0</v>
      </c>
      <c r="G38" s="1103">
        <f>VLOOKUP(G$1,'cost per tipologia de sòl'!$A$2:$D$37,4,FALSE)*'T100'!G38</f>
        <v>0</v>
      </c>
      <c r="H38" s="1103">
        <f>VLOOKUP(H$1,'cost per tipologia de sòl'!$A$2:$D$37,4,FALSE)*'T100'!H38</f>
        <v>0</v>
      </c>
      <c r="I38" s="1103">
        <f>VLOOKUP(I$1,'cost per tipologia de sòl'!$A$2:$D$37,4,FALSE)*'T100'!I38</f>
        <v>0</v>
      </c>
      <c r="J38" s="1103">
        <f>VLOOKUP(J$1,'cost per tipologia de sòl'!$A$2:$D$37,4,FALSE)*'T100'!J38</f>
        <v>0</v>
      </c>
      <c r="K38" s="1103">
        <f>VLOOKUP(K$1,'cost per tipologia de sòl'!$A$2:$D$37,4,FALSE)*'T100'!K38</f>
        <v>0</v>
      </c>
      <c r="L38" s="1103">
        <f>VLOOKUP(L$1,'cost per tipologia de sòl'!$A$2:$D$37,4,FALSE)*'T100'!L38</f>
        <v>6673836.8159999996</v>
      </c>
      <c r="M38" s="1103">
        <f>VLOOKUP(M$1,'cost per tipologia de sòl'!$A$2:$D$37,4,FALSE)*'T100'!M38</f>
        <v>0</v>
      </c>
      <c r="N38" s="1103">
        <f>VLOOKUP(N$1,'cost per tipologia de sòl'!$A$2:$D$37,4,FALSE)*'T100'!N38</f>
        <v>877507.576</v>
      </c>
      <c r="O38" s="1103">
        <f>VLOOKUP(O$1,'cost per tipologia de sòl'!$A$2:$D$37,4,FALSE)*'T100'!O38</f>
        <v>0</v>
      </c>
      <c r="P38" s="1103">
        <f>VLOOKUP(P$1,'cost per tipologia de sòl'!$A$2:$D$37,4,FALSE)*'T100'!P38</f>
        <v>19797048.512000002</v>
      </c>
      <c r="Q38" s="1103">
        <f>VLOOKUP(Q$1,'cost per tipologia de sòl'!$A$2:$D$37,4,FALSE)*'T100'!Q38</f>
        <v>0</v>
      </c>
      <c r="R38" s="1103">
        <f>VLOOKUP(R$1,'cost per tipologia de sòl'!$A$2:$D$37,4,FALSE)*'T100'!R38</f>
        <v>0</v>
      </c>
      <c r="S38" s="1103">
        <f>VLOOKUP(S$1,'cost per tipologia de sòl'!$A$2:$D$37,4,FALSE)*'T100'!S38</f>
        <v>61984664.783999994</v>
      </c>
      <c r="T38" s="1103">
        <f>VLOOKUP(T$1,'cost per tipologia de sòl'!$A$2:$D$37,4,FALSE)*'T100'!T38</f>
        <v>118434156.105</v>
      </c>
      <c r="U38" s="1103">
        <f>VLOOKUP(U$1,'cost per tipologia de sòl'!$A$2:$D$37,4,FALSE)*'T100'!U38</f>
        <v>6048085.0499999998</v>
      </c>
      <c r="V38" s="1103">
        <f>VLOOKUP(V$1,'cost per tipologia de sòl'!$A$2:$D$37,4,FALSE)*'T100'!V38</f>
        <v>0</v>
      </c>
      <c r="W38" s="1103">
        <f>VLOOKUP(W$1,'cost per tipologia de sòl'!$A$2:$D$37,4,FALSE)*'T100'!W38</f>
        <v>0</v>
      </c>
      <c r="X38" s="1103">
        <f>VLOOKUP(X$1,'cost per tipologia de sòl'!$A$2:$D$37,4,FALSE)*'T100'!X38</f>
        <v>0</v>
      </c>
      <c r="Y38" s="1103">
        <f>VLOOKUP(Y$1,'cost per tipologia de sòl'!$A$2:$D$37,4,FALSE)*'T100'!Y38</f>
        <v>0</v>
      </c>
      <c r="Z38" s="1103">
        <f>VLOOKUP(Z$1,'cost per tipologia de sòl'!$A$2:$D$37,4,FALSE)*'T100'!Z38</f>
        <v>426221.32200000004</v>
      </c>
      <c r="AA38" s="1103">
        <f>VLOOKUP(AA$1,'cost per tipologia de sòl'!$A$2:$D$37,4,FALSE)*'T100'!AA38</f>
        <v>0</v>
      </c>
      <c r="AB38" s="1103">
        <f>VLOOKUP(AB$1,'cost per tipologia de sòl'!$A$2:$D$37,4,FALSE)*'T100'!AB38</f>
        <v>41917745.850000001</v>
      </c>
      <c r="AC38" s="1103">
        <f>VLOOKUP(AC$1,'cost per tipologia de sòl'!$A$2:$D$37,4,FALSE)*'T100'!AC38</f>
        <v>71897503.850000009</v>
      </c>
      <c r="AD38" s="1103">
        <f>VLOOKUP(AD$1,'cost per tipologia de sòl'!$A$2:$D$37,4,FALSE)*'T100'!AD38</f>
        <v>8801910.5499999989</v>
      </c>
      <c r="AE38" s="1103">
        <f>VLOOKUP(AE$1,'cost per tipologia de sòl'!$A$2:$D$37,4,FALSE)*'T100'!AE38</f>
        <v>0</v>
      </c>
      <c r="AF38" s="1103">
        <f>VLOOKUP(AF$1,'cost per tipologia de sòl'!$A$2:$D$37,4,FALSE)*'T100'!AF38</f>
        <v>0</v>
      </c>
      <c r="AG38" s="1103">
        <f>VLOOKUP(AG$1,'cost per tipologia de sòl'!$A$2:$D$37,4,FALSE)*'T100'!AG38</f>
        <v>0</v>
      </c>
      <c r="AH38" s="1103">
        <f>VLOOKUP(AH$1,'cost per tipologia de sòl'!$A$2:$D$37,4,FALSE)*'T100'!AH38</f>
        <v>0</v>
      </c>
      <c r="AI38" s="1103">
        <f>VLOOKUP(AI$1,'cost per tipologia de sòl'!$A$2:$D$37,4,FALSE)*'T100'!AI38</f>
        <v>0</v>
      </c>
      <c r="AJ38" s="1103">
        <f t="shared" si="0"/>
        <v>441409042.96500009</v>
      </c>
      <c r="AK38" s="1117">
        <f t="shared" si="1"/>
        <v>132.42271288950002</v>
      </c>
    </row>
    <row r="39" spans="1:37">
      <c r="A39" s="1096" t="s">
        <v>1027</v>
      </c>
      <c r="B39" s="1103">
        <f>VLOOKUP(B$1,'cost per tipologia de sòl'!$A$2:$D$37,4,FALSE)*'T100'!B39</f>
        <v>0</v>
      </c>
      <c r="C39" s="1103">
        <f>VLOOKUP(C$1,'cost per tipologia de sòl'!$A$2:$D$37,4,FALSE)*'T100'!C39</f>
        <v>0</v>
      </c>
      <c r="D39" s="1103">
        <f>VLOOKUP(D$1,'cost per tipologia de sòl'!$A$2:$D$37,4,FALSE)*'T100'!D39</f>
        <v>0</v>
      </c>
      <c r="E39" s="1103">
        <f>VLOOKUP(E$1,'cost per tipologia de sòl'!$A$2:$D$37,4,FALSE)*'T100'!E39</f>
        <v>0</v>
      </c>
      <c r="F39" s="1103">
        <f>VLOOKUP(F$1,'cost per tipologia de sòl'!$A$2:$D$37,4,FALSE)*'T100'!F39</f>
        <v>0</v>
      </c>
      <c r="G39" s="1103">
        <f>VLOOKUP(G$1,'cost per tipologia de sòl'!$A$2:$D$37,4,FALSE)*'T100'!G39</f>
        <v>0</v>
      </c>
      <c r="H39" s="1103">
        <f>VLOOKUP(H$1,'cost per tipologia de sòl'!$A$2:$D$37,4,FALSE)*'T100'!H39</f>
        <v>0</v>
      </c>
      <c r="I39" s="1103">
        <f>VLOOKUP(I$1,'cost per tipologia de sòl'!$A$2:$D$37,4,FALSE)*'T100'!I39</f>
        <v>0</v>
      </c>
      <c r="J39" s="1103">
        <f>VLOOKUP(J$1,'cost per tipologia de sòl'!$A$2:$D$37,4,FALSE)*'T100'!J39</f>
        <v>397.1825</v>
      </c>
      <c r="K39" s="1103">
        <f>VLOOKUP(K$1,'cost per tipologia de sòl'!$A$2:$D$37,4,FALSE)*'T100'!K39</f>
        <v>0</v>
      </c>
      <c r="L39" s="1103">
        <f>VLOOKUP(L$1,'cost per tipologia de sòl'!$A$2:$D$37,4,FALSE)*'T100'!L39</f>
        <v>143589.93300000002</v>
      </c>
      <c r="M39" s="1103">
        <f>VLOOKUP(M$1,'cost per tipologia de sòl'!$A$2:$D$37,4,FALSE)*'T100'!M39</f>
        <v>0</v>
      </c>
      <c r="N39" s="1103">
        <f>VLOOKUP(N$1,'cost per tipologia de sòl'!$A$2:$D$37,4,FALSE)*'T100'!N39</f>
        <v>0</v>
      </c>
      <c r="O39" s="1103">
        <f>VLOOKUP(O$1,'cost per tipologia de sòl'!$A$2:$D$37,4,FALSE)*'T100'!O39</f>
        <v>0</v>
      </c>
      <c r="P39" s="1103">
        <f>VLOOKUP(P$1,'cost per tipologia de sòl'!$A$2:$D$37,4,FALSE)*'T100'!P39</f>
        <v>0</v>
      </c>
      <c r="Q39" s="1103">
        <f>VLOOKUP(Q$1,'cost per tipologia de sòl'!$A$2:$D$37,4,FALSE)*'T100'!Q39</f>
        <v>0</v>
      </c>
      <c r="R39" s="1103">
        <f>VLOOKUP(R$1,'cost per tipologia de sòl'!$A$2:$D$37,4,FALSE)*'T100'!R39</f>
        <v>0</v>
      </c>
      <c r="S39" s="1103">
        <f>VLOOKUP(S$1,'cost per tipologia de sòl'!$A$2:$D$37,4,FALSE)*'T100'!S39</f>
        <v>1147621.1040000001</v>
      </c>
      <c r="T39" s="1103">
        <f>VLOOKUP(T$1,'cost per tipologia de sòl'!$A$2:$D$37,4,FALSE)*'T100'!T39</f>
        <v>10722263.285</v>
      </c>
      <c r="U39" s="1103">
        <f>VLOOKUP(U$1,'cost per tipologia de sòl'!$A$2:$D$37,4,FALSE)*'T100'!U39</f>
        <v>0</v>
      </c>
      <c r="V39" s="1103">
        <f>VLOOKUP(V$1,'cost per tipologia de sòl'!$A$2:$D$37,4,FALSE)*'T100'!V39</f>
        <v>0</v>
      </c>
      <c r="W39" s="1103">
        <f>VLOOKUP(W$1,'cost per tipologia de sòl'!$A$2:$D$37,4,FALSE)*'T100'!W39</f>
        <v>0</v>
      </c>
      <c r="X39" s="1103">
        <f>VLOOKUP(X$1,'cost per tipologia de sòl'!$A$2:$D$37,4,FALSE)*'T100'!X39</f>
        <v>0</v>
      </c>
      <c r="Y39" s="1103">
        <f>VLOOKUP(Y$1,'cost per tipologia de sòl'!$A$2:$D$37,4,FALSE)*'T100'!Y39</f>
        <v>0</v>
      </c>
      <c r="Z39" s="1103">
        <f>VLOOKUP(Z$1,'cost per tipologia de sòl'!$A$2:$D$37,4,FALSE)*'T100'!Z39</f>
        <v>2356311.0219999999</v>
      </c>
      <c r="AA39" s="1103">
        <f>VLOOKUP(AA$1,'cost per tipologia de sòl'!$A$2:$D$37,4,FALSE)*'T100'!AA39</f>
        <v>0</v>
      </c>
      <c r="AB39" s="1103">
        <f>VLOOKUP(AB$1,'cost per tipologia de sòl'!$A$2:$D$37,4,FALSE)*'T100'!AB39</f>
        <v>883880.95</v>
      </c>
      <c r="AC39" s="1103">
        <f>VLOOKUP(AC$1,'cost per tipologia de sòl'!$A$2:$D$37,4,FALSE)*'T100'!AC39</f>
        <v>487654</v>
      </c>
      <c r="AD39" s="1103">
        <f>VLOOKUP(AD$1,'cost per tipologia de sòl'!$A$2:$D$37,4,FALSE)*'T100'!AD39</f>
        <v>4929414.1500000004</v>
      </c>
      <c r="AE39" s="1103">
        <f>VLOOKUP(AE$1,'cost per tipologia de sòl'!$A$2:$D$37,4,FALSE)*'T100'!AE39</f>
        <v>0</v>
      </c>
      <c r="AF39" s="1103">
        <f>VLOOKUP(AF$1,'cost per tipologia de sòl'!$A$2:$D$37,4,FALSE)*'T100'!AF39</f>
        <v>0</v>
      </c>
      <c r="AG39" s="1103">
        <f>VLOOKUP(AG$1,'cost per tipologia de sòl'!$A$2:$D$37,4,FALSE)*'T100'!AG39</f>
        <v>0</v>
      </c>
      <c r="AH39" s="1103">
        <f>VLOOKUP(AH$1,'cost per tipologia de sòl'!$A$2:$D$37,4,FALSE)*'T100'!AH39</f>
        <v>0</v>
      </c>
      <c r="AI39" s="1103">
        <f>VLOOKUP(AI$1,'cost per tipologia de sòl'!$A$2:$D$37,4,FALSE)*'T100'!AI39</f>
        <v>0</v>
      </c>
      <c r="AJ39" s="1103">
        <f t="shared" si="0"/>
        <v>20671131.626499999</v>
      </c>
      <c r="AK39" s="1117">
        <f t="shared" si="1"/>
        <v>6.2013394879499995</v>
      </c>
    </row>
    <row r="40" spans="1:37">
      <c r="A40" s="1096" t="s">
        <v>1030</v>
      </c>
      <c r="B40" s="1103">
        <f>VLOOKUP(B$1,'cost per tipologia de sòl'!$A$2:$D$37,4,FALSE)*'T100'!B40</f>
        <v>0</v>
      </c>
      <c r="C40" s="1103">
        <f>VLOOKUP(C$1,'cost per tipologia de sòl'!$A$2:$D$37,4,FALSE)*'T100'!C40</f>
        <v>0</v>
      </c>
      <c r="D40" s="1103">
        <f>VLOOKUP(D$1,'cost per tipologia de sòl'!$A$2:$D$37,4,FALSE)*'T100'!D40</f>
        <v>0</v>
      </c>
      <c r="E40" s="1103">
        <f>VLOOKUP(E$1,'cost per tipologia de sòl'!$A$2:$D$37,4,FALSE)*'T100'!E40</f>
        <v>0</v>
      </c>
      <c r="F40" s="1103">
        <f>VLOOKUP(F$1,'cost per tipologia de sòl'!$A$2:$D$37,4,FALSE)*'T100'!F40</f>
        <v>0</v>
      </c>
      <c r="G40" s="1103">
        <f>VLOOKUP(G$1,'cost per tipologia de sòl'!$A$2:$D$37,4,FALSE)*'T100'!G40</f>
        <v>0</v>
      </c>
      <c r="H40" s="1103">
        <f>VLOOKUP(H$1,'cost per tipologia de sòl'!$A$2:$D$37,4,FALSE)*'T100'!H40</f>
        <v>0</v>
      </c>
      <c r="I40" s="1103">
        <f>VLOOKUP(I$1,'cost per tipologia de sòl'!$A$2:$D$37,4,FALSE)*'T100'!I40</f>
        <v>0</v>
      </c>
      <c r="J40" s="1103">
        <f>VLOOKUP(J$1,'cost per tipologia de sòl'!$A$2:$D$37,4,FALSE)*'T100'!J40</f>
        <v>0</v>
      </c>
      <c r="K40" s="1103">
        <f>VLOOKUP(K$1,'cost per tipologia de sòl'!$A$2:$D$37,4,FALSE)*'T100'!K40</f>
        <v>0</v>
      </c>
      <c r="L40" s="1103">
        <f>VLOOKUP(L$1,'cost per tipologia de sòl'!$A$2:$D$37,4,FALSE)*'T100'!L40</f>
        <v>0</v>
      </c>
      <c r="M40" s="1103">
        <f>VLOOKUP(M$1,'cost per tipologia de sòl'!$A$2:$D$37,4,FALSE)*'T100'!M40</f>
        <v>0</v>
      </c>
      <c r="N40" s="1103">
        <f>VLOOKUP(N$1,'cost per tipologia de sòl'!$A$2:$D$37,4,FALSE)*'T100'!N40</f>
        <v>0</v>
      </c>
      <c r="O40" s="1103">
        <f>VLOOKUP(O$1,'cost per tipologia de sòl'!$A$2:$D$37,4,FALSE)*'T100'!O40</f>
        <v>0</v>
      </c>
      <c r="P40" s="1103">
        <f>VLOOKUP(P$1,'cost per tipologia de sòl'!$A$2:$D$37,4,FALSE)*'T100'!P40</f>
        <v>0</v>
      </c>
      <c r="Q40" s="1103">
        <f>VLOOKUP(Q$1,'cost per tipologia de sòl'!$A$2:$D$37,4,FALSE)*'T100'!Q40</f>
        <v>0</v>
      </c>
      <c r="R40" s="1103">
        <f>VLOOKUP(R$1,'cost per tipologia de sòl'!$A$2:$D$37,4,FALSE)*'T100'!R40</f>
        <v>0</v>
      </c>
      <c r="S40" s="1103">
        <f>VLOOKUP(S$1,'cost per tipologia de sòl'!$A$2:$D$37,4,FALSE)*'T100'!S40</f>
        <v>0</v>
      </c>
      <c r="T40" s="1103">
        <f>VLOOKUP(T$1,'cost per tipologia de sòl'!$A$2:$D$37,4,FALSE)*'T100'!T40</f>
        <v>0</v>
      </c>
      <c r="U40" s="1103">
        <f>VLOOKUP(U$1,'cost per tipologia de sòl'!$A$2:$D$37,4,FALSE)*'T100'!U40</f>
        <v>0</v>
      </c>
      <c r="V40" s="1103">
        <f>VLOOKUP(V$1,'cost per tipologia de sòl'!$A$2:$D$37,4,FALSE)*'T100'!V40</f>
        <v>0</v>
      </c>
      <c r="W40" s="1103">
        <f>VLOOKUP(W$1,'cost per tipologia de sòl'!$A$2:$D$37,4,FALSE)*'T100'!W40</f>
        <v>0</v>
      </c>
      <c r="X40" s="1103">
        <f>VLOOKUP(X$1,'cost per tipologia de sòl'!$A$2:$D$37,4,FALSE)*'T100'!X40</f>
        <v>0</v>
      </c>
      <c r="Y40" s="1103">
        <f>VLOOKUP(Y$1,'cost per tipologia de sòl'!$A$2:$D$37,4,FALSE)*'T100'!Y40</f>
        <v>0</v>
      </c>
      <c r="Z40" s="1103">
        <f>VLOOKUP(Z$1,'cost per tipologia de sòl'!$A$2:$D$37,4,FALSE)*'T100'!Z40</f>
        <v>0</v>
      </c>
      <c r="AA40" s="1103">
        <f>VLOOKUP(AA$1,'cost per tipologia de sòl'!$A$2:$D$37,4,FALSE)*'T100'!AA40</f>
        <v>0</v>
      </c>
      <c r="AB40" s="1103">
        <f>VLOOKUP(AB$1,'cost per tipologia de sòl'!$A$2:$D$37,4,FALSE)*'T100'!AB40</f>
        <v>0</v>
      </c>
      <c r="AC40" s="1103">
        <f>VLOOKUP(AC$1,'cost per tipologia de sòl'!$A$2:$D$37,4,FALSE)*'T100'!AC40</f>
        <v>0</v>
      </c>
      <c r="AD40" s="1103">
        <f>VLOOKUP(AD$1,'cost per tipologia de sòl'!$A$2:$D$37,4,FALSE)*'T100'!AD40</f>
        <v>2205704.3000000003</v>
      </c>
      <c r="AE40" s="1103">
        <f>VLOOKUP(AE$1,'cost per tipologia de sòl'!$A$2:$D$37,4,FALSE)*'T100'!AE40</f>
        <v>0</v>
      </c>
      <c r="AF40" s="1103">
        <f>VLOOKUP(AF$1,'cost per tipologia de sòl'!$A$2:$D$37,4,FALSE)*'T100'!AF40</f>
        <v>0</v>
      </c>
      <c r="AG40" s="1103">
        <f>VLOOKUP(AG$1,'cost per tipologia de sòl'!$A$2:$D$37,4,FALSE)*'T100'!AG40</f>
        <v>0</v>
      </c>
      <c r="AH40" s="1103">
        <f>VLOOKUP(AH$1,'cost per tipologia de sòl'!$A$2:$D$37,4,FALSE)*'T100'!AH40</f>
        <v>0</v>
      </c>
      <c r="AI40" s="1103">
        <f>VLOOKUP(AI$1,'cost per tipologia de sòl'!$A$2:$D$37,4,FALSE)*'T100'!AI40</f>
        <v>0</v>
      </c>
      <c r="AJ40" s="1103">
        <f t="shared" si="0"/>
        <v>2205704.3000000003</v>
      </c>
      <c r="AK40" s="1117">
        <f t="shared" si="1"/>
        <v>0.66171129000000006</v>
      </c>
    </row>
    <row r="41" spans="1:37">
      <c r="A41" s="1096" t="s">
        <v>1037</v>
      </c>
      <c r="B41" s="1103">
        <f>VLOOKUP(B$1,'cost per tipologia de sòl'!$A$2:$D$37,4,FALSE)*'T100'!B41</f>
        <v>44015.652000000002</v>
      </c>
      <c r="C41" s="1103">
        <f>VLOOKUP(C$1,'cost per tipologia de sòl'!$A$2:$D$37,4,FALSE)*'T100'!C41</f>
        <v>0</v>
      </c>
      <c r="D41" s="1103">
        <f>VLOOKUP(D$1,'cost per tipologia de sòl'!$A$2:$D$37,4,FALSE)*'T100'!D41</f>
        <v>77821.422000000006</v>
      </c>
      <c r="E41" s="1103">
        <f>VLOOKUP(E$1,'cost per tipologia de sòl'!$A$2:$D$37,4,FALSE)*'T100'!E41</f>
        <v>0</v>
      </c>
      <c r="F41" s="1103">
        <f>VLOOKUP(F$1,'cost per tipologia de sòl'!$A$2:$D$37,4,FALSE)*'T100'!F41</f>
        <v>0</v>
      </c>
      <c r="G41" s="1103">
        <f>VLOOKUP(G$1,'cost per tipologia de sòl'!$A$2:$D$37,4,FALSE)*'T100'!G41</f>
        <v>0</v>
      </c>
      <c r="H41" s="1103">
        <f>VLOOKUP(H$1,'cost per tipologia de sòl'!$A$2:$D$37,4,FALSE)*'T100'!H41</f>
        <v>0</v>
      </c>
      <c r="I41" s="1103">
        <f>VLOOKUP(I$1,'cost per tipologia de sòl'!$A$2:$D$37,4,FALSE)*'T100'!I41</f>
        <v>0</v>
      </c>
      <c r="J41" s="1103">
        <f>VLOOKUP(J$1,'cost per tipologia de sòl'!$A$2:$D$37,4,FALSE)*'T100'!J41</f>
        <v>817197.62300000002</v>
      </c>
      <c r="K41" s="1103">
        <f>VLOOKUP(K$1,'cost per tipologia de sòl'!$A$2:$D$37,4,FALSE)*'T100'!K41</f>
        <v>0</v>
      </c>
      <c r="L41" s="1103">
        <f>VLOOKUP(L$1,'cost per tipologia de sòl'!$A$2:$D$37,4,FALSE)*'T100'!L41</f>
        <v>0</v>
      </c>
      <c r="M41" s="1103">
        <f>VLOOKUP(M$1,'cost per tipologia de sòl'!$A$2:$D$37,4,FALSE)*'T100'!M41</f>
        <v>0</v>
      </c>
      <c r="N41" s="1103">
        <f>VLOOKUP(N$1,'cost per tipologia de sòl'!$A$2:$D$37,4,FALSE)*'T100'!N41</f>
        <v>0</v>
      </c>
      <c r="O41" s="1103">
        <f>VLOOKUP(O$1,'cost per tipologia de sòl'!$A$2:$D$37,4,FALSE)*'T100'!O41</f>
        <v>0</v>
      </c>
      <c r="P41" s="1103">
        <f>VLOOKUP(P$1,'cost per tipologia de sòl'!$A$2:$D$37,4,FALSE)*'T100'!P41</f>
        <v>0</v>
      </c>
      <c r="Q41" s="1103">
        <f>VLOOKUP(Q$1,'cost per tipologia de sòl'!$A$2:$D$37,4,FALSE)*'T100'!Q41</f>
        <v>0</v>
      </c>
      <c r="R41" s="1103">
        <f>VLOOKUP(R$1,'cost per tipologia de sòl'!$A$2:$D$37,4,FALSE)*'T100'!R41</f>
        <v>0</v>
      </c>
      <c r="S41" s="1103">
        <f>VLOOKUP(S$1,'cost per tipologia de sòl'!$A$2:$D$37,4,FALSE)*'T100'!S41</f>
        <v>1696372.2719999999</v>
      </c>
      <c r="T41" s="1103">
        <f>VLOOKUP(T$1,'cost per tipologia de sòl'!$A$2:$D$37,4,FALSE)*'T100'!T41</f>
        <v>213129.24699999997</v>
      </c>
      <c r="U41" s="1103">
        <f>VLOOKUP(U$1,'cost per tipologia de sòl'!$A$2:$D$37,4,FALSE)*'T100'!U41</f>
        <v>0</v>
      </c>
      <c r="V41" s="1103">
        <f>VLOOKUP(V$1,'cost per tipologia de sòl'!$A$2:$D$37,4,FALSE)*'T100'!V41</f>
        <v>0</v>
      </c>
      <c r="W41" s="1103">
        <f>VLOOKUP(W$1,'cost per tipologia de sòl'!$A$2:$D$37,4,FALSE)*'T100'!W41</f>
        <v>0</v>
      </c>
      <c r="X41" s="1103">
        <f>VLOOKUP(X$1,'cost per tipologia de sòl'!$A$2:$D$37,4,FALSE)*'T100'!X41</f>
        <v>0</v>
      </c>
      <c r="Y41" s="1103">
        <f>VLOOKUP(Y$1,'cost per tipologia de sòl'!$A$2:$D$37,4,FALSE)*'T100'!Y41</f>
        <v>0</v>
      </c>
      <c r="Z41" s="1103">
        <f>VLOOKUP(Z$1,'cost per tipologia de sòl'!$A$2:$D$37,4,FALSE)*'T100'!Z41</f>
        <v>882631.33</v>
      </c>
      <c r="AA41" s="1103">
        <f>VLOOKUP(AA$1,'cost per tipologia de sòl'!$A$2:$D$37,4,FALSE)*'T100'!AA41</f>
        <v>0</v>
      </c>
      <c r="AB41" s="1103">
        <f>VLOOKUP(AB$1,'cost per tipologia de sòl'!$A$2:$D$37,4,FALSE)*'T100'!AB41</f>
        <v>0</v>
      </c>
      <c r="AC41" s="1103">
        <f>VLOOKUP(AC$1,'cost per tipologia de sòl'!$A$2:$D$37,4,FALSE)*'T100'!AC41</f>
        <v>138.70000000000002</v>
      </c>
      <c r="AD41" s="1103">
        <f>VLOOKUP(AD$1,'cost per tipologia de sòl'!$A$2:$D$37,4,FALSE)*'T100'!AD41</f>
        <v>1319200.3999999999</v>
      </c>
      <c r="AE41" s="1103">
        <f>VLOOKUP(AE$1,'cost per tipologia de sòl'!$A$2:$D$37,4,FALSE)*'T100'!AE41</f>
        <v>0</v>
      </c>
      <c r="AF41" s="1103">
        <f>VLOOKUP(AF$1,'cost per tipologia de sòl'!$A$2:$D$37,4,FALSE)*'T100'!AF41</f>
        <v>0</v>
      </c>
      <c r="AG41" s="1103">
        <f>VLOOKUP(AG$1,'cost per tipologia de sòl'!$A$2:$D$37,4,FALSE)*'T100'!AG41</f>
        <v>0</v>
      </c>
      <c r="AH41" s="1103">
        <f>VLOOKUP(AH$1,'cost per tipologia de sòl'!$A$2:$D$37,4,FALSE)*'T100'!AH41</f>
        <v>0</v>
      </c>
      <c r="AI41" s="1103">
        <f>VLOOKUP(AI$1,'cost per tipologia de sòl'!$A$2:$D$37,4,FALSE)*'T100'!AI41</f>
        <v>0</v>
      </c>
      <c r="AJ41" s="1103">
        <f t="shared" si="0"/>
        <v>5050506.6459999997</v>
      </c>
      <c r="AK41" s="1117">
        <f t="shared" si="1"/>
        <v>1.5151519938</v>
      </c>
    </row>
    <row r="42" spans="1:37">
      <c r="A42" s="1096" t="s">
        <v>1043</v>
      </c>
      <c r="B42" s="1103">
        <f>VLOOKUP(B$1,'cost per tipologia de sòl'!$A$2:$D$37,4,FALSE)*'T100'!B42</f>
        <v>2628563.8320000004</v>
      </c>
      <c r="C42" s="1103">
        <f>VLOOKUP(C$1,'cost per tipologia de sòl'!$A$2:$D$37,4,FALSE)*'T100'!C42</f>
        <v>0</v>
      </c>
      <c r="D42" s="1103">
        <f>VLOOKUP(D$1,'cost per tipologia de sòl'!$A$2:$D$37,4,FALSE)*'T100'!D42</f>
        <v>0</v>
      </c>
      <c r="E42" s="1103">
        <f>VLOOKUP(E$1,'cost per tipologia de sòl'!$A$2:$D$37,4,FALSE)*'T100'!E42</f>
        <v>0</v>
      </c>
      <c r="F42" s="1103">
        <f>VLOOKUP(F$1,'cost per tipologia de sòl'!$A$2:$D$37,4,FALSE)*'T100'!F42</f>
        <v>0</v>
      </c>
      <c r="G42" s="1103">
        <f>VLOOKUP(G$1,'cost per tipologia de sòl'!$A$2:$D$37,4,FALSE)*'T100'!G42</f>
        <v>0</v>
      </c>
      <c r="H42" s="1103">
        <f>VLOOKUP(H$1,'cost per tipologia de sòl'!$A$2:$D$37,4,FALSE)*'T100'!H42</f>
        <v>0</v>
      </c>
      <c r="I42" s="1103">
        <f>VLOOKUP(I$1,'cost per tipologia de sòl'!$A$2:$D$37,4,FALSE)*'T100'!I42</f>
        <v>0</v>
      </c>
      <c r="J42" s="1103">
        <f>VLOOKUP(J$1,'cost per tipologia de sòl'!$A$2:$D$37,4,FALSE)*'T100'!J42</f>
        <v>7454.3040000000001</v>
      </c>
      <c r="K42" s="1103">
        <f>VLOOKUP(K$1,'cost per tipologia de sòl'!$A$2:$D$37,4,FALSE)*'T100'!K42</f>
        <v>0</v>
      </c>
      <c r="L42" s="1103">
        <f>VLOOKUP(L$1,'cost per tipologia de sòl'!$A$2:$D$37,4,FALSE)*'T100'!L42</f>
        <v>43190.019</v>
      </c>
      <c r="M42" s="1103">
        <f>VLOOKUP(M$1,'cost per tipologia de sòl'!$A$2:$D$37,4,FALSE)*'T100'!M42</f>
        <v>0</v>
      </c>
      <c r="N42" s="1103">
        <f>VLOOKUP(N$1,'cost per tipologia de sòl'!$A$2:$D$37,4,FALSE)*'T100'!N42</f>
        <v>0</v>
      </c>
      <c r="O42" s="1103">
        <f>VLOOKUP(O$1,'cost per tipologia de sòl'!$A$2:$D$37,4,FALSE)*'T100'!O42</f>
        <v>0</v>
      </c>
      <c r="P42" s="1103">
        <f>VLOOKUP(P$1,'cost per tipologia de sòl'!$A$2:$D$37,4,FALSE)*'T100'!P42</f>
        <v>1516267.888</v>
      </c>
      <c r="Q42" s="1103">
        <f>VLOOKUP(Q$1,'cost per tipologia de sòl'!$A$2:$D$37,4,FALSE)*'T100'!Q42</f>
        <v>0</v>
      </c>
      <c r="R42" s="1103">
        <f>VLOOKUP(R$1,'cost per tipologia de sòl'!$A$2:$D$37,4,FALSE)*'T100'!R42</f>
        <v>0</v>
      </c>
      <c r="S42" s="1103">
        <f>VLOOKUP(S$1,'cost per tipologia de sòl'!$A$2:$D$37,4,FALSE)*'T100'!S42</f>
        <v>0</v>
      </c>
      <c r="T42" s="1103">
        <f>VLOOKUP(T$1,'cost per tipologia de sòl'!$A$2:$D$37,4,FALSE)*'T100'!T42</f>
        <v>1945045.3760000002</v>
      </c>
      <c r="U42" s="1103">
        <f>VLOOKUP(U$1,'cost per tipologia de sòl'!$A$2:$D$37,4,FALSE)*'T100'!U42</f>
        <v>0</v>
      </c>
      <c r="V42" s="1103">
        <f>VLOOKUP(V$1,'cost per tipologia de sòl'!$A$2:$D$37,4,FALSE)*'T100'!V42</f>
        <v>0</v>
      </c>
      <c r="W42" s="1103">
        <f>VLOOKUP(W$1,'cost per tipologia de sòl'!$A$2:$D$37,4,FALSE)*'T100'!W42</f>
        <v>0</v>
      </c>
      <c r="X42" s="1103">
        <f>VLOOKUP(X$1,'cost per tipologia de sòl'!$A$2:$D$37,4,FALSE)*'T100'!X42</f>
        <v>0</v>
      </c>
      <c r="Y42" s="1103">
        <f>VLOOKUP(Y$1,'cost per tipologia de sòl'!$A$2:$D$37,4,FALSE)*'T100'!Y42</f>
        <v>0</v>
      </c>
      <c r="Z42" s="1103">
        <f>VLOOKUP(Z$1,'cost per tipologia de sòl'!$A$2:$D$37,4,FALSE)*'T100'!Z42</f>
        <v>308130.99800000002</v>
      </c>
      <c r="AA42" s="1103">
        <f>VLOOKUP(AA$1,'cost per tipologia de sòl'!$A$2:$D$37,4,FALSE)*'T100'!AA42</f>
        <v>0</v>
      </c>
      <c r="AB42" s="1103">
        <f>VLOOKUP(AB$1,'cost per tipologia de sòl'!$A$2:$D$37,4,FALSE)*'T100'!AB42</f>
        <v>80859.25</v>
      </c>
      <c r="AC42" s="1103">
        <f>VLOOKUP(AC$1,'cost per tipologia de sòl'!$A$2:$D$37,4,FALSE)*'T100'!AC42</f>
        <v>959290.04999999993</v>
      </c>
      <c r="AD42" s="1103">
        <f>VLOOKUP(AD$1,'cost per tipologia de sòl'!$A$2:$D$37,4,FALSE)*'T100'!AD42</f>
        <v>4929666.8499999996</v>
      </c>
      <c r="AE42" s="1103">
        <f>VLOOKUP(AE$1,'cost per tipologia de sòl'!$A$2:$D$37,4,FALSE)*'T100'!AE42</f>
        <v>0</v>
      </c>
      <c r="AF42" s="1103">
        <f>VLOOKUP(AF$1,'cost per tipologia de sòl'!$A$2:$D$37,4,FALSE)*'T100'!AF42</f>
        <v>0</v>
      </c>
      <c r="AG42" s="1103">
        <f>VLOOKUP(AG$1,'cost per tipologia de sòl'!$A$2:$D$37,4,FALSE)*'T100'!AG42</f>
        <v>0</v>
      </c>
      <c r="AH42" s="1103">
        <f>VLOOKUP(AH$1,'cost per tipologia de sòl'!$A$2:$D$37,4,FALSE)*'T100'!AH42</f>
        <v>0</v>
      </c>
      <c r="AI42" s="1103">
        <f>VLOOKUP(AI$1,'cost per tipologia de sòl'!$A$2:$D$37,4,FALSE)*'T100'!AI42</f>
        <v>0</v>
      </c>
      <c r="AJ42" s="1103">
        <f t="shared" si="0"/>
        <v>12418468.567</v>
      </c>
      <c r="AK42" s="1117">
        <f t="shared" si="1"/>
        <v>3.7255405700999997</v>
      </c>
    </row>
    <row r="43" spans="1:37">
      <c r="A43" s="1096" t="s">
        <v>1046</v>
      </c>
      <c r="B43" s="1103">
        <f>VLOOKUP(B$1,'cost per tipologia de sòl'!$A$2:$D$37,4,FALSE)*'T100'!B43</f>
        <v>0</v>
      </c>
      <c r="C43" s="1103">
        <f>VLOOKUP(C$1,'cost per tipologia de sòl'!$A$2:$D$37,4,FALSE)*'T100'!C43</f>
        <v>0</v>
      </c>
      <c r="D43" s="1103">
        <f>VLOOKUP(D$1,'cost per tipologia de sòl'!$A$2:$D$37,4,FALSE)*'T100'!D43</f>
        <v>0</v>
      </c>
      <c r="E43" s="1103">
        <f>VLOOKUP(E$1,'cost per tipologia de sòl'!$A$2:$D$37,4,FALSE)*'T100'!E43</f>
        <v>0</v>
      </c>
      <c r="F43" s="1103">
        <f>VLOOKUP(F$1,'cost per tipologia de sòl'!$A$2:$D$37,4,FALSE)*'T100'!F43</f>
        <v>0</v>
      </c>
      <c r="G43" s="1103">
        <f>VLOOKUP(G$1,'cost per tipologia de sòl'!$A$2:$D$37,4,FALSE)*'T100'!G43</f>
        <v>0</v>
      </c>
      <c r="H43" s="1103">
        <f>VLOOKUP(H$1,'cost per tipologia de sòl'!$A$2:$D$37,4,FALSE)*'T100'!H43</f>
        <v>0</v>
      </c>
      <c r="I43" s="1103">
        <f>VLOOKUP(I$1,'cost per tipologia de sòl'!$A$2:$D$37,4,FALSE)*'T100'!I43</f>
        <v>0</v>
      </c>
      <c r="J43" s="1103">
        <f>VLOOKUP(J$1,'cost per tipologia de sòl'!$A$2:$D$37,4,FALSE)*'T100'!J43</f>
        <v>0</v>
      </c>
      <c r="K43" s="1103">
        <f>VLOOKUP(K$1,'cost per tipologia de sòl'!$A$2:$D$37,4,FALSE)*'T100'!K43</f>
        <v>0</v>
      </c>
      <c r="L43" s="1103">
        <f>VLOOKUP(L$1,'cost per tipologia de sòl'!$A$2:$D$37,4,FALSE)*'T100'!L43</f>
        <v>0</v>
      </c>
      <c r="M43" s="1103">
        <f>VLOOKUP(M$1,'cost per tipologia de sòl'!$A$2:$D$37,4,FALSE)*'T100'!M43</f>
        <v>0</v>
      </c>
      <c r="N43" s="1103">
        <f>VLOOKUP(N$1,'cost per tipologia de sòl'!$A$2:$D$37,4,FALSE)*'T100'!N43</f>
        <v>0</v>
      </c>
      <c r="O43" s="1103">
        <f>VLOOKUP(O$1,'cost per tipologia de sòl'!$A$2:$D$37,4,FALSE)*'T100'!O43</f>
        <v>0</v>
      </c>
      <c r="P43" s="1103">
        <f>VLOOKUP(P$1,'cost per tipologia de sòl'!$A$2:$D$37,4,FALSE)*'T100'!P43</f>
        <v>0</v>
      </c>
      <c r="Q43" s="1103">
        <f>VLOOKUP(Q$1,'cost per tipologia de sòl'!$A$2:$D$37,4,FALSE)*'T100'!Q43</f>
        <v>0</v>
      </c>
      <c r="R43" s="1103">
        <f>VLOOKUP(R$1,'cost per tipologia de sòl'!$A$2:$D$37,4,FALSE)*'T100'!R43</f>
        <v>0</v>
      </c>
      <c r="S43" s="1103">
        <f>VLOOKUP(S$1,'cost per tipologia de sòl'!$A$2:$D$37,4,FALSE)*'T100'!S43</f>
        <v>0</v>
      </c>
      <c r="T43" s="1103">
        <f>VLOOKUP(T$1,'cost per tipologia de sòl'!$A$2:$D$37,4,FALSE)*'T100'!T43</f>
        <v>0</v>
      </c>
      <c r="U43" s="1103">
        <f>VLOOKUP(U$1,'cost per tipologia de sòl'!$A$2:$D$37,4,FALSE)*'T100'!U43</f>
        <v>2381890.35</v>
      </c>
      <c r="V43" s="1103">
        <f>VLOOKUP(V$1,'cost per tipologia de sòl'!$A$2:$D$37,4,FALSE)*'T100'!V43</f>
        <v>0</v>
      </c>
      <c r="W43" s="1103">
        <f>VLOOKUP(W$1,'cost per tipologia de sòl'!$A$2:$D$37,4,FALSE)*'T100'!W43</f>
        <v>0</v>
      </c>
      <c r="X43" s="1103">
        <f>VLOOKUP(X$1,'cost per tipologia de sòl'!$A$2:$D$37,4,FALSE)*'T100'!X43</f>
        <v>0</v>
      </c>
      <c r="Y43" s="1103">
        <f>VLOOKUP(Y$1,'cost per tipologia de sòl'!$A$2:$D$37,4,FALSE)*'T100'!Y43</f>
        <v>0</v>
      </c>
      <c r="Z43" s="1103">
        <f>VLOOKUP(Z$1,'cost per tipologia de sòl'!$A$2:$D$37,4,FALSE)*'T100'!Z43</f>
        <v>0</v>
      </c>
      <c r="AA43" s="1103">
        <f>VLOOKUP(AA$1,'cost per tipologia de sòl'!$A$2:$D$37,4,FALSE)*'T100'!AA43</f>
        <v>0</v>
      </c>
      <c r="AB43" s="1103">
        <f>VLOOKUP(AB$1,'cost per tipologia de sòl'!$A$2:$D$37,4,FALSE)*'T100'!AB43</f>
        <v>0</v>
      </c>
      <c r="AC43" s="1103">
        <f>VLOOKUP(AC$1,'cost per tipologia de sòl'!$A$2:$D$37,4,FALSE)*'T100'!AC43</f>
        <v>0</v>
      </c>
      <c r="AD43" s="1103">
        <f>VLOOKUP(AD$1,'cost per tipologia de sòl'!$A$2:$D$37,4,FALSE)*'T100'!AD43</f>
        <v>4294677.3499999996</v>
      </c>
      <c r="AE43" s="1103">
        <f>VLOOKUP(AE$1,'cost per tipologia de sòl'!$A$2:$D$37,4,FALSE)*'T100'!AE43</f>
        <v>0</v>
      </c>
      <c r="AF43" s="1103">
        <f>VLOOKUP(AF$1,'cost per tipologia de sòl'!$A$2:$D$37,4,FALSE)*'T100'!AF43</f>
        <v>0</v>
      </c>
      <c r="AG43" s="1103">
        <f>VLOOKUP(AG$1,'cost per tipologia de sòl'!$A$2:$D$37,4,FALSE)*'T100'!AG43</f>
        <v>0</v>
      </c>
      <c r="AH43" s="1103">
        <f>VLOOKUP(AH$1,'cost per tipologia de sòl'!$A$2:$D$37,4,FALSE)*'T100'!AH43</f>
        <v>0</v>
      </c>
      <c r="AI43" s="1103">
        <f>VLOOKUP(AI$1,'cost per tipologia de sòl'!$A$2:$D$37,4,FALSE)*'T100'!AI43</f>
        <v>0</v>
      </c>
      <c r="AJ43" s="1103">
        <f t="shared" si="0"/>
        <v>6676567.6999999993</v>
      </c>
      <c r="AK43" s="1117">
        <f t="shared" si="1"/>
        <v>2.0029703099999998</v>
      </c>
    </row>
    <row r="44" spans="1:37">
      <c r="A44" s="1096" t="s">
        <v>341</v>
      </c>
      <c r="B44" s="1103">
        <f>VLOOKUP(B$1,'cost per tipologia de sòl'!$A$2:$D$37,4,FALSE)*'T100'!B44</f>
        <v>0</v>
      </c>
      <c r="C44" s="1103">
        <f>VLOOKUP(C$1,'cost per tipologia de sòl'!$A$2:$D$37,4,FALSE)*'T100'!C44</f>
        <v>0</v>
      </c>
      <c r="D44" s="1103">
        <f>VLOOKUP(D$1,'cost per tipologia de sòl'!$A$2:$D$37,4,FALSE)*'T100'!D44</f>
        <v>0</v>
      </c>
      <c r="E44" s="1103">
        <f>VLOOKUP(E$1,'cost per tipologia de sòl'!$A$2:$D$37,4,FALSE)*'T100'!E44</f>
        <v>0</v>
      </c>
      <c r="F44" s="1103">
        <f>VLOOKUP(F$1,'cost per tipologia de sòl'!$A$2:$D$37,4,FALSE)*'T100'!F44</f>
        <v>0</v>
      </c>
      <c r="G44" s="1103">
        <f>VLOOKUP(G$1,'cost per tipologia de sòl'!$A$2:$D$37,4,FALSE)*'T100'!G44</f>
        <v>0</v>
      </c>
      <c r="H44" s="1103">
        <f>VLOOKUP(H$1,'cost per tipologia de sòl'!$A$2:$D$37,4,FALSE)*'T100'!H44</f>
        <v>0</v>
      </c>
      <c r="I44" s="1103">
        <f>VLOOKUP(I$1,'cost per tipologia de sòl'!$A$2:$D$37,4,FALSE)*'T100'!I44</f>
        <v>0</v>
      </c>
      <c r="J44" s="1103">
        <f>VLOOKUP(J$1,'cost per tipologia de sòl'!$A$2:$D$37,4,FALSE)*'T100'!J44</f>
        <v>76548.466499999995</v>
      </c>
      <c r="K44" s="1103">
        <f>VLOOKUP(K$1,'cost per tipologia de sòl'!$A$2:$D$37,4,FALSE)*'T100'!K44</f>
        <v>0</v>
      </c>
      <c r="L44" s="1103">
        <f>VLOOKUP(L$1,'cost per tipologia de sòl'!$A$2:$D$37,4,FALSE)*'T100'!L44</f>
        <v>480544.326</v>
      </c>
      <c r="M44" s="1103">
        <f>VLOOKUP(M$1,'cost per tipologia de sòl'!$A$2:$D$37,4,FALSE)*'T100'!M44</f>
        <v>759417.66399999987</v>
      </c>
      <c r="N44" s="1103">
        <f>VLOOKUP(N$1,'cost per tipologia de sòl'!$A$2:$D$37,4,FALSE)*'T100'!N44</f>
        <v>34364132.767999999</v>
      </c>
      <c r="O44" s="1103">
        <f>VLOOKUP(O$1,'cost per tipologia de sòl'!$A$2:$D$37,4,FALSE)*'T100'!O44</f>
        <v>0</v>
      </c>
      <c r="P44" s="1103">
        <f>VLOOKUP(P$1,'cost per tipologia de sòl'!$A$2:$D$37,4,FALSE)*'T100'!P44</f>
        <v>0</v>
      </c>
      <c r="Q44" s="1103">
        <f>VLOOKUP(Q$1,'cost per tipologia de sòl'!$A$2:$D$37,4,FALSE)*'T100'!Q44</f>
        <v>0</v>
      </c>
      <c r="R44" s="1103">
        <f>VLOOKUP(R$1,'cost per tipologia de sòl'!$A$2:$D$37,4,FALSE)*'T100'!R44</f>
        <v>0</v>
      </c>
      <c r="S44" s="1103">
        <f>VLOOKUP(S$1,'cost per tipologia de sòl'!$A$2:$D$37,4,FALSE)*'T100'!S44</f>
        <v>25384744.223999999</v>
      </c>
      <c r="T44" s="1103">
        <f>VLOOKUP(T$1,'cost per tipologia de sòl'!$A$2:$D$37,4,FALSE)*'T100'!T44</f>
        <v>14087892.058</v>
      </c>
      <c r="U44" s="1103">
        <f>VLOOKUP(U$1,'cost per tipologia de sòl'!$A$2:$D$37,4,FALSE)*'T100'!U44</f>
        <v>3738237.3000000003</v>
      </c>
      <c r="V44" s="1103">
        <f>VLOOKUP(V$1,'cost per tipologia de sòl'!$A$2:$D$37,4,FALSE)*'T100'!V44</f>
        <v>0</v>
      </c>
      <c r="W44" s="1103">
        <f>VLOOKUP(W$1,'cost per tipologia de sòl'!$A$2:$D$37,4,FALSE)*'T100'!W44</f>
        <v>0</v>
      </c>
      <c r="X44" s="1103">
        <f>VLOOKUP(X$1,'cost per tipologia de sòl'!$A$2:$D$37,4,FALSE)*'T100'!X44</f>
        <v>0</v>
      </c>
      <c r="Y44" s="1103">
        <f>VLOOKUP(Y$1,'cost per tipologia de sòl'!$A$2:$D$37,4,FALSE)*'T100'!Y44</f>
        <v>0</v>
      </c>
      <c r="Z44" s="1103">
        <f>VLOOKUP(Z$1,'cost per tipologia de sòl'!$A$2:$D$37,4,FALSE)*'T100'!Z44</f>
        <v>0</v>
      </c>
      <c r="AA44" s="1103">
        <f>VLOOKUP(AA$1,'cost per tipologia de sòl'!$A$2:$D$37,4,FALSE)*'T100'!AA44</f>
        <v>0</v>
      </c>
      <c r="AB44" s="1103">
        <f>VLOOKUP(AB$1,'cost per tipologia de sòl'!$A$2:$D$37,4,FALSE)*'T100'!AB44</f>
        <v>5881907.9000000004</v>
      </c>
      <c r="AC44" s="1103">
        <f>VLOOKUP(AC$1,'cost per tipologia de sòl'!$A$2:$D$37,4,FALSE)*'T100'!AC44</f>
        <v>48386963.700000003</v>
      </c>
      <c r="AD44" s="1103">
        <f>VLOOKUP(AD$1,'cost per tipologia de sòl'!$A$2:$D$37,4,FALSE)*'T100'!AD44</f>
        <v>32310882.25</v>
      </c>
      <c r="AE44" s="1103">
        <f>VLOOKUP(AE$1,'cost per tipologia de sòl'!$A$2:$D$37,4,FALSE)*'T100'!AE44</f>
        <v>0</v>
      </c>
      <c r="AF44" s="1103">
        <f>VLOOKUP(AF$1,'cost per tipologia de sòl'!$A$2:$D$37,4,FALSE)*'T100'!AF44</f>
        <v>0</v>
      </c>
      <c r="AG44" s="1103">
        <f>VLOOKUP(AG$1,'cost per tipologia de sòl'!$A$2:$D$37,4,FALSE)*'T100'!AG44</f>
        <v>0</v>
      </c>
      <c r="AH44" s="1103">
        <f>VLOOKUP(AH$1,'cost per tipologia de sòl'!$A$2:$D$37,4,FALSE)*'T100'!AH44</f>
        <v>0</v>
      </c>
      <c r="AI44" s="1103">
        <f>VLOOKUP(AI$1,'cost per tipologia de sòl'!$A$2:$D$37,4,FALSE)*'T100'!AI44</f>
        <v>0</v>
      </c>
      <c r="AJ44" s="1103">
        <f t="shared" si="0"/>
        <v>165471270.65650001</v>
      </c>
      <c r="AK44" s="1117">
        <f t="shared" si="1"/>
        <v>49.641381196950007</v>
      </c>
    </row>
    <row r="45" spans="1:37">
      <c r="A45" s="1096" t="s">
        <v>1050</v>
      </c>
      <c r="B45" s="1103">
        <f>VLOOKUP(B$1,'cost per tipologia de sòl'!$A$2:$D$37,4,FALSE)*'T100'!B45</f>
        <v>15442609.788000001</v>
      </c>
      <c r="C45" s="1103">
        <f>VLOOKUP(C$1,'cost per tipologia de sòl'!$A$2:$D$37,4,FALSE)*'T100'!C45</f>
        <v>0</v>
      </c>
      <c r="D45" s="1103">
        <f>VLOOKUP(D$1,'cost per tipologia de sòl'!$A$2:$D$37,4,FALSE)*'T100'!D45</f>
        <v>0</v>
      </c>
      <c r="E45" s="1103">
        <f>VLOOKUP(E$1,'cost per tipologia de sòl'!$A$2:$D$37,4,FALSE)*'T100'!E45</f>
        <v>0</v>
      </c>
      <c r="F45" s="1103">
        <f>VLOOKUP(F$1,'cost per tipologia de sòl'!$A$2:$D$37,4,FALSE)*'T100'!F45</f>
        <v>0</v>
      </c>
      <c r="G45" s="1103">
        <f>VLOOKUP(G$1,'cost per tipologia de sòl'!$A$2:$D$37,4,FALSE)*'T100'!G45</f>
        <v>0</v>
      </c>
      <c r="H45" s="1103">
        <f>VLOOKUP(H$1,'cost per tipologia de sòl'!$A$2:$D$37,4,FALSE)*'T100'!H45</f>
        <v>0</v>
      </c>
      <c r="I45" s="1103">
        <f>VLOOKUP(I$1,'cost per tipologia de sòl'!$A$2:$D$37,4,FALSE)*'T100'!I45</f>
        <v>0</v>
      </c>
      <c r="J45" s="1103">
        <f>VLOOKUP(J$1,'cost per tipologia de sòl'!$A$2:$D$37,4,FALSE)*'T100'!J45</f>
        <v>276050.52750000003</v>
      </c>
      <c r="K45" s="1103">
        <f>VLOOKUP(K$1,'cost per tipologia de sòl'!$A$2:$D$37,4,FALSE)*'T100'!K45</f>
        <v>0</v>
      </c>
      <c r="L45" s="1103">
        <f>VLOOKUP(L$1,'cost per tipologia de sòl'!$A$2:$D$37,4,FALSE)*'T100'!L45</f>
        <v>0</v>
      </c>
      <c r="M45" s="1103">
        <f>VLOOKUP(M$1,'cost per tipologia de sòl'!$A$2:$D$37,4,FALSE)*'T100'!M45</f>
        <v>0</v>
      </c>
      <c r="N45" s="1103">
        <f>VLOOKUP(N$1,'cost per tipologia de sòl'!$A$2:$D$37,4,FALSE)*'T100'!N45</f>
        <v>0</v>
      </c>
      <c r="O45" s="1103">
        <f>VLOOKUP(O$1,'cost per tipologia de sòl'!$A$2:$D$37,4,FALSE)*'T100'!O45</f>
        <v>0</v>
      </c>
      <c r="P45" s="1103">
        <f>VLOOKUP(P$1,'cost per tipologia de sòl'!$A$2:$D$37,4,FALSE)*'T100'!P45</f>
        <v>0</v>
      </c>
      <c r="Q45" s="1103">
        <f>VLOOKUP(Q$1,'cost per tipologia de sòl'!$A$2:$D$37,4,FALSE)*'T100'!Q45</f>
        <v>0</v>
      </c>
      <c r="R45" s="1103">
        <f>VLOOKUP(R$1,'cost per tipologia de sòl'!$A$2:$D$37,4,FALSE)*'T100'!R45</f>
        <v>0</v>
      </c>
      <c r="S45" s="1103">
        <f>VLOOKUP(S$1,'cost per tipologia de sòl'!$A$2:$D$37,4,FALSE)*'T100'!S45</f>
        <v>1223567.8559999999</v>
      </c>
      <c r="T45" s="1103">
        <f>VLOOKUP(T$1,'cost per tipologia de sòl'!$A$2:$D$37,4,FALSE)*'T100'!T45</f>
        <v>0</v>
      </c>
      <c r="U45" s="1103">
        <f>VLOOKUP(U$1,'cost per tipologia de sòl'!$A$2:$D$37,4,FALSE)*'T100'!U45</f>
        <v>0</v>
      </c>
      <c r="V45" s="1103">
        <f>VLOOKUP(V$1,'cost per tipologia de sòl'!$A$2:$D$37,4,FALSE)*'T100'!V45</f>
        <v>0</v>
      </c>
      <c r="W45" s="1103">
        <f>VLOOKUP(W$1,'cost per tipologia de sòl'!$A$2:$D$37,4,FALSE)*'T100'!W45</f>
        <v>0</v>
      </c>
      <c r="X45" s="1103">
        <f>VLOOKUP(X$1,'cost per tipologia de sòl'!$A$2:$D$37,4,FALSE)*'T100'!X45</f>
        <v>0</v>
      </c>
      <c r="Y45" s="1103">
        <f>VLOOKUP(Y$1,'cost per tipologia de sòl'!$A$2:$D$37,4,FALSE)*'T100'!Y45</f>
        <v>0</v>
      </c>
      <c r="Z45" s="1103">
        <f>VLOOKUP(Z$1,'cost per tipologia de sòl'!$A$2:$D$37,4,FALSE)*'T100'!Z45</f>
        <v>0</v>
      </c>
      <c r="AA45" s="1103">
        <f>VLOOKUP(AA$1,'cost per tipologia de sòl'!$A$2:$D$37,4,FALSE)*'T100'!AA45</f>
        <v>0</v>
      </c>
      <c r="AB45" s="1103">
        <f>VLOOKUP(AB$1,'cost per tipologia de sòl'!$A$2:$D$37,4,FALSE)*'T100'!AB45</f>
        <v>73354.25</v>
      </c>
      <c r="AC45" s="1103">
        <f>VLOOKUP(AC$1,'cost per tipologia de sòl'!$A$2:$D$37,4,FALSE)*'T100'!AC45</f>
        <v>3857564.3000000003</v>
      </c>
      <c r="AD45" s="1103">
        <f>VLOOKUP(AD$1,'cost per tipologia de sòl'!$A$2:$D$37,4,FALSE)*'T100'!AD45</f>
        <v>0</v>
      </c>
      <c r="AE45" s="1103">
        <f>VLOOKUP(AE$1,'cost per tipologia de sòl'!$A$2:$D$37,4,FALSE)*'T100'!AE45</f>
        <v>0</v>
      </c>
      <c r="AF45" s="1103">
        <f>VLOOKUP(AF$1,'cost per tipologia de sòl'!$A$2:$D$37,4,FALSE)*'T100'!AF45</f>
        <v>0</v>
      </c>
      <c r="AG45" s="1103">
        <f>VLOOKUP(AG$1,'cost per tipologia de sòl'!$A$2:$D$37,4,FALSE)*'T100'!AG45</f>
        <v>0</v>
      </c>
      <c r="AH45" s="1103">
        <f>VLOOKUP(AH$1,'cost per tipologia de sòl'!$A$2:$D$37,4,FALSE)*'T100'!AH45</f>
        <v>0</v>
      </c>
      <c r="AI45" s="1103">
        <f>VLOOKUP(AI$1,'cost per tipologia de sòl'!$A$2:$D$37,4,FALSE)*'T100'!AI45</f>
        <v>0</v>
      </c>
      <c r="AJ45" s="1103">
        <f t="shared" si="0"/>
        <v>20873146.721500002</v>
      </c>
      <c r="AK45" s="1117">
        <f t="shared" si="1"/>
        <v>6.2619440164500011</v>
      </c>
    </row>
    <row r="46" spans="1:37">
      <c r="A46" s="1096" t="s">
        <v>1324</v>
      </c>
      <c r="B46" s="1103">
        <f>VLOOKUP(B$1,'cost per tipologia de sòl'!$A$2:$D$37,4,FALSE)*'T100'!B46</f>
        <v>11342216.663999999</v>
      </c>
      <c r="C46" s="1103">
        <f>VLOOKUP(C$1,'cost per tipologia de sòl'!$A$2:$D$37,4,FALSE)*'T100'!C46</f>
        <v>0</v>
      </c>
      <c r="D46" s="1103">
        <f>VLOOKUP(D$1,'cost per tipologia de sòl'!$A$2:$D$37,4,FALSE)*'T100'!D46</f>
        <v>0</v>
      </c>
      <c r="E46" s="1103">
        <f>VLOOKUP(E$1,'cost per tipologia de sòl'!$A$2:$D$37,4,FALSE)*'T100'!E46</f>
        <v>0</v>
      </c>
      <c r="F46" s="1103">
        <f>VLOOKUP(F$1,'cost per tipologia de sòl'!$A$2:$D$37,4,FALSE)*'T100'!F46</f>
        <v>0</v>
      </c>
      <c r="G46" s="1103">
        <f>VLOOKUP(G$1,'cost per tipologia de sòl'!$A$2:$D$37,4,FALSE)*'T100'!G46</f>
        <v>0</v>
      </c>
      <c r="H46" s="1103">
        <f>VLOOKUP(H$1,'cost per tipologia de sòl'!$A$2:$D$37,4,FALSE)*'T100'!H46</f>
        <v>0</v>
      </c>
      <c r="I46" s="1103">
        <f>VLOOKUP(I$1,'cost per tipologia de sòl'!$A$2:$D$37,4,FALSE)*'T100'!I46</f>
        <v>0</v>
      </c>
      <c r="J46" s="1103">
        <f>VLOOKUP(J$1,'cost per tipologia de sòl'!$A$2:$D$37,4,FALSE)*'T100'!J46</f>
        <v>0</v>
      </c>
      <c r="K46" s="1103">
        <f>VLOOKUP(K$1,'cost per tipologia de sòl'!$A$2:$D$37,4,FALSE)*'T100'!K46</f>
        <v>0</v>
      </c>
      <c r="L46" s="1103">
        <f>VLOOKUP(L$1,'cost per tipologia de sòl'!$A$2:$D$37,4,FALSE)*'T100'!L46</f>
        <v>0</v>
      </c>
      <c r="M46" s="1103">
        <f>VLOOKUP(M$1,'cost per tipologia de sòl'!$A$2:$D$37,4,FALSE)*'T100'!M46</f>
        <v>0</v>
      </c>
      <c r="N46" s="1103">
        <f>VLOOKUP(N$1,'cost per tipologia de sòl'!$A$2:$D$37,4,FALSE)*'T100'!N46</f>
        <v>0</v>
      </c>
      <c r="O46" s="1103">
        <f>VLOOKUP(O$1,'cost per tipologia de sòl'!$A$2:$D$37,4,FALSE)*'T100'!O46</f>
        <v>0</v>
      </c>
      <c r="P46" s="1103">
        <f>VLOOKUP(P$1,'cost per tipologia de sòl'!$A$2:$D$37,4,FALSE)*'T100'!P46</f>
        <v>0</v>
      </c>
      <c r="Q46" s="1103">
        <f>VLOOKUP(Q$1,'cost per tipologia de sòl'!$A$2:$D$37,4,FALSE)*'T100'!Q46</f>
        <v>0</v>
      </c>
      <c r="R46" s="1103">
        <f>VLOOKUP(R$1,'cost per tipologia de sòl'!$A$2:$D$37,4,FALSE)*'T100'!R46</f>
        <v>0</v>
      </c>
      <c r="S46" s="1103">
        <f>VLOOKUP(S$1,'cost per tipologia de sòl'!$A$2:$D$37,4,FALSE)*'T100'!S46</f>
        <v>313013.23200000002</v>
      </c>
      <c r="T46" s="1103">
        <f>VLOOKUP(T$1,'cost per tipologia de sòl'!$A$2:$D$37,4,FALSE)*'T100'!T46</f>
        <v>2056506.4410000001</v>
      </c>
      <c r="U46" s="1103">
        <f>VLOOKUP(U$1,'cost per tipologia de sòl'!$A$2:$D$37,4,FALSE)*'T100'!U46</f>
        <v>17913543.899999999</v>
      </c>
      <c r="V46" s="1103">
        <f>VLOOKUP(V$1,'cost per tipologia de sòl'!$A$2:$D$37,4,FALSE)*'T100'!V46</f>
        <v>0</v>
      </c>
      <c r="W46" s="1103">
        <f>VLOOKUP(W$1,'cost per tipologia de sòl'!$A$2:$D$37,4,FALSE)*'T100'!W46</f>
        <v>0</v>
      </c>
      <c r="X46" s="1103">
        <f>VLOOKUP(X$1,'cost per tipologia de sòl'!$A$2:$D$37,4,FALSE)*'T100'!X46</f>
        <v>0</v>
      </c>
      <c r="Y46" s="1103">
        <f>VLOOKUP(Y$1,'cost per tipologia de sòl'!$A$2:$D$37,4,FALSE)*'T100'!Y46</f>
        <v>0</v>
      </c>
      <c r="Z46" s="1103">
        <f>VLOOKUP(Z$1,'cost per tipologia de sòl'!$A$2:$D$37,4,FALSE)*'T100'!Z46</f>
        <v>8018642.4539999999</v>
      </c>
      <c r="AA46" s="1103">
        <f>VLOOKUP(AA$1,'cost per tipologia de sòl'!$A$2:$D$37,4,FALSE)*'T100'!AA46</f>
        <v>0</v>
      </c>
      <c r="AB46" s="1103">
        <f>VLOOKUP(AB$1,'cost per tipologia de sòl'!$A$2:$D$37,4,FALSE)*'T100'!AB46</f>
        <v>14875579.75</v>
      </c>
      <c r="AC46" s="1103">
        <f>VLOOKUP(AC$1,'cost per tipologia de sòl'!$A$2:$D$37,4,FALSE)*'T100'!AC46</f>
        <v>4911906.6000000006</v>
      </c>
      <c r="AD46" s="1103">
        <f>VLOOKUP(AD$1,'cost per tipologia de sòl'!$A$2:$D$37,4,FALSE)*'T100'!AD46</f>
        <v>19189722.599999998</v>
      </c>
      <c r="AE46" s="1103">
        <f>VLOOKUP(AE$1,'cost per tipologia de sòl'!$A$2:$D$37,4,FALSE)*'T100'!AE46</f>
        <v>0</v>
      </c>
      <c r="AF46" s="1103">
        <f>VLOOKUP(AF$1,'cost per tipologia de sòl'!$A$2:$D$37,4,FALSE)*'T100'!AF46</f>
        <v>0</v>
      </c>
      <c r="AG46" s="1103">
        <f>VLOOKUP(AG$1,'cost per tipologia de sòl'!$A$2:$D$37,4,FALSE)*'T100'!AG46</f>
        <v>0</v>
      </c>
      <c r="AH46" s="1103">
        <f>VLOOKUP(AH$1,'cost per tipologia de sòl'!$A$2:$D$37,4,FALSE)*'T100'!AH46</f>
        <v>0</v>
      </c>
      <c r="AI46" s="1103">
        <f>VLOOKUP(AI$1,'cost per tipologia de sòl'!$A$2:$D$37,4,FALSE)*'T100'!AI46</f>
        <v>0</v>
      </c>
      <c r="AJ46" s="1103">
        <f t="shared" si="0"/>
        <v>78621131.641000003</v>
      </c>
      <c r="AK46" s="1117">
        <f t="shared" si="1"/>
        <v>23.586339492299999</v>
      </c>
    </row>
    <row r="47" spans="1:37">
      <c r="A47" s="1096" t="s">
        <v>1387</v>
      </c>
      <c r="B47" s="1103">
        <f>VLOOKUP(B$1,'cost per tipologia de sòl'!$A$2:$D$37,4,FALSE)*'T100'!B47</f>
        <v>117197.946</v>
      </c>
      <c r="C47" s="1103">
        <f>VLOOKUP(C$1,'cost per tipologia de sòl'!$A$2:$D$37,4,FALSE)*'T100'!C47</f>
        <v>0</v>
      </c>
      <c r="D47" s="1103">
        <f>VLOOKUP(D$1,'cost per tipologia de sòl'!$A$2:$D$37,4,FALSE)*'T100'!D47</f>
        <v>80913.816000000006</v>
      </c>
      <c r="E47" s="1103">
        <f>VLOOKUP(E$1,'cost per tipologia de sòl'!$A$2:$D$37,4,FALSE)*'T100'!E47</f>
        <v>0</v>
      </c>
      <c r="F47" s="1103">
        <f>VLOOKUP(F$1,'cost per tipologia de sòl'!$A$2:$D$37,4,FALSE)*'T100'!F47</f>
        <v>0</v>
      </c>
      <c r="G47" s="1103">
        <f>VLOOKUP(G$1,'cost per tipologia de sòl'!$A$2:$D$37,4,FALSE)*'T100'!G47</f>
        <v>0</v>
      </c>
      <c r="H47" s="1103">
        <f>VLOOKUP(H$1,'cost per tipologia de sòl'!$A$2:$D$37,4,FALSE)*'T100'!H47</f>
        <v>0</v>
      </c>
      <c r="I47" s="1103">
        <f>VLOOKUP(I$1,'cost per tipologia de sòl'!$A$2:$D$37,4,FALSE)*'T100'!I47</f>
        <v>0</v>
      </c>
      <c r="J47" s="1103">
        <f>VLOOKUP(J$1,'cost per tipologia de sòl'!$A$2:$D$37,4,FALSE)*'T100'!J47</f>
        <v>334.27350000000001</v>
      </c>
      <c r="K47" s="1103">
        <f>VLOOKUP(K$1,'cost per tipologia de sòl'!$A$2:$D$37,4,FALSE)*'T100'!K47</f>
        <v>0</v>
      </c>
      <c r="L47" s="1103">
        <f>VLOOKUP(L$1,'cost per tipologia de sòl'!$A$2:$D$37,4,FALSE)*'T100'!L47</f>
        <v>0</v>
      </c>
      <c r="M47" s="1103">
        <f>VLOOKUP(M$1,'cost per tipologia de sòl'!$A$2:$D$37,4,FALSE)*'T100'!M47</f>
        <v>62565.671999999999</v>
      </c>
      <c r="N47" s="1103">
        <f>VLOOKUP(N$1,'cost per tipologia de sòl'!$A$2:$D$37,4,FALSE)*'T100'!N47</f>
        <v>0</v>
      </c>
      <c r="O47" s="1103">
        <f>VLOOKUP(O$1,'cost per tipologia de sòl'!$A$2:$D$37,4,FALSE)*'T100'!O47</f>
        <v>0</v>
      </c>
      <c r="P47" s="1103">
        <f>VLOOKUP(P$1,'cost per tipologia de sòl'!$A$2:$D$37,4,FALSE)*'T100'!P47</f>
        <v>0</v>
      </c>
      <c r="Q47" s="1103">
        <f>VLOOKUP(Q$1,'cost per tipologia de sòl'!$A$2:$D$37,4,FALSE)*'T100'!Q47</f>
        <v>0</v>
      </c>
      <c r="R47" s="1103">
        <f>VLOOKUP(R$1,'cost per tipologia de sòl'!$A$2:$D$37,4,FALSE)*'T100'!R47</f>
        <v>0</v>
      </c>
      <c r="S47" s="1103">
        <f>VLOOKUP(S$1,'cost per tipologia de sòl'!$A$2:$D$37,4,FALSE)*'T100'!S47</f>
        <v>0</v>
      </c>
      <c r="T47" s="1103">
        <f>VLOOKUP(T$1,'cost per tipologia de sòl'!$A$2:$D$37,4,FALSE)*'T100'!T47</f>
        <v>531188.83600000001</v>
      </c>
      <c r="U47" s="1103">
        <f>VLOOKUP(U$1,'cost per tipologia de sòl'!$A$2:$D$37,4,FALSE)*'T100'!U47</f>
        <v>0</v>
      </c>
      <c r="V47" s="1103">
        <f>VLOOKUP(V$1,'cost per tipologia de sòl'!$A$2:$D$37,4,FALSE)*'T100'!V47</f>
        <v>0</v>
      </c>
      <c r="W47" s="1103">
        <f>VLOOKUP(W$1,'cost per tipologia de sòl'!$A$2:$D$37,4,FALSE)*'T100'!W47</f>
        <v>0</v>
      </c>
      <c r="X47" s="1103">
        <f>VLOOKUP(X$1,'cost per tipologia de sòl'!$A$2:$D$37,4,FALSE)*'T100'!X47</f>
        <v>0</v>
      </c>
      <c r="Y47" s="1103">
        <f>VLOOKUP(Y$1,'cost per tipologia de sòl'!$A$2:$D$37,4,FALSE)*'T100'!Y47</f>
        <v>0</v>
      </c>
      <c r="Z47" s="1103">
        <f>VLOOKUP(Z$1,'cost per tipologia de sòl'!$A$2:$D$37,4,FALSE)*'T100'!Z47</f>
        <v>1086318.5319999999</v>
      </c>
      <c r="AA47" s="1103">
        <f>VLOOKUP(AA$1,'cost per tipologia de sòl'!$A$2:$D$37,4,FALSE)*'T100'!AA47</f>
        <v>0</v>
      </c>
      <c r="AB47" s="1103">
        <f>VLOOKUP(AB$1,'cost per tipologia de sòl'!$A$2:$D$37,4,FALSE)*'T100'!AB47</f>
        <v>3055040.4</v>
      </c>
      <c r="AC47" s="1103">
        <f>VLOOKUP(AC$1,'cost per tipologia de sòl'!$A$2:$D$37,4,FALSE)*'T100'!AC47</f>
        <v>74989.200000000012</v>
      </c>
      <c r="AD47" s="1103">
        <f>VLOOKUP(AD$1,'cost per tipologia de sòl'!$A$2:$D$37,4,FALSE)*'T100'!AD47</f>
        <v>2856702.25</v>
      </c>
      <c r="AE47" s="1103">
        <f>VLOOKUP(AE$1,'cost per tipologia de sòl'!$A$2:$D$37,4,FALSE)*'T100'!AE47</f>
        <v>0</v>
      </c>
      <c r="AF47" s="1103">
        <f>VLOOKUP(AF$1,'cost per tipologia de sòl'!$A$2:$D$37,4,FALSE)*'T100'!AF47</f>
        <v>0</v>
      </c>
      <c r="AG47" s="1103">
        <f>VLOOKUP(AG$1,'cost per tipologia de sòl'!$A$2:$D$37,4,FALSE)*'T100'!AG47</f>
        <v>0</v>
      </c>
      <c r="AH47" s="1103">
        <f>VLOOKUP(AH$1,'cost per tipologia de sòl'!$A$2:$D$37,4,FALSE)*'T100'!AH47</f>
        <v>0</v>
      </c>
      <c r="AI47" s="1103">
        <f>VLOOKUP(AI$1,'cost per tipologia de sòl'!$A$2:$D$37,4,FALSE)*'T100'!AI47</f>
        <v>0</v>
      </c>
      <c r="AJ47" s="1103">
        <f t="shared" si="0"/>
        <v>7865250.9254999999</v>
      </c>
      <c r="AK47" s="1117">
        <f t="shared" si="1"/>
        <v>2.3595752776499999</v>
      </c>
    </row>
    <row r="48" spans="1:37">
      <c r="A48" s="1096" t="s">
        <v>348</v>
      </c>
      <c r="B48" s="1103">
        <f>VLOOKUP(B$1,'cost per tipologia de sòl'!$A$2:$D$37,4,FALSE)*'T100'!B48</f>
        <v>104074859.376</v>
      </c>
      <c r="C48" s="1103">
        <f>VLOOKUP(C$1,'cost per tipologia de sòl'!$A$2:$D$37,4,FALSE)*'T100'!C48</f>
        <v>0</v>
      </c>
      <c r="D48" s="1103">
        <f>VLOOKUP(D$1,'cost per tipologia de sòl'!$A$2:$D$37,4,FALSE)*'T100'!D48</f>
        <v>0</v>
      </c>
      <c r="E48" s="1103">
        <f>VLOOKUP(E$1,'cost per tipologia de sòl'!$A$2:$D$37,4,FALSE)*'T100'!E48</f>
        <v>0</v>
      </c>
      <c r="F48" s="1103">
        <f>VLOOKUP(F$1,'cost per tipologia de sòl'!$A$2:$D$37,4,FALSE)*'T100'!F48</f>
        <v>0</v>
      </c>
      <c r="G48" s="1103">
        <f>VLOOKUP(G$1,'cost per tipologia de sòl'!$A$2:$D$37,4,FALSE)*'T100'!G48</f>
        <v>0</v>
      </c>
      <c r="H48" s="1103">
        <f>VLOOKUP(H$1,'cost per tipologia de sòl'!$A$2:$D$37,4,FALSE)*'T100'!H48</f>
        <v>0</v>
      </c>
      <c r="I48" s="1103">
        <f>VLOOKUP(I$1,'cost per tipologia de sòl'!$A$2:$D$37,4,FALSE)*'T100'!I48</f>
        <v>0</v>
      </c>
      <c r="J48" s="1103">
        <f>VLOOKUP(J$1,'cost per tipologia de sòl'!$A$2:$D$37,4,FALSE)*'T100'!J48</f>
        <v>0</v>
      </c>
      <c r="K48" s="1103">
        <f>VLOOKUP(K$1,'cost per tipologia de sòl'!$A$2:$D$37,4,FALSE)*'T100'!K48</f>
        <v>0</v>
      </c>
      <c r="L48" s="1103">
        <f>VLOOKUP(L$1,'cost per tipologia de sòl'!$A$2:$D$37,4,FALSE)*'T100'!L48</f>
        <v>0</v>
      </c>
      <c r="M48" s="1103">
        <f>VLOOKUP(M$1,'cost per tipologia de sòl'!$A$2:$D$37,4,FALSE)*'T100'!M48</f>
        <v>0</v>
      </c>
      <c r="N48" s="1103">
        <f>VLOOKUP(N$1,'cost per tipologia de sòl'!$A$2:$D$37,4,FALSE)*'T100'!N48</f>
        <v>0</v>
      </c>
      <c r="O48" s="1103">
        <f>VLOOKUP(O$1,'cost per tipologia de sòl'!$A$2:$D$37,4,FALSE)*'T100'!O48</f>
        <v>0</v>
      </c>
      <c r="P48" s="1103">
        <f>VLOOKUP(P$1,'cost per tipologia de sòl'!$A$2:$D$37,4,FALSE)*'T100'!P48</f>
        <v>0</v>
      </c>
      <c r="Q48" s="1103">
        <f>VLOOKUP(Q$1,'cost per tipologia de sòl'!$A$2:$D$37,4,FALSE)*'T100'!Q48</f>
        <v>2876449962</v>
      </c>
      <c r="R48" s="1103">
        <f>VLOOKUP(R$1,'cost per tipologia de sòl'!$A$2:$D$37,4,FALSE)*'T100'!R48</f>
        <v>0</v>
      </c>
      <c r="S48" s="1103">
        <f>VLOOKUP(S$1,'cost per tipologia de sòl'!$A$2:$D$37,4,FALSE)*'T100'!S48</f>
        <v>67167376.415999994</v>
      </c>
      <c r="T48" s="1103">
        <f>VLOOKUP(T$1,'cost per tipologia de sòl'!$A$2:$D$37,4,FALSE)*'T100'!T48</f>
        <v>1072608783.734</v>
      </c>
      <c r="U48" s="1103">
        <f>VLOOKUP(U$1,'cost per tipologia de sòl'!$A$2:$D$37,4,FALSE)*'T100'!U48</f>
        <v>1502072.25</v>
      </c>
      <c r="V48" s="1103">
        <f>VLOOKUP(V$1,'cost per tipologia de sòl'!$A$2:$D$37,4,FALSE)*'T100'!V48</f>
        <v>720117.07200000004</v>
      </c>
      <c r="W48" s="1103">
        <f>VLOOKUP(W$1,'cost per tipologia de sòl'!$A$2:$D$37,4,FALSE)*'T100'!W48</f>
        <v>0</v>
      </c>
      <c r="X48" s="1103">
        <f>VLOOKUP(X$1,'cost per tipologia de sòl'!$A$2:$D$37,4,FALSE)*'T100'!X48</f>
        <v>358578</v>
      </c>
      <c r="Y48" s="1103">
        <f>VLOOKUP(Y$1,'cost per tipologia de sòl'!$A$2:$D$37,4,FALSE)*'T100'!Y48</f>
        <v>0</v>
      </c>
      <c r="Z48" s="1103">
        <f>VLOOKUP(Z$1,'cost per tipologia de sòl'!$A$2:$D$37,4,FALSE)*'T100'!Z48</f>
        <v>0</v>
      </c>
      <c r="AA48" s="1103">
        <f>VLOOKUP(AA$1,'cost per tipologia de sòl'!$A$2:$D$37,4,FALSE)*'T100'!AA48</f>
        <v>0</v>
      </c>
      <c r="AB48" s="1103">
        <f>VLOOKUP(AB$1,'cost per tipologia de sòl'!$A$2:$D$37,4,FALSE)*'T100'!AB48</f>
        <v>3723335.95</v>
      </c>
      <c r="AC48" s="1103">
        <f>VLOOKUP(AC$1,'cost per tipologia de sòl'!$A$2:$D$37,4,FALSE)*'T100'!AC48</f>
        <v>4788812.25</v>
      </c>
      <c r="AD48" s="1103">
        <f>VLOOKUP(AD$1,'cost per tipologia de sòl'!$A$2:$D$37,4,FALSE)*'T100'!AD48</f>
        <v>99682736.200000003</v>
      </c>
      <c r="AE48" s="1103">
        <f>VLOOKUP(AE$1,'cost per tipologia de sòl'!$A$2:$D$37,4,FALSE)*'T100'!AE48</f>
        <v>0</v>
      </c>
      <c r="AF48" s="1103">
        <f>VLOOKUP(AF$1,'cost per tipologia de sòl'!$A$2:$D$37,4,FALSE)*'T100'!AF48</f>
        <v>0</v>
      </c>
      <c r="AG48" s="1103">
        <f>VLOOKUP(AG$1,'cost per tipologia de sòl'!$A$2:$D$37,4,FALSE)*'T100'!AG48</f>
        <v>0</v>
      </c>
      <c r="AH48" s="1103">
        <f>VLOOKUP(AH$1,'cost per tipologia de sòl'!$A$2:$D$37,4,FALSE)*'T100'!AH48</f>
        <v>0</v>
      </c>
      <c r="AI48" s="1103">
        <f>VLOOKUP(AI$1,'cost per tipologia de sòl'!$A$2:$D$37,4,FALSE)*'T100'!AI48</f>
        <v>0</v>
      </c>
      <c r="AJ48" s="1103">
        <f t="shared" si="0"/>
        <v>4231076633.2479997</v>
      </c>
      <c r="AK48" s="1117">
        <f t="shared" si="1"/>
        <v>1269.3229899743999</v>
      </c>
    </row>
    <row r="49" spans="1:37">
      <c r="A49" s="1096" t="s">
        <v>1053</v>
      </c>
      <c r="B49" s="1103">
        <f>VLOOKUP(B$1,'cost per tipologia de sòl'!$A$2:$D$37,4,FALSE)*'T100'!B49</f>
        <v>1113600.3840000001</v>
      </c>
      <c r="C49" s="1103">
        <f>VLOOKUP(C$1,'cost per tipologia de sòl'!$A$2:$D$37,4,FALSE)*'T100'!C49</f>
        <v>0</v>
      </c>
      <c r="D49" s="1103">
        <f>VLOOKUP(D$1,'cost per tipologia de sòl'!$A$2:$D$37,4,FALSE)*'T100'!D49</f>
        <v>21138719.478</v>
      </c>
      <c r="E49" s="1103">
        <f>VLOOKUP(E$1,'cost per tipologia de sòl'!$A$2:$D$37,4,FALSE)*'T100'!E49</f>
        <v>0</v>
      </c>
      <c r="F49" s="1103">
        <f>VLOOKUP(F$1,'cost per tipologia de sòl'!$A$2:$D$37,4,FALSE)*'T100'!F49</f>
        <v>0</v>
      </c>
      <c r="G49" s="1103">
        <f>VLOOKUP(G$1,'cost per tipologia de sòl'!$A$2:$D$37,4,FALSE)*'T100'!G49</f>
        <v>0</v>
      </c>
      <c r="H49" s="1103">
        <f>VLOOKUP(H$1,'cost per tipologia de sòl'!$A$2:$D$37,4,FALSE)*'T100'!H49</f>
        <v>0</v>
      </c>
      <c r="I49" s="1103">
        <f>VLOOKUP(I$1,'cost per tipologia de sòl'!$A$2:$D$37,4,FALSE)*'T100'!I49</f>
        <v>0</v>
      </c>
      <c r="J49" s="1103">
        <f>VLOOKUP(J$1,'cost per tipologia de sòl'!$A$2:$D$37,4,FALSE)*'T100'!J49</f>
        <v>66076.197</v>
      </c>
      <c r="K49" s="1103">
        <f>VLOOKUP(K$1,'cost per tipologia de sòl'!$A$2:$D$37,4,FALSE)*'T100'!K49</f>
        <v>0</v>
      </c>
      <c r="L49" s="1103">
        <f>VLOOKUP(L$1,'cost per tipologia de sòl'!$A$2:$D$37,4,FALSE)*'T100'!L49</f>
        <v>1250081.946</v>
      </c>
      <c r="M49" s="1103">
        <f>VLOOKUP(M$1,'cost per tipologia de sòl'!$A$2:$D$37,4,FALSE)*'T100'!M49</f>
        <v>0</v>
      </c>
      <c r="N49" s="1103">
        <f>VLOOKUP(N$1,'cost per tipologia de sòl'!$A$2:$D$37,4,FALSE)*'T100'!N49</f>
        <v>0</v>
      </c>
      <c r="O49" s="1103">
        <f>VLOOKUP(O$1,'cost per tipologia de sòl'!$A$2:$D$37,4,FALSE)*'T100'!O49</f>
        <v>0</v>
      </c>
      <c r="P49" s="1103">
        <f>VLOOKUP(P$1,'cost per tipologia de sòl'!$A$2:$D$37,4,FALSE)*'T100'!P49</f>
        <v>0</v>
      </c>
      <c r="Q49" s="1103">
        <f>VLOOKUP(Q$1,'cost per tipologia de sòl'!$A$2:$D$37,4,FALSE)*'T100'!Q49</f>
        <v>0</v>
      </c>
      <c r="R49" s="1103">
        <f>VLOOKUP(R$1,'cost per tipologia de sòl'!$A$2:$D$37,4,FALSE)*'T100'!R49</f>
        <v>0</v>
      </c>
      <c r="S49" s="1103">
        <f>VLOOKUP(S$1,'cost per tipologia de sòl'!$A$2:$D$37,4,FALSE)*'T100'!S49</f>
        <v>0</v>
      </c>
      <c r="T49" s="1103">
        <f>VLOOKUP(T$1,'cost per tipologia de sòl'!$A$2:$D$37,4,FALSE)*'T100'!T49</f>
        <v>10245265.733999999</v>
      </c>
      <c r="U49" s="1103">
        <f>VLOOKUP(U$1,'cost per tipologia de sòl'!$A$2:$D$37,4,FALSE)*'T100'!U49</f>
        <v>4646645.8499999996</v>
      </c>
      <c r="V49" s="1103">
        <f>VLOOKUP(V$1,'cost per tipologia de sòl'!$A$2:$D$37,4,FALSE)*'T100'!V49</f>
        <v>0</v>
      </c>
      <c r="W49" s="1103">
        <f>VLOOKUP(W$1,'cost per tipologia de sòl'!$A$2:$D$37,4,FALSE)*'T100'!W49</f>
        <v>0</v>
      </c>
      <c r="X49" s="1103">
        <f>VLOOKUP(X$1,'cost per tipologia de sòl'!$A$2:$D$37,4,FALSE)*'T100'!X49</f>
        <v>0</v>
      </c>
      <c r="Y49" s="1103">
        <f>VLOOKUP(Y$1,'cost per tipologia de sòl'!$A$2:$D$37,4,FALSE)*'T100'!Y49</f>
        <v>0</v>
      </c>
      <c r="Z49" s="1103">
        <f>VLOOKUP(Z$1,'cost per tipologia de sòl'!$A$2:$D$37,4,FALSE)*'T100'!Z49</f>
        <v>2876481.4079999998</v>
      </c>
      <c r="AA49" s="1103">
        <f>VLOOKUP(AA$1,'cost per tipologia de sòl'!$A$2:$D$37,4,FALSE)*'T100'!AA49</f>
        <v>0</v>
      </c>
      <c r="AB49" s="1103">
        <f>VLOOKUP(AB$1,'cost per tipologia de sòl'!$A$2:$D$37,4,FALSE)*'T100'!AB49</f>
        <v>211595.4</v>
      </c>
      <c r="AC49" s="1103">
        <f>VLOOKUP(AC$1,'cost per tipologia de sòl'!$A$2:$D$37,4,FALSE)*'T100'!AC49</f>
        <v>1576073.75</v>
      </c>
      <c r="AD49" s="1103">
        <f>VLOOKUP(AD$1,'cost per tipologia de sòl'!$A$2:$D$37,4,FALSE)*'T100'!AD49</f>
        <v>12464085.5</v>
      </c>
      <c r="AE49" s="1103">
        <f>VLOOKUP(AE$1,'cost per tipologia de sòl'!$A$2:$D$37,4,FALSE)*'T100'!AE49</f>
        <v>0</v>
      </c>
      <c r="AF49" s="1103">
        <f>VLOOKUP(AF$1,'cost per tipologia de sòl'!$A$2:$D$37,4,FALSE)*'T100'!AF49</f>
        <v>0</v>
      </c>
      <c r="AG49" s="1103">
        <f>VLOOKUP(AG$1,'cost per tipologia de sòl'!$A$2:$D$37,4,FALSE)*'T100'!AG49</f>
        <v>0</v>
      </c>
      <c r="AH49" s="1103">
        <f>VLOOKUP(AH$1,'cost per tipologia de sòl'!$A$2:$D$37,4,FALSE)*'T100'!AH49</f>
        <v>0</v>
      </c>
      <c r="AI49" s="1103">
        <f>VLOOKUP(AI$1,'cost per tipologia de sòl'!$A$2:$D$37,4,FALSE)*'T100'!AI49</f>
        <v>0</v>
      </c>
      <c r="AJ49" s="1103">
        <f t="shared" si="0"/>
        <v>55588625.647</v>
      </c>
      <c r="AK49" s="1117">
        <f t="shared" si="1"/>
        <v>16.6765876941</v>
      </c>
    </row>
    <row r="50" spans="1:37">
      <c r="A50" s="1096" t="s">
        <v>3296</v>
      </c>
      <c r="B50" s="1103">
        <f>VLOOKUP(B$1,'cost per tipologia de sòl'!$A$2:$D$37,4,FALSE)*'T100'!B50</f>
        <v>260617.53599999999</v>
      </c>
      <c r="C50" s="1103">
        <f>VLOOKUP(C$1,'cost per tipologia de sòl'!$A$2:$D$37,4,FALSE)*'T100'!C50</f>
        <v>0</v>
      </c>
      <c r="D50" s="1103">
        <f>VLOOKUP(D$1,'cost per tipologia de sòl'!$A$2:$D$37,4,FALSE)*'T100'!D50</f>
        <v>724134.43799999997</v>
      </c>
      <c r="E50" s="1103">
        <f>VLOOKUP(E$1,'cost per tipologia de sòl'!$A$2:$D$37,4,FALSE)*'T100'!E50</f>
        <v>2861613.0839999998</v>
      </c>
      <c r="F50" s="1103">
        <f>VLOOKUP(F$1,'cost per tipologia de sòl'!$A$2:$D$37,4,FALSE)*'T100'!F50</f>
        <v>0</v>
      </c>
      <c r="G50" s="1103">
        <f>VLOOKUP(G$1,'cost per tipologia de sòl'!$A$2:$D$37,4,FALSE)*'T100'!G50</f>
        <v>0</v>
      </c>
      <c r="H50" s="1103">
        <f>VLOOKUP(H$1,'cost per tipologia de sòl'!$A$2:$D$37,4,FALSE)*'T100'!H50</f>
        <v>0</v>
      </c>
      <c r="I50" s="1103">
        <f>VLOOKUP(I$1,'cost per tipologia de sòl'!$A$2:$D$37,4,FALSE)*'T100'!I50</f>
        <v>0</v>
      </c>
      <c r="J50" s="1103">
        <f>VLOOKUP(J$1,'cost per tipologia de sòl'!$A$2:$D$37,4,FALSE)*'T100'!J50</f>
        <v>2123.1925000000001</v>
      </c>
      <c r="K50" s="1103">
        <f>VLOOKUP(K$1,'cost per tipologia de sòl'!$A$2:$D$37,4,FALSE)*'T100'!K50</f>
        <v>0</v>
      </c>
      <c r="L50" s="1103">
        <f>VLOOKUP(L$1,'cost per tipologia de sòl'!$A$2:$D$37,4,FALSE)*'T100'!L50</f>
        <v>2087695.4129999999</v>
      </c>
      <c r="M50" s="1103">
        <f>VLOOKUP(M$1,'cost per tipologia de sòl'!$A$2:$D$37,4,FALSE)*'T100'!M50</f>
        <v>277643.712</v>
      </c>
      <c r="N50" s="1103">
        <f>VLOOKUP(N$1,'cost per tipologia de sòl'!$A$2:$D$37,4,FALSE)*'T100'!N50</f>
        <v>1374388.6880000001</v>
      </c>
      <c r="O50" s="1103">
        <f>VLOOKUP(O$1,'cost per tipologia de sòl'!$A$2:$D$37,4,FALSE)*'T100'!O50</f>
        <v>0</v>
      </c>
      <c r="P50" s="1103">
        <f>VLOOKUP(P$1,'cost per tipologia de sòl'!$A$2:$D$37,4,FALSE)*'T100'!P50</f>
        <v>497644.91200000001</v>
      </c>
      <c r="Q50" s="1103">
        <f>VLOOKUP(Q$1,'cost per tipologia de sòl'!$A$2:$D$37,4,FALSE)*'T100'!Q50</f>
        <v>0</v>
      </c>
      <c r="R50" s="1103">
        <f>VLOOKUP(R$1,'cost per tipologia de sòl'!$A$2:$D$37,4,FALSE)*'T100'!R50</f>
        <v>0</v>
      </c>
      <c r="S50" s="1103">
        <f>VLOOKUP(S$1,'cost per tipologia de sòl'!$A$2:$D$37,4,FALSE)*'T100'!S50</f>
        <v>2770212.8159999996</v>
      </c>
      <c r="T50" s="1103">
        <f>VLOOKUP(T$1,'cost per tipologia de sòl'!$A$2:$D$37,4,FALSE)*'T100'!T50</f>
        <v>1929088.426</v>
      </c>
      <c r="U50" s="1103">
        <f>VLOOKUP(U$1,'cost per tipologia de sòl'!$A$2:$D$37,4,FALSE)*'T100'!U50</f>
        <v>815077.2</v>
      </c>
      <c r="V50" s="1103">
        <f>VLOOKUP(V$1,'cost per tipologia de sòl'!$A$2:$D$37,4,FALSE)*'T100'!V50</f>
        <v>0</v>
      </c>
      <c r="W50" s="1103">
        <f>VLOOKUP(W$1,'cost per tipologia de sòl'!$A$2:$D$37,4,FALSE)*'T100'!W50</f>
        <v>0</v>
      </c>
      <c r="X50" s="1103">
        <f>VLOOKUP(X$1,'cost per tipologia de sòl'!$A$2:$D$37,4,FALSE)*'T100'!X50</f>
        <v>0</v>
      </c>
      <c r="Y50" s="1103">
        <f>VLOOKUP(Y$1,'cost per tipologia de sòl'!$A$2:$D$37,4,FALSE)*'T100'!Y50</f>
        <v>0</v>
      </c>
      <c r="Z50" s="1103">
        <f>VLOOKUP(Z$1,'cost per tipologia de sòl'!$A$2:$D$37,4,FALSE)*'T100'!Z50</f>
        <v>484613.22399999999</v>
      </c>
      <c r="AA50" s="1103">
        <f>VLOOKUP(AA$1,'cost per tipologia de sòl'!$A$2:$D$37,4,FALSE)*'T100'!AA50</f>
        <v>0</v>
      </c>
      <c r="AB50" s="1103">
        <f>VLOOKUP(AB$1,'cost per tipologia de sòl'!$A$2:$D$37,4,FALSE)*'T100'!AB50</f>
        <v>257292.30000000002</v>
      </c>
      <c r="AC50" s="1103">
        <f>VLOOKUP(AC$1,'cost per tipologia de sòl'!$A$2:$D$37,4,FALSE)*'T100'!AC50</f>
        <v>5983976.8499999996</v>
      </c>
      <c r="AD50" s="1103">
        <f>VLOOKUP(AD$1,'cost per tipologia de sòl'!$A$2:$D$37,4,FALSE)*'T100'!AD50</f>
        <v>18173728.949999999</v>
      </c>
      <c r="AE50" s="1103">
        <f>VLOOKUP(AE$1,'cost per tipologia de sòl'!$A$2:$D$37,4,FALSE)*'T100'!AE50</f>
        <v>0</v>
      </c>
      <c r="AF50" s="1103">
        <f>VLOOKUP(AF$1,'cost per tipologia de sòl'!$A$2:$D$37,4,FALSE)*'T100'!AF50</f>
        <v>0</v>
      </c>
      <c r="AG50" s="1103">
        <f>VLOOKUP(AG$1,'cost per tipologia de sòl'!$A$2:$D$37,4,FALSE)*'T100'!AG50</f>
        <v>0</v>
      </c>
      <c r="AH50" s="1103">
        <f>VLOOKUP(AH$1,'cost per tipologia de sòl'!$A$2:$D$37,4,FALSE)*'T100'!AH50</f>
        <v>0</v>
      </c>
      <c r="AI50" s="1103">
        <f>VLOOKUP(AI$1,'cost per tipologia de sòl'!$A$2:$D$37,4,FALSE)*'T100'!AI50</f>
        <v>0</v>
      </c>
      <c r="AJ50" s="1103">
        <f t="shared" si="0"/>
        <v>38499850.741500005</v>
      </c>
      <c r="AK50" s="1117">
        <f t="shared" si="1"/>
        <v>11.54995522245</v>
      </c>
    </row>
    <row r="51" spans="1:37">
      <c r="A51" s="1096" t="s">
        <v>1071</v>
      </c>
      <c r="B51" s="1103">
        <f>VLOOKUP(B$1,'cost per tipologia de sòl'!$A$2:$D$37,4,FALSE)*'T100'!B51</f>
        <v>110300810.292</v>
      </c>
      <c r="C51" s="1103">
        <f>VLOOKUP(C$1,'cost per tipologia de sòl'!$A$2:$D$37,4,FALSE)*'T100'!C51</f>
        <v>0</v>
      </c>
      <c r="D51" s="1103">
        <f>VLOOKUP(D$1,'cost per tipologia de sòl'!$A$2:$D$37,4,FALSE)*'T100'!D51</f>
        <v>0</v>
      </c>
      <c r="E51" s="1103">
        <f>VLOOKUP(E$1,'cost per tipologia de sòl'!$A$2:$D$37,4,FALSE)*'T100'!E51</f>
        <v>0</v>
      </c>
      <c r="F51" s="1103">
        <f>VLOOKUP(F$1,'cost per tipologia de sòl'!$A$2:$D$37,4,FALSE)*'T100'!F51</f>
        <v>0</v>
      </c>
      <c r="G51" s="1103">
        <f>VLOOKUP(G$1,'cost per tipologia de sòl'!$A$2:$D$37,4,FALSE)*'T100'!G51</f>
        <v>0</v>
      </c>
      <c r="H51" s="1103">
        <f>VLOOKUP(H$1,'cost per tipologia de sòl'!$A$2:$D$37,4,FALSE)*'T100'!H51</f>
        <v>0</v>
      </c>
      <c r="I51" s="1103">
        <f>VLOOKUP(I$1,'cost per tipologia de sòl'!$A$2:$D$37,4,FALSE)*'T100'!I51</f>
        <v>0</v>
      </c>
      <c r="J51" s="1103">
        <f>VLOOKUP(J$1,'cost per tipologia de sòl'!$A$2:$D$37,4,FALSE)*'T100'!J51</f>
        <v>12276731.065499999</v>
      </c>
      <c r="K51" s="1103">
        <f>VLOOKUP(K$1,'cost per tipologia de sòl'!$A$2:$D$37,4,FALSE)*'T100'!K51</f>
        <v>0</v>
      </c>
      <c r="L51" s="1103">
        <f>VLOOKUP(L$1,'cost per tipologia de sòl'!$A$2:$D$37,4,FALSE)*'T100'!L51</f>
        <v>0</v>
      </c>
      <c r="M51" s="1103">
        <f>VLOOKUP(M$1,'cost per tipologia de sòl'!$A$2:$D$37,4,FALSE)*'T100'!M51</f>
        <v>0</v>
      </c>
      <c r="N51" s="1103">
        <f>VLOOKUP(N$1,'cost per tipologia de sòl'!$A$2:$D$37,4,FALSE)*'T100'!N51</f>
        <v>0</v>
      </c>
      <c r="O51" s="1103">
        <f>VLOOKUP(O$1,'cost per tipologia de sòl'!$A$2:$D$37,4,FALSE)*'T100'!O51</f>
        <v>0</v>
      </c>
      <c r="P51" s="1103">
        <f>VLOOKUP(P$1,'cost per tipologia de sòl'!$A$2:$D$37,4,FALSE)*'T100'!P51</f>
        <v>0</v>
      </c>
      <c r="Q51" s="1103">
        <f>VLOOKUP(Q$1,'cost per tipologia de sòl'!$A$2:$D$37,4,FALSE)*'T100'!Q51</f>
        <v>0</v>
      </c>
      <c r="R51" s="1103">
        <f>VLOOKUP(R$1,'cost per tipologia de sòl'!$A$2:$D$37,4,FALSE)*'T100'!R51</f>
        <v>0</v>
      </c>
      <c r="S51" s="1103">
        <f>VLOOKUP(S$1,'cost per tipologia de sòl'!$A$2:$D$37,4,FALSE)*'T100'!S51</f>
        <v>21270101.328000002</v>
      </c>
      <c r="T51" s="1103">
        <f>VLOOKUP(T$1,'cost per tipologia de sòl'!$A$2:$D$37,4,FALSE)*'T100'!T51</f>
        <v>16834888.920000002</v>
      </c>
      <c r="U51" s="1103">
        <f>VLOOKUP(U$1,'cost per tipologia de sòl'!$A$2:$D$37,4,FALSE)*'T100'!U51</f>
        <v>15902736.149999999</v>
      </c>
      <c r="V51" s="1103">
        <f>VLOOKUP(V$1,'cost per tipologia de sòl'!$A$2:$D$37,4,FALSE)*'T100'!V51</f>
        <v>0</v>
      </c>
      <c r="W51" s="1103">
        <f>VLOOKUP(W$1,'cost per tipologia de sòl'!$A$2:$D$37,4,FALSE)*'T100'!W51</f>
        <v>0</v>
      </c>
      <c r="X51" s="1103">
        <f>VLOOKUP(X$1,'cost per tipologia de sòl'!$A$2:$D$37,4,FALSE)*'T100'!X51</f>
        <v>0</v>
      </c>
      <c r="Y51" s="1103">
        <f>VLOOKUP(Y$1,'cost per tipologia de sòl'!$A$2:$D$37,4,FALSE)*'T100'!Y51</f>
        <v>0</v>
      </c>
      <c r="Z51" s="1103">
        <f>VLOOKUP(Z$1,'cost per tipologia de sòl'!$A$2:$D$37,4,FALSE)*'T100'!Z51</f>
        <v>292405.78200000001</v>
      </c>
      <c r="AA51" s="1103">
        <f>VLOOKUP(AA$1,'cost per tipologia de sòl'!$A$2:$D$37,4,FALSE)*'T100'!AA51</f>
        <v>0</v>
      </c>
      <c r="AB51" s="1103">
        <f>VLOOKUP(AB$1,'cost per tipologia de sòl'!$A$2:$D$37,4,FALSE)*'T100'!AB51</f>
        <v>12404401.75</v>
      </c>
      <c r="AC51" s="1103">
        <f>VLOOKUP(AC$1,'cost per tipologia de sòl'!$A$2:$D$37,4,FALSE)*'T100'!AC51</f>
        <v>23549846.399999999</v>
      </c>
      <c r="AD51" s="1103">
        <f>VLOOKUP(AD$1,'cost per tipologia de sòl'!$A$2:$D$37,4,FALSE)*'T100'!AD51</f>
        <v>93979748.450000003</v>
      </c>
      <c r="AE51" s="1103">
        <f>VLOOKUP(AE$1,'cost per tipologia de sòl'!$A$2:$D$37,4,FALSE)*'T100'!AE51</f>
        <v>0</v>
      </c>
      <c r="AF51" s="1103">
        <f>VLOOKUP(AF$1,'cost per tipologia de sòl'!$A$2:$D$37,4,FALSE)*'T100'!AF51</f>
        <v>0</v>
      </c>
      <c r="AG51" s="1103">
        <f>VLOOKUP(AG$1,'cost per tipologia de sòl'!$A$2:$D$37,4,FALSE)*'T100'!AG51</f>
        <v>0</v>
      </c>
      <c r="AH51" s="1103">
        <f>VLOOKUP(AH$1,'cost per tipologia de sòl'!$A$2:$D$37,4,FALSE)*'T100'!AH51</f>
        <v>0</v>
      </c>
      <c r="AI51" s="1103">
        <f>VLOOKUP(AI$1,'cost per tipologia de sòl'!$A$2:$D$37,4,FALSE)*'T100'!AI51</f>
        <v>0</v>
      </c>
      <c r="AJ51" s="1103">
        <f t="shared" si="0"/>
        <v>306811670.13749999</v>
      </c>
      <c r="AK51" s="1117">
        <f t="shared" si="1"/>
        <v>92.043501041249996</v>
      </c>
    </row>
    <row r="52" spans="1:37">
      <c r="A52" s="1096" t="s">
        <v>1068</v>
      </c>
      <c r="B52" s="1103">
        <f>VLOOKUP(B$1,'cost per tipologia de sòl'!$A$2:$D$37,4,FALSE)*'T100'!B52</f>
        <v>0</v>
      </c>
      <c r="C52" s="1103">
        <f>VLOOKUP(C$1,'cost per tipologia de sòl'!$A$2:$D$37,4,FALSE)*'T100'!C52</f>
        <v>0</v>
      </c>
      <c r="D52" s="1103">
        <f>VLOOKUP(D$1,'cost per tipologia de sòl'!$A$2:$D$37,4,FALSE)*'T100'!D52</f>
        <v>0</v>
      </c>
      <c r="E52" s="1103">
        <f>VLOOKUP(E$1,'cost per tipologia de sòl'!$A$2:$D$37,4,FALSE)*'T100'!E52</f>
        <v>0</v>
      </c>
      <c r="F52" s="1103">
        <f>VLOOKUP(F$1,'cost per tipologia de sòl'!$A$2:$D$37,4,FALSE)*'T100'!F52</f>
        <v>0</v>
      </c>
      <c r="G52" s="1103">
        <f>VLOOKUP(G$1,'cost per tipologia de sòl'!$A$2:$D$37,4,FALSE)*'T100'!G52</f>
        <v>0</v>
      </c>
      <c r="H52" s="1103">
        <f>VLOOKUP(H$1,'cost per tipologia de sòl'!$A$2:$D$37,4,FALSE)*'T100'!H52</f>
        <v>0</v>
      </c>
      <c r="I52" s="1103">
        <f>VLOOKUP(I$1,'cost per tipologia de sòl'!$A$2:$D$37,4,FALSE)*'T100'!I52</f>
        <v>0</v>
      </c>
      <c r="J52" s="1103">
        <f>VLOOKUP(J$1,'cost per tipologia de sòl'!$A$2:$D$37,4,FALSE)*'T100'!J52</f>
        <v>30106.791000000001</v>
      </c>
      <c r="K52" s="1103">
        <f>VLOOKUP(K$1,'cost per tipologia de sòl'!$A$2:$D$37,4,FALSE)*'T100'!K52</f>
        <v>0</v>
      </c>
      <c r="L52" s="1103">
        <f>VLOOKUP(L$1,'cost per tipologia de sòl'!$A$2:$D$37,4,FALSE)*'T100'!L52</f>
        <v>0</v>
      </c>
      <c r="M52" s="1103">
        <f>VLOOKUP(M$1,'cost per tipologia de sòl'!$A$2:$D$37,4,FALSE)*'T100'!M52</f>
        <v>0</v>
      </c>
      <c r="N52" s="1103">
        <f>VLOOKUP(N$1,'cost per tipologia de sòl'!$A$2:$D$37,4,FALSE)*'T100'!N52</f>
        <v>0</v>
      </c>
      <c r="O52" s="1103">
        <f>VLOOKUP(O$1,'cost per tipologia de sòl'!$A$2:$D$37,4,FALSE)*'T100'!O52</f>
        <v>0</v>
      </c>
      <c r="P52" s="1103">
        <f>VLOOKUP(P$1,'cost per tipologia de sòl'!$A$2:$D$37,4,FALSE)*'T100'!P52</f>
        <v>0</v>
      </c>
      <c r="Q52" s="1103">
        <f>VLOOKUP(Q$1,'cost per tipologia de sòl'!$A$2:$D$37,4,FALSE)*'T100'!Q52</f>
        <v>0</v>
      </c>
      <c r="R52" s="1103">
        <f>VLOOKUP(R$1,'cost per tipologia de sòl'!$A$2:$D$37,4,FALSE)*'T100'!R52</f>
        <v>0</v>
      </c>
      <c r="S52" s="1103">
        <f>VLOOKUP(S$1,'cost per tipologia de sòl'!$A$2:$D$37,4,FALSE)*'T100'!S52</f>
        <v>0</v>
      </c>
      <c r="T52" s="1103">
        <f>VLOOKUP(T$1,'cost per tipologia de sòl'!$A$2:$D$37,4,FALSE)*'T100'!T52</f>
        <v>0</v>
      </c>
      <c r="U52" s="1103">
        <f>VLOOKUP(U$1,'cost per tipologia de sòl'!$A$2:$D$37,4,FALSE)*'T100'!U52</f>
        <v>0</v>
      </c>
      <c r="V52" s="1103">
        <f>VLOOKUP(V$1,'cost per tipologia de sòl'!$A$2:$D$37,4,FALSE)*'T100'!V52</f>
        <v>0</v>
      </c>
      <c r="W52" s="1103">
        <f>VLOOKUP(W$1,'cost per tipologia de sòl'!$A$2:$D$37,4,FALSE)*'T100'!W52</f>
        <v>0</v>
      </c>
      <c r="X52" s="1103">
        <f>VLOOKUP(X$1,'cost per tipologia de sòl'!$A$2:$D$37,4,FALSE)*'T100'!X52</f>
        <v>0</v>
      </c>
      <c r="Y52" s="1103">
        <f>VLOOKUP(Y$1,'cost per tipologia de sòl'!$A$2:$D$37,4,FALSE)*'T100'!Y52</f>
        <v>0</v>
      </c>
      <c r="Z52" s="1103">
        <f>VLOOKUP(Z$1,'cost per tipologia de sòl'!$A$2:$D$37,4,FALSE)*'T100'!Z52</f>
        <v>0</v>
      </c>
      <c r="AA52" s="1103">
        <f>VLOOKUP(AA$1,'cost per tipologia de sòl'!$A$2:$D$37,4,FALSE)*'T100'!AA52</f>
        <v>0</v>
      </c>
      <c r="AB52" s="1103">
        <f>VLOOKUP(AB$1,'cost per tipologia de sòl'!$A$2:$D$37,4,FALSE)*'T100'!AB52</f>
        <v>0</v>
      </c>
      <c r="AC52" s="1103">
        <f>VLOOKUP(AC$1,'cost per tipologia de sòl'!$A$2:$D$37,4,FALSE)*'T100'!AC52</f>
        <v>0</v>
      </c>
      <c r="AD52" s="1103">
        <f>VLOOKUP(AD$1,'cost per tipologia de sòl'!$A$2:$D$37,4,FALSE)*'T100'!AD52</f>
        <v>0</v>
      </c>
      <c r="AE52" s="1103">
        <f>VLOOKUP(AE$1,'cost per tipologia de sòl'!$A$2:$D$37,4,FALSE)*'T100'!AE52</f>
        <v>0</v>
      </c>
      <c r="AF52" s="1103">
        <f>VLOOKUP(AF$1,'cost per tipologia de sòl'!$A$2:$D$37,4,FALSE)*'T100'!AF52</f>
        <v>0</v>
      </c>
      <c r="AG52" s="1103">
        <f>VLOOKUP(AG$1,'cost per tipologia de sòl'!$A$2:$D$37,4,FALSE)*'T100'!AG52</f>
        <v>0</v>
      </c>
      <c r="AH52" s="1103">
        <f>VLOOKUP(AH$1,'cost per tipologia de sòl'!$A$2:$D$37,4,FALSE)*'T100'!AH52</f>
        <v>0</v>
      </c>
      <c r="AI52" s="1103">
        <f>VLOOKUP(AI$1,'cost per tipologia de sòl'!$A$2:$D$37,4,FALSE)*'T100'!AI52</f>
        <v>0</v>
      </c>
      <c r="AJ52" s="1103">
        <f t="shared" si="0"/>
        <v>30106.791000000001</v>
      </c>
      <c r="AK52" s="1117">
        <f t="shared" si="1"/>
        <v>9.0320373000000002E-3</v>
      </c>
    </row>
    <row r="53" spans="1:37">
      <c r="A53" s="1096" t="s">
        <v>1100</v>
      </c>
      <c r="B53" s="1103">
        <f>VLOOKUP(B$1,'cost per tipologia de sòl'!$A$2:$D$37,4,FALSE)*'T100'!B53</f>
        <v>0</v>
      </c>
      <c r="C53" s="1103">
        <f>VLOOKUP(C$1,'cost per tipologia de sòl'!$A$2:$D$37,4,FALSE)*'T100'!C53</f>
        <v>0</v>
      </c>
      <c r="D53" s="1103">
        <f>VLOOKUP(D$1,'cost per tipologia de sòl'!$A$2:$D$37,4,FALSE)*'T100'!D53</f>
        <v>0</v>
      </c>
      <c r="E53" s="1103">
        <f>VLOOKUP(E$1,'cost per tipologia de sòl'!$A$2:$D$37,4,FALSE)*'T100'!E53</f>
        <v>0</v>
      </c>
      <c r="F53" s="1103">
        <f>VLOOKUP(F$1,'cost per tipologia de sòl'!$A$2:$D$37,4,FALSE)*'T100'!F53</f>
        <v>0</v>
      </c>
      <c r="G53" s="1103">
        <f>VLOOKUP(G$1,'cost per tipologia de sòl'!$A$2:$D$37,4,FALSE)*'T100'!G53</f>
        <v>0</v>
      </c>
      <c r="H53" s="1103">
        <f>VLOOKUP(H$1,'cost per tipologia de sòl'!$A$2:$D$37,4,FALSE)*'T100'!H53</f>
        <v>0</v>
      </c>
      <c r="I53" s="1103">
        <f>VLOOKUP(I$1,'cost per tipologia de sòl'!$A$2:$D$37,4,FALSE)*'T100'!I53</f>
        <v>0</v>
      </c>
      <c r="J53" s="1103">
        <f>VLOOKUP(J$1,'cost per tipologia de sòl'!$A$2:$D$37,4,FALSE)*'T100'!J53</f>
        <v>29489.306</v>
      </c>
      <c r="K53" s="1103">
        <f>VLOOKUP(K$1,'cost per tipologia de sòl'!$A$2:$D$37,4,FALSE)*'T100'!K53</f>
        <v>0</v>
      </c>
      <c r="L53" s="1103">
        <f>VLOOKUP(L$1,'cost per tipologia de sòl'!$A$2:$D$37,4,FALSE)*'T100'!L53</f>
        <v>0</v>
      </c>
      <c r="M53" s="1103">
        <f>VLOOKUP(M$1,'cost per tipologia de sòl'!$A$2:$D$37,4,FALSE)*'T100'!M53</f>
        <v>0</v>
      </c>
      <c r="N53" s="1103">
        <f>VLOOKUP(N$1,'cost per tipologia de sòl'!$A$2:$D$37,4,FALSE)*'T100'!N53</f>
        <v>0</v>
      </c>
      <c r="O53" s="1103">
        <f>VLOOKUP(O$1,'cost per tipologia de sòl'!$A$2:$D$37,4,FALSE)*'T100'!O53</f>
        <v>0</v>
      </c>
      <c r="P53" s="1103">
        <f>VLOOKUP(P$1,'cost per tipologia de sòl'!$A$2:$D$37,4,FALSE)*'T100'!P53</f>
        <v>0</v>
      </c>
      <c r="Q53" s="1103">
        <f>VLOOKUP(Q$1,'cost per tipologia de sòl'!$A$2:$D$37,4,FALSE)*'T100'!Q53</f>
        <v>0</v>
      </c>
      <c r="R53" s="1103">
        <f>VLOOKUP(R$1,'cost per tipologia de sòl'!$A$2:$D$37,4,FALSE)*'T100'!R53</f>
        <v>0</v>
      </c>
      <c r="S53" s="1103">
        <f>VLOOKUP(S$1,'cost per tipologia de sòl'!$A$2:$D$37,4,FALSE)*'T100'!S53</f>
        <v>0</v>
      </c>
      <c r="T53" s="1103">
        <f>VLOOKUP(T$1,'cost per tipologia de sòl'!$A$2:$D$37,4,FALSE)*'T100'!T53</f>
        <v>0</v>
      </c>
      <c r="U53" s="1103">
        <f>VLOOKUP(U$1,'cost per tipologia de sòl'!$A$2:$D$37,4,FALSE)*'T100'!U53</f>
        <v>0</v>
      </c>
      <c r="V53" s="1103">
        <f>VLOOKUP(V$1,'cost per tipologia de sòl'!$A$2:$D$37,4,FALSE)*'T100'!V53</f>
        <v>0</v>
      </c>
      <c r="W53" s="1103">
        <f>VLOOKUP(W$1,'cost per tipologia de sòl'!$A$2:$D$37,4,FALSE)*'T100'!W53</f>
        <v>0</v>
      </c>
      <c r="X53" s="1103">
        <f>VLOOKUP(X$1,'cost per tipologia de sòl'!$A$2:$D$37,4,FALSE)*'T100'!X53</f>
        <v>0</v>
      </c>
      <c r="Y53" s="1103">
        <f>VLOOKUP(Y$1,'cost per tipologia de sòl'!$A$2:$D$37,4,FALSE)*'T100'!Y53</f>
        <v>0</v>
      </c>
      <c r="Z53" s="1103">
        <f>VLOOKUP(Z$1,'cost per tipologia de sòl'!$A$2:$D$37,4,FALSE)*'T100'!Z53</f>
        <v>0</v>
      </c>
      <c r="AA53" s="1103">
        <f>VLOOKUP(AA$1,'cost per tipologia de sòl'!$A$2:$D$37,4,FALSE)*'T100'!AA53</f>
        <v>0</v>
      </c>
      <c r="AB53" s="1103">
        <f>VLOOKUP(AB$1,'cost per tipologia de sòl'!$A$2:$D$37,4,FALSE)*'T100'!AB53</f>
        <v>0</v>
      </c>
      <c r="AC53" s="1103">
        <f>VLOOKUP(AC$1,'cost per tipologia de sòl'!$A$2:$D$37,4,FALSE)*'T100'!AC53</f>
        <v>0</v>
      </c>
      <c r="AD53" s="1103">
        <f>VLOOKUP(AD$1,'cost per tipologia de sòl'!$A$2:$D$37,4,FALSE)*'T100'!AD53</f>
        <v>136615.70000000001</v>
      </c>
      <c r="AE53" s="1103">
        <f>VLOOKUP(AE$1,'cost per tipologia de sòl'!$A$2:$D$37,4,FALSE)*'T100'!AE53</f>
        <v>0</v>
      </c>
      <c r="AF53" s="1103">
        <f>VLOOKUP(AF$1,'cost per tipologia de sòl'!$A$2:$D$37,4,FALSE)*'T100'!AF53</f>
        <v>0</v>
      </c>
      <c r="AG53" s="1103">
        <f>VLOOKUP(AG$1,'cost per tipologia de sòl'!$A$2:$D$37,4,FALSE)*'T100'!AG53</f>
        <v>0</v>
      </c>
      <c r="AH53" s="1103">
        <f>VLOOKUP(AH$1,'cost per tipologia de sòl'!$A$2:$D$37,4,FALSE)*'T100'!AH53</f>
        <v>0</v>
      </c>
      <c r="AI53" s="1103">
        <f>VLOOKUP(AI$1,'cost per tipologia de sòl'!$A$2:$D$37,4,FALSE)*'T100'!AI53</f>
        <v>0</v>
      </c>
      <c r="AJ53" s="1103">
        <f t="shared" si="0"/>
        <v>166105.00600000002</v>
      </c>
      <c r="AK53" s="1117">
        <f t="shared" si="1"/>
        <v>4.9831501800000004E-2</v>
      </c>
    </row>
    <row r="54" spans="1:37">
      <c r="A54" s="1096" t="s">
        <v>342</v>
      </c>
      <c r="B54" s="1103">
        <f>VLOOKUP(B$1,'cost per tipologia de sòl'!$A$2:$D$37,4,FALSE)*'T100'!B54</f>
        <v>83681890.164000005</v>
      </c>
      <c r="C54" s="1103">
        <f>VLOOKUP(C$1,'cost per tipologia de sòl'!$A$2:$D$37,4,FALSE)*'T100'!C54</f>
        <v>0</v>
      </c>
      <c r="D54" s="1103">
        <f>VLOOKUP(D$1,'cost per tipologia de sòl'!$A$2:$D$37,4,FALSE)*'T100'!D54</f>
        <v>0</v>
      </c>
      <c r="E54" s="1103">
        <f>VLOOKUP(E$1,'cost per tipologia de sòl'!$A$2:$D$37,4,FALSE)*'T100'!E54</f>
        <v>0</v>
      </c>
      <c r="F54" s="1103">
        <f>VLOOKUP(F$1,'cost per tipologia de sòl'!$A$2:$D$37,4,FALSE)*'T100'!F54</f>
        <v>0</v>
      </c>
      <c r="G54" s="1103">
        <f>VLOOKUP(G$1,'cost per tipologia de sòl'!$A$2:$D$37,4,FALSE)*'T100'!G54</f>
        <v>0</v>
      </c>
      <c r="H54" s="1103">
        <f>VLOOKUP(H$1,'cost per tipologia de sòl'!$A$2:$D$37,4,FALSE)*'T100'!H54</f>
        <v>0</v>
      </c>
      <c r="I54" s="1103">
        <f>VLOOKUP(I$1,'cost per tipologia de sòl'!$A$2:$D$37,4,FALSE)*'T100'!I54</f>
        <v>0</v>
      </c>
      <c r="J54" s="1103">
        <f>VLOOKUP(J$1,'cost per tipologia de sòl'!$A$2:$D$37,4,FALSE)*'T100'!J54</f>
        <v>0</v>
      </c>
      <c r="K54" s="1103">
        <f>VLOOKUP(K$1,'cost per tipologia de sòl'!$A$2:$D$37,4,FALSE)*'T100'!K54</f>
        <v>0</v>
      </c>
      <c r="L54" s="1103">
        <f>VLOOKUP(L$1,'cost per tipologia de sòl'!$A$2:$D$37,4,FALSE)*'T100'!L54</f>
        <v>25527508.245000001</v>
      </c>
      <c r="M54" s="1103">
        <f>VLOOKUP(M$1,'cost per tipologia de sòl'!$A$2:$D$37,4,FALSE)*'T100'!M54</f>
        <v>0</v>
      </c>
      <c r="N54" s="1103">
        <f>VLOOKUP(N$1,'cost per tipologia de sòl'!$A$2:$D$37,4,FALSE)*'T100'!N54</f>
        <v>58084629.991999999</v>
      </c>
      <c r="O54" s="1103">
        <f>VLOOKUP(O$1,'cost per tipologia de sòl'!$A$2:$D$37,4,FALSE)*'T100'!O54</f>
        <v>0</v>
      </c>
      <c r="P54" s="1103">
        <f>VLOOKUP(P$1,'cost per tipologia de sòl'!$A$2:$D$37,4,FALSE)*'T100'!P54</f>
        <v>0</v>
      </c>
      <c r="Q54" s="1103">
        <f>VLOOKUP(Q$1,'cost per tipologia de sòl'!$A$2:$D$37,4,FALSE)*'T100'!Q54</f>
        <v>467809641</v>
      </c>
      <c r="R54" s="1103">
        <f>VLOOKUP(R$1,'cost per tipologia de sòl'!$A$2:$D$37,4,FALSE)*'T100'!R54</f>
        <v>0</v>
      </c>
      <c r="S54" s="1103">
        <f>VLOOKUP(S$1,'cost per tipologia de sòl'!$A$2:$D$37,4,FALSE)*'T100'!S54</f>
        <v>275697406.65600002</v>
      </c>
      <c r="T54" s="1103">
        <f>VLOOKUP(T$1,'cost per tipologia de sòl'!$A$2:$D$37,4,FALSE)*'T100'!T54</f>
        <v>146065420.676</v>
      </c>
      <c r="U54" s="1103">
        <f>VLOOKUP(U$1,'cost per tipologia de sòl'!$A$2:$D$37,4,FALSE)*'T100'!U54</f>
        <v>0</v>
      </c>
      <c r="V54" s="1103">
        <f>VLOOKUP(V$1,'cost per tipologia de sòl'!$A$2:$D$37,4,FALSE)*'T100'!V54</f>
        <v>0</v>
      </c>
      <c r="W54" s="1103">
        <f>VLOOKUP(W$1,'cost per tipologia de sòl'!$A$2:$D$37,4,FALSE)*'T100'!W54</f>
        <v>0</v>
      </c>
      <c r="X54" s="1103">
        <f>VLOOKUP(X$1,'cost per tipologia de sòl'!$A$2:$D$37,4,FALSE)*'T100'!X54</f>
        <v>0</v>
      </c>
      <c r="Y54" s="1103">
        <f>VLOOKUP(Y$1,'cost per tipologia de sòl'!$A$2:$D$37,4,FALSE)*'T100'!Y54</f>
        <v>0</v>
      </c>
      <c r="Z54" s="1103">
        <f>VLOOKUP(Z$1,'cost per tipologia de sòl'!$A$2:$D$37,4,FALSE)*'T100'!Z54</f>
        <v>39526459.308000006</v>
      </c>
      <c r="AA54" s="1103">
        <f>VLOOKUP(AA$1,'cost per tipologia de sòl'!$A$2:$D$37,4,FALSE)*'T100'!AA54</f>
        <v>0</v>
      </c>
      <c r="AB54" s="1103">
        <f>VLOOKUP(AB$1,'cost per tipologia de sòl'!$A$2:$D$37,4,FALSE)*'T100'!AB54</f>
        <v>37334706.450000003</v>
      </c>
      <c r="AC54" s="1103">
        <f>VLOOKUP(AC$1,'cost per tipologia de sòl'!$A$2:$D$37,4,FALSE)*'T100'!AC54</f>
        <v>86717862.000000015</v>
      </c>
      <c r="AD54" s="1103">
        <f>VLOOKUP(AD$1,'cost per tipologia de sòl'!$A$2:$D$37,4,FALSE)*'T100'!AD54</f>
        <v>132459355.94999999</v>
      </c>
      <c r="AE54" s="1103">
        <f>VLOOKUP(AE$1,'cost per tipologia de sòl'!$A$2:$D$37,4,FALSE)*'T100'!AE54</f>
        <v>0</v>
      </c>
      <c r="AF54" s="1103">
        <f>VLOOKUP(AF$1,'cost per tipologia de sòl'!$A$2:$D$37,4,FALSE)*'T100'!AF54</f>
        <v>0</v>
      </c>
      <c r="AG54" s="1103">
        <f>VLOOKUP(AG$1,'cost per tipologia de sòl'!$A$2:$D$37,4,FALSE)*'T100'!AG54</f>
        <v>0</v>
      </c>
      <c r="AH54" s="1103">
        <f>VLOOKUP(AH$1,'cost per tipologia de sòl'!$A$2:$D$37,4,FALSE)*'T100'!AH54</f>
        <v>0</v>
      </c>
      <c r="AI54" s="1103">
        <f>VLOOKUP(AI$1,'cost per tipologia de sòl'!$A$2:$D$37,4,FALSE)*'T100'!AI54</f>
        <v>0</v>
      </c>
      <c r="AJ54" s="1103">
        <f t="shared" si="0"/>
        <v>1352904880.4410002</v>
      </c>
      <c r="AK54" s="1117">
        <f t="shared" si="1"/>
        <v>405.87146413230005</v>
      </c>
    </row>
    <row r="55" spans="1:37">
      <c r="A55" s="1096" t="s">
        <v>1102</v>
      </c>
      <c r="B55" s="1103">
        <f>VLOOKUP(B$1,'cost per tipologia de sòl'!$A$2:$D$37,4,FALSE)*'T100'!B55</f>
        <v>9978432.6419999991</v>
      </c>
      <c r="C55" s="1103">
        <f>VLOOKUP(C$1,'cost per tipologia de sòl'!$A$2:$D$37,4,FALSE)*'T100'!C55</f>
        <v>0</v>
      </c>
      <c r="D55" s="1103">
        <f>VLOOKUP(D$1,'cost per tipologia de sòl'!$A$2:$D$37,4,FALSE)*'T100'!D55</f>
        <v>0</v>
      </c>
      <c r="E55" s="1103">
        <f>VLOOKUP(E$1,'cost per tipologia de sòl'!$A$2:$D$37,4,FALSE)*'T100'!E55</f>
        <v>0</v>
      </c>
      <c r="F55" s="1103">
        <f>VLOOKUP(F$1,'cost per tipologia de sòl'!$A$2:$D$37,4,FALSE)*'T100'!F55</f>
        <v>0</v>
      </c>
      <c r="G55" s="1103">
        <f>VLOOKUP(G$1,'cost per tipologia de sòl'!$A$2:$D$37,4,FALSE)*'T100'!G55</f>
        <v>0</v>
      </c>
      <c r="H55" s="1103">
        <f>VLOOKUP(H$1,'cost per tipologia de sòl'!$A$2:$D$37,4,FALSE)*'T100'!H55</f>
        <v>0</v>
      </c>
      <c r="I55" s="1103">
        <f>VLOOKUP(I$1,'cost per tipologia de sòl'!$A$2:$D$37,4,FALSE)*'T100'!I55</f>
        <v>0</v>
      </c>
      <c r="J55" s="1103">
        <f>VLOOKUP(J$1,'cost per tipologia de sòl'!$A$2:$D$37,4,FALSE)*'T100'!J55</f>
        <v>0</v>
      </c>
      <c r="K55" s="1103">
        <f>VLOOKUP(K$1,'cost per tipologia de sòl'!$A$2:$D$37,4,FALSE)*'T100'!K55</f>
        <v>0</v>
      </c>
      <c r="L55" s="1103">
        <f>VLOOKUP(L$1,'cost per tipologia de sòl'!$A$2:$D$37,4,FALSE)*'T100'!L55</f>
        <v>0</v>
      </c>
      <c r="M55" s="1103">
        <f>VLOOKUP(M$1,'cost per tipologia de sòl'!$A$2:$D$37,4,FALSE)*'T100'!M55</f>
        <v>0</v>
      </c>
      <c r="N55" s="1103">
        <f>VLOOKUP(N$1,'cost per tipologia de sòl'!$A$2:$D$37,4,FALSE)*'T100'!N55</f>
        <v>0</v>
      </c>
      <c r="O55" s="1103">
        <f>VLOOKUP(O$1,'cost per tipologia de sòl'!$A$2:$D$37,4,FALSE)*'T100'!O55</f>
        <v>0</v>
      </c>
      <c r="P55" s="1103">
        <f>VLOOKUP(P$1,'cost per tipologia de sòl'!$A$2:$D$37,4,FALSE)*'T100'!P55</f>
        <v>0</v>
      </c>
      <c r="Q55" s="1103">
        <f>VLOOKUP(Q$1,'cost per tipologia de sòl'!$A$2:$D$37,4,FALSE)*'T100'!Q55</f>
        <v>0</v>
      </c>
      <c r="R55" s="1103">
        <f>VLOOKUP(R$1,'cost per tipologia de sòl'!$A$2:$D$37,4,FALSE)*'T100'!R55</f>
        <v>0</v>
      </c>
      <c r="S55" s="1103">
        <f>VLOOKUP(S$1,'cost per tipologia de sòl'!$A$2:$D$37,4,FALSE)*'T100'!S55</f>
        <v>0</v>
      </c>
      <c r="T55" s="1103">
        <f>VLOOKUP(T$1,'cost per tipologia de sòl'!$A$2:$D$37,4,FALSE)*'T100'!T55</f>
        <v>2712041.2</v>
      </c>
      <c r="U55" s="1103">
        <f>VLOOKUP(U$1,'cost per tipologia de sòl'!$A$2:$D$37,4,FALSE)*'T100'!U55</f>
        <v>10127284.65</v>
      </c>
      <c r="V55" s="1103">
        <f>VLOOKUP(V$1,'cost per tipologia de sòl'!$A$2:$D$37,4,FALSE)*'T100'!V55</f>
        <v>0</v>
      </c>
      <c r="W55" s="1103">
        <f>VLOOKUP(W$1,'cost per tipologia de sòl'!$A$2:$D$37,4,FALSE)*'T100'!W55</f>
        <v>0</v>
      </c>
      <c r="X55" s="1103">
        <f>VLOOKUP(X$1,'cost per tipologia de sòl'!$A$2:$D$37,4,FALSE)*'T100'!X55</f>
        <v>0</v>
      </c>
      <c r="Y55" s="1103">
        <f>VLOOKUP(Y$1,'cost per tipologia de sòl'!$A$2:$D$37,4,FALSE)*'T100'!Y55</f>
        <v>0</v>
      </c>
      <c r="Z55" s="1103">
        <f>VLOOKUP(Z$1,'cost per tipologia de sòl'!$A$2:$D$37,4,FALSE)*'T100'!Z55</f>
        <v>2112535.676</v>
      </c>
      <c r="AA55" s="1103">
        <f>VLOOKUP(AA$1,'cost per tipologia de sòl'!$A$2:$D$37,4,FALSE)*'T100'!AA55</f>
        <v>0</v>
      </c>
      <c r="AB55" s="1103">
        <f>VLOOKUP(AB$1,'cost per tipologia de sòl'!$A$2:$D$37,4,FALSE)*'T100'!AB55</f>
        <v>11416437.85</v>
      </c>
      <c r="AC55" s="1103">
        <f>VLOOKUP(AC$1,'cost per tipologia de sòl'!$A$2:$D$37,4,FALSE)*'T100'!AC55</f>
        <v>13982561.699999999</v>
      </c>
      <c r="AD55" s="1103">
        <f>VLOOKUP(AD$1,'cost per tipologia de sòl'!$A$2:$D$37,4,FALSE)*'T100'!AD55</f>
        <v>19510986.949999999</v>
      </c>
      <c r="AE55" s="1103">
        <f>VLOOKUP(AE$1,'cost per tipologia de sòl'!$A$2:$D$37,4,FALSE)*'T100'!AE55</f>
        <v>0</v>
      </c>
      <c r="AF55" s="1103">
        <f>VLOOKUP(AF$1,'cost per tipologia de sòl'!$A$2:$D$37,4,FALSE)*'T100'!AF55</f>
        <v>0</v>
      </c>
      <c r="AG55" s="1103">
        <f>VLOOKUP(AG$1,'cost per tipologia de sòl'!$A$2:$D$37,4,FALSE)*'T100'!AG55</f>
        <v>0</v>
      </c>
      <c r="AH55" s="1103">
        <f>VLOOKUP(AH$1,'cost per tipologia de sòl'!$A$2:$D$37,4,FALSE)*'T100'!AH55</f>
        <v>0</v>
      </c>
      <c r="AI55" s="1103">
        <f>VLOOKUP(AI$1,'cost per tipologia de sòl'!$A$2:$D$37,4,FALSE)*'T100'!AI55</f>
        <v>0</v>
      </c>
      <c r="AJ55" s="1103">
        <f t="shared" si="0"/>
        <v>69840280.667999998</v>
      </c>
      <c r="AK55" s="1117">
        <f t="shared" si="1"/>
        <v>20.952084200399998</v>
      </c>
    </row>
    <row r="56" spans="1:37">
      <c r="A56" s="1096" t="s">
        <v>1104</v>
      </c>
      <c r="B56" s="1103">
        <f>VLOOKUP(B$1,'cost per tipologia de sòl'!$A$2:$D$37,4,FALSE)*'T100'!B56</f>
        <v>11557388.502</v>
      </c>
      <c r="C56" s="1103">
        <f>VLOOKUP(C$1,'cost per tipologia de sòl'!$A$2:$D$37,4,FALSE)*'T100'!C56</f>
        <v>0</v>
      </c>
      <c r="D56" s="1103">
        <f>VLOOKUP(D$1,'cost per tipologia de sòl'!$A$2:$D$37,4,FALSE)*'T100'!D56</f>
        <v>12936339.036</v>
      </c>
      <c r="E56" s="1103">
        <f>VLOOKUP(E$1,'cost per tipologia de sòl'!$A$2:$D$37,4,FALSE)*'T100'!E56</f>
        <v>0</v>
      </c>
      <c r="F56" s="1103">
        <f>VLOOKUP(F$1,'cost per tipologia de sòl'!$A$2:$D$37,4,FALSE)*'T100'!F56</f>
        <v>0</v>
      </c>
      <c r="G56" s="1103">
        <f>VLOOKUP(G$1,'cost per tipologia de sòl'!$A$2:$D$37,4,FALSE)*'T100'!G56</f>
        <v>0</v>
      </c>
      <c r="H56" s="1103">
        <f>VLOOKUP(H$1,'cost per tipologia de sòl'!$A$2:$D$37,4,FALSE)*'T100'!H56</f>
        <v>0</v>
      </c>
      <c r="I56" s="1103">
        <f>VLOOKUP(I$1,'cost per tipologia de sòl'!$A$2:$D$37,4,FALSE)*'T100'!I56</f>
        <v>0</v>
      </c>
      <c r="J56" s="1103">
        <f>VLOOKUP(J$1,'cost per tipologia de sòl'!$A$2:$D$37,4,FALSE)*'T100'!J56</f>
        <v>172631.18950000001</v>
      </c>
      <c r="K56" s="1103">
        <f>VLOOKUP(K$1,'cost per tipologia de sòl'!$A$2:$D$37,4,FALSE)*'T100'!K56</f>
        <v>0</v>
      </c>
      <c r="L56" s="1103">
        <f>VLOOKUP(L$1,'cost per tipologia de sòl'!$A$2:$D$37,4,FALSE)*'T100'!L56</f>
        <v>358308.36900000001</v>
      </c>
      <c r="M56" s="1103">
        <f>VLOOKUP(M$1,'cost per tipologia de sòl'!$A$2:$D$37,4,FALSE)*'T100'!M56</f>
        <v>86289.032000000007</v>
      </c>
      <c r="N56" s="1103">
        <f>VLOOKUP(N$1,'cost per tipologia de sòl'!$A$2:$D$37,4,FALSE)*'T100'!N56</f>
        <v>1107738.3360000001</v>
      </c>
      <c r="O56" s="1103">
        <f>VLOOKUP(O$1,'cost per tipologia de sòl'!$A$2:$D$37,4,FALSE)*'T100'!O56</f>
        <v>4133740.8079999997</v>
      </c>
      <c r="P56" s="1103">
        <f>VLOOKUP(P$1,'cost per tipologia de sòl'!$A$2:$D$37,4,FALSE)*'T100'!P56</f>
        <v>740124.88</v>
      </c>
      <c r="Q56" s="1103">
        <f>VLOOKUP(Q$1,'cost per tipologia de sòl'!$A$2:$D$37,4,FALSE)*'T100'!Q56</f>
        <v>0</v>
      </c>
      <c r="R56" s="1103">
        <f>VLOOKUP(R$1,'cost per tipologia de sòl'!$A$2:$D$37,4,FALSE)*'T100'!R56</f>
        <v>0</v>
      </c>
      <c r="S56" s="1103">
        <f>VLOOKUP(S$1,'cost per tipologia de sòl'!$A$2:$D$37,4,FALSE)*'T100'!S56</f>
        <v>11990739.6</v>
      </c>
      <c r="T56" s="1103">
        <f>VLOOKUP(T$1,'cost per tipologia de sòl'!$A$2:$D$37,4,FALSE)*'T100'!T56</f>
        <v>14175466.226</v>
      </c>
      <c r="U56" s="1103">
        <f>VLOOKUP(U$1,'cost per tipologia de sòl'!$A$2:$D$37,4,FALSE)*'T100'!U56</f>
        <v>0</v>
      </c>
      <c r="V56" s="1103">
        <f>VLOOKUP(V$1,'cost per tipologia de sòl'!$A$2:$D$37,4,FALSE)*'T100'!V56</f>
        <v>0</v>
      </c>
      <c r="W56" s="1103">
        <f>VLOOKUP(W$1,'cost per tipologia de sòl'!$A$2:$D$37,4,FALSE)*'T100'!W56</f>
        <v>0</v>
      </c>
      <c r="X56" s="1103">
        <f>VLOOKUP(X$1,'cost per tipologia de sòl'!$A$2:$D$37,4,FALSE)*'T100'!X56</f>
        <v>0</v>
      </c>
      <c r="Y56" s="1103">
        <f>VLOOKUP(Y$1,'cost per tipologia de sòl'!$A$2:$D$37,4,FALSE)*'T100'!Y56</f>
        <v>0</v>
      </c>
      <c r="Z56" s="1103">
        <f>VLOOKUP(Z$1,'cost per tipologia de sòl'!$A$2:$D$37,4,FALSE)*'T100'!Z56</f>
        <v>10640055.926000001</v>
      </c>
      <c r="AA56" s="1103">
        <f>VLOOKUP(AA$1,'cost per tipologia de sòl'!$A$2:$D$37,4,FALSE)*'T100'!AA56</f>
        <v>0</v>
      </c>
      <c r="AB56" s="1103">
        <f>VLOOKUP(AB$1,'cost per tipologia de sòl'!$A$2:$D$37,4,FALSE)*'T100'!AB56</f>
        <v>1671249.5</v>
      </c>
      <c r="AC56" s="1103">
        <f>VLOOKUP(AC$1,'cost per tipologia de sòl'!$A$2:$D$37,4,FALSE)*'T100'!AC56</f>
        <v>6325789.7000000002</v>
      </c>
      <c r="AD56" s="1103">
        <f>VLOOKUP(AD$1,'cost per tipologia de sòl'!$A$2:$D$37,4,FALSE)*'T100'!AD56</f>
        <v>7670094.8000000101</v>
      </c>
      <c r="AE56" s="1103">
        <f>VLOOKUP(AE$1,'cost per tipologia de sòl'!$A$2:$D$37,4,FALSE)*'T100'!AE56</f>
        <v>0</v>
      </c>
      <c r="AF56" s="1103">
        <f>VLOOKUP(AF$1,'cost per tipologia de sòl'!$A$2:$D$37,4,FALSE)*'T100'!AF56</f>
        <v>0</v>
      </c>
      <c r="AG56" s="1103">
        <f>VLOOKUP(AG$1,'cost per tipologia de sòl'!$A$2:$D$37,4,FALSE)*'T100'!AG56</f>
        <v>0</v>
      </c>
      <c r="AH56" s="1103">
        <f>VLOOKUP(AH$1,'cost per tipologia de sòl'!$A$2:$D$37,4,FALSE)*'T100'!AH56</f>
        <v>0</v>
      </c>
      <c r="AI56" s="1103">
        <f>VLOOKUP(AI$1,'cost per tipologia de sòl'!$A$2:$D$37,4,FALSE)*'T100'!AI56</f>
        <v>0</v>
      </c>
      <c r="AJ56" s="1103">
        <f t="shared" si="0"/>
        <v>83565955.904500008</v>
      </c>
      <c r="AK56" s="1117">
        <f t="shared" si="1"/>
        <v>25.069786771350003</v>
      </c>
    </row>
    <row r="57" spans="1:37">
      <c r="A57" s="1096" t="s">
        <v>1113</v>
      </c>
      <c r="B57" s="1103">
        <f>VLOOKUP(B$1,'cost per tipologia de sòl'!$A$2:$D$37,4,FALSE)*'T100'!B57</f>
        <v>237991284.27000001</v>
      </c>
      <c r="C57" s="1103">
        <f>VLOOKUP(C$1,'cost per tipologia de sòl'!$A$2:$D$37,4,FALSE)*'T100'!C57</f>
        <v>0</v>
      </c>
      <c r="D57" s="1103">
        <f>VLOOKUP(D$1,'cost per tipologia de sòl'!$A$2:$D$37,4,FALSE)*'T100'!D57</f>
        <v>3042198.5340000005</v>
      </c>
      <c r="E57" s="1103">
        <f>VLOOKUP(E$1,'cost per tipologia de sòl'!$A$2:$D$37,4,FALSE)*'T100'!E57</f>
        <v>0</v>
      </c>
      <c r="F57" s="1103">
        <f>VLOOKUP(F$1,'cost per tipologia de sòl'!$A$2:$D$37,4,FALSE)*'T100'!F57</f>
        <v>0</v>
      </c>
      <c r="G57" s="1103">
        <f>VLOOKUP(G$1,'cost per tipologia de sòl'!$A$2:$D$37,4,FALSE)*'T100'!G57</f>
        <v>0</v>
      </c>
      <c r="H57" s="1103">
        <f>VLOOKUP(H$1,'cost per tipologia de sòl'!$A$2:$D$37,4,FALSE)*'T100'!H57</f>
        <v>0</v>
      </c>
      <c r="I57" s="1103">
        <f>VLOOKUP(I$1,'cost per tipologia de sòl'!$A$2:$D$37,4,FALSE)*'T100'!I57</f>
        <v>0</v>
      </c>
      <c r="J57" s="1103">
        <f>VLOOKUP(J$1,'cost per tipologia de sòl'!$A$2:$D$37,4,FALSE)*'T100'!J57</f>
        <v>357690.81150000001</v>
      </c>
      <c r="K57" s="1103">
        <f>VLOOKUP(K$1,'cost per tipologia de sòl'!$A$2:$D$37,4,FALSE)*'T100'!K57</f>
        <v>0</v>
      </c>
      <c r="L57" s="1103">
        <f>VLOOKUP(L$1,'cost per tipologia de sòl'!$A$2:$D$37,4,FALSE)*'T100'!L57</f>
        <v>0</v>
      </c>
      <c r="M57" s="1103">
        <f>VLOOKUP(M$1,'cost per tipologia de sòl'!$A$2:$D$37,4,FALSE)*'T100'!M57</f>
        <v>0</v>
      </c>
      <c r="N57" s="1103">
        <f>VLOOKUP(N$1,'cost per tipologia de sòl'!$A$2:$D$37,4,FALSE)*'T100'!N57</f>
        <v>10305403.464</v>
      </c>
      <c r="O57" s="1103">
        <f>VLOOKUP(O$1,'cost per tipologia de sòl'!$A$2:$D$37,4,FALSE)*'T100'!O57</f>
        <v>4012198.5199999996</v>
      </c>
      <c r="P57" s="1103">
        <f>VLOOKUP(P$1,'cost per tipologia de sòl'!$A$2:$D$37,4,FALSE)*'T100'!P57</f>
        <v>21622198.728000004</v>
      </c>
      <c r="Q57" s="1103">
        <f>VLOOKUP(Q$1,'cost per tipologia de sòl'!$A$2:$D$37,4,FALSE)*'T100'!Q57</f>
        <v>0</v>
      </c>
      <c r="R57" s="1103">
        <f>VLOOKUP(R$1,'cost per tipologia de sòl'!$A$2:$D$37,4,FALSE)*'T100'!R57</f>
        <v>0</v>
      </c>
      <c r="S57" s="1103">
        <f>VLOOKUP(S$1,'cost per tipologia de sòl'!$A$2:$D$37,4,FALSE)*'T100'!S57</f>
        <v>58334304.671999998</v>
      </c>
      <c r="T57" s="1103">
        <f>VLOOKUP(T$1,'cost per tipologia de sòl'!$A$2:$D$37,4,FALSE)*'T100'!T57</f>
        <v>126341975.01099999</v>
      </c>
      <c r="U57" s="1103">
        <f>VLOOKUP(U$1,'cost per tipologia de sòl'!$A$2:$D$37,4,FALSE)*'T100'!U57</f>
        <v>3087855.75</v>
      </c>
      <c r="V57" s="1103">
        <f>VLOOKUP(V$1,'cost per tipologia de sòl'!$A$2:$D$37,4,FALSE)*'T100'!V57</f>
        <v>0</v>
      </c>
      <c r="W57" s="1103">
        <f>VLOOKUP(W$1,'cost per tipologia de sòl'!$A$2:$D$37,4,FALSE)*'T100'!W57</f>
        <v>0</v>
      </c>
      <c r="X57" s="1103">
        <f>VLOOKUP(X$1,'cost per tipologia de sòl'!$A$2:$D$37,4,FALSE)*'T100'!X57</f>
        <v>0</v>
      </c>
      <c r="Y57" s="1103">
        <f>VLOOKUP(Y$1,'cost per tipologia de sòl'!$A$2:$D$37,4,FALSE)*'T100'!Y57</f>
        <v>0</v>
      </c>
      <c r="Z57" s="1103">
        <f>VLOOKUP(Z$1,'cost per tipologia de sòl'!$A$2:$D$37,4,FALSE)*'T100'!Z57</f>
        <v>10502585.800000001</v>
      </c>
      <c r="AA57" s="1103">
        <f>VLOOKUP(AA$1,'cost per tipologia de sòl'!$A$2:$D$37,4,FALSE)*'T100'!AA57</f>
        <v>0</v>
      </c>
      <c r="AB57" s="1103">
        <f>VLOOKUP(AB$1,'cost per tipologia de sòl'!$A$2:$D$37,4,FALSE)*'T100'!AB57</f>
        <v>2175249.2000000002</v>
      </c>
      <c r="AC57" s="1103">
        <f>VLOOKUP(AC$1,'cost per tipologia de sòl'!$A$2:$D$37,4,FALSE)*'T100'!AC57</f>
        <v>107055388.85000001</v>
      </c>
      <c r="AD57" s="1103">
        <f>VLOOKUP(AD$1,'cost per tipologia de sòl'!$A$2:$D$37,4,FALSE)*'T100'!AD57</f>
        <v>54487947.299999997</v>
      </c>
      <c r="AE57" s="1103">
        <f>VLOOKUP(AE$1,'cost per tipologia de sòl'!$A$2:$D$37,4,FALSE)*'T100'!AE57</f>
        <v>0</v>
      </c>
      <c r="AF57" s="1103">
        <f>VLOOKUP(AF$1,'cost per tipologia de sòl'!$A$2:$D$37,4,FALSE)*'T100'!AF57</f>
        <v>0</v>
      </c>
      <c r="AG57" s="1103">
        <f>VLOOKUP(AG$1,'cost per tipologia de sòl'!$A$2:$D$37,4,FALSE)*'T100'!AG57</f>
        <v>0</v>
      </c>
      <c r="AH57" s="1103">
        <f>VLOOKUP(AH$1,'cost per tipologia de sòl'!$A$2:$D$37,4,FALSE)*'T100'!AH57</f>
        <v>0</v>
      </c>
      <c r="AI57" s="1103">
        <f>VLOOKUP(AI$1,'cost per tipologia de sòl'!$A$2:$D$37,4,FALSE)*'T100'!AI57</f>
        <v>0</v>
      </c>
      <c r="AJ57" s="1103">
        <f t="shared" si="0"/>
        <v>639316280.91049993</v>
      </c>
      <c r="AK57" s="1117">
        <f t="shared" si="1"/>
        <v>191.79488427314999</v>
      </c>
    </row>
    <row r="58" spans="1:37">
      <c r="A58" s="1096" t="s">
        <v>1116</v>
      </c>
      <c r="B58" s="1103">
        <f>VLOOKUP(B$1,'cost per tipologia de sòl'!$A$2:$D$37,4,FALSE)*'T100'!B58</f>
        <v>0</v>
      </c>
      <c r="C58" s="1103">
        <f>VLOOKUP(C$1,'cost per tipologia de sòl'!$A$2:$D$37,4,FALSE)*'T100'!C58</f>
        <v>0</v>
      </c>
      <c r="D58" s="1103">
        <f>VLOOKUP(D$1,'cost per tipologia de sòl'!$A$2:$D$37,4,FALSE)*'T100'!D58</f>
        <v>0</v>
      </c>
      <c r="E58" s="1103">
        <f>VLOOKUP(E$1,'cost per tipologia de sòl'!$A$2:$D$37,4,FALSE)*'T100'!E58</f>
        <v>0</v>
      </c>
      <c r="F58" s="1103">
        <f>VLOOKUP(F$1,'cost per tipologia de sòl'!$A$2:$D$37,4,FALSE)*'T100'!F58</f>
        <v>0</v>
      </c>
      <c r="G58" s="1103">
        <f>VLOOKUP(G$1,'cost per tipologia de sòl'!$A$2:$D$37,4,FALSE)*'T100'!G58</f>
        <v>0</v>
      </c>
      <c r="H58" s="1103">
        <f>VLOOKUP(H$1,'cost per tipologia de sòl'!$A$2:$D$37,4,FALSE)*'T100'!H58</f>
        <v>0</v>
      </c>
      <c r="I58" s="1103">
        <f>VLOOKUP(I$1,'cost per tipologia de sòl'!$A$2:$D$37,4,FALSE)*'T100'!I58</f>
        <v>0</v>
      </c>
      <c r="J58" s="1103">
        <f>VLOOKUP(J$1,'cost per tipologia de sòl'!$A$2:$D$37,4,FALSE)*'T100'!J58</f>
        <v>51564.513000000006</v>
      </c>
      <c r="K58" s="1103">
        <f>VLOOKUP(K$1,'cost per tipologia de sòl'!$A$2:$D$37,4,FALSE)*'T100'!K58</f>
        <v>994672.41300000006</v>
      </c>
      <c r="L58" s="1103">
        <f>VLOOKUP(L$1,'cost per tipologia de sòl'!$A$2:$D$37,4,FALSE)*'T100'!L58</f>
        <v>78094.854000000007</v>
      </c>
      <c r="M58" s="1103">
        <f>VLOOKUP(M$1,'cost per tipologia de sòl'!$A$2:$D$37,4,FALSE)*'T100'!M58</f>
        <v>1304796.5919999999</v>
      </c>
      <c r="N58" s="1103">
        <f>VLOOKUP(N$1,'cost per tipologia de sòl'!$A$2:$D$37,4,FALSE)*'T100'!N58</f>
        <v>0</v>
      </c>
      <c r="O58" s="1103">
        <f>VLOOKUP(O$1,'cost per tipologia de sòl'!$A$2:$D$37,4,FALSE)*'T100'!O58</f>
        <v>0</v>
      </c>
      <c r="P58" s="1103">
        <f>VLOOKUP(P$1,'cost per tipologia de sòl'!$A$2:$D$37,4,FALSE)*'T100'!P58</f>
        <v>0</v>
      </c>
      <c r="Q58" s="1103">
        <f>VLOOKUP(Q$1,'cost per tipologia de sòl'!$A$2:$D$37,4,FALSE)*'T100'!Q58</f>
        <v>0</v>
      </c>
      <c r="R58" s="1103">
        <f>VLOOKUP(R$1,'cost per tipologia de sòl'!$A$2:$D$37,4,FALSE)*'T100'!R58</f>
        <v>0</v>
      </c>
      <c r="S58" s="1103">
        <f>VLOOKUP(S$1,'cost per tipologia de sòl'!$A$2:$D$37,4,FALSE)*'T100'!S58</f>
        <v>0</v>
      </c>
      <c r="T58" s="1103">
        <f>VLOOKUP(T$1,'cost per tipologia de sòl'!$A$2:$D$37,4,FALSE)*'T100'!T58</f>
        <v>16492259.335000001</v>
      </c>
      <c r="U58" s="1103">
        <f>VLOOKUP(U$1,'cost per tipologia de sòl'!$A$2:$D$37,4,FALSE)*'T100'!U58</f>
        <v>53400.899999999994</v>
      </c>
      <c r="V58" s="1103">
        <f>VLOOKUP(V$1,'cost per tipologia de sòl'!$A$2:$D$37,4,FALSE)*'T100'!V58</f>
        <v>0</v>
      </c>
      <c r="W58" s="1103">
        <f>VLOOKUP(W$1,'cost per tipologia de sòl'!$A$2:$D$37,4,FALSE)*'T100'!W58</f>
        <v>0</v>
      </c>
      <c r="X58" s="1103">
        <f>VLOOKUP(X$1,'cost per tipologia de sòl'!$A$2:$D$37,4,FALSE)*'T100'!X58</f>
        <v>0</v>
      </c>
      <c r="Y58" s="1103">
        <f>VLOOKUP(Y$1,'cost per tipologia de sòl'!$A$2:$D$37,4,FALSE)*'T100'!Y58</f>
        <v>0</v>
      </c>
      <c r="Z58" s="1103">
        <f>VLOOKUP(Z$1,'cost per tipologia de sòl'!$A$2:$D$37,4,FALSE)*'T100'!Z58</f>
        <v>73597.445999999996</v>
      </c>
      <c r="AA58" s="1103">
        <f>VLOOKUP(AA$1,'cost per tipologia de sòl'!$A$2:$D$37,4,FALSE)*'T100'!AA58</f>
        <v>0</v>
      </c>
      <c r="AB58" s="1103">
        <f>VLOOKUP(AB$1,'cost per tipologia de sòl'!$A$2:$D$37,4,FALSE)*'T100'!AB58</f>
        <v>0</v>
      </c>
      <c r="AC58" s="1103">
        <f>VLOOKUP(AC$1,'cost per tipologia de sòl'!$A$2:$D$37,4,FALSE)*'T100'!AC58</f>
        <v>199742.25</v>
      </c>
      <c r="AD58" s="1103">
        <f>VLOOKUP(AD$1,'cost per tipologia de sòl'!$A$2:$D$37,4,FALSE)*'T100'!AD58</f>
        <v>381325.25</v>
      </c>
      <c r="AE58" s="1103">
        <f>VLOOKUP(AE$1,'cost per tipologia de sòl'!$A$2:$D$37,4,FALSE)*'T100'!AE58</f>
        <v>0</v>
      </c>
      <c r="AF58" s="1103">
        <f>VLOOKUP(AF$1,'cost per tipologia de sòl'!$A$2:$D$37,4,FALSE)*'T100'!AF58</f>
        <v>0</v>
      </c>
      <c r="AG58" s="1103">
        <f>VLOOKUP(AG$1,'cost per tipologia de sòl'!$A$2:$D$37,4,FALSE)*'T100'!AG58</f>
        <v>0</v>
      </c>
      <c r="AH58" s="1103">
        <f>VLOOKUP(AH$1,'cost per tipologia de sòl'!$A$2:$D$37,4,FALSE)*'T100'!AH58</f>
        <v>0</v>
      </c>
      <c r="AI58" s="1103">
        <f>VLOOKUP(AI$1,'cost per tipologia de sòl'!$A$2:$D$37,4,FALSE)*'T100'!AI58</f>
        <v>0</v>
      </c>
      <c r="AJ58" s="1103">
        <f t="shared" si="0"/>
        <v>19629453.552999999</v>
      </c>
      <c r="AK58" s="1117">
        <f t="shared" si="1"/>
        <v>5.8888360659000005</v>
      </c>
    </row>
    <row r="59" spans="1:37">
      <c r="A59" s="1096" t="s">
        <v>1125</v>
      </c>
      <c r="B59" s="1103">
        <f>VLOOKUP(B$1,'cost per tipologia de sòl'!$A$2:$D$37,4,FALSE)*'T100'!B59</f>
        <v>1251160.5060000001</v>
      </c>
      <c r="C59" s="1103">
        <f>VLOOKUP(C$1,'cost per tipologia de sòl'!$A$2:$D$37,4,FALSE)*'T100'!C59</f>
        <v>0</v>
      </c>
      <c r="D59" s="1103">
        <f>VLOOKUP(D$1,'cost per tipologia de sòl'!$A$2:$D$37,4,FALSE)*'T100'!D59</f>
        <v>0</v>
      </c>
      <c r="E59" s="1103">
        <f>VLOOKUP(E$1,'cost per tipologia de sòl'!$A$2:$D$37,4,FALSE)*'T100'!E59</f>
        <v>0</v>
      </c>
      <c r="F59" s="1103">
        <f>VLOOKUP(F$1,'cost per tipologia de sòl'!$A$2:$D$37,4,FALSE)*'T100'!F59</f>
        <v>0</v>
      </c>
      <c r="G59" s="1103">
        <f>VLOOKUP(G$1,'cost per tipologia de sòl'!$A$2:$D$37,4,FALSE)*'T100'!G59</f>
        <v>0</v>
      </c>
      <c r="H59" s="1103">
        <f>VLOOKUP(H$1,'cost per tipologia de sòl'!$A$2:$D$37,4,FALSE)*'T100'!H59</f>
        <v>0</v>
      </c>
      <c r="I59" s="1103">
        <f>VLOOKUP(I$1,'cost per tipologia de sòl'!$A$2:$D$37,4,FALSE)*'T100'!I59</f>
        <v>0</v>
      </c>
      <c r="J59" s="1103">
        <f>VLOOKUP(J$1,'cost per tipologia de sòl'!$A$2:$D$37,4,FALSE)*'T100'!J59</f>
        <v>1340048.0555</v>
      </c>
      <c r="K59" s="1103">
        <f>VLOOKUP(K$1,'cost per tipologia de sòl'!$A$2:$D$37,4,FALSE)*'T100'!K59</f>
        <v>361267.641</v>
      </c>
      <c r="L59" s="1103">
        <f>VLOOKUP(L$1,'cost per tipologia de sòl'!$A$2:$D$37,4,FALSE)*'T100'!L59</f>
        <v>0</v>
      </c>
      <c r="M59" s="1103">
        <f>VLOOKUP(M$1,'cost per tipologia de sòl'!$A$2:$D$37,4,FALSE)*'T100'!M59</f>
        <v>3018396.6319999998</v>
      </c>
      <c r="N59" s="1103">
        <f>VLOOKUP(N$1,'cost per tipologia de sòl'!$A$2:$D$37,4,FALSE)*'T100'!N59</f>
        <v>1489166.12</v>
      </c>
      <c r="O59" s="1103">
        <f>VLOOKUP(O$1,'cost per tipologia de sòl'!$A$2:$D$37,4,FALSE)*'T100'!O59</f>
        <v>695074.61599999992</v>
      </c>
      <c r="P59" s="1103">
        <f>VLOOKUP(P$1,'cost per tipologia de sòl'!$A$2:$D$37,4,FALSE)*'T100'!P59</f>
        <v>0</v>
      </c>
      <c r="Q59" s="1103">
        <f>VLOOKUP(Q$1,'cost per tipologia de sòl'!$A$2:$D$37,4,FALSE)*'T100'!Q59</f>
        <v>0</v>
      </c>
      <c r="R59" s="1103">
        <f>VLOOKUP(R$1,'cost per tipologia de sòl'!$A$2:$D$37,4,FALSE)*'T100'!R59</f>
        <v>0</v>
      </c>
      <c r="S59" s="1103">
        <f>VLOOKUP(S$1,'cost per tipologia de sòl'!$A$2:$D$37,4,FALSE)*'T100'!S59</f>
        <v>11841257.231999999</v>
      </c>
      <c r="T59" s="1103">
        <f>VLOOKUP(T$1,'cost per tipologia de sòl'!$A$2:$D$37,4,FALSE)*'T100'!T59</f>
        <v>1586071.291</v>
      </c>
      <c r="U59" s="1103">
        <f>VLOOKUP(U$1,'cost per tipologia de sòl'!$A$2:$D$37,4,FALSE)*'T100'!U59</f>
        <v>0</v>
      </c>
      <c r="V59" s="1103">
        <f>VLOOKUP(V$1,'cost per tipologia de sòl'!$A$2:$D$37,4,FALSE)*'T100'!V59</f>
        <v>0</v>
      </c>
      <c r="W59" s="1103">
        <f>VLOOKUP(W$1,'cost per tipologia de sòl'!$A$2:$D$37,4,FALSE)*'T100'!W59</f>
        <v>0</v>
      </c>
      <c r="X59" s="1103">
        <f>VLOOKUP(X$1,'cost per tipologia de sòl'!$A$2:$D$37,4,FALSE)*'T100'!X59</f>
        <v>0</v>
      </c>
      <c r="Y59" s="1103">
        <f>VLOOKUP(Y$1,'cost per tipologia de sòl'!$A$2:$D$37,4,FALSE)*'T100'!Y59</f>
        <v>0</v>
      </c>
      <c r="Z59" s="1103">
        <f>VLOOKUP(Z$1,'cost per tipologia de sòl'!$A$2:$D$37,4,FALSE)*'T100'!Z59</f>
        <v>283450.24799999996</v>
      </c>
      <c r="AA59" s="1103">
        <f>VLOOKUP(AA$1,'cost per tipologia de sòl'!$A$2:$D$37,4,FALSE)*'T100'!AA59</f>
        <v>0</v>
      </c>
      <c r="AB59" s="1103">
        <f>VLOOKUP(AB$1,'cost per tipologia de sòl'!$A$2:$D$37,4,FALSE)*'T100'!AB59</f>
        <v>1192785.8</v>
      </c>
      <c r="AC59" s="1103">
        <f>VLOOKUP(AC$1,'cost per tipologia de sòl'!$A$2:$D$37,4,FALSE)*'T100'!AC59</f>
        <v>4615856.2</v>
      </c>
      <c r="AD59" s="1103">
        <f>VLOOKUP(AD$1,'cost per tipologia de sòl'!$A$2:$D$37,4,FALSE)*'T100'!AD59</f>
        <v>4391314.2</v>
      </c>
      <c r="AE59" s="1103">
        <f>VLOOKUP(AE$1,'cost per tipologia de sòl'!$A$2:$D$37,4,FALSE)*'T100'!AE59</f>
        <v>0</v>
      </c>
      <c r="AF59" s="1103">
        <f>VLOOKUP(AF$1,'cost per tipologia de sòl'!$A$2:$D$37,4,FALSE)*'T100'!AF59</f>
        <v>0</v>
      </c>
      <c r="AG59" s="1103">
        <f>VLOOKUP(AG$1,'cost per tipologia de sòl'!$A$2:$D$37,4,FALSE)*'T100'!AG59</f>
        <v>0</v>
      </c>
      <c r="AH59" s="1103">
        <f>VLOOKUP(AH$1,'cost per tipologia de sòl'!$A$2:$D$37,4,FALSE)*'T100'!AH59</f>
        <v>0</v>
      </c>
      <c r="AI59" s="1103">
        <f>VLOOKUP(AI$1,'cost per tipologia de sòl'!$A$2:$D$37,4,FALSE)*'T100'!AI59</f>
        <v>0</v>
      </c>
      <c r="AJ59" s="1103">
        <f t="shared" si="0"/>
        <v>32065848.541499998</v>
      </c>
      <c r="AK59" s="1117">
        <f t="shared" si="1"/>
        <v>9.6197545624499998</v>
      </c>
    </row>
    <row r="60" spans="1:37">
      <c r="A60" s="1096" t="s">
        <v>1127</v>
      </c>
      <c r="B60" s="1103">
        <f>VLOOKUP(B$1,'cost per tipologia de sòl'!$A$2:$D$37,4,FALSE)*'T100'!B60</f>
        <v>84638826.575999811</v>
      </c>
      <c r="C60" s="1103">
        <f>VLOOKUP(C$1,'cost per tipologia de sòl'!$A$2:$D$37,4,FALSE)*'T100'!C60</f>
        <v>32374118.886</v>
      </c>
      <c r="D60" s="1103">
        <f>VLOOKUP(D$1,'cost per tipologia de sòl'!$A$2:$D$37,4,FALSE)*'T100'!D60</f>
        <v>2123023.7999999998</v>
      </c>
      <c r="E60" s="1103">
        <f>VLOOKUP(E$1,'cost per tipologia de sòl'!$A$2:$D$37,4,FALSE)*'T100'!E60</f>
        <v>0</v>
      </c>
      <c r="F60" s="1103">
        <f>VLOOKUP(F$1,'cost per tipologia de sòl'!$A$2:$D$37,4,FALSE)*'T100'!F60</f>
        <v>0</v>
      </c>
      <c r="G60" s="1103">
        <f>VLOOKUP(G$1,'cost per tipologia de sòl'!$A$2:$D$37,4,FALSE)*'T100'!G60</f>
        <v>0</v>
      </c>
      <c r="H60" s="1103">
        <f>VLOOKUP(H$1,'cost per tipologia de sòl'!$A$2:$D$37,4,FALSE)*'T100'!H60</f>
        <v>0</v>
      </c>
      <c r="I60" s="1103">
        <f>VLOOKUP(I$1,'cost per tipologia de sòl'!$A$2:$D$37,4,FALSE)*'T100'!I60</f>
        <v>0</v>
      </c>
      <c r="J60" s="1103">
        <f>VLOOKUP(J$1,'cost per tipologia de sòl'!$A$2:$D$37,4,FALSE)*'T100'!J60</f>
        <v>2921800.5850000274</v>
      </c>
      <c r="K60" s="1103">
        <f>VLOOKUP(K$1,'cost per tipologia de sòl'!$A$2:$D$37,4,FALSE)*'T100'!K60</f>
        <v>1216046.916</v>
      </c>
      <c r="L60" s="1103">
        <f>VLOOKUP(L$1,'cost per tipologia de sòl'!$A$2:$D$37,4,FALSE)*'T100'!L60</f>
        <v>2772028.017</v>
      </c>
      <c r="M60" s="1103">
        <f>VLOOKUP(M$1,'cost per tipologia de sòl'!$A$2:$D$37,4,FALSE)*'T100'!M60</f>
        <v>0</v>
      </c>
      <c r="N60" s="1103">
        <f>VLOOKUP(N$1,'cost per tipologia de sòl'!$A$2:$D$37,4,FALSE)*'T100'!N60</f>
        <v>0</v>
      </c>
      <c r="O60" s="1103">
        <f>VLOOKUP(O$1,'cost per tipologia de sòl'!$A$2:$D$37,4,FALSE)*'T100'!O60</f>
        <v>0</v>
      </c>
      <c r="P60" s="1103">
        <f>VLOOKUP(P$1,'cost per tipologia de sòl'!$A$2:$D$37,4,FALSE)*'T100'!P60</f>
        <v>0</v>
      </c>
      <c r="Q60" s="1103">
        <f>VLOOKUP(Q$1,'cost per tipologia de sòl'!$A$2:$D$37,4,FALSE)*'T100'!Q60</f>
        <v>0</v>
      </c>
      <c r="R60" s="1103">
        <f>VLOOKUP(R$1,'cost per tipologia de sòl'!$A$2:$D$37,4,FALSE)*'T100'!R60</f>
        <v>0</v>
      </c>
      <c r="S60" s="1103">
        <f>VLOOKUP(S$1,'cost per tipologia de sòl'!$A$2:$D$37,4,FALSE)*'T100'!S60</f>
        <v>62011343.519999199</v>
      </c>
      <c r="T60" s="1103">
        <f>VLOOKUP(T$1,'cost per tipologia de sòl'!$A$2:$D$37,4,FALSE)*'T100'!T60</f>
        <v>22880743.060000002</v>
      </c>
      <c r="U60" s="1103">
        <f>VLOOKUP(U$1,'cost per tipologia de sòl'!$A$2:$D$37,4,FALSE)*'T100'!U60</f>
        <v>3408243.3000000003</v>
      </c>
      <c r="V60" s="1103">
        <f>VLOOKUP(V$1,'cost per tipologia de sòl'!$A$2:$D$37,4,FALSE)*'T100'!V60</f>
        <v>0</v>
      </c>
      <c r="W60" s="1103">
        <f>VLOOKUP(W$1,'cost per tipologia de sòl'!$A$2:$D$37,4,FALSE)*'T100'!W60</f>
        <v>0</v>
      </c>
      <c r="X60" s="1103">
        <f>VLOOKUP(X$1,'cost per tipologia de sòl'!$A$2:$D$37,4,FALSE)*'T100'!X60</f>
        <v>0</v>
      </c>
      <c r="Y60" s="1103">
        <f>VLOOKUP(Y$1,'cost per tipologia de sòl'!$A$2:$D$37,4,FALSE)*'T100'!Y60</f>
        <v>0</v>
      </c>
      <c r="Z60" s="1103">
        <f>VLOOKUP(Z$1,'cost per tipologia de sòl'!$A$2:$D$37,4,FALSE)*'T100'!Z60</f>
        <v>1778605.3119999999</v>
      </c>
      <c r="AA60" s="1103">
        <f>VLOOKUP(AA$1,'cost per tipologia de sòl'!$A$2:$D$37,4,FALSE)*'T100'!AA60</f>
        <v>0</v>
      </c>
      <c r="AB60" s="1103">
        <f>VLOOKUP(AB$1,'cost per tipologia de sòl'!$A$2:$D$37,4,FALSE)*'T100'!AB60</f>
        <v>1185070.8500000001</v>
      </c>
      <c r="AC60" s="1103">
        <f>VLOOKUP(AC$1,'cost per tipologia de sòl'!$A$2:$D$37,4,FALSE)*'T100'!AC60</f>
        <v>81024022.75</v>
      </c>
      <c r="AD60" s="1103">
        <f>VLOOKUP(AD$1,'cost per tipologia de sòl'!$A$2:$D$37,4,FALSE)*'T100'!AD60</f>
        <v>23508099.600000001</v>
      </c>
      <c r="AE60" s="1103">
        <f>VLOOKUP(AE$1,'cost per tipologia de sòl'!$A$2:$D$37,4,FALSE)*'T100'!AE60</f>
        <v>0</v>
      </c>
      <c r="AF60" s="1103">
        <f>VLOOKUP(AF$1,'cost per tipologia de sòl'!$A$2:$D$37,4,FALSE)*'T100'!AF60</f>
        <v>0</v>
      </c>
      <c r="AG60" s="1103">
        <f>VLOOKUP(AG$1,'cost per tipologia de sòl'!$A$2:$D$37,4,FALSE)*'T100'!AG60</f>
        <v>0</v>
      </c>
      <c r="AH60" s="1103">
        <f>VLOOKUP(AH$1,'cost per tipologia de sòl'!$A$2:$D$37,4,FALSE)*'T100'!AH60</f>
        <v>0</v>
      </c>
      <c r="AI60" s="1103">
        <f>VLOOKUP(AI$1,'cost per tipologia de sòl'!$A$2:$D$37,4,FALSE)*'T100'!AI60</f>
        <v>0</v>
      </c>
      <c r="AJ60" s="1103">
        <f t="shared" si="0"/>
        <v>321841973.1719991</v>
      </c>
      <c r="AK60" s="1117">
        <f t="shared" si="1"/>
        <v>96.552591951599737</v>
      </c>
    </row>
    <row r="61" spans="1:37">
      <c r="A61" s="1096" t="s">
        <v>1136</v>
      </c>
      <c r="B61" s="1103">
        <f>VLOOKUP(B$1,'cost per tipologia de sòl'!$A$2:$D$37,4,FALSE)*'T100'!B61</f>
        <v>45424672.793999992</v>
      </c>
      <c r="C61" s="1103">
        <f>VLOOKUP(C$1,'cost per tipologia de sòl'!$A$2:$D$37,4,FALSE)*'T100'!C61</f>
        <v>0</v>
      </c>
      <c r="D61" s="1103">
        <f>VLOOKUP(D$1,'cost per tipologia de sòl'!$A$2:$D$37,4,FALSE)*'T100'!D61</f>
        <v>787494.07200000004</v>
      </c>
      <c r="E61" s="1103">
        <f>VLOOKUP(E$1,'cost per tipologia de sòl'!$A$2:$D$37,4,FALSE)*'T100'!E61</f>
        <v>0</v>
      </c>
      <c r="F61" s="1103">
        <f>VLOOKUP(F$1,'cost per tipologia de sòl'!$A$2:$D$37,4,FALSE)*'T100'!F61</f>
        <v>0</v>
      </c>
      <c r="G61" s="1103">
        <f>VLOOKUP(G$1,'cost per tipologia de sòl'!$A$2:$D$37,4,FALSE)*'T100'!G61</f>
        <v>0</v>
      </c>
      <c r="H61" s="1103">
        <f>VLOOKUP(H$1,'cost per tipologia de sòl'!$A$2:$D$37,4,FALSE)*'T100'!H61</f>
        <v>0</v>
      </c>
      <c r="I61" s="1103">
        <f>VLOOKUP(I$1,'cost per tipologia de sòl'!$A$2:$D$37,4,FALSE)*'T100'!I61</f>
        <v>0</v>
      </c>
      <c r="J61" s="1103">
        <f>VLOOKUP(J$1,'cost per tipologia de sòl'!$A$2:$D$37,4,FALSE)*'T100'!J61</f>
        <v>3.0139999999999998</v>
      </c>
      <c r="K61" s="1103">
        <f>VLOOKUP(K$1,'cost per tipologia de sòl'!$A$2:$D$37,4,FALSE)*'T100'!K61</f>
        <v>0</v>
      </c>
      <c r="L61" s="1103">
        <f>VLOOKUP(L$1,'cost per tipologia de sòl'!$A$2:$D$37,4,FALSE)*'T100'!L61</f>
        <v>72779.066999999995</v>
      </c>
      <c r="M61" s="1103">
        <f>VLOOKUP(M$1,'cost per tipologia de sòl'!$A$2:$D$37,4,FALSE)*'T100'!M61</f>
        <v>0</v>
      </c>
      <c r="N61" s="1103">
        <f>VLOOKUP(N$1,'cost per tipologia de sòl'!$A$2:$D$37,4,FALSE)*'T100'!N61</f>
        <v>0</v>
      </c>
      <c r="O61" s="1103">
        <f>VLOOKUP(O$1,'cost per tipologia de sòl'!$A$2:$D$37,4,FALSE)*'T100'!O61</f>
        <v>0</v>
      </c>
      <c r="P61" s="1103">
        <f>VLOOKUP(P$1,'cost per tipologia de sòl'!$A$2:$D$37,4,FALSE)*'T100'!P61</f>
        <v>0</v>
      </c>
      <c r="Q61" s="1103">
        <f>VLOOKUP(Q$1,'cost per tipologia de sòl'!$A$2:$D$37,4,FALSE)*'T100'!Q61</f>
        <v>0</v>
      </c>
      <c r="R61" s="1103">
        <f>VLOOKUP(R$1,'cost per tipologia de sòl'!$A$2:$D$37,4,FALSE)*'T100'!R61</f>
        <v>0</v>
      </c>
      <c r="S61" s="1103">
        <f>VLOOKUP(S$1,'cost per tipologia de sòl'!$A$2:$D$37,4,FALSE)*'T100'!S61</f>
        <v>4505994.8640000001</v>
      </c>
      <c r="T61" s="1103">
        <f>VLOOKUP(T$1,'cost per tipologia de sòl'!$A$2:$D$37,4,FALSE)*'T100'!T61</f>
        <v>31283139.122000001</v>
      </c>
      <c r="U61" s="1103">
        <f>VLOOKUP(U$1,'cost per tipologia de sòl'!$A$2:$D$37,4,FALSE)*'T100'!U61</f>
        <v>0</v>
      </c>
      <c r="V61" s="1103">
        <f>VLOOKUP(V$1,'cost per tipologia de sòl'!$A$2:$D$37,4,FALSE)*'T100'!V61</f>
        <v>0</v>
      </c>
      <c r="W61" s="1103">
        <f>VLOOKUP(W$1,'cost per tipologia de sòl'!$A$2:$D$37,4,FALSE)*'T100'!W61</f>
        <v>0</v>
      </c>
      <c r="X61" s="1103">
        <f>VLOOKUP(X$1,'cost per tipologia de sòl'!$A$2:$D$37,4,FALSE)*'T100'!X61</f>
        <v>0</v>
      </c>
      <c r="Y61" s="1103">
        <f>VLOOKUP(Y$1,'cost per tipologia de sòl'!$A$2:$D$37,4,FALSE)*'T100'!Y61</f>
        <v>0</v>
      </c>
      <c r="Z61" s="1103">
        <f>VLOOKUP(Z$1,'cost per tipologia de sòl'!$A$2:$D$37,4,FALSE)*'T100'!Z61</f>
        <v>9810437.7459999993</v>
      </c>
      <c r="AA61" s="1103">
        <f>VLOOKUP(AA$1,'cost per tipologia de sòl'!$A$2:$D$37,4,FALSE)*'T100'!AA61</f>
        <v>0</v>
      </c>
      <c r="AB61" s="1103">
        <f>VLOOKUP(AB$1,'cost per tipologia de sòl'!$A$2:$D$37,4,FALSE)*'T100'!AB61</f>
        <v>1572026.75</v>
      </c>
      <c r="AC61" s="1103">
        <f>VLOOKUP(AC$1,'cost per tipologia de sòl'!$A$2:$D$37,4,FALSE)*'T100'!AC61</f>
        <v>16709789.4</v>
      </c>
      <c r="AD61" s="1103">
        <f>VLOOKUP(AD$1,'cost per tipologia de sòl'!$A$2:$D$37,4,FALSE)*'T100'!AD61</f>
        <v>29576300.599999998</v>
      </c>
      <c r="AE61" s="1103">
        <f>VLOOKUP(AE$1,'cost per tipologia de sòl'!$A$2:$D$37,4,FALSE)*'T100'!AE61</f>
        <v>0</v>
      </c>
      <c r="AF61" s="1103">
        <f>VLOOKUP(AF$1,'cost per tipologia de sòl'!$A$2:$D$37,4,FALSE)*'T100'!AF61</f>
        <v>0</v>
      </c>
      <c r="AG61" s="1103">
        <f>VLOOKUP(AG$1,'cost per tipologia de sòl'!$A$2:$D$37,4,FALSE)*'T100'!AG61</f>
        <v>0</v>
      </c>
      <c r="AH61" s="1103">
        <f>VLOOKUP(AH$1,'cost per tipologia de sòl'!$A$2:$D$37,4,FALSE)*'T100'!AH61</f>
        <v>0</v>
      </c>
      <c r="AI61" s="1103">
        <f>VLOOKUP(AI$1,'cost per tipologia de sòl'!$A$2:$D$37,4,FALSE)*'T100'!AI61</f>
        <v>0</v>
      </c>
      <c r="AJ61" s="1103">
        <f t="shared" si="0"/>
        <v>139742637.42899999</v>
      </c>
      <c r="AK61" s="1117">
        <f t="shared" si="1"/>
        <v>41.9227912287</v>
      </c>
    </row>
    <row r="62" spans="1:37">
      <c r="A62" s="1096" t="s">
        <v>1137</v>
      </c>
      <c r="B62" s="1103">
        <f>VLOOKUP(B$1,'cost per tipologia de sòl'!$A$2:$D$37,4,FALSE)*'T100'!B62</f>
        <v>0</v>
      </c>
      <c r="C62" s="1103">
        <f>VLOOKUP(C$1,'cost per tipologia de sòl'!$A$2:$D$37,4,FALSE)*'T100'!C62</f>
        <v>0</v>
      </c>
      <c r="D62" s="1103">
        <f>VLOOKUP(D$1,'cost per tipologia de sòl'!$A$2:$D$37,4,FALSE)*'T100'!D62</f>
        <v>0</v>
      </c>
      <c r="E62" s="1103">
        <f>VLOOKUP(E$1,'cost per tipologia de sòl'!$A$2:$D$37,4,FALSE)*'T100'!E62</f>
        <v>0</v>
      </c>
      <c r="F62" s="1103">
        <f>VLOOKUP(F$1,'cost per tipologia de sòl'!$A$2:$D$37,4,FALSE)*'T100'!F62</f>
        <v>0</v>
      </c>
      <c r="G62" s="1103">
        <f>VLOOKUP(G$1,'cost per tipologia de sòl'!$A$2:$D$37,4,FALSE)*'T100'!G62</f>
        <v>0</v>
      </c>
      <c r="H62" s="1103">
        <f>VLOOKUP(H$1,'cost per tipologia de sòl'!$A$2:$D$37,4,FALSE)*'T100'!H62</f>
        <v>0</v>
      </c>
      <c r="I62" s="1103">
        <f>VLOOKUP(I$1,'cost per tipologia de sòl'!$A$2:$D$37,4,FALSE)*'T100'!I62</f>
        <v>0</v>
      </c>
      <c r="J62" s="1103">
        <f>VLOOKUP(J$1,'cost per tipologia de sòl'!$A$2:$D$37,4,FALSE)*'T100'!J62</f>
        <v>5663.2894999999999</v>
      </c>
      <c r="K62" s="1103">
        <f>VLOOKUP(K$1,'cost per tipologia de sòl'!$A$2:$D$37,4,FALSE)*'T100'!K62</f>
        <v>0</v>
      </c>
      <c r="L62" s="1103">
        <f>VLOOKUP(L$1,'cost per tipologia de sòl'!$A$2:$D$37,4,FALSE)*'T100'!L62</f>
        <v>0</v>
      </c>
      <c r="M62" s="1103">
        <f>VLOOKUP(M$1,'cost per tipologia de sòl'!$A$2:$D$37,4,FALSE)*'T100'!M62</f>
        <v>0</v>
      </c>
      <c r="N62" s="1103">
        <f>VLOOKUP(N$1,'cost per tipologia de sòl'!$A$2:$D$37,4,FALSE)*'T100'!N62</f>
        <v>0</v>
      </c>
      <c r="O62" s="1103">
        <f>VLOOKUP(O$1,'cost per tipologia de sòl'!$A$2:$D$37,4,FALSE)*'T100'!O62</f>
        <v>0</v>
      </c>
      <c r="P62" s="1103">
        <f>VLOOKUP(P$1,'cost per tipologia de sòl'!$A$2:$D$37,4,FALSE)*'T100'!P62</f>
        <v>0</v>
      </c>
      <c r="Q62" s="1103">
        <f>VLOOKUP(Q$1,'cost per tipologia de sòl'!$A$2:$D$37,4,FALSE)*'T100'!Q62</f>
        <v>0</v>
      </c>
      <c r="R62" s="1103">
        <f>VLOOKUP(R$1,'cost per tipologia de sòl'!$A$2:$D$37,4,FALSE)*'T100'!R62</f>
        <v>0</v>
      </c>
      <c r="S62" s="1103">
        <f>VLOOKUP(S$1,'cost per tipologia de sòl'!$A$2:$D$37,4,FALSE)*'T100'!S62</f>
        <v>0</v>
      </c>
      <c r="T62" s="1103">
        <f>VLOOKUP(T$1,'cost per tipologia de sòl'!$A$2:$D$37,4,FALSE)*'T100'!T62</f>
        <v>0</v>
      </c>
      <c r="U62" s="1103">
        <f>VLOOKUP(U$1,'cost per tipologia de sòl'!$A$2:$D$37,4,FALSE)*'T100'!U62</f>
        <v>3440078.25</v>
      </c>
      <c r="V62" s="1103">
        <f>VLOOKUP(V$1,'cost per tipologia de sòl'!$A$2:$D$37,4,FALSE)*'T100'!V62</f>
        <v>0</v>
      </c>
      <c r="W62" s="1103">
        <f>VLOOKUP(W$1,'cost per tipologia de sòl'!$A$2:$D$37,4,FALSE)*'T100'!W62</f>
        <v>0</v>
      </c>
      <c r="X62" s="1103">
        <f>VLOOKUP(X$1,'cost per tipologia de sòl'!$A$2:$D$37,4,FALSE)*'T100'!X62</f>
        <v>0</v>
      </c>
      <c r="Y62" s="1103">
        <f>VLOOKUP(Y$1,'cost per tipologia de sòl'!$A$2:$D$37,4,FALSE)*'T100'!Y62</f>
        <v>0</v>
      </c>
      <c r="Z62" s="1103">
        <f>VLOOKUP(Z$1,'cost per tipologia de sòl'!$A$2:$D$37,4,FALSE)*'T100'!Z62</f>
        <v>0</v>
      </c>
      <c r="AA62" s="1103">
        <f>VLOOKUP(AA$1,'cost per tipologia de sòl'!$A$2:$D$37,4,FALSE)*'T100'!AA62</f>
        <v>0</v>
      </c>
      <c r="AB62" s="1103">
        <f>VLOOKUP(AB$1,'cost per tipologia de sòl'!$A$2:$D$37,4,FALSE)*'T100'!AB62</f>
        <v>4354328.8</v>
      </c>
      <c r="AC62" s="1103">
        <f>VLOOKUP(AC$1,'cost per tipologia de sòl'!$A$2:$D$37,4,FALSE)*'T100'!AC62</f>
        <v>0</v>
      </c>
      <c r="AD62" s="1103">
        <f>VLOOKUP(AD$1,'cost per tipologia de sòl'!$A$2:$D$37,4,FALSE)*'T100'!AD62</f>
        <v>2262079.2000000002</v>
      </c>
      <c r="AE62" s="1103">
        <f>VLOOKUP(AE$1,'cost per tipologia de sòl'!$A$2:$D$37,4,FALSE)*'T100'!AE62</f>
        <v>0</v>
      </c>
      <c r="AF62" s="1103">
        <f>VLOOKUP(AF$1,'cost per tipologia de sòl'!$A$2:$D$37,4,FALSE)*'T100'!AF62</f>
        <v>0</v>
      </c>
      <c r="AG62" s="1103">
        <f>VLOOKUP(AG$1,'cost per tipologia de sòl'!$A$2:$D$37,4,FALSE)*'T100'!AG62</f>
        <v>0</v>
      </c>
      <c r="AH62" s="1103">
        <f>VLOOKUP(AH$1,'cost per tipologia de sòl'!$A$2:$D$37,4,FALSE)*'T100'!AH62</f>
        <v>0</v>
      </c>
      <c r="AI62" s="1103">
        <f>VLOOKUP(AI$1,'cost per tipologia de sòl'!$A$2:$D$37,4,FALSE)*'T100'!AI62</f>
        <v>0</v>
      </c>
      <c r="AJ62" s="1103">
        <f t="shared" si="0"/>
        <v>10062149.5395</v>
      </c>
      <c r="AK62" s="1117">
        <f t="shared" si="1"/>
        <v>3.0186448618499999</v>
      </c>
    </row>
    <row r="63" spans="1:37">
      <c r="A63" s="1096" t="s">
        <v>1091</v>
      </c>
      <c r="B63" s="1103">
        <f>VLOOKUP(B$1,'cost per tipologia de sòl'!$A$2:$D$37,4,FALSE)*'T100'!B63</f>
        <v>119999641.752</v>
      </c>
      <c r="C63" s="1103">
        <f>VLOOKUP(C$1,'cost per tipologia de sòl'!$A$2:$D$37,4,FALSE)*'T100'!C63</f>
        <v>0</v>
      </c>
      <c r="D63" s="1103">
        <f>VLOOKUP(D$1,'cost per tipologia de sòl'!$A$2:$D$37,4,FALSE)*'T100'!D63</f>
        <v>0</v>
      </c>
      <c r="E63" s="1103">
        <f>VLOOKUP(E$1,'cost per tipologia de sòl'!$A$2:$D$37,4,FALSE)*'T100'!E63</f>
        <v>0</v>
      </c>
      <c r="F63" s="1103">
        <f>VLOOKUP(F$1,'cost per tipologia de sòl'!$A$2:$D$37,4,FALSE)*'T100'!F63</f>
        <v>0</v>
      </c>
      <c r="G63" s="1103">
        <f>VLOOKUP(G$1,'cost per tipologia de sòl'!$A$2:$D$37,4,FALSE)*'T100'!G63</f>
        <v>0</v>
      </c>
      <c r="H63" s="1103">
        <f>VLOOKUP(H$1,'cost per tipologia de sòl'!$A$2:$D$37,4,FALSE)*'T100'!H63</f>
        <v>0</v>
      </c>
      <c r="I63" s="1103">
        <f>VLOOKUP(I$1,'cost per tipologia de sòl'!$A$2:$D$37,4,FALSE)*'T100'!I63</f>
        <v>0</v>
      </c>
      <c r="J63" s="1103">
        <f>VLOOKUP(J$1,'cost per tipologia de sòl'!$A$2:$D$37,4,FALSE)*'T100'!J63</f>
        <v>1058337.1095</v>
      </c>
      <c r="K63" s="1103">
        <f>VLOOKUP(K$1,'cost per tipologia de sòl'!$A$2:$D$37,4,FALSE)*'T100'!K63</f>
        <v>13554063.999</v>
      </c>
      <c r="L63" s="1103">
        <f>VLOOKUP(L$1,'cost per tipologia de sòl'!$A$2:$D$37,4,FALSE)*'T100'!L63</f>
        <v>1439472.9419999998</v>
      </c>
      <c r="M63" s="1103">
        <f>VLOOKUP(M$1,'cost per tipologia de sòl'!$A$2:$D$37,4,FALSE)*'T100'!M63</f>
        <v>619048.91200000001</v>
      </c>
      <c r="N63" s="1103">
        <f>VLOOKUP(N$1,'cost per tipologia de sòl'!$A$2:$D$37,4,FALSE)*'T100'!N63</f>
        <v>4695297.824</v>
      </c>
      <c r="O63" s="1103">
        <f>VLOOKUP(O$1,'cost per tipologia de sòl'!$A$2:$D$37,4,FALSE)*'T100'!O63</f>
        <v>0</v>
      </c>
      <c r="P63" s="1103">
        <f>VLOOKUP(P$1,'cost per tipologia de sòl'!$A$2:$D$37,4,FALSE)*'T100'!P63</f>
        <v>55614427.895999998</v>
      </c>
      <c r="Q63" s="1103">
        <f>VLOOKUP(Q$1,'cost per tipologia de sòl'!$A$2:$D$37,4,FALSE)*'T100'!Q63</f>
        <v>0</v>
      </c>
      <c r="R63" s="1103">
        <f>VLOOKUP(R$1,'cost per tipologia de sòl'!$A$2:$D$37,4,FALSE)*'T100'!R63</f>
        <v>0</v>
      </c>
      <c r="S63" s="1103">
        <f>VLOOKUP(S$1,'cost per tipologia de sòl'!$A$2:$D$37,4,FALSE)*'T100'!S63</f>
        <v>68223931.776000008</v>
      </c>
      <c r="T63" s="1103">
        <f>VLOOKUP(T$1,'cost per tipologia de sòl'!$A$2:$D$37,4,FALSE)*'T100'!T63</f>
        <v>46279416.702</v>
      </c>
      <c r="U63" s="1103">
        <f>VLOOKUP(U$1,'cost per tipologia de sòl'!$A$2:$D$37,4,FALSE)*'T100'!U63</f>
        <v>500909.85</v>
      </c>
      <c r="V63" s="1103">
        <f>VLOOKUP(V$1,'cost per tipologia de sòl'!$A$2:$D$37,4,FALSE)*'T100'!V63</f>
        <v>0</v>
      </c>
      <c r="W63" s="1103">
        <f>VLOOKUP(W$1,'cost per tipologia de sòl'!$A$2:$D$37,4,FALSE)*'T100'!W63</f>
        <v>0</v>
      </c>
      <c r="X63" s="1103">
        <f>VLOOKUP(X$1,'cost per tipologia de sòl'!$A$2:$D$37,4,FALSE)*'T100'!X63</f>
        <v>0</v>
      </c>
      <c r="Y63" s="1103">
        <f>VLOOKUP(Y$1,'cost per tipologia de sòl'!$A$2:$D$37,4,FALSE)*'T100'!Y63</f>
        <v>0</v>
      </c>
      <c r="Z63" s="1103">
        <f>VLOOKUP(Z$1,'cost per tipologia de sòl'!$A$2:$D$37,4,FALSE)*'T100'!Z63</f>
        <v>14119161.609999999</v>
      </c>
      <c r="AA63" s="1103">
        <f>VLOOKUP(AA$1,'cost per tipologia de sòl'!$A$2:$D$37,4,FALSE)*'T100'!AA63</f>
        <v>0</v>
      </c>
      <c r="AB63" s="1103">
        <f>VLOOKUP(AB$1,'cost per tipologia de sòl'!$A$2:$D$37,4,FALSE)*'T100'!AB63</f>
        <v>0</v>
      </c>
      <c r="AC63" s="1103">
        <f>VLOOKUP(AC$1,'cost per tipologia de sòl'!$A$2:$D$37,4,FALSE)*'T100'!AC63</f>
        <v>83716269.550000012</v>
      </c>
      <c r="AD63" s="1103">
        <f>VLOOKUP(AD$1,'cost per tipologia de sòl'!$A$2:$D$37,4,FALSE)*'T100'!AD63</f>
        <v>87356016.899999991</v>
      </c>
      <c r="AE63" s="1103">
        <f>VLOOKUP(AE$1,'cost per tipologia de sòl'!$A$2:$D$37,4,FALSE)*'T100'!AE63</f>
        <v>0</v>
      </c>
      <c r="AF63" s="1103">
        <f>VLOOKUP(AF$1,'cost per tipologia de sòl'!$A$2:$D$37,4,FALSE)*'T100'!AF63</f>
        <v>0</v>
      </c>
      <c r="AG63" s="1103">
        <f>VLOOKUP(AG$1,'cost per tipologia de sòl'!$A$2:$D$37,4,FALSE)*'T100'!AG63</f>
        <v>0</v>
      </c>
      <c r="AH63" s="1103">
        <f>VLOOKUP(AH$1,'cost per tipologia de sòl'!$A$2:$D$37,4,FALSE)*'T100'!AH63</f>
        <v>0</v>
      </c>
      <c r="AI63" s="1103">
        <f>VLOOKUP(AI$1,'cost per tipologia de sòl'!$A$2:$D$37,4,FALSE)*'T100'!AI63</f>
        <v>0</v>
      </c>
      <c r="AJ63" s="1103">
        <f t="shared" si="0"/>
        <v>497175996.82250005</v>
      </c>
      <c r="AK63" s="1117">
        <f t="shared" si="1"/>
        <v>149.15279904675</v>
      </c>
    </row>
    <row r="64" spans="1:37">
      <c r="A64" s="1096" t="s">
        <v>1142</v>
      </c>
      <c r="B64" s="1103">
        <f>VLOOKUP(B$1,'cost per tipologia de sòl'!$A$2:$D$37,4,FALSE)*'T100'!B64</f>
        <v>0</v>
      </c>
      <c r="C64" s="1103">
        <f>VLOOKUP(C$1,'cost per tipologia de sòl'!$A$2:$D$37,4,FALSE)*'T100'!C64</f>
        <v>0</v>
      </c>
      <c r="D64" s="1103">
        <f>VLOOKUP(D$1,'cost per tipologia de sòl'!$A$2:$D$37,4,FALSE)*'T100'!D64</f>
        <v>0</v>
      </c>
      <c r="E64" s="1103">
        <f>VLOOKUP(E$1,'cost per tipologia de sòl'!$A$2:$D$37,4,FALSE)*'T100'!E64</f>
        <v>0</v>
      </c>
      <c r="F64" s="1103">
        <f>VLOOKUP(F$1,'cost per tipologia de sòl'!$A$2:$D$37,4,FALSE)*'T100'!F64</f>
        <v>0</v>
      </c>
      <c r="G64" s="1103">
        <f>VLOOKUP(G$1,'cost per tipologia de sòl'!$A$2:$D$37,4,FALSE)*'T100'!G64</f>
        <v>0</v>
      </c>
      <c r="H64" s="1103">
        <f>VLOOKUP(H$1,'cost per tipologia de sòl'!$A$2:$D$37,4,FALSE)*'T100'!H64</f>
        <v>0</v>
      </c>
      <c r="I64" s="1103">
        <f>VLOOKUP(I$1,'cost per tipologia de sòl'!$A$2:$D$37,4,FALSE)*'T100'!I64</f>
        <v>0</v>
      </c>
      <c r="J64" s="1103">
        <f>VLOOKUP(J$1,'cost per tipologia de sòl'!$A$2:$D$37,4,FALSE)*'T100'!J64</f>
        <v>38185.746500000001</v>
      </c>
      <c r="K64" s="1103">
        <f>VLOOKUP(K$1,'cost per tipologia de sòl'!$A$2:$D$37,4,FALSE)*'T100'!K64</f>
        <v>0</v>
      </c>
      <c r="L64" s="1103">
        <f>VLOOKUP(L$1,'cost per tipologia de sòl'!$A$2:$D$37,4,FALSE)*'T100'!L64</f>
        <v>0</v>
      </c>
      <c r="M64" s="1103">
        <f>VLOOKUP(M$1,'cost per tipologia de sòl'!$A$2:$D$37,4,FALSE)*'T100'!M64</f>
        <v>0</v>
      </c>
      <c r="N64" s="1103">
        <f>VLOOKUP(N$1,'cost per tipologia de sòl'!$A$2:$D$37,4,FALSE)*'T100'!N64</f>
        <v>0</v>
      </c>
      <c r="O64" s="1103">
        <f>VLOOKUP(O$1,'cost per tipologia de sòl'!$A$2:$D$37,4,FALSE)*'T100'!O64</f>
        <v>0</v>
      </c>
      <c r="P64" s="1103">
        <f>VLOOKUP(P$1,'cost per tipologia de sòl'!$A$2:$D$37,4,FALSE)*'T100'!P64</f>
        <v>0</v>
      </c>
      <c r="Q64" s="1103">
        <f>VLOOKUP(Q$1,'cost per tipologia de sòl'!$A$2:$D$37,4,FALSE)*'T100'!Q64</f>
        <v>0</v>
      </c>
      <c r="R64" s="1103">
        <f>VLOOKUP(R$1,'cost per tipologia de sòl'!$A$2:$D$37,4,FALSE)*'T100'!R64</f>
        <v>0</v>
      </c>
      <c r="S64" s="1103">
        <f>VLOOKUP(S$1,'cost per tipologia de sòl'!$A$2:$D$37,4,FALSE)*'T100'!S64</f>
        <v>0</v>
      </c>
      <c r="T64" s="1103">
        <f>VLOOKUP(T$1,'cost per tipologia de sòl'!$A$2:$D$37,4,FALSE)*'T100'!T64</f>
        <v>0</v>
      </c>
      <c r="U64" s="1103">
        <f>VLOOKUP(U$1,'cost per tipologia de sòl'!$A$2:$D$37,4,FALSE)*'T100'!U64</f>
        <v>0</v>
      </c>
      <c r="V64" s="1103">
        <f>VLOOKUP(V$1,'cost per tipologia de sòl'!$A$2:$D$37,4,FALSE)*'T100'!V64</f>
        <v>0</v>
      </c>
      <c r="W64" s="1103">
        <f>VLOOKUP(W$1,'cost per tipologia de sòl'!$A$2:$D$37,4,FALSE)*'T100'!W64</f>
        <v>0</v>
      </c>
      <c r="X64" s="1103">
        <f>VLOOKUP(X$1,'cost per tipologia de sòl'!$A$2:$D$37,4,FALSE)*'T100'!X64</f>
        <v>0</v>
      </c>
      <c r="Y64" s="1103">
        <f>VLOOKUP(Y$1,'cost per tipologia de sòl'!$A$2:$D$37,4,FALSE)*'T100'!Y64</f>
        <v>0</v>
      </c>
      <c r="Z64" s="1103">
        <f>VLOOKUP(Z$1,'cost per tipologia de sòl'!$A$2:$D$37,4,FALSE)*'T100'!Z64</f>
        <v>0</v>
      </c>
      <c r="AA64" s="1103">
        <f>VLOOKUP(AA$1,'cost per tipologia de sòl'!$A$2:$D$37,4,FALSE)*'T100'!AA64</f>
        <v>0</v>
      </c>
      <c r="AB64" s="1103">
        <f>VLOOKUP(AB$1,'cost per tipologia de sòl'!$A$2:$D$37,4,FALSE)*'T100'!AB64</f>
        <v>0</v>
      </c>
      <c r="AC64" s="1103">
        <f>VLOOKUP(AC$1,'cost per tipologia de sòl'!$A$2:$D$37,4,FALSE)*'T100'!AC64</f>
        <v>0</v>
      </c>
      <c r="AD64" s="1103">
        <f>VLOOKUP(AD$1,'cost per tipologia de sòl'!$A$2:$D$37,4,FALSE)*'T100'!AD64</f>
        <v>0</v>
      </c>
      <c r="AE64" s="1103">
        <f>VLOOKUP(AE$1,'cost per tipologia de sòl'!$A$2:$D$37,4,FALSE)*'T100'!AE64</f>
        <v>0</v>
      </c>
      <c r="AF64" s="1103">
        <f>VLOOKUP(AF$1,'cost per tipologia de sòl'!$A$2:$D$37,4,FALSE)*'T100'!AF64</f>
        <v>0</v>
      </c>
      <c r="AG64" s="1103">
        <f>VLOOKUP(AG$1,'cost per tipologia de sòl'!$A$2:$D$37,4,FALSE)*'T100'!AG64</f>
        <v>0</v>
      </c>
      <c r="AH64" s="1103">
        <f>VLOOKUP(AH$1,'cost per tipologia de sòl'!$A$2:$D$37,4,FALSE)*'T100'!AH64</f>
        <v>0</v>
      </c>
      <c r="AI64" s="1103">
        <f>VLOOKUP(AI$1,'cost per tipologia de sòl'!$A$2:$D$37,4,FALSE)*'T100'!AI64</f>
        <v>0</v>
      </c>
      <c r="AJ64" s="1103">
        <f t="shared" si="0"/>
        <v>38185.746500000001</v>
      </c>
      <c r="AK64" s="1117">
        <f t="shared" si="1"/>
        <v>1.145572395E-2</v>
      </c>
    </row>
    <row r="65" spans="1:37">
      <c r="A65" s="1096" t="s">
        <v>1147</v>
      </c>
      <c r="B65" s="1103">
        <f>VLOOKUP(B$1,'cost per tipologia de sòl'!$A$2:$D$37,4,FALSE)*'T100'!B65</f>
        <v>63595421.118000001</v>
      </c>
      <c r="C65" s="1103">
        <f>VLOOKUP(C$1,'cost per tipologia de sòl'!$A$2:$D$37,4,FALSE)*'T100'!C65</f>
        <v>0</v>
      </c>
      <c r="D65" s="1103">
        <f>VLOOKUP(D$1,'cost per tipologia de sòl'!$A$2:$D$37,4,FALSE)*'T100'!D65</f>
        <v>1755.7920000000001</v>
      </c>
      <c r="E65" s="1103">
        <f>VLOOKUP(E$1,'cost per tipologia de sòl'!$A$2:$D$37,4,FALSE)*'T100'!E65</f>
        <v>0</v>
      </c>
      <c r="F65" s="1103">
        <f>VLOOKUP(F$1,'cost per tipologia de sòl'!$A$2:$D$37,4,FALSE)*'T100'!F65</f>
        <v>0</v>
      </c>
      <c r="G65" s="1103">
        <f>VLOOKUP(G$1,'cost per tipologia de sòl'!$A$2:$D$37,4,FALSE)*'T100'!G65</f>
        <v>0</v>
      </c>
      <c r="H65" s="1103">
        <f>VLOOKUP(H$1,'cost per tipologia de sòl'!$A$2:$D$37,4,FALSE)*'T100'!H65</f>
        <v>0</v>
      </c>
      <c r="I65" s="1103">
        <f>VLOOKUP(I$1,'cost per tipologia de sòl'!$A$2:$D$37,4,FALSE)*'T100'!I65</f>
        <v>0</v>
      </c>
      <c r="J65" s="1103">
        <f>VLOOKUP(J$1,'cost per tipologia de sòl'!$A$2:$D$37,4,FALSE)*'T100'!J65</f>
        <v>706764.06900000002</v>
      </c>
      <c r="K65" s="1103">
        <f>VLOOKUP(K$1,'cost per tipologia de sòl'!$A$2:$D$37,4,FALSE)*'T100'!K65</f>
        <v>397641.76200000005</v>
      </c>
      <c r="L65" s="1103">
        <f>VLOOKUP(L$1,'cost per tipologia de sòl'!$A$2:$D$37,4,FALSE)*'T100'!L65</f>
        <v>130534.452</v>
      </c>
      <c r="M65" s="1103">
        <f>VLOOKUP(M$1,'cost per tipologia de sòl'!$A$2:$D$37,4,FALSE)*'T100'!M65</f>
        <v>0</v>
      </c>
      <c r="N65" s="1103">
        <f>VLOOKUP(N$1,'cost per tipologia de sòl'!$A$2:$D$37,4,FALSE)*'T100'!N65</f>
        <v>3815344.4799999995</v>
      </c>
      <c r="O65" s="1103">
        <f>VLOOKUP(O$1,'cost per tipologia de sòl'!$A$2:$D$37,4,FALSE)*'T100'!O65</f>
        <v>4450986.3439999996</v>
      </c>
      <c r="P65" s="1103">
        <f>VLOOKUP(P$1,'cost per tipologia de sòl'!$A$2:$D$37,4,FALSE)*'T100'!P65</f>
        <v>0</v>
      </c>
      <c r="Q65" s="1103">
        <f>VLOOKUP(Q$1,'cost per tipologia de sòl'!$A$2:$D$37,4,FALSE)*'T100'!Q65</f>
        <v>0</v>
      </c>
      <c r="R65" s="1103">
        <f>VLOOKUP(R$1,'cost per tipologia de sòl'!$A$2:$D$37,4,FALSE)*'T100'!R65</f>
        <v>0</v>
      </c>
      <c r="S65" s="1103">
        <f>VLOOKUP(S$1,'cost per tipologia de sòl'!$A$2:$D$37,4,FALSE)*'T100'!S65</f>
        <v>52983220.751999997</v>
      </c>
      <c r="T65" s="1103">
        <f>VLOOKUP(T$1,'cost per tipologia de sòl'!$A$2:$D$37,4,FALSE)*'T100'!T65</f>
        <v>53960594.009000003</v>
      </c>
      <c r="U65" s="1103">
        <f>VLOOKUP(U$1,'cost per tipologia de sòl'!$A$2:$D$37,4,FALSE)*'T100'!U65</f>
        <v>201914284.95000002</v>
      </c>
      <c r="V65" s="1103">
        <f>VLOOKUP(V$1,'cost per tipologia de sòl'!$A$2:$D$37,4,FALSE)*'T100'!V65</f>
        <v>0</v>
      </c>
      <c r="W65" s="1103">
        <f>VLOOKUP(W$1,'cost per tipologia de sòl'!$A$2:$D$37,4,FALSE)*'T100'!W65</f>
        <v>0</v>
      </c>
      <c r="X65" s="1103">
        <f>VLOOKUP(X$1,'cost per tipologia de sòl'!$A$2:$D$37,4,FALSE)*'T100'!X65</f>
        <v>0</v>
      </c>
      <c r="Y65" s="1103">
        <f>VLOOKUP(Y$1,'cost per tipologia de sòl'!$A$2:$D$37,4,FALSE)*'T100'!Y65</f>
        <v>0</v>
      </c>
      <c r="Z65" s="1103">
        <f>VLOOKUP(Z$1,'cost per tipologia de sòl'!$A$2:$D$37,4,FALSE)*'T100'!Z65</f>
        <v>56760797.658</v>
      </c>
      <c r="AA65" s="1103">
        <f>VLOOKUP(AA$1,'cost per tipologia de sòl'!$A$2:$D$37,4,FALSE)*'T100'!AA65</f>
        <v>0</v>
      </c>
      <c r="AB65" s="1103">
        <f>VLOOKUP(AB$1,'cost per tipologia de sòl'!$A$2:$D$37,4,FALSE)*'T100'!AB65</f>
        <v>0</v>
      </c>
      <c r="AC65" s="1103">
        <f>VLOOKUP(AC$1,'cost per tipologia de sòl'!$A$2:$D$37,4,FALSE)*'T100'!AC65</f>
        <v>13770512.199999999</v>
      </c>
      <c r="AD65" s="1103">
        <f>VLOOKUP(AD$1,'cost per tipologia de sòl'!$A$2:$D$37,4,FALSE)*'T100'!AD65</f>
        <v>79370277.950000003</v>
      </c>
      <c r="AE65" s="1103">
        <f>VLOOKUP(AE$1,'cost per tipologia de sòl'!$A$2:$D$37,4,FALSE)*'T100'!AE65</f>
        <v>0</v>
      </c>
      <c r="AF65" s="1103">
        <f>VLOOKUP(AF$1,'cost per tipologia de sòl'!$A$2:$D$37,4,FALSE)*'T100'!AF65</f>
        <v>0</v>
      </c>
      <c r="AG65" s="1103">
        <f>VLOOKUP(AG$1,'cost per tipologia de sòl'!$A$2:$D$37,4,FALSE)*'T100'!AG65</f>
        <v>0</v>
      </c>
      <c r="AH65" s="1103">
        <f>VLOOKUP(AH$1,'cost per tipologia de sòl'!$A$2:$D$37,4,FALSE)*'T100'!AH65</f>
        <v>0</v>
      </c>
      <c r="AI65" s="1103">
        <f>VLOOKUP(AI$1,'cost per tipologia de sòl'!$A$2:$D$37,4,FALSE)*'T100'!AI65</f>
        <v>0</v>
      </c>
      <c r="AJ65" s="1103">
        <f t="shared" si="0"/>
        <v>531858135.53600001</v>
      </c>
      <c r="AK65" s="1117">
        <f t="shared" si="1"/>
        <v>159.55744066080001</v>
      </c>
    </row>
    <row r="66" spans="1:37">
      <c r="A66" s="1096" t="s">
        <v>1749</v>
      </c>
      <c r="B66" s="1103">
        <f>VLOOKUP(B$1,'cost per tipologia de sòl'!$A$2:$D$37,4,FALSE)*'T100'!B66</f>
        <v>0</v>
      </c>
      <c r="C66" s="1103">
        <f>VLOOKUP(C$1,'cost per tipologia de sòl'!$A$2:$D$37,4,FALSE)*'T100'!C66</f>
        <v>0</v>
      </c>
      <c r="D66" s="1103">
        <f>VLOOKUP(D$1,'cost per tipologia de sòl'!$A$2:$D$37,4,FALSE)*'T100'!D66</f>
        <v>0</v>
      </c>
      <c r="E66" s="1103">
        <f>VLOOKUP(E$1,'cost per tipologia de sòl'!$A$2:$D$37,4,FALSE)*'T100'!E66</f>
        <v>0</v>
      </c>
      <c r="F66" s="1103">
        <f>VLOOKUP(F$1,'cost per tipologia de sòl'!$A$2:$D$37,4,FALSE)*'T100'!F66</f>
        <v>0</v>
      </c>
      <c r="G66" s="1103">
        <f>VLOOKUP(G$1,'cost per tipologia de sòl'!$A$2:$D$37,4,FALSE)*'T100'!G66</f>
        <v>0</v>
      </c>
      <c r="H66" s="1103">
        <f>VLOOKUP(H$1,'cost per tipologia de sòl'!$A$2:$D$37,4,FALSE)*'T100'!H66</f>
        <v>0</v>
      </c>
      <c r="I66" s="1103">
        <f>VLOOKUP(I$1,'cost per tipologia de sòl'!$A$2:$D$37,4,FALSE)*'T100'!I66</f>
        <v>0</v>
      </c>
      <c r="J66" s="1103">
        <f>VLOOKUP(J$1,'cost per tipologia de sòl'!$A$2:$D$37,4,FALSE)*'T100'!J66</f>
        <v>927.51450000000011</v>
      </c>
      <c r="K66" s="1103">
        <f>VLOOKUP(K$1,'cost per tipologia de sòl'!$A$2:$D$37,4,FALSE)*'T100'!K66</f>
        <v>327157.614</v>
      </c>
      <c r="L66" s="1103">
        <f>VLOOKUP(L$1,'cost per tipologia de sòl'!$A$2:$D$37,4,FALSE)*'T100'!L66</f>
        <v>0</v>
      </c>
      <c r="M66" s="1103">
        <f>VLOOKUP(M$1,'cost per tipologia de sòl'!$A$2:$D$37,4,FALSE)*'T100'!M66</f>
        <v>0</v>
      </c>
      <c r="N66" s="1103">
        <f>VLOOKUP(N$1,'cost per tipologia de sòl'!$A$2:$D$37,4,FALSE)*'T100'!N66</f>
        <v>0</v>
      </c>
      <c r="O66" s="1103">
        <f>VLOOKUP(O$1,'cost per tipologia de sòl'!$A$2:$D$37,4,FALSE)*'T100'!O66</f>
        <v>0</v>
      </c>
      <c r="P66" s="1103">
        <f>VLOOKUP(P$1,'cost per tipologia de sòl'!$A$2:$D$37,4,FALSE)*'T100'!P66</f>
        <v>0</v>
      </c>
      <c r="Q66" s="1103">
        <f>VLOOKUP(Q$1,'cost per tipologia de sòl'!$A$2:$D$37,4,FALSE)*'T100'!Q66</f>
        <v>0</v>
      </c>
      <c r="R66" s="1103">
        <f>VLOOKUP(R$1,'cost per tipologia de sòl'!$A$2:$D$37,4,FALSE)*'T100'!R66</f>
        <v>0</v>
      </c>
      <c r="S66" s="1103">
        <f>VLOOKUP(S$1,'cost per tipologia de sòl'!$A$2:$D$37,4,FALSE)*'T100'!S66</f>
        <v>1732550.4000000001</v>
      </c>
      <c r="T66" s="1103">
        <f>VLOOKUP(T$1,'cost per tipologia de sòl'!$A$2:$D$37,4,FALSE)*'T100'!T66</f>
        <v>1562123.3970000001</v>
      </c>
      <c r="U66" s="1103">
        <f>VLOOKUP(U$1,'cost per tipologia de sòl'!$A$2:$D$37,4,FALSE)*'T100'!U66</f>
        <v>0</v>
      </c>
      <c r="V66" s="1103">
        <f>VLOOKUP(V$1,'cost per tipologia de sòl'!$A$2:$D$37,4,FALSE)*'T100'!V66</f>
        <v>0</v>
      </c>
      <c r="W66" s="1103">
        <f>VLOOKUP(W$1,'cost per tipologia de sòl'!$A$2:$D$37,4,FALSE)*'T100'!W66</f>
        <v>0</v>
      </c>
      <c r="X66" s="1103">
        <f>VLOOKUP(X$1,'cost per tipologia de sòl'!$A$2:$D$37,4,FALSE)*'T100'!X66</f>
        <v>0</v>
      </c>
      <c r="Y66" s="1103">
        <f>VLOOKUP(Y$1,'cost per tipologia de sòl'!$A$2:$D$37,4,FALSE)*'T100'!Y66</f>
        <v>0</v>
      </c>
      <c r="Z66" s="1103">
        <f>VLOOKUP(Z$1,'cost per tipologia de sòl'!$A$2:$D$37,4,FALSE)*'T100'!Z66</f>
        <v>0</v>
      </c>
      <c r="AA66" s="1103">
        <f>VLOOKUP(AA$1,'cost per tipologia de sòl'!$A$2:$D$37,4,FALSE)*'T100'!AA66</f>
        <v>0</v>
      </c>
      <c r="AB66" s="1103">
        <f>VLOOKUP(AB$1,'cost per tipologia de sòl'!$A$2:$D$37,4,FALSE)*'T100'!AB66</f>
        <v>1942598.95</v>
      </c>
      <c r="AC66" s="1103">
        <f>VLOOKUP(AC$1,'cost per tipologia de sòl'!$A$2:$D$37,4,FALSE)*'T100'!AC66</f>
        <v>587010.69999999995</v>
      </c>
      <c r="AD66" s="1103">
        <f>VLOOKUP(AD$1,'cost per tipologia de sòl'!$A$2:$D$37,4,FALSE)*'T100'!AD66</f>
        <v>38199.5</v>
      </c>
      <c r="AE66" s="1103">
        <f>VLOOKUP(AE$1,'cost per tipologia de sòl'!$A$2:$D$37,4,FALSE)*'T100'!AE66</f>
        <v>0</v>
      </c>
      <c r="AF66" s="1103">
        <f>VLOOKUP(AF$1,'cost per tipologia de sòl'!$A$2:$D$37,4,FALSE)*'T100'!AF66</f>
        <v>0</v>
      </c>
      <c r="AG66" s="1103">
        <f>VLOOKUP(AG$1,'cost per tipologia de sòl'!$A$2:$D$37,4,FALSE)*'T100'!AG66</f>
        <v>0</v>
      </c>
      <c r="AH66" s="1103">
        <f>VLOOKUP(AH$1,'cost per tipologia de sòl'!$A$2:$D$37,4,FALSE)*'T100'!AH66</f>
        <v>0</v>
      </c>
      <c r="AI66" s="1103">
        <f>VLOOKUP(AI$1,'cost per tipologia de sòl'!$A$2:$D$37,4,FALSE)*'T100'!AI66</f>
        <v>0</v>
      </c>
      <c r="AJ66" s="1103">
        <f t="shared" si="0"/>
        <v>6190568.0755000003</v>
      </c>
      <c r="AK66" s="1117">
        <f t="shared" si="1"/>
        <v>1.8571704226500001</v>
      </c>
    </row>
    <row r="67" spans="1:37">
      <c r="A67" s="1096" t="s">
        <v>1340</v>
      </c>
      <c r="B67" s="1103">
        <f>VLOOKUP(B$1,'cost per tipologia de sòl'!$A$2:$D$37,4,FALSE)*'T100'!B67</f>
        <v>34617761.747999996</v>
      </c>
      <c r="C67" s="1103">
        <f>VLOOKUP(C$1,'cost per tipologia de sòl'!$A$2:$D$37,4,FALSE)*'T100'!C67</f>
        <v>0</v>
      </c>
      <c r="D67" s="1103">
        <f>VLOOKUP(D$1,'cost per tipologia de sòl'!$A$2:$D$37,4,FALSE)*'T100'!D67</f>
        <v>0</v>
      </c>
      <c r="E67" s="1103">
        <f>VLOOKUP(E$1,'cost per tipologia de sòl'!$A$2:$D$37,4,FALSE)*'T100'!E67</f>
        <v>0</v>
      </c>
      <c r="F67" s="1103">
        <f>VLOOKUP(F$1,'cost per tipologia de sòl'!$A$2:$D$37,4,FALSE)*'T100'!F67</f>
        <v>0</v>
      </c>
      <c r="G67" s="1103">
        <f>VLOOKUP(G$1,'cost per tipologia de sòl'!$A$2:$D$37,4,FALSE)*'T100'!G67</f>
        <v>0</v>
      </c>
      <c r="H67" s="1103">
        <f>VLOOKUP(H$1,'cost per tipologia de sòl'!$A$2:$D$37,4,FALSE)*'T100'!H67</f>
        <v>0</v>
      </c>
      <c r="I67" s="1103">
        <f>VLOOKUP(I$1,'cost per tipologia de sòl'!$A$2:$D$37,4,FALSE)*'T100'!I67</f>
        <v>0</v>
      </c>
      <c r="J67" s="1103">
        <f>VLOOKUP(J$1,'cost per tipologia de sòl'!$A$2:$D$37,4,FALSE)*'T100'!J67</f>
        <v>113035.84599999999</v>
      </c>
      <c r="K67" s="1103">
        <f>VLOOKUP(K$1,'cost per tipologia de sòl'!$A$2:$D$37,4,FALSE)*'T100'!K67</f>
        <v>0</v>
      </c>
      <c r="L67" s="1103">
        <f>VLOOKUP(L$1,'cost per tipologia de sòl'!$A$2:$D$37,4,FALSE)*'T100'!L67</f>
        <v>805476.79799999995</v>
      </c>
      <c r="M67" s="1103">
        <f>VLOOKUP(M$1,'cost per tipologia de sòl'!$A$2:$D$37,4,FALSE)*'T100'!M67</f>
        <v>1216646.0319999999</v>
      </c>
      <c r="N67" s="1103">
        <f>VLOOKUP(N$1,'cost per tipologia de sòl'!$A$2:$D$37,4,FALSE)*'T100'!N67</f>
        <v>0</v>
      </c>
      <c r="O67" s="1103">
        <f>VLOOKUP(O$1,'cost per tipologia de sòl'!$A$2:$D$37,4,FALSE)*'T100'!O67</f>
        <v>0</v>
      </c>
      <c r="P67" s="1103">
        <f>VLOOKUP(P$1,'cost per tipologia de sòl'!$A$2:$D$37,4,FALSE)*'T100'!P67</f>
        <v>1896697.1040000001</v>
      </c>
      <c r="Q67" s="1103">
        <f>VLOOKUP(Q$1,'cost per tipologia de sòl'!$A$2:$D$37,4,FALSE)*'T100'!Q67</f>
        <v>0</v>
      </c>
      <c r="R67" s="1103">
        <f>VLOOKUP(R$1,'cost per tipologia de sòl'!$A$2:$D$37,4,FALSE)*'T100'!R67</f>
        <v>0</v>
      </c>
      <c r="S67" s="1103">
        <f>VLOOKUP(S$1,'cost per tipologia de sòl'!$A$2:$D$37,4,FALSE)*'T100'!S67</f>
        <v>26535547.583999999</v>
      </c>
      <c r="T67" s="1103">
        <f>VLOOKUP(T$1,'cost per tipologia de sòl'!$A$2:$D$37,4,FALSE)*'T100'!T67</f>
        <v>6891310.3040000005</v>
      </c>
      <c r="U67" s="1103">
        <f>VLOOKUP(U$1,'cost per tipologia de sòl'!$A$2:$D$37,4,FALSE)*'T100'!U67</f>
        <v>92873.55</v>
      </c>
      <c r="V67" s="1103">
        <f>VLOOKUP(V$1,'cost per tipologia de sòl'!$A$2:$D$37,4,FALSE)*'T100'!V67</f>
        <v>0</v>
      </c>
      <c r="W67" s="1103">
        <f>VLOOKUP(W$1,'cost per tipologia de sòl'!$A$2:$D$37,4,FALSE)*'T100'!W67</f>
        <v>0</v>
      </c>
      <c r="X67" s="1103">
        <f>VLOOKUP(X$1,'cost per tipologia de sòl'!$A$2:$D$37,4,FALSE)*'T100'!X67</f>
        <v>0</v>
      </c>
      <c r="Y67" s="1103">
        <f>VLOOKUP(Y$1,'cost per tipologia de sòl'!$A$2:$D$37,4,FALSE)*'T100'!Y67</f>
        <v>0</v>
      </c>
      <c r="Z67" s="1103">
        <f>VLOOKUP(Z$1,'cost per tipologia de sòl'!$A$2:$D$37,4,FALSE)*'T100'!Z67</f>
        <v>14134158.698000001</v>
      </c>
      <c r="AA67" s="1103">
        <f>VLOOKUP(AA$1,'cost per tipologia de sòl'!$A$2:$D$37,4,FALSE)*'T100'!AA67</f>
        <v>0</v>
      </c>
      <c r="AB67" s="1103">
        <f>VLOOKUP(AB$1,'cost per tipologia de sòl'!$A$2:$D$37,4,FALSE)*'T100'!AB67</f>
        <v>2324837.15</v>
      </c>
      <c r="AC67" s="1103">
        <f>VLOOKUP(AC$1,'cost per tipologia de sòl'!$A$2:$D$37,4,FALSE)*'T100'!AC67</f>
        <v>8348688.3500000006</v>
      </c>
      <c r="AD67" s="1103">
        <f>VLOOKUP(AD$1,'cost per tipologia de sòl'!$A$2:$D$37,4,FALSE)*'T100'!AD67</f>
        <v>11056977.799999999</v>
      </c>
      <c r="AE67" s="1103">
        <f>VLOOKUP(AE$1,'cost per tipologia de sòl'!$A$2:$D$37,4,FALSE)*'T100'!AE67</f>
        <v>0</v>
      </c>
      <c r="AF67" s="1103">
        <f>VLOOKUP(AF$1,'cost per tipologia de sòl'!$A$2:$D$37,4,FALSE)*'T100'!AF67</f>
        <v>0</v>
      </c>
      <c r="AG67" s="1103">
        <f>VLOOKUP(AG$1,'cost per tipologia de sòl'!$A$2:$D$37,4,FALSE)*'T100'!AG67</f>
        <v>0</v>
      </c>
      <c r="AH67" s="1103">
        <f>VLOOKUP(AH$1,'cost per tipologia de sòl'!$A$2:$D$37,4,FALSE)*'T100'!AH67</f>
        <v>0</v>
      </c>
      <c r="AI67" s="1103">
        <f>VLOOKUP(AI$1,'cost per tipologia de sòl'!$A$2:$D$37,4,FALSE)*'T100'!AI67</f>
        <v>0</v>
      </c>
      <c r="AJ67" s="1103">
        <f t="shared" ref="AJ67:AJ130" si="2">SUM(B67:AI67)</f>
        <v>108034010.96399999</v>
      </c>
      <c r="AK67" s="1117">
        <f t="shared" ref="AK67:AK130" si="3">15*AJ67/(50*1000000)</f>
        <v>32.410203289199998</v>
      </c>
    </row>
    <row r="68" spans="1:37">
      <c r="A68" s="1096" t="s">
        <v>1343</v>
      </c>
      <c r="B68" s="1103">
        <f>VLOOKUP(B$1,'cost per tipologia de sòl'!$A$2:$D$37,4,FALSE)*'T100'!B68</f>
        <v>8989122.2400000002</v>
      </c>
      <c r="C68" s="1103">
        <f>VLOOKUP(C$1,'cost per tipologia de sòl'!$A$2:$D$37,4,FALSE)*'T100'!C68</f>
        <v>0</v>
      </c>
      <c r="D68" s="1103">
        <f>VLOOKUP(D$1,'cost per tipologia de sòl'!$A$2:$D$37,4,FALSE)*'T100'!D68</f>
        <v>122985.00599999999</v>
      </c>
      <c r="E68" s="1103">
        <f>VLOOKUP(E$1,'cost per tipologia de sòl'!$A$2:$D$37,4,FALSE)*'T100'!E68</f>
        <v>0</v>
      </c>
      <c r="F68" s="1103">
        <f>VLOOKUP(F$1,'cost per tipologia de sòl'!$A$2:$D$37,4,FALSE)*'T100'!F68</f>
        <v>0</v>
      </c>
      <c r="G68" s="1103">
        <f>VLOOKUP(G$1,'cost per tipologia de sòl'!$A$2:$D$37,4,FALSE)*'T100'!G68</f>
        <v>0</v>
      </c>
      <c r="H68" s="1103">
        <f>VLOOKUP(H$1,'cost per tipologia de sòl'!$A$2:$D$37,4,FALSE)*'T100'!H68</f>
        <v>0</v>
      </c>
      <c r="I68" s="1103">
        <f>VLOOKUP(I$1,'cost per tipologia de sòl'!$A$2:$D$37,4,FALSE)*'T100'!I68</f>
        <v>0</v>
      </c>
      <c r="J68" s="1103">
        <f>VLOOKUP(J$1,'cost per tipologia de sòl'!$A$2:$D$37,4,FALSE)*'T100'!J68</f>
        <v>7478.4490000000005</v>
      </c>
      <c r="K68" s="1103">
        <f>VLOOKUP(K$1,'cost per tipologia de sòl'!$A$2:$D$37,4,FALSE)*'T100'!K68</f>
        <v>0</v>
      </c>
      <c r="L68" s="1103">
        <f>VLOOKUP(L$1,'cost per tipologia de sòl'!$A$2:$D$37,4,FALSE)*'T100'!L68</f>
        <v>0</v>
      </c>
      <c r="M68" s="1103">
        <f>VLOOKUP(M$1,'cost per tipologia de sòl'!$A$2:$D$37,4,FALSE)*'T100'!M68</f>
        <v>1144579.2239999999</v>
      </c>
      <c r="N68" s="1103">
        <f>VLOOKUP(N$1,'cost per tipologia de sòl'!$A$2:$D$37,4,FALSE)*'T100'!N68</f>
        <v>8530.9760000000006</v>
      </c>
      <c r="O68" s="1103">
        <f>VLOOKUP(O$1,'cost per tipologia de sòl'!$A$2:$D$37,4,FALSE)*'T100'!O68</f>
        <v>0</v>
      </c>
      <c r="P68" s="1103">
        <f>VLOOKUP(P$1,'cost per tipologia de sòl'!$A$2:$D$37,4,FALSE)*'T100'!P68</f>
        <v>0</v>
      </c>
      <c r="Q68" s="1103">
        <f>VLOOKUP(Q$1,'cost per tipologia de sòl'!$A$2:$D$37,4,FALSE)*'T100'!Q68</f>
        <v>0</v>
      </c>
      <c r="R68" s="1103">
        <f>VLOOKUP(R$1,'cost per tipologia de sòl'!$A$2:$D$37,4,FALSE)*'T100'!R68</f>
        <v>0</v>
      </c>
      <c r="S68" s="1103">
        <f>VLOOKUP(S$1,'cost per tipologia de sòl'!$A$2:$D$37,4,FALSE)*'T100'!S68</f>
        <v>3623422.3200000003</v>
      </c>
      <c r="T68" s="1103">
        <f>VLOOKUP(T$1,'cost per tipologia de sòl'!$A$2:$D$37,4,FALSE)*'T100'!T68</f>
        <v>1309378.7889999999</v>
      </c>
      <c r="U68" s="1103">
        <f>VLOOKUP(U$1,'cost per tipologia de sòl'!$A$2:$D$37,4,FALSE)*'T100'!U68</f>
        <v>71477.7</v>
      </c>
      <c r="V68" s="1103">
        <f>VLOOKUP(V$1,'cost per tipologia de sòl'!$A$2:$D$37,4,FALSE)*'T100'!V68</f>
        <v>0</v>
      </c>
      <c r="W68" s="1103">
        <f>VLOOKUP(W$1,'cost per tipologia de sòl'!$A$2:$D$37,4,FALSE)*'T100'!W68</f>
        <v>0</v>
      </c>
      <c r="X68" s="1103">
        <f>VLOOKUP(X$1,'cost per tipologia de sòl'!$A$2:$D$37,4,FALSE)*'T100'!X68</f>
        <v>0</v>
      </c>
      <c r="Y68" s="1103">
        <f>VLOOKUP(Y$1,'cost per tipologia de sòl'!$A$2:$D$37,4,FALSE)*'T100'!Y68</f>
        <v>0</v>
      </c>
      <c r="Z68" s="1103">
        <f>VLOOKUP(Z$1,'cost per tipologia de sòl'!$A$2:$D$37,4,FALSE)*'T100'!Z68</f>
        <v>0</v>
      </c>
      <c r="AA68" s="1103">
        <f>VLOOKUP(AA$1,'cost per tipologia de sòl'!$A$2:$D$37,4,FALSE)*'T100'!AA68</f>
        <v>0</v>
      </c>
      <c r="AB68" s="1103">
        <f>VLOOKUP(AB$1,'cost per tipologia de sòl'!$A$2:$D$37,4,FALSE)*'T100'!AB68</f>
        <v>460672.10000000003</v>
      </c>
      <c r="AC68" s="1103">
        <f>VLOOKUP(AC$1,'cost per tipologia de sòl'!$A$2:$D$37,4,FALSE)*'T100'!AC68</f>
        <v>1559949.4</v>
      </c>
      <c r="AD68" s="1103">
        <f>VLOOKUP(AD$1,'cost per tipologia de sòl'!$A$2:$D$37,4,FALSE)*'T100'!AD68</f>
        <v>2565170.0499999998</v>
      </c>
      <c r="AE68" s="1103">
        <f>VLOOKUP(AE$1,'cost per tipologia de sòl'!$A$2:$D$37,4,FALSE)*'T100'!AE68</f>
        <v>0</v>
      </c>
      <c r="AF68" s="1103">
        <f>VLOOKUP(AF$1,'cost per tipologia de sòl'!$A$2:$D$37,4,FALSE)*'T100'!AF68</f>
        <v>0</v>
      </c>
      <c r="AG68" s="1103">
        <f>VLOOKUP(AG$1,'cost per tipologia de sòl'!$A$2:$D$37,4,FALSE)*'T100'!AG68</f>
        <v>0</v>
      </c>
      <c r="AH68" s="1103">
        <f>VLOOKUP(AH$1,'cost per tipologia de sòl'!$A$2:$D$37,4,FALSE)*'T100'!AH68</f>
        <v>0</v>
      </c>
      <c r="AI68" s="1103">
        <f>VLOOKUP(AI$1,'cost per tipologia de sòl'!$A$2:$D$37,4,FALSE)*'T100'!AI68</f>
        <v>0</v>
      </c>
      <c r="AJ68" s="1103">
        <f t="shared" si="2"/>
        <v>19862766.253999997</v>
      </c>
      <c r="AK68" s="1117">
        <f t="shared" si="3"/>
        <v>5.9588298761999985</v>
      </c>
    </row>
    <row r="69" spans="1:37">
      <c r="A69" s="1096" t="s">
        <v>1384</v>
      </c>
      <c r="B69" s="1103">
        <f>VLOOKUP(B$1,'cost per tipologia de sòl'!$A$2:$D$37,4,FALSE)*'T100'!B69</f>
        <v>129280593.546</v>
      </c>
      <c r="C69" s="1103">
        <f>VLOOKUP(C$1,'cost per tipologia de sòl'!$A$2:$D$37,4,FALSE)*'T100'!C69</f>
        <v>15722967.024</v>
      </c>
      <c r="D69" s="1103">
        <f>VLOOKUP(D$1,'cost per tipologia de sòl'!$A$2:$D$37,4,FALSE)*'T100'!D69</f>
        <v>6432091.9440000001</v>
      </c>
      <c r="E69" s="1103">
        <f>VLOOKUP(E$1,'cost per tipologia de sòl'!$A$2:$D$37,4,FALSE)*'T100'!E69</f>
        <v>0</v>
      </c>
      <c r="F69" s="1103">
        <f>VLOOKUP(F$1,'cost per tipologia de sòl'!$A$2:$D$37,4,FALSE)*'T100'!F69</f>
        <v>0</v>
      </c>
      <c r="G69" s="1103">
        <f>VLOOKUP(G$1,'cost per tipologia de sòl'!$A$2:$D$37,4,FALSE)*'T100'!G69</f>
        <v>0</v>
      </c>
      <c r="H69" s="1103">
        <f>VLOOKUP(H$1,'cost per tipologia de sòl'!$A$2:$D$37,4,FALSE)*'T100'!H69</f>
        <v>0</v>
      </c>
      <c r="I69" s="1103">
        <f>VLOOKUP(I$1,'cost per tipologia de sòl'!$A$2:$D$37,4,FALSE)*'T100'!I69</f>
        <v>0</v>
      </c>
      <c r="J69" s="1103">
        <f>VLOOKUP(J$1,'cost per tipologia de sòl'!$A$2:$D$37,4,FALSE)*'T100'!J69</f>
        <v>8000564.5499999998</v>
      </c>
      <c r="K69" s="1103">
        <f>VLOOKUP(K$1,'cost per tipologia de sòl'!$A$2:$D$37,4,FALSE)*'T100'!K69</f>
        <v>0</v>
      </c>
      <c r="L69" s="1103">
        <f>VLOOKUP(L$1,'cost per tipologia de sòl'!$A$2:$D$37,4,FALSE)*'T100'!L69</f>
        <v>138787.011</v>
      </c>
      <c r="M69" s="1103">
        <f>VLOOKUP(M$1,'cost per tipologia de sòl'!$A$2:$D$37,4,FALSE)*'T100'!M69</f>
        <v>798858.68799999997</v>
      </c>
      <c r="N69" s="1103">
        <f>VLOOKUP(N$1,'cost per tipologia de sòl'!$A$2:$D$37,4,FALSE)*'T100'!N69</f>
        <v>3515380.656</v>
      </c>
      <c r="O69" s="1103">
        <f>VLOOKUP(O$1,'cost per tipologia de sòl'!$A$2:$D$37,4,FALSE)*'T100'!O69</f>
        <v>0</v>
      </c>
      <c r="P69" s="1103">
        <f>VLOOKUP(P$1,'cost per tipologia de sòl'!$A$2:$D$37,4,FALSE)*'T100'!P69</f>
        <v>1049880.888</v>
      </c>
      <c r="Q69" s="1103">
        <f>VLOOKUP(Q$1,'cost per tipologia de sòl'!$A$2:$D$37,4,FALSE)*'T100'!Q69</f>
        <v>0</v>
      </c>
      <c r="R69" s="1103">
        <f>VLOOKUP(R$1,'cost per tipologia de sòl'!$A$2:$D$37,4,FALSE)*'T100'!R69</f>
        <v>0</v>
      </c>
      <c r="S69" s="1103">
        <f>VLOOKUP(S$1,'cost per tipologia de sòl'!$A$2:$D$37,4,FALSE)*'T100'!S69</f>
        <v>80894634.912</v>
      </c>
      <c r="T69" s="1103">
        <f>VLOOKUP(T$1,'cost per tipologia de sòl'!$A$2:$D$37,4,FALSE)*'T100'!T69</f>
        <v>11661629.217</v>
      </c>
      <c r="U69" s="1103">
        <f>VLOOKUP(U$1,'cost per tipologia de sòl'!$A$2:$D$37,4,FALSE)*'T100'!U69</f>
        <v>27776815.500000004</v>
      </c>
      <c r="V69" s="1103">
        <f>VLOOKUP(V$1,'cost per tipologia de sòl'!$A$2:$D$37,4,FALSE)*'T100'!V69</f>
        <v>0</v>
      </c>
      <c r="W69" s="1103">
        <f>VLOOKUP(W$1,'cost per tipologia de sòl'!$A$2:$D$37,4,FALSE)*'T100'!W69</f>
        <v>0</v>
      </c>
      <c r="X69" s="1103">
        <f>VLOOKUP(X$1,'cost per tipologia de sòl'!$A$2:$D$37,4,FALSE)*'T100'!X69</f>
        <v>0</v>
      </c>
      <c r="Y69" s="1103">
        <f>VLOOKUP(Y$1,'cost per tipologia de sòl'!$A$2:$D$37,4,FALSE)*'T100'!Y69</f>
        <v>0</v>
      </c>
      <c r="Z69" s="1103">
        <f>VLOOKUP(Z$1,'cost per tipologia de sòl'!$A$2:$D$37,4,FALSE)*'T100'!Z69</f>
        <v>59834893.152000003</v>
      </c>
      <c r="AA69" s="1103">
        <f>VLOOKUP(AA$1,'cost per tipologia de sòl'!$A$2:$D$37,4,FALSE)*'T100'!AA69</f>
        <v>0</v>
      </c>
      <c r="AB69" s="1103">
        <f>VLOOKUP(AB$1,'cost per tipologia de sòl'!$A$2:$D$37,4,FALSE)*'T100'!AB69</f>
        <v>45069205.550000004</v>
      </c>
      <c r="AC69" s="1103">
        <f>VLOOKUP(AC$1,'cost per tipologia de sòl'!$A$2:$D$37,4,FALSE)*'T100'!AC69</f>
        <v>31247362</v>
      </c>
      <c r="AD69" s="1103">
        <f>VLOOKUP(AD$1,'cost per tipologia de sòl'!$A$2:$D$37,4,FALSE)*'T100'!AD69</f>
        <v>65075472.149999999</v>
      </c>
      <c r="AE69" s="1103">
        <f>VLOOKUP(AE$1,'cost per tipologia de sòl'!$A$2:$D$37,4,FALSE)*'T100'!AE69</f>
        <v>0</v>
      </c>
      <c r="AF69" s="1103">
        <f>VLOOKUP(AF$1,'cost per tipologia de sòl'!$A$2:$D$37,4,FALSE)*'T100'!AF69</f>
        <v>0</v>
      </c>
      <c r="AG69" s="1103">
        <f>VLOOKUP(AG$1,'cost per tipologia de sòl'!$A$2:$D$37,4,FALSE)*'T100'!AG69</f>
        <v>0</v>
      </c>
      <c r="AH69" s="1103">
        <f>VLOOKUP(AH$1,'cost per tipologia de sòl'!$A$2:$D$37,4,FALSE)*'T100'!AH69</f>
        <v>0</v>
      </c>
      <c r="AI69" s="1103">
        <f>VLOOKUP(AI$1,'cost per tipologia de sòl'!$A$2:$D$37,4,FALSE)*'T100'!AI69</f>
        <v>0</v>
      </c>
      <c r="AJ69" s="1103">
        <f t="shared" si="2"/>
        <v>486499136.78800005</v>
      </c>
      <c r="AK69" s="1117">
        <f t="shared" si="3"/>
        <v>145.94974103640001</v>
      </c>
    </row>
    <row r="70" spans="1:37">
      <c r="A70" s="1096" t="s">
        <v>1670</v>
      </c>
      <c r="B70" s="1103">
        <f>VLOOKUP(B$1,'cost per tipologia de sòl'!$A$2:$D$37,4,FALSE)*'T100'!B70</f>
        <v>891091.33199999994</v>
      </c>
      <c r="C70" s="1103">
        <f>VLOOKUP(C$1,'cost per tipologia de sòl'!$A$2:$D$37,4,FALSE)*'T100'!C70</f>
        <v>0</v>
      </c>
      <c r="D70" s="1103">
        <f>VLOOKUP(D$1,'cost per tipologia de sòl'!$A$2:$D$37,4,FALSE)*'T100'!D70</f>
        <v>0</v>
      </c>
      <c r="E70" s="1103">
        <f>VLOOKUP(E$1,'cost per tipologia de sòl'!$A$2:$D$37,4,FALSE)*'T100'!E70</f>
        <v>0</v>
      </c>
      <c r="F70" s="1103">
        <f>VLOOKUP(F$1,'cost per tipologia de sòl'!$A$2:$D$37,4,FALSE)*'T100'!F70</f>
        <v>0</v>
      </c>
      <c r="G70" s="1103">
        <f>VLOOKUP(G$1,'cost per tipologia de sòl'!$A$2:$D$37,4,FALSE)*'T100'!G70</f>
        <v>0</v>
      </c>
      <c r="H70" s="1103">
        <f>VLOOKUP(H$1,'cost per tipologia de sòl'!$A$2:$D$37,4,FALSE)*'T100'!H70</f>
        <v>0</v>
      </c>
      <c r="I70" s="1103">
        <f>VLOOKUP(I$1,'cost per tipologia de sòl'!$A$2:$D$37,4,FALSE)*'T100'!I70</f>
        <v>0</v>
      </c>
      <c r="J70" s="1103">
        <f>VLOOKUP(J$1,'cost per tipologia de sòl'!$A$2:$D$37,4,FALSE)*'T100'!J70</f>
        <v>36194.493499999997</v>
      </c>
      <c r="K70" s="1103">
        <f>VLOOKUP(K$1,'cost per tipologia de sòl'!$A$2:$D$37,4,FALSE)*'T100'!K70</f>
        <v>0</v>
      </c>
      <c r="L70" s="1103">
        <f>VLOOKUP(L$1,'cost per tipologia de sòl'!$A$2:$D$37,4,FALSE)*'T100'!L70</f>
        <v>0</v>
      </c>
      <c r="M70" s="1103">
        <f>VLOOKUP(M$1,'cost per tipologia de sòl'!$A$2:$D$37,4,FALSE)*'T100'!M70</f>
        <v>0</v>
      </c>
      <c r="N70" s="1103">
        <f>VLOOKUP(N$1,'cost per tipologia de sòl'!$A$2:$D$37,4,FALSE)*'T100'!N70</f>
        <v>0</v>
      </c>
      <c r="O70" s="1103">
        <f>VLOOKUP(O$1,'cost per tipologia de sòl'!$A$2:$D$37,4,FALSE)*'T100'!O70</f>
        <v>0</v>
      </c>
      <c r="P70" s="1103">
        <f>VLOOKUP(P$1,'cost per tipologia de sòl'!$A$2:$D$37,4,FALSE)*'T100'!P70</f>
        <v>0</v>
      </c>
      <c r="Q70" s="1103">
        <f>VLOOKUP(Q$1,'cost per tipologia de sòl'!$A$2:$D$37,4,FALSE)*'T100'!Q70</f>
        <v>0</v>
      </c>
      <c r="R70" s="1103">
        <f>VLOOKUP(R$1,'cost per tipologia de sòl'!$A$2:$D$37,4,FALSE)*'T100'!R70</f>
        <v>0</v>
      </c>
      <c r="S70" s="1103">
        <f>VLOOKUP(S$1,'cost per tipologia de sòl'!$A$2:$D$37,4,FALSE)*'T100'!S70</f>
        <v>0</v>
      </c>
      <c r="T70" s="1103">
        <f>VLOOKUP(T$1,'cost per tipologia de sòl'!$A$2:$D$37,4,FALSE)*'T100'!T70</f>
        <v>0</v>
      </c>
      <c r="U70" s="1103">
        <f>VLOOKUP(U$1,'cost per tipologia de sòl'!$A$2:$D$37,4,FALSE)*'T100'!U70</f>
        <v>0</v>
      </c>
      <c r="V70" s="1103">
        <f>VLOOKUP(V$1,'cost per tipologia de sòl'!$A$2:$D$37,4,FALSE)*'T100'!V70</f>
        <v>0</v>
      </c>
      <c r="W70" s="1103">
        <f>VLOOKUP(W$1,'cost per tipologia de sòl'!$A$2:$D$37,4,FALSE)*'T100'!W70</f>
        <v>0</v>
      </c>
      <c r="X70" s="1103">
        <f>VLOOKUP(X$1,'cost per tipologia de sòl'!$A$2:$D$37,4,FALSE)*'T100'!X70</f>
        <v>0</v>
      </c>
      <c r="Y70" s="1103">
        <f>VLOOKUP(Y$1,'cost per tipologia de sòl'!$A$2:$D$37,4,FALSE)*'T100'!Y70</f>
        <v>0</v>
      </c>
      <c r="Z70" s="1103">
        <f>VLOOKUP(Z$1,'cost per tipologia de sòl'!$A$2:$D$37,4,FALSE)*'T100'!Z70</f>
        <v>445839.674</v>
      </c>
      <c r="AA70" s="1103">
        <f>VLOOKUP(AA$1,'cost per tipologia de sòl'!$A$2:$D$37,4,FALSE)*'T100'!AA70</f>
        <v>0</v>
      </c>
      <c r="AB70" s="1103">
        <f>VLOOKUP(AB$1,'cost per tipologia de sòl'!$A$2:$D$37,4,FALSE)*'T100'!AB70</f>
        <v>0</v>
      </c>
      <c r="AC70" s="1103">
        <f>VLOOKUP(AC$1,'cost per tipologia de sòl'!$A$2:$D$37,4,FALSE)*'T100'!AC70</f>
        <v>0</v>
      </c>
      <c r="AD70" s="1103">
        <f>VLOOKUP(AD$1,'cost per tipologia de sòl'!$A$2:$D$37,4,FALSE)*'T100'!AD70</f>
        <v>384914.35</v>
      </c>
      <c r="AE70" s="1103">
        <f>VLOOKUP(AE$1,'cost per tipologia de sòl'!$A$2:$D$37,4,FALSE)*'T100'!AE70</f>
        <v>0</v>
      </c>
      <c r="AF70" s="1103">
        <f>VLOOKUP(AF$1,'cost per tipologia de sòl'!$A$2:$D$37,4,FALSE)*'T100'!AF70</f>
        <v>0</v>
      </c>
      <c r="AG70" s="1103">
        <f>VLOOKUP(AG$1,'cost per tipologia de sòl'!$A$2:$D$37,4,FALSE)*'T100'!AG70</f>
        <v>0</v>
      </c>
      <c r="AH70" s="1103">
        <f>VLOOKUP(AH$1,'cost per tipologia de sòl'!$A$2:$D$37,4,FALSE)*'T100'!AH70</f>
        <v>0</v>
      </c>
      <c r="AI70" s="1103">
        <f>VLOOKUP(AI$1,'cost per tipologia de sòl'!$A$2:$D$37,4,FALSE)*'T100'!AI70</f>
        <v>0</v>
      </c>
      <c r="AJ70" s="1103">
        <f t="shared" si="2"/>
        <v>1758039.8495</v>
      </c>
      <c r="AK70" s="1117">
        <f t="shared" si="3"/>
        <v>0.52741195485000003</v>
      </c>
    </row>
    <row r="71" spans="1:37">
      <c r="A71" s="1096" t="s">
        <v>725</v>
      </c>
      <c r="B71" s="1103">
        <f>VLOOKUP(B$1,'cost per tipologia de sòl'!$A$2:$D$37,4,FALSE)*'T100'!B71</f>
        <v>0</v>
      </c>
      <c r="C71" s="1103">
        <f>VLOOKUP(C$1,'cost per tipologia de sòl'!$A$2:$D$37,4,FALSE)*'T100'!C71</f>
        <v>0</v>
      </c>
      <c r="D71" s="1103">
        <f>VLOOKUP(D$1,'cost per tipologia de sòl'!$A$2:$D$37,4,FALSE)*'T100'!D71</f>
        <v>0</v>
      </c>
      <c r="E71" s="1103">
        <f>VLOOKUP(E$1,'cost per tipologia de sòl'!$A$2:$D$37,4,FALSE)*'T100'!E71</f>
        <v>0</v>
      </c>
      <c r="F71" s="1103">
        <f>VLOOKUP(F$1,'cost per tipologia de sòl'!$A$2:$D$37,4,FALSE)*'T100'!F71</f>
        <v>0</v>
      </c>
      <c r="G71" s="1103">
        <f>VLOOKUP(G$1,'cost per tipologia de sòl'!$A$2:$D$37,4,FALSE)*'T100'!G71</f>
        <v>0</v>
      </c>
      <c r="H71" s="1103">
        <f>VLOOKUP(H$1,'cost per tipologia de sòl'!$A$2:$D$37,4,FALSE)*'T100'!H71</f>
        <v>0</v>
      </c>
      <c r="I71" s="1103">
        <f>VLOOKUP(I$1,'cost per tipologia de sòl'!$A$2:$D$37,4,FALSE)*'T100'!I71</f>
        <v>0</v>
      </c>
      <c r="J71" s="1103">
        <f>VLOOKUP(J$1,'cost per tipologia de sòl'!$A$2:$D$37,4,FALSE)*'T100'!J71</f>
        <v>122296.35</v>
      </c>
      <c r="K71" s="1103">
        <f>VLOOKUP(K$1,'cost per tipologia de sòl'!$A$2:$D$37,4,FALSE)*'T100'!K71</f>
        <v>0</v>
      </c>
      <c r="L71" s="1103">
        <f>VLOOKUP(L$1,'cost per tipologia de sòl'!$A$2:$D$37,4,FALSE)*'T100'!L71</f>
        <v>0</v>
      </c>
      <c r="M71" s="1103">
        <f>VLOOKUP(M$1,'cost per tipologia de sòl'!$A$2:$D$37,4,FALSE)*'T100'!M71</f>
        <v>0</v>
      </c>
      <c r="N71" s="1103">
        <f>VLOOKUP(N$1,'cost per tipologia de sòl'!$A$2:$D$37,4,FALSE)*'T100'!N71</f>
        <v>0</v>
      </c>
      <c r="O71" s="1103">
        <f>VLOOKUP(O$1,'cost per tipologia de sòl'!$A$2:$D$37,4,FALSE)*'T100'!O71</f>
        <v>0</v>
      </c>
      <c r="P71" s="1103">
        <f>VLOOKUP(P$1,'cost per tipologia de sòl'!$A$2:$D$37,4,FALSE)*'T100'!P71</f>
        <v>0</v>
      </c>
      <c r="Q71" s="1103">
        <f>VLOOKUP(Q$1,'cost per tipologia de sòl'!$A$2:$D$37,4,FALSE)*'T100'!Q71</f>
        <v>0</v>
      </c>
      <c r="R71" s="1103">
        <f>VLOOKUP(R$1,'cost per tipologia de sòl'!$A$2:$D$37,4,FALSE)*'T100'!R71</f>
        <v>0</v>
      </c>
      <c r="S71" s="1103">
        <f>VLOOKUP(S$1,'cost per tipologia de sòl'!$A$2:$D$37,4,FALSE)*'T100'!S71</f>
        <v>0</v>
      </c>
      <c r="T71" s="1103">
        <f>VLOOKUP(T$1,'cost per tipologia de sòl'!$A$2:$D$37,4,FALSE)*'T100'!T71</f>
        <v>62672.226999999992</v>
      </c>
      <c r="U71" s="1103">
        <f>VLOOKUP(U$1,'cost per tipologia de sòl'!$A$2:$D$37,4,FALSE)*'T100'!U71</f>
        <v>0</v>
      </c>
      <c r="V71" s="1103">
        <f>VLOOKUP(V$1,'cost per tipologia de sòl'!$A$2:$D$37,4,FALSE)*'T100'!V71</f>
        <v>0</v>
      </c>
      <c r="W71" s="1103">
        <f>VLOOKUP(W$1,'cost per tipologia de sòl'!$A$2:$D$37,4,FALSE)*'T100'!W71</f>
        <v>0</v>
      </c>
      <c r="X71" s="1103">
        <f>VLOOKUP(X$1,'cost per tipologia de sòl'!$A$2:$D$37,4,FALSE)*'T100'!X71</f>
        <v>0</v>
      </c>
      <c r="Y71" s="1103">
        <f>VLOOKUP(Y$1,'cost per tipologia de sòl'!$A$2:$D$37,4,FALSE)*'T100'!Y71</f>
        <v>0</v>
      </c>
      <c r="Z71" s="1103">
        <f>VLOOKUP(Z$1,'cost per tipologia de sòl'!$A$2:$D$37,4,FALSE)*'T100'!Z71</f>
        <v>0</v>
      </c>
      <c r="AA71" s="1103">
        <f>VLOOKUP(AA$1,'cost per tipologia de sòl'!$A$2:$D$37,4,FALSE)*'T100'!AA71</f>
        <v>0</v>
      </c>
      <c r="AB71" s="1103">
        <f>VLOOKUP(AB$1,'cost per tipologia de sòl'!$A$2:$D$37,4,FALSE)*'T100'!AB71</f>
        <v>0</v>
      </c>
      <c r="AC71" s="1103">
        <f>VLOOKUP(AC$1,'cost per tipologia de sòl'!$A$2:$D$37,4,FALSE)*'T100'!AC71</f>
        <v>0</v>
      </c>
      <c r="AD71" s="1103">
        <f>VLOOKUP(AD$1,'cost per tipologia de sòl'!$A$2:$D$37,4,FALSE)*'T100'!AD71</f>
        <v>0</v>
      </c>
      <c r="AE71" s="1103">
        <f>VLOOKUP(AE$1,'cost per tipologia de sòl'!$A$2:$D$37,4,FALSE)*'T100'!AE71</f>
        <v>0</v>
      </c>
      <c r="AF71" s="1103">
        <f>VLOOKUP(AF$1,'cost per tipologia de sòl'!$A$2:$D$37,4,FALSE)*'T100'!AF71</f>
        <v>0</v>
      </c>
      <c r="AG71" s="1103">
        <f>VLOOKUP(AG$1,'cost per tipologia de sòl'!$A$2:$D$37,4,FALSE)*'T100'!AG71</f>
        <v>0</v>
      </c>
      <c r="AH71" s="1103">
        <f>VLOOKUP(AH$1,'cost per tipologia de sòl'!$A$2:$D$37,4,FALSE)*'T100'!AH71</f>
        <v>0</v>
      </c>
      <c r="AI71" s="1103">
        <f>VLOOKUP(AI$1,'cost per tipologia de sòl'!$A$2:$D$37,4,FALSE)*'T100'!AI71</f>
        <v>0</v>
      </c>
      <c r="AJ71" s="1103">
        <f t="shared" si="2"/>
        <v>184968.57699999999</v>
      </c>
      <c r="AK71" s="1117">
        <f t="shared" si="3"/>
        <v>5.5490573099999996E-2</v>
      </c>
    </row>
    <row r="72" spans="1:37">
      <c r="A72" s="1096" t="s">
        <v>1084</v>
      </c>
      <c r="B72" s="1103">
        <f>VLOOKUP(B$1,'cost per tipologia de sòl'!$A$2:$D$37,4,FALSE)*'T100'!B72</f>
        <v>5742851.9939999999</v>
      </c>
      <c r="C72" s="1103">
        <f>VLOOKUP(C$1,'cost per tipologia de sòl'!$A$2:$D$37,4,FALSE)*'T100'!C72</f>
        <v>0</v>
      </c>
      <c r="D72" s="1103">
        <f>VLOOKUP(D$1,'cost per tipologia de sòl'!$A$2:$D$37,4,FALSE)*'T100'!D72</f>
        <v>0</v>
      </c>
      <c r="E72" s="1103">
        <f>VLOOKUP(E$1,'cost per tipologia de sòl'!$A$2:$D$37,4,FALSE)*'T100'!E72</f>
        <v>0</v>
      </c>
      <c r="F72" s="1103">
        <f>VLOOKUP(F$1,'cost per tipologia de sòl'!$A$2:$D$37,4,FALSE)*'T100'!F72</f>
        <v>0</v>
      </c>
      <c r="G72" s="1103">
        <f>VLOOKUP(G$1,'cost per tipologia de sòl'!$A$2:$D$37,4,FALSE)*'T100'!G72</f>
        <v>0</v>
      </c>
      <c r="H72" s="1103">
        <f>VLOOKUP(H$1,'cost per tipologia de sòl'!$A$2:$D$37,4,FALSE)*'T100'!H72</f>
        <v>0</v>
      </c>
      <c r="I72" s="1103">
        <f>VLOOKUP(I$1,'cost per tipologia de sòl'!$A$2:$D$37,4,FALSE)*'T100'!I72</f>
        <v>0</v>
      </c>
      <c r="J72" s="1103">
        <f>VLOOKUP(J$1,'cost per tipologia de sòl'!$A$2:$D$37,4,FALSE)*'T100'!J72</f>
        <v>503255.91250000003</v>
      </c>
      <c r="K72" s="1103">
        <f>VLOOKUP(K$1,'cost per tipologia de sòl'!$A$2:$D$37,4,FALSE)*'T100'!K72</f>
        <v>0</v>
      </c>
      <c r="L72" s="1103">
        <f>VLOOKUP(L$1,'cost per tipologia de sòl'!$A$2:$D$37,4,FALSE)*'T100'!L72</f>
        <v>0</v>
      </c>
      <c r="M72" s="1103">
        <f>VLOOKUP(M$1,'cost per tipologia de sòl'!$A$2:$D$37,4,FALSE)*'T100'!M72</f>
        <v>0</v>
      </c>
      <c r="N72" s="1103">
        <f>VLOOKUP(N$1,'cost per tipologia de sòl'!$A$2:$D$37,4,FALSE)*'T100'!N72</f>
        <v>0</v>
      </c>
      <c r="O72" s="1103">
        <f>VLOOKUP(O$1,'cost per tipologia de sòl'!$A$2:$D$37,4,FALSE)*'T100'!O72</f>
        <v>0</v>
      </c>
      <c r="P72" s="1103">
        <f>VLOOKUP(P$1,'cost per tipologia de sòl'!$A$2:$D$37,4,FALSE)*'T100'!P72</f>
        <v>13423.048000000001</v>
      </c>
      <c r="Q72" s="1103">
        <f>VLOOKUP(Q$1,'cost per tipologia de sòl'!$A$2:$D$37,4,FALSE)*'T100'!Q72</f>
        <v>0</v>
      </c>
      <c r="R72" s="1103">
        <f>VLOOKUP(R$1,'cost per tipologia de sòl'!$A$2:$D$37,4,FALSE)*'T100'!R72</f>
        <v>0</v>
      </c>
      <c r="S72" s="1103">
        <f>VLOOKUP(S$1,'cost per tipologia de sòl'!$A$2:$D$37,4,FALSE)*'T100'!S72</f>
        <v>200186.78400000001</v>
      </c>
      <c r="T72" s="1103">
        <f>VLOOKUP(T$1,'cost per tipologia de sòl'!$A$2:$D$37,4,FALSE)*'T100'!T72</f>
        <v>4042425.8729999997</v>
      </c>
      <c r="U72" s="1103">
        <f>VLOOKUP(U$1,'cost per tipologia de sòl'!$A$2:$D$37,4,FALSE)*'T100'!U72</f>
        <v>1792699.6500000001</v>
      </c>
      <c r="V72" s="1103">
        <f>VLOOKUP(V$1,'cost per tipologia de sòl'!$A$2:$D$37,4,FALSE)*'T100'!V72</f>
        <v>0</v>
      </c>
      <c r="W72" s="1103">
        <f>VLOOKUP(W$1,'cost per tipologia de sòl'!$A$2:$D$37,4,FALSE)*'T100'!W72</f>
        <v>0</v>
      </c>
      <c r="X72" s="1103">
        <f>VLOOKUP(X$1,'cost per tipologia de sòl'!$A$2:$D$37,4,FALSE)*'T100'!X72</f>
        <v>0</v>
      </c>
      <c r="Y72" s="1103">
        <f>VLOOKUP(Y$1,'cost per tipologia de sòl'!$A$2:$D$37,4,FALSE)*'T100'!Y72</f>
        <v>0</v>
      </c>
      <c r="Z72" s="1103">
        <f>VLOOKUP(Z$1,'cost per tipologia de sòl'!$A$2:$D$37,4,FALSE)*'T100'!Z72</f>
        <v>0</v>
      </c>
      <c r="AA72" s="1103">
        <f>VLOOKUP(AA$1,'cost per tipologia de sòl'!$A$2:$D$37,4,FALSE)*'T100'!AA72</f>
        <v>0</v>
      </c>
      <c r="AB72" s="1103">
        <f>VLOOKUP(AB$1,'cost per tipologia de sòl'!$A$2:$D$37,4,FALSE)*'T100'!AB72</f>
        <v>5251612.3500000006</v>
      </c>
      <c r="AC72" s="1103">
        <f>VLOOKUP(AC$1,'cost per tipologia de sòl'!$A$2:$D$37,4,FALSE)*'T100'!AC72</f>
        <v>2314186.7000000002</v>
      </c>
      <c r="AD72" s="1103">
        <f>VLOOKUP(AD$1,'cost per tipologia de sòl'!$A$2:$D$37,4,FALSE)*'T100'!AD72</f>
        <v>7701624.3499999996</v>
      </c>
      <c r="AE72" s="1103">
        <f>VLOOKUP(AE$1,'cost per tipologia de sòl'!$A$2:$D$37,4,FALSE)*'T100'!AE72</f>
        <v>0</v>
      </c>
      <c r="AF72" s="1103">
        <f>VLOOKUP(AF$1,'cost per tipologia de sòl'!$A$2:$D$37,4,FALSE)*'T100'!AF72</f>
        <v>0</v>
      </c>
      <c r="AG72" s="1103">
        <f>VLOOKUP(AG$1,'cost per tipologia de sòl'!$A$2:$D$37,4,FALSE)*'T100'!AG72</f>
        <v>0</v>
      </c>
      <c r="AH72" s="1103">
        <f>VLOOKUP(AH$1,'cost per tipologia de sòl'!$A$2:$D$37,4,FALSE)*'T100'!AH72</f>
        <v>0</v>
      </c>
      <c r="AI72" s="1103">
        <f>VLOOKUP(AI$1,'cost per tipologia de sòl'!$A$2:$D$37,4,FALSE)*'T100'!AI72</f>
        <v>0</v>
      </c>
      <c r="AJ72" s="1103">
        <f t="shared" si="2"/>
        <v>27562266.661499999</v>
      </c>
      <c r="AK72" s="1117">
        <f t="shared" si="3"/>
        <v>8.2686799984500006</v>
      </c>
    </row>
    <row r="73" spans="1:37">
      <c r="A73" s="1096" t="s">
        <v>1184</v>
      </c>
      <c r="B73" s="1103">
        <f>VLOOKUP(B$1,'cost per tipologia de sòl'!$A$2:$D$37,4,FALSE)*'T100'!B73</f>
        <v>11029546.98</v>
      </c>
      <c r="C73" s="1103">
        <f>VLOOKUP(C$1,'cost per tipologia de sòl'!$A$2:$D$37,4,FALSE)*'T100'!C73</f>
        <v>0</v>
      </c>
      <c r="D73" s="1103">
        <f>VLOOKUP(D$1,'cost per tipologia de sòl'!$A$2:$D$37,4,FALSE)*'T100'!D73</f>
        <v>0</v>
      </c>
      <c r="E73" s="1103">
        <f>VLOOKUP(E$1,'cost per tipologia de sòl'!$A$2:$D$37,4,FALSE)*'T100'!E73</f>
        <v>0</v>
      </c>
      <c r="F73" s="1103">
        <f>VLOOKUP(F$1,'cost per tipologia de sòl'!$A$2:$D$37,4,FALSE)*'T100'!F73</f>
        <v>0</v>
      </c>
      <c r="G73" s="1103">
        <f>VLOOKUP(G$1,'cost per tipologia de sòl'!$A$2:$D$37,4,FALSE)*'T100'!G73</f>
        <v>0</v>
      </c>
      <c r="H73" s="1103">
        <f>VLOOKUP(H$1,'cost per tipologia de sòl'!$A$2:$D$37,4,FALSE)*'T100'!H73</f>
        <v>0</v>
      </c>
      <c r="I73" s="1103">
        <f>VLOOKUP(I$1,'cost per tipologia de sòl'!$A$2:$D$37,4,FALSE)*'T100'!I73</f>
        <v>0</v>
      </c>
      <c r="J73" s="1103">
        <f>VLOOKUP(J$1,'cost per tipologia de sòl'!$A$2:$D$37,4,FALSE)*'T100'!J73</f>
        <v>1719113.561</v>
      </c>
      <c r="K73" s="1103">
        <f>VLOOKUP(K$1,'cost per tipologia de sòl'!$A$2:$D$37,4,FALSE)*'T100'!K73</f>
        <v>48624.218999999997</v>
      </c>
      <c r="L73" s="1103">
        <f>VLOOKUP(L$1,'cost per tipologia de sòl'!$A$2:$D$37,4,FALSE)*'T100'!L73</f>
        <v>0</v>
      </c>
      <c r="M73" s="1103">
        <f>VLOOKUP(M$1,'cost per tipologia de sòl'!$A$2:$D$37,4,FALSE)*'T100'!M73</f>
        <v>0</v>
      </c>
      <c r="N73" s="1103">
        <f>VLOOKUP(N$1,'cost per tipologia de sòl'!$A$2:$D$37,4,FALSE)*'T100'!N73</f>
        <v>0</v>
      </c>
      <c r="O73" s="1103">
        <f>VLOOKUP(O$1,'cost per tipologia de sòl'!$A$2:$D$37,4,FALSE)*'T100'!O73</f>
        <v>0</v>
      </c>
      <c r="P73" s="1103">
        <f>VLOOKUP(P$1,'cost per tipologia de sòl'!$A$2:$D$37,4,FALSE)*'T100'!P73</f>
        <v>0</v>
      </c>
      <c r="Q73" s="1103">
        <f>VLOOKUP(Q$1,'cost per tipologia de sòl'!$A$2:$D$37,4,FALSE)*'T100'!Q73</f>
        <v>0</v>
      </c>
      <c r="R73" s="1103">
        <f>VLOOKUP(R$1,'cost per tipologia de sòl'!$A$2:$D$37,4,FALSE)*'T100'!R73</f>
        <v>0</v>
      </c>
      <c r="S73" s="1103">
        <f>VLOOKUP(S$1,'cost per tipologia de sòl'!$A$2:$D$37,4,FALSE)*'T100'!S73</f>
        <v>438962.83199999999</v>
      </c>
      <c r="T73" s="1103">
        <f>VLOOKUP(T$1,'cost per tipologia de sòl'!$A$2:$D$37,4,FALSE)*'T100'!T73</f>
        <v>1030750.8959999999</v>
      </c>
      <c r="U73" s="1103">
        <f>VLOOKUP(U$1,'cost per tipologia de sòl'!$A$2:$D$37,4,FALSE)*'T100'!U73</f>
        <v>0</v>
      </c>
      <c r="V73" s="1103">
        <f>VLOOKUP(V$1,'cost per tipologia de sòl'!$A$2:$D$37,4,FALSE)*'T100'!V73</f>
        <v>0</v>
      </c>
      <c r="W73" s="1103">
        <f>VLOOKUP(W$1,'cost per tipologia de sòl'!$A$2:$D$37,4,FALSE)*'T100'!W73</f>
        <v>0</v>
      </c>
      <c r="X73" s="1103">
        <f>VLOOKUP(X$1,'cost per tipologia de sòl'!$A$2:$D$37,4,FALSE)*'T100'!X73</f>
        <v>0</v>
      </c>
      <c r="Y73" s="1103">
        <f>VLOOKUP(Y$1,'cost per tipologia de sòl'!$A$2:$D$37,4,FALSE)*'T100'!Y73</f>
        <v>0</v>
      </c>
      <c r="Z73" s="1103">
        <f>VLOOKUP(Z$1,'cost per tipologia de sòl'!$A$2:$D$37,4,FALSE)*'T100'!Z73</f>
        <v>5532.1580000000004</v>
      </c>
      <c r="AA73" s="1103">
        <f>VLOOKUP(AA$1,'cost per tipologia de sòl'!$A$2:$D$37,4,FALSE)*'T100'!AA73</f>
        <v>0</v>
      </c>
      <c r="AB73" s="1103">
        <f>VLOOKUP(AB$1,'cost per tipologia de sòl'!$A$2:$D$37,4,FALSE)*'T100'!AB73</f>
        <v>6585151.0999999996</v>
      </c>
      <c r="AC73" s="1103">
        <f>VLOOKUP(AC$1,'cost per tipologia de sòl'!$A$2:$D$37,4,FALSE)*'T100'!AC73</f>
        <v>5590358.5999999996</v>
      </c>
      <c r="AD73" s="1103">
        <f>VLOOKUP(AD$1,'cost per tipologia de sòl'!$A$2:$D$37,4,FALSE)*'T100'!AD73</f>
        <v>3022710.95</v>
      </c>
      <c r="AE73" s="1103">
        <f>VLOOKUP(AE$1,'cost per tipologia de sòl'!$A$2:$D$37,4,FALSE)*'T100'!AE73</f>
        <v>0</v>
      </c>
      <c r="AF73" s="1103">
        <f>VLOOKUP(AF$1,'cost per tipologia de sòl'!$A$2:$D$37,4,FALSE)*'T100'!AF73</f>
        <v>0</v>
      </c>
      <c r="AG73" s="1103">
        <f>VLOOKUP(AG$1,'cost per tipologia de sòl'!$A$2:$D$37,4,FALSE)*'T100'!AG73</f>
        <v>0</v>
      </c>
      <c r="AH73" s="1103">
        <f>VLOOKUP(AH$1,'cost per tipologia de sòl'!$A$2:$D$37,4,FALSE)*'T100'!AH73</f>
        <v>0</v>
      </c>
      <c r="AI73" s="1103">
        <f>VLOOKUP(AI$1,'cost per tipologia de sòl'!$A$2:$D$37,4,FALSE)*'T100'!AI73</f>
        <v>0</v>
      </c>
      <c r="AJ73" s="1103">
        <f t="shared" si="2"/>
        <v>29470751.296</v>
      </c>
      <c r="AK73" s="1117">
        <f t="shared" si="3"/>
        <v>8.8412253887999999</v>
      </c>
    </row>
    <row r="74" spans="1:37">
      <c r="A74" s="1096" t="s">
        <v>1187</v>
      </c>
      <c r="B74" s="1103">
        <f>VLOOKUP(B$1,'cost per tipologia de sòl'!$A$2:$D$37,4,FALSE)*'T100'!B74</f>
        <v>42084923.903999999</v>
      </c>
      <c r="C74" s="1103">
        <f>VLOOKUP(C$1,'cost per tipologia de sòl'!$A$2:$D$37,4,FALSE)*'T100'!C74</f>
        <v>0</v>
      </c>
      <c r="D74" s="1103">
        <f>VLOOKUP(D$1,'cost per tipologia de sòl'!$A$2:$D$37,4,FALSE)*'T100'!D74</f>
        <v>0</v>
      </c>
      <c r="E74" s="1103">
        <f>VLOOKUP(E$1,'cost per tipologia de sòl'!$A$2:$D$37,4,FALSE)*'T100'!E74</f>
        <v>0</v>
      </c>
      <c r="F74" s="1103">
        <f>VLOOKUP(F$1,'cost per tipologia de sòl'!$A$2:$D$37,4,FALSE)*'T100'!F74</f>
        <v>0</v>
      </c>
      <c r="G74" s="1103">
        <f>VLOOKUP(G$1,'cost per tipologia de sòl'!$A$2:$D$37,4,FALSE)*'T100'!G74</f>
        <v>0</v>
      </c>
      <c r="H74" s="1103">
        <f>VLOOKUP(H$1,'cost per tipologia de sòl'!$A$2:$D$37,4,FALSE)*'T100'!H74</f>
        <v>0</v>
      </c>
      <c r="I74" s="1103">
        <f>VLOOKUP(I$1,'cost per tipologia de sòl'!$A$2:$D$37,4,FALSE)*'T100'!I74</f>
        <v>0</v>
      </c>
      <c r="J74" s="1103">
        <f>VLOOKUP(J$1,'cost per tipologia de sòl'!$A$2:$D$37,4,FALSE)*'T100'!J74</f>
        <v>2235.2714999999998</v>
      </c>
      <c r="K74" s="1103">
        <f>VLOOKUP(K$1,'cost per tipologia de sòl'!$A$2:$D$37,4,FALSE)*'T100'!K74</f>
        <v>0</v>
      </c>
      <c r="L74" s="1103">
        <f>VLOOKUP(L$1,'cost per tipologia de sòl'!$A$2:$D$37,4,FALSE)*'T100'!L74</f>
        <v>0</v>
      </c>
      <c r="M74" s="1103">
        <f>VLOOKUP(M$1,'cost per tipologia de sòl'!$A$2:$D$37,4,FALSE)*'T100'!M74</f>
        <v>647625.75199999998</v>
      </c>
      <c r="N74" s="1103">
        <f>VLOOKUP(N$1,'cost per tipologia de sòl'!$A$2:$D$37,4,FALSE)*'T100'!N74</f>
        <v>0</v>
      </c>
      <c r="O74" s="1103">
        <f>VLOOKUP(O$1,'cost per tipologia de sòl'!$A$2:$D$37,4,FALSE)*'T100'!O74</f>
        <v>0</v>
      </c>
      <c r="P74" s="1103">
        <f>VLOOKUP(P$1,'cost per tipologia de sòl'!$A$2:$D$37,4,FALSE)*'T100'!P74</f>
        <v>0</v>
      </c>
      <c r="Q74" s="1103">
        <f>VLOOKUP(Q$1,'cost per tipologia de sòl'!$A$2:$D$37,4,FALSE)*'T100'!Q74</f>
        <v>0</v>
      </c>
      <c r="R74" s="1103">
        <f>VLOOKUP(R$1,'cost per tipologia de sòl'!$A$2:$D$37,4,FALSE)*'T100'!R74</f>
        <v>0</v>
      </c>
      <c r="S74" s="1103">
        <f>VLOOKUP(S$1,'cost per tipologia de sòl'!$A$2:$D$37,4,FALSE)*'T100'!S74</f>
        <v>56934329.759999998</v>
      </c>
      <c r="T74" s="1103">
        <f>VLOOKUP(T$1,'cost per tipologia de sòl'!$A$2:$D$37,4,FALSE)*'T100'!T74</f>
        <v>18455037.314000003</v>
      </c>
      <c r="U74" s="1103">
        <f>VLOOKUP(U$1,'cost per tipologia de sòl'!$A$2:$D$37,4,FALSE)*'T100'!U74</f>
        <v>0</v>
      </c>
      <c r="V74" s="1103">
        <f>VLOOKUP(V$1,'cost per tipologia de sòl'!$A$2:$D$37,4,FALSE)*'T100'!V74</f>
        <v>0</v>
      </c>
      <c r="W74" s="1103">
        <f>VLOOKUP(W$1,'cost per tipologia de sòl'!$A$2:$D$37,4,FALSE)*'T100'!W74</f>
        <v>0</v>
      </c>
      <c r="X74" s="1103">
        <f>VLOOKUP(X$1,'cost per tipologia de sòl'!$A$2:$D$37,4,FALSE)*'T100'!X74</f>
        <v>0</v>
      </c>
      <c r="Y74" s="1103">
        <f>VLOOKUP(Y$1,'cost per tipologia de sòl'!$A$2:$D$37,4,FALSE)*'T100'!Y74</f>
        <v>0</v>
      </c>
      <c r="Z74" s="1103">
        <f>VLOOKUP(Z$1,'cost per tipologia de sòl'!$A$2:$D$37,4,FALSE)*'T100'!Z74</f>
        <v>0</v>
      </c>
      <c r="AA74" s="1103">
        <f>VLOOKUP(AA$1,'cost per tipologia de sòl'!$A$2:$D$37,4,FALSE)*'T100'!AA74</f>
        <v>92107.25</v>
      </c>
      <c r="AB74" s="1103">
        <f>VLOOKUP(AB$1,'cost per tipologia de sòl'!$A$2:$D$37,4,FALSE)*'T100'!AB74</f>
        <v>50512.45</v>
      </c>
      <c r="AC74" s="1103">
        <f>VLOOKUP(AC$1,'cost per tipologia de sòl'!$A$2:$D$37,4,FALSE)*'T100'!AC74</f>
        <v>0</v>
      </c>
      <c r="AD74" s="1103">
        <f>VLOOKUP(AD$1,'cost per tipologia de sòl'!$A$2:$D$37,4,FALSE)*'T100'!AD74</f>
        <v>9888358.0999999996</v>
      </c>
      <c r="AE74" s="1103">
        <f>VLOOKUP(AE$1,'cost per tipologia de sòl'!$A$2:$D$37,4,FALSE)*'T100'!AE74</f>
        <v>0</v>
      </c>
      <c r="AF74" s="1103">
        <f>VLOOKUP(AF$1,'cost per tipologia de sòl'!$A$2:$D$37,4,FALSE)*'T100'!AF74</f>
        <v>0</v>
      </c>
      <c r="AG74" s="1103">
        <f>VLOOKUP(AG$1,'cost per tipologia de sòl'!$A$2:$D$37,4,FALSE)*'T100'!AG74</f>
        <v>0</v>
      </c>
      <c r="AH74" s="1103">
        <f>VLOOKUP(AH$1,'cost per tipologia de sòl'!$A$2:$D$37,4,FALSE)*'T100'!AH74</f>
        <v>0</v>
      </c>
      <c r="AI74" s="1103">
        <f>VLOOKUP(AI$1,'cost per tipologia de sòl'!$A$2:$D$37,4,FALSE)*'T100'!AI74</f>
        <v>0</v>
      </c>
      <c r="AJ74" s="1103">
        <f t="shared" si="2"/>
        <v>128155129.80150001</v>
      </c>
      <c r="AK74" s="1117">
        <f t="shared" si="3"/>
        <v>38.446538940449997</v>
      </c>
    </row>
    <row r="75" spans="1:37">
      <c r="A75" s="1096" t="s">
        <v>1135</v>
      </c>
      <c r="B75" s="1103">
        <f>VLOOKUP(B$1,'cost per tipologia de sòl'!$A$2:$D$37,4,FALSE)*'T100'!B75</f>
        <v>0</v>
      </c>
      <c r="C75" s="1103">
        <f>VLOOKUP(C$1,'cost per tipologia de sòl'!$A$2:$D$37,4,FALSE)*'T100'!C75</f>
        <v>0</v>
      </c>
      <c r="D75" s="1103">
        <f>VLOOKUP(D$1,'cost per tipologia de sòl'!$A$2:$D$37,4,FALSE)*'T100'!D75</f>
        <v>0</v>
      </c>
      <c r="E75" s="1103">
        <f>VLOOKUP(E$1,'cost per tipologia de sòl'!$A$2:$D$37,4,FALSE)*'T100'!E75</f>
        <v>0</v>
      </c>
      <c r="F75" s="1103">
        <f>VLOOKUP(F$1,'cost per tipologia de sòl'!$A$2:$D$37,4,FALSE)*'T100'!F75</f>
        <v>0</v>
      </c>
      <c r="G75" s="1103">
        <f>VLOOKUP(G$1,'cost per tipologia de sòl'!$A$2:$D$37,4,FALSE)*'T100'!G75</f>
        <v>0</v>
      </c>
      <c r="H75" s="1103">
        <f>VLOOKUP(H$1,'cost per tipologia de sòl'!$A$2:$D$37,4,FALSE)*'T100'!H75</f>
        <v>0</v>
      </c>
      <c r="I75" s="1103">
        <f>VLOOKUP(I$1,'cost per tipologia de sòl'!$A$2:$D$37,4,FALSE)*'T100'!I75</f>
        <v>0</v>
      </c>
      <c r="J75" s="1103">
        <f>VLOOKUP(J$1,'cost per tipologia de sòl'!$A$2:$D$37,4,FALSE)*'T100'!J75</f>
        <v>0</v>
      </c>
      <c r="K75" s="1103">
        <f>VLOOKUP(K$1,'cost per tipologia de sòl'!$A$2:$D$37,4,FALSE)*'T100'!K75</f>
        <v>0</v>
      </c>
      <c r="L75" s="1103">
        <f>VLOOKUP(L$1,'cost per tipologia de sòl'!$A$2:$D$37,4,FALSE)*'T100'!L75</f>
        <v>0</v>
      </c>
      <c r="M75" s="1103">
        <f>VLOOKUP(M$1,'cost per tipologia de sòl'!$A$2:$D$37,4,FALSE)*'T100'!M75</f>
        <v>0</v>
      </c>
      <c r="N75" s="1103">
        <f>VLOOKUP(N$1,'cost per tipologia de sòl'!$A$2:$D$37,4,FALSE)*'T100'!N75</f>
        <v>0</v>
      </c>
      <c r="O75" s="1103">
        <f>VLOOKUP(O$1,'cost per tipologia de sòl'!$A$2:$D$37,4,FALSE)*'T100'!O75</f>
        <v>0</v>
      </c>
      <c r="P75" s="1103">
        <f>VLOOKUP(P$1,'cost per tipologia de sòl'!$A$2:$D$37,4,FALSE)*'T100'!P75</f>
        <v>0</v>
      </c>
      <c r="Q75" s="1103">
        <f>VLOOKUP(Q$1,'cost per tipologia de sòl'!$A$2:$D$37,4,FALSE)*'T100'!Q75</f>
        <v>0</v>
      </c>
      <c r="R75" s="1103">
        <f>VLOOKUP(R$1,'cost per tipologia de sòl'!$A$2:$D$37,4,FALSE)*'T100'!R75</f>
        <v>0</v>
      </c>
      <c r="S75" s="1103">
        <f>VLOOKUP(S$1,'cost per tipologia de sòl'!$A$2:$D$37,4,FALSE)*'T100'!S75</f>
        <v>0</v>
      </c>
      <c r="T75" s="1103">
        <f>VLOOKUP(T$1,'cost per tipologia de sòl'!$A$2:$D$37,4,FALSE)*'T100'!T75</f>
        <v>0</v>
      </c>
      <c r="U75" s="1103">
        <f>VLOOKUP(U$1,'cost per tipologia de sòl'!$A$2:$D$37,4,FALSE)*'T100'!U75</f>
        <v>690849.6</v>
      </c>
      <c r="V75" s="1103">
        <f>VLOOKUP(V$1,'cost per tipologia de sòl'!$A$2:$D$37,4,FALSE)*'T100'!V75</f>
        <v>0</v>
      </c>
      <c r="W75" s="1103">
        <f>VLOOKUP(W$1,'cost per tipologia de sòl'!$A$2:$D$37,4,FALSE)*'T100'!W75</f>
        <v>0</v>
      </c>
      <c r="X75" s="1103">
        <f>VLOOKUP(X$1,'cost per tipologia de sòl'!$A$2:$D$37,4,FALSE)*'T100'!X75</f>
        <v>0</v>
      </c>
      <c r="Y75" s="1103">
        <f>VLOOKUP(Y$1,'cost per tipologia de sòl'!$A$2:$D$37,4,FALSE)*'T100'!Y75</f>
        <v>0</v>
      </c>
      <c r="Z75" s="1103">
        <f>VLOOKUP(Z$1,'cost per tipologia de sòl'!$A$2:$D$37,4,FALSE)*'T100'!Z75</f>
        <v>0</v>
      </c>
      <c r="AA75" s="1103">
        <f>VLOOKUP(AA$1,'cost per tipologia de sòl'!$A$2:$D$37,4,FALSE)*'T100'!AA75</f>
        <v>0</v>
      </c>
      <c r="AB75" s="1103">
        <f>VLOOKUP(AB$1,'cost per tipologia de sòl'!$A$2:$D$37,4,FALSE)*'T100'!AB75</f>
        <v>0</v>
      </c>
      <c r="AC75" s="1103">
        <f>VLOOKUP(AC$1,'cost per tipologia de sòl'!$A$2:$D$37,4,FALSE)*'T100'!AC75</f>
        <v>0</v>
      </c>
      <c r="AD75" s="1103">
        <f>VLOOKUP(AD$1,'cost per tipologia de sòl'!$A$2:$D$37,4,FALSE)*'T100'!AD75</f>
        <v>2862021.3000000003</v>
      </c>
      <c r="AE75" s="1103">
        <f>VLOOKUP(AE$1,'cost per tipologia de sòl'!$A$2:$D$37,4,FALSE)*'T100'!AE75</f>
        <v>0</v>
      </c>
      <c r="AF75" s="1103">
        <f>VLOOKUP(AF$1,'cost per tipologia de sòl'!$A$2:$D$37,4,FALSE)*'T100'!AF75</f>
        <v>0</v>
      </c>
      <c r="AG75" s="1103">
        <f>VLOOKUP(AG$1,'cost per tipologia de sòl'!$A$2:$D$37,4,FALSE)*'T100'!AG75</f>
        <v>0</v>
      </c>
      <c r="AH75" s="1103">
        <f>VLOOKUP(AH$1,'cost per tipologia de sòl'!$A$2:$D$37,4,FALSE)*'T100'!AH75</f>
        <v>0</v>
      </c>
      <c r="AI75" s="1103">
        <f>VLOOKUP(AI$1,'cost per tipologia de sòl'!$A$2:$D$37,4,FALSE)*'T100'!AI75</f>
        <v>0</v>
      </c>
      <c r="AJ75" s="1103">
        <f t="shared" si="2"/>
        <v>3552870.9000000004</v>
      </c>
      <c r="AK75" s="1117">
        <f t="shared" si="3"/>
        <v>1.0658612700000001</v>
      </c>
    </row>
    <row r="76" spans="1:37">
      <c r="A76" s="1096" t="s">
        <v>1155</v>
      </c>
      <c r="B76" s="1103">
        <f>VLOOKUP(B$1,'cost per tipologia de sòl'!$A$2:$D$37,4,FALSE)*'T100'!B76</f>
        <v>69322231.601999998</v>
      </c>
      <c r="C76" s="1103">
        <f>VLOOKUP(C$1,'cost per tipologia de sòl'!$A$2:$D$37,4,FALSE)*'T100'!C76</f>
        <v>57016669.324000001</v>
      </c>
      <c r="D76" s="1103">
        <f>VLOOKUP(D$1,'cost per tipologia de sòl'!$A$2:$D$37,4,FALSE)*'T100'!D76</f>
        <v>0</v>
      </c>
      <c r="E76" s="1103">
        <f>VLOOKUP(E$1,'cost per tipologia de sòl'!$A$2:$D$37,4,FALSE)*'T100'!E76</f>
        <v>0</v>
      </c>
      <c r="F76" s="1103">
        <f>VLOOKUP(F$1,'cost per tipologia de sòl'!$A$2:$D$37,4,FALSE)*'T100'!F76</f>
        <v>0</v>
      </c>
      <c r="G76" s="1103">
        <f>VLOOKUP(G$1,'cost per tipologia de sòl'!$A$2:$D$37,4,FALSE)*'T100'!G76</f>
        <v>0</v>
      </c>
      <c r="H76" s="1103">
        <f>VLOOKUP(H$1,'cost per tipologia de sòl'!$A$2:$D$37,4,FALSE)*'T100'!H76</f>
        <v>0</v>
      </c>
      <c r="I76" s="1103">
        <f>VLOOKUP(I$1,'cost per tipologia de sòl'!$A$2:$D$37,4,FALSE)*'T100'!I76</f>
        <v>0</v>
      </c>
      <c r="J76" s="1103">
        <f>VLOOKUP(J$1,'cost per tipologia de sòl'!$A$2:$D$37,4,FALSE)*'T100'!J76</f>
        <v>25455.826000000001</v>
      </c>
      <c r="K76" s="1103">
        <f>VLOOKUP(K$1,'cost per tipologia de sòl'!$A$2:$D$37,4,FALSE)*'T100'!K76</f>
        <v>0</v>
      </c>
      <c r="L76" s="1103">
        <f>VLOOKUP(L$1,'cost per tipologia de sòl'!$A$2:$D$37,4,FALSE)*'T100'!L76</f>
        <v>2040.498</v>
      </c>
      <c r="M76" s="1103">
        <f>VLOOKUP(M$1,'cost per tipologia de sòl'!$A$2:$D$37,4,FALSE)*'T100'!M76</f>
        <v>0</v>
      </c>
      <c r="N76" s="1103">
        <f>VLOOKUP(N$1,'cost per tipologia de sòl'!$A$2:$D$37,4,FALSE)*'T100'!N76</f>
        <v>8911273.8959999997</v>
      </c>
      <c r="O76" s="1103">
        <f>VLOOKUP(O$1,'cost per tipologia de sòl'!$A$2:$D$37,4,FALSE)*'T100'!O76</f>
        <v>0</v>
      </c>
      <c r="P76" s="1103">
        <f>VLOOKUP(P$1,'cost per tipologia de sòl'!$A$2:$D$37,4,FALSE)*'T100'!P76</f>
        <v>4661.0559999999996</v>
      </c>
      <c r="Q76" s="1103">
        <f>VLOOKUP(Q$1,'cost per tipologia de sòl'!$A$2:$D$37,4,FALSE)*'T100'!Q76</f>
        <v>0</v>
      </c>
      <c r="R76" s="1103">
        <f>VLOOKUP(R$1,'cost per tipologia de sòl'!$A$2:$D$37,4,FALSE)*'T100'!R76</f>
        <v>0</v>
      </c>
      <c r="S76" s="1103">
        <f>VLOOKUP(S$1,'cost per tipologia de sòl'!$A$2:$D$37,4,FALSE)*'T100'!S76</f>
        <v>36322819.344000004</v>
      </c>
      <c r="T76" s="1103">
        <f>VLOOKUP(T$1,'cost per tipologia de sòl'!$A$2:$D$37,4,FALSE)*'T100'!T76</f>
        <v>17332309.344999999</v>
      </c>
      <c r="U76" s="1103">
        <f>VLOOKUP(U$1,'cost per tipologia de sòl'!$A$2:$D$37,4,FALSE)*'T100'!U76</f>
        <v>0</v>
      </c>
      <c r="V76" s="1103">
        <f>VLOOKUP(V$1,'cost per tipologia de sòl'!$A$2:$D$37,4,FALSE)*'T100'!V76</f>
        <v>0</v>
      </c>
      <c r="W76" s="1103">
        <f>VLOOKUP(W$1,'cost per tipologia de sòl'!$A$2:$D$37,4,FALSE)*'T100'!W76</f>
        <v>0</v>
      </c>
      <c r="X76" s="1103">
        <f>VLOOKUP(X$1,'cost per tipologia de sòl'!$A$2:$D$37,4,FALSE)*'T100'!X76</f>
        <v>0</v>
      </c>
      <c r="Y76" s="1103">
        <f>VLOOKUP(Y$1,'cost per tipologia de sòl'!$A$2:$D$37,4,FALSE)*'T100'!Y76</f>
        <v>0</v>
      </c>
      <c r="Z76" s="1103">
        <f>VLOOKUP(Z$1,'cost per tipologia de sòl'!$A$2:$D$37,4,FALSE)*'T100'!Z76</f>
        <v>0</v>
      </c>
      <c r="AA76" s="1103">
        <f>VLOOKUP(AA$1,'cost per tipologia de sòl'!$A$2:$D$37,4,FALSE)*'T100'!AA76</f>
        <v>0</v>
      </c>
      <c r="AB76" s="1103">
        <f>VLOOKUP(AB$1,'cost per tipologia de sòl'!$A$2:$D$37,4,FALSE)*'T100'!AB76</f>
        <v>5975626.3499999996</v>
      </c>
      <c r="AC76" s="1103">
        <f>VLOOKUP(AC$1,'cost per tipologia de sòl'!$A$2:$D$37,4,FALSE)*'T100'!AC76</f>
        <v>19871553.75</v>
      </c>
      <c r="AD76" s="1103">
        <f>VLOOKUP(AD$1,'cost per tipologia de sòl'!$A$2:$D$37,4,FALSE)*'T100'!AD76</f>
        <v>10982944.300000001</v>
      </c>
      <c r="AE76" s="1103">
        <f>VLOOKUP(AE$1,'cost per tipologia de sòl'!$A$2:$D$37,4,FALSE)*'T100'!AE76</f>
        <v>0</v>
      </c>
      <c r="AF76" s="1103">
        <f>VLOOKUP(AF$1,'cost per tipologia de sòl'!$A$2:$D$37,4,FALSE)*'T100'!AF76</f>
        <v>0</v>
      </c>
      <c r="AG76" s="1103">
        <f>VLOOKUP(AG$1,'cost per tipologia de sòl'!$A$2:$D$37,4,FALSE)*'T100'!AG76</f>
        <v>0</v>
      </c>
      <c r="AH76" s="1103">
        <f>VLOOKUP(AH$1,'cost per tipologia de sòl'!$A$2:$D$37,4,FALSE)*'T100'!AH76</f>
        <v>0</v>
      </c>
      <c r="AI76" s="1103">
        <f>VLOOKUP(AI$1,'cost per tipologia de sòl'!$A$2:$D$37,4,FALSE)*'T100'!AI76</f>
        <v>0</v>
      </c>
      <c r="AJ76" s="1103">
        <f t="shared" si="2"/>
        <v>225767585.29100001</v>
      </c>
      <c r="AK76" s="1117">
        <f t="shared" si="3"/>
        <v>67.7302755873</v>
      </c>
    </row>
    <row r="77" spans="1:37">
      <c r="A77" s="1096" t="s">
        <v>1158</v>
      </c>
      <c r="B77" s="1103">
        <f>VLOOKUP(B$1,'cost per tipologia de sòl'!$A$2:$D$37,4,FALSE)*'T100'!B77</f>
        <v>72787347.539999992</v>
      </c>
      <c r="C77" s="1103">
        <f>VLOOKUP(C$1,'cost per tipologia de sòl'!$A$2:$D$37,4,FALSE)*'T100'!C77</f>
        <v>0</v>
      </c>
      <c r="D77" s="1103">
        <f>VLOOKUP(D$1,'cost per tipologia de sòl'!$A$2:$D$37,4,FALSE)*'T100'!D77</f>
        <v>0</v>
      </c>
      <c r="E77" s="1103">
        <f>VLOOKUP(E$1,'cost per tipologia de sòl'!$A$2:$D$37,4,FALSE)*'T100'!E77</f>
        <v>0</v>
      </c>
      <c r="F77" s="1103">
        <f>VLOOKUP(F$1,'cost per tipologia de sòl'!$A$2:$D$37,4,FALSE)*'T100'!F77</f>
        <v>0</v>
      </c>
      <c r="G77" s="1103">
        <f>VLOOKUP(G$1,'cost per tipologia de sòl'!$A$2:$D$37,4,FALSE)*'T100'!G77</f>
        <v>0</v>
      </c>
      <c r="H77" s="1103">
        <f>VLOOKUP(H$1,'cost per tipologia de sòl'!$A$2:$D$37,4,FALSE)*'T100'!H77</f>
        <v>0</v>
      </c>
      <c r="I77" s="1103">
        <f>VLOOKUP(I$1,'cost per tipologia de sòl'!$A$2:$D$37,4,FALSE)*'T100'!I77</f>
        <v>0</v>
      </c>
      <c r="J77" s="1103">
        <f>VLOOKUP(J$1,'cost per tipologia de sòl'!$A$2:$D$37,4,FALSE)*'T100'!J77</f>
        <v>870058.59600000002</v>
      </c>
      <c r="K77" s="1103">
        <f>VLOOKUP(K$1,'cost per tipologia de sòl'!$A$2:$D$37,4,FALSE)*'T100'!K77</f>
        <v>0</v>
      </c>
      <c r="L77" s="1103">
        <f>VLOOKUP(L$1,'cost per tipologia de sòl'!$A$2:$D$37,4,FALSE)*'T100'!L77</f>
        <v>0</v>
      </c>
      <c r="M77" s="1103">
        <f>VLOOKUP(M$1,'cost per tipologia de sòl'!$A$2:$D$37,4,FALSE)*'T100'!M77</f>
        <v>0</v>
      </c>
      <c r="N77" s="1103">
        <f>VLOOKUP(N$1,'cost per tipologia de sòl'!$A$2:$D$37,4,FALSE)*'T100'!N77</f>
        <v>0</v>
      </c>
      <c r="O77" s="1103">
        <f>VLOOKUP(O$1,'cost per tipologia de sòl'!$A$2:$D$37,4,FALSE)*'T100'!O77</f>
        <v>0</v>
      </c>
      <c r="P77" s="1103">
        <f>VLOOKUP(P$1,'cost per tipologia de sòl'!$A$2:$D$37,4,FALSE)*'T100'!P77</f>
        <v>0</v>
      </c>
      <c r="Q77" s="1103">
        <f>VLOOKUP(Q$1,'cost per tipologia de sòl'!$A$2:$D$37,4,FALSE)*'T100'!Q77</f>
        <v>0</v>
      </c>
      <c r="R77" s="1103">
        <f>VLOOKUP(R$1,'cost per tipologia de sòl'!$A$2:$D$37,4,FALSE)*'T100'!R77</f>
        <v>0</v>
      </c>
      <c r="S77" s="1103">
        <f>VLOOKUP(S$1,'cost per tipologia de sòl'!$A$2:$D$37,4,FALSE)*'T100'!S77</f>
        <v>5215864.7520000003</v>
      </c>
      <c r="T77" s="1103">
        <f>VLOOKUP(T$1,'cost per tipologia de sòl'!$A$2:$D$37,4,FALSE)*'T100'!T77</f>
        <v>16281627.595000001</v>
      </c>
      <c r="U77" s="1103">
        <f>VLOOKUP(U$1,'cost per tipologia de sòl'!$A$2:$D$37,4,FALSE)*'T100'!U77</f>
        <v>0</v>
      </c>
      <c r="V77" s="1103">
        <f>VLOOKUP(V$1,'cost per tipologia de sòl'!$A$2:$D$37,4,FALSE)*'T100'!V77</f>
        <v>0</v>
      </c>
      <c r="W77" s="1103">
        <f>VLOOKUP(W$1,'cost per tipologia de sòl'!$A$2:$D$37,4,FALSE)*'T100'!W77</f>
        <v>0</v>
      </c>
      <c r="X77" s="1103">
        <f>VLOOKUP(X$1,'cost per tipologia de sòl'!$A$2:$D$37,4,FALSE)*'T100'!X77</f>
        <v>0</v>
      </c>
      <c r="Y77" s="1103">
        <f>VLOOKUP(Y$1,'cost per tipologia de sòl'!$A$2:$D$37,4,FALSE)*'T100'!Y77</f>
        <v>0</v>
      </c>
      <c r="Z77" s="1103">
        <f>VLOOKUP(Z$1,'cost per tipologia de sòl'!$A$2:$D$37,4,FALSE)*'T100'!Z77</f>
        <v>0</v>
      </c>
      <c r="AA77" s="1103">
        <f>VLOOKUP(AA$1,'cost per tipologia de sòl'!$A$2:$D$37,4,FALSE)*'T100'!AA77</f>
        <v>0</v>
      </c>
      <c r="AB77" s="1103">
        <f>VLOOKUP(AB$1,'cost per tipologia de sòl'!$A$2:$D$37,4,FALSE)*'T100'!AB77</f>
        <v>36149501.649999999</v>
      </c>
      <c r="AC77" s="1103">
        <f>VLOOKUP(AC$1,'cost per tipologia de sòl'!$A$2:$D$37,4,FALSE)*'T100'!AC77</f>
        <v>6170176.8500000006</v>
      </c>
      <c r="AD77" s="1103">
        <f>VLOOKUP(AD$1,'cost per tipologia de sòl'!$A$2:$D$37,4,FALSE)*'T100'!AD77</f>
        <v>50357226.649999999</v>
      </c>
      <c r="AE77" s="1103">
        <f>VLOOKUP(AE$1,'cost per tipologia de sòl'!$A$2:$D$37,4,FALSE)*'T100'!AE77</f>
        <v>0</v>
      </c>
      <c r="AF77" s="1103">
        <f>VLOOKUP(AF$1,'cost per tipologia de sòl'!$A$2:$D$37,4,FALSE)*'T100'!AF77</f>
        <v>0</v>
      </c>
      <c r="AG77" s="1103">
        <f>VLOOKUP(AG$1,'cost per tipologia de sòl'!$A$2:$D$37,4,FALSE)*'T100'!AG77</f>
        <v>0</v>
      </c>
      <c r="AH77" s="1103">
        <f>VLOOKUP(AH$1,'cost per tipologia de sòl'!$A$2:$D$37,4,FALSE)*'T100'!AH77</f>
        <v>0</v>
      </c>
      <c r="AI77" s="1103">
        <f>VLOOKUP(AI$1,'cost per tipologia de sòl'!$A$2:$D$37,4,FALSE)*'T100'!AI77</f>
        <v>0</v>
      </c>
      <c r="AJ77" s="1103">
        <f t="shared" si="2"/>
        <v>187831803.63299999</v>
      </c>
      <c r="AK77" s="1117">
        <f t="shared" si="3"/>
        <v>56.349541089900001</v>
      </c>
    </row>
    <row r="78" spans="1:37">
      <c r="A78" s="1096" t="s">
        <v>1149</v>
      </c>
      <c r="B78" s="1103">
        <f>VLOOKUP(B$1,'cost per tipologia de sòl'!$A$2:$D$37,4,FALSE)*'T100'!B78</f>
        <v>134825014.49400002</v>
      </c>
      <c r="C78" s="1103">
        <f>VLOOKUP(C$1,'cost per tipologia de sòl'!$A$2:$D$37,4,FALSE)*'T100'!C78</f>
        <v>0</v>
      </c>
      <c r="D78" s="1103">
        <f>VLOOKUP(D$1,'cost per tipologia de sòl'!$A$2:$D$37,4,FALSE)*'T100'!D78</f>
        <v>5416075.7759999996</v>
      </c>
      <c r="E78" s="1103">
        <f>VLOOKUP(E$1,'cost per tipologia de sòl'!$A$2:$D$37,4,FALSE)*'T100'!E78</f>
        <v>0</v>
      </c>
      <c r="F78" s="1103">
        <f>VLOOKUP(F$1,'cost per tipologia de sòl'!$A$2:$D$37,4,FALSE)*'T100'!F78</f>
        <v>0</v>
      </c>
      <c r="G78" s="1103">
        <f>VLOOKUP(G$1,'cost per tipologia de sòl'!$A$2:$D$37,4,FALSE)*'T100'!G78</f>
        <v>0</v>
      </c>
      <c r="H78" s="1103">
        <f>VLOOKUP(H$1,'cost per tipologia de sòl'!$A$2:$D$37,4,FALSE)*'T100'!H78</f>
        <v>0</v>
      </c>
      <c r="I78" s="1103">
        <f>VLOOKUP(I$1,'cost per tipologia de sòl'!$A$2:$D$37,4,FALSE)*'T100'!I78</f>
        <v>0</v>
      </c>
      <c r="J78" s="1103">
        <f>VLOOKUP(J$1,'cost per tipologia de sòl'!$A$2:$D$37,4,FALSE)*'T100'!J78</f>
        <v>2852.6850000000004</v>
      </c>
      <c r="K78" s="1103">
        <f>VLOOKUP(K$1,'cost per tipologia de sòl'!$A$2:$D$37,4,FALSE)*'T100'!K78</f>
        <v>6560670.1230000006</v>
      </c>
      <c r="L78" s="1103">
        <f>VLOOKUP(L$1,'cost per tipologia de sòl'!$A$2:$D$37,4,FALSE)*'T100'!L78</f>
        <v>10264432.608000001</v>
      </c>
      <c r="M78" s="1103">
        <f>VLOOKUP(M$1,'cost per tipologia de sòl'!$A$2:$D$37,4,FALSE)*'T100'!M78</f>
        <v>12164798.184</v>
      </c>
      <c r="N78" s="1103">
        <f>VLOOKUP(N$1,'cost per tipologia de sòl'!$A$2:$D$37,4,FALSE)*'T100'!N78</f>
        <v>878730.19200000004</v>
      </c>
      <c r="O78" s="1103">
        <f>VLOOKUP(O$1,'cost per tipologia de sòl'!$A$2:$D$37,4,FALSE)*'T100'!O78</f>
        <v>0</v>
      </c>
      <c r="P78" s="1103">
        <f>VLOOKUP(P$1,'cost per tipologia de sòl'!$A$2:$D$37,4,FALSE)*'T100'!P78</f>
        <v>5266761.1919999998</v>
      </c>
      <c r="Q78" s="1103">
        <f>VLOOKUP(Q$1,'cost per tipologia de sòl'!$A$2:$D$37,4,FALSE)*'T100'!Q78</f>
        <v>0</v>
      </c>
      <c r="R78" s="1103">
        <f>VLOOKUP(R$1,'cost per tipologia de sòl'!$A$2:$D$37,4,FALSE)*'T100'!R78</f>
        <v>0</v>
      </c>
      <c r="S78" s="1103">
        <f>VLOOKUP(S$1,'cost per tipologia de sòl'!$A$2:$D$37,4,FALSE)*'T100'!S78</f>
        <v>22104419.903999999</v>
      </c>
      <c r="T78" s="1103">
        <f>VLOOKUP(T$1,'cost per tipologia de sòl'!$A$2:$D$37,4,FALSE)*'T100'!T78</f>
        <v>18453711.219000001</v>
      </c>
      <c r="U78" s="1103">
        <f>VLOOKUP(U$1,'cost per tipologia de sòl'!$A$2:$D$37,4,FALSE)*'T100'!U78</f>
        <v>32702167.050000001</v>
      </c>
      <c r="V78" s="1103">
        <f>VLOOKUP(V$1,'cost per tipologia de sòl'!$A$2:$D$37,4,FALSE)*'T100'!V78</f>
        <v>0</v>
      </c>
      <c r="W78" s="1103">
        <f>VLOOKUP(W$1,'cost per tipologia de sòl'!$A$2:$D$37,4,FALSE)*'T100'!W78</f>
        <v>0</v>
      </c>
      <c r="X78" s="1103">
        <f>VLOOKUP(X$1,'cost per tipologia de sòl'!$A$2:$D$37,4,FALSE)*'T100'!X78</f>
        <v>0</v>
      </c>
      <c r="Y78" s="1103">
        <f>VLOOKUP(Y$1,'cost per tipologia de sòl'!$A$2:$D$37,4,FALSE)*'T100'!Y78</f>
        <v>0</v>
      </c>
      <c r="Z78" s="1103">
        <f>VLOOKUP(Z$1,'cost per tipologia de sòl'!$A$2:$D$37,4,FALSE)*'T100'!Z78</f>
        <v>32315685.146000002</v>
      </c>
      <c r="AA78" s="1103">
        <f>VLOOKUP(AA$1,'cost per tipologia de sòl'!$A$2:$D$37,4,FALSE)*'T100'!AA78</f>
        <v>0</v>
      </c>
      <c r="AB78" s="1103">
        <f>VLOOKUP(AB$1,'cost per tipologia de sòl'!$A$2:$D$37,4,FALSE)*'T100'!AB78</f>
        <v>11225580</v>
      </c>
      <c r="AC78" s="1103">
        <f>VLOOKUP(AC$1,'cost per tipologia de sòl'!$A$2:$D$37,4,FALSE)*'T100'!AC78</f>
        <v>56070261.600000001</v>
      </c>
      <c r="AD78" s="1103">
        <f>VLOOKUP(AD$1,'cost per tipologia de sòl'!$A$2:$D$37,4,FALSE)*'T100'!AD78</f>
        <v>56503358.050000004</v>
      </c>
      <c r="AE78" s="1103">
        <f>VLOOKUP(AE$1,'cost per tipologia de sòl'!$A$2:$D$37,4,FALSE)*'T100'!AE78</f>
        <v>0</v>
      </c>
      <c r="AF78" s="1103">
        <f>VLOOKUP(AF$1,'cost per tipologia de sòl'!$A$2:$D$37,4,FALSE)*'T100'!AF78</f>
        <v>0</v>
      </c>
      <c r="AG78" s="1103">
        <f>VLOOKUP(AG$1,'cost per tipologia de sòl'!$A$2:$D$37,4,FALSE)*'T100'!AG78</f>
        <v>0</v>
      </c>
      <c r="AH78" s="1103">
        <f>VLOOKUP(AH$1,'cost per tipologia de sòl'!$A$2:$D$37,4,FALSE)*'T100'!AH78</f>
        <v>0</v>
      </c>
      <c r="AI78" s="1103">
        <f>VLOOKUP(AI$1,'cost per tipologia de sòl'!$A$2:$D$37,4,FALSE)*'T100'!AI78</f>
        <v>0</v>
      </c>
      <c r="AJ78" s="1103">
        <f t="shared" si="2"/>
        <v>404754518.22300005</v>
      </c>
      <c r="AK78" s="1117">
        <f t="shared" si="3"/>
        <v>121.42635546690002</v>
      </c>
    </row>
    <row r="79" spans="1:37">
      <c r="A79" s="1096" t="s">
        <v>343</v>
      </c>
      <c r="B79" s="1103">
        <f>VLOOKUP(B$1,'cost per tipologia de sòl'!$A$2:$D$37,4,FALSE)*'T100'!B79</f>
        <v>211375761.336</v>
      </c>
      <c r="C79" s="1103">
        <f>VLOOKUP(C$1,'cost per tipologia de sòl'!$A$2:$D$37,4,FALSE)*'T100'!C79</f>
        <v>0</v>
      </c>
      <c r="D79" s="1103">
        <f>VLOOKUP(D$1,'cost per tipologia de sòl'!$A$2:$D$37,4,FALSE)*'T100'!D79</f>
        <v>0</v>
      </c>
      <c r="E79" s="1103">
        <f>VLOOKUP(E$1,'cost per tipologia de sòl'!$A$2:$D$37,4,FALSE)*'T100'!E79</f>
        <v>0</v>
      </c>
      <c r="F79" s="1103">
        <f>VLOOKUP(F$1,'cost per tipologia de sòl'!$A$2:$D$37,4,FALSE)*'T100'!F79</f>
        <v>0</v>
      </c>
      <c r="G79" s="1103">
        <f>VLOOKUP(G$1,'cost per tipologia de sòl'!$A$2:$D$37,4,FALSE)*'T100'!G79</f>
        <v>0</v>
      </c>
      <c r="H79" s="1103">
        <f>VLOOKUP(H$1,'cost per tipologia de sòl'!$A$2:$D$37,4,FALSE)*'T100'!H79</f>
        <v>0</v>
      </c>
      <c r="I79" s="1103">
        <f>VLOOKUP(I$1,'cost per tipologia de sòl'!$A$2:$D$37,4,FALSE)*'T100'!I79</f>
        <v>0</v>
      </c>
      <c r="J79" s="1103">
        <f>VLOOKUP(J$1,'cost per tipologia de sòl'!$A$2:$D$37,4,FALSE)*'T100'!J79</f>
        <v>12128382.249500001</v>
      </c>
      <c r="K79" s="1103">
        <f>VLOOKUP(K$1,'cost per tipologia de sòl'!$A$2:$D$37,4,FALSE)*'T100'!K79</f>
        <v>0</v>
      </c>
      <c r="L79" s="1103">
        <f>VLOOKUP(L$1,'cost per tipologia de sòl'!$A$2:$D$37,4,FALSE)*'T100'!L79</f>
        <v>1667161.2510000002</v>
      </c>
      <c r="M79" s="1103">
        <f>VLOOKUP(M$1,'cost per tipologia de sòl'!$A$2:$D$37,4,FALSE)*'T100'!M79</f>
        <v>16004974.471999999</v>
      </c>
      <c r="N79" s="1103">
        <f>VLOOKUP(N$1,'cost per tipologia de sòl'!$A$2:$D$37,4,FALSE)*'T100'!N79</f>
        <v>8996988.8719999995</v>
      </c>
      <c r="O79" s="1103">
        <f>VLOOKUP(O$1,'cost per tipologia de sòl'!$A$2:$D$37,4,FALSE)*'T100'!O79</f>
        <v>34906713.776000001</v>
      </c>
      <c r="P79" s="1103">
        <f>VLOOKUP(P$1,'cost per tipologia de sòl'!$A$2:$D$37,4,FALSE)*'T100'!P79</f>
        <v>7749846.0479999995</v>
      </c>
      <c r="Q79" s="1103">
        <f>VLOOKUP(Q$1,'cost per tipologia de sòl'!$A$2:$D$37,4,FALSE)*'T100'!Q79</f>
        <v>0</v>
      </c>
      <c r="R79" s="1103">
        <f>VLOOKUP(R$1,'cost per tipologia de sòl'!$A$2:$D$37,4,FALSE)*'T100'!R79</f>
        <v>0</v>
      </c>
      <c r="S79" s="1103">
        <f>VLOOKUP(S$1,'cost per tipologia de sòl'!$A$2:$D$37,4,FALSE)*'T100'!S79</f>
        <v>91750138.703999996</v>
      </c>
      <c r="T79" s="1103">
        <f>VLOOKUP(T$1,'cost per tipologia de sòl'!$A$2:$D$37,4,FALSE)*'T100'!T79</f>
        <v>16733855.309</v>
      </c>
      <c r="U79" s="1103">
        <f>VLOOKUP(U$1,'cost per tipologia de sòl'!$A$2:$D$37,4,FALSE)*'T100'!U79</f>
        <v>57310726.200000003</v>
      </c>
      <c r="V79" s="1103">
        <f>VLOOKUP(V$1,'cost per tipologia de sòl'!$A$2:$D$37,4,FALSE)*'T100'!V79</f>
        <v>0</v>
      </c>
      <c r="W79" s="1103">
        <f>VLOOKUP(W$1,'cost per tipologia de sòl'!$A$2:$D$37,4,FALSE)*'T100'!W79</f>
        <v>0</v>
      </c>
      <c r="X79" s="1103">
        <f>VLOOKUP(X$1,'cost per tipologia de sòl'!$A$2:$D$37,4,FALSE)*'T100'!X79</f>
        <v>0</v>
      </c>
      <c r="Y79" s="1103">
        <f>VLOOKUP(Y$1,'cost per tipologia de sòl'!$A$2:$D$37,4,FALSE)*'T100'!Y79</f>
        <v>0</v>
      </c>
      <c r="Z79" s="1103">
        <f>VLOOKUP(Z$1,'cost per tipologia de sòl'!$A$2:$D$37,4,FALSE)*'T100'!Z79</f>
        <v>218910.36200000002</v>
      </c>
      <c r="AA79" s="1103">
        <f>VLOOKUP(AA$1,'cost per tipologia de sòl'!$A$2:$D$37,4,FALSE)*'T100'!AA79</f>
        <v>0</v>
      </c>
      <c r="AB79" s="1103">
        <f>VLOOKUP(AB$1,'cost per tipologia de sòl'!$A$2:$D$37,4,FALSE)*'T100'!AB79</f>
        <v>31430734.800000001</v>
      </c>
      <c r="AC79" s="1103">
        <f>VLOOKUP(AC$1,'cost per tipologia de sòl'!$A$2:$D$37,4,FALSE)*'T100'!AC79</f>
        <v>54097440.299999997</v>
      </c>
      <c r="AD79" s="1103">
        <f>VLOOKUP(AD$1,'cost per tipologia de sòl'!$A$2:$D$37,4,FALSE)*'T100'!AD79</f>
        <v>98292205.049999997</v>
      </c>
      <c r="AE79" s="1103">
        <f>VLOOKUP(AE$1,'cost per tipologia de sòl'!$A$2:$D$37,4,FALSE)*'T100'!AE79</f>
        <v>0</v>
      </c>
      <c r="AF79" s="1103">
        <f>VLOOKUP(AF$1,'cost per tipologia de sòl'!$A$2:$D$37,4,FALSE)*'T100'!AF79</f>
        <v>0</v>
      </c>
      <c r="AG79" s="1103">
        <f>VLOOKUP(AG$1,'cost per tipologia de sòl'!$A$2:$D$37,4,FALSE)*'T100'!AG79</f>
        <v>0</v>
      </c>
      <c r="AH79" s="1103">
        <f>VLOOKUP(AH$1,'cost per tipologia de sòl'!$A$2:$D$37,4,FALSE)*'T100'!AH79</f>
        <v>0</v>
      </c>
      <c r="AI79" s="1103">
        <f>VLOOKUP(AI$1,'cost per tipologia de sòl'!$A$2:$D$37,4,FALSE)*'T100'!AI79</f>
        <v>0</v>
      </c>
      <c r="AJ79" s="1103">
        <f t="shared" si="2"/>
        <v>642663838.72949994</v>
      </c>
      <c r="AK79" s="1117">
        <f t="shared" si="3"/>
        <v>192.79915161884998</v>
      </c>
    </row>
    <row r="80" spans="1:37">
      <c r="A80" s="1096" t="s">
        <v>1171</v>
      </c>
      <c r="B80" s="1103">
        <f>VLOOKUP(B$1,'cost per tipologia de sòl'!$A$2:$D$37,4,FALSE)*'T100'!B80</f>
        <v>0</v>
      </c>
      <c r="C80" s="1103">
        <f>VLOOKUP(C$1,'cost per tipologia de sòl'!$A$2:$D$37,4,FALSE)*'T100'!C80</f>
        <v>0</v>
      </c>
      <c r="D80" s="1103">
        <f>VLOOKUP(D$1,'cost per tipologia de sòl'!$A$2:$D$37,4,FALSE)*'T100'!D80</f>
        <v>0</v>
      </c>
      <c r="E80" s="1103">
        <f>VLOOKUP(E$1,'cost per tipologia de sòl'!$A$2:$D$37,4,FALSE)*'T100'!E80</f>
        <v>0</v>
      </c>
      <c r="F80" s="1103">
        <f>VLOOKUP(F$1,'cost per tipologia de sòl'!$A$2:$D$37,4,FALSE)*'T100'!F80</f>
        <v>0</v>
      </c>
      <c r="G80" s="1103">
        <f>VLOOKUP(G$1,'cost per tipologia de sòl'!$A$2:$D$37,4,FALSE)*'T100'!G80</f>
        <v>0</v>
      </c>
      <c r="H80" s="1103">
        <f>VLOOKUP(H$1,'cost per tipologia de sòl'!$A$2:$D$37,4,FALSE)*'T100'!H80</f>
        <v>0</v>
      </c>
      <c r="I80" s="1103">
        <f>VLOOKUP(I$1,'cost per tipologia de sòl'!$A$2:$D$37,4,FALSE)*'T100'!I80</f>
        <v>0</v>
      </c>
      <c r="J80" s="1103">
        <f>VLOOKUP(J$1,'cost per tipologia de sòl'!$A$2:$D$37,4,FALSE)*'T100'!J80</f>
        <v>469160.10350000003</v>
      </c>
      <c r="K80" s="1103">
        <f>VLOOKUP(K$1,'cost per tipologia de sòl'!$A$2:$D$37,4,FALSE)*'T100'!K80</f>
        <v>0</v>
      </c>
      <c r="L80" s="1103">
        <f>VLOOKUP(L$1,'cost per tipologia de sòl'!$A$2:$D$37,4,FALSE)*'T100'!L80</f>
        <v>0</v>
      </c>
      <c r="M80" s="1103">
        <f>VLOOKUP(M$1,'cost per tipologia de sòl'!$A$2:$D$37,4,FALSE)*'T100'!M80</f>
        <v>0</v>
      </c>
      <c r="N80" s="1103">
        <f>VLOOKUP(N$1,'cost per tipologia de sòl'!$A$2:$D$37,4,FALSE)*'T100'!N80</f>
        <v>0</v>
      </c>
      <c r="O80" s="1103">
        <f>VLOOKUP(O$1,'cost per tipologia de sòl'!$A$2:$D$37,4,FALSE)*'T100'!O80</f>
        <v>0</v>
      </c>
      <c r="P80" s="1103">
        <f>VLOOKUP(P$1,'cost per tipologia de sòl'!$A$2:$D$37,4,FALSE)*'T100'!P80</f>
        <v>0</v>
      </c>
      <c r="Q80" s="1103">
        <f>VLOOKUP(Q$1,'cost per tipologia de sòl'!$A$2:$D$37,4,FALSE)*'T100'!Q80</f>
        <v>0</v>
      </c>
      <c r="R80" s="1103">
        <f>VLOOKUP(R$1,'cost per tipologia de sòl'!$A$2:$D$37,4,FALSE)*'T100'!R80</f>
        <v>0</v>
      </c>
      <c r="S80" s="1103">
        <f>VLOOKUP(S$1,'cost per tipologia de sòl'!$A$2:$D$37,4,FALSE)*'T100'!S80</f>
        <v>0</v>
      </c>
      <c r="T80" s="1103">
        <f>VLOOKUP(T$1,'cost per tipologia de sòl'!$A$2:$D$37,4,FALSE)*'T100'!T80</f>
        <v>0</v>
      </c>
      <c r="U80" s="1103">
        <f>VLOOKUP(U$1,'cost per tipologia de sòl'!$A$2:$D$37,4,FALSE)*'T100'!U80</f>
        <v>0</v>
      </c>
      <c r="V80" s="1103">
        <f>VLOOKUP(V$1,'cost per tipologia de sòl'!$A$2:$D$37,4,FALSE)*'T100'!V80</f>
        <v>0</v>
      </c>
      <c r="W80" s="1103">
        <f>VLOOKUP(W$1,'cost per tipologia de sòl'!$A$2:$D$37,4,FALSE)*'T100'!W80</f>
        <v>0</v>
      </c>
      <c r="X80" s="1103">
        <f>VLOOKUP(X$1,'cost per tipologia de sòl'!$A$2:$D$37,4,FALSE)*'T100'!X80</f>
        <v>0</v>
      </c>
      <c r="Y80" s="1103">
        <f>VLOOKUP(Y$1,'cost per tipologia de sòl'!$A$2:$D$37,4,FALSE)*'T100'!Y80</f>
        <v>0</v>
      </c>
      <c r="Z80" s="1103">
        <f>VLOOKUP(Z$1,'cost per tipologia de sòl'!$A$2:$D$37,4,FALSE)*'T100'!Z80</f>
        <v>0</v>
      </c>
      <c r="AA80" s="1103">
        <f>VLOOKUP(AA$1,'cost per tipologia de sòl'!$A$2:$D$37,4,FALSE)*'T100'!AA80</f>
        <v>0</v>
      </c>
      <c r="AB80" s="1103">
        <f>VLOOKUP(AB$1,'cost per tipologia de sòl'!$A$2:$D$37,4,FALSE)*'T100'!AB80</f>
        <v>501828</v>
      </c>
      <c r="AC80" s="1103">
        <f>VLOOKUP(AC$1,'cost per tipologia de sòl'!$A$2:$D$37,4,FALSE)*'T100'!AC80</f>
        <v>0</v>
      </c>
      <c r="AD80" s="1103">
        <f>VLOOKUP(AD$1,'cost per tipologia de sòl'!$A$2:$D$37,4,FALSE)*'T100'!AD80</f>
        <v>0</v>
      </c>
      <c r="AE80" s="1103">
        <f>VLOOKUP(AE$1,'cost per tipologia de sòl'!$A$2:$D$37,4,FALSE)*'T100'!AE80</f>
        <v>0</v>
      </c>
      <c r="AF80" s="1103">
        <f>VLOOKUP(AF$1,'cost per tipologia de sòl'!$A$2:$D$37,4,FALSE)*'T100'!AF80</f>
        <v>0</v>
      </c>
      <c r="AG80" s="1103">
        <f>VLOOKUP(AG$1,'cost per tipologia de sòl'!$A$2:$D$37,4,FALSE)*'T100'!AG80</f>
        <v>0</v>
      </c>
      <c r="AH80" s="1103">
        <f>VLOOKUP(AH$1,'cost per tipologia de sòl'!$A$2:$D$37,4,FALSE)*'T100'!AH80</f>
        <v>0</v>
      </c>
      <c r="AI80" s="1103">
        <f>VLOOKUP(AI$1,'cost per tipologia de sòl'!$A$2:$D$37,4,FALSE)*'T100'!AI80</f>
        <v>0</v>
      </c>
      <c r="AJ80" s="1103">
        <f t="shared" si="2"/>
        <v>970988.10349999997</v>
      </c>
      <c r="AK80" s="1117">
        <f t="shared" si="3"/>
        <v>0.29129643105000003</v>
      </c>
    </row>
    <row r="81" spans="1:37">
      <c r="A81" s="1096" t="s">
        <v>721</v>
      </c>
      <c r="B81" s="1103">
        <f>VLOOKUP(B$1,'cost per tipologia de sòl'!$A$2:$D$37,4,FALSE)*'T100'!B81</f>
        <v>41446781.856000006</v>
      </c>
      <c r="C81" s="1103">
        <f>VLOOKUP(C$1,'cost per tipologia de sòl'!$A$2:$D$37,4,FALSE)*'T100'!C81</f>
        <v>0</v>
      </c>
      <c r="D81" s="1103">
        <f>VLOOKUP(D$1,'cost per tipologia de sòl'!$A$2:$D$37,4,FALSE)*'T100'!D81</f>
        <v>0</v>
      </c>
      <c r="E81" s="1103">
        <f>VLOOKUP(E$1,'cost per tipologia de sòl'!$A$2:$D$37,4,FALSE)*'T100'!E81</f>
        <v>0</v>
      </c>
      <c r="F81" s="1103">
        <f>VLOOKUP(F$1,'cost per tipologia de sòl'!$A$2:$D$37,4,FALSE)*'T100'!F81</f>
        <v>0</v>
      </c>
      <c r="G81" s="1103">
        <f>VLOOKUP(G$1,'cost per tipologia de sòl'!$A$2:$D$37,4,FALSE)*'T100'!G81</f>
        <v>0</v>
      </c>
      <c r="H81" s="1103">
        <f>VLOOKUP(H$1,'cost per tipologia de sòl'!$A$2:$D$37,4,FALSE)*'T100'!H81</f>
        <v>0</v>
      </c>
      <c r="I81" s="1103">
        <f>VLOOKUP(I$1,'cost per tipologia de sòl'!$A$2:$D$37,4,FALSE)*'T100'!I81</f>
        <v>0</v>
      </c>
      <c r="J81" s="1103">
        <f>VLOOKUP(J$1,'cost per tipologia de sòl'!$A$2:$D$37,4,FALSE)*'T100'!J81</f>
        <v>829628.42599999998</v>
      </c>
      <c r="K81" s="1103">
        <f>VLOOKUP(K$1,'cost per tipologia de sòl'!$A$2:$D$37,4,FALSE)*'T100'!K81</f>
        <v>5950235.2769999998</v>
      </c>
      <c r="L81" s="1103">
        <f>VLOOKUP(L$1,'cost per tipologia de sòl'!$A$2:$D$37,4,FALSE)*'T100'!L81</f>
        <v>308320.86599999998</v>
      </c>
      <c r="M81" s="1103">
        <f>VLOOKUP(M$1,'cost per tipologia de sòl'!$A$2:$D$37,4,FALSE)*'T100'!M81</f>
        <v>32116221.128000002</v>
      </c>
      <c r="N81" s="1103">
        <f>VLOOKUP(N$1,'cost per tipologia de sòl'!$A$2:$D$37,4,FALSE)*'T100'!N81</f>
        <v>7732635.0880000005</v>
      </c>
      <c r="O81" s="1103">
        <f>VLOOKUP(O$1,'cost per tipologia de sòl'!$A$2:$D$37,4,FALSE)*'T100'!O81</f>
        <v>37659222.247999996</v>
      </c>
      <c r="P81" s="1103">
        <f>VLOOKUP(P$1,'cost per tipologia de sòl'!$A$2:$D$37,4,FALSE)*'T100'!P81</f>
        <v>0</v>
      </c>
      <c r="Q81" s="1103">
        <f>VLOOKUP(Q$1,'cost per tipologia de sòl'!$A$2:$D$37,4,FALSE)*'T100'!Q81</f>
        <v>0</v>
      </c>
      <c r="R81" s="1103">
        <f>VLOOKUP(R$1,'cost per tipologia de sòl'!$A$2:$D$37,4,FALSE)*'T100'!R81</f>
        <v>0</v>
      </c>
      <c r="S81" s="1103">
        <f>VLOOKUP(S$1,'cost per tipologia de sòl'!$A$2:$D$37,4,FALSE)*'T100'!S81</f>
        <v>113566392.57599999</v>
      </c>
      <c r="T81" s="1103">
        <f>VLOOKUP(T$1,'cost per tipologia de sòl'!$A$2:$D$37,4,FALSE)*'T100'!T81</f>
        <v>43892577.469000004</v>
      </c>
      <c r="U81" s="1103">
        <f>VLOOKUP(U$1,'cost per tipologia de sòl'!$A$2:$D$37,4,FALSE)*'T100'!U81</f>
        <v>940907.1</v>
      </c>
      <c r="V81" s="1103">
        <f>VLOOKUP(V$1,'cost per tipologia de sòl'!$A$2:$D$37,4,FALSE)*'T100'!V81</f>
        <v>0</v>
      </c>
      <c r="W81" s="1103">
        <f>VLOOKUP(W$1,'cost per tipologia de sòl'!$A$2:$D$37,4,FALSE)*'T100'!W81</f>
        <v>0</v>
      </c>
      <c r="X81" s="1103">
        <f>VLOOKUP(X$1,'cost per tipologia de sòl'!$A$2:$D$37,4,FALSE)*'T100'!X81</f>
        <v>0</v>
      </c>
      <c r="Y81" s="1103">
        <f>VLOOKUP(Y$1,'cost per tipologia de sòl'!$A$2:$D$37,4,FALSE)*'T100'!Y81</f>
        <v>0</v>
      </c>
      <c r="Z81" s="1103">
        <f>VLOOKUP(Z$1,'cost per tipologia de sòl'!$A$2:$D$37,4,FALSE)*'T100'!Z81</f>
        <v>11437634.272</v>
      </c>
      <c r="AA81" s="1103">
        <f>VLOOKUP(AA$1,'cost per tipologia de sòl'!$A$2:$D$37,4,FALSE)*'T100'!AA81</f>
        <v>3112607.5500000003</v>
      </c>
      <c r="AB81" s="1103">
        <f>VLOOKUP(AB$1,'cost per tipologia de sòl'!$A$2:$D$37,4,FALSE)*'T100'!AB81</f>
        <v>19624124.350000001</v>
      </c>
      <c r="AC81" s="1103">
        <f>VLOOKUP(AC$1,'cost per tipologia de sòl'!$A$2:$D$37,4,FALSE)*'T100'!AC81</f>
        <v>59495239.600000001</v>
      </c>
      <c r="AD81" s="1103">
        <f>VLOOKUP(AD$1,'cost per tipologia de sòl'!$A$2:$D$37,4,FALSE)*'T100'!AD81</f>
        <v>29230885.350000001</v>
      </c>
      <c r="AE81" s="1103">
        <f>VLOOKUP(AE$1,'cost per tipologia de sòl'!$A$2:$D$37,4,FALSE)*'T100'!AE81</f>
        <v>0</v>
      </c>
      <c r="AF81" s="1103">
        <f>VLOOKUP(AF$1,'cost per tipologia de sòl'!$A$2:$D$37,4,FALSE)*'T100'!AF81</f>
        <v>0</v>
      </c>
      <c r="AG81" s="1103">
        <f>VLOOKUP(AG$1,'cost per tipologia de sòl'!$A$2:$D$37,4,FALSE)*'T100'!AG81</f>
        <v>0</v>
      </c>
      <c r="AH81" s="1103">
        <f>VLOOKUP(AH$1,'cost per tipologia de sòl'!$A$2:$D$37,4,FALSE)*'T100'!AH81</f>
        <v>0</v>
      </c>
      <c r="AI81" s="1103">
        <f>VLOOKUP(AI$1,'cost per tipologia de sòl'!$A$2:$D$37,4,FALSE)*'T100'!AI81</f>
        <v>0</v>
      </c>
      <c r="AJ81" s="1103">
        <f t="shared" si="2"/>
        <v>407343413.15600008</v>
      </c>
      <c r="AK81" s="1117">
        <f t="shared" si="3"/>
        <v>122.20302394680002</v>
      </c>
    </row>
    <row r="82" spans="1:37">
      <c r="A82" s="1096" t="s">
        <v>699</v>
      </c>
      <c r="B82" s="1103">
        <f>VLOOKUP(B$1,'cost per tipologia de sòl'!$A$2:$D$37,4,FALSE)*'T100'!B82</f>
        <v>21891160.386</v>
      </c>
      <c r="C82" s="1103">
        <f>VLOOKUP(C$1,'cost per tipologia de sòl'!$A$2:$D$37,4,FALSE)*'T100'!C82</f>
        <v>0</v>
      </c>
      <c r="D82" s="1103">
        <f>VLOOKUP(D$1,'cost per tipologia de sòl'!$A$2:$D$37,4,FALSE)*'T100'!D82</f>
        <v>0</v>
      </c>
      <c r="E82" s="1103">
        <f>VLOOKUP(E$1,'cost per tipologia de sòl'!$A$2:$D$37,4,FALSE)*'T100'!E82</f>
        <v>388062.60599999997</v>
      </c>
      <c r="F82" s="1103">
        <f>VLOOKUP(F$1,'cost per tipologia de sòl'!$A$2:$D$37,4,FALSE)*'T100'!F82</f>
        <v>0</v>
      </c>
      <c r="G82" s="1103">
        <f>VLOOKUP(G$1,'cost per tipologia de sòl'!$A$2:$D$37,4,FALSE)*'T100'!G82</f>
        <v>0</v>
      </c>
      <c r="H82" s="1103">
        <f>VLOOKUP(H$1,'cost per tipologia de sòl'!$A$2:$D$37,4,FALSE)*'T100'!H82</f>
        <v>0</v>
      </c>
      <c r="I82" s="1103">
        <f>VLOOKUP(I$1,'cost per tipologia de sòl'!$A$2:$D$37,4,FALSE)*'T100'!I82</f>
        <v>0</v>
      </c>
      <c r="J82" s="1103">
        <f>VLOOKUP(J$1,'cost per tipologia de sòl'!$A$2:$D$37,4,FALSE)*'T100'!J82</f>
        <v>38826.298499999997</v>
      </c>
      <c r="K82" s="1103">
        <f>VLOOKUP(K$1,'cost per tipologia de sòl'!$A$2:$D$37,4,FALSE)*'T100'!K82</f>
        <v>21138.894</v>
      </c>
      <c r="L82" s="1103">
        <f>VLOOKUP(L$1,'cost per tipologia de sòl'!$A$2:$D$37,4,FALSE)*'T100'!L82</f>
        <v>0</v>
      </c>
      <c r="M82" s="1103">
        <f>VLOOKUP(M$1,'cost per tipologia de sòl'!$A$2:$D$37,4,FALSE)*'T100'!M82</f>
        <v>92687.799999999988</v>
      </c>
      <c r="N82" s="1103">
        <f>VLOOKUP(N$1,'cost per tipologia de sòl'!$A$2:$D$37,4,FALSE)*'T100'!N82</f>
        <v>3092627.2719999999</v>
      </c>
      <c r="O82" s="1103">
        <f>VLOOKUP(O$1,'cost per tipologia de sòl'!$A$2:$D$37,4,FALSE)*'T100'!O82</f>
        <v>597650.18400000001</v>
      </c>
      <c r="P82" s="1103">
        <f>VLOOKUP(P$1,'cost per tipologia de sòl'!$A$2:$D$37,4,FALSE)*'T100'!P82</f>
        <v>0</v>
      </c>
      <c r="Q82" s="1103">
        <f>VLOOKUP(Q$1,'cost per tipologia de sòl'!$A$2:$D$37,4,FALSE)*'T100'!Q82</f>
        <v>0</v>
      </c>
      <c r="R82" s="1103">
        <f>VLOOKUP(R$1,'cost per tipologia de sòl'!$A$2:$D$37,4,FALSE)*'T100'!R82</f>
        <v>0</v>
      </c>
      <c r="S82" s="1103">
        <f>VLOOKUP(S$1,'cost per tipologia de sòl'!$A$2:$D$37,4,FALSE)*'T100'!S82</f>
        <v>62578423.151999995</v>
      </c>
      <c r="T82" s="1103">
        <f>VLOOKUP(T$1,'cost per tipologia de sòl'!$A$2:$D$37,4,FALSE)*'T100'!T82</f>
        <v>39646122.359999999</v>
      </c>
      <c r="U82" s="1103">
        <f>VLOOKUP(U$1,'cost per tipologia de sòl'!$A$2:$D$37,4,FALSE)*'T100'!U82</f>
        <v>10941674.1</v>
      </c>
      <c r="V82" s="1103">
        <f>VLOOKUP(V$1,'cost per tipologia de sòl'!$A$2:$D$37,4,FALSE)*'T100'!V82</f>
        <v>0</v>
      </c>
      <c r="W82" s="1103">
        <f>VLOOKUP(W$1,'cost per tipologia de sòl'!$A$2:$D$37,4,FALSE)*'T100'!W82</f>
        <v>0</v>
      </c>
      <c r="X82" s="1103">
        <f>VLOOKUP(X$1,'cost per tipologia de sòl'!$A$2:$D$37,4,FALSE)*'T100'!X82</f>
        <v>0</v>
      </c>
      <c r="Y82" s="1103">
        <f>VLOOKUP(Y$1,'cost per tipologia de sòl'!$A$2:$D$37,4,FALSE)*'T100'!Y82</f>
        <v>0</v>
      </c>
      <c r="Z82" s="1103">
        <f>VLOOKUP(Z$1,'cost per tipologia de sòl'!$A$2:$D$37,4,FALSE)*'T100'!Z82</f>
        <v>8991613.0360000003</v>
      </c>
      <c r="AA82" s="1103">
        <f>VLOOKUP(AA$1,'cost per tipologia de sòl'!$A$2:$D$37,4,FALSE)*'T100'!AA82</f>
        <v>0</v>
      </c>
      <c r="AB82" s="1103">
        <f>VLOOKUP(AB$1,'cost per tipologia de sòl'!$A$2:$D$37,4,FALSE)*'T100'!AB82</f>
        <v>5061922.05</v>
      </c>
      <c r="AC82" s="1103">
        <f>VLOOKUP(AC$1,'cost per tipologia de sòl'!$A$2:$D$37,4,FALSE)*'T100'!AC82</f>
        <v>16661553.149999999</v>
      </c>
      <c r="AD82" s="1103">
        <f>VLOOKUP(AD$1,'cost per tipologia de sòl'!$A$2:$D$37,4,FALSE)*'T100'!AD82</f>
        <v>67544634.25</v>
      </c>
      <c r="AE82" s="1103">
        <f>VLOOKUP(AE$1,'cost per tipologia de sòl'!$A$2:$D$37,4,FALSE)*'T100'!AE82</f>
        <v>0</v>
      </c>
      <c r="AF82" s="1103">
        <f>VLOOKUP(AF$1,'cost per tipologia de sòl'!$A$2:$D$37,4,FALSE)*'T100'!AF82</f>
        <v>0</v>
      </c>
      <c r="AG82" s="1103">
        <f>VLOOKUP(AG$1,'cost per tipologia de sòl'!$A$2:$D$37,4,FALSE)*'T100'!AG82</f>
        <v>0</v>
      </c>
      <c r="AH82" s="1103">
        <f>VLOOKUP(AH$1,'cost per tipologia de sòl'!$A$2:$D$37,4,FALSE)*'T100'!AH82</f>
        <v>0</v>
      </c>
      <c r="AI82" s="1103">
        <f>VLOOKUP(AI$1,'cost per tipologia de sòl'!$A$2:$D$37,4,FALSE)*'T100'!AI82</f>
        <v>0</v>
      </c>
      <c r="AJ82" s="1103">
        <f t="shared" si="2"/>
        <v>237548095.53850004</v>
      </c>
      <c r="AK82" s="1117">
        <f t="shared" si="3"/>
        <v>71.264428661550014</v>
      </c>
    </row>
    <row r="83" spans="1:37">
      <c r="A83" s="1096" t="s">
        <v>677</v>
      </c>
      <c r="B83" s="1103">
        <f>VLOOKUP(B$1,'cost per tipologia de sòl'!$A$2:$D$37,4,FALSE)*'T100'!B83</f>
        <v>125675161.38</v>
      </c>
      <c r="C83" s="1103">
        <f>VLOOKUP(C$1,'cost per tipologia de sòl'!$A$2:$D$37,4,FALSE)*'T100'!C83</f>
        <v>0</v>
      </c>
      <c r="D83" s="1103">
        <f>VLOOKUP(D$1,'cost per tipologia de sòl'!$A$2:$D$37,4,FALSE)*'T100'!D83</f>
        <v>1492952.9280000001</v>
      </c>
      <c r="E83" s="1103">
        <f>VLOOKUP(E$1,'cost per tipologia de sòl'!$A$2:$D$37,4,FALSE)*'T100'!E83</f>
        <v>12950721.257999999</v>
      </c>
      <c r="F83" s="1103">
        <f>VLOOKUP(F$1,'cost per tipologia de sòl'!$A$2:$D$37,4,FALSE)*'T100'!F83</f>
        <v>0</v>
      </c>
      <c r="G83" s="1103">
        <f>VLOOKUP(G$1,'cost per tipologia de sòl'!$A$2:$D$37,4,FALSE)*'T100'!G83</f>
        <v>0</v>
      </c>
      <c r="H83" s="1103">
        <f>VLOOKUP(H$1,'cost per tipologia de sòl'!$A$2:$D$37,4,FALSE)*'T100'!H83</f>
        <v>0</v>
      </c>
      <c r="I83" s="1103">
        <f>VLOOKUP(I$1,'cost per tipologia de sòl'!$A$2:$D$37,4,FALSE)*'T100'!I83</f>
        <v>0</v>
      </c>
      <c r="J83" s="1103">
        <f>VLOOKUP(J$1,'cost per tipologia de sòl'!$A$2:$D$37,4,FALSE)*'T100'!J83</f>
        <v>1310757.5635000002</v>
      </c>
      <c r="K83" s="1103">
        <f>VLOOKUP(K$1,'cost per tipologia de sòl'!$A$2:$D$37,4,FALSE)*'T100'!K83</f>
        <v>0</v>
      </c>
      <c r="L83" s="1103">
        <f>VLOOKUP(L$1,'cost per tipologia de sòl'!$A$2:$D$37,4,FALSE)*'T100'!L83</f>
        <v>0</v>
      </c>
      <c r="M83" s="1103">
        <f>VLOOKUP(M$1,'cost per tipologia de sòl'!$A$2:$D$37,4,FALSE)*'T100'!M83</f>
        <v>1451798.3439999998</v>
      </c>
      <c r="N83" s="1103">
        <f>VLOOKUP(N$1,'cost per tipologia de sòl'!$A$2:$D$37,4,FALSE)*'T100'!N83</f>
        <v>679153.272</v>
      </c>
      <c r="O83" s="1103">
        <f>VLOOKUP(O$1,'cost per tipologia de sòl'!$A$2:$D$37,4,FALSE)*'T100'!O83</f>
        <v>0</v>
      </c>
      <c r="P83" s="1103">
        <f>VLOOKUP(P$1,'cost per tipologia de sòl'!$A$2:$D$37,4,FALSE)*'T100'!P83</f>
        <v>379279.49599999998</v>
      </c>
      <c r="Q83" s="1103">
        <f>VLOOKUP(Q$1,'cost per tipologia de sòl'!$A$2:$D$37,4,FALSE)*'T100'!Q83</f>
        <v>0</v>
      </c>
      <c r="R83" s="1103">
        <f>VLOOKUP(R$1,'cost per tipologia de sòl'!$A$2:$D$37,4,FALSE)*'T100'!R83</f>
        <v>0</v>
      </c>
      <c r="S83" s="1103">
        <f>VLOOKUP(S$1,'cost per tipologia de sòl'!$A$2:$D$37,4,FALSE)*'T100'!S83</f>
        <v>22003711.631999999</v>
      </c>
      <c r="T83" s="1103">
        <f>VLOOKUP(T$1,'cost per tipologia de sòl'!$A$2:$D$37,4,FALSE)*'T100'!T83</f>
        <v>27771361.536999997</v>
      </c>
      <c r="U83" s="1103">
        <f>VLOOKUP(U$1,'cost per tipologia de sòl'!$A$2:$D$37,4,FALSE)*'T100'!U83</f>
        <v>51059432.549999997</v>
      </c>
      <c r="V83" s="1103">
        <f>VLOOKUP(V$1,'cost per tipologia de sòl'!$A$2:$D$37,4,FALSE)*'T100'!V83</f>
        <v>0</v>
      </c>
      <c r="W83" s="1103">
        <f>VLOOKUP(W$1,'cost per tipologia de sòl'!$A$2:$D$37,4,FALSE)*'T100'!W83</f>
        <v>0</v>
      </c>
      <c r="X83" s="1103">
        <f>VLOOKUP(X$1,'cost per tipologia de sòl'!$A$2:$D$37,4,FALSE)*'T100'!X83</f>
        <v>0</v>
      </c>
      <c r="Y83" s="1103">
        <f>VLOOKUP(Y$1,'cost per tipologia de sòl'!$A$2:$D$37,4,FALSE)*'T100'!Y83</f>
        <v>0</v>
      </c>
      <c r="Z83" s="1103">
        <f>VLOOKUP(Z$1,'cost per tipologia de sòl'!$A$2:$D$37,4,FALSE)*'T100'!Z83</f>
        <v>1997461.3579999998</v>
      </c>
      <c r="AA83" s="1103">
        <f>VLOOKUP(AA$1,'cost per tipologia de sòl'!$A$2:$D$37,4,FALSE)*'T100'!AA83</f>
        <v>0</v>
      </c>
      <c r="AB83" s="1103">
        <f>VLOOKUP(AB$1,'cost per tipologia de sòl'!$A$2:$D$37,4,FALSE)*'T100'!AB83</f>
        <v>84774029</v>
      </c>
      <c r="AC83" s="1103">
        <f>VLOOKUP(AC$1,'cost per tipologia de sòl'!$A$2:$D$37,4,FALSE)*'T100'!AC83</f>
        <v>5858647.1499999994</v>
      </c>
      <c r="AD83" s="1103">
        <f>VLOOKUP(AD$1,'cost per tipologia de sòl'!$A$2:$D$37,4,FALSE)*'T100'!AD83</f>
        <v>25607887.449999999</v>
      </c>
      <c r="AE83" s="1103">
        <f>VLOOKUP(AE$1,'cost per tipologia de sòl'!$A$2:$D$37,4,FALSE)*'T100'!AE83</f>
        <v>0</v>
      </c>
      <c r="AF83" s="1103">
        <f>VLOOKUP(AF$1,'cost per tipologia de sòl'!$A$2:$D$37,4,FALSE)*'T100'!AF83</f>
        <v>0</v>
      </c>
      <c r="AG83" s="1103">
        <f>VLOOKUP(AG$1,'cost per tipologia de sòl'!$A$2:$D$37,4,FALSE)*'T100'!AG83</f>
        <v>0</v>
      </c>
      <c r="AH83" s="1103">
        <f>VLOOKUP(AH$1,'cost per tipologia de sòl'!$A$2:$D$37,4,FALSE)*'T100'!AH83</f>
        <v>0</v>
      </c>
      <c r="AI83" s="1103">
        <f>VLOOKUP(AI$1,'cost per tipologia de sòl'!$A$2:$D$37,4,FALSE)*'T100'!AI83</f>
        <v>0</v>
      </c>
      <c r="AJ83" s="1103">
        <f t="shared" si="2"/>
        <v>363012354.91850001</v>
      </c>
      <c r="AK83" s="1117">
        <f t="shared" si="3"/>
        <v>108.90370647555001</v>
      </c>
    </row>
    <row r="84" spans="1:37">
      <c r="A84" s="1096" t="s">
        <v>1183</v>
      </c>
      <c r="B84" s="1103">
        <f>VLOOKUP(B$1,'cost per tipologia de sòl'!$A$2:$D$37,4,FALSE)*'T100'!B84</f>
        <v>485569311.67799997</v>
      </c>
      <c r="C84" s="1103">
        <f>VLOOKUP(C$1,'cost per tipologia de sòl'!$A$2:$D$37,4,FALSE)*'T100'!C84</f>
        <v>0</v>
      </c>
      <c r="D84" s="1103">
        <f>VLOOKUP(D$1,'cost per tipologia de sòl'!$A$2:$D$37,4,FALSE)*'T100'!D84</f>
        <v>613160.69400000002</v>
      </c>
      <c r="E84" s="1103">
        <f>VLOOKUP(E$1,'cost per tipologia de sòl'!$A$2:$D$37,4,FALSE)*'T100'!E84</f>
        <v>3156284.43</v>
      </c>
      <c r="F84" s="1103">
        <f>VLOOKUP(F$1,'cost per tipologia de sòl'!$A$2:$D$37,4,FALSE)*'T100'!F84</f>
        <v>0</v>
      </c>
      <c r="G84" s="1103">
        <f>VLOOKUP(G$1,'cost per tipologia de sòl'!$A$2:$D$37,4,FALSE)*'T100'!G84</f>
        <v>0</v>
      </c>
      <c r="H84" s="1103">
        <f>VLOOKUP(H$1,'cost per tipologia de sòl'!$A$2:$D$37,4,FALSE)*'T100'!H84</f>
        <v>0</v>
      </c>
      <c r="I84" s="1103">
        <f>VLOOKUP(I$1,'cost per tipologia de sòl'!$A$2:$D$37,4,FALSE)*'T100'!I84</f>
        <v>0</v>
      </c>
      <c r="J84" s="1103">
        <f>VLOOKUP(J$1,'cost per tipologia de sòl'!$A$2:$D$37,4,FALSE)*'T100'!J84</f>
        <v>289822.34600000002</v>
      </c>
      <c r="K84" s="1103">
        <f>VLOOKUP(K$1,'cost per tipologia de sòl'!$A$2:$D$37,4,FALSE)*'T100'!K84</f>
        <v>0</v>
      </c>
      <c r="L84" s="1103">
        <f>VLOOKUP(L$1,'cost per tipologia de sòl'!$A$2:$D$37,4,FALSE)*'T100'!L84</f>
        <v>0</v>
      </c>
      <c r="M84" s="1103">
        <f>VLOOKUP(M$1,'cost per tipologia de sòl'!$A$2:$D$37,4,FALSE)*'T100'!M84</f>
        <v>0</v>
      </c>
      <c r="N84" s="1103">
        <f>VLOOKUP(N$1,'cost per tipologia de sòl'!$A$2:$D$37,4,FALSE)*'T100'!N84</f>
        <v>2512463.0160000003</v>
      </c>
      <c r="O84" s="1103">
        <f>VLOOKUP(O$1,'cost per tipologia de sòl'!$A$2:$D$37,4,FALSE)*'T100'!O84</f>
        <v>0</v>
      </c>
      <c r="P84" s="1103">
        <f>VLOOKUP(P$1,'cost per tipologia de sòl'!$A$2:$D$37,4,FALSE)*'T100'!P84</f>
        <v>0</v>
      </c>
      <c r="Q84" s="1103">
        <f>VLOOKUP(Q$1,'cost per tipologia de sòl'!$A$2:$D$37,4,FALSE)*'T100'!Q84</f>
        <v>0</v>
      </c>
      <c r="R84" s="1103">
        <f>VLOOKUP(R$1,'cost per tipologia de sòl'!$A$2:$D$37,4,FALSE)*'T100'!R84</f>
        <v>0</v>
      </c>
      <c r="S84" s="1103">
        <f>VLOOKUP(S$1,'cost per tipologia de sòl'!$A$2:$D$37,4,FALSE)*'T100'!S84</f>
        <v>3093682.0319999997</v>
      </c>
      <c r="T84" s="1103">
        <f>VLOOKUP(T$1,'cost per tipologia de sòl'!$A$2:$D$37,4,FALSE)*'T100'!T84</f>
        <v>31971686.737999998</v>
      </c>
      <c r="U84" s="1103">
        <f>VLOOKUP(U$1,'cost per tipologia de sòl'!$A$2:$D$37,4,FALSE)*'T100'!U84</f>
        <v>0</v>
      </c>
      <c r="V84" s="1103">
        <f>VLOOKUP(V$1,'cost per tipologia de sòl'!$A$2:$D$37,4,FALSE)*'T100'!V84</f>
        <v>0</v>
      </c>
      <c r="W84" s="1103">
        <f>VLOOKUP(W$1,'cost per tipologia de sòl'!$A$2:$D$37,4,FALSE)*'T100'!W84</f>
        <v>0</v>
      </c>
      <c r="X84" s="1103">
        <f>VLOOKUP(X$1,'cost per tipologia de sòl'!$A$2:$D$37,4,FALSE)*'T100'!X84</f>
        <v>0</v>
      </c>
      <c r="Y84" s="1103">
        <f>VLOOKUP(Y$1,'cost per tipologia de sòl'!$A$2:$D$37,4,FALSE)*'T100'!Y84</f>
        <v>0</v>
      </c>
      <c r="Z84" s="1103">
        <f>VLOOKUP(Z$1,'cost per tipologia de sòl'!$A$2:$D$37,4,FALSE)*'T100'!Z84</f>
        <v>7776724.1280000005</v>
      </c>
      <c r="AA84" s="1103">
        <f>VLOOKUP(AA$1,'cost per tipologia de sòl'!$A$2:$D$37,4,FALSE)*'T100'!AA84</f>
        <v>0</v>
      </c>
      <c r="AB84" s="1103">
        <f>VLOOKUP(AB$1,'cost per tipologia de sòl'!$A$2:$D$37,4,FALSE)*'T100'!AB84</f>
        <v>19668473.200000003</v>
      </c>
      <c r="AC84" s="1103">
        <f>VLOOKUP(AC$1,'cost per tipologia de sòl'!$A$2:$D$37,4,FALSE)*'T100'!AC84</f>
        <v>74011189.25</v>
      </c>
      <c r="AD84" s="1103">
        <f>VLOOKUP(AD$1,'cost per tipologia de sòl'!$A$2:$D$37,4,FALSE)*'T100'!AD84</f>
        <v>48761270.350000001</v>
      </c>
      <c r="AE84" s="1103">
        <f>VLOOKUP(AE$1,'cost per tipologia de sòl'!$A$2:$D$37,4,FALSE)*'T100'!AE84</f>
        <v>0</v>
      </c>
      <c r="AF84" s="1103">
        <f>VLOOKUP(AF$1,'cost per tipologia de sòl'!$A$2:$D$37,4,FALSE)*'T100'!AF84</f>
        <v>0</v>
      </c>
      <c r="AG84" s="1103">
        <f>VLOOKUP(AG$1,'cost per tipologia de sòl'!$A$2:$D$37,4,FALSE)*'T100'!AG84</f>
        <v>0</v>
      </c>
      <c r="AH84" s="1103">
        <f>VLOOKUP(AH$1,'cost per tipologia de sòl'!$A$2:$D$37,4,FALSE)*'T100'!AH84</f>
        <v>0</v>
      </c>
      <c r="AI84" s="1103">
        <f>VLOOKUP(AI$1,'cost per tipologia de sòl'!$A$2:$D$37,4,FALSE)*'T100'!AI84</f>
        <v>0</v>
      </c>
      <c r="AJ84" s="1103">
        <f t="shared" si="2"/>
        <v>677424067.86199999</v>
      </c>
      <c r="AK84" s="1117">
        <f t="shared" si="3"/>
        <v>203.22722035859999</v>
      </c>
    </row>
    <row r="85" spans="1:37">
      <c r="A85" s="1096" t="s">
        <v>1197</v>
      </c>
      <c r="B85" s="1103">
        <f>VLOOKUP(B$1,'cost per tipologia de sòl'!$A$2:$D$37,4,FALSE)*'T100'!B85</f>
        <v>0</v>
      </c>
      <c r="C85" s="1103">
        <f>VLOOKUP(C$1,'cost per tipologia de sòl'!$A$2:$D$37,4,FALSE)*'T100'!C85</f>
        <v>0</v>
      </c>
      <c r="D85" s="1103">
        <f>VLOOKUP(D$1,'cost per tipologia de sòl'!$A$2:$D$37,4,FALSE)*'T100'!D85</f>
        <v>142060.02000000002</v>
      </c>
      <c r="E85" s="1103">
        <f>VLOOKUP(E$1,'cost per tipologia de sòl'!$A$2:$D$37,4,FALSE)*'T100'!E85</f>
        <v>0</v>
      </c>
      <c r="F85" s="1103">
        <f>VLOOKUP(F$1,'cost per tipologia de sòl'!$A$2:$D$37,4,FALSE)*'T100'!F85</f>
        <v>0</v>
      </c>
      <c r="G85" s="1103">
        <f>VLOOKUP(G$1,'cost per tipologia de sòl'!$A$2:$D$37,4,FALSE)*'T100'!G85</f>
        <v>0</v>
      </c>
      <c r="H85" s="1103">
        <f>VLOOKUP(H$1,'cost per tipologia de sòl'!$A$2:$D$37,4,FALSE)*'T100'!H85</f>
        <v>0</v>
      </c>
      <c r="I85" s="1103">
        <f>VLOOKUP(I$1,'cost per tipologia de sòl'!$A$2:$D$37,4,FALSE)*'T100'!I85</f>
        <v>0</v>
      </c>
      <c r="J85" s="1103">
        <f>VLOOKUP(J$1,'cost per tipologia de sòl'!$A$2:$D$37,4,FALSE)*'T100'!J85</f>
        <v>0</v>
      </c>
      <c r="K85" s="1103">
        <f>VLOOKUP(K$1,'cost per tipologia de sòl'!$A$2:$D$37,4,FALSE)*'T100'!K85</f>
        <v>0</v>
      </c>
      <c r="L85" s="1103">
        <f>VLOOKUP(L$1,'cost per tipologia de sòl'!$A$2:$D$37,4,FALSE)*'T100'!L85</f>
        <v>12491.199000000001</v>
      </c>
      <c r="M85" s="1103">
        <f>VLOOKUP(M$1,'cost per tipologia de sòl'!$A$2:$D$37,4,FALSE)*'T100'!M85</f>
        <v>0</v>
      </c>
      <c r="N85" s="1103">
        <f>VLOOKUP(N$1,'cost per tipologia de sòl'!$A$2:$D$37,4,FALSE)*'T100'!N85</f>
        <v>0</v>
      </c>
      <c r="O85" s="1103">
        <f>VLOOKUP(O$1,'cost per tipologia de sòl'!$A$2:$D$37,4,FALSE)*'T100'!O85</f>
        <v>0</v>
      </c>
      <c r="P85" s="1103">
        <f>VLOOKUP(P$1,'cost per tipologia de sòl'!$A$2:$D$37,4,FALSE)*'T100'!P85</f>
        <v>0</v>
      </c>
      <c r="Q85" s="1103">
        <f>VLOOKUP(Q$1,'cost per tipologia de sòl'!$A$2:$D$37,4,FALSE)*'T100'!Q85</f>
        <v>0</v>
      </c>
      <c r="R85" s="1103">
        <f>VLOOKUP(R$1,'cost per tipologia de sòl'!$A$2:$D$37,4,FALSE)*'T100'!R85</f>
        <v>0</v>
      </c>
      <c r="S85" s="1103">
        <f>VLOOKUP(S$1,'cost per tipologia de sòl'!$A$2:$D$37,4,FALSE)*'T100'!S85</f>
        <v>204149.23200000002</v>
      </c>
      <c r="T85" s="1103">
        <f>VLOOKUP(T$1,'cost per tipologia de sòl'!$A$2:$D$37,4,FALSE)*'T100'!T85</f>
        <v>3905980.3020000001</v>
      </c>
      <c r="U85" s="1103">
        <f>VLOOKUP(U$1,'cost per tipologia de sòl'!$A$2:$D$37,4,FALSE)*'T100'!U85</f>
        <v>0</v>
      </c>
      <c r="V85" s="1103">
        <f>VLOOKUP(V$1,'cost per tipologia de sòl'!$A$2:$D$37,4,FALSE)*'T100'!V85</f>
        <v>0</v>
      </c>
      <c r="W85" s="1103">
        <f>VLOOKUP(W$1,'cost per tipologia de sòl'!$A$2:$D$37,4,FALSE)*'T100'!W85</f>
        <v>0</v>
      </c>
      <c r="X85" s="1103">
        <f>VLOOKUP(X$1,'cost per tipologia de sòl'!$A$2:$D$37,4,FALSE)*'T100'!X85</f>
        <v>0</v>
      </c>
      <c r="Y85" s="1103">
        <f>VLOOKUP(Y$1,'cost per tipologia de sòl'!$A$2:$D$37,4,FALSE)*'T100'!Y85</f>
        <v>0</v>
      </c>
      <c r="Z85" s="1103">
        <f>VLOOKUP(Z$1,'cost per tipologia de sòl'!$A$2:$D$37,4,FALSE)*'T100'!Z85</f>
        <v>0</v>
      </c>
      <c r="AA85" s="1103">
        <f>VLOOKUP(AA$1,'cost per tipologia de sòl'!$A$2:$D$37,4,FALSE)*'T100'!AA85</f>
        <v>0</v>
      </c>
      <c r="AB85" s="1103">
        <f>VLOOKUP(AB$1,'cost per tipologia de sòl'!$A$2:$D$37,4,FALSE)*'T100'!AB85</f>
        <v>0</v>
      </c>
      <c r="AC85" s="1103">
        <f>VLOOKUP(AC$1,'cost per tipologia de sòl'!$A$2:$D$37,4,FALSE)*'T100'!AC85</f>
        <v>1931902.9</v>
      </c>
      <c r="AD85" s="1103">
        <f>VLOOKUP(AD$1,'cost per tipologia de sòl'!$A$2:$D$37,4,FALSE)*'T100'!AD85</f>
        <v>1527264.6500000001</v>
      </c>
      <c r="AE85" s="1103">
        <f>VLOOKUP(AE$1,'cost per tipologia de sòl'!$A$2:$D$37,4,FALSE)*'T100'!AE85</f>
        <v>0</v>
      </c>
      <c r="AF85" s="1103">
        <f>VLOOKUP(AF$1,'cost per tipologia de sòl'!$A$2:$D$37,4,FALSE)*'T100'!AF85</f>
        <v>0</v>
      </c>
      <c r="AG85" s="1103">
        <f>VLOOKUP(AG$1,'cost per tipologia de sòl'!$A$2:$D$37,4,FALSE)*'T100'!AG85</f>
        <v>0</v>
      </c>
      <c r="AH85" s="1103">
        <f>VLOOKUP(AH$1,'cost per tipologia de sòl'!$A$2:$D$37,4,FALSE)*'T100'!AH85</f>
        <v>0</v>
      </c>
      <c r="AI85" s="1103">
        <f>VLOOKUP(AI$1,'cost per tipologia de sòl'!$A$2:$D$37,4,FALSE)*'T100'!AI85</f>
        <v>0</v>
      </c>
      <c r="AJ85" s="1103">
        <f t="shared" si="2"/>
        <v>7723848.3030000012</v>
      </c>
      <c r="AK85" s="1117">
        <f t="shared" si="3"/>
        <v>2.3171544909000001</v>
      </c>
    </row>
    <row r="86" spans="1:37">
      <c r="A86" s="1096" t="s">
        <v>345</v>
      </c>
      <c r="B86" s="1103">
        <f>VLOOKUP(B$1,'cost per tipologia de sòl'!$A$2:$D$37,4,FALSE)*'T100'!B86</f>
        <v>9776199.9059999995</v>
      </c>
      <c r="C86" s="1103">
        <f>VLOOKUP(C$1,'cost per tipologia de sòl'!$A$2:$D$37,4,FALSE)*'T100'!C86</f>
        <v>0</v>
      </c>
      <c r="D86" s="1103">
        <f>VLOOKUP(D$1,'cost per tipologia de sòl'!$A$2:$D$37,4,FALSE)*'T100'!D86</f>
        <v>0</v>
      </c>
      <c r="E86" s="1103">
        <f>VLOOKUP(E$1,'cost per tipologia de sòl'!$A$2:$D$37,4,FALSE)*'T100'!E86</f>
        <v>0</v>
      </c>
      <c r="F86" s="1103">
        <f>VLOOKUP(F$1,'cost per tipologia de sòl'!$A$2:$D$37,4,FALSE)*'T100'!F86</f>
        <v>0</v>
      </c>
      <c r="G86" s="1103">
        <f>VLOOKUP(G$1,'cost per tipologia de sòl'!$A$2:$D$37,4,FALSE)*'T100'!G86</f>
        <v>0</v>
      </c>
      <c r="H86" s="1103">
        <f>VLOOKUP(H$1,'cost per tipologia de sòl'!$A$2:$D$37,4,FALSE)*'T100'!H86</f>
        <v>0</v>
      </c>
      <c r="I86" s="1103">
        <f>VLOOKUP(I$1,'cost per tipologia de sòl'!$A$2:$D$37,4,FALSE)*'T100'!I86</f>
        <v>0</v>
      </c>
      <c r="J86" s="1103">
        <f>VLOOKUP(J$1,'cost per tipologia de sòl'!$A$2:$D$37,4,FALSE)*'T100'!J86</f>
        <v>0</v>
      </c>
      <c r="K86" s="1103">
        <f>VLOOKUP(K$1,'cost per tipologia de sòl'!$A$2:$D$37,4,FALSE)*'T100'!K86</f>
        <v>0</v>
      </c>
      <c r="L86" s="1103">
        <f>VLOOKUP(L$1,'cost per tipologia de sòl'!$A$2:$D$37,4,FALSE)*'T100'!L86</f>
        <v>0</v>
      </c>
      <c r="M86" s="1103">
        <f>VLOOKUP(M$1,'cost per tipologia de sòl'!$A$2:$D$37,4,FALSE)*'T100'!M86</f>
        <v>0</v>
      </c>
      <c r="N86" s="1103">
        <f>VLOOKUP(N$1,'cost per tipologia de sòl'!$A$2:$D$37,4,FALSE)*'T100'!N86</f>
        <v>0</v>
      </c>
      <c r="O86" s="1103">
        <f>VLOOKUP(O$1,'cost per tipologia de sòl'!$A$2:$D$37,4,FALSE)*'T100'!O86</f>
        <v>0</v>
      </c>
      <c r="P86" s="1103">
        <f>VLOOKUP(P$1,'cost per tipologia de sòl'!$A$2:$D$37,4,FALSE)*'T100'!P86</f>
        <v>0</v>
      </c>
      <c r="Q86" s="1103">
        <f>VLOOKUP(Q$1,'cost per tipologia de sòl'!$A$2:$D$37,4,FALSE)*'T100'!Q86</f>
        <v>0</v>
      </c>
      <c r="R86" s="1103">
        <f>VLOOKUP(R$1,'cost per tipologia de sòl'!$A$2:$D$37,4,FALSE)*'T100'!R86</f>
        <v>0</v>
      </c>
      <c r="S86" s="1103">
        <f>VLOOKUP(S$1,'cost per tipologia de sòl'!$A$2:$D$37,4,FALSE)*'T100'!S86</f>
        <v>0</v>
      </c>
      <c r="T86" s="1103">
        <f>VLOOKUP(T$1,'cost per tipologia de sòl'!$A$2:$D$37,4,FALSE)*'T100'!T86</f>
        <v>4050956.0170000005</v>
      </c>
      <c r="U86" s="1103">
        <f>VLOOKUP(U$1,'cost per tipologia de sòl'!$A$2:$D$37,4,FALSE)*'T100'!U86</f>
        <v>147527.1</v>
      </c>
      <c r="V86" s="1103">
        <f>VLOOKUP(V$1,'cost per tipologia de sòl'!$A$2:$D$37,4,FALSE)*'T100'!V86</f>
        <v>0</v>
      </c>
      <c r="W86" s="1103">
        <f>VLOOKUP(W$1,'cost per tipologia de sòl'!$A$2:$D$37,4,FALSE)*'T100'!W86</f>
        <v>0</v>
      </c>
      <c r="X86" s="1103">
        <f>VLOOKUP(X$1,'cost per tipologia de sòl'!$A$2:$D$37,4,FALSE)*'T100'!X86</f>
        <v>0</v>
      </c>
      <c r="Y86" s="1103">
        <f>VLOOKUP(Y$1,'cost per tipologia de sòl'!$A$2:$D$37,4,FALSE)*'T100'!Y86</f>
        <v>0</v>
      </c>
      <c r="Z86" s="1103">
        <f>VLOOKUP(Z$1,'cost per tipologia de sòl'!$A$2:$D$37,4,FALSE)*'T100'!Z86</f>
        <v>21164492.905999999</v>
      </c>
      <c r="AA86" s="1103">
        <f>VLOOKUP(AA$1,'cost per tipologia de sòl'!$A$2:$D$37,4,FALSE)*'T100'!AA86</f>
        <v>0</v>
      </c>
      <c r="AB86" s="1103">
        <f>VLOOKUP(AB$1,'cost per tipologia de sòl'!$A$2:$D$37,4,FALSE)*'T100'!AB86</f>
        <v>1215894.5499999998</v>
      </c>
      <c r="AC86" s="1103">
        <f>VLOOKUP(AC$1,'cost per tipologia de sòl'!$A$2:$D$37,4,FALSE)*'T100'!AC86</f>
        <v>903309.39999999991</v>
      </c>
      <c r="AD86" s="1103">
        <f>VLOOKUP(AD$1,'cost per tipologia de sòl'!$A$2:$D$37,4,FALSE)*'T100'!AD86</f>
        <v>6262458.8999999994</v>
      </c>
      <c r="AE86" s="1103">
        <f>VLOOKUP(AE$1,'cost per tipologia de sòl'!$A$2:$D$37,4,FALSE)*'T100'!AE86</f>
        <v>0</v>
      </c>
      <c r="AF86" s="1103">
        <f>VLOOKUP(AF$1,'cost per tipologia de sòl'!$A$2:$D$37,4,FALSE)*'T100'!AF86</f>
        <v>0</v>
      </c>
      <c r="AG86" s="1103">
        <f>VLOOKUP(AG$1,'cost per tipologia de sòl'!$A$2:$D$37,4,FALSE)*'T100'!AG86</f>
        <v>0</v>
      </c>
      <c r="AH86" s="1103">
        <f>VLOOKUP(AH$1,'cost per tipologia de sòl'!$A$2:$D$37,4,FALSE)*'T100'!AH86</f>
        <v>0</v>
      </c>
      <c r="AI86" s="1103">
        <f>VLOOKUP(AI$1,'cost per tipologia de sòl'!$A$2:$D$37,4,FALSE)*'T100'!AI86</f>
        <v>0</v>
      </c>
      <c r="AJ86" s="1103">
        <f t="shared" si="2"/>
        <v>43520838.778999992</v>
      </c>
      <c r="AK86" s="1117">
        <f t="shared" si="3"/>
        <v>13.056251633699997</v>
      </c>
    </row>
    <row r="87" spans="1:37">
      <c r="A87" s="1096" t="s">
        <v>1204</v>
      </c>
      <c r="B87" s="1103">
        <f>VLOOKUP(B$1,'cost per tipologia de sòl'!$A$2:$D$37,4,FALSE)*'T100'!B87</f>
        <v>0</v>
      </c>
      <c r="C87" s="1103">
        <f>VLOOKUP(C$1,'cost per tipologia de sòl'!$A$2:$D$37,4,FALSE)*'T100'!C87</f>
        <v>0</v>
      </c>
      <c r="D87" s="1103">
        <f>VLOOKUP(D$1,'cost per tipologia de sòl'!$A$2:$D$37,4,FALSE)*'T100'!D87</f>
        <v>0</v>
      </c>
      <c r="E87" s="1103">
        <f>VLOOKUP(E$1,'cost per tipologia de sòl'!$A$2:$D$37,4,FALSE)*'T100'!E87</f>
        <v>0</v>
      </c>
      <c r="F87" s="1103">
        <f>VLOOKUP(F$1,'cost per tipologia de sòl'!$A$2:$D$37,4,FALSE)*'T100'!F87</f>
        <v>0</v>
      </c>
      <c r="G87" s="1103">
        <f>VLOOKUP(G$1,'cost per tipologia de sòl'!$A$2:$D$37,4,FALSE)*'T100'!G87</f>
        <v>0</v>
      </c>
      <c r="H87" s="1103">
        <f>VLOOKUP(H$1,'cost per tipologia de sòl'!$A$2:$D$37,4,FALSE)*'T100'!H87</f>
        <v>0</v>
      </c>
      <c r="I87" s="1103">
        <f>VLOOKUP(I$1,'cost per tipologia de sòl'!$A$2:$D$37,4,FALSE)*'T100'!I87</f>
        <v>0</v>
      </c>
      <c r="J87" s="1103">
        <f>VLOOKUP(J$1,'cost per tipologia de sòl'!$A$2:$D$37,4,FALSE)*'T100'!J87</f>
        <v>192.995</v>
      </c>
      <c r="K87" s="1103">
        <f>VLOOKUP(K$1,'cost per tipologia de sòl'!$A$2:$D$37,4,FALSE)*'T100'!K87</f>
        <v>0</v>
      </c>
      <c r="L87" s="1103">
        <f>VLOOKUP(L$1,'cost per tipologia de sòl'!$A$2:$D$37,4,FALSE)*'T100'!L87</f>
        <v>0</v>
      </c>
      <c r="M87" s="1103">
        <f>VLOOKUP(M$1,'cost per tipologia de sòl'!$A$2:$D$37,4,FALSE)*'T100'!M87</f>
        <v>0</v>
      </c>
      <c r="N87" s="1103">
        <f>VLOOKUP(N$1,'cost per tipologia de sòl'!$A$2:$D$37,4,FALSE)*'T100'!N87</f>
        <v>0</v>
      </c>
      <c r="O87" s="1103">
        <f>VLOOKUP(O$1,'cost per tipologia de sòl'!$A$2:$D$37,4,FALSE)*'T100'!O87</f>
        <v>0</v>
      </c>
      <c r="P87" s="1103">
        <f>VLOOKUP(P$1,'cost per tipologia de sòl'!$A$2:$D$37,4,FALSE)*'T100'!P87</f>
        <v>205.82399999999998</v>
      </c>
      <c r="Q87" s="1103">
        <f>VLOOKUP(Q$1,'cost per tipologia de sòl'!$A$2:$D$37,4,FALSE)*'T100'!Q87</f>
        <v>0</v>
      </c>
      <c r="R87" s="1103">
        <f>VLOOKUP(R$1,'cost per tipologia de sòl'!$A$2:$D$37,4,FALSE)*'T100'!R87</f>
        <v>0</v>
      </c>
      <c r="S87" s="1103">
        <f>VLOOKUP(S$1,'cost per tipologia de sòl'!$A$2:$D$37,4,FALSE)*'T100'!S87</f>
        <v>0</v>
      </c>
      <c r="T87" s="1103">
        <f>VLOOKUP(T$1,'cost per tipologia de sòl'!$A$2:$D$37,4,FALSE)*'T100'!T87</f>
        <v>2444195.2850000001</v>
      </c>
      <c r="U87" s="1103">
        <f>VLOOKUP(U$1,'cost per tipologia de sòl'!$A$2:$D$37,4,FALSE)*'T100'!U87</f>
        <v>0</v>
      </c>
      <c r="V87" s="1103">
        <f>VLOOKUP(V$1,'cost per tipologia de sòl'!$A$2:$D$37,4,FALSE)*'T100'!V87</f>
        <v>0</v>
      </c>
      <c r="W87" s="1103">
        <f>VLOOKUP(W$1,'cost per tipologia de sòl'!$A$2:$D$37,4,FALSE)*'T100'!W87</f>
        <v>0</v>
      </c>
      <c r="X87" s="1103">
        <f>VLOOKUP(X$1,'cost per tipologia de sòl'!$A$2:$D$37,4,FALSE)*'T100'!X87</f>
        <v>0</v>
      </c>
      <c r="Y87" s="1103">
        <f>VLOOKUP(Y$1,'cost per tipologia de sòl'!$A$2:$D$37,4,FALSE)*'T100'!Y87</f>
        <v>0</v>
      </c>
      <c r="Z87" s="1103">
        <f>VLOOKUP(Z$1,'cost per tipologia de sòl'!$A$2:$D$37,4,FALSE)*'T100'!Z87</f>
        <v>69161.883999999991</v>
      </c>
      <c r="AA87" s="1103">
        <f>VLOOKUP(AA$1,'cost per tipologia de sòl'!$A$2:$D$37,4,FALSE)*'T100'!AA87</f>
        <v>0</v>
      </c>
      <c r="AB87" s="1103">
        <f>VLOOKUP(AB$1,'cost per tipologia de sòl'!$A$2:$D$37,4,FALSE)*'T100'!AB87</f>
        <v>0</v>
      </c>
      <c r="AC87" s="1103">
        <f>VLOOKUP(AC$1,'cost per tipologia de sòl'!$A$2:$D$37,4,FALSE)*'T100'!AC87</f>
        <v>0</v>
      </c>
      <c r="AD87" s="1103">
        <f>VLOOKUP(AD$1,'cost per tipologia de sòl'!$A$2:$D$37,4,FALSE)*'T100'!AD87</f>
        <v>1162285.1000000001</v>
      </c>
      <c r="AE87" s="1103">
        <f>VLOOKUP(AE$1,'cost per tipologia de sòl'!$A$2:$D$37,4,FALSE)*'T100'!AE87</f>
        <v>0</v>
      </c>
      <c r="AF87" s="1103">
        <f>VLOOKUP(AF$1,'cost per tipologia de sòl'!$A$2:$D$37,4,FALSE)*'T100'!AF87</f>
        <v>0</v>
      </c>
      <c r="AG87" s="1103">
        <f>VLOOKUP(AG$1,'cost per tipologia de sòl'!$A$2:$D$37,4,FALSE)*'T100'!AG87</f>
        <v>0</v>
      </c>
      <c r="AH87" s="1103">
        <f>VLOOKUP(AH$1,'cost per tipologia de sòl'!$A$2:$D$37,4,FALSE)*'T100'!AH87</f>
        <v>0</v>
      </c>
      <c r="AI87" s="1103">
        <f>VLOOKUP(AI$1,'cost per tipologia de sòl'!$A$2:$D$37,4,FALSE)*'T100'!AI87</f>
        <v>0</v>
      </c>
      <c r="AJ87" s="1103">
        <f t="shared" si="2"/>
        <v>3676041.0880000005</v>
      </c>
      <c r="AK87" s="1117">
        <f t="shared" si="3"/>
        <v>1.1028123264000003</v>
      </c>
    </row>
    <row r="88" spans="1:37">
      <c r="A88" s="1096" t="s">
        <v>1208</v>
      </c>
      <c r="B88" s="1103">
        <f>VLOOKUP(B$1,'cost per tipologia de sòl'!$A$2:$D$37,4,FALSE)*'T100'!B88</f>
        <v>0</v>
      </c>
      <c r="C88" s="1103">
        <f>VLOOKUP(C$1,'cost per tipologia de sòl'!$A$2:$D$37,4,FALSE)*'T100'!C88</f>
        <v>0</v>
      </c>
      <c r="D88" s="1103">
        <f>VLOOKUP(D$1,'cost per tipologia de sòl'!$A$2:$D$37,4,FALSE)*'T100'!D88</f>
        <v>0</v>
      </c>
      <c r="E88" s="1103">
        <f>VLOOKUP(E$1,'cost per tipologia de sòl'!$A$2:$D$37,4,FALSE)*'T100'!E88</f>
        <v>0</v>
      </c>
      <c r="F88" s="1103">
        <f>VLOOKUP(F$1,'cost per tipologia de sòl'!$A$2:$D$37,4,FALSE)*'T100'!F88</f>
        <v>0</v>
      </c>
      <c r="G88" s="1103">
        <f>VLOOKUP(G$1,'cost per tipologia de sòl'!$A$2:$D$37,4,FALSE)*'T100'!G88</f>
        <v>0</v>
      </c>
      <c r="H88" s="1103">
        <f>VLOOKUP(H$1,'cost per tipologia de sòl'!$A$2:$D$37,4,FALSE)*'T100'!H88</f>
        <v>0</v>
      </c>
      <c r="I88" s="1103">
        <f>VLOOKUP(I$1,'cost per tipologia de sòl'!$A$2:$D$37,4,FALSE)*'T100'!I88</f>
        <v>0</v>
      </c>
      <c r="J88" s="1103">
        <f>VLOOKUP(J$1,'cost per tipologia de sòl'!$A$2:$D$37,4,FALSE)*'T100'!J88</f>
        <v>0</v>
      </c>
      <c r="K88" s="1103">
        <f>VLOOKUP(K$1,'cost per tipologia de sòl'!$A$2:$D$37,4,FALSE)*'T100'!K88</f>
        <v>0</v>
      </c>
      <c r="L88" s="1103">
        <f>VLOOKUP(L$1,'cost per tipologia de sòl'!$A$2:$D$37,4,FALSE)*'T100'!L88</f>
        <v>0</v>
      </c>
      <c r="M88" s="1103">
        <f>VLOOKUP(M$1,'cost per tipologia de sòl'!$A$2:$D$37,4,FALSE)*'T100'!M88</f>
        <v>0</v>
      </c>
      <c r="N88" s="1103">
        <f>VLOOKUP(N$1,'cost per tipologia de sòl'!$A$2:$D$37,4,FALSE)*'T100'!N88</f>
        <v>0</v>
      </c>
      <c r="O88" s="1103">
        <f>VLOOKUP(O$1,'cost per tipologia de sòl'!$A$2:$D$37,4,FALSE)*'T100'!O88</f>
        <v>0</v>
      </c>
      <c r="P88" s="1103">
        <f>VLOOKUP(P$1,'cost per tipologia de sòl'!$A$2:$D$37,4,FALSE)*'T100'!P88</f>
        <v>0</v>
      </c>
      <c r="Q88" s="1103">
        <f>VLOOKUP(Q$1,'cost per tipologia de sòl'!$A$2:$D$37,4,FALSE)*'T100'!Q88</f>
        <v>0</v>
      </c>
      <c r="R88" s="1103">
        <f>VLOOKUP(R$1,'cost per tipologia de sòl'!$A$2:$D$37,4,FALSE)*'T100'!R88</f>
        <v>0</v>
      </c>
      <c r="S88" s="1103">
        <f>VLOOKUP(S$1,'cost per tipologia de sòl'!$A$2:$D$37,4,FALSE)*'T100'!S88</f>
        <v>0</v>
      </c>
      <c r="T88" s="1103">
        <f>VLOOKUP(T$1,'cost per tipologia de sòl'!$A$2:$D$37,4,FALSE)*'T100'!T88</f>
        <v>0</v>
      </c>
      <c r="U88" s="1103">
        <f>VLOOKUP(U$1,'cost per tipologia de sòl'!$A$2:$D$37,4,FALSE)*'T100'!U88</f>
        <v>325022.25</v>
      </c>
      <c r="V88" s="1103">
        <f>VLOOKUP(V$1,'cost per tipologia de sòl'!$A$2:$D$37,4,FALSE)*'T100'!V88</f>
        <v>0</v>
      </c>
      <c r="W88" s="1103">
        <f>VLOOKUP(W$1,'cost per tipologia de sòl'!$A$2:$D$37,4,FALSE)*'T100'!W88</f>
        <v>0</v>
      </c>
      <c r="X88" s="1103">
        <f>VLOOKUP(X$1,'cost per tipologia de sòl'!$A$2:$D$37,4,FALSE)*'T100'!X88</f>
        <v>0</v>
      </c>
      <c r="Y88" s="1103">
        <f>VLOOKUP(Y$1,'cost per tipologia de sòl'!$A$2:$D$37,4,FALSE)*'T100'!Y88</f>
        <v>0</v>
      </c>
      <c r="Z88" s="1103">
        <f>VLOOKUP(Z$1,'cost per tipologia de sòl'!$A$2:$D$37,4,FALSE)*'T100'!Z88</f>
        <v>0</v>
      </c>
      <c r="AA88" s="1103">
        <f>VLOOKUP(AA$1,'cost per tipologia de sòl'!$A$2:$D$37,4,FALSE)*'T100'!AA88</f>
        <v>0</v>
      </c>
      <c r="AB88" s="1103">
        <f>VLOOKUP(AB$1,'cost per tipologia de sòl'!$A$2:$D$37,4,FALSE)*'T100'!AB88</f>
        <v>0</v>
      </c>
      <c r="AC88" s="1103">
        <f>VLOOKUP(AC$1,'cost per tipologia de sòl'!$A$2:$D$37,4,FALSE)*'T100'!AC88</f>
        <v>0</v>
      </c>
      <c r="AD88" s="1103">
        <f>VLOOKUP(AD$1,'cost per tipologia de sòl'!$A$2:$D$37,4,FALSE)*'T100'!AD88</f>
        <v>10280384.15</v>
      </c>
      <c r="AE88" s="1103">
        <f>VLOOKUP(AE$1,'cost per tipologia de sòl'!$A$2:$D$37,4,FALSE)*'T100'!AE88</f>
        <v>0</v>
      </c>
      <c r="AF88" s="1103">
        <f>VLOOKUP(AF$1,'cost per tipologia de sòl'!$A$2:$D$37,4,FALSE)*'T100'!AF88</f>
        <v>0</v>
      </c>
      <c r="AG88" s="1103">
        <f>VLOOKUP(AG$1,'cost per tipologia de sòl'!$A$2:$D$37,4,FALSE)*'T100'!AG88</f>
        <v>0</v>
      </c>
      <c r="AH88" s="1103">
        <f>VLOOKUP(AH$1,'cost per tipologia de sòl'!$A$2:$D$37,4,FALSE)*'T100'!AH88</f>
        <v>0</v>
      </c>
      <c r="AI88" s="1103">
        <f>VLOOKUP(AI$1,'cost per tipologia de sòl'!$A$2:$D$37,4,FALSE)*'T100'!AI88</f>
        <v>0</v>
      </c>
      <c r="AJ88" s="1103">
        <f t="shared" si="2"/>
        <v>10605406.4</v>
      </c>
      <c r="AK88" s="1117">
        <f t="shared" si="3"/>
        <v>3.18162192</v>
      </c>
    </row>
    <row r="89" spans="1:37">
      <c r="A89" s="1096" t="s">
        <v>1214</v>
      </c>
      <c r="B89" s="1103">
        <f>VLOOKUP(B$1,'cost per tipologia de sòl'!$A$2:$D$37,4,FALSE)*'T100'!B89</f>
        <v>469265716.88999999</v>
      </c>
      <c r="C89" s="1103">
        <f>VLOOKUP(C$1,'cost per tipologia de sòl'!$A$2:$D$37,4,FALSE)*'T100'!C89</f>
        <v>60791728.946000002</v>
      </c>
      <c r="D89" s="1103">
        <f>VLOOKUP(D$1,'cost per tipologia de sòl'!$A$2:$D$37,4,FALSE)*'T100'!D89</f>
        <v>0</v>
      </c>
      <c r="E89" s="1103">
        <f>VLOOKUP(E$1,'cost per tipologia de sòl'!$A$2:$D$37,4,FALSE)*'T100'!E89</f>
        <v>0</v>
      </c>
      <c r="F89" s="1103">
        <f>VLOOKUP(F$1,'cost per tipologia de sòl'!$A$2:$D$37,4,FALSE)*'T100'!F89</f>
        <v>0</v>
      </c>
      <c r="G89" s="1103">
        <f>VLOOKUP(G$1,'cost per tipologia de sòl'!$A$2:$D$37,4,FALSE)*'T100'!G89</f>
        <v>0</v>
      </c>
      <c r="H89" s="1103">
        <f>VLOOKUP(H$1,'cost per tipologia de sòl'!$A$2:$D$37,4,FALSE)*'T100'!H89</f>
        <v>0</v>
      </c>
      <c r="I89" s="1103">
        <f>VLOOKUP(I$1,'cost per tipologia de sòl'!$A$2:$D$37,4,FALSE)*'T100'!I89</f>
        <v>0</v>
      </c>
      <c r="J89" s="1103">
        <f>VLOOKUP(J$1,'cost per tipologia de sòl'!$A$2:$D$37,4,FALSE)*'T100'!J89</f>
        <v>175797.75399999999</v>
      </c>
      <c r="K89" s="1103">
        <f>VLOOKUP(K$1,'cost per tipologia de sòl'!$A$2:$D$37,4,FALSE)*'T100'!K89</f>
        <v>18004538.978999998</v>
      </c>
      <c r="L89" s="1103">
        <f>VLOOKUP(L$1,'cost per tipologia de sòl'!$A$2:$D$37,4,FALSE)*'T100'!L89</f>
        <v>0</v>
      </c>
      <c r="M89" s="1103">
        <f>VLOOKUP(M$1,'cost per tipologia de sòl'!$A$2:$D$37,4,FALSE)*'T100'!M89</f>
        <v>0</v>
      </c>
      <c r="N89" s="1103">
        <f>VLOOKUP(N$1,'cost per tipologia de sòl'!$A$2:$D$37,4,FALSE)*'T100'!N89</f>
        <v>61534064.960000001</v>
      </c>
      <c r="O89" s="1103">
        <f>VLOOKUP(O$1,'cost per tipologia de sòl'!$A$2:$D$37,4,FALSE)*'T100'!O89</f>
        <v>0</v>
      </c>
      <c r="P89" s="1103">
        <f>VLOOKUP(P$1,'cost per tipologia de sòl'!$A$2:$D$37,4,FALSE)*'T100'!P89</f>
        <v>51130277.088</v>
      </c>
      <c r="Q89" s="1103">
        <f>VLOOKUP(Q$1,'cost per tipologia de sòl'!$A$2:$D$37,4,FALSE)*'T100'!Q89</f>
        <v>0</v>
      </c>
      <c r="R89" s="1103">
        <f>VLOOKUP(R$1,'cost per tipologia de sòl'!$A$2:$D$37,4,FALSE)*'T100'!R89</f>
        <v>0</v>
      </c>
      <c r="S89" s="1103">
        <f>VLOOKUP(S$1,'cost per tipologia de sòl'!$A$2:$D$37,4,FALSE)*'T100'!S89</f>
        <v>236179985.32799998</v>
      </c>
      <c r="T89" s="1103">
        <f>VLOOKUP(T$1,'cost per tipologia de sòl'!$A$2:$D$37,4,FALSE)*'T100'!T89</f>
        <v>95971031.870000005</v>
      </c>
      <c r="U89" s="1103">
        <f>VLOOKUP(U$1,'cost per tipologia de sòl'!$A$2:$D$37,4,FALSE)*'T100'!U89</f>
        <v>103916001.00000001</v>
      </c>
      <c r="V89" s="1103">
        <f>VLOOKUP(V$1,'cost per tipologia de sòl'!$A$2:$D$37,4,FALSE)*'T100'!V89</f>
        <v>178835.864</v>
      </c>
      <c r="W89" s="1103">
        <f>VLOOKUP(W$1,'cost per tipologia de sòl'!$A$2:$D$37,4,FALSE)*'T100'!W89</f>
        <v>0</v>
      </c>
      <c r="X89" s="1103">
        <f>VLOOKUP(X$1,'cost per tipologia de sòl'!$A$2:$D$37,4,FALSE)*'T100'!X89</f>
        <v>0</v>
      </c>
      <c r="Y89" s="1103">
        <f>VLOOKUP(Y$1,'cost per tipologia de sòl'!$A$2:$D$37,4,FALSE)*'T100'!Y89</f>
        <v>0</v>
      </c>
      <c r="Z89" s="1103">
        <f>VLOOKUP(Z$1,'cost per tipologia de sòl'!$A$2:$D$37,4,FALSE)*'T100'!Z89</f>
        <v>1433237.0259999998</v>
      </c>
      <c r="AA89" s="1103">
        <f>VLOOKUP(AA$1,'cost per tipologia de sòl'!$A$2:$D$37,4,FALSE)*'T100'!AA89</f>
        <v>0</v>
      </c>
      <c r="AB89" s="1103">
        <f>VLOOKUP(AB$1,'cost per tipologia de sòl'!$A$2:$D$37,4,FALSE)*'T100'!AB89</f>
        <v>1537714.65</v>
      </c>
      <c r="AC89" s="1103">
        <f>VLOOKUP(AC$1,'cost per tipologia de sòl'!$A$2:$D$37,4,FALSE)*'T100'!AC89</f>
        <v>220883263.09999999</v>
      </c>
      <c r="AD89" s="1103">
        <f>VLOOKUP(AD$1,'cost per tipologia de sòl'!$A$2:$D$37,4,FALSE)*'T100'!AD89</f>
        <v>257610678.25</v>
      </c>
      <c r="AE89" s="1103">
        <f>VLOOKUP(AE$1,'cost per tipologia de sòl'!$A$2:$D$37,4,FALSE)*'T100'!AE89</f>
        <v>0</v>
      </c>
      <c r="AF89" s="1103">
        <f>VLOOKUP(AF$1,'cost per tipologia de sòl'!$A$2:$D$37,4,FALSE)*'T100'!AF89</f>
        <v>0</v>
      </c>
      <c r="AG89" s="1103">
        <f>VLOOKUP(AG$1,'cost per tipologia de sòl'!$A$2:$D$37,4,FALSE)*'T100'!AG89</f>
        <v>0</v>
      </c>
      <c r="AH89" s="1103">
        <f>VLOOKUP(AH$1,'cost per tipologia de sòl'!$A$2:$D$37,4,FALSE)*'T100'!AH89</f>
        <v>0</v>
      </c>
      <c r="AI89" s="1103">
        <f>VLOOKUP(AI$1,'cost per tipologia de sòl'!$A$2:$D$37,4,FALSE)*'T100'!AI89</f>
        <v>0</v>
      </c>
      <c r="AJ89" s="1103">
        <f t="shared" si="2"/>
        <v>1578612871.7050002</v>
      </c>
      <c r="AK89" s="1117">
        <f t="shared" si="3"/>
        <v>473.5838615115</v>
      </c>
    </row>
    <row r="90" spans="1:37">
      <c r="A90" s="1096" t="s">
        <v>1227</v>
      </c>
      <c r="B90" s="1103">
        <f>VLOOKUP(B$1,'cost per tipologia de sòl'!$A$2:$D$37,4,FALSE)*'T100'!B90</f>
        <v>0</v>
      </c>
      <c r="C90" s="1103">
        <f>VLOOKUP(C$1,'cost per tipologia de sòl'!$A$2:$D$37,4,FALSE)*'T100'!C90</f>
        <v>0</v>
      </c>
      <c r="D90" s="1103">
        <f>VLOOKUP(D$1,'cost per tipologia de sòl'!$A$2:$D$37,4,FALSE)*'T100'!D90</f>
        <v>1292190.2879999999</v>
      </c>
      <c r="E90" s="1103">
        <f>VLOOKUP(E$1,'cost per tipologia de sòl'!$A$2:$D$37,4,FALSE)*'T100'!E90</f>
        <v>0</v>
      </c>
      <c r="F90" s="1103">
        <f>VLOOKUP(F$1,'cost per tipologia de sòl'!$A$2:$D$37,4,FALSE)*'T100'!F90</f>
        <v>0</v>
      </c>
      <c r="G90" s="1103">
        <f>VLOOKUP(G$1,'cost per tipologia de sòl'!$A$2:$D$37,4,FALSE)*'T100'!G90</f>
        <v>0</v>
      </c>
      <c r="H90" s="1103">
        <f>VLOOKUP(H$1,'cost per tipologia de sòl'!$A$2:$D$37,4,FALSE)*'T100'!H90</f>
        <v>0</v>
      </c>
      <c r="I90" s="1103">
        <f>VLOOKUP(I$1,'cost per tipologia de sòl'!$A$2:$D$37,4,FALSE)*'T100'!I90</f>
        <v>0</v>
      </c>
      <c r="J90" s="1103">
        <f>VLOOKUP(J$1,'cost per tipologia de sòl'!$A$2:$D$37,4,FALSE)*'T100'!J90</f>
        <v>0</v>
      </c>
      <c r="K90" s="1103">
        <f>VLOOKUP(K$1,'cost per tipologia de sòl'!$A$2:$D$37,4,FALSE)*'T100'!K90</f>
        <v>0</v>
      </c>
      <c r="L90" s="1103">
        <f>VLOOKUP(L$1,'cost per tipologia de sòl'!$A$2:$D$37,4,FALSE)*'T100'!L90</f>
        <v>0</v>
      </c>
      <c r="M90" s="1103">
        <f>VLOOKUP(M$1,'cost per tipologia de sòl'!$A$2:$D$37,4,FALSE)*'T100'!M90</f>
        <v>0</v>
      </c>
      <c r="N90" s="1103">
        <f>VLOOKUP(N$1,'cost per tipologia de sòl'!$A$2:$D$37,4,FALSE)*'T100'!N90</f>
        <v>4.8239999999999998</v>
      </c>
      <c r="O90" s="1103">
        <f>VLOOKUP(O$1,'cost per tipologia de sòl'!$A$2:$D$37,4,FALSE)*'T100'!O90</f>
        <v>0</v>
      </c>
      <c r="P90" s="1103">
        <f>VLOOKUP(P$1,'cost per tipologia de sòl'!$A$2:$D$37,4,FALSE)*'T100'!P90</f>
        <v>248.16800000000001</v>
      </c>
      <c r="Q90" s="1103">
        <f>VLOOKUP(Q$1,'cost per tipologia de sòl'!$A$2:$D$37,4,FALSE)*'T100'!Q90</f>
        <v>0</v>
      </c>
      <c r="R90" s="1103">
        <f>VLOOKUP(R$1,'cost per tipologia de sòl'!$A$2:$D$37,4,FALSE)*'T100'!R90</f>
        <v>0</v>
      </c>
      <c r="S90" s="1103">
        <f>VLOOKUP(S$1,'cost per tipologia de sòl'!$A$2:$D$37,4,FALSE)*'T100'!S90</f>
        <v>795.3119999999999</v>
      </c>
      <c r="T90" s="1103">
        <f>VLOOKUP(T$1,'cost per tipologia de sòl'!$A$2:$D$37,4,FALSE)*'T100'!T90</f>
        <v>1175588.4410000001</v>
      </c>
      <c r="U90" s="1103">
        <f>VLOOKUP(U$1,'cost per tipologia de sòl'!$A$2:$D$37,4,FALSE)*'T100'!U90</f>
        <v>1948459.8</v>
      </c>
      <c r="V90" s="1103">
        <f>VLOOKUP(V$1,'cost per tipologia de sòl'!$A$2:$D$37,4,FALSE)*'T100'!V90</f>
        <v>0</v>
      </c>
      <c r="W90" s="1103">
        <f>VLOOKUP(W$1,'cost per tipologia de sòl'!$A$2:$D$37,4,FALSE)*'T100'!W90</f>
        <v>0</v>
      </c>
      <c r="X90" s="1103">
        <f>VLOOKUP(X$1,'cost per tipologia de sòl'!$A$2:$D$37,4,FALSE)*'T100'!X90</f>
        <v>0</v>
      </c>
      <c r="Y90" s="1103">
        <f>VLOOKUP(Y$1,'cost per tipologia de sòl'!$A$2:$D$37,4,FALSE)*'T100'!Y90</f>
        <v>0</v>
      </c>
      <c r="Z90" s="1103">
        <f>VLOOKUP(Z$1,'cost per tipologia de sòl'!$A$2:$D$37,4,FALSE)*'T100'!Z90</f>
        <v>0</v>
      </c>
      <c r="AA90" s="1103">
        <f>VLOOKUP(AA$1,'cost per tipologia de sòl'!$A$2:$D$37,4,FALSE)*'T100'!AA90</f>
        <v>0</v>
      </c>
      <c r="AB90" s="1103">
        <f>VLOOKUP(AB$1,'cost per tipologia de sòl'!$A$2:$D$37,4,FALSE)*'T100'!AB90</f>
        <v>2314351.0499999998</v>
      </c>
      <c r="AC90" s="1103">
        <f>VLOOKUP(AC$1,'cost per tipologia de sòl'!$A$2:$D$37,4,FALSE)*'T100'!AC90</f>
        <v>0</v>
      </c>
      <c r="AD90" s="1103">
        <f>VLOOKUP(AD$1,'cost per tipologia de sòl'!$A$2:$D$37,4,FALSE)*'T100'!AD90</f>
        <v>8950066.8500000089</v>
      </c>
      <c r="AE90" s="1103">
        <f>VLOOKUP(AE$1,'cost per tipologia de sòl'!$A$2:$D$37,4,FALSE)*'T100'!AE90</f>
        <v>0</v>
      </c>
      <c r="AF90" s="1103">
        <f>VLOOKUP(AF$1,'cost per tipologia de sòl'!$A$2:$D$37,4,FALSE)*'T100'!AF90</f>
        <v>0</v>
      </c>
      <c r="AG90" s="1103">
        <f>VLOOKUP(AG$1,'cost per tipologia de sòl'!$A$2:$D$37,4,FALSE)*'T100'!AG90</f>
        <v>0</v>
      </c>
      <c r="AH90" s="1103">
        <f>VLOOKUP(AH$1,'cost per tipologia de sòl'!$A$2:$D$37,4,FALSE)*'T100'!AH90</f>
        <v>0</v>
      </c>
      <c r="AI90" s="1103">
        <f>VLOOKUP(AI$1,'cost per tipologia de sòl'!$A$2:$D$37,4,FALSE)*'T100'!AI90</f>
        <v>0</v>
      </c>
      <c r="AJ90" s="1103">
        <f t="shared" si="2"/>
        <v>15681704.733000008</v>
      </c>
      <c r="AK90" s="1117">
        <f t="shared" si="3"/>
        <v>4.7045114199000029</v>
      </c>
    </row>
    <row r="91" spans="1:37">
      <c r="A91" s="1096" t="s">
        <v>1220</v>
      </c>
      <c r="B91" s="1103">
        <f>VLOOKUP(B$1,'cost per tipologia de sòl'!$A$2:$D$37,4,FALSE)*'T100'!B91</f>
        <v>616142555.18999994</v>
      </c>
      <c r="C91" s="1103">
        <f>VLOOKUP(C$1,'cost per tipologia de sòl'!$A$2:$D$37,4,FALSE)*'T100'!C91</f>
        <v>275988.40399999998</v>
      </c>
      <c r="D91" s="1103">
        <f>VLOOKUP(D$1,'cost per tipologia de sòl'!$A$2:$D$37,4,FALSE)*'T100'!D91</f>
        <v>74513492.25</v>
      </c>
      <c r="E91" s="1103">
        <f>VLOOKUP(E$1,'cost per tipologia de sòl'!$A$2:$D$37,4,FALSE)*'T100'!E91</f>
        <v>0</v>
      </c>
      <c r="F91" s="1103">
        <f>VLOOKUP(F$1,'cost per tipologia de sòl'!$A$2:$D$37,4,FALSE)*'T100'!F91</f>
        <v>0</v>
      </c>
      <c r="G91" s="1103">
        <f>VLOOKUP(G$1,'cost per tipologia de sòl'!$A$2:$D$37,4,FALSE)*'T100'!G91</f>
        <v>0</v>
      </c>
      <c r="H91" s="1103">
        <f>VLOOKUP(H$1,'cost per tipologia de sòl'!$A$2:$D$37,4,FALSE)*'T100'!H91</f>
        <v>0</v>
      </c>
      <c r="I91" s="1103">
        <f>VLOOKUP(I$1,'cost per tipologia de sòl'!$A$2:$D$37,4,FALSE)*'T100'!I91</f>
        <v>0</v>
      </c>
      <c r="J91" s="1103">
        <f>VLOOKUP(J$1,'cost per tipologia de sòl'!$A$2:$D$37,4,FALSE)*'T100'!J91</f>
        <v>82386.243500000011</v>
      </c>
      <c r="K91" s="1103">
        <f>VLOOKUP(K$1,'cost per tipologia de sòl'!$A$2:$D$37,4,FALSE)*'T100'!K91</f>
        <v>5690386.1699999999</v>
      </c>
      <c r="L91" s="1103">
        <f>VLOOKUP(L$1,'cost per tipologia de sòl'!$A$2:$D$37,4,FALSE)*'T100'!L91</f>
        <v>0</v>
      </c>
      <c r="M91" s="1103">
        <f>VLOOKUP(M$1,'cost per tipologia de sòl'!$A$2:$D$37,4,FALSE)*'T100'!M91</f>
        <v>0</v>
      </c>
      <c r="N91" s="1103">
        <f>VLOOKUP(N$1,'cost per tipologia de sòl'!$A$2:$D$37,4,FALSE)*'T100'!N91</f>
        <v>14413181.503999999</v>
      </c>
      <c r="O91" s="1103">
        <f>VLOOKUP(O$1,'cost per tipologia de sòl'!$A$2:$D$37,4,FALSE)*'T100'!O91</f>
        <v>0</v>
      </c>
      <c r="P91" s="1103">
        <f>VLOOKUP(P$1,'cost per tipologia de sòl'!$A$2:$D$37,4,FALSE)*'T100'!P91</f>
        <v>76218089.408000007</v>
      </c>
      <c r="Q91" s="1103">
        <f>VLOOKUP(Q$1,'cost per tipologia de sòl'!$A$2:$D$37,4,FALSE)*'T100'!Q91</f>
        <v>0</v>
      </c>
      <c r="R91" s="1103">
        <f>VLOOKUP(R$1,'cost per tipologia de sòl'!$A$2:$D$37,4,FALSE)*'T100'!R91</f>
        <v>0</v>
      </c>
      <c r="S91" s="1103">
        <f>VLOOKUP(S$1,'cost per tipologia de sòl'!$A$2:$D$37,4,FALSE)*'T100'!S91</f>
        <v>225922859.56800002</v>
      </c>
      <c r="T91" s="1103">
        <f>VLOOKUP(T$1,'cost per tipologia de sòl'!$A$2:$D$37,4,FALSE)*'T100'!T91</f>
        <v>143955185.98800001</v>
      </c>
      <c r="U91" s="1103">
        <f>VLOOKUP(U$1,'cost per tipologia de sòl'!$A$2:$D$37,4,FALSE)*'T100'!U91</f>
        <v>40916671.950000003</v>
      </c>
      <c r="V91" s="1103">
        <f>VLOOKUP(V$1,'cost per tipologia de sòl'!$A$2:$D$37,4,FALSE)*'T100'!V91</f>
        <v>316375.07199999999</v>
      </c>
      <c r="W91" s="1103">
        <f>VLOOKUP(W$1,'cost per tipologia de sòl'!$A$2:$D$37,4,FALSE)*'T100'!W91</f>
        <v>0</v>
      </c>
      <c r="X91" s="1103">
        <f>VLOOKUP(X$1,'cost per tipologia de sòl'!$A$2:$D$37,4,FALSE)*'T100'!X91</f>
        <v>0</v>
      </c>
      <c r="Y91" s="1103">
        <f>VLOOKUP(Y$1,'cost per tipologia de sòl'!$A$2:$D$37,4,FALSE)*'T100'!Y91</f>
        <v>0</v>
      </c>
      <c r="Z91" s="1103">
        <f>VLOOKUP(Z$1,'cost per tipologia de sòl'!$A$2:$D$37,4,FALSE)*'T100'!Z91</f>
        <v>873413.75799999991</v>
      </c>
      <c r="AA91" s="1103">
        <f>VLOOKUP(AA$1,'cost per tipologia de sòl'!$A$2:$D$37,4,FALSE)*'T100'!AA91</f>
        <v>0</v>
      </c>
      <c r="AB91" s="1103">
        <f>VLOOKUP(AB$1,'cost per tipologia de sòl'!$A$2:$D$37,4,FALSE)*'T100'!AB91</f>
        <v>2383822.65</v>
      </c>
      <c r="AC91" s="1103">
        <f>VLOOKUP(AC$1,'cost per tipologia de sòl'!$A$2:$D$37,4,FALSE)*'T100'!AC91</f>
        <v>305647181.25</v>
      </c>
      <c r="AD91" s="1103">
        <f>VLOOKUP(AD$1,'cost per tipologia de sòl'!$A$2:$D$37,4,FALSE)*'T100'!AD91</f>
        <v>366273873.69999999</v>
      </c>
      <c r="AE91" s="1103">
        <f>VLOOKUP(AE$1,'cost per tipologia de sòl'!$A$2:$D$37,4,FALSE)*'T100'!AE91</f>
        <v>0</v>
      </c>
      <c r="AF91" s="1103">
        <f>VLOOKUP(AF$1,'cost per tipologia de sòl'!$A$2:$D$37,4,FALSE)*'T100'!AF91</f>
        <v>0</v>
      </c>
      <c r="AG91" s="1103">
        <f>VLOOKUP(AG$1,'cost per tipologia de sòl'!$A$2:$D$37,4,FALSE)*'T100'!AG91</f>
        <v>0</v>
      </c>
      <c r="AH91" s="1103">
        <f>VLOOKUP(AH$1,'cost per tipologia de sòl'!$A$2:$D$37,4,FALSE)*'T100'!AH91</f>
        <v>0</v>
      </c>
      <c r="AI91" s="1103">
        <f>VLOOKUP(AI$1,'cost per tipologia de sòl'!$A$2:$D$37,4,FALSE)*'T100'!AI91</f>
        <v>0</v>
      </c>
      <c r="AJ91" s="1103">
        <f t="shared" si="2"/>
        <v>1873625463.1055</v>
      </c>
      <c r="AK91" s="1117">
        <f t="shared" si="3"/>
        <v>562.08763893164996</v>
      </c>
    </row>
    <row r="92" spans="1:37">
      <c r="A92" s="1096" t="s">
        <v>1240</v>
      </c>
      <c r="B92" s="1103">
        <f>VLOOKUP(B$1,'cost per tipologia de sòl'!$A$2:$D$37,4,FALSE)*'T100'!B92</f>
        <v>9449958.6180000007</v>
      </c>
      <c r="C92" s="1103">
        <f>VLOOKUP(C$1,'cost per tipologia de sòl'!$A$2:$D$37,4,FALSE)*'T100'!C92</f>
        <v>0</v>
      </c>
      <c r="D92" s="1103">
        <f>VLOOKUP(D$1,'cost per tipologia de sòl'!$A$2:$D$37,4,FALSE)*'T100'!D92</f>
        <v>0</v>
      </c>
      <c r="E92" s="1103">
        <f>VLOOKUP(E$1,'cost per tipologia de sòl'!$A$2:$D$37,4,FALSE)*'T100'!E92</f>
        <v>0</v>
      </c>
      <c r="F92" s="1103">
        <f>VLOOKUP(F$1,'cost per tipologia de sòl'!$A$2:$D$37,4,FALSE)*'T100'!F92</f>
        <v>0</v>
      </c>
      <c r="G92" s="1103">
        <f>VLOOKUP(G$1,'cost per tipologia de sòl'!$A$2:$D$37,4,FALSE)*'T100'!G92</f>
        <v>0</v>
      </c>
      <c r="H92" s="1103">
        <f>VLOOKUP(H$1,'cost per tipologia de sòl'!$A$2:$D$37,4,FALSE)*'T100'!H92</f>
        <v>0</v>
      </c>
      <c r="I92" s="1103">
        <f>VLOOKUP(I$1,'cost per tipologia de sòl'!$A$2:$D$37,4,FALSE)*'T100'!I92</f>
        <v>0</v>
      </c>
      <c r="J92" s="1103">
        <f>VLOOKUP(J$1,'cost per tipologia de sòl'!$A$2:$D$37,4,FALSE)*'T100'!J92</f>
        <v>1007189.1775000001</v>
      </c>
      <c r="K92" s="1103">
        <f>VLOOKUP(K$1,'cost per tipologia de sòl'!$A$2:$D$37,4,FALSE)*'T100'!K92</f>
        <v>3035997.0269999998</v>
      </c>
      <c r="L92" s="1103">
        <f>VLOOKUP(L$1,'cost per tipologia de sòl'!$A$2:$D$37,4,FALSE)*'T100'!L92</f>
        <v>5192.0729999999994</v>
      </c>
      <c r="M92" s="1103">
        <f>VLOOKUP(M$1,'cost per tipologia de sòl'!$A$2:$D$37,4,FALSE)*'T100'!M92</f>
        <v>8376857.2400000002</v>
      </c>
      <c r="N92" s="1103">
        <f>VLOOKUP(N$1,'cost per tipologia de sòl'!$A$2:$D$37,4,FALSE)*'T100'!N92</f>
        <v>838066.01600000006</v>
      </c>
      <c r="O92" s="1103">
        <f>VLOOKUP(O$1,'cost per tipologia de sòl'!$A$2:$D$37,4,FALSE)*'T100'!O92</f>
        <v>0</v>
      </c>
      <c r="P92" s="1103">
        <f>VLOOKUP(P$1,'cost per tipologia de sòl'!$A$2:$D$37,4,FALSE)*'T100'!P92</f>
        <v>8834529.9519999996</v>
      </c>
      <c r="Q92" s="1103">
        <f>VLOOKUP(Q$1,'cost per tipologia de sòl'!$A$2:$D$37,4,FALSE)*'T100'!Q92</f>
        <v>0</v>
      </c>
      <c r="R92" s="1103">
        <f>VLOOKUP(R$1,'cost per tipologia de sòl'!$A$2:$D$37,4,FALSE)*'T100'!R92</f>
        <v>0</v>
      </c>
      <c r="S92" s="1103">
        <f>VLOOKUP(S$1,'cost per tipologia de sòl'!$A$2:$D$37,4,FALSE)*'T100'!S92</f>
        <v>9340748.9279999994</v>
      </c>
      <c r="T92" s="1103">
        <f>VLOOKUP(T$1,'cost per tipologia de sòl'!$A$2:$D$37,4,FALSE)*'T100'!T92</f>
        <v>7891061.5810000002</v>
      </c>
      <c r="U92" s="1103">
        <f>VLOOKUP(U$1,'cost per tipologia de sòl'!$A$2:$D$37,4,FALSE)*'T100'!U92</f>
        <v>170573.55</v>
      </c>
      <c r="V92" s="1103">
        <f>VLOOKUP(V$1,'cost per tipologia de sòl'!$A$2:$D$37,4,FALSE)*'T100'!V92</f>
        <v>0</v>
      </c>
      <c r="W92" s="1103">
        <f>VLOOKUP(W$1,'cost per tipologia de sòl'!$A$2:$D$37,4,FALSE)*'T100'!W92</f>
        <v>0</v>
      </c>
      <c r="X92" s="1103">
        <f>VLOOKUP(X$1,'cost per tipologia de sòl'!$A$2:$D$37,4,FALSE)*'T100'!X92</f>
        <v>0</v>
      </c>
      <c r="Y92" s="1103">
        <f>VLOOKUP(Y$1,'cost per tipologia de sòl'!$A$2:$D$37,4,FALSE)*'T100'!Y92</f>
        <v>0</v>
      </c>
      <c r="Z92" s="1103">
        <f>VLOOKUP(Z$1,'cost per tipologia de sòl'!$A$2:$D$37,4,FALSE)*'T100'!Z92</f>
        <v>10211775.733999999</v>
      </c>
      <c r="AA92" s="1103">
        <f>VLOOKUP(AA$1,'cost per tipologia de sòl'!$A$2:$D$37,4,FALSE)*'T100'!AA92</f>
        <v>268.85000000000002</v>
      </c>
      <c r="AB92" s="1103">
        <f>VLOOKUP(AB$1,'cost per tipologia de sòl'!$A$2:$D$37,4,FALSE)*'T100'!AB92</f>
        <v>1205186.1499999999</v>
      </c>
      <c r="AC92" s="1103">
        <f>VLOOKUP(AC$1,'cost per tipologia de sòl'!$A$2:$D$37,4,FALSE)*'T100'!AC92</f>
        <v>18655611.699999999</v>
      </c>
      <c r="AD92" s="1103">
        <f>VLOOKUP(AD$1,'cost per tipologia de sòl'!$A$2:$D$37,4,FALSE)*'T100'!AD92</f>
        <v>426282.10000000003</v>
      </c>
      <c r="AE92" s="1103">
        <f>VLOOKUP(AE$1,'cost per tipologia de sòl'!$A$2:$D$37,4,FALSE)*'T100'!AE92</f>
        <v>0</v>
      </c>
      <c r="AF92" s="1103">
        <f>VLOOKUP(AF$1,'cost per tipologia de sòl'!$A$2:$D$37,4,FALSE)*'T100'!AF92</f>
        <v>0</v>
      </c>
      <c r="AG92" s="1103">
        <f>VLOOKUP(AG$1,'cost per tipologia de sòl'!$A$2:$D$37,4,FALSE)*'T100'!AG92</f>
        <v>0</v>
      </c>
      <c r="AH92" s="1103">
        <f>VLOOKUP(AH$1,'cost per tipologia de sòl'!$A$2:$D$37,4,FALSE)*'T100'!AH92</f>
        <v>0</v>
      </c>
      <c r="AI92" s="1103">
        <f>VLOOKUP(AI$1,'cost per tipologia de sòl'!$A$2:$D$37,4,FALSE)*'T100'!AI92</f>
        <v>0</v>
      </c>
      <c r="AJ92" s="1103">
        <f t="shared" si="2"/>
        <v>79449298.696499988</v>
      </c>
      <c r="AK92" s="1117">
        <f t="shared" si="3"/>
        <v>23.834789608949993</v>
      </c>
    </row>
    <row r="93" spans="1:37">
      <c r="A93" s="1096" t="s">
        <v>1255</v>
      </c>
      <c r="B93" s="1103">
        <f>VLOOKUP(B$1,'cost per tipologia de sòl'!$A$2:$D$37,4,FALSE)*'T100'!B93</f>
        <v>310210023.95999998</v>
      </c>
      <c r="C93" s="1103">
        <f>VLOOKUP(C$1,'cost per tipologia de sòl'!$A$2:$D$37,4,FALSE)*'T100'!C93</f>
        <v>714643.68599999999</v>
      </c>
      <c r="D93" s="1103">
        <f>VLOOKUP(D$1,'cost per tipologia de sòl'!$A$2:$D$37,4,FALSE)*'T100'!D93</f>
        <v>0</v>
      </c>
      <c r="E93" s="1103">
        <f>VLOOKUP(E$1,'cost per tipologia de sòl'!$A$2:$D$37,4,FALSE)*'T100'!E93</f>
        <v>0</v>
      </c>
      <c r="F93" s="1103">
        <f>VLOOKUP(F$1,'cost per tipologia de sòl'!$A$2:$D$37,4,FALSE)*'T100'!F93</f>
        <v>0</v>
      </c>
      <c r="G93" s="1103">
        <f>VLOOKUP(G$1,'cost per tipologia de sòl'!$A$2:$D$37,4,FALSE)*'T100'!G93</f>
        <v>0</v>
      </c>
      <c r="H93" s="1103">
        <f>VLOOKUP(H$1,'cost per tipologia de sòl'!$A$2:$D$37,4,FALSE)*'T100'!H93</f>
        <v>0</v>
      </c>
      <c r="I93" s="1103">
        <f>VLOOKUP(I$1,'cost per tipologia de sòl'!$A$2:$D$37,4,FALSE)*'T100'!I93</f>
        <v>0</v>
      </c>
      <c r="J93" s="1103">
        <f>VLOOKUP(J$1,'cost per tipologia de sòl'!$A$2:$D$37,4,FALSE)*'T100'!J93</f>
        <v>0</v>
      </c>
      <c r="K93" s="1103">
        <f>VLOOKUP(K$1,'cost per tipologia de sòl'!$A$2:$D$37,4,FALSE)*'T100'!K93</f>
        <v>3516592.2120000003</v>
      </c>
      <c r="L93" s="1103">
        <f>VLOOKUP(L$1,'cost per tipologia de sòl'!$A$2:$D$37,4,FALSE)*'T100'!L93</f>
        <v>0</v>
      </c>
      <c r="M93" s="1103">
        <f>VLOOKUP(M$1,'cost per tipologia de sòl'!$A$2:$D$37,4,FALSE)*'T100'!M93</f>
        <v>0</v>
      </c>
      <c r="N93" s="1103">
        <f>VLOOKUP(N$1,'cost per tipologia de sòl'!$A$2:$D$37,4,FALSE)*'T100'!N93</f>
        <v>564717.80799999996</v>
      </c>
      <c r="O93" s="1103">
        <f>VLOOKUP(O$1,'cost per tipologia de sòl'!$A$2:$D$37,4,FALSE)*'T100'!O93</f>
        <v>0</v>
      </c>
      <c r="P93" s="1103">
        <f>VLOOKUP(P$1,'cost per tipologia de sòl'!$A$2:$D$37,4,FALSE)*'T100'!P93</f>
        <v>1623928.848</v>
      </c>
      <c r="Q93" s="1103">
        <f>VLOOKUP(Q$1,'cost per tipologia de sòl'!$A$2:$D$37,4,FALSE)*'T100'!Q93</f>
        <v>0</v>
      </c>
      <c r="R93" s="1103">
        <f>VLOOKUP(R$1,'cost per tipologia de sòl'!$A$2:$D$37,4,FALSE)*'T100'!R93</f>
        <v>0</v>
      </c>
      <c r="S93" s="1103">
        <f>VLOOKUP(S$1,'cost per tipologia de sòl'!$A$2:$D$37,4,FALSE)*'T100'!S93</f>
        <v>20086787.952</v>
      </c>
      <c r="T93" s="1103">
        <f>VLOOKUP(T$1,'cost per tipologia de sòl'!$A$2:$D$37,4,FALSE)*'T100'!T93</f>
        <v>28529917.870000001</v>
      </c>
      <c r="U93" s="1103">
        <f>VLOOKUP(U$1,'cost per tipologia de sòl'!$A$2:$D$37,4,FALSE)*'T100'!U93</f>
        <v>5934671.4000000004</v>
      </c>
      <c r="V93" s="1103">
        <f>VLOOKUP(V$1,'cost per tipologia de sòl'!$A$2:$D$37,4,FALSE)*'T100'!V93</f>
        <v>0</v>
      </c>
      <c r="W93" s="1103">
        <f>VLOOKUP(W$1,'cost per tipologia de sòl'!$A$2:$D$37,4,FALSE)*'T100'!W93</f>
        <v>0</v>
      </c>
      <c r="X93" s="1103">
        <f>VLOOKUP(X$1,'cost per tipologia de sòl'!$A$2:$D$37,4,FALSE)*'T100'!X93</f>
        <v>0</v>
      </c>
      <c r="Y93" s="1103">
        <f>VLOOKUP(Y$1,'cost per tipologia de sòl'!$A$2:$D$37,4,FALSE)*'T100'!Y93</f>
        <v>0</v>
      </c>
      <c r="Z93" s="1103">
        <f>VLOOKUP(Z$1,'cost per tipologia de sòl'!$A$2:$D$37,4,FALSE)*'T100'!Z93</f>
        <v>11961504.752</v>
      </c>
      <c r="AA93" s="1103">
        <f>VLOOKUP(AA$1,'cost per tipologia de sòl'!$A$2:$D$37,4,FALSE)*'T100'!AA93</f>
        <v>0</v>
      </c>
      <c r="AB93" s="1103">
        <f>VLOOKUP(AB$1,'cost per tipologia de sòl'!$A$2:$D$37,4,FALSE)*'T100'!AB93</f>
        <v>5145633.1999999993</v>
      </c>
      <c r="AC93" s="1103">
        <f>VLOOKUP(AC$1,'cost per tipologia de sòl'!$A$2:$D$37,4,FALSE)*'T100'!AC93</f>
        <v>53696101.399999999</v>
      </c>
      <c r="AD93" s="1103">
        <f>VLOOKUP(AD$1,'cost per tipologia de sòl'!$A$2:$D$37,4,FALSE)*'T100'!AD93</f>
        <v>66123090.350000001</v>
      </c>
      <c r="AE93" s="1103">
        <f>VLOOKUP(AE$1,'cost per tipologia de sòl'!$A$2:$D$37,4,FALSE)*'T100'!AE93</f>
        <v>0</v>
      </c>
      <c r="AF93" s="1103">
        <f>VLOOKUP(AF$1,'cost per tipologia de sòl'!$A$2:$D$37,4,FALSE)*'T100'!AF93</f>
        <v>0</v>
      </c>
      <c r="AG93" s="1103">
        <f>VLOOKUP(AG$1,'cost per tipologia de sòl'!$A$2:$D$37,4,FALSE)*'T100'!AG93</f>
        <v>0</v>
      </c>
      <c r="AH93" s="1103">
        <f>VLOOKUP(AH$1,'cost per tipologia de sòl'!$A$2:$D$37,4,FALSE)*'T100'!AH93</f>
        <v>0</v>
      </c>
      <c r="AI93" s="1103">
        <f>VLOOKUP(AI$1,'cost per tipologia de sòl'!$A$2:$D$37,4,FALSE)*'T100'!AI93</f>
        <v>0</v>
      </c>
      <c r="AJ93" s="1103">
        <f t="shared" si="2"/>
        <v>508107613.43799996</v>
      </c>
      <c r="AK93" s="1117">
        <f t="shared" si="3"/>
        <v>152.4322840314</v>
      </c>
    </row>
    <row r="94" spans="1:37">
      <c r="A94" s="1096" t="s">
        <v>1256</v>
      </c>
      <c r="B94" s="1103">
        <f>VLOOKUP(B$1,'cost per tipologia de sòl'!$A$2:$D$37,4,FALSE)*'T100'!B94</f>
        <v>404076355.43400002</v>
      </c>
      <c r="C94" s="1103">
        <f>VLOOKUP(C$1,'cost per tipologia de sòl'!$A$2:$D$37,4,FALSE)*'T100'!C94</f>
        <v>0</v>
      </c>
      <c r="D94" s="1103">
        <f>VLOOKUP(D$1,'cost per tipologia de sòl'!$A$2:$D$37,4,FALSE)*'T100'!D94</f>
        <v>0</v>
      </c>
      <c r="E94" s="1103">
        <f>VLOOKUP(E$1,'cost per tipologia de sòl'!$A$2:$D$37,4,FALSE)*'T100'!E94</f>
        <v>0</v>
      </c>
      <c r="F94" s="1103">
        <f>VLOOKUP(F$1,'cost per tipologia de sòl'!$A$2:$D$37,4,FALSE)*'T100'!F94</f>
        <v>0</v>
      </c>
      <c r="G94" s="1103">
        <f>VLOOKUP(G$1,'cost per tipologia de sòl'!$A$2:$D$37,4,FALSE)*'T100'!G94</f>
        <v>0</v>
      </c>
      <c r="H94" s="1103">
        <f>VLOOKUP(H$1,'cost per tipologia de sòl'!$A$2:$D$37,4,FALSE)*'T100'!H94</f>
        <v>0</v>
      </c>
      <c r="I94" s="1103">
        <f>VLOOKUP(I$1,'cost per tipologia de sòl'!$A$2:$D$37,4,FALSE)*'T100'!I94</f>
        <v>0</v>
      </c>
      <c r="J94" s="1103">
        <f>VLOOKUP(J$1,'cost per tipologia de sòl'!$A$2:$D$37,4,FALSE)*'T100'!J94</f>
        <v>838185.08400000003</v>
      </c>
      <c r="K94" s="1103">
        <f>VLOOKUP(K$1,'cost per tipologia de sòl'!$A$2:$D$37,4,FALSE)*'T100'!K94</f>
        <v>0</v>
      </c>
      <c r="L94" s="1103">
        <f>VLOOKUP(L$1,'cost per tipologia de sòl'!$A$2:$D$37,4,FALSE)*'T100'!L94</f>
        <v>0</v>
      </c>
      <c r="M94" s="1103">
        <f>VLOOKUP(M$1,'cost per tipologia de sòl'!$A$2:$D$37,4,FALSE)*'T100'!M94</f>
        <v>0</v>
      </c>
      <c r="N94" s="1103">
        <f>VLOOKUP(N$1,'cost per tipologia de sòl'!$A$2:$D$37,4,FALSE)*'T100'!N94</f>
        <v>3628703.3840000001</v>
      </c>
      <c r="O94" s="1103">
        <f>VLOOKUP(O$1,'cost per tipologia de sòl'!$A$2:$D$37,4,FALSE)*'T100'!O94</f>
        <v>0</v>
      </c>
      <c r="P94" s="1103">
        <f>VLOOKUP(P$1,'cost per tipologia de sòl'!$A$2:$D$37,4,FALSE)*'T100'!P94</f>
        <v>0</v>
      </c>
      <c r="Q94" s="1103">
        <f>VLOOKUP(Q$1,'cost per tipologia de sòl'!$A$2:$D$37,4,FALSE)*'T100'!Q94</f>
        <v>0</v>
      </c>
      <c r="R94" s="1103">
        <f>VLOOKUP(R$1,'cost per tipologia de sòl'!$A$2:$D$37,4,FALSE)*'T100'!R94</f>
        <v>0</v>
      </c>
      <c r="S94" s="1103">
        <f>VLOOKUP(S$1,'cost per tipologia de sòl'!$A$2:$D$37,4,FALSE)*'T100'!S94</f>
        <v>21760257.456</v>
      </c>
      <c r="T94" s="1103">
        <f>VLOOKUP(T$1,'cost per tipologia de sòl'!$A$2:$D$37,4,FALSE)*'T100'!T94</f>
        <v>25045108.035999998</v>
      </c>
      <c r="U94" s="1103">
        <f>VLOOKUP(U$1,'cost per tipologia de sòl'!$A$2:$D$37,4,FALSE)*'T100'!U94</f>
        <v>421598.1</v>
      </c>
      <c r="V94" s="1103">
        <f>VLOOKUP(V$1,'cost per tipologia de sòl'!$A$2:$D$37,4,FALSE)*'T100'!V94</f>
        <v>0</v>
      </c>
      <c r="W94" s="1103">
        <f>VLOOKUP(W$1,'cost per tipologia de sòl'!$A$2:$D$37,4,FALSE)*'T100'!W94</f>
        <v>0</v>
      </c>
      <c r="X94" s="1103">
        <f>VLOOKUP(X$1,'cost per tipologia de sòl'!$A$2:$D$37,4,FALSE)*'T100'!X94</f>
        <v>0</v>
      </c>
      <c r="Y94" s="1103">
        <f>VLOOKUP(Y$1,'cost per tipologia de sòl'!$A$2:$D$37,4,FALSE)*'T100'!Y94</f>
        <v>0</v>
      </c>
      <c r="Z94" s="1103">
        <f>VLOOKUP(Z$1,'cost per tipologia de sòl'!$A$2:$D$37,4,FALSE)*'T100'!Z94</f>
        <v>42526037.653999999</v>
      </c>
      <c r="AA94" s="1103">
        <f>VLOOKUP(AA$1,'cost per tipologia de sòl'!$A$2:$D$37,4,FALSE)*'T100'!AA94</f>
        <v>0</v>
      </c>
      <c r="AB94" s="1103">
        <f>VLOOKUP(AB$1,'cost per tipologia de sòl'!$A$2:$D$37,4,FALSE)*'T100'!AB94</f>
        <v>59359743.949999996</v>
      </c>
      <c r="AC94" s="1103">
        <f>VLOOKUP(AC$1,'cost per tipologia de sòl'!$A$2:$D$37,4,FALSE)*'T100'!AC94</f>
        <v>62550452.899999999</v>
      </c>
      <c r="AD94" s="1103">
        <f>VLOOKUP(AD$1,'cost per tipologia de sòl'!$A$2:$D$37,4,FALSE)*'T100'!AD94</f>
        <v>55396609.949999996</v>
      </c>
      <c r="AE94" s="1103">
        <f>VLOOKUP(AE$1,'cost per tipologia de sòl'!$A$2:$D$37,4,FALSE)*'T100'!AE94</f>
        <v>0</v>
      </c>
      <c r="AF94" s="1103">
        <f>VLOOKUP(AF$1,'cost per tipologia de sòl'!$A$2:$D$37,4,FALSE)*'T100'!AF94</f>
        <v>0</v>
      </c>
      <c r="AG94" s="1103">
        <f>VLOOKUP(AG$1,'cost per tipologia de sòl'!$A$2:$D$37,4,FALSE)*'T100'!AG94</f>
        <v>0</v>
      </c>
      <c r="AH94" s="1103">
        <f>VLOOKUP(AH$1,'cost per tipologia de sòl'!$A$2:$D$37,4,FALSE)*'T100'!AH94</f>
        <v>0</v>
      </c>
      <c r="AI94" s="1103">
        <f>VLOOKUP(AI$1,'cost per tipologia de sòl'!$A$2:$D$37,4,FALSE)*'T100'!AI94</f>
        <v>0</v>
      </c>
      <c r="AJ94" s="1103">
        <f t="shared" si="2"/>
        <v>675603051.94800007</v>
      </c>
      <c r="AK94" s="1117">
        <f t="shared" si="3"/>
        <v>202.68091558440003</v>
      </c>
    </row>
    <row r="95" spans="1:37">
      <c r="A95" s="1096" t="s">
        <v>1268</v>
      </c>
      <c r="B95" s="1103">
        <f>VLOOKUP(B$1,'cost per tipologia de sòl'!$A$2:$D$37,4,FALSE)*'T100'!B95</f>
        <v>2278395.27</v>
      </c>
      <c r="C95" s="1103">
        <f>VLOOKUP(C$1,'cost per tipologia de sòl'!$A$2:$D$37,4,FALSE)*'T100'!C95</f>
        <v>0</v>
      </c>
      <c r="D95" s="1103">
        <f>VLOOKUP(D$1,'cost per tipologia de sòl'!$A$2:$D$37,4,FALSE)*'T100'!D95</f>
        <v>0</v>
      </c>
      <c r="E95" s="1103">
        <f>VLOOKUP(E$1,'cost per tipologia de sòl'!$A$2:$D$37,4,FALSE)*'T100'!E95</f>
        <v>0</v>
      </c>
      <c r="F95" s="1103">
        <f>VLOOKUP(F$1,'cost per tipologia de sòl'!$A$2:$D$37,4,FALSE)*'T100'!F95</f>
        <v>0</v>
      </c>
      <c r="G95" s="1103">
        <f>VLOOKUP(G$1,'cost per tipologia de sòl'!$A$2:$D$37,4,FALSE)*'T100'!G95</f>
        <v>0</v>
      </c>
      <c r="H95" s="1103">
        <f>VLOOKUP(H$1,'cost per tipologia de sòl'!$A$2:$D$37,4,FALSE)*'T100'!H95</f>
        <v>0</v>
      </c>
      <c r="I95" s="1103">
        <f>VLOOKUP(I$1,'cost per tipologia de sòl'!$A$2:$D$37,4,FALSE)*'T100'!I95</f>
        <v>0</v>
      </c>
      <c r="J95" s="1103">
        <f>VLOOKUP(J$1,'cost per tipologia de sòl'!$A$2:$D$37,4,FALSE)*'T100'!J95</f>
        <v>0</v>
      </c>
      <c r="K95" s="1103">
        <f>VLOOKUP(K$1,'cost per tipologia de sòl'!$A$2:$D$37,4,FALSE)*'T100'!K95</f>
        <v>0</v>
      </c>
      <c r="L95" s="1103">
        <f>VLOOKUP(L$1,'cost per tipologia de sòl'!$A$2:$D$37,4,FALSE)*'T100'!L95</f>
        <v>414.46800000000002</v>
      </c>
      <c r="M95" s="1103">
        <f>VLOOKUP(M$1,'cost per tipologia de sòl'!$A$2:$D$37,4,FALSE)*'T100'!M95</f>
        <v>0</v>
      </c>
      <c r="N95" s="1103">
        <f>VLOOKUP(N$1,'cost per tipologia de sòl'!$A$2:$D$37,4,FALSE)*'T100'!N95</f>
        <v>0</v>
      </c>
      <c r="O95" s="1103">
        <f>VLOOKUP(O$1,'cost per tipologia de sòl'!$A$2:$D$37,4,FALSE)*'T100'!O95</f>
        <v>0</v>
      </c>
      <c r="P95" s="1103">
        <f>VLOOKUP(P$1,'cost per tipologia de sòl'!$A$2:$D$37,4,FALSE)*'T100'!P95</f>
        <v>256359.68799999999</v>
      </c>
      <c r="Q95" s="1103">
        <f>VLOOKUP(Q$1,'cost per tipologia de sòl'!$A$2:$D$37,4,FALSE)*'T100'!Q95</f>
        <v>0</v>
      </c>
      <c r="R95" s="1103">
        <f>VLOOKUP(R$1,'cost per tipologia de sòl'!$A$2:$D$37,4,FALSE)*'T100'!R95</f>
        <v>0</v>
      </c>
      <c r="S95" s="1103">
        <f>VLOOKUP(S$1,'cost per tipologia de sòl'!$A$2:$D$37,4,FALSE)*'T100'!S95</f>
        <v>0</v>
      </c>
      <c r="T95" s="1103">
        <f>VLOOKUP(T$1,'cost per tipologia de sòl'!$A$2:$D$37,4,FALSE)*'T100'!T95</f>
        <v>9415694.4019999988</v>
      </c>
      <c r="U95" s="1103">
        <f>VLOOKUP(U$1,'cost per tipologia de sòl'!$A$2:$D$37,4,FALSE)*'T100'!U95</f>
        <v>0</v>
      </c>
      <c r="V95" s="1103">
        <f>VLOOKUP(V$1,'cost per tipologia de sòl'!$A$2:$D$37,4,FALSE)*'T100'!V95</f>
        <v>0</v>
      </c>
      <c r="W95" s="1103">
        <f>VLOOKUP(W$1,'cost per tipologia de sòl'!$A$2:$D$37,4,FALSE)*'T100'!W95</f>
        <v>0</v>
      </c>
      <c r="X95" s="1103">
        <f>VLOOKUP(X$1,'cost per tipologia de sòl'!$A$2:$D$37,4,FALSE)*'T100'!X95</f>
        <v>0</v>
      </c>
      <c r="Y95" s="1103">
        <f>VLOOKUP(Y$1,'cost per tipologia de sòl'!$A$2:$D$37,4,FALSE)*'T100'!Y95</f>
        <v>0</v>
      </c>
      <c r="Z95" s="1103">
        <f>VLOOKUP(Z$1,'cost per tipologia de sòl'!$A$2:$D$37,4,FALSE)*'T100'!Z95</f>
        <v>532142.65999999992</v>
      </c>
      <c r="AA95" s="1103">
        <f>VLOOKUP(AA$1,'cost per tipologia de sòl'!$A$2:$D$37,4,FALSE)*'T100'!AA95</f>
        <v>0</v>
      </c>
      <c r="AB95" s="1103">
        <f>VLOOKUP(AB$1,'cost per tipologia de sòl'!$A$2:$D$37,4,FALSE)*'T100'!AB95</f>
        <v>5714176.8499999996</v>
      </c>
      <c r="AC95" s="1103">
        <f>VLOOKUP(AC$1,'cost per tipologia de sòl'!$A$2:$D$37,4,FALSE)*'T100'!AC95</f>
        <v>831364.00000000012</v>
      </c>
      <c r="AD95" s="1103">
        <f>VLOOKUP(AD$1,'cost per tipologia de sòl'!$A$2:$D$37,4,FALSE)*'T100'!AD95</f>
        <v>3664010.35</v>
      </c>
      <c r="AE95" s="1103">
        <f>VLOOKUP(AE$1,'cost per tipologia de sòl'!$A$2:$D$37,4,FALSE)*'T100'!AE95</f>
        <v>0</v>
      </c>
      <c r="AF95" s="1103">
        <f>VLOOKUP(AF$1,'cost per tipologia de sòl'!$A$2:$D$37,4,FALSE)*'T100'!AF95</f>
        <v>0</v>
      </c>
      <c r="AG95" s="1103">
        <f>VLOOKUP(AG$1,'cost per tipologia de sòl'!$A$2:$D$37,4,FALSE)*'T100'!AG95</f>
        <v>0</v>
      </c>
      <c r="AH95" s="1103">
        <f>VLOOKUP(AH$1,'cost per tipologia de sòl'!$A$2:$D$37,4,FALSE)*'T100'!AH95</f>
        <v>0</v>
      </c>
      <c r="AI95" s="1103">
        <f>VLOOKUP(AI$1,'cost per tipologia de sòl'!$A$2:$D$37,4,FALSE)*'T100'!AI95</f>
        <v>0</v>
      </c>
      <c r="AJ95" s="1103">
        <f t="shared" si="2"/>
        <v>22692557.688000001</v>
      </c>
      <c r="AK95" s="1117">
        <f t="shared" si="3"/>
        <v>6.8077673063999997</v>
      </c>
    </row>
    <row r="96" spans="1:37">
      <c r="A96" s="1096" t="s">
        <v>1269</v>
      </c>
      <c r="B96" s="1103">
        <f>VLOOKUP(B$1,'cost per tipologia de sòl'!$A$2:$D$37,4,FALSE)*'T100'!B96</f>
        <v>9397717.5779999997</v>
      </c>
      <c r="C96" s="1103">
        <f>VLOOKUP(C$1,'cost per tipologia de sòl'!$A$2:$D$37,4,FALSE)*'T100'!C96</f>
        <v>0</v>
      </c>
      <c r="D96" s="1103">
        <f>VLOOKUP(D$1,'cost per tipologia de sòl'!$A$2:$D$37,4,FALSE)*'T100'!D96</f>
        <v>62915.345999999998</v>
      </c>
      <c r="E96" s="1103">
        <f>VLOOKUP(E$1,'cost per tipologia de sòl'!$A$2:$D$37,4,FALSE)*'T100'!E96</f>
        <v>0</v>
      </c>
      <c r="F96" s="1103">
        <f>VLOOKUP(F$1,'cost per tipologia de sòl'!$A$2:$D$37,4,FALSE)*'T100'!F96</f>
        <v>0</v>
      </c>
      <c r="G96" s="1103">
        <f>VLOOKUP(G$1,'cost per tipologia de sòl'!$A$2:$D$37,4,FALSE)*'T100'!G96</f>
        <v>0</v>
      </c>
      <c r="H96" s="1103">
        <f>VLOOKUP(H$1,'cost per tipologia de sòl'!$A$2:$D$37,4,FALSE)*'T100'!H96</f>
        <v>0</v>
      </c>
      <c r="I96" s="1103">
        <f>VLOOKUP(I$1,'cost per tipologia de sòl'!$A$2:$D$37,4,FALSE)*'T100'!I96</f>
        <v>0</v>
      </c>
      <c r="J96" s="1103">
        <f>VLOOKUP(J$1,'cost per tipologia de sòl'!$A$2:$D$37,4,FALSE)*'T100'!J96</f>
        <v>0</v>
      </c>
      <c r="K96" s="1103">
        <f>VLOOKUP(K$1,'cost per tipologia de sòl'!$A$2:$D$37,4,FALSE)*'T100'!K96</f>
        <v>0</v>
      </c>
      <c r="L96" s="1103">
        <f>VLOOKUP(L$1,'cost per tipologia de sòl'!$A$2:$D$37,4,FALSE)*'T100'!L96</f>
        <v>0</v>
      </c>
      <c r="M96" s="1103">
        <f>VLOOKUP(M$1,'cost per tipologia de sòl'!$A$2:$D$37,4,FALSE)*'T100'!M96</f>
        <v>0</v>
      </c>
      <c r="N96" s="1103">
        <f>VLOOKUP(N$1,'cost per tipologia de sòl'!$A$2:$D$37,4,FALSE)*'T100'!N96</f>
        <v>0</v>
      </c>
      <c r="O96" s="1103">
        <f>VLOOKUP(O$1,'cost per tipologia de sòl'!$A$2:$D$37,4,FALSE)*'T100'!O96</f>
        <v>0</v>
      </c>
      <c r="P96" s="1103">
        <f>VLOOKUP(P$1,'cost per tipologia de sòl'!$A$2:$D$37,4,FALSE)*'T100'!P96</f>
        <v>0</v>
      </c>
      <c r="Q96" s="1103">
        <f>VLOOKUP(Q$1,'cost per tipologia de sòl'!$A$2:$D$37,4,FALSE)*'T100'!Q96</f>
        <v>0</v>
      </c>
      <c r="R96" s="1103">
        <f>VLOOKUP(R$1,'cost per tipologia de sòl'!$A$2:$D$37,4,FALSE)*'T100'!R96</f>
        <v>0</v>
      </c>
      <c r="S96" s="1103">
        <f>VLOOKUP(S$1,'cost per tipologia de sòl'!$A$2:$D$37,4,FALSE)*'T100'!S96</f>
        <v>0</v>
      </c>
      <c r="T96" s="1103">
        <f>VLOOKUP(T$1,'cost per tipologia de sòl'!$A$2:$D$37,4,FALSE)*'T100'!T96</f>
        <v>0</v>
      </c>
      <c r="U96" s="1103">
        <f>VLOOKUP(U$1,'cost per tipologia de sòl'!$A$2:$D$37,4,FALSE)*'T100'!U96</f>
        <v>0</v>
      </c>
      <c r="V96" s="1103">
        <f>VLOOKUP(V$1,'cost per tipologia de sòl'!$A$2:$D$37,4,FALSE)*'T100'!V96</f>
        <v>0</v>
      </c>
      <c r="W96" s="1103">
        <f>VLOOKUP(W$1,'cost per tipologia de sòl'!$A$2:$D$37,4,FALSE)*'T100'!W96</f>
        <v>0</v>
      </c>
      <c r="X96" s="1103">
        <f>VLOOKUP(X$1,'cost per tipologia de sòl'!$A$2:$D$37,4,FALSE)*'T100'!X96</f>
        <v>0</v>
      </c>
      <c r="Y96" s="1103">
        <f>VLOOKUP(Y$1,'cost per tipologia de sòl'!$A$2:$D$37,4,FALSE)*'T100'!Y96</f>
        <v>0</v>
      </c>
      <c r="Z96" s="1103">
        <f>VLOOKUP(Z$1,'cost per tipologia de sòl'!$A$2:$D$37,4,FALSE)*'T100'!Z96</f>
        <v>0</v>
      </c>
      <c r="AA96" s="1103">
        <f>VLOOKUP(AA$1,'cost per tipologia de sòl'!$A$2:$D$37,4,FALSE)*'T100'!AA96</f>
        <v>0</v>
      </c>
      <c r="AB96" s="1103">
        <f>VLOOKUP(AB$1,'cost per tipologia de sòl'!$A$2:$D$37,4,FALSE)*'T100'!AB96</f>
        <v>0</v>
      </c>
      <c r="AC96" s="1103">
        <f>VLOOKUP(AC$1,'cost per tipologia de sòl'!$A$2:$D$37,4,FALSE)*'T100'!AC96</f>
        <v>488607.80000000005</v>
      </c>
      <c r="AD96" s="1103">
        <f>VLOOKUP(AD$1,'cost per tipologia de sòl'!$A$2:$D$37,4,FALSE)*'T100'!AD96</f>
        <v>370084.85</v>
      </c>
      <c r="AE96" s="1103">
        <f>VLOOKUP(AE$1,'cost per tipologia de sòl'!$A$2:$D$37,4,FALSE)*'T100'!AE96</f>
        <v>0</v>
      </c>
      <c r="AF96" s="1103">
        <f>VLOOKUP(AF$1,'cost per tipologia de sòl'!$A$2:$D$37,4,FALSE)*'T100'!AF96</f>
        <v>0</v>
      </c>
      <c r="AG96" s="1103">
        <f>VLOOKUP(AG$1,'cost per tipologia de sòl'!$A$2:$D$37,4,FALSE)*'T100'!AG96</f>
        <v>0</v>
      </c>
      <c r="AH96" s="1103">
        <f>VLOOKUP(AH$1,'cost per tipologia de sòl'!$A$2:$D$37,4,FALSE)*'T100'!AH96</f>
        <v>0</v>
      </c>
      <c r="AI96" s="1103">
        <f>VLOOKUP(AI$1,'cost per tipologia de sòl'!$A$2:$D$37,4,FALSE)*'T100'!AI96</f>
        <v>0</v>
      </c>
      <c r="AJ96" s="1103">
        <f t="shared" si="2"/>
        <v>10319325.574000001</v>
      </c>
      <c r="AK96" s="1117">
        <f t="shared" si="3"/>
        <v>3.0957976722000002</v>
      </c>
    </row>
    <row r="97" spans="1:37">
      <c r="A97" s="1096" t="s">
        <v>1291</v>
      </c>
      <c r="B97" s="1103">
        <f>VLOOKUP(B$1,'cost per tipologia de sòl'!$A$2:$D$37,4,FALSE)*'T100'!B97</f>
        <v>15546100.661999999</v>
      </c>
      <c r="C97" s="1103">
        <f>VLOOKUP(C$1,'cost per tipologia de sòl'!$A$2:$D$37,4,FALSE)*'T100'!C97</f>
        <v>0</v>
      </c>
      <c r="D97" s="1103">
        <f>VLOOKUP(D$1,'cost per tipologia de sòl'!$A$2:$D$37,4,FALSE)*'T100'!D97</f>
        <v>0</v>
      </c>
      <c r="E97" s="1103">
        <f>VLOOKUP(E$1,'cost per tipologia de sòl'!$A$2:$D$37,4,FALSE)*'T100'!E97</f>
        <v>0</v>
      </c>
      <c r="F97" s="1103">
        <f>VLOOKUP(F$1,'cost per tipologia de sòl'!$A$2:$D$37,4,FALSE)*'T100'!F97</f>
        <v>0</v>
      </c>
      <c r="G97" s="1103">
        <f>VLOOKUP(G$1,'cost per tipologia de sòl'!$A$2:$D$37,4,FALSE)*'T100'!G97</f>
        <v>0</v>
      </c>
      <c r="H97" s="1103">
        <f>VLOOKUP(H$1,'cost per tipologia de sòl'!$A$2:$D$37,4,FALSE)*'T100'!H97</f>
        <v>0</v>
      </c>
      <c r="I97" s="1103">
        <f>VLOOKUP(I$1,'cost per tipologia de sòl'!$A$2:$D$37,4,FALSE)*'T100'!I97</f>
        <v>0</v>
      </c>
      <c r="J97" s="1103">
        <f>VLOOKUP(J$1,'cost per tipologia de sòl'!$A$2:$D$37,4,FALSE)*'T100'!J97</f>
        <v>3101476.6365</v>
      </c>
      <c r="K97" s="1103">
        <f>VLOOKUP(K$1,'cost per tipologia de sòl'!$A$2:$D$37,4,FALSE)*'T100'!K97</f>
        <v>0</v>
      </c>
      <c r="L97" s="1103">
        <f>VLOOKUP(L$1,'cost per tipologia de sòl'!$A$2:$D$37,4,FALSE)*'T100'!L97</f>
        <v>0</v>
      </c>
      <c r="M97" s="1103">
        <f>VLOOKUP(M$1,'cost per tipologia de sòl'!$A$2:$D$37,4,FALSE)*'T100'!M97</f>
        <v>0</v>
      </c>
      <c r="N97" s="1103">
        <f>VLOOKUP(N$1,'cost per tipologia de sòl'!$A$2:$D$37,4,FALSE)*'T100'!N97</f>
        <v>0</v>
      </c>
      <c r="O97" s="1103">
        <f>VLOOKUP(O$1,'cost per tipologia de sòl'!$A$2:$D$37,4,FALSE)*'T100'!O97</f>
        <v>0</v>
      </c>
      <c r="P97" s="1103">
        <f>VLOOKUP(P$1,'cost per tipologia de sòl'!$A$2:$D$37,4,FALSE)*'T100'!P97</f>
        <v>0</v>
      </c>
      <c r="Q97" s="1103">
        <f>VLOOKUP(Q$1,'cost per tipologia de sòl'!$A$2:$D$37,4,FALSE)*'T100'!Q97</f>
        <v>0</v>
      </c>
      <c r="R97" s="1103">
        <f>VLOOKUP(R$1,'cost per tipologia de sòl'!$A$2:$D$37,4,FALSE)*'T100'!R97</f>
        <v>0</v>
      </c>
      <c r="S97" s="1103">
        <f>VLOOKUP(S$1,'cost per tipologia de sòl'!$A$2:$D$37,4,FALSE)*'T100'!S97</f>
        <v>30967.776000000002</v>
      </c>
      <c r="T97" s="1103">
        <f>VLOOKUP(T$1,'cost per tipologia de sòl'!$A$2:$D$37,4,FALSE)*'T100'!T97</f>
        <v>248076.147</v>
      </c>
      <c r="U97" s="1103">
        <f>VLOOKUP(U$1,'cost per tipologia de sòl'!$A$2:$D$37,4,FALSE)*'T100'!U97</f>
        <v>507614.1</v>
      </c>
      <c r="V97" s="1103">
        <f>VLOOKUP(V$1,'cost per tipologia de sòl'!$A$2:$D$37,4,FALSE)*'T100'!V97</f>
        <v>0</v>
      </c>
      <c r="W97" s="1103">
        <f>VLOOKUP(W$1,'cost per tipologia de sòl'!$A$2:$D$37,4,FALSE)*'T100'!W97</f>
        <v>0</v>
      </c>
      <c r="X97" s="1103">
        <f>VLOOKUP(X$1,'cost per tipologia de sòl'!$A$2:$D$37,4,FALSE)*'T100'!X97</f>
        <v>0</v>
      </c>
      <c r="Y97" s="1103">
        <f>VLOOKUP(Y$1,'cost per tipologia de sòl'!$A$2:$D$37,4,FALSE)*'T100'!Y97</f>
        <v>0</v>
      </c>
      <c r="Z97" s="1103">
        <f>VLOOKUP(Z$1,'cost per tipologia de sòl'!$A$2:$D$37,4,FALSE)*'T100'!Z97</f>
        <v>0</v>
      </c>
      <c r="AA97" s="1103">
        <f>VLOOKUP(AA$1,'cost per tipologia de sòl'!$A$2:$D$37,4,FALSE)*'T100'!AA97</f>
        <v>0</v>
      </c>
      <c r="AB97" s="1103">
        <f>VLOOKUP(AB$1,'cost per tipologia de sòl'!$A$2:$D$37,4,FALSE)*'T100'!AB97</f>
        <v>10012.049999999999</v>
      </c>
      <c r="AC97" s="1103">
        <f>VLOOKUP(AC$1,'cost per tipologia de sòl'!$A$2:$D$37,4,FALSE)*'T100'!AC97</f>
        <v>356453.30000000005</v>
      </c>
      <c r="AD97" s="1103">
        <f>VLOOKUP(AD$1,'cost per tipologia de sòl'!$A$2:$D$37,4,FALSE)*'T100'!AD97</f>
        <v>986679.5</v>
      </c>
      <c r="AE97" s="1103">
        <f>VLOOKUP(AE$1,'cost per tipologia de sòl'!$A$2:$D$37,4,FALSE)*'T100'!AE97</f>
        <v>0</v>
      </c>
      <c r="AF97" s="1103">
        <f>VLOOKUP(AF$1,'cost per tipologia de sòl'!$A$2:$D$37,4,FALSE)*'T100'!AF97</f>
        <v>0</v>
      </c>
      <c r="AG97" s="1103">
        <f>VLOOKUP(AG$1,'cost per tipologia de sòl'!$A$2:$D$37,4,FALSE)*'T100'!AG97</f>
        <v>0</v>
      </c>
      <c r="AH97" s="1103">
        <f>VLOOKUP(AH$1,'cost per tipologia de sòl'!$A$2:$D$37,4,FALSE)*'T100'!AH97</f>
        <v>0</v>
      </c>
      <c r="AI97" s="1103">
        <f>VLOOKUP(AI$1,'cost per tipologia de sòl'!$A$2:$D$37,4,FALSE)*'T100'!AI97</f>
        <v>0</v>
      </c>
      <c r="AJ97" s="1103">
        <f t="shared" si="2"/>
        <v>20787380.171500001</v>
      </c>
      <c r="AK97" s="1117">
        <f t="shared" si="3"/>
        <v>6.2362140514500002</v>
      </c>
    </row>
    <row r="98" spans="1:37">
      <c r="A98" s="1096" t="s">
        <v>1278</v>
      </c>
      <c r="B98" s="1103">
        <f>VLOOKUP(B$1,'cost per tipologia de sòl'!$A$2:$D$37,4,FALSE)*'T100'!B98</f>
        <v>178276.842</v>
      </c>
      <c r="C98" s="1103">
        <f>VLOOKUP(C$1,'cost per tipologia de sòl'!$A$2:$D$37,4,FALSE)*'T100'!C98</f>
        <v>0</v>
      </c>
      <c r="D98" s="1103">
        <f>VLOOKUP(D$1,'cost per tipologia de sòl'!$A$2:$D$37,4,FALSE)*'T100'!D98</f>
        <v>0</v>
      </c>
      <c r="E98" s="1103">
        <f>VLOOKUP(E$1,'cost per tipologia de sòl'!$A$2:$D$37,4,FALSE)*'T100'!E98</f>
        <v>0</v>
      </c>
      <c r="F98" s="1103">
        <f>VLOOKUP(F$1,'cost per tipologia de sòl'!$A$2:$D$37,4,FALSE)*'T100'!F98</f>
        <v>0</v>
      </c>
      <c r="G98" s="1103">
        <f>VLOOKUP(G$1,'cost per tipologia de sòl'!$A$2:$D$37,4,FALSE)*'T100'!G98</f>
        <v>0</v>
      </c>
      <c r="H98" s="1103">
        <f>VLOOKUP(H$1,'cost per tipologia de sòl'!$A$2:$D$37,4,FALSE)*'T100'!H98</f>
        <v>0</v>
      </c>
      <c r="I98" s="1103">
        <f>VLOOKUP(I$1,'cost per tipologia de sòl'!$A$2:$D$37,4,FALSE)*'T100'!I98</f>
        <v>0</v>
      </c>
      <c r="J98" s="1103">
        <f>VLOOKUP(J$1,'cost per tipologia de sòl'!$A$2:$D$37,4,FALSE)*'T100'!J98</f>
        <v>40365.4185</v>
      </c>
      <c r="K98" s="1103">
        <f>VLOOKUP(K$1,'cost per tipologia de sòl'!$A$2:$D$37,4,FALSE)*'T100'!K98</f>
        <v>0</v>
      </c>
      <c r="L98" s="1103">
        <f>VLOOKUP(L$1,'cost per tipologia de sòl'!$A$2:$D$37,4,FALSE)*'T100'!L98</f>
        <v>0</v>
      </c>
      <c r="M98" s="1103">
        <f>VLOOKUP(M$1,'cost per tipologia de sòl'!$A$2:$D$37,4,FALSE)*'T100'!M98</f>
        <v>749361.23199999996</v>
      </c>
      <c r="N98" s="1103">
        <f>VLOOKUP(N$1,'cost per tipologia de sòl'!$A$2:$D$37,4,FALSE)*'T100'!N98</f>
        <v>1576788.1840000001</v>
      </c>
      <c r="O98" s="1103">
        <f>VLOOKUP(O$1,'cost per tipologia de sòl'!$A$2:$D$37,4,FALSE)*'T100'!O98</f>
        <v>1820894.912</v>
      </c>
      <c r="P98" s="1103">
        <f>VLOOKUP(P$1,'cost per tipologia de sòl'!$A$2:$D$37,4,FALSE)*'T100'!P98</f>
        <v>0</v>
      </c>
      <c r="Q98" s="1103">
        <f>VLOOKUP(Q$1,'cost per tipologia de sòl'!$A$2:$D$37,4,FALSE)*'T100'!Q98</f>
        <v>0</v>
      </c>
      <c r="R98" s="1103">
        <f>VLOOKUP(R$1,'cost per tipologia de sòl'!$A$2:$D$37,4,FALSE)*'T100'!R98</f>
        <v>0</v>
      </c>
      <c r="S98" s="1103">
        <f>VLOOKUP(S$1,'cost per tipologia de sòl'!$A$2:$D$37,4,FALSE)*'T100'!S98</f>
        <v>3540613.1039999998</v>
      </c>
      <c r="T98" s="1103">
        <f>VLOOKUP(T$1,'cost per tipologia de sòl'!$A$2:$D$37,4,FALSE)*'T100'!T98</f>
        <v>2414144.9950000001</v>
      </c>
      <c r="U98" s="1103">
        <f>VLOOKUP(U$1,'cost per tipologia de sòl'!$A$2:$D$37,4,FALSE)*'T100'!U98</f>
        <v>0</v>
      </c>
      <c r="V98" s="1103">
        <f>VLOOKUP(V$1,'cost per tipologia de sòl'!$A$2:$D$37,4,FALSE)*'T100'!V98</f>
        <v>0</v>
      </c>
      <c r="W98" s="1103">
        <f>VLOOKUP(W$1,'cost per tipologia de sòl'!$A$2:$D$37,4,FALSE)*'T100'!W98</f>
        <v>0</v>
      </c>
      <c r="X98" s="1103">
        <f>VLOOKUP(X$1,'cost per tipologia de sòl'!$A$2:$D$37,4,FALSE)*'T100'!X98</f>
        <v>0</v>
      </c>
      <c r="Y98" s="1103">
        <f>VLOOKUP(Y$1,'cost per tipologia de sòl'!$A$2:$D$37,4,FALSE)*'T100'!Y98</f>
        <v>0</v>
      </c>
      <c r="Z98" s="1103">
        <f>VLOOKUP(Z$1,'cost per tipologia de sòl'!$A$2:$D$37,4,FALSE)*'T100'!Z98</f>
        <v>1180501.0080000001</v>
      </c>
      <c r="AA98" s="1103">
        <f>VLOOKUP(AA$1,'cost per tipologia de sòl'!$A$2:$D$37,4,FALSE)*'T100'!AA98</f>
        <v>1515805.75</v>
      </c>
      <c r="AB98" s="1103">
        <f>VLOOKUP(AB$1,'cost per tipologia de sòl'!$A$2:$D$37,4,FALSE)*'T100'!AB98</f>
        <v>852161.39999999991</v>
      </c>
      <c r="AC98" s="1103">
        <f>VLOOKUP(AC$1,'cost per tipologia de sòl'!$A$2:$D$37,4,FALSE)*'T100'!AC98</f>
        <v>792905.15</v>
      </c>
      <c r="AD98" s="1103">
        <f>VLOOKUP(AD$1,'cost per tipologia de sòl'!$A$2:$D$37,4,FALSE)*'T100'!AD98</f>
        <v>4094158.95</v>
      </c>
      <c r="AE98" s="1103">
        <f>VLOOKUP(AE$1,'cost per tipologia de sòl'!$A$2:$D$37,4,FALSE)*'T100'!AE98</f>
        <v>0</v>
      </c>
      <c r="AF98" s="1103">
        <f>VLOOKUP(AF$1,'cost per tipologia de sòl'!$A$2:$D$37,4,FALSE)*'T100'!AF98</f>
        <v>0</v>
      </c>
      <c r="AG98" s="1103">
        <f>VLOOKUP(AG$1,'cost per tipologia de sòl'!$A$2:$D$37,4,FALSE)*'T100'!AG98</f>
        <v>0</v>
      </c>
      <c r="AH98" s="1103">
        <f>VLOOKUP(AH$1,'cost per tipologia de sòl'!$A$2:$D$37,4,FALSE)*'T100'!AH98</f>
        <v>0</v>
      </c>
      <c r="AI98" s="1103">
        <f>VLOOKUP(AI$1,'cost per tipologia de sòl'!$A$2:$D$37,4,FALSE)*'T100'!AI98</f>
        <v>0</v>
      </c>
      <c r="AJ98" s="1103">
        <f t="shared" si="2"/>
        <v>18755976.945500001</v>
      </c>
      <c r="AK98" s="1117">
        <f t="shared" si="3"/>
        <v>5.62679308365</v>
      </c>
    </row>
    <row r="99" spans="1:37">
      <c r="A99" s="1096" t="s">
        <v>1301</v>
      </c>
      <c r="B99" s="1103">
        <f>VLOOKUP(B$1,'cost per tipologia de sòl'!$A$2:$D$37,4,FALSE)*'T100'!B99</f>
        <v>9231547.9499999993</v>
      </c>
      <c r="C99" s="1103">
        <f>VLOOKUP(C$1,'cost per tipologia de sòl'!$A$2:$D$37,4,FALSE)*'T100'!C99</f>
        <v>0</v>
      </c>
      <c r="D99" s="1103">
        <f>VLOOKUP(D$1,'cost per tipologia de sòl'!$A$2:$D$37,4,FALSE)*'T100'!D99</f>
        <v>757079.03399999999</v>
      </c>
      <c r="E99" s="1103">
        <f>VLOOKUP(E$1,'cost per tipologia de sòl'!$A$2:$D$37,4,FALSE)*'T100'!E99</f>
        <v>0</v>
      </c>
      <c r="F99" s="1103">
        <f>VLOOKUP(F$1,'cost per tipologia de sòl'!$A$2:$D$37,4,FALSE)*'T100'!F99</f>
        <v>0</v>
      </c>
      <c r="G99" s="1103">
        <f>VLOOKUP(G$1,'cost per tipologia de sòl'!$A$2:$D$37,4,FALSE)*'T100'!G99</f>
        <v>0</v>
      </c>
      <c r="H99" s="1103">
        <f>VLOOKUP(H$1,'cost per tipologia de sòl'!$A$2:$D$37,4,FALSE)*'T100'!H99</f>
        <v>0</v>
      </c>
      <c r="I99" s="1103">
        <f>VLOOKUP(I$1,'cost per tipologia de sòl'!$A$2:$D$37,4,FALSE)*'T100'!I99</f>
        <v>0</v>
      </c>
      <c r="J99" s="1103">
        <f>VLOOKUP(J$1,'cost per tipologia de sòl'!$A$2:$D$37,4,FALSE)*'T100'!J99</f>
        <v>149521.67449999999</v>
      </c>
      <c r="K99" s="1103">
        <f>VLOOKUP(K$1,'cost per tipologia de sòl'!$A$2:$D$37,4,FALSE)*'T100'!K99</f>
        <v>0</v>
      </c>
      <c r="L99" s="1103">
        <f>VLOOKUP(L$1,'cost per tipologia de sòl'!$A$2:$D$37,4,FALSE)*'T100'!L99</f>
        <v>0</v>
      </c>
      <c r="M99" s="1103">
        <f>VLOOKUP(M$1,'cost per tipologia de sòl'!$A$2:$D$37,4,FALSE)*'T100'!M99</f>
        <v>0</v>
      </c>
      <c r="N99" s="1103">
        <f>VLOOKUP(N$1,'cost per tipologia de sòl'!$A$2:$D$37,4,FALSE)*'T100'!N99</f>
        <v>1769190.2080000001</v>
      </c>
      <c r="O99" s="1103">
        <f>VLOOKUP(O$1,'cost per tipologia de sòl'!$A$2:$D$37,4,FALSE)*'T100'!O99</f>
        <v>177668.45600000001</v>
      </c>
      <c r="P99" s="1103">
        <f>VLOOKUP(P$1,'cost per tipologia de sòl'!$A$2:$D$37,4,FALSE)*'T100'!P99</f>
        <v>0</v>
      </c>
      <c r="Q99" s="1103">
        <f>VLOOKUP(Q$1,'cost per tipologia de sòl'!$A$2:$D$37,4,FALSE)*'T100'!Q99</f>
        <v>0</v>
      </c>
      <c r="R99" s="1103">
        <f>VLOOKUP(R$1,'cost per tipologia de sòl'!$A$2:$D$37,4,FALSE)*'T100'!R99</f>
        <v>0</v>
      </c>
      <c r="S99" s="1103">
        <f>VLOOKUP(S$1,'cost per tipologia de sòl'!$A$2:$D$37,4,FALSE)*'T100'!S99</f>
        <v>0</v>
      </c>
      <c r="T99" s="1103">
        <f>VLOOKUP(T$1,'cost per tipologia de sòl'!$A$2:$D$37,4,FALSE)*'T100'!T99</f>
        <v>11025983.186999999</v>
      </c>
      <c r="U99" s="1103">
        <f>VLOOKUP(U$1,'cost per tipologia de sòl'!$A$2:$D$37,4,FALSE)*'T100'!U99</f>
        <v>342622.35</v>
      </c>
      <c r="V99" s="1103">
        <f>VLOOKUP(V$1,'cost per tipologia de sòl'!$A$2:$D$37,4,FALSE)*'T100'!V99</f>
        <v>0</v>
      </c>
      <c r="W99" s="1103">
        <f>VLOOKUP(W$1,'cost per tipologia de sòl'!$A$2:$D$37,4,FALSE)*'T100'!W99</f>
        <v>0</v>
      </c>
      <c r="X99" s="1103">
        <f>VLOOKUP(X$1,'cost per tipologia de sòl'!$A$2:$D$37,4,FALSE)*'T100'!X99</f>
        <v>0</v>
      </c>
      <c r="Y99" s="1103">
        <f>VLOOKUP(Y$1,'cost per tipologia de sòl'!$A$2:$D$37,4,FALSE)*'T100'!Y99</f>
        <v>0</v>
      </c>
      <c r="Z99" s="1103">
        <f>VLOOKUP(Z$1,'cost per tipologia de sòl'!$A$2:$D$37,4,FALSE)*'T100'!Z99</f>
        <v>915815.47000000009</v>
      </c>
      <c r="AA99" s="1103">
        <f>VLOOKUP(AA$1,'cost per tipologia de sòl'!$A$2:$D$37,4,FALSE)*'T100'!AA99</f>
        <v>0</v>
      </c>
      <c r="AB99" s="1103">
        <f>VLOOKUP(AB$1,'cost per tipologia de sòl'!$A$2:$D$37,4,FALSE)*'T100'!AB99</f>
        <v>7353781.8499999996</v>
      </c>
      <c r="AC99" s="1103">
        <f>VLOOKUP(AC$1,'cost per tipologia de sòl'!$A$2:$D$37,4,FALSE)*'T100'!AC99</f>
        <v>4666446.55</v>
      </c>
      <c r="AD99" s="1103">
        <f>VLOOKUP(AD$1,'cost per tipologia de sòl'!$A$2:$D$37,4,FALSE)*'T100'!AD99</f>
        <v>19789645.699999999</v>
      </c>
      <c r="AE99" s="1103">
        <f>VLOOKUP(AE$1,'cost per tipologia de sòl'!$A$2:$D$37,4,FALSE)*'T100'!AE99</f>
        <v>0</v>
      </c>
      <c r="AF99" s="1103">
        <f>VLOOKUP(AF$1,'cost per tipologia de sòl'!$A$2:$D$37,4,FALSE)*'T100'!AF99</f>
        <v>0</v>
      </c>
      <c r="AG99" s="1103">
        <f>VLOOKUP(AG$1,'cost per tipologia de sòl'!$A$2:$D$37,4,FALSE)*'T100'!AG99</f>
        <v>0</v>
      </c>
      <c r="AH99" s="1103">
        <f>VLOOKUP(AH$1,'cost per tipologia de sòl'!$A$2:$D$37,4,FALSE)*'T100'!AH99</f>
        <v>0</v>
      </c>
      <c r="AI99" s="1103">
        <f>VLOOKUP(AI$1,'cost per tipologia de sòl'!$A$2:$D$37,4,FALSE)*'T100'!AI99</f>
        <v>0</v>
      </c>
      <c r="AJ99" s="1103">
        <f t="shared" si="2"/>
        <v>56179302.429499999</v>
      </c>
      <c r="AK99" s="1117">
        <f t="shared" si="3"/>
        <v>16.853790728850001</v>
      </c>
    </row>
    <row r="100" spans="1:37">
      <c r="A100" s="1096" t="s">
        <v>1306</v>
      </c>
      <c r="B100" s="1103">
        <f>VLOOKUP(B$1,'cost per tipologia de sòl'!$A$2:$D$37,4,FALSE)*'T100'!B100</f>
        <v>0</v>
      </c>
      <c r="C100" s="1103">
        <f>VLOOKUP(C$1,'cost per tipologia de sòl'!$A$2:$D$37,4,FALSE)*'T100'!C100</f>
        <v>0</v>
      </c>
      <c r="D100" s="1103">
        <f>VLOOKUP(D$1,'cost per tipologia de sòl'!$A$2:$D$37,4,FALSE)*'T100'!D100</f>
        <v>0</v>
      </c>
      <c r="E100" s="1103">
        <f>VLOOKUP(E$1,'cost per tipologia de sòl'!$A$2:$D$37,4,FALSE)*'T100'!E100</f>
        <v>0</v>
      </c>
      <c r="F100" s="1103">
        <f>VLOOKUP(F$1,'cost per tipologia de sòl'!$A$2:$D$37,4,FALSE)*'T100'!F100</f>
        <v>0</v>
      </c>
      <c r="G100" s="1103">
        <f>VLOOKUP(G$1,'cost per tipologia de sòl'!$A$2:$D$37,4,FALSE)*'T100'!G100</f>
        <v>0</v>
      </c>
      <c r="H100" s="1103">
        <f>VLOOKUP(H$1,'cost per tipologia de sòl'!$A$2:$D$37,4,FALSE)*'T100'!H100</f>
        <v>0</v>
      </c>
      <c r="I100" s="1103">
        <f>VLOOKUP(I$1,'cost per tipologia de sòl'!$A$2:$D$37,4,FALSE)*'T100'!I100</f>
        <v>0</v>
      </c>
      <c r="J100" s="1103">
        <f>VLOOKUP(J$1,'cost per tipologia de sòl'!$A$2:$D$37,4,FALSE)*'T100'!J100</f>
        <v>494792.39150000003</v>
      </c>
      <c r="K100" s="1103">
        <f>VLOOKUP(K$1,'cost per tipologia de sòl'!$A$2:$D$37,4,FALSE)*'T100'!K100</f>
        <v>0</v>
      </c>
      <c r="L100" s="1103">
        <f>VLOOKUP(L$1,'cost per tipologia de sòl'!$A$2:$D$37,4,FALSE)*'T100'!L100</f>
        <v>0</v>
      </c>
      <c r="M100" s="1103">
        <f>VLOOKUP(M$1,'cost per tipologia de sòl'!$A$2:$D$37,4,FALSE)*'T100'!M100</f>
        <v>0</v>
      </c>
      <c r="N100" s="1103">
        <f>VLOOKUP(N$1,'cost per tipologia de sòl'!$A$2:$D$37,4,FALSE)*'T100'!N100</f>
        <v>0</v>
      </c>
      <c r="O100" s="1103">
        <f>VLOOKUP(O$1,'cost per tipologia de sòl'!$A$2:$D$37,4,FALSE)*'T100'!O100</f>
        <v>0</v>
      </c>
      <c r="P100" s="1103">
        <f>VLOOKUP(P$1,'cost per tipologia de sòl'!$A$2:$D$37,4,FALSE)*'T100'!P100</f>
        <v>0</v>
      </c>
      <c r="Q100" s="1103">
        <f>VLOOKUP(Q$1,'cost per tipologia de sòl'!$A$2:$D$37,4,FALSE)*'T100'!Q100</f>
        <v>0</v>
      </c>
      <c r="R100" s="1103">
        <f>VLOOKUP(R$1,'cost per tipologia de sòl'!$A$2:$D$37,4,FALSE)*'T100'!R100</f>
        <v>0</v>
      </c>
      <c r="S100" s="1103">
        <f>VLOOKUP(S$1,'cost per tipologia de sòl'!$A$2:$D$37,4,FALSE)*'T100'!S100</f>
        <v>2959901.28</v>
      </c>
      <c r="T100" s="1103">
        <f>VLOOKUP(T$1,'cost per tipologia de sòl'!$A$2:$D$37,4,FALSE)*'T100'!T100</f>
        <v>0</v>
      </c>
      <c r="U100" s="1103">
        <f>VLOOKUP(U$1,'cost per tipologia de sòl'!$A$2:$D$37,4,FALSE)*'T100'!U100</f>
        <v>0</v>
      </c>
      <c r="V100" s="1103">
        <f>VLOOKUP(V$1,'cost per tipologia de sòl'!$A$2:$D$37,4,FALSE)*'T100'!V100</f>
        <v>0</v>
      </c>
      <c r="W100" s="1103">
        <f>VLOOKUP(W$1,'cost per tipologia de sòl'!$A$2:$D$37,4,FALSE)*'T100'!W100</f>
        <v>0</v>
      </c>
      <c r="X100" s="1103">
        <f>VLOOKUP(X$1,'cost per tipologia de sòl'!$A$2:$D$37,4,FALSE)*'T100'!X100</f>
        <v>0</v>
      </c>
      <c r="Y100" s="1103">
        <f>VLOOKUP(Y$1,'cost per tipologia de sòl'!$A$2:$D$37,4,FALSE)*'T100'!Y100</f>
        <v>0</v>
      </c>
      <c r="Z100" s="1103">
        <f>VLOOKUP(Z$1,'cost per tipologia de sòl'!$A$2:$D$37,4,FALSE)*'T100'!Z100</f>
        <v>0</v>
      </c>
      <c r="AA100" s="1103">
        <f>VLOOKUP(AA$1,'cost per tipologia de sòl'!$A$2:$D$37,4,FALSE)*'T100'!AA100</f>
        <v>0</v>
      </c>
      <c r="AB100" s="1103">
        <f>VLOOKUP(AB$1,'cost per tipologia de sòl'!$A$2:$D$37,4,FALSE)*'T100'!AB100</f>
        <v>67546.899999999994</v>
      </c>
      <c r="AC100" s="1103">
        <f>VLOOKUP(AC$1,'cost per tipologia de sòl'!$A$2:$D$37,4,FALSE)*'T100'!AC100</f>
        <v>0</v>
      </c>
      <c r="AD100" s="1103">
        <f>VLOOKUP(AD$1,'cost per tipologia de sòl'!$A$2:$D$37,4,FALSE)*'T100'!AD100</f>
        <v>170502.2</v>
      </c>
      <c r="AE100" s="1103">
        <f>VLOOKUP(AE$1,'cost per tipologia de sòl'!$A$2:$D$37,4,FALSE)*'T100'!AE100</f>
        <v>0</v>
      </c>
      <c r="AF100" s="1103">
        <f>VLOOKUP(AF$1,'cost per tipologia de sòl'!$A$2:$D$37,4,FALSE)*'T100'!AF100</f>
        <v>0</v>
      </c>
      <c r="AG100" s="1103">
        <f>VLOOKUP(AG$1,'cost per tipologia de sòl'!$A$2:$D$37,4,FALSE)*'T100'!AG100</f>
        <v>0</v>
      </c>
      <c r="AH100" s="1103">
        <f>VLOOKUP(AH$1,'cost per tipologia de sòl'!$A$2:$D$37,4,FALSE)*'T100'!AH100</f>
        <v>0</v>
      </c>
      <c r="AI100" s="1103">
        <f>VLOOKUP(AI$1,'cost per tipologia de sòl'!$A$2:$D$37,4,FALSE)*'T100'!AI100</f>
        <v>0</v>
      </c>
      <c r="AJ100" s="1103">
        <f t="shared" si="2"/>
        <v>3692742.7714999998</v>
      </c>
      <c r="AK100" s="1117">
        <f t="shared" si="3"/>
        <v>1.10782283145</v>
      </c>
    </row>
    <row r="101" spans="1:37">
      <c r="A101" s="1096" t="s">
        <v>1310</v>
      </c>
      <c r="B101" s="1103">
        <f>VLOOKUP(B$1,'cost per tipologia de sòl'!$A$2:$D$37,4,FALSE)*'T100'!B101</f>
        <v>2122916.1660000002</v>
      </c>
      <c r="C101" s="1103">
        <f>VLOOKUP(C$1,'cost per tipologia de sòl'!$A$2:$D$37,4,FALSE)*'T100'!C101</f>
        <v>0</v>
      </c>
      <c r="D101" s="1103">
        <f>VLOOKUP(D$1,'cost per tipologia de sòl'!$A$2:$D$37,4,FALSE)*'T100'!D101</f>
        <v>4171.0739999999996</v>
      </c>
      <c r="E101" s="1103">
        <f>VLOOKUP(E$1,'cost per tipologia de sòl'!$A$2:$D$37,4,FALSE)*'T100'!E101</f>
        <v>0</v>
      </c>
      <c r="F101" s="1103">
        <f>VLOOKUP(F$1,'cost per tipologia de sòl'!$A$2:$D$37,4,FALSE)*'T100'!F101</f>
        <v>0</v>
      </c>
      <c r="G101" s="1103">
        <f>VLOOKUP(G$1,'cost per tipologia de sòl'!$A$2:$D$37,4,FALSE)*'T100'!G101</f>
        <v>0</v>
      </c>
      <c r="H101" s="1103">
        <f>VLOOKUP(H$1,'cost per tipologia de sòl'!$A$2:$D$37,4,FALSE)*'T100'!H101</f>
        <v>0</v>
      </c>
      <c r="I101" s="1103">
        <f>VLOOKUP(I$1,'cost per tipologia de sòl'!$A$2:$D$37,4,FALSE)*'T100'!I101</f>
        <v>0</v>
      </c>
      <c r="J101" s="1103">
        <f>VLOOKUP(J$1,'cost per tipologia de sòl'!$A$2:$D$37,4,FALSE)*'T100'!J101</f>
        <v>9769.4575000000004</v>
      </c>
      <c r="K101" s="1103">
        <f>VLOOKUP(K$1,'cost per tipologia de sòl'!$A$2:$D$37,4,FALSE)*'T100'!K101</f>
        <v>0</v>
      </c>
      <c r="L101" s="1103">
        <f>VLOOKUP(L$1,'cost per tipologia de sòl'!$A$2:$D$37,4,FALSE)*'T100'!L101</f>
        <v>108512.577</v>
      </c>
      <c r="M101" s="1103">
        <f>VLOOKUP(M$1,'cost per tipologia de sòl'!$A$2:$D$37,4,FALSE)*'T100'!M101</f>
        <v>89536.656000000003</v>
      </c>
      <c r="N101" s="1103">
        <f>VLOOKUP(N$1,'cost per tipologia de sòl'!$A$2:$D$37,4,FALSE)*'T100'!N101</f>
        <v>0</v>
      </c>
      <c r="O101" s="1103">
        <f>VLOOKUP(O$1,'cost per tipologia de sòl'!$A$2:$D$37,4,FALSE)*'T100'!O101</f>
        <v>0</v>
      </c>
      <c r="P101" s="1103">
        <f>VLOOKUP(P$1,'cost per tipologia de sòl'!$A$2:$D$37,4,FALSE)*'T100'!P101</f>
        <v>0</v>
      </c>
      <c r="Q101" s="1103">
        <f>VLOOKUP(Q$1,'cost per tipologia de sòl'!$A$2:$D$37,4,FALSE)*'T100'!Q101</f>
        <v>0</v>
      </c>
      <c r="R101" s="1103">
        <f>VLOOKUP(R$1,'cost per tipologia de sòl'!$A$2:$D$37,4,FALSE)*'T100'!R101</f>
        <v>0</v>
      </c>
      <c r="S101" s="1103">
        <f>VLOOKUP(S$1,'cost per tipologia de sòl'!$A$2:$D$37,4,FALSE)*'T100'!S101</f>
        <v>13101.984</v>
      </c>
      <c r="T101" s="1103">
        <f>VLOOKUP(T$1,'cost per tipologia de sòl'!$A$2:$D$37,4,FALSE)*'T100'!T101</f>
        <v>913026.68599999999</v>
      </c>
      <c r="U101" s="1103">
        <f>VLOOKUP(U$1,'cost per tipologia de sòl'!$A$2:$D$37,4,FALSE)*'T100'!U101</f>
        <v>0</v>
      </c>
      <c r="V101" s="1103">
        <f>VLOOKUP(V$1,'cost per tipologia de sòl'!$A$2:$D$37,4,FALSE)*'T100'!V101</f>
        <v>0</v>
      </c>
      <c r="W101" s="1103">
        <f>VLOOKUP(W$1,'cost per tipologia de sòl'!$A$2:$D$37,4,FALSE)*'T100'!W101</f>
        <v>0</v>
      </c>
      <c r="X101" s="1103">
        <f>VLOOKUP(X$1,'cost per tipologia de sòl'!$A$2:$D$37,4,FALSE)*'T100'!X101</f>
        <v>0</v>
      </c>
      <c r="Y101" s="1103">
        <f>VLOOKUP(Y$1,'cost per tipologia de sòl'!$A$2:$D$37,4,FALSE)*'T100'!Y101</f>
        <v>0</v>
      </c>
      <c r="Z101" s="1103">
        <f>VLOOKUP(Z$1,'cost per tipologia de sòl'!$A$2:$D$37,4,FALSE)*'T100'!Z101</f>
        <v>0</v>
      </c>
      <c r="AA101" s="1103">
        <f>VLOOKUP(AA$1,'cost per tipologia de sòl'!$A$2:$D$37,4,FALSE)*'T100'!AA101</f>
        <v>0</v>
      </c>
      <c r="AB101" s="1103">
        <f>VLOOKUP(AB$1,'cost per tipologia de sòl'!$A$2:$D$37,4,FALSE)*'T100'!AB101</f>
        <v>385589.8</v>
      </c>
      <c r="AC101" s="1103">
        <f>VLOOKUP(AC$1,'cost per tipologia de sòl'!$A$2:$D$37,4,FALSE)*'T100'!AC101</f>
        <v>2543321.9500000002</v>
      </c>
      <c r="AD101" s="1103">
        <f>VLOOKUP(AD$1,'cost per tipologia de sòl'!$A$2:$D$37,4,FALSE)*'T100'!AD101</f>
        <v>996330.54999999993</v>
      </c>
      <c r="AE101" s="1103">
        <f>VLOOKUP(AE$1,'cost per tipologia de sòl'!$A$2:$D$37,4,FALSE)*'T100'!AE101</f>
        <v>0</v>
      </c>
      <c r="AF101" s="1103">
        <f>VLOOKUP(AF$1,'cost per tipologia de sòl'!$A$2:$D$37,4,FALSE)*'T100'!AF101</f>
        <v>0</v>
      </c>
      <c r="AG101" s="1103">
        <f>VLOOKUP(AG$1,'cost per tipologia de sòl'!$A$2:$D$37,4,FALSE)*'T100'!AG101</f>
        <v>0</v>
      </c>
      <c r="AH101" s="1103">
        <f>VLOOKUP(AH$1,'cost per tipologia de sòl'!$A$2:$D$37,4,FALSE)*'T100'!AH101</f>
        <v>0</v>
      </c>
      <c r="AI101" s="1103">
        <f>VLOOKUP(AI$1,'cost per tipologia de sòl'!$A$2:$D$37,4,FALSE)*'T100'!AI101</f>
        <v>0</v>
      </c>
      <c r="AJ101" s="1103">
        <f t="shared" si="2"/>
        <v>7186276.9005000005</v>
      </c>
      <c r="AK101" s="1117">
        <f t="shared" si="3"/>
        <v>2.1558830701500002</v>
      </c>
    </row>
    <row r="102" spans="1:37">
      <c r="A102" s="1096" t="s">
        <v>1311</v>
      </c>
      <c r="B102" s="1103">
        <f>VLOOKUP(B$1,'cost per tipologia de sòl'!$A$2:$D$37,4,FALSE)*'T100'!B102</f>
        <v>86706858.167999998</v>
      </c>
      <c r="C102" s="1103">
        <f>VLOOKUP(C$1,'cost per tipologia de sòl'!$A$2:$D$37,4,FALSE)*'T100'!C102</f>
        <v>0</v>
      </c>
      <c r="D102" s="1103">
        <f>VLOOKUP(D$1,'cost per tipologia de sòl'!$A$2:$D$37,4,FALSE)*'T100'!D102</f>
        <v>0</v>
      </c>
      <c r="E102" s="1103">
        <f>VLOOKUP(E$1,'cost per tipologia de sòl'!$A$2:$D$37,4,FALSE)*'T100'!E102</f>
        <v>0</v>
      </c>
      <c r="F102" s="1103">
        <f>VLOOKUP(F$1,'cost per tipologia de sòl'!$A$2:$D$37,4,FALSE)*'T100'!F102</f>
        <v>0</v>
      </c>
      <c r="G102" s="1103">
        <f>VLOOKUP(G$1,'cost per tipologia de sòl'!$A$2:$D$37,4,FALSE)*'T100'!G102</f>
        <v>0</v>
      </c>
      <c r="H102" s="1103">
        <f>VLOOKUP(H$1,'cost per tipologia de sòl'!$A$2:$D$37,4,FALSE)*'T100'!H102</f>
        <v>0</v>
      </c>
      <c r="I102" s="1103">
        <f>VLOOKUP(I$1,'cost per tipologia de sòl'!$A$2:$D$37,4,FALSE)*'T100'!I102</f>
        <v>0</v>
      </c>
      <c r="J102" s="1103">
        <f>VLOOKUP(J$1,'cost per tipologia de sòl'!$A$2:$D$37,4,FALSE)*'T100'!J102</f>
        <v>7739442.6229999997</v>
      </c>
      <c r="K102" s="1103">
        <f>VLOOKUP(K$1,'cost per tipologia de sòl'!$A$2:$D$37,4,FALSE)*'T100'!K102</f>
        <v>0</v>
      </c>
      <c r="L102" s="1103">
        <f>VLOOKUP(L$1,'cost per tipologia de sòl'!$A$2:$D$37,4,FALSE)*'T100'!L102</f>
        <v>1796618.5559999999</v>
      </c>
      <c r="M102" s="1103">
        <f>VLOOKUP(M$1,'cost per tipologia de sòl'!$A$2:$D$37,4,FALSE)*'T100'!M102</f>
        <v>0</v>
      </c>
      <c r="N102" s="1103">
        <f>VLOOKUP(N$1,'cost per tipologia de sòl'!$A$2:$D$37,4,FALSE)*'T100'!N102</f>
        <v>12041533.192</v>
      </c>
      <c r="O102" s="1103">
        <f>VLOOKUP(O$1,'cost per tipologia de sòl'!$A$2:$D$37,4,FALSE)*'T100'!O102</f>
        <v>4295579.04</v>
      </c>
      <c r="P102" s="1103">
        <f>VLOOKUP(P$1,'cost per tipologia de sòl'!$A$2:$D$37,4,FALSE)*'T100'!P102</f>
        <v>7369417.9040000001</v>
      </c>
      <c r="Q102" s="1103">
        <f>VLOOKUP(Q$1,'cost per tipologia de sòl'!$A$2:$D$37,4,FALSE)*'T100'!Q102</f>
        <v>0</v>
      </c>
      <c r="R102" s="1103">
        <f>VLOOKUP(R$1,'cost per tipologia de sòl'!$A$2:$D$37,4,FALSE)*'T100'!R102</f>
        <v>0</v>
      </c>
      <c r="S102" s="1103">
        <f>VLOOKUP(S$1,'cost per tipologia de sòl'!$A$2:$D$37,4,FALSE)*'T100'!S102</f>
        <v>26299291.535999998</v>
      </c>
      <c r="T102" s="1103">
        <f>VLOOKUP(T$1,'cost per tipologia de sòl'!$A$2:$D$37,4,FALSE)*'T100'!T102</f>
        <v>43212552.920000002</v>
      </c>
      <c r="U102" s="1103">
        <f>VLOOKUP(U$1,'cost per tipologia de sòl'!$A$2:$D$37,4,FALSE)*'T100'!U102</f>
        <v>414727.95</v>
      </c>
      <c r="V102" s="1103">
        <f>VLOOKUP(V$1,'cost per tipologia de sòl'!$A$2:$D$37,4,FALSE)*'T100'!V102</f>
        <v>2685908.3280000002</v>
      </c>
      <c r="W102" s="1103">
        <f>VLOOKUP(W$1,'cost per tipologia de sòl'!$A$2:$D$37,4,FALSE)*'T100'!W102</f>
        <v>0</v>
      </c>
      <c r="X102" s="1103">
        <f>VLOOKUP(X$1,'cost per tipologia de sòl'!$A$2:$D$37,4,FALSE)*'T100'!X102</f>
        <v>0</v>
      </c>
      <c r="Y102" s="1103">
        <f>VLOOKUP(Y$1,'cost per tipologia de sòl'!$A$2:$D$37,4,FALSE)*'T100'!Y102</f>
        <v>0</v>
      </c>
      <c r="Z102" s="1103">
        <f>VLOOKUP(Z$1,'cost per tipologia de sòl'!$A$2:$D$37,4,FALSE)*'T100'!Z102</f>
        <v>166933022.52399999</v>
      </c>
      <c r="AA102" s="1103">
        <f>VLOOKUP(AA$1,'cost per tipologia de sòl'!$A$2:$D$37,4,FALSE)*'T100'!AA102</f>
        <v>0</v>
      </c>
      <c r="AB102" s="1103">
        <f>VLOOKUP(AB$1,'cost per tipologia de sòl'!$A$2:$D$37,4,FALSE)*'T100'!AB102</f>
        <v>12024584.15</v>
      </c>
      <c r="AC102" s="1103">
        <f>VLOOKUP(AC$1,'cost per tipologia de sòl'!$A$2:$D$37,4,FALSE)*'T100'!AC102</f>
        <v>40830874.600000001</v>
      </c>
      <c r="AD102" s="1103">
        <f>VLOOKUP(AD$1,'cost per tipologia de sòl'!$A$2:$D$37,4,FALSE)*'T100'!AD102</f>
        <v>57174820.899999999</v>
      </c>
      <c r="AE102" s="1103">
        <f>VLOOKUP(AE$1,'cost per tipologia de sòl'!$A$2:$D$37,4,FALSE)*'T100'!AE102</f>
        <v>0</v>
      </c>
      <c r="AF102" s="1103">
        <f>VLOOKUP(AF$1,'cost per tipologia de sòl'!$A$2:$D$37,4,FALSE)*'T100'!AF102</f>
        <v>0</v>
      </c>
      <c r="AG102" s="1103">
        <f>VLOOKUP(AG$1,'cost per tipologia de sòl'!$A$2:$D$37,4,FALSE)*'T100'!AG102</f>
        <v>0</v>
      </c>
      <c r="AH102" s="1103">
        <f>VLOOKUP(AH$1,'cost per tipologia de sòl'!$A$2:$D$37,4,FALSE)*'T100'!AH102</f>
        <v>0</v>
      </c>
      <c r="AI102" s="1103">
        <f>VLOOKUP(AI$1,'cost per tipologia de sòl'!$A$2:$D$37,4,FALSE)*'T100'!AI102</f>
        <v>0</v>
      </c>
      <c r="AJ102" s="1103">
        <f t="shared" si="2"/>
        <v>469525232.39099997</v>
      </c>
      <c r="AK102" s="1117">
        <f t="shared" si="3"/>
        <v>140.85756971730001</v>
      </c>
    </row>
    <row r="103" spans="1:37">
      <c r="A103" s="1096" t="s">
        <v>1316</v>
      </c>
      <c r="B103" s="1103">
        <f>VLOOKUP(B$1,'cost per tipologia de sòl'!$A$2:$D$37,4,FALSE)*'T100'!B103</f>
        <v>9061689.2039999999</v>
      </c>
      <c r="C103" s="1103">
        <f>VLOOKUP(C$1,'cost per tipologia de sòl'!$A$2:$D$37,4,FALSE)*'T100'!C103</f>
        <v>0</v>
      </c>
      <c r="D103" s="1103">
        <f>VLOOKUP(D$1,'cost per tipologia de sòl'!$A$2:$D$37,4,FALSE)*'T100'!D103</f>
        <v>0</v>
      </c>
      <c r="E103" s="1103">
        <f>VLOOKUP(E$1,'cost per tipologia de sòl'!$A$2:$D$37,4,FALSE)*'T100'!E103</f>
        <v>0</v>
      </c>
      <c r="F103" s="1103">
        <f>VLOOKUP(F$1,'cost per tipologia de sòl'!$A$2:$D$37,4,FALSE)*'T100'!F103</f>
        <v>0</v>
      </c>
      <c r="G103" s="1103">
        <f>VLOOKUP(G$1,'cost per tipologia de sòl'!$A$2:$D$37,4,FALSE)*'T100'!G103</f>
        <v>0</v>
      </c>
      <c r="H103" s="1103">
        <f>VLOOKUP(H$1,'cost per tipologia de sòl'!$A$2:$D$37,4,FALSE)*'T100'!H103</f>
        <v>0</v>
      </c>
      <c r="I103" s="1103">
        <f>VLOOKUP(I$1,'cost per tipologia de sòl'!$A$2:$D$37,4,FALSE)*'T100'!I103</f>
        <v>0</v>
      </c>
      <c r="J103" s="1103">
        <f>VLOOKUP(J$1,'cost per tipologia de sòl'!$A$2:$D$37,4,FALSE)*'T100'!J103</f>
        <v>0</v>
      </c>
      <c r="K103" s="1103">
        <f>VLOOKUP(K$1,'cost per tipologia de sòl'!$A$2:$D$37,4,FALSE)*'T100'!K103</f>
        <v>67633.524000000005</v>
      </c>
      <c r="L103" s="1103">
        <f>VLOOKUP(L$1,'cost per tipologia de sòl'!$A$2:$D$37,4,FALSE)*'T100'!L103</f>
        <v>326462.97599999997</v>
      </c>
      <c r="M103" s="1103">
        <f>VLOOKUP(M$1,'cost per tipologia de sòl'!$A$2:$D$37,4,FALSE)*'T100'!M103</f>
        <v>0</v>
      </c>
      <c r="N103" s="1103">
        <f>VLOOKUP(N$1,'cost per tipologia de sòl'!$A$2:$D$37,4,FALSE)*'T100'!N103</f>
        <v>0</v>
      </c>
      <c r="O103" s="1103">
        <f>VLOOKUP(O$1,'cost per tipologia de sòl'!$A$2:$D$37,4,FALSE)*'T100'!O103</f>
        <v>0</v>
      </c>
      <c r="P103" s="1103">
        <f>VLOOKUP(P$1,'cost per tipologia de sòl'!$A$2:$D$37,4,FALSE)*'T100'!P103</f>
        <v>1665.8880000000001</v>
      </c>
      <c r="Q103" s="1103">
        <f>VLOOKUP(Q$1,'cost per tipologia de sòl'!$A$2:$D$37,4,FALSE)*'T100'!Q103</f>
        <v>0</v>
      </c>
      <c r="R103" s="1103">
        <f>VLOOKUP(R$1,'cost per tipologia de sòl'!$A$2:$D$37,4,FALSE)*'T100'!R103</f>
        <v>0</v>
      </c>
      <c r="S103" s="1103">
        <f>VLOOKUP(S$1,'cost per tipologia de sòl'!$A$2:$D$37,4,FALSE)*'T100'!S103</f>
        <v>10011558.816</v>
      </c>
      <c r="T103" s="1103">
        <f>VLOOKUP(T$1,'cost per tipologia de sòl'!$A$2:$D$37,4,FALSE)*'T100'!T103</f>
        <v>49887765.343999997</v>
      </c>
      <c r="U103" s="1103">
        <f>VLOOKUP(U$1,'cost per tipologia de sòl'!$A$2:$D$37,4,FALSE)*'T100'!U103</f>
        <v>0</v>
      </c>
      <c r="V103" s="1103">
        <f>VLOOKUP(V$1,'cost per tipologia de sòl'!$A$2:$D$37,4,FALSE)*'T100'!V103</f>
        <v>0</v>
      </c>
      <c r="W103" s="1103">
        <f>VLOOKUP(W$1,'cost per tipologia de sòl'!$A$2:$D$37,4,FALSE)*'T100'!W103</f>
        <v>0</v>
      </c>
      <c r="X103" s="1103">
        <f>VLOOKUP(X$1,'cost per tipologia de sòl'!$A$2:$D$37,4,FALSE)*'T100'!X103</f>
        <v>0</v>
      </c>
      <c r="Y103" s="1103">
        <f>VLOOKUP(Y$1,'cost per tipologia de sòl'!$A$2:$D$37,4,FALSE)*'T100'!Y103</f>
        <v>0</v>
      </c>
      <c r="Z103" s="1103">
        <f>VLOOKUP(Z$1,'cost per tipologia de sòl'!$A$2:$D$37,4,FALSE)*'T100'!Z103</f>
        <v>0</v>
      </c>
      <c r="AA103" s="1103">
        <f>VLOOKUP(AA$1,'cost per tipologia de sòl'!$A$2:$D$37,4,FALSE)*'T100'!AA103</f>
        <v>0</v>
      </c>
      <c r="AB103" s="1103">
        <f>VLOOKUP(AB$1,'cost per tipologia de sòl'!$A$2:$D$37,4,FALSE)*'T100'!AB103</f>
        <v>6130996.9500000002</v>
      </c>
      <c r="AC103" s="1103">
        <f>VLOOKUP(AC$1,'cost per tipologia de sòl'!$A$2:$D$37,4,FALSE)*'T100'!AC103</f>
        <v>3812993.15</v>
      </c>
      <c r="AD103" s="1103">
        <f>VLOOKUP(AD$1,'cost per tipologia de sòl'!$A$2:$D$37,4,FALSE)*'T100'!AD103</f>
        <v>12062877.699999999</v>
      </c>
      <c r="AE103" s="1103">
        <f>VLOOKUP(AE$1,'cost per tipologia de sòl'!$A$2:$D$37,4,FALSE)*'T100'!AE103</f>
        <v>0</v>
      </c>
      <c r="AF103" s="1103">
        <f>VLOOKUP(AF$1,'cost per tipologia de sòl'!$A$2:$D$37,4,FALSE)*'T100'!AF103</f>
        <v>0</v>
      </c>
      <c r="AG103" s="1103">
        <f>VLOOKUP(AG$1,'cost per tipologia de sòl'!$A$2:$D$37,4,FALSE)*'T100'!AG103</f>
        <v>0</v>
      </c>
      <c r="AH103" s="1103">
        <f>VLOOKUP(AH$1,'cost per tipologia de sòl'!$A$2:$D$37,4,FALSE)*'T100'!AH103</f>
        <v>0</v>
      </c>
      <c r="AI103" s="1103">
        <f>VLOOKUP(AI$1,'cost per tipologia de sòl'!$A$2:$D$37,4,FALSE)*'T100'!AI103</f>
        <v>0</v>
      </c>
      <c r="AJ103" s="1103">
        <f t="shared" si="2"/>
        <v>91363643.552000016</v>
      </c>
      <c r="AK103" s="1117">
        <f t="shared" si="3"/>
        <v>27.409093065600004</v>
      </c>
    </row>
    <row r="104" spans="1:37">
      <c r="A104" s="1096" t="s">
        <v>1320</v>
      </c>
      <c r="B104" s="1103">
        <f>VLOOKUP(B$1,'cost per tipologia de sòl'!$A$2:$D$37,4,FALSE)*'T100'!B104</f>
        <v>31374486.107999999</v>
      </c>
      <c r="C104" s="1103">
        <f>VLOOKUP(C$1,'cost per tipologia de sòl'!$A$2:$D$37,4,FALSE)*'T100'!C104</f>
        <v>3236421.0620000004</v>
      </c>
      <c r="D104" s="1103">
        <f>VLOOKUP(D$1,'cost per tipologia de sòl'!$A$2:$D$37,4,FALSE)*'T100'!D104</f>
        <v>0</v>
      </c>
      <c r="E104" s="1103">
        <f>VLOOKUP(E$1,'cost per tipologia de sòl'!$A$2:$D$37,4,FALSE)*'T100'!E104</f>
        <v>0</v>
      </c>
      <c r="F104" s="1103">
        <f>VLOOKUP(F$1,'cost per tipologia de sòl'!$A$2:$D$37,4,FALSE)*'T100'!F104</f>
        <v>0</v>
      </c>
      <c r="G104" s="1103">
        <f>VLOOKUP(G$1,'cost per tipologia de sòl'!$A$2:$D$37,4,FALSE)*'T100'!G104</f>
        <v>0</v>
      </c>
      <c r="H104" s="1103">
        <f>VLOOKUP(H$1,'cost per tipologia de sòl'!$A$2:$D$37,4,FALSE)*'T100'!H104</f>
        <v>0</v>
      </c>
      <c r="I104" s="1103">
        <f>VLOOKUP(I$1,'cost per tipologia de sòl'!$A$2:$D$37,4,FALSE)*'T100'!I104</f>
        <v>0</v>
      </c>
      <c r="J104" s="1103">
        <f>VLOOKUP(J$1,'cost per tipologia de sòl'!$A$2:$D$37,4,FALSE)*'T100'!J104</f>
        <v>0</v>
      </c>
      <c r="K104" s="1103">
        <f>VLOOKUP(K$1,'cost per tipologia de sòl'!$A$2:$D$37,4,FALSE)*'T100'!K104</f>
        <v>0</v>
      </c>
      <c r="L104" s="1103">
        <f>VLOOKUP(L$1,'cost per tipologia de sòl'!$A$2:$D$37,4,FALSE)*'T100'!L104</f>
        <v>0</v>
      </c>
      <c r="M104" s="1103">
        <f>VLOOKUP(M$1,'cost per tipologia de sòl'!$A$2:$D$37,4,FALSE)*'T100'!M104</f>
        <v>0</v>
      </c>
      <c r="N104" s="1103">
        <f>VLOOKUP(N$1,'cost per tipologia de sòl'!$A$2:$D$37,4,FALSE)*'T100'!N104</f>
        <v>3606467.4240000001</v>
      </c>
      <c r="O104" s="1103">
        <f>VLOOKUP(O$1,'cost per tipologia de sòl'!$A$2:$D$37,4,FALSE)*'T100'!O104</f>
        <v>0</v>
      </c>
      <c r="P104" s="1103">
        <f>VLOOKUP(P$1,'cost per tipologia de sòl'!$A$2:$D$37,4,FALSE)*'T100'!P104</f>
        <v>0</v>
      </c>
      <c r="Q104" s="1103">
        <f>VLOOKUP(Q$1,'cost per tipologia de sòl'!$A$2:$D$37,4,FALSE)*'T100'!Q104</f>
        <v>0</v>
      </c>
      <c r="R104" s="1103">
        <f>VLOOKUP(R$1,'cost per tipologia de sòl'!$A$2:$D$37,4,FALSE)*'T100'!R104</f>
        <v>0</v>
      </c>
      <c r="S104" s="1103">
        <f>VLOOKUP(S$1,'cost per tipologia de sòl'!$A$2:$D$37,4,FALSE)*'T100'!S104</f>
        <v>19349320.032000002</v>
      </c>
      <c r="T104" s="1103">
        <f>VLOOKUP(T$1,'cost per tipologia de sòl'!$A$2:$D$37,4,FALSE)*'T100'!T104</f>
        <v>1619507.42</v>
      </c>
      <c r="U104" s="1103">
        <f>VLOOKUP(U$1,'cost per tipologia de sòl'!$A$2:$D$37,4,FALSE)*'T100'!U104</f>
        <v>13790712.6</v>
      </c>
      <c r="V104" s="1103">
        <f>VLOOKUP(V$1,'cost per tipologia de sòl'!$A$2:$D$37,4,FALSE)*'T100'!V104</f>
        <v>0</v>
      </c>
      <c r="W104" s="1103">
        <f>VLOOKUP(W$1,'cost per tipologia de sòl'!$A$2:$D$37,4,FALSE)*'T100'!W104</f>
        <v>0</v>
      </c>
      <c r="X104" s="1103">
        <f>VLOOKUP(X$1,'cost per tipologia de sòl'!$A$2:$D$37,4,FALSE)*'T100'!X104</f>
        <v>0</v>
      </c>
      <c r="Y104" s="1103">
        <f>VLOOKUP(Y$1,'cost per tipologia de sòl'!$A$2:$D$37,4,FALSE)*'T100'!Y104</f>
        <v>0</v>
      </c>
      <c r="Z104" s="1103">
        <f>VLOOKUP(Z$1,'cost per tipologia de sòl'!$A$2:$D$37,4,FALSE)*'T100'!Z104</f>
        <v>0</v>
      </c>
      <c r="AA104" s="1103">
        <f>VLOOKUP(AA$1,'cost per tipologia de sòl'!$A$2:$D$37,4,FALSE)*'T100'!AA104</f>
        <v>0</v>
      </c>
      <c r="AB104" s="1103">
        <f>VLOOKUP(AB$1,'cost per tipologia de sòl'!$A$2:$D$37,4,FALSE)*'T100'!AB104</f>
        <v>13563079.700000001</v>
      </c>
      <c r="AC104" s="1103">
        <f>VLOOKUP(AC$1,'cost per tipologia de sòl'!$A$2:$D$37,4,FALSE)*'T100'!AC104</f>
        <v>5215282.45</v>
      </c>
      <c r="AD104" s="1103">
        <f>VLOOKUP(AD$1,'cost per tipologia de sòl'!$A$2:$D$37,4,FALSE)*'T100'!AD104</f>
        <v>33657513.899999999</v>
      </c>
      <c r="AE104" s="1103">
        <f>VLOOKUP(AE$1,'cost per tipologia de sòl'!$A$2:$D$37,4,FALSE)*'T100'!AE104</f>
        <v>0</v>
      </c>
      <c r="AF104" s="1103">
        <f>VLOOKUP(AF$1,'cost per tipologia de sòl'!$A$2:$D$37,4,FALSE)*'T100'!AF104</f>
        <v>0</v>
      </c>
      <c r="AG104" s="1103">
        <f>VLOOKUP(AG$1,'cost per tipologia de sòl'!$A$2:$D$37,4,FALSE)*'T100'!AG104</f>
        <v>0</v>
      </c>
      <c r="AH104" s="1103">
        <f>VLOOKUP(AH$1,'cost per tipologia de sòl'!$A$2:$D$37,4,FALSE)*'T100'!AH104</f>
        <v>0</v>
      </c>
      <c r="AI104" s="1103">
        <f>VLOOKUP(AI$1,'cost per tipologia de sòl'!$A$2:$D$37,4,FALSE)*'T100'!AI104</f>
        <v>0</v>
      </c>
      <c r="AJ104" s="1103">
        <f t="shared" si="2"/>
        <v>125412790.69600001</v>
      </c>
      <c r="AK104" s="1117">
        <f t="shared" si="3"/>
        <v>37.623837208799998</v>
      </c>
    </row>
    <row r="105" spans="1:37">
      <c r="A105" s="1096" t="s">
        <v>1325</v>
      </c>
      <c r="B105" s="1103">
        <f>VLOOKUP(B$1,'cost per tipologia de sòl'!$A$2:$D$37,4,FALSE)*'T100'!B105</f>
        <v>136799457.73199999</v>
      </c>
      <c r="C105" s="1103">
        <f>VLOOKUP(C$1,'cost per tipologia de sòl'!$A$2:$D$37,4,FALSE)*'T100'!C105</f>
        <v>0</v>
      </c>
      <c r="D105" s="1103">
        <f>VLOOKUP(D$1,'cost per tipologia de sòl'!$A$2:$D$37,4,FALSE)*'T100'!D105</f>
        <v>0</v>
      </c>
      <c r="E105" s="1103">
        <f>VLOOKUP(E$1,'cost per tipologia de sòl'!$A$2:$D$37,4,FALSE)*'T100'!E105</f>
        <v>0</v>
      </c>
      <c r="F105" s="1103">
        <f>VLOOKUP(F$1,'cost per tipologia de sòl'!$A$2:$D$37,4,FALSE)*'T100'!F105</f>
        <v>0</v>
      </c>
      <c r="G105" s="1103">
        <f>VLOOKUP(G$1,'cost per tipologia de sòl'!$A$2:$D$37,4,FALSE)*'T100'!G105</f>
        <v>0</v>
      </c>
      <c r="H105" s="1103">
        <f>VLOOKUP(H$1,'cost per tipologia de sòl'!$A$2:$D$37,4,FALSE)*'T100'!H105</f>
        <v>0</v>
      </c>
      <c r="I105" s="1103">
        <f>VLOOKUP(I$1,'cost per tipologia de sòl'!$A$2:$D$37,4,FALSE)*'T100'!I105</f>
        <v>0</v>
      </c>
      <c r="J105" s="1103">
        <f>VLOOKUP(J$1,'cost per tipologia de sòl'!$A$2:$D$37,4,FALSE)*'T100'!J105</f>
        <v>618886.16899999999</v>
      </c>
      <c r="K105" s="1103">
        <f>VLOOKUP(K$1,'cost per tipologia de sòl'!$A$2:$D$37,4,FALSE)*'T100'!K105</f>
        <v>0</v>
      </c>
      <c r="L105" s="1103">
        <f>VLOOKUP(L$1,'cost per tipologia de sòl'!$A$2:$D$37,4,FALSE)*'T100'!L105</f>
        <v>22621363.550999999</v>
      </c>
      <c r="M105" s="1103">
        <f>VLOOKUP(M$1,'cost per tipologia de sòl'!$A$2:$D$37,4,FALSE)*'T100'!M105</f>
        <v>0</v>
      </c>
      <c r="N105" s="1103">
        <f>VLOOKUP(N$1,'cost per tipologia de sòl'!$A$2:$D$37,4,FALSE)*'T100'!N105</f>
        <v>1121209.088</v>
      </c>
      <c r="O105" s="1103">
        <f>VLOOKUP(O$1,'cost per tipologia de sòl'!$A$2:$D$37,4,FALSE)*'T100'!O105</f>
        <v>0</v>
      </c>
      <c r="P105" s="1103">
        <f>VLOOKUP(P$1,'cost per tipologia de sòl'!$A$2:$D$37,4,FALSE)*'T100'!P105</f>
        <v>41133.175999999999</v>
      </c>
      <c r="Q105" s="1103">
        <f>VLOOKUP(Q$1,'cost per tipologia de sòl'!$A$2:$D$37,4,FALSE)*'T100'!Q105</f>
        <v>0</v>
      </c>
      <c r="R105" s="1103">
        <f>VLOOKUP(R$1,'cost per tipologia de sòl'!$A$2:$D$37,4,FALSE)*'T100'!R105</f>
        <v>0</v>
      </c>
      <c r="S105" s="1103">
        <f>VLOOKUP(S$1,'cost per tipologia de sòl'!$A$2:$D$37,4,FALSE)*'T100'!S105</f>
        <v>3990080.304</v>
      </c>
      <c r="T105" s="1103">
        <f>VLOOKUP(T$1,'cost per tipologia de sòl'!$A$2:$D$37,4,FALSE)*'T100'!T105</f>
        <v>46567158.423</v>
      </c>
      <c r="U105" s="1103">
        <f>VLOOKUP(U$1,'cost per tipologia de sòl'!$A$2:$D$37,4,FALSE)*'T100'!U105</f>
        <v>2968232.4000000004</v>
      </c>
      <c r="V105" s="1103">
        <f>VLOOKUP(V$1,'cost per tipologia de sòl'!$A$2:$D$37,4,FALSE)*'T100'!V105</f>
        <v>0</v>
      </c>
      <c r="W105" s="1103">
        <f>VLOOKUP(W$1,'cost per tipologia de sòl'!$A$2:$D$37,4,FALSE)*'T100'!W105</f>
        <v>0</v>
      </c>
      <c r="X105" s="1103">
        <f>VLOOKUP(X$1,'cost per tipologia de sòl'!$A$2:$D$37,4,FALSE)*'T100'!X105</f>
        <v>0</v>
      </c>
      <c r="Y105" s="1103">
        <f>VLOOKUP(Y$1,'cost per tipologia de sòl'!$A$2:$D$37,4,FALSE)*'T100'!Y105</f>
        <v>0</v>
      </c>
      <c r="Z105" s="1103">
        <f>VLOOKUP(Z$1,'cost per tipologia de sòl'!$A$2:$D$37,4,FALSE)*'T100'!Z105</f>
        <v>1303624.3700000001</v>
      </c>
      <c r="AA105" s="1103">
        <f>VLOOKUP(AA$1,'cost per tipologia de sòl'!$A$2:$D$37,4,FALSE)*'T100'!AA105</f>
        <v>0</v>
      </c>
      <c r="AB105" s="1103">
        <f>VLOOKUP(AB$1,'cost per tipologia de sòl'!$A$2:$D$37,4,FALSE)*'T100'!AB105</f>
        <v>2104401.0499999998</v>
      </c>
      <c r="AC105" s="1103">
        <f>VLOOKUP(AC$1,'cost per tipologia de sòl'!$A$2:$D$37,4,FALSE)*'T100'!AC105</f>
        <v>64737875.400000006</v>
      </c>
      <c r="AD105" s="1103">
        <f>VLOOKUP(AD$1,'cost per tipologia de sòl'!$A$2:$D$37,4,FALSE)*'T100'!AD105</f>
        <v>22039152.600000001</v>
      </c>
      <c r="AE105" s="1103">
        <f>VLOOKUP(AE$1,'cost per tipologia de sòl'!$A$2:$D$37,4,FALSE)*'T100'!AE105</f>
        <v>0</v>
      </c>
      <c r="AF105" s="1103">
        <f>VLOOKUP(AF$1,'cost per tipologia de sòl'!$A$2:$D$37,4,FALSE)*'T100'!AF105</f>
        <v>0</v>
      </c>
      <c r="AG105" s="1103">
        <f>VLOOKUP(AG$1,'cost per tipologia de sòl'!$A$2:$D$37,4,FALSE)*'T100'!AG105</f>
        <v>0</v>
      </c>
      <c r="AH105" s="1103">
        <f>VLOOKUP(AH$1,'cost per tipologia de sòl'!$A$2:$D$37,4,FALSE)*'T100'!AH105</f>
        <v>0</v>
      </c>
      <c r="AI105" s="1103">
        <f>VLOOKUP(AI$1,'cost per tipologia de sòl'!$A$2:$D$37,4,FALSE)*'T100'!AI105</f>
        <v>0</v>
      </c>
      <c r="AJ105" s="1103">
        <f t="shared" si="2"/>
        <v>304912574.26300001</v>
      </c>
      <c r="AK105" s="1117">
        <f t="shared" si="3"/>
        <v>91.4737722789</v>
      </c>
    </row>
    <row r="106" spans="1:37">
      <c r="A106" s="1096" t="s">
        <v>1330</v>
      </c>
      <c r="B106" s="1103">
        <f>VLOOKUP(B$1,'cost per tipologia de sòl'!$A$2:$D$37,4,FALSE)*'T100'!B106</f>
        <v>0</v>
      </c>
      <c r="C106" s="1103">
        <f>VLOOKUP(C$1,'cost per tipologia de sòl'!$A$2:$D$37,4,FALSE)*'T100'!C106</f>
        <v>0</v>
      </c>
      <c r="D106" s="1103">
        <f>VLOOKUP(D$1,'cost per tipologia de sòl'!$A$2:$D$37,4,FALSE)*'T100'!D106</f>
        <v>0</v>
      </c>
      <c r="E106" s="1103">
        <f>VLOOKUP(E$1,'cost per tipologia de sòl'!$A$2:$D$37,4,FALSE)*'T100'!E106</f>
        <v>0</v>
      </c>
      <c r="F106" s="1103">
        <f>VLOOKUP(F$1,'cost per tipologia de sòl'!$A$2:$D$37,4,FALSE)*'T100'!F106</f>
        <v>0</v>
      </c>
      <c r="G106" s="1103">
        <f>VLOOKUP(G$1,'cost per tipologia de sòl'!$A$2:$D$37,4,FALSE)*'T100'!G106</f>
        <v>0</v>
      </c>
      <c r="H106" s="1103">
        <f>VLOOKUP(H$1,'cost per tipologia de sòl'!$A$2:$D$37,4,FALSE)*'T100'!H106</f>
        <v>0</v>
      </c>
      <c r="I106" s="1103">
        <f>VLOOKUP(I$1,'cost per tipologia de sòl'!$A$2:$D$37,4,FALSE)*'T100'!I106</f>
        <v>0</v>
      </c>
      <c r="J106" s="1103">
        <f>VLOOKUP(J$1,'cost per tipologia de sòl'!$A$2:$D$37,4,FALSE)*'T100'!J106</f>
        <v>0</v>
      </c>
      <c r="K106" s="1103">
        <f>VLOOKUP(K$1,'cost per tipologia de sòl'!$A$2:$D$37,4,FALSE)*'T100'!K106</f>
        <v>0</v>
      </c>
      <c r="L106" s="1103">
        <f>VLOOKUP(L$1,'cost per tipologia de sòl'!$A$2:$D$37,4,FALSE)*'T100'!L106</f>
        <v>0</v>
      </c>
      <c r="M106" s="1103">
        <f>VLOOKUP(M$1,'cost per tipologia de sòl'!$A$2:$D$37,4,FALSE)*'T100'!M106</f>
        <v>0</v>
      </c>
      <c r="N106" s="1103">
        <f>VLOOKUP(N$1,'cost per tipologia de sòl'!$A$2:$D$37,4,FALSE)*'T100'!N106</f>
        <v>0</v>
      </c>
      <c r="O106" s="1103">
        <f>VLOOKUP(O$1,'cost per tipologia de sòl'!$A$2:$D$37,4,FALSE)*'T100'!O106</f>
        <v>0</v>
      </c>
      <c r="P106" s="1103">
        <f>VLOOKUP(P$1,'cost per tipologia de sòl'!$A$2:$D$37,4,FALSE)*'T100'!P106</f>
        <v>0</v>
      </c>
      <c r="Q106" s="1103">
        <f>VLOOKUP(Q$1,'cost per tipologia de sòl'!$A$2:$D$37,4,FALSE)*'T100'!Q106</f>
        <v>0</v>
      </c>
      <c r="R106" s="1103">
        <f>VLOOKUP(R$1,'cost per tipologia de sòl'!$A$2:$D$37,4,FALSE)*'T100'!R106</f>
        <v>0</v>
      </c>
      <c r="S106" s="1103">
        <f>VLOOKUP(S$1,'cost per tipologia de sòl'!$A$2:$D$37,4,FALSE)*'T100'!S106</f>
        <v>0</v>
      </c>
      <c r="T106" s="1103">
        <f>VLOOKUP(T$1,'cost per tipologia de sòl'!$A$2:$D$37,4,FALSE)*'T100'!T106</f>
        <v>2159075.7609999999</v>
      </c>
      <c r="U106" s="1103">
        <f>VLOOKUP(U$1,'cost per tipologia de sòl'!$A$2:$D$37,4,FALSE)*'T100'!U106</f>
        <v>0</v>
      </c>
      <c r="V106" s="1103">
        <f>VLOOKUP(V$1,'cost per tipologia de sòl'!$A$2:$D$37,4,FALSE)*'T100'!V106</f>
        <v>0</v>
      </c>
      <c r="W106" s="1103">
        <f>VLOOKUP(W$1,'cost per tipologia de sòl'!$A$2:$D$37,4,FALSE)*'T100'!W106</f>
        <v>0</v>
      </c>
      <c r="X106" s="1103">
        <f>VLOOKUP(X$1,'cost per tipologia de sòl'!$A$2:$D$37,4,FALSE)*'T100'!X106</f>
        <v>0</v>
      </c>
      <c r="Y106" s="1103">
        <f>VLOOKUP(Y$1,'cost per tipologia de sòl'!$A$2:$D$37,4,FALSE)*'T100'!Y106</f>
        <v>0</v>
      </c>
      <c r="Z106" s="1103">
        <f>VLOOKUP(Z$1,'cost per tipologia de sòl'!$A$2:$D$37,4,FALSE)*'T100'!Z106</f>
        <v>0</v>
      </c>
      <c r="AA106" s="1103">
        <f>VLOOKUP(AA$1,'cost per tipologia de sòl'!$A$2:$D$37,4,FALSE)*'T100'!AA106</f>
        <v>0</v>
      </c>
      <c r="AB106" s="1103">
        <f>VLOOKUP(AB$1,'cost per tipologia de sòl'!$A$2:$D$37,4,FALSE)*'T100'!AB106</f>
        <v>198601.30000000002</v>
      </c>
      <c r="AC106" s="1103">
        <f>VLOOKUP(AC$1,'cost per tipologia de sòl'!$A$2:$D$37,4,FALSE)*'T100'!AC106</f>
        <v>4338.6499999999996</v>
      </c>
      <c r="AD106" s="1103">
        <f>VLOOKUP(AD$1,'cost per tipologia de sòl'!$A$2:$D$37,4,FALSE)*'T100'!AD106</f>
        <v>771534.9</v>
      </c>
      <c r="AE106" s="1103">
        <f>VLOOKUP(AE$1,'cost per tipologia de sòl'!$A$2:$D$37,4,FALSE)*'T100'!AE106</f>
        <v>0</v>
      </c>
      <c r="AF106" s="1103">
        <f>VLOOKUP(AF$1,'cost per tipologia de sòl'!$A$2:$D$37,4,FALSE)*'T100'!AF106</f>
        <v>0</v>
      </c>
      <c r="AG106" s="1103">
        <f>VLOOKUP(AG$1,'cost per tipologia de sòl'!$A$2:$D$37,4,FALSE)*'T100'!AG106</f>
        <v>0</v>
      </c>
      <c r="AH106" s="1103">
        <f>VLOOKUP(AH$1,'cost per tipologia de sòl'!$A$2:$D$37,4,FALSE)*'T100'!AH106</f>
        <v>0</v>
      </c>
      <c r="AI106" s="1103">
        <f>VLOOKUP(AI$1,'cost per tipologia de sòl'!$A$2:$D$37,4,FALSE)*'T100'!AI106</f>
        <v>0</v>
      </c>
      <c r="AJ106" s="1103">
        <f t="shared" si="2"/>
        <v>3133550.6109999996</v>
      </c>
      <c r="AK106" s="1117">
        <f t="shared" si="3"/>
        <v>0.94006518329999988</v>
      </c>
    </row>
    <row r="107" spans="1:37">
      <c r="A107" s="1096" t="s">
        <v>347</v>
      </c>
      <c r="B107" s="1103">
        <f>VLOOKUP(B$1,'cost per tipologia de sòl'!$A$2:$D$37,4,FALSE)*'T100'!B107</f>
        <v>0</v>
      </c>
      <c r="C107" s="1103">
        <f>VLOOKUP(C$1,'cost per tipologia de sòl'!$A$2:$D$37,4,FALSE)*'T100'!C107</f>
        <v>30723414.541999999</v>
      </c>
      <c r="D107" s="1103">
        <f>VLOOKUP(D$1,'cost per tipologia de sòl'!$A$2:$D$37,4,FALSE)*'T100'!D107</f>
        <v>22368190.932</v>
      </c>
      <c r="E107" s="1103">
        <f>VLOOKUP(E$1,'cost per tipologia de sòl'!$A$2:$D$37,4,FALSE)*'T100'!E107</f>
        <v>0</v>
      </c>
      <c r="F107" s="1103">
        <f>VLOOKUP(F$1,'cost per tipologia de sòl'!$A$2:$D$37,4,FALSE)*'T100'!F107</f>
        <v>0</v>
      </c>
      <c r="G107" s="1103">
        <f>VLOOKUP(G$1,'cost per tipologia de sòl'!$A$2:$D$37,4,FALSE)*'T100'!G107</f>
        <v>0</v>
      </c>
      <c r="H107" s="1103">
        <f>VLOOKUP(H$1,'cost per tipologia de sòl'!$A$2:$D$37,4,FALSE)*'T100'!H107</f>
        <v>0</v>
      </c>
      <c r="I107" s="1103">
        <f>VLOOKUP(I$1,'cost per tipologia de sòl'!$A$2:$D$37,4,FALSE)*'T100'!I107</f>
        <v>0</v>
      </c>
      <c r="J107" s="1103">
        <f>VLOOKUP(J$1,'cost per tipologia de sòl'!$A$2:$D$37,4,FALSE)*'T100'!J107</f>
        <v>1496702.1740000001</v>
      </c>
      <c r="K107" s="1103">
        <f>VLOOKUP(K$1,'cost per tipologia de sòl'!$A$2:$D$37,4,FALSE)*'T100'!K107</f>
        <v>535250.52</v>
      </c>
      <c r="L107" s="1103">
        <f>VLOOKUP(L$1,'cost per tipologia de sòl'!$A$2:$D$37,4,FALSE)*'T100'!L107</f>
        <v>9823545.4049999993</v>
      </c>
      <c r="M107" s="1103">
        <f>VLOOKUP(M$1,'cost per tipologia de sòl'!$A$2:$D$37,4,FALSE)*'T100'!M107</f>
        <v>98037218.288000003</v>
      </c>
      <c r="N107" s="1103">
        <f>VLOOKUP(N$1,'cost per tipologia de sòl'!$A$2:$D$37,4,FALSE)*'T100'!N107</f>
        <v>15586815.68</v>
      </c>
      <c r="O107" s="1103">
        <f>VLOOKUP(O$1,'cost per tipologia de sòl'!$A$2:$D$37,4,FALSE)*'T100'!O107</f>
        <v>62198808.943999998</v>
      </c>
      <c r="P107" s="1103">
        <f>VLOOKUP(P$1,'cost per tipologia de sòl'!$A$2:$D$37,4,FALSE)*'T100'!P107</f>
        <v>16871970.551999997</v>
      </c>
      <c r="Q107" s="1103">
        <f>VLOOKUP(Q$1,'cost per tipologia de sòl'!$A$2:$D$37,4,FALSE)*'T100'!Q107</f>
        <v>0</v>
      </c>
      <c r="R107" s="1103">
        <f>VLOOKUP(R$1,'cost per tipologia de sòl'!$A$2:$D$37,4,FALSE)*'T100'!R107</f>
        <v>0</v>
      </c>
      <c r="S107" s="1103">
        <f>VLOOKUP(S$1,'cost per tipologia de sòl'!$A$2:$D$37,4,FALSE)*'T100'!S107</f>
        <v>58344259.68</v>
      </c>
      <c r="T107" s="1103">
        <f>VLOOKUP(T$1,'cost per tipologia de sòl'!$A$2:$D$37,4,FALSE)*'T100'!T107</f>
        <v>20562930.526000001</v>
      </c>
      <c r="U107" s="1103">
        <f>VLOOKUP(U$1,'cost per tipologia de sòl'!$A$2:$D$37,4,FALSE)*'T100'!U107</f>
        <v>39841675.649999999</v>
      </c>
      <c r="V107" s="1103">
        <f>VLOOKUP(V$1,'cost per tipologia de sòl'!$A$2:$D$37,4,FALSE)*'T100'!V107</f>
        <v>0</v>
      </c>
      <c r="W107" s="1103">
        <f>VLOOKUP(W$1,'cost per tipologia de sòl'!$A$2:$D$37,4,FALSE)*'T100'!W107</f>
        <v>0</v>
      </c>
      <c r="X107" s="1103">
        <f>VLOOKUP(X$1,'cost per tipologia de sòl'!$A$2:$D$37,4,FALSE)*'T100'!X107</f>
        <v>0</v>
      </c>
      <c r="Y107" s="1103">
        <f>VLOOKUP(Y$1,'cost per tipologia de sòl'!$A$2:$D$37,4,FALSE)*'T100'!Y107</f>
        <v>0</v>
      </c>
      <c r="Z107" s="1103">
        <f>VLOOKUP(Z$1,'cost per tipologia de sòl'!$A$2:$D$37,4,FALSE)*'T100'!Z107</f>
        <v>5849165.9939999999</v>
      </c>
      <c r="AA107" s="1103">
        <f>VLOOKUP(AA$1,'cost per tipologia de sòl'!$A$2:$D$37,4,FALSE)*'T100'!AA107</f>
        <v>0</v>
      </c>
      <c r="AB107" s="1103">
        <f>VLOOKUP(AB$1,'cost per tipologia de sòl'!$A$2:$D$37,4,FALSE)*'T100'!AB107</f>
        <v>111062.59999999999</v>
      </c>
      <c r="AC107" s="1103">
        <f>VLOOKUP(AC$1,'cost per tipologia de sòl'!$A$2:$D$37,4,FALSE)*'T100'!AC107</f>
        <v>162760555.95000002</v>
      </c>
      <c r="AD107" s="1103">
        <f>VLOOKUP(AD$1,'cost per tipologia de sòl'!$A$2:$D$37,4,FALSE)*'T100'!AD107</f>
        <v>106833739.60000001</v>
      </c>
      <c r="AE107" s="1103">
        <f>VLOOKUP(AE$1,'cost per tipologia de sòl'!$A$2:$D$37,4,FALSE)*'T100'!AE107</f>
        <v>0</v>
      </c>
      <c r="AF107" s="1103">
        <f>VLOOKUP(AF$1,'cost per tipologia de sòl'!$A$2:$D$37,4,FALSE)*'T100'!AF107</f>
        <v>0</v>
      </c>
      <c r="AG107" s="1103">
        <f>VLOOKUP(AG$1,'cost per tipologia de sòl'!$A$2:$D$37,4,FALSE)*'T100'!AG107</f>
        <v>0</v>
      </c>
      <c r="AH107" s="1103">
        <f>VLOOKUP(AH$1,'cost per tipologia de sòl'!$A$2:$D$37,4,FALSE)*'T100'!AH107</f>
        <v>0</v>
      </c>
      <c r="AI107" s="1103">
        <f>VLOOKUP(AI$1,'cost per tipologia de sòl'!$A$2:$D$37,4,FALSE)*'T100'!AI107</f>
        <v>0</v>
      </c>
      <c r="AJ107" s="1103">
        <f t="shared" si="2"/>
        <v>651945307.03700006</v>
      </c>
      <c r="AK107" s="1117">
        <f t="shared" si="3"/>
        <v>195.58359211110002</v>
      </c>
    </row>
    <row r="108" spans="1:37">
      <c r="A108" s="1096" t="s">
        <v>1349</v>
      </c>
      <c r="B108" s="1103">
        <f>VLOOKUP(B$1,'cost per tipologia de sòl'!$A$2:$D$37,4,FALSE)*'T100'!B108</f>
        <v>45552526.920000002</v>
      </c>
      <c r="C108" s="1103">
        <f>VLOOKUP(C$1,'cost per tipologia de sòl'!$A$2:$D$37,4,FALSE)*'T100'!C108</f>
        <v>1351472.362</v>
      </c>
      <c r="D108" s="1103">
        <f>VLOOKUP(D$1,'cost per tipologia de sòl'!$A$2:$D$37,4,FALSE)*'T100'!D108</f>
        <v>0</v>
      </c>
      <c r="E108" s="1103">
        <f>VLOOKUP(E$1,'cost per tipologia de sòl'!$A$2:$D$37,4,FALSE)*'T100'!E108</f>
        <v>0</v>
      </c>
      <c r="F108" s="1103">
        <f>VLOOKUP(F$1,'cost per tipologia de sòl'!$A$2:$D$37,4,FALSE)*'T100'!F108</f>
        <v>0</v>
      </c>
      <c r="G108" s="1103">
        <f>VLOOKUP(G$1,'cost per tipologia de sòl'!$A$2:$D$37,4,FALSE)*'T100'!G108</f>
        <v>0</v>
      </c>
      <c r="H108" s="1103">
        <f>VLOOKUP(H$1,'cost per tipologia de sòl'!$A$2:$D$37,4,FALSE)*'T100'!H108</f>
        <v>0</v>
      </c>
      <c r="I108" s="1103">
        <f>VLOOKUP(I$1,'cost per tipologia de sòl'!$A$2:$D$37,4,FALSE)*'T100'!I108</f>
        <v>0</v>
      </c>
      <c r="J108" s="1103">
        <f>VLOOKUP(J$1,'cost per tipologia de sòl'!$A$2:$D$37,4,FALSE)*'T100'!J108</f>
        <v>100844.1225</v>
      </c>
      <c r="K108" s="1103">
        <f>VLOOKUP(K$1,'cost per tipologia de sòl'!$A$2:$D$37,4,FALSE)*'T100'!K108</f>
        <v>0</v>
      </c>
      <c r="L108" s="1103">
        <f>VLOOKUP(L$1,'cost per tipologia de sòl'!$A$2:$D$37,4,FALSE)*'T100'!L108</f>
        <v>741200.85</v>
      </c>
      <c r="M108" s="1103">
        <f>VLOOKUP(M$1,'cost per tipologia de sòl'!$A$2:$D$37,4,FALSE)*'T100'!M108</f>
        <v>0</v>
      </c>
      <c r="N108" s="1103">
        <f>VLOOKUP(N$1,'cost per tipologia de sòl'!$A$2:$D$37,4,FALSE)*'T100'!N108</f>
        <v>2539026.1039999998</v>
      </c>
      <c r="O108" s="1103">
        <f>VLOOKUP(O$1,'cost per tipologia de sòl'!$A$2:$D$37,4,FALSE)*'T100'!O108</f>
        <v>11457</v>
      </c>
      <c r="P108" s="1103">
        <f>VLOOKUP(P$1,'cost per tipologia de sòl'!$A$2:$D$37,4,FALSE)*'T100'!P108</f>
        <v>0</v>
      </c>
      <c r="Q108" s="1103">
        <f>VLOOKUP(Q$1,'cost per tipologia de sòl'!$A$2:$D$37,4,FALSE)*'T100'!Q108</f>
        <v>0</v>
      </c>
      <c r="R108" s="1103">
        <f>VLOOKUP(R$1,'cost per tipologia de sòl'!$A$2:$D$37,4,FALSE)*'T100'!R108</f>
        <v>0</v>
      </c>
      <c r="S108" s="1103">
        <f>VLOOKUP(S$1,'cost per tipologia de sòl'!$A$2:$D$37,4,FALSE)*'T100'!S108</f>
        <v>3821757.4079999998</v>
      </c>
      <c r="T108" s="1103">
        <f>VLOOKUP(T$1,'cost per tipologia de sòl'!$A$2:$D$37,4,FALSE)*'T100'!T108</f>
        <v>5975788.4699999997</v>
      </c>
      <c r="U108" s="1103">
        <f>VLOOKUP(U$1,'cost per tipologia de sòl'!$A$2:$D$37,4,FALSE)*'T100'!U108</f>
        <v>0</v>
      </c>
      <c r="V108" s="1103">
        <f>VLOOKUP(V$1,'cost per tipologia de sòl'!$A$2:$D$37,4,FALSE)*'T100'!V108</f>
        <v>0</v>
      </c>
      <c r="W108" s="1103">
        <f>VLOOKUP(W$1,'cost per tipologia de sòl'!$A$2:$D$37,4,FALSE)*'T100'!W108</f>
        <v>0</v>
      </c>
      <c r="X108" s="1103">
        <f>VLOOKUP(X$1,'cost per tipologia de sòl'!$A$2:$D$37,4,FALSE)*'T100'!X108</f>
        <v>0</v>
      </c>
      <c r="Y108" s="1103">
        <f>VLOOKUP(Y$1,'cost per tipologia de sòl'!$A$2:$D$37,4,FALSE)*'T100'!Y108</f>
        <v>0</v>
      </c>
      <c r="Z108" s="1103">
        <f>VLOOKUP(Z$1,'cost per tipologia de sòl'!$A$2:$D$37,4,FALSE)*'T100'!Z108</f>
        <v>0</v>
      </c>
      <c r="AA108" s="1103">
        <f>VLOOKUP(AA$1,'cost per tipologia de sòl'!$A$2:$D$37,4,FALSE)*'T100'!AA108</f>
        <v>0</v>
      </c>
      <c r="AB108" s="1103">
        <f>VLOOKUP(AB$1,'cost per tipologia de sòl'!$A$2:$D$37,4,FALSE)*'T100'!AB108</f>
        <v>0</v>
      </c>
      <c r="AC108" s="1103">
        <f>VLOOKUP(AC$1,'cost per tipologia de sòl'!$A$2:$D$37,4,FALSE)*'T100'!AC108</f>
        <v>11028933.800000001</v>
      </c>
      <c r="AD108" s="1103">
        <f>VLOOKUP(AD$1,'cost per tipologia de sòl'!$A$2:$D$37,4,FALSE)*'T100'!AD108</f>
        <v>8368655.4499999993</v>
      </c>
      <c r="AE108" s="1103">
        <f>VLOOKUP(AE$1,'cost per tipologia de sòl'!$A$2:$D$37,4,FALSE)*'T100'!AE108</f>
        <v>0</v>
      </c>
      <c r="AF108" s="1103">
        <f>VLOOKUP(AF$1,'cost per tipologia de sòl'!$A$2:$D$37,4,FALSE)*'T100'!AF108</f>
        <v>0</v>
      </c>
      <c r="AG108" s="1103">
        <f>VLOOKUP(AG$1,'cost per tipologia de sòl'!$A$2:$D$37,4,FALSE)*'T100'!AG108</f>
        <v>0</v>
      </c>
      <c r="AH108" s="1103">
        <f>VLOOKUP(AH$1,'cost per tipologia de sòl'!$A$2:$D$37,4,FALSE)*'T100'!AH108</f>
        <v>0</v>
      </c>
      <c r="AI108" s="1103">
        <f>VLOOKUP(AI$1,'cost per tipologia de sòl'!$A$2:$D$37,4,FALSE)*'T100'!AI108</f>
        <v>0</v>
      </c>
      <c r="AJ108" s="1103">
        <f t="shared" si="2"/>
        <v>79491662.48650001</v>
      </c>
      <c r="AK108" s="1117">
        <f t="shared" si="3"/>
        <v>23.847498745950002</v>
      </c>
    </row>
    <row r="109" spans="1:37">
      <c r="A109" s="1096" t="s">
        <v>1352</v>
      </c>
      <c r="B109" s="1103">
        <f>VLOOKUP(B$1,'cost per tipologia de sòl'!$A$2:$D$37,4,FALSE)*'T100'!B109</f>
        <v>0</v>
      </c>
      <c r="C109" s="1103">
        <f>VLOOKUP(C$1,'cost per tipologia de sòl'!$A$2:$D$37,4,FALSE)*'T100'!C109</f>
        <v>0</v>
      </c>
      <c r="D109" s="1103">
        <f>VLOOKUP(D$1,'cost per tipologia de sòl'!$A$2:$D$37,4,FALSE)*'T100'!D109</f>
        <v>0</v>
      </c>
      <c r="E109" s="1103">
        <f>VLOOKUP(E$1,'cost per tipologia de sòl'!$A$2:$D$37,4,FALSE)*'T100'!E109</f>
        <v>0</v>
      </c>
      <c r="F109" s="1103">
        <f>VLOOKUP(F$1,'cost per tipologia de sòl'!$A$2:$D$37,4,FALSE)*'T100'!F109</f>
        <v>0</v>
      </c>
      <c r="G109" s="1103">
        <f>VLOOKUP(G$1,'cost per tipologia de sòl'!$A$2:$D$37,4,FALSE)*'T100'!G109</f>
        <v>0</v>
      </c>
      <c r="H109" s="1103">
        <f>VLOOKUP(H$1,'cost per tipologia de sòl'!$A$2:$D$37,4,FALSE)*'T100'!H109</f>
        <v>0</v>
      </c>
      <c r="I109" s="1103">
        <f>VLOOKUP(I$1,'cost per tipologia de sòl'!$A$2:$D$37,4,FALSE)*'T100'!I109</f>
        <v>0</v>
      </c>
      <c r="J109" s="1103">
        <f>VLOOKUP(J$1,'cost per tipologia de sòl'!$A$2:$D$37,4,FALSE)*'T100'!J109</f>
        <v>30124.830999999998</v>
      </c>
      <c r="K109" s="1103">
        <f>VLOOKUP(K$1,'cost per tipologia de sòl'!$A$2:$D$37,4,FALSE)*'T100'!K109</f>
        <v>0</v>
      </c>
      <c r="L109" s="1103">
        <f>VLOOKUP(L$1,'cost per tipologia de sòl'!$A$2:$D$37,4,FALSE)*'T100'!L109</f>
        <v>205329.22199999998</v>
      </c>
      <c r="M109" s="1103">
        <f>VLOOKUP(M$1,'cost per tipologia de sòl'!$A$2:$D$37,4,FALSE)*'T100'!M109</f>
        <v>12142.008</v>
      </c>
      <c r="N109" s="1103">
        <f>VLOOKUP(N$1,'cost per tipologia de sòl'!$A$2:$D$37,4,FALSE)*'T100'!N109</f>
        <v>0</v>
      </c>
      <c r="O109" s="1103">
        <f>VLOOKUP(O$1,'cost per tipologia de sòl'!$A$2:$D$37,4,FALSE)*'T100'!O109</f>
        <v>0</v>
      </c>
      <c r="P109" s="1103">
        <f>VLOOKUP(P$1,'cost per tipologia de sòl'!$A$2:$D$37,4,FALSE)*'T100'!P109</f>
        <v>19560.784</v>
      </c>
      <c r="Q109" s="1103">
        <f>VLOOKUP(Q$1,'cost per tipologia de sòl'!$A$2:$D$37,4,FALSE)*'T100'!Q109</f>
        <v>0</v>
      </c>
      <c r="R109" s="1103">
        <f>VLOOKUP(R$1,'cost per tipologia de sòl'!$A$2:$D$37,4,FALSE)*'T100'!R109</f>
        <v>0</v>
      </c>
      <c r="S109" s="1103">
        <f>VLOOKUP(S$1,'cost per tipologia de sòl'!$A$2:$D$37,4,FALSE)*'T100'!S109</f>
        <v>2352022.8480000002</v>
      </c>
      <c r="T109" s="1103">
        <f>VLOOKUP(T$1,'cost per tipologia de sòl'!$A$2:$D$37,4,FALSE)*'T100'!T109</f>
        <v>0</v>
      </c>
      <c r="U109" s="1103">
        <f>VLOOKUP(U$1,'cost per tipologia de sòl'!$A$2:$D$37,4,FALSE)*'T100'!U109</f>
        <v>0</v>
      </c>
      <c r="V109" s="1103">
        <f>VLOOKUP(V$1,'cost per tipologia de sòl'!$A$2:$D$37,4,FALSE)*'T100'!V109</f>
        <v>0</v>
      </c>
      <c r="W109" s="1103">
        <f>VLOOKUP(W$1,'cost per tipologia de sòl'!$A$2:$D$37,4,FALSE)*'T100'!W109</f>
        <v>0</v>
      </c>
      <c r="X109" s="1103">
        <f>VLOOKUP(X$1,'cost per tipologia de sòl'!$A$2:$D$37,4,FALSE)*'T100'!X109</f>
        <v>0</v>
      </c>
      <c r="Y109" s="1103">
        <f>VLOOKUP(Y$1,'cost per tipologia de sòl'!$A$2:$D$37,4,FALSE)*'T100'!Y109</f>
        <v>0</v>
      </c>
      <c r="Z109" s="1103">
        <f>VLOOKUP(Z$1,'cost per tipologia de sòl'!$A$2:$D$37,4,FALSE)*'T100'!Z109</f>
        <v>0</v>
      </c>
      <c r="AA109" s="1103">
        <f>VLOOKUP(AA$1,'cost per tipologia de sòl'!$A$2:$D$37,4,FALSE)*'T100'!AA109</f>
        <v>0</v>
      </c>
      <c r="AB109" s="1103">
        <f>VLOOKUP(AB$1,'cost per tipologia de sòl'!$A$2:$D$37,4,FALSE)*'T100'!AB109</f>
        <v>0</v>
      </c>
      <c r="AC109" s="1103">
        <f>VLOOKUP(AC$1,'cost per tipologia de sòl'!$A$2:$D$37,4,FALSE)*'T100'!AC109</f>
        <v>55228.25</v>
      </c>
      <c r="AD109" s="1103">
        <f>VLOOKUP(AD$1,'cost per tipologia de sòl'!$A$2:$D$37,4,FALSE)*'T100'!AD109</f>
        <v>184521.35</v>
      </c>
      <c r="AE109" s="1103">
        <f>VLOOKUP(AE$1,'cost per tipologia de sòl'!$A$2:$D$37,4,FALSE)*'T100'!AE109</f>
        <v>0</v>
      </c>
      <c r="AF109" s="1103">
        <f>VLOOKUP(AF$1,'cost per tipologia de sòl'!$A$2:$D$37,4,FALSE)*'T100'!AF109</f>
        <v>0</v>
      </c>
      <c r="AG109" s="1103">
        <f>VLOOKUP(AG$1,'cost per tipologia de sòl'!$A$2:$D$37,4,FALSE)*'T100'!AG109</f>
        <v>0</v>
      </c>
      <c r="AH109" s="1103">
        <f>VLOOKUP(AH$1,'cost per tipologia de sòl'!$A$2:$D$37,4,FALSE)*'T100'!AH109</f>
        <v>0</v>
      </c>
      <c r="AI109" s="1103">
        <f>VLOOKUP(AI$1,'cost per tipologia de sòl'!$A$2:$D$37,4,FALSE)*'T100'!AI109</f>
        <v>0</v>
      </c>
      <c r="AJ109" s="1103">
        <f t="shared" si="2"/>
        <v>2858929.2930000001</v>
      </c>
      <c r="AK109" s="1117">
        <f t="shared" si="3"/>
        <v>0.85767878790000007</v>
      </c>
    </row>
    <row r="110" spans="1:37">
      <c r="A110" s="1096" t="s">
        <v>1366</v>
      </c>
      <c r="B110" s="1103">
        <f>VLOOKUP(B$1,'cost per tipologia de sòl'!$A$2:$D$37,4,FALSE)*'T100'!B110</f>
        <v>29393545.175999999</v>
      </c>
      <c r="C110" s="1103">
        <f>VLOOKUP(C$1,'cost per tipologia de sòl'!$A$2:$D$37,4,FALSE)*'T100'!C110</f>
        <v>0</v>
      </c>
      <c r="D110" s="1103">
        <f>VLOOKUP(D$1,'cost per tipologia de sòl'!$A$2:$D$37,4,FALSE)*'T100'!D110</f>
        <v>0</v>
      </c>
      <c r="E110" s="1103">
        <f>VLOOKUP(E$1,'cost per tipologia de sòl'!$A$2:$D$37,4,FALSE)*'T100'!E110</f>
        <v>0</v>
      </c>
      <c r="F110" s="1103">
        <f>VLOOKUP(F$1,'cost per tipologia de sòl'!$A$2:$D$37,4,FALSE)*'T100'!F110</f>
        <v>0</v>
      </c>
      <c r="G110" s="1103">
        <f>VLOOKUP(G$1,'cost per tipologia de sòl'!$A$2:$D$37,4,FALSE)*'T100'!G110</f>
        <v>0</v>
      </c>
      <c r="H110" s="1103">
        <f>VLOOKUP(H$1,'cost per tipologia de sòl'!$A$2:$D$37,4,FALSE)*'T100'!H110</f>
        <v>0</v>
      </c>
      <c r="I110" s="1103">
        <f>VLOOKUP(I$1,'cost per tipologia de sòl'!$A$2:$D$37,4,FALSE)*'T100'!I110</f>
        <v>0</v>
      </c>
      <c r="J110" s="1103">
        <f>VLOOKUP(J$1,'cost per tipologia de sòl'!$A$2:$D$37,4,FALSE)*'T100'!J110</f>
        <v>296729.64750000002</v>
      </c>
      <c r="K110" s="1103">
        <f>VLOOKUP(K$1,'cost per tipologia de sòl'!$A$2:$D$37,4,FALSE)*'T100'!K110</f>
        <v>0</v>
      </c>
      <c r="L110" s="1103">
        <f>VLOOKUP(L$1,'cost per tipologia de sòl'!$A$2:$D$37,4,FALSE)*'T100'!L110</f>
        <v>0</v>
      </c>
      <c r="M110" s="1103">
        <f>VLOOKUP(M$1,'cost per tipologia de sòl'!$A$2:$D$37,4,FALSE)*'T100'!M110</f>
        <v>0</v>
      </c>
      <c r="N110" s="1103">
        <f>VLOOKUP(N$1,'cost per tipologia de sòl'!$A$2:$D$37,4,FALSE)*'T100'!N110</f>
        <v>0</v>
      </c>
      <c r="O110" s="1103">
        <f>VLOOKUP(O$1,'cost per tipologia de sòl'!$A$2:$D$37,4,FALSE)*'T100'!O110</f>
        <v>0</v>
      </c>
      <c r="P110" s="1103">
        <f>VLOOKUP(P$1,'cost per tipologia de sòl'!$A$2:$D$37,4,FALSE)*'T100'!P110</f>
        <v>0</v>
      </c>
      <c r="Q110" s="1103">
        <f>VLOOKUP(Q$1,'cost per tipologia de sòl'!$A$2:$D$37,4,FALSE)*'T100'!Q110</f>
        <v>0</v>
      </c>
      <c r="R110" s="1103">
        <f>VLOOKUP(R$1,'cost per tipologia de sòl'!$A$2:$D$37,4,FALSE)*'T100'!R110</f>
        <v>0</v>
      </c>
      <c r="S110" s="1103">
        <f>VLOOKUP(S$1,'cost per tipologia de sòl'!$A$2:$D$37,4,FALSE)*'T100'!S110</f>
        <v>7871.4719999999998</v>
      </c>
      <c r="T110" s="1103">
        <f>VLOOKUP(T$1,'cost per tipologia de sòl'!$A$2:$D$37,4,FALSE)*'T100'!T110</f>
        <v>5532610.5540000005</v>
      </c>
      <c r="U110" s="1103">
        <f>VLOOKUP(U$1,'cost per tipologia de sòl'!$A$2:$D$37,4,FALSE)*'T100'!U110</f>
        <v>0</v>
      </c>
      <c r="V110" s="1103">
        <f>VLOOKUP(V$1,'cost per tipologia de sòl'!$A$2:$D$37,4,FALSE)*'T100'!V110</f>
        <v>0</v>
      </c>
      <c r="W110" s="1103">
        <f>VLOOKUP(W$1,'cost per tipologia de sòl'!$A$2:$D$37,4,FALSE)*'T100'!W110</f>
        <v>0</v>
      </c>
      <c r="X110" s="1103">
        <f>VLOOKUP(X$1,'cost per tipologia de sòl'!$A$2:$D$37,4,FALSE)*'T100'!X110</f>
        <v>0</v>
      </c>
      <c r="Y110" s="1103">
        <f>VLOOKUP(Y$1,'cost per tipologia de sòl'!$A$2:$D$37,4,FALSE)*'T100'!Y110</f>
        <v>0</v>
      </c>
      <c r="Z110" s="1103">
        <f>VLOOKUP(Z$1,'cost per tipologia de sòl'!$A$2:$D$37,4,FALSE)*'T100'!Z110</f>
        <v>1379067.8259999999</v>
      </c>
      <c r="AA110" s="1103">
        <f>VLOOKUP(AA$1,'cost per tipologia de sòl'!$A$2:$D$37,4,FALSE)*'T100'!AA110</f>
        <v>0</v>
      </c>
      <c r="AB110" s="1103">
        <f>VLOOKUP(AB$1,'cost per tipologia de sòl'!$A$2:$D$37,4,FALSE)*'T100'!AB110</f>
        <v>659634.4</v>
      </c>
      <c r="AC110" s="1103">
        <f>VLOOKUP(AC$1,'cost per tipologia de sòl'!$A$2:$D$37,4,FALSE)*'T100'!AC110</f>
        <v>4930697.5999999996</v>
      </c>
      <c r="AD110" s="1103">
        <f>VLOOKUP(AD$1,'cost per tipologia de sòl'!$A$2:$D$37,4,FALSE)*'T100'!AD110</f>
        <v>2714404.6</v>
      </c>
      <c r="AE110" s="1103">
        <f>VLOOKUP(AE$1,'cost per tipologia de sòl'!$A$2:$D$37,4,FALSE)*'T100'!AE110</f>
        <v>0</v>
      </c>
      <c r="AF110" s="1103">
        <f>VLOOKUP(AF$1,'cost per tipologia de sòl'!$A$2:$D$37,4,FALSE)*'T100'!AF110</f>
        <v>0</v>
      </c>
      <c r="AG110" s="1103">
        <f>VLOOKUP(AG$1,'cost per tipologia de sòl'!$A$2:$D$37,4,FALSE)*'T100'!AG110</f>
        <v>0</v>
      </c>
      <c r="AH110" s="1103">
        <f>VLOOKUP(AH$1,'cost per tipologia de sòl'!$A$2:$D$37,4,FALSE)*'T100'!AH110</f>
        <v>0</v>
      </c>
      <c r="AI110" s="1103">
        <f>VLOOKUP(AI$1,'cost per tipologia de sòl'!$A$2:$D$37,4,FALSE)*'T100'!AI110</f>
        <v>0</v>
      </c>
      <c r="AJ110" s="1103">
        <f t="shared" si="2"/>
        <v>44914561.2755</v>
      </c>
      <c r="AK110" s="1117">
        <f t="shared" si="3"/>
        <v>13.474368382649999</v>
      </c>
    </row>
    <row r="111" spans="1:37">
      <c r="A111" s="1096" t="s">
        <v>1383</v>
      </c>
      <c r="B111" s="1103">
        <f>VLOOKUP(B$1,'cost per tipologia de sòl'!$A$2:$D$37,4,FALSE)*'T100'!B111</f>
        <v>17683.344000000001</v>
      </c>
      <c r="C111" s="1103">
        <f>VLOOKUP(C$1,'cost per tipologia de sòl'!$A$2:$D$37,4,FALSE)*'T100'!C111</f>
        <v>0</v>
      </c>
      <c r="D111" s="1103">
        <f>VLOOKUP(D$1,'cost per tipologia de sòl'!$A$2:$D$37,4,FALSE)*'T100'!D111</f>
        <v>0</v>
      </c>
      <c r="E111" s="1103">
        <f>VLOOKUP(E$1,'cost per tipologia de sòl'!$A$2:$D$37,4,FALSE)*'T100'!E111</f>
        <v>0</v>
      </c>
      <c r="F111" s="1103">
        <f>VLOOKUP(F$1,'cost per tipologia de sòl'!$A$2:$D$37,4,FALSE)*'T100'!F111</f>
        <v>0</v>
      </c>
      <c r="G111" s="1103">
        <f>VLOOKUP(G$1,'cost per tipologia de sòl'!$A$2:$D$37,4,FALSE)*'T100'!G111</f>
        <v>0</v>
      </c>
      <c r="H111" s="1103">
        <f>VLOOKUP(H$1,'cost per tipologia de sòl'!$A$2:$D$37,4,FALSE)*'T100'!H111</f>
        <v>0</v>
      </c>
      <c r="I111" s="1103">
        <f>VLOOKUP(I$1,'cost per tipologia de sòl'!$A$2:$D$37,4,FALSE)*'T100'!I111</f>
        <v>0</v>
      </c>
      <c r="J111" s="1103">
        <f>VLOOKUP(J$1,'cost per tipologia de sòl'!$A$2:$D$37,4,FALSE)*'T100'!J111</f>
        <v>0</v>
      </c>
      <c r="K111" s="1103">
        <f>VLOOKUP(K$1,'cost per tipologia de sòl'!$A$2:$D$37,4,FALSE)*'T100'!K111</f>
        <v>0</v>
      </c>
      <c r="L111" s="1103">
        <f>VLOOKUP(L$1,'cost per tipologia de sòl'!$A$2:$D$37,4,FALSE)*'T100'!L111</f>
        <v>0</v>
      </c>
      <c r="M111" s="1103">
        <f>VLOOKUP(M$1,'cost per tipologia de sòl'!$A$2:$D$37,4,FALSE)*'T100'!M111</f>
        <v>0</v>
      </c>
      <c r="N111" s="1103">
        <f>VLOOKUP(N$1,'cost per tipologia de sòl'!$A$2:$D$37,4,FALSE)*'T100'!N111</f>
        <v>0</v>
      </c>
      <c r="O111" s="1103">
        <f>VLOOKUP(O$1,'cost per tipologia de sòl'!$A$2:$D$37,4,FALSE)*'T100'!O111</f>
        <v>0</v>
      </c>
      <c r="P111" s="1103">
        <f>VLOOKUP(P$1,'cost per tipologia de sòl'!$A$2:$D$37,4,FALSE)*'T100'!P111</f>
        <v>0</v>
      </c>
      <c r="Q111" s="1103">
        <f>VLOOKUP(Q$1,'cost per tipologia de sòl'!$A$2:$D$37,4,FALSE)*'T100'!Q111</f>
        <v>0</v>
      </c>
      <c r="R111" s="1103">
        <f>VLOOKUP(R$1,'cost per tipologia de sòl'!$A$2:$D$37,4,FALSE)*'T100'!R111</f>
        <v>0</v>
      </c>
      <c r="S111" s="1103">
        <f>VLOOKUP(S$1,'cost per tipologia de sòl'!$A$2:$D$37,4,FALSE)*'T100'!S111</f>
        <v>753412.46400000004</v>
      </c>
      <c r="T111" s="1103">
        <f>VLOOKUP(T$1,'cost per tipologia de sòl'!$A$2:$D$37,4,FALSE)*'T100'!T111</f>
        <v>906125.26300000004</v>
      </c>
      <c r="U111" s="1103">
        <f>VLOOKUP(U$1,'cost per tipologia de sòl'!$A$2:$D$37,4,FALSE)*'T100'!U111</f>
        <v>0</v>
      </c>
      <c r="V111" s="1103">
        <f>VLOOKUP(V$1,'cost per tipologia de sòl'!$A$2:$D$37,4,FALSE)*'T100'!V111</f>
        <v>0</v>
      </c>
      <c r="W111" s="1103">
        <f>VLOOKUP(W$1,'cost per tipologia de sòl'!$A$2:$D$37,4,FALSE)*'T100'!W111</f>
        <v>0</v>
      </c>
      <c r="X111" s="1103">
        <f>VLOOKUP(X$1,'cost per tipologia de sòl'!$A$2:$D$37,4,FALSE)*'T100'!X111</f>
        <v>0</v>
      </c>
      <c r="Y111" s="1103">
        <f>VLOOKUP(Y$1,'cost per tipologia de sòl'!$A$2:$D$37,4,FALSE)*'T100'!Y111</f>
        <v>0</v>
      </c>
      <c r="Z111" s="1103">
        <f>VLOOKUP(Z$1,'cost per tipologia de sòl'!$A$2:$D$37,4,FALSE)*'T100'!Z111</f>
        <v>7324.5859999999993</v>
      </c>
      <c r="AA111" s="1103">
        <f>VLOOKUP(AA$1,'cost per tipologia de sòl'!$A$2:$D$37,4,FALSE)*'T100'!AA111</f>
        <v>0</v>
      </c>
      <c r="AB111" s="1103">
        <f>VLOOKUP(AB$1,'cost per tipologia de sòl'!$A$2:$D$37,4,FALSE)*'T100'!AB111</f>
        <v>734184.70000000007</v>
      </c>
      <c r="AC111" s="1103">
        <f>VLOOKUP(AC$1,'cost per tipologia de sòl'!$A$2:$D$37,4,FALSE)*'T100'!AC111</f>
        <v>60304.1</v>
      </c>
      <c r="AD111" s="1103">
        <f>VLOOKUP(AD$1,'cost per tipologia de sòl'!$A$2:$D$37,4,FALSE)*'T100'!AD111</f>
        <v>10743121.550000001</v>
      </c>
      <c r="AE111" s="1103">
        <f>VLOOKUP(AE$1,'cost per tipologia de sòl'!$A$2:$D$37,4,FALSE)*'T100'!AE111</f>
        <v>0</v>
      </c>
      <c r="AF111" s="1103">
        <f>VLOOKUP(AF$1,'cost per tipologia de sòl'!$A$2:$D$37,4,FALSE)*'T100'!AF111</f>
        <v>0</v>
      </c>
      <c r="AG111" s="1103">
        <f>VLOOKUP(AG$1,'cost per tipologia de sòl'!$A$2:$D$37,4,FALSE)*'T100'!AG111</f>
        <v>0</v>
      </c>
      <c r="AH111" s="1103">
        <f>VLOOKUP(AH$1,'cost per tipologia de sòl'!$A$2:$D$37,4,FALSE)*'T100'!AH111</f>
        <v>0</v>
      </c>
      <c r="AI111" s="1103">
        <f>VLOOKUP(AI$1,'cost per tipologia de sòl'!$A$2:$D$37,4,FALSE)*'T100'!AI111</f>
        <v>0</v>
      </c>
      <c r="AJ111" s="1103">
        <f t="shared" si="2"/>
        <v>13222156.007000001</v>
      </c>
      <c r="AK111" s="1117">
        <f t="shared" si="3"/>
        <v>3.9666468021000005</v>
      </c>
    </row>
    <row r="112" spans="1:37">
      <c r="A112" s="1096" t="s">
        <v>1390</v>
      </c>
      <c r="B112" s="1103">
        <f>VLOOKUP(B$1,'cost per tipologia de sòl'!$A$2:$D$37,4,FALSE)*'T100'!B112</f>
        <v>4911423.8219999997</v>
      </c>
      <c r="C112" s="1103">
        <f>VLOOKUP(C$1,'cost per tipologia de sòl'!$A$2:$D$37,4,FALSE)*'T100'!C112</f>
        <v>0</v>
      </c>
      <c r="D112" s="1103">
        <f>VLOOKUP(D$1,'cost per tipologia de sòl'!$A$2:$D$37,4,FALSE)*'T100'!D112</f>
        <v>11641845.605999999</v>
      </c>
      <c r="E112" s="1103">
        <f>VLOOKUP(E$1,'cost per tipologia de sòl'!$A$2:$D$37,4,FALSE)*'T100'!E112</f>
        <v>0</v>
      </c>
      <c r="F112" s="1103">
        <f>VLOOKUP(F$1,'cost per tipologia de sòl'!$A$2:$D$37,4,FALSE)*'T100'!F112</f>
        <v>0</v>
      </c>
      <c r="G112" s="1103">
        <f>VLOOKUP(G$1,'cost per tipologia de sòl'!$A$2:$D$37,4,FALSE)*'T100'!G112</f>
        <v>0</v>
      </c>
      <c r="H112" s="1103">
        <f>VLOOKUP(H$1,'cost per tipologia de sòl'!$A$2:$D$37,4,FALSE)*'T100'!H112</f>
        <v>0</v>
      </c>
      <c r="I112" s="1103">
        <f>VLOOKUP(I$1,'cost per tipologia de sòl'!$A$2:$D$37,4,FALSE)*'T100'!I112</f>
        <v>0</v>
      </c>
      <c r="J112" s="1103">
        <f>VLOOKUP(J$1,'cost per tipologia de sòl'!$A$2:$D$37,4,FALSE)*'T100'!J112</f>
        <v>18548.024000000001</v>
      </c>
      <c r="K112" s="1103">
        <f>VLOOKUP(K$1,'cost per tipologia de sòl'!$A$2:$D$37,4,FALSE)*'T100'!K112</f>
        <v>861540.24599999993</v>
      </c>
      <c r="L112" s="1103">
        <f>VLOOKUP(L$1,'cost per tipologia de sòl'!$A$2:$D$37,4,FALSE)*'T100'!L112</f>
        <v>0</v>
      </c>
      <c r="M112" s="1103">
        <f>VLOOKUP(M$1,'cost per tipologia de sòl'!$A$2:$D$37,4,FALSE)*'T100'!M112</f>
        <v>3183420.8480000002</v>
      </c>
      <c r="N112" s="1103">
        <f>VLOOKUP(N$1,'cost per tipologia de sòl'!$A$2:$D$37,4,FALSE)*'T100'!N112</f>
        <v>0</v>
      </c>
      <c r="O112" s="1103">
        <f>VLOOKUP(O$1,'cost per tipologia de sòl'!$A$2:$D$37,4,FALSE)*'T100'!O112</f>
        <v>1357671.92</v>
      </c>
      <c r="P112" s="1103">
        <f>VLOOKUP(P$1,'cost per tipologia de sòl'!$A$2:$D$37,4,FALSE)*'T100'!P112</f>
        <v>0</v>
      </c>
      <c r="Q112" s="1103">
        <f>VLOOKUP(Q$1,'cost per tipologia de sòl'!$A$2:$D$37,4,FALSE)*'T100'!Q112</f>
        <v>0</v>
      </c>
      <c r="R112" s="1103">
        <f>VLOOKUP(R$1,'cost per tipologia de sòl'!$A$2:$D$37,4,FALSE)*'T100'!R112</f>
        <v>0</v>
      </c>
      <c r="S112" s="1103">
        <f>VLOOKUP(S$1,'cost per tipologia de sòl'!$A$2:$D$37,4,FALSE)*'T100'!S112</f>
        <v>4918602.5279999999</v>
      </c>
      <c r="T112" s="1103">
        <f>VLOOKUP(T$1,'cost per tipologia de sòl'!$A$2:$D$37,4,FALSE)*'T100'!T112</f>
        <v>11991367.541000001</v>
      </c>
      <c r="U112" s="1103">
        <f>VLOOKUP(U$1,'cost per tipologia de sòl'!$A$2:$D$37,4,FALSE)*'T100'!U112</f>
        <v>0</v>
      </c>
      <c r="V112" s="1103">
        <f>VLOOKUP(V$1,'cost per tipologia de sòl'!$A$2:$D$37,4,FALSE)*'T100'!V112</f>
        <v>0</v>
      </c>
      <c r="W112" s="1103">
        <f>VLOOKUP(W$1,'cost per tipologia de sòl'!$A$2:$D$37,4,FALSE)*'T100'!W112</f>
        <v>0</v>
      </c>
      <c r="X112" s="1103">
        <f>VLOOKUP(X$1,'cost per tipologia de sòl'!$A$2:$D$37,4,FALSE)*'T100'!X112</f>
        <v>0</v>
      </c>
      <c r="Y112" s="1103">
        <f>VLOOKUP(Y$1,'cost per tipologia de sòl'!$A$2:$D$37,4,FALSE)*'T100'!Y112</f>
        <v>0</v>
      </c>
      <c r="Z112" s="1103">
        <f>VLOOKUP(Z$1,'cost per tipologia de sòl'!$A$2:$D$37,4,FALSE)*'T100'!Z112</f>
        <v>0</v>
      </c>
      <c r="AA112" s="1103">
        <f>VLOOKUP(AA$1,'cost per tipologia de sòl'!$A$2:$D$37,4,FALSE)*'T100'!AA112</f>
        <v>0</v>
      </c>
      <c r="AB112" s="1103">
        <f>VLOOKUP(AB$1,'cost per tipologia de sòl'!$A$2:$D$37,4,FALSE)*'T100'!AB112</f>
        <v>19095</v>
      </c>
      <c r="AC112" s="1103">
        <f>VLOOKUP(AC$1,'cost per tipologia de sòl'!$A$2:$D$37,4,FALSE)*'T100'!AC112</f>
        <v>7281514.4000000004</v>
      </c>
      <c r="AD112" s="1103">
        <f>VLOOKUP(AD$1,'cost per tipologia de sòl'!$A$2:$D$37,4,FALSE)*'T100'!AD112</f>
        <v>6737514.9500000002</v>
      </c>
      <c r="AE112" s="1103">
        <f>VLOOKUP(AE$1,'cost per tipologia de sòl'!$A$2:$D$37,4,FALSE)*'T100'!AE112</f>
        <v>0</v>
      </c>
      <c r="AF112" s="1103">
        <f>VLOOKUP(AF$1,'cost per tipologia de sòl'!$A$2:$D$37,4,FALSE)*'T100'!AF112</f>
        <v>0</v>
      </c>
      <c r="AG112" s="1103">
        <f>VLOOKUP(AG$1,'cost per tipologia de sòl'!$A$2:$D$37,4,FALSE)*'T100'!AG112</f>
        <v>0</v>
      </c>
      <c r="AH112" s="1103">
        <f>VLOOKUP(AH$1,'cost per tipologia de sòl'!$A$2:$D$37,4,FALSE)*'T100'!AH112</f>
        <v>0</v>
      </c>
      <c r="AI112" s="1103">
        <f>VLOOKUP(AI$1,'cost per tipologia de sòl'!$A$2:$D$37,4,FALSE)*'T100'!AI112</f>
        <v>0</v>
      </c>
      <c r="AJ112" s="1103">
        <f t="shared" si="2"/>
        <v>52922544.884999998</v>
      </c>
      <c r="AK112" s="1117">
        <f t="shared" si="3"/>
        <v>15.8767634655</v>
      </c>
    </row>
    <row r="113" spans="1:37">
      <c r="A113" s="1096" t="s">
        <v>1394</v>
      </c>
      <c r="B113" s="1103">
        <f>VLOOKUP(B$1,'cost per tipologia de sòl'!$A$2:$D$37,4,FALSE)*'T100'!B113</f>
        <v>17006710.914000001</v>
      </c>
      <c r="C113" s="1103">
        <f>VLOOKUP(C$1,'cost per tipologia de sòl'!$A$2:$D$37,4,FALSE)*'T100'!C113</f>
        <v>0</v>
      </c>
      <c r="D113" s="1103">
        <f>VLOOKUP(D$1,'cost per tipologia de sòl'!$A$2:$D$37,4,FALSE)*'T100'!D113</f>
        <v>0</v>
      </c>
      <c r="E113" s="1103">
        <f>VLOOKUP(E$1,'cost per tipologia de sòl'!$A$2:$D$37,4,FALSE)*'T100'!E113</f>
        <v>0</v>
      </c>
      <c r="F113" s="1103">
        <f>VLOOKUP(F$1,'cost per tipologia de sòl'!$A$2:$D$37,4,FALSE)*'T100'!F113</f>
        <v>0</v>
      </c>
      <c r="G113" s="1103">
        <f>VLOOKUP(G$1,'cost per tipologia de sòl'!$A$2:$D$37,4,FALSE)*'T100'!G113</f>
        <v>0</v>
      </c>
      <c r="H113" s="1103">
        <f>VLOOKUP(H$1,'cost per tipologia de sòl'!$A$2:$D$37,4,FALSE)*'T100'!H113</f>
        <v>0</v>
      </c>
      <c r="I113" s="1103">
        <f>VLOOKUP(I$1,'cost per tipologia de sòl'!$A$2:$D$37,4,FALSE)*'T100'!I113</f>
        <v>0</v>
      </c>
      <c r="J113" s="1103">
        <f>VLOOKUP(J$1,'cost per tipologia de sòl'!$A$2:$D$37,4,FALSE)*'T100'!J113</f>
        <v>0</v>
      </c>
      <c r="K113" s="1103">
        <f>VLOOKUP(K$1,'cost per tipologia de sòl'!$A$2:$D$37,4,FALSE)*'T100'!K113</f>
        <v>0</v>
      </c>
      <c r="L113" s="1103">
        <f>VLOOKUP(L$1,'cost per tipologia de sòl'!$A$2:$D$37,4,FALSE)*'T100'!L113</f>
        <v>0</v>
      </c>
      <c r="M113" s="1103">
        <f>VLOOKUP(M$1,'cost per tipologia de sòl'!$A$2:$D$37,4,FALSE)*'T100'!M113</f>
        <v>0</v>
      </c>
      <c r="N113" s="1103">
        <f>VLOOKUP(N$1,'cost per tipologia de sòl'!$A$2:$D$37,4,FALSE)*'T100'!N113</f>
        <v>0</v>
      </c>
      <c r="O113" s="1103">
        <f>VLOOKUP(O$1,'cost per tipologia de sòl'!$A$2:$D$37,4,FALSE)*'T100'!O113</f>
        <v>0</v>
      </c>
      <c r="P113" s="1103">
        <f>VLOOKUP(P$1,'cost per tipologia de sòl'!$A$2:$D$37,4,FALSE)*'T100'!P113</f>
        <v>65034.487999999998</v>
      </c>
      <c r="Q113" s="1103">
        <f>VLOOKUP(Q$1,'cost per tipologia de sòl'!$A$2:$D$37,4,FALSE)*'T100'!Q113</f>
        <v>0</v>
      </c>
      <c r="R113" s="1103">
        <f>VLOOKUP(R$1,'cost per tipologia de sòl'!$A$2:$D$37,4,FALSE)*'T100'!R113</f>
        <v>0</v>
      </c>
      <c r="S113" s="1103">
        <f>VLOOKUP(S$1,'cost per tipologia de sòl'!$A$2:$D$37,4,FALSE)*'T100'!S113</f>
        <v>131105.52000000002</v>
      </c>
      <c r="T113" s="1103">
        <f>VLOOKUP(T$1,'cost per tipologia de sòl'!$A$2:$D$37,4,FALSE)*'T100'!T113</f>
        <v>4995052.4179999996</v>
      </c>
      <c r="U113" s="1103">
        <f>VLOOKUP(U$1,'cost per tipologia de sòl'!$A$2:$D$37,4,FALSE)*'T100'!U113</f>
        <v>1875015.45</v>
      </c>
      <c r="V113" s="1103">
        <f>VLOOKUP(V$1,'cost per tipologia de sòl'!$A$2:$D$37,4,FALSE)*'T100'!V113</f>
        <v>0</v>
      </c>
      <c r="W113" s="1103">
        <f>VLOOKUP(W$1,'cost per tipologia de sòl'!$A$2:$D$37,4,FALSE)*'T100'!W113</f>
        <v>0</v>
      </c>
      <c r="X113" s="1103">
        <f>VLOOKUP(X$1,'cost per tipologia de sòl'!$A$2:$D$37,4,FALSE)*'T100'!X113</f>
        <v>0</v>
      </c>
      <c r="Y113" s="1103">
        <f>VLOOKUP(Y$1,'cost per tipologia de sòl'!$A$2:$D$37,4,FALSE)*'T100'!Y113</f>
        <v>0</v>
      </c>
      <c r="Z113" s="1103">
        <f>VLOOKUP(Z$1,'cost per tipologia de sòl'!$A$2:$D$37,4,FALSE)*'T100'!Z113</f>
        <v>320322.00400000002</v>
      </c>
      <c r="AA113" s="1103">
        <f>VLOOKUP(AA$1,'cost per tipologia de sòl'!$A$2:$D$37,4,FALSE)*'T100'!AA113</f>
        <v>224722.5</v>
      </c>
      <c r="AB113" s="1103">
        <f>VLOOKUP(AB$1,'cost per tipologia de sòl'!$A$2:$D$37,4,FALSE)*'T100'!AB113</f>
        <v>183828.8</v>
      </c>
      <c r="AC113" s="1103">
        <f>VLOOKUP(AC$1,'cost per tipologia de sòl'!$A$2:$D$37,4,FALSE)*'T100'!AC113</f>
        <v>11039682.100000001</v>
      </c>
      <c r="AD113" s="1103">
        <f>VLOOKUP(AD$1,'cost per tipologia de sòl'!$A$2:$D$37,4,FALSE)*'T100'!AD113</f>
        <v>39401133.149999999</v>
      </c>
      <c r="AE113" s="1103">
        <f>VLOOKUP(AE$1,'cost per tipologia de sòl'!$A$2:$D$37,4,FALSE)*'T100'!AE113</f>
        <v>0</v>
      </c>
      <c r="AF113" s="1103">
        <f>VLOOKUP(AF$1,'cost per tipologia de sòl'!$A$2:$D$37,4,FALSE)*'T100'!AF113</f>
        <v>0</v>
      </c>
      <c r="AG113" s="1103">
        <f>VLOOKUP(AG$1,'cost per tipologia de sòl'!$A$2:$D$37,4,FALSE)*'T100'!AG113</f>
        <v>0</v>
      </c>
      <c r="AH113" s="1103">
        <f>VLOOKUP(AH$1,'cost per tipologia de sòl'!$A$2:$D$37,4,FALSE)*'T100'!AH113</f>
        <v>0</v>
      </c>
      <c r="AI113" s="1103">
        <f>VLOOKUP(AI$1,'cost per tipologia de sòl'!$A$2:$D$37,4,FALSE)*'T100'!AI113</f>
        <v>0</v>
      </c>
      <c r="AJ113" s="1103">
        <f t="shared" si="2"/>
        <v>75242607.344000012</v>
      </c>
      <c r="AK113" s="1117">
        <f t="shared" si="3"/>
        <v>22.572782203200003</v>
      </c>
    </row>
    <row r="114" spans="1:37">
      <c r="A114" s="1096" t="s">
        <v>947</v>
      </c>
      <c r="B114" s="1103">
        <f>VLOOKUP(B$1,'cost per tipologia de sòl'!$A$2:$D$37,4,FALSE)*'T100'!B114</f>
        <v>119214.702</v>
      </c>
      <c r="C114" s="1103">
        <f>VLOOKUP(C$1,'cost per tipologia de sòl'!$A$2:$D$37,4,FALSE)*'T100'!C114</f>
        <v>0</v>
      </c>
      <c r="D114" s="1103">
        <f>VLOOKUP(D$1,'cost per tipologia de sòl'!$A$2:$D$37,4,FALSE)*'T100'!D114</f>
        <v>212077.56599999999</v>
      </c>
      <c r="E114" s="1103">
        <f>VLOOKUP(E$1,'cost per tipologia de sòl'!$A$2:$D$37,4,FALSE)*'T100'!E114</f>
        <v>0</v>
      </c>
      <c r="F114" s="1103">
        <f>VLOOKUP(F$1,'cost per tipologia de sòl'!$A$2:$D$37,4,FALSE)*'T100'!F114</f>
        <v>0</v>
      </c>
      <c r="G114" s="1103">
        <f>VLOOKUP(G$1,'cost per tipologia de sòl'!$A$2:$D$37,4,FALSE)*'T100'!G114</f>
        <v>0</v>
      </c>
      <c r="H114" s="1103">
        <f>VLOOKUP(H$1,'cost per tipologia de sòl'!$A$2:$D$37,4,FALSE)*'T100'!H114</f>
        <v>0</v>
      </c>
      <c r="I114" s="1103">
        <f>VLOOKUP(I$1,'cost per tipologia de sòl'!$A$2:$D$37,4,FALSE)*'T100'!I114</f>
        <v>0</v>
      </c>
      <c r="J114" s="1103">
        <f>VLOOKUP(J$1,'cost per tipologia de sòl'!$A$2:$D$37,4,FALSE)*'T100'!J114</f>
        <v>0</v>
      </c>
      <c r="K114" s="1103">
        <f>VLOOKUP(K$1,'cost per tipologia de sòl'!$A$2:$D$37,4,FALSE)*'T100'!K114</f>
        <v>0</v>
      </c>
      <c r="L114" s="1103">
        <f>VLOOKUP(L$1,'cost per tipologia de sòl'!$A$2:$D$37,4,FALSE)*'T100'!L114</f>
        <v>0</v>
      </c>
      <c r="M114" s="1103">
        <f>VLOOKUP(M$1,'cost per tipologia de sòl'!$A$2:$D$37,4,FALSE)*'T100'!M114</f>
        <v>0</v>
      </c>
      <c r="N114" s="1103">
        <f>VLOOKUP(N$1,'cost per tipologia de sòl'!$A$2:$D$37,4,FALSE)*'T100'!N114</f>
        <v>0</v>
      </c>
      <c r="O114" s="1103">
        <f>VLOOKUP(O$1,'cost per tipologia de sòl'!$A$2:$D$37,4,FALSE)*'T100'!O114</f>
        <v>0</v>
      </c>
      <c r="P114" s="1103">
        <f>VLOOKUP(P$1,'cost per tipologia de sòl'!$A$2:$D$37,4,FALSE)*'T100'!P114</f>
        <v>0</v>
      </c>
      <c r="Q114" s="1103">
        <f>VLOOKUP(Q$1,'cost per tipologia de sòl'!$A$2:$D$37,4,FALSE)*'T100'!Q114</f>
        <v>5882544</v>
      </c>
      <c r="R114" s="1103">
        <f>VLOOKUP(R$1,'cost per tipologia de sòl'!$A$2:$D$37,4,FALSE)*'T100'!R114</f>
        <v>0</v>
      </c>
      <c r="S114" s="1103">
        <f>VLOOKUP(S$1,'cost per tipologia de sòl'!$A$2:$D$37,4,FALSE)*'T100'!S114</f>
        <v>1576957.5360000001</v>
      </c>
      <c r="T114" s="1103">
        <f>VLOOKUP(T$1,'cost per tipologia de sòl'!$A$2:$D$37,4,FALSE)*'T100'!T114</f>
        <v>60674692.526000001</v>
      </c>
      <c r="U114" s="1103">
        <f>VLOOKUP(U$1,'cost per tipologia de sòl'!$A$2:$D$37,4,FALSE)*'T100'!U114</f>
        <v>0</v>
      </c>
      <c r="V114" s="1103">
        <f>VLOOKUP(V$1,'cost per tipologia de sòl'!$A$2:$D$37,4,FALSE)*'T100'!V114</f>
        <v>0</v>
      </c>
      <c r="W114" s="1103">
        <f>VLOOKUP(W$1,'cost per tipologia de sòl'!$A$2:$D$37,4,FALSE)*'T100'!W114</f>
        <v>0</v>
      </c>
      <c r="X114" s="1103">
        <f>VLOOKUP(X$1,'cost per tipologia de sòl'!$A$2:$D$37,4,FALSE)*'T100'!X114</f>
        <v>0</v>
      </c>
      <c r="Y114" s="1103">
        <f>VLOOKUP(Y$1,'cost per tipologia de sòl'!$A$2:$D$37,4,FALSE)*'T100'!Y114</f>
        <v>0</v>
      </c>
      <c r="Z114" s="1103">
        <f>VLOOKUP(Z$1,'cost per tipologia de sòl'!$A$2:$D$37,4,FALSE)*'T100'!Z114</f>
        <v>4711741.9780000001</v>
      </c>
      <c r="AA114" s="1103">
        <f>VLOOKUP(AA$1,'cost per tipologia de sòl'!$A$2:$D$37,4,FALSE)*'T100'!AA114</f>
        <v>0</v>
      </c>
      <c r="AB114" s="1103">
        <f>VLOOKUP(AB$1,'cost per tipologia de sòl'!$A$2:$D$37,4,FALSE)*'T100'!AB114</f>
        <v>20198637.800000001</v>
      </c>
      <c r="AC114" s="1103">
        <f>VLOOKUP(AC$1,'cost per tipologia de sòl'!$A$2:$D$37,4,FALSE)*'T100'!AC114</f>
        <v>4861727.6000000006</v>
      </c>
      <c r="AD114" s="1103">
        <f>VLOOKUP(AD$1,'cost per tipologia de sòl'!$A$2:$D$37,4,FALSE)*'T100'!AD114</f>
        <v>18520777.25</v>
      </c>
      <c r="AE114" s="1103">
        <f>VLOOKUP(AE$1,'cost per tipologia de sòl'!$A$2:$D$37,4,FALSE)*'T100'!AE114</f>
        <v>0</v>
      </c>
      <c r="AF114" s="1103">
        <f>VLOOKUP(AF$1,'cost per tipologia de sòl'!$A$2:$D$37,4,FALSE)*'T100'!AF114</f>
        <v>0</v>
      </c>
      <c r="AG114" s="1103">
        <f>VLOOKUP(AG$1,'cost per tipologia de sòl'!$A$2:$D$37,4,FALSE)*'T100'!AG114</f>
        <v>0</v>
      </c>
      <c r="AH114" s="1103">
        <f>VLOOKUP(AH$1,'cost per tipologia de sòl'!$A$2:$D$37,4,FALSE)*'T100'!AH114</f>
        <v>0</v>
      </c>
      <c r="AI114" s="1103">
        <f>VLOOKUP(AI$1,'cost per tipologia de sòl'!$A$2:$D$37,4,FALSE)*'T100'!AI114</f>
        <v>0</v>
      </c>
      <c r="AJ114" s="1103">
        <f t="shared" si="2"/>
        <v>116758370.95799999</v>
      </c>
      <c r="AK114" s="1117">
        <f t="shared" si="3"/>
        <v>35.027511287399996</v>
      </c>
    </row>
    <row r="115" spans="1:37">
      <c r="A115" s="1096" t="s">
        <v>1416</v>
      </c>
      <c r="B115" s="1103">
        <f>VLOOKUP(B$1,'cost per tipologia de sòl'!$A$2:$D$37,4,FALSE)*'T100'!B115</f>
        <v>90829406.034000009</v>
      </c>
      <c r="C115" s="1103">
        <f>VLOOKUP(C$1,'cost per tipologia de sòl'!$A$2:$D$37,4,FALSE)*'T100'!C115</f>
        <v>0</v>
      </c>
      <c r="D115" s="1103">
        <f>VLOOKUP(D$1,'cost per tipologia de sòl'!$A$2:$D$37,4,FALSE)*'T100'!D115</f>
        <v>0</v>
      </c>
      <c r="E115" s="1103">
        <f>VLOOKUP(E$1,'cost per tipologia de sòl'!$A$2:$D$37,4,FALSE)*'T100'!E115</f>
        <v>0</v>
      </c>
      <c r="F115" s="1103">
        <f>VLOOKUP(F$1,'cost per tipologia de sòl'!$A$2:$D$37,4,FALSE)*'T100'!F115</f>
        <v>0</v>
      </c>
      <c r="G115" s="1103">
        <f>VLOOKUP(G$1,'cost per tipologia de sòl'!$A$2:$D$37,4,FALSE)*'T100'!G115</f>
        <v>0</v>
      </c>
      <c r="H115" s="1103">
        <f>VLOOKUP(H$1,'cost per tipologia de sòl'!$A$2:$D$37,4,FALSE)*'T100'!H115</f>
        <v>0</v>
      </c>
      <c r="I115" s="1103">
        <f>VLOOKUP(I$1,'cost per tipologia de sòl'!$A$2:$D$37,4,FALSE)*'T100'!I115</f>
        <v>0</v>
      </c>
      <c r="J115" s="1103">
        <f>VLOOKUP(J$1,'cost per tipologia de sòl'!$A$2:$D$37,4,FALSE)*'T100'!J115</f>
        <v>3091313.1974999947</v>
      </c>
      <c r="K115" s="1103">
        <f>VLOOKUP(K$1,'cost per tipologia de sòl'!$A$2:$D$37,4,FALSE)*'T100'!K115</f>
        <v>0</v>
      </c>
      <c r="L115" s="1103">
        <f>VLOOKUP(L$1,'cost per tipologia de sòl'!$A$2:$D$37,4,FALSE)*'T100'!L115</f>
        <v>2880.9180000000001</v>
      </c>
      <c r="M115" s="1103">
        <f>VLOOKUP(M$1,'cost per tipologia de sòl'!$A$2:$D$37,4,FALSE)*'T100'!M115</f>
        <v>4561558.32</v>
      </c>
      <c r="N115" s="1103">
        <f>VLOOKUP(N$1,'cost per tipologia de sòl'!$A$2:$D$37,4,FALSE)*'T100'!N115</f>
        <v>1297603.4720000001</v>
      </c>
      <c r="O115" s="1103">
        <f>VLOOKUP(O$1,'cost per tipologia de sòl'!$A$2:$D$37,4,FALSE)*'T100'!O115</f>
        <v>0</v>
      </c>
      <c r="P115" s="1103">
        <f>VLOOKUP(P$1,'cost per tipologia de sòl'!$A$2:$D$37,4,FALSE)*'T100'!P115</f>
        <v>0</v>
      </c>
      <c r="Q115" s="1103">
        <f>VLOOKUP(Q$1,'cost per tipologia de sòl'!$A$2:$D$37,4,FALSE)*'T100'!Q115</f>
        <v>0</v>
      </c>
      <c r="R115" s="1103">
        <f>VLOOKUP(R$1,'cost per tipologia de sòl'!$A$2:$D$37,4,FALSE)*'T100'!R115</f>
        <v>0</v>
      </c>
      <c r="S115" s="1103">
        <f>VLOOKUP(S$1,'cost per tipologia de sòl'!$A$2:$D$37,4,FALSE)*'T100'!S115</f>
        <v>23268368.592</v>
      </c>
      <c r="T115" s="1103">
        <f>VLOOKUP(T$1,'cost per tipologia de sòl'!$A$2:$D$37,4,FALSE)*'T100'!T115</f>
        <v>20861956.355</v>
      </c>
      <c r="U115" s="1103">
        <f>VLOOKUP(U$1,'cost per tipologia de sòl'!$A$2:$D$37,4,FALSE)*'T100'!U115</f>
        <v>0</v>
      </c>
      <c r="V115" s="1103">
        <f>VLOOKUP(V$1,'cost per tipologia de sòl'!$A$2:$D$37,4,FALSE)*'T100'!V115</f>
        <v>258749.17600000001</v>
      </c>
      <c r="W115" s="1103">
        <f>VLOOKUP(W$1,'cost per tipologia de sòl'!$A$2:$D$37,4,FALSE)*'T100'!W115</f>
        <v>0</v>
      </c>
      <c r="X115" s="1103">
        <f>VLOOKUP(X$1,'cost per tipologia de sòl'!$A$2:$D$37,4,FALSE)*'T100'!X115</f>
        <v>0</v>
      </c>
      <c r="Y115" s="1103">
        <f>VLOOKUP(Y$1,'cost per tipologia de sòl'!$A$2:$D$37,4,FALSE)*'T100'!Y115</f>
        <v>0</v>
      </c>
      <c r="Z115" s="1103">
        <f>VLOOKUP(Z$1,'cost per tipologia de sòl'!$A$2:$D$37,4,FALSE)*'T100'!Z115</f>
        <v>0</v>
      </c>
      <c r="AA115" s="1103">
        <f>VLOOKUP(AA$1,'cost per tipologia de sòl'!$A$2:$D$37,4,FALSE)*'T100'!AA115</f>
        <v>0</v>
      </c>
      <c r="AB115" s="1103">
        <f>VLOOKUP(AB$1,'cost per tipologia de sòl'!$A$2:$D$37,4,FALSE)*'T100'!AB115</f>
        <v>2125604.1</v>
      </c>
      <c r="AC115" s="1103">
        <f>VLOOKUP(AC$1,'cost per tipologia de sòl'!$A$2:$D$37,4,FALSE)*'T100'!AC115</f>
        <v>9251880.9000000004</v>
      </c>
      <c r="AD115" s="1103">
        <f>VLOOKUP(AD$1,'cost per tipologia de sòl'!$A$2:$D$37,4,FALSE)*'T100'!AD115</f>
        <v>18680827.550000001</v>
      </c>
      <c r="AE115" s="1103">
        <f>VLOOKUP(AE$1,'cost per tipologia de sòl'!$A$2:$D$37,4,FALSE)*'T100'!AE115</f>
        <v>0</v>
      </c>
      <c r="AF115" s="1103">
        <f>VLOOKUP(AF$1,'cost per tipologia de sòl'!$A$2:$D$37,4,FALSE)*'T100'!AF115</f>
        <v>0</v>
      </c>
      <c r="AG115" s="1103">
        <f>VLOOKUP(AG$1,'cost per tipologia de sòl'!$A$2:$D$37,4,FALSE)*'T100'!AG115</f>
        <v>0</v>
      </c>
      <c r="AH115" s="1103">
        <f>VLOOKUP(AH$1,'cost per tipologia de sòl'!$A$2:$D$37,4,FALSE)*'T100'!AH115</f>
        <v>0</v>
      </c>
      <c r="AI115" s="1103">
        <f>VLOOKUP(AI$1,'cost per tipologia de sòl'!$A$2:$D$37,4,FALSE)*'T100'!AI115</f>
        <v>0</v>
      </c>
      <c r="AJ115" s="1103">
        <f t="shared" si="2"/>
        <v>174230148.61450002</v>
      </c>
      <c r="AK115" s="1117">
        <f t="shared" si="3"/>
        <v>52.269044584350006</v>
      </c>
    </row>
    <row r="116" spans="1:37">
      <c r="A116" s="1096" t="s">
        <v>350</v>
      </c>
      <c r="B116" s="1103">
        <f>VLOOKUP(B$1,'cost per tipologia de sòl'!$A$2:$D$37,4,FALSE)*'T100'!B116</f>
        <v>146146318.52399999</v>
      </c>
      <c r="C116" s="1103">
        <f>VLOOKUP(C$1,'cost per tipologia de sòl'!$A$2:$D$37,4,FALSE)*'T100'!C116</f>
        <v>3450854.0239999997</v>
      </c>
      <c r="D116" s="1103">
        <f>VLOOKUP(D$1,'cost per tipologia de sòl'!$A$2:$D$37,4,FALSE)*'T100'!D116</f>
        <v>0</v>
      </c>
      <c r="E116" s="1103">
        <f>VLOOKUP(E$1,'cost per tipologia de sòl'!$A$2:$D$37,4,FALSE)*'T100'!E116</f>
        <v>0</v>
      </c>
      <c r="F116" s="1103">
        <f>VLOOKUP(F$1,'cost per tipologia de sòl'!$A$2:$D$37,4,FALSE)*'T100'!F116</f>
        <v>0</v>
      </c>
      <c r="G116" s="1103">
        <f>VLOOKUP(G$1,'cost per tipologia de sòl'!$A$2:$D$37,4,FALSE)*'T100'!G116</f>
        <v>0</v>
      </c>
      <c r="H116" s="1103">
        <f>VLOOKUP(H$1,'cost per tipologia de sòl'!$A$2:$D$37,4,FALSE)*'T100'!H116</f>
        <v>0</v>
      </c>
      <c r="I116" s="1103">
        <f>VLOOKUP(I$1,'cost per tipologia de sòl'!$A$2:$D$37,4,FALSE)*'T100'!I116</f>
        <v>0</v>
      </c>
      <c r="J116" s="1103">
        <f>VLOOKUP(J$1,'cost per tipologia de sòl'!$A$2:$D$37,4,FALSE)*'T100'!J116</f>
        <v>0</v>
      </c>
      <c r="K116" s="1103">
        <f>VLOOKUP(K$1,'cost per tipologia de sòl'!$A$2:$D$37,4,FALSE)*'T100'!K116</f>
        <v>0</v>
      </c>
      <c r="L116" s="1103">
        <f>VLOOKUP(L$1,'cost per tipologia de sòl'!$A$2:$D$37,4,FALSE)*'T100'!L116</f>
        <v>0</v>
      </c>
      <c r="M116" s="1103">
        <f>VLOOKUP(M$1,'cost per tipologia de sòl'!$A$2:$D$37,4,FALSE)*'T100'!M116</f>
        <v>0</v>
      </c>
      <c r="N116" s="1103">
        <f>VLOOKUP(N$1,'cost per tipologia de sòl'!$A$2:$D$37,4,FALSE)*'T100'!N116</f>
        <v>72795257.728</v>
      </c>
      <c r="O116" s="1103">
        <f>VLOOKUP(O$1,'cost per tipologia de sòl'!$A$2:$D$37,4,FALSE)*'T100'!O116</f>
        <v>0</v>
      </c>
      <c r="P116" s="1103">
        <f>VLOOKUP(P$1,'cost per tipologia de sòl'!$A$2:$D$37,4,FALSE)*'T100'!P116</f>
        <v>73490533.879999995</v>
      </c>
      <c r="Q116" s="1103">
        <f>VLOOKUP(Q$1,'cost per tipologia de sòl'!$A$2:$D$37,4,FALSE)*'T100'!Q116</f>
        <v>0</v>
      </c>
      <c r="R116" s="1103">
        <f>VLOOKUP(R$1,'cost per tipologia de sòl'!$A$2:$D$37,4,FALSE)*'T100'!R116</f>
        <v>0</v>
      </c>
      <c r="S116" s="1103">
        <f>VLOOKUP(S$1,'cost per tipologia de sòl'!$A$2:$D$37,4,FALSE)*'T100'!S116</f>
        <v>191334238.704</v>
      </c>
      <c r="T116" s="1103">
        <f>VLOOKUP(T$1,'cost per tipologia de sòl'!$A$2:$D$37,4,FALSE)*'T100'!T116</f>
        <v>74565848.027999997</v>
      </c>
      <c r="U116" s="1103">
        <f>VLOOKUP(U$1,'cost per tipologia de sòl'!$A$2:$D$37,4,FALSE)*'T100'!U116</f>
        <v>30545600.400000002</v>
      </c>
      <c r="V116" s="1103">
        <f>VLOOKUP(V$1,'cost per tipologia de sòl'!$A$2:$D$37,4,FALSE)*'T100'!V116</f>
        <v>249768.49599999998</v>
      </c>
      <c r="W116" s="1103">
        <f>VLOOKUP(W$1,'cost per tipologia de sòl'!$A$2:$D$37,4,FALSE)*'T100'!W116</f>
        <v>0</v>
      </c>
      <c r="X116" s="1103">
        <f>VLOOKUP(X$1,'cost per tipologia de sòl'!$A$2:$D$37,4,FALSE)*'T100'!X116</f>
        <v>0</v>
      </c>
      <c r="Y116" s="1103">
        <f>VLOOKUP(Y$1,'cost per tipologia de sòl'!$A$2:$D$37,4,FALSE)*'T100'!Y116</f>
        <v>0</v>
      </c>
      <c r="Z116" s="1103">
        <f>VLOOKUP(Z$1,'cost per tipologia de sòl'!$A$2:$D$37,4,FALSE)*'T100'!Z116</f>
        <v>1210044.5080000001</v>
      </c>
      <c r="AA116" s="1103">
        <f>VLOOKUP(AA$1,'cost per tipologia de sòl'!$A$2:$D$37,4,FALSE)*'T100'!AA116</f>
        <v>0</v>
      </c>
      <c r="AB116" s="1103">
        <f>VLOOKUP(AB$1,'cost per tipologia de sòl'!$A$2:$D$37,4,FALSE)*'T100'!AB116</f>
        <v>4760228.6500000004</v>
      </c>
      <c r="AC116" s="1103">
        <f>VLOOKUP(AC$1,'cost per tipologia de sòl'!$A$2:$D$37,4,FALSE)*'T100'!AC116</f>
        <v>186000383.14999998</v>
      </c>
      <c r="AD116" s="1103">
        <f>VLOOKUP(AD$1,'cost per tipologia de sòl'!$A$2:$D$37,4,FALSE)*'T100'!AD116</f>
        <v>255424420.45000002</v>
      </c>
      <c r="AE116" s="1103">
        <f>VLOOKUP(AE$1,'cost per tipologia de sòl'!$A$2:$D$37,4,FALSE)*'T100'!AE116</f>
        <v>0</v>
      </c>
      <c r="AF116" s="1103">
        <f>VLOOKUP(AF$1,'cost per tipologia de sòl'!$A$2:$D$37,4,FALSE)*'T100'!AF116</f>
        <v>0</v>
      </c>
      <c r="AG116" s="1103">
        <f>VLOOKUP(AG$1,'cost per tipologia de sòl'!$A$2:$D$37,4,FALSE)*'T100'!AG116</f>
        <v>0</v>
      </c>
      <c r="AH116" s="1103">
        <f>VLOOKUP(AH$1,'cost per tipologia de sòl'!$A$2:$D$37,4,FALSE)*'T100'!AH116</f>
        <v>0</v>
      </c>
      <c r="AI116" s="1103">
        <f>VLOOKUP(AI$1,'cost per tipologia de sòl'!$A$2:$D$37,4,FALSE)*'T100'!AI116</f>
        <v>0</v>
      </c>
      <c r="AJ116" s="1103">
        <f t="shared" si="2"/>
        <v>1039973496.5420001</v>
      </c>
      <c r="AK116" s="1117">
        <f t="shared" si="3"/>
        <v>311.99204896259999</v>
      </c>
    </row>
    <row r="117" spans="1:37">
      <c r="A117" s="1096" t="s">
        <v>1426</v>
      </c>
      <c r="B117" s="1103">
        <f>VLOOKUP(B$1,'cost per tipologia de sòl'!$A$2:$D$37,4,FALSE)*'T100'!B117</f>
        <v>28168694.081999999</v>
      </c>
      <c r="C117" s="1103">
        <f>VLOOKUP(C$1,'cost per tipologia de sòl'!$A$2:$D$37,4,FALSE)*'T100'!C117</f>
        <v>0</v>
      </c>
      <c r="D117" s="1103">
        <f>VLOOKUP(D$1,'cost per tipologia de sòl'!$A$2:$D$37,4,FALSE)*'T100'!D117</f>
        <v>34689.707999999999</v>
      </c>
      <c r="E117" s="1103">
        <f>VLOOKUP(E$1,'cost per tipologia de sòl'!$A$2:$D$37,4,FALSE)*'T100'!E117</f>
        <v>0</v>
      </c>
      <c r="F117" s="1103">
        <f>VLOOKUP(F$1,'cost per tipologia de sòl'!$A$2:$D$37,4,FALSE)*'T100'!F117</f>
        <v>0</v>
      </c>
      <c r="G117" s="1103">
        <f>VLOOKUP(G$1,'cost per tipologia de sòl'!$A$2:$D$37,4,FALSE)*'T100'!G117</f>
        <v>0</v>
      </c>
      <c r="H117" s="1103">
        <f>VLOOKUP(H$1,'cost per tipologia de sòl'!$A$2:$D$37,4,FALSE)*'T100'!H117</f>
        <v>0</v>
      </c>
      <c r="I117" s="1103">
        <f>VLOOKUP(I$1,'cost per tipologia de sòl'!$A$2:$D$37,4,FALSE)*'T100'!I117</f>
        <v>0</v>
      </c>
      <c r="J117" s="1103">
        <f>VLOOKUP(J$1,'cost per tipologia de sòl'!$A$2:$D$37,4,FALSE)*'T100'!J117</f>
        <v>0</v>
      </c>
      <c r="K117" s="1103">
        <f>VLOOKUP(K$1,'cost per tipologia de sòl'!$A$2:$D$37,4,FALSE)*'T100'!K117</f>
        <v>0</v>
      </c>
      <c r="L117" s="1103">
        <f>VLOOKUP(L$1,'cost per tipologia de sòl'!$A$2:$D$37,4,FALSE)*'T100'!L117</f>
        <v>0</v>
      </c>
      <c r="M117" s="1103">
        <f>VLOOKUP(M$1,'cost per tipologia de sòl'!$A$2:$D$37,4,FALSE)*'T100'!M117</f>
        <v>0</v>
      </c>
      <c r="N117" s="1103">
        <f>VLOOKUP(N$1,'cost per tipologia de sòl'!$A$2:$D$37,4,FALSE)*'T100'!N117</f>
        <v>0</v>
      </c>
      <c r="O117" s="1103">
        <f>VLOOKUP(O$1,'cost per tipologia de sòl'!$A$2:$D$37,4,FALSE)*'T100'!O117</f>
        <v>0</v>
      </c>
      <c r="P117" s="1103">
        <f>VLOOKUP(P$1,'cost per tipologia de sòl'!$A$2:$D$37,4,FALSE)*'T100'!P117</f>
        <v>0</v>
      </c>
      <c r="Q117" s="1103">
        <f>VLOOKUP(Q$1,'cost per tipologia de sòl'!$A$2:$D$37,4,FALSE)*'T100'!Q117</f>
        <v>0</v>
      </c>
      <c r="R117" s="1103">
        <f>VLOOKUP(R$1,'cost per tipologia de sòl'!$A$2:$D$37,4,FALSE)*'T100'!R117</f>
        <v>0</v>
      </c>
      <c r="S117" s="1103">
        <f>VLOOKUP(S$1,'cost per tipologia de sòl'!$A$2:$D$37,4,FALSE)*'T100'!S117</f>
        <v>0</v>
      </c>
      <c r="T117" s="1103">
        <f>VLOOKUP(T$1,'cost per tipologia de sòl'!$A$2:$D$37,4,FALSE)*'T100'!T117</f>
        <v>10214612.551000001</v>
      </c>
      <c r="U117" s="1103">
        <f>VLOOKUP(U$1,'cost per tipologia de sòl'!$A$2:$D$37,4,FALSE)*'T100'!U117</f>
        <v>0</v>
      </c>
      <c r="V117" s="1103">
        <f>VLOOKUP(V$1,'cost per tipologia de sòl'!$A$2:$D$37,4,FALSE)*'T100'!V117</f>
        <v>0</v>
      </c>
      <c r="W117" s="1103">
        <f>VLOOKUP(W$1,'cost per tipologia de sòl'!$A$2:$D$37,4,FALSE)*'T100'!W117</f>
        <v>0</v>
      </c>
      <c r="X117" s="1103">
        <f>VLOOKUP(X$1,'cost per tipologia de sòl'!$A$2:$D$37,4,FALSE)*'T100'!X117</f>
        <v>0</v>
      </c>
      <c r="Y117" s="1103">
        <f>VLOOKUP(Y$1,'cost per tipologia de sòl'!$A$2:$D$37,4,FALSE)*'T100'!Y117</f>
        <v>0</v>
      </c>
      <c r="Z117" s="1103">
        <f>VLOOKUP(Z$1,'cost per tipologia de sòl'!$A$2:$D$37,4,FALSE)*'T100'!Z117</f>
        <v>1783174.4620000001</v>
      </c>
      <c r="AA117" s="1103">
        <f>VLOOKUP(AA$1,'cost per tipologia de sòl'!$A$2:$D$37,4,FALSE)*'T100'!AA117</f>
        <v>0</v>
      </c>
      <c r="AB117" s="1103">
        <f>VLOOKUP(AB$1,'cost per tipologia de sòl'!$A$2:$D$37,4,FALSE)*'T100'!AB117</f>
        <v>183985.55</v>
      </c>
      <c r="AC117" s="1103">
        <f>VLOOKUP(AC$1,'cost per tipologia de sòl'!$A$2:$D$37,4,FALSE)*'T100'!AC117</f>
        <v>3665964.5</v>
      </c>
      <c r="AD117" s="1103">
        <f>VLOOKUP(AD$1,'cost per tipologia de sòl'!$A$2:$D$37,4,FALSE)*'T100'!AD117</f>
        <v>3893306.15</v>
      </c>
      <c r="AE117" s="1103">
        <f>VLOOKUP(AE$1,'cost per tipologia de sòl'!$A$2:$D$37,4,FALSE)*'T100'!AE117</f>
        <v>0</v>
      </c>
      <c r="AF117" s="1103">
        <f>VLOOKUP(AF$1,'cost per tipologia de sòl'!$A$2:$D$37,4,FALSE)*'T100'!AF117</f>
        <v>0</v>
      </c>
      <c r="AG117" s="1103">
        <f>VLOOKUP(AG$1,'cost per tipologia de sòl'!$A$2:$D$37,4,FALSE)*'T100'!AG117</f>
        <v>0</v>
      </c>
      <c r="AH117" s="1103">
        <f>VLOOKUP(AH$1,'cost per tipologia de sòl'!$A$2:$D$37,4,FALSE)*'T100'!AH117</f>
        <v>0</v>
      </c>
      <c r="AI117" s="1103">
        <f>VLOOKUP(AI$1,'cost per tipologia de sòl'!$A$2:$D$37,4,FALSE)*'T100'!AI117</f>
        <v>0</v>
      </c>
      <c r="AJ117" s="1103">
        <f t="shared" si="2"/>
        <v>47944427.002999991</v>
      </c>
      <c r="AK117" s="1117">
        <f t="shared" si="3"/>
        <v>14.383328100899996</v>
      </c>
    </row>
    <row r="118" spans="1:37">
      <c r="A118" s="1096" t="s">
        <v>1429</v>
      </c>
      <c r="B118" s="1103">
        <f>VLOOKUP(B$1,'cost per tipologia de sòl'!$A$2:$D$37,4,FALSE)*'T100'!B118</f>
        <v>0</v>
      </c>
      <c r="C118" s="1103">
        <f>VLOOKUP(C$1,'cost per tipologia de sòl'!$A$2:$D$37,4,FALSE)*'T100'!C118</f>
        <v>0</v>
      </c>
      <c r="D118" s="1103">
        <f>VLOOKUP(D$1,'cost per tipologia de sòl'!$A$2:$D$37,4,FALSE)*'T100'!D118</f>
        <v>0</v>
      </c>
      <c r="E118" s="1103">
        <f>VLOOKUP(E$1,'cost per tipologia de sòl'!$A$2:$D$37,4,FALSE)*'T100'!E118</f>
        <v>0</v>
      </c>
      <c r="F118" s="1103">
        <f>VLOOKUP(F$1,'cost per tipologia de sòl'!$A$2:$D$37,4,FALSE)*'T100'!F118</f>
        <v>0</v>
      </c>
      <c r="G118" s="1103">
        <f>VLOOKUP(G$1,'cost per tipologia de sòl'!$A$2:$D$37,4,FALSE)*'T100'!G118</f>
        <v>0</v>
      </c>
      <c r="H118" s="1103">
        <f>VLOOKUP(H$1,'cost per tipologia de sòl'!$A$2:$D$37,4,FALSE)*'T100'!H118</f>
        <v>0</v>
      </c>
      <c r="I118" s="1103">
        <f>VLOOKUP(I$1,'cost per tipologia de sòl'!$A$2:$D$37,4,FALSE)*'T100'!I118</f>
        <v>0</v>
      </c>
      <c r="J118" s="1103">
        <f>VLOOKUP(J$1,'cost per tipologia de sòl'!$A$2:$D$37,4,FALSE)*'T100'!J118</f>
        <v>246976.1085</v>
      </c>
      <c r="K118" s="1103">
        <f>VLOOKUP(K$1,'cost per tipologia de sòl'!$A$2:$D$37,4,FALSE)*'T100'!K118</f>
        <v>0</v>
      </c>
      <c r="L118" s="1103">
        <f>VLOOKUP(L$1,'cost per tipologia de sòl'!$A$2:$D$37,4,FALSE)*'T100'!L118</f>
        <v>4369419.0089999996</v>
      </c>
      <c r="M118" s="1103">
        <f>VLOOKUP(M$1,'cost per tipologia de sòl'!$A$2:$D$37,4,FALSE)*'T100'!M118</f>
        <v>0</v>
      </c>
      <c r="N118" s="1103">
        <f>VLOOKUP(N$1,'cost per tipologia de sòl'!$A$2:$D$37,4,FALSE)*'T100'!N118</f>
        <v>119.52800000000001</v>
      </c>
      <c r="O118" s="1103">
        <f>VLOOKUP(O$1,'cost per tipologia de sòl'!$A$2:$D$37,4,FALSE)*'T100'!O118</f>
        <v>0</v>
      </c>
      <c r="P118" s="1103">
        <f>VLOOKUP(P$1,'cost per tipologia de sòl'!$A$2:$D$37,4,FALSE)*'T100'!P118</f>
        <v>0</v>
      </c>
      <c r="Q118" s="1103">
        <f>VLOOKUP(Q$1,'cost per tipologia de sòl'!$A$2:$D$37,4,FALSE)*'T100'!Q118</f>
        <v>0</v>
      </c>
      <c r="R118" s="1103">
        <f>VLOOKUP(R$1,'cost per tipologia de sòl'!$A$2:$D$37,4,FALSE)*'T100'!R118</f>
        <v>0</v>
      </c>
      <c r="S118" s="1103">
        <f>VLOOKUP(S$1,'cost per tipologia de sòl'!$A$2:$D$37,4,FALSE)*'T100'!S118</f>
        <v>524352.52799999993</v>
      </c>
      <c r="T118" s="1103">
        <f>VLOOKUP(T$1,'cost per tipologia de sòl'!$A$2:$D$37,4,FALSE)*'T100'!T118</f>
        <v>4216827.08</v>
      </c>
      <c r="U118" s="1103">
        <f>VLOOKUP(U$1,'cost per tipologia de sòl'!$A$2:$D$37,4,FALSE)*'T100'!U118</f>
        <v>0</v>
      </c>
      <c r="V118" s="1103">
        <f>VLOOKUP(V$1,'cost per tipologia de sòl'!$A$2:$D$37,4,FALSE)*'T100'!V118</f>
        <v>0</v>
      </c>
      <c r="W118" s="1103">
        <f>VLOOKUP(W$1,'cost per tipologia de sòl'!$A$2:$D$37,4,FALSE)*'T100'!W118</f>
        <v>0</v>
      </c>
      <c r="X118" s="1103">
        <f>VLOOKUP(X$1,'cost per tipologia de sòl'!$A$2:$D$37,4,FALSE)*'T100'!X118</f>
        <v>0</v>
      </c>
      <c r="Y118" s="1103">
        <f>VLOOKUP(Y$1,'cost per tipologia de sòl'!$A$2:$D$37,4,FALSE)*'T100'!Y118</f>
        <v>0</v>
      </c>
      <c r="Z118" s="1103">
        <f>VLOOKUP(Z$1,'cost per tipologia de sòl'!$A$2:$D$37,4,FALSE)*'T100'!Z118</f>
        <v>0</v>
      </c>
      <c r="AA118" s="1103">
        <f>VLOOKUP(AA$1,'cost per tipologia de sòl'!$A$2:$D$37,4,FALSE)*'T100'!AA118</f>
        <v>0</v>
      </c>
      <c r="AB118" s="1103">
        <f>VLOOKUP(AB$1,'cost per tipologia de sòl'!$A$2:$D$37,4,FALSE)*'T100'!AB118</f>
        <v>1838554.9500000002</v>
      </c>
      <c r="AC118" s="1103">
        <f>VLOOKUP(AC$1,'cost per tipologia de sòl'!$A$2:$D$37,4,FALSE)*'T100'!AC118</f>
        <v>1682501.3</v>
      </c>
      <c r="AD118" s="1103">
        <f>VLOOKUP(AD$1,'cost per tipologia de sòl'!$A$2:$D$37,4,FALSE)*'T100'!AD118</f>
        <v>1781651.8499999999</v>
      </c>
      <c r="AE118" s="1103">
        <f>VLOOKUP(AE$1,'cost per tipologia de sòl'!$A$2:$D$37,4,FALSE)*'T100'!AE118</f>
        <v>0</v>
      </c>
      <c r="AF118" s="1103">
        <f>VLOOKUP(AF$1,'cost per tipologia de sòl'!$A$2:$D$37,4,FALSE)*'T100'!AF118</f>
        <v>0</v>
      </c>
      <c r="AG118" s="1103">
        <f>VLOOKUP(AG$1,'cost per tipologia de sòl'!$A$2:$D$37,4,FALSE)*'T100'!AG118</f>
        <v>0</v>
      </c>
      <c r="AH118" s="1103">
        <f>VLOOKUP(AH$1,'cost per tipologia de sòl'!$A$2:$D$37,4,FALSE)*'T100'!AH118</f>
        <v>0</v>
      </c>
      <c r="AI118" s="1103">
        <f>VLOOKUP(AI$1,'cost per tipologia de sòl'!$A$2:$D$37,4,FALSE)*'T100'!AI118</f>
        <v>0</v>
      </c>
      <c r="AJ118" s="1103">
        <f t="shared" si="2"/>
        <v>14660402.353499999</v>
      </c>
      <c r="AK118" s="1117">
        <f t="shared" si="3"/>
        <v>4.3981207060499994</v>
      </c>
    </row>
    <row r="119" spans="1:37">
      <c r="A119" s="1096" t="s">
        <v>1094</v>
      </c>
      <c r="B119" s="1103">
        <f>VLOOKUP(B$1,'cost per tipologia de sòl'!$A$2:$D$37,4,FALSE)*'T100'!B119</f>
        <v>0</v>
      </c>
      <c r="C119" s="1103">
        <f>VLOOKUP(C$1,'cost per tipologia de sòl'!$A$2:$D$37,4,FALSE)*'T100'!C119</f>
        <v>448542.26199999999</v>
      </c>
      <c r="D119" s="1103">
        <f>VLOOKUP(D$1,'cost per tipologia de sòl'!$A$2:$D$37,4,FALSE)*'T100'!D119</f>
        <v>2039873.0580000002</v>
      </c>
      <c r="E119" s="1103">
        <f>VLOOKUP(E$1,'cost per tipologia de sòl'!$A$2:$D$37,4,FALSE)*'T100'!E119</f>
        <v>0</v>
      </c>
      <c r="F119" s="1103">
        <f>VLOOKUP(F$1,'cost per tipologia de sòl'!$A$2:$D$37,4,FALSE)*'T100'!F119</f>
        <v>0</v>
      </c>
      <c r="G119" s="1103">
        <f>VLOOKUP(G$1,'cost per tipologia de sòl'!$A$2:$D$37,4,FALSE)*'T100'!G119</f>
        <v>0</v>
      </c>
      <c r="H119" s="1103">
        <f>VLOOKUP(H$1,'cost per tipologia de sòl'!$A$2:$D$37,4,FALSE)*'T100'!H119</f>
        <v>0</v>
      </c>
      <c r="I119" s="1103">
        <f>VLOOKUP(I$1,'cost per tipologia de sòl'!$A$2:$D$37,4,FALSE)*'T100'!I119</f>
        <v>0</v>
      </c>
      <c r="J119" s="1103">
        <f>VLOOKUP(J$1,'cost per tipologia de sòl'!$A$2:$D$37,4,FALSE)*'T100'!J119</f>
        <v>0</v>
      </c>
      <c r="K119" s="1103">
        <f>VLOOKUP(K$1,'cost per tipologia de sòl'!$A$2:$D$37,4,FALSE)*'T100'!K119</f>
        <v>0</v>
      </c>
      <c r="L119" s="1103">
        <f>VLOOKUP(L$1,'cost per tipologia de sòl'!$A$2:$D$37,4,FALSE)*'T100'!L119</f>
        <v>0</v>
      </c>
      <c r="M119" s="1103">
        <f>VLOOKUP(M$1,'cost per tipologia de sòl'!$A$2:$D$37,4,FALSE)*'T100'!M119</f>
        <v>25484503.239999998</v>
      </c>
      <c r="N119" s="1103">
        <f>VLOOKUP(N$1,'cost per tipologia de sòl'!$A$2:$D$37,4,FALSE)*'T100'!N119</f>
        <v>5809563.5680000009</v>
      </c>
      <c r="O119" s="1103">
        <f>VLOOKUP(O$1,'cost per tipologia de sòl'!$A$2:$D$37,4,FALSE)*'T100'!O119</f>
        <v>0</v>
      </c>
      <c r="P119" s="1103">
        <f>VLOOKUP(P$1,'cost per tipologia de sòl'!$A$2:$D$37,4,FALSE)*'T100'!P119</f>
        <v>5637660.8639999991</v>
      </c>
      <c r="Q119" s="1103">
        <f>VLOOKUP(Q$1,'cost per tipologia de sòl'!$A$2:$D$37,4,FALSE)*'T100'!Q119</f>
        <v>1546725</v>
      </c>
      <c r="R119" s="1103">
        <f>VLOOKUP(R$1,'cost per tipologia de sòl'!$A$2:$D$37,4,FALSE)*'T100'!R119</f>
        <v>0</v>
      </c>
      <c r="S119" s="1103">
        <f>VLOOKUP(S$1,'cost per tipologia de sòl'!$A$2:$D$37,4,FALSE)*'T100'!S119</f>
        <v>18863237.232000001</v>
      </c>
      <c r="T119" s="1103">
        <f>VLOOKUP(T$1,'cost per tipologia de sòl'!$A$2:$D$37,4,FALSE)*'T100'!T119</f>
        <v>53522221.376000002</v>
      </c>
      <c r="U119" s="1103">
        <f>VLOOKUP(U$1,'cost per tipologia de sòl'!$A$2:$D$37,4,FALSE)*'T100'!U119</f>
        <v>148244023.20000002</v>
      </c>
      <c r="V119" s="1103">
        <f>VLOOKUP(V$1,'cost per tipologia de sòl'!$A$2:$D$37,4,FALSE)*'T100'!V119</f>
        <v>0</v>
      </c>
      <c r="W119" s="1103">
        <f>VLOOKUP(W$1,'cost per tipologia de sòl'!$A$2:$D$37,4,FALSE)*'T100'!W119</f>
        <v>0</v>
      </c>
      <c r="X119" s="1103">
        <f>VLOOKUP(X$1,'cost per tipologia de sòl'!$A$2:$D$37,4,FALSE)*'T100'!X119</f>
        <v>0</v>
      </c>
      <c r="Y119" s="1103">
        <f>VLOOKUP(Y$1,'cost per tipologia de sòl'!$A$2:$D$37,4,FALSE)*'T100'!Y119</f>
        <v>0</v>
      </c>
      <c r="Z119" s="1103">
        <f>VLOOKUP(Z$1,'cost per tipologia de sòl'!$A$2:$D$37,4,FALSE)*'T100'!Z119</f>
        <v>10560659.146</v>
      </c>
      <c r="AA119" s="1103">
        <f>VLOOKUP(AA$1,'cost per tipologia de sòl'!$A$2:$D$37,4,FALSE)*'T100'!AA119</f>
        <v>0</v>
      </c>
      <c r="AB119" s="1103">
        <f>VLOOKUP(AB$1,'cost per tipologia de sòl'!$A$2:$D$37,4,FALSE)*'T100'!AB119</f>
        <v>59473985.25</v>
      </c>
      <c r="AC119" s="1103">
        <f>VLOOKUP(AC$1,'cost per tipologia de sòl'!$A$2:$D$37,4,FALSE)*'T100'!AC119</f>
        <v>33856823.899999999</v>
      </c>
      <c r="AD119" s="1103">
        <f>VLOOKUP(AD$1,'cost per tipologia de sòl'!$A$2:$D$37,4,FALSE)*'T100'!AD119</f>
        <v>57996480.649999999</v>
      </c>
      <c r="AE119" s="1103">
        <f>VLOOKUP(AE$1,'cost per tipologia de sòl'!$A$2:$D$37,4,FALSE)*'T100'!AE119</f>
        <v>0</v>
      </c>
      <c r="AF119" s="1103">
        <f>VLOOKUP(AF$1,'cost per tipologia de sòl'!$A$2:$D$37,4,FALSE)*'T100'!AF119</f>
        <v>0</v>
      </c>
      <c r="AG119" s="1103">
        <f>VLOOKUP(AG$1,'cost per tipologia de sòl'!$A$2:$D$37,4,FALSE)*'T100'!AG119</f>
        <v>0</v>
      </c>
      <c r="AH119" s="1103">
        <f>VLOOKUP(AH$1,'cost per tipologia de sòl'!$A$2:$D$37,4,FALSE)*'T100'!AH119</f>
        <v>0</v>
      </c>
      <c r="AI119" s="1103">
        <f>VLOOKUP(AI$1,'cost per tipologia de sòl'!$A$2:$D$37,4,FALSE)*'T100'!AI119</f>
        <v>0</v>
      </c>
      <c r="AJ119" s="1103">
        <f t="shared" si="2"/>
        <v>423484298.74599999</v>
      </c>
      <c r="AK119" s="1117">
        <f t="shared" si="3"/>
        <v>127.04528962379999</v>
      </c>
    </row>
    <row r="120" spans="1:37">
      <c r="A120" s="1096" t="s">
        <v>1443</v>
      </c>
      <c r="B120" s="1103">
        <f>VLOOKUP(B$1,'cost per tipologia de sòl'!$A$2:$D$37,4,FALSE)*'T100'!B120</f>
        <v>0</v>
      </c>
      <c r="C120" s="1103">
        <f>VLOOKUP(C$1,'cost per tipologia de sòl'!$A$2:$D$37,4,FALSE)*'T100'!C120</f>
        <v>0</v>
      </c>
      <c r="D120" s="1103">
        <f>VLOOKUP(D$1,'cost per tipologia de sòl'!$A$2:$D$37,4,FALSE)*'T100'!D120</f>
        <v>1551634.7220000001</v>
      </c>
      <c r="E120" s="1103">
        <f>VLOOKUP(E$1,'cost per tipologia de sòl'!$A$2:$D$37,4,FALSE)*'T100'!E120</f>
        <v>0</v>
      </c>
      <c r="F120" s="1103">
        <f>VLOOKUP(F$1,'cost per tipologia de sòl'!$A$2:$D$37,4,FALSE)*'T100'!F120</f>
        <v>0</v>
      </c>
      <c r="G120" s="1103">
        <f>VLOOKUP(G$1,'cost per tipologia de sòl'!$A$2:$D$37,4,FALSE)*'T100'!G120</f>
        <v>0</v>
      </c>
      <c r="H120" s="1103">
        <f>VLOOKUP(H$1,'cost per tipologia de sòl'!$A$2:$D$37,4,FALSE)*'T100'!H120</f>
        <v>0</v>
      </c>
      <c r="I120" s="1103">
        <f>VLOOKUP(I$1,'cost per tipologia de sòl'!$A$2:$D$37,4,FALSE)*'T100'!I120</f>
        <v>0</v>
      </c>
      <c r="J120" s="1103">
        <f>VLOOKUP(J$1,'cost per tipologia de sòl'!$A$2:$D$37,4,FALSE)*'T100'!J120</f>
        <v>436890.33299999998</v>
      </c>
      <c r="K120" s="1103">
        <f>VLOOKUP(K$1,'cost per tipologia de sòl'!$A$2:$D$37,4,FALSE)*'T100'!K120</f>
        <v>1124950.4280000001</v>
      </c>
      <c r="L120" s="1103">
        <f>VLOOKUP(L$1,'cost per tipologia de sòl'!$A$2:$D$37,4,FALSE)*'T100'!L120</f>
        <v>429986.016</v>
      </c>
      <c r="M120" s="1103">
        <f>VLOOKUP(M$1,'cost per tipologia de sòl'!$A$2:$D$37,4,FALSE)*'T100'!M120</f>
        <v>0</v>
      </c>
      <c r="N120" s="1103">
        <f>VLOOKUP(N$1,'cost per tipologia de sòl'!$A$2:$D$37,4,FALSE)*'T100'!N120</f>
        <v>2856853.7360000005</v>
      </c>
      <c r="O120" s="1103">
        <f>VLOOKUP(O$1,'cost per tipologia de sòl'!$A$2:$D$37,4,FALSE)*'T100'!O120</f>
        <v>0</v>
      </c>
      <c r="P120" s="1103">
        <f>VLOOKUP(P$1,'cost per tipologia de sòl'!$A$2:$D$37,4,FALSE)*'T100'!P120</f>
        <v>0</v>
      </c>
      <c r="Q120" s="1103">
        <f>VLOOKUP(Q$1,'cost per tipologia de sòl'!$A$2:$D$37,4,FALSE)*'T100'!Q120</f>
        <v>0</v>
      </c>
      <c r="R120" s="1103">
        <f>VLOOKUP(R$1,'cost per tipologia de sòl'!$A$2:$D$37,4,FALSE)*'T100'!R120</f>
        <v>0</v>
      </c>
      <c r="S120" s="1103">
        <f>VLOOKUP(S$1,'cost per tipologia de sòl'!$A$2:$D$37,4,FALSE)*'T100'!S120</f>
        <v>26558660.015999999</v>
      </c>
      <c r="T120" s="1103">
        <f>VLOOKUP(T$1,'cost per tipologia de sòl'!$A$2:$D$37,4,FALSE)*'T100'!T120</f>
        <v>2862041.9219999998</v>
      </c>
      <c r="U120" s="1103">
        <f>VLOOKUP(U$1,'cost per tipologia de sòl'!$A$2:$D$37,4,FALSE)*'T100'!U120</f>
        <v>0</v>
      </c>
      <c r="V120" s="1103">
        <f>VLOOKUP(V$1,'cost per tipologia de sòl'!$A$2:$D$37,4,FALSE)*'T100'!V120</f>
        <v>0</v>
      </c>
      <c r="W120" s="1103">
        <f>VLOOKUP(W$1,'cost per tipologia de sòl'!$A$2:$D$37,4,FALSE)*'T100'!W120</f>
        <v>0</v>
      </c>
      <c r="X120" s="1103">
        <f>VLOOKUP(X$1,'cost per tipologia de sòl'!$A$2:$D$37,4,FALSE)*'T100'!X120</f>
        <v>0</v>
      </c>
      <c r="Y120" s="1103">
        <f>VLOOKUP(Y$1,'cost per tipologia de sòl'!$A$2:$D$37,4,FALSE)*'T100'!Y120</f>
        <v>0</v>
      </c>
      <c r="Z120" s="1103">
        <f>VLOOKUP(Z$1,'cost per tipologia de sòl'!$A$2:$D$37,4,FALSE)*'T100'!Z120</f>
        <v>697992.16200000001</v>
      </c>
      <c r="AA120" s="1103">
        <f>VLOOKUP(AA$1,'cost per tipologia de sòl'!$A$2:$D$37,4,FALSE)*'T100'!AA120</f>
        <v>0</v>
      </c>
      <c r="AB120" s="1103">
        <f>VLOOKUP(AB$1,'cost per tipologia de sòl'!$A$2:$D$37,4,FALSE)*'T100'!AB120</f>
        <v>626386.30000000005</v>
      </c>
      <c r="AC120" s="1103">
        <f>VLOOKUP(AC$1,'cost per tipologia de sòl'!$A$2:$D$37,4,FALSE)*'T100'!AC120</f>
        <v>4612055.25</v>
      </c>
      <c r="AD120" s="1103">
        <f>VLOOKUP(AD$1,'cost per tipologia de sòl'!$A$2:$D$37,4,FALSE)*'T100'!AD120</f>
        <v>907902.65</v>
      </c>
      <c r="AE120" s="1103">
        <f>VLOOKUP(AE$1,'cost per tipologia de sòl'!$A$2:$D$37,4,FALSE)*'T100'!AE120</f>
        <v>0</v>
      </c>
      <c r="AF120" s="1103">
        <f>VLOOKUP(AF$1,'cost per tipologia de sòl'!$A$2:$D$37,4,FALSE)*'T100'!AF120</f>
        <v>0</v>
      </c>
      <c r="AG120" s="1103">
        <f>VLOOKUP(AG$1,'cost per tipologia de sòl'!$A$2:$D$37,4,FALSE)*'T100'!AG120</f>
        <v>0</v>
      </c>
      <c r="AH120" s="1103">
        <f>VLOOKUP(AH$1,'cost per tipologia de sòl'!$A$2:$D$37,4,FALSE)*'T100'!AH120</f>
        <v>0</v>
      </c>
      <c r="AI120" s="1103">
        <f>VLOOKUP(AI$1,'cost per tipologia de sòl'!$A$2:$D$37,4,FALSE)*'T100'!AI120</f>
        <v>0</v>
      </c>
      <c r="AJ120" s="1103">
        <f t="shared" si="2"/>
        <v>42665353.534999996</v>
      </c>
      <c r="AK120" s="1117">
        <f t="shared" si="3"/>
        <v>12.7996060605</v>
      </c>
    </row>
    <row r="121" spans="1:37">
      <c r="A121" s="1096" t="s">
        <v>1437</v>
      </c>
      <c r="B121" s="1103">
        <f>VLOOKUP(B$1,'cost per tipologia de sòl'!$A$2:$D$37,4,FALSE)*'T100'!B121</f>
        <v>25079249.034000002</v>
      </c>
      <c r="C121" s="1103">
        <f>VLOOKUP(C$1,'cost per tipologia de sòl'!$A$2:$D$37,4,FALSE)*'T100'!C121</f>
        <v>0</v>
      </c>
      <c r="D121" s="1103">
        <f>VLOOKUP(D$1,'cost per tipologia de sòl'!$A$2:$D$37,4,FALSE)*'T100'!D121</f>
        <v>0</v>
      </c>
      <c r="E121" s="1103">
        <f>VLOOKUP(E$1,'cost per tipologia de sòl'!$A$2:$D$37,4,FALSE)*'T100'!E121</f>
        <v>0</v>
      </c>
      <c r="F121" s="1103">
        <f>VLOOKUP(F$1,'cost per tipologia de sòl'!$A$2:$D$37,4,FALSE)*'T100'!F121</f>
        <v>0</v>
      </c>
      <c r="G121" s="1103">
        <f>VLOOKUP(G$1,'cost per tipologia de sòl'!$A$2:$D$37,4,FALSE)*'T100'!G121</f>
        <v>0</v>
      </c>
      <c r="H121" s="1103">
        <f>VLOOKUP(H$1,'cost per tipologia de sòl'!$A$2:$D$37,4,FALSE)*'T100'!H121</f>
        <v>0</v>
      </c>
      <c r="I121" s="1103">
        <f>VLOOKUP(I$1,'cost per tipologia de sòl'!$A$2:$D$37,4,FALSE)*'T100'!I121</f>
        <v>0</v>
      </c>
      <c r="J121" s="1103">
        <f>VLOOKUP(J$1,'cost per tipologia de sòl'!$A$2:$D$37,4,FALSE)*'T100'!J121</f>
        <v>352116.36900000001</v>
      </c>
      <c r="K121" s="1103">
        <f>VLOOKUP(K$1,'cost per tipologia de sòl'!$A$2:$D$37,4,FALSE)*'T100'!K121</f>
        <v>0</v>
      </c>
      <c r="L121" s="1103">
        <f>VLOOKUP(L$1,'cost per tipologia de sòl'!$A$2:$D$37,4,FALSE)*'T100'!L121</f>
        <v>0</v>
      </c>
      <c r="M121" s="1103">
        <f>VLOOKUP(M$1,'cost per tipologia de sòl'!$A$2:$D$37,4,FALSE)*'T100'!M121</f>
        <v>0</v>
      </c>
      <c r="N121" s="1103">
        <f>VLOOKUP(N$1,'cost per tipologia de sòl'!$A$2:$D$37,4,FALSE)*'T100'!N121</f>
        <v>0</v>
      </c>
      <c r="O121" s="1103">
        <f>VLOOKUP(O$1,'cost per tipologia de sòl'!$A$2:$D$37,4,FALSE)*'T100'!O121</f>
        <v>0</v>
      </c>
      <c r="P121" s="1103">
        <f>VLOOKUP(P$1,'cost per tipologia de sòl'!$A$2:$D$37,4,FALSE)*'T100'!P121</f>
        <v>0</v>
      </c>
      <c r="Q121" s="1103">
        <f>VLOOKUP(Q$1,'cost per tipologia de sòl'!$A$2:$D$37,4,FALSE)*'T100'!Q121</f>
        <v>0</v>
      </c>
      <c r="R121" s="1103">
        <f>VLOOKUP(R$1,'cost per tipologia de sòl'!$A$2:$D$37,4,FALSE)*'T100'!R121</f>
        <v>0</v>
      </c>
      <c r="S121" s="1103">
        <f>VLOOKUP(S$1,'cost per tipologia de sòl'!$A$2:$D$37,4,FALSE)*'T100'!S121</f>
        <v>108389953.728</v>
      </c>
      <c r="T121" s="1103">
        <f>VLOOKUP(T$1,'cost per tipologia de sòl'!$A$2:$D$37,4,FALSE)*'T100'!T121</f>
        <v>10535456.771</v>
      </c>
      <c r="U121" s="1103">
        <f>VLOOKUP(U$1,'cost per tipologia de sòl'!$A$2:$D$37,4,FALSE)*'T100'!U121</f>
        <v>373701.3</v>
      </c>
      <c r="V121" s="1103">
        <f>VLOOKUP(V$1,'cost per tipologia de sòl'!$A$2:$D$37,4,FALSE)*'T100'!V121</f>
        <v>0</v>
      </c>
      <c r="W121" s="1103">
        <f>VLOOKUP(W$1,'cost per tipologia de sòl'!$A$2:$D$37,4,FALSE)*'T100'!W121</f>
        <v>0</v>
      </c>
      <c r="X121" s="1103">
        <f>VLOOKUP(X$1,'cost per tipologia de sòl'!$A$2:$D$37,4,FALSE)*'T100'!X121</f>
        <v>0</v>
      </c>
      <c r="Y121" s="1103">
        <f>VLOOKUP(Y$1,'cost per tipologia de sòl'!$A$2:$D$37,4,FALSE)*'T100'!Y121</f>
        <v>0</v>
      </c>
      <c r="Z121" s="1103">
        <f>VLOOKUP(Z$1,'cost per tipologia de sòl'!$A$2:$D$37,4,FALSE)*'T100'!Z121</f>
        <v>30379.526000000002</v>
      </c>
      <c r="AA121" s="1103">
        <f>VLOOKUP(AA$1,'cost per tipologia de sòl'!$A$2:$D$37,4,FALSE)*'T100'!AA121</f>
        <v>0</v>
      </c>
      <c r="AB121" s="1103">
        <f>VLOOKUP(AB$1,'cost per tipologia de sòl'!$A$2:$D$37,4,FALSE)*'T100'!AB121</f>
        <v>33151.199999999997</v>
      </c>
      <c r="AC121" s="1103">
        <f>VLOOKUP(AC$1,'cost per tipologia de sòl'!$A$2:$D$37,4,FALSE)*'T100'!AC121</f>
        <v>18749681.650000002</v>
      </c>
      <c r="AD121" s="1103">
        <f>VLOOKUP(AD$1,'cost per tipologia de sòl'!$A$2:$D$37,4,FALSE)*'T100'!AD121</f>
        <v>5347807.45</v>
      </c>
      <c r="AE121" s="1103">
        <f>VLOOKUP(AE$1,'cost per tipologia de sòl'!$A$2:$D$37,4,FALSE)*'T100'!AE121</f>
        <v>0</v>
      </c>
      <c r="AF121" s="1103">
        <f>VLOOKUP(AF$1,'cost per tipologia de sòl'!$A$2:$D$37,4,FALSE)*'T100'!AF121</f>
        <v>0</v>
      </c>
      <c r="AG121" s="1103">
        <f>VLOOKUP(AG$1,'cost per tipologia de sòl'!$A$2:$D$37,4,FALSE)*'T100'!AG121</f>
        <v>0</v>
      </c>
      <c r="AH121" s="1103">
        <f>VLOOKUP(AH$1,'cost per tipologia de sòl'!$A$2:$D$37,4,FALSE)*'T100'!AH121</f>
        <v>0</v>
      </c>
      <c r="AI121" s="1103">
        <f>VLOOKUP(AI$1,'cost per tipologia de sòl'!$A$2:$D$37,4,FALSE)*'T100'!AI121</f>
        <v>0</v>
      </c>
      <c r="AJ121" s="1103">
        <f t="shared" si="2"/>
        <v>168891497.028</v>
      </c>
      <c r="AK121" s="1117">
        <f t="shared" si="3"/>
        <v>50.6674491084</v>
      </c>
    </row>
    <row r="122" spans="1:37">
      <c r="A122" s="1096" t="s">
        <v>1450</v>
      </c>
      <c r="B122" s="1103">
        <f>VLOOKUP(B$1,'cost per tipologia de sòl'!$A$2:$D$37,4,FALSE)*'T100'!B122</f>
        <v>53637764.687999994</v>
      </c>
      <c r="C122" s="1103">
        <f>VLOOKUP(C$1,'cost per tipologia de sòl'!$A$2:$D$37,4,FALSE)*'T100'!C122</f>
        <v>0</v>
      </c>
      <c r="D122" s="1103">
        <f>VLOOKUP(D$1,'cost per tipologia de sòl'!$A$2:$D$37,4,FALSE)*'T100'!D122</f>
        <v>0</v>
      </c>
      <c r="E122" s="1103">
        <f>VLOOKUP(E$1,'cost per tipologia de sòl'!$A$2:$D$37,4,FALSE)*'T100'!E122</f>
        <v>0</v>
      </c>
      <c r="F122" s="1103">
        <f>VLOOKUP(F$1,'cost per tipologia de sòl'!$A$2:$D$37,4,FALSE)*'T100'!F122</f>
        <v>0</v>
      </c>
      <c r="G122" s="1103">
        <f>VLOOKUP(G$1,'cost per tipologia de sòl'!$A$2:$D$37,4,FALSE)*'T100'!G122</f>
        <v>0</v>
      </c>
      <c r="H122" s="1103">
        <f>VLOOKUP(H$1,'cost per tipologia de sòl'!$A$2:$D$37,4,FALSE)*'T100'!H122</f>
        <v>0</v>
      </c>
      <c r="I122" s="1103">
        <f>VLOOKUP(I$1,'cost per tipologia de sòl'!$A$2:$D$37,4,FALSE)*'T100'!I122</f>
        <v>0</v>
      </c>
      <c r="J122" s="1103">
        <f>VLOOKUP(J$1,'cost per tipologia de sòl'!$A$2:$D$37,4,FALSE)*'T100'!J122</f>
        <v>0</v>
      </c>
      <c r="K122" s="1103">
        <f>VLOOKUP(K$1,'cost per tipologia de sòl'!$A$2:$D$37,4,FALSE)*'T100'!K122</f>
        <v>0</v>
      </c>
      <c r="L122" s="1103">
        <f>VLOOKUP(L$1,'cost per tipologia de sòl'!$A$2:$D$37,4,FALSE)*'T100'!L122</f>
        <v>0</v>
      </c>
      <c r="M122" s="1103">
        <f>VLOOKUP(M$1,'cost per tipologia de sòl'!$A$2:$D$37,4,FALSE)*'T100'!M122</f>
        <v>0</v>
      </c>
      <c r="N122" s="1103">
        <f>VLOOKUP(N$1,'cost per tipologia de sòl'!$A$2:$D$37,4,FALSE)*'T100'!N122</f>
        <v>0</v>
      </c>
      <c r="O122" s="1103">
        <f>VLOOKUP(O$1,'cost per tipologia de sòl'!$A$2:$D$37,4,FALSE)*'T100'!O122</f>
        <v>0</v>
      </c>
      <c r="P122" s="1103">
        <f>VLOOKUP(P$1,'cost per tipologia de sòl'!$A$2:$D$37,4,FALSE)*'T100'!P122</f>
        <v>0</v>
      </c>
      <c r="Q122" s="1103">
        <f>VLOOKUP(Q$1,'cost per tipologia de sòl'!$A$2:$D$37,4,FALSE)*'T100'!Q122</f>
        <v>0</v>
      </c>
      <c r="R122" s="1103">
        <f>VLOOKUP(R$1,'cost per tipologia de sòl'!$A$2:$D$37,4,FALSE)*'T100'!R122</f>
        <v>0</v>
      </c>
      <c r="S122" s="1103">
        <f>VLOOKUP(S$1,'cost per tipologia de sòl'!$A$2:$D$37,4,FALSE)*'T100'!S122</f>
        <v>1092378.672</v>
      </c>
      <c r="T122" s="1103">
        <f>VLOOKUP(T$1,'cost per tipologia de sòl'!$A$2:$D$37,4,FALSE)*'T100'!T122</f>
        <v>17291706.911000002</v>
      </c>
      <c r="U122" s="1103">
        <f>VLOOKUP(U$1,'cost per tipologia de sòl'!$A$2:$D$37,4,FALSE)*'T100'!U122</f>
        <v>0</v>
      </c>
      <c r="V122" s="1103">
        <f>VLOOKUP(V$1,'cost per tipologia de sòl'!$A$2:$D$37,4,FALSE)*'T100'!V122</f>
        <v>0</v>
      </c>
      <c r="W122" s="1103">
        <f>VLOOKUP(W$1,'cost per tipologia de sòl'!$A$2:$D$37,4,FALSE)*'T100'!W122</f>
        <v>0</v>
      </c>
      <c r="X122" s="1103">
        <f>VLOOKUP(X$1,'cost per tipologia de sòl'!$A$2:$D$37,4,FALSE)*'T100'!X122</f>
        <v>0</v>
      </c>
      <c r="Y122" s="1103">
        <f>VLOOKUP(Y$1,'cost per tipologia de sòl'!$A$2:$D$37,4,FALSE)*'T100'!Y122</f>
        <v>0</v>
      </c>
      <c r="Z122" s="1103">
        <f>VLOOKUP(Z$1,'cost per tipologia de sòl'!$A$2:$D$37,4,FALSE)*'T100'!Z122</f>
        <v>0</v>
      </c>
      <c r="AA122" s="1103">
        <f>VLOOKUP(AA$1,'cost per tipologia de sòl'!$A$2:$D$37,4,FALSE)*'T100'!AA122</f>
        <v>0</v>
      </c>
      <c r="AB122" s="1103">
        <f>VLOOKUP(AB$1,'cost per tipologia de sòl'!$A$2:$D$37,4,FALSE)*'T100'!AB122</f>
        <v>9360114.4000000004</v>
      </c>
      <c r="AC122" s="1103">
        <f>VLOOKUP(AC$1,'cost per tipologia de sòl'!$A$2:$D$37,4,FALSE)*'T100'!AC122</f>
        <v>10770742.799999999</v>
      </c>
      <c r="AD122" s="1103">
        <f>VLOOKUP(AD$1,'cost per tipologia de sòl'!$A$2:$D$37,4,FALSE)*'T100'!AD122</f>
        <v>5011898.8499999996</v>
      </c>
      <c r="AE122" s="1103">
        <f>VLOOKUP(AE$1,'cost per tipologia de sòl'!$A$2:$D$37,4,FALSE)*'T100'!AE122</f>
        <v>0</v>
      </c>
      <c r="AF122" s="1103">
        <f>VLOOKUP(AF$1,'cost per tipologia de sòl'!$A$2:$D$37,4,FALSE)*'T100'!AF122</f>
        <v>0</v>
      </c>
      <c r="AG122" s="1103">
        <f>VLOOKUP(AG$1,'cost per tipologia de sòl'!$A$2:$D$37,4,FALSE)*'T100'!AG122</f>
        <v>0</v>
      </c>
      <c r="AH122" s="1103">
        <f>VLOOKUP(AH$1,'cost per tipologia de sòl'!$A$2:$D$37,4,FALSE)*'T100'!AH122</f>
        <v>0</v>
      </c>
      <c r="AI122" s="1103">
        <f>VLOOKUP(AI$1,'cost per tipologia de sòl'!$A$2:$D$37,4,FALSE)*'T100'!AI122</f>
        <v>0</v>
      </c>
      <c r="AJ122" s="1103">
        <f t="shared" si="2"/>
        <v>97164606.320999995</v>
      </c>
      <c r="AK122" s="1117">
        <f t="shared" si="3"/>
        <v>29.149381896299996</v>
      </c>
    </row>
    <row r="123" spans="1:37">
      <c r="A123" s="1096" t="s">
        <v>1458</v>
      </c>
      <c r="B123" s="1103">
        <f>VLOOKUP(B$1,'cost per tipologia de sòl'!$A$2:$D$37,4,FALSE)*'T100'!B123</f>
        <v>0</v>
      </c>
      <c r="C123" s="1103">
        <f>VLOOKUP(C$1,'cost per tipologia de sòl'!$A$2:$D$37,4,FALSE)*'T100'!C123</f>
        <v>0</v>
      </c>
      <c r="D123" s="1103">
        <f>VLOOKUP(D$1,'cost per tipologia de sòl'!$A$2:$D$37,4,FALSE)*'T100'!D123</f>
        <v>731278.28999999992</v>
      </c>
      <c r="E123" s="1103">
        <f>VLOOKUP(E$1,'cost per tipologia de sòl'!$A$2:$D$37,4,FALSE)*'T100'!E123</f>
        <v>0</v>
      </c>
      <c r="F123" s="1103">
        <f>VLOOKUP(F$1,'cost per tipologia de sòl'!$A$2:$D$37,4,FALSE)*'T100'!F123</f>
        <v>0</v>
      </c>
      <c r="G123" s="1103">
        <f>VLOOKUP(G$1,'cost per tipologia de sòl'!$A$2:$D$37,4,FALSE)*'T100'!G123</f>
        <v>0</v>
      </c>
      <c r="H123" s="1103">
        <f>VLOOKUP(H$1,'cost per tipologia de sòl'!$A$2:$D$37,4,FALSE)*'T100'!H123</f>
        <v>0</v>
      </c>
      <c r="I123" s="1103">
        <f>VLOOKUP(I$1,'cost per tipologia de sòl'!$A$2:$D$37,4,FALSE)*'T100'!I123</f>
        <v>0</v>
      </c>
      <c r="J123" s="1103">
        <f>VLOOKUP(J$1,'cost per tipologia de sòl'!$A$2:$D$37,4,FALSE)*'T100'!J123</f>
        <v>3546939.7424999997</v>
      </c>
      <c r="K123" s="1103">
        <f>VLOOKUP(K$1,'cost per tipologia de sòl'!$A$2:$D$37,4,FALSE)*'T100'!K123</f>
        <v>0</v>
      </c>
      <c r="L123" s="1103">
        <f>VLOOKUP(L$1,'cost per tipologia de sòl'!$A$2:$D$37,4,FALSE)*'T100'!L123</f>
        <v>18190168.973999999</v>
      </c>
      <c r="M123" s="1103">
        <f>VLOOKUP(M$1,'cost per tipologia de sòl'!$A$2:$D$37,4,FALSE)*'T100'!M123</f>
        <v>7376148.4560000002</v>
      </c>
      <c r="N123" s="1103">
        <f>VLOOKUP(N$1,'cost per tipologia de sòl'!$A$2:$D$37,4,FALSE)*'T100'!N123</f>
        <v>0</v>
      </c>
      <c r="O123" s="1103">
        <f>VLOOKUP(O$1,'cost per tipologia de sòl'!$A$2:$D$37,4,FALSE)*'T100'!O123</f>
        <v>0</v>
      </c>
      <c r="P123" s="1103">
        <f>VLOOKUP(P$1,'cost per tipologia de sòl'!$A$2:$D$37,4,FALSE)*'T100'!P123</f>
        <v>0</v>
      </c>
      <c r="Q123" s="1103">
        <f>VLOOKUP(Q$1,'cost per tipologia de sòl'!$A$2:$D$37,4,FALSE)*'T100'!Q123</f>
        <v>0</v>
      </c>
      <c r="R123" s="1103">
        <f>VLOOKUP(R$1,'cost per tipologia de sòl'!$A$2:$D$37,4,FALSE)*'T100'!R123</f>
        <v>0</v>
      </c>
      <c r="S123" s="1103">
        <f>VLOOKUP(S$1,'cost per tipologia de sòl'!$A$2:$D$37,4,FALSE)*'T100'!S123</f>
        <v>119417.76</v>
      </c>
      <c r="T123" s="1103">
        <f>VLOOKUP(T$1,'cost per tipologia de sòl'!$A$2:$D$37,4,FALSE)*'T100'!T123</f>
        <v>7177317.1490000002</v>
      </c>
      <c r="U123" s="1103">
        <f>VLOOKUP(U$1,'cost per tipologia de sòl'!$A$2:$D$37,4,FALSE)*'T100'!U123</f>
        <v>0</v>
      </c>
      <c r="V123" s="1103">
        <f>VLOOKUP(V$1,'cost per tipologia de sòl'!$A$2:$D$37,4,FALSE)*'T100'!V123</f>
        <v>0</v>
      </c>
      <c r="W123" s="1103">
        <f>VLOOKUP(W$1,'cost per tipologia de sòl'!$A$2:$D$37,4,FALSE)*'T100'!W123</f>
        <v>0</v>
      </c>
      <c r="X123" s="1103">
        <f>VLOOKUP(X$1,'cost per tipologia de sòl'!$A$2:$D$37,4,FALSE)*'T100'!X123</f>
        <v>0</v>
      </c>
      <c r="Y123" s="1103">
        <f>VLOOKUP(Y$1,'cost per tipologia de sòl'!$A$2:$D$37,4,FALSE)*'T100'!Y123</f>
        <v>0</v>
      </c>
      <c r="Z123" s="1103">
        <f>VLOOKUP(Z$1,'cost per tipologia de sòl'!$A$2:$D$37,4,FALSE)*'T100'!Z123</f>
        <v>934613.20999999985</v>
      </c>
      <c r="AA123" s="1103">
        <f>VLOOKUP(AA$1,'cost per tipologia de sòl'!$A$2:$D$37,4,FALSE)*'T100'!AA123</f>
        <v>0</v>
      </c>
      <c r="AB123" s="1103">
        <f>VLOOKUP(AB$1,'cost per tipologia de sòl'!$A$2:$D$37,4,FALSE)*'T100'!AB123</f>
        <v>2588538.15</v>
      </c>
      <c r="AC123" s="1103">
        <f>VLOOKUP(AC$1,'cost per tipologia de sòl'!$A$2:$D$37,4,FALSE)*'T100'!AC123</f>
        <v>14777438.1</v>
      </c>
      <c r="AD123" s="1103">
        <f>VLOOKUP(AD$1,'cost per tipologia de sòl'!$A$2:$D$37,4,FALSE)*'T100'!AD123</f>
        <v>15001200.149999999</v>
      </c>
      <c r="AE123" s="1103">
        <f>VLOOKUP(AE$1,'cost per tipologia de sòl'!$A$2:$D$37,4,FALSE)*'T100'!AE123</f>
        <v>0</v>
      </c>
      <c r="AF123" s="1103">
        <f>VLOOKUP(AF$1,'cost per tipologia de sòl'!$A$2:$D$37,4,FALSE)*'T100'!AF123</f>
        <v>0</v>
      </c>
      <c r="AG123" s="1103">
        <f>VLOOKUP(AG$1,'cost per tipologia de sòl'!$A$2:$D$37,4,FALSE)*'T100'!AG123</f>
        <v>0</v>
      </c>
      <c r="AH123" s="1103">
        <f>VLOOKUP(AH$1,'cost per tipologia de sòl'!$A$2:$D$37,4,FALSE)*'T100'!AH123</f>
        <v>0</v>
      </c>
      <c r="AI123" s="1103">
        <f>VLOOKUP(AI$1,'cost per tipologia de sòl'!$A$2:$D$37,4,FALSE)*'T100'!AI123</f>
        <v>0</v>
      </c>
      <c r="AJ123" s="1103">
        <f t="shared" si="2"/>
        <v>70443059.9815</v>
      </c>
      <c r="AK123" s="1117">
        <f t="shared" si="3"/>
        <v>21.132917994450001</v>
      </c>
    </row>
    <row r="124" spans="1:37">
      <c r="A124" s="1096" t="s">
        <v>1463</v>
      </c>
      <c r="B124" s="1103">
        <f>VLOOKUP(B$1,'cost per tipologia de sòl'!$A$2:$D$37,4,FALSE)*'T100'!B124</f>
        <v>0</v>
      </c>
      <c r="C124" s="1103">
        <f>VLOOKUP(C$1,'cost per tipologia de sòl'!$A$2:$D$37,4,FALSE)*'T100'!C124</f>
        <v>0</v>
      </c>
      <c r="D124" s="1103">
        <f>VLOOKUP(D$1,'cost per tipologia de sòl'!$A$2:$D$37,4,FALSE)*'T100'!D124</f>
        <v>0</v>
      </c>
      <c r="E124" s="1103">
        <f>VLOOKUP(E$1,'cost per tipologia de sòl'!$A$2:$D$37,4,FALSE)*'T100'!E124</f>
        <v>0</v>
      </c>
      <c r="F124" s="1103">
        <f>VLOOKUP(F$1,'cost per tipologia de sòl'!$A$2:$D$37,4,FALSE)*'T100'!F124</f>
        <v>0</v>
      </c>
      <c r="G124" s="1103">
        <f>VLOOKUP(G$1,'cost per tipologia de sòl'!$A$2:$D$37,4,FALSE)*'T100'!G124</f>
        <v>0</v>
      </c>
      <c r="H124" s="1103">
        <f>VLOOKUP(H$1,'cost per tipologia de sòl'!$A$2:$D$37,4,FALSE)*'T100'!H124</f>
        <v>0</v>
      </c>
      <c r="I124" s="1103">
        <f>VLOOKUP(I$1,'cost per tipologia de sòl'!$A$2:$D$37,4,FALSE)*'T100'!I124</f>
        <v>0</v>
      </c>
      <c r="J124" s="1103">
        <f>VLOOKUP(J$1,'cost per tipologia de sòl'!$A$2:$D$37,4,FALSE)*'T100'!J124</f>
        <v>0</v>
      </c>
      <c r="K124" s="1103">
        <f>VLOOKUP(K$1,'cost per tipologia de sòl'!$A$2:$D$37,4,FALSE)*'T100'!K124</f>
        <v>0</v>
      </c>
      <c r="L124" s="1103">
        <f>VLOOKUP(L$1,'cost per tipologia de sòl'!$A$2:$D$37,4,FALSE)*'T100'!L124</f>
        <v>0</v>
      </c>
      <c r="M124" s="1103">
        <f>VLOOKUP(M$1,'cost per tipologia de sòl'!$A$2:$D$37,4,FALSE)*'T100'!M124</f>
        <v>0</v>
      </c>
      <c r="N124" s="1103">
        <f>VLOOKUP(N$1,'cost per tipologia de sòl'!$A$2:$D$37,4,FALSE)*'T100'!N124</f>
        <v>0</v>
      </c>
      <c r="O124" s="1103">
        <f>VLOOKUP(O$1,'cost per tipologia de sòl'!$A$2:$D$37,4,FALSE)*'T100'!O124</f>
        <v>0</v>
      </c>
      <c r="P124" s="1103">
        <f>VLOOKUP(P$1,'cost per tipologia de sòl'!$A$2:$D$37,4,FALSE)*'T100'!P124</f>
        <v>0</v>
      </c>
      <c r="Q124" s="1103">
        <f>VLOOKUP(Q$1,'cost per tipologia de sòl'!$A$2:$D$37,4,FALSE)*'T100'!Q124</f>
        <v>0</v>
      </c>
      <c r="R124" s="1103">
        <f>VLOOKUP(R$1,'cost per tipologia de sòl'!$A$2:$D$37,4,FALSE)*'T100'!R124</f>
        <v>0</v>
      </c>
      <c r="S124" s="1103">
        <f>VLOOKUP(S$1,'cost per tipologia de sòl'!$A$2:$D$37,4,FALSE)*'T100'!S124</f>
        <v>0</v>
      </c>
      <c r="T124" s="1103">
        <f>VLOOKUP(T$1,'cost per tipologia de sòl'!$A$2:$D$37,4,FALSE)*'T100'!T124</f>
        <v>0</v>
      </c>
      <c r="U124" s="1103">
        <f>VLOOKUP(U$1,'cost per tipologia de sòl'!$A$2:$D$37,4,FALSE)*'T100'!U124</f>
        <v>212976.75</v>
      </c>
      <c r="V124" s="1103">
        <f>VLOOKUP(V$1,'cost per tipologia de sòl'!$A$2:$D$37,4,FALSE)*'T100'!V124</f>
        <v>0</v>
      </c>
      <c r="W124" s="1103">
        <f>VLOOKUP(W$1,'cost per tipologia de sòl'!$A$2:$D$37,4,FALSE)*'T100'!W124</f>
        <v>0</v>
      </c>
      <c r="X124" s="1103">
        <f>VLOOKUP(X$1,'cost per tipologia de sòl'!$A$2:$D$37,4,FALSE)*'T100'!X124</f>
        <v>0</v>
      </c>
      <c r="Y124" s="1103">
        <f>VLOOKUP(Y$1,'cost per tipologia de sòl'!$A$2:$D$37,4,FALSE)*'T100'!Y124</f>
        <v>0</v>
      </c>
      <c r="Z124" s="1103">
        <f>VLOOKUP(Z$1,'cost per tipologia de sòl'!$A$2:$D$37,4,FALSE)*'T100'!Z124</f>
        <v>0</v>
      </c>
      <c r="AA124" s="1103">
        <f>VLOOKUP(AA$1,'cost per tipologia de sòl'!$A$2:$D$37,4,FALSE)*'T100'!AA124</f>
        <v>0</v>
      </c>
      <c r="AB124" s="1103">
        <f>VLOOKUP(AB$1,'cost per tipologia de sòl'!$A$2:$D$37,4,FALSE)*'T100'!AB124</f>
        <v>4101901.45</v>
      </c>
      <c r="AC124" s="1103">
        <f>VLOOKUP(AC$1,'cost per tipologia de sòl'!$A$2:$D$37,4,FALSE)*'T100'!AC124</f>
        <v>0</v>
      </c>
      <c r="AD124" s="1103">
        <f>VLOOKUP(AD$1,'cost per tipologia de sòl'!$A$2:$D$37,4,FALSE)*'T100'!AD124</f>
        <v>264138</v>
      </c>
      <c r="AE124" s="1103">
        <f>VLOOKUP(AE$1,'cost per tipologia de sòl'!$A$2:$D$37,4,FALSE)*'T100'!AE124</f>
        <v>0</v>
      </c>
      <c r="AF124" s="1103">
        <f>VLOOKUP(AF$1,'cost per tipologia de sòl'!$A$2:$D$37,4,FALSE)*'T100'!AF124</f>
        <v>0</v>
      </c>
      <c r="AG124" s="1103">
        <f>VLOOKUP(AG$1,'cost per tipologia de sòl'!$A$2:$D$37,4,FALSE)*'T100'!AG124</f>
        <v>0</v>
      </c>
      <c r="AH124" s="1103">
        <f>VLOOKUP(AH$1,'cost per tipologia de sòl'!$A$2:$D$37,4,FALSE)*'T100'!AH124</f>
        <v>0</v>
      </c>
      <c r="AI124" s="1103">
        <f>VLOOKUP(AI$1,'cost per tipologia de sòl'!$A$2:$D$37,4,FALSE)*'T100'!AI124</f>
        <v>0</v>
      </c>
      <c r="AJ124" s="1103">
        <f t="shared" si="2"/>
        <v>4579016.2</v>
      </c>
      <c r="AK124" s="1117">
        <f t="shared" si="3"/>
        <v>1.3737048599999999</v>
      </c>
    </row>
    <row r="125" spans="1:37">
      <c r="A125" s="1096" t="s">
        <v>1028</v>
      </c>
      <c r="B125" s="1103">
        <f>VLOOKUP(B$1,'cost per tipologia de sòl'!$A$2:$D$37,4,FALSE)*'T100'!B125</f>
        <v>0</v>
      </c>
      <c r="C125" s="1103">
        <f>VLOOKUP(C$1,'cost per tipologia de sòl'!$A$2:$D$37,4,FALSE)*'T100'!C125</f>
        <v>0</v>
      </c>
      <c r="D125" s="1103">
        <f>VLOOKUP(D$1,'cost per tipologia de sòl'!$A$2:$D$37,4,FALSE)*'T100'!D125</f>
        <v>0</v>
      </c>
      <c r="E125" s="1103">
        <f>VLOOKUP(E$1,'cost per tipologia de sòl'!$A$2:$D$37,4,FALSE)*'T100'!E125</f>
        <v>0</v>
      </c>
      <c r="F125" s="1103">
        <f>VLOOKUP(F$1,'cost per tipologia de sòl'!$A$2:$D$37,4,FALSE)*'T100'!F125</f>
        <v>0</v>
      </c>
      <c r="G125" s="1103">
        <f>VLOOKUP(G$1,'cost per tipologia de sòl'!$A$2:$D$37,4,FALSE)*'T100'!G125</f>
        <v>0</v>
      </c>
      <c r="H125" s="1103">
        <f>VLOOKUP(H$1,'cost per tipologia de sòl'!$A$2:$D$37,4,FALSE)*'T100'!H125</f>
        <v>0</v>
      </c>
      <c r="I125" s="1103">
        <f>VLOOKUP(I$1,'cost per tipologia de sòl'!$A$2:$D$37,4,FALSE)*'T100'!I125</f>
        <v>0</v>
      </c>
      <c r="J125" s="1103">
        <f>VLOOKUP(J$1,'cost per tipologia de sòl'!$A$2:$D$37,4,FALSE)*'T100'!J125</f>
        <v>0</v>
      </c>
      <c r="K125" s="1103">
        <f>VLOOKUP(K$1,'cost per tipologia de sòl'!$A$2:$D$37,4,FALSE)*'T100'!K125</f>
        <v>0</v>
      </c>
      <c r="L125" s="1103">
        <f>VLOOKUP(L$1,'cost per tipologia de sòl'!$A$2:$D$37,4,FALSE)*'T100'!L125</f>
        <v>0</v>
      </c>
      <c r="M125" s="1103">
        <f>VLOOKUP(M$1,'cost per tipologia de sòl'!$A$2:$D$37,4,FALSE)*'T100'!M125</f>
        <v>0</v>
      </c>
      <c r="N125" s="1103">
        <f>VLOOKUP(N$1,'cost per tipologia de sòl'!$A$2:$D$37,4,FALSE)*'T100'!N125</f>
        <v>0</v>
      </c>
      <c r="O125" s="1103">
        <f>VLOOKUP(O$1,'cost per tipologia de sòl'!$A$2:$D$37,4,FALSE)*'T100'!O125</f>
        <v>0</v>
      </c>
      <c r="P125" s="1103">
        <f>VLOOKUP(P$1,'cost per tipologia de sòl'!$A$2:$D$37,4,FALSE)*'T100'!P125</f>
        <v>0</v>
      </c>
      <c r="Q125" s="1103">
        <f>VLOOKUP(Q$1,'cost per tipologia de sòl'!$A$2:$D$37,4,FALSE)*'T100'!Q125</f>
        <v>0</v>
      </c>
      <c r="R125" s="1103">
        <f>VLOOKUP(R$1,'cost per tipologia de sòl'!$A$2:$D$37,4,FALSE)*'T100'!R125</f>
        <v>0</v>
      </c>
      <c r="S125" s="1103">
        <f>VLOOKUP(S$1,'cost per tipologia de sòl'!$A$2:$D$37,4,FALSE)*'T100'!S125</f>
        <v>0</v>
      </c>
      <c r="T125" s="1103">
        <f>VLOOKUP(T$1,'cost per tipologia de sòl'!$A$2:$D$37,4,FALSE)*'T100'!T125</f>
        <v>0</v>
      </c>
      <c r="U125" s="1103">
        <f>VLOOKUP(U$1,'cost per tipologia de sòl'!$A$2:$D$37,4,FALSE)*'T100'!U125</f>
        <v>0</v>
      </c>
      <c r="V125" s="1103">
        <f>VLOOKUP(V$1,'cost per tipologia de sòl'!$A$2:$D$37,4,FALSE)*'T100'!V125</f>
        <v>0</v>
      </c>
      <c r="W125" s="1103">
        <f>VLOOKUP(W$1,'cost per tipologia de sòl'!$A$2:$D$37,4,FALSE)*'T100'!W125</f>
        <v>0</v>
      </c>
      <c r="X125" s="1103">
        <f>VLOOKUP(X$1,'cost per tipologia de sòl'!$A$2:$D$37,4,FALSE)*'T100'!X125</f>
        <v>0</v>
      </c>
      <c r="Y125" s="1103">
        <f>VLOOKUP(Y$1,'cost per tipologia de sòl'!$A$2:$D$37,4,FALSE)*'T100'!Y125</f>
        <v>0</v>
      </c>
      <c r="Z125" s="1103">
        <f>VLOOKUP(Z$1,'cost per tipologia de sòl'!$A$2:$D$37,4,FALSE)*'T100'!Z125</f>
        <v>0</v>
      </c>
      <c r="AA125" s="1103">
        <f>VLOOKUP(AA$1,'cost per tipologia de sòl'!$A$2:$D$37,4,FALSE)*'T100'!AA125</f>
        <v>0</v>
      </c>
      <c r="AB125" s="1103">
        <f>VLOOKUP(AB$1,'cost per tipologia de sòl'!$A$2:$D$37,4,FALSE)*'T100'!AB125</f>
        <v>0</v>
      </c>
      <c r="AC125" s="1103">
        <f>VLOOKUP(AC$1,'cost per tipologia de sòl'!$A$2:$D$37,4,FALSE)*'T100'!AC125</f>
        <v>0</v>
      </c>
      <c r="AD125" s="1103">
        <f>VLOOKUP(AD$1,'cost per tipologia de sòl'!$A$2:$D$37,4,FALSE)*'T100'!AD125</f>
        <v>2241705.5</v>
      </c>
      <c r="AE125" s="1103">
        <f>VLOOKUP(AE$1,'cost per tipologia de sòl'!$A$2:$D$37,4,FALSE)*'T100'!AE125</f>
        <v>0</v>
      </c>
      <c r="AF125" s="1103">
        <f>VLOOKUP(AF$1,'cost per tipologia de sòl'!$A$2:$D$37,4,FALSE)*'T100'!AF125</f>
        <v>0</v>
      </c>
      <c r="AG125" s="1103">
        <f>VLOOKUP(AG$1,'cost per tipologia de sòl'!$A$2:$D$37,4,FALSE)*'T100'!AG125</f>
        <v>0</v>
      </c>
      <c r="AH125" s="1103">
        <f>VLOOKUP(AH$1,'cost per tipologia de sòl'!$A$2:$D$37,4,FALSE)*'T100'!AH125</f>
        <v>0</v>
      </c>
      <c r="AI125" s="1103">
        <f>VLOOKUP(AI$1,'cost per tipologia de sòl'!$A$2:$D$37,4,FALSE)*'T100'!AI125</f>
        <v>0</v>
      </c>
      <c r="AJ125" s="1103">
        <f t="shared" si="2"/>
        <v>2241705.5</v>
      </c>
      <c r="AK125" s="1117">
        <f t="shared" si="3"/>
        <v>0.67251165000000002</v>
      </c>
    </row>
    <row r="126" spans="1:37">
      <c r="A126" s="1096" t="s">
        <v>1464</v>
      </c>
      <c r="B126" s="1103">
        <f>VLOOKUP(B$1,'cost per tipologia de sòl'!$A$2:$D$37,4,FALSE)*'T100'!B126</f>
        <v>164500246.296</v>
      </c>
      <c r="C126" s="1103">
        <f>VLOOKUP(C$1,'cost per tipologia de sòl'!$A$2:$D$37,4,FALSE)*'T100'!C126</f>
        <v>5927085.966</v>
      </c>
      <c r="D126" s="1103">
        <f>VLOOKUP(D$1,'cost per tipologia de sòl'!$A$2:$D$37,4,FALSE)*'T100'!D126</f>
        <v>5107187.7479999997</v>
      </c>
      <c r="E126" s="1103">
        <f>VLOOKUP(E$1,'cost per tipologia de sòl'!$A$2:$D$37,4,FALSE)*'T100'!E126</f>
        <v>0</v>
      </c>
      <c r="F126" s="1103">
        <f>VLOOKUP(F$1,'cost per tipologia de sòl'!$A$2:$D$37,4,FALSE)*'T100'!F126</f>
        <v>0</v>
      </c>
      <c r="G126" s="1103">
        <f>VLOOKUP(G$1,'cost per tipologia de sòl'!$A$2:$D$37,4,FALSE)*'T100'!G126</f>
        <v>0</v>
      </c>
      <c r="H126" s="1103">
        <f>VLOOKUP(H$1,'cost per tipologia de sòl'!$A$2:$D$37,4,FALSE)*'T100'!H126</f>
        <v>0</v>
      </c>
      <c r="I126" s="1103">
        <f>VLOOKUP(I$1,'cost per tipologia de sòl'!$A$2:$D$37,4,FALSE)*'T100'!I126</f>
        <v>0</v>
      </c>
      <c r="J126" s="1103">
        <f>VLOOKUP(J$1,'cost per tipologia de sòl'!$A$2:$D$37,4,FALSE)*'T100'!J126</f>
        <v>0</v>
      </c>
      <c r="K126" s="1103">
        <f>VLOOKUP(K$1,'cost per tipologia de sòl'!$A$2:$D$37,4,FALSE)*'T100'!K126</f>
        <v>2.2050000000000001</v>
      </c>
      <c r="L126" s="1103">
        <f>VLOOKUP(L$1,'cost per tipologia de sòl'!$A$2:$D$37,4,FALSE)*'T100'!L126</f>
        <v>1845927.9810000001</v>
      </c>
      <c r="M126" s="1103">
        <f>VLOOKUP(M$1,'cost per tipologia de sòl'!$A$2:$D$37,4,FALSE)*'T100'!M126</f>
        <v>6434663.3840000005</v>
      </c>
      <c r="N126" s="1103">
        <f>VLOOKUP(N$1,'cost per tipologia de sòl'!$A$2:$D$37,4,FALSE)*'T100'!N126</f>
        <v>0</v>
      </c>
      <c r="O126" s="1103">
        <f>VLOOKUP(O$1,'cost per tipologia de sòl'!$A$2:$D$37,4,FALSE)*'T100'!O126</f>
        <v>0</v>
      </c>
      <c r="P126" s="1103">
        <f>VLOOKUP(P$1,'cost per tipologia de sòl'!$A$2:$D$37,4,FALSE)*'T100'!P126</f>
        <v>0</v>
      </c>
      <c r="Q126" s="1103">
        <f>VLOOKUP(Q$1,'cost per tipologia de sòl'!$A$2:$D$37,4,FALSE)*'T100'!Q126</f>
        <v>0</v>
      </c>
      <c r="R126" s="1103">
        <f>VLOOKUP(R$1,'cost per tipologia de sòl'!$A$2:$D$37,4,FALSE)*'T100'!R126</f>
        <v>0</v>
      </c>
      <c r="S126" s="1103">
        <f>VLOOKUP(S$1,'cost per tipologia de sòl'!$A$2:$D$37,4,FALSE)*'T100'!S126</f>
        <v>24947363.952</v>
      </c>
      <c r="T126" s="1103">
        <f>VLOOKUP(T$1,'cost per tipologia de sòl'!$A$2:$D$37,4,FALSE)*'T100'!T126</f>
        <v>10528649.707999999</v>
      </c>
      <c r="U126" s="1103">
        <f>VLOOKUP(U$1,'cost per tipologia de sòl'!$A$2:$D$37,4,FALSE)*'T100'!U126</f>
        <v>0</v>
      </c>
      <c r="V126" s="1103">
        <f>VLOOKUP(V$1,'cost per tipologia de sòl'!$A$2:$D$37,4,FALSE)*'T100'!V126</f>
        <v>3235209.7039999999</v>
      </c>
      <c r="W126" s="1103">
        <f>VLOOKUP(W$1,'cost per tipologia de sòl'!$A$2:$D$37,4,FALSE)*'T100'!W126</f>
        <v>0</v>
      </c>
      <c r="X126" s="1103">
        <f>VLOOKUP(X$1,'cost per tipologia de sòl'!$A$2:$D$37,4,FALSE)*'T100'!X126</f>
        <v>0</v>
      </c>
      <c r="Y126" s="1103">
        <f>VLOOKUP(Y$1,'cost per tipologia de sòl'!$A$2:$D$37,4,FALSE)*'T100'!Y126</f>
        <v>0</v>
      </c>
      <c r="Z126" s="1103">
        <f>VLOOKUP(Z$1,'cost per tipologia de sòl'!$A$2:$D$37,4,FALSE)*'T100'!Z126</f>
        <v>30309.061999999998</v>
      </c>
      <c r="AA126" s="1103">
        <f>VLOOKUP(AA$1,'cost per tipologia de sòl'!$A$2:$D$37,4,FALSE)*'T100'!AA126</f>
        <v>0</v>
      </c>
      <c r="AB126" s="1103">
        <f>VLOOKUP(AB$1,'cost per tipologia de sòl'!$A$2:$D$37,4,FALSE)*'T100'!AB126</f>
        <v>0</v>
      </c>
      <c r="AC126" s="1103">
        <f>VLOOKUP(AC$1,'cost per tipologia de sòl'!$A$2:$D$37,4,FALSE)*'T100'!AC126</f>
        <v>39459640.800000004</v>
      </c>
      <c r="AD126" s="1103">
        <f>VLOOKUP(AD$1,'cost per tipologia de sòl'!$A$2:$D$37,4,FALSE)*'T100'!AD126</f>
        <v>22371116.799999997</v>
      </c>
      <c r="AE126" s="1103">
        <f>VLOOKUP(AE$1,'cost per tipologia de sòl'!$A$2:$D$37,4,FALSE)*'T100'!AE126</f>
        <v>0</v>
      </c>
      <c r="AF126" s="1103">
        <f>VLOOKUP(AF$1,'cost per tipologia de sòl'!$A$2:$D$37,4,FALSE)*'T100'!AF126</f>
        <v>0</v>
      </c>
      <c r="AG126" s="1103">
        <f>VLOOKUP(AG$1,'cost per tipologia de sòl'!$A$2:$D$37,4,FALSE)*'T100'!AG126</f>
        <v>0</v>
      </c>
      <c r="AH126" s="1103">
        <f>VLOOKUP(AH$1,'cost per tipologia de sòl'!$A$2:$D$37,4,FALSE)*'T100'!AH126</f>
        <v>0</v>
      </c>
      <c r="AI126" s="1103">
        <f>VLOOKUP(AI$1,'cost per tipologia de sòl'!$A$2:$D$37,4,FALSE)*'T100'!AI126</f>
        <v>0</v>
      </c>
      <c r="AJ126" s="1103">
        <f t="shared" si="2"/>
        <v>284387403.60600001</v>
      </c>
      <c r="AK126" s="1117">
        <f t="shared" si="3"/>
        <v>85.316221081800009</v>
      </c>
    </row>
    <row r="127" spans="1:37">
      <c r="A127" s="1096" t="s">
        <v>1473</v>
      </c>
      <c r="B127" s="1103">
        <f>VLOOKUP(B$1,'cost per tipologia de sòl'!$A$2:$D$37,4,FALSE)*'T100'!B127</f>
        <v>668036.59199999995</v>
      </c>
      <c r="C127" s="1103">
        <f>VLOOKUP(C$1,'cost per tipologia de sòl'!$A$2:$D$37,4,FALSE)*'T100'!C127</f>
        <v>0</v>
      </c>
      <c r="D127" s="1103">
        <f>VLOOKUP(D$1,'cost per tipologia de sòl'!$A$2:$D$37,4,FALSE)*'T100'!D127</f>
        <v>0</v>
      </c>
      <c r="E127" s="1103">
        <f>VLOOKUP(E$1,'cost per tipologia de sòl'!$A$2:$D$37,4,FALSE)*'T100'!E127</f>
        <v>0</v>
      </c>
      <c r="F127" s="1103">
        <f>VLOOKUP(F$1,'cost per tipologia de sòl'!$A$2:$D$37,4,FALSE)*'T100'!F127</f>
        <v>0</v>
      </c>
      <c r="G127" s="1103">
        <f>VLOOKUP(G$1,'cost per tipologia de sòl'!$A$2:$D$37,4,FALSE)*'T100'!G127</f>
        <v>0</v>
      </c>
      <c r="H127" s="1103">
        <f>VLOOKUP(H$1,'cost per tipologia de sòl'!$A$2:$D$37,4,FALSE)*'T100'!H127</f>
        <v>0</v>
      </c>
      <c r="I127" s="1103">
        <f>VLOOKUP(I$1,'cost per tipologia de sòl'!$A$2:$D$37,4,FALSE)*'T100'!I127</f>
        <v>0</v>
      </c>
      <c r="J127" s="1103">
        <f>VLOOKUP(J$1,'cost per tipologia de sòl'!$A$2:$D$37,4,FALSE)*'T100'!J127</f>
        <v>142519.56399999998</v>
      </c>
      <c r="K127" s="1103">
        <f>VLOOKUP(K$1,'cost per tipologia de sòl'!$A$2:$D$37,4,FALSE)*'T100'!K127</f>
        <v>0</v>
      </c>
      <c r="L127" s="1103">
        <f>VLOOKUP(L$1,'cost per tipologia de sòl'!$A$2:$D$37,4,FALSE)*'T100'!L127</f>
        <v>0</v>
      </c>
      <c r="M127" s="1103">
        <f>VLOOKUP(M$1,'cost per tipologia de sòl'!$A$2:$D$37,4,FALSE)*'T100'!M127</f>
        <v>0</v>
      </c>
      <c r="N127" s="1103">
        <f>VLOOKUP(N$1,'cost per tipologia de sòl'!$A$2:$D$37,4,FALSE)*'T100'!N127</f>
        <v>0</v>
      </c>
      <c r="O127" s="1103">
        <f>VLOOKUP(O$1,'cost per tipologia de sòl'!$A$2:$D$37,4,FALSE)*'T100'!O127</f>
        <v>0</v>
      </c>
      <c r="P127" s="1103">
        <f>VLOOKUP(P$1,'cost per tipologia de sòl'!$A$2:$D$37,4,FALSE)*'T100'!P127</f>
        <v>0</v>
      </c>
      <c r="Q127" s="1103">
        <f>VLOOKUP(Q$1,'cost per tipologia de sòl'!$A$2:$D$37,4,FALSE)*'T100'!Q127</f>
        <v>0</v>
      </c>
      <c r="R127" s="1103">
        <f>VLOOKUP(R$1,'cost per tipologia de sòl'!$A$2:$D$37,4,FALSE)*'T100'!R127</f>
        <v>0</v>
      </c>
      <c r="S127" s="1103">
        <f>VLOOKUP(S$1,'cost per tipologia de sòl'!$A$2:$D$37,4,FALSE)*'T100'!S127</f>
        <v>0</v>
      </c>
      <c r="T127" s="1103">
        <f>VLOOKUP(T$1,'cost per tipologia de sòl'!$A$2:$D$37,4,FALSE)*'T100'!T127</f>
        <v>762485.75300000003</v>
      </c>
      <c r="U127" s="1103">
        <f>VLOOKUP(U$1,'cost per tipologia de sòl'!$A$2:$D$37,4,FALSE)*'T100'!U127</f>
        <v>0</v>
      </c>
      <c r="V127" s="1103">
        <f>VLOOKUP(V$1,'cost per tipologia de sòl'!$A$2:$D$37,4,FALSE)*'T100'!V127</f>
        <v>0</v>
      </c>
      <c r="W127" s="1103">
        <f>VLOOKUP(W$1,'cost per tipologia de sòl'!$A$2:$D$37,4,FALSE)*'T100'!W127</f>
        <v>0</v>
      </c>
      <c r="X127" s="1103">
        <f>VLOOKUP(X$1,'cost per tipologia de sòl'!$A$2:$D$37,4,FALSE)*'T100'!X127</f>
        <v>0</v>
      </c>
      <c r="Y127" s="1103">
        <f>VLOOKUP(Y$1,'cost per tipologia de sòl'!$A$2:$D$37,4,FALSE)*'T100'!Y127</f>
        <v>0</v>
      </c>
      <c r="Z127" s="1103">
        <f>VLOOKUP(Z$1,'cost per tipologia de sòl'!$A$2:$D$37,4,FALSE)*'T100'!Z127</f>
        <v>4095907.9040000001</v>
      </c>
      <c r="AA127" s="1103">
        <f>VLOOKUP(AA$1,'cost per tipologia de sòl'!$A$2:$D$37,4,FALSE)*'T100'!AA127</f>
        <v>0</v>
      </c>
      <c r="AB127" s="1103">
        <f>VLOOKUP(AB$1,'cost per tipologia de sòl'!$A$2:$D$37,4,FALSE)*'T100'!AB127</f>
        <v>0</v>
      </c>
      <c r="AC127" s="1103">
        <f>VLOOKUP(AC$1,'cost per tipologia de sòl'!$A$2:$D$37,4,FALSE)*'T100'!AC127</f>
        <v>329391.59999999998</v>
      </c>
      <c r="AD127" s="1103">
        <f>VLOOKUP(AD$1,'cost per tipologia de sòl'!$A$2:$D$37,4,FALSE)*'T100'!AD127</f>
        <v>1223295.0499999998</v>
      </c>
      <c r="AE127" s="1103">
        <f>VLOOKUP(AE$1,'cost per tipologia de sòl'!$A$2:$D$37,4,FALSE)*'T100'!AE127</f>
        <v>0</v>
      </c>
      <c r="AF127" s="1103">
        <f>VLOOKUP(AF$1,'cost per tipologia de sòl'!$A$2:$D$37,4,FALSE)*'T100'!AF127</f>
        <v>0</v>
      </c>
      <c r="AG127" s="1103">
        <f>VLOOKUP(AG$1,'cost per tipologia de sòl'!$A$2:$D$37,4,FALSE)*'T100'!AG127</f>
        <v>0</v>
      </c>
      <c r="AH127" s="1103">
        <f>VLOOKUP(AH$1,'cost per tipologia de sòl'!$A$2:$D$37,4,FALSE)*'T100'!AH127</f>
        <v>0</v>
      </c>
      <c r="AI127" s="1103">
        <f>VLOOKUP(AI$1,'cost per tipologia de sòl'!$A$2:$D$37,4,FALSE)*'T100'!AI127</f>
        <v>0</v>
      </c>
      <c r="AJ127" s="1103">
        <f t="shared" si="2"/>
        <v>7221636.4629999995</v>
      </c>
      <c r="AK127" s="1117">
        <f t="shared" si="3"/>
        <v>2.1664909389</v>
      </c>
    </row>
    <row r="128" spans="1:37">
      <c r="A128" s="1096" t="s">
        <v>1482</v>
      </c>
      <c r="B128" s="1103">
        <f>VLOOKUP(B$1,'cost per tipologia de sòl'!$A$2:$D$37,4,FALSE)*'T100'!B128</f>
        <v>32476756.787999999</v>
      </c>
      <c r="C128" s="1103">
        <f>VLOOKUP(C$1,'cost per tipologia de sòl'!$A$2:$D$37,4,FALSE)*'T100'!C128</f>
        <v>4430432.8079999993</v>
      </c>
      <c r="D128" s="1103">
        <f>VLOOKUP(D$1,'cost per tipologia de sòl'!$A$2:$D$37,4,FALSE)*'T100'!D128</f>
        <v>0</v>
      </c>
      <c r="E128" s="1103">
        <f>VLOOKUP(E$1,'cost per tipologia de sòl'!$A$2:$D$37,4,FALSE)*'T100'!E128</f>
        <v>0</v>
      </c>
      <c r="F128" s="1103">
        <f>VLOOKUP(F$1,'cost per tipologia de sòl'!$A$2:$D$37,4,FALSE)*'T100'!F128</f>
        <v>0</v>
      </c>
      <c r="G128" s="1103">
        <f>VLOOKUP(G$1,'cost per tipologia de sòl'!$A$2:$D$37,4,FALSE)*'T100'!G128</f>
        <v>0</v>
      </c>
      <c r="H128" s="1103">
        <f>VLOOKUP(H$1,'cost per tipologia de sòl'!$A$2:$D$37,4,FALSE)*'T100'!H128</f>
        <v>0</v>
      </c>
      <c r="I128" s="1103">
        <f>VLOOKUP(I$1,'cost per tipologia de sòl'!$A$2:$D$37,4,FALSE)*'T100'!I128</f>
        <v>0</v>
      </c>
      <c r="J128" s="1103">
        <f>VLOOKUP(J$1,'cost per tipologia de sòl'!$A$2:$D$37,4,FALSE)*'T100'!J128</f>
        <v>4784.8404999999993</v>
      </c>
      <c r="K128" s="1103">
        <f>VLOOKUP(K$1,'cost per tipologia de sòl'!$A$2:$D$37,4,FALSE)*'T100'!K128</f>
        <v>0</v>
      </c>
      <c r="L128" s="1103">
        <f>VLOOKUP(L$1,'cost per tipologia de sòl'!$A$2:$D$37,4,FALSE)*'T100'!L128</f>
        <v>0</v>
      </c>
      <c r="M128" s="1103">
        <f>VLOOKUP(M$1,'cost per tipologia de sòl'!$A$2:$D$37,4,FALSE)*'T100'!M128</f>
        <v>745276.91200000001</v>
      </c>
      <c r="N128" s="1103">
        <f>VLOOKUP(N$1,'cost per tipologia de sòl'!$A$2:$D$37,4,FALSE)*'T100'!N128</f>
        <v>629984.38399999996</v>
      </c>
      <c r="O128" s="1103">
        <f>VLOOKUP(O$1,'cost per tipologia de sòl'!$A$2:$D$37,4,FALSE)*'T100'!O128</f>
        <v>7564711.1120000007</v>
      </c>
      <c r="P128" s="1103">
        <f>VLOOKUP(P$1,'cost per tipologia de sòl'!$A$2:$D$37,4,FALSE)*'T100'!P128</f>
        <v>316150.48800000001</v>
      </c>
      <c r="Q128" s="1103">
        <f>VLOOKUP(Q$1,'cost per tipologia de sòl'!$A$2:$D$37,4,FALSE)*'T100'!Q128</f>
        <v>0</v>
      </c>
      <c r="R128" s="1103">
        <f>VLOOKUP(R$1,'cost per tipologia de sòl'!$A$2:$D$37,4,FALSE)*'T100'!R128</f>
        <v>0</v>
      </c>
      <c r="S128" s="1103">
        <f>VLOOKUP(S$1,'cost per tipologia de sòl'!$A$2:$D$37,4,FALSE)*'T100'!S128</f>
        <v>52929371.376000002</v>
      </c>
      <c r="T128" s="1103">
        <f>VLOOKUP(T$1,'cost per tipologia de sòl'!$A$2:$D$37,4,FALSE)*'T100'!T128</f>
        <v>16120913.98</v>
      </c>
      <c r="U128" s="1103">
        <f>VLOOKUP(U$1,'cost per tipologia de sòl'!$A$2:$D$37,4,FALSE)*'T100'!U128</f>
        <v>0</v>
      </c>
      <c r="V128" s="1103">
        <f>VLOOKUP(V$1,'cost per tipologia de sòl'!$A$2:$D$37,4,FALSE)*'T100'!V128</f>
        <v>0</v>
      </c>
      <c r="W128" s="1103">
        <f>VLOOKUP(W$1,'cost per tipologia de sòl'!$A$2:$D$37,4,FALSE)*'T100'!W128</f>
        <v>0</v>
      </c>
      <c r="X128" s="1103">
        <f>VLOOKUP(X$1,'cost per tipologia de sòl'!$A$2:$D$37,4,FALSE)*'T100'!X128</f>
        <v>0</v>
      </c>
      <c r="Y128" s="1103">
        <f>VLOOKUP(Y$1,'cost per tipologia de sòl'!$A$2:$D$37,4,FALSE)*'T100'!Y128</f>
        <v>0</v>
      </c>
      <c r="Z128" s="1103">
        <f>VLOOKUP(Z$1,'cost per tipologia de sòl'!$A$2:$D$37,4,FALSE)*'T100'!Z128</f>
        <v>624434.35200000007</v>
      </c>
      <c r="AA128" s="1103">
        <f>VLOOKUP(AA$1,'cost per tipologia de sòl'!$A$2:$D$37,4,FALSE)*'T100'!AA128</f>
        <v>0</v>
      </c>
      <c r="AB128" s="1103">
        <f>VLOOKUP(AB$1,'cost per tipologia de sòl'!$A$2:$D$37,4,FALSE)*'T100'!AB128</f>
        <v>5348328.0500000007</v>
      </c>
      <c r="AC128" s="1103">
        <f>VLOOKUP(AC$1,'cost per tipologia de sòl'!$A$2:$D$37,4,FALSE)*'T100'!AC128</f>
        <v>11486799.6</v>
      </c>
      <c r="AD128" s="1103">
        <f>VLOOKUP(AD$1,'cost per tipologia de sòl'!$A$2:$D$37,4,FALSE)*'T100'!AD128</f>
        <v>23925640.75</v>
      </c>
      <c r="AE128" s="1103">
        <f>VLOOKUP(AE$1,'cost per tipologia de sòl'!$A$2:$D$37,4,FALSE)*'T100'!AE128</f>
        <v>0</v>
      </c>
      <c r="AF128" s="1103">
        <f>VLOOKUP(AF$1,'cost per tipologia de sòl'!$A$2:$D$37,4,FALSE)*'T100'!AF128</f>
        <v>0</v>
      </c>
      <c r="AG128" s="1103">
        <f>VLOOKUP(AG$1,'cost per tipologia de sòl'!$A$2:$D$37,4,FALSE)*'T100'!AG128</f>
        <v>0</v>
      </c>
      <c r="AH128" s="1103">
        <f>VLOOKUP(AH$1,'cost per tipologia de sòl'!$A$2:$D$37,4,FALSE)*'T100'!AH128</f>
        <v>0</v>
      </c>
      <c r="AI128" s="1103">
        <f>VLOOKUP(AI$1,'cost per tipologia de sòl'!$A$2:$D$37,4,FALSE)*'T100'!AI128</f>
        <v>0</v>
      </c>
      <c r="AJ128" s="1103">
        <f t="shared" si="2"/>
        <v>156603585.44049999</v>
      </c>
      <c r="AK128" s="1117">
        <f t="shared" si="3"/>
        <v>46.981075632150002</v>
      </c>
    </row>
    <row r="129" spans="1:37">
      <c r="A129" s="1096" t="s">
        <v>1481</v>
      </c>
      <c r="B129" s="1103">
        <f>VLOOKUP(B$1,'cost per tipologia de sòl'!$A$2:$D$37,4,FALSE)*'T100'!B129</f>
        <v>0</v>
      </c>
      <c r="C129" s="1103">
        <f>VLOOKUP(C$1,'cost per tipologia de sòl'!$A$2:$D$37,4,FALSE)*'T100'!C129</f>
        <v>0</v>
      </c>
      <c r="D129" s="1103">
        <f>VLOOKUP(D$1,'cost per tipologia de sòl'!$A$2:$D$37,4,FALSE)*'T100'!D129</f>
        <v>0</v>
      </c>
      <c r="E129" s="1103">
        <f>VLOOKUP(E$1,'cost per tipologia de sòl'!$A$2:$D$37,4,FALSE)*'T100'!E129</f>
        <v>0</v>
      </c>
      <c r="F129" s="1103">
        <f>VLOOKUP(F$1,'cost per tipologia de sòl'!$A$2:$D$37,4,FALSE)*'T100'!F129</f>
        <v>0</v>
      </c>
      <c r="G129" s="1103">
        <f>VLOOKUP(G$1,'cost per tipologia de sòl'!$A$2:$D$37,4,FALSE)*'T100'!G129</f>
        <v>0</v>
      </c>
      <c r="H129" s="1103">
        <f>VLOOKUP(H$1,'cost per tipologia de sòl'!$A$2:$D$37,4,FALSE)*'T100'!H129</f>
        <v>0</v>
      </c>
      <c r="I129" s="1103">
        <f>VLOOKUP(I$1,'cost per tipologia de sòl'!$A$2:$D$37,4,FALSE)*'T100'!I129</f>
        <v>0</v>
      </c>
      <c r="J129" s="1103">
        <f>VLOOKUP(J$1,'cost per tipologia de sòl'!$A$2:$D$37,4,FALSE)*'T100'!J129</f>
        <v>0</v>
      </c>
      <c r="K129" s="1103">
        <f>VLOOKUP(K$1,'cost per tipologia de sòl'!$A$2:$D$37,4,FALSE)*'T100'!K129</f>
        <v>0</v>
      </c>
      <c r="L129" s="1103">
        <f>VLOOKUP(L$1,'cost per tipologia de sòl'!$A$2:$D$37,4,FALSE)*'T100'!L129</f>
        <v>0</v>
      </c>
      <c r="M129" s="1103">
        <f>VLOOKUP(M$1,'cost per tipologia de sòl'!$A$2:$D$37,4,FALSE)*'T100'!M129</f>
        <v>0</v>
      </c>
      <c r="N129" s="1103">
        <f>VLOOKUP(N$1,'cost per tipologia de sòl'!$A$2:$D$37,4,FALSE)*'T100'!N129</f>
        <v>0</v>
      </c>
      <c r="O129" s="1103">
        <f>VLOOKUP(O$1,'cost per tipologia de sòl'!$A$2:$D$37,4,FALSE)*'T100'!O129</f>
        <v>0</v>
      </c>
      <c r="P129" s="1103">
        <f>VLOOKUP(P$1,'cost per tipologia de sòl'!$A$2:$D$37,4,FALSE)*'T100'!P129</f>
        <v>0</v>
      </c>
      <c r="Q129" s="1103">
        <f>VLOOKUP(Q$1,'cost per tipologia de sòl'!$A$2:$D$37,4,FALSE)*'T100'!Q129</f>
        <v>0</v>
      </c>
      <c r="R129" s="1103">
        <f>VLOOKUP(R$1,'cost per tipologia de sòl'!$A$2:$D$37,4,FALSE)*'T100'!R129</f>
        <v>0</v>
      </c>
      <c r="S129" s="1103">
        <f>VLOOKUP(S$1,'cost per tipologia de sòl'!$A$2:$D$37,4,FALSE)*'T100'!S129</f>
        <v>0</v>
      </c>
      <c r="T129" s="1103">
        <f>VLOOKUP(T$1,'cost per tipologia de sòl'!$A$2:$D$37,4,FALSE)*'T100'!T129</f>
        <v>9573589.6860000007</v>
      </c>
      <c r="U129" s="1103">
        <f>VLOOKUP(U$1,'cost per tipologia de sòl'!$A$2:$D$37,4,FALSE)*'T100'!U129</f>
        <v>11635411.199999999</v>
      </c>
      <c r="V129" s="1103">
        <f>VLOOKUP(V$1,'cost per tipologia de sòl'!$A$2:$D$37,4,FALSE)*'T100'!V129</f>
        <v>0</v>
      </c>
      <c r="W129" s="1103">
        <f>VLOOKUP(W$1,'cost per tipologia de sòl'!$A$2:$D$37,4,FALSE)*'T100'!W129</f>
        <v>0</v>
      </c>
      <c r="X129" s="1103">
        <f>VLOOKUP(X$1,'cost per tipologia de sòl'!$A$2:$D$37,4,FALSE)*'T100'!X129</f>
        <v>0</v>
      </c>
      <c r="Y129" s="1103">
        <f>VLOOKUP(Y$1,'cost per tipologia de sòl'!$A$2:$D$37,4,FALSE)*'T100'!Y129</f>
        <v>0</v>
      </c>
      <c r="Z129" s="1103">
        <f>VLOOKUP(Z$1,'cost per tipologia de sòl'!$A$2:$D$37,4,FALSE)*'T100'!Z129</f>
        <v>86242.797999999995</v>
      </c>
      <c r="AA129" s="1103">
        <f>VLOOKUP(AA$1,'cost per tipologia de sòl'!$A$2:$D$37,4,FALSE)*'T100'!AA129</f>
        <v>0</v>
      </c>
      <c r="AB129" s="1103">
        <f>VLOOKUP(AB$1,'cost per tipologia de sòl'!$A$2:$D$37,4,FALSE)*'T100'!AB129</f>
        <v>8218927.8500000006</v>
      </c>
      <c r="AC129" s="1103">
        <f>VLOOKUP(AC$1,'cost per tipologia de sòl'!$A$2:$D$37,4,FALSE)*'T100'!AC129</f>
        <v>0</v>
      </c>
      <c r="AD129" s="1103">
        <f>VLOOKUP(AD$1,'cost per tipologia de sòl'!$A$2:$D$37,4,FALSE)*'T100'!AD129</f>
        <v>40451580.450000003</v>
      </c>
      <c r="AE129" s="1103">
        <f>VLOOKUP(AE$1,'cost per tipologia de sòl'!$A$2:$D$37,4,FALSE)*'T100'!AE129</f>
        <v>0</v>
      </c>
      <c r="AF129" s="1103">
        <f>VLOOKUP(AF$1,'cost per tipologia de sòl'!$A$2:$D$37,4,FALSE)*'T100'!AF129</f>
        <v>0</v>
      </c>
      <c r="AG129" s="1103">
        <f>VLOOKUP(AG$1,'cost per tipologia de sòl'!$A$2:$D$37,4,FALSE)*'T100'!AG129</f>
        <v>0</v>
      </c>
      <c r="AH129" s="1103">
        <f>VLOOKUP(AH$1,'cost per tipologia de sòl'!$A$2:$D$37,4,FALSE)*'T100'!AH129</f>
        <v>0</v>
      </c>
      <c r="AI129" s="1103">
        <f>VLOOKUP(AI$1,'cost per tipologia de sòl'!$A$2:$D$37,4,FALSE)*'T100'!AI129</f>
        <v>0</v>
      </c>
      <c r="AJ129" s="1103">
        <f t="shared" si="2"/>
        <v>69965751.983999997</v>
      </c>
      <c r="AK129" s="1117">
        <f t="shared" si="3"/>
        <v>20.989725595199999</v>
      </c>
    </row>
    <row r="130" spans="1:37">
      <c r="A130" s="1096" t="s">
        <v>1746</v>
      </c>
      <c r="B130" s="1103">
        <f>VLOOKUP(B$1,'cost per tipologia de sòl'!$A$2:$D$37,4,FALSE)*'T100'!B130</f>
        <v>0</v>
      </c>
      <c r="C130" s="1103">
        <f>VLOOKUP(C$1,'cost per tipologia de sòl'!$A$2:$D$37,4,FALSE)*'T100'!C130</f>
        <v>0</v>
      </c>
      <c r="D130" s="1103">
        <f>VLOOKUP(D$1,'cost per tipologia de sòl'!$A$2:$D$37,4,FALSE)*'T100'!D130</f>
        <v>132668.56200000001</v>
      </c>
      <c r="E130" s="1103">
        <f>VLOOKUP(E$1,'cost per tipologia de sòl'!$A$2:$D$37,4,FALSE)*'T100'!E130</f>
        <v>0</v>
      </c>
      <c r="F130" s="1103">
        <f>VLOOKUP(F$1,'cost per tipologia de sòl'!$A$2:$D$37,4,FALSE)*'T100'!F130</f>
        <v>0</v>
      </c>
      <c r="G130" s="1103">
        <f>VLOOKUP(G$1,'cost per tipologia de sòl'!$A$2:$D$37,4,FALSE)*'T100'!G130</f>
        <v>0</v>
      </c>
      <c r="H130" s="1103">
        <f>VLOOKUP(H$1,'cost per tipologia de sòl'!$A$2:$D$37,4,FALSE)*'T100'!H130</f>
        <v>0</v>
      </c>
      <c r="I130" s="1103">
        <f>VLOOKUP(I$1,'cost per tipologia de sòl'!$A$2:$D$37,4,FALSE)*'T100'!I130</f>
        <v>0</v>
      </c>
      <c r="J130" s="1103">
        <f>VLOOKUP(J$1,'cost per tipologia de sòl'!$A$2:$D$37,4,FALSE)*'T100'!J130</f>
        <v>43665.352500000001</v>
      </c>
      <c r="K130" s="1103">
        <f>VLOOKUP(K$1,'cost per tipologia de sòl'!$A$2:$D$37,4,FALSE)*'T100'!K130</f>
        <v>0</v>
      </c>
      <c r="L130" s="1103">
        <f>VLOOKUP(L$1,'cost per tipologia de sòl'!$A$2:$D$37,4,FALSE)*'T100'!L130</f>
        <v>184373.27100000001</v>
      </c>
      <c r="M130" s="1103">
        <f>VLOOKUP(M$1,'cost per tipologia de sòl'!$A$2:$D$37,4,FALSE)*'T100'!M130</f>
        <v>238808.90400000001</v>
      </c>
      <c r="N130" s="1103">
        <f>VLOOKUP(N$1,'cost per tipologia de sòl'!$A$2:$D$37,4,FALSE)*'T100'!N130</f>
        <v>0</v>
      </c>
      <c r="O130" s="1103">
        <f>VLOOKUP(O$1,'cost per tipologia de sòl'!$A$2:$D$37,4,FALSE)*'T100'!O130</f>
        <v>0</v>
      </c>
      <c r="P130" s="1103">
        <f>VLOOKUP(P$1,'cost per tipologia de sòl'!$A$2:$D$37,4,FALSE)*'T100'!P130</f>
        <v>0</v>
      </c>
      <c r="Q130" s="1103">
        <f>VLOOKUP(Q$1,'cost per tipologia de sòl'!$A$2:$D$37,4,FALSE)*'T100'!Q130</f>
        <v>0</v>
      </c>
      <c r="R130" s="1103">
        <f>VLOOKUP(R$1,'cost per tipologia de sòl'!$A$2:$D$37,4,FALSE)*'T100'!R130</f>
        <v>0</v>
      </c>
      <c r="S130" s="1103">
        <f>VLOOKUP(S$1,'cost per tipologia de sòl'!$A$2:$D$37,4,FALSE)*'T100'!S130</f>
        <v>0</v>
      </c>
      <c r="T130" s="1103">
        <f>VLOOKUP(T$1,'cost per tipologia de sòl'!$A$2:$D$37,4,FALSE)*'T100'!T130</f>
        <v>39154.682000000001</v>
      </c>
      <c r="U130" s="1103">
        <f>VLOOKUP(U$1,'cost per tipologia de sòl'!$A$2:$D$37,4,FALSE)*'T100'!U130</f>
        <v>0</v>
      </c>
      <c r="V130" s="1103">
        <f>VLOOKUP(V$1,'cost per tipologia de sòl'!$A$2:$D$37,4,FALSE)*'T100'!V130</f>
        <v>0</v>
      </c>
      <c r="W130" s="1103">
        <f>VLOOKUP(W$1,'cost per tipologia de sòl'!$A$2:$D$37,4,FALSE)*'T100'!W130</f>
        <v>0</v>
      </c>
      <c r="X130" s="1103">
        <f>VLOOKUP(X$1,'cost per tipologia de sòl'!$A$2:$D$37,4,FALSE)*'T100'!X130</f>
        <v>0</v>
      </c>
      <c r="Y130" s="1103">
        <f>VLOOKUP(Y$1,'cost per tipologia de sòl'!$A$2:$D$37,4,FALSE)*'T100'!Y130</f>
        <v>0</v>
      </c>
      <c r="Z130" s="1103">
        <f>VLOOKUP(Z$1,'cost per tipologia de sòl'!$A$2:$D$37,4,FALSE)*'T100'!Z130</f>
        <v>0</v>
      </c>
      <c r="AA130" s="1103">
        <f>VLOOKUP(AA$1,'cost per tipologia de sòl'!$A$2:$D$37,4,FALSE)*'T100'!AA130</f>
        <v>0</v>
      </c>
      <c r="AB130" s="1103">
        <f>VLOOKUP(AB$1,'cost per tipologia de sòl'!$A$2:$D$37,4,FALSE)*'T100'!AB130</f>
        <v>0</v>
      </c>
      <c r="AC130" s="1103">
        <f>VLOOKUP(AC$1,'cost per tipologia de sòl'!$A$2:$D$37,4,FALSE)*'T100'!AC130</f>
        <v>411559.95</v>
      </c>
      <c r="AD130" s="1103">
        <f>VLOOKUP(AD$1,'cost per tipologia de sòl'!$A$2:$D$37,4,FALSE)*'T100'!AD130</f>
        <v>3121254.4499999997</v>
      </c>
      <c r="AE130" s="1103">
        <f>VLOOKUP(AE$1,'cost per tipologia de sòl'!$A$2:$D$37,4,FALSE)*'T100'!AE130</f>
        <v>0</v>
      </c>
      <c r="AF130" s="1103">
        <f>VLOOKUP(AF$1,'cost per tipologia de sòl'!$A$2:$D$37,4,FALSE)*'T100'!AF130</f>
        <v>0</v>
      </c>
      <c r="AG130" s="1103">
        <f>VLOOKUP(AG$1,'cost per tipologia de sòl'!$A$2:$D$37,4,FALSE)*'T100'!AG130</f>
        <v>0</v>
      </c>
      <c r="AH130" s="1103">
        <f>VLOOKUP(AH$1,'cost per tipologia de sòl'!$A$2:$D$37,4,FALSE)*'T100'!AH130</f>
        <v>0</v>
      </c>
      <c r="AI130" s="1103">
        <f>VLOOKUP(AI$1,'cost per tipologia de sòl'!$A$2:$D$37,4,FALSE)*'T100'!AI130</f>
        <v>0</v>
      </c>
      <c r="AJ130" s="1103">
        <f t="shared" si="2"/>
        <v>4171485.1714999997</v>
      </c>
      <c r="AK130" s="1117">
        <f t="shared" si="3"/>
        <v>1.25144555145</v>
      </c>
    </row>
    <row r="131" spans="1:37">
      <c r="A131" s="1096" t="s">
        <v>1496</v>
      </c>
      <c r="B131" s="1103">
        <f>VLOOKUP(B$1,'cost per tipologia de sòl'!$A$2:$D$37,4,FALSE)*'T100'!B131</f>
        <v>20835689.130000003</v>
      </c>
      <c r="C131" s="1103">
        <f>VLOOKUP(C$1,'cost per tipologia de sòl'!$A$2:$D$37,4,FALSE)*'T100'!C131</f>
        <v>0</v>
      </c>
      <c r="D131" s="1103">
        <f>VLOOKUP(D$1,'cost per tipologia de sòl'!$A$2:$D$37,4,FALSE)*'T100'!D131</f>
        <v>224623.36199999999</v>
      </c>
      <c r="E131" s="1103">
        <f>VLOOKUP(E$1,'cost per tipologia de sòl'!$A$2:$D$37,4,FALSE)*'T100'!E131</f>
        <v>0</v>
      </c>
      <c r="F131" s="1103">
        <f>VLOOKUP(F$1,'cost per tipologia de sòl'!$A$2:$D$37,4,FALSE)*'T100'!F131</f>
        <v>0</v>
      </c>
      <c r="G131" s="1103">
        <f>VLOOKUP(G$1,'cost per tipologia de sòl'!$A$2:$D$37,4,FALSE)*'T100'!G131</f>
        <v>0</v>
      </c>
      <c r="H131" s="1103">
        <f>VLOOKUP(H$1,'cost per tipologia de sòl'!$A$2:$D$37,4,FALSE)*'T100'!H131</f>
        <v>0</v>
      </c>
      <c r="I131" s="1103">
        <f>VLOOKUP(I$1,'cost per tipologia de sòl'!$A$2:$D$37,4,FALSE)*'T100'!I131</f>
        <v>0</v>
      </c>
      <c r="J131" s="1103">
        <f>VLOOKUP(J$1,'cost per tipologia de sòl'!$A$2:$D$37,4,FALSE)*'T100'!J131</f>
        <v>3901.6064999999999</v>
      </c>
      <c r="K131" s="1103">
        <f>VLOOKUP(K$1,'cost per tipologia de sòl'!$A$2:$D$37,4,FALSE)*'T100'!K131</f>
        <v>0</v>
      </c>
      <c r="L131" s="1103">
        <f>VLOOKUP(L$1,'cost per tipologia de sòl'!$A$2:$D$37,4,FALSE)*'T100'!L131</f>
        <v>0</v>
      </c>
      <c r="M131" s="1103">
        <f>VLOOKUP(M$1,'cost per tipologia de sòl'!$A$2:$D$37,4,FALSE)*'T100'!M131</f>
        <v>536036.98399999994</v>
      </c>
      <c r="N131" s="1103">
        <f>VLOOKUP(N$1,'cost per tipologia de sòl'!$A$2:$D$37,4,FALSE)*'T100'!N131</f>
        <v>0</v>
      </c>
      <c r="O131" s="1103">
        <f>VLOOKUP(O$1,'cost per tipologia de sòl'!$A$2:$D$37,4,FALSE)*'T100'!O131</f>
        <v>0</v>
      </c>
      <c r="P131" s="1103">
        <f>VLOOKUP(P$1,'cost per tipologia de sòl'!$A$2:$D$37,4,FALSE)*'T100'!P131</f>
        <v>2425252.6</v>
      </c>
      <c r="Q131" s="1103">
        <f>VLOOKUP(Q$1,'cost per tipologia de sòl'!$A$2:$D$37,4,FALSE)*'T100'!Q131</f>
        <v>0</v>
      </c>
      <c r="R131" s="1103">
        <f>VLOOKUP(R$1,'cost per tipologia de sòl'!$A$2:$D$37,4,FALSE)*'T100'!R131</f>
        <v>0</v>
      </c>
      <c r="S131" s="1103">
        <f>VLOOKUP(S$1,'cost per tipologia de sòl'!$A$2:$D$37,4,FALSE)*'T100'!S131</f>
        <v>0</v>
      </c>
      <c r="T131" s="1103">
        <f>VLOOKUP(T$1,'cost per tipologia de sòl'!$A$2:$D$37,4,FALSE)*'T100'!T131</f>
        <v>386103.25900000002</v>
      </c>
      <c r="U131" s="1103">
        <f>VLOOKUP(U$1,'cost per tipologia de sòl'!$A$2:$D$37,4,FALSE)*'T100'!U131</f>
        <v>0</v>
      </c>
      <c r="V131" s="1103">
        <f>VLOOKUP(V$1,'cost per tipologia de sòl'!$A$2:$D$37,4,FALSE)*'T100'!V131</f>
        <v>0</v>
      </c>
      <c r="W131" s="1103">
        <f>VLOOKUP(W$1,'cost per tipologia de sòl'!$A$2:$D$37,4,FALSE)*'T100'!W131</f>
        <v>0</v>
      </c>
      <c r="X131" s="1103">
        <f>VLOOKUP(X$1,'cost per tipologia de sòl'!$A$2:$D$37,4,FALSE)*'T100'!X131</f>
        <v>0</v>
      </c>
      <c r="Y131" s="1103">
        <f>VLOOKUP(Y$1,'cost per tipologia de sòl'!$A$2:$D$37,4,FALSE)*'T100'!Y131</f>
        <v>0</v>
      </c>
      <c r="Z131" s="1103">
        <f>VLOOKUP(Z$1,'cost per tipologia de sòl'!$A$2:$D$37,4,FALSE)*'T100'!Z131</f>
        <v>31084.165999999997</v>
      </c>
      <c r="AA131" s="1103">
        <f>VLOOKUP(AA$1,'cost per tipologia de sòl'!$A$2:$D$37,4,FALSE)*'T100'!AA131</f>
        <v>0</v>
      </c>
      <c r="AB131" s="1103">
        <f>VLOOKUP(AB$1,'cost per tipologia de sòl'!$A$2:$D$37,4,FALSE)*'T100'!AB131</f>
        <v>19395.2</v>
      </c>
      <c r="AC131" s="1103">
        <f>VLOOKUP(AC$1,'cost per tipologia de sòl'!$A$2:$D$37,4,FALSE)*'T100'!AC131</f>
        <v>4637988.3500000006</v>
      </c>
      <c r="AD131" s="1103">
        <f>VLOOKUP(AD$1,'cost per tipologia de sòl'!$A$2:$D$37,4,FALSE)*'T100'!AD131</f>
        <v>820123.6</v>
      </c>
      <c r="AE131" s="1103">
        <f>VLOOKUP(AE$1,'cost per tipologia de sòl'!$A$2:$D$37,4,FALSE)*'T100'!AE131</f>
        <v>0</v>
      </c>
      <c r="AF131" s="1103">
        <f>VLOOKUP(AF$1,'cost per tipologia de sòl'!$A$2:$D$37,4,FALSE)*'T100'!AF131</f>
        <v>0</v>
      </c>
      <c r="AG131" s="1103">
        <f>VLOOKUP(AG$1,'cost per tipologia de sòl'!$A$2:$D$37,4,FALSE)*'T100'!AG131</f>
        <v>0</v>
      </c>
      <c r="AH131" s="1103">
        <f>VLOOKUP(AH$1,'cost per tipologia de sòl'!$A$2:$D$37,4,FALSE)*'T100'!AH131</f>
        <v>0</v>
      </c>
      <c r="AI131" s="1103">
        <f>VLOOKUP(AI$1,'cost per tipologia de sòl'!$A$2:$D$37,4,FALSE)*'T100'!AI131</f>
        <v>0</v>
      </c>
      <c r="AJ131" s="1103">
        <f t="shared" ref="AJ131:AJ183" si="4">SUM(B131:AI131)</f>
        <v>29920198.257500008</v>
      </c>
      <c r="AK131" s="1117">
        <f t="shared" ref="AK131:AK183" si="5">15*AJ131/(50*1000000)</f>
        <v>8.9760594772500024</v>
      </c>
    </row>
    <row r="132" spans="1:37">
      <c r="A132" s="1096" t="s">
        <v>1506</v>
      </c>
      <c r="B132" s="1103">
        <f>VLOOKUP(B$1,'cost per tipologia de sòl'!$A$2:$D$37,4,FALSE)*'T100'!B132</f>
        <v>310577.56200000003</v>
      </c>
      <c r="C132" s="1103">
        <f>VLOOKUP(C$1,'cost per tipologia de sòl'!$A$2:$D$37,4,FALSE)*'T100'!C132</f>
        <v>0</v>
      </c>
      <c r="D132" s="1103">
        <f>VLOOKUP(D$1,'cost per tipologia de sòl'!$A$2:$D$37,4,FALSE)*'T100'!D132</f>
        <v>0</v>
      </c>
      <c r="E132" s="1103">
        <f>VLOOKUP(E$1,'cost per tipologia de sòl'!$A$2:$D$37,4,FALSE)*'T100'!E132</f>
        <v>0</v>
      </c>
      <c r="F132" s="1103">
        <f>VLOOKUP(F$1,'cost per tipologia de sòl'!$A$2:$D$37,4,FALSE)*'T100'!F132</f>
        <v>0</v>
      </c>
      <c r="G132" s="1103">
        <f>VLOOKUP(G$1,'cost per tipologia de sòl'!$A$2:$D$37,4,FALSE)*'T100'!G132</f>
        <v>0</v>
      </c>
      <c r="H132" s="1103">
        <f>VLOOKUP(H$1,'cost per tipologia de sòl'!$A$2:$D$37,4,FALSE)*'T100'!H132</f>
        <v>0</v>
      </c>
      <c r="I132" s="1103">
        <f>VLOOKUP(I$1,'cost per tipologia de sòl'!$A$2:$D$37,4,FALSE)*'T100'!I132</f>
        <v>0</v>
      </c>
      <c r="J132" s="1103">
        <f>VLOOKUP(J$1,'cost per tipologia de sòl'!$A$2:$D$37,4,FALSE)*'T100'!J132</f>
        <v>1130882.1809999999</v>
      </c>
      <c r="K132" s="1103">
        <f>VLOOKUP(K$1,'cost per tipologia de sòl'!$A$2:$D$37,4,FALSE)*'T100'!K132</f>
        <v>0</v>
      </c>
      <c r="L132" s="1103">
        <f>VLOOKUP(L$1,'cost per tipologia de sòl'!$A$2:$D$37,4,FALSE)*'T100'!L132</f>
        <v>97.352999999999994</v>
      </c>
      <c r="M132" s="1103">
        <f>VLOOKUP(M$1,'cost per tipologia de sòl'!$A$2:$D$37,4,FALSE)*'T100'!M132</f>
        <v>0</v>
      </c>
      <c r="N132" s="1103">
        <f>VLOOKUP(N$1,'cost per tipologia de sòl'!$A$2:$D$37,4,FALSE)*'T100'!N132</f>
        <v>0</v>
      </c>
      <c r="O132" s="1103">
        <f>VLOOKUP(O$1,'cost per tipologia de sòl'!$A$2:$D$37,4,FALSE)*'T100'!O132</f>
        <v>0</v>
      </c>
      <c r="P132" s="1103">
        <f>VLOOKUP(P$1,'cost per tipologia de sòl'!$A$2:$D$37,4,FALSE)*'T100'!P132</f>
        <v>0</v>
      </c>
      <c r="Q132" s="1103">
        <f>VLOOKUP(Q$1,'cost per tipologia de sòl'!$A$2:$D$37,4,FALSE)*'T100'!Q132</f>
        <v>0</v>
      </c>
      <c r="R132" s="1103">
        <f>VLOOKUP(R$1,'cost per tipologia de sòl'!$A$2:$D$37,4,FALSE)*'T100'!R132</f>
        <v>0</v>
      </c>
      <c r="S132" s="1103">
        <f>VLOOKUP(S$1,'cost per tipologia de sòl'!$A$2:$D$37,4,FALSE)*'T100'!S132</f>
        <v>0</v>
      </c>
      <c r="T132" s="1103">
        <f>VLOOKUP(T$1,'cost per tipologia de sòl'!$A$2:$D$37,4,FALSE)*'T100'!T132</f>
        <v>0</v>
      </c>
      <c r="U132" s="1103">
        <f>VLOOKUP(U$1,'cost per tipologia de sòl'!$A$2:$D$37,4,FALSE)*'T100'!U132</f>
        <v>0</v>
      </c>
      <c r="V132" s="1103">
        <f>VLOOKUP(V$1,'cost per tipologia de sòl'!$A$2:$D$37,4,FALSE)*'T100'!V132</f>
        <v>0</v>
      </c>
      <c r="W132" s="1103">
        <f>VLOOKUP(W$1,'cost per tipologia de sòl'!$A$2:$D$37,4,FALSE)*'T100'!W132</f>
        <v>0</v>
      </c>
      <c r="X132" s="1103">
        <f>VLOOKUP(X$1,'cost per tipologia de sòl'!$A$2:$D$37,4,FALSE)*'T100'!X132</f>
        <v>0</v>
      </c>
      <c r="Y132" s="1103">
        <f>VLOOKUP(Y$1,'cost per tipologia de sòl'!$A$2:$D$37,4,FALSE)*'T100'!Y132</f>
        <v>0</v>
      </c>
      <c r="Z132" s="1103">
        <f>VLOOKUP(Z$1,'cost per tipologia de sòl'!$A$2:$D$37,4,FALSE)*'T100'!Z132</f>
        <v>60806.761999999995</v>
      </c>
      <c r="AA132" s="1103">
        <f>VLOOKUP(AA$1,'cost per tipologia de sòl'!$A$2:$D$37,4,FALSE)*'T100'!AA132</f>
        <v>0</v>
      </c>
      <c r="AB132" s="1103">
        <f>VLOOKUP(AB$1,'cost per tipologia de sòl'!$A$2:$D$37,4,FALSE)*'T100'!AB132</f>
        <v>2328643.7999999998</v>
      </c>
      <c r="AC132" s="1103">
        <f>VLOOKUP(AC$1,'cost per tipologia de sòl'!$A$2:$D$37,4,FALSE)*'T100'!AC132</f>
        <v>0</v>
      </c>
      <c r="AD132" s="1103">
        <f>VLOOKUP(AD$1,'cost per tipologia de sòl'!$A$2:$D$37,4,FALSE)*'T100'!AD132</f>
        <v>863426.5</v>
      </c>
      <c r="AE132" s="1103">
        <f>VLOOKUP(AE$1,'cost per tipologia de sòl'!$A$2:$D$37,4,FALSE)*'T100'!AE132</f>
        <v>0</v>
      </c>
      <c r="AF132" s="1103">
        <f>VLOOKUP(AF$1,'cost per tipologia de sòl'!$A$2:$D$37,4,FALSE)*'T100'!AF132</f>
        <v>0</v>
      </c>
      <c r="AG132" s="1103">
        <f>VLOOKUP(AG$1,'cost per tipologia de sòl'!$A$2:$D$37,4,FALSE)*'T100'!AG132</f>
        <v>0</v>
      </c>
      <c r="AH132" s="1103">
        <f>VLOOKUP(AH$1,'cost per tipologia de sòl'!$A$2:$D$37,4,FALSE)*'T100'!AH132</f>
        <v>0</v>
      </c>
      <c r="AI132" s="1103">
        <f>VLOOKUP(AI$1,'cost per tipologia de sòl'!$A$2:$D$37,4,FALSE)*'T100'!AI132</f>
        <v>0</v>
      </c>
      <c r="AJ132" s="1103">
        <f t="shared" si="4"/>
        <v>4694434.1579999998</v>
      </c>
      <c r="AK132" s="1117">
        <f t="shared" si="5"/>
        <v>1.4083302474000001</v>
      </c>
    </row>
    <row r="133" spans="1:37">
      <c r="A133" s="1096" t="s">
        <v>1511</v>
      </c>
      <c r="B133" s="1103">
        <f>VLOOKUP(B$1,'cost per tipologia de sòl'!$A$2:$D$37,4,FALSE)*'T100'!B133</f>
        <v>10268713.854</v>
      </c>
      <c r="C133" s="1103">
        <f>VLOOKUP(C$1,'cost per tipologia de sòl'!$A$2:$D$37,4,FALSE)*'T100'!C133</f>
        <v>0</v>
      </c>
      <c r="D133" s="1103">
        <f>VLOOKUP(D$1,'cost per tipologia de sòl'!$A$2:$D$37,4,FALSE)*'T100'!D133</f>
        <v>995677.71</v>
      </c>
      <c r="E133" s="1103">
        <f>VLOOKUP(E$1,'cost per tipologia de sòl'!$A$2:$D$37,4,FALSE)*'T100'!E133</f>
        <v>0</v>
      </c>
      <c r="F133" s="1103">
        <f>VLOOKUP(F$1,'cost per tipologia de sòl'!$A$2:$D$37,4,FALSE)*'T100'!F133</f>
        <v>0</v>
      </c>
      <c r="G133" s="1103">
        <f>VLOOKUP(G$1,'cost per tipologia de sòl'!$A$2:$D$37,4,FALSE)*'T100'!G133</f>
        <v>0</v>
      </c>
      <c r="H133" s="1103">
        <f>VLOOKUP(H$1,'cost per tipologia de sòl'!$A$2:$D$37,4,FALSE)*'T100'!H133</f>
        <v>0</v>
      </c>
      <c r="I133" s="1103">
        <f>VLOOKUP(I$1,'cost per tipologia de sòl'!$A$2:$D$37,4,FALSE)*'T100'!I133</f>
        <v>0</v>
      </c>
      <c r="J133" s="1103">
        <f>VLOOKUP(J$1,'cost per tipologia de sòl'!$A$2:$D$37,4,FALSE)*'T100'!J133</f>
        <v>620758.78700000001</v>
      </c>
      <c r="K133" s="1103">
        <f>VLOOKUP(K$1,'cost per tipologia de sòl'!$A$2:$D$37,4,FALSE)*'T100'!K133</f>
        <v>0</v>
      </c>
      <c r="L133" s="1103">
        <f>VLOOKUP(L$1,'cost per tipologia de sòl'!$A$2:$D$37,4,FALSE)*'T100'!L133</f>
        <v>0</v>
      </c>
      <c r="M133" s="1103">
        <f>VLOOKUP(M$1,'cost per tipologia de sòl'!$A$2:$D$37,4,FALSE)*'T100'!M133</f>
        <v>0</v>
      </c>
      <c r="N133" s="1103">
        <f>VLOOKUP(N$1,'cost per tipologia de sòl'!$A$2:$D$37,4,FALSE)*'T100'!N133</f>
        <v>1081466.8319999999</v>
      </c>
      <c r="O133" s="1103">
        <f>VLOOKUP(O$1,'cost per tipologia de sòl'!$A$2:$D$37,4,FALSE)*'T100'!O133</f>
        <v>547943.152</v>
      </c>
      <c r="P133" s="1103">
        <f>VLOOKUP(P$1,'cost per tipologia de sòl'!$A$2:$D$37,4,FALSE)*'T100'!P133</f>
        <v>202937.63999999998</v>
      </c>
      <c r="Q133" s="1103">
        <f>VLOOKUP(Q$1,'cost per tipologia de sòl'!$A$2:$D$37,4,FALSE)*'T100'!Q133</f>
        <v>0</v>
      </c>
      <c r="R133" s="1103">
        <f>VLOOKUP(R$1,'cost per tipologia de sòl'!$A$2:$D$37,4,FALSE)*'T100'!R133</f>
        <v>0</v>
      </c>
      <c r="S133" s="1103">
        <f>VLOOKUP(S$1,'cost per tipologia de sòl'!$A$2:$D$37,4,FALSE)*'T100'!S133</f>
        <v>699040.94400000002</v>
      </c>
      <c r="T133" s="1103">
        <f>VLOOKUP(T$1,'cost per tipologia de sòl'!$A$2:$D$37,4,FALSE)*'T100'!T133</f>
        <v>930056.30699999991</v>
      </c>
      <c r="U133" s="1103">
        <f>VLOOKUP(U$1,'cost per tipologia de sòl'!$A$2:$D$37,4,FALSE)*'T100'!U133</f>
        <v>0</v>
      </c>
      <c r="V133" s="1103">
        <f>VLOOKUP(V$1,'cost per tipologia de sòl'!$A$2:$D$37,4,FALSE)*'T100'!V133</f>
        <v>0</v>
      </c>
      <c r="W133" s="1103">
        <f>VLOOKUP(W$1,'cost per tipologia de sòl'!$A$2:$D$37,4,FALSE)*'T100'!W133</f>
        <v>0</v>
      </c>
      <c r="X133" s="1103">
        <f>VLOOKUP(X$1,'cost per tipologia de sòl'!$A$2:$D$37,4,FALSE)*'T100'!X133</f>
        <v>0</v>
      </c>
      <c r="Y133" s="1103">
        <f>VLOOKUP(Y$1,'cost per tipologia de sòl'!$A$2:$D$37,4,FALSE)*'T100'!Y133</f>
        <v>0</v>
      </c>
      <c r="Z133" s="1103">
        <f>VLOOKUP(Z$1,'cost per tipologia de sòl'!$A$2:$D$37,4,FALSE)*'T100'!Z133</f>
        <v>237763.152</v>
      </c>
      <c r="AA133" s="1103">
        <f>VLOOKUP(AA$1,'cost per tipologia de sòl'!$A$2:$D$37,4,FALSE)*'T100'!AA133</f>
        <v>0</v>
      </c>
      <c r="AB133" s="1103">
        <f>VLOOKUP(AB$1,'cost per tipologia de sòl'!$A$2:$D$37,4,FALSE)*'T100'!AB133</f>
        <v>5752.25</v>
      </c>
      <c r="AC133" s="1103">
        <f>VLOOKUP(AC$1,'cost per tipologia de sòl'!$A$2:$D$37,4,FALSE)*'T100'!AC133</f>
        <v>1213762.75</v>
      </c>
      <c r="AD133" s="1103">
        <f>VLOOKUP(AD$1,'cost per tipologia de sòl'!$A$2:$D$37,4,FALSE)*'T100'!AD133</f>
        <v>2164898</v>
      </c>
      <c r="AE133" s="1103">
        <f>VLOOKUP(AE$1,'cost per tipologia de sòl'!$A$2:$D$37,4,FALSE)*'T100'!AE133</f>
        <v>0</v>
      </c>
      <c r="AF133" s="1103">
        <f>VLOOKUP(AF$1,'cost per tipologia de sòl'!$A$2:$D$37,4,FALSE)*'T100'!AF133</f>
        <v>0</v>
      </c>
      <c r="AG133" s="1103">
        <f>VLOOKUP(AG$1,'cost per tipologia de sòl'!$A$2:$D$37,4,FALSE)*'T100'!AG133</f>
        <v>0</v>
      </c>
      <c r="AH133" s="1103">
        <f>VLOOKUP(AH$1,'cost per tipologia de sòl'!$A$2:$D$37,4,FALSE)*'T100'!AH133</f>
        <v>0</v>
      </c>
      <c r="AI133" s="1103">
        <f>VLOOKUP(AI$1,'cost per tipologia de sòl'!$A$2:$D$37,4,FALSE)*'T100'!AI133</f>
        <v>0</v>
      </c>
      <c r="AJ133" s="1103">
        <f t="shared" si="4"/>
        <v>18968771.378000002</v>
      </c>
      <c r="AK133" s="1117">
        <f t="shared" si="5"/>
        <v>5.6906314134000002</v>
      </c>
    </row>
    <row r="134" spans="1:37">
      <c r="A134" s="1096" t="s">
        <v>1518</v>
      </c>
      <c r="B134" s="1103">
        <f>VLOOKUP(B$1,'cost per tipologia de sòl'!$A$2:$D$37,4,FALSE)*'T100'!B134</f>
        <v>7329180.3660000004</v>
      </c>
      <c r="C134" s="1103">
        <f>VLOOKUP(C$1,'cost per tipologia de sòl'!$A$2:$D$37,4,FALSE)*'T100'!C134</f>
        <v>0</v>
      </c>
      <c r="D134" s="1103">
        <f>VLOOKUP(D$1,'cost per tipologia de sòl'!$A$2:$D$37,4,FALSE)*'T100'!D134</f>
        <v>4236776.2920000004</v>
      </c>
      <c r="E134" s="1103">
        <f>VLOOKUP(E$1,'cost per tipologia de sòl'!$A$2:$D$37,4,FALSE)*'T100'!E134</f>
        <v>0</v>
      </c>
      <c r="F134" s="1103">
        <f>VLOOKUP(F$1,'cost per tipologia de sòl'!$A$2:$D$37,4,FALSE)*'T100'!F134</f>
        <v>0</v>
      </c>
      <c r="G134" s="1103">
        <f>VLOOKUP(G$1,'cost per tipologia de sòl'!$A$2:$D$37,4,FALSE)*'T100'!G134</f>
        <v>0</v>
      </c>
      <c r="H134" s="1103">
        <f>VLOOKUP(H$1,'cost per tipologia de sòl'!$A$2:$D$37,4,FALSE)*'T100'!H134</f>
        <v>0</v>
      </c>
      <c r="I134" s="1103">
        <f>VLOOKUP(I$1,'cost per tipologia de sòl'!$A$2:$D$37,4,FALSE)*'T100'!I134</f>
        <v>0</v>
      </c>
      <c r="J134" s="1103">
        <f>VLOOKUP(J$1,'cost per tipologia de sòl'!$A$2:$D$37,4,FALSE)*'T100'!J134</f>
        <v>104786.99</v>
      </c>
      <c r="K134" s="1103">
        <f>VLOOKUP(K$1,'cost per tipologia de sòl'!$A$2:$D$37,4,FALSE)*'T100'!K134</f>
        <v>172440.70199999999</v>
      </c>
      <c r="L134" s="1103">
        <f>VLOOKUP(L$1,'cost per tipologia de sòl'!$A$2:$D$37,4,FALSE)*'T100'!L134</f>
        <v>11204644.131000001</v>
      </c>
      <c r="M134" s="1103">
        <f>VLOOKUP(M$1,'cost per tipologia de sòl'!$A$2:$D$37,4,FALSE)*'T100'!M134</f>
        <v>1770494.8319999999</v>
      </c>
      <c r="N134" s="1103">
        <f>VLOOKUP(N$1,'cost per tipologia de sòl'!$A$2:$D$37,4,FALSE)*'T100'!N134</f>
        <v>4133641.1119999997</v>
      </c>
      <c r="O134" s="1103">
        <f>VLOOKUP(O$1,'cost per tipologia de sòl'!$A$2:$D$37,4,FALSE)*'T100'!O134</f>
        <v>0</v>
      </c>
      <c r="P134" s="1103">
        <f>VLOOKUP(P$1,'cost per tipologia de sòl'!$A$2:$D$37,4,FALSE)*'T100'!P134</f>
        <v>0</v>
      </c>
      <c r="Q134" s="1103">
        <f>VLOOKUP(Q$1,'cost per tipologia de sòl'!$A$2:$D$37,4,FALSE)*'T100'!Q134</f>
        <v>0</v>
      </c>
      <c r="R134" s="1103">
        <f>VLOOKUP(R$1,'cost per tipologia de sòl'!$A$2:$D$37,4,FALSE)*'T100'!R134</f>
        <v>0</v>
      </c>
      <c r="S134" s="1103">
        <f>VLOOKUP(S$1,'cost per tipologia de sòl'!$A$2:$D$37,4,FALSE)*'T100'!S134</f>
        <v>31402642.32</v>
      </c>
      <c r="T134" s="1103">
        <f>VLOOKUP(T$1,'cost per tipologia de sòl'!$A$2:$D$37,4,FALSE)*'T100'!T134</f>
        <v>23974477.570999999</v>
      </c>
      <c r="U134" s="1103">
        <f>VLOOKUP(U$1,'cost per tipologia de sòl'!$A$2:$D$37,4,FALSE)*'T100'!U134</f>
        <v>0</v>
      </c>
      <c r="V134" s="1103">
        <f>VLOOKUP(V$1,'cost per tipologia de sòl'!$A$2:$D$37,4,FALSE)*'T100'!V134</f>
        <v>0</v>
      </c>
      <c r="W134" s="1103">
        <f>VLOOKUP(W$1,'cost per tipologia de sòl'!$A$2:$D$37,4,FALSE)*'T100'!W134</f>
        <v>0</v>
      </c>
      <c r="X134" s="1103">
        <f>VLOOKUP(X$1,'cost per tipologia de sòl'!$A$2:$D$37,4,FALSE)*'T100'!X134</f>
        <v>0</v>
      </c>
      <c r="Y134" s="1103">
        <f>VLOOKUP(Y$1,'cost per tipologia de sòl'!$A$2:$D$37,4,FALSE)*'T100'!Y134</f>
        <v>0</v>
      </c>
      <c r="Z134" s="1103">
        <f>VLOOKUP(Z$1,'cost per tipologia de sòl'!$A$2:$D$37,4,FALSE)*'T100'!Z134</f>
        <v>307212.03000000003</v>
      </c>
      <c r="AA134" s="1103">
        <f>VLOOKUP(AA$1,'cost per tipologia de sòl'!$A$2:$D$37,4,FALSE)*'T100'!AA134</f>
        <v>0</v>
      </c>
      <c r="AB134" s="1103">
        <f>VLOOKUP(AB$1,'cost per tipologia de sòl'!$A$2:$D$37,4,FALSE)*'T100'!AB134</f>
        <v>1659243.4000000001</v>
      </c>
      <c r="AC134" s="1103">
        <f>VLOOKUP(AC$1,'cost per tipologia de sòl'!$A$2:$D$37,4,FALSE)*'T100'!AC134</f>
        <v>25977104</v>
      </c>
      <c r="AD134" s="1103">
        <f>VLOOKUP(AD$1,'cost per tipologia de sòl'!$A$2:$D$37,4,FALSE)*'T100'!AD134</f>
        <v>9123212.9000000004</v>
      </c>
      <c r="AE134" s="1103">
        <f>VLOOKUP(AE$1,'cost per tipologia de sòl'!$A$2:$D$37,4,FALSE)*'T100'!AE134</f>
        <v>0</v>
      </c>
      <c r="AF134" s="1103">
        <f>VLOOKUP(AF$1,'cost per tipologia de sòl'!$A$2:$D$37,4,FALSE)*'T100'!AF134</f>
        <v>0</v>
      </c>
      <c r="AG134" s="1103">
        <f>VLOOKUP(AG$1,'cost per tipologia de sòl'!$A$2:$D$37,4,FALSE)*'T100'!AG134</f>
        <v>0</v>
      </c>
      <c r="AH134" s="1103">
        <f>VLOOKUP(AH$1,'cost per tipologia de sòl'!$A$2:$D$37,4,FALSE)*'T100'!AH134</f>
        <v>0</v>
      </c>
      <c r="AI134" s="1103">
        <f>VLOOKUP(AI$1,'cost per tipologia de sòl'!$A$2:$D$37,4,FALSE)*'T100'!AI134</f>
        <v>0</v>
      </c>
      <c r="AJ134" s="1103">
        <f t="shared" si="4"/>
        <v>121395856.64600001</v>
      </c>
      <c r="AK134" s="1117">
        <f t="shared" si="5"/>
        <v>36.418756993800002</v>
      </c>
    </row>
    <row r="135" spans="1:37">
      <c r="A135" s="1096" t="s">
        <v>1523</v>
      </c>
      <c r="B135" s="1103">
        <f>VLOOKUP(B$1,'cost per tipologia de sòl'!$A$2:$D$37,4,FALSE)*'T100'!B135</f>
        <v>0</v>
      </c>
      <c r="C135" s="1103">
        <f>VLOOKUP(C$1,'cost per tipologia de sòl'!$A$2:$D$37,4,FALSE)*'T100'!C135</f>
        <v>0</v>
      </c>
      <c r="D135" s="1103">
        <f>VLOOKUP(D$1,'cost per tipologia de sòl'!$A$2:$D$37,4,FALSE)*'T100'!D135</f>
        <v>0</v>
      </c>
      <c r="E135" s="1103">
        <f>VLOOKUP(E$1,'cost per tipologia de sòl'!$A$2:$D$37,4,FALSE)*'T100'!E135</f>
        <v>0</v>
      </c>
      <c r="F135" s="1103">
        <f>VLOOKUP(F$1,'cost per tipologia de sòl'!$A$2:$D$37,4,FALSE)*'T100'!F135</f>
        <v>0</v>
      </c>
      <c r="G135" s="1103">
        <f>VLOOKUP(G$1,'cost per tipologia de sòl'!$A$2:$D$37,4,FALSE)*'T100'!G135</f>
        <v>0</v>
      </c>
      <c r="H135" s="1103">
        <f>VLOOKUP(H$1,'cost per tipologia de sòl'!$A$2:$D$37,4,FALSE)*'T100'!H135</f>
        <v>0</v>
      </c>
      <c r="I135" s="1103">
        <f>VLOOKUP(I$1,'cost per tipologia de sòl'!$A$2:$D$37,4,FALSE)*'T100'!I135</f>
        <v>0</v>
      </c>
      <c r="J135" s="1103">
        <f>VLOOKUP(J$1,'cost per tipologia de sòl'!$A$2:$D$37,4,FALSE)*'T100'!J135</f>
        <v>3982.2640000000001</v>
      </c>
      <c r="K135" s="1103">
        <f>VLOOKUP(K$1,'cost per tipologia de sòl'!$A$2:$D$37,4,FALSE)*'T100'!K135</f>
        <v>0</v>
      </c>
      <c r="L135" s="1103">
        <f>VLOOKUP(L$1,'cost per tipologia de sòl'!$A$2:$D$37,4,FALSE)*'T100'!L135</f>
        <v>0</v>
      </c>
      <c r="M135" s="1103">
        <f>VLOOKUP(M$1,'cost per tipologia de sòl'!$A$2:$D$37,4,FALSE)*'T100'!M135</f>
        <v>0</v>
      </c>
      <c r="N135" s="1103">
        <f>VLOOKUP(N$1,'cost per tipologia de sòl'!$A$2:$D$37,4,FALSE)*'T100'!N135</f>
        <v>0</v>
      </c>
      <c r="O135" s="1103">
        <f>VLOOKUP(O$1,'cost per tipologia de sòl'!$A$2:$D$37,4,FALSE)*'T100'!O135</f>
        <v>0</v>
      </c>
      <c r="P135" s="1103">
        <f>VLOOKUP(P$1,'cost per tipologia de sòl'!$A$2:$D$37,4,FALSE)*'T100'!P135</f>
        <v>0</v>
      </c>
      <c r="Q135" s="1103">
        <f>VLOOKUP(Q$1,'cost per tipologia de sòl'!$A$2:$D$37,4,FALSE)*'T100'!Q135</f>
        <v>0</v>
      </c>
      <c r="R135" s="1103">
        <f>VLOOKUP(R$1,'cost per tipologia de sòl'!$A$2:$D$37,4,FALSE)*'T100'!R135</f>
        <v>0</v>
      </c>
      <c r="S135" s="1103">
        <f>VLOOKUP(S$1,'cost per tipologia de sòl'!$A$2:$D$37,4,FALSE)*'T100'!S135</f>
        <v>0</v>
      </c>
      <c r="T135" s="1103">
        <f>VLOOKUP(T$1,'cost per tipologia de sòl'!$A$2:$D$37,4,FALSE)*'T100'!T135</f>
        <v>0</v>
      </c>
      <c r="U135" s="1103">
        <f>VLOOKUP(U$1,'cost per tipologia de sòl'!$A$2:$D$37,4,FALSE)*'T100'!U135</f>
        <v>0</v>
      </c>
      <c r="V135" s="1103">
        <f>VLOOKUP(V$1,'cost per tipologia de sòl'!$A$2:$D$37,4,FALSE)*'T100'!V135</f>
        <v>0</v>
      </c>
      <c r="W135" s="1103">
        <f>VLOOKUP(W$1,'cost per tipologia de sòl'!$A$2:$D$37,4,FALSE)*'T100'!W135</f>
        <v>0</v>
      </c>
      <c r="X135" s="1103">
        <f>VLOOKUP(X$1,'cost per tipologia de sòl'!$A$2:$D$37,4,FALSE)*'T100'!X135</f>
        <v>0</v>
      </c>
      <c r="Y135" s="1103">
        <f>VLOOKUP(Y$1,'cost per tipologia de sòl'!$A$2:$D$37,4,FALSE)*'T100'!Y135</f>
        <v>0</v>
      </c>
      <c r="Z135" s="1103">
        <f>VLOOKUP(Z$1,'cost per tipologia de sòl'!$A$2:$D$37,4,FALSE)*'T100'!Z135</f>
        <v>0</v>
      </c>
      <c r="AA135" s="1103">
        <f>VLOOKUP(AA$1,'cost per tipologia de sòl'!$A$2:$D$37,4,FALSE)*'T100'!AA135</f>
        <v>0</v>
      </c>
      <c r="AB135" s="1103">
        <f>VLOOKUP(AB$1,'cost per tipologia de sòl'!$A$2:$D$37,4,FALSE)*'T100'!AB135</f>
        <v>272548.35000000003</v>
      </c>
      <c r="AC135" s="1103">
        <f>VLOOKUP(AC$1,'cost per tipologia de sòl'!$A$2:$D$37,4,FALSE)*'T100'!AC135</f>
        <v>0</v>
      </c>
      <c r="AD135" s="1103">
        <f>VLOOKUP(AD$1,'cost per tipologia de sòl'!$A$2:$D$37,4,FALSE)*'T100'!AD135</f>
        <v>277508.3</v>
      </c>
      <c r="AE135" s="1103">
        <f>VLOOKUP(AE$1,'cost per tipologia de sòl'!$A$2:$D$37,4,FALSE)*'T100'!AE135</f>
        <v>0</v>
      </c>
      <c r="AF135" s="1103">
        <f>VLOOKUP(AF$1,'cost per tipologia de sòl'!$A$2:$D$37,4,FALSE)*'T100'!AF135</f>
        <v>0</v>
      </c>
      <c r="AG135" s="1103">
        <f>VLOOKUP(AG$1,'cost per tipologia de sòl'!$A$2:$D$37,4,FALSE)*'T100'!AG135</f>
        <v>0</v>
      </c>
      <c r="AH135" s="1103">
        <f>VLOOKUP(AH$1,'cost per tipologia de sòl'!$A$2:$D$37,4,FALSE)*'T100'!AH135</f>
        <v>0</v>
      </c>
      <c r="AI135" s="1103">
        <f>VLOOKUP(AI$1,'cost per tipologia de sòl'!$A$2:$D$37,4,FALSE)*'T100'!AI135</f>
        <v>0</v>
      </c>
      <c r="AJ135" s="1103">
        <f t="shared" si="4"/>
        <v>554038.91400000011</v>
      </c>
      <c r="AK135" s="1117">
        <f t="shared" si="5"/>
        <v>0.16621167420000005</v>
      </c>
    </row>
    <row r="136" spans="1:37">
      <c r="A136" s="1096" t="s">
        <v>1524</v>
      </c>
      <c r="B136" s="1103">
        <f>VLOOKUP(B$1,'cost per tipologia de sòl'!$A$2:$D$37,4,FALSE)*'T100'!B136</f>
        <v>0</v>
      </c>
      <c r="C136" s="1103">
        <f>VLOOKUP(C$1,'cost per tipologia de sòl'!$A$2:$D$37,4,FALSE)*'T100'!C136</f>
        <v>0</v>
      </c>
      <c r="D136" s="1103">
        <f>VLOOKUP(D$1,'cost per tipologia de sòl'!$A$2:$D$37,4,FALSE)*'T100'!D136</f>
        <v>0</v>
      </c>
      <c r="E136" s="1103">
        <f>VLOOKUP(E$1,'cost per tipologia de sòl'!$A$2:$D$37,4,FALSE)*'T100'!E136</f>
        <v>0</v>
      </c>
      <c r="F136" s="1103">
        <f>VLOOKUP(F$1,'cost per tipologia de sòl'!$A$2:$D$37,4,FALSE)*'T100'!F136</f>
        <v>0</v>
      </c>
      <c r="G136" s="1103">
        <f>VLOOKUP(G$1,'cost per tipologia de sòl'!$A$2:$D$37,4,FALSE)*'T100'!G136</f>
        <v>0</v>
      </c>
      <c r="H136" s="1103">
        <f>VLOOKUP(H$1,'cost per tipologia de sòl'!$A$2:$D$37,4,FALSE)*'T100'!H136</f>
        <v>0</v>
      </c>
      <c r="I136" s="1103">
        <f>VLOOKUP(I$1,'cost per tipologia de sòl'!$A$2:$D$37,4,FALSE)*'T100'!I136</f>
        <v>0</v>
      </c>
      <c r="J136" s="1103">
        <f>VLOOKUP(J$1,'cost per tipologia de sòl'!$A$2:$D$37,4,FALSE)*'T100'!J136</f>
        <v>160768.15699999998</v>
      </c>
      <c r="K136" s="1103">
        <f>VLOOKUP(K$1,'cost per tipologia de sòl'!$A$2:$D$37,4,FALSE)*'T100'!K136</f>
        <v>0</v>
      </c>
      <c r="L136" s="1103">
        <f>VLOOKUP(L$1,'cost per tipologia de sòl'!$A$2:$D$37,4,FALSE)*'T100'!L136</f>
        <v>0</v>
      </c>
      <c r="M136" s="1103">
        <f>VLOOKUP(M$1,'cost per tipologia de sòl'!$A$2:$D$37,4,FALSE)*'T100'!M136</f>
        <v>0</v>
      </c>
      <c r="N136" s="1103">
        <f>VLOOKUP(N$1,'cost per tipologia de sòl'!$A$2:$D$37,4,FALSE)*'T100'!N136</f>
        <v>0</v>
      </c>
      <c r="O136" s="1103">
        <f>VLOOKUP(O$1,'cost per tipologia de sòl'!$A$2:$D$37,4,FALSE)*'T100'!O136</f>
        <v>0</v>
      </c>
      <c r="P136" s="1103">
        <f>VLOOKUP(P$1,'cost per tipologia de sòl'!$A$2:$D$37,4,FALSE)*'T100'!P136</f>
        <v>0</v>
      </c>
      <c r="Q136" s="1103">
        <f>VLOOKUP(Q$1,'cost per tipologia de sòl'!$A$2:$D$37,4,FALSE)*'T100'!Q136</f>
        <v>0</v>
      </c>
      <c r="R136" s="1103">
        <f>VLOOKUP(R$1,'cost per tipologia de sòl'!$A$2:$D$37,4,FALSE)*'T100'!R136</f>
        <v>0</v>
      </c>
      <c r="S136" s="1103">
        <f>VLOOKUP(S$1,'cost per tipologia de sòl'!$A$2:$D$37,4,FALSE)*'T100'!S136</f>
        <v>0</v>
      </c>
      <c r="T136" s="1103">
        <f>VLOOKUP(T$1,'cost per tipologia de sòl'!$A$2:$D$37,4,FALSE)*'T100'!T136</f>
        <v>0</v>
      </c>
      <c r="U136" s="1103">
        <f>VLOOKUP(U$1,'cost per tipologia de sòl'!$A$2:$D$37,4,FALSE)*'T100'!U136</f>
        <v>0</v>
      </c>
      <c r="V136" s="1103">
        <f>VLOOKUP(V$1,'cost per tipologia de sòl'!$A$2:$D$37,4,FALSE)*'T100'!V136</f>
        <v>0</v>
      </c>
      <c r="W136" s="1103">
        <f>VLOOKUP(W$1,'cost per tipologia de sòl'!$A$2:$D$37,4,FALSE)*'T100'!W136</f>
        <v>0</v>
      </c>
      <c r="X136" s="1103">
        <f>VLOOKUP(X$1,'cost per tipologia de sòl'!$A$2:$D$37,4,FALSE)*'T100'!X136</f>
        <v>0</v>
      </c>
      <c r="Y136" s="1103">
        <f>VLOOKUP(Y$1,'cost per tipologia de sòl'!$A$2:$D$37,4,FALSE)*'T100'!Y136</f>
        <v>0</v>
      </c>
      <c r="Z136" s="1103">
        <f>VLOOKUP(Z$1,'cost per tipologia de sòl'!$A$2:$D$37,4,FALSE)*'T100'!Z136</f>
        <v>0</v>
      </c>
      <c r="AA136" s="1103">
        <f>VLOOKUP(AA$1,'cost per tipologia de sòl'!$A$2:$D$37,4,FALSE)*'T100'!AA136</f>
        <v>0</v>
      </c>
      <c r="AB136" s="1103">
        <f>VLOOKUP(AB$1,'cost per tipologia de sòl'!$A$2:$D$37,4,FALSE)*'T100'!AB136</f>
        <v>0</v>
      </c>
      <c r="AC136" s="1103">
        <f>VLOOKUP(AC$1,'cost per tipologia de sòl'!$A$2:$D$37,4,FALSE)*'T100'!AC136</f>
        <v>0</v>
      </c>
      <c r="AD136" s="1103">
        <f>VLOOKUP(AD$1,'cost per tipologia de sòl'!$A$2:$D$37,4,FALSE)*'T100'!AD136</f>
        <v>0</v>
      </c>
      <c r="AE136" s="1103">
        <f>VLOOKUP(AE$1,'cost per tipologia de sòl'!$A$2:$D$37,4,FALSE)*'T100'!AE136</f>
        <v>0</v>
      </c>
      <c r="AF136" s="1103">
        <f>VLOOKUP(AF$1,'cost per tipologia de sòl'!$A$2:$D$37,4,FALSE)*'T100'!AF136</f>
        <v>0</v>
      </c>
      <c r="AG136" s="1103">
        <f>VLOOKUP(AG$1,'cost per tipologia de sòl'!$A$2:$D$37,4,FALSE)*'T100'!AG136</f>
        <v>0</v>
      </c>
      <c r="AH136" s="1103">
        <f>VLOOKUP(AH$1,'cost per tipologia de sòl'!$A$2:$D$37,4,FALSE)*'T100'!AH136</f>
        <v>0</v>
      </c>
      <c r="AI136" s="1103">
        <f>VLOOKUP(AI$1,'cost per tipologia de sòl'!$A$2:$D$37,4,FALSE)*'T100'!AI136</f>
        <v>0</v>
      </c>
      <c r="AJ136" s="1103">
        <f t="shared" si="4"/>
        <v>160768.15699999998</v>
      </c>
      <c r="AK136" s="1117">
        <f t="shared" si="5"/>
        <v>4.823044709999999E-2</v>
      </c>
    </row>
    <row r="137" spans="1:37">
      <c r="A137" s="1096" t="s">
        <v>1530</v>
      </c>
      <c r="B137" s="1103">
        <f>VLOOKUP(B$1,'cost per tipologia de sòl'!$A$2:$D$37,4,FALSE)*'T100'!B137</f>
        <v>0</v>
      </c>
      <c r="C137" s="1103">
        <f>VLOOKUP(C$1,'cost per tipologia de sòl'!$A$2:$D$37,4,FALSE)*'T100'!C137</f>
        <v>0</v>
      </c>
      <c r="D137" s="1103">
        <f>VLOOKUP(D$1,'cost per tipologia de sòl'!$A$2:$D$37,4,FALSE)*'T100'!D137</f>
        <v>0</v>
      </c>
      <c r="E137" s="1103">
        <f>VLOOKUP(E$1,'cost per tipologia de sòl'!$A$2:$D$37,4,FALSE)*'T100'!E137</f>
        <v>0</v>
      </c>
      <c r="F137" s="1103">
        <f>VLOOKUP(F$1,'cost per tipologia de sòl'!$A$2:$D$37,4,FALSE)*'T100'!F137</f>
        <v>0</v>
      </c>
      <c r="G137" s="1103">
        <f>VLOOKUP(G$1,'cost per tipologia de sòl'!$A$2:$D$37,4,FALSE)*'T100'!G137</f>
        <v>0</v>
      </c>
      <c r="H137" s="1103">
        <f>VLOOKUP(H$1,'cost per tipologia de sòl'!$A$2:$D$37,4,FALSE)*'T100'!H137</f>
        <v>0</v>
      </c>
      <c r="I137" s="1103">
        <f>VLOOKUP(I$1,'cost per tipologia de sòl'!$A$2:$D$37,4,FALSE)*'T100'!I137</f>
        <v>0</v>
      </c>
      <c r="J137" s="1103">
        <f>VLOOKUP(J$1,'cost per tipologia de sòl'!$A$2:$D$37,4,FALSE)*'T100'!J137</f>
        <v>185464.76850000001</v>
      </c>
      <c r="K137" s="1103">
        <f>VLOOKUP(K$1,'cost per tipologia de sòl'!$A$2:$D$37,4,FALSE)*'T100'!K137</f>
        <v>0</v>
      </c>
      <c r="L137" s="1103">
        <f>VLOOKUP(L$1,'cost per tipologia de sòl'!$A$2:$D$37,4,FALSE)*'T100'!L137</f>
        <v>650359.27800000005</v>
      </c>
      <c r="M137" s="1103">
        <f>VLOOKUP(M$1,'cost per tipologia de sòl'!$A$2:$D$37,4,FALSE)*'T100'!M137</f>
        <v>0</v>
      </c>
      <c r="N137" s="1103">
        <f>VLOOKUP(N$1,'cost per tipologia de sòl'!$A$2:$D$37,4,FALSE)*'T100'!N137</f>
        <v>0</v>
      </c>
      <c r="O137" s="1103">
        <f>VLOOKUP(O$1,'cost per tipologia de sòl'!$A$2:$D$37,4,FALSE)*'T100'!O137</f>
        <v>0</v>
      </c>
      <c r="P137" s="1103">
        <f>VLOOKUP(P$1,'cost per tipologia de sòl'!$A$2:$D$37,4,FALSE)*'T100'!P137</f>
        <v>0</v>
      </c>
      <c r="Q137" s="1103">
        <f>VLOOKUP(Q$1,'cost per tipologia de sòl'!$A$2:$D$37,4,FALSE)*'T100'!Q137</f>
        <v>0</v>
      </c>
      <c r="R137" s="1103">
        <f>VLOOKUP(R$1,'cost per tipologia de sòl'!$A$2:$D$37,4,FALSE)*'T100'!R137</f>
        <v>0</v>
      </c>
      <c r="S137" s="1103">
        <f>VLOOKUP(S$1,'cost per tipologia de sòl'!$A$2:$D$37,4,FALSE)*'T100'!S137</f>
        <v>1363915.7279999999</v>
      </c>
      <c r="T137" s="1103">
        <f>VLOOKUP(T$1,'cost per tipologia de sòl'!$A$2:$D$37,4,FALSE)*'T100'!T137</f>
        <v>3052379.8590000002</v>
      </c>
      <c r="U137" s="1103">
        <f>VLOOKUP(U$1,'cost per tipologia de sòl'!$A$2:$D$37,4,FALSE)*'T100'!U137</f>
        <v>0</v>
      </c>
      <c r="V137" s="1103">
        <f>VLOOKUP(V$1,'cost per tipologia de sòl'!$A$2:$D$37,4,FALSE)*'T100'!V137</f>
        <v>0</v>
      </c>
      <c r="W137" s="1103">
        <f>VLOOKUP(W$1,'cost per tipologia de sòl'!$A$2:$D$37,4,FALSE)*'T100'!W137</f>
        <v>0</v>
      </c>
      <c r="X137" s="1103">
        <f>VLOOKUP(X$1,'cost per tipologia de sòl'!$A$2:$D$37,4,FALSE)*'T100'!X137</f>
        <v>0</v>
      </c>
      <c r="Y137" s="1103">
        <f>VLOOKUP(Y$1,'cost per tipologia de sòl'!$A$2:$D$37,4,FALSE)*'T100'!Y137</f>
        <v>0</v>
      </c>
      <c r="Z137" s="1103">
        <f>VLOOKUP(Z$1,'cost per tipologia de sòl'!$A$2:$D$37,4,FALSE)*'T100'!Z137</f>
        <v>0</v>
      </c>
      <c r="AA137" s="1103">
        <f>VLOOKUP(AA$1,'cost per tipologia de sòl'!$A$2:$D$37,4,FALSE)*'T100'!AA137</f>
        <v>0</v>
      </c>
      <c r="AB137" s="1103">
        <f>VLOOKUP(AB$1,'cost per tipologia de sòl'!$A$2:$D$37,4,FALSE)*'T100'!AB137</f>
        <v>129060.34999999999</v>
      </c>
      <c r="AC137" s="1103">
        <f>VLOOKUP(AC$1,'cost per tipologia de sòl'!$A$2:$D$37,4,FALSE)*'T100'!AC137</f>
        <v>279553.65000000002</v>
      </c>
      <c r="AD137" s="1103">
        <f>VLOOKUP(AD$1,'cost per tipologia de sòl'!$A$2:$D$37,4,FALSE)*'T100'!AD137</f>
        <v>6014257.1500000004</v>
      </c>
      <c r="AE137" s="1103">
        <f>VLOOKUP(AE$1,'cost per tipologia de sòl'!$A$2:$D$37,4,FALSE)*'T100'!AE137</f>
        <v>0</v>
      </c>
      <c r="AF137" s="1103">
        <f>VLOOKUP(AF$1,'cost per tipologia de sòl'!$A$2:$D$37,4,FALSE)*'T100'!AF137</f>
        <v>0</v>
      </c>
      <c r="AG137" s="1103">
        <f>VLOOKUP(AG$1,'cost per tipologia de sòl'!$A$2:$D$37,4,FALSE)*'T100'!AG137</f>
        <v>0</v>
      </c>
      <c r="AH137" s="1103">
        <f>VLOOKUP(AH$1,'cost per tipologia de sòl'!$A$2:$D$37,4,FALSE)*'T100'!AH137</f>
        <v>0</v>
      </c>
      <c r="AI137" s="1103">
        <f>VLOOKUP(AI$1,'cost per tipologia de sòl'!$A$2:$D$37,4,FALSE)*'T100'!AI137</f>
        <v>0</v>
      </c>
      <c r="AJ137" s="1103">
        <f t="shared" si="4"/>
        <v>11674990.783500001</v>
      </c>
      <c r="AK137" s="1117">
        <f t="shared" si="5"/>
        <v>3.5024972350499999</v>
      </c>
    </row>
    <row r="138" spans="1:37">
      <c r="A138" s="1096" t="s">
        <v>353</v>
      </c>
      <c r="B138" s="1103">
        <f>VLOOKUP(B$1,'cost per tipologia de sòl'!$A$2:$D$37,4,FALSE)*'T100'!B138</f>
        <v>43218084.149999999</v>
      </c>
      <c r="C138" s="1103">
        <f>VLOOKUP(C$1,'cost per tipologia de sòl'!$A$2:$D$37,4,FALSE)*'T100'!C138</f>
        <v>0</v>
      </c>
      <c r="D138" s="1103">
        <f>VLOOKUP(D$1,'cost per tipologia de sòl'!$A$2:$D$37,4,FALSE)*'T100'!D138</f>
        <v>0</v>
      </c>
      <c r="E138" s="1103">
        <f>VLOOKUP(E$1,'cost per tipologia de sòl'!$A$2:$D$37,4,FALSE)*'T100'!E138</f>
        <v>0</v>
      </c>
      <c r="F138" s="1103">
        <f>VLOOKUP(F$1,'cost per tipologia de sòl'!$A$2:$D$37,4,FALSE)*'T100'!F138</f>
        <v>0</v>
      </c>
      <c r="G138" s="1103">
        <f>VLOOKUP(G$1,'cost per tipologia de sòl'!$A$2:$D$37,4,FALSE)*'T100'!G138</f>
        <v>0</v>
      </c>
      <c r="H138" s="1103">
        <f>VLOOKUP(H$1,'cost per tipologia de sòl'!$A$2:$D$37,4,FALSE)*'T100'!H138</f>
        <v>0</v>
      </c>
      <c r="I138" s="1103">
        <f>VLOOKUP(I$1,'cost per tipologia de sòl'!$A$2:$D$37,4,FALSE)*'T100'!I138</f>
        <v>0</v>
      </c>
      <c r="J138" s="1103">
        <f>VLOOKUP(J$1,'cost per tipologia de sòl'!$A$2:$D$37,4,FALSE)*'T100'!J138</f>
        <v>314966.07449999999</v>
      </c>
      <c r="K138" s="1103">
        <f>VLOOKUP(K$1,'cost per tipologia de sòl'!$A$2:$D$37,4,FALSE)*'T100'!K138</f>
        <v>0</v>
      </c>
      <c r="L138" s="1103">
        <f>VLOOKUP(L$1,'cost per tipologia de sòl'!$A$2:$D$37,4,FALSE)*'T100'!L138</f>
        <v>209172.44699999999</v>
      </c>
      <c r="M138" s="1103">
        <f>VLOOKUP(M$1,'cost per tipologia de sòl'!$A$2:$D$37,4,FALSE)*'T100'!M138</f>
        <v>33981.864000000001</v>
      </c>
      <c r="N138" s="1103">
        <f>VLOOKUP(N$1,'cost per tipologia de sòl'!$A$2:$D$37,4,FALSE)*'T100'!N138</f>
        <v>10225466.032</v>
      </c>
      <c r="O138" s="1103">
        <f>VLOOKUP(O$1,'cost per tipologia de sòl'!$A$2:$D$37,4,FALSE)*'T100'!O138</f>
        <v>0</v>
      </c>
      <c r="P138" s="1103">
        <f>VLOOKUP(P$1,'cost per tipologia de sòl'!$A$2:$D$37,4,FALSE)*'T100'!P138</f>
        <v>0</v>
      </c>
      <c r="Q138" s="1103">
        <f>VLOOKUP(Q$1,'cost per tipologia de sòl'!$A$2:$D$37,4,FALSE)*'T100'!Q138</f>
        <v>0</v>
      </c>
      <c r="R138" s="1103">
        <f>VLOOKUP(R$1,'cost per tipologia de sòl'!$A$2:$D$37,4,FALSE)*'T100'!R138</f>
        <v>0</v>
      </c>
      <c r="S138" s="1103">
        <f>VLOOKUP(S$1,'cost per tipologia de sòl'!$A$2:$D$37,4,FALSE)*'T100'!S138</f>
        <v>89879329.008000001</v>
      </c>
      <c r="T138" s="1103">
        <f>VLOOKUP(T$1,'cost per tipologia de sòl'!$A$2:$D$37,4,FALSE)*'T100'!T138</f>
        <v>19467181.092</v>
      </c>
      <c r="U138" s="1103">
        <f>VLOOKUP(U$1,'cost per tipologia de sòl'!$A$2:$D$37,4,FALSE)*'T100'!U138</f>
        <v>3886338.75</v>
      </c>
      <c r="V138" s="1103">
        <f>VLOOKUP(V$1,'cost per tipologia de sòl'!$A$2:$D$37,4,FALSE)*'T100'!V138</f>
        <v>0</v>
      </c>
      <c r="W138" s="1103">
        <f>VLOOKUP(W$1,'cost per tipologia de sòl'!$A$2:$D$37,4,FALSE)*'T100'!W138</f>
        <v>0</v>
      </c>
      <c r="X138" s="1103">
        <f>VLOOKUP(X$1,'cost per tipologia de sòl'!$A$2:$D$37,4,FALSE)*'T100'!X138</f>
        <v>0</v>
      </c>
      <c r="Y138" s="1103">
        <f>VLOOKUP(Y$1,'cost per tipologia de sòl'!$A$2:$D$37,4,FALSE)*'T100'!Y138</f>
        <v>0</v>
      </c>
      <c r="Z138" s="1103">
        <f>VLOOKUP(Z$1,'cost per tipologia de sòl'!$A$2:$D$37,4,FALSE)*'T100'!Z138</f>
        <v>24401.095999999998</v>
      </c>
      <c r="AA138" s="1103">
        <f>VLOOKUP(AA$1,'cost per tipologia de sòl'!$A$2:$D$37,4,FALSE)*'T100'!AA138</f>
        <v>0</v>
      </c>
      <c r="AB138" s="1103">
        <f>VLOOKUP(AB$1,'cost per tipologia de sòl'!$A$2:$D$37,4,FALSE)*'T100'!AB138</f>
        <v>0</v>
      </c>
      <c r="AC138" s="1103">
        <f>VLOOKUP(AC$1,'cost per tipologia de sòl'!$A$2:$D$37,4,FALSE)*'T100'!AC138</f>
        <v>9525451.4499999993</v>
      </c>
      <c r="AD138" s="1103">
        <f>VLOOKUP(AD$1,'cost per tipologia de sòl'!$A$2:$D$37,4,FALSE)*'T100'!AD138</f>
        <v>16380195.449999999</v>
      </c>
      <c r="AE138" s="1103">
        <f>VLOOKUP(AE$1,'cost per tipologia de sòl'!$A$2:$D$37,4,FALSE)*'T100'!AE138</f>
        <v>0</v>
      </c>
      <c r="AF138" s="1103">
        <f>VLOOKUP(AF$1,'cost per tipologia de sòl'!$A$2:$D$37,4,FALSE)*'T100'!AF138</f>
        <v>0</v>
      </c>
      <c r="AG138" s="1103">
        <f>VLOOKUP(AG$1,'cost per tipologia de sòl'!$A$2:$D$37,4,FALSE)*'T100'!AG138</f>
        <v>0</v>
      </c>
      <c r="AH138" s="1103">
        <f>VLOOKUP(AH$1,'cost per tipologia de sòl'!$A$2:$D$37,4,FALSE)*'T100'!AH138</f>
        <v>0</v>
      </c>
      <c r="AI138" s="1103">
        <f>VLOOKUP(AI$1,'cost per tipologia de sòl'!$A$2:$D$37,4,FALSE)*'T100'!AI138</f>
        <v>0</v>
      </c>
      <c r="AJ138" s="1103">
        <f t="shared" si="4"/>
        <v>193164567.41349998</v>
      </c>
      <c r="AK138" s="1117">
        <f t="shared" si="5"/>
        <v>57.94937022405</v>
      </c>
    </row>
    <row r="139" spans="1:37">
      <c r="A139" s="1096" t="s">
        <v>1532</v>
      </c>
      <c r="B139" s="1103">
        <f>VLOOKUP(B$1,'cost per tipologia de sòl'!$A$2:$D$37,4,FALSE)*'T100'!B139</f>
        <v>255472.614</v>
      </c>
      <c r="C139" s="1103">
        <f>VLOOKUP(C$1,'cost per tipologia de sòl'!$A$2:$D$37,4,FALSE)*'T100'!C139</f>
        <v>8720.6540000000005</v>
      </c>
      <c r="D139" s="1103">
        <f>VLOOKUP(D$1,'cost per tipologia de sòl'!$A$2:$D$37,4,FALSE)*'T100'!D139</f>
        <v>0</v>
      </c>
      <c r="E139" s="1103">
        <f>VLOOKUP(E$1,'cost per tipologia de sòl'!$A$2:$D$37,4,FALSE)*'T100'!E139</f>
        <v>0</v>
      </c>
      <c r="F139" s="1103">
        <f>VLOOKUP(F$1,'cost per tipologia de sòl'!$A$2:$D$37,4,FALSE)*'T100'!F139</f>
        <v>0</v>
      </c>
      <c r="G139" s="1103">
        <f>VLOOKUP(G$1,'cost per tipologia de sòl'!$A$2:$D$37,4,FALSE)*'T100'!G139</f>
        <v>0</v>
      </c>
      <c r="H139" s="1103">
        <f>VLOOKUP(H$1,'cost per tipologia de sòl'!$A$2:$D$37,4,FALSE)*'T100'!H139</f>
        <v>0</v>
      </c>
      <c r="I139" s="1103">
        <f>VLOOKUP(I$1,'cost per tipologia de sòl'!$A$2:$D$37,4,FALSE)*'T100'!I139</f>
        <v>0</v>
      </c>
      <c r="J139" s="1103">
        <f>VLOOKUP(J$1,'cost per tipologia de sòl'!$A$2:$D$37,4,FALSE)*'T100'!J139</f>
        <v>19211.659500000002</v>
      </c>
      <c r="K139" s="1103">
        <f>VLOOKUP(K$1,'cost per tipologia de sòl'!$A$2:$D$37,4,FALSE)*'T100'!K139</f>
        <v>0</v>
      </c>
      <c r="L139" s="1103">
        <f>VLOOKUP(L$1,'cost per tipologia de sòl'!$A$2:$D$37,4,FALSE)*'T100'!L139</f>
        <v>0</v>
      </c>
      <c r="M139" s="1103">
        <f>VLOOKUP(M$1,'cost per tipologia de sòl'!$A$2:$D$37,4,FALSE)*'T100'!M139</f>
        <v>0</v>
      </c>
      <c r="N139" s="1103">
        <f>VLOOKUP(N$1,'cost per tipologia de sòl'!$A$2:$D$37,4,FALSE)*'T100'!N139</f>
        <v>0</v>
      </c>
      <c r="O139" s="1103">
        <f>VLOOKUP(O$1,'cost per tipologia de sòl'!$A$2:$D$37,4,FALSE)*'T100'!O139</f>
        <v>0</v>
      </c>
      <c r="P139" s="1103">
        <f>VLOOKUP(P$1,'cost per tipologia de sòl'!$A$2:$D$37,4,FALSE)*'T100'!P139</f>
        <v>0</v>
      </c>
      <c r="Q139" s="1103">
        <f>VLOOKUP(Q$1,'cost per tipologia de sòl'!$A$2:$D$37,4,FALSE)*'T100'!Q139</f>
        <v>0</v>
      </c>
      <c r="R139" s="1103">
        <f>VLOOKUP(R$1,'cost per tipologia de sòl'!$A$2:$D$37,4,FALSE)*'T100'!R139</f>
        <v>0</v>
      </c>
      <c r="S139" s="1103">
        <f>VLOOKUP(S$1,'cost per tipologia de sòl'!$A$2:$D$37,4,FALSE)*'T100'!S139</f>
        <v>0</v>
      </c>
      <c r="T139" s="1103">
        <f>VLOOKUP(T$1,'cost per tipologia de sòl'!$A$2:$D$37,4,FALSE)*'T100'!T139</f>
        <v>0</v>
      </c>
      <c r="U139" s="1103">
        <f>VLOOKUP(U$1,'cost per tipologia de sòl'!$A$2:$D$37,4,FALSE)*'T100'!U139</f>
        <v>0</v>
      </c>
      <c r="V139" s="1103">
        <f>VLOOKUP(V$1,'cost per tipologia de sòl'!$A$2:$D$37,4,FALSE)*'T100'!V139</f>
        <v>0</v>
      </c>
      <c r="W139" s="1103">
        <f>VLOOKUP(W$1,'cost per tipologia de sòl'!$A$2:$D$37,4,FALSE)*'T100'!W139</f>
        <v>0</v>
      </c>
      <c r="X139" s="1103">
        <f>VLOOKUP(X$1,'cost per tipologia de sòl'!$A$2:$D$37,4,FALSE)*'T100'!X139</f>
        <v>0</v>
      </c>
      <c r="Y139" s="1103">
        <f>VLOOKUP(Y$1,'cost per tipologia de sòl'!$A$2:$D$37,4,FALSE)*'T100'!Y139</f>
        <v>0</v>
      </c>
      <c r="Z139" s="1103">
        <f>VLOOKUP(Z$1,'cost per tipologia de sòl'!$A$2:$D$37,4,FALSE)*'T100'!Z139</f>
        <v>0</v>
      </c>
      <c r="AA139" s="1103">
        <f>VLOOKUP(AA$1,'cost per tipologia de sòl'!$A$2:$D$37,4,FALSE)*'T100'!AA139</f>
        <v>0</v>
      </c>
      <c r="AB139" s="1103">
        <f>VLOOKUP(AB$1,'cost per tipologia de sòl'!$A$2:$D$37,4,FALSE)*'T100'!AB139</f>
        <v>0</v>
      </c>
      <c r="AC139" s="1103">
        <f>VLOOKUP(AC$1,'cost per tipologia de sòl'!$A$2:$D$37,4,FALSE)*'T100'!AC139</f>
        <v>0</v>
      </c>
      <c r="AD139" s="1103">
        <f>VLOOKUP(AD$1,'cost per tipologia de sòl'!$A$2:$D$37,4,FALSE)*'T100'!AD139</f>
        <v>85969.3</v>
      </c>
      <c r="AE139" s="1103">
        <f>VLOOKUP(AE$1,'cost per tipologia de sòl'!$A$2:$D$37,4,FALSE)*'T100'!AE139</f>
        <v>0</v>
      </c>
      <c r="AF139" s="1103">
        <f>VLOOKUP(AF$1,'cost per tipologia de sòl'!$A$2:$D$37,4,FALSE)*'T100'!AF139</f>
        <v>0</v>
      </c>
      <c r="AG139" s="1103">
        <f>VLOOKUP(AG$1,'cost per tipologia de sòl'!$A$2:$D$37,4,FALSE)*'T100'!AG139</f>
        <v>0</v>
      </c>
      <c r="AH139" s="1103">
        <f>VLOOKUP(AH$1,'cost per tipologia de sòl'!$A$2:$D$37,4,FALSE)*'T100'!AH139</f>
        <v>0</v>
      </c>
      <c r="AI139" s="1103">
        <f>VLOOKUP(AI$1,'cost per tipologia de sòl'!$A$2:$D$37,4,FALSE)*'T100'!AI139</f>
        <v>0</v>
      </c>
      <c r="AJ139" s="1103">
        <f t="shared" si="4"/>
        <v>369374.22749999998</v>
      </c>
      <c r="AK139" s="1117">
        <f t="shared" si="5"/>
        <v>0.11081226825</v>
      </c>
    </row>
    <row r="140" spans="1:37">
      <c r="A140" s="1096" t="s">
        <v>1536</v>
      </c>
      <c r="B140" s="1103">
        <f>VLOOKUP(B$1,'cost per tipologia de sòl'!$A$2:$D$37,4,FALSE)*'T100'!B140</f>
        <v>26415103.752</v>
      </c>
      <c r="C140" s="1103">
        <f>VLOOKUP(C$1,'cost per tipologia de sòl'!$A$2:$D$37,4,FALSE)*'T100'!C140</f>
        <v>0</v>
      </c>
      <c r="D140" s="1103">
        <f>VLOOKUP(D$1,'cost per tipologia de sòl'!$A$2:$D$37,4,FALSE)*'T100'!D140</f>
        <v>3870128.6880000001</v>
      </c>
      <c r="E140" s="1103">
        <f>VLOOKUP(E$1,'cost per tipologia de sòl'!$A$2:$D$37,4,FALSE)*'T100'!E140</f>
        <v>0</v>
      </c>
      <c r="F140" s="1103">
        <f>VLOOKUP(F$1,'cost per tipologia de sòl'!$A$2:$D$37,4,FALSE)*'T100'!F140</f>
        <v>0</v>
      </c>
      <c r="G140" s="1103">
        <f>VLOOKUP(G$1,'cost per tipologia de sòl'!$A$2:$D$37,4,FALSE)*'T100'!G140</f>
        <v>0</v>
      </c>
      <c r="H140" s="1103">
        <f>VLOOKUP(H$1,'cost per tipologia de sòl'!$A$2:$D$37,4,FALSE)*'T100'!H140</f>
        <v>0</v>
      </c>
      <c r="I140" s="1103">
        <f>VLOOKUP(I$1,'cost per tipologia de sòl'!$A$2:$D$37,4,FALSE)*'T100'!I140</f>
        <v>0</v>
      </c>
      <c r="J140" s="1103">
        <f>VLOOKUP(J$1,'cost per tipologia de sòl'!$A$2:$D$37,4,FALSE)*'T100'!J140</f>
        <v>1100416.9000000001</v>
      </c>
      <c r="K140" s="1103">
        <f>VLOOKUP(K$1,'cost per tipologia de sòl'!$A$2:$D$37,4,FALSE)*'T100'!K140</f>
        <v>0</v>
      </c>
      <c r="L140" s="1103">
        <f>VLOOKUP(L$1,'cost per tipologia de sòl'!$A$2:$D$37,4,FALSE)*'T100'!L140</f>
        <v>1688909.598</v>
      </c>
      <c r="M140" s="1103">
        <f>VLOOKUP(M$1,'cost per tipologia de sòl'!$A$2:$D$37,4,FALSE)*'T100'!M140</f>
        <v>428503.59199999995</v>
      </c>
      <c r="N140" s="1103">
        <f>VLOOKUP(N$1,'cost per tipologia de sòl'!$A$2:$D$37,4,FALSE)*'T100'!N140</f>
        <v>0</v>
      </c>
      <c r="O140" s="1103">
        <f>VLOOKUP(O$1,'cost per tipologia de sòl'!$A$2:$D$37,4,FALSE)*'T100'!O140</f>
        <v>9605707.9919999987</v>
      </c>
      <c r="P140" s="1103">
        <f>VLOOKUP(P$1,'cost per tipologia de sòl'!$A$2:$D$37,4,FALSE)*'T100'!P140</f>
        <v>0</v>
      </c>
      <c r="Q140" s="1103">
        <f>VLOOKUP(Q$1,'cost per tipologia de sòl'!$A$2:$D$37,4,FALSE)*'T100'!Q140</f>
        <v>0</v>
      </c>
      <c r="R140" s="1103">
        <f>VLOOKUP(R$1,'cost per tipologia de sòl'!$A$2:$D$37,4,FALSE)*'T100'!R140</f>
        <v>0</v>
      </c>
      <c r="S140" s="1103">
        <f>VLOOKUP(S$1,'cost per tipologia de sòl'!$A$2:$D$37,4,FALSE)*'T100'!S140</f>
        <v>20098898.063999999</v>
      </c>
      <c r="T140" s="1103">
        <f>VLOOKUP(T$1,'cost per tipologia de sòl'!$A$2:$D$37,4,FALSE)*'T100'!T140</f>
        <v>4706143.6660000002</v>
      </c>
      <c r="U140" s="1103">
        <f>VLOOKUP(U$1,'cost per tipologia de sòl'!$A$2:$D$37,4,FALSE)*'T100'!U140</f>
        <v>1141530.6000000001</v>
      </c>
      <c r="V140" s="1103">
        <f>VLOOKUP(V$1,'cost per tipologia de sòl'!$A$2:$D$37,4,FALSE)*'T100'!V140</f>
        <v>0</v>
      </c>
      <c r="W140" s="1103">
        <f>VLOOKUP(W$1,'cost per tipologia de sòl'!$A$2:$D$37,4,FALSE)*'T100'!W140</f>
        <v>0</v>
      </c>
      <c r="X140" s="1103">
        <f>VLOOKUP(X$1,'cost per tipologia de sòl'!$A$2:$D$37,4,FALSE)*'T100'!X140</f>
        <v>0</v>
      </c>
      <c r="Y140" s="1103">
        <f>VLOOKUP(Y$1,'cost per tipologia de sòl'!$A$2:$D$37,4,FALSE)*'T100'!Y140</f>
        <v>0</v>
      </c>
      <c r="Z140" s="1103">
        <f>VLOOKUP(Z$1,'cost per tipologia de sòl'!$A$2:$D$37,4,FALSE)*'T100'!Z140</f>
        <v>11372965.936000001</v>
      </c>
      <c r="AA140" s="1103">
        <f>VLOOKUP(AA$1,'cost per tipologia de sòl'!$A$2:$D$37,4,FALSE)*'T100'!AA140</f>
        <v>0</v>
      </c>
      <c r="AB140" s="1103">
        <f>VLOOKUP(AB$1,'cost per tipologia de sòl'!$A$2:$D$37,4,FALSE)*'T100'!AB140</f>
        <v>719290.6</v>
      </c>
      <c r="AC140" s="1103">
        <f>VLOOKUP(AC$1,'cost per tipologia de sòl'!$A$2:$D$37,4,FALSE)*'T100'!AC140</f>
        <v>8874354.7000000011</v>
      </c>
      <c r="AD140" s="1103">
        <f>VLOOKUP(AD$1,'cost per tipologia de sòl'!$A$2:$D$37,4,FALSE)*'T100'!AD140</f>
        <v>4106835.7499999995</v>
      </c>
      <c r="AE140" s="1103">
        <f>VLOOKUP(AE$1,'cost per tipologia de sòl'!$A$2:$D$37,4,FALSE)*'T100'!AE140</f>
        <v>0</v>
      </c>
      <c r="AF140" s="1103">
        <f>VLOOKUP(AF$1,'cost per tipologia de sòl'!$A$2:$D$37,4,FALSE)*'T100'!AF140</f>
        <v>0</v>
      </c>
      <c r="AG140" s="1103">
        <f>VLOOKUP(AG$1,'cost per tipologia de sòl'!$A$2:$D$37,4,FALSE)*'T100'!AG140</f>
        <v>0</v>
      </c>
      <c r="AH140" s="1103">
        <f>VLOOKUP(AH$1,'cost per tipologia de sòl'!$A$2:$D$37,4,FALSE)*'T100'!AH140</f>
        <v>0</v>
      </c>
      <c r="AI140" s="1103">
        <f>VLOOKUP(AI$1,'cost per tipologia de sòl'!$A$2:$D$37,4,FALSE)*'T100'!AI140</f>
        <v>0</v>
      </c>
      <c r="AJ140" s="1103">
        <f t="shared" si="4"/>
        <v>94128789.837999985</v>
      </c>
      <c r="AK140" s="1117">
        <f t="shared" si="5"/>
        <v>28.238636951399993</v>
      </c>
    </row>
    <row r="141" spans="1:37">
      <c r="A141" s="1096" t="s">
        <v>1538</v>
      </c>
      <c r="B141" s="1103">
        <f>VLOOKUP(B$1,'cost per tipologia de sòl'!$A$2:$D$37,4,FALSE)*'T100'!B141</f>
        <v>304775.33399999997</v>
      </c>
      <c r="C141" s="1103">
        <f>VLOOKUP(C$1,'cost per tipologia de sòl'!$A$2:$D$37,4,FALSE)*'T100'!C141</f>
        <v>306702.63399999996</v>
      </c>
      <c r="D141" s="1103">
        <f>VLOOKUP(D$1,'cost per tipologia de sòl'!$A$2:$D$37,4,FALSE)*'T100'!D141</f>
        <v>0</v>
      </c>
      <c r="E141" s="1103">
        <f>VLOOKUP(E$1,'cost per tipologia de sòl'!$A$2:$D$37,4,FALSE)*'T100'!E141</f>
        <v>0</v>
      </c>
      <c r="F141" s="1103">
        <f>VLOOKUP(F$1,'cost per tipologia de sòl'!$A$2:$D$37,4,FALSE)*'T100'!F141</f>
        <v>0</v>
      </c>
      <c r="G141" s="1103">
        <f>VLOOKUP(G$1,'cost per tipologia de sòl'!$A$2:$D$37,4,FALSE)*'T100'!G141</f>
        <v>0</v>
      </c>
      <c r="H141" s="1103">
        <f>VLOOKUP(H$1,'cost per tipologia de sòl'!$A$2:$D$37,4,FALSE)*'T100'!H141</f>
        <v>0</v>
      </c>
      <c r="I141" s="1103">
        <f>VLOOKUP(I$1,'cost per tipologia de sòl'!$A$2:$D$37,4,FALSE)*'T100'!I141</f>
        <v>0</v>
      </c>
      <c r="J141" s="1103">
        <f>VLOOKUP(J$1,'cost per tipologia de sòl'!$A$2:$D$37,4,FALSE)*'T100'!J141</f>
        <v>0</v>
      </c>
      <c r="K141" s="1103">
        <f>VLOOKUP(K$1,'cost per tipologia de sòl'!$A$2:$D$37,4,FALSE)*'T100'!K141</f>
        <v>0</v>
      </c>
      <c r="L141" s="1103">
        <f>VLOOKUP(L$1,'cost per tipologia de sòl'!$A$2:$D$37,4,FALSE)*'T100'!L141</f>
        <v>932597.37</v>
      </c>
      <c r="M141" s="1103">
        <f>VLOOKUP(M$1,'cost per tipologia de sòl'!$A$2:$D$37,4,FALSE)*'T100'!M141</f>
        <v>0</v>
      </c>
      <c r="N141" s="1103">
        <f>VLOOKUP(N$1,'cost per tipologia de sòl'!$A$2:$D$37,4,FALSE)*'T100'!N141</f>
        <v>0</v>
      </c>
      <c r="O141" s="1103">
        <f>VLOOKUP(O$1,'cost per tipologia de sòl'!$A$2:$D$37,4,FALSE)*'T100'!O141</f>
        <v>0</v>
      </c>
      <c r="P141" s="1103">
        <f>VLOOKUP(P$1,'cost per tipologia de sòl'!$A$2:$D$37,4,FALSE)*'T100'!P141</f>
        <v>0</v>
      </c>
      <c r="Q141" s="1103">
        <f>VLOOKUP(Q$1,'cost per tipologia de sòl'!$A$2:$D$37,4,FALSE)*'T100'!Q141</f>
        <v>0</v>
      </c>
      <c r="R141" s="1103">
        <f>VLOOKUP(R$1,'cost per tipologia de sòl'!$A$2:$D$37,4,FALSE)*'T100'!R141</f>
        <v>0</v>
      </c>
      <c r="S141" s="1103">
        <f>VLOOKUP(S$1,'cost per tipologia de sòl'!$A$2:$D$37,4,FALSE)*'T100'!S141</f>
        <v>2448144.7199999997</v>
      </c>
      <c r="T141" s="1103">
        <f>VLOOKUP(T$1,'cost per tipologia de sòl'!$A$2:$D$37,4,FALSE)*'T100'!T141</f>
        <v>27192424.182</v>
      </c>
      <c r="U141" s="1103">
        <f>VLOOKUP(U$1,'cost per tipologia de sòl'!$A$2:$D$37,4,FALSE)*'T100'!U141</f>
        <v>196865.55000000002</v>
      </c>
      <c r="V141" s="1103">
        <f>VLOOKUP(V$1,'cost per tipologia de sòl'!$A$2:$D$37,4,FALSE)*'T100'!V141</f>
        <v>0</v>
      </c>
      <c r="W141" s="1103">
        <f>VLOOKUP(W$1,'cost per tipologia de sòl'!$A$2:$D$37,4,FALSE)*'T100'!W141</f>
        <v>0</v>
      </c>
      <c r="X141" s="1103">
        <f>VLOOKUP(X$1,'cost per tipologia de sòl'!$A$2:$D$37,4,FALSE)*'T100'!X141</f>
        <v>0</v>
      </c>
      <c r="Y141" s="1103">
        <f>VLOOKUP(Y$1,'cost per tipologia de sòl'!$A$2:$D$37,4,FALSE)*'T100'!Y141</f>
        <v>0</v>
      </c>
      <c r="Z141" s="1103">
        <f>VLOOKUP(Z$1,'cost per tipologia de sòl'!$A$2:$D$37,4,FALSE)*'T100'!Z141</f>
        <v>638430.26400000008</v>
      </c>
      <c r="AA141" s="1103">
        <f>VLOOKUP(AA$1,'cost per tipologia de sòl'!$A$2:$D$37,4,FALSE)*'T100'!AA141</f>
        <v>0</v>
      </c>
      <c r="AB141" s="1103">
        <f>VLOOKUP(AB$1,'cost per tipologia de sòl'!$A$2:$D$37,4,FALSE)*'T100'!AB141</f>
        <v>1321665.6499999999</v>
      </c>
      <c r="AC141" s="1103">
        <f>VLOOKUP(AC$1,'cost per tipologia de sòl'!$A$2:$D$37,4,FALSE)*'T100'!AC141</f>
        <v>5533674.9499999993</v>
      </c>
      <c r="AD141" s="1103">
        <f>VLOOKUP(AD$1,'cost per tipologia de sòl'!$A$2:$D$37,4,FALSE)*'T100'!AD141</f>
        <v>6469504.75</v>
      </c>
      <c r="AE141" s="1103">
        <f>VLOOKUP(AE$1,'cost per tipologia de sòl'!$A$2:$D$37,4,FALSE)*'T100'!AE141</f>
        <v>0</v>
      </c>
      <c r="AF141" s="1103">
        <f>VLOOKUP(AF$1,'cost per tipologia de sòl'!$A$2:$D$37,4,FALSE)*'T100'!AF141</f>
        <v>0</v>
      </c>
      <c r="AG141" s="1103">
        <f>VLOOKUP(AG$1,'cost per tipologia de sòl'!$A$2:$D$37,4,FALSE)*'T100'!AG141</f>
        <v>0</v>
      </c>
      <c r="AH141" s="1103">
        <f>VLOOKUP(AH$1,'cost per tipologia de sòl'!$A$2:$D$37,4,FALSE)*'T100'!AH141</f>
        <v>0</v>
      </c>
      <c r="AI141" s="1103">
        <f>VLOOKUP(AI$1,'cost per tipologia de sòl'!$A$2:$D$37,4,FALSE)*'T100'!AI141</f>
        <v>0</v>
      </c>
      <c r="AJ141" s="1103">
        <f t="shared" si="4"/>
        <v>45344785.403999999</v>
      </c>
      <c r="AK141" s="1117">
        <f t="shared" si="5"/>
        <v>13.603435621199999</v>
      </c>
    </row>
    <row r="142" spans="1:37">
      <c r="A142" s="1096" t="s">
        <v>1544</v>
      </c>
      <c r="B142" s="1103">
        <f>VLOOKUP(B$1,'cost per tipologia de sòl'!$A$2:$D$37,4,FALSE)*'T100'!B142</f>
        <v>144903040.91999999</v>
      </c>
      <c r="C142" s="1103">
        <f>VLOOKUP(C$1,'cost per tipologia de sòl'!$A$2:$D$37,4,FALSE)*'T100'!C142</f>
        <v>0</v>
      </c>
      <c r="D142" s="1103">
        <f>VLOOKUP(D$1,'cost per tipologia de sòl'!$A$2:$D$37,4,FALSE)*'T100'!D142</f>
        <v>444070.66200000001</v>
      </c>
      <c r="E142" s="1103">
        <f>VLOOKUP(E$1,'cost per tipologia de sòl'!$A$2:$D$37,4,FALSE)*'T100'!E142</f>
        <v>0</v>
      </c>
      <c r="F142" s="1103">
        <f>VLOOKUP(F$1,'cost per tipologia de sòl'!$A$2:$D$37,4,FALSE)*'T100'!F142</f>
        <v>0</v>
      </c>
      <c r="G142" s="1103">
        <f>VLOOKUP(G$1,'cost per tipologia de sòl'!$A$2:$D$37,4,FALSE)*'T100'!G142</f>
        <v>0</v>
      </c>
      <c r="H142" s="1103">
        <f>VLOOKUP(H$1,'cost per tipologia de sòl'!$A$2:$D$37,4,FALSE)*'T100'!H142</f>
        <v>0</v>
      </c>
      <c r="I142" s="1103">
        <f>VLOOKUP(I$1,'cost per tipologia de sòl'!$A$2:$D$37,4,FALSE)*'T100'!I142</f>
        <v>0</v>
      </c>
      <c r="J142" s="1103">
        <f>VLOOKUP(J$1,'cost per tipologia de sòl'!$A$2:$D$37,4,FALSE)*'T100'!J142</f>
        <v>289129.7475</v>
      </c>
      <c r="K142" s="1103">
        <f>VLOOKUP(K$1,'cost per tipologia de sòl'!$A$2:$D$37,4,FALSE)*'T100'!K142</f>
        <v>68242.986000000004</v>
      </c>
      <c r="L142" s="1103">
        <f>VLOOKUP(L$1,'cost per tipologia de sòl'!$A$2:$D$37,4,FALSE)*'T100'!L142</f>
        <v>0</v>
      </c>
      <c r="M142" s="1103">
        <f>VLOOKUP(M$1,'cost per tipologia de sòl'!$A$2:$D$37,4,FALSE)*'T100'!M142</f>
        <v>0</v>
      </c>
      <c r="N142" s="1103">
        <f>VLOOKUP(N$1,'cost per tipologia de sòl'!$A$2:$D$37,4,FALSE)*'T100'!N142</f>
        <v>0</v>
      </c>
      <c r="O142" s="1103">
        <f>VLOOKUP(O$1,'cost per tipologia de sòl'!$A$2:$D$37,4,FALSE)*'T100'!O142</f>
        <v>0</v>
      </c>
      <c r="P142" s="1103">
        <f>VLOOKUP(P$1,'cost per tipologia de sòl'!$A$2:$D$37,4,FALSE)*'T100'!P142</f>
        <v>0</v>
      </c>
      <c r="Q142" s="1103">
        <f>VLOOKUP(Q$1,'cost per tipologia de sòl'!$A$2:$D$37,4,FALSE)*'T100'!Q142</f>
        <v>0</v>
      </c>
      <c r="R142" s="1103">
        <f>VLOOKUP(R$1,'cost per tipologia de sòl'!$A$2:$D$37,4,FALSE)*'T100'!R142</f>
        <v>0</v>
      </c>
      <c r="S142" s="1103">
        <f>VLOOKUP(S$1,'cost per tipologia de sòl'!$A$2:$D$37,4,FALSE)*'T100'!S142</f>
        <v>5952680.4960000003</v>
      </c>
      <c r="T142" s="1103">
        <f>VLOOKUP(T$1,'cost per tipologia de sòl'!$A$2:$D$37,4,FALSE)*'T100'!T142</f>
        <v>9571740.9039999992</v>
      </c>
      <c r="U142" s="1103">
        <f>VLOOKUP(U$1,'cost per tipologia de sòl'!$A$2:$D$37,4,FALSE)*'T100'!U142</f>
        <v>0</v>
      </c>
      <c r="V142" s="1103">
        <f>VLOOKUP(V$1,'cost per tipologia de sòl'!$A$2:$D$37,4,FALSE)*'T100'!V142</f>
        <v>0</v>
      </c>
      <c r="W142" s="1103">
        <f>VLOOKUP(W$1,'cost per tipologia de sòl'!$A$2:$D$37,4,FALSE)*'T100'!W142</f>
        <v>0</v>
      </c>
      <c r="X142" s="1103">
        <f>VLOOKUP(X$1,'cost per tipologia de sòl'!$A$2:$D$37,4,FALSE)*'T100'!X142</f>
        <v>0</v>
      </c>
      <c r="Y142" s="1103">
        <f>VLOOKUP(Y$1,'cost per tipologia de sòl'!$A$2:$D$37,4,FALSE)*'T100'!Y142</f>
        <v>0</v>
      </c>
      <c r="Z142" s="1103">
        <f>VLOOKUP(Z$1,'cost per tipologia de sòl'!$A$2:$D$37,4,FALSE)*'T100'!Z142</f>
        <v>705449.60199999996</v>
      </c>
      <c r="AA142" s="1103">
        <f>VLOOKUP(AA$1,'cost per tipologia de sòl'!$A$2:$D$37,4,FALSE)*'T100'!AA142</f>
        <v>0</v>
      </c>
      <c r="AB142" s="1103">
        <f>VLOOKUP(AB$1,'cost per tipologia de sòl'!$A$2:$D$37,4,FALSE)*'T100'!AB142</f>
        <v>828956.70000000007</v>
      </c>
      <c r="AC142" s="1103">
        <f>VLOOKUP(AC$1,'cost per tipologia de sòl'!$A$2:$D$37,4,FALSE)*'T100'!AC142</f>
        <v>1437714.8</v>
      </c>
      <c r="AD142" s="1103">
        <f>VLOOKUP(AD$1,'cost per tipologia de sòl'!$A$2:$D$37,4,FALSE)*'T100'!AD142</f>
        <v>2580261.7499999995</v>
      </c>
      <c r="AE142" s="1103">
        <f>VLOOKUP(AE$1,'cost per tipologia de sòl'!$A$2:$D$37,4,FALSE)*'T100'!AE142</f>
        <v>0</v>
      </c>
      <c r="AF142" s="1103">
        <f>VLOOKUP(AF$1,'cost per tipologia de sòl'!$A$2:$D$37,4,FALSE)*'T100'!AF142</f>
        <v>0</v>
      </c>
      <c r="AG142" s="1103">
        <f>VLOOKUP(AG$1,'cost per tipologia de sòl'!$A$2:$D$37,4,FALSE)*'T100'!AG142</f>
        <v>0</v>
      </c>
      <c r="AH142" s="1103">
        <f>VLOOKUP(AH$1,'cost per tipologia de sòl'!$A$2:$D$37,4,FALSE)*'T100'!AH142</f>
        <v>0</v>
      </c>
      <c r="AI142" s="1103">
        <f>VLOOKUP(AI$1,'cost per tipologia de sòl'!$A$2:$D$37,4,FALSE)*'T100'!AI142</f>
        <v>0</v>
      </c>
      <c r="AJ142" s="1103">
        <f t="shared" si="4"/>
        <v>166781288.5675</v>
      </c>
      <c r="AK142" s="1117">
        <f t="shared" si="5"/>
        <v>50.03438657025</v>
      </c>
    </row>
    <row r="143" spans="1:37">
      <c r="A143" s="1096" t="s">
        <v>1121</v>
      </c>
      <c r="B143" s="1103">
        <f>VLOOKUP(B$1,'cost per tipologia de sòl'!$A$2:$D$37,4,FALSE)*'T100'!B143</f>
        <v>0</v>
      </c>
      <c r="C143" s="1103">
        <f>VLOOKUP(C$1,'cost per tipologia de sòl'!$A$2:$D$37,4,FALSE)*'T100'!C143</f>
        <v>0</v>
      </c>
      <c r="D143" s="1103">
        <f>VLOOKUP(D$1,'cost per tipologia de sòl'!$A$2:$D$37,4,FALSE)*'T100'!D143</f>
        <v>0</v>
      </c>
      <c r="E143" s="1103">
        <f>VLOOKUP(E$1,'cost per tipologia de sòl'!$A$2:$D$37,4,FALSE)*'T100'!E143</f>
        <v>0</v>
      </c>
      <c r="F143" s="1103">
        <f>VLOOKUP(F$1,'cost per tipologia de sòl'!$A$2:$D$37,4,FALSE)*'T100'!F143</f>
        <v>0</v>
      </c>
      <c r="G143" s="1103">
        <f>VLOOKUP(G$1,'cost per tipologia de sòl'!$A$2:$D$37,4,FALSE)*'T100'!G143</f>
        <v>0</v>
      </c>
      <c r="H143" s="1103">
        <f>VLOOKUP(H$1,'cost per tipologia de sòl'!$A$2:$D$37,4,FALSE)*'T100'!H143</f>
        <v>0</v>
      </c>
      <c r="I143" s="1103">
        <f>VLOOKUP(I$1,'cost per tipologia de sòl'!$A$2:$D$37,4,FALSE)*'T100'!I143</f>
        <v>0</v>
      </c>
      <c r="J143" s="1103">
        <f>VLOOKUP(J$1,'cost per tipologia de sòl'!$A$2:$D$37,4,FALSE)*'T100'!J143</f>
        <v>0</v>
      </c>
      <c r="K143" s="1103">
        <f>VLOOKUP(K$1,'cost per tipologia de sòl'!$A$2:$D$37,4,FALSE)*'T100'!K143</f>
        <v>0</v>
      </c>
      <c r="L143" s="1103">
        <f>VLOOKUP(L$1,'cost per tipologia de sòl'!$A$2:$D$37,4,FALSE)*'T100'!L143</f>
        <v>0</v>
      </c>
      <c r="M143" s="1103">
        <f>VLOOKUP(M$1,'cost per tipologia de sòl'!$A$2:$D$37,4,FALSE)*'T100'!M143</f>
        <v>0</v>
      </c>
      <c r="N143" s="1103">
        <f>VLOOKUP(N$1,'cost per tipologia de sòl'!$A$2:$D$37,4,FALSE)*'T100'!N143</f>
        <v>0</v>
      </c>
      <c r="O143" s="1103">
        <f>VLOOKUP(O$1,'cost per tipologia de sòl'!$A$2:$D$37,4,FALSE)*'T100'!O143</f>
        <v>0</v>
      </c>
      <c r="P143" s="1103">
        <f>VLOOKUP(P$1,'cost per tipologia de sòl'!$A$2:$D$37,4,FALSE)*'T100'!P143</f>
        <v>0</v>
      </c>
      <c r="Q143" s="1103">
        <f>VLOOKUP(Q$1,'cost per tipologia de sòl'!$A$2:$D$37,4,FALSE)*'T100'!Q143</f>
        <v>0</v>
      </c>
      <c r="R143" s="1103">
        <f>VLOOKUP(R$1,'cost per tipologia de sòl'!$A$2:$D$37,4,FALSE)*'T100'!R143</f>
        <v>0</v>
      </c>
      <c r="S143" s="1103">
        <f>VLOOKUP(S$1,'cost per tipologia de sòl'!$A$2:$D$37,4,FALSE)*'T100'!S143</f>
        <v>0</v>
      </c>
      <c r="T143" s="1103">
        <f>VLOOKUP(T$1,'cost per tipologia de sòl'!$A$2:$D$37,4,FALSE)*'T100'!T143</f>
        <v>250443.23500000002</v>
      </c>
      <c r="U143" s="1103">
        <f>VLOOKUP(U$1,'cost per tipologia de sòl'!$A$2:$D$37,4,FALSE)*'T100'!U143</f>
        <v>0</v>
      </c>
      <c r="V143" s="1103">
        <f>VLOOKUP(V$1,'cost per tipologia de sòl'!$A$2:$D$37,4,FALSE)*'T100'!V143</f>
        <v>0</v>
      </c>
      <c r="W143" s="1103">
        <f>VLOOKUP(W$1,'cost per tipologia de sòl'!$A$2:$D$37,4,FALSE)*'T100'!W143</f>
        <v>0</v>
      </c>
      <c r="X143" s="1103">
        <f>VLOOKUP(X$1,'cost per tipologia de sòl'!$A$2:$D$37,4,FALSE)*'T100'!X143</f>
        <v>0</v>
      </c>
      <c r="Y143" s="1103">
        <f>VLOOKUP(Y$1,'cost per tipologia de sòl'!$A$2:$D$37,4,FALSE)*'T100'!Y143</f>
        <v>0</v>
      </c>
      <c r="Z143" s="1103">
        <f>VLOOKUP(Z$1,'cost per tipologia de sòl'!$A$2:$D$37,4,FALSE)*'T100'!Z143</f>
        <v>101036.568</v>
      </c>
      <c r="AA143" s="1103">
        <f>VLOOKUP(AA$1,'cost per tipologia de sòl'!$A$2:$D$37,4,FALSE)*'T100'!AA143</f>
        <v>0</v>
      </c>
      <c r="AB143" s="1103">
        <f>VLOOKUP(AB$1,'cost per tipologia de sòl'!$A$2:$D$37,4,FALSE)*'T100'!AB143</f>
        <v>38142.5</v>
      </c>
      <c r="AC143" s="1103">
        <f>VLOOKUP(AC$1,'cost per tipologia de sòl'!$A$2:$D$37,4,FALSE)*'T100'!AC143</f>
        <v>0</v>
      </c>
      <c r="AD143" s="1103">
        <f>VLOOKUP(AD$1,'cost per tipologia de sòl'!$A$2:$D$37,4,FALSE)*'T100'!AD143</f>
        <v>1198066.8500000001</v>
      </c>
      <c r="AE143" s="1103">
        <f>VLOOKUP(AE$1,'cost per tipologia de sòl'!$A$2:$D$37,4,FALSE)*'T100'!AE143</f>
        <v>0</v>
      </c>
      <c r="AF143" s="1103">
        <f>VLOOKUP(AF$1,'cost per tipologia de sòl'!$A$2:$D$37,4,FALSE)*'T100'!AF143</f>
        <v>0</v>
      </c>
      <c r="AG143" s="1103">
        <f>VLOOKUP(AG$1,'cost per tipologia de sòl'!$A$2:$D$37,4,FALSE)*'T100'!AG143</f>
        <v>0</v>
      </c>
      <c r="AH143" s="1103">
        <f>VLOOKUP(AH$1,'cost per tipologia de sòl'!$A$2:$D$37,4,FALSE)*'T100'!AH143</f>
        <v>0</v>
      </c>
      <c r="AI143" s="1103">
        <f>VLOOKUP(AI$1,'cost per tipologia de sòl'!$A$2:$D$37,4,FALSE)*'T100'!AI143</f>
        <v>0</v>
      </c>
      <c r="AJ143" s="1103">
        <f t="shared" si="4"/>
        <v>1587689.1530000002</v>
      </c>
      <c r="AK143" s="1117">
        <f t="shared" si="5"/>
        <v>0.47630674590000005</v>
      </c>
    </row>
    <row r="144" spans="1:37">
      <c r="A144" s="1096" t="s">
        <v>1600</v>
      </c>
      <c r="B144" s="1103">
        <f>VLOOKUP(B$1,'cost per tipologia de sòl'!$A$2:$D$37,4,FALSE)*'T100'!B144</f>
        <v>67902456.365999997</v>
      </c>
      <c r="C144" s="1103">
        <f>VLOOKUP(C$1,'cost per tipologia de sòl'!$A$2:$D$37,4,FALSE)*'T100'!C144</f>
        <v>0</v>
      </c>
      <c r="D144" s="1103">
        <f>VLOOKUP(D$1,'cost per tipologia de sòl'!$A$2:$D$37,4,FALSE)*'T100'!D144</f>
        <v>9607425.7559999991</v>
      </c>
      <c r="E144" s="1103">
        <f>VLOOKUP(E$1,'cost per tipologia de sòl'!$A$2:$D$37,4,FALSE)*'T100'!E144</f>
        <v>0</v>
      </c>
      <c r="F144" s="1103">
        <f>VLOOKUP(F$1,'cost per tipologia de sòl'!$A$2:$D$37,4,FALSE)*'T100'!F144</f>
        <v>0</v>
      </c>
      <c r="G144" s="1103">
        <f>VLOOKUP(G$1,'cost per tipologia de sòl'!$A$2:$D$37,4,FALSE)*'T100'!G144</f>
        <v>0</v>
      </c>
      <c r="H144" s="1103">
        <f>VLOOKUP(H$1,'cost per tipologia de sòl'!$A$2:$D$37,4,FALSE)*'T100'!H144</f>
        <v>0</v>
      </c>
      <c r="I144" s="1103">
        <f>VLOOKUP(I$1,'cost per tipologia de sòl'!$A$2:$D$37,4,FALSE)*'T100'!I144</f>
        <v>0</v>
      </c>
      <c r="J144" s="1103">
        <f>VLOOKUP(J$1,'cost per tipologia de sòl'!$A$2:$D$37,4,FALSE)*'T100'!J144</f>
        <v>26474.959500000001</v>
      </c>
      <c r="K144" s="1103">
        <f>VLOOKUP(K$1,'cost per tipologia de sòl'!$A$2:$D$37,4,FALSE)*'T100'!K144</f>
        <v>0</v>
      </c>
      <c r="L144" s="1103">
        <f>VLOOKUP(L$1,'cost per tipologia de sòl'!$A$2:$D$37,4,FALSE)*'T100'!L144</f>
        <v>511049.745</v>
      </c>
      <c r="M144" s="1103">
        <f>VLOOKUP(M$1,'cost per tipologia de sòl'!$A$2:$D$37,4,FALSE)*'T100'!M144</f>
        <v>0</v>
      </c>
      <c r="N144" s="1103">
        <f>VLOOKUP(N$1,'cost per tipologia de sòl'!$A$2:$D$37,4,FALSE)*'T100'!N144</f>
        <v>0</v>
      </c>
      <c r="O144" s="1103">
        <f>VLOOKUP(O$1,'cost per tipologia de sòl'!$A$2:$D$37,4,FALSE)*'T100'!O144</f>
        <v>0</v>
      </c>
      <c r="P144" s="1103">
        <f>VLOOKUP(P$1,'cost per tipologia de sòl'!$A$2:$D$37,4,FALSE)*'T100'!P144</f>
        <v>14428758.200000001</v>
      </c>
      <c r="Q144" s="1103">
        <f>VLOOKUP(Q$1,'cost per tipologia de sòl'!$A$2:$D$37,4,FALSE)*'T100'!Q144</f>
        <v>0</v>
      </c>
      <c r="R144" s="1103">
        <f>VLOOKUP(R$1,'cost per tipologia de sòl'!$A$2:$D$37,4,FALSE)*'T100'!R144</f>
        <v>0</v>
      </c>
      <c r="S144" s="1103">
        <f>VLOOKUP(S$1,'cost per tipologia de sòl'!$A$2:$D$37,4,FALSE)*'T100'!S144</f>
        <v>5403443.4720000001</v>
      </c>
      <c r="T144" s="1103">
        <f>VLOOKUP(T$1,'cost per tipologia de sòl'!$A$2:$D$37,4,FALSE)*'T100'!T144</f>
        <v>20687241.738000002</v>
      </c>
      <c r="U144" s="1103">
        <f>VLOOKUP(U$1,'cost per tipologia de sòl'!$A$2:$D$37,4,FALSE)*'T100'!U144</f>
        <v>2777395.95</v>
      </c>
      <c r="V144" s="1103">
        <f>VLOOKUP(V$1,'cost per tipologia de sòl'!$A$2:$D$37,4,FALSE)*'T100'!V144</f>
        <v>0</v>
      </c>
      <c r="W144" s="1103">
        <f>VLOOKUP(W$1,'cost per tipologia de sòl'!$A$2:$D$37,4,FALSE)*'T100'!W144</f>
        <v>0</v>
      </c>
      <c r="X144" s="1103">
        <f>VLOOKUP(X$1,'cost per tipologia de sòl'!$A$2:$D$37,4,FALSE)*'T100'!X144</f>
        <v>0</v>
      </c>
      <c r="Y144" s="1103">
        <f>VLOOKUP(Y$1,'cost per tipologia de sòl'!$A$2:$D$37,4,FALSE)*'T100'!Y144</f>
        <v>0</v>
      </c>
      <c r="Z144" s="1103">
        <f>VLOOKUP(Z$1,'cost per tipologia de sòl'!$A$2:$D$37,4,FALSE)*'T100'!Z144</f>
        <v>9781181.2400000002</v>
      </c>
      <c r="AA144" s="1103">
        <f>VLOOKUP(AA$1,'cost per tipologia de sòl'!$A$2:$D$37,4,FALSE)*'T100'!AA144</f>
        <v>0</v>
      </c>
      <c r="AB144" s="1103">
        <f>VLOOKUP(AB$1,'cost per tipologia de sòl'!$A$2:$D$37,4,FALSE)*'T100'!AB144</f>
        <v>502833.1</v>
      </c>
      <c r="AC144" s="1103">
        <f>VLOOKUP(AC$1,'cost per tipologia de sòl'!$A$2:$D$37,4,FALSE)*'T100'!AC144</f>
        <v>16084590.6</v>
      </c>
      <c r="AD144" s="1103">
        <f>VLOOKUP(AD$1,'cost per tipologia de sòl'!$A$2:$D$37,4,FALSE)*'T100'!AD144</f>
        <v>26263758.899999999</v>
      </c>
      <c r="AE144" s="1103">
        <f>VLOOKUP(AE$1,'cost per tipologia de sòl'!$A$2:$D$37,4,FALSE)*'T100'!AE144</f>
        <v>0</v>
      </c>
      <c r="AF144" s="1103">
        <f>VLOOKUP(AF$1,'cost per tipologia de sòl'!$A$2:$D$37,4,FALSE)*'T100'!AF144</f>
        <v>0</v>
      </c>
      <c r="AG144" s="1103">
        <f>VLOOKUP(AG$1,'cost per tipologia de sòl'!$A$2:$D$37,4,FALSE)*'T100'!AG144</f>
        <v>0</v>
      </c>
      <c r="AH144" s="1103">
        <f>VLOOKUP(AH$1,'cost per tipologia de sòl'!$A$2:$D$37,4,FALSE)*'T100'!AH144</f>
        <v>0</v>
      </c>
      <c r="AI144" s="1103">
        <f>VLOOKUP(AI$1,'cost per tipologia de sòl'!$A$2:$D$37,4,FALSE)*'T100'!AI144</f>
        <v>0</v>
      </c>
      <c r="AJ144" s="1103">
        <f t="shared" si="4"/>
        <v>173976610.02650002</v>
      </c>
      <c r="AK144" s="1117">
        <f t="shared" si="5"/>
        <v>52.192983007949998</v>
      </c>
    </row>
    <row r="145" spans="1:37">
      <c r="A145" s="1096" t="s">
        <v>1604</v>
      </c>
      <c r="B145" s="1103">
        <f>VLOOKUP(B$1,'cost per tipologia de sòl'!$A$2:$D$37,4,FALSE)*'T100'!B145</f>
        <v>38184777.288000003</v>
      </c>
      <c r="C145" s="1103">
        <f>VLOOKUP(C$1,'cost per tipologia de sòl'!$A$2:$D$37,4,FALSE)*'T100'!C145</f>
        <v>0</v>
      </c>
      <c r="D145" s="1103">
        <f>VLOOKUP(D$1,'cost per tipologia de sòl'!$A$2:$D$37,4,FALSE)*'T100'!D145</f>
        <v>7203038.4239999996</v>
      </c>
      <c r="E145" s="1103">
        <f>VLOOKUP(E$1,'cost per tipologia de sòl'!$A$2:$D$37,4,FALSE)*'T100'!E145</f>
        <v>0</v>
      </c>
      <c r="F145" s="1103">
        <f>VLOOKUP(F$1,'cost per tipologia de sòl'!$A$2:$D$37,4,FALSE)*'T100'!F145</f>
        <v>0</v>
      </c>
      <c r="G145" s="1103">
        <f>VLOOKUP(G$1,'cost per tipologia de sòl'!$A$2:$D$37,4,FALSE)*'T100'!G145</f>
        <v>0</v>
      </c>
      <c r="H145" s="1103">
        <f>VLOOKUP(H$1,'cost per tipologia de sòl'!$A$2:$D$37,4,FALSE)*'T100'!H145</f>
        <v>0</v>
      </c>
      <c r="I145" s="1103">
        <f>VLOOKUP(I$1,'cost per tipologia de sòl'!$A$2:$D$37,4,FALSE)*'T100'!I145</f>
        <v>0</v>
      </c>
      <c r="J145" s="1103">
        <f>VLOOKUP(J$1,'cost per tipologia de sòl'!$A$2:$D$37,4,FALSE)*'T100'!J145</f>
        <v>96756.494999999995</v>
      </c>
      <c r="K145" s="1103">
        <f>VLOOKUP(K$1,'cost per tipologia de sòl'!$A$2:$D$37,4,FALSE)*'T100'!K145</f>
        <v>0</v>
      </c>
      <c r="L145" s="1103">
        <f>VLOOKUP(L$1,'cost per tipologia de sòl'!$A$2:$D$37,4,FALSE)*'T100'!L145</f>
        <v>0</v>
      </c>
      <c r="M145" s="1103">
        <f>VLOOKUP(M$1,'cost per tipologia de sòl'!$A$2:$D$37,4,FALSE)*'T100'!M145</f>
        <v>0</v>
      </c>
      <c r="N145" s="1103">
        <f>VLOOKUP(N$1,'cost per tipologia de sòl'!$A$2:$D$37,4,FALSE)*'T100'!N145</f>
        <v>0</v>
      </c>
      <c r="O145" s="1103">
        <f>VLOOKUP(O$1,'cost per tipologia de sòl'!$A$2:$D$37,4,FALSE)*'T100'!O145</f>
        <v>0</v>
      </c>
      <c r="P145" s="1103">
        <f>VLOOKUP(P$1,'cost per tipologia de sòl'!$A$2:$D$37,4,FALSE)*'T100'!P145</f>
        <v>2639941.5039999997</v>
      </c>
      <c r="Q145" s="1103">
        <f>VLOOKUP(Q$1,'cost per tipologia de sòl'!$A$2:$D$37,4,FALSE)*'T100'!Q145</f>
        <v>0</v>
      </c>
      <c r="R145" s="1103">
        <f>VLOOKUP(R$1,'cost per tipologia de sòl'!$A$2:$D$37,4,FALSE)*'T100'!R145</f>
        <v>0</v>
      </c>
      <c r="S145" s="1103">
        <f>VLOOKUP(S$1,'cost per tipologia de sòl'!$A$2:$D$37,4,FALSE)*'T100'!S145</f>
        <v>13059672.192</v>
      </c>
      <c r="T145" s="1103">
        <f>VLOOKUP(T$1,'cost per tipologia de sòl'!$A$2:$D$37,4,FALSE)*'T100'!T145</f>
        <v>9112264.993999999</v>
      </c>
      <c r="U145" s="1103">
        <f>VLOOKUP(U$1,'cost per tipologia de sòl'!$A$2:$D$37,4,FALSE)*'T100'!U145</f>
        <v>264243</v>
      </c>
      <c r="V145" s="1103">
        <f>VLOOKUP(V$1,'cost per tipologia de sòl'!$A$2:$D$37,4,FALSE)*'T100'!V145</f>
        <v>0</v>
      </c>
      <c r="W145" s="1103">
        <f>VLOOKUP(W$1,'cost per tipologia de sòl'!$A$2:$D$37,4,FALSE)*'T100'!W145</f>
        <v>0</v>
      </c>
      <c r="X145" s="1103">
        <f>VLOOKUP(X$1,'cost per tipologia de sòl'!$A$2:$D$37,4,FALSE)*'T100'!X145</f>
        <v>0</v>
      </c>
      <c r="Y145" s="1103">
        <f>VLOOKUP(Y$1,'cost per tipologia de sòl'!$A$2:$D$37,4,FALSE)*'T100'!Y145</f>
        <v>0</v>
      </c>
      <c r="Z145" s="1103">
        <f>VLOOKUP(Z$1,'cost per tipologia de sòl'!$A$2:$D$37,4,FALSE)*'T100'!Z145</f>
        <v>0</v>
      </c>
      <c r="AA145" s="1103">
        <f>VLOOKUP(AA$1,'cost per tipologia de sòl'!$A$2:$D$37,4,FALSE)*'T100'!AA145</f>
        <v>835598.15</v>
      </c>
      <c r="AB145" s="1103">
        <f>VLOOKUP(AB$1,'cost per tipologia de sòl'!$A$2:$D$37,4,FALSE)*'T100'!AB145</f>
        <v>733796.15</v>
      </c>
      <c r="AC145" s="1103">
        <f>VLOOKUP(AC$1,'cost per tipologia de sòl'!$A$2:$D$37,4,FALSE)*'T100'!AC145</f>
        <v>4736922.3</v>
      </c>
      <c r="AD145" s="1103">
        <f>VLOOKUP(AD$1,'cost per tipologia de sòl'!$A$2:$D$37,4,FALSE)*'T100'!AD145</f>
        <v>2373183.6</v>
      </c>
      <c r="AE145" s="1103">
        <f>VLOOKUP(AE$1,'cost per tipologia de sòl'!$A$2:$D$37,4,FALSE)*'T100'!AE145</f>
        <v>0</v>
      </c>
      <c r="AF145" s="1103">
        <f>VLOOKUP(AF$1,'cost per tipologia de sòl'!$A$2:$D$37,4,FALSE)*'T100'!AF145</f>
        <v>0</v>
      </c>
      <c r="AG145" s="1103">
        <f>VLOOKUP(AG$1,'cost per tipologia de sòl'!$A$2:$D$37,4,FALSE)*'T100'!AG145</f>
        <v>0</v>
      </c>
      <c r="AH145" s="1103">
        <f>VLOOKUP(AH$1,'cost per tipologia de sòl'!$A$2:$D$37,4,FALSE)*'T100'!AH145</f>
        <v>0</v>
      </c>
      <c r="AI145" s="1103">
        <f>VLOOKUP(AI$1,'cost per tipologia de sòl'!$A$2:$D$37,4,FALSE)*'T100'!AI145</f>
        <v>0</v>
      </c>
      <c r="AJ145" s="1103">
        <f t="shared" si="4"/>
        <v>79240194.097000003</v>
      </c>
      <c r="AK145" s="1117">
        <f t="shared" si="5"/>
        <v>23.772058229099997</v>
      </c>
    </row>
    <row r="146" spans="1:37">
      <c r="A146" s="1096" t="s">
        <v>1602</v>
      </c>
      <c r="B146" s="1103">
        <f>VLOOKUP(B$1,'cost per tipologia de sòl'!$A$2:$D$37,4,FALSE)*'T100'!B146</f>
        <v>37457245.439999998</v>
      </c>
      <c r="C146" s="1103">
        <f>VLOOKUP(C$1,'cost per tipologia de sòl'!$A$2:$D$37,4,FALSE)*'T100'!C146</f>
        <v>0</v>
      </c>
      <c r="D146" s="1103">
        <f>VLOOKUP(D$1,'cost per tipologia de sòl'!$A$2:$D$37,4,FALSE)*'T100'!D146</f>
        <v>20994.21</v>
      </c>
      <c r="E146" s="1103">
        <f>VLOOKUP(E$1,'cost per tipologia de sòl'!$A$2:$D$37,4,FALSE)*'T100'!E146</f>
        <v>0</v>
      </c>
      <c r="F146" s="1103">
        <f>VLOOKUP(F$1,'cost per tipologia de sòl'!$A$2:$D$37,4,FALSE)*'T100'!F146</f>
        <v>0</v>
      </c>
      <c r="G146" s="1103">
        <f>VLOOKUP(G$1,'cost per tipologia de sòl'!$A$2:$D$37,4,FALSE)*'T100'!G146</f>
        <v>0</v>
      </c>
      <c r="H146" s="1103">
        <f>VLOOKUP(H$1,'cost per tipologia de sòl'!$A$2:$D$37,4,FALSE)*'T100'!H146</f>
        <v>0</v>
      </c>
      <c r="I146" s="1103">
        <f>VLOOKUP(I$1,'cost per tipologia de sòl'!$A$2:$D$37,4,FALSE)*'T100'!I146</f>
        <v>0</v>
      </c>
      <c r="J146" s="1103">
        <f>VLOOKUP(J$1,'cost per tipologia de sòl'!$A$2:$D$37,4,FALSE)*'T100'!J146</f>
        <v>21402.012500000001</v>
      </c>
      <c r="K146" s="1103">
        <f>VLOOKUP(K$1,'cost per tipologia de sòl'!$A$2:$D$37,4,FALSE)*'T100'!K146</f>
        <v>0</v>
      </c>
      <c r="L146" s="1103">
        <f>VLOOKUP(L$1,'cost per tipologia de sòl'!$A$2:$D$37,4,FALSE)*'T100'!L146</f>
        <v>0</v>
      </c>
      <c r="M146" s="1103">
        <f>VLOOKUP(M$1,'cost per tipologia de sòl'!$A$2:$D$37,4,FALSE)*'T100'!M146</f>
        <v>0</v>
      </c>
      <c r="N146" s="1103">
        <f>VLOOKUP(N$1,'cost per tipologia de sòl'!$A$2:$D$37,4,FALSE)*'T100'!N146</f>
        <v>785588.4</v>
      </c>
      <c r="O146" s="1103">
        <f>VLOOKUP(O$1,'cost per tipologia de sòl'!$A$2:$D$37,4,FALSE)*'T100'!O146</f>
        <v>0</v>
      </c>
      <c r="P146" s="1103">
        <f>VLOOKUP(P$1,'cost per tipologia de sòl'!$A$2:$D$37,4,FALSE)*'T100'!P146</f>
        <v>0</v>
      </c>
      <c r="Q146" s="1103">
        <f>VLOOKUP(Q$1,'cost per tipologia de sòl'!$A$2:$D$37,4,FALSE)*'T100'!Q146</f>
        <v>0</v>
      </c>
      <c r="R146" s="1103">
        <f>VLOOKUP(R$1,'cost per tipologia de sòl'!$A$2:$D$37,4,FALSE)*'T100'!R146</f>
        <v>0</v>
      </c>
      <c r="S146" s="1103">
        <f>VLOOKUP(S$1,'cost per tipologia de sòl'!$A$2:$D$37,4,FALSE)*'T100'!S146</f>
        <v>2094514.128</v>
      </c>
      <c r="T146" s="1103">
        <f>VLOOKUP(T$1,'cost per tipologia de sòl'!$A$2:$D$37,4,FALSE)*'T100'!T146</f>
        <v>500498.92000000004</v>
      </c>
      <c r="U146" s="1103">
        <f>VLOOKUP(U$1,'cost per tipologia de sòl'!$A$2:$D$37,4,FALSE)*'T100'!U146</f>
        <v>7689596.25</v>
      </c>
      <c r="V146" s="1103">
        <f>VLOOKUP(V$1,'cost per tipologia de sòl'!$A$2:$D$37,4,FALSE)*'T100'!V146</f>
        <v>0</v>
      </c>
      <c r="W146" s="1103">
        <f>VLOOKUP(W$1,'cost per tipologia de sòl'!$A$2:$D$37,4,FALSE)*'T100'!W146</f>
        <v>0</v>
      </c>
      <c r="X146" s="1103">
        <f>VLOOKUP(X$1,'cost per tipologia de sòl'!$A$2:$D$37,4,FALSE)*'T100'!X146</f>
        <v>0</v>
      </c>
      <c r="Y146" s="1103">
        <f>VLOOKUP(Y$1,'cost per tipologia de sòl'!$A$2:$D$37,4,FALSE)*'T100'!Y146</f>
        <v>0</v>
      </c>
      <c r="Z146" s="1103">
        <f>VLOOKUP(Z$1,'cost per tipologia de sòl'!$A$2:$D$37,4,FALSE)*'T100'!Z146</f>
        <v>16262630.248</v>
      </c>
      <c r="AA146" s="1103">
        <f>VLOOKUP(AA$1,'cost per tipologia de sòl'!$A$2:$D$37,4,FALSE)*'T100'!AA146</f>
        <v>0</v>
      </c>
      <c r="AB146" s="1103">
        <f>VLOOKUP(AB$1,'cost per tipologia de sòl'!$A$2:$D$37,4,FALSE)*'T100'!AB146</f>
        <v>16941932.349999998</v>
      </c>
      <c r="AC146" s="1103">
        <f>VLOOKUP(AC$1,'cost per tipologia de sòl'!$A$2:$D$37,4,FALSE)*'T100'!AC146</f>
        <v>3544398.7</v>
      </c>
      <c r="AD146" s="1103">
        <f>VLOOKUP(AD$1,'cost per tipologia de sòl'!$A$2:$D$37,4,FALSE)*'T100'!AD146</f>
        <v>29458930.949999999</v>
      </c>
      <c r="AE146" s="1103">
        <f>VLOOKUP(AE$1,'cost per tipologia de sòl'!$A$2:$D$37,4,FALSE)*'T100'!AE146</f>
        <v>0</v>
      </c>
      <c r="AF146" s="1103">
        <f>VLOOKUP(AF$1,'cost per tipologia de sòl'!$A$2:$D$37,4,FALSE)*'T100'!AF146</f>
        <v>0</v>
      </c>
      <c r="AG146" s="1103">
        <f>VLOOKUP(AG$1,'cost per tipologia de sòl'!$A$2:$D$37,4,FALSE)*'T100'!AG146</f>
        <v>0</v>
      </c>
      <c r="AH146" s="1103">
        <f>VLOOKUP(AH$1,'cost per tipologia de sòl'!$A$2:$D$37,4,FALSE)*'T100'!AH146</f>
        <v>0</v>
      </c>
      <c r="AI146" s="1103">
        <f>VLOOKUP(AI$1,'cost per tipologia de sòl'!$A$2:$D$37,4,FALSE)*'T100'!AI146</f>
        <v>0</v>
      </c>
      <c r="AJ146" s="1103">
        <f t="shared" si="4"/>
        <v>114777731.6085</v>
      </c>
      <c r="AK146" s="1117">
        <f t="shared" si="5"/>
        <v>34.433319482550004</v>
      </c>
    </row>
    <row r="147" spans="1:37">
      <c r="A147" s="1096" t="s">
        <v>1558</v>
      </c>
      <c r="B147" s="1103">
        <f>VLOOKUP(B$1,'cost per tipologia de sòl'!$A$2:$D$37,4,FALSE)*'T100'!B147</f>
        <v>0</v>
      </c>
      <c r="C147" s="1103">
        <f>VLOOKUP(C$1,'cost per tipologia de sòl'!$A$2:$D$37,4,FALSE)*'T100'!C147</f>
        <v>0</v>
      </c>
      <c r="D147" s="1103">
        <f>VLOOKUP(D$1,'cost per tipologia de sòl'!$A$2:$D$37,4,FALSE)*'T100'!D147</f>
        <v>0</v>
      </c>
      <c r="E147" s="1103">
        <f>VLOOKUP(E$1,'cost per tipologia de sòl'!$A$2:$D$37,4,FALSE)*'T100'!E147</f>
        <v>0</v>
      </c>
      <c r="F147" s="1103">
        <f>VLOOKUP(F$1,'cost per tipologia de sòl'!$A$2:$D$37,4,FALSE)*'T100'!F147</f>
        <v>0</v>
      </c>
      <c r="G147" s="1103">
        <f>VLOOKUP(G$1,'cost per tipologia de sòl'!$A$2:$D$37,4,FALSE)*'T100'!G147</f>
        <v>0</v>
      </c>
      <c r="H147" s="1103">
        <f>VLOOKUP(H$1,'cost per tipologia de sòl'!$A$2:$D$37,4,FALSE)*'T100'!H147</f>
        <v>0</v>
      </c>
      <c r="I147" s="1103">
        <f>VLOOKUP(I$1,'cost per tipologia de sòl'!$A$2:$D$37,4,FALSE)*'T100'!I147</f>
        <v>0</v>
      </c>
      <c r="J147" s="1103">
        <f>VLOOKUP(J$1,'cost per tipologia de sòl'!$A$2:$D$37,4,FALSE)*'T100'!J147</f>
        <v>0</v>
      </c>
      <c r="K147" s="1103">
        <f>VLOOKUP(K$1,'cost per tipologia de sòl'!$A$2:$D$37,4,FALSE)*'T100'!K147</f>
        <v>0</v>
      </c>
      <c r="L147" s="1103">
        <f>VLOOKUP(L$1,'cost per tipologia de sòl'!$A$2:$D$37,4,FALSE)*'T100'!L147</f>
        <v>0</v>
      </c>
      <c r="M147" s="1103">
        <f>VLOOKUP(M$1,'cost per tipologia de sòl'!$A$2:$D$37,4,FALSE)*'T100'!M147</f>
        <v>0</v>
      </c>
      <c r="N147" s="1103">
        <f>VLOOKUP(N$1,'cost per tipologia de sòl'!$A$2:$D$37,4,FALSE)*'T100'!N147</f>
        <v>0</v>
      </c>
      <c r="O147" s="1103">
        <f>VLOOKUP(O$1,'cost per tipologia de sòl'!$A$2:$D$37,4,FALSE)*'T100'!O147</f>
        <v>0</v>
      </c>
      <c r="P147" s="1103">
        <f>VLOOKUP(P$1,'cost per tipologia de sòl'!$A$2:$D$37,4,FALSE)*'T100'!P147</f>
        <v>0</v>
      </c>
      <c r="Q147" s="1103">
        <f>VLOOKUP(Q$1,'cost per tipologia de sòl'!$A$2:$D$37,4,FALSE)*'T100'!Q147</f>
        <v>0</v>
      </c>
      <c r="R147" s="1103">
        <f>VLOOKUP(R$1,'cost per tipologia de sòl'!$A$2:$D$37,4,FALSE)*'T100'!R147</f>
        <v>0</v>
      </c>
      <c r="S147" s="1103">
        <f>VLOOKUP(S$1,'cost per tipologia de sòl'!$A$2:$D$37,4,FALSE)*'T100'!S147</f>
        <v>0</v>
      </c>
      <c r="T147" s="1103">
        <f>VLOOKUP(T$1,'cost per tipologia de sòl'!$A$2:$D$37,4,FALSE)*'T100'!T147</f>
        <v>0</v>
      </c>
      <c r="U147" s="1103">
        <f>VLOOKUP(U$1,'cost per tipologia de sòl'!$A$2:$D$37,4,FALSE)*'T100'!U147</f>
        <v>2261640.15</v>
      </c>
      <c r="V147" s="1103">
        <f>VLOOKUP(V$1,'cost per tipologia de sòl'!$A$2:$D$37,4,FALSE)*'T100'!V147</f>
        <v>0</v>
      </c>
      <c r="W147" s="1103">
        <f>VLOOKUP(W$1,'cost per tipologia de sòl'!$A$2:$D$37,4,FALSE)*'T100'!W147</f>
        <v>0</v>
      </c>
      <c r="X147" s="1103">
        <f>VLOOKUP(X$1,'cost per tipologia de sòl'!$A$2:$D$37,4,FALSE)*'T100'!X147</f>
        <v>0</v>
      </c>
      <c r="Y147" s="1103">
        <f>VLOOKUP(Y$1,'cost per tipologia de sòl'!$A$2:$D$37,4,FALSE)*'T100'!Y147</f>
        <v>0</v>
      </c>
      <c r="Z147" s="1103">
        <f>VLOOKUP(Z$1,'cost per tipologia de sòl'!$A$2:$D$37,4,FALSE)*'T100'!Z147</f>
        <v>0</v>
      </c>
      <c r="AA147" s="1103">
        <f>VLOOKUP(AA$1,'cost per tipologia de sòl'!$A$2:$D$37,4,FALSE)*'T100'!AA147</f>
        <v>0</v>
      </c>
      <c r="AB147" s="1103">
        <f>VLOOKUP(AB$1,'cost per tipologia de sòl'!$A$2:$D$37,4,FALSE)*'T100'!AB147</f>
        <v>0</v>
      </c>
      <c r="AC147" s="1103">
        <f>VLOOKUP(AC$1,'cost per tipologia de sòl'!$A$2:$D$37,4,FALSE)*'T100'!AC147</f>
        <v>0</v>
      </c>
      <c r="AD147" s="1103">
        <f>VLOOKUP(AD$1,'cost per tipologia de sòl'!$A$2:$D$37,4,FALSE)*'T100'!AD147</f>
        <v>56506135.849999994</v>
      </c>
      <c r="AE147" s="1103">
        <f>VLOOKUP(AE$1,'cost per tipologia de sòl'!$A$2:$D$37,4,FALSE)*'T100'!AE147</f>
        <v>0</v>
      </c>
      <c r="AF147" s="1103">
        <f>VLOOKUP(AF$1,'cost per tipologia de sòl'!$A$2:$D$37,4,FALSE)*'T100'!AF147</f>
        <v>0</v>
      </c>
      <c r="AG147" s="1103">
        <f>VLOOKUP(AG$1,'cost per tipologia de sòl'!$A$2:$D$37,4,FALSE)*'T100'!AG147</f>
        <v>0</v>
      </c>
      <c r="AH147" s="1103">
        <f>VLOOKUP(AH$1,'cost per tipologia de sòl'!$A$2:$D$37,4,FALSE)*'T100'!AH147</f>
        <v>0</v>
      </c>
      <c r="AI147" s="1103">
        <f>VLOOKUP(AI$1,'cost per tipologia de sòl'!$A$2:$D$37,4,FALSE)*'T100'!AI147</f>
        <v>0</v>
      </c>
      <c r="AJ147" s="1103">
        <f t="shared" si="4"/>
        <v>58767775.999999993</v>
      </c>
      <c r="AK147" s="1117">
        <f t="shared" si="5"/>
        <v>17.630332799999998</v>
      </c>
    </row>
    <row r="148" spans="1:37">
      <c r="A148" s="1096" t="s">
        <v>1559</v>
      </c>
      <c r="B148" s="1103">
        <f>VLOOKUP(B$1,'cost per tipologia de sòl'!$A$2:$D$37,4,FALSE)*'T100'!B148</f>
        <v>1981969.344</v>
      </c>
      <c r="C148" s="1103">
        <f>VLOOKUP(C$1,'cost per tipologia de sòl'!$A$2:$D$37,4,FALSE)*'T100'!C148</f>
        <v>0</v>
      </c>
      <c r="D148" s="1103">
        <f>VLOOKUP(D$1,'cost per tipologia de sòl'!$A$2:$D$37,4,FALSE)*'T100'!D148</f>
        <v>0</v>
      </c>
      <c r="E148" s="1103">
        <f>VLOOKUP(E$1,'cost per tipologia de sòl'!$A$2:$D$37,4,FALSE)*'T100'!E148</f>
        <v>0</v>
      </c>
      <c r="F148" s="1103">
        <f>VLOOKUP(F$1,'cost per tipologia de sòl'!$A$2:$D$37,4,FALSE)*'T100'!F148</f>
        <v>0</v>
      </c>
      <c r="G148" s="1103">
        <f>VLOOKUP(G$1,'cost per tipologia de sòl'!$A$2:$D$37,4,FALSE)*'T100'!G148</f>
        <v>0</v>
      </c>
      <c r="H148" s="1103">
        <f>VLOOKUP(H$1,'cost per tipologia de sòl'!$A$2:$D$37,4,FALSE)*'T100'!H148</f>
        <v>0</v>
      </c>
      <c r="I148" s="1103">
        <f>VLOOKUP(I$1,'cost per tipologia de sòl'!$A$2:$D$37,4,FALSE)*'T100'!I148</f>
        <v>0</v>
      </c>
      <c r="J148" s="1103">
        <f>VLOOKUP(J$1,'cost per tipologia de sòl'!$A$2:$D$37,4,FALSE)*'T100'!J148</f>
        <v>0</v>
      </c>
      <c r="K148" s="1103">
        <f>VLOOKUP(K$1,'cost per tipologia de sòl'!$A$2:$D$37,4,FALSE)*'T100'!K148</f>
        <v>0</v>
      </c>
      <c r="L148" s="1103">
        <f>VLOOKUP(L$1,'cost per tipologia de sòl'!$A$2:$D$37,4,FALSE)*'T100'!L148</f>
        <v>0</v>
      </c>
      <c r="M148" s="1103">
        <f>VLOOKUP(M$1,'cost per tipologia de sòl'!$A$2:$D$37,4,FALSE)*'T100'!M148</f>
        <v>0</v>
      </c>
      <c r="N148" s="1103">
        <f>VLOOKUP(N$1,'cost per tipologia de sòl'!$A$2:$D$37,4,FALSE)*'T100'!N148</f>
        <v>3619517.4160000002</v>
      </c>
      <c r="O148" s="1103">
        <f>VLOOKUP(O$1,'cost per tipologia de sòl'!$A$2:$D$37,4,FALSE)*'T100'!O148</f>
        <v>0</v>
      </c>
      <c r="P148" s="1103">
        <f>VLOOKUP(P$1,'cost per tipologia de sòl'!$A$2:$D$37,4,FALSE)*'T100'!P148</f>
        <v>55784850.168000005</v>
      </c>
      <c r="Q148" s="1103">
        <f>VLOOKUP(Q$1,'cost per tipologia de sòl'!$A$2:$D$37,4,FALSE)*'T100'!Q148</f>
        <v>0</v>
      </c>
      <c r="R148" s="1103">
        <f>VLOOKUP(R$1,'cost per tipologia de sòl'!$A$2:$D$37,4,FALSE)*'T100'!R148</f>
        <v>0</v>
      </c>
      <c r="S148" s="1103">
        <f>VLOOKUP(S$1,'cost per tipologia de sòl'!$A$2:$D$37,4,FALSE)*'T100'!S148</f>
        <v>93719107.440000013</v>
      </c>
      <c r="T148" s="1103">
        <f>VLOOKUP(T$1,'cost per tipologia de sòl'!$A$2:$D$37,4,FALSE)*'T100'!T148</f>
        <v>45569398.816</v>
      </c>
      <c r="U148" s="1103">
        <f>VLOOKUP(U$1,'cost per tipologia de sòl'!$A$2:$D$37,4,FALSE)*'T100'!U148</f>
        <v>3813697.65</v>
      </c>
      <c r="V148" s="1103">
        <f>VLOOKUP(V$1,'cost per tipologia de sòl'!$A$2:$D$37,4,FALSE)*'T100'!V148</f>
        <v>0</v>
      </c>
      <c r="W148" s="1103">
        <f>VLOOKUP(W$1,'cost per tipologia de sòl'!$A$2:$D$37,4,FALSE)*'T100'!W148</f>
        <v>0</v>
      </c>
      <c r="X148" s="1103">
        <f>VLOOKUP(X$1,'cost per tipologia de sòl'!$A$2:$D$37,4,FALSE)*'T100'!X148</f>
        <v>0</v>
      </c>
      <c r="Y148" s="1103">
        <f>VLOOKUP(Y$1,'cost per tipologia de sòl'!$A$2:$D$37,4,FALSE)*'T100'!Y148</f>
        <v>0</v>
      </c>
      <c r="Z148" s="1103">
        <f>VLOOKUP(Z$1,'cost per tipologia de sòl'!$A$2:$D$37,4,FALSE)*'T100'!Z148</f>
        <v>185517.03200000001</v>
      </c>
      <c r="AA148" s="1103">
        <f>VLOOKUP(AA$1,'cost per tipologia de sòl'!$A$2:$D$37,4,FALSE)*'T100'!AA148</f>
        <v>0</v>
      </c>
      <c r="AB148" s="1103">
        <f>VLOOKUP(AB$1,'cost per tipologia de sòl'!$A$2:$D$37,4,FALSE)*'T100'!AB148</f>
        <v>0</v>
      </c>
      <c r="AC148" s="1103">
        <f>VLOOKUP(AC$1,'cost per tipologia de sòl'!$A$2:$D$37,4,FALSE)*'T100'!AC148</f>
        <v>32765064.900000002</v>
      </c>
      <c r="AD148" s="1103">
        <f>VLOOKUP(AD$1,'cost per tipologia de sòl'!$A$2:$D$37,4,FALSE)*'T100'!AD148</f>
        <v>121882376.09999999</v>
      </c>
      <c r="AE148" s="1103">
        <f>VLOOKUP(AE$1,'cost per tipologia de sòl'!$A$2:$D$37,4,FALSE)*'T100'!AE148</f>
        <v>0</v>
      </c>
      <c r="AF148" s="1103">
        <f>VLOOKUP(AF$1,'cost per tipologia de sòl'!$A$2:$D$37,4,FALSE)*'T100'!AF148</f>
        <v>0</v>
      </c>
      <c r="AG148" s="1103">
        <f>VLOOKUP(AG$1,'cost per tipologia de sòl'!$A$2:$D$37,4,FALSE)*'T100'!AG148</f>
        <v>0</v>
      </c>
      <c r="AH148" s="1103">
        <f>VLOOKUP(AH$1,'cost per tipologia de sòl'!$A$2:$D$37,4,FALSE)*'T100'!AH148</f>
        <v>0</v>
      </c>
      <c r="AI148" s="1103">
        <f>VLOOKUP(AI$1,'cost per tipologia de sòl'!$A$2:$D$37,4,FALSE)*'T100'!AI148</f>
        <v>0</v>
      </c>
      <c r="AJ148" s="1103">
        <f t="shared" si="4"/>
        <v>359321498.86600006</v>
      </c>
      <c r="AK148" s="1117">
        <f t="shared" si="5"/>
        <v>107.79644965980002</v>
      </c>
    </row>
    <row r="149" spans="1:37">
      <c r="A149" s="1096" t="s">
        <v>1561</v>
      </c>
      <c r="B149" s="1103">
        <f>VLOOKUP(B$1,'cost per tipologia de sòl'!$A$2:$D$37,4,FALSE)*'T100'!B149</f>
        <v>0</v>
      </c>
      <c r="C149" s="1103">
        <f>VLOOKUP(C$1,'cost per tipologia de sòl'!$A$2:$D$37,4,FALSE)*'T100'!C149</f>
        <v>0</v>
      </c>
      <c r="D149" s="1103">
        <f>VLOOKUP(D$1,'cost per tipologia de sòl'!$A$2:$D$37,4,FALSE)*'T100'!D149</f>
        <v>0</v>
      </c>
      <c r="E149" s="1103">
        <f>VLOOKUP(E$1,'cost per tipologia de sòl'!$A$2:$D$37,4,FALSE)*'T100'!E149</f>
        <v>0</v>
      </c>
      <c r="F149" s="1103">
        <f>VLOOKUP(F$1,'cost per tipologia de sòl'!$A$2:$D$37,4,FALSE)*'T100'!F149</f>
        <v>0</v>
      </c>
      <c r="G149" s="1103">
        <f>VLOOKUP(G$1,'cost per tipologia de sòl'!$A$2:$D$37,4,FALSE)*'T100'!G149</f>
        <v>0</v>
      </c>
      <c r="H149" s="1103">
        <f>VLOOKUP(H$1,'cost per tipologia de sòl'!$A$2:$D$37,4,FALSE)*'T100'!H149</f>
        <v>0</v>
      </c>
      <c r="I149" s="1103">
        <f>VLOOKUP(I$1,'cost per tipologia de sòl'!$A$2:$D$37,4,FALSE)*'T100'!I149</f>
        <v>0</v>
      </c>
      <c r="J149" s="1103">
        <f>VLOOKUP(J$1,'cost per tipologia de sòl'!$A$2:$D$37,4,FALSE)*'T100'!J149</f>
        <v>669193.6405000001</v>
      </c>
      <c r="K149" s="1103">
        <f>VLOOKUP(K$1,'cost per tipologia de sòl'!$A$2:$D$37,4,FALSE)*'T100'!K149</f>
        <v>0</v>
      </c>
      <c r="L149" s="1103">
        <f>VLOOKUP(L$1,'cost per tipologia de sòl'!$A$2:$D$37,4,FALSE)*'T100'!L149</f>
        <v>0</v>
      </c>
      <c r="M149" s="1103">
        <f>VLOOKUP(M$1,'cost per tipologia de sòl'!$A$2:$D$37,4,FALSE)*'T100'!M149</f>
        <v>0</v>
      </c>
      <c r="N149" s="1103">
        <f>VLOOKUP(N$1,'cost per tipologia de sòl'!$A$2:$D$37,4,FALSE)*'T100'!N149</f>
        <v>0</v>
      </c>
      <c r="O149" s="1103">
        <f>VLOOKUP(O$1,'cost per tipologia de sòl'!$A$2:$D$37,4,FALSE)*'T100'!O149</f>
        <v>0</v>
      </c>
      <c r="P149" s="1103">
        <f>VLOOKUP(P$1,'cost per tipologia de sòl'!$A$2:$D$37,4,FALSE)*'T100'!P149</f>
        <v>0</v>
      </c>
      <c r="Q149" s="1103">
        <f>VLOOKUP(Q$1,'cost per tipologia de sòl'!$A$2:$D$37,4,FALSE)*'T100'!Q149</f>
        <v>0</v>
      </c>
      <c r="R149" s="1103">
        <f>VLOOKUP(R$1,'cost per tipologia de sòl'!$A$2:$D$37,4,FALSE)*'T100'!R149</f>
        <v>0</v>
      </c>
      <c r="S149" s="1103">
        <f>VLOOKUP(S$1,'cost per tipologia de sòl'!$A$2:$D$37,4,FALSE)*'T100'!S149</f>
        <v>0</v>
      </c>
      <c r="T149" s="1103">
        <f>VLOOKUP(T$1,'cost per tipologia de sòl'!$A$2:$D$37,4,FALSE)*'T100'!T149</f>
        <v>0</v>
      </c>
      <c r="U149" s="1103">
        <f>VLOOKUP(U$1,'cost per tipologia de sòl'!$A$2:$D$37,4,FALSE)*'T100'!U149</f>
        <v>0</v>
      </c>
      <c r="V149" s="1103">
        <f>VLOOKUP(V$1,'cost per tipologia de sòl'!$A$2:$D$37,4,FALSE)*'T100'!V149</f>
        <v>0</v>
      </c>
      <c r="W149" s="1103">
        <f>VLOOKUP(W$1,'cost per tipologia de sòl'!$A$2:$D$37,4,FALSE)*'T100'!W149</f>
        <v>0</v>
      </c>
      <c r="X149" s="1103">
        <f>VLOOKUP(X$1,'cost per tipologia de sòl'!$A$2:$D$37,4,FALSE)*'T100'!X149</f>
        <v>0</v>
      </c>
      <c r="Y149" s="1103">
        <f>VLOOKUP(Y$1,'cost per tipologia de sòl'!$A$2:$D$37,4,FALSE)*'T100'!Y149</f>
        <v>0</v>
      </c>
      <c r="Z149" s="1103">
        <f>VLOOKUP(Z$1,'cost per tipologia de sòl'!$A$2:$D$37,4,FALSE)*'T100'!Z149</f>
        <v>0</v>
      </c>
      <c r="AA149" s="1103">
        <f>VLOOKUP(AA$1,'cost per tipologia de sòl'!$A$2:$D$37,4,FALSE)*'T100'!AA149</f>
        <v>0</v>
      </c>
      <c r="AB149" s="1103">
        <f>VLOOKUP(AB$1,'cost per tipologia de sòl'!$A$2:$D$37,4,FALSE)*'T100'!AB149</f>
        <v>0</v>
      </c>
      <c r="AC149" s="1103">
        <f>VLOOKUP(AC$1,'cost per tipologia de sòl'!$A$2:$D$37,4,FALSE)*'T100'!AC149</f>
        <v>0</v>
      </c>
      <c r="AD149" s="1103">
        <f>VLOOKUP(AD$1,'cost per tipologia de sòl'!$A$2:$D$37,4,FALSE)*'T100'!AD149</f>
        <v>0</v>
      </c>
      <c r="AE149" s="1103">
        <f>VLOOKUP(AE$1,'cost per tipologia de sòl'!$A$2:$D$37,4,FALSE)*'T100'!AE149</f>
        <v>0</v>
      </c>
      <c r="AF149" s="1103">
        <f>VLOOKUP(AF$1,'cost per tipologia de sòl'!$A$2:$D$37,4,FALSE)*'T100'!AF149</f>
        <v>0</v>
      </c>
      <c r="AG149" s="1103">
        <f>VLOOKUP(AG$1,'cost per tipologia de sòl'!$A$2:$D$37,4,FALSE)*'T100'!AG149</f>
        <v>0</v>
      </c>
      <c r="AH149" s="1103">
        <f>VLOOKUP(AH$1,'cost per tipologia de sòl'!$A$2:$D$37,4,FALSE)*'T100'!AH149</f>
        <v>0</v>
      </c>
      <c r="AI149" s="1103">
        <f>VLOOKUP(AI$1,'cost per tipologia de sòl'!$A$2:$D$37,4,FALSE)*'T100'!AI149</f>
        <v>0</v>
      </c>
      <c r="AJ149" s="1103">
        <f t="shared" si="4"/>
        <v>669193.6405000001</v>
      </c>
      <c r="AK149" s="1117">
        <f t="shared" si="5"/>
        <v>0.20075809215000004</v>
      </c>
    </row>
    <row r="150" spans="1:37">
      <c r="A150" s="1096" t="s">
        <v>1562</v>
      </c>
      <c r="B150" s="1103">
        <f>VLOOKUP(B$1,'cost per tipologia de sòl'!$A$2:$D$37,4,FALSE)*'T100'!B150</f>
        <v>0</v>
      </c>
      <c r="C150" s="1103">
        <f>VLOOKUP(C$1,'cost per tipologia de sòl'!$A$2:$D$37,4,FALSE)*'T100'!C150</f>
        <v>0</v>
      </c>
      <c r="D150" s="1103">
        <f>VLOOKUP(D$1,'cost per tipologia de sòl'!$A$2:$D$37,4,FALSE)*'T100'!D150</f>
        <v>366007.87199999997</v>
      </c>
      <c r="E150" s="1103">
        <f>VLOOKUP(E$1,'cost per tipologia de sòl'!$A$2:$D$37,4,FALSE)*'T100'!E150</f>
        <v>0</v>
      </c>
      <c r="F150" s="1103">
        <f>VLOOKUP(F$1,'cost per tipologia de sòl'!$A$2:$D$37,4,FALSE)*'T100'!F150</f>
        <v>0</v>
      </c>
      <c r="G150" s="1103">
        <f>VLOOKUP(G$1,'cost per tipologia de sòl'!$A$2:$D$37,4,FALSE)*'T100'!G150</f>
        <v>0</v>
      </c>
      <c r="H150" s="1103">
        <f>VLOOKUP(H$1,'cost per tipologia de sòl'!$A$2:$D$37,4,FALSE)*'T100'!H150</f>
        <v>0</v>
      </c>
      <c r="I150" s="1103">
        <f>VLOOKUP(I$1,'cost per tipologia de sòl'!$A$2:$D$37,4,FALSE)*'T100'!I150</f>
        <v>0</v>
      </c>
      <c r="J150" s="1103">
        <f>VLOOKUP(J$1,'cost per tipologia de sòl'!$A$2:$D$37,4,FALSE)*'T100'!J150</f>
        <v>0</v>
      </c>
      <c r="K150" s="1103">
        <f>VLOOKUP(K$1,'cost per tipologia de sòl'!$A$2:$D$37,4,FALSE)*'T100'!K150</f>
        <v>0</v>
      </c>
      <c r="L150" s="1103">
        <f>VLOOKUP(L$1,'cost per tipologia de sòl'!$A$2:$D$37,4,FALSE)*'T100'!L150</f>
        <v>0</v>
      </c>
      <c r="M150" s="1103">
        <f>VLOOKUP(M$1,'cost per tipologia de sòl'!$A$2:$D$37,4,FALSE)*'T100'!M150</f>
        <v>0</v>
      </c>
      <c r="N150" s="1103">
        <f>VLOOKUP(N$1,'cost per tipologia de sòl'!$A$2:$D$37,4,FALSE)*'T100'!N150</f>
        <v>0</v>
      </c>
      <c r="O150" s="1103">
        <f>VLOOKUP(O$1,'cost per tipologia de sòl'!$A$2:$D$37,4,FALSE)*'T100'!O150</f>
        <v>0</v>
      </c>
      <c r="P150" s="1103">
        <f>VLOOKUP(P$1,'cost per tipologia de sòl'!$A$2:$D$37,4,FALSE)*'T100'!P150</f>
        <v>0</v>
      </c>
      <c r="Q150" s="1103">
        <f>VLOOKUP(Q$1,'cost per tipologia de sòl'!$A$2:$D$37,4,FALSE)*'T100'!Q150</f>
        <v>0</v>
      </c>
      <c r="R150" s="1103">
        <f>VLOOKUP(R$1,'cost per tipologia de sòl'!$A$2:$D$37,4,FALSE)*'T100'!R150</f>
        <v>0</v>
      </c>
      <c r="S150" s="1103">
        <f>VLOOKUP(S$1,'cost per tipologia de sòl'!$A$2:$D$37,4,FALSE)*'T100'!S150</f>
        <v>3300980.2560000001</v>
      </c>
      <c r="T150" s="1103">
        <f>VLOOKUP(T$1,'cost per tipologia de sòl'!$A$2:$D$37,4,FALSE)*'T100'!T150</f>
        <v>9913.1919999999991</v>
      </c>
      <c r="U150" s="1103">
        <f>VLOOKUP(U$1,'cost per tipologia de sòl'!$A$2:$D$37,4,FALSE)*'T100'!U150</f>
        <v>0</v>
      </c>
      <c r="V150" s="1103">
        <f>VLOOKUP(V$1,'cost per tipologia de sòl'!$A$2:$D$37,4,FALSE)*'T100'!V150</f>
        <v>0</v>
      </c>
      <c r="W150" s="1103">
        <f>VLOOKUP(W$1,'cost per tipologia de sòl'!$A$2:$D$37,4,FALSE)*'T100'!W150</f>
        <v>0</v>
      </c>
      <c r="X150" s="1103">
        <f>VLOOKUP(X$1,'cost per tipologia de sòl'!$A$2:$D$37,4,FALSE)*'T100'!X150</f>
        <v>0</v>
      </c>
      <c r="Y150" s="1103">
        <f>VLOOKUP(Y$1,'cost per tipologia de sòl'!$A$2:$D$37,4,FALSE)*'T100'!Y150</f>
        <v>0</v>
      </c>
      <c r="Z150" s="1103">
        <f>VLOOKUP(Z$1,'cost per tipologia de sòl'!$A$2:$D$37,4,FALSE)*'T100'!Z150</f>
        <v>0</v>
      </c>
      <c r="AA150" s="1103">
        <f>VLOOKUP(AA$1,'cost per tipologia de sòl'!$A$2:$D$37,4,FALSE)*'T100'!AA150</f>
        <v>0</v>
      </c>
      <c r="AB150" s="1103">
        <f>VLOOKUP(AB$1,'cost per tipologia de sòl'!$A$2:$D$37,4,FALSE)*'T100'!AB150</f>
        <v>891721.3</v>
      </c>
      <c r="AC150" s="1103">
        <f>VLOOKUP(AC$1,'cost per tipologia de sòl'!$A$2:$D$37,4,FALSE)*'T100'!AC150</f>
        <v>274055.05</v>
      </c>
      <c r="AD150" s="1103">
        <f>VLOOKUP(AD$1,'cost per tipologia de sòl'!$A$2:$D$37,4,FALSE)*'T100'!AD150</f>
        <v>109260.45</v>
      </c>
      <c r="AE150" s="1103">
        <f>VLOOKUP(AE$1,'cost per tipologia de sòl'!$A$2:$D$37,4,FALSE)*'T100'!AE150</f>
        <v>0</v>
      </c>
      <c r="AF150" s="1103">
        <f>VLOOKUP(AF$1,'cost per tipologia de sòl'!$A$2:$D$37,4,FALSE)*'T100'!AF150</f>
        <v>0</v>
      </c>
      <c r="AG150" s="1103">
        <f>VLOOKUP(AG$1,'cost per tipologia de sòl'!$A$2:$D$37,4,FALSE)*'T100'!AG150</f>
        <v>0</v>
      </c>
      <c r="AH150" s="1103">
        <f>VLOOKUP(AH$1,'cost per tipologia de sòl'!$A$2:$D$37,4,FALSE)*'T100'!AH150</f>
        <v>0</v>
      </c>
      <c r="AI150" s="1103">
        <f>VLOOKUP(AI$1,'cost per tipologia de sòl'!$A$2:$D$37,4,FALSE)*'T100'!AI150</f>
        <v>0</v>
      </c>
      <c r="AJ150" s="1103">
        <f t="shared" si="4"/>
        <v>4951938.12</v>
      </c>
      <c r="AK150" s="1117">
        <f t="shared" si="5"/>
        <v>1.4855814359999999</v>
      </c>
    </row>
    <row r="151" spans="1:37">
      <c r="A151" s="1096" t="s">
        <v>1564</v>
      </c>
      <c r="B151" s="1103">
        <f>VLOOKUP(B$1,'cost per tipologia de sòl'!$A$2:$D$37,4,FALSE)*'T100'!B151</f>
        <v>52208853.947999999</v>
      </c>
      <c r="C151" s="1103">
        <f>VLOOKUP(C$1,'cost per tipologia de sòl'!$A$2:$D$37,4,FALSE)*'T100'!C151</f>
        <v>1688920.7879999999</v>
      </c>
      <c r="D151" s="1103">
        <f>VLOOKUP(D$1,'cost per tipologia de sòl'!$A$2:$D$37,4,FALSE)*'T100'!D151</f>
        <v>0</v>
      </c>
      <c r="E151" s="1103">
        <f>VLOOKUP(E$1,'cost per tipologia de sòl'!$A$2:$D$37,4,FALSE)*'T100'!E151</f>
        <v>0</v>
      </c>
      <c r="F151" s="1103">
        <f>VLOOKUP(F$1,'cost per tipologia de sòl'!$A$2:$D$37,4,FALSE)*'T100'!F151</f>
        <v>0</v>
      </c>
      <c r="G151" s="1103">
        <f>VLOOKUP(G$1,'cost per tipologia de sòl'!$A$2:$D$37,4,FALSE)*'T100'!G151</f>
        <v>0</v>
      </c>
      <c r="H151" s="1103">
        <f>VLOOKUP(H$1,'cost per tipologia de sòl'!$A$2:$D$37,4,FALSE)*'T100'!H151</f>
        <v>0</v>
      </c>
      <c r="I151" s="1103">
        <f>VLOOKUP(I$1,'cost per tipologia de sòl'!$A$2:$D$37,4,FALSE)*'T100'!I151</f>
        <v>0</v>
      </c>
      <c r="J151" s="1103">
        <f>VLOOKUP(J$1,'cost per tipologia de sòl'!$A$2:$D$37,4,FALSE)*'T100'!J151</f>
        <v>92368.633499999996</v>
      </c>
      <c r="K151" s="1103">
        <f>VLOOKUP(K$1,'cost per tipologia de sòl'!$A$2:$D$37,4,FALSE)*'T100'!K151</f>
        <v>0</v>
      </c>
      <c r="L151" s="1103">
        <f>VLOOKUP(L$1,'cost per tipologia de sòl'!$A$2:$D$37,4,FALSE)*'T100'!L151</f>
        <v>31365667.691999998</v>
      </c>
      <c r="M151" s="1103">
        <f>VLOOKUP(M$1,'cost per tipologia de sòl'!$A$2:$D$37,4,FALSE)*'T100'!M151</f>
        <v>0</v>
      </c>
      <c r="N151" s="1103">
        <f>VLOOKUP(N$1,'cost per tipologia de sòl'!$A$2:$D$37,4,FALSE)*'T100'!N151</f>
        <v>0</v>
      </c>
      <c r="O151" s="1103">
        <f>VLOOKUP(O$1,'cost per tipologia de sòl'!$A$2:$D$37,4,FALSE)*'T100'!O151</f>
        <v>0</v>
      </c>
      <c r="P151" s="1103">
        <f>VLOOKUP(P$1,'cost per tipologia de sòl'!$A$2:$D$37,4,FALSE)*'T100'!P151</f>
        <v>0</v>
      </c>
      <c r="Q151" s="1103">
        <f>VLOOKUP(Q$1,'cost per tipologia de sòl'!$A$2:$D$37,4,FALSE)*'T100'!Q151</f>
        <v>0</v>
      </c>
      <c r="R151" s="1103">
        <f>VLOOKUP(R$1,'cost per tipologia de sòl'!$A$2:$D$37,4,FALSE)*'T100'!R151</f>
        <v>0</v>
      </c>
      <c r="S151" s="1103">
        <f>VLOOKUP(S$1,'cost per tipologia de sòl'!$A$2:$D$37,4,FALSE)*'T100'!S151</f>
        <v>16716967.344000001</v>
      </c>
      <c r="T151" s="1103">
        <f>VLOOKUP(T$1,'cost per tipologia de sòl'!$A$2:$D$37,4,FALSE)*'T100'!T151</f>
        <v>10320637.806</v>
      </c>
      <c r="U151" s="1103">
        <f>VLOOKUP(U$1,'cost per tipologia de sòl'!$A$2:$D$37,4,FALSE)*'T100'!U151</f>
        <v>0</v>
      </c>
      <c r="V151" s="1103">
        <f>VLOOKUP(V$1,'cost per tipologia de sòl'!$A$2:$D$37,4,FALSE)*'T100'!V151</f>
        <v>0</v>
      </c>
      <c r="W151" s="1103">
        <f>VLOOKUP(W$1,'cost per tipologia de sòl'!$A$2:$D$37,4,FALSE)*'T100'!W151</f>
        <v>0</v>
      </c>
      <c r="X151" s="1103">
        <f>VLOOKUP(X$1,'cost per tipologia de sòl'!$A$2:$D$37,4,FALSE)*'T100'!X151</f>
        <v>0</v>
      </c>
      <c r="Y151" s="1103">
        <f>VLOOKUP(Y$1,'cost per tipologia de sòl'!$A$2:$D$37,4,FALSE)*'T100'!Y151</f>
        <v>0</v>
      </c>
      <c r="Z151" s="1103">
        <f>VLOOKUP(Z$1,'cost per tipologia de sòl'!$A$2:$D$37,4,FALSE)*'T100'!Z151</f>
        <v>900498.35800000001</v>
      </c>
      <c r="AA151" s="1103">
        <f>VLOOKUP(AA$1,'cost per tipologia de sòl'!$A$2:$D$37,4,FALSE)*'T100'!AA151</f>
        <v>0</v>
      </c>
      <c r="AB151" s="1103">
        <f>VLOOKUP(AB$1,'cost per tipologia de sòl'!$A$2:$D$37,4,FALSE)*'T100'!AB151</f>
        <v>13042787.5</v>
      </c>
      <c r="AC151" s="1103">
        <f>VLOOKUP(AC$1,'cost per tipologia de sòl'!$A$2:$D$37,4,FALSE)*'T100'!AC151</f>
        <v>47983684.900000006</v>
      </c>
      <c r="AD151" s="1103">
        <f>VLOOKUP(AD$1,'cost per tipologia de sòl'!$A$2:$D$37,4,FALSE)*'T100'!AD151</f>
        <v>7838771.1000000006</v>
      </c>
      <c r="AE151" s="1103">
        <f>VLOOKUP(AE$1,'cost per tipologia de sòl'!$A$2:$D$37,4,FALSE)*'T100'!AE151</f>
        <v>0</v>
      </c>
      <c r="AF151" s="1103">
        <f>VLOOKUP(AF$1,'cost per tipologia de sòl'!$A$2:$D$37,4,FALSE)*'T100'!AF151</f>
        <v>0</v>
      </c>
      <c r="AG151" s="1103">
        <f>VLOOKUP(AG$1,'cost per tipologia de sòl'!$A$2:$D$37,4,FALSE)*'T100'!AG151</f>
        <v>0</v>
      </c>
      <c r="AH151" s="1103">
        <f>VLOOKUP(AH$1,'cost per tipologia de sòl'!$A$2:$D$37,4,FALSE)*'T100'!AH151</f>
        <v>0</v>
      </c>
      <c r="AI151" s="1103">
        <f>VLOOKUP(AI$1,'cost per tipologia de sòl'!$A$2:$D$37,4,FALSE)*'T100'!AI151</f>
        <v>0</v>
      </c>
      <c r="AJ151" s="1103">
        <f t="shared" si="4"/>
        <v>182159158.0695</v>
      </c>
      <c r="AK151" s="1117">
        <f t="shared" si="5"/>
        <v>54.647747420850003</v>
      </c>
    </row>
    <row r="152" spans="1:37">
      <c r="A152" s="1096" t="s">
        <v>1567</v>
      </c>
      <c r="B152" s="1103">
        <f>VLOOKUP(B$1,'cost per tipologia de sòl'!$A$2:$D$37,4,FALSE)*'T100'!B152</f>
        <v>738735.62399999995</v>
      </c>
      <c r="C152" s="1103">
        <f>VLOOKUP(C$1,'cost per tipologia de sòl'!$A$2:$D$37,4,FALSE)*'T100'!C152</f>
        <v>0</v>
      </c>
      <c r="D152" s="1103">
        <f>VLOOKUP(D$1,'cost per tipologia de sòl'!$A$2:$D$37,4,FALSE)*'T100'!D152</f>
        <v>0</v>
      </c>
      <c r="E152" s="1103">
        <f>VLOOKUP(E$1,'cost per tipologia de sòl'!$A$2:$D$37,4,FALSE)*'T100'!E152</f>
        <v>0</v>
      </c>
      <c r="F152" s="1103">
        <f>VLOOKUP(F$1,'cost per tipologia de sòl'!$A$2:$D$37,4,FALSE)*'T100'!F152</f>
        <v>0</v>
      </c>
      <c r="G152" s="1103">
        <f>VLOOKUP(G$1,'cost per tipologia de sòl'!$A$2:$D$37,4,FALSE)*'T100'!G152</f>
        <v>0</v>
      </c>
      <c r="H152" s="1103">
        <f>VLOOKUP(H$1,'cost per tipologia de sòl'!$A$2:$D$37,4,FALSE)*'T100'!H152</f>
        <v>0</v>
      </c>
      <c r="I152" s="1103">
        <f>VLOOKUP(I$1,'cost per tipologia de sòl'!$A$2:$D$37,4,FALSE)*'T100'!I152</f>
        <v>0</v>
      </c>
      <c r="J152" s="1103">
        <f>VLOOKUP(J$1,'cost per tipologia de sòl'!$A$2:$D$37,4,FALSE)*'T100'!J152</f>
        <v>5709.6655000000001</v>
      </c>
      <c r="K152" s="1103">
        <f>VLOOKUP(K$1,'cost per tipologia de sòl'!$A$2:$D$37,4,FALSE)*'T100'!K152</f>
        <v>0</v>
      </c>
      <c r="L152" s="1103">
        <f>VLOOKUP(L$1,'cost per tipologia de sòl'!$A$2:$D$37,4,FALSE)*'T100'!L152</f>
        <v>0</v>
      </c>
      <c r="M152" s="1103">
        <f>VLOOKUP(M$1,'cost per tipologia de sòl'!$A$2:$D$37,4,FALSE)*'T100'!M152</f>
        <v>0</v>
      </c>
      <c r="N152" s="1103">
        <f>VLOOKUP(N$1,'cost per tipologia de sòl'!$A$2:$D$37,4,FALSE)*'T100'!N152</f>
        <v>169.376</v>
      </c>
      <c r="O152" s="1103">
        <f>VLOOKUP(O$1,'cost per tipologia de sòl'!$A$2:$D$37,4,FALSE)*'T100'!O152</f>
        <v>0</v>
      </c>
      <c r="P152" s="1103">
        <f>VLOOKUP(P$1,'cost per tipologia de sòl'!$A$2:$D$37,4,FALSE)*'T100'!P152</f>
        <v>1516478.5359999998</v>
      </c>
      <c r="Q152" s="1103">
        <f>VLOOKUP(Q$1,'cost per tipologia de sòl'!$A$2:$D$37,4,FALSE)*'T100'!Q152</f>
        <v>0</v>
      </c>
      <c r="R152" s="1103">
        <f>VLOOKUP(R$1,'cost per tipologia de sòl'!$A$2:$D$37,4,FALSE)*'T100'!R152</f>
        <v>0</v>
      </c>
      <c r="S152" s="1103">
        <f>VLOOKUP(S$1,'cost per tipologia de sòl'!$A$2:$D$37,4,FALSE)*'T100'!S152</f>
        <v>0</v>
      </c>
      <c r="T152" s="1103">
        <f>VLOOKUP(T$1,'cost per tipologia de sòl'!$A$2:$D$37,4,FALSE)*'T100'!T152</f>
        <v>968887.46899999992</v>
      </c>
      <c r="U152" s="1103">
        <f>VLOOKUP(U$1,'cost per tipologia de sòl'!$A$2:$D$37,4,FALSE)*'T100'!U152</f>
        <v>0</v>
      </c>
      <c r="V152" s="1103">
        <f>VLOOKUP(V$1,'cost per tipologia de sòl'!$A$2:$D$37,4,FALSE)*'T100'!V152</f>
        <v>0</v>
      </c>
      <c r="W152" s="1103">
        <f>VLOOKUP(W$1,'cost per tipologia de sòl'!$A$2:$D$37,4,FALSE)*'T100'!W152</f>
        <v>0</v>
      </c>
      <c r="X152" s="1103">
        <f>VLOOKUP(X$1,'cost per tipologia de sòl'!$A$2:$D$37,4,FALSE)*'T100'!X152</f>
        <v>0</v>
      </c>
      <c r="Y152" s="1103">
        <f>VLOOKUP(Y$1,'cost per tipologia de sòl'!$A$2:$D$37,4,FALSE)*'T100'!Y152</f>
        <v>0</v>
      </c>
      <c r="Z152" s="1103">
        <f>VLOOKUP(Z$1,'cost per tipologia de sòl'!$A$2:$D$37,4,FALSE)*'T100'!Z152</f>
        <v>0</v>
      </c>
      <c r="AA152" s="1103">
        <f>VLOOKUP(AA$1,'cost per tipologia de sòl'!$A$2:$D$37,4,FALSE)*'T100'!AA152</f>
        <v>0</v>
      </c>
      <c r="AB152" s="1103">
        <f>VLOOKUP(AB$1,'cost per tipologia de sòl'!$A$2:$D$37,4,FALSE)*'T100'!AB152</f>
        <v>0</v>
      </c>
      <c r="AC152" s="1103">
        <f>VLOOKUP(AC$1,'cost per tipologia de sòl'!$A$2:$D$37,4,FALSE)*'T100'!AC152</f>
        <v>2043574.45</v>
      </c>
      <c r="AD152" s="1103">
        <f>VLOOKUP(AD$1,'cost per tipologia de sòl'!$A$2:$D$37,4,FALSE)*'T100'!AD152</f>
        <v>2046095.75</v>
      </c>
      <c r="AE152" s="1103">
        <f>VLOOKUP(AE$1,'cost per tipologia de sòl'!$A$2:$D$37,4,FALSE)*'T100'!AE152</f>
        <v>0</v>
      </c>
      <c r="AF152" s="1103">
        <f>VLOOKUP(AF$1,'cost per tipologia de sòl'!$A$2:$D$37,4,FALSE)*'T100'!AF152</f>
        <v>0</v>
      </c>
      <c r="AG152" s="1103">
        <f>VLOOKUP(AG$1,'cost per tipologia de sòl'!$A$2:$D$37,4,FALSE)*'T100'!AG152</f>
        <v>0</v>
      </c>
      <c r="AH152" s="1103">
        <f>VLOOKUP(AH$1,'cost per tipologia de sòl'!$A$2:$D$37,4,FALSE)*'T100'!AH152</f>
        <v>0</v>
      </c>
      <c r="AI152" s="1103">
        <f>VLOOKUP(AI$1,'cost per tipologia de sòl'!$A$2:$D$37,4,FALSE)*'T100'!AI152</f>
        <v>0</v>
      </c>
      <c r="AJ152" s="1103">
        <f t="shared" si="4"/>
        <v>7319650.8705000002</v>
      </c>
      <c r="AK152" s="1117">
        <f t="shared" si="5"/>
        <v>2.19589526115</v>
      </c>
    </row>
    <row r="153" spans="1:37">
      <c r="A153" s="1096" t="s">
        <v>1571</v>
      </c>
      <c r="B153" s="1103">
        <f>VLOOKUP(B$1,'cost per tipologia de sòl'!$A$2:$D$37,4,FALSE)*'T100'!B153</f>
        <v>22048167.797999997</v>
      </c>
      <c r="C153" s="1103">
        <f>VLOOKUP(C$1,'cost per tipologia de sòl'!$A$2:$D$37,4,FALSE)*'T100'!C153</f>
        <v>0</v>
      </c>
      <c r="D153" s="1103">
        <f>VLOOKUP(D$1,'cost per tipologia de sòl'!$A$2:$D$37,4,FALSE)*'T100'!D153</f>
        <v>0</v>
      </c>
      <c r="E153" s="1103">
        <f>VLOOKUP(E$1,'cost per tipologia de sòl'!$A$2:$D$37,4,FALSE)*'T100'!E153</f>
        <v>0</v>
      </c>
      <c r="F153" s="1103">
        <f>VLOOKUP(F$1,'cost per tipologia de sòl'!$A$2:$D$37,4,FALSE)*'T100'!F153</f>
        <v>0</v>
      </c>
      <c r="G153" s="1103">
        <f>VLOOKUP(G$1,'cost per tipologia de sòl'!$A$2:$D$37,4,FALSE)*'T100'!G153</f>
        <v>0</v>
      </c>
      <c r="H153" s="1103">
        <f>VLOOKUP(H$1,'cost per tipologia de sòl'!$A$2:$D$37,4,FALSE)*'T100'!H153</f>
        <v>0</v>
      </c>
      <c r="I153" s="1103">
        <f>VLOOKUP(I$1,'cost per tipologia de sòl'!$A$2:$D$37,4,FALSE)*'T100'!I153</f>
        <v>0</v>
      </c>
      <c r="J153" s="1103">
        <f>VLOOKUP(J$1,'cost per tipologia de sòl'!$A$2:$D$37,4,FALSE)*'T100'!J153</f>
        <v>6295.4320000000007</v>
      </c>
      <c r="K153" s="1103">
        <f>VLOOKUP(K$1,'cost per tipologia de sòl'!$A$2:$D$37,4,FALSE)*'T100'!K153</f>
        <v>0</v>
      </c>
      <c r="L153" s="1103">
        <f>VLOOKUP(L$1,'cost per tipologia de sòl'!$A$2:$D$37,4,FALSE)*'T100'!L153</f>
        <v>0</v>
      </c>
      <c r="M153" s="1103">
        <f>VLOOKUP(M$1,'cost per tipologia de sòl'!$A$2:$D$37,4,FALSE)*'T100'!M153</f>
        <v>0</v>
      </c>
      <c r="N153" s="1103">
        <f>VLOOKUP(N$1,'cost per tipologia de sòl'!$A$2:$D$37,4,FALSE)*'T100'!N153</f>
        <v>0</v>
      </c>
      <c r="O153" s="1103">
        <f>VLOOKUP(O$1,'cost per tipologia de sòl'!$A$2:$D$37,4,FALSE)*'T100'!O153</f>
        <v>0</v>
      </c>
      <c r="P153" s="1103">
        <f>VLOOKUP(P$1,'cost per tipologia de sòl'!$A$2:$D$37,4,FALSE)*'T100'!P153</f>
        <v>0</v>
      </c>
      <c r="Q153" s="1103">
        <f>VLOOKUP(Q$1,'cost per tipologia de sòl'!$A$2:$D$37,4,FALSE)*'T100'!Q153</f>
        <v>0</v>
      </c>
      <c r="R153" s="1103">
        <f>VLOOKUP(R$1,'cost per tipologia de sòl'!$A$2:$D$37,4,FALSE)*'T100'!R153</f>
        <v>0</v>
      </c>
      <c r="S153" s="1103">
        <f>VLOOKUP(S$1,'cost per tipologia de sòl'!$A$2:$D$37,4,FALSE)*'T100'!S153</f>
        <v>86678.928</v>
      </c>
      <c r="T153" s="1103">
        <f>VLOOKUP(T$1,'cost per tipologia de sòl'!$A$2:$D$37,4,FALSE)*'T100'!T153</f>
        <v>21041352.239</v>
      </c>
      <c r="U153" s="1103">
        <f>VLOOKUP(U$1,'cost per tipologia de sòl'!$A$2:$D$37,4,FALSE)*'T100'!U153</f>
        <v>3618855.4499999997</v>
      </c>
      <c r="V153" s="1103">
        <f>VLOOKUP(V$1,'cost per tipologia de sòl'!$A$2:$D$37,4,FALSE)*'T100'!V153</f>
        <v>0</v>
      </c>
      <c r="W153" s="1103">
        <f>VLOOKUP(W$1,'cost per tipologia de sòl'!$A$2:$D$37,4,FALSE)*'T100'!W153</f>
        <v>0</v>
      </c>
      <c r="X153" s="1103">
        <f>VLOOKUP(X$1,'cost per tipologia de sòl'!$A$2:$D$37,4,FALSE)*'T100'!X153</f>
        <v>0</v>
      </c>
      <c r="Y153" s="1103">
        <f>VLOOKUP(Y$1,'cost per tipologia de sòl'!$A$2:$D$37,4,FALSE)*'T100'!Y153</f>
        <v>0</v>
      </c>
      <c r="Z153" s="1103">
        <f>VLOOKUP(Z$1,'cost per tipologia de sòl'!$A$2:$D$37,4,FALSE)*'T100'!Z153</f>
        <v>112714.508</v>
      </c>
      <c r="AA153" s="1103">
        <f>VLOOKUP(AA$1,'cost per tipologia de sòl'!$A$2:$D$37,4,FALSE)*'T100'!AA153</f>
        <v>0</v>
      </c>
      <c r="AB153" s="1103">
        <f>VLOOKUP(AB$1,'cost per tipologia de sòl'!$A$2:$D$37,4,FALSE)*'T100'!AB153</f>
        <v>3142579.0999999996</v>
      </c>
      <c r="AC153" s="1103">
        <f>VLOOKUP(AC$1,'cost per tipologia de sòl'!$A$2:$D$37,4,FALSE)*'T100'!AC153</f>
        <v>126769.90000000001</v>
      </c>
      <c r="AD153" s="1103">
        <f>VLOOKUP(AD$1,'cost per tipologia de sòl'!$A$2:$D$37,4,FALSE)*'T100'!AD153</f>
        <v>9932963.4499999993</v>
      </c>
      <c r="AE153" s="1103">
        <f>VLOOKUP(AE$1,'cost per tipologia de sòl'!$A$2:$D$37,4,FALSE)*'T100'!AE153</f>
        <v>0</v>
      </c>
      <c r="AF153" s="1103">
        <f>VLOOKUP(AF$1,'cost per tipologia de sòl'!$A$2:$D$37,4,FALSE)*'T100'!AF153</f>
        <v>0</v>
      </c>
      <c r="AG153" s="1103">
        <f>VLOOKUP(AG$1,'cost per tipologia de sòl'!$A$2:$D$37,4,FALSE)*'T100'!AG153</f>
        <v>0</v>
      </c>
      <c r="AH153" s="1103">
        <f>VLOOKUP(AH$1,'cost per tipologia de sòl'!$A$2:$D$37,4,FALSE)*'T100'!AH153</f>
        <v>0</v>
      </c>
      <c r="AI153" s="1103">
        <f>VLOOKUP(AI$1,'cost per tipologia de sòl'!$A$2:$D$37,4,FALSE)*'T100'!AI153</f>
        <v>0</v>
      </c>
      <c r="AJ153" s="1103">
        <f t="shared" si="4"/>
        <v>60116376.805000007</v>
      </c>
      <c r="AK153" s="1117">
        <f t="shared" si="5"/>
        <v>18.034913041500001</v>
      </c>
    </row>
    <row r="154" spans="1:37">
      <c r="A154" s="1096" t="s">
        <v>1574</v>
      </c>
      <c r="B154" s="1103">
        <f>VLOOKUP(B$1,'cost per tipologia de sòl'!$A$2:$D$37,4,FALSE)*'T100'!B154</f>
        <v>0</v>
      </c>
      <c r="C154" s="1103">
        <f>VLOOKUP(C$1,'cost per tipologia de sòl'!$A$2:$D$37,4,FALSE)*'T100'!C154</f>
        <v>0</v>
      </c>
      <c r="D154" s="1103">
        <f>VLOOKUP(D$1,'cost per tipologia de sòl'!$A$2:$D$37,4,FALSE)*'T100'!D154</f>
        <v>0</v>
      </c>
      <c r="E154" s="1103">
        <f>VLOOKUP(E$1,'cost per tipologia de sòl'!$A$2:$D$37,4,FALSE)*'T100'!E154</f>
        <v>0</v>
      </c>
      <c r="F154" s="1103">
        <f>VLOOKUP(F$1,'cost per tipologia de sòl'!$A$2:$D$37,4,FALSE)*'T100'!F154</f>
        <v>0</v>
      </c>
      <c r="G154" s="1103">
        <f>VLOOKUP(G$1,'cost per tipologia de sòl'!$A$2:$D$37,4,FALSE)*'T100'!G154</f>
        <v>0</v>
      </c>
      <c r="H154" s="1103">
        <f>VLOOKUP(H$1,'cost per tipologia de sòl'!$A$2:$D$37,4,FALSE)*'T100'!H154</f>
        <v>0</v>
      </c>
      <c r="I154" s="1103">
        <f>VLOOKUP(I$1,'cost per tipologia de sòl'!$A$2:$D$37,4,FALSE)*'T100'!I154</f>
        <v>0</v>
      </c>
      <c r="J154" s="1103">
        <f>VLOOKUP(J$1,'cost per tipologia de sòl'!$A$2:$D$37,4,FALSE)*'T100'!J154</f>
        <v>268909.05800000002</v>
      </c>
      <c r="K154" s="1103">
        <f>VLOOKUP(K$1,'cost per tipologia de sòl'!$A$2:$D$37,4,FALSE)*'T100'!K154</f>
        <v>0</v>
      </c>
      <c r="L154" s="1103">
        <f>VLOOKUP(L$1,'cost per tipologia de sòl'!$A$2:$D$37,4,FALSE)*'T100'!L154</f>
        <v>0</v>
      </c>
      <c r="M154" s="1103">
        <f>VLOOKUP(M$1,'cost per tipologia de sòl'!$A$2:$D$37,4,FALSE)*'T100'!M154</f>
        <v>0</v>
      </c>
      <c r="N154" s="1103">
        <f>VLOOKUP(N$1,'cost per tipologia de sòl'!$A$2:$D$37,4,FALSE)*'T100'!N154</f>
        <v>0</v>
      </c>
      <c r="O154" s="1103">
        <f>VLOOKUP(O$1,'cost per tipologia de sòl'!$A$2:$D$37,4,FALSE)*'T100'!O154</f>
        <v>0</v>
      </c>
      <c r="P154" s="1103">
        <f>VLOOKUP(P$1,'cost per tipologia de sòl'!$A$2:$D$37,4,FALSE)*'T100'!P154</f>
        <v>0</v>
      </c>
      <c r="Q154" s="1103">
        <f>VLOOKUP(Q$1,'cost per tipologia de sòl'!$A$2:$D$37,4,FALSE)*'T100'!Q154</f>
        <v>0</v>
      </c>
      <c r="R154" s="1103">
        <f>VLOOKUP(R$1,'cost per tipologia de sòl'!$A$2:$D$37,4,FALSE)*'T100'!R154</f>
        <v>0</v>
      </c>
      <c r="S154" s="1103">
        <f>VLOOKUP(S$1,'cost per tipologia de sòl'!$A$2:$D$37,4,FALSE)*'T100'!S154</f>
        <v>0</v>
      </c>
      <c r="T154" s="1103">
        <f>VLOOKUP(T$1,'cost per tipologia de sòl'!$A$2:$D$37,4,FALSE)*'T100'!T154</f>
        <v>0</v>
      </c>
      <c r="U154" s="1103">
        <f>VLOOKUP(U$1,'cost per tipologia de sòl'!$A$2:$D$37,4,FALSE)*'T100'!U154</f>
        <v>2434131</v>
      </c>
      <c r="V154" s="1103">
        <f>VLOOKUP(V$1,'cost per tipologia de sòl'!$A$2:$D$37,4,FALSE)*'T100'!V154</f>
        <v>0</v>
      </c>
      <c r="W154" s="1103">
        <f>VLOOKUP(W$1,'cost per tipologia de sòl'!$A$2:$D$37,4,FALSE)*'T100'!W154</f>
        <v>0</v>
      </c>
      <c r="X154" s="1103">
        <f>VLOOKUP(X$1,'cost per tipologia de sòl'!$A$2:$D$37,4,FALSE)*'T100'!X154</f>
        <v>0</v>
      </c>
      <c r="Y154" s="1103">
        <f>VLOOKUP(Y$1,'cost per tipologia de sòl'!$A$2:$D$37,4,FALSE)*'T100'!Y154</f>
        <v>0</v>
      </c>
      <c r="Z154" s="1103">
        <f>VLOOKUP(Z$1,'cost per tipologia de sòl'!$A$2:$D$37,4,FALSE)*'T100'!Z154</f>
        <v>0</v>
      </c>
      <c r="AA154" s="1103">
        <f>VLOOKUP(AA$1,'cost per tipologia de sòl'!$A$2:$D$37,4,FALSE)*'T100'!AA154</f>
        <v>0</v>
      </c>
      <c r="AB154" s="1103">
        <f>VLOOKUP(AB$1,'cost per tipologia de sòl'!$A$2:$D$37,4,FALSE)*'T100'!AB154</f>
        <v>0</v>
      </c>
      <c r="AC154" s="1103">
        <f>VLOOKUP(AC$1,'cost per tipologia de sòl'!$A$2:$D$37,4,FALSE)*'T100'!AC154</f>
        <v>0</v>
      </c>
      <c r="AD154" s="1103">
        <f>VLOOKUP(AD$1,'cost per tipologia de sòl'!$A$2:$D$37,4,FALSE)*'T100'!AD154</f>
        <v>0</v>
      </c>
      <c r="AE154" s="1103">
        <f>VLOOKUP(AE$1,'cost per tipologia de sòl'!$A$2:$D$37,4,FALSE)*'T100'!AE154</f>
        <v>0</v>
      </c>
      <c r="AF154" s="1103">
        <f>VLOOKUP(AF$1,'cost per tipologia de sòl'!$A$2:$D$37,4,FALSE)*'T100'!AF154</f>
        <v>0</v>
      </c>
      <c r="AG154" s="1103">
        <f>VLOOKUP(AG$1,'cost per tipologia de sòl'!$A$2:$D$37,4,FALSE)*'T100'!AG154</f>
        <v>0</v>
      </c>
      <c r="AH154" s="1103">
        <f>VLOOKUP(AH$1,'cost per tipologia de sòl'!$A$2:$D$37,4,FALSE)*'T100'!AH154</f>
        <v>0</v>
      </c>
      <c r="AI154" s="1103">
        <f>VLOOKUP(AI$1,'cost per tipologia de sòl'!$A$2:$D$37,4,FALSE)*'T100'!AI154</f>
        <v>0</v>
      </c>
      <c r="AJ154" s="1103">
        <f t="shared" si="4"/>
        <v>2703040.0580000002</v>
      </c>
      <c r="AK154" s="1117">
        <f t="shared" si="5"/>
        <v>0.81091201740000007</v>
      </c>
    </row>
    <row r="155" spans="1:37">
      <c r="A155" s="1096" t="s">
        <v>1594</v>
      </c>
      <c r="B155" s="1103">
        <f>VLOOKUP(B$1,'cost per tipologia de sòl'!$A$2:$D$37,4,FALSE)*'T100'!B155</f>
        <v>418528.386</v>
      </c>
      <c r="C155" s="1103">
        <f>VLOOKUP(C$1,'cost per tipologia de sòl'!$A$2:$D$37,4,FALSE)*'T100'!C155</f>
        <v>0</v>
      </c>
      <c r="D155" s="1103">
        <f>VLOOKUP(D$1,'cost per tipologia de sòl'!$A$2:$D$37,4,FALSE)*'T100'!D155</f>
        <v>0</v>
      </c>
      <c r="E155" s="1103">
        <f>VLOOKUP(E$1,'cost per tipologia de sòl'!$A$2:$D$37,4,FALSE)*'T100'!E155</f>
        <v>0</v>
      </c>
      <c r="F155" s="1103">
        <f>VLOOKUP(F$1,'cost per tipologia de sòl'!$A$2:$D$37,4,FALSE)*'T100'!F155</f>
        <v>0</v>
      </c>
      <c r="G155" s="1103">
        <f>VLOOKUP(G$1,'cost per tipologia de sòl'!$A$2:$D$37,4,FALSE)*'T100'!G155</f>
        <v>0</v>
      </c>
      <c r="H155" s="1103">
        <f>VLOOKUP(H$1,'cost per tipologia de sòl'!$A$2:$D$37,4,FALSE)*'T100'!H155</f>
        <v>0</v>
      </c>
      <c r="I155" s="1103">
        <f>VLOOKUP(I$1,'cost per tipologia de sòl'!$A$2:$D$37,4,FALSE)*'T100'!I155</f>
        <v>0</v>
      </c>
      <c r="J155" s="1103">
        <f>VLOOKUP(J$1,'cost per tipologia de sòl'!$A$2:$D$37,4,FALSE)*'T100'!J155</f>
        <v>20411.885999999999</v>
      </c>
      <c r="K155" s="1103">
        <f>VLOOKUP(K$1,'cost per tipologia de sòl'!$A$2:$D$37,4,FALSE)*'T100'!K155</f>
        <v>0</v>
      </c>
      <c r="L155" s="1103">
        <f>VLOOKUP(L$1,'cost per tipologia de sòl'!$A$2:$D$37,4,FALSE)*'T100'!L155</f>
        <v>0</v>
      </c>
      <c r="M155" s="1103">
        <f>VLOOKUP(M$1,'cost per tipologia de sòl'!$A$2:$D$37,4,FALSE)*'T100'!M155</f>
        <v>0</v>
      </c>
      <c r="N155" s="1103">
        <f>VLOOKUP(N$1,'cost per tipologia de sòl'!$A$2:$D$37,4,FALSE)*'T100'!N155</f>
        <v>0</v>
      </c>
      <c r="O155" s="1103">
        <f>VLOOKUP(O$1,'cost per tipologia de sòl'!$A$2:$D$37,4,FALSE)*'T100'!O155</f>
        <v>0</v>
      </c>
      <c r="P155" s="1103">
        <f>VLOOKUP(P$1,'cost per tipologia de sòl'!$A$2:$D$37,4,FALSE)*'T100'!P155</f>
        <v>0</v>
      </c>
      <c r="Q155" s="1103">
        <f>VLOOKUP(Q$1,'cost per tipologia de sòl'!$A$2:$D$37,4,FALSE)*'T100'!Q155</f>
        <v>0</v>
      </c>
      <c r="R155" s="1103">
        <f>VLOOKUP(R$1,'cost per tipologia de sòl'!$A$2:$D$37,4,FALSE)*'T100'!R155</f>
        <v>0</v>
      </c>
      <c r="S155" s="1103">
        <f>VLOOKUP(S$1,'cost per tipologia de sòl'!$A$2:$D$37,4,FALSE)*'T100'!S155</f>
        <v>1265753.6640000001</v>
      </c>
      <c r="T155" s="1103">
        <f>VLOOKUP(T$1,'cost per tipologia de sòl'!$A$2:$D$37,4,FALSE)*'T100'!T155</f>
        <v>16345198.263999999</v>
      </c>
      <c r="U155" s="1103">
        <f>VLOOKUP(U$1,'cost per tipologia de sòl'!$A$2:$D$37,4,FALSE)*'T100'!U155</f>
        <v>2741524.8</v>
      </c>
      <c r="V155" s="1103">
        <f>VLOOKUP(V$1,'cost per tipologia de sòl'!$A$2:$D$37,4,FALSE)*'T100'!V155</f>
        <v>0</v>
      </c>
      <c r="W155" s="1103">
        <f>VLOOKUP(W$1,'cost per tipologia de sòl'!$A$2:$D$37,4,FALSE)*'T100'!W155</f>
        <v>0</v>
      </c>
      <c r="X155" s="1103">
        <f>VLOOKUP(X$1,'cost per tipologia de sòl'!$A$2:$D$37,4,FALSE)*'T100'!X155</f>
        <v>0</v>
      </c>
      <c r="Y155" s="1103">
        <f>VLOOKUP(Y$1,'cost per tipologia de sòl'!$A$2:$D$37,4,FALSE)*'T100'!Y155</f>
        <v>0</v>
      </c>
      <c r="Z155" s="1103">
        <f>VLOOKUP(Z$1,'cost per tipologia de sòl'!$A$2:$D$37,4,FALSE)*'T100'!Z155</f>
        <v>0</v>
      </c>
      <c r="AA155" s="1103">
        <f>VLOOKUP(AA$1,'cost per tipologia de sòl'!$A$2:$D$37,4,FALSE)*'T100'!AA155</f>
        <v>0</v>
      </c>
      <c r="AB155" s="1103">
        <f>VLOOKUP(AB$1,'cost per tipologia de sòl'!$A$2:$D$37,4,FALSE)*'T100'!AB155</f>
        <v>281248.45</v>
      </c>
      <c r="AC155" s="1103">
        <f>VLOOKUP(AC$1,'cost per tipologia de sòl'!$A$2:$D$37,4,FALSE)*'T100'!AC155</f>
        <v>61747.149999999994</v>
      </c>
      <c r="AD155" s="1103">
        <f>VLOOKUP(AD$1,'cost per tipologia de sòl'!$A$2:$D$37,4,FALSE)*'T100'!AD155</f>
        <v>1715054.95</v>
      </c>
      <c r="AE155" s="1103">
        <f>VLOOKUP(AE$1,'cost per tipologia de sòl'!$A$2:$D$37,4,FALSE)*'T100'!AE155</f>
        <v>0</v>
      </c>
      <c r="AF155" s="1103">
        <f>VLOOKUP(AF$1,'cost per tipologia de sòl'!$A$2:$D$37,4,FALSE)*'T100'!AF155</f>
        <v>0</v>
      </c>
      <c r="AG155" s="1103">
        <f>VLOOKUP(AG$1,'cost per tipologia de sòl'!$A$2:$D$37,4,FALSE)*'T100'!AG155</f>
        <v>0</v>
      </c>
      <c r="AH155" s="1103">
        <f>VLOOKUP(AH$1,'cost per tipologia de sòl'!$A$2:$D$37,4,FALSE)*'T100'!AH155</f>
        <v>0</v>
      </c>
      <c r="AI155" s="1103">
        <f>VLOOKUP(AI$1,'cost per tipologia de sòl'!$A$2:$D$37,4,FALSE)*'T100'!AI155</f>
        <v>0</v>
      </c>
      <c r="AJ155" s="1103">
        <f t="shared" si="4"/>
        <v>22849467.549999997</v>
      </c>
      <c r="AK155" s="1117">
        <f t="shared" si="5"/>
        <v>6.8548402649999991</v>
      </c>
    </row>
    <row r="156" spans="1:37">
      <c r="A156" s="1096" t="s">
        <v>1598</v>
      </c>
      <c r="B156" s="1103">
        <f>VLOOKUP(B$1,'cost per tipologia de sòl'!$A$2:$D$37,4,FALSE)*'T100'!B156</f>
        <v>112826306.82599999</v>
      </c>
      <c r="C156" s="1103">
        <f>VLOOKUP(C$1,'cost per tipologia de sòl'!$A$2:$D$37,4,FALSE)*'T100'!C156</f>
        <v>0</v>
      </c>
      <c r="D156" s="1103">
        <f>VLOOKUP(D$1,'cost per tipologia de sòl'!$A$2:$D$37,4,FALSE)*'T100'!D156</f>
        <v>0</v>
      </c>
      <c r="E156" s="1103">
        <f>VLOOKUP(E$1,'cost per tipologia de sòl'!$A$2:$D$37,4,FALSE)*'T100'!E156</f>
        <v>0</v>
      </c>
      <c r="F156" s="1103">
        <f>VLOOKUP(F$1,'cost per tipologia de sòl'!$A$2:$D$37,4,FALSE)*'T100'!F156</f>
        <v>0</v>
      </c>
      <c r="G156" s="1103">
        <f>VLOOKUP(G$1,'cost per tipologia de sòl'!$A$2:$D$37,4,FALSE)*'T100'!G156</f>
        <v>0</v>
      </c>
      <c r="H156" s="1103">
        <f>VLOOKUP(H$1,'cost per tipologia de sòl'!$A$2:$D$37,4,FALSE)*'T100'!H156</f>
        <v>0</v>
      </c>
      <c r="I156" s="1103">
        <f>VLOOKUP(I$1,'cost per tipologia de sòl'!$A$2:$D$37,4,FALSE)*'T100'!I156</f>
        <v>0</v>
      </c>
      <c r="J156" s="1103">
        <f>VLOOKUP(J$1,'cost per tipologia de sòl'!$A$2:$D$37,4,FALSE)*'T100'!J156</f>
        <v>0</v>
      </c>
      <c r="K156" s="1103">
        <f>VLOOKUP(K$1,'cost per tipologia de sòl'!$A$2:$D$37,4,FALSE)*'T100'!K156</f>
        <v>0</v>
      </c>
      <c r="L156" s="1103">
        <f>VLOOKUP(L$1,'cost per tipologia de sòl'!$A$2:$D$37,4,FALSE)*'T100'!L156</f>
        <v>319777.72200000001</v>
      </c>
      <c r="M156" s="1103">
        <f>VLOOKUP(M$1,'cost per tipologia de sòl'!$A$2:$D$37,4,FALSE)*'T100'!M156</f>
        <v>0</v>
      </c>
      <c r="N156" s="1103">
        <f>VLOOKUP(N$1,'cost per tipologia de sòl'!$A$2:$D$37,4,FALSE)*'T100'!N156</f>
        <v>0</v>
      </c>
      <c r="O156" s="1103">
        <f>VLOOKUP(O$1,'cost per tipologia de sòl'!$A$2:$D$37,4,FALSE)*'T100'!O156</f>
        <v>0</v>
      </c>
      <c r="P156" s="1103">
        <f>VLOOKUP(P$1,'cost per tipologia de sòl'!$A$2:$D$37,4,FALSE)*'T100'!P156</f>
        <v>0</v>
      </c>
      <c r="Q156" s="1103">
        <f>VLOOKUP(Q$1,'cost per tipologia de sòl'!$A$2:$D$37,4,FALSE)*'T100'!Q156</f>
        <v>0</v>
      </c>
      <c r="R156" s="1103">
        <f>VLOOKUP(R$1,'cost per tipologia de sòl'!$A$2:$D$37,4,FALSE)*'T100'!R156</f>
        <v>0</v>
      </c>
      <c r="S156" s="1103">
        <f>VLOOKUP(S$1,'cost per tipologia de sòl'!$A$2:$D$37,4,FALSE)*'T100'!S156</f>
        <v>53582993.855999999</v>
      </c>
      <c r="T156" s="1103">
        <f>VLOOKUP(T$1,'cost per tipologia de sòl'!$A$2:$D$37,4,FALSE)*'T100'!T156</f>
        <v>46953688.660999998</v>
      </c>
      <c r="U156" s="1103">
        <f>VLOOKUP(U$1,'cost per tipologia de sòl'!$A$2:$D$37,4,FALSE)*'T100'!U156</f>
        <v>1245072.1499999999</v>
      </c>
      <c r="V156" s="1103">
        <f>VLOOKUP(V$1,'cost per tipologia de sòl'!$A$2:$D$37,4,FALSE)*'T100'!V156</f>
        <v>0</v>
      </c>
      <c r="W156" s="1103">
        <f>VLOOKUP(W$1,'cost per tipologia de sòl'!$A$2:$D$37,4,FALSE)*'T100'!W156</f>
        <v>0</v>
      </c>
      <c r="X156" s="1103">
        <f>VLOOKUP(X$1,'cost per tipologia de sòl'!$A$2:$D$37,4,FALSE)*'T100'!X156</f>
        <v>0</v>
      </c>
      <c r="Y156" s="1103">
        <f>VLOOKUP(Y$1,'cost per tipologia de sòl'!$A$2:$D$37,4,FALSE)*'T100'!Y156</f>
        <v>0</v>
      </c>
      <c r="Z156" s="1103">
        <f>VLOOKUP(Z$1,'cost per tipologia de sòl'!$A$2:$D$37,4,FALSE)*'T100'!Z156</f>
        <v>2685110.7259999998</v>
      </c>
      <c r="AA156" s="1103">
        <f>VLOOKUP(AA$1,'cost per tipologia de sòl'!$A$2:$D$37,4,FALSE)*'T100'!AA156</f>
        <v>0</v>
      </c>
      <c r="AB156" s="1103">
        <f>VLOOKUP(AB$1,'cost per tipologia de sòl'!$A$2:$D$37,4,FALSE)*'T100'!AB156</f>
        <v>3304819.15</v>
      </c>
      <c r="AC156" s="1103">
        <f>VLOOKUP(AC$1,'cost per tipologia de sòl'!$A$2:$D$37,4,FALSE)*'T100'!AC156</f>
        <v>28882448.150000002</v>
      </c>
      <c r="AD156" s="1103">
        <f>VLOOKUP(AD$1,'cost per tipologia de sòl'!$A$2:$D$37,4,FALSE)*'T100'!AD156</f>
        <v>46979699.25</v>
      </c>
      <c r="AE156" s="1103">
        <f>VLOOKUP(AE$1,'cost per tipologia de sòl'!$A$2:$D$37,4,FALSE)*'T100'!AE156</f>
        <v>0</v>
      </c>
      <c r="AF156" s="1103">
        <f>VLOOKUP(AF$1,'cost per tipologia de sòl'!$A$2:$D$37,4,FALSE)*'T100'!AF156</f>
        <v>0</v>
      </c>
      <c r="AG156" s="1103">
        <f>VLOOKUP(AG$1,'cost per tipologia de sòl'!$A$2:$D$37,4,FALSE)*'T100'!AG156</f>
        <v>0</v>
      </c>
      <c r="AH156" s="1103">
        <f>VLOOKUP(AH$1,'cost per tipologia de sòl'!$A$2:$D$37,4,FALSE)*'T100'!AH156</f>
        <v>0</v>
      </c>
      <c r="AI156" s="1103">
        <f>VLOOKUP(AI$1,'cost per tipologia de sòl'!$A$2:$D$37,4,FALSE)*'T100'!AI156</f>
        <v>0</v>
      </c>
      <c r="AJ156" s="1103">
        <f t="shared" si="4"/>
        <v>296779916.49100006</v>
      </c>
      <c r="AK156" s="1117">
        <f t="shared" si="5"/>
        <v>89.03397494730001</v>
      </c>
    </row>
    <row r="157" spans="1:37">
      <c r="A157" s="1096" t="s">
        <v>354</v>
      </c>
      <c r="B157" s="1103">
        <f>VLOOKUP(B$1,'cost per tipologia de sòl'!$A$2:$D$37,4,FALSE)*'T100'!B157</f>
        <v>0</v>
      </c>
      <c r="C157" s="1103">
        <f>VLOOKUP(C$1,'cost per tipologia de sòl'!$A$2:$D$37,4,FALSE)*'T100'!C157</f>
        <v>2786386.5779999997</v>
      </c>
      <c r="D157" s="1103">
        <f>VLOOKUP(D$1,'cost per tipologia de sòl'!$A$2:$D$37,4,FALSE)*'T100'!D157</f>
        <v>7737649.3200000003</v>
      </c>
      <c r="E157" s="1103">
        <f>VLOOKUP(E$1,'cost per tipologia de sòl'!$A$2:$D$37,4,FALSE)*'T100'!E157</f>
        <v>0</v>
      </c>
      <c r="F157" s="1103">
        <f>VLOOKUP(F$1,'cost per tipologia de sòl'!$A$2:$D$37,4,FALSE)*'T100'!F157</f>
        <v>0</v>
      </c>
      <c r="G157" s="1103">
        <f>VLOOKUP(G$1,'cost per tipologia de sòl'!$A$2:$D$37,4,FALSE)*'T100'!G157</f>
        <v>0</v>
      </c>
      <c r="H157" s="1103">
        <f>VLOOKUP(H$1,'cost per tipologia de sòl'!$A$2:$D$37,4,FALSE)*'T100'!H157</f>
        <v>0</v>
      </c>
      <c r="I157" s="1103">
        <f>VLOOKUP(I$1,'cost per tipologia de sòl'!$A$2:$D$37,4,FALSE)*'T100'!I157</f>
        <v>0</v>
      </c>
      <c r="J157" s="1103">
        <f>VLOOKUP(J$1,'cost per tipologia de sòl'!$A$2:$D$37,4,FALSE)*'T100'!J157</f>
        <v>3166.5425</v>
      </c>
      <c r="K157" s="1103">
        <f>VLOOKUP(K$1,'cost per tipologia de sòl'!$A$2:$D$37,4,FALSE)*'T100'!K157</f>
        <v>0</v>
      </c>
      <c r="L157" s="1103">
        <f>VLOOKUP(L$1,'cost per tipologia de sòl'!$A$2:$D$37,4,FALSE)*'T100'!L157</f>
        <v>453434.25600000005</v>
      </c>
      <c r="M157" s="1103">
        <f>VLOOKUP(M$1,'cost per tipologia de sòl'!$A$2:$D$37,4,FALSE)*'T100'!M157</f>
        <v>8149295.7600000007</v>
      </c>
      <c r="N157" s="1103">
        <f>VLOOKUP(N$1,'cost per tipologia de sòl'!$A$2:$D$37,4,FALSE)*'T100'!N157</f>
        <v>840614.696</v>
      </c>
      <c r="O157" s="1103">
        <f>VLOOKUP(O$1,'cost per tipologia de sòl'!$A$2:$D$37,4,FALSE)*'T100'!O157</f>
        <v>0</v>
      </c>
      <c r="P157" s="1103">
        <f>VLOOKUP(P$1,'cost per tipologia de sòl'!$A$2:$D$37,4,FALSE)*'T100'!P157</f>
        <v>24809284.743999999</v>
      </c>
      <c r="Q157" s="1103">
        <f>VLOOKUP(Q$1,'cost per tipologia de sòl'!$A$2:$D$37,4,FALSE)*'T100'!Q157</f>
        <v>0</v>
      </c>
      <c r="R157" s="1103">
        <f>VLOOKUP(R$1,'cost per tipologia de sòl'!$A$2:$D$37,4,FALSE)*'T100'!R157</f>
        <v>0</v>
      </c>
      <c r="S157" s="1103">
        <f>VLOOKUP(S$1,'cost per tipologia de sòl'!$A$2:$D$37,4,FALSE)*'T100'!S157</f>
        <v>39597733.728</v>
      </c>
      <c r="T157" s="1103">
        <f>VLOOKUP(T$1,'cost per tipologia de sòl'!$A$2:$D$37,4,FALSE)*'T100'!T157</f>
        <v>19341995.365000002</v>
      </c>
      <c r="U157" s="1103">
        <f>VLOOKUP(U$1,'cost per tipologia de sòl'!$A$2:$D$37,4,FALSE)*'T100'!U157</f>
        <v>3432289.3499999996</v>
      </c>
      <c r="V157" s="1103">
        <f>VLOOKUP(V$1,'cost per tipologia de sòl'!$A$2:$D$37,4,FALSE)*'T100'!V157</f>
        <v>0</v>
      </c>
      <c r="W157" s="1103">
        <f>VLOOKUP(W$1,'cost per tipologia de sòl'!$A$2:$D$37,4,FALSE)*'T100'!W157</f>
        <v>0</v>
      </c>
      <c r="X157" s="1103">
        <f>VLOOKUP(X$1,'cost per tipologia de sòl'!$A$2:$D$37,4,FALSE)*'T100'!X157</f>
        <v>0</v>
      </c>
      <c r="Y157" s="1103">
        <f>VLOOKUP(Y$1,'cost per tipologia de sòl'!$A$2:$D$37,4,FALSE)*'T100'!Y157</f>
        <v>0</v>
      </c>
      <c r="Z157" s="1103">
        <f>VLOOKUP(Z$1,'cost per tipologia de sòl'!$A$2:$D$37,4,FALSE)*'T100'!Z157</f>
        <v>6600322.5100000007</v>
      </c>
      <c r="AA157" s="1103">
        <f>VLOOKUP(AA$1,'cost per tipologia de sòl'!$A$2:$D$37,4,FALSE)*'T100'!AA157</f>
        <v>0</v>
      </c>
      <c r="AB157" s="1103">
        <f>VLOOKUP(AB$1,'cost per tipologia de sòl'!$A$2:$D$37,4,FALSE)*'T100'!AB157</f>
        <v>9690926.2500000019</v>
      </c>
      <c r="AC157" s="1103">
        <f>VLOOKUP(AC$1,'cost per tipologia de sòl'!$A$2:$D$37,4,FALSE)*'T100'!AC157</f>
        <v>41389274.150000006</v>
      </c>
      <c r="AD157" s="1103">
        <f>VLOOKUP(AD$1,'cost per tipologia de sòl'!$A$2:$D$37,4,FALSE)*'T100'!AD157</f>
        <v>61894666.949999996</v>
      </c>
      <c r="AE157" s="1103">
        <f>VLOOKUP(AE$1,'cost per tipologia de sòl'!$A$2:$D$37,4,FALSE)*'T100'!AE157</f>
        <v>0</v>
      </c>
      <c r="AF157" s="1103">
        <f>VLOOKUP(AF$1,'cost per tipologia de sòl'!$A$2:$D$37,4,FALSE)*'T100'!AF157</f>
        <v>0</v>
      </c>
      <c r="AG157" s="1103">
        <f>VLOOKUP(AG$1,'cost per tipologia de sòl'!$A$2:$D$37,4,FALSE)*'T100'!AG157</f>
        <v>0</v>
      </c>
      <c r="AH157" s="1103">
        <f>VLOOKUP(AH$1,'cost per tipologia de sòl'!$A$2:$D$37,4,FALSE)*'T100'!AH157</f>
        <v>0</v>
      </c>
      <c r="AI157" s="1103">
        <f>VLOOKUP(AI$1,'cost per tipologia de sòl'!$A$2:$D$37,4,FALSE)*'T100'!AI157</f>
        <v>0</v>
      </c>
      <c r="AJ157" s="1103">
        <f t="shared" si="4"/>
        <v>226727040.19950002</v>
      </c>
      <c r="AK157" s="1117">
        <f t="shared" si="5"/>
        <v>68.018112059850012</v>
      </c>
    </row>
    <row r="158" spans="1:37">
      <c r="A158" s="1096" t="s">
        <v>1608</v>
      </c>
      <c r="B158" s="1103">
        <f>VLOOKUP(B$1,'cost per tipologia de sòl'!$A$2:$D$37,4,FALSE)*'T100'!B158</f>
        <v>1524965.1840000001</v>
      </c>
      <c r="C158" s="1103">
        <f>VLOOKUP(C$1,'cost per tipologia de sòl'!$A$2:$D$37,4,FALSE)*'T100'!C158</f>
        <v>0</v>
      </c>
      <c r="D158" s="1103">
        <f>VLOOKUP(D$1,'cost per tipologia de sòl'!$A$2:$D$37,4,FALSE)*'T100'!D158</f>
        <v>340087.51199999999</v>
      </c>
      <c r="E158" s="1103">
        <f>VLOOKUP(E$1,'cost per tipologia de sòl'!$A$2:$D$37,4,FALSE)*'T100'!E158</f>
        <v>0</v>
      </c>
      <c r="F158" s="1103">
        <f>VLOOKUP(F$1,'cost per tipologia de sòl'!$A$2:$D$37,4,FALSE)*'T100'!F158</f>
        <v>0</v>
      </c>
      <c r="G158" s="1103">
        <f>VLOOKUP(G$1,'cost per tipologia de sòl'!$A$2:$D$37,4,FALSE)*'T100'!G158</f>
        <v>0</v>
      </c>
      <c r="H158" s="1103">
        <f>VLOOKUP(H$1,'cost per tipologia de sòl'!$A$2:$D$37,4,FALSE)*'T100'!H158</f>
        <v>0</v>
      </c>
      <c r="I158" s="1103">
        <f>VLOOKUP(I$1,'cost per tipologia de sòl'!$A$2:$D$37,4,FALSE)*'T100'!I158</f>
        <v>0</v>
      </c>
      <c r="J158" s="1103">
        <f>VLOOKUP(J$1,'cost per tipologia de sòl'!$A$2:$D$37,4,FALSE)*'T100'!J158</f>
        <v>218853.954</v>
      </c>
      <c r="K158" s="1103">
        <f>VLOOKUP(K$1,'cost per tipologia de sòl'!$A$2:$D$37,4,FALSE)*'T100'!K158</f>
        <v>130247.58600000001</v>
      </c>
      <c r="L158" s="1103">
        <f>VLOOKUP(L$1,'cost per tipologia de sòl'!$A$2:$D$37,4,FALSE)*'T100'!L158</f>
        <v>648791.451</v>
      </c>
      <c r="M158" s="1103">
        <f>VLOOKUP(M$1,'cost per tipologia de sòl'!$A$2:$D$37,4,FALSE)*'T100'!M158</f>
        <v>98082.64</v>
      </c>
      <c r="N158" s="1103">
        <f>VLOOKUP(N$1,'cost per tipologia de sòl'!$A$2:$D$37,4,FALSE)*'T100'!N158</f>
        <v>0</v>
      </c>
      <c r="O158" s="1103">
        <f>VLOOKUP(O$1,'cost per tipologia de sòl'!$A$2:$D$37,4,FALSE)*'T100'!O158</f>
        <v>0</v>
      </c>
      <c r="P158" s="1103">
        <f>VLOOKUP(P$1,'cost per tipologia de sòl'!$A$2:$D$37,4,FALSE)*'T100'!P158</f>
        <v>0</v>
      </c>
      <c r="Q158" s="1103">
        <f>VLOOKUP(Q$1,'cost per tipologia de sòl'!$A$2:$D$37,4,FALSE)*'T100'!Q158</f>
        <v>0</v>
      </c>
      <c r="R158" s="1103">
        <f>VLOOKUP(R$1,'cost per tipologia de sòl'!$A$2:$D$37,4,FALSE)*'T100'!R158</f>
        <v>0</v>
      </c>
      <c r="S158" s="1103">
        <f>VLOOKUP(S$1,'cost per tipologia de sòl'!$A$2:$D$37,4,FALSE)*'T100'!S158</f>
        <v>4976062.5600000005</v>
      </c>
      <c r="T158" s="1103">
        <f>VLOOKUP(T$1,'cost per tipologia de sòl'!$A$2:$D$37,4,FALSE)*'T100'!T158</f>
        <v>21480764.854000002</v>
      </c>
      <c r="U158" s="1103">
        <f>VLOOKUP(U$1,'cost per tipologia de sòl'!$A$2:$D$37,4,FALSE)*'T100'!U158</f>
        <v>0</v>
      </c>
      <c r="V158" s="1103">
        <f>VLOOKUP(V$1,'cost per tipologia de sòl'!$A$2:$D$37,4,FALSE)*'T100'!V158</f>
        <v>0</v>
      </c>
      <c r="W158" s="1103">
        <f>VLOOKUP(W$1,'cost per tipologia de sòl'!$A$2:$D$37,4,FALSE)*'T100'!W158</f>
        <v>0</v>
      </c>
      <c r="X158" s="1103">
        <f>VLOOKUP(X$1,'cost per tipologia de sòl'!$A$2:$D$37,4,FALSE)*'T100'!X158</f>
        <v>0</v>
      </c>
      <c r="Y158" s="1103">
        <f>VLOOKUP(Y$1,'cost per tipologia de sòl'!$A$2:$D$37,4,FALSE)*'T100'!Y158</f>
        <v>0</v>
      </c>
      <c r="Z158" s="1103">
        <f>VLOOKUP(Z$1,'cost per tipologia de sòl'!$A$2:$D$37,4,FALSE)*'T100'!Z158</f>
        <v>0</v>
      </c>
      <c r="AA158" s="1103">
        <f>VLOOKUP(AA$1,'cost per tipologia de sòl'!$A$2:$D$37,4,FALSE)*'T100'!AA158</f>
        <v>0</v>
      </c>
      <c r="AB158" s="1103">
        <f>VLOOKUP(AB$1,'cost per tipologia de sòl'!$A$2:$D$37,4,FALSE)*'T100'!AB158</f>
        <v>0</v>
      </c>
      <c r="AC158" s="1103">
        <f>VLOOKUP(AC$1,'cost per tipologia de sòl'!$A$2:$D$37,4,FALSE)*'T100'!AC158</f>
        <v>2386976.65</v>
      </c>
      <c r="AD158" s="1103">
        <f>VLOOKUP(AD$1,'cost per tipologia de sòl'!$A$2:$D$37,4,FALSE)*'T100'!AD158</f>
        <v>3704012</v>
      </c>
      <c r="AE158" s="1103">
        <f>VLOOKUP(AE$1,'cost per tipologia de sòl'!$A$2:$D$37,4,FALSE)*'T100'!AE158</f>
        <v>0</v>
      </c>
      <c r="AF158" s="1103">
        <f>VLOOKUP(AF$1,'cost per tipologia de sòl'!$A$2:$D$37,4,FALSE)*'T100'!AF158</f>
        <v>0</v>
      </c>
      <c r="AG158" s="1103">
        <f>VLOOKUP(AG$1,'cost per tipologia de sòl'!$A$2:$D$37,4,FALSE)*'T100'!AG158</f>
        <v>0</v>
      </c>
      <c r="AH158" s="1103">
        <f>VLOOKUP(AH$1,'cost per tipologia de sòl'!$A$2:$D$37,4,FALSE)*'T100'!AH158</f>
        <v>0</v>
      </c>
      <c r="AI158" s="1103">
        <f>VLOOKUP(AI$1,'cost per tipologia de sòl'!$A$2:$D$37,4,FALSE)*'T100'!AI158</f>
        <v>0</v>
      </c>
      <c r="AJ158" s="1103">
        <f t="shared" si="4"/>
        <v>35508844.391000003</v>
      </c>
      <c r="AK158" s="1117">
        <f t="shared" si="5"/>
        <v>10.6526533173</v>
      </c>
    </row>
    <row r="159" spans="1:37">
      <c r="A159" s="1096" t="s">
        <v>1614</v>
      </c>
      <c r="B159" s="1103">
        <f>VLOOKUP(B$1,'cost per tipologia de sòl'!$A$2:$D$37,4,FALSE)*'T100'!B159</f>
        <v>0</v>
      </c>
      <c r="C159" s="1103">
        <f>VLOOKUP(C$1,'cost per tipologia de sòl'!$A$2:$D$37,4,FALSE)*'T100'!C159</f>
        <v>0</v>
      </c>
      <c r="D159" s="1103">
        <f>VLOOKUP(D$1,'cost per tipologia de sòl'!$A$2:$D$37,4,FALSE)*'T100'!D159</f>
        <v>141661.65600000002</v>
      </c>
      <c r="E159" s="1103">
        <f>VLOOKUP(E$1,'cost per tipologia de sòl'!$A$2:$D$37,4,FALSE)*'T100'!E159</f>
        <v>0</v>
      </c>
      <c r="F159" s="1103">
        <f>VLOOKUP(F$1,'cost per tipologia de sòl'!$A$2:$D$37,4,FALSE)*'T100'!F159</f>
        <v>0</v>
      </c>
      <c r="G159" s="1103">
        <f>VLOOKUP(G$1,'cost per tipologia de sòl'!$A$2:$D$37,4,FALSE)*'T100'!G159</f>
        <v>0</v>
      </c>
      <c r="H159" s="1103">
        <f>VLOOKUP(H$1,'cost per tipologia de sòl'!$A$2:$D$37,4,FALSE)*'T100'!H159</f>
        <v>0</v>
      </c>
      <c r="I159" s="1103">
        <f>VLOOKUP(I$1,'cost per tipologia de sòl'!$A$2:$D$37,4,FALSE)*'T100'!I159</f>
        <v>0</v>
      </c>
      <c r="J159" s="1103">
        <f>VLOOKUP(J$1,'cost per tipologia de sòl'!$A$2:$D$37,4,FALSE)*'T100'!J159</f>
        <v>0</v>
      </c>
      <c r="K159" s="1103">
        <f>VLOOKUP(K$1,'cost per tipologia de sòl'!$A$2:$D$37,4,FALSE)*'T100'!K159</f>
        <v>0</v>
      </c>
      <c r="L159" s="1103">
        <f>VLOOKUP(L$1,'cost per tipologia de sòl'!$A$2:$D$37,4,FALSE)*'T100'!L159</f>
        <v>0</v>
      </c>
      <c r="M159" s="1103">
        <f>VLOOKUP(M$1,'cost per tipologia de sòl'!$A$2:$D$37,4,FALSE)*'T100'!M159</f>
        <v>0</v>
      </c>
      <c r="N159" s="1103">
        <f>VLOOKUP(N$1,'cost per tipologia de sòl'!$A$2:$D$37,4,FALSE)*'T100'!N159</f>
        <v>0</v>
      </c>
      <c r="O159" s="1103">
        <f>VLOOKUP(O$1,'cost per tipologia de sòl'!$A$2:$D$37,4,FALSE)*'T100'!O159</f>
        <v>0</v>
      </c>
      <c r="P159" s="1103">
        <f>VLOOKUP(P$1,'cost per tipologia de sòl'!$A$2:$D$37,4,FALSE)*'T100'!P159</f>
        <v>0</v>
      </c>
      <c r="Q159" s="1103">
        <f>VLOOKUP(Q$1,'cost per tipologia de sòl'!$A$2:$D$37,4,FALSE)*'T100'!Q159</f>
        <v>0</v>
      </c>
      <c r="R159" s="1103">
        <f>VLOOKUP(R$1,'cost per tipologia de sòl'!$A$2:$D$37,4,FALSE)*'T100'!R159</f>
        <v>0</v>
      </c>
      <c r="S159" s="1103">
        <f>VLOOKUP(S$1,'cost per tipologia de sòl'!$A$2:$D$37,4,FALSE)*'T100'!S159</f>
        <v>0</v>
      </c>
      <c r="T159" s="1103">
        <f>VLOOKUP(T$1,'cost per tipologia de sòl'!$A$2:$D$37,4,FALSE)*'T100'!T159</f>
        <v>14686.797</v>
      </c>
      <c r="U159" s="1103">
        <f>VLOOKUP(U$1,'cost per tipologia de sòl'!$A$2:$D$37,4,FALSE)*'T100'!U159</f>
        <v>0</v>
      </c>
      <c r="V159" s="1103">
        <f>VLOOKUP(V$1,'cost per tipologia de sòl'!$A$2:$D$37,4,FALSE)*'T100'!V159</f>
        <v>0</v>
      </c>
      <c r="W159" s="1103">
        <f>VLOOKUP(W$1,'cost per tipologia de sòl'!$A$2:$D$37,4,FALSE)*'T100'!W159</f>
        <v>0</v>
      </c>
      <c r="X159" s="1103">
        <f>VLOOKUP(X$1,'cost per tipologia de sòl'!$A$2:$D$37,4,FALSE)*'T100'!X159</f>
        <v>0</v>
      </c>
      <c r="Y159" s="1103">
        <f>VLOOKUP(Y$1,'cost per tipologia de sòl'!$A$2:$D$37,4,FALSE)*'T100'!Y159</f>
        <v>0</v>
      </c>
      <c r="Z159" s="1103">
        <f>VLOOKUP(Z$1,'cost per tipologia de sòl'!$A$2:$D$37,4,FALSE)*'T100'!Z159</f>
        <v>0</v>
      </c>
      <c r="AA159" s="1103">
        <f>VLOOKUP(AA$1,'cost per tipologia de sòl'!$A$2:$D$37,4,FALSE)*'T100'!AA159</f>
        <v>0</v>
      </c>
      <c r="AB159" s="1103">
        <f>VLOOKUP(AB$1,'cost per tipologia de sòl'!$A$2:$D$37,4,FALSE)*'T100'!AB159</f>
        <v>0</v>
      </c>
      <c r="AC159" s="1103">
        <f>VLOOKUP(AC$1,'cost per tipologia de sòl'!$A$2:$D$37,4,FALSE)*'T100'!AC159</f>
        <v>0</v>
      </c>
      <c r="AD159" s="1103">
        <f>VLOOKUP(AD$1,'cost per tipologia de sòl'!$A$2:$D$37,4,FALSE)*'T100'!AD159</f>
        <v>1999.75</v>
      </c>
      <c r="AE159" s="1103">
        <f>VLOOKUP(AE$1,'cost per tipologia de sòl'!$A$2:$D$37,4,FALSE)*'T100'!AE159</f>
        <v>0</v>
      </c>
      <c r="AF159" s="1103">
        <f>VLOOKUP(AF$1,'cost per tipologia de sòl'!$A$2:$D$37,4,FALSE)*'T100'!AF159</f>
        <v>0</v>
      </c>
      <c r="AG159" s="1103">
        <f>VLOOKUP(AG$1,'cost per tipologia de sòl'!$A$2:$D$37,4,FALSE)*'T100'!AG159</f>
        <v>0</v>
      </c>
      <c r="AH159" s="1103">
        <f>VLOOKUP(AH$1,'cost per tipologia de sòl'!$A$2:$D$37,4,FALSE)*'T100'!AH159</f>
        <v>0</v>
      </c>
      <c r="AI159" s="1103">
        <f>VLOOKUP(AI$1,'cost per tipologia de sòl'!$A$2:$D$37,4,FALSE)*'T100'!AI159</f>
        <v>0</v>
      </c>
      <c r="AJ159" s="1103">
        <f t="shared" si="4"/>
        <v>158348.20300000001</v>
      </c>
      <c r="AK159" s="1117">
        <f t="shared" si="5"/>
        <v>4.7504460899999996E-2</v>
      </c>
    </row>
    <row r="160" spans="1:37">
      <c r="A160" s="1096" t="s">
        <v>356</v>
      </c>
      <c r="B160" s="1103">
        <f>VLOOKUP(B$1,'cost per tipologia de sòl'!$A$2:$D$37,4,FALSE)*'T100'!B160</f>
        <v>0</v>
      </c>
      <c r="C160" s="1103">
        <f>VLOOKUP(C$1,'cost per tipologia de sòl'!$A$2:$D$37,4,FALSE)*'T100'!C160</f>
        <v>13072589.178000001</v>
      </c>
      <c r="D160" s="1103">
        <f>VLOOKUP(D$1,'cost per tipologia de sòl'!$A$2:$D$37,4,FALSE)*'T100'!D160</f>
        <v>0</v>
      </c>
      <c r="E160" s="1103">
        <f>VLOOKUP(E$1,'cost per tipologia de sòl'!$A$2:$D$37,4,FALSE)*'T100'!E160</f>
        <v>0</v>
      </c>
      <c r="F160" s="1103">
        <f>VLOOKUP(F$1,'cost per tipologia de sòl'!$A$2:$D$37,4,FALSE)*'T100'!F160</f>
        <v>0</v>
      </c>
      <c r="G160" s="1103">
        <f>VLOOKUP(G$1,'cost per tipologia de sòl'!$A$2:$D$37,4,FALSE)*'T100'!G160</f>
        <v>0</v>
      </c>
      <c r="H160" s="1103">
        <f>VLOOKUP(H$1,'cost per tipologia de sòl'!$A$2:$D$37,4,FALSE)*'T100'!H160</f>
        <v>0</v>
      </c>
      <c r="I160" s="1103">
        <f>VLOOKUP(I$1,'cost per tipologia de sòl'!$A$2:$D$37,4,FALSE)*'T100'!I160</f>
        <v>0</v>
      </c>
      <c r="J160" s="1103">
        <f>VLOOKUP(J$1,'cost per tipologia de sòl'!$A$2:$D$37,4,FALSE)*'T100'!J160</f>
        <v>378438.36249999999</v>
      </c>
      <c r="K160" s="1103">
        <f>VLOOKUP(K$1,'cost per tipologia de sòl'!$A$2:$D$37,4,FALSE)*'T100'!K160</f>
        <v>0</v>
      </c>
      <c r="L160" s="1103">
        <f>VLOOKUP(L$1,'cost per tipologia de sòl'!$A$2:$D$37,4,FALSE)*'T100'!L160</f>
        <v>5830909.6500000004</v>
      </c>
      <c r="M160" s="1103">
        <f>VLOOKUP(M$1,'cost per tipologia de sòl'!$A$2:$D$37,4,FALSE)*'T100'!M160</f>
        <v>0</v>
      </c>
      <c r="N160" s="1103">
        <f>VLOOKUP(N$1,'cost per tipologia de sòl'!$A$2:$D$37,4,FALSE)*'T100'!N160</f>
        <v>0</v>
      </c>
      <c r="O160" s="1103">
        <f>VLOOKUP(O$1,'cost per tipologia de sòl'!$A$2:$D$37,4,FALSE)*'T100'!O160</f>
        <v>0</v>
      </c>
      <c r="P160" s="1103">
        <f>VLOOKUP(P$1,'cost per tipologia de sòl'!$A$2:$D$37,4,FALSE)*'T100'!P160</f>
        <v>0</v>
      </c>
      <c r="Q160" s="1103">
        <f>VLOOKUP(Q$1,'cost per tipologia de sòl'!$A$2:$D$37,4,FALSE)*'T100'!Q160</f>
        <v>0</v>
      </c>
      <c r="R160" s="1103">
        <f>VLOOKUP(R$1,'cost per tipologia de sòl'!$A$2:$D$37,4,FALSE)*'T100'!R160</f>
        <v>0</v>
      </c>
      <c r="S160" s="1103">
        <f>VLOOKUP(S$1,'cost per tipologia de sòl'!$A$2:$D$37,4,FALSE)*'T100'!S160</f>
        <v>33722230.752000004</v>
      </c>
      <c r="T160" s="1103">
        <f>VLOOKUP(T$1,'cost per tipologia de sòl'!$A$2:$D$37,4,FALSE)*'T100'!T160</f>
        <v>10234814.016000001</v>
      </c>
      <c r="U160" s="1103">
        <f>VLOOKUP(U$1,'cost per tipologia de sòl'!$A$2:$D$37,4,FALSE)*'T100'!U160</f>
        <v>2157008.7000000002</v>
      </c>
      <c r="V160" s="1103">
        <f>VLOOKUP(V$1,'cost per tipologia de sòl'!$A$2:$D$37,4,FALSE)*'T100'!V160</f>
        <v>0</v>
      </c>
      <c r="W160" s="1103">
        <f>VLOOKUP(W$1,'cost per tipologia de sòl'!$A$2:$D$37,4,FALSE)*'T100'!W160</f>
        <v>0</v>
      </c>
      <c r="X160" s="1103">
        <f>VLOOKUP(X$1,'cost per tipologia de sòl'!$A$2:$D$37,4,FALSE)*'T100'!X160</f>
        <v>0</v>
      </c>
      <c r="Y160" s="1103">
        <f>VLOOKUP(Y$1,'cost per tipologia de sòl'!$A$2:$D$37,4,FALSE)*'T100'!Y160</f>
        <v>0</v>
      </c>
      <c r="Z160" s="1103">
        <f>VLOOKUP(Z$1,'cost per tipologia de sòl'!$A$2:$D$37,4,FALSE)*'T100'!Z160</f>
        <v>629396.92599999998</v>
      </c>
      <c r="AA160" s="1103">
        <f>VLOOKUP(AA$1,'cost per tipologia de sòl'!$A$2:$D$37,4,FALSE)*'T100'!AA160</f>
        <v>0</v>
      </c>
      <c r="AB160" s="1103">
        <f>VLOOKUP(AB$1,'cost per tipologia de sòl'!$A$2:$D$37,4,FALSE)*'T100'!AB160</f>
        <v>3076929.35</v>
      </c>
      <c r="AC160" s="1103">
        <f>VLOOKUP(AC$1,'cost per tipologia de sòl'!$A$2:$D$37,4,FALSE)*'T100'!AC160</f>
        <v>17753486</v>
      </c>
      <c r="AD160" s="1103">
        <f>VLOOKUP(AD$1,'cost per tipologia de sòl'!$A$2:$D$37,4,FALSE)*'T100'!AD160</f>
        <v>7138435.8499999996</v>
      </c>
      <c r="AE160" s="1103">
        <f>VLOOKUP(AE$1,'cost per tipologia de sòl'!$A$2:$D$37,4,FALSE)*'T100'!AE160</f>
        <v>0</v>
      </c>
      <c r="AF160" s="1103">
        <f>VLOOKUP(AF$1,'cost per tipologia de sòl'!$A$2:$D$37,4,FALSE)*'T100'!AF160</f>
        <v>0</v>
      </c>
      <c r="AG160" s="1103">
        <f>VLOOKUP(AG$1,'cost per tipologia de sòl'!$A$2:$D$37,4,FALSE)*'T100'!AG160</f>
        <v>0</v>
      </c>
      <c r="AH160" s="1103">
        <f>VLOOKUP(AH$1,'cost per tipologia de sòl'!$A$2:$D$37,4,FALSE)*'T100'!AH160</f>
        <v>0</v>
      </c>
      <c r="AI160" s="1103">
        <f>VLOOKUP(AI$1,'cost per tipologia de sòl'!$A$2:$D$37,4,FALSE)*'T100'!AI160</f>
        <v>0</v>
      </c>
      <c r="AJ160" s="1103">
        <f t="shared" si="4"/>
        <v>93994238.784500003</v>
      </c>
      <c r="AK160" s="1117">
        <f t="shared" si="5"/>
        <v>28.198271635349997</v>
      </c>
    </row>
    <row r="161" spans="1:37">
      <c r="A161" s="1096" t="s">
        <v>1625</v>
      </c>
      <c r="B161" s="1103">
        <f>VLOOKUP(B$1,'cost per tipologia de sòl'!$A$2:$D$37,4,FALSE)*'T100'!B161</f>
        <v>0</v>
      </c>
      <c r="C161" s="1103">
        <f>VLOOKUP(C$1,'cost per tipologia de sòl'!$A$2:$D$37,4,FALSE)*'T100'!C161</f>
        <v>0</v>
      </c>
      <c r="D161" s="1103">
        <f>VLOOKUP(D$1,'cost per tipologia de sòl'!$A$2:$D$37,4,FALSE)*'T100'!D161</f>
        <v>0</v>
      </c>
      <c r="E161" s="1103">
        <f>VLOOKUP(E$1,'cost per tipologia de sòl'!$A$2:$D$37,4,FALSE)*'T100'!E161</f>
        <v>0</v>
      </c>
      <c r="F161" s="1103">
        <f>VLOOKUP(F$1,'cost per tipologia de sòl'!$A$2:$D$37,4,FALSE)*'T100'!F161</f>
        <v>0</v>
      </c>
      <c r="G161" s="1103">
        <f>VLOOKUP(G$1,'cost per tipologia de sòl'!$A$2:$D$37,4,FALSE)*'T100'!G161</f>
        <v>0</v>
      </c>
      <c r="H161" s="1103">
        <f>VLOOKUP(H$1,'cost per tipologia de sòl'!$A$2:$D$37,4,FALSE)*'T100'!H161</f>
        <v>0</v>
      </c>
      <c r="I161" s="1103">
        <f>VLOOKUP(I$1,'cost per tipologia de sòl'!$A$2:$D$37,4,FALSE)*'T100'!I161</f>
        <v>0</v>
      </c>
      <c r="J161" s="1103">
        <f>VLOOKUP(J$1,'cost per tipologia de sòl'!$A$2:$D$37,4,FALSE)*'T100'!J161</f>
        <v>6457.6379999999999</v>
      </c>
      <c r="K161" s="1103">
        <f>VLOOKUP(K$1,'cost per tipologia de sòl'!$A$2:$D$37,4,FALSE)*'T100'!K161</f>
        <v>0</v>
      </c>
      <c r="L161" s="1103">
        <f>VLOOKUP(L$1,'cost per tipologia de sòl'!$A$2:$D$37,4,FALSE)*'T100'!L161</f>
        <v>0</v>
      </c>
      <c r="M161" s="1103">
        <f>VLOOKUP(M$1,'cost per tipologia de sòl'!$A$2:$D$37,4,FALSE)*'T100'!M161</f>
        <v>0</v>
      </c>
      <c r="N161" s="1103">
        <f>VLOOKUP(N$1,'cost per tipologia de sòl'!$A$2:$D$37,4,FALSE)*'T100'!N161</f>
        <v>0</v>
      </c>
      <c r="O161" s="1103">
        <f>VLOOKUP(O$1,'cost per tipologia de sòl'!$A$2:$D$37,4,FALSE)*'T100'!O161</f>
        <v>0</v>
      </c>
      <c r="P161" s="1103">
        <f>VLOOKUP(P$1,'cost per tipologia de sòl'!$A$2:$D$37,4,FALSE)*'T100'!P161</f>
        <v>0</v>
      </c>
      <c r="Q161" s="1103">
        <f>VLOOKUP(Q$1,'cost per tipologia de sòl'!$A$2:$D$37,4,FALSE)*'T100'!Q161</f>
        <v>0</v>
      </c>
      <c r="R161" s="1103">
        <f>VLOOKUP(R$1,'cost per tipologia de sòl'!$A$2:$D$37,4,FALSE)*'T100'!R161</f>
        <v>0</v>
      </c>
      <c r="S161" s="1103">
        <f>VLOOKUP(S$1,'cost per tipologia de sòl'!$A$2:$D$37,4,FALSE)*'T100'!S161</f>
        <v>0</v>
      </c>
      <c r="T161" s="1103">
        <f>VLOOKUP(T$1,'cost per tipologia de sòl'!$A$2:$D$37,4,FALSE)*'T100'!T161</f>
        <v>0</v>
      </c>
      <c r="U161" s="1103">
        <f>VLOOKUP(U$1,'cost per tipologia de sòl'!$A$2:$D$37,4,FALSE)*'T100'!U161</f>
        <v>0</v>
      </c>
      <c r="V161" s="1103">
        <f>VLOOKUP(V$1,'cost per tipologia de sòl'!$A$2:$D$37,4,FALSE)*'T100'!V161</f>
        <v>0</v>
      </c>
      <c r="W161" s="1103">
        <f>VLOOKUP(W$1,'cost per tipologia de sòl'!$A$2:$D$37,4,FALSE)*'T100'!W161</f>
        <v>0</v>
      </c>
      <c r="X161" s="1103">
        <f>VLOOKUP(X$1,'cost per tipologia de sòl'!$A$2:$D$37,4,FALSE)*'T100'!X161</f>
        <v>0</v>
      </c>
      <c r="Y161" s="1103">
        <f>VLOOKUP(Y$1,'cost per tipologia de sòl'!$A$2:$D$37,4,FALSE)*'T100'!Y161</f>
        <v>0</v>
      </c>
      <c r="Z161" s="1103">
        <f>VLOOKUP(Z$1,'cost per tipologia de sòl'!$A$2:$D$37,4,FALSE)*'T100'!Z161</f>
        <v>0</v>
      </c>
      <c r="AA161" s="1103">
        <f>VLOOKUP(AA$1,'cost per tipologia de sòl'!$A$2:$D$37,4,FALSE)*'T100'!AA161</f>
        <v>0</v>
      </c>
      <c r="AB161" s="1103">
        <f>VLOOKUP(AB$1,'cost per tipologia de sòl'!$A$2:$D$37,4,FALSE)*'T100'!AB161</f>
        <v>0</v>
      </c>
      <c r="AC161" s="1103">
        <f>VLOOKUP(AC$1,'cost per tipologia de sòl'!$A$2:$D$37,4,FALSE)*'T100'!AC161</f>
        <v>0</v>
      </c>
      <c r="AD161" s="1103">
        <f>VLOOKUP(AD$1,'cost per tipologia de sòl'!$A$2:$D$37,4,FALSE)*'T100'!AD161</f>
        <v>14665.150000000001</v>
      </c>
      <c r="AE161" s="1103">
        <f>VLOOKUP(AE$1,'cost per tipologia de sòl'!$A$2:$D$37,4,FALSE)*'T100'!AE161</f>
        <v>0</v>
      </c>
      <c r="AF161" s="1103">
        <f>VLOOKUP(AF$1,'cost per tipologia de sòl'!$A$2:$D$37,4,FALSE)*'T100'!AF161</f>
        <v>0</v>
      </c>
      <c r="AG161" s="1103">
        <f>VLOOKUP(AG$1,'cost per tipologia de sòl'!$A$2:$D$37,4,FALSE)*'T100'!AG161</f>
        <v>0</v>
      </c>
      <c r="AH161" s="1103">
        <f>VLOOKUP(AH$1,'cost per tipologia de sòl'!$A$2:$D$37,4,FALSE)*'T100'!AH161</f>
        <v>0</v>
      </c>
      <c r="AI161" s="1103">
        <f>VLOOKUP(AI$1,'cost per tipologia de sòl'!$A$2:$D$37,4,FALSE)*'T100'!AI161</f>
        <v>0</v>
      </c>
      <c r="AJ161" s="1103">
        <f t="shared" si="4"/>
        <v>21122.788</v>
      </c>
      <c r="AK161" s="1117">
        <f t="shared" si="5"/>
        <v>6.3368364000000003E-3</v>
      </c>
    </row>
    <row r="162" spans="1:37">
      <c r="A162" s="1096" t="s">
        <v>1627</v>
      </c>
      <c r="B162" s="1103">
        <f>VLOOKUP(B$1,'cost per tipologia de sòl'!$A$2:$D$37,4,FALSE)*'T100'!B162</f>
        <v>11502933.228</v>
      </c>
      <c r="C162" s="1103">
        <f>VLOOKUP(C$1,'cost per tipologia de sòl'!$A$2:$D$37,4,FALSE)*'T100'!C162</f>
        <v>0</v>
      </c>
      <c r="D162" s="1103">
        <f>VLOOKUP(D$1,'cost per tipologia de sòl'!$A$2:$D$37,4,FALSE)*'T100'!D162</f>
        <v>0</v>
      </c>
      <c r="E162" s="1103">
        <f>VLOOKUP(E$1,'cost per tipologia de sòl'!$A$2:$D$37,4,FALSE)*'T100'!E162</f>
        <v>0</v>
      </c>
      <c r="F162" s="1103">
        <f>VLOOKUP(F$1,'cost per tipologia de sòl'!$A$2:$D$37,4,FALSE)*'T100'!F162</f>
        <v>0</v>
      </c>
      <c r="G162" s="1103">
        <f>VLOOKUP(G$1,'cost per tipologia de sòl'!$A$2:$D$37,4,FALSE)*'T100'!G162</f>
        <v>0</v>
      </c>
      <c r="H162" s="1103">
        <f>VLOOKUP(H$1,'cost per tipologia de sòl'!$A$2:$D$37,4,FALSE)*'T100'!H162</f>
        <v>0</v>
      </c>
      <c r="I162" s="1103">
        <f>VLOOKUP(I$1,'cost per tipologia de sòl'!$A$2:$D$37,4,FALSE)*'T100'!I162</f>
        <v>0</v>
      </c>
      <c r="J162" s="1103">
        <f>VLOOKUP(J$1,'cost per tipologia de sòl'!$A$2:$D$37,4,FALSE)*'T100'!J162</f>
        <v>0</v>
      </c>
      <c r="K162" s="1103">
        <f>VLOOKUP(K$1,'cost per tipologia de sòl'!$A$2:$D$37,4,FALSE)*'T100'!K162</f>
        <v>0</v>
      </c>
      <c r="L162" s="1103">
        <f>VLOOKUP(L$1,'cost per tipologia de sòl'!$A$2:$D$37,4,FALSE)*'T100'!L162</f>
        <v>0</v>
      </c>
      <c r="M162" s="1103">
        <f>VLOOKUP(M$1,'cost per tipologia de sòl'!$A$2:$D$37,4,FALSE)*'T100'!M162</f>
        <v>0</v>
      </c>
      <c r="N162" s="1103">
        <f>VLOOKUP(N$1,'cost per tipologia de sòl'!$A$2:$D$37,4,FALSE)*'T100'!N162</f>
        <v>0</v>
      </c>
      <c r="O162" s="1103">
        <f>VLOOKUP(O$1,'cost per tipologia de sòl'!$A$2:$D$37,4,FALSE)*'T100'!O162</f>
        <v>0</v>
      </c>
      <c r="P162" s="1103">
        <f>VLOOKUP(P$1,'cost per tipologia de sòl'!$A$2:$D$37,4,FALSE)*'T100'!P162</f>
        <v>0</v>
      </c>
      <c r="Q162" s="1103">
        <f>VLOOKUP(Q$1,'cost per tipologia de sòl'!$A$2:$D$37,4,FALSE)*'T100'!Q162</f>
        <v>0</v>
      </c>
      <c r="R162" s="1103">
        <f>VLOOKUP(R$1,'cost per tipologia de sòl'!$A$2:$D$37,4,FALSE)*'T100'!R162</f>
        <v>0</v>
      </c>
      <c r="S162" s="1103">
        <f>VLOOKUP(S$1,'cost per tipologia de sòl'!$A$2:$D$37,4,FALSE)*'T100'!S162</f>
        <v>0</v>
      </c>
      <c r="T162" s="1103">
        <f>VLOOKUP(T$1,'cost per tipologia de sòl'!$A$2:$D$37,4,FALSE)*'T100'!T162</f>
        <v>6082577.3669999996</v>
      </c>
      <c r="U162" s="1103">
        <f>VLOOKUP(U$1,'cost per tipologia de sòl'!$A$2:$D$37,4,FALSE)*'T100'!U162</f>
        <v>3991367.0999999996</v>
      </c>
      <c r="V162" s="1103">
        <f>VLOOKUP(V$1,'cost per tipologia de sòl'!$A$2:$D$37,4,FALSE)*'T100'!V162</f>
        <v>0</v>
      </c>
      <c r="W162" s="1103">
        <f>VLOOKUP(W$1,'cost per tipologia de sòl'!$A$2:$D$37,4,FALSE)*'T100'!W162</f>
        <v>0</v>
      </c>
      <c r="X162" s="1103">
        <f>VLOOKUP(X$1,'cost per tipologia de sòl'!$A$2:$D$37,4,FALSE)*'T100'!X162</f>
        <v>0</v>
      </c>
      <c r="Y162" s="1103">
        <f>VLOOKUP(Y$1,'cost per tipologia de sòl'!$A$2:$D$37,4,FALSE)*'T100'!Y162</f>
        <v>0</v>
      </c>
      <c r="Z162" s="1103">
        <f>VLOOKUP(Z$1,'cost per tipologia de sòl'!$A$2:$D$37,4,FALSE)*'T100'!Z162</f>
        <v>81501.157999999996</v>
      </c>
      <c r="AA162" s="1103">
        <f>VLOOKUP(AA$1,'cost per tipologia de sòl'!$A$2:$D$37,4,FALSE)*'T100'!AA162</f>
        <v>0</v>
      </c>
      <c r="AB162" s="1103">
        <f>VLOOKUP(AB$1,'cost per tipologia de sòl'!$A$2:$D$37,4,FALSE)*'T100'!AB162</f>
        <v>17324177.199999999</v>
      </c>
      <c r="AC162" s="1103">
        <f>VLOOKUP(AC$1,'cost per tipologia de sòl'!$A$2:$D$37,4,FALSE)*'T100'!AC162</f>
        <v>2217859.5499999998</v>
      </c>
      <c r="AD162" s="1103">
        <f>VLOOKUP(AD$1,'cost per tipologia de sòl'!$A$2:$D$37,4,FALSE)*'T100'!AD162</f>
        <v>2677861.9000000004</v>
      </c>
      <c r="AE162" s="1103">
        <f>VLOOKUP(AE$1,'cost per tipologia de sòl'!$A$2:$D$37,4,FALSE)*'T100'!AE162</f>
        <v>0</v>
      </c>
      <c r="AF162" s="1103">
        <f>VLOOKUP(AF$1,'cost per tipologia de sòl'!$A$2:$D$37,4,FALSE)*'T100'!AF162</f>
        <v>0</v>
      </c>
      <c r="AG162" s="1103">
        <f>VLOOKUP(AG$1,'cost per tipologia de sòl'!$A$2:$D$37,4,FALSE)*'T100'!AG162</f>
        <v>0</v>
      </c>
      <c r="AH162" s="1103">
        <f>VLOOKUP(AH$1,'cost per tipologia de sòl'!$A$2:$D$37,4,FALSE)*'T100'!AH162</f>
        <v>0</v>
      </c>
      <c r="AI162" s="1103">
        <f>VLOOKUP(AI$1,'cost per tipologia de sòl'!$A$2:$D$37,4,FALSE)*'T100'!AI162</f>
        <v>0</v>
      </c>
      <c r="AJ162" s="1103">
        <f t="shared" si="4"/>
        <v>43878277.502999999</v>
      </c>
      <c r="AK162" s="1117">
        <f t="shared" si="5"/>
        <v>13.163483250899999</v>
      </c>
    </row>
    <row r="163" spans="1:37">
      <c r="A163" s="1095" t="s">
        <v>1631</v>
      </c>
      <c r="B163" s="1103">
        <f>VLOOKUP(B$1,'cost per tipologia de sòl'!$A$2:$D$37,4,FALSE)*'T100'!B163</f>
        <v>10750978.026000001</v>
      </c>
      <c r="C163" s="1103">
        <f>VLOOKUP(C$1,'cost per tipologia de sòl'!$A$2:$D$37,4,FALSE)*'T100'!C163</f>
        <v>0</v>
      </c>
      <c r="D163" s="1103">
        <f>VLOOKUP(D$1,'cost per tipologia de sòl'!$A$2:$D$37,4,FALSE)*'T100'!D163</f>
        <v>0</v>
      </c>
      <c r="E163" s="1103">
        <f>VLOOKUP(E$1,'cost per tipologia de sòl'!$A$2:$D$37,4,FALSE)*'T100'!E163</f>
        <v>0</v>
      </c>
      <c r="F163" s="1103">
        <f>VLOOKUP(F$1,'cost per tipologia de sòl'!$A$2:$D$37,4,FALSE)*'T100'!F163</f>
        <v>0</v>
      </c>
      <c r="G163" s="1103">
        <f>VLOOKUP(G$1,'cost per tipologia de sòl'!$A$2:$D$37,4,FALSE)*'T100'!G163</f>
        <v>0</v>
      </c>
      <c r="H163" s="1103">
        <f>VLOOKUP(H$1,'cost per tipologia de sòl'!$A$2:$D$37,4,FALSE)*'T100'!H163</f>
        <v>0</v>
      </c>
      <c r="I163" s="1103">
        <f>VLOOKUP(I$1,'cost per tipologia de sòl'!$A$2:$D$37,4,FALSE)*'T100'!I163</f>
        <v>0</v>
      </c>
      <c r="J163" s="1103">
        <f>VLOOKUP(J$1,'cost per tipologia de sòl'!$A$2:$D$37,4,FALSE)*'T100'!J163</f>
        <v>2207912.3109999998</v>
      </c>
      <c r="K163" s="1103">
        <f>VLOOKUP(K$1,'cost per tipologia de sòl'!$A$2:$D$37,4,FALSE)*'T100'!K163</f>
        <v>0</v>
      </c>
      <c r="L163" s="1103">
        <f>VLOOKUP(L$1,'cost per tipologia de sòl'!$A$2:$D$37,4,FALSE)*'T100'!L163</f>
        <v>1466391.96</v>
      </c>
      <c r="M163" s="1103">
        <f>VLOOKUP(M$1,'cost per tipologia de sòl'!$A$2:$D$37,4,FALSE)*'T100'!M163</f>
        <v>252051.31999999998</v>
      </c>
      <c r="N163" s="1103">
        <f>VLOOKUP(N$1,'cost per tipologia de sòl'!$A$2:$D$37,4,FALSE)*'T100'!N163</f>
        <v>26562.552000000003</v>
      </c>
      <c r="O163" s="1103">
        <f>VLOOKUP(O$1,'cost per tipologia de sòl'!$A$2:$D$37,4,FALSE)*'T100'!O163</f>
        <v>0</v>
      </c>
      <c r="P163" s="1103">
        <f>VLOOKUP(P$1,'cost per tipologia de sòl'!$A$2:$D$37,4,FALSE)*'T100'!P163</f>
        <v>26512202.304000001</v>
      </c>
      <c r="Q163" s="1103">
        <f>VLOOKUP(Q$1,'cost per tipologia de sòl'!$A$2:$D$37,4,FALSE)*'T100'!Q163</f>
        <v>0</v>
      </c>
      <c r="R163" s="1103">
        <f>VLOOKUP(R$1,'cost per tipologia de sòl'!$A$2:$D$37,4,FALSE)*'T100'!R163</f>
        <v>0</v>
      </c>
      <c r="S163" s="1103">
        <f>VLOOKUP(S$1,'cost per tipologia de sòl'!$A$2:$D$37,4,FALSE)*'T100'!S163</f>
        <v>17179057.728</v>
      </c>
      <c r="T163" s="1103">
        <f>VLOOKUP(T$1,'cost per tipologia de sòl'!$A$2:$D$37,4,FALSE)*'T100'!T163</f>
        <v>10634743.374</v>
      </c>
      <c r="U163" s="1103">
        <f>VLOOKUP(U$1,'cost per tipologia de sòl'!$A$2:$D$37,4,FALSE)*'T100'!U163</f>
        <v>0</v>
      </c>
      <c r="V163" s="1103">
        <f>VLOOKUP(V$1,'cost per tipologia de sòl'!$A$2:$D$37,4,FALSE)*'T100'!V163</f>
        <v>0</v>
      </c>
      <c r="W163" s="1103">
        <f>VLOOKUP(W$1,'cost per tipologia de sòl'!$A$2:$D$37,4,FALSE)*'T100'!W163</f>
        <v>0</v>
      </c>
      <c r="X163" s="1103">
        <f>VLOOKUP(X$1,'cost per tipologia de sòl'!$A$2:$D$37,4,FALSE)*'T100'!X163</f>
        <v>0</v>
      </c>
      <c r="Y163" s="1103">
        <f>VLOOKUP(Y$1,'cost per tipologia de sòl'!$A$2:$D$37,4,FALSE)*'T100'!Y163</f>
        <v>0</v>
      </c>
      <c r="Z163" s="1103">
        <f>VLOOKUP(Z$1,'cost per tipologia de sòl'!$A$2:$D$37,4,FALSE)*'T100'!Z163</f>
        <v>7183794.5240000002</v>
      </c>
      <c r="AA163" s="1103">
        <f>VLOOKUP(AA$1,'cost per tipologia de sòl'!$A$2:$D$37,4,FALSE)*'T100'!AA163</f>
        <v>0</v>
      </c>
      <c r="AB163" s="1103">
        <f>VLOOKUP(AB$1,'cost per tipologia de sòl'!$A$2:$D$37,4,FALSE)*'T100'!AB163</f>
        <v>16304898.450000001</v>
      </c>
      <c r="AC163" s="1103">
        <f>VLOOKUP(AC$1,'cost per tipologia de sòl'!$A$2:$D$37,4,FALSE)*'T100'!AC163</f>
        <v>23216125.649999999</v>
      </c>
      <c r="AD163" s="1103">
        <f>VLOOKUP(AD$1,'cost per tipologia de sòl'!$A$2:$D$37,4,FALSE)*'T100'!AD163</f>
        <v>31324358.550000001</v>
      </c>
      <c r="AE163" s="1103">
        <f>VLOOKUP(AE$1,'cost per tipologia de sòl'!$A$2:$D$37,4,FALSE)*'T100'!AE163</f>
        <v>0</v>
      </c>
      <c r="AF163" s="1103">
        <f>VLOOKUP(AF$1,'cost per tipologia de sòl'!$A$2:$D$37,4,FALSE)*'T100'!AF163</f>
        <v>0</v>
      </c>
      <c r="AG163" s="1103">
        <f>VLOOKUP(AG$1,'cost per tipologia de sòl'!$A$2:$D$37,4,FALSE)*'T100'!AG163</f>
        <v>0</v>
      </c>
      <c r="AH163" s="1103">
        <f>VLOOKUP(AH$1,'cost per tipologia de sòl'!$A$2:$D$37,4,FALSE)*'T100'!AH163</f>
        <v>0</v>
      </c>
      <c r="AI163" s="1103">
        <f>VLOOKUP(AI$1,'cost per tipologia de sòl'!$A$2:$D$37,4,FALSE)*'T100'!AI163</f>
        <v>0</v>
      </c>
      <c r="AJ163" s="1103">
        <f t="shared" si="4"/>
        <v>147059076.74900001</v>
      </c>
      <c r="AK163" s="1117">
        <f t="shared" si="5"/>
        <v>44.117723024700005</v>
      </c>
    </row>
    <row r="164" spans="1:37">
      <c r="A164" s="1095" t="s">
        <v>1636</v>
      </c>
      <c r="B164" s="1103">
        <f>VLOOKUP(B$1,'cost per tipologia de sòl'!$A$2:$D$37,4,FALSE)*'T100'!B164</f>
        <v>17336071.782000002</v>
      </c>
      <c r="C164" s="1103">
        <f>VLOOKUP(C$1,'cost per tipologia de sòl'!$A$2:$D$37,4,FALSE)*'T100'!C164</f>
        <v>0</v>
      </c>
      <c r="D164" s="1103">
        <f>VLOOKUP(D$1,'cost per tipologia de sòl'!$A$2:$D$37,4,FALSE)*'T100'!D164</f>
        <v>69306.258000000002</v>
      </c>
      <c r="E164" s="1103">
        <f>VLOOKUP(E$1,'cost per tipologia de sòl'!$A$2:$D$37,4,FALSE)*'T100'!E164</f>
        <v>0</v>
      </c>
      <c r="F164" s="1103">
        <f>VLOOKUP(F$1,'cost per tipologia de sòl'!$A$2:$D$37,4,FALSE)*'T100'!F164</f>
        <v>0</v>
      </c>
      <c r="G164" s="1103">
        <f>VLOOKUP(G$1,'cost per tipologia de sòl'!$A$2:$D$37,4,FALSE)*'T100'!G164</f>
        <v>0</v>
      </c>
      <c r="H164" s="1103">
        <f>VLOOKUP(H$1,'cost per tipologia de sòl'!$A$2:$D$37,4,FALSE)*'T100'!H164</f>
        <v>0</v>
      </c>
      <c r="I164" s="1103">
        <f>VLOOKUP(I$1,'cost per tipologia de sòl'!$A$2:$D$37,4,FALSE)*'T100'!I164</f>
        <v>0</v>
      </c>
      <c r="J164" s="1103">
        <f>VLOOKUP(J$1,'cost per tipologia de sòl'!$A$2:$D$37,4,FALSE)*'T100'!J164</f>
        <v>1025465.551</v>
      </c>
      <c r="K164" s="1103">
        <f>VLOOKUP(K$1,'cost per tipologia de sòl'!$A$2:$D$37,4,FALSE)*'T100'!K164</f>
        <v>981048.15899999999</v>
      </c>
      <c r="L164" s="1103">
        <f>VLOOKUP(L$1,'cost per tipologia de sòl'!$A$2:$D$37,4,FALSE)*'T100'!L164</f>
        <v>14747.805</v>
      </c>
      <c r="M164" s="1103">
        <f>VLOOKUP(M$1,'cost per tipologia de sòl'!$A$2:$D$37,4,FALSE)*'T100'!M164</f>
        <v>0</v>
      </c>
      <c r="N164" s="1103">
        <f>VLOOKUP(N$1,'cost per tipologia de sòl'!$A$2:$D$37,4,FALSE)*'T100'!N164</f>
        <v>0</v>
      </c>
      <c r="O164" s="1103">
        <f>VLOOKUP(O$1,'cost per tipologia de sòl'!$A$2:$D$37,4,FALSE)*'T100'!O164</f>
        <v>0</v>
      </c>
      <c r="P164" s="1103">
        <f>VLOOKUP(P$1,'cost per tipologia de sòl'!$A$2:$D$37,4,FALSE)*'T100'!P164</f>
        <v>0</v>
      </c>
      <c r="Q164" s="1103">
        <f>VLOOKUP(Q$1,'cost per tipologia de sòl'!$A$2:$D$37,4,FALSE)*'T100'!Q164</f>
        <v>0</v>
      </c>
      <c r="R164" s="1103">
        <f>VLOOKUP(R$1,'cost per tipologia de sòl'!$A$2:$D$37,4,FALSE)*'T100'!R164</f>
        <v>0</v>
      </c>
      <c r="S164" s="1103">
        <f>VLOOKUP(S$1,'cost per tipologia de sòl'!$A$2:$D$37,4,FALSE)*'T100'!S164</f>
        <v>11836610.351999998</v>
      </c>
      <c r="T164" s="1103">
        <f>VLOOKUP(T$1,'cost per tipologia de sòl'!$A$2:$D$37,4,FALSE)*'T100'!T164</f>
        <v>1040676.2200000001</v>
      </c>
      <c r="U164" s="1103">
        <f>VLOOKUP(U$1,'cost per tipologia de sòl'!$A$2:$D$37,4,FALSE)*'T100'!U164</f>
        <v>811723.5</v>
      </c>
      <c r="V164" s="1103">
        <f>VLOOKUP(V$1,'cost per tipologia de sòl'!$A$2:$D$37,4,FALSE)*'T100'!V164</f>
        <v>0</v>
      </c>
      <c r="W164" s="1103">
        <f>VLOOKUP(W$1,'cost per tipologia de sòl'!$A$2:$D$37,4,FALSE)*'T100'!W164</f>
        <v>0</v>
      </c>
      <c r="X164" s="1103">
        <f>VLOOKUP(X$1,'cost per tipologia de sòl'!$A$2:$D$37,4,FALSE)*'T100'!X164</f>
        <v>0</v>
      </c>
      <c r="Y164" s="1103">
        <f>VLOOKUP(Y$1,'cost per tipologia de sòl'!$A$2:$D$37,4,FALSE)*'T100'!Y164</f>
        <v>0</v>
      </c>
      <c r="Z164" s="1103">
        <f>VLOOKUP(Z$1,'cost per tipologia de sòl'!$A$2:$D$37,4,FALSE)*'T100'!Z164</f>
        <v>2986309.8280000002</v>
      </c>
      <c r="AA164" s="1103">
        <f>VLOOKUP(AA$1,'cost per tipologia de sòl'!$A$2:$D$37,4,FALSE)*'T100'!AA164</f>
        <v>0</v>
      </c>
      <c r="AB164" s="1103">
        <f>VLOOKUP(AB$1,'cost per tipologia de sòl'!$A$2:$D$37,4,FALSE)*'T100'!AB164</f>
        <v>5442806.5</v>
      </c>
      <c r="AC164" s="1103">
        <f>VLOOKUP(AC$1,'cost per tipologia de sòl'!$A$2:$D$37,4,FALSE)*'T100'!AC164</f>
        <v>1135573.95</v>
      </c>
      <c r="AD164" s="1103">
        <f>VLOOKUP(AD$1,'cost per tipologia de sòl'!$A$2:$D$37,4,FALSE)*'T100'!AD164</f>
        <v>13922142.65</v>
      </c>
      <c r="AE164" s="1103">
        <f>VLOOKUP(AE$1,'cost per tipologia de sòl'!$A$2:$D$37,4,FALSE)*'T100'!AE164</f>
        <v>0</v>
      </c>
      <c r="AF164" s="1103">
        <f>VLOOKUP(AF$1,'cost per tipologia de sòl'!$A$2:$D$37,4,FALSE)*'T100'!AF164</f>
        <v>0</v>
      </c>
      <c r="AG164" s="1103">
        <f>VLOOKUP(AG$1,'cost per tipologia de sòl'!$A$2:$D$37,4,FALSE)*'T100'!AG164</f>
        <v>0</v>
      </c>
      <c r="AH164" s="1103">
        <f>VLOOKUP(AH$1,'cost per tipologia de sòl'!$A$2:$D$37,4,FALSE)*'T100'!AH164</f>
        <v>0</v>
      </c>
      <c r="AI164" s="1103">
        <f>VLOOKUP(AI$1,'cost per tipologia de sòl'!$A$2:$D$37,4,FALSE)*'T100'!AI164</f>
        <v>0</v>
      </c>
      <c r="AJ164" s="1103">
        <f t="shared" si="4"/>
        <v>56602482.555</v>
      </c>
      <c r="AK164" s="1117">
        <f t="shared" si="5"/>
        <v>16.980744766500003</v>
      </c>
    </row>
    <row r="165" spans="1:37">
      <c r="A165" s="1095" t="s">
        <v>1639</v>
      </c>
      <c r="B165" s="1103">
        <f>VLOOKUP(B$1,'cost per tipologia de sòl'!$A$2:$D$37,4,FALSE)*'T100'!B165</f>
        <v>0</v>
      </c>
      <c r="C165" s="1103">
        <f>VLOOKUP(C$1,'cost per tipologia de sòl'!$A$2:$D$37,4,FALSE)*'T100'!C165</f>
        <v>0</v>
      </c>
      <c r="D165" s="1103">
        <f>VLOOKUP(D$1,'cost per tipologia de sòl'!$A$2:$D$37,4,FALSE)*'T100'!D165</f>
        <v>0</v>
      </c>
      <c r="E165" s="1103">
        <f>VLOOKUP(E$1,'cost per tipologia de sòl'!$A$2:$D$37,4,FALSE)*'T100'!E165</f>
        <v>0</v>
      </c>
      <c r="F165" s="1103">
        <f>VLOOKUP(F$1,'cost per tipologia de sòl'!$A$2:$D$37,4,FALSE)*'T100'!F165</f>
        <v>0</v>
      </c>
      <c r="G165" s="1103">
        <f>VLOOKUP(G$1,'cost per tipologia de sòl'!$A$2:$D$37,4,FALSE)*'T100'!G165</f>
        <v>0</v>
      </c>
      <c r="H165" s="1103">
        <f>VLOOKUP(H$1,'cost per tipologia de sòl'!$A$2:$D$37,4,FALSE)*'T100'!H165</f>
        <v>0</v>
      </c>
      <c r="I165" s="1103">
        <f>VLOOKUP(I$1,'cost per tipologia de sòl'!$A$2:$D$37,4,FALSE)*'T100'!I165</f>
        <v>0</v>
      </c>
      <c r="J165" s="1103">
        <f>VLOOKUP(J$1,'cost per tipologia de sòl'!$A$2:$D$37,4,FALSE)*'T100'!J165</f>
        <v>0</v>
      </c>
      <c r="K165" s="1103">
        <f>VLOOKUP(K$1,'cost per tipologia de sòl'!$A$2:$D$37,4,FALSE)*'T100'!K165</f>
        <v>0</v>
      </c>
      <c r="L165" s="1103">
        <f>VLOOKUP(L$1,'cost per tipologia de sòl'!$A$2:$D$37,4,FALSE)*'T100'!L165</f>
        <v>0</v>
      </c>
      <c r="M165" s="1103">
        <f>VLOOKUP(M$1,'cost per tipologia de sòl'!$A$2:$D$37,4,FALSE)*'T100'!M165</f>
        <v>0</v>
      </c>
      <c r="N165" s="1103">
        <f>VLOOKUP(N$1,'cost per tipologia de sòl'!$A$2:$D$37,4,FALSE)*'T100'!N165</f>
        <v>0</v>
      </c>
      <c r="O165" s="1103">
        <f>VLOOKUP(O$1,'cost per tipologia de sòl'!$A$2:$D$37,4,FALSE)*'T100'!O165</f>
        <v>0</v>
      </c>
      <c r="P165" s="1103">
        <f>VLOOKUP(P$1,'cost per tipologia de sòl'!$A$2:$D$37,4,FALSE)*'T100'!P165</f>
        <v>0</v>
      </c>
      <c r="Q165" s="1103">
        <f>VLOOKUP(Q$1,'cost per tipologia de sòl'!$A$2:$D$37,4,FALSE)*'T100'!Q165</f>
        <v>0</v>
      </c>
      <c r="R165" s="1103">
        <f>VLOOKUP(R$1,'cost per tipologia de sòl'!$A$2:$D$37,4,FALSE)*'T100'!R165</f>
        <v>0</v>
      </c>
      <c r="S165" s="1103">
        <f>VLOOKUP(S$1,'cost per tipologia de sòl'!$A$2:$D$37,4,FALSE)*'T100'!S165</f>
        <v>0</v>
      </c>
      <c r="T165" s="1103">
        <f>VLOOKUP(T$1,'cost per tipologia de sòl'!$A$2:$D$37,4,FALSE)*'T100'!T165</f>
        <v>0</v>
      </c>
      <c r="U165" s="1103">
        <f>VLOOKUP(U$1,'cost per tipologia de sòl'!$A$2:$D$37,4,FALSE)*'T100'!U165</f>
        <v>0</v>
      </c>
      <c r="V165" s="1103">
        <f>VLOOKUP(V$1,'cost per tipologia de sòl'!$A$2:$D$37,4,FALSE)*'T100'!V165</f>
        <v>0</v>
      </c>
      <c r="W165" s="1103">
        <f>VLOOKUP(W$1,'cost per tipologia de sòl'!$A$2:$D$37,4,FALSE)*'T100'!W165</f>
        <v>0</v>
      </c>
      <c r="X165" s="1103">
        <f>VLOOKUP(X$1,'cost per tipologia de sòl'!$A$2:$D$37,4,FALSE)*'T100'!X165</f>
        <v>0</v>
      </c>
      <c r="Y165" s="1103">
        <f>VLOOKUP(Y$1,'cost per tipologia de sòl'!$A$2:$D$37,4,FALSE)*'T100'!Y165</f>
        <v>0</v>
      </c>
      <c r="Z165" s="1103">
        <f>VLOOKUP(Z$1,'cost per tipologia de sòl'!$A$2:$D$37,4,FALSE)*'T100'!Z165</f>
        <v>0</v>
      </c>
      <c r="AA165" s="1103">
        <f>VLOOKUP(AA$1,'cost per tipologia de sòl'!$A$2:$D$37,4,FALSE)*'T100'!AA165</f>
        <v>0</v>
      </c>
      <c r="AB165" s="1103">
        <f>VLOOKUP(AB$1,'cost per tipologia de sòl'!$A$2:$D$37,4,FALSE)*'T100'!AB165</f>
        <v>55875.199999999997</v>
      </c>
      <c r="AC165" s="1103">
        <f>VLOOKUP(AC$1,'cost per tipologia de sòl'!$A$2:$D$37,4,FALSE)*'T100'!AC165</f>
        <v>0</v>
      </c>
      <c r="AD165" s="1103">
        <f>VLOOKUP(AD$1,'cost per tipologia de sòl'!$A$2:$D$37,4,FALSE)*'T100'!AD165</f>
        <v>0</v>
      </c>
      <c r="AE165" s="1103">
        <f>VLOOKUP(AE$1,'cost per tipologia de sòl'!$A$2:$D$37,4,FALSE)*'T100'!AE165</f>
        <v>0</v>
      </c>
      <c r="AF165" s="1103">
        <f>VLOOKUP(AF$1,'cost per tipologia de sòl'!$A$2:$D$37,4,FALSE)*'T100'!AF165</f>
        <v>0</v>
      </c>
      <c r="AG165" s="1103">
        <f>VLOOKUP(AG$1,'cost per tipologia de sòl'!$A$2:$D$37,4,FALSE)*'T100'!AG165</f>
        <v>0</v>
      </c>
      <c r="AH165" s="1103">
        <f>VLOOKUP(AH$1,'cost per tipologia de sòl'!$A$2:$D$37,4,FALSE)*'T100'!AH165</f>
        <v>0</v>
      </c>
      <c r="AI165" s="1103">
        <f>VLOOKUP(AI$1,'cost per tipologia de sòl'!$A$2:$D$37,4,FALSE)*'T100'!AI165</f>
        <v>0</v>
      </c>
      <c r="AJ165" s="1103">
        <f t="shared" si="4"/>
        <v>55875.199999999997</v>
      </c>
      <c r="AK165" s="1117">
        <f t="shared" si="5"/>
        <v>1.6762559999999999E-2</v>
      </c>
    </row>
    <row r="166" spans="1:37">
      <c r="A166" s="1095" t="s">
        <v>1641</v>
      </c>
      <c r="B166" s="1103">
        <f>VLOOKUP(B$1,'cost per tipologia de sòl'!$A$2:$D$37,4,FALSE)*'T100'!B166</f>
        <v>10154914.056</v>
      </c>
      <c r="C166" s="1103">
        <f>VLOOKUP(C$1,'cost per tipologia de sòl'!$A$2:$D$37,4,FALSE)*'T100'!C166</f>
        <v>0</v>
      </c>
      <c r="D166" s="1103">
        <f>VLOOKUP(D$1,'cost per tipologia de sòl'!$A$2:$D$37,4,FALSE)*'T100'!D166</f>
        <v>0</v>
      </c>
      <c r="E166" s="1103">
        <f>VLOOKUP(E$1,'cost per tipologia de sòl'!$A$2:$D$37,4,FALSE)*'T100'!E166</f>
        <v>0</v>
      </c>
      <c r="F166" s="1103">
        <f>VLOOKUP(F$1,'cost per tipologia de sòl'!$A$2:$D$37,4,FALSE)*'T100'!F166</f>
        <v>0</v>
      </c>
      <c r="G166" s="1103">
        <f>VLOOKUP(G$1,'cost per tipologia de sòl'!$A$2:$D$37,4,FALSE)*'T100'!G166</f>
        <v>0</v>
      </c>
      <c r="H166" s="1103">
        <f>VLOOKUP(H$1,'cost per tipologia de sòl'!$A$2:$D$37,4,FALSE)*'T100'!H166</f>
        <v>0</v>
      </c>
      <c r="I166" s="1103">
        <f>VLOOKUP(I$1,'cost per tipologia de sòl'!$A$2:$D$37,4,FALSE)*'T100'!I166</f>
        <v>0</v>
      </c>
      <c r="J166" s="1103">
        <f>VLOOKUP(J$1,'cost per tipologia de sòl'!$A$2:$D$37,4,FALSE)*'T100'!J166</f>
        <v>0</v>
      </c>
      <c r="K166" s="1103">
        <f>VLOOKUP(K$1,'cost per tipologia de sòl'!$A$2:$D$37,4,FALSE)*'T100'!K166</f>
        <v>0</v>
      </c>
      <c r="L166" s="1103">
        <f>VLOOKUP(L$1,'cost per tipologia de sòl'!$A$2:$D$37,4,FALSE)*'T100'!L166</f>
        <v>594072.80099999998</v>
      </c>
      <c r="M166" s="1103">
        <f>VLOOKUP(M$1,'cost per tipologia de sòl'!$A$2:$D$37,4,FALSE)*'T100'!M166</f>
        <v>314253.58399999997</v>
      </c>
      <c r="N166" s="1103">
        <f>VLOOKUP(N$1,'cost per tipologia de sòl'!$A$2:$D$37,4,FALSE)*'T100'!N166</f>
        <v>0</v>
      </c>
      <c r="O166" s="1103">
        <f>VLOOKUP(O$1,'cost per tipologia de sòl'!$A$2:$D$37,4,FALSE)*'T100'!O166</f>
        <v>0</v>
      </c>
      <c r="P166" s="1103">
        <f>VLOOKUP(P$1,'cost per tipologia de sòl'!$A$2:$D$37,4,FALSE)*'T100'!P166</f>
        <v>1311080.656</v>
      </c>
      <c r="Q166" s="1103">
        <f>VLOOKUP(Q$1,'cost per tipologia de sòl'!$A$2:$D$37,4,FALSE)*'T100'!Q166</f>
        <v>0</v>
      </c>
      <c r="R166" s="1103">
        <f>VLOOKUP(R$1,'cost per tipologia de sòl'!$A$2:$D$37,4,FALSE)*'T100'!R166</f>
        <v>0</v>
      </c>
      <c r="S166" s="1103">
        <f>VLOOKUP(S$1,'cost per tipologia de sòl'!$A$2:$D$37,4,FALSE)*'T100'!S166</f>
        <v>197393.61600000001</v>
      </c>
      <c r="T166" s="1103">
        <f>VLOOKUP(T$1,'cost per tipologia de sòl'!$A$2:$D$37,4,FALSE)*'T100'!T166</f>
        <v>4526110.852</v>
      </c>
      <c r="U166" s="1103">
        <f>VLOOKUP(U$1,'cost per tipologia de sòl'!$A$2:$D$37,4,FALSE)*'T100'!U166</f>
        <v>0</v>
      </c>
      <c r="V166" s="1103">
        <f>VLOOKUP(V$1,'cost per tipologia de sòl'!$A$2:$D$37,4,FALSE)*'T100'!V166</f>
        <v>0</v>
      </c>
      <c r="W166" s="1103">
        <f>VLOOKUP(W$1,'cost per tipologia de sòl'!$A$2:$D$37,4,FALSE)*'T100'!W166</f>
        <v>0</v>
      </c>
      <c r="X166" s="1103">
        <f>VLOOKUP(X$1,'cost per tipologia de sòl'!$A$2:$D$37,4,FALSE)*'T100'!X166</f>
        <v>0</v>
      </c>
      <c r="Y166" s="1103">
        <f>VLOOKUP(Y$1,'cost per tipologia de sòl'!$A$2:$D$37,4,FALSE)*'T100'!Y166</f>
        <v>0</v>
      </c>
      <c r="Z166" s="1103">
        <f>VLOOKUP(Z$1,'cost per tipologia de sòl'!$A$2:$D$37,4,FALSE)*'T100'!Z166</f>
        <v>24899.482</v>
      </c>
      <c r="AA166" s="1103">
        <f>VLOOKUP(AA$1,'cost per tipologia de sòl'!$A$2:$D$37,4,FALSE)*'T100'!AA166</f>
        <v>0</v>
      </c>
      <c r="AB166" s="1103">
        <f>VLOOKUP(AB$1,'cost per tipologia de sòl'!$A$2:$D$37,4,FALSE)*'T100'!AB166</f>
        <v>0</v>
      </c>
      <c r="AC166" s="1103">
        <f>VLOOKUP(AC$1,'cost per tipologia de sòl'!$A$2:$D$37,4,FALSE)*'T100'!AC166</f>
        <v>1244709</v>
      </c>
      <c r="AD166" s="1103">
        <f>VLOOKUP(AD$1,'cost per tipologia de sòl'!$A$2:$D$37,4,FALSE)*'T100'!AD166</f>
        <v>1746227.2999999998</v>
      </c>
      <c r="AE166" s="1103">
        <f>VLOOKUP(AE$1,'cost per tipologia de sòl'!$A$2:$D$37,4,FALSE)*'T100'!AE166</f>
        <v>0</v>
      </c>
      <c r="AF166" s="1103">
        <f>VLOOKUP(AF$1,'cost per tipologia de sòl'!$A$2:$D$37,4,FALSE)*'T100'!AF166</f>
        <v>0</v>
      </c>
      <c r="AG166" s="1103">
        <f>VLOOKUP(AG$1,'cost per tipologia de sòl'!$A$2:$D$37,4,FALSE)*'T100'!AG166</f>
        <v>0</v>
      </c>
      <c r="AH166" s="1103">
        <f>VLOOKUP(AH$1,'cost per tipologia de sòl'!$A$2:$D$37,4,FALSE)*'T100'!AH166</f>
        <v>0</v>
      </c>
      <c r="AI166" s="1103">
        <f>VLOOKUP(AI$1,'cost per tipologia de sòl'!$A$2:$D$37,4,FALSE)*'T100'!AI166</f>
        <v>0</v>
      </c>
      <c r="AJ166" s="1103">
        <f t="shared" si="4"/>
        <v>20113661.347000003</v>
      </c>
      <c r="AK166" s="1117">
        <f t="shared" si="5"/>
        <v>6.0340984041000008</v>
      </c>
    </row>
    <row r="167" spans="1:37">
      <c r="A167" s="1095" t="s">
        <v>967</v>
      </c>
      <c r="B167" s="1103">
        <f>VLOOKUP(B$1,'cost per tipologia de sòl'!$A$2:$D$37,4,FALSE)*'T100'!B167</f>
        <v>0</v>
      </c>
      <c r="C167" s="1103">
        <f>VLOOKUP(C$1,'cost per tipologia de sòl'!$A$2:$D$37,4,FALSE)*'T100'!C167</f>
        <v>0</v>
      </c>
      <c r="D167" s="1103">
        <f>VLOOKUP(D$1,'cost per tipologia de sòl'!$A$2:$D$37,4,FALSE)*'T100'!D167</f>
        <v>0</v>
      </c>
      <c r="E167" s="1103">
        <f>VLOOKUP(E$1,'cost per tipologia de sòl'!$A$2:$D$37,4,FALSE)*'T100'!E167</f>
        <v>0</v>
      </c>
      <c r="F167" s="1103">
        <f>VLOOKUP(F$1,'cost per tipologia de sòl'!$A$2:$D$37,4,FALSE)*'T100'!F167</f>
        <v>0</v>
      </c>
      <c r="G167" s="1103">
        <f>VLOOKUP(G$1,'cost per tipologia de sòl'!$A$2:$D$37,4,FALSE)*'T100'!G167</f>
        <v>0</v>
      </c>
      <c r="H167" s="1103">
        <f>VLOOKUP(H$1,'cost per tipologia de sòl'!$A$2:$D$37,4,FALSE)*'T100'!H167</f>
        <v>0</v>
      </c>
      <c r="I167" s="1103">
        <f>VLOOKUP(I$1,'cost per tipologia de sòl'!$A$2:$D$37,4,FALSE)*'T100'!I167</f>
        <v>0</v>
      </c>
      <c r="J167" s="1103">
        <f>VLOOKUP(J$1,'cost per tipologia de sòl'!$A$2:$D$37,4,FALSE)*'T100'!J167</f>
        <v>0</v>
      </c>
      <c r="K167" s="1103">
        <f>VLOOKUP(K$1,'cost per tipologia de sòl'!$A$2:$D$37,4,FALSE)*'T100'!K167</f>
        <v>0</v>
      </c>
      <c r="L167" s="1103">
        <f>VLOOKUP(L$1,'cost per tipologia de sòl'!$A$2:$D$37,4,FALSE)*'T100'!L167</f>
        <v>0</v>
      </c>
      <c r="M167" s="1103">
        <f>VLOOKUP(M$1,'cost per tipologia de sòl'!$A$2:$D$37,4,FALSE)*'T100'!M167</f>
        <v>0</v>
      </c>
      <c r="N167" s="1103">
        <f>VLOOKUP(N$1,'cost per tipologia de sòl'!$A$2:$D$37,4,FALSE)*'T100'!N167</f>
        <v>0</v>
      </c>
      <c r="O167" s="1103">
        <f>VLOOKUP(O$1,'cost per tipologia de sòl'!$A$2:$D$37,4,FALSE)*'T100'!O167</f>
        <v>0</v>
      </c>
      <c r="P167" s="1103">
        <f>VLOOKUP(P$1,'cost per tipologia de sòl'!$A$2:$D$37,4,FALSE)*'T100'!P167</f>
        <v>0</v>
      </c>
      <c r="Q167" s="1103">
        <f>VLOOKUP(Q$1,'cost per tipologia de sòl'!$A$2:$D$37,4,FALSE)*'T100'!Q167</f>
        <v>0</v>
      </c>
      <c r="R167" s="1103">
        <f>VLOOKUP(R$1,'cost per tipologia de sòl'!$A$2:$D$37,4,FALSE)*'T100'!R167</f>
        <v>0</v>
      </c>
      <c r="S167" s="1103">
        <f>VLOOKUP(S$1,'cost per tipologia de sòl'!$A$2:$D$37,4,FALSE)*'T100'!S167</f>
        <v>11798937.359999999</v>
      </c>
      <c r="T167" s="1103">
        <f>VLOOKUP(T$1,'cost per tipologia de sòl'!$A$2:$D$37,4,FALSE)*'T100'!T167</f>
        <v>3333589.5090000001</v>
      </c>
      <c r="U167" s="1103">
        <f>VLOOKUP(U$1,'cost per tipologia de sòl'!$A$2:$D$37,4,FALSE)*'T100'!U167</f>
        <v>1414247.1</v>
      </c>
      <c r="V167" s="1103">
        <f>VLOOKUP(V$1,'cost per tipologia de sòl'!$A$2:$D$37,4,FALSE)*'T100'!V167</f>
        <v>0</v>
      </c>
      <c r="W167" s="1103">
        <f>VLOOKUP(W$1,'cost per tipologia de sòl'!$A$2:$D$37,4,FALSE)*'T100'!W167</f>
        <v>0</v>
      </c>
      <c r="X167" s="1103">
        <f>VLOOKUP(X$1,'cost per tipologia de sòl'!$A$2:$D$37,4,FALSE)*'T100'!X167</f>
        <v>0</v>
      </c>
      <c r="Y167" s="1103">
        <f>VLOOKUP(Y$1,'cost per tipologia de sòl'!$A$2:$D$37,4,FALSE)*'T100'!Y167</f>
        <v>0</v>
      </c>
      <c r="Z167" s="1103">
        <f>VLOOKUP(Z$1,'cost per tipologia de sòl'!$A$2:$D$37,4,FALSE)*'T100'!Z167</f>
        <v>288915.61200000002</v>
      </c>
      <c r="AA167" s="1103">
        <f>VLOOKUP(AA$1,'cost per tipologia de sòl'!$A$2:$D$37,4,FALSE)*'T100'!AA167</f>
        <v>0</v>
      </c>
      <c r="AB167" s="1103">
        <f>VLOOKUP(AB$1,'cost per tipologia de sòl'!$A$2:$D$37,4,FALSE)*'T100'!AB167</f>
        <v>8963861.7999999989</v>
      </c>
      <c r="AC167" s="1103">
        <f>VLOOKUP(AC$1,'cost per tipologia de sòl'!$A$2:$D$37,4,FALSE)*'T100'!AC167</f>
        <v>11884684.299999999</v>
      </c>
      <c r="AD167" s="1103">
        <f>VLOOKUP(AD$1,'cost per tipologia de sòl'!$A$2:$D$37,4,FALSE)*'T100'!AD167</f>
        <v>90509232.199999988</v>
      </c>
      <c r="AE167" s="1103">
        <f>VLOOKUP(AE$1,'cost per tipologia de sòl'!$A$2:$D$37,4,FALSE)*'T100'!AE167</f>
        <v>0</v>
      </c>
      <c r="AF167" s="1103">
        <f>VLOOKUP(AF$1,'cost per tipologia de sòl'!$A$2:$D$37,4,FALSE)*'T100'!AF167</f>
        <v>0</v>
      </c>
      <c r="AG167" s="1103">
        <f>VLOOKUP(AG$1,'cost per tipologia de sòl'!$A$2:$D$37,4,FALSE)*'T100'!AG167</f>
        <v>0</v>
      </c>
      <c r="AH167" s="1103">
        <f>VLOOKUP(AH$1,'cost per tipologia de sòl'!$A$2:$D$37,4,FALSE)*'T100'!AH167</f>
        <v>0</v>
      </c>
      <c r="AI167" s="1103">
        <f>VLOOKUP(AI$1,'cost per tipologia de sòl'!$A$2:$D$37,4,FALSE)*'T100'!AI167</f>
        <v>0</v>
      </c>
      <c r="AJ167" s="1103">
        <f t="shared" si="4"/>
        <v>128193467.88099998</v>
      </c>
      <c r="AK167" s="1117">
        <f t="shared" si="5"/>
        <v>38.458040364299997</v>
      </c>
    </row>
    <row r="168" spans="1:37">
      <c r="A168" s="1095" t="s">
        <v>1660</v>
      </c>
      <c r="B168" s="1103">
        <f>VLOOKUP(B$1,'cost per tipologia de sòl'!$A$2:$D$37,4,FALSE)*'T100'!B168</f>
        <v>439025283.97200006</v>
      </c>
      <c r="C168" s="1103">
        <f>VLOOKUP(C$1,'cost per tipologia de sòl'!$A$2:$D$37,4,FALSE)*'T100'!C168</f>
        <v>0</v>
      </c>
      <c r="D168" s="1103">
        <f>VLOOKUP(D$1,'cost per tipologia de sòl'!$A$2:$D$37,4,FALSE)*'T100'!D168</f>
        <v>578344.42800000007</v>
      </c>
      <c r="E168" s="1103">
        <f>VLOOKUP(E$1,'cost per tipologia de sòl'!$A$2:$D$37,4,FALSE)*'T100'!E168</f>
        <v>0</v>
      </c>
      <c r="F168" s="1103">
        <f>VLOOKUP(F$1,'cost per tipologia de sòl'!$A$2:$D$37,4,FALSE)*'T100'!F168</f>
        <v>0</v>
      </c>
      <c r="G168" s="1103">
        <f>VLOOKUP(G$1,'cost per tipologia de sòl'!$A$2:$D$37,4,FALSE)*'T100'!G168</f>
        <v>0</v>
      </c>
      <c r="H168" s="1103">
        <f>VLOOKUP(H$1,'cost per tipologia de sòl'!$A$2:$D$37,4,FALSE)*'T100'!H168</f>
        <v>0</v>
      </c>
      <c r="I168" s="1103">
        <f>VLOOKUP(I$1,'cost per tipologia de sòl'!$A$2:$D$37,4,FALSE)*'T100'!I168</f>
        <v>0</v>
      </c>
      <c r="J168" s="1103">
        <f>VLOOKUP(J$1,'cost per tipologia de sòl'!$A$2:$D$37,4,FALSE)*'T100'!J168</f>
        <v>439561.94150000002</v>
      </c>
      <c r="K168" s="1103">
        <f>VLOOKUP(K$1,'cost per tipologia de sòl'!$A$2:$D$37,4,FALSE)*'T100'!K168</f>
        <v>0</v>
      </c>
      <c r="L168" s="1103">
        <f>VLOOKUP(L$1,'cost per tipologia de sòl'!$A$2:$D$37,4,FALSE)*'T100'!L168</f>
        <v>11051850.294</v>
      </c>
      <c r="M168" s="1103">
        <f>VLOOKUP(M$1,'cost per tipologia de sòl'!$A$2:$D$37,4,FALSE)*'T100'!M168</f>
        <v>6087771.6879999992</v>
      </c>
      <c r="N168" s="1103">
        <f>VLOOKUP(N$1,'cost per tipologia de sòl'!$A$2:$D$37,4,FALSE)*'T100'!N168</f>
        <v>0</v>
      </c>
      <c r="O168" s="1103">
        <f>VLOOKUP(O$1,'cost per tipologia de sòl'!$A$2:$D$37,4,FALSE)*'T100'!O168</f>
        <v>2852124.0720000002</v>
      </c>
      <c r="P168" s="1103">
        <f>VLOOKUP(P$1,'cost per tipologia de sòl'!$A$2:$D$37,4,FALSE)*'T100'!P168</f>
        <v>15683428.071999999</v>
      </c>
      <c r="Q168" s="1103">
        <f>VLOOKUP(Q$1,'cost per tipologia de sòl'!$A$2:$D$37,4,FALSE)*'T100'!Q168</f>
        <v>0</v>
      </c>
      <c r="R168" s="1103">
        <f>VLOOKUP(R$1,'cost per tipologia de sòl'!$A$2:$D$37,4,FALSE)*'T100'!R168</f>
        <v>0</v>
      </c>
      <c r="S168" s="1103">
        <f>VLOOKUP(S$1,'cost per tipologia de sòl'!$A$2:$D$37,4,FALSE)*'T100'!S168</f>
        <v>141445351.15199998</v>
      </c>
      <c r="T168" s="1103">
        <f>VLOOKUP(T$1,'cost per tipologia de sòl'!$A$2:$D$37,4,FALSE)*'T100'!T168</f>
        <v>85424787.39199999</v>
      </c>
      <c r="U168" s="1103">
        <f>VLOOKUP(U$1,'cost per tipologia de sòl'!$A$2:$D$37,4,FALSE)*'T100'!U168</f>
        <v>19795658.399999999</v>
      </c>
      <c r="V168" s="1103">
        <f>VLOOKUP(V$1,'cost per tipologia de sòl'!$A$2:$D$37,4,FALSE)*'T100'!V168</f>
        <v>0</v>
      </c>
      <c r="W168" s="1103">
        <f>VLOOKUP(W$1,'cost per tipologia de sòl'!$A$2:$D$37,4,FALSE)*'T100'!W168</f>
        <v>0</v>
      </c>
      <c r="X168" s="1103">
        <f>VLOOKUP(X$1,'cost per tipologia de sòl'!$A$2:$D$37,4,FALSE)*'T100'!X168</f>
        <v>0</v>
      </c>
      <c r="Y168" s="1103">
        <f>VLOOKUP(Y$1,'cost per tipologia de sòl'!$A$2:$D$37,4,FALSE)*'T100'!Y168</f>
        <v>0</v>
      </c>
      <c r="Z168" s="1103">
        <f>VLOOKUP(Z$1,'cost per tipologia de sòl'!$A$2:$D$37,4,FALSE)*'T100'!Z168</f>
        <v>190073412.602</v>
      </c>
      <c r="AA168" s="1103">
        <f>VLOOKUP(AA$1,'cost per tipologia de sòl'!$A$2:$D$37,4,FALSE)*'T100'!AA168</f>
        <v>0</v>
      </c>
      <c r="AB168" s="1103">
        <f>VLOOKUP(AB$1,'cost per tipologia de sòl'!$A$2:$D$37,4,FALSE)*'T100'!AB168</f>
        <v>10186324.649999999</v>
      </c>
      <c r="AC168" s="1103">
        <f>VLOOKUP(AC$1,'cost per tipologia de sòl'!$A$2:$D$37,4,FALSE)*'T100'!AC168</f>
        <v>80985925.850000009</v>
      </c>
      <c r="AD168" s="1103">
        <f>VLOOKUP(AD$1,'cost per tipologia de sòl'!$A$2:$D$37,4,FALSE)*'T100'!AD168</f>
        <v>87936696.799999997</v>
      </c>
      <c r="AE168" s="1103">
        <f>VLOOKUP(AE$1,'cost per tipologia de sòl'!$A$2:$D$37,4,FALSE)*'T100'!AE168</f>
        <v>0</v>
      </c>
      <c r="AF168" s="1103">
        <f>VLOOKUP(AF$1,'cost per tipologia de sòl'!$A$2:$D$37,4,FALSE)*'T100'!AF168</f>
        <v>0</v>
      </c>
      <c r="AG168" s="1103">
        <f>VLOOKUP(AG$1,'cost per tipologia de sòl'!$A$2:$D$37,4,FALSE)*'T100'!AG168</f>
        <v>0</v>
      </c>
      <c r="AH168" s="1103">
        <f>VLOOKUP(AH$1,'cost per tipologia de sòl'!$A$2:$D$37,4,FALSE)*'T100'!AH168</f>
        <v>0</v>
      </c>
      <c r="AI168" s="1103">
        <f>VLOOKUP(AI$1,'cost per tipologia de sòl'!$A$2:$D$37,4,FALSE)*'T100'!AI168</f>
        <v>0</v>
      </c>
      <c r="AJ168" s="1103">
        <f t="shared" si="4"/>
        <v>1091566521.3135002</v>
      </c>
      <c r="AK168" s="1117">
        <f t="shared" si="5"/>
        <v>327.46995639405009</v>
      </c>
    </row>
    <row r="169" spans="1:37">
      <c r="A169" s="1095" t="s">
        <v>1667</v>
      </c>
      <c r="B169" s="1103">
        <f>VLOOKUP(B$1,'cost per tipologia de sòl'!$A$2:$D$37,4,FALSE)*'T100'!B169</f>
        <v>1550480.868</v>
      </c>
      <c r="C169" s="1103">
        <f>VLOOKUP(C$1,'cost per tipologia de sòl'!$A$2:$D$37,4,FALSE)*'T100'!C169</f>
        <v>0</v>
      </c>
      <c r="D169" s="1103">
        <f>VLOOKUP(D$1,'cost per tipologia de sòl'!$A$2:$D$37,4,FALSE)*'T100'!D169</f>
        <v>415078.734</v>
      </c>
      <c r="E169" s="1103">
        <f>VLOOKUP(E$1,'cost per tipologia de sòl'!$A$2:$D$37,4,FALSE)*'T100'!E169</f>
        <v>0</v>
      </c>
      <c r="F169" s="1103">
        <f>VLOOKUP(F$1,'cost per tipologia de sòl'!$A$2:$D$37,4,FALSE)*'T100'!F169</f>
        <v>0</v>
      </c>
      <c r="G169" s="1103">
        <f>VLOOKUP(G$1,'cost per tipologia de sòl'!$A$2:$D$37,4,FALSE)*'T100'!G169</f>
        <v>0</v>
      </c>
      <c r="H169" s="1103">
        <f>VLOOKUP(H$1,'cost per tipologia de sòl'!$A$2:$D$37,4,FALSE)*'T100'!H169</f>
        <v>0</v>
      </c>
      <c r="I169" s="1103">
        <f>VLOOKUP(I$1,'cost per tipologia de sòl'!$A$2:$D$37,4,FALSE)*'T100'!I169</f>
        <v>0</v>
      </c>
      <c r="J169" s="1103">
        <f>VLOOKUP(J$1,'cost per tipologia de sòl'!$A$2:$D$37,4,FALSE)*'T100'!J169</f>
        <v>974016.76899999997</v>
      </c>
      <c r="K169" s="1103">
        <f>VLOOKUP(K$1,'cost per tipologia de sòl'!$A$2:$D$37,4,FALSE)*'T100'!K169</f>
        <v>0</v>
      </c>
      <c r="L169" s="1103">
        <f>VLOOKUP(L$1,'cost per tipologia de sòl'!$A$2:$D$37,4,FALSE)*'T100'!L169</f>
        <v>2843540.9730000002</v>
      </c>
      <c r="M169" s="1103">
        <f>VLOOKUP(M$1,'cost per tipologia de sòl'!$A$2:$D$37,4,FALSE)*'T100'!M169</f>
        <v>1961276.5279999999</v>
      </c>
      <c r="N169" s="1103">
        <f>VLOOKUP(N$1,'cost per tipologia de sòl'!$A$2:$D$37,4,FALSE)*'T100'!N169</f>
        <v>5655369.2319999998</v>
      </c>
      <c r="O169" s="1103">
        <f>VLOOKUP(O$1,'cost per tipologia de sòl'!$A$2:$D$37,4,FALSE)*'T100'!O169</f>
        <v>0</v>
      </c>
      <c r="P169" s="1103">
        <f>VLOOKUP(P$1,'cost per tipologia de sòl'!$A$2:$D$37,4,FALSE)*'T100'!P169</f>
        <v>0</v>
      </c>
      <c r="Q169" s="1103">
        <f>VLOOKUP(Q$1,'cost per tipologia de sòl'!$A$2:$D$37,4,FALSE)*'T100'!Q169</f>
        <v>0</v>
      </c>
      <c r="R169" s="1103">
        <f>VLOOKUP(R$1,'cost per tipologia de sòl'!$A$2:$D$37,4,FALSE)*'T100'!R169</f>
        <v>0</v>
      </c>
      <c r="S169" s="1103">
        <f>VLOOKUP(S$1,'cost per tipologia de sòl'!$A$2:$D$37,4,FALSE)*'T100'!S169</f>
        <v>64770479.424000002</v>
      </c>
      <c r="T169" s="1103">
        <f>VLOOKUP(T$1,'cost per tipologia de sòl'!$A$2:$D$37,4,FALSE)*'T100'!T169</f>
        <v>21273888.978999998</v>
      </c>
      <c r="U169" s="1103">
        <f>VLOOKUP(U$1,'cost per tipologia de sòl'!$A$2:$D$37,4,FALSE)*'T100'!U169</f>
        <v>513022.65</v>
      </c>
      <c r="V169" s="1103">
        <f>VLOOKUP(V$1,'cost per tipologia de sòl'!$A$2:$D$37,4,FALSE)*'T100'!V169</f>
        <v>0</v>
      </c>
      <c r="W169" s="1103">
        <f>VLOOKUP(W$1,'cost per tipologia de sòl'!$A$2:$D$37,4,FALSE)*'T100'!W169</f>
        <v>0</v>
      </c>
      <c r="X169" s="1103">
        <f>VLOOKUP(X$1,'cost per tipologia de sòl'!$A$2:$D$37,4,FALSE)*'T100'!X169</f>
        <v>0</v>
      </c>
      <c r="Y169" s="1103">
        <f>VLOOKUP(Y$1,'cost per tipologia de sòl'!$A$2:$D$37,4,FALSE)*'T100'!Y169</f>
        <v>0</v>
      </c>
      <c r="Z169" s="1103">
        <f>VLOOKUP(Z$1,'cost per tipologia de sòl'!$A$2:$D$37,4,FALSE)*'T100'!Z169</f>
        <v>0</v>
      </c>
      <c r="AA169" s="1103">
        <f>VLOOKUP(AA$1,'cost per tipologia de sòl'!$A$2:$D$37,4,FALSE)*'T100'!AA169</f>
        <v>0</v>
      </c>
      <c r="AB169" s="1103">
        <f>VLOOKUP(AB$1,'cost per tipologia de sòl'!$A$2:$D$37,4,FALSE)*'T100'!AB169</f>
        <v>1398707.8</v>
      </c>
      <c r="AC169" s="1103">
        <f>VLOOKUP(AC$1,'cost per tipologia de sòl'!$A$2:$D$37,4,FALSE)*'T100'!AC169</f>
        <v>9385995.25</v>
      </c>
      <c r="AD169" s="1103">
        <f>VLOOKUP(AD$1,'cost per tipologia de sòl'!$A$2:$D$37,4,FALSE)*'T100'!AD169</f>
        <v>8087548.5500000007</v>
      </c>
      <c r="AE169" s="1103">
        <f>VLOOKUP(AE$1,'cost per tipologia de sòl'!$A$2:$D$37,4,FALSE)*'T100'!AE169</f>
        <v>0</v>
      </c>
      <c r="AF169" s="1103">
        <f>VLOOKUP(AF$1,'cost per tipologia de sòl'!$A$2:$D$37,4,FALSE)*'T100'!AF169</f>
        <v>0</v>
      </c>
      <c r="AG169" s="1103">
        <f>VLOOKUP(AG$1,'cost per tipologia de sòl'!$A$2:$D$37,4,FALSE)*'T100'!AG169</f>
        <v>0</v>
      </c>
      <c r="AH169" s="1103">
        <f>VLOOKUP(AH$1,'cost per tipologia de sòl'!$A$2:$D$37,4,FALSE)*'T100'!AH169</f>
        <v>0</v>
      </c>
      <c r="AI169" s="1103">
        <f>VLOOKUP(AI$1,'cost per tipologia de sòl'!$A$2:$D$37,4,FALSE)*'T100'!AI169</f>
        <v>0</v>
      </c>
      <c r="AJ169" s="1103">
        <f t="shared" si="4"/>
        <v>118829405.757</v>
      </c>
      <c r="AK169" s="1117">
        <f t="shared" si="5"/>
        <v>35.6488217271</v>
      </c>
    </row>
    <row r="170" spans="1:37">
      <c r="A170" s="1095" t="s">
        <v>1673</v>
      </c>
      <c r="B170" s="1103">
        <f>VLOOKUP(B$1,'cost per tipologia de sòl'!$A$2:$D$37,4,FALSE)*'T100'!B170</f>
        <v>6821.1</v>
      </c>
      <c r="C170" s="1103">
        <f>VLOOKUP(C$1,'cost per tipologia de sòl'!$A$2:$D$37,4,FALSE)*'T100'!C170</f>
        <v>0</v>
      </c>
      <c r="D170" s="1103">
        <f>VLOOKUP(D$1,'cost per tipologia de sòl'!$A$2:$D$37,4,FALSE)*'T100'!D170</f>
        <v>0</v>
      </c>
      <c r="E170" s="1103">
        <f>VLOOKUP(E$1,'cost per tipologia de sòl'!$A$2:$D$37,4,FALSE)*'T100'!E170</f>
        <v>0</v>
      </c>
      <c r="F170" s="1103">
        <f>VLOOKUP(F$1,'cost per tipologia de sòl'!$A$2:$D$37,4,FALSE)*'T100'!F170</f>
        <v>0</v>
      </c>
      <c r="G170" s="1103">
        <f>VLOOKUP(G$1,'cost per tipologia de sòl'!$A$2:$D$37,4,FALSE)*'T100'!G170</f>
        <v>0</v>
      </c>
      <c r="H170" s="1103">
        <f>VLOOKUP(H$1,'cost per tipologia de sòl'!$A$2:$D$37,4,FALSE)*'T100'!H170</f>
        <v>0</v>
      </c>
      <c r="I170" s="1103">
        <f>VLOOKUP(I$1,'cost per tipologia de sòl'!$A$2:$D$37,4,FALSE)*'T100'!I170</f>
        <v>0</v>
      </c>
      <c r="J170" s="1103">
        <f>VLOOKUP(J$1,'cost per tipologia de sòl'!$A$2:$D$37,4,FALSE)*'T100'!J170</f>
        <v>52821.493999999999</v>
      </c>
      <c r="K170" s="1103">
        <f>VLOOKUP(K$1,'cost per tipologia de sòl'!$A$2:$D$37,4,FALSE)*'T100'!K170</f>
        <v>0</v>
      </c>
      <c r="L170" s="1103">
        <f>VLOOKUP(L$1,'cost per tipologia de sòl'!$A$2:$D$37,4,FALSE)*'T100'!L170</f>
        <v>0</v>
      </c>
      <c r="M170" s="1103">
        <f>VLOOKUP(M$1,'cost per tipologia de sòl'!$A$2:$D$37,4,FALSE)*'T100'!M170</f>
        <v>0</v>
      </c>
      <c r="N170" s="1103">
        <f>VLOOKUP(N$1,'cost per tipologia de sòl'!$A$2:$D$37,4,FALSE)*'T100'!N170</f>
        <v>0</v>
      </c>
      <c r="O170" s="1103">
        <f>VLOOKUP(O$1,'cost per tipologia de sòl'!$A$2:$D$37,4,FALSE)*'T100'!O170</f>
        <v>0</v>
      </c>
      <c r="P170" s="1103">
        <f>VLOOKUP(P$1,'cost per tipologia de sòl'!$A$2:$D$37,4,FALSE)*'T100'!P170</f>
        <v>0</v>
      </c>
      <c r="Q170" s="1103">
        <f>VLOOKUP(Q$1,'cost per tipologia de sòl'!$A$2:$D$37,4,FALSE)*'T100'!Q170</f>
        <v>0</v>
      </c>
      <c r="R170" s="1103">
        <f>VLOOKUP(R$1,'cost per tipologia de sòl'!$A$2:$D$37,4,FALSE)*'T100'!R170</f>
        <v>0</v>
      </c>
      <c r="S170" s="1103">
        <f>VLOOKUP(S$1,'cost per tipologia de sòl'!$A$2:$D$37,4,FALSE)*'T100'!S170</f>
        <v>0</v>
      </c>
      <c r="T170" s="1103">
        <f>VLOOKUP(T$1,'cost per tipologia de sòl'!$A$2:$D$37,4,FALSE)*'T100'!T170</f>
        <v>399602.46799999999</v>
      </c>
      <c r="U170" s="1103">
        <f>VLOOKUP(U$1,'cost per tipologia de sòl'!$A$2:$D$37,4,FALSE)*'T100'!U170</f>
        <v>0</v>
      </c>
      <c r="V170" s="1103">
        <f>VLOOKUP(V$1,'cost per tipologia de sòl'!$A$2:$D$37,4,FALSE)*'T100'!V170</f>
        <v>0</v>
      </c>
      <c r="W170" s="1103">
        <f>VLOOKUP(W$1,'cost per tipologia de sòl'!$A$2:$D$37,4,FALSE)*'T100'!W170</f>
        <v>0</v>
      </c>
      <c r="X170" s="1103">
        <f>VLOOKUP(X$1,'cost per tipologia de sòl'!$A$2:$D$37,4,FALSE)*'T100'!X170</f>
        <v>0</v>
      </c>
      <c r="Y170" s="1103">
        <f>VLOOKUP(Y$1,'cost per tipologia de sòl'!$A$2:$D$37,4,FALSE)*'T100'!Y170</f>
        <v>0</v>
      </c>
      <c r="Z170" s="1103">
        <f>VLOOKUP(Z$1,'cost per tipologia de sòl'!$A$2:$D$37,4,FALSE)*'T100'!Z170</f>
        <v>0</v>
      </c>
      <c r="AA170" s="1103">
        <f>VLOOKUP(AA$1,'cost per tipologia de sòl'!$A$2:$D$37,4,FALSE)*'T100'!AA170</f>
        <v>0</v>
      </c>
      <c r="AB170" s="1103">
        <f>VLOOKUP(AB$1,'cost per tipologia de sòl'!$A$2:$D$37,4,FALSE)*'T100'!AB170</f>
        <v>118531.5</v>
      </c>
      <c r="AC170" s="1103">
        <f>VLOOKUP(AC$1,'cost per tipologia de sòl'!$A$2:$D$37,4,FALSE)*'T100'!AC170</f>
        <v>25576.85</v>
      </c>
      <c r="AD170" s="1103">
        <f>VLOOKUP(AD$1,'cost per tipologia de sòl'!$A$2:$D$37,4,FALSE)*'T100'!AD170</f>
        <v>419403.14999999997</v>
      </c>
      <c r="AE170" s="1103">
        <f>VLOOKUP(AE$1,'cost per tipologia de sòl'!$A$2:$D$37,4,FALSE)*'T100'!AE170</f>
        <v>0</v>
      </c>
      <c r="AF170" s="1103">
        <f>VLOOKUP(AF$1,'cost per tipologia de sòl'!$A$2:$D$37,4,FALSE)*'T100'!AF170</f>
        <v>0</v>
      </c>
      <c r="AG170" s="1103">
        <f>VLOOKUP(AG$1,'cost per tipologia de sòl'!$A$2:$D$37,4,FALSE)*'T100'!AG170</f>
        <v>0</v>
      </c>
      <c r="AH170" s="1103">
        <f>VLOOKUP(AH$1,'cost per tipologia de sòl'!$A$2:$D$37,4,FALSE)*'T100'!AH170</f>
        <v>0</v>
      </c>
      <c r="AI170" s="1103">
        <f>VLOOKUP(AI$1,'cost per tipologia de sòl'!$A$2:$D$37,4,FALSE)*'T100'!AI170</f>
        <v>0</v>
      </c>
      <c r="AJ170" s="1103">
        <f t="shared" si="4"/>
        <v>1022756.5619999999</v>
      </c>
      <c r="AK170" s="1117">
        <f t="shared" si="5"/>
        <v>0.30682696859999997</v>
      </c>
    </row>
    <row r="171" spans="1:37">
      <c r="A171" s="1095" t="s">
        <v>1677</v>
      </c>
      <c r="B171" s="1103">
        <f>VLOOKUP(B$1,'cost per tipologia de sòl'!$A$2:$D$37,4,FALSE)*'T100'!B171</f>
        <v>0</v>
      </c>
      <c r="C171" s="1103">
        <f>VLOOKUP(C$1,'cost per tipologia de sòl'!$A$2:$D$37,4,FALSE)*'T100'!C171</f>
        <v>0</v>
      </c>
      <c r="D171" s="1103">
        <f>VLOOKUP(D$1,'cost per tipologia de sòl'!$A$2:$D$37,4,FALSE)*'T100'!D171</f>
        <v>0</v>
      </c>
      <c r="E171" s="1103">
        <f>VLOOKUP(E$1,'cost per tipologia de sòl'!$A$2:$D$37,4,FALSE)*'T100'!E171</f>
        <v>0</v>
      </c>
      <c r="F171" s="1103">
        <f>VLOOKUP(F$1,'cost per tipologia de sòl'!$A$2:$D$37,4,FALSE)*'T100'!F171</f>
        <v>0</v>
      </c>
      <c r="G171" s="1103">
        <f>VLOOKUP(G$1,'cost per tipologia de sòl'!$A$2:$D$37,4,FALSE)*'T100'!G171</f>
        <v>0</v>
      </c>
      <c r="H171" s="1103">
        <f>VLOOKUP(H$1,'cost per tipologia de sòl'!$A$2:$D$37,4,FALSE)*'T100'!H171</f>
        <v>0</v>
      </c>
      <c r="I171" s="1103">
        <f>VLOOKUP(I$1,'cost per tipologia de sòl'!$A$2:$D$37,4,FALSE)*'T100'!I171</f>
        <v>0</v>
      </c>
      <c r="J171" s="1103">
        <f>VLOOKUP(J$1,'cost per tipologia de sòl'!$A$2:$D$37,4,FALSE)*'T100'!J171</f>
        <v>39956.141500000005</v>
      </c>
      <c r="K171" s="1103">
        <f>VLOOKUP(K$1,'cost per tipologia de sòl'!$A$2:$D$37,4,FALSE)*'T100'!K171</f>
        <v>0</v>
      </c>
      <c r="L171" s="1103">
        <f>VLOOKUP(L$1,'cost per tipologia de sòl'!$A$2:$D$37,4,FALSE)*'T100'!L171</f>
        <v>0</v>
      </c>
      <c r="M171" s="1103">
        <f>VLOOKUP(M$1,'cost per tipologia de sòl'!$A$2:$D$37,4,FALSE)*'T100'!M171</f>
        <v>0</v>
      </c>
      <c r="N171" s="1103">
        <f>VLOOKUP(N$1,'cost per tipologia de sòl'!$A$2:$D$37,4,FALSE)*'T100'!N171</f>
        <v>0</v>
      </c>
      <c r="O171" s="1103">
        <f>VLOOKUP(O$1,'cost per tipologia de sòl'!$A$2:$D$37,4,FALSE)*'T100'!O171</f>
        <v>0</v>
      </c>
      <c r="P171" s="1103">
        <f>VLOOKUP(P$1,'cost per tipologia de sòl'!$A$2:$D$37,4,FALSE)*'T100'!P171</f>
        <v>0</v>
      </c>
      <c r="Q171" s="1103">
        <f>VLOOKUP(Q$1,'cost per tipologia de sòl'!$A$2:$D$37,4,FALSE)*'T100'!Q171</f>
        <v>0</v>
      </c>
      <c r="R171" s="1103">
        <f>VLOOKUP(R$1,'cost per tipologia de sòl'!$A$2:$D$37,4,FALSE)*'T100'!R171</f>
        <v>0</v>
      </c>
      <c r="S171" s="1103">
        <f>VLOOKUP(S$1,'cost per tipologia de sòl'!$A$2:$D$37,4,FALSE)*'T100'!S171</f>
        <v>0</v>
      </c>
      <c r="T171" s="1103">
        <f>VLOOKUP(T$1,'cost per tipologia de sòl'!$A$2:$D$37,4,FALSE)*'T100'!T171</f>
        <v>225446.59700000001</v>
      </c>
      <c r="U171" s="1103">
        <f>VLOOKUP(U$1,'cost per tipologia de sòl'!$A$2:$D$37,4,FALSE)*'T100'!U171</f>
        <v>0</v>
      </c>
      <c r="V171" s="1103">
        <f>VLOOKUP(V$1,'cost per tipologia de sòl'!$A$2:$D$37,4,FALSE)*'T100'!V171</f>
        <v>0</v>
      </c>
      <c r="W171" s="1103">
        <f>VLOOKUP(W$1,'cost per tipologia de sòl'!$A$2:$D$37,4,FALSE)*'T100'!W171</f>
        <v>0</v>
      </c>
      <c r="X171" s="1103">
        <f>VLOOKUP(X$1,'cost per tipologia de sòl'!$A$2:$D$37,4,FALSE)*'T100'!X171</f>
        <v>0</v>
      </c>
      <c r="Y171" s="1103">
        <f>VLOOKUP(Y$1,'cost per tipologia de sòl'!$A$2:$D$37,4,FALSE)*'T100'!Y171</f>
        <v>0</v>
      </c>
      <c r="Z171" s="1103">
        <f>VLOOKUP(Z$1,'cost per tipologia de sòl'!$A$2:$D$37,4,FALSE)*'T100'!Z171</f>
        <v>0</v>
      </c>
      <c r="AA171" s="1103">
        <f>VLOOKUP(AA$1,'cost per tipologia de sòl'!$A$2:$D$37,4,FALSE)*'T100'!AA171</f>
        <v>0</v>
      </c>
      <c r="AB171" s="1103">
        <f>VLOOKUP(AB$1,'cost per tipologia de sòl'!$A$2:$D$37,4,FALSE)*'T100'!AB171</f>
        <v>0</v>
      </c>
      <c r="AC171" s="1103">
        <f>VLOOKUP(AC$1,'cost per tipologia de sòl'!$A$2:$D$37,4,FALSE)*'T100'!AC171</f>
        <v>0</v>
      </c>
      <c r="AD171" s="1103">
        <f>VLOOKUP(AD$1,'cost per tipologia de sòl'!$A$2:$D$37,4,FALSE)*'T100'!AD171</f>
        <v>0</v>
      </c>
      <c r="AE171" s="1103">
        <f>VLOOKUP(AE$1,'cost per tipologia de sòl'!$A$2:$D$37,4,FALSE)*'T100'!AE171</f>
        <v>0</v>
      </c>
      <c r="AF171" s="1103">
        <f>VLOOKUP(AF$1,'cost per tipologia de sòl'!$A$2:$D$37,4,FALSE)*'T100'!AF171</f>
        <v>0</v>
      </c>
      <c r="AG171" s="1103">
        <f>VLOOKUP(AG$1,'cost per tipologia de sòl'!$A$2:$D$37,4,FALSE)*'T100'!AG171</f>
        <v>0</v>
      </c>
      <c r="AH171" s="1103">
        <f>VLOOKUP(AH$1,'cost per tipologia de sòl'!$A$2:$D$37,4,FALSE)*'T100'!AH171</f>
        <v>0</v>
      </c>
      <c r="AI171" s="1103">
        <f>VLOOKUP(AI$1,'cost per tipologia de sòl'!$A$2:$D$37,4,FALSE)*'T100'!AI171</f>
        <v>0</v>
      </c>
      <c r="AJ171" s="1103">
        <f t="shared" si="4"/>
        <v>265402.73850000004</v>
      </c>
      <c r="AK171" s="1117">
        <f t="shared" si="5"/>
        <v>7.9620821550000012E-2</v>
      </c>
    </row>
    <row r="172" spans="1:37">
      <c r="A172" s="1095" t="s">
        <v>1682</v>
      </c>
      <c r="B172" s="1103">
        <f>VLOOKUP(B$1,'cost per tipologia de sòl'!$A$2:$D$37,4,FALSE)*'T100'!B172</f>
        <v>0</v>
      </c>
      <c r="C172" s="1103">
        <f>VLOOKUP(C$1,'cost per tipologia de sòl'!$A$2:$D$37,4,FALSE)*'T100'!C172</f>
        <v>0</v>
      </c>
      <c r="D172" s="1103">
        <f>VLOOKUP(D$1,'cost per tipologia de sòl'!$A$2:$D$37,4,FALSE)*'T100'!D172</f>
        <v>0</v>
      </c>
      <c r="E172" s="1103">
        <f>VLOOKUP(E$1,'cost per tipologia de sòl'!$A$2:$D$37,4,FALSE)*'T100'!E172</f>
        <v>0</v>
      </c>
      <c r="F172" s="1103">
        <f>VLOOKUP(F$1,'cost per tipologia de sòl'!$A$2:$D$37,4,FALSE)*'T100'!F172</f>
        <v>0</v>
      </c>
      <c r="G172" s="1103">
        <f>VLOOKUP(G$1,'cost per tipologia de sòl'!$A$2:$D$37,4,FALSE)*'T100'!G172</f>
        <v>0</v>
      </c>
      <c r="H172" s="1103">
        <f>VLOOKUP(H$1,'cost per tipologia de sòl'!$A$2:$D$37,4,FALSE)*'T100'!H172</f>
        <v>0</v>
      </c>
      <c r="I172" s="1103">
        <f>VLOOKUP(I$1,'cost per tipologia de sòl'!$A$2:$D$37,4,FALSE)*'T100'!I172</f>
        <v>0</v>
      </c>
      <c r="J172" s="1103">
        <f>VLOOKUP(J$1,'cost per tipologia de sòl'!$A$2:$D$37,4,FALSE)*'T100'!J172</f>
        <v>8814.0360000000001</v>
      </c>
      <c r="K172" s="1103">
        <f>VLOOKUP(K$1,'cost per tipologia de sòl'!$A$2:$D$37,4,FALSE)*'T100'!K172</f>
        <v>0</v>
      </c>
      <c r="L172" s="1103">
        <f>VLOOKUP(L$1,'cost per tipologia de sòl'!$A$2:$D$37,4,FALSE)*'T100'!L172</f>
        <v>0</v>
      </c>
      <c r="M172" s="1103">
        <f>VLOOKUP(M$1,'cost per tipologia de sòl'!$A$2:$D$37,4,FALSE)*'T100'!M172</f>
        <v>0</v>
      </c>
      <c r="N172" s="1103">
        <f>VLOOKUP(N$1,'cost per tipologia de sòl'!$A$2:$D$37,4,FALSE)*'T100'!N172</f>
        <v>0</v>
      </c>
      <c r="O172" s="1103">
        <f>VLOOKUP(O$1,'cost per tipologia de sòl'!$A$2:$D$37,4,FALSE)*'T100'!O172</f>
        <v>0</v>
      </c>
      <c r="P172" s="1103">
        <f>VLOOKUP(P$1,'cost per tipologia de sòl'!$A$2:$D$37,4,FALSE)*'T100'!P172</f>
        <v>0</v>
      </c>
      <c r="Q172" s="1103">
        <f>VLOOKUP(Q$1,'cost per tipologia de sòl'!$A$2:$D$37,4,FALSE)*'T100'!Q172</f>
        <v>0</v>
      </c>
      <c r="R172" s="1103">
        <f>VLOOKUP(R$1,'cost per tipologia de sòl'!$A$2:$D$37,4,FALSE)*'T100'!R172</f>
        <v>0</v>
      </c>
      <c r="S172" s="1103">
        <f>VLOOKUP(S$1,'cost per tipologia de sòl'!$A$2:$D$37,4,FALSE)*'T100'!S172</f>
        <v>0</v>
      </c>
      <c r="T172" s="1103">
        <f>VLOOKUP(T$1,'cost per tipologia de sòl'!$A$2:$D$37,4,FALSE)*'T100'!T172</f>
        <v>0</v>
      </c>
      <c r="U172" s="1103">
        <f>VLOOKUP(U$1,'cost per tipologia de sòl'!$A$2:$D$37,4,FALSE)*'T100'!U172</f>
        <v>0</v>
      </c>
      <c r="V172" s="1103">
        <f>VLOOKUP(V$1,'cost per tipologia de sòl'!$A$2:$D$37,4,FALSE)*'T100'!V172</f>
        <v>0</v>
      </c>
      <c r="W172" s="1103">
        <f>VLOOKUP(W$1,'cost per tipologia de sòl'!$A$2:$D$37,4,FALSE)*'T100'!W172</f>
        <v>0</v>
      </c>
      <c r="X172" s="1103">
        <f>VLOOKUP(X$1,'cost per tipologia de sòl'!$A$2:$D$37,4,FALSE)*'T100'!X172</f>
        <v>0</v>
      </c>
      <c r="Y172" s="1103">
        <f>VLOOKUP(Y$1,'cost per tipologia de sòl'!$A$2:$D$37,4,FALSE)*'T100'!Y172</f>
        <v>0</v>
      </c>
      <c r="Z172" s="1103">
        <f>VLOOKUP(Z$1,'cost per tipologia de sòl'!$A$2:$D$37,4,FALSE)*'T100'!Z172</f>
        <v>0</v>
      </c>
      <c r="AA172" s="1103">
        <f>VLOOKUP(AA$1,'cost per tipologia de sòl'!$A$2:$D$37,4,FALSE)*'T100'!AA172</f>
        <v>0</v>
      </c>
      <c r="AB172" s="1103">
        <f>VLOOKUP(AB$1,'cost per tipologia de sòl'!$A$2:$D$37,4,FALSE)*'T100'!AB172</f>
        <v>0</v>
      </c>
      <c r="AC172" s="1103">
        <f>VLOOKUP(AC$1,'cost per tipologia de sòl'!$A$2:$D$37,4,FALSE)*'T100'!AC172</f>
        <v>0</v>
      </c>
      <c r="AD172" s="1103">
        <f>VLOOKUP(AD$1,'cost per tipologia de sòl'!$A$2:$D$37,4,FALSE)*'T100'!AD172</f>
        <v>0</v>
      </c>
      <c r="AE172" s="1103">
        <f>VLOOKUP(AE$1,'cost per tipologia de sòl'!$A$2:$D$37,4,FALSE)*'T100'!AE172</f>
        <v>0</v>
      </c>
      <c r="AF172" s="1103">
        <f>VLOOKUP(AF$1,'cost per tipologia de sòl'!$A$2:$D$37,4,FALSE)*'T100'!AF172</f>
        <v>0</v>
      </c>
      <c r="AG172" s="1103">
        <f>VLOOKUP(AG$1,'cost per tipologia de sòl'!$A$2:$D$37,4,FALSE)*'T100'!AG172</f>
        <v>0</v>
      </c>
      <c r="AH172" s="1103">
        <f>VLOOKUP(AH$1,'cost per tipologia de sòl'!$A$2:$D$37,4,FALSE)*'T100'!AH172</f>
        <v>0</v>
      </c>
      <c r="AI172" s="1103">
        <f>VLOOKUP(AI$1,'cost per tipologia de sòl'!$A$2:$D$37,4,FALSE)*'T100'!AI172</f>
        <v>0</v>
      </c>
      <c r="AJ172" s="1103">
        <f t="shared" si="4"/>
        <v>8814.0360000000001</v>
      </c>
      <c r="AK172" s="1117">
        <f t="shared" si="5"/>
        <v>2.6442108E-3</v>
      </c>
    </row>
    <row r="173" spans="1:37">
      <c r="A173" s="1095" t="s">
        <v>1684</v>
      </c>
      <c r="B173" s="1103">
        <f>VLOOKUP(B$1,'cost per tipologia de sòl'!$A$2:$D$37,4,FALSE)*'T100'!B173</f>
        <v>0</v>
      </c>
      <c r="C173" s="1103">
        <f>VLOOKUP(C$1,'cost per tipologia de sòl'!$A$2:$D$37,4,FALSE)*'T100'!C173</f>
        <v>0</v>
      </c>
      <c r="D173" s="1103">
        <f>VLOOKUP(D$1,'cost per tipologia de sòl'!$A$2:$D$37,4,FALSE)*'T100'!D173</f>
        <v>0</v>
      </c>
      <c r="E173" s="1103">
        <f>VLOOKUP(E$1,'cost per tipologia de sòl'!$A$2:$D$37,4,FALSE)*'T100'!E173</f>
        <v>0</v>
      </c>
      <c r="F173" s="1103">
        <f>VLOOKUP(F$1,'cost per tipologia de sòl'!$A$2:$D$37,4,FALSE)*'T100'!F173</f>
        <v>0</v>
      </c>
      <c r="G173" s="1103">
        <f>VLOOKUP(G$1,'cost per tipologia de sòl'!$A$2:$D$37,4,FALSE)*'T100'!G173</f>
        <v>0</v>
      </c>
      <c r="H173" s="1103">
        <f>VLOOKUP(H$1,'cost per tipologia de sòl'!$A$2:$D$37,4,FALSE)*'T100'!H173</f>
        <v>0</v>
      </c>
      <c r="I173" s="1103">
        <f>VLOOKUP(I$1,'cost per tipologia de sòl'!$A$2:$D$37,4,FALSE)*'T100'!I173</f>
        <v>0</v>
      </c>
      <c r="J173" s="1103">
        <f>VLOOKUP(J$1,'cost per tipologia de sòl'!$A$2:$D$37,4,FALSE)*'T100'!J173</f>
        <v>28883.299499999997</v>
      </c>
      <c r="K173" s="1103">
        <f>VLOOKUP(K$1,'cost per tipologia de sòl'!$A$2:$D$37,4,FALSE)*'T100'!K173</f>
        <v>0</v>
      </c>
      <c r="L173" s="1103">
        <f>VLOOKUP(L$1,'cost per tipologia de sòl'!$A$2:$D$37,4,FALSE)*'T100'!L173</f>
        <v>0</v>
      </c>
      <c r="M173" s="1103">
        <f>VLOOKUP(M$1,'cost per tipologia de sòl'!$A$2:$D$37,4,FALSE)*'T100'!M173</f>
        <v>0</v>
      </c>
      <c r="N173" s="1103">
        <f>VLOOKUP(N$1,'cost per tipologia de sòl'!$A$2:$D$37,4,FALSE)*'T100'!N173</f>
        <v>0</v>
      </c>
      <c r="O173" s="1103">
        <f>VLOOKUP(O$1,'cost per tipologia de sòl'!$A$2:$D$37,4,FALSE)*'T100'!O173</f>
        <v>0</v>
      </c>
      <c r="P173" s="1103">
        <f>VLOOKUP(P$1,'cost per tipologia de sòl'!$A$2:$D$37,4,FALSE)*'T100'!P173</f>
        <v>0</v>
      </c>
      <c r="Q173" s="1103">
        <f>VLOOKUP(Q$1,'cost per tipologia de sòl'!$A$2:$D$37,4,FALSE)*'T100'!Q173</f>
        <v>0</v>
      </c>
      <c r="R173" s="1103">
        <f>VLOOKUP(R$1,'cost per tipologia de sòl'!$A$2:$D$37,4,FALSE)*'T100'!R173</f>
        <v>0</v>
      </c>
      <c r="S173" s="1103">
        <f>VLOOKUP(S$1,'cost per tipologia de sòl'!$A$2:$D$37,4,FALSE)*'T100'!S173</f>
        <v>0</v>
      </c>
      <c r="T173" s="1103">
        <f>VLOOKUP(T$1,'cost per tipologia de sòl'!$A$2:$D$37,4,FALSE)*'T100'!T173</f>
        <v>25509.552</v>
      </c>
      <c r="U173" s="1103">
        <f>VLOOKUP(U$1,'cost per tipologia de sòl'!$A$2:$D$37,4,FALSE)*'T100'!U173</f>
        <v>0</v>
      </c>
      <c r="V173" s="1103">
        <f>VLOOKUP(V$1,'cost per tipologia de sòl'!$A$2:$D$37,4,FALSE)*'T100'!V173</f>
        <v>0</v>
      </c>
      <c r="W173" s="1103">
        <f>VLOOKUP(W$1,'cost per tipologia de sòl'!$A$2:$D$37,4,FALSE)*'T100'!W173</f>
        <v>0</v>
      </c>
      <c r="X173" s="1103">
        <f>VLOOKUP(X$1,'cost per tipologia de sòl'!$A$2:$D$37,4,FALSE)*'T100'!X173</f>
        <v>0</v>
      </c>
      <c r="Y173" s="1103">
        <f>VLOOKUP(Y$1,'cost per tipologia de sòl'!$A$2:$D$37,4,FALSE)*'T100'!Y173</f>
        <v>0</v>
      </c>
      <c r="Z173" s="1103">
        <f>VLOOKUP(Z$1,'cost per tipologia de sòl'!$A$2:$D$37,4,FALSE)*'T100'!Z173</f>
        <v>0</v>
      </c>
      <c r="AA173" s="1103">
        <f>VLOOKUP(AA$1,'cost per tipologia de sòl'!$A$2:$D$37,4,FALSE)*'T100'!AA173</f>
        <v>0</v>
      </c>
      <c r="AB173" s="1103">
        <f>VLOOKUP(AB$1,'cost per tipologia de sòl'!$A$2:$D$37,4,FALSE)*'T100'!AB173</f>
        <v>0</v>
      </c>
      <c r="AC173" s="1103">
        <f>VLOOKUP(AC$1,'cost per tipologia de sòl'!$A$2:$D$37,4,FALSE)*'T100'!AC173</f>
        <v>0</v>
      </c>
      <c r="AD173" s="1103">
        <f>VLOOKUP(AD$1,'cost per tipologia de sòl'!$A$2:$D$37,4,FALSE)*'T100'!AD173</f>
        <v>70115.7</v>
      </c>
      <c r="AE173" s="1103">
        <f>VLOOKUP(AE$1,'cost per tipologia de sòl'!$A$2:$D$37,4,FALSE)*'T100'!AE173</f>
        <v>0</v>
      </c>
      <c r="AF173" s="1103">
        <f>VLOOKUP(AF$1,'cost per tipologia de sòl'!$A$2:$D$37,4,FALSE)*'T100'!AF173</f>
        <v>0</v>
      </c>
      <c r="AG173" s="1103">
        <f>VLOOKUP(AG$1,'cost per tipologia de sòl'!$A$2:$D$37,4,FALSE)*'T100'!AG173</f>
        <v>0</v>
      </c>
      <c r="AH173" s="1103">
        <f>VLOOKUP(AH$1,'cost per tipologia de sòl'!$A$2:$D$37,4,FALSE)*'T100'!AH173</f>
        <v>0</v>
      </c>
      <c r="AI173" s="1103">
        <f>VLOOKUP(AI$1,'cost per tipologia de sòl'!$A$2:$D$37,4,FALSE)*'T100'!AI173</f>
        <v>0</v>
      </c>
      <c r="AJ173" s="1103">
        <f t="shared" si="4"/>
        <v>124508.5515</v>
      </c>
      <c r="AK173" s="1117">
        <f t="shared" si="5"/>
        <v>3.735256545E-2</v>
      </c>
    </row>
    <row r="174" spans="1:37">
      <c r="A174" s="1095" t="s">
        <v>1686</v>
      </c>
      <c r="B174" s="1103">
        <f>VLOOKUP(B$1,'cost per tipologia de sòl'!$A$2:$D$37,4,FALSE)*'T100'!B174</f>
        <v>0</v>
      </c>
      <c r="C174" s="1103">
        <f>VLOOKUP(C$1,'cost per tipologia de sòl'!$A$2:$D$37,4,FALSE)*'T100'!C174</f>
        <v>0</v>
      </c>
      <c r="D174" s="1103">
        <f>VLOOKUP(D$1,'cost per tipologia de sòl'!$A$2:$D$37,4,FALSE)*'T100'!D174</f>
        <v>0</v>
      </c>
      <c r="E174" s="1103">
        <f>VLOOKUP(E$1,'cost per tipologia de sòl'!$A$2:$D$37,4,FALSE)*'T100'!E174</f>
        <v>0</v>
      </c>
      <c r="F174" s="1103">
        <f>VLOOKUP(F$1,'cost per tipologia de sòl'!$A$2:$D$37,4,FALSE)*'T100'!F174</f>
        <v>0</v>
      </c>
      <c r="G174" s="1103">
        <f>VLOOKUP(G$1,'cost per tipologia de sòl'!$A$2:$D$37,4,FALSE)*'T100'!G174</f>
        <v>0</v>
      </c>
      <c r="H174" s="1103">
        <f>VLOOKUP(H$1,'cost per tipologia de sòl'!$A$2:$D$37,4,FALSE)*'T100'!H174</f>
        <v>0</v>
      </c>
      <c r="I174" s="1103">
        <f>VLOOKUP(I$1,'cost per tipologia de sòl'!$A$2:$D$37,4,FALSE)*'T100'!I174</f>
        <v>0</v>
      </c>
      <c r="J174" s="1103">
        <f>VLOOKUP(J$1,'cost per tipologia de sòl'!$A$2:$D$37,4,FALSE)*'T100'!J174</f>
        <v>413976.81599999999</v>
      </c>
      <c r="K174" s="1103">
        <f>VLOOKUP(K$1,'cost per tipologia de sòl'!$A$2:$D$37,4,FALSE)*'T100'!K174</f>
        <v>0</v>
      </c>
      <c r="L174" s="1103">
        <f>VLOOKUP(L$1,'cost per tipologia de sòl'!$A$2:$D$37,4,FALSE)*'T100'!L174</f>
        <v>0</v>
      </c>
      <c r="M174" s="1103">
        <f>VLOOKUP(M$1,'cost per tipologia de sòl'!$A$2:$D$37,4,FALSE)*'T100'!M174</f>
        <v>0</v>
      </c>
      <c r="N174" s="1103">
        <f>VLOOKUP(N$1,'cost per tipologia de sòl'!$A$2:$D$37,4,FALSE)*'T100'!N174</f>
        <v>0</v>
      </c>
      <c r="O174" s="1103">
        <f>VLOOKUP(O$1,'cost per tipologia de sòl'!$A$2:$D$37,4,FALSE)*'T100'!O174</f>
        <v>0</v>
      </c>
      <c r="P174" s="1103">
        <f>VLOOKUP(P$1,'cost per tipologia de sòl'!$A$2:$D$37,4,FALSE)*'T100'!P174</f>
        <v>0</v>
      </c>
      <c r="Q174" s="1103">
        <f>VLOOKUP(Q$1,'cost per tipologia de sòl'!$A$2:$D$37,4,FALSE)*'T100'!Q174</f>
        <v>0</v>
      </c>
      <c r="R174" s="1103">
        <f>VLOOKUP(R$1,'cost per tipologia de sòl'!$A$2:$D$37,4,FALSE)*'T100'!R174</f>
        <v>0</v>
      </c>
      <c r="S174" s="1103">
        <f>VLOOKUP(S$1,'cost per tipologia de sòl'!$A$2:$D$37,4,FALSE)*'T100'!S174</f>
        <v>0</v>
      </c>
      <c r="T174" s="1103">
        <f>VLOOKUP(T$1,'cost per tipologia de sòl'!$A$2:$D$37,4,FALSE)*'T100'!T174</f>
        <v>0</v>
      </c>
      <c r="U174" s="1103">
        <f>VLOOKUP(U$1,'cost per tipologia de sòl'!$A$2:$D$37,4,FALSE)*'T100'!U174</f>
        <v>0</v>
      </c>
      <c r="V174" s="1103">
        <f>VLOOKUP(V$1,'cost per tipologia de sòl'!$A$2:$D$37,4,FALSE)*'T100'!V174</f>
        <v>0</v>
      </c>
      <c r="W174" s="1103">
        <f>VLOOKUP(W$1,'cost per tipologia de sòl'!$A$2:$D$37,4,FALSE)*'T100'!W174</f>
        <v>0</v>
      </c>
      <c r="X174" s="1103">
        <f>VLOOKUP(X$1,'cost per tipologia de sòl'!$A$2:$D$37,4,FALSE)*'T100'!X174</f>
        <v>0</v>
      </c>
      <c r="Y174" s="1103">
        <f>VLOOKUP(Y$1,'cost per tipologia de sòl'!$A$2:$D$37,4,FALSE)*'T100'!Y174</f>
        <v>0</v>
      </c>
      <c r="Z174" s="1103">
        <f>VLOOKUP(Z$1,'cost per tipologia de sòl'!$A$2:$D$37,4,FALSE)*'T100'!Z174</f>
        <v>0</v>
      </c>
      <c r="AA174" s="1103">
        <f>VLOOKUP(AA$1,'cost per tipologia de sòl'!$A$2:$D$37,4,FALSE)*'T100'!AA174</f>
        <v>4051.75</v>
      </c>
      <c r="AB174" s="1103">
        <f>VLOOKUP(AB$1,'cost per tipologia de sòl'!$A$2:$D$37,4,FALSE)*'T100'!AB174</f>
        <v>0</v>
      </c>
      <c r="AC174" s="1103">
        <f>VLOOKUP(AC$1,'cost per tipologia de sòl'!$A$2:$D$37,4,FALSE)*'T100'!AC174</f>
        <v>0</v>
      </c>
      <c r="AD174" s="1103">
        <f>VLOOKUP(AD$1,'cost per tipologia de sòl'!$A$2:$D$37,4,FALSE)*'T100'!AD174</f>
        <v>925141.35000000009</v>
      </c>
      <c r="AE174" s="1103">
        <f>VLOOKUP(AE$1,'cost per tipologia de sòl'!$A$2:$D$37,4,FALSE)*'T100'!AE174</f>
        <v>0</v>
      </c>
      <c r="AF174" s="1103">
        <f>VLOOKUP(AF$1,'cost per tipologia de sòl'!$A$2:$D$37,4,FALSE)*'T100'!AF174</f>
        <v>0</v>
      </c>
      <c r="AG174" s="1103">
        <f>VLOOKUP(AG$1,'cost per tipologia de sòl'!$A$2:$D$37,4,FALSE)*'T100'!AG174</f>
        <v>0</v>
      </c>
      <c r="AH174" s="1103">
        <f>VLOOKUP(AH$1,'cost per tipologia de sòl'!$A$2:$D$37,4,FALSE)*'T100'!AH174</f>
        <v>0</v>
      </c>
      <c r="AI174" s="1103">
        <f>VLOOKUP(AI$1,'cost per tipologia de sòl'!$A$2:$D$37,4,FALSE)*'T100'!AI174</f>
        <v>0</v>
      </c>
      <c r="AJ174" s="1103">
        <f t="shared" si="4"/>
        <v>1343169.9160000002</v>
      </c>
      <c r="AK174" s="1117">
        <f t="shared" si="5"/>
        <v>0.40295097480000003</v>
      </c>
    </row>
    <row r="175" spans="1:37">
      <c r="A175" s="1095" t="s">
        <v>1692</v>
      </c>
      <c r="B175" s="1103">
        <f>VLOOKUP(B$1,'cost per tipologia de sòl'!$A$2:$D$37,4,FALSE)*'T100'!B175</f>
        <v>0</v>
      </c>
      <c r="C175" s="1103">
        <f>VLOOKUP(C$1,'cost per tipologia de sòl'!$A$2:$D$37,4,FALSE)*'T100'!C175</f>
        <v>0</v>
      </c>
      <c r="D175" s="1103">
        <f>VLOOKUP(D$1,'cost per tipologia de sòl'!$A$2:$D$37,4,FALSE)*'T100'!D175</f>
        <v>0</v>
      </c>
      <c r="E175" s="1103">
        <f>VLOOKUP(E$1,'cost per tipologia de sòl'!$A$2:$D$37,4,FALSE)*'T100'!E175</f>
        <v>0</v>
      </c>
      <c r="F175" s="1103">
        <f>VLOOKUP(F$1,'cost per tipologia de sòl'!$A$2:$D$37,4,FALSE)*'T100'!F175</f>
        <v>0</v>
      </c>
      <c r="G175" s="1103">
        <f>VLOOKUP(G$1,'cost per tipologia de sòl'!$A$2:$D$37,4,FALSE)*'T100'!G175</f>
        <v>0</v>
      </c>
      <c r="H175" s="1103">
        <f>VLOOKUP(H$1,'cost per tipologia de sòl'!$A$2:$D$37,4,FALSE)*'T100'!H175</f>
        <v>0</v>
      </c>
      <c r="I175" s="1103">
        <f>VLOOKUP(I$1,'cost per tipologia de sòl'!$A$2:$D$37,4,FALSE)*'T100'!I175</f>
        <v>0</v>
      </c>
      <c r="J175" s="1103">
        <f>VLOOKUP(J$1,'cost per tipologia de sòl'!$A$2:$D$37,4,FALSE)*'T100'!J175</f>
        <v>186166.255</v>
      </c>
      <c r="K175" s="1103">
        <f>VLOOKUP(K$1,'cost per tipologia de sòl'!$A$2:$D$37,4,FALSE)*'T100'!K175</f>
        <v>0</v>
      </c>
      <c r="L175" s="1103">
        <f>VLOOKUP(L$1,'cost per tipologia de sòl'!$A$2:$D$37,4,FALSE)*'T100'!L175</f>
        <v>10229.112000000001</v>
      </c>
      <c r="M175" s="1103">
        <f>VLOOKUP(M$1,'cost per tipologia de sòl'!$A$2:$D$37,4,FALSE)*'T100'!M175</f>
        <v>0</v>
      </c>
      <c r="N175" s="1103">
        <f>VLOOKUP(N$1,'cost per tipologia de sòl'!$A$2:$D$37,4,FALSE)*'T100'!N175</f>
        <v>0</v>
      </c>
      <c r="O175" s="1103">
        <f>VLOOKUP(O$1,'cost per tipologia de sòl'!$A$2:$D$37,4,FALSE)*'T100'!O175</f>
        <v>0</v>
      </c>
      <c r="P175" s="1103">
        <f>VLOOKUP(P$1,'cost per tipologia de sòl'!$A$2:$D$37,4,FALSE)*'T100'!P175</f>
        <v>333.392</v>
      </c>
      <c r="Q175" s="1103">
        <f>VLOOKUP(Q$1,'cost per tipologia de sòl'!$A$2:$D$37,4,FALSE)*'T100'!Q175</f>
        <v>0</v>
      </c>
      <c r="R175" s="1103">
        <f>VLOOKUP(R$1,'cost per tipologia de sòl'!$A$2:$D$37,4,FALSE)*'T100'!R175</f>
        <v>0</v>
      </c>
      <c r="S175" s="1103">
        <f>VLOOKUP(S$1,'cost per tipologia de sòl'!$A$2:$D$37,4,FALSE)*'T100'!S175</f>
        <v>0</v>
      </c>
      <c r="T175" s="1103">
        <f>VLOOKUP(T$1,'cost per tipologia de sòl'!$A$2:$D$37,4,FALSE)*'T100'!T175</f>
        <v>636500.99900000007</v>
      </c>
      <c r="U175" s="1103">
        <f>VLOOKUP(U$1,'cost per tipologia de sòl'!$A$2:$D$37,4,FALSE)*'T100'!U175</f>
        <v>0</v>
      </c>
      <c r="V175" s="1103">
        <f>VLOOKUP(V$1,'cost per tipologia de sòl'!$A$2:$D$37,4,FALSE)*'T100'!V175</f>
        <v>0</v>
      </c>
      <c r="W175" s="1103">
        <f>VLOOKUP(W$1,'cost per tipologia de sòl'!$A$2:$D$37,4,FALSE)*'T100'!W175</f>
        <v>0</v>
      </c>
      <c r="X175" s="1103">
        <f>VLOOKUP(X$1,'cost per tipologia de sòl'!$A$2:$D$37,4,FALSE)*'T100'!X175</f>
        <v>0</v>
      </c>
      <c r="Y175" s="1103">
        <f>VLOOKUP(Y$1,'cost per tipologia de sòl'!$A$2:$D$37,4,FALSE)*'T100'!Y175</f>
        <v>0</v>
      </c>
      <c r="Z175" s="1103">
        <f>VLOOKUP(Z$1,'cost per tipologia de sòl'!$A$2:$D$37,4,FALSE)*'T100'!Z175</f>
        <v>289239.30599999998</v>
      </c>
      <c r="AA175" s="1103">
        <f>VLOOKUP(AA$1,'cost per tipologia de sòl'!$A$2:$D$37,4,FALSE)*'T100'!AA175</f>
        <v>0</v>
      </c>
      <c r="AB175" s="1103">
        <f>VLOOKUP(AB$1,'cost per tipologia de sòl'!$A$2:$D$37,4,FALSE)*'T100'!AB175</f>
        <v>0</v>
      </c>
      <c r="AC175" s="1103">
        <f>VLOOKUP(AC$1,'cost per tipologia de sòl'!$A$2:$D$37,4,FALSE)*'T100'!AC175</f>
        <v>424078.1</v>
      </c>
      <c r="AD175" s="1103">
        <f>VLOOKUP(AD$1,'cost per tipologia de sòl'!$A$2:$D$37,4,FALSE)*'T100'!AD175</f>
        <v>23588.5</v>
      </c>
      <c r="AE175" s="1103">
        <f>VLOOKUP(AE$1,'cost per tipologia de sòl'!$A$2:$D$37,4,FALSE)*'T100'!AE175</f>
        <v>0</v>
      </c>
      <c r="AF175" s="1103">
        <f>VLOOKUP(AF$1,'cost per tipologia de sòl'!$A$2:$D$37,4,FALSE)*'T100'!AF175</f>
        <v>0</v>
      </c>
      <c r="AG175" s="1103">
        <f>VLOOKUP(AG$1,'cost per tipologia de sòl'!$A$2:$D$37,4,FALSE)*'T100'!AG175</f>
        <v>0</v>
      </c>
      <c r="AH175" s="1103">
        <f>VLOOKUP(AH$1,'cost per tipologia de sòl'!$A$2:$D$37,4,FALSE)*'T100'!AH175</f>
        <v>0</v>
      </c>
      <c r="AI175" s="1103">
        <f>VLOOKUP(AI$1,'cost per tipologia de sòl'!$A$2:$D$37,4,FALSE)*'T100'!AI175</f>
        <v>0</v>
      </c>
      <c r="AJ175" s="1103">
        <f t="shared" si="4"/>
        <v>1570135.6639999999</v>
      </c>
      <c r="AK175" s="1117">
        <f t="shared" si="5"/>
        <v>0.47104069919999997</v>
      </c>
    </row>
    <row r="176" spans="1:37">
      <c r="A176" s="1095" t="s">
        <v>1697</v>
      </c>
      <c r="B176" s="1103">
        <f>VLOOKUP(B$1,'cost per tipologia de sòl'!$A$2:$D$37,4,FALSE)*'T100'!B176</f>
        <v>0</v>
      </c>
      <c r="C176" s="1103">
        <f>VLOOKUP(C$1,'cost per tipologia de sòl'!$A$2:$D$37,4,FALSE)*'T100'!C176</f>
        <v>0</v>
      </c>
      <c r="D176" s="1103">
        <f>VLOOKUP(D$1,'cost per tipologia de sòl'!$A$2:$D$37,4,FALSE)*'T100'!D176</f>
        <v>0</v>
      </c>
      <c r="E176" s="1103">
        <f>VLOOKUP(E$1,'cost per tipologia de sòl'!$A$2:$D$37,4,FALSE)*'T100'!E176</f>
        <v>0</v>
      </c>
      <c r="F176" s="1103">
        <f>VLOOKUP(F$1,'cost per tipologia de sòl'!$A$2:$D$37,4,FALSE)*'T100'!F176</f>
        <v>0</v>
      </c>
      <c r="G176" s="1103">
        <f>VLOOKUP(G$1,'cost per tipologia de sòl'!$A$2:$D$37,4,FALSE)*'T100'!G176</f>
        <v>0</v>
      </c>
      <c r="H176" s="1103">
        <f>VLOOKUP(H$1,'cost per tipologia de sòl'!$A$2:$D$37,4,FALSE)*'T100'!H176</f>
        <v>0</v>
      </c>
      <c r="I176" s="1103">
        <f>VLOOKUP(I$1,'cost per tipologia de sòl'!$A$2:$D$37,4,FALSE)*'T100'!I176</f>
        <v>0</v>
      </c>
      <c r="J176" s="1103">
        <f>VLOOKUP(J$1,'cost per tipologia de sòl'!$A$2:$D$37,4,FALSE)*'T100'!J176</f>
        <v>7669.1450000000004</v>
      </c>
      <c r="K176" s="1103">
        <f>VLOOKUP(K$1,'cost per tipologia de sòl'!$A$2:$D$37,4,FALSE)*'T100'!K176</f>
        <v>0</v>
      </c>
      <c r="L176" s="1103">
        <f>VLOOKUP(L$1,'cost per tipologia de sòl'!$A$2:$D$37,4,FALSE)*'T100'!L176</f>
        <v>86373.512999999992</v>
      </c>
      <c r="M176" s="1103">
        <f>VLOOKUP(M$1,'cost per tipologia de sòl'!$A$2:$D$37,4,FALSE)*'T100'!M176</f>
        <v>0</v>
      </c>
      <c r="N176" s="1103">
        <f>VLOOKUP(N$1,'cost per tipologia de sòl'!$A$2:$D$37,4,FALSE)*'T100'!N176</f>
        <v>0</v>
      </c>
      <c r="O176" s="1103">
        <f>VLOOKUP(O$1,'cost per tipologia de sòl'!$A$2:$D$37,4,FALSE)*'T100'!O176</f>
        <v>0</v>
      </c>
      <c r="P176" s="1103">
        <f>VLOOKUP(P$1,'cost per tipologia de sòl'!$A$2:$D$37,4,FALSE)*'T100'!P176</f>
        <v>0</v>
      </c>
      <c r="Q176" s="1103">
        <f>VLOOKUP(Q$1,'cost per tipologia de sòl'!$A$2:$D$37,4,FALSE)*'T100'!Q176</f>
        <v>0</v>
      </c>
      <c r="R176" s="1103">
        <f>VLOOKUP(R$1,'cost per tipologia de sòl'!$A$2:$D$37,4,FALSE)*'T100'!R176</f>
        <v>0</v>
      </c>
      <c r="S176" s="1103">
        <f>VLOOKUP(S$1,'cost per tipologia de sòl'!$A$2:$D$37,4,FALSE)*'T100'!S176</f>
        <v>0</v>
      </c>
      <c r="T176" s="1103">
        <f>VLOOKUP(T$1,'cost per tipologia de sòl'!$A$2:$D$37,4,FALSE)*'T100'!T176</f>
        <v>3194506.9129999997</v>
      </c>
      <c r="U176" s="1103">
        <f>VLOOKUP(U$1,'cost per tipologia de sòl'!$A$2:$D$37,4,FALSE)*'T100'!U176</f>
        <v>0</v>
      </c>
      <c r="V176" s="1103">
        <f>VLOOKUP(V$1,'cost per tipologia de sòl'!$A$2:$D$37,4,FALSE)*'T100'!V176</f>
        <v>0</v>
      </c>
      <c r="W176" s="1103">
        <f>VLOOKUP(W$1,'cost per tipologia de sòl'!$A$2:$D$37,4,FALSE)*'T100'!W176</f>
        <v>0</v>
      </c>
      <c r="X176" s="1103">
        <f>VLOOKUP(X$1,'cost per tipologia de sòl'!$A$2:$D$37,4,FALSE)*'T100'!X176</f>
        <v>0</v>
      </c>
      <c r="Y176" s="1103">
        <f>VLOOKUP(Y$1,'cost per tipologia de sòl'!$A$2:$D$37,4,FALSE)*'T100'!Y176</f>
        <v>0</v>
      </c>
      <c r="Z176" s="1103">
        <f>VLOOKUP(Z$1,'cost per tipologia de sòl'!$A$2:$D$37,4,FALSE)*'T100'!Z176</f>
        <v>0</v>
      </c>
      <c r="AA176" s="1103">
        <f>VLOOKUP(AA$1,'cost per tipologia de sòl'!$A$2:$D$37,4,FALSE)*'T100'!AA176</f>
        <v>132671.29999999999</v>
      </c>
      <c r="AB176" s="1103">
        <f>VLOOKUP(AB$1,'cost per tipologia de sòl'!$A$2:$D$37,4,FALSE)*'T100'!AB176</f>
        <v>0</v>
      </c>
      <c r="AC176" s="1103">
        <f>VLOOKUP(AC$1,'cost per tipologia de sòl'!$A$2:$D$37,4,FALSE)*'T100'!AC176</f>
        <v>0</v>
      </c>
      <c r="AD176" s="1103">
        <f>VLOOKUP(AD$1,'cost per tipologia de sòl'!$A$2:$D$37,4,FALSE)*'T100'!AD176</f>
        <v>0</v>
      </c>
      <c r="AE176" s="1103">
        <f>VLOOKUP(AE$1,'cost per tipologia de sòl'!$A$2:$D$37,4,FALSE)*'T100'!AE176</f>
        <v>0</v>
      </c>
      <c r="AF176" s="1103">
        <f>VLOOKUP(AF$1,'cost per tipologia de sòl'!$A$2:$D$37,4,FALSE)*'T100'!AF176</f>
        <v>0</v>
      </c>
      <c r="AG176" s="1103">
        <f>VLOOKUP(AG$1,'cost per tipologia de sòl'!$A$2:$D$37,4,FALSE)*'T100'!AG176</f>
        <v>0</v>
      </c>
      <c r="AH176" s="1103">
        <f>VLOOKUP(AH$1,'cost per tipologia de sòl'!$A$2:$D$37,4,FALSE)*'T100'!AH176</f>
        <v>0</v>
      </c>
      <c r="AI176" s="1103">
        <f>VLOOKUP(AI$1,'cost per tipologia de sòl'!$A$2:$D$37,4,FALSE)*'T100'!AI176</f>
        <v>0</v>
      </c>
      <c r="AJ176" s="1103">
        <f t="shared" si="4"/>
        <v>3421220.8709999993</v>
      </c>
      <c r="AK176" s="1117">
        <f t="shared" si="5"/>
        <v>1.0263662612999997</v>
      </c>
    </row>
    <row r="177" spans="1:37">
      <c r="A177" s="1095" t="s">
        <v>815</v>
      </c>
      <c r="B177" s="1103">
        <f>VLOOKUP(B$1,'cost per tipologia de sòl'!$A$2:$D$37,4,FALSE)*'T100'!B177</f>
        <v>136813207.734</v>
      </c>
      <c r="C177" s="1103">
        <f>VLOOKUP(C$1,'cost per tipologia de sòl'!$A$2:$D$37,4,FALSE)*'T100'!C177</f>
        <v>0</v>
      </c>
      <c r="D177" s="1103">
        <f>VLOOKUP(D$1,'cost per tipologia de sòl'!$A$2:$D$37,4,FALSE)*'T100'!D177</f>
        <v>137534.37</v>
      </c>
      <c r="E177" s="1103">
        <f>VLOOKUP(E$1,'cost per tipologia de sòl'!$A$2:$D$37,4,FALSE)*'T100'!E177</f>
        <v>0</v>
      </c>
      <c r="F177" s="1103">
        <f>VLOOKUP(F$1,'cost per tipologia de sòl'!$A$2:$D$37,4,FALSE)*'T100'!F177</f>
        <v>0</v>
      </c>
      <c r="G177" s="1103">
        <f>VLOOKUP(G$1,'cost per tipologia de sòl'!$A$2:$D$37,4,FALSE)*'T100'!G177</f>
        <v>0</v>
      </c>
      <c r="H177" s="1103">
        <f>VLOOKUP(H$1,'cost per tipologia de sòl'!$A$2:$D$37,4,FALSE)*'T100'!H177</f>
        <v>0</v>
      </c>
      <c r="I177" s="1103">
        <f>VLOOKUP(I$1,'cost per tipologia de sòl'!$A$2:$D$37,4,FALSE)*'T100'!I177</f>
        <v>0</v>
      </c>
      <c r="J177" s="1103">
        <f>VLOOKUP(J$1,'cost per tipologia de sòl'!$A$2:$D$37,4,FALSE)*'T100'!J177</f>
        <v>20146.796999999999</v>
      </c>
      <c r="K177" s="1103">
        <f>VLOOKUP(K$1,'cost per tipologia de sòl'!$A$2:$D$37,4,FALSE)*'T100'!K177</f>
        <v>7517.2859999999991</v>
      </c>
      <c r="L177" s="1103">
        <f>VLOOKUP(L$1,'cost per tipologia de sòl'!$A$2:$D$37,4,FALSE)*'T100'!L177</f>
        <v>3964822.551</v>
      </c>
      <c r="M177" s="1103">
        <f>VLOOKUP(M$1,'cost per tipologia de sòl'!$A$2:$D$37,4,FALSE)*'T100'!M177</f>
        <v>3393934.8480000002</v>
      </c>
      <c r="N177" s="1103">
        <f>VLOOKUP(N$1,'cost per tipologia de sòl'!$A$2:$D$37,4,FALSE)*'T100'!N177</f>
        <v>22864987.088</v>
      </c>
      <c r="O177" s="1103">
        <f>VLOOKUP(O$1,'cost per tipologia de sòl'!$A$2:$D$37,4,FALSE)*'T100'!O177</f>
        <v>0</v>
      </c>
      <c r="P177" s="1103">
        <f>VLOOKUP(P$1,'cost per tipologia de sòl'!$A$2:$D$37,4,FALSE)*'T100'!P177</f>
        <v>5802728.4960000003</v>
      </c>
      <c r="Q177" s="1103">
        <f>VLOOKUP(Q$1,'cost per tipologia de sòl'!$A$2:$D$37,4,FALSE)*'T100'!Q177</f>
        <v>0</v>
      </c>
      <c r="R177" s="1103">
        <f>VLOOKUP(R$1,'cost per tipologia de sòl'!$A$2:$D$37,4,FALSE)*'T100'!R177</f>
        <v>0</v>
      </c>
      <c r="S177" s="1103">
        <f>VLOOKUP(S$1,'cost per tipologia de sòl'!$A$2:$D$37,4,FALSE)*'T100'!S177</f>
        <v>122739046.41600001</v>
      </c>
      <c r="T177" s="1103">
        <f>VLOOKUP(T$1,'cost per tipologia de sòl'!$A$2:$D$37,4,FALSE)*'T100'!T177</f>
        <v>103332891.22999966</v>
      </c>
      <c r="U177" s="1103">
        <f>VLOOKUP(U$1,'cost per tipologia de sòl'!$A$2:$D$37,4,FALSE)*'T100'!U177</f>
        <v>5913736.5</v>
      </c>
      <c r="V177" s="1103">
        <f>VLOOKUP(V$1,'cost per tipologia de sòl'!$A$2:$D$37,4,FALSE)*'T100'!V177</f>
        <v>0</v>
      </c>
      <c r="W177" s="1103">
        <f>VLOOKUP(W$1,'cost per tipologia de sòl'!$A$2:$D$37,4,FALSE)*'T100'!W177</f>
        <v>0</v>
      </c>
      <c r="X177" s="1103">
        <f>VLOOKUP(X$1,'cost per tipologia de sòl'!$A$2:$D$37,4,FALSE)*'T100'!X177</f>
        <v>0</v>
      </c>
      <c r="Y177" s="1103">
        <f>VLOOKUP(Y$1,'cost per tipologia de sòl'!$A$2:$D$37,4,FALSE)*'T100'!Y177</f>
        <v>0</v>
      </c>
      <c r="Z177" s="1103">
        <f>VLOOKUP(Z$1,'cost per tipologia de sòl'!$A$2:$D$37,4,FALSE)*'T100'!Z177</f>
        <v>12344707.801999999</v>
      </c>
      <c r="AA177" s="1103">
        <f>VLOOKUP(AA$1,'cost per tipologia de sòl'!$A$2:$D$37,4,FALSE)*'T100'!AA177</f>
        <v>0</v>
      </c>
      <c r="AB177" s="1103">
        <f>VLOOKUP(AB$1,'cost per tipologia de sòl'!$A$2:$D$37,4,FALSE)*'T100'!AB177</f>
        <v>20782105</v>
      </c>
      <c r="AC177" s="1103">
        <f>VLOOKUP(AC$1,'cost per tipologia de sòl'!$A$2:$D$37,4,FALSE)*'T100'!AC177</f>
        <v>119657438.09999999</v>
      </c>
      <c r="AD177" s="1103">
        <f>VLOOKUP(AD$1,'cost per tipologia de sòl'!$A$2:$D$37,4,FALSE)*'T100'!AD177</f>
        <v>166311462.15000001</v>
      </c>
      <c r="AE177" s="1103">
        <f>VLOOKUP(AE$1,'cost per tipologia de sòl'!$A$2:$D$37,4,FALSE)*'T100'!AE177</f>
        <v>0</v>
      </c>
      <c r="AF177" s="1103">
        <f>VLOOKUP(AF$1,'cost per tipologia de sòl'!$A$2:$D$37,4,FALSE)*'T100'!AF177</f>
        <v>0</v>
      </c>
      <c r="AG177" s="1103">
        <f>VLOOKUP(AG$1,'cost per tipologia de sòl'!$A$2:$D$37,4,FALSE)*'T100'!AG177</f>
        <v>0</v>
      </c>
      <c r="AH177" s="1103">
        <f>VLOOKUP(AH$1,'cost per tipologia de sòl'!$A$2:$D$37,4,FALSE)*'T100'!AH177</f>
        <v>0</v>
      </c>
      <c r="AI177" s="1103">
        <f>VLOOKUP(AI$1,'cost per tipologia de sòl'!$A$2:$D$37,4,FALSE)*'T100'!AI177</f>
        <v>0</v>
      </c>
      <c r="AJ177" s="1103">
        <f t="shared" si="4"/>
        <v>724086266.36799955</v>
      </c>
      <c r="AK177" s="1117">
        <f t="shared" si="5"/>
        <v>217.22587991039987</v>
      </c>
    </row>
    <row r="178" spans="1:37">
      <c r="A178" s="1095" t="s">
        <v>357</v>
      </c>
      <c r="B178" s="1103">
        <f>VLOOKUP(B$1,'cost per tipologia de sòl'!$A$2:$D$37,4,FALSE)*'T100'!B178</f>
        <v>0</v>
      </c>
      <c r="C178" s="1103">
        <f>VLOOKUP(C$1,'cost per tipologia de sòl'!$A$2:$D$37,4,FALSE)*'T100'!C178</f>
        <v>0</v>
      </c>
      <c r="D178" s="1103">
        <f>VLOOKUP(D$1,'cost per tipologia de sòl'!$A$2:$D$37,4,FALSE)*'T100'!D178</f>
        <v>0</v>
      </c>
      <c r="E178" s="1103">
        <f>VLOOKUP(E$1,'cost per tipologia de sòl'!$A$2:$D$37,4,FALSE)*'T100'!E178</f>
        <v>0</v>
      </c>
      <c r="F178" s="1103">
        <f>VLOOKUP(F$1,'cost per tipologia de sòl'!$A$2:$D$37,4,FALSE)*'T100'!F178</f>
        <v>0</v>
      </c>
      <c r="G178" s="1103">
        <f>VLOOKUP(G$1,'cost per tipologia de sòl'!$A$2:$D$37,4,FALSE)*'T100'!G178</f>
        <v>0</v>
      </c>
      <c r="H178" s="1103">
        <f>VLOOKUP(H$1,'cost per tipologia de sòl'!$A$2:$D$37,4,FALSE)*'T100'!H178</f>
        <v>0</v>
      </c>
      <c r="I178" s="1103">
        <f>VLOOKUP(I$1,'cost per tipologia de sòl'!$A$2:$D$37,4,FALSE)*'T100'!I178</f>
        <v>0</v>
      </c>
      <c r="J178" s="1103">
        <f>VLOOKUP(J$1,'cost per tipologia de sòl'!$A$2:$D$37,4,FALSE)*'T100'!J178</f>
        <v>11321.5245</v>
      </c>
      <c r="K178" s="1103">
        <f>VLOOKUP(K$1,'cost per tipologia de sòl'!$A$2:$D$37,4,FALSE)*'T100'!K178</f>
        <v>0</v>
      </c>
      <c r="L178" s="1103">
        <f>VLOOKUP(L$1,'cost per tipologia de sòl'!$A$2:$D$37,4,FALSE)*'T100'!L178</f>
        <v>0</v>
      </c>
      <c r="M178" s="1103">
        <f>VLOOKUP(M$1,'cost per tipologia de sòl'!$A$2:$D$37,4,FALSE)*'T100'!M178</f>
        <v>0</v>
      </c>
      <c r="N178" s="1103">
        <f>VLOOKUP(N$1,'cost per tipologia de sòl'!$A$2:$D$37,4,FALSE)*'T100'!N178</f>
        <v>0</v>
      </c>
      <c r="O178" s="1103">
        <f>VLOOKUP(O$1,'cost per tipologia de sòl'!$A$2:$D$37,4,FALSE)*'T100'!O178</f>
        <v>0</v>
      </c>
      <c r="P178" s="1103">
        <f>VLOOKUP(P$1,'cost per tipologia de sòl'!$A$2:$D$37,4,FALSE)*'T100'!P178</f>
        <v>108237.696</v>
      </c>
      <c r="Q178" s="1103">
        <f>VLOOKUP(Q$1,'cost per tipologia de sòl'!$A$2:$D$37,4,FALSE)*'T100'!Q178</f>
        <v>3732774669</v>
      </c>
      <c r="R178" s="1103">
        <f>VLOOKUP(R$1,'cost per tipologia de sòl'!$A$2:$D$37,4,FALSE)*'T100'!R178</f>
        <v>0</v>
      </c>
      <c r="S178" s="1103">
        <f>VLOOKUP(S$1,'cost per tipologia de sòl'!$A$2:$D$37,4,FALSE)*'T100'!S178</f>
        <v>332162264.44799995</v>
      </c>
      <c r="T178" s="1103">
        <f>VLOOKUP(T$1,'cost per tipologia de sòl'!$A$2:$D$37,4,FALSE)*'T100'!T178</f>
        <v>356403198.27200001</v>
      </c>
      <c r="U178" s="1103">
        <f>VLOOKUP(U$1,'cost per tipologia de sòl'!$A$2:$D$37,4,FALSE)*'T100'!U178</f>
        <v>25902227.399999999</v>
      </c>
      <c r="V178" s="1103">
        <f>VLOOKUP(V$1,'cost per tipologia de sòl'!$A$2:$D$37,4,FALSE)*'T100'!V178</f>
        <v>0</v>
      </c>
      <c r="W178" s="1103">
        <f>VLOOKUP(W$1,'cost per tipologia de sòl'!$A$2:$D$37,4,FALSE)*'T100'!W178</f>
        <v>0</v>
      </c>
      <c r="X178" s="1103">
        <f>VLOOKUP(X$1,'cost per tipologia de sòl'!$A$2:$D$37,4,FALSE)*'T100'!X178</f>
        <v>0</v>
      </c>
      <c r="Y178" s="1103">
        <f>VLOOKUP(Y$1,'cost per tipologia de sòl'!$A$2:$D$37,4,FALSE)*'T100'!Y178</f>
        <v>0</v>
      </c>
      <c r="Z178" s="1103">
        <f>VLOOKUP(Z$1,'cost per tipologia de sòl'!$A$2:$D$37,4,FALSE)*'T100'!Z178</f>
        <v>115299802.066</v>
      </c>
      <c r="AA178" s="1103">
        <f>VLOOKUP(AA$1,'cost per tipologia de sòl'!$A$2:$D$37,4,FALSE)*'T100'!AA178</f>
        <v>0</v>
      </c>
      <c r="AB178" s="1103">
        <f>VLOOKUP(AB$1,'cost per tipologia de sòl'!$A$2:$D$37,4,FALSE)*'T100'!AB178</f>
        <v>53155010.850000001</v>
      </c>
      <c r="AC178" s="1103">
        <f>VLOOKUP(AC$1,'cost per tipologia de sòl'!$A$2:$D$37,4,FALSE)*'T100'!AC178</f>
        <v>7777706.0499999998</v>
      </c>
      <c r="AD178" s="1103">
        <f>VLOOKUP(AD$1,'cost per tipologia de sòl'!$A$2:$D$37,4,FALSE)*'T100'!AD178</f>
        <v>190518190.79999998</v>
      </c>
      <c r="AE178" s="1103">
        <f>VLOOKUP(AE$1,'cost per tipologia de sòl'!$A$2:$D$37,4,FALSE)*'T100'!AE178</f>
        <v>0</v>
      </c>
      <c r="AF178" s="1103">
        <f>VLOOKUP(AF$1,'cost per tipologia de sòl'!$A$2:$D$37,4,FALSE)*'T100'!AF178</f>
        <v>0</v>
      </c>
      <c r="AG178" s="1103">
        <f>VLOOKUP(AG$1,'cost per tipologia de sòl'!$A$2:$D$37,4,FALSE)*'T100'!AG178</f>
        <v>0</v>
      </c>
      <c r="AH178" s="1103">
        <f>VLOOKUP(AH$1,'cost per tipologia de sòl'!$A$2:$D$37,4,FALSE)*'T100'!AH178</f>
        <v>0</v>
      </c>
      <c r="AI178" s="1103">
        <f>VLOOKUP(AI$1,'cost per tipologia de sòl'!$A$2:$D$37,4,FALSE)*'T100'!AI178</f>
        <v>0</v>
      </c>
      <c r="AJ178" s="1103">
        <f t="shared" si="4"/>
        <v>4814112628.1065006</v>
      </c>
      <c r="AK178" s="1117">
        <f t="shared" si="5"/>
        <v>1444.23378843195</v>
      </c>
    </row>
    <row r="179" spans="1:37">
      <c r="A179" s="1095" t="s">
        <v>1729</v>
      </c>
      <c r="B179" s="1103">
        <f>VLOOKUP(B$1,'cost per tipologia de sòl'!$A$2:$D$37,4,FALSE)*'T100'!B179</f>
        <v>0</v>
      </c>
      <c r="C179" s="1103">
        <f>VLOOKUP(C$1,'cost per tipologia de sòl'!$A$2:$D$37,4,FALSE)*'T100'!C179</f>
        <v>0</v>
      </c>
      <c r="D179" s="1103">
        <f>VLOOKUP(D$1,'cost per tipologia de sòl'!$A$2:$D$37,4,FALSE)*'T100'!D179</f>
        <v>0</v>
      </c>
      <c r="E179" s="1103">
        <f>VLOOKUP(E$1,'cost per tipologia de sòl'!$A$2:$D$37,4,FALSE)*'T100'!E179</f>
        <v>0</v>
      </c>
      <c r="F179" s="1103">
        <f>VLOOKUP(F$1,'cost per tipologia de sòl'!$A$2:$D$37,4,FALSE)*'T100'!F179</f>
        <v>0</v>
      </c>
      <c r="G179" s="1103">
        <f>VLOOKUP(G$1,'cost per tipologia de sòl'!$A$2:$D$37,4,FALSE)*'T100'!G179</f>
        <v>0</v>
      </c>
      <c r="H179" s="1103">
        <f>VLOOKUP(H$1,'cost per tipologia de sòl'!$A$2:$D$37,4,FALSE)*'T100'!H179</f>
        <v>0</v>
      </c>
      <c r="I179" s="1103">
        <f>VLOOKUP(I$1,'cost per tipologia de sòl'!$A$2:$D$37,4,FALSE)*'T100'!I179</f>
        <v>0</v>
      </c>
      <c r="J179" s="1103">
        <f>VLOOKUP(J$1,'cost per tipologia de sòl'!$A$2:$D$37,4,FALSE)*'T100'!J179</f>
        <v>0</v>
      </c>
      <c r="K179" s="1103">
        <f>VLOOKUP(K$1,'cost per tipologia de sòl'!$A$2:$D$37,4,FALSE)*'T100'!K179</f>
        <v>0</v>
      </c>
      <c r="L179" s="1103">
        <f>VLOOKUP(L$1,'cost per tipologia de sòl'!$A$2:$D$37,4,FALSE)*'T100'!L179</f>
        <v>0</v>
      </c>
      <c r="M179" s="1103">
        <f>VLOOKUP(M$1,'cost per tipologia de sòl'!$A$2:$D$37,4,FALSE)*'T100'!M179</f>
        <v>0</v>
      </c>
      <c r="N179" s="1103">
        <f>VLOOKUP(N$1,'cost per tipologia de sòl'!$A$2:$D$37,4,FALSE)*'T100'!N179</f>
        <v>0</v>
      </c>
      <c r="O179" s="1103">
        <f>VLOOKUP(O$1,'cost per tipologia de sòl'!$A$2:$D$37,4,FALSE)*'T100'!O179</f>
        <v>0</v>
      </c>
      <c r="P179" s="1103">
        <f>VLOOKUP(P$1,'cost per tipologia de sòl'!$A$2:$D$37,4,FALSE)*'T100'!P179</f>
        <v>0</v>
      </c>
      <c r="Q179" s="1103">
        <f>VLOOKUP(Q$1,'cost per tipologia de sòl'!$A$2:$D$37,4,FALSE)*'T100'!Q179</f>
        <v>0</v>
      </c>
      <c r="R179" s="1103">
        <f>VLOOKUP(R$1,'cost per tipologia de sòl'!$A$2:$D$37,4,FALSE)*'T100'!R179</f>
        <v>0</v>
      </c>
      <c r="S179" s="1103">
        <f>VLOOKUP(S$1,'cost per tipologia de sòl'!$A$2:$D$37,4,FALSE)*'T100'!S179</f>
        <v>749955.02399999998</v>
      </c>
      <c r="T179" s="1103">
        <f>VLOOKUP(T$1,'cost per tipologia de sòl'!$A$2:$D$37,4,FALSE)*'T100'!T179</f>
        <v>3181015.7919999999</v>
      </c>
      <c r="U179" s="1103">
        <f>VLOOKUP(U$1,'cost per tipologia de sòl'!$A$2:$D$37,4,FALSE)*'T100'!U179</f>
        <v>0</v>
      </c>
      <c r="V179" s="1103">
        <f>VLOOKUP(V$1,'cost per tipologia de sòl'!$A$2:$D$37,4,FALSE)*'T100'!V179</f>
        <v>0</v>
      </c>
      <c r="W179" s="1103">
        <f>VLOOKUP(W$1,'cost per tipologia de sòl'!$A$2:$D$37,4,FALSE)*'T100'!W179</f>
        <v>0</v>
      </c>
      <c r="X179" s="1103">
        <f>VLOOKUP(X$1,'cost per tipologia de sòl'!$A$2:$D$37,4,FALSE)*'T100'!X179</f>
        <v>0</v>
      </c>
      <c r="Y179" s="1103">
        <f>VLOOKUP(Y$1,'cost per tipologia de sòl'!$A$2:$D$37,4,FALSE)*'T100'!Y179</f>
        <v>0</v>
      </c>
      <c r="Z179" s="1103">
        <f>VLOOKUP(Z$1,'cost per tipologia de sòl'!$A$2:$D$37,4,FALSE)*'T100'!Z179</f>
        <v>0</v>
      </c>
      <c r="AA179" s="1103">
        <f>VLOOKUP(AA$1,'cost per tipologia de sòl'!$A$2:$D$37,4,FALSE)*'T100'!AA179</f>
        <v>0</v>
      </c>
      <c r="AB179" s="1103">
        <f>VLOOKUP(AB$1,'cost per tipologia de sòl'!$A$2:$D$37,4,FALSE)*'T100'!AB179</f>
        <v>559290.65</v>
      </c>
      <c r="AC179" s="1103">
        <f>VLOOKUP(AC$1,'cost per tipologia de sòl'!$A$2:$D$37,4,FALSE)*'T100'!AC179</f>
        <v>653085.1</v>
      </c>
      <c r="AD179" s="1103">
        <f>VLOOKUP(AD$1,'cost per tipologia de sòl'!$A$2:$D$37,4,FALSE)*'T100'!AD179</f>
        <v>1652990.4999999998</v>
      </c>
      <c r="AE179" s="1103">
        <f>VLOOKUP(AE$1,'cost per tipologia de sòl'!$A$2:$D$37,4,FALSE)*'T100'!AE179</f>
        <v>0</v>
      </c>
      <c r="AF179" s="1103">
        <f>VLOOKUP(AF$1,'cost per tipologia de sòl'!$A$2:$D$37,4,FALSE)*'T100'!AF179</f>
        <v>0</v>
      </c>
      <c r="AG179" s="1103">
        <f>VLOOKUP(AG$1,'cost per tipologia de sòl'!$A$2:$D$37,4,FALSE)*'T100'!AG179</f>
        <v>0</v>
      </c>
      <c r="AH179" s="1103">
        <f>VLOOKUP(AH$1,'cost per tipologia de sòl'!$A$2:$D$37,4,FALSE)*'T100'!AH179</f>
        <v>0</v>
      </c>
      <c r="AI179" s="1103">
        <f>VLOOKUP(AI$1,'cost per tipologia de sòl'!$A$2:$D$37,4,FALSE)*'T100'!AI179</f>
        <v>0</v>
      </c>
      <c r="AJ179" s="1103">
        <f t="shared" si="4"/>
        <v>6796337.0659999996</v>
      </c>
      <c r="AK179" s="1117">
        <f t="shared" si="5"/>
        <v>2.0389011197999998</v>
      </c>
    </row>
    <row r="180" spans="1:37">
      <c r="A180" s="1095" t="s">
        <v>1718</v>
      </c>
      <c r="B180" s="1103">
        <f>VLOOKUP(B$1,'cost per tipologia de sòl'!$A$2:$D$37,4,FALSE)*'T100'!B180</f>
        <v>13280912.568</v>
      </c>
      <c r="C180" s="1103">
        <f>VLOOKUP(C$1,'cost per tipologia de sòl'!$A$2:$D$37,4,FALSE)*'T100'!C180</f>
        <v>0</v>
      </c>
      <c r="D180" s="1103">
        <f>VLOOKUP(D$1,'cost per tipologia de sòl'!$A$2:$D$37,4,FALSE)*'T100'!D180</f>
        <v>0</v>
      </c>
      <c r="E180" s="1103">
        <f>VLOOKUP(E$1,'cost per tipologia de sòl'!$A$2:$D$37,4,FALSE)*'T100'!E180</f>
        <v>0</v>
      </c>
      <c r="F180" s="1103">
        <f>VLOOKUP(F$1,'cost per tipologia de sòl'!$A$2:$D$37,4,FALSE)*'T100'!F180</f>
        <v>0</v>
      </c>
      <c r="G180" s="1103">
        <f>VLOOKUP(G$1,'cost per tipologia de sòl'!$A$2:$D$37,4,FALSE)*'T100'!G180</f>
        <v>0</v>
      </c>
      <c r="H180" s="1103">
        <f>VLOOKUP(H$1,'cost per tipologia de sòl'!$A$2:$D$37,4,FALSE)*'T100'!H180</f>
        <v>0</v>
      </c>
      <c r="I180" s="1103">
        <f>VLOOKUP(I$1,'cost per tipologia de sòl'!$A$2:$D$37,4,FALSE)*'T100'!I180</f>
        <v>0</v>
      </c>
      <c r="J180" s="1103">
        <f>VLOOKUP(J$1,'cost per tipologia de sòl'!$A$2:$D$37,4,FALSE)*'T100'!J180</f>
        <v>676802.24699999997</v>
      </c>
      <c r="K180" s="1103">
        <f>VLOOKUP(K$1,'cost per tipologia de sòl'!$A$2:$D$37,4,FALSE)*'T100'!K180</f>
        <v>0</v>
      </c>
      <c r="L180" s="1103">
        <f>VLOOKUP(L$1,'cost per tipologia de sòl'!$A$2:$D$37,4,FALSE)*'T100'!L180</f>
        <v>0</v>
      </c>
      <c r="M180" s="1103">
        <f>VLOOKUP(M$1,'cost per tipologia de sòl'!$A$2:$D$37,4,FALSE)*'T100'!M180</f>
        <v>0</v>
      </c>
      <c r="N180" s="1103">
        <f>VLOOKUP(N$1,'cost per tipologia de sòl'!$A$2:$D$37,4,FALSE)*'T100'!N180</f>
        <v>0</v>
      </c>
      <c r="O180" s="1103">
        <f>VLOOKUP(O$1,'cost per tipologia de sòl'!$A$2:$D$37,4,FALSE)*'T100'!O180</f>
        <v>0</v>
      </c>
      <c r="P180" s="1103">
        <f>VLOOKUP(P$1,'cost per tipologia de sòl'!$A$2:$D$37,4,FALSE)*'T100'!P180</f>
        <v>0</v>
      </c>
      <c r="Q180" s="1103">
        <f>VLOOKUP(Q$1,'cost per tipologia de sòl'!$A$2:$D$37,4,FALSE)*'T100'!Q180</f>
        <v>0</v>
      </c>
      <c r="R180" s="1103">
        <f>VLOOKUP(R$1,'cost per tipologia de sòl'!$A$2:$D$37,4,FALSE)*'T100'!R180</f>
        <v>0</v>
      </c>
      <c r="S180" s="1103">
        <f>VLOOKUP(S$1,'cost per tipologia de sòl'!$A$2:$D$37,4,FALSE)*'T100'!S180</f>
        <v>0</v>
      </c>
      <c r="T180" s="1103">
        <f>VLOOKUP(T$1,'cost per tipologia de sòl'!$A$2:$D$37,4,FALSE)*'T100'!T180</f>
        <v>16674761.347999999</v>
      </c>
      <c r="U180" s="1103">
        <f>VLOOKUP(U$1,'cost per tipologia de sòl'!$A$2:$D$37,4,FALSE)*'T100'!U180</f>
        <v>25506.6</v>
      </c>
      <c r="V180" s="1103">
        <f>VLOOKUP(V$1,'cost per tipologia de sòl'!$A$2:$D$37,4,FALSE)*'T100'!V180</f>
        <v>0</v>
      </c>
      <c r="W180" s="1103">
        <f>VLOOKUP(W$1,'cost per tipologia de sòl'!$A$2:$D$37,4,FALSE)*'T100'!W180</f>
        <v>0</v>
      </c>
      <c r="X180" s="1103">
        <f>VLOOKUP(X$1,'cost per tipologia de sòl'!$A$2:$D$37,4,FALSE)*'T100'!X180</f>
        <v>0</v>
      </c>
      <c r="Y180" s="1103">
        <f>VLOOKUP(Y$1,'cost per tipologia de sòl'!$A$2:$D$37,4,FALSE)*'T100'!Y180</f>
        <v>0</v>
      </c>
      <c r="Z180" s="1103">
        <f>VLOOKUP(Z$1,'cost per tipologia de sòl'!$A$2:$D$37,4,FALSE)*'T100'!Z180</f>
        <v>15738257.711999999</v>
      </c>
      <c r="AA180" s="1103">
        <f>VLOOKUP(AA$1,'cost per tipologia de sòl'!$A$2:$D$37,4,FALSE)*'T100'!AA180</f>
        <v>0</v>
      </c>
      <c r="AB180" s="1103">
        <f>VLOOKUP(AB$1,'cost per tipologia de sòl'!$A$2:$D$37,4,FALSE)*'T100'!AB180</f>
        <v>2846371</v>
      </c>
      <c r="AC180" s="1103">
        <f>VLOOKUP(AC$1,'cost per tipologia de sòl'!$A$2:$D$37,4,FALSE)*'T100'!AC180</f>
        <v>7913834.3999999994</v>
      </c>
      <c r="AD180" s="1103">
        <f>VLOOKUP(AD$1,'cost per tipologia de sòl'!$A$2:$D$37,4,FALSE)*'T100'!AD180</f>
        <v>6264991.5999999996</v>
      </c>
      <c r="AE180" s="1103">
        <f>VLOOKUP(AE$1,'cost per tipologia de sòl'!$A$2:$D$37,4,FALSE)*'T100'!AE180</f>
        <v>0</v>
      </c>
      <c r="AF180" s="1103">
        <f>VLOOKUP(AF$1,'cost per tipologia de sòl'!$A$2:$D$37,4,FALSE)*'T100'!AF180</f>
        <v>0</v>
      </c>
      <c r="AG180" s="1103">
        <f>VLOOKUP(AG$1,'cost per tipologia de sòl'!$A$2:$D$37,4,FALSE)*'T100'!AG180</f>
        <v>0</v>
      </c>
      <c r="AH180" s="1103">
        <f>VLOOKUP(AH$1,'cost per tipologia de sòl'!$A$2:$D$37,4,FALSE)*'T100'!AH180</f>
        <v>0</v>
      </c>
      <c r="AI180" s="1103">
        <f>VLOOKUP(AI$1,'cost per tipologia de sòl'!$A$2:$D$37,4,FALSE)*'T100'!AI180</f>
        <v>0</v>
      </c>
      <c r="AJ180" s="1103">
        <f t="shared" si="4"/>
        <v>63421437.475000001</v>
      </c>
      <c r="AK180" s="1117">
        <f t="shared" si="5"/>
        <v>19.026431242499999</v>
      </c>
    </row>
    <row r="181" spans="1:37">
      <c r="A181" s="1095" t="s">
        <v>1743</v>
      </c>
      <c r="B181" s="1103">
        <f>VLOOKUP(B$1,'cost per tipologia de sòl'!$A$2:$D$37,4,FALSE)*'T100'!B181</f>
        <v>52237224.954000004</v>
      </c>
      <c r="C181" s="1103">
        <f>VLOOKUP(C$1,'cost per tipologia de sòl'!$A$2:$D$37,4,FALSE)*'T100'!C181</f>
        <v>0</v>
      </c>
      <c r="D181" s="1103">
        <f>VLOOKUP(D$1,'cost per tipologia de sòl'!$A$2:$D$37,4,FALSE)*'T100'!D181</f>
        <v>0</v>
      </c>
      <c r="E181" s="1103">
        <f>VLOOKUP(E$1,'cost per tipologia de sòl'!$A$2:$D$37,4,FALSE)*'T100'!E181</f>
        <v>0</v>
      </c>
      <c r="F181" s="1103">
        <f>VLOOKUP(F$1,'cost per tipologia de sòl'!$A$2:$D$37,4,FALSE)*'T100'!F181</f>
        <v>0</v>
      </c>
      <c r="G181" s="1103">
        <f>VLOOKUP(G$1,'cost per tipologia de sòl'!$A$2:$D$37,4,FALSE)*'T100'!G181</f>
        <v>0</v>
      </c>
      <c r="H181" s="1103">
        <f>VLOOKUP(H$1,'cost per tipologia de sòl'!$A$2:$D$37,4,FALSE)*'T100'!H181</f>
        <v>0</v>
      </c>
      <c r="I181" s="1103">
        <f>VLOOKUP(I$1,'cost per tipologia de sòl'!$A$2:$D$37,4,FALSE)*'T100'!I181</f>
        <v>0</v>
      </c>
      <c r="J181" s="1103">
        <f>VLOOKUP(J$1,'cost per tipologia de sòl'!$A$2:$D$37,4,FALSE)*'T100'!J181</f>
        <v>4514866.6639999999</v>
      </c>
      <c r="K181" s="1103">
        <f>VLOOKUP(K$1,'cost per tipologia de sòl'!$A$2:$D$37,4,FALSE)*'T100'!K181</f>
        <v>0</v>
      </c>
      <c r="L181" s="1103">
        <f>VLOOKUP(L$1,'cost per tipologia de sòl'!$A$2:$D$37,4,FALSE)*'T100'!L181</f>
        <v>59102.928</v>
      </c>
      <c r="M181" s="1103">
        <f>VLOOKUP(M$1,'cost per tipologia de sòl'!$A$2:$D$37,4,FALSE)*'T100'!M181</f>
        <v>8223859.7919999994</v>
      </c>
      <c r="N181" s="1103">
        <f>VLOOKUP(N$1,'cost per tipologia de sòl'!$A$2:$D$37,4,FALSE)*'T100'!N181</f>
        <v>6655404.2640000004</v>
      </c>
      <c r="O181" s="1103">
        <f>VLOOKUP(O$1,'cost per tipologia de sòl'!$A$2:$D$37,4,FALSE)*'T100'!O181</f>
        <v>0</v>
      </c>
      <c r="P181" s="1103">
        <f>VLOOKUP(P$1,'cost per tipologia de sòl'!$A$2:$D$37,4,FALSE)*'T100'!P181</f>
        <v>2196495.84</v>
      </c>
      <c r="Q181" s="1103">
        <f>VLOOKUP(Q$1,'cost per tipologia de sòl'!$A$2:$D$37,4,FALSE)*'T100'!Q181</f>
        <v>0</v>
      </c>
      <c r="R181" s="1103">
        <f>VLOOKUP(R$1,'cost per tipologia de sòl'!$A$2:$D$37,4,FALSE)*'T100'!R181</f>
        <v>0</v>
      </c>
      <c r="S181" s="1103">
        <f>VLOOKUP(S$1,'cost per tipologia de sòl'!$A$2:$D$37,4,FALSE)*'T100'!S181</f>
        <v>24640582.175999999</v>
      </c>
      <c r="T181" s="1103">
        <f>VLOOKUP(T$1,'cost per tipologia de sòl'!$A$2:$D$37,4,FALSE)*'T100'!T181</f>
        <v>17987739.296999998</v>
      </c>
      <c r="U181" s="1103">
        <f>VLOOKUP(U$1,'cost per tipologia de sòl'!$A$2:$D$37,4,FALSE)*'T100'!U181</f>
        <v>0</v>
      </c>
      <c r="V181" s="1103">
        <f>VLOOKUP(V$1,'cost per tipologia de sòl'!$A$2:$D$37,4,FALSE)*'T100'!V181</f>
        <v>0</v>
      </c>
      <c r="W181" s="1103">
        <f>VLOOKUP(W$1,'cost per tipologia de sòl'!$A$2:$D$37,4,FALSE)*'T100'!W181</f>
        <v>0</v>
      </c>
      <c r="X181" s="1103">
        <f>VLOOKUP(X$1,'cost per tipologia de sòl'!$A$2:$D$37,4,FALSE)*'T100'!X181</f>
        <v>0</v>
      </c>
      <c r="Y181" s="1103">
        <f>VLOOKUP(Y$1,'cost per tipologia de sòl'!$A$2:$D$37,4,FALSE)*'T100'!Y181</f>
        <v>0</v>
      </c>
      <c r="Z181" s="1103">
        <f>VLOOKUP(Z$1,'cost per tipologia de sòl'!$A$2:$D$37,4,FALSE)*'T100'!Z181</f>
        <v>4995258.2860000003</v>
      </c>
      <c r="AA181" s="1103">
        <f>VLOOKUP(AA$1,'cost per tipologia de sòl'!$A$2:$D$37,4,FALSE)*'T100'!AA181</f>
        <v>0</v>
      </c>
      <c r="AB181" s="1103">
        <f>VLOOKUP(AB$1,'cost per tipologia de sòl'!$A$2:$D$37,4,FALSE)*'T100'!AB181</f>
        <v>4226447.3999999994</v>
      </c>
      <c r="AC181" s="1103">
        <f>VLOOKUP(AC$1,'cost per tipologia de sòl'!$A$2:$D$37,4,FALSE)*'T100'!AC181</f>
        <v>29113637.300000001</v>
      </c>
      <c r="AD181" s="1103">
        <f>VLOOKUP(AD$1,'cost per tipologia de sòl'!$A$2:$D$37,4,FALSE)*'T100'!AD181</f>
        <v>15002958.600000001</v>
      </c>
      <c r="AE181" s="1103">
        <f>VLOOKUP(AE$1,'cost per tipologia de sòl'!$A$2:$D$37,4,FALSE)*'T100'!AE181</f>
        <v>0</v>
      </c>
      <c r="AF181" s="1103">
        <f>VLOOKUP(AF$1,'cost per tipologia de sòl'!$A$2:$D$37,4,FALSE)*'T100'!AF181</f>
        <v>0</v>
      </c>
      <c r="AG181" s="1103">
        <f>VLOOKUP(AG$1,'cost per tipologia de sòl'!$A$2:$D$37,4,FALSE)*'T100'!AG181</f>
        <v>0</v>
      </c>
      <c r="AH181" s="1103">
        <f>VLOOKUP(AH$1,'cost per tipologia de sòl'!$A$2:$D$37,4,FALSE)*'T100'!AH181</f>
        <v>0</v>
      </c>
      <c r="AI181" s="1103">
        <f>VLOOKUP(AI$1,'cost per tipologia de sòl'!$A$2:$D$37,4,FALSE)*'T100'!AI181</f>
        <v>0</v>
      </c>
      <c r="AJ181" s="1103">
        <f t="shared" si="4"/>
        <v>169853577.50099999</v>
      </c>
      <c r="AK181" s="1117">
        <f t="shared" si="5"/>
        <v>50.956073250299994</v>
      </c>
    </row>
    <row r="182" spans="1:37">
      <c r="A182" s="1095" t="s">
        <v>358</v>
      </c>
      <c r="B182" s="1103">
        <f>VLOOKUP(B$1,'cost per tipologia de sòl'!$A$2:$D$37,4,FALSE)*'T100'!B182</f>
        <v>0</v>
      </c>
      <c r="C182" s="1103">
        <f>VLOOKUP(C$1,'cost per tipologia de sòl'!$A$2:$D$37,4,FALSE)*'T100'!C182</f>
        <v>4656904.1040000003</v>
      </c>
      <c r="D182" s="1103">
        <f>VLOOKUP(D$1,'cost per tipologia de sòl'!$A$2:$D$37,4,FALSE)*'T100'!D182</f>
        <v>7782128.8500000006</v>
      </c>
      <c r="E182" s="1103">
        <f>VLOOKUP(E$1,'cost per tipologia de sòl'!$A$2:$D$37,4,FALSE)*'T100'!E182</f>
        <v>2553901.9920000001</v>
      </c>
      <c r="F182" s="1103">
        <f>VLOOKUP(F$1,'cost per tipologia de sòl'!$A$2:$D$37,4,FALSE)*'T100'!F182</f>
        <v>0</v>
      </c>
      <c r="G182" s="1103">
        <f>VLOOKUP(G$1,'cost per tipologia de sòl'!$A$2:$D$37,4,FALSE)*'T100'!G182</f>
        <v>0</v>
      </c>
      <c r="H182" s="1103">
        <f>VLOOKUP(H$1,'cost per tipologia de sòl'!$A$2:$D$37,4,FALSE)*'T100'!H182</f>
        <v>0</v>
      </c>
      <c r="I182" s="1103">
        <f>VLOOKUP(I$1,'cost per tipologia de sòl'!$A$2:$D$37,4,FALSE)*'T100'!I182</f>
        <v>0</v>
      </c>
      <c r="J182" s="1103">
        <f>VLOOKUP(J$1,'cost per tipologia de sòl'!$A$2:$D$37,4,FALSE)*'T100'!J182</f>
        <v>0</v>
      </c>
      <c r="K182" s="1103">
        <f>VLOOKUP(K$1,'cost per tipologia de sòl'!$A$2:$D$37,4,FALSE)*'T100'!K182</f>
        <v>299148.82199999999</v>
      </c>
      <c r="L182" s="1103">
        <f>VLOOKUP(L$1,'cost per tipologia de sòl'!$A$2:$D$37,4,FALSE)*'T100'!L182</f>
        <v>0</v>
      </c>
      <c r="M182" s="1103">
        <f>VLOOKUP(M$1,'cost per tipologia de sòl'!$A$2:$D$37,4,FALSE)*'T100'!M182</f>
        <v>0</v>
      </c>
      <c r="N182" s="1103">
        <f>VLOOKUP(N$1,'cost per tipologia de sòl'!$A$2:$D$37,4,FALSE)*'T100'!N182</f>
        <v>59067940.751999997</v>
      </c>
      <c r="O182" s="1103">
        <f>VLOOKUP(O$1,'cost per tipologia de sòl'!$A$2:$D$37,4,FALSE)*'T100'!O182</f>
        <v>0</v>
      </c>
      <c r="P182" s="1103">
        <f>VLOOKUP(P$1,'cost per tipologia de sòl'!$A$2:$D$37,4,FALSE)*'T100'!P182</f>
        <v>452538.90399999998</v>
      </c>
      <c r="Q182" s="1103">
        <f>VLOOKUP(Q$1,'cost per tipologia de sòl'!$A$2:$D$37,4,FALSE)*'T100'!Q182</f>
        <v>0</v>
      </c>
      <c r="R182" s="1103">
        <f>VLOOKUP(R$1,'cost per tipologia de sòl'!$A$2:$D$37,4,FALSE)*'T100'!R182</f>
        <v>0</v>
      </c>
      <c r="S182" s="1103">
        <f>VLOOKUP(S$1,'cost per tipologia de sòl'!$A$2:$D$37,4,FALSE)*'T100'!S182</f>
        <v>26965202.544</v>
      </c>
      <c r="T182" s="1103">
        <f>VLOOKUP(T$1,'cost per tipologia de sòl'!$A$2:$D$37,4,FALSE)*'T100'!T182</f>
        <v>8733414.3120000008</v>
      </c>
      <c r="U182" s="1103">
        <f>VLOOKUP(U$1,'cost per tipologia de sòl'!$A$2:$D$37,4,FALSE)*'T100'!U182</f>
        <v>6157390.0500000007</v>
      </c>
      <c r="V182" s="1103">
        <f>VLOOKUP(V$1,'cost per tipologia de sòl'!$A$2:$D$37,4,FALSE)*'T100'!V182</f>
        <v>1634486.9759999998</v>
      </c>
      <c r="W182" s="1103">
        <f>VLOOKUP(W$1,'cost per tipologia de sòl'!$A$2:$D$37,4,FALSE)*'T100'!W182</f>
        <v>0</v>
      </c>
      <c r="X182" s="1103">
        <f>VLOOKUP(X$1,'cost per tipologia de sòl'!$A$2:$D$37,4,FALSE)*'T100'!X182</f>
        <v>0</v>
      </c>
      <c r="Y182" s="1103">
        <f>VLOOKUP(Y$1,'cost per tipologia de sòl'!$A$2:$D$37,4,FALSE)*'T100'!Y182</f>
        <v>0</v>
      </c>
      <c r="Z182" s="1103">
        <f>VLOOKUP(Z$1,'cost per tipologia de sòl'!$A$2:$D$37,4,FALSE)*'T100'!Z182</f>
        <v>0</v>
      </c>
      <c r="AA182" s="1103">
        <f>VLOOKUP(AA$1,'cost per tipologia de sòl'!$A$2:$D$37,4,FALSE)*'T100'!AA182</f>
        <v>0</v>
      </c>
      <c r="AB182" s="1103">
        <f>VLOOKUP(AB$1,'cost per tipologia de sòl'!$A$2:$D$37,4,FALSE)*'T100'!AB182</f>
        <v>0</v>
      </c>
      <c r="AC182" s="1103">
        <f>VLOOKUP(AC$1,'cost per tipologia de sòl'!$A$2:$D$37,4,FALSE)*'T100'!AC182</f>
        <v>56187806.049999997</v>
      </c>
      <c r="AD182" s="1103">
        <f>VLOOKUP(AD$1,'cost per tipologia de sòl'!$A$2:$D$37,4,FALSE)*'T100'!AD182</f>
        <v>33205797.449999999</v>
      </c>
      <c r="AE182" s="1103">
        <f>VLOOKUP(AE$1,'cost per tipologia de sòl'!$A$2:$D$37,4,FALSE)*'T100'!AE182</f>
        <v>0</v>
      </c>
      <c r="AF182" s="1103">
        <f>VLOOKUP(AF$1,'cost per tipologia de sòl'!$A$2:$D$37,4,FALSE)*'T100'!AF182</f>
        <v>0</v>
      </c>
      <c r="AG182" s="1103">
        <f>VLOOKUP(AG$1,'cost per tipologia de sòl'!$A$2:$D$37,4,FALSE)*'T100'!AG182</f>
        <v>0</v>
      </c>
      <c r="AH182" s="1103">
        <f>VLOOKUP(AH$1,'cost per tipologia de sòl'!$A$2:$D$37,4,FALSE)*'T100'!AH182</f>
        <v>0</v>
      </c>
      <c r="AI182" s="1103">
        <f>VLOOKUP(AI$1,'cost per tipologia de sòl'!$A$2:$D$37,4,FALSE)*'T100'!AI182</f>
        <v>0</v>
      </c>
      <c r="AJ182" s="1103">
        <f t="shared" si="4"/>
        <v>207696660.80599999</v>
      </c>
      <c r="AK182" s="1117">
        <f t="shared" si="5"/>
        <v>62.308998241800005</v>
      </c>
    </row>
    <row r="183" spans="1:37">
      <c r="B183" s="1103">
        <f>VLOOKUP(B$1,'cost per tipologia de sòl'!$A$2:$D$37,4,FALSE)*'T100'!B183</f>
        <v>0</v>
      </c>
      <c r="C183" s="1103">
        <f>VLOOKUP(C$1,'cost per tipologia de sòl'!$A$2:$D$37,4,FALSE)*'T100'!C183</f>
        <v>0</v>
      </c>
      <c r="D183" s="1103">
        <f>VLOOKUP(D$1,'cost per tipologia de sòl'!$A$2:$D$37,4,FALSE)*'T100'!D183</f>
        <v>0</v>
      </c>
      <c r="E183" s="1103">
        <f>VLOOKUP(E$1,'cost per tipologia de sòl'!$A$2:$D$37,4,FALSE)*'T100'!E183</f>
        <v>0</v>
      </c>
      <c r="F183" s="1103">
        <f>VLOOKUP(F$1,'cost per tipologia de sòl'!$A$2:$D$37,4,FALSE)*'T100'!F183</f>
        <v>0</v>
      </c>
      <c r="G183" s="1103">
        <f>VLOOKUP(G$1,'cost per tipologia de sòl'!$A$2:$D$37,4,FALSE)*'T100'!G183</f>
        <v>0</v>
      </c>
      <c r="H183" s="1103">
        <f>VLOOKUP(H$1,'cost per tipologia de sòl'!$A$2:$D$37,4,FALSE)*'T100'!H183</f>
        <v>0</v>
      </c>
      <c r="I183" s="1103">
        <f>VLOOKUP(I$1,'cost per tipologia de sòl'!$A$2:$D$37,4,FALSE)*'T100'!I183</f>
        <v>0</v>
      </c>
      <c r="J183" s="1103">
        <f>VLOOKUP(J$1,'cost per tipologia de sòl'!$A$2:$D$37,4,FALSE)*'T100'!J183</f>
        <v>0</v>
      </c>
      <c r="K183" s="1103">
        <f>VLOOKUP(K$1,'cost per tipologia de sòl'!$A$2:$D$37,4,FALSE)*'T100'!K183</f>
        <v>0</v>
      </c>
      <c r="L183" s="1103">
        <f>VLOOKUP(L$1,'cost per tipologia de sòl'!$A$2:$D$37,4,FALSE)*'T100'!L183</f>
        <v>0</v>
      </c>
      <c r="M183" s="1103">
        <f>VLOOKUP(M$1,'cost per tipologia de sòl'!$A$2:$D$37,4,FALSE)*'T100'!M183</f>
        <v>0</v>
      </c>
      <c r="N183" s="1103">
        <f>VLOOKUP(N$1,'cost per tipologia de sòl'!$A$2:$D$37,4,FALSE)*'T100'!N183</f>
        <v>0</v>
      </c>
      <c r="O183" s="1103">
        <f>VLOOKUP(O$1,'cost per tipologia de sòl'!$A$2:$D$37,4,FALSE)*'T100'!O183</f>
        <v>0</v>
      </c>
      <c r="P183" s="1103">
        <f>VLOOKUP(P$1,'cost per tipologia de sòl'!$A$2:$D$37,4,FALSE)*'T100'!P183</f>
        <v>0</v>
      </c>
      <c r="Q183" s="1103">
        <f>VLOOKUP(Q$1,'cost per tipologia de sòl'!$A$2:$D$37,4,FALSE)*'T100'!Q183</f>
        <v>0</v>
      </c>
      <c r="R183" s="1103">
        <f>VLOOKUP(R$1,'cost per tipologia de sòl'!$A$2:$D$37,4,FALSE)*'T100'!R183</f>
        <v>0</v>
      </c>
      <c r="S183" s="1103">
        <f>VLOOKUP(S$1,'cost per tipologia de sòl'!$A$2:$D$37,4,FALSE)*'T100'!S183</f>
        <v>0</v>
      </c>
      <c r="T183" s="1103">
        <f>VLOOKUP(T$1,'cost per tipologia de sòl'!$A$2:$D$37,4,FALSE)*'T100'!T183</f>
        <v>0</v>
      </c>
      <c r="U183" s="1103">
        <f>VLOOKUP(U$1,'cost per tipologia de sòl'!$A$2:$D$37,4,FALSE)*'T100'!U183</f>
        <v>0</v>
      </c>
      <c r="V183" s="1103">
        <f>VLOOKUP(V$1,'cost per tipologia de sòl'!$A$2:$D$37,4,FALSE)*'T100'!V183</f>
        <v>0</v>
      </c>
      <c r="W183" s="1103">
        <f>VLOOKUP(W$1,'cost per tipologia de sòl'!$A$2:$D$37,4,FALSE)*'T100'!W183</f>
        <v>0</v>
      </c>
      <c r="X183" s="1103">
        <f>VLOOKUP(X$1,'cost per tipologia de sòl'!$A$2:$D$37,4,FALSE)*'T100'!X183</f>
        <v>0</v>
      </c>
      <c r="Y183" s="1103">
        <f>VLOOKUP(Y$1,'cost per tipologia de sòl'!$A$2:$D$37,4,FALSE)*'T100'!Y183</f>
        <v>0</v>
      </c>
      <c r="Z183" s="1103">
        <f>VLOOKUP(Z$1,'cost per tipologia de sòl'!$A$2:$D$37,4,FALSE)*'T100'!Z183</f>
        <v>0</v>
      </c>
      <c r="AA183" s="1103">
        <f>VLOOKUP(AA$1,'cost per tipologia de sòl'!$A$2:$D$37,4,FALSE)*'T100'!AA183</f>
        <v>0</v>
      </c>
      <c r="AB183" s="1103">
        <f>VLOOKUP(AB$1,'cost per tipologia de sòl'!$A$2:$D$37,4,FALSE)*'T100'!AB183</f>
        <v>0</v>
      </c>
      <c r="AC183" s="1103">
        <f>VLOOKUP(AC$1,'cost per tipologia de sòl'!$A$2:$D$37,4,FALSE)*'T100'!AC183</f>
        <v>0</v>
      </c>
      <c r="AD183" s="1103">
        <f>VLOOKUP(AD$1,'cost per tipologia de sòl'!$A$2:$D$37,4,FALSE)*'T100'!AD183</f>
        <v>0</v>
      </c>
      <c r="AE183" s="1103">
        <f>VLOOKUP(AE$1,'cost per tipologia de sòl'!$A$2:$D$37,4,FALSE)*'T100'!AE183</f>
        <v>0</v>
      </c>
      <c r="AF183" s="1103">
        <f>VLOOKUP(AF$1,'cost per tipologia de sòl'!$A$2:$D$37,4,FALSE)*'T100'!AF183</f>
        <v>0</v>
      </c>
      <c r="AG183" s="1103">
        <f>VLOOKUP(AG$1,'cost per tipologia de sòl'!$A$2:$D$37,4,FALSE)*'T100'!AG183</f>
        <v>0</v>
      </c>
      <c r="AH183" s="1103">
        <f>VLOOKUP(AH$1,'cost per tipologia de sòl'!$A$2:$D$37,4,FALSE)*'T100'!AH183</f>
        <v>0</v>
      </c>
      <c r="AI183" s="1103">
        <f>VLOOKUP(AI$1,'cost per tipologia de sòl'!$A$2:$D$37,4,FALSE)*'T100'!AI183</f>
        <v>0</v>
      </c>
      <c r="AJ183" s="1103">
        <f t="shared" si="4"/>
        <v>0</v>
      </c>
      <c r="AK183" s="1117">
        <f t="shared" si="5"/>
        <v>0</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H13" sqref="H13"/>
    </sheetView>
  </sheetViews>
  <sheetFormatPr defaultRowHeight="15"/>
  <cols>
    <col min="1" max="1" width="18" customWidth="1"/>
    <col min="2" max="2" width="11.140625" customWidth="1"/>
    <col min="3" max="3" width="19.140625" customWidth="1"/>
    <col min="9" max="9" width="19.5703125" customWidth="1"/>
  </cols>
  <sheetData>
    <row r="1" spans="1:10">
      <c r="A1" s="1088" t="s">
        <v>4631</v>
      </c>
      <c r="B1" s="1088" t="s">
        <v>4632</v>
      </c>
      <c r="C1" s="1088" t="s">
        <v>4585</v>
      </c>
      <c r="D1" s="1092" t="s">
        <v>4509</v>
      </c>
      <c r="J1" t="s">
        <v>4585</v>
      </c>
    </row>
    <row r="2" spans="1:10" ht="45">
      <c r="A2" s="1089" t="s">
        <v>4596</v>
      </c>
      <c r="B2" s="1089" t="s">
        <v>4580</v>
      </c>
      <c r="C2" s="1090">
        <v>954</v>
      </c>
      <c r="D2">
        <f>C2*10000</f>
        <v>9540000</v>
      </c>
      <c r="I2" t="s">
        <v>4584</v>
      </c>
      <c r="J2">
        <v>536</v>
      </c>
    </row>
    <row r="3" spans="1:10" ht="45">
      <c r="A3" s="1089" t="s">
        <v>4633</v>
      </c>
      <c r="B3" s="1089" t="s">
        <v>4580</v>
      </c>
      <c r="C3" s="1090">
        <v>954</v>
      </c>
      <c r="D3" s="1080">
        <f t="shared" ref="D3:D36" si="0">C3*10000</f>
        <v>9540000</v>
      </c>
      <c r="I3" t="s">
        <v>4586</v>
      </c>
      <c r="J3">
        <v>301</v>
      </c>
    </row>
    <row r="4" spans="1:10" ht="45">
      <c r="A4" s="1089" t="s">
        <v>4597</v>
      </c>
      <c r="B4" s="1089" t="s">
        <v>4580</v>
      </c>
      <c r="C4" s="1090">
        <v>734</v>
      </c>
      <c r="D4" s="1080">
        <f t="shared" si="0"/>
        <v>7340000</v>
      </c>
      <c r="I4" t="s">
        <v>4587</v>
      </c>
      <c r="J4">
        <v>734</v>
      </c>
    </row>
    <row r="5" spans="1:10" ht="30">
      <c r="A5" s="1089" t="s">
        <v>4598</v>
      </c>
      <c r="B5" s="1089" t="s">
        <v>4582</v>
      </c>
      <c r="C5" s="1090">
        <v>534</v>
      </c>
      <c r="D5" s="1080">
        <f t="shared" si="0"/>
        <v>5340000</v>
      </c>
      <c r="I5" t="s">
        <v>4588</v>
      </c>
      <c r="J5">
        <v>1008</v>
      </c>
    </row>
    <row r="6" spans="1:10" ht="30">
      <c r="A6" s="1089" t="s">
        <v>4599</v>
      </c>
      <c r="B6" s="1089" t="s">
        <v>4582</v>
      </c>
      <c r="C6" s="1090">
        <v>534</v>
      </c>
      <c r="D6" s="1080">
        <f t="shared" si="0"/>
        <v>5340000</v>
      </c>
      <c r="I6" t="s">
        <v>4589</v>
      </c>
      <c r="J6">
        <v>3000</v>
      </c>
    </row>
    <row r="7" spans="1:10" ht="30">
      <c r="A7" s="1089" t="s">
        <v>4600</v>
      </c>
      <c r="B7" s="1089" t="s">
        <v>4583</v>
      </c>
      <c r="C7" s="1090">
        <v>0</v>
      </c>
      <c r="D7" s="1080">
        <f t="shared" si="0"/>
        <v>0</v>
      </c>
      <c r="I7" t="s">
        <v>4590</v>
      </c>
      <c r="J7">
        <v>261</v>
      </c>
    </row>
    <row r="8" spans="1:10" ht="45">
      <c r="A8" s="1089" t="s">
        <v>4601</v>
      </c>
      <c r="B8" s="1089" t="s">
        <v>4581</v>
      </c>
      <c r="C8" s="1090">
        <v>0</v>
      </c>
      <c r="D8" s="1080">
        <f t="shared" si="0"/>
        <v>0</v>
      </c>
      <c r="I8" t="s">
        <v>4591</v>
      </c>
      <c r="J8">
        <v>441</v>
      </c>
    </row>
    <row r="9" spans="1:10" ht="45">
      <c r="A9" s="1089" t="s">
        <v>4602</v>
      </c>
      <c r="B9" s="1089" t="s">
        <v>4581</v>
      </c>
      <c r="C9" s="1090">
        <v>0</v>
      </c>
      <c r="D9" s="1080">
        <f t="shared" si="0"/>
        <v>0</v>
      </c>
      <c r="I9" t="s">
        <v>4592</v>
      </c>
      <c r="J9">
        <v>330</v>
      </c>
    </row>
    <row r="10" spans="1:10" ht="45">
      <c r="A10" s="1089" t="s">
        <v>4603</v>
      </c>
      <c r="B10" s="1089" t="s">
        <v>4581</v>
      </c>
      <c r="C10" s="1090">
        <v>0</v>
      </c>
      <c r="D10" s="1080">
        <f t="shared" si="0"/>
        <v>0</v>
      </c>
      <c r="I10" t="s">
        <v>4593</v>
      </c>
      <c r="J10">
        <v>500</v>
      </c>
    </row>
    <row r="11" spans="1:10" ht="45">
      <c r="A11" s="1089" t="s">
        <v>4604</v>
      </c>
      <c r="B11" s="1089" t="s">
        <v>4581</v>
      </c>
      <c r="C11" s="1090">
        <f>(3+8)/2</f>
        <v>5.5</v>
      </c>
      <c r="D11" s="1080">
        <f t="shared" si="0"/>
        <v>55000</v>
      </c>
      <c r="I11" t="s">
        <v>4594</v>
      </c>
      <c r="J11">
        <v>1050</v>
      </c>
    </row>
    <row r="12" spans="1:10" ht="30">
      <c r="A12" s="1089" t="s">
        <v>4605</v>
      </c>
      <c r="B12" s="1089" t="s">
        <v>208</v>
      </c>
      <c r="C12" s="1090">
        <v>441</v>
      </c>
      <c r="D12" s="1080">
        <f t="shared" si="0"/>
        <v>4410000</v>
      </c>
      <c r="I12" t="s">
        <v>4595</v>
      </c>
      <c r="J12">
        <v>950</v>
      </c>
    </row>
    <row r="13" spans="1:10" ht="30">
      <c r="A13" s="1089" t="s">
        <v>4606</v>
      </c>
      <c r="B13" s="1089" t="s">
        <v>208</v>
      </c>
      <c r="C13" s="1090">
        <v>261</v>
      </c>
      <c r="D13" s="1080">
        <f t="shared" si="0"/>
        <v>2610000</v>
      </c>
    </row>
    <row r="14" spans="1:10" ht="30">
      <c r="A14" s="1089" t="s">
        <v>4607</v>
      </c>
      <c r="B14" s="1089" t="s">
        <v>208</v>
      </c>
      <c r="C14" s="1090">
        <v>536</v>
      </c>
      <c r="D14" s="1080">
        <f t="shared" si="0"/>
        <v>5360000</v>
      </c>
    </row>
    <row r="15" spans="1:10" ht="30">
      <c r="A15" s="1089" t="s">
        <v>4608</v>
      </c>
      <c r="B15" s="1089" t="s">
        <v>208</v>
      </c>
      <c r="C15" s="1090">
        <v>536</v>
      </c>
      <c r="D15" s="1080">
        <f t="shared" si="0"/>
        <v>5360000</v>
      </c>
    </row>
    <row r="16" spans="1:10" ht="30">
      <c r="A16" s="1089" t="s">
        <v>4609</v>
      </c>
      <c r="B16" s="1089" t="s">
        <v>208</v>
      </c>
      <c r="C16" s="1090">
        <v>536</v>
      </c>
      <c r="D16" s="1080">
        <f t="shared" si="0"/>
        <v>5360000</v>
      </c>
    </row>
    <row r="17" spans="1:4" ht="30">
      <c r="A17" s="1089" t="s">
        <v>4610</v>
      </c>
      <c r="B17" s="1089" t="s">
        <v>208</v>
      </c>
      <c r="C17" s="1090">
        <v>536</v>
      </c>
      <c r="D17" s="1080">
        <f t="shared" si="0"/>
        <v>5360000</v>
      </c>
    </row>
    <row r="18" spans="1:4" ht="30">
      <c r="A18" s="1089" t="s">
        <v>4611</v>
      </c>
      <c r="B18" s="1089" t="s">
        <v>4582</v>
      </c>
      <c r="C18" s="1090">
        <v>3000</v>
      </c>
      <c r="D18" s="1080">
        <f t="shared" si="0"/>
        <v>30000000</v>
      </c>
    </row>
    <row r="19" spans="1:4" ht="30">
      <c r="A19" s="1089" t="s">
        <v>4612</v>
      </c>
      <c r="B19" s="1089" t="s">
        <v>4579</v>
      </c>
      <c r="C19" s="1090">
        <v>0</v>
      </c>
      <c r="D19" s="1080">
        <f t="shared" si="0"/>
        <v>0</v>
      </c>
    </row>
    <row r="20" spans="1:4" ht="30">
      <c r="A20" s="1089" t="s">
        <v>4613</v>
      </c>
      <c r="B20" s="1089" t="s">
        <v>4582</v>
      </c>
      <c r="C20" s="1090">
        <v>1008</v>
      </c>
      <c r="D20" s="1080">
        <f t="shared" si="0"/>
        <v>10080000</v>
      </c>
    </row>
    <row r="21" spans="1:4" ht="45">
      <c r="A21" s="1089" t="s">
        <v>4614</v>
      </c>
      <c r="B21" s="1089" t="s">
        <v>4579</v>
      </c>
      <c r="C21" s="1090">
        <v>337</v>
      </c>
      <c r="D21" s="1080">
        <f t="shared" si="0"/>
        <v>3370000</v>
      </c>
    </row>
    <row r="22" spans="1:4" ht="30">
      <c r="A22" s="1089" t="s">
        <v>4615</v>
      </c>
      <c r="B22" s="1089" t="s">
        <v>4582</v>
      </c>
      <c r="C22" s="1090">
        <v>1050</v>
      </c>
      <c r="D22" s="1080">
        <f t="shared" si="0"/>
        <v>10500000</v>
      </c>
    </row>
    <row r="23" spans="1:4" ht="45">
      <c r="A23" s="1089" t="s">
        <v>4616</v>
      </c>
      <c r="B23" s="1089" t="s">
        <v>4582</v>
      </c>
      <c r="C23" s="1090">
        <v>536</v>
      </c>
      <c r="D23" s="1080">
        <f t="shared" si="0"/>
        <v>5360000</v>
      </c>
    </row>
    <row r="24" spans="1:4" ht="30">
      <c r="A24" s="1089" t="s">
        <v>4617</v>
      </c>
      <c r="B24" s="1089" t="s">
        <v>4579</v>
      </c>
      <c r="C24" s="1090">
        <v>0</v>
      </c>
      <c r="D24" s="1080">
        <f t="shared" si="0"/>
        <v>0</v>
      </c>
    </row>
    <row r="25" spans="1:4" ht="30">
      <c r="A25" s="1089" t="s">
        <v>4618</v>
      </c>
      <c r="B25" s="1089" t="s">
        <v>4582</v>
      </c>
      <c r="C25" s="1091">
        <v>2000</v>
      </c>
      <c r="D25" s="1080">
        <f t="shared" si="0"/>
        <v>20000000</v>
      </c>
    </row>
    <row r="26" spans="1:4" ht="30">
      <c r="A26" s="1089" t="s">
        <v>4619</v>
      </c>
      <c r="B26" s="1089" t="s">
        <v>4579</v>
      </c>
      <c r="C26" s="1090">
        <v>0</v>
      </c>
      <c r="D26" s="1080">
        <f t="shared" si="0"/>
        <v>0</v>
      </c>
    </row>
    <row r="27" spans="1:4" ht="45">
      <c r="A27" s="1089" t="s">
        <v>4620</v>
      </c>
      <c r="B27" s="1089" t="s">
        <v>4582</v>
      </c>
      <c r="C27" s="1090">
        <v>734</v>
      </c>
      <c r="D27" s="1080">
        <f t="shared" si="0"/>
        <v>7340000</v>
      </c>
    </row>
    <row r="28" spans="1:4" ht="30">
      <c r="A28" s="1089" t="s">
        <v>4621</v>
      </c>
      <c r="B28" s="1089" t="s">
        <v>4582</v>
      </c>
      <c r="C28" s="1090">
        <v>950</v>
      </c>
      <c r="D28" s="1080">
        <f t="shared" si="0"/>
        <v>9500000</v>
      </c>
    </row>
    <row r="29" spans="1:4" ht="45">
      <c r="A29" s="1089" t="s">
        <v>4622</v>
      </c>
      <c r="B29" s="1089" t="s">
        <v>4582</v>
      </c>
      <c r="C29" s="1090">
        <v>950</v>
      </c>
      <c r="D29" s="1080">
        <f t="shared" si="0"/>
        <v>9500000</v>
      </c>
    </row>
    <row r="30" spans="1:4" ht="45">
      <c r="A30" s="1089" t="s">
        <v>4623</v>
      </c>
      <c r="B30" s="1089" t="s">
        <v>4582</v>
      </c>
      <c r="C30" s="1090">
        <v>950</v>
      </c>
      <c r="D30" s="1080">
        <f t="shared" si="0"/>
        <v>9500000</v>
      </c>
    </row>
    <row r="31" spans="1:4" ht="30">
      <c r="A31" s="1089" t="s">
        <v>4624</v>
      </c>
      <c r="B31" s="1089" t="s">
        <v>4582</v>
      </c>
      <c r="C31" s="1090">
        <v>950</v>
      </c>
      <c r="D31" s="1080">
        <f t="shared" si="0"/>
        <v>9500000</v>
      </c>
    </row>
    <row r="32" spans="1:4" ht="60">
      <c r="A32" s="1089" t="s">
        <v>4625</v>
      </c>
      <c r="B32" s="1089" t="s">
        <v>4583</v>
      </c>
      <c r="C32" s="1090">
        <v>0</v>
      </c>
      <c r="D32" s="1080">
        <f t="shared" si="0"/>
        <v>0</v>
      </c>
    </row>
    <row r="33" spans="1:4" ht="60">
      <c r="A33" s="1089" t="s">
        <v>4626</v>
      </c>
      <c r="B33" s="1089" t="s">
        <v>4583</v>
      </c>
      <c r="C33" s="1090">
        <v>0</v>
      </c>
      <c r="D33" s="1080">
        <f t="shared" si="0"/>
        <v>0</v>
      </c>
    </row>
    <row r="34" spans="1:4" ht="45">
      <c r="A34" s="1089" t="s">
        <v>4627</v>
      </c>
      <c r="B34" s="1089" t="s">
        <v>4583</v>
      </c>
      <c r="C34" s="1090">
        <v>0</v>
      </c>
      <c r="D34" s="1080">
        <f t="shared" si="0"/>
        <v>0</v>
      </c>
    </row>
    <row r="35" spans="1:4" ht="45">
      <c r="A35" s="1089" t="s">
        <v>4628</v>
      </c>
      <c r="B35" s="1089" t="s">
        <v>4583</v>
      </c>
      <c r="C35" s="1090">
        <v>0</v>
      </c>
      <c r="D35" s="1080">
        <f t="shared" si="0"/>
        <v>0</v>
      </c>
    </row>
    <row r="36" spans="1:4" ht="45">
      <c r="A36" s="1089" t="s">
        <v>4629</v>
      </c>
      <c r="B36" s="1089" t="s">
        <v>4583</v>
      </c>
      <c r="C36" s="1090">
        <v>0</v>
      </c>
      <c r="D36" s="1080">
        <f t="shared" si="0"/>
        <v>0</v>
      </c>
    </row>
  </sheetData>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9"/>
  <sheetViews>
    <sheetView workbookViewId="0">
      <selection activeCell="G8" sqref="G8"/>
    </sheetView>
  </sheetViews>
  <sheetFormatPr defaultRowHeight="12"/>
  <cols>
    <col min="1" max="1" width="15.42578125" style="1107" customWidth="1"/>
    <col min="2" max="2" width="16.7109375" style="1107" customWidth="1"/>
    <col min="3" max="3" width="22.7109375" style="1107" customWidth="1"/>
    <col min="4" max="4" width="26.42578125" style="1107" customWidth="1"/>
    <col min="5" max="5" width="25.5703125" style="1107" customWidth="1"/>
    <col min="6" max="6" width="24" style="1107" customWidth="1"/>
    <col min="7" max="16384" width="9.140625" style="1107"/>
  </cols>
  <sheetData>
    <row r="1" spans="1:6">
      <c r="A1" s="1106" t="s">
        <v>19</v>
      </c>
    </row>
    <row r="2" spans="1:6">
      <c r="A2" s="1108" t="s">
        <v>672</v>
      </c>
      <c r="B2" s="1108" t="s">
        <v>1748</v>
      </c>
      <c r="C2" s="1108" t="s">
        <v>856</v>
      </c>
      <c r="D2" s="1108" t="s">
        <v>1324</v>
      </c>
      <c r="E2" s="1108" t="s">
        <v>1227</v>
      </c>
      <c r="F2" s="1108" t="s">
        <v>1523</v>
      </c>
    </row>
    <row r="3" spans="1:6">
      <c r="A3" s="1108" t="s">
        <v>797</v>
      </c>
      <c r="B3" s="1108" t="s">
        <v>807</v>
      </c>
      <c r="C3" s="1108" t="s">
        <v>336</v>
      </c>
      <c r="D3" s="1108" t="s">
        <v>1387</v>
      </c>
      <c r="E3" s="1108" t="s">
        <v>1220</v>
      </c>
      <c r="F3" s="1108" t="s">
        <v>1524</v>
      </c>
    </row>
    <row r="4" spans="1:6">
      <c r="A4" s="1108" t="s">
        <v>761</v>
      </c>
      <c r="B4" s="1108" t="s">
        <v>817</v>
      </c>
      <c r="C4" s="1108" t="s">
        <v>875</v>
      </c>
      <c r="D4" s="1108" t="s">
        <v>348</v>
      </c>
      <c r="E4" s="1108" t="s">
        <v>1240</v>
      </c>
      <c r="F4" s="1108" t="s">
        <v>1530</v>
      </c>
    </row>
    <row r="5" spans="1:6">
      <c r="A5" s="1108" t="s">
        <v>767</v>
      </c>
      <c r="B5" s="1108" t="s">
        <v>1572</v>
      </c>
      <c r="C5" s="1108" t="s">
        <v>867</v>
      </c>
      <c r="D5" s="1108" t="s">
        <v>1053</v>
      </c>
      <c r="E5" s="1108" t="s">
        <v>1255</v>
      </c>
      <c r="F5" s="1108" t="s">
        <v>353</v>
      </c>
    </row>
    <row r="6" spans="1:6">
      <c r="A6" s="1108" t="s">
        <v>774</v>
      </c>
      <c r="B6" s="1108" t="s">
        <v>331</v>
      </c>
      <c r="C6" s="1108" t="s">
        <v>890</v>
      </c>
      <c r="D6" s="1108" t="s">
        <v>3296</v>
      </c>
      <c r="E6" s="1108" t="s">
        <v>1256</v>
      </c>
      <c r="F6" s="1108" t="s">
        <v>1532</v>
      </c>
    </row>
    <row r="7" spans="1:6">
      <c r="A7" s="1108" t="s">
        <v>781</v>
      </c>
      <c r="B7" s="1108" t="s">
        <v>829</v>
      </c>
      <c r="C7" s="1108" t="s">
        <v>900</v>
      </c>
      <c r="D7" s="1108" t="s">
        <v>1071</v>
      </c>
      <c r="E7" s="1108" t="s">
        <v>1268</v>
      </c>
      <c r="F7" s="1108" t="s">
        <v>1536</v>
      </c>
    </row>
    <row r="8" spans="1:6">
      <c r="B8" s="1108" t="s">
        <v>777</v>
      </c>
      <c r="C8" s="1108" t="s">
        <v>901</v>
      </c>
      <c r="D8" s="1108" t="s">
        <v>1068</v>
      </c>
      <c r="E8" s="1108" t="s">
        <v>1269</v>
      </c>
      <c r="F8" s="1108" t="s">
        <v>1538</v>
      </c>
    </row>
    <row r="9" spans="1:6">
      <c r="B9" s="1108" t="s">
        <v>838</v>
      </c>
      <c r="C9" s="1108" t="s">
        <v>912</v>
      </c>
      <c r="D9" s="1108" t="s">
        <v>1100</v>
      </c>
      <c r="E9" s="1108" t="s">
        <v>1291</v>
      </c>
      <c r="F9" s="1108" t="s">
        <v>1544</v>
      </c>
    </row>
    <row r="10" spans="1:6">
      <c r="C10" s="1108" t="s">
        <v>920</v>
      </c>
      <c r="D10" s="1108" t="s">
        <v>1102</v>
      </c>
      <c r="E10" s="1108" t="s">
        <v>1278</v>
      </c>
      <c r="F10" s="1108" t="s">
        <v>1121</v>
      </c>
    </row>
    <row r="11" spans="1:6">
      <c r="C11" s="1108" t="s">
        <v>924</v>
      </c>
      <c r="D11" s="1108" t="s">
        <v>1104</v>
      </c>
      <c r="E11" s="1108" t="s">
        <v>1301</v>
      </c>
      <c r="F11" s="1108" t="s">
        <v>1600</v>
      </c>
    </row>
    <row r="12" spans="1:6">
      <c r="C12" s="1108" t="s">
        <v>929</v>
      </c>
      <c r="D12" s="1108" t="s">
        <v>1113</v>
      </c>
      <c r="E12" s="1108" t="s">
        <v>1306</v>
      </c>
      <c r="F12" s="1108" t="s">
        <v>1604</v>
      </c>
    </row>
    <row r="13" spans="1:6">
      <c r="C13" s="1108" t="s">
        <v>934</v>
      </c>
      <c r="D13" s="1108" t="s">
        <v>1116</v>
      </c>
      <c r="E13" s="1108" t="s">
        <v>1310</v>
      </c>
      <c r="F13" s="1108" t="s">
        <v>1602</v>
      </c>
    </row>
    <row r="14" spans="1:6">
      <c r="C14" s="1108" t="s">
        <v>951</v>
      </c>
      <c r="D14" s="1108" t="s">
        <v>1125</v>
      </c>
      <c r="E14" s="1108" t="s">
        <v>1311</v>
      </c>
      <c r="F14" s="1108" t="s">
        <v>1558</v>
      </c>
    </row>
    <row r="15" spans="1:6">
      <c r="C15" s="1108" t="s">
        <v>944</v>
      </c>
      <c r="D15" s="1108" t="s">
        <v>1127</v>
      </c>
      <c r="E15" s="1108" t="s">
        <v>1316</v>
      </c>
      <c r="F15" s="1108" t="s">
        <v>1559</v>
      </c>
    </row>
    <row r="16" spans="1:6">
      <c r="A16" s="1108"/>
      <c r="C16" s="1108" t="s">
        <v>958</v>
      </c>
      <c r="D16" s="1108" t="s">
        <v>1136</v>
      </c>
      <c r="E16" s="1108" t="s">
        <v>1320</v>
      </c>
      <c r="F16" s="1108" t="s">
        <v>1561</v>
      </c>
    </row>
    <row r="17" spans="1:6">
      <c r="A17" s="1108"/>
      <c r="C17" s="1108" t="s">
        <v>964</v>
      </c>
      <c r="D17" s="1108" t="s">
        <v>1137</v>
      </c>
      <c r="E17" s="1108" t="s">
        <v>1325</v>
      </c>
      <c r="F17" s="1108" t="s">
        <v>1562</v>
      </c>
    </row>
    <row r="18" spans="1:6">
      <c r="A18" s="1108"/>
      <c r="C18" s="1108" t="s">
        <v>984</v>
      </c>
      <c r="D18" s="1108" t="s">
        <v>1091</v>
      </c>
      <c r="E18" s="1108" t="s">
        <v>1330</v>
      </c>
      <c r="F18" s="1108" t="s">
        <v>1564</v>
      </c>
    </row>
    <row r="19" spans="1:6">
      <c r="A19" s="1108"/>
      <c r="C19" s="1108" t="s">
        <v>1002</v>
      </c>
      <c r="D19" s="1108" t="s">
        <v>1142</v>
      </c>
      <c r="E19" s="1108" t="s">
        <v>347</v>
      </c>
      <c r="F19" s="1108" t="s">
        <v>1567</v>
      </c>
    </row>
    <row r="20" spans="1:6" ht="24">
      <c r="A20" s="1108"/>
      <c r="C20" s="1108" t="s">
        <v>1014</v>
      </c>
      <c r="D20" s="1108" t="s">
        <v>1147</v>
      </c>
      <c r="E20" s="1108" t="s">
        <v>1349</v>
      </c>
      <c r="F20" s="1108" t="s">
        <v>1571</v>
      </c>
    </row>
    <row r="21" spans="1:6">
      <c r="A21" s="1108"/>
      <c r="C21" s="1108" t="s">
        <v>1021</v>
      </c>
      <c r="D21" s="1108" t="s">
        <v>1749</v>
      </c>
      <c r="E21" s="1108" t="s">
        <v>1352</v>
      </c>
      <c r="F21" s="1108" t="s">
        <v>1574</v>
      </c>
    </row>
    <row r="22" spans="1:6">
      <c r="A22" s="1108"/>
      <c r="C22" s="1108" t="s">
        <v>1025</v>
      </c>
      <c r="D22" s="1108" t="s">
        <v>1340</v>
      </c>
      <c r="E22" s="1108" t="s">
        <v>1366</v>
      </c>
      <c r="F22" s="1108" t="s">
        <v>1594</v>
      </c>
    </row>
    <row r="23" spans="1:6">
      <c r="A23" s="1108"/>
      <c r="C23" s="1108" t="s">
        <v>1605</v>
      </c>
      <c r="D23" s="1108" t="s">
        <v>1343</v>
      </c>
      <c r="E23" s="1108" t="s">
        <v>1383</v>
      </c>
      <c r="F23" s="1108" t="s">
        <v>1598</v>
      </c>
    </row>
    <row r="24" spans="1:6">
      <c r="A24" s="1108"/>
      <c r="C24" s="1108" t="s">
        <v>1027</v>
      </c>
      <c r="D24" s="1108" t="s">
        <v>1384</v>
      </c>
      <c r="E24" s="1108" t="s">
        <v>1390</v>
      </c>
      <c r="F24" s="1108" t="s">
        <v>354</v>
      </c>
    </row>
    <row r="25" spans="1:6">
      <c r="A25" s="1108"/>
      <c r="C25" s="1108" t="s">
        <v>1030</v>
      </c>
      <c r="D25" s="1108" t="s">
        <v>1670</v>
      </c>
      <c r="E25" s="1108" t="s">
        <v>1394</v>
      </c>
      <c r="F25" s="1108" t="s">
        <v>1608</v>
      </c>
    </row>
    <row r="26" spans="1:6">
      <c r="A26" s="1108"/>
      <c r="C26" s="1108" t="s">
        <v>1037</v>
      </c>
      <c r="D26" s="1108" t="s">
        <v>725</v>
      </c>
      <c r="E26" s="1108" t="s">
        <v>947</v>
      </c>
      <c r="F26" s="1108" t="s">
        <v>1614</v>
      </c>
    </row>
    <row r="27" spans="1:6">
      <c r="A27" s="1108"/>
      <c r="C27" s="1108" t="s">
        <v>1043</v>
      </c>
      <c r="D27" s="1108" t="s">
        <v>1084</v>
      </c>
      <c r="E27" s="1108" t="s">
        <v>1416</v>
      </c>
      <c r="F27" s="1108" t="s">
        <v>356</v>
      </c>
    </row>
    <row r="28" spans="1:6">
      <c r="A28" s="1108"/>
      <c r="C28" s="1108" t="s">
        <v>1046</v>
      </c>
      <c r="D28" s="1108" t="s">
        <v>1184</v>
      </c>
      <c r="E28" s="1108" t="s">
        <v>350</v>
      </c>
      <c r="F28" s="1108" t="s">
        <v>1625</v>
      </c>
    </row>
    <row r="29" spans="1:6">
      <c r="A29" s="1108"/>
      <c r="C29" s="1108" t="s">
        <v>341</v>
      </c>
      <c r="D29" s="1108" t="s">
        <v>1187</v>
      </c>
      <c r="E29" s="1108" t="s">
        <v>1426</v>
      </c>
      <c r="F29" s="1108" t="s">
        <v>1627</v>
      </c>
    </row>
    <row r="30" spans="1:6">
      <c r="A30" s="1108"/>
      <c r="C30" s="1108" t="s">
        <v>1050</v>
      </c>
      <c r="D30" s="1108" t="s">
        <v>1135</v>
      </c>
      <c r="E30" s="1108" t="s">
        <v>1429</v>
      </c>
      <c r="F30" s="1108" t="s">
        <v>1631</v>
      </c>
    </row>
    <row r="31" spans="1:6">
      <c r="A31" s="1108"/>
      <c r="D31" s="1107" t="s">
        <v>1155</v>
      </c>
      <c r="E31" s="1108" t="s">
        <v>1094</v>
      </c>
      <c r="F31" s="1108" t="s">
        <v>1636</v>
      </c>
    </row>
    <row r="32" spans="1:6">
      <c r="A32" s="1108"/>
      <c r="D32" s="1107" t="s">
        <v>1158</v>
      </c>
      <c r="E32" s="1108" t="s">
        <v>1443</v>
      </c>
      <c r="F32" s="1109" t="s">
        <v>1639</v>
      </c>
    </row>
    <row r="33" spans="1:6">
      <c r="A33" s="1108"/>
      <c r="D33" s="1107" t="s">
        <v>1149</v>
      </c>
      <c r="E33" s="1108" t="s">
        <v>1437</v>
      </c>
      <c r="F33" s="1109" t="s">
        <v>1641</v>
      </c>
    </row>
    <row r="34" spans="1:6">
      <c r="A34" s="1108"/>
      <c r="D34" s="1107" t="s">
        <v>343</v>
      </c>
      <c r="E34" s="1108" t="s">
        <v>1450</v>
      </c>
      <c r="F34" s="1109" t="s">
        <v>967</v>
      </c>
    </row>
    <row r="35" spans="1:6">
      <c r="A35" s="1108"/>
      <c r="D35" s="1107" t="s">
        <v>1171</v>
      </c>
      <c r="E35" s="1108" t="s">
        <v>1458</v>
      </c>
      <c r="F35" s="1109" t="s">
        <v>1660</v>
      </c>
    </row>
    <row r="36" spans="1:6">
      <c r="A36" s="1108"/>
      <c r="D36" s="1107" t="s">
        <v>721</v>
      </c>
      <c r="E36" s="1108" t="s">
        <v>1463</v>
      </c>
      <c r="F36" s="1109" t="s">
        <v>1667</v>
      </c>
    </row>
    <row r="37" spans="1:6">
      <c r="A37" s="1108"/>
      <c r="D37" s="1107" t="s">
        <v>699</v>
      </c>
      <c r="E37" s="1108" t="s">
        <v>1028</v>
      </c>
      <c r="F37" s="1109" t="s">
        <v>1673</v>
      </c>
    </row>
    <row r="38" spans="1:6">
      <c r="A38" s="1108"/>
      <c r="D38" s="1107" t="s">
        <v>677</v>
      </c>
      <c r="E38" s="1108" t="s">
        <v>1464</v>
      </c>
      <c r="F38" s="1109" t="s">
        <v>1677</v>
      </c>
    </row>
    <row r="39" spans="1:6">
      <c r="A39" s="1108"/>
      <c r="D39" s="1107" t="s">
        <v>1183</v>
      </c>
      <c r="E39" s="1108" t="s">
        <v>1473</v>
      </c>
      <c r="F39" s="1109" t="s">
        <v>1682</v>
      </c>
    </row>
    <row r="40" spans="1:6">
      <c r="A40" s="1108"/>
      <c r="D40" s="1107" t="s">
        <v>1197</v>
      </c>
      <c r="E40" s="1108" t="s">
        <v>1482</v>
      </c>
      <c r="F40" s="1109" t="s">
        <v>1684</v>
      </c>
    </row>
    <row r="41" spans="1:6">
      <c r="A41" s="1108"/>
      <c r="D41" s="1107" t="s">
        <v>345</v>
      </c>
      <c r="E41" s="1108" t="s">
        <v>1481</v>
      </c>
      <c r="F41" s="1109" t="s">
        <v>1686</v>
      </c>
    </row>
    <row r="42" spans="1:6">
      <c r="A42" s="1108"/>
      <c r="D42" s="1107" t="s">
        <v>1204</v>
      </c>
      <c r="E42" s="1108" t="s">
        <v>1746</v>
      </c>
      <c r="F42" s="1109" t="s">
        <v>1692</v>
      </c>
    </row>
    <row r="43" spans="1:6">
      <c r="A43" s="1108"/>
      <c r="D43" s="1107" t="s">
        <v>1208</v>
      </c>
      <c r="E43" s="1108" t="s">
        <v>1496</v>
      </c>
      <c r="F43" s="1109" t="s">
        <v>1697</v>
      </c>
    </row>
    <row r="44" spans="1:6">
      <c r="A44" s="1108"/>
      <c r="D44" s="1107" t="s">
        <v>1214</v>
      </c>
      <c r="E44" s="1108" t="s">
        <v>1506</v>
      </c>
      <c r="F44" s="1109" t="s">
        <v>815</v>
      </c>
    </row>
    <row r="45" spans="1:6">
      <c r="A45" s="1108"/>
      <c r="E45" s="1108" t="s">
        <v>1511</v>
      </c>
      <c r="F45" s="1109" t="s">
        <v>1729</v>
      </c>
    </row>
    <row r="46" spans="1:6">
      <c r="A46" s="1108"/>
      <c r="E46" s="1108" t="s">
        <v>1518</v>
      </c>
      <c r="F46" s="1109" t="s">
        <v>1718</v>
      </c>
    </row>
    <row r="47" spans="1:6">
      <c r="A47" s="1108"/>
      <c r="F47" s="1109" t="s">
        <v>1743</v>
      </c>
    </row>
    <row r="48" spans="1:6">
      <c r="A48" s="1108"/>
    </row>
    <row r="49" spans="1:1">
      <c r="A49" s="1108"/>
    </row>
    <row r="50" spans="1:1">
      <c r="A50" s="1108"/>
    </row>
    <row r="51" spans="1:1">
      <c r="A51" s="1108"/>
    </row>
    <row r="52" spans="1:1">
      <c r="A52" s="1108"/>
    </row>
    <row r="53" spans="1:1">
      <c r="A53" s="1108"/>
    </row>
    <row r="54" spans="1:1">
      <c r="A54" s="1108"/>
    </row>
    <row r="55" spans="1:1">
      <c r="A55" s="1108"/>
    </row>
    <row r="56" spans="1:1">
      <c r="A56" s="1108"/>
    </row>
    <row r="57" spans="1:1">
      <c r="A57" s="1108"/>
    </row>
    <row r="58" spans="1:1">
      <c r="A58" s="1108"/>
    </row>
    <row r="59" spans="1:1">
      <c r="A59" s="1108"/>
    </row>
    <row r="60" spans="1:1">
      <c r="A60" s="1108"/>
    </row>
    <row r="61" spans="1:1">
      <c r="A61" s="1108"/>
    </row>
    <row r="62" spans="1:1">
      <c r="A62" s="1108"/>
    </row>
    <row r="63" spans="1:1">
      <c r="A63" s="1108"/>
    </row>
    <row r="64" spans="1:1">
      <c r="A64" s="1108"/>
    </row>
    <row r="65" spans="1:1">
      <c r="A65" s="1108"/>
    </row>
    <row r="66" spans="1:1">
      <c r="A66" s="1108"/>
    </row>
    <row r="67" spans="1:1">
      <c r="A67" s="1108"/>
    </row>
    <row r="68" spans="1:1">
      <c r="A68" s="1108"/>
    </row>
    <row r="69" spans="1:1">
      <c r="A69" s="1108"/>
    </row>
    <row r="70" spans="1:1">
      <c r="A70" s="1108"/>
    </row>
    <row r="71" spans="1:1">
      <c r="A71" s="1108"/>
    </row>
    <row r="72" spans="1:1">
      <c r="A72" s="1108"/>
    </row>
    <row r="73" spans="1:1">
      <c r="A73" s="1108"/>
    </row>
    <row r="74" spans="1:1">
      <c r="A74" s="1108"/>
    </row>
    <row r="75" spans="1:1">
      <c r="A75" s="1108"/>
    </row>
    <row r="76" spans="1:1">
      <c r="A76" s="1108"/>
    </row>
    <row r="77" spans="1:1">
      <c r="A77" s="1108"/>
    </row>
    <row r="78" spans="1:1">
      <c r="A78" s="1108"/>
    </row>
    <row r="79" spans="1:1">
      <c r="A79" s="1108"/>
    </row>
    <row r="80" spans="1:1">
      <c r="A80" s="1108"/>
    </row>
    <row r="81" spans="1:1">
      <c r="A81" s="1108"/>
    </row>
    <row r="82" spans="1:1">
      <c r="A82" s="1108"/>
    </row>
    <row r="83" spans="1:1">
      <c r="A83" s="1108"/>
    </row>
    <row r="84" spans="1:1">
      <c r="A84" s="1108"/>
    </row>
    <row r="85" spans="1:1">
      <c r="A85" s="1108"/>
    </row>
    <row r="86" spans="1:1">
      <c r="A86" s="1108"/>
    </row>
    <row r="87" spans="1:1">
      <c r="A87" s="1108"/>
    </row>
    <row r="179" spans="1:1">
      <c r="A179" s="1109"/>
    </row>
  </sheetData>
  <pageMargins left="0.23622047244094491" right="0.23622047244094491" top="0.19685039370078741" bottom="0.15748031496062992"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B3:M28"/>
  <sheetViews>
    <sheetView zoomScale="55" zoomScaleNormal="55" workbookViewId="0">
      <selection activeCell="F10" sqref="F10"/>
    </sheetView>
  </sheetViews>
  <sheetFormatPr defaultColWidth="11.42578125" defaultRowHeight="12.75"/>
  <cols>
    <col min="1" max="1" width="2.5703125" style="3" customWidth="1"/>
    <col min="2" max="2" width="13.7109375" style="3" customWidth="1"/>
    <col min="3" max="3" width="51.28515625" style="3" customWidth="1"/>
    <col min="4" max="4" width="18.28515625" style="3" customWidth="1"/>
    <col min="5" max="16384" width="11.42578125" style="3"/>
  </cols>
  <sheetData>
    <row r="3" spans="2:4" ht="21" customHeight="1">
      <c r="B3" s="1130" t="s">
        <v>1933</v>
      </c>
      <c r="C3" s="1130"/>
      <c r="D3" s="1130"/>
    </row>
    <row r="6" spans="2:4" ht="25.5">
      <c r="B6" s="703" t="s">
        <v>1782</v>
      </c>
      <c r="C6" s="684" t="s">
        <v>1783</v>
      </c>
      <c r="D6" s="684" t="s">
        <v>1798</v>
      </c>
    </row>
    <row r="7" spans="2:4" ht="51">
      <c r="B7" s="146" t="s">
        <v>1927</v>
      </c>
      <c r="C7" s="146" t="s">
        <v>2369</v>
      </c>
      <c r="D7" s="148" t="s">
        <v>1777</v>
      </c>
    </row>
    <row r="8" spans="2:4" ht="38.25">
      <c r="B8" s="146" t="s">
        <v>1930</v>
      </c>
      <c r="C8" s="146" t="s">
        <v>1929</v>
      </c>
      <c r="D8" s="148" t="s">
        <v>1777</v>
      </c>
    </row>
    <row r="9" spans="2:4" ht="38.25">
      <c r="B9" s="146" t="s">
        <v>1934</v>
      </c>
      <c r="C9" s="146" t="s">
        <v>1932</v>
      </c>
      <c r="D9" s="148" t="s">
        <v>1778</v>
      </c>
    </row>
    <row r="10" spans="2:4" ht="51">
      <c r="B10" s="146" t="s">
        <v>1948</v>
      </c>
      <c r="C10" s="146" t="s">
        <v>1935</v>
      </c>
      <c r="D10" s="148" t="s">
        <v>1778</v>
      </c>
    </row>
    <row r="11" spans="2:4" ht="63.75">
      <c r="B11" s="146" t="s">
        <v>1947</v>
      </c>
      <c r="C11" s="146" t="s">
        <v>2370</v>
      </c>
      <c r="D11" s="148" t="s">
        <v>1778</v>
      </c>
    </row>
    <row r="12" spans="2:4" ht="38.25">
      <c r="B12" s="146" t="s">
        <v>1937</v>
      </c>
      <c r="C12" s="146" t="s">
        <v>1938</v>
      </c>
      <c r="D12" s="148"/>
    </row>
    <row r="13" spans="2:4" ht="51">
      <c r="B13" s="146" t="s">
        <v>1942</v>
      </c>
      <c r="C13" s="146" t="s">
        <v>1941</v>
      </c>
      <c r="D13" s="148" t="s">
        <v>1779</v>
      </c>
    </row>
    <row r="14" spans="2:4" ht="51">
      <c r="B14" s="146" t="s">
        <v>1943</v>
      </c>
      <c r="C14" s="146" t="s">
        <v>2371</v>
      </c>
      <c r="D14" s="148" t="s">
        <v>1779</v>
      </c>
    </row>
    <row r="15" spans="2:4" ht="38.25">
      <c r="B15" s="146" t="s">
        <v>2005</v>
      </c>
      <c r="C15" s="146" t="s">
        <v>2372</v>
      </c>
      <c r="D15" s="148" t="s">
        <v>2004</v>
      </c>
    </row>
    <row r="16" spans="2:4">
      <c r="B16" s="147"/>
      <c r="C16" s="147"/>
      <c r="D16" s="147"/>
    </row>
    <row r="17" spans="2:13">
      <c r="B17" s="147"/>
      <c r="C17" s="147"/>
      <c r="D17" s="147"/>
    </row>
    <row r="21" spans="2:13">
      <c r="B21" s="3" t="s">
        <v>2245</v>
      </c>
    </row>
    <row r="23" spans="2:13">
      <c r="B23" s="702" t="s">
        <v>2244</v>
      </c>
      <c r="C23" s="702" t="s">
        <v>2235</v>
      </c>
      <c r="D23" s="1129" t="s">
        <v>2236</v>
      </c>
      <c r="E23" s="1129"/>
      <c r="F23" s="1129"/>
      <c r="G23" s="1129"/>
      <c r="H23" s="1129"/>
      <c r="I23" s="1129"/>
      <c r="J23" s="1129"/>
      <c r="K23" s="1129"/>
      <c r="L23" s="1129"/>
      <c r="M23" s="1129"/>
    </row>
    <row r="24" spans="2:13" ht="37.5" customHeight="1">
      <c r="B24" s="704" t="s">
        <v>2237</v>
      </c>
      <c r="C24" s="185" t="s">
        <v>2246</v>
      </c>
      <c r="D24" s="1128" t="s">
        <v>2230</v>
      </c>
      <c r="E24" s="1128"/>
      <c r="F24" s="1128"/>
      <c r="G24" s="1128"/>
      <c r="H24" s="1128"/>
      <c r="I24" s="1128"/>
      <c r="J24" s="1128"/>
      <c r="K24" s="1128"/>
      <c r="L24" s="1128"/>
      <c r="M24" s="1128"/>
    </row>
    <row r="25" spans="2:13" ht="25.9" customHeight="1">
      <c r="B25" s="705">
        <v>26</v>
      </c>
      <c r="C25" s="147" t="s">
        <v>2247</v>
      </c>
      <c r="D25" s="1128" t="s">
        <v>2238</v>
      </c>
      <c r="E25" s="1128"/>
      <c r="F25" s="1128"/>
      <c r="G25" s="1128"/>
      <c r="H25" s="1128"/>
      <c r="I25" s="1128"/>
      <c r="J25" s="1128"/>
      <c r="K25" s="1128"/>
      <c r="L25" s="1128"/>
      <c r="M25" s="1128"/>
    </row>
    <row r="26" spans="2:13" ht="30.4" customHeight="1">
      <c r="B26" s="705" t="s">
        <v>2239</v>
      </c>
      <c r="C26" s="147" t="s">
        <v>2248</v>
      </c>
      <c r="D26" s="1128" t="s">
        <v>2400</v>
      </c>
      <c r="E26" s="1128"/>
      <c r="F26" s="1128"/>
      <c r="G26" s="1128"/>
      <c r="H26" s="1128"/>
      <c r="I26" s="1128"/>
      <c r="J26" s="1128"/>
      <c r="K26" s="1128"/>
      <c r="L26" s="1128"/>
      <c r="M26" s="1128"/>
    </row>
    <row r="27" spans="2:13" ht="30" customHeight="1">
      <c r="B27" s="705" t="s">
        <v>2240</v>
      </c>
      <c r="C27" s="147" t="s">
        <v>2249</v>
      </c>
      <c r="D27" s="1128" t="s">
        <v>2241</v>
      </c>
      <c r="E27" s="1128"/>
      <c r="F27" s="1128"/>
      <c r="G27" s="1128"/>
      <c r="H27" s="1128"/>
      <c r="I27" s="1128"/>
      <c r="J27" s="1128"/>
      <c r="K27" s="1128"/>
      <c r="L27" s="1128"/>
      <c r="M27" s="1128"/>
    </row>
    <row r="28" spans="2:13" ht="20.65" customHeight="1">
      <c r="B28" s="705" t="s">
        <v>2242</v>
      </c>
      <c r="C28" s="147" t="s">
        <v>2250</v>
      </c>
      <c r="D28" s="1128" t="s">
        <v>2243</v>
      </c>
      <c r="E28" s="1128"/>
      <c r="F28" s="1128"/>
      <c r="G28" s="1128"/>
      <c r="H28" s="1128"/>
      <c r="I28" s="1128"/>
      <c r="J28" s="1128"/>
      <c r="K28" s="1128"/>
      <c r="L28" s="1128"/>
      <c r="M28" s="1128"/>
    </row>
  </sheetData>
  <mergeCells count="7">
    <mergeCell ref="D28:M28"/>
    <mergeCell ref="D23:M23"/>
    <mergeCell ref="B3:D3"/>
    <mergeCell ref="D24:M24"/>
    <mergeCell ref="D25:M25"/>
    <mergeCell ref="D26:M26"/>
    <mergeCell ref="D27:M27"/>
  </mergeCells>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2:V66"/>
  <sheetViews>
    <sheetView zoomScale="70" zoomScaleNormal="70" workbookViewId="0">
      <selection activeCell="I48" sqref="I48"/>
    </sheetView>
  </sheetViews>
  <sheetFormatPr defaultColWidth="10.7109375" defaultRowHeight="12.75"/>
  <cols>
    <col min="1" max="1" width="4.42578125" style="3" customWidth="1"/>
    <col min="2" max="2" width="16.7109375" style="3" customWidth="1"/>
    <col min="3" max="3" width="18.7109375" style="3" customWidth="1"/>
    <col min="4" max="4" width="15.28515625" style="3" customWidth="1"/>
    <col min="5" max="5" width="14.5703125" style="3" customWidth="1"/>
    <col min="6" max="10" width="10.7109375" style="3"/>
    <col min="11" max="11" width="16.42578125" style="3" customWidth="1"/>
    <col min="12" max="12" width="15.7109375" style="3" customWidth="1"/>
    <col min="13" max="13" width="10.7109375" style="3"/>
    <col min="14" max="15" width="14.42578125" style="3" customWidth="1"/>
    <col min="16" max="21" width="10.7109375" style="3"/>
    <col min="22" max="22" width="13.28515625" style="3" customWidth="1"/>
    <col min="23" max="16384" width="10.7109375" style="3"/>
  </cols>
  <sheetData>
    <row r="2" spans="2:22" ht="25.15" customHeight="1">
      <c r="B2" s="1132" t="s">
        <v>2422</v>
      </c>
      <c r="C2" s="1132"/>
      <c r="D2" s="1132"/>
      <c r="E2" s="1132"/>
      <c r="F2" s="1132"/>
      <c r="G2" s="1132"/>
      <c r="H2" s="1132"/>
      <c r="I2" s="1132"/>
      <c r="J2" s="1132"/>
      <c r="K2" s="1132"/>
      <c r="L2" s="1132"/>
      <c r="M2" s="1132"/>
      <c r="N2" s="1132"/>
      <c r="O2" s="1132"/>
      <c r="P2" s="1132"/>
      <c r="Q2" s="1132"/>
      <c r="R2" s="1132"/>
      <c r="S2" s="1132"/>
      <c r="T2" s="1132"/>
      <c r="U2" s="1132"/>
      <c r="V2" s="1132"/>
    </row>
    <row r="5" spans="2:22">
      <c r="B5" s="4" t="s">
        <v>2423</v>
      </c>
      <c r="L5" s="4" t="s">
        <v>2424</v>
      </c>
    </row>
    <row r="8" spans="2:22">
      <c r="B8" s="4" t="s">
        <v>2461</v>
      </c>
      <c r="L8" s="4" t="s">
        <v>2461</v>
      </c>
    </row>
    <row r="9" spans="2:22">
      <c r="B9" s="9" t="s">
        <v>2417</v>
      </c>
      <c r="L9" s="4"/>
    </row>
    <row r="10" spans="2:22">
      <c r="N10" s="646" t="s">
        <v>2390</v>
      </c>
    </row>
    <row r="11" spans="2:22">
      <c r="B11" s="34"/>
      <c r="C11" s="59" t="s">
        <v>2387</v>
      </c>
      <c r="D11" s="59" t="s">
        <v>2388</v>
      </c>
      <c r="E11" s="59" t="s">
        <v>2389</v>
      </c>
      <c r="L11" s="59" t="s">
        <v>66</v>
      </c>
      <c r="M11" s="586" t="s">
        <v>59</v>
      </c>
      <c r="N11" s="586" t="s">
        <v>206</v>
      </c>
      <c r="O11" s="586" t="s">
        <v>2021</v>
      </c>
      <c r="P11" s="586" t="s">
        <v>1824</v>
      </c>
      <c r="Q11" s="586" t="s">
        <v>1825</v>
      </c>
      <c r="R11" s="586" t="s">
        <v>2391</v>
      </c>
      <c r="S11" s="586" t="s">
        <v>2392</v>
      </c>
      <c r="T11" s="586" t="s">
        <v>2393</v>
      </c>
      <c r="U11" s="586" t="s">
        <v>2394</v>
      </c>
      <c r="V11" s="586" t="s">
        <v>38</v>
      </c>
    </row>
    <row r="12" spans="2:22">
      <c r="B12" s="646" t="s">
        <v>2390</v>
      </c>
      <c r="C12" s="647">
        <v>2015</v>
      </c>
      <c r="D12" s="647">
        <v>2015</v>
      </c>
      <c r="E12" s="647">
        <v>2015</v>
      </c>
      <c r="L12" s="654" t="s">
        <v>699</v>
      </c>
      <c r="M12" s="665" t="s">
        <v>1871</v>
      </c>
      <c r="N12" s="656">
        <v>103660982</v>
      </c>
      <c r="O12" s="649">
        <v>176598418</v>
      </c>
      <c r="P12" s="649">
        <v>5808354.5086811222</v>
      </c>
      <c r="Q12" s="649">
        <v>9899533.5092564486</v>
      </c>
      <c r="R12" s="649">
        <v>0</v>
      </c>
      <c r="S12" s="649">
        <v>0</v>
      </c>
      <c r="T12" s="649">
        <v>0</v>
      </c>
      <c r="U12" s="649">
        <v>0</v>
      </c>
      <c r="V12" s="650">
        <f>SUM(N12:Q12)</f>
        <v>295967288.01793754</v>
      </c>
    </row>
    <row r="13" spans="2:22">
      <c r="B13" s="648" t="s">
        <v>206</v>
      </c>
      <c r="C13" s="656">
        <v>103660982</v>
      </c>
      <c r="D13" s="656">
        <v>68558184</v>
      </c>
      <c r="E13" s="656">
        <v>24838598</v>
      </c>
      <c r="F13" s="12" t="s">
        <v>2413</v>
      </c>
      <c r="L13" s="654" t="s">
        <v>1113</v>
      </c>
      <c r="M13" s="665" t="s">
        <v>1871</v>
      </c>
      <c r="N13" s="656">
        <v>68558184</v>
      </c>
      <c r="O13" s="649">
        <v>106706234</v>
      </c>
      <c r="P13" s="649">
        <v>3027874.0850333069</v>
      </c>
      <c r="Q13" s="649">
        <v>5532359.6598556787</v>
      </c>
      <c r="R13" s="6">
        <v>0</v>
      </c>
      <c r="S13" s="6">
        <v>0</v>
      </c>
      <c r="T13" s="6">
        <v>0</v>
      </c>
      <c r="U13" s="6">
        <v>0</v>
      </c>
      <c r="V13" s="650">
        <f>SUM(N13:Q13)</f>
        <v>183824651.74488896</v>
      </c>
    </row>
    <row r="14" spans="2:22">
      <c r="B14" s="648" t="s">
        <v>2021</v>
      </c>
      <c r="C14" s="649">
        <v>176598418</v>
      </c>
      <c r="D14" s="649">
        <v>106706234</v>
      </c>
      <c r="E14" s="649">
        <v>21189780</v>
      </c>
      <c r="L14" s="654" t="s">
        <v>341</v>
      </c>
      <c r="M14" s="665" t="s">
        <v>1871</v>
      </c>
      <c r="N14" s="656">
        <v>24838598</v>
      </c>
      <c r="O14" s="649">
        <v>21189780</v>
      </c>
      <c r="P14" s="649">
        <v>1801123.5587002391</v>
      </c>
      <c r="Q14" s="649">
        <v>1186890.3384383775</v>
      </c>
      <c r="R14" s="6">
        <v>0</v>
      </c>
      <c r="S14" s="6">
        <v>0</v>
      </c>
      <c r="T14" s="6">
        <v>0</v>
      </c>
      <c r="U14" s="6">
        <v>0</v>
      </c>
      <c r="V14" s="650">
        <f>SUM(N14:Q14)</f>
        <v>49016391.897138618</v>
      </c>
    </row>
    <row r="15" spans="2:22">
      <c r="B15" s="648" t="s">
        <v>1824</v>
      </c>
      <c r="C15" s="649">
        <v>5808354.5086811222</v>
      </c>
      <c r="D15" s="649">
        <v>3027874.0850333069</v>
      </c>
      <c r="E15" s="649">
        <v>1801123.5587002391</v>
      </c>
    </row>
    <row r="16" spans="2:22">
      <c r="B16" s="648" t="s">
        <v>1825</v>
      </c>
      <c r="C16" s="649">
        <v>9899533.5092564486</v>
      </c>
      <c r="D16" s="649">
        <v>5532359.6598556787</v>
      </c>
      <c r="E16" s="649">
        <v>1186890.3384383775</v>
      </c>
    </row>
    <row r="17" spans="2:17">
      <c r="B17" s="648" t="s">
        <v>2391</v>
      </c>
      <c r="C17" s="649">
        <v>0</v>
      </c>
      <c r="D17" s="6">
        <v>0</v>
      </c>
      <c r="E17" s="6">
        <v>0</v>
      </c>
    </row>
    <row r="18" spans="2:17">
      <c r="B18" s="648" t="s">
        <v>2392</v>
      </c>
      <c r="C18" s="649">
        <v>0</v>
      </c>
      <c r="D18" s="6">
        <v>0</v>
      </c>
      <c r="E18" s="6">
        <v>0</v>
      </c>
    </row>
    <row r="19" spans="2:17">
      <c r="B19" s="648" t="s">
        <v>2393</v>
      </c>
      <c r="C19" s="649">
        <v>0</v>
      </c>
      <c r="D19" s="6">
        <v>0</v>
      </c>
      <c r="E19" s="6">
        <v>0</v>
      </c>
    </row>
    <row r="20" spans="2:17">
      <c r="B20" s="648" t="s">
        <v>2394</v>
      </c>
      <c r="C20" s="649">
        <v>0</v>
      </c>
      <c r="D20" s="6">
        <v>0</v>
      </c>
      <c r="E20" s="6">
        <v>0</v>
      </c>
    </row>
    <row r="21" spans="2:17">
      <c r="B21" s="646" t="s">
        <v>38</v>
      </c>
      <c r="C21" s="650">
        <f>SUM(C13:C16)</f>
        <v>295967288.01793754</v>
      </c>
      <c r="D21" s="650">
        <f>SUM(D13:D16)</f>
        <v>183824651.74488896</v>
      </c>
      <c r="E21" s="650">
        <f>SUM(E13:E16)</f>
        <v>49016391.897138618</v>
      </c>
    </row>
    <row r="24" spans="2:17">
      <c r="B24" s="4" t="s">
        <v>2397</v>
      </c>
      <c r="L24" s="4" t="s">
        <v>2397</v>
      </c>
    </row>
    <row r="25" spans="2:17">
      <c r="B25" s="695" t="s">
        <v>2474</v>
      </c>
      <c r="L25" s="695" t="s">
        <v>2416</v>
      </c>
    </row>
    <row r="26" spans="2:17">
      <c r="B26" s="3" t="s">
        <v>2475</v>
      </c>
    </row>
    <row r="27" spans="2:17">
      <c r="L27" s="34" t="s">
        <v>2414</v>
      </c>
      <c r="M27" s="1131" t="s">
        <v>0</v>
      </c>
      <c r="N27" s="1131"/>
      <c r="O27" s="1131" t="s">
        <v>1</v>
      </c>
      <c r="P27" s="1131"/>
      <c r="Q27" s="59" t="s">
        <v>59</v>
      </c>
    </row>
    <row r="28" spans="2:17" ht="39.75">
      <c r="B28" s="729" t="s">
        <v>66</v>
      </c>
      <c r="C28" s="738" t="s">
        <v>51</v>
      </c>
      <c r="D28" s="738" t="s">
        <v>0</v>
      </c>
      <c r="E28" s="738" t="s">
        <v>1</v>
      </c>
      <c r="F28" s="738" t="s">
        <v>59</v>
      </c>
      <c r="L28" s="729" t="s">
        <v>2476</v>
      </c>
      <c r="M28" s="727" t="s">
        <v>2477</v>
      </c>
      <c r="N28" s="727" t="s">
        <v>2478</v>
      </c>
      <c r="O28" s="727" t="s">
        <v>2477</v>
      </c>
      <c r="P28" s="727" t="s">
        <v>2478</v>
      </c>
      <c r="Q28" s="59"/>
    </row>
    <row r="29" spans="2:17" ht="14.25">
      <c r="B29" s="1133" t="s">
        <v>1113</v>
      </c>
      <c r="C29" s="345" t="s">
        <v>2132</v>
      </c>
      <c r="D29" s="629">
        <v>75274</v>
      </c>
      <c r="E29" s="629">
        <v>128446</v>
      </c>
      <c r="F29" s="606" t="s">
        <v>2211</v>
      </c>
      <c r="L29" s="481" t="s">
        <v>699</v>
      </c>
      <c r="M29" s="6"/>
      <c r="N29" s="6"/>
      <c r="O29" s="6"/>
      <c r="P29" s="6"/>
      <c r="Q29" s="6"/>
    </row>
    <row r="30" spans="2:17" ht="14.25">
      <c r="B30" s="1134"/>
      <c r="C30" s="345" t="s">
        <v>2133</v>
      </c>
      <c r="D30" s="629">
        <v>202345</v>
      </c>
      <c r="E30" s="629">
        <v>322042</v>
      </c>
      <c r="F30" s="606" t="s">
        <v>2211</v>
      </c>
      <c r="L30" s="481" t="s">
        <v>1113</v>
      </c>
      <c r="M30" s="330">
        <v>75274</v>
      </c>
      <c r="N30" s="330">
        <v>202345</v>
      </c>
      <c r="O30" s="330">
        <v>128446</v>
      </c>
      <c r="P30" s="330">
        <v>322042</v>
      </c>
      <c r="Q30" s="665" t="s">
        <v>1871</v>
      </c>
    </row>
    <row r="31" spans="2:17" ht="14.25">
      <c r="B31" s="1133" t="s">
        <v>699</v>
      </c>
      <c r="C31" s="345" t="s">
        <v>2132</v>
      </c>
      <c r="D31" s="540"/>
      <c r="E31" s="540"/>
      <c r="F31" s="540"/>
      <c r="L31" s="481" t="s">
        <v>341</v>
      </c>
      <c r="M31" s="6"/>
      <c r="N31" s="6"/>
      <c r="O31" s="6"/>
      <c r="P31" s="6"/>
      <c r="Q31" s="6"/>
    </row>
    <row r="32" spans="2:17" ht="14.25">
      <c r="B32" s="1134"/>
      <c r="C32" s="345" t="s">
        <v>2133</v>
      </c>
      <c r="D32" s="540"/>
      <c r="E32" s="540"/>
      <c r="F32" s="540"/>
    </row>
    <row r="33" spans="2:15" ht="14.25">
      <c r="B33" s="1133" t="s">
        <v>341</v>
      </c>
      <c r="C33" s="345" t="s">
        <v>2132</v>
      </c>
      <c r="D33" s="540"/>
      <c r="E33" s="540"/>
      <c r="F33" s="540"/>
    </row>
    <row r="34" spans="2:15" ht="14.25">
      <c r="B34" s="1134"/>
      <c r="C34" s="345" t="s">
        <v>2133</v>
      </c>
      <c r="D34" s="540"/>
      <c r="E34" s="540"/>
      <c r="F34" s="540"/>
    </row>
    <row r="37" spans="2:15">
      <c r="B37" s="4" t="s">
        <v>528</v>
      </c>
    </row>
    <row r="39" spans="2:15" ht="25.5">
      <c r="B39" s="140" t="s">
        <v>2395</v>
      </c>
      <c r="C39" s="540"/>
      <c r="D39" s="540"/>
      <c r="E39" s="540"/>
    </row>
    <row r="40" spans="2:15" ht="25.5">
      <c r="B40" s="140" t="s">
        <v>2396</v>
      </c>
      <c r="C40" s="540"/>
      <c r="D40" s="540"/>
      <c r="E40" s="540"/>
    </row>
    <row r="44" spans="2:15">
      <c r="B44" s="4" t="s">
        <v>2571</v>
      </c>
      <c r="L44" s="4" t="s">
        <v>2571</v>
      </c>
    </row>
    <row r="45" spans="2:15">
      <c r="B45" s="3" t="s">
        <v>2573</v>
      </c>
    </row>
    <row r="46" spans="2:15">
      <c r="B46" s="3" t="s">
        <v>2572</v>
      </c>
    </row>
    <row r="48" spans="2:15" ht="38.25">
      <c r="C48" s="141" t="s">
        <v>2565</v>
      </c>
      <c r="D48" s="141" t="s">
        <v>2569</v>
      </c>
      <c r="E48" s="59" t="s">
        <v>2522</v>
      </c>
      <c r="L48" s="59" t="s">
        <v>2374</v>
      </c>
      <c r="M48" s="59" t="s">
        <v>2387</v>
      </c>
      <c r="N48" s="59" t="s">
        <v>2388</v>
      </c>
      <c r="O48" s="59" t="s">
        <v>2389</v>
      </c>
    </row>
    <row r="49" spans="2:15" ht="34.15" customHeight="1">
      <c r="B49" s="1135" t="s">
        <v>2498</v>
      </c>
      <c r="C49" s="1" t="s">
        <v>2523</v>
      </c>
      <c r="D49" s="740"/>
      <c r="E49" s="1" t="s">
        <v>2499</v>
      </c>
      <c r="L49" s="635" t="s">
        <v>2378</v>
      </c>
      <c r="M49" s="6"/>
      <c r="N49" s="6"/>
      <c r="O49" s="6"/>
    </row>
    <row r="50" spans="2:15" ht="34.9" customHeight="1">
      <c r="B50" s="1135"/>
      <c r="C50" s="1" t="s">
        <v>2570</v>
      </c>
      <c r="D50" s="740"/>
      <c r="E50" s="1" t="s">
        <v>2500</v>
      </c>
      <c r="L50" s="652" t="s">
        <v>1779</v>
      </c>
      <c r="M50" s="6"/>
      <c r="N50" s="6"/>
      <c r="O50" s="6"/>
    </row>
    <row r="51" spans="2:15" ht="15">
      <c r="B51" s="1135"/>
      <c r="C51" s="1" t="s">
        <v>2378</v>
      </c>
      <c r="D51" s="740"/>
      <c r="E51" s="1" t="s">
        <v>2501</v>
      </c>
      <c r="L51" s="635" t="s">
        <v>2379</v>
      </c>
      <c r="M51" s="6"/>
      <c r="N51" s="6"/>
      <c r="O51" s="6"/>
    </row>
    <row r="52" spans="2:15" ht="15">
      <c r="B52" s="1135"/>
      <c r="C52" s="1" t="s">
        <v>2570</v>
      </c>
      <c r="D52" s="740"/>
      <c r="E52" s="1" t="s">
        <v>649</v>
      </c>
      <c r="L52" s="635" t="s">
        <v>27</v>
      </c>
      <c r="M52" s="6"/>
      <c r="N52" s="6"/>
      <c r="O52" s="6"/>
    </row>
    <row r="53" spans="2:15" ht="15">
      <c r="B53" s="1135"/>
      <c r="C53" s="1" t="s">
        <v>27</v>
      </c>
      <c r="D53" s="740"/>
      <c r="E53" s="1" t="s">
        <v>2502</v>
      </c>
      <c r="L53" s="635" t="s">
        <v>2156</v>
      </c>
      <c r="M53" s="6"/>
      <c r="N53" s="6"/>
      <c r="O53" s="6"/>
    </row>
    <row r="54" spans="2:15" ht="15">
      <c r="B54" s="1135" t="s">
        <v>2503</v>
      </c>
      <c r="C54" s="1" t="s">
        <v>2379</v>
      </c>
      <c r="D54" s="740"/>
      <c r="E54" s="1" t="s">
        <v>2504</v>
      </c>
      <c r="L54" s="634" t="s">
        <v>1777</v>
      </c>
      <c r="M54" s="6"/>
      <c r="N54" s="6"/>
      <c r="O54" s="6"/>
    </row>
    <row r="55" spans="2:15" ht="15">
      <c r="B55" s="1135"/>
      <c r="C55" s="1" t="s">
        <v>2570</v>
      </c>
      <c r="D55" s="740"/>
      <c r="E55" s="1" t="s">
        <v>2505</v>
      </c>
      <c r="L55" s="634" t="s">
        <v>1780</v>
      </c>
      <c r="M55" s="6"/>
      <c r="N55" s="6"/>
      <c r="O55" s="6"/>
    </row>
    <row r="56" spans="2:15" ht="15">
      <c r="B56" s="1135"/>
      <c r="C56" s="1" t="s">
        <v>2524</v>
      </c>
      <c r="D56" s="740"/>
      <c r="E56" s="1" t="s">
        <v>2506</v>
      </c>
    </row>
    <row r="57" spans="2:15" ht="15">
      <c r="B57" s="1135"/>
      <c r="C57" s="1" t="s">
        <v>2570</v>
      </c>
      <c r="D57" s="740"/>
      <c r="E57" s="1" t="s">
        <v>2507</v>
      </c>
    </row>
    <row r="58" spans="2:15" ht="15">
      <c r="B58" s="1135" t="s">
        <v>2508</v>
      </c>
      <c r="C58" s="1" t="s">
        <v>2525</v>
      </c>
      <c r="D58" s="740"/>
      <c r="E58" s="1" t="s">
        <v>1779</v>
      </c>
    </row>
    <row r="59" spans="2:15" ht="15">
      <c r="B59" s="1135"/>
      <c r="C59" s="1" t="s">
        <v>2570</v>
      </c>
      <c r="D59" s="740"/>
      <c r="E59" s="1" t="s">
        <v>2509</v>
      </c>
    </row>
    <row r="60" spans="2:15" ht="15">
      <c r="B60" s="1135"/>
      <c r="C60" s="1" t="s">
        <v>2570</v>
      </c>
      <c r="D60" s="740"/>
      <c r="E60" s="1" t="s">
        <v>2510</v>
      </c>
    </row>
    <row r="61" spans="2:15" ht="15">
      <c r="B61" s="1135" t="s">
        <v>2511</v>
      </c>
      <c r="C61" s="1" t="s">
        <v>2570</v>
      </c>
      <c r="D61" s="740"/>
      <c r="E61" s="1" t="s">
        <v>2512</v>
      </c>
    </row>
    <row r="62" spans="2:15" ht="15">
      <c r="B62" s="1135"/>
      <c r="C62" s="1" t="s">
        <v>2570</v>
      </c>
      <c r="D62" s="740"/>
      <c r="E62" s="1" t="s">
        <v>2513</v>
      </c>
    </row>
    <row r="63" spans="2:15" ht="15">
      <c r="B63" s="1135"/>
      <c r="C63" s="1" t="s">
        <v>2570</v>
      </c>
      <c r="D63" s="740"/>
      <c r="E63" s="1" t="s">
        <v>2514</v>
      </c>
    </row>
    <row r="64" spans="2:15" ht="45">
      <c r="B64" s="739" t="s">
        <v>2515</v>
      </c>
      <c r="C64" s="1" t="s">
        <v>1777</v>
      </c>
      <c r="D64" s="740"/>
      <c r="E64" s="1" t="s">
        <v>2516</v>
      </c>
    </row>
    <row r="65" spans="2:18" ht="15">
      <c r="B65" s="1135" t="s">
        <v>2517</v>
      </c>
      <c r="C65" s="1" t="s">
        <v>1780</v>
      </c>
      <c r="D65" s="740"/>
      <c r="E65" s="1" t="s">
        <v>2518</v>
      </c>
      <c r="K65" s="6" t="s">
        <v>2574</v>
      </c>
      <c r="L65" s="6">
        <v>0</v>
      </c>
      <c r="M65" s="6">
        <v>0.5</v>
      </c>
      <c r="N65" s="6">
        <v>1</v>
      </c>
      <c r="O65" s="6">
        <v>1.5</v>
      </c>
      <c r="P65" s="6">
        <v>2</v>
      </c>
      <c r="Q65" s="6">
        <v>2.5</v>
      </c>
      <c r="R65" s="6">
        <v>3</v>
      </c>
    </row>
    <row r="66" spans="2:18" ht="64.5">
      <c r="B66" s="1135"/>
      <c r="C66" s="1" t="s">
        <v>2526</v>
      </c>
      <c r="D66" s="740"/>
      <c r="E66" s="1" t="s">
        <v>2519</v>
      </c>
      <c r="K66" s="140" t="s">
        <v>2575</v>
      </c>
      <c r="L66" s="103">
        <v>-0.15</v>
      </c>
      <c r="M66" s="103">
        <v>-0.1</v>
      </c>
      <c r="N66" s="103">
        <v>-0.05</v>
      </c>
      <c r="O66" s="6">
        <v>0</v>
      </c>
      <c r="P66" s="741">
        <v>0.05</v>
      </c>
      <c r="Q66" s="741">
        <v>0.1</v>
      </c>
      <c r="R66" s="741">
        <v>0.15</v>
      </c>
    </row>
  </sheetData>
  <mergeCells count="11">
    <mergeCell ref="B33:B34"/>
    <mergeCell ref="B65:B66"/>
    <mergeCell ref="B61:B63"/>
    <mergeCell ref="B58:B60"/>
    <mergeCell ref="B54:B57"/>
    <mergeCell ref="B49:B53"/>
    <mergeCell ref="M27:N27"/>
    <mergeCell ref="O27:P27"/>
    <mergeCell ref="B2:V2"/>
    <mergeCell ref="B29:B30"/>
    <mergeCell ref="B31:B3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0"/>
  </sheetPr>
  <dimension ref="A1:GS928"/>
  <sheetViews>
    <sheetView zoomScaleNormal="100" workbookViewId="0">
      <pane xSplit="1" ySplit="5" topLeftCell="EP6" activePane="bottomRight" state="frozen"/>
      <selection pane="topRight" activeCell="B1" sqref="B1"/>
      <selection pane="bottomLeft" activeCell="A5" sqref="A5"/>
      <selection pane="bottomRight" activeCell="ES249" sqref="ES249"/>
    </sheetView>
  </sheetViews>
  <sheetFormatPr defaultColWidth="11.42578125" defaultRowHeight="12.75"/>
  <cols>
    <col min="1" max="1" width="27.5703125" style="207" customWidth="1"/>
    <col min="2" max="2" width="11.7109375" style="207" customWidth="1"/>
    <col min="3" max="3" width="11.7109375" style="208" customWidth="1"/>
    <col min="4" max="5" width="11.7109375" style="207" customWidth="1"/>
    <col min="6" max="6" width="11.7109375" style="209" customWidth="1"/>
    <col min="7" max="8" width="11.7109375" style="207" customWidth="1"/>
    <col min="9" max="9" width="11.7109375" style="209" customWidth="1"/>
    <col min="10" max="28" width="11.7109375" style="207" customWidth="1"/>
    <col min="29" max="31" width="11.7109375" style="314" customWidth="1"/>
    <col min="32" max="32" width="15.85546875" style="314" customWidth="1"/>
    <col min="33" max="33" width="11.7109375" style="314" customWidth="1"/>
    <col min="34" max="50" width="11.7109375" style="207" customWidth="1"/>
    <col min="51" max="51" width="11.28515625" style="213" customWidth="1"/>
    <col min="52" max="52" width="11.7109375" style="213" customWidth="1"/>
    <col min="53" max="53" width="11.7109375" style="208" customWidth="1"/>
    <col min="54" max="54" width="11.7109375" style="214" customWidth="1"/>
    <col min="55" max="55" width="11.7109375" style="215" customWidth="1"/>
    <col min="56" max="56" width="11.7109375" style="214" customWidth="1"/>
    <col min="57" max="58" width="11.7109375" style="207" customWidth="1"/>
    <col min="59" max="59" width="11.7109375" style="216" customWidth="1"/>
    <col min="60" max="60" width="11.7109375" style="207" customWidth="1"/>
    <col min="61" max="64" width="11.7109375" style="209" customWidth="1"/>
    <col min="65" max="66" width="11.7109375" style="217" customWidth="1"/>
    <col min="67" max="67" width="11.7109375" style="218" customWidth="1"/>
    <col min="68" max="86" width="11.7109375" style="207" customWidth="1"/>
    <col min="87" max="87" width="28.7109375" style="216" customWidth="1"/>
    <col min="88" max="91" width="11.7109375" style="207" customWidth="1"/>
    <col min="92" max="92" width="23.7109375" style="207" customWidth="1"/>
    <col min="93" max="105" width="11.7109375" style="207" customWidth="1"/>
    <col min="106" max="106" width="21.28515625" style="216" customWidth="1"/>
    <col min="107" max="134" width="11.7109375" style="207" customWidth="1"/>
    <col min="135" max="135" width="11.7109375" style="220" customWidth="1"/>
    <col min="136" max="136" width="11.7109375" style="207" customWidth="1"/>
    <col min="137" max="137" width="15.28515625" style="216" customWidth="1"/>
    <col min="138" max="138" width="20" style="216" customWidth="1"/>
    <col min="139" max="139" width="11.7109375" style="216" customWidth="1"/>
    <col min="140" max="140" width="11.7109375" style="207" customWidth="1"/>
    <col min="141" max="141" width="11.7109375" style="222" customWidth="1"/>
    <col min="142" max="142" width="11.42578125" style="223"/>
    <col min="143" max="143" width="11.42578125" style="207"/>
    <col min="144" max="145" width="13.28515625" style="207" customWidth="1"/>
    <col min="146" max="150" width="11.42578125" style="207"/>
    <col min="151" max="151" width="11.7109375" style="220" customWidth="1"/>
    <col min="152" max="154" width="14.28515625" style="220" customWidth="1"/>
    <col min="155" max="156" width="11.42578125" style="207"/>
    <col min="157" max="157" width="11.42578125" style="224"/>
    <col min="158" max="159" width="11.42578125" style="208"/>
    <col min="160" max="161" width="11.42578125" style="207"/>
    <col min="162" max="162" width="11.42578125" style="208"/>
    <col min="163" max="165" width="11.42578125" style="207"/>
    <col min="166" max="167" width="11.42578125" style="208"/>
    <col min="168" max="168" width="11.42578125" style="217"/>
    <col min="169" max="170" width="11.42578125" style="208"/>
    <col min="171" max="176" width="11.42578125" style="207"/>
    <col min="177" max="178" width="11.42578125" style="208"/>
    <col min="179" max="191" width="11.42578125" style="207"/>
    <col min="192" max="192" width="11.42578125" style="945"/>
    <col min="193" max="196" width="11.42578125" style="207"/>
    <col min="197" max="197" width="11.42578125" style="237"/>
    <col min="198" max="200" width="11.42578125" style="207"/>
    <col min="201" max="201" width="13.42578125" style="207" customWidth="1"/>
    <col min="202" max="16384" width="11.42578125" style="207"/>
  </cols>
  <sheetData>
    <row r="1" spans="1:201" s="201" customFormat="1" ht="15.75">
      <c r="A1" s="201">
        <v>1</v>
      </c>
      <c r="B1" s="201">
        <v>2</v>
      </c>
      <c r="C1" s="201">
        <v>3</v>
      </c>
      <c r="D1" s="201">
        <v>4</v>
      </c>
      <c r="E1" s="201">
        <v>5</v>
      </c>
      <c r="F1" s="201">
        <v>6</v>
      </c>
      <c r="G1" s="201">
        <v>7</v>
      </c>
      <c r="H1" s="201">
        <v>8</v>
      </c>
      <c r="I1" s="201">
        <v>9</v>
      </c>
      <c r="J1" s="201">
        <v>10</v>
      </c>
      <c r="K1" s="201">
        <v>11</v>
      </c>
      <c r="L1" s="201">
        <v>12</v>
      </c>
      <c r="M1" s="201">
        <v>13</v>
      </c>
      <c r="N1" s="201">
        <v>14</v>
      </c>
      <c r="O1" s="201">
        <v>15</v>
      </c>
      <c r="P1" s="201">
        <v>16</v>
      </c>
      <c r="Q1" s="201">
        <v>17</v>
      </c>
      <c r="R1" s="201">
        <v>18</v>
      </c>
      <c r="S1" s="201">
        <v>19</v>
      </c>
      <c r="T1" s="201">
        <v>20</v>
      </c>
      <c r="U1" s="201">
        <v>21</v>
      </c>
      <c r="V1" s="201">
        <v>22</v>
      </c>
      <c r="W1" s="201">
        <v>23</v>
      </c>
      <c r="X1" s="201">
        <v>24</v>
      </c>
      <c r="Y1" s="201">
        <v>25</v>
      </c>
      <c r="Z1" s="201">
        <v>26</v>
      </c>
      <c r="AA1" s="201">
        <v>27</v>
      </c>
      <c r="AB1" s="201">
        <v>28</v>
      </c>
      <c r="AC1" s="201">
        <v>29</v>
      </c>
      <c r="AD1" s="201">
        <v>30</v>
      </c>
      <c r="AE1" s="201">
        <v>31</v>
      </c>
      <c r="AF1" s="201">
        <v>32</v>
      </c>
      <c r="AG1" s="201">
        <v>33</v>
      </c>
      <c r="AH1" s="201">
        <v>34</v>
      </c>
      <c r="AI1" s="201">
        <v>35</v>
      </c>
      <c r="AJ1" s="201">
        <v>36</v>
      </c>
      <c r="AK1" s="201">
        <v>37</v>
      </c>
      <c r="AL1" s="201">
        <v>38</v>
      </c>
      <c r="AM1" s="201">
        <v>39</v>
      </c>
      <c r="AN1" s="201">
        <v>40</v>
      </c>
      <c r="AO1" s="201">
        <v>41</v>
      </c>
      <c r="AP1" s="201">
        <v>42</v>
      </c>
      <c r="AQ1" s="201">
        <v>43</v>
      </c>
      <c r="AR1" s="201">
        <v>44</v>
      </c>
      <c r="AS1" s="201">
        <v>45</v>
      </c>
      <c r="AT1" s="201">
        <v>46</v>
      </c>
      <c r="AU1" s="201">
        <v>47</v>
      </c>
      <c r="AV1" s="201">
        <v>48</v>
      </c>
      <c r="AW1" s="201">
        <v>49</v>
      </c>
      <c r="AX1" s="201">
        <v>50</v>
      </c>
      <c r="AY1" s="201">
        <v>51</v>
      </c>
      <c r="AZ1" s="201">
        <v>52</v>
      </c>
      <c r="BA1" s="201">
        <v>53</v>
      </c>
      <c r="BB1" s="201">
        <v>54</v>
      </c>
      <c r="BC1" s="201">
        <v>55</v>
      </c>
      <c r="BD1" s="201">
        <v>56</v>
      </c>
      <c r="BE1" s="201">
        <v>57</v>
      </c>
      <c r="BF1" s="201">
        <v>58</v>
      </c>
      <c r="BG1" s="201">
        <v>59</v>
      </c>
      <c r="BH1" s="201">
        <v>60</v>
      </c>
      <c r="BI1" s="201">
        <v>61</v>
      </c>
      <c r="BJ1" s="201">
        <v>62</v>
      </c>
      <c r="BK1" s="201">
        <v>63</v>
      </c>
      <c r="BL1" s="201">
        <v>64</v>
      </c>
      <c r="BM1" s="201">
        <v>65</v>
      </c>
      <c r="BN1" s="201">
        <v>66</v>
      </c>
      <c r="BO1" s="201">
        <v>67</v>
      </c>
      <c r="BP1" s="201">
        <v>68</v>
      </c>
      <c r="BQ1" s="201">
        <v>69</v>
      </c>
      <c r="BR1" s="201">
        <v>70</v>
      </c>
      <c r="BS1" s="201">
        <v>71</v>
      </c>
      <c r="BT1" s="201">
        <v>72</v>
      </c>
      <c r="BU1" s="201">
        <v>73</v>
      </c>
      <c r="BV1" s="201">
        <v>74</v>
      </c>
      <c r="BW1" s="201">
        <v>75</v>
      </c>
      <c r="BX1" s="201">
        <v>76</v>
      </c>
      <c r="BY1" s="201">
        <v>77</v>
      </c>
      <c r="BZ1" s="201">
        <v>78</v>
      </c>
      <c r="CA1" s="201">
        <v>79</v>
      </c>
      <c r="CB1" s="201">
        <v>80</v>
      </c>
      <c r="CC1" s="201">
        <v>81</v>
      </c>
      <c r="CD1" s="201">
        <v>82</v>
      </c>
      <c r="CE1" s="201">
        <v>83</v>
      </c>
      <c r="CF1" s="201">
        <v>84</v>
      </c>
      <c r="CG1" s="201">
        <v>85</v>
      </c>
      <c r="CH1" s="201">
        <v>86</v>
      </c>
      <c r="CI1" s="201">
        <v>87</v>
      </c>
      <c r="CJ1" s="201">
        <v>88</v>
      </c>
      <c r="CK1" s="201">
        <v>89</v>
      </c>
      <c r="CL1" s="201">
        <v>90</v>
      </c>
      <c r="CM1" s="201">
        <v>91</v>
      </c>
      <c r="CN1" s="201">
        <v>92</v>
      </c>
      <c r="CO1" s="201">
        <v>93</v>
      </c>
      <c r="CP1" s="201">
        <v>94</v>
      </c>
      <c r="CQ1" s="201">
        <v>95</v>
      </c>
      <c r="CR1" s="201">
        <v>96</v>
      </c>
      <c r="CS1" s="201">
        <v>97</v>
      </c>
      <c r="CT1" s="201">
        <v>98</v>
      </c>
      <c r="CU1" s="201">
        <v>99</v>
      </c>
      <c r="CV1" s="201">
        <v>100</v>
      </c>
      <c r="CW1" s="201">
        <v>101</v>
      </c>
      <c r="CX1" s="201">
        <v>102</v>
      </c>
      <c r="CY1" s="201">
        <v>103</v>
      </c>
      <c r="CZ1" s="201">
        <v>104</v>
      </c>
      <c r="DA1" s="201">
        <v>105</v>
      </c>
      <c r="DB1" s="201">
        <v>106</v>
      </c>
      <c r="DC1" s="201">
        <v>107</v>
      </c>
      <c r="DD1" s="201">
        <v>108</v>
      </c>
      <c r="DE1" s="201">
        <v>109</v>
      </c>
      <c r="DF1" s="201">
        <v>110</v>
      </c>
      <c r="DG1" s="201">
        <v>111</v>
      </c>
      <c r="DH1" s="201">
        <v>112</v>
      </c>
      <c r="DI1" s="201">
        <v>113</v>
      </c>
      <c r="DJ1" s="201">
        <v>114</v>
      </c>
      <c r="DK1" s="201">
        <v>115</v>
      </c>
      <c r="DL1" s="201">
        <v>116</v>
      </c>
      <c r="DM1" s="201">
        <v>117</v>
      </c>
      <c r="DN1" s="201">
        <v>118</v>
      </c>
      <c r="DO1" s="201">
        <v>119</v>
      </c>
      <c r="DP1" s="201">
        <v>120</v>
      </c>
      <c r="DQ1" s="201">
        <v>121</v>
      </c>
      <c r="DR1" s="201">
        <v>122</v>
      </c>
      <c r="DS1" s="201">
        <v>123</v>
      </c>
      <c r="DT1" s="201">
        <v>124</v>
      </c>
      <c r="DU1" s="201">
        <v>125</v>
      </c>
      <c r="DV1" s="201">
        <v>126</v>
      </c>
      <c r="DW1" s="201">
        <v>127</v>
      </c>
      <c r="DX1" s="201">
        <v>128</v>
      </c>
      <c r="DY1" s="201">
        <v>129</v>
      </c>
      <c r="DZ1" s="201">
        <v>130</v>
      </c>
      <c r="EA1" s="201">
        <v>131</v>
      </c>
      <c r="EB1" s="201">
        <v>132</v>
      </c>
      <c r="EC1" s="201">
        <v>133</v>
      </c>
      <c r="ED1" s="201">
        <v>134</v>
      </c>
      <c r="EE1" s="201">
        <v>135</v>
      </c>
      <c r="EF1" s="201">
        <v>136</v>
      </c>
      <c r="EG1" s="201">
        <v>137</v>
      </c>
      <c r="EH1" s="201">
        <v>138</v>
      </c>
      <c r="EI1" s="201">
        <v>139</v>
      </c>
      <c r="EJ1" s="201">
        <v>140</v>
      </c>
      <c r="EK1" s="201">
        <v>141</v>
      </c>
      <c r="EL1" s="201">
        <v>142</v>
      </c>
      <c r="EM1" s="201">
        <v>143</v>
      </c>
      <c r="EN1" s="201">
        <v>144</v>
      </c>
      <c r="EO1" s="201">
        <v>145</v>
      </c>
      <c r="EP1" s="201">
        <v>146</v>
      </c>
      <c r="EQ1" s="201">
        <v>147</v>
      </c>
      <c r="ER1" s="201">
        <v>148</v>
      </c>
      <c r="ES1" s="201">
        <v>149</v>
      </c>
      <c r="ET1" s="201">
        <v>150</v>
      </c>
      <c r="EU1" s="201">
        <v>151</v>
      </c>
      <c r="EV1" s="201">
        <v>152</v>
      </c>
      <c r="EW1" s="201">
        <v>153</v>
      </c>
      <c r="EX1" s="201">
        <v>154</v>
      </c>
      <c r="EY1" s="201">
        <v>155</v>
      </c>
      <c r="EZ1" s="201">
        <v>156</v>
      </c>
      <c r="FA1" s="202">
        <v>157</v>
      </c>
      <c r="FB1" s="201">
        <v>158</v>
      </c>
      <c r="FC1" s="201">
        <v>159</v>
      </c>
      <c r="FD1" s="201">
        <v>160</v>
      </c>
      <c r="FE1" s="201">
        <v>161</v>
      </c>
      <c r="FF1" s="201">
        <v>162</v>
      </c>
      <c r="FG1" s="201">
        <v>163</v>
      </c>
      <c r="FH1" s="201">
        <v>164</v>
      </c>
      <c r="FI1" s="201">
        <v>165</v>
      </c>
      <c r="FJ1" s="201">
        <v>166</v>
      </c>
      <c r="FK1" s="201">
        <v>167</v>
      </c>
      <c r="FL1" s="202">
        <v>168</v>
      </c>
      <c r="FM1" s="201">
        <v>169</v>
      </c>
      <c r="FN1" s="201">
        <v>170</v>
      </c>
      <c r="FO1" s="201">
        <v>171</v>
      </c>
      <c r="FP1" s="201">
        <v>172</v>
      </c>
      <c r="FQ1" s="201">
        <v>173</v>
      </c>
      <c r="FR1" s="201">
        <v>174</v>
      </c>
      <c r="FS1" s="201">
        <v>175</v>
      </c>
      <c r="FT1" s="201">
        <v>176</v>
      </c>
      <c r="FU1" s="201">
        <v>177</v>
      </c>
      <c r="FV1" s="201">
        <v>178</v>
      </c>
      <c r="FW1" s="201">
        <v>179</v>
      </c>
      <c r="FX1" s="201">
        <v>180</v>
      </c>
      <c r="FY1" s="201">
        <v>181</v>
      </c>
      <c r="FZ1" s="201">
        <v>182</v>
      </c>
      <c r="GA1" s="201">
        <v>183</v>
      </c>
      <c r="GB1" s="201">
        <v>184</v>
      </c>
      <c r="GC1" s="201">
        <v>185</v>
      </c>
      <c r="GD1" s="201">
        <v>186</v>
      </c>
      <c r="GE1" s="201">
        <v>187</v>
      </c>
      <c r="GF1" s="201">
        <v>188</v>
      </c>
      <c r="GG1" s="201">
        <v>189</v>
      </c>
      <c r="GH1" s="201">
        <v>190</v>
      </c>
      <c r="GI1" s="201">
        <v>191</v>
      </c>
      <c r="GJ1" s="944">
        <v>192</v>
      </c>
      <c r="GK1" s="201">
        <v>193</v>
      </c>
      <c r="GL1" s="201">
        <v>194</v>
      </c>
      <c r="GM1" s="201">
        <v>195</v>
      </c>
      <c r="GN1" s="201">
        <v>196</v>
      </c>
      <c r="GO1" s="332">
        <v>197</v>
      </c>
      <c r="GP1" s="201">
        <v>198</v>
      </c>
      <c r="GQ1" s="201">
        <v>199</v>
      </c>
      <c r="GR1" s="201">
        <v>200</v>
      </c>
      <c r="GS1" s="201">
        <v>201</v>
      </c>
    </row>
    <row r="2" spans="1:201" s="201" customFormat="1" ht="15.75">
      <c r="A2" s="203" t="s">
        <v>1871</v>
      </c>
      <c r="T2" s="201" t="s">
        <v>529</v>
      </c>
      <c r="U2" s="201" t="s">
        <v>529</v>
      </c>
      <c r="V2" s="201" t="s">
        <v>529</v>
      </c>
      <c r="X2" s="201" t="s">
        <v>529</v>
      </c>
      <c r="Y2" s="201" t="s">
        <v>529</v>
      </c>
      <c r="Z2" s="201" t="s">
        <v>529</v>
      </c>
      <c r="AA2" s="201" t="s">
        <v>529</v>
      </c>
      <c r="AB2" s="201" t="s">
        <v>529</v>
      </c>
      <c r="AC2" s="201" t="s">
        <v>529</v>
      </c>
      <c r="AD2" s="201" t="s">
        <v>529</v>
      </c>
      <c r="AE2" s="201" t="s">
        <v>529</v>
      </c>
      <c r="AF2" s="201" t="s">
        <v>529</v>
      </c>
      <c r="AG2" s="201" t="s">
        <v>529</v>
      </c>
      <c r="AH2" s="201" t="s">
        <v>529</v>
      </c>
      <c r="AI2" s="201" t="s">
        <v>529</v>
      </c>
      <c r="BC2" s="203"/>
      <c r="CI2" s="203"/>
      <c r="DB2" s="203"/>
      <c r="EE2" s="204"/>
      <c r="EI2" s="203"/>
      <c r="EK2" s="205"/>
      <c r="EL2" s="206"/>
      <c r="EN2" s="201" t="s">
        <v>2263</v>
      </c>
      <c r="EU2" s="204"/>
      <c r="EV2" s="204"/>
      <c r="EW2" s="204"/>
      <c r="EX2" s="204"/>
      <c r="FA2" s="202"/>
      <c r="FL2" s="202"/>
      <c r="GJ2" s="944"/>
      <c r="GO2" s="333"/>
      <c r="GP2" s="333"/>
      <c r="GQ2" s="333"/>
      <c r="GR2" s="333"/>
    </row>
    <row r="3" spans="1:201" ht="22.9" customHeight="1">
      <c r="A3" s="207" t="s">
        <v>1940</v>
      </c>
      <c r="B3" s="1136" t="s">
        <v>2419</v>
      </c>
      <c r="C3" s="1136"/>
      <c r="D3" s="1136"/>
      <c r="M3" s="210"/>
      <c r="AC3" s="207"/>
      <c r="AD3" s="207"/>
      <c r="AE3" s="207"/>
      <c r="AF3" s="207"/>
      <c r="AG3" s="207"/>
      <c r="AH3" s="211"/>
      <c r="AI3" s="211"/>
      <c r="AM3" s="210"/>
      <c r="AO3" s="212"/>
      <c r="AP3" s="212"/>
      <c r="AQ3" s="212"/>
      <c r="AY3" s="207"/>
      <c r="BP3" s="210"/>
      <c r="BR3" s="210"/>
      <c r="CD3" s="201" t="s">
        <v>529</v>
      </c>
      <c r="CE3" s="201" t="s">
        <v>529</v>
      </c>
      <c r="CG3" s="201" t="s">
        <v>529</v>
      </c>
      <c r="CJ3" s="211"/>
      <c r="CK3" s="219"/>
      <c r="CL3" s="211"/>
      <c r="CM3" s="211"/>
      <c r="CN3" s="211"/>
      <c r="CO3" s="211"/>
      <c r="CP3" s="219"/>
      <c r="CQ3" s="211"/>
      <c r="CR3" s="211"/>
      <c r="CV3" s="219"/>
      <c r="CW3" s="219"/>
      <c r="CZ3" s="210"/>
      <c r="DI3" s="211"/>
      <c r="DJ3" s="211"/>
      <c r="DK3" s="211"/>
      <c r="EI3" s="221"/>
      <c r="FJ3" s="497" t="s">
        <v>530</v>
      </c>
      <c r="FK3" s="497" t="s">
        <v>530</v>
      </c>
      <c r="FL3" s="225" t="s">
        <v>530</v>
      </c>
      <c r="FM3" s="497" t="s">
        <v>530</v>
      </c>
      <c r="FN3" s="497" t="s">
        <v>530</v>
      </c>
      <c r="FU3" s="498" t="s">
        <v>530</v>
      </c>
      <c r="FV3" s="498"/>
      <c r="FW3" s="498" t="s">
        <v>530</v>
      </c>
      <c r="FX3" s="498"/>
      <c r="FY3" s="498" t="s">
        <v>530</v>
      </c>
      <c r="FZ3" s="498"/>
      <c r="GA3" s="498" t="s">
        <v>530</v>
      </c>
      <c r="GB3" s="498"/>
      <c r="GC3" s="498" t="s">
        <v>530</v>
      </c>
      <c r="GD3" s="498"/>
      <c r="GE3" s="498" t="s">
        <v>530</v>
      </c>
      <c r="GF3" s="498"/>
      <c r="GG3" s="498" t="s">
        <v>530</v>
      </c>
      <c r="GH3" s="498"/>
      <c r="GQ3" s="207" t="s">
        <v>2286</v>
      </c>
    </row>
    <row r="4" spans="1:201" ht="15.75">
      <c r="A4" s="207" t="s">
        <v>2264</v>
      </c>
      <c r="M4" s="210"/>
      <c r="S4" s="210"/>
      <c r="X4" s="207" t="s">
        <v>2263</v>
      </c>
      <c r="AB4" s="211"/>
      <c r="AC4" s="211"/>
      <c r="AD4" s="211"/>
      <c r="AE4" s="211"/>
      <c r="AF4" s="211" t="s">
        <v>2263</v>
      </c>
      <c r="AG4" s="211"/>
      <c r="AH4" s="211"/>
      <c r="AI4" s="211"/>
      <c r="AM4" s="210"/>
      <c r="AO4" s="212"/>
      <c r="AP4" s="212"/>
      <c r="AQ4" s="212"/>
      <c r="AY4" s="207"/>
      <c r="BP4" s="210"/>
      <c r="BR4" s="210"/>
      <c r="CD4" s="201"/>
      <c r="CE4" s="201"/>
      <c r="CG4" s="201"/>
      <c r="CJ4" s="211"/>
      <c r="CK4" s="219"/>
      <c r="CL4" s="211"/>
      <c r="CM4" s="211"/>
      <c r="CN4" s="211"/>
      <c r="CO4" s="211"/>
      <c r="CP4" s="219"/>
      <c r="CQ4" s="211"/>
      <c r="CR4" s="211"/>
      <c r="CV4" s="219"/>
      <c r="CW4" s="219"/>
      <c r="CZ4" s="210"/>
      <c r="DI4" s="211"/>
      <c r="DJ4" s="211"/>
      <c r="DK4" s="211"/>
      <c r="EI4" s="221"/>
      <c r="FJ4" s="497"/>
      <c r="FK4" s="497"/>
      <c r="FL4" s="225"/>
      <c r="FM4" s="497"/>
      <c r="FN4" s="497"/>
      <c r="FU4" s="498"/>
      <c r="FV4" s="498"/>
      <c r="FW4" s="498"/>
      <c r="FX4" s="498"/>
      <c r="FY4" s="498"/>
      <c r="FZ4" s="498"/>
      <c r="GA4" s="498"/>
      <c r="GB4" s="498"/>
      <c r="GC4" s="498"/>
      <c r="GD4" s="498"/>
      <c r="GE4" s="498"/>
      <c r="GF4" s="498"/>
      <c r="GG4" s="498"/>
      <c r="GH4" s="498"/>
      <c r="GQ4" s="207">
        <v>2014</v>
      </c>
    </row>
    <row r="5" spans="1:201" s="226" customFormat="1" ht="114.75" customHeight="1" thickBot="1">
      <c r="A5" s="226" t="s">
        <v>66</v>
      </c>
      <c r="B5" s="226" t="s">
        <v>532</v>
      </c>
      <c r="C5" s="227" t="s">
        <v>533</v>
      </c>
      <c r="D5" s="228" t="s">
        <v>534</v>
      </c>
      <c r="E5" s="229" t="s">
        <v>474</v>
      </c>
      <c r="F5" s="229" t="s">
        <v>535</v>
      </c>
      <c r="G5" s="226" t="s">
        <v>475</v>
      </c>
      <c r="H5" s="227" t="s">
        <v>476</v>
      </c>
      <c r="I5" s="227" t="s">
        <v>536</v>
      </c>
      <c r="J5" s="228" t="s">
        <v>426</v>
      </c>
      <c r="K5" s="228" t="s">
        <v>427</v>
      </c>
      <c r="L5" s="227" t="s">
        <v>428</v>
      </c>
      <c r="M5" s="227" t="s">
        <v>537</v>
      </c>
      <c r="N5" s="227" t="s">
        <v>429</v>
      </c>
      <c r="O5" s="227" t="s">
        <v>538</v>
      </c>
      <c r="P5" s="227" t="s">
        <v>430</v>
      </c>
      <c r="Q5" s="227" t="s">
        <v>431</v>
      </c>
      <c r="R5" s="227" t="s">
        <v>432</v>
      </c>
      <c r="S5" s="230" t="s">
        <v>433</v>
      </c>
      <c r="T5" s="659" t="s">
        <v>315</v>
      </c>
      <c r="U5" s="659" t="s">
        <v>316</v>
      </c>
      <c r="V5" s="659" t="s">
        <v>314</v>
      </c>
      <c r="W5" s="659" t="s">
        <v>1758</v>
      </c>
      <c r="X5" s="228" t="s">
        <v>539</v>
      </c>
      <c r="Y5" s="229" t="s">
        <v>540</v>
      </c>
      <c r="Z5" s="229" t="s">
        <v>541</v>
      </c>
      <c r="AA5" s="229" t="s">
        <v>542</v>
      </c>
      <c r="AB5" s="229" t="s">
        <v>543</v>
      </c>
      <c r="AC5" s="229" t="s">
        <v>2594</v>
      </c>
      <c r="AD5" s="229" t="s">
        <v>2595</v>
      </c>
      <c r="AE5" s="229" t="s">
        <v>2596</v>
      </c>
      <c r="AF5" s="229" t="s">
        <v>2597</v>
      </c>
      <c r="AG5" s="229" t="s">
        <v>2598</v>
      </c>
      <c r="AH5" s="229" t="s">
        <v>2599</v>
      </c>
      <c r="AI5" s="228" t="s">
        <v>544</v>
      </c>
      <c r="AJ5" s="227" t="s">
        <v>545</v>
      </c>
      <c r="AK5" s="227" t="s">
        <v>546</v>
      </c>
      <c r="AL5" s="227" t="s">
        <v>547</v>
      </c>
      <c r="AM5" s="227" t="s">
        <v>548</v>
      </c>
      <c r="AN5" s="226" t="s">
        <v>549</v>
      </c>
      <c r="AO5" s="227" t="s">
        <v>550</v>
      </c>
      <c r="AP5" s="227" t="s">
        <v>551</v>
      </c>
      <c r="AQ5" s="231" t="s">
        <v>552</v>
      </c>
      <c r="AR5" s="227" t="s">
        <v>4556</v>
      </c>
      <c r="AS5" s="226" t="s">
        <v>4557</v>
      </c>
      <c r="AT5" s="227" t="s">
        <v>4558</v>
      </c>
      <c r="AU5" s="227" t="s">
        <v>4559</v>
      </c>
      <c r="AV5" s="227" t="s">
        <v>553</v>
      </c>
      <c r="AW5" s="227" t="s">
        <v>554</v>
      </c>
      <c r="AX5" s="227" t="s">
        <v>555</v>
      </c>
      <c r="AY5" s="227" t="s">
        <v>556</v>
      </c>
      <c r="AZ5" s="227" t="s">
        <v>557</v>
      </c>
      <c r="BA5" s="227" t="s">
        <v>558</v>
      </c>
      <c r="BB5" s="227" t="s">
        <v>559</v>
      </c>
      <c r="BC5" s="227" t="s">
        <v>560</v>
      </c>
      <c r="BD5" s="227" t="s">
        <v>561</v>
      </c>
      <c r="BE5" s="227" t="s">
        <v>562</v>
      </c>
      <c r="BF5" s="227" t="s">
        <v>563</v>
      </c>
      <c r="BG5" s="226" t="s">
        <v>564</v>
      </c>
      <c r="BH5" s="226" t="s">
        <v>565</v>
      </c>
      <c r="BI5" s="227" t="s">
        <v>566</v>
      </c>
      <c r="BJ5" s="227" t="s">
        <v>567</v>
      </c>
      <c r="BK5" s="227" t="s">
        <v>568</v>
      </c>
      <c r="BL5" s="227" t="s">
        <v>569</v>
      </c>
      <c r="BM5" s="227" t="s">
        <v>570</v>
      </c>
      <c r="BN5" s="227" t="s">
        <v>571</v>
      </c>
      <c r="BO5" s="227" t="s">
        <v>572</v>
      </c>
      <c r="BP5" s="227" t="s">
        <v>573</v>
      </c>
      <c r="BQ5" s="227" t="s">
        <v>574</v>
      </c>
      <c r="BR5" s="227" t="s">
        <v>575</v>
      </c>
      <c r="BS5" s="226" t="s">
        <v>576</v>
      </c>
      <c r="BT5" s="226" t="s">
        <v>577</v>
      </c>
      <c r="BU5" s="227" t="s">
        <v>578</v>
      </c>
      <c r="BV5" s="227" t="s">
        <v>579</v>
      </c>
      <c r="BW5" s="227" t="s">
        <v>580</v>
      </c>
      <c r="BX5" s="227" t="s">
        <v>581</v>
      </c>
      <c r="BY5" s="227" t="s">
        <v>582</v>
      </c>
      <c r="BZ5" s="227" t="s">
        <v>583</v>
      </c>
      <c r="CA5" s="227" t="s">
        <v>584</v>
      </c>
      <c r="CB5" s="227" t="s">
        <v>585</v>
      </c>
      <c r="CC5" s="227" t="s">
        <v>586</v>
      </c>
      <c r="CD5" s="229" t="s">
        <v>313</v>
      </c>
      <c r="CE5" s="229" t="s">
        <v>587</v>
      </c>
      <c r="CF5" s="228" t="s">
        <v>588</v>
      </c>
      <c r="CG5" s="229" t="s">
        <v>589</v>
      </c>
      <c r="CH5" s="229" t="s">
        <v>590</v>
      </c>
      <c r="CI5" s="227" t="s">
        <v>591</v>
      </c>
      <c r="CJ5" s="228" t="s">
        <v>592</v>
      </c>
      <c r="CK5" s="228" t="s">
        <v>593</v>
      </c>
      <c r="CL5" s="232" t="s">
        <v>594</v>
      </c>
      <c r="CM5" s="229" t="s">
        <v>595</v>
      </c>
      <c r="CN5" s="228" t="s">
        <v>153</v>
      </c>
      <c r="CO5" s="229" t="s">
        <v>531</v>
      </c>
      <c r="CP5" s="229" t="s">
        <v>596</v>
      </c>
      <c r="CQ5" s="228" t="s">
        <v>477</v>
      </c>
      <c r="CR5" s="228" t="s">
        <v>597</v>
      </c>
      <c r="CS5" s="226" t="s">
        <v>478</v>
      </c>
      <c r="CT5" s="226" t="s">
        <v>479</v>
      </c>
      <c r="CU5" s="226" t="s">
        <v>480</v>
      </c>
      <c r="CV5" s="229" t="s">
        <v>598</v>
      </c>
      <c r="CW5" s="229" t="s">
        <v>599</v>
      </c>
      <c r="CX5" s="226" t="s">
        <v>600</v>
      </c>
      <c r="CY5" s="226" t="s">
        <v>601</v>
      </c>
      <c r="CZ5" s="228" t="s">
        <v>602</v>
      </c>
      <c r="DA5" s="226" t="s">
        <v>603</v>
      </c>
      <c r="DB5" s="233" t="s">
        <v>604</v>
      </c>
      <c r="DC5" s="229" t="s">
        <v>605</v>
      </c>
      <c r="DD5" s="226" t="s">
        <v>606</v>
      </c>
      <c r="DE5" s="226" t="s">
        <v>607</v>
      </c>
      <c r="DF5" s="226" t="s">
        <v>608</v>
      </c>
      <c r="DG5" s="226" t="s">
        <v>609</v>
      </c>
      <c r="DH5" s="641" t="s">
        <v>610</v>
      </c>
      <c r="DI5" s="640" t="s">
        <v>611</v>
      </c>
      <c r="DJ5" s="640" t="s">
        <v>612</v>
      </c>
      <c r="DK5" s="640" t="s">
        <v>613</v>
      </c>
      <c r="DL5" s="229" t="s">
        <v>614</v>
      </c>
      <c r="DM5" s="229" t="s">
        <v>615</v>
      </c>
      <c r="DN5" s="229" t="s">
        <v>616</v>
      </c>
      <c r="DO5" s="226" t="s">
        <v>617</v>
      </c>
      <c r="DP5" s="229" t="s">
        <v>618</v>
      </c>
      <c r="DQ5" s="229" t="s">
        <v>619</v>
      </c>
      <c r="DR5" s="229" t="s">
        <v>620</v>
      </c>
      <c r="DS5" s="228" t="s">
        <v>621</v>
      </c>
      <c r="DT5" s="228" t="s">
        <v>622</v>
      </c>
      <c r="DU5" s="229" t="s">
        <v>623</v>
      </c>
      <c r="DV5" s="229" t="s">
        <v>624</v>
      </c>
      <c r="DW5" s="229" t="s">
        <v>625</v>
      </c>
      <c r="DX5" s="229" t="s">
        <v>626</v>
      </c>
      <c r="DY5" s="229" t="s">
        <v>627</v>
      </c>
      <c r="DZ5" s="229" t="s">
        <v>628</v>
      </c>
      <c r="EA5" s="229" t="s">
        <v>629</v>
      </c>
      <c r="EB5" s="229" t="s">
        <v>630</v>
      </c>
      <c r="EC5" s="226" t="s">
        <v>631</v>
      </c>
      <c r="ED5" s="229" t="s">
        <v>481</v>
      </c>
      <c r="EE5" s="228" t="s">
        <v>632</v>
      </c>
      <c r="EF5" s="229" t="s">
        <v>633</v>
      </c>
      <c r="EG5" s="229" t="s">
        <v>634</v>
      </c>
      <c r="EH5" s="226" t="s">
        <v>635</v>
      </c>
      <c r="EI5" s="227" t="s">
        <v>636</v>
      </c>
      <c r="EJ5" s="227" t="s">
        <v>637</v>
      </c>
      <c r="EK5" s="234" t="s">
        <v>638</v>
      </c>
      <c r="EL5" s="229" t="s">
        <v>639</v>
      </c>
      <c r="EM5" s="226" t="s">
        <v>640</v>
      </c>
      <c r="EN5" s="226" t="s">
        <v>641</v>
      </c>
      <c r="EO5" s="226" t="s">
        <v>642</v>
      </c>
      <c r="EP5" s="229" t="s">
        <v>643</v>
      </c>
      <c r="EQ5" s="226" t="s">
        <v>644</v>
      </c>
      <c r="ER5" s="226" t="s">
        <v>645</v>
      </c>
      <c r="ES5" s="226" t="s">
        <v>646</v>
      </c>
      <c r="ET5" s="226" t="s">
        <v>647</v>
      </c>
      <c r="EU5" s="228" t="s">
        <v>648</v>
      </c>
      <c r="EV5" s="228" t="s">
        <v>649</v>
      </c>
      <c r="EW5" s="228" t="s">
        <v>650</v>
      </c>
      <c r="EX5" s="228" t="s">
        <v>651</v>
      </c>
      <c r="EY5" s="228" t="s">
        <v>652</v>
      </c>
      <c r="EZ5" s="228" t="s">
        <v>653</v>
      </c>
      <c r="FA5" s="235" t="s">
        <v>654</v>
      </c>
      <c r="FB5" s="226" t="s">
        <v>655</v>
      </c>
      <c r="FC5" s="226" t="s">
        <v>656</v>
      </c>
      <c r="FD5" s="226" t="s">
        <v>657</v>
      </c>
      <c r="FE5" s="226" t="s">
        <v>483</v>
      </c>
      <c r="FF5" s="226" t="s">
        <v>658</v>
      </c>
      <c r="FG5" s="226" t="s">
        <v>659</v>
      </c>
      <c r="FH5" s="226" t="s">
        <v>660</v>
      </c>
      <c r="FI5" s="226" t="s">
        <v>661</v>
      </c>
      <c r="FJ5" s="226" t="s">
        <v>662</v>
      </c>
      <c r="FK5" s="226" t="s">
        <v>663</v>
      </c>
      <c r="FL5" s="235" t="s">
        <v>485</v>
      </c>
      <c r="FM5" s="226" t="s">
        <v>664</v>
      </c>
      <c r="FN5" s="226" t="s">
        <v>434</v>
      </c>
      <c r="FO5" s="226" t="s">
        <v>328</v>
      </c>
      <c r="FP5" s="226" t="s">
        <v>665</v>
      </c>
      <c r="FQ5" s="226" t="s">
        <v>666</v>
      </c>
      <c r="FR5" s="226" t="s">
        <v>667</v>
      </c>
      <c r="FS5" s="226" t="s">
        <v>668</v>
      </c>
      <c r="FT5" s="226" t="s">
        <v>669</v>
      </c>
      <c r="FU5" s="226" t="s">
        <v>484</v>
      </c>
      <c r="FV5" s="226" t="s">
        <v>485</v>
      </c>
      <c r="FW5" s="226" t="s">
        <v>486</v>
      </c>
      <c r="FX5" s="226" t="s">
        <v>485</v>
      </c>
      <c r="FY5" s="226" t="s">
        <v>487</v>
      </c>
      <c r="FZ5" s="226" t="s">
        <v>485</v>
      </c>
      <c r="GA5" s="226" t="s">
        <v>488</v>
      </c>
      <c r="GB5" s="226" t="s">
        <v>485</v>
      </c>
      <c r="GC5" s="226" t="s">
        <v>490</v>
      </c>
      <c r="GD5" s="226" t="s">
        <v>485</v>
      </c>
      <c r="GE5" s="226" t="s">
        <v>491</v>
      </c>
      <c r="GF5" s="226" t="s">
        <v>485</v>
      </c>
      <c r="GG5" s="226" t="s">
        <v>492</v>
      </c>
      <c r="GH5" s="226" t="s">
        <v>485</v>
      </c>
      <c r="GI5" s="226" t="s">
        <v>670</v>
      </c>
      <c r="GJ5" s="946" t="s">
        <v>2783</v>
      </c>
      <c r="GK5" s="226" t="s">
        <v>27</v>
      </c>
      <c r="GL5" s="226" t="s">
        <v>28</v>
      </c>
      <c r="GM5" s="226" t="s">
        <v>29</v>
      </c>
      <c r="GN5" s="226" t="s">
        <v>152</v>
      </c>
      <c r="GO5" s="228" t="s">
        <v>1770</v>
      </c>
      <c r="GP5" s="228" t="s">
        <v>1762</v>
      </c>
      <c r="GQ5" s="228" t="s">
        <v>2287</v>
      </c>
      <c r="GR5" s="228" t="s">
        <v>2326</v>
      </c>
      <c r="GS5" s="226" t="s">
        <v>2644</v>
      </c>
    </row>
    <row r="6" spans="1:201" s="237" customFormat="1" ht="16.5" customHeight="1">
      <c r="A6" s="236" t="s">
        <v>672</v>
      </c>
      <c r="C6" s="238"/>
      <c r="D6" s="238">
        <v>1990</v>
      </c>
      <c r="E6" s="238">
        <v>925</v>
      </c>
      <c r="F6" s="239">
        <v>0.46482412060301509</v>
      </c>
      <c r="G6" s="238">
        <v>580</v>
      </c>
      <c r="H6" s="240">
        <v>121.77123887816822</v>
      </c>
      <c r="I6" s="239">
        <v>0.13164458257099268</v>
      </c>
      <c r="J6" s="238">
        <v>211</v>
      </c>
      <c r="K6" s="238">
        <v>310</v>
      </c>
      <c r="L6" s="238">
        <v>72</v>
      </c>
      <c r="M6" s="241">
        <v>3.6180904522613064E-2</v>
      </c>
      <c r="N6" s="238">
        <v>0</v>
      </c>
      <c r="O6" s="239">
        <v>0</v>
      </c>
      <c r="P6" s="237">
        <v>4</v>
      </c>
      <c r="Q6" s="237">
        <v>0</v>
      </c>
      <c r="R6" s="239">
        <v>0</v>
      </c>
      <c r="S6" s="238">
        <v>553</v>
      </c>
      <c r="T6" s="436">
        <v>0</v>
      </c>
      <c r="U6" s="436">
        <v>0</v>
      </c>
      <c r="V6" s="436">
        <v>39</v>
      </c>
      <c r="W6" s="436">
        <v>39</v>
      </c>
      <c r="X6" s="238">
        <v>12216</v>
      </c>
      <c r="Y6" s="237">
        <v>0.13339999999999999</v>
      </c>
      <c r="Z6" s="238">
        <v>177236</v>
      </c>
      <c r="AA6" s="238">
        <v>14683</v>
      </c>
      <c r="AB6" s="238">
        <v>89.71</v>
      </c>
      <c r="AC6" s="238">
        <v>22</v>
      </c>
      <c r="AD6" s="238">
        <v>14516097.560000001</v>
      </c>
      <c r="AE6" s="238">
        <v>222221.4299999997</v>
      </c>
      <c r="AF6" s="238">
        <v>13992113.199999999</v>
      </c>
      <c r="AG6" s="238">
        <v>1033791.11</v>
      </c>
      <c r="AH6" s="239">
        <v>7.3883844078677124E-2</v>
      </c>
      <c r="AI6" s="242">
        <v>242.47197399999999</v>
      </c>
      <c r="AJ6" s="242">
        <v>101.94291699999999</v>
      </c>
      <c r="AK6" s="242">
        <v>5.1227596482412059</v>
      </c>
      <c r="AL6" s="242">
        <v>192.10569100000001</v>
      </c>
      <c r="AM6" s="242">
        <v>9.6535523115577888</v>
      </c>
      <c r="AN6" s="242">
        <v>51584.46</v>
      </c>
      <c r="AO6" s="238">
        <v>12254.41</v>
      </c>
      <c r="AP6" s="243">
        <v>39</v>
      </c>
      <c r="AQ6" s="238">
        <v>1</v>
      </c>
      <c r="AR6" s="238">
        <v>1371.4720738795304</v>
      </c>
      <c r="AS6" s="238">
        <v>1620.7414367315978</v>
      </c>
      <c r="AT6" s="238">
        <v>847369.66666666663</v>
      </c>
      <c r="AU6" s="238">
        <v>279.93703375918659</v>
      </c>
      <c r="AV6" s="237">
        <v>1</v>
      </c>
      <c r="AW6" s="237">
        <v>0</v>
      </c>
      <c r="AX6" s="237">
        <v>1</v>
      </c>
      <c r="AY6" s="244" t="s">
        <v>673</v>
      </c>
      <c r="AZ6" s="244" t="s">
        <v>673</v>
      </c>
      <c r="BA6" s="237">
        <v>2011</v>
      </c>
      <c r="BB6" s="245" t="s">
        <v>674</v>
      </c>
      <c r="BC6" s="215" t="s">
        <v>675</v>
      </c>
      <c r="BE6" s="237">
        <v>125</v>
      </c>
      <c r="BF6" s="237">
        <v>102</v>
      </c>
      <c r="BG6" s="246" t="s">
        <v>676</v>
      </c>
      <c r="BI6" s="239">
        <v>0.44818976279650435</v>
      </c>
      <c r="BJ6" s="239">
        <v>9.1249574395641811E-2</v>
      </c>
      <c r="BK6" s="239">
        <v>0.41414141414141414</v>
      </c>
      <c r="BL6" s="239">
        <v>4.6419248666439678E-2</v>
      </c>
      <c r="BM6" s="247">
        <v>1.9412098513222109</v>
      </c>
      <c r="BN6" s="248">
        <v>1</v>
      </c>
      <c r="BO6" s="248">
        <v>1</v>
      </c>
      <c r="BP6" s="237">
        <v>0</v>
      </c>
      <c r="BQ6" s="237">
        <v>0</v>
      </c>
      <c r="BR6" s="248">
        <v>2</v>
      </c>
      <c r="BS6" s="237">
        <v>6</v>
      </c>
      <c r="BT6" s="237" t="s">
        <v>677</v>
      </c>
      <c r="BU6" s="249">
        <v>829</v>
      </c>
      <c r="BV6" s="249">
        <v>1059</v>
      </c>
      <c r="BW6" s="249">
        <v>6259</v>
      </c>
      <c r="BX6" s="249" t="s">
        <v>678</v>
      </c>
      <c r="BY6" s="249">
        <v>6.8768145997511407</v>
      </c>
      <c r="BZ6" s="249">
        <v>8.7847366238075484</v>
      </c>
      <c r="CA6" s="249">
        <v>51.920364993778513</v>
      </c>
      <c r="CB6" s="249" t="s">
        <v>678</v>
      </c>
      <c r="CC6" s="250">
        <v>90.120282040647027</v>
      </c>
      <c r="CD6" s="251">
        <v>767</v>
      </c>
      <c r="CE6" s="252">
        <v>106.36250518457072</v>
      </c>
      <c r="CF6" s="238">
        <v>4450</v>
      </c>
      <c r="CG6" s="238">
        <v>934</v>
      </c>
      <c r="CH6" s="238">
        <v>7.7478224802986313</v>
      </c>
      <c r="CI6" s="216" t="s">
        <v>679</v>
      </c>
      <c r="CJ6" s="237">
        <v>0</v>
      </c>
      <c r="CK6" s="253">
        <v>155.11000000000001</v>
      </c>
      <c r="CL6" s="253">
        <v>399.00540000000001</v>
      </c>
      <c r="CM6" s="254">
        <v>0.20050522613065327</v>
      </c>
      <c r="CN6" s="237" t="s">
        <v>90</v>
      </c>
      <c r="CO6" s="242">
        <v>133.04</v>
      </c>
      <c r="CP6" s="255">
        <v>6.6854271356783915E-2</v>
      </c>
      <c r="CV6" s="237">
        <v>7</v>
      </c>
      <c r="CW6" s="194">
        <v>0.74199999999999999</v>
      </c>
      <c r="CX6" s="194" t="s">
        <v>680</v>
      </c>
      <c r="CY6" s="194">
        <v>1.377</v>
      </c>
      <c r="DB6" s="216" t="s">
        <v>681</v>
      </c>
      <c r="DC6" s="256"/>
      <c r="DD6" s="256">
        <v>0.7</v>
      </c>
      <c r="DE6" s="256">
        <v>-6.5</v>
      </c>
      <c r="DF6" s="256">
        <v>0.7</v>
      </c>
      <c r="DG6" s="256">
        <v>-2.2000000000000002</v>
      </c>
      <c r="DH6" s="257">
        <v>3</v>
      </c>
      <c r="DI6" s="257">
        <v>2</v>
      </c>
      <c r="DJ6" s="257">
        <v>2.23</v>
      </c>
      <c r="DK6" s="257">
        <v>4.2300000000000004</v>
      </c>
      <c r="DL6" s="237" t="s">
        <v>682</v>
      </c>
      <c r="DO6" s="237">
        <v>3</v>
      </c>
      <c r="DP6" s="258" t="s">
        <v>683</v>
      </c>
      <c r="DQ6" s="258" t="s">
        <v>684</v>
      </c>
      <c r="DR6" s="258" t="s">
        <v>685</v>
      </c>
      <c r="DS6" s="258"/>
      <c r="DT6" s="258"/>
      <c r="DU6" s="237">
        <v>0</v>
      </c>
      <c r="DX6" s="247"/>
      <c r="DY6" s="247">
        <v>0</v>
      </c>
      <c r="EA6" s="237">
        <v>1</v>
      </c>
      <c r="EB6" s="237" t="s">
        <v>686</v>
      </c>
      <c r="ED6" s="216" t="s">
        <v>687</v>
      </c>
      <c r="EE6" s="208">
        <v>4</v>
      </c>
      <c r="EF6" s="216" t="s">
        <v>688</v>
      </c>
      <c r="EG6" s="216" t="s">
        <v>689</v>
      </c>
      <c r="EH6" s="246" t="s">
        <v>690</v>
      </c>
      <c r="EI6" s="216" t="s">
        <v>691</v>
      </c>
      <c r="EJ6" s="216" t="s">
        <v>529</v>
      </c>
      <c r="EK6" s="222" t="s">
        <v>682</v>
      </c>
      <c r="EL6" s="259">
        <v>1998</v>
      </c>
      <c r="EM6" s="260">
        <v>3275</v>
      </c>
      <c r="EN6" s="260">
        <v>550926</v>
      </c>
      <c r="EO6" s="260">
        <v>384520</v>
      </c>
      <c r="ER6" s="237" t="s">
        <v>692</v>
      </c>
      <c r="ES6" s="237">
        <v>6027.5</v>
      </c>
      <c r="ET6" s="237">
        <v>117.41068702290076</v>
      </c>
      <c r="EU6" s="661">
        <v>3</v>
      </c>
      <c r="EV6" s="661">
        <v>4</v>
      </c>
      <c r="EW6" s="661">
        <v>6</v>
      </c>
      <c r="EX6" s="661">
        <v>6</v>
      </c>
      <c r="EY6" s="660">
        <v>7.7944723618090461E-2</v>
      </c>
      <c r="EZ6" s="256">
        <v>77.719038101992126</v>
      </c>
      <c r="FA6" s="247">
        <v>0.7567567567567568</v>
      </c>
      <c r="FB6" s="208">
        <v>5</v>
      </c>
      <c r="FC6" s="208">
        <v>2</v>
      </c>
      <c r="FD6" s="208" t="s">
        <v>678</v>
      </c>
      <c r="FE6" s="239">
        <v>0.62702702702702706</v>
      </c>
      <c r="FF6" s="208"/>
      <c r="FG6" s="241">
        <v>4.5729729729729737E-3</v>
      </c>
      <c r="FH6" s="209">
        <v>0</v>
      </c>
      <c r="FI6" s="237" t="s">
        <v>678</v>
      </c>
      <c r="FJ6" s="208" t="s">
        <v>678</v>
      </c>
      <c r="FK6" s="208" t="s">
        <v>678</v>
      </c>
      <c r="FL6" s="217" t="s">
        <v>678</v>
      </c>
      <c r="FM6" s="208" t="s">
        <v>678</v>
      </c>
      <c r="FN6" s="208" t="s">
        <v>678</v>
      </c>
      <c r="FP6" s="247" t="s">
        <v>693</v>
      </c>
      <c r="FU6" s="208" t="s">
        <v>678</v>
      </c>
      <c r="FV6" s="208" t="s">
        <v>678</v>
      </c>
      <c r="FW6" s="208" t="s">
        <v>678</v>
      </c>
      <c r="FX6" s="208" t="s">
        <v>678</v>
      </c>
      <c r="FY6" s="208" t="s">
        <v>678</v>
      </c>
      <c r="FZ6" s="208" t="s">
        <v>678</v>
      </c>
      <c r="GA6" s="208" t="s">
        <v>678</v>
      </c>
      <c r="GB6" s="208" t="s">
        <v>678</v>
      </c>
      <c r="GC6" s="208" t="s">
        <v>678</v>
      </c>
      <c r="GD6" s="208" t="s">
        <v>678</v>
      </c>
      <c r="GE6" s="237" t="s">
        <v>678</v>
      </c>
      <c r="GF6" s="237" t="s">
        <v>678</v>
      </c>
      <c r="GG6" s="237" t="s">
        <v>678</v>
      </c>
      <c r="GH6" s="237" t="s">
        <v>678</v>
      </c>
      <c r="GJ6" s="947">
        <v>541</v>
      </c>
      <c r="GK6" s="320">
        <v>1E-3</v>
      </c>
      <c r="GL6" s="320">
        <v>0.42399999999999999</v>
      </c>
      <c r="GM6" s="320">
        <v>3.4000000000000002E-2</v>
      </c>
      <c r="GN6" s="320">
        <v>0.54200000000000004</v>
      </c>
      <c r="GO6" s="662">
        <v>8001</v>
      </c>
      <c r="GP6" s="663" t="str">
        <f>VLOOKUP(GS6,'BD Comarcal'!$A$6:$AV$17,48,FALSE)</f>
        <v>11</v>
      </c>
      <c r="GQ6" s="564">
        <v>67</v>
      </c>
      <c r="GR6" s="256">
        <f>IF(DI6&gt;0,1,0)</f>
        <v>1</v>
      </c>
      <c r="GS6" s="237" t="s">
        <v>90</v>
      </c>
    </row>
    <row r="7" spans="1:201" s="237" customFormat="1" ht="17.25" customHeight="1">
      <c r="A7" s="236" t="s">
        <v>694</v>
      </c>
      <c r="C7" s="238"/>
      <c r="D7" s="238">
        <v>4332</v>
      </c>
      <c r="E7" s="238">
        <v>2839</v>
      </c>
      <c r="F7" s="239">
        <v>0.65535549399815329</v>
      </c>
      <c r="G7" s="238">
        <v>1299</v>
      </c>
      <c r="H7" s="240">
        <v>1244.5450269378211</v>
      </c>
      <c r="I7" s="239">
        <v>0.43837443710384683</v>
      </c>
      <c r="J7" s="238">
        <v>1131</v>
      </c>
      <c r="K7" s="238">
        <v>107</v>
      </c>
      <c r="L7" s="238">
        <v>0</v>
      </c>
      <c r="M7" s="241">
        <v>0</v>
      </c>
      <c r="N7" s="238">
        <v>0</v>
      </c>
      <c r="O7" s="239">
        <v>0</v>
      </c>
      <c r="P7" s="237">
        <v>15</v>
      </c>
      <c r="Q7" s="237">
        <v>1</v>
      </c>
      <c r="R7" s="239">
        <v>6.6666666666666666E-2</v>
      </c>
      <c r="S7" s="238">
        <v>686</v>
      </c>
      <c r="T7" s="436">
        <v>0</v>
      </c>
      <c r="U7" s="436">
        <v>0</v>
      </c>
      <c r="V7" s="436">
        <v>0</v>
      </c>
      <c r="W7" s="436">
        <v>0</v>
      </c>
      <c r="X7" s="238">
        <v>253</v>
      </c>
      <c r="Y7" s="237">
        <v>0.2271</v>
      </c>
      <c r="Z7" s="238">
        <v>3773</v>
      </c>
      <c r="AA7" s="238">
        <v>15335</v>
      </c>
      <c r="AB7" s="238">
        <v>93.7</v>
      </c>
      <c r="AC7" s="238">
        <v>1514</v>
      </c>
      <c r="AD7" s="238">
        <v>2241163.4300000002</v>
      </c>
      <c r="AE7" s="238">
        <v>-65845.919999999925</v>
      </c>
      <c r="AF7" s="238">
        <v>2195713.7200000002</v>
      </c>
      <c r="AG7" s="238">
        <v>524584.25</v>
      </c>
      <c r="AH7" s="239">
        <v>0.23891286246551302</v>
      </c>
      <c r="AI7" s="242">
        <v>9.3438269999999992</v>
      </c>
      <c r="AJ7" s="242">
        <v>2.0751140000000001</v>
      </c>
      <c r="AK7" s="242">
        <v>4.7901985226223458E-2</v>
      </c>
      <c r="AL7" s="261" t="s">
        <v>678</v>
      </c>
      <c r="AM7" s="242" t="s">
        <v>678</v>
      </c>
      <c r="AN7" s="242">
        <v>19766.25</v>
      </c>
      <c r="AO7" s="238">
        <v>18602.740000000002</v>
      </c>
      <c r="AP7" s="243">
        <v>121</v>
      </c>
      <c r="AQ7" s="238"/>
      <c r="AR7" s="238">
        <v>1595.0495319833599</v>
      </c>
      <c r="AS7" s="238">
        <v>1148.79182932154</v>
      </c>
      <c r="AT7" s="238">
        <v>13209</v>
      </c>
      <c r="AU7" s="238">
        <v>333.81117525920359</v>
      </c>
      <c r="AV7" s="237">
        <v>1</v>
      </c>
      <c r="AW7" s="237">
        <v>1</v>
      </c>
      <c r="AX7" s="237">
        <v>1</v>
      </c>
      <c r="AY7" s="244" t="s">
        <v>673</v>
      </c>
      <c r="AZ7" s="244" t="s">
        <v>695</v>
      </c>
      <c r="BA7" s="237">
        <v>2009</v>
      </c>
      <c r="BB7" s="245" t="s">
        <v>696</v>
      </c>
      <c r="BC7" s="215" t="s">
        <v>697</v>
      </c>
      <c r="BE7" s="237">
        <v>3</v>
      </c>
      <c r="BF7" s="237">
        <v>70</v>
      </c>
      <c r="BG7" s="246" t="s">
        <v>698</v>
      </c>
      <c r="BI7" s="239">
        <v>0.77027027027027029</v>
      </c>
      <c r="BJ7" s="239">
        <v>0.20270270270270271</v>
      </c>
      <c r="BK7" s="239">
        <v>2.7027027027027029E-2</v>
      </c>
      <c r="BL7" s="239">
        <v>0</v>
      </c>
      <c r="BM7" s="247">
        <v>2.7432432432432434</v>
      </c>
      <c r="BN7" s="248">
        <v>0</v>
      </c>
      <c r="BO7" s="248">
        <v>0</v>
      </c>
      <c r="BP7" s="237">
        <v>0</v>
      </c>
      <c r="BQ7" s="237">
        <v>0</v>
      </c>
      <c r="BR7" s="248">
        <v>0</v>
      </c>
      <c r="BS7" s="237">
        <v>22.4</v>
      </c>
      <c r="BT7" s="237" t="s">
        <v>699</v>
      </c>
      <c r="BU7" s="249" t="s">
        <v>678</v>
      </c>
      <c r="BV7" s="249" t="s">
        <v>678</v>
      </c>
      <c r="BW7" s="249" t="s">
        <v>678</v>
      </c>
      <c r="BX7" s="249" t="s">
        <v>678</v>
      </c>
      <c r="BY7" s="249" t="s">
        <v>678</v>
      </c>
      <c r="BZ7" s="249" t="s">
        <v>678</v>
      </c>
      <c r="CA7" s="249" t="s">
        <v>678</v>
      </c>
      <c r="CB7" s="249" t="s">
        <v>678</v>
      </c>
      <c r="CC7" s="250" t="s">
        <v>678</v>
      </c>
      <c r="CD7" s="242" t="s">
        <v>678</v>
      </c>
      <c r="CE7" s="252" t="s">
        <v>678</v>
      </c>
      <c r="CF7" s="238">
        <v>163</v>
      </c>
      <c r="CG7" s="238">
        <v>10</v>
      </c>
      <c r="CH7" s="238">
        <v>4.1322314049586772</v>
      </c>
      <c r="CI7" s="216" t="s">
        <v>700</v>
      </c>
      <c r="CJ7" s="237">
        <v>0</v>
      </c>
      <c r="CK7" s="253">
        <v>24.18</v>
      </c>
      <c r="CL7" s="253">
        <v>1.5116000000000001</v>
      </c>
      <c r="CM7" s="254">
        <v>3.4893813481071101E-4</v>
      </c>
      <c r="CN7" s="237" t="s">
        <v>82</v>
      </c>
      <c r="CO7" s="242"/>
      <c r="CP7" s="255">
        <v>0</v>
      </c>
      <c r="CW7" s="261" t="s">
        <v>678</v>
      </c>
      <c r="CX7" s="261" t="s">
        <v>678</v>
      </c>
      <c r="CY7" s="261" t="s">
        <v>678</v>
      </c>
      <c r="DB7" s="216" t="s">
        <v>681</v>
      </c>
      <c r="DC7" s="256"/>
      <c r="DD7" s="256">
        <v>0.8</v>
      </c>
      <c r="DE7" s="256">
        <v>-10</v>
      </c>
      <c r="DF7" s="256">
        <v>0.5</v>
      </c>
      <c r="DG7" s="256">
        <v>-2.2999999999999998</v>
      </c>
      <c r="DH7" s="257">
        <v>2</v>
      </c>
      <c r="DI7" s="257">
        <v>7962.02</v>
      </c>
      <c r="DJ7" s="257">
        <v>2581.9499999999998</v>
      </c>
      <c r="DK7" s="257">
        <v>10544</v>
      </c>
      <c r="DL7" s="237" t="s">
        <v>682</v>
      </c>
      <c r="DP7" s="258" t="s">
        <v>682</v>
      </c>
      <c r="DQ7" s="258"/>
      <c r="DR7" s="258"/>
      <c r="DS7" s="258"/>
      <c r="DT7" s="258"/>
      <c r="DU7" s="237">
        <v>0</v>
      </c>
      <c r="DX7" s="247"/>
      <c r="DY7" s="247">
        <v>0</v>
      </c>
      <c r="EA7" s="237">
        <v>0</v>
      </c>
      <c r="ED7" s="237" t="s">
        <v>701</v>
      </c>
      <c r="EE7" s="208">
        <v>1</v>
      </c>
      <c r="EF7" s="237" t="s">
        <v>702</v>
      </c>
      <c r="EG7" s="216" t="s">
        <v>703</v>
      </c>
      <c r="EH7" s="246" t="s">
        <v>704</v>
      </c>
      <c r="EI7" s="216"/>
      <c r="EJ7" s="216" t="s">
        <v>529</v>
      </c>
      <c r="EK7" s="222" t="s">
        <v>682</v>
      </c>
      <c r="EL7" s="259">
        <v>2005</v>
      </c>
      <c r="EM7" s="260">
        <v>1480</v>
      </c>
      <c r="EN7" s="260">
        <v>13013</v>
      </c>
      <c r="EO7" s="260">
        <v>196</v>
      </c>
      <c r="ER7" s="237" t="s">
        <v>705</v>
      </c>
      <c r="ES7" s="237" t="e">
        <v>#DIV/0!</v>
      </c>
      <c r="ET7" s="237">
        <v>0.13243243243243244</v>
      </c>
      <c r="EU7" s="661">
        <v>1</v>
      </c>
      <c r="EV7" s="661" t="s">
        <v>678</v>
      </c>
      <c r="EW7" s="661">
        <v>1</v>
      </c>
      <c r="EX7" s="661">
        <v>4</v>
      </c>
      <c r="EY7" s="660">
        <v>5.5817174515235459E-3</v>
      </c>
      <c r="EZ7" s="256">
        <v>10.008271298593879</v>
      </c>
      <c r="FA7" s="247">
        <v>0</v>
      </c>
      <c r="FB7" s="208">
        <v>3</v>
      </c>
      <c r="FC7" s="208">
        <v>5</v>
      </c>
      <c r="FD7" s="208" t="s">
        <v>678</v>
      </c>
      <c r="FE7" s="239">
        <v>0.45755547728073265</v>
      </c>
      <c r="FF7" s="208">
        <v>1</v>
      </c>
      <c r="FG7" s="241">
        <v>3.7139837971116592</v>
      </c>
      <c r="FH7" s="209">
        <v>0</v>
      </c>
      <c r="FI7" s="237" t="s">
        <v>678</v>
      </c>
      <c r="FJ7" s="208">
        <v>56.9</v>
      </c>
      <c r="FK7" s="208">
        <v>0</v>
      </c>
      <c r="FL7" s="217">
        <v>0.2</v>
      </c>
      <c r="FM7" s="208">
        <v>4.62</v>
      </c>
      <c r="FN7" s="208" t="s">
        <v>706</v>
      </c>
      <c r="FP7" s="247" t="s">
        <v>693</v>
      </c>
      <c r="FU7" s="208">
        <v>49</v>
      </c>
      <c r="FV7" s="208">
        <v>72.7</v>
      </c>
      <c r="FW7" s="237">
        <v>48.71</v>
      </c>
      <c r="FX7" s="237">
        <v>26.4</v>
      </c>
      <c r="FY7" s="208">
        <v>18.23</v>
      </c>
      <c r="FZ7" s="208">
        <v>32.5</v>
      </c>
      <c r="GA7" s="208">
        <v>36.659999999999997</v>
      </c>
      <c r="GB7" s="208">
        <v>31.6</v>
      </c>
      <c r="GC7" s="208">
        <v>0.14000000000000001</v>
      </c>
      <c r="GD7" s="208">
        <v>32.700000000000003</v>
      </c>
      <c r="GE7" s="237">
        <v>30.89</v>
      </c>
      <c r="GF7" s="237">
        <v>36.299999999999997</v>
      </c>
      <c r="GG7" s="237">
        <v>18.71</v>
      </c>
      <c r="GH7" s="237">
        <v>91.7</v>
      </c>
      <c r="GJ7" s="947"/>
      <c r="GK7" s="320"/>
      <c r="GL7" s="320"/>
      <c r="GM7" s="320"/>
      <c r="GN7" s="320"/>
      <c r="GO7" s="662">
        <v>8002</v>
      </c>
      <c r="GP7" s="663" t="str">
        <f>VLOOKUP(GS7,'BD Comarcal'!$A$6:$AV$17,48,FALSE)</f>
        <v>07</v>
      </c>
      <c r="GQ7" s="564">
        <v>4</v>
      </c>
      <c r="GR7" s="256">
        <f t="shared" ref="GR7:GR70" si="0">IF(DI7&gt;0,1,0)</f>
        <v>1</v>
      </c>
      <c r="GS7" s="237" t="s">
        <v>82</v>
      </c>
    </row>
    <row r="8" spans="1:201" s="237" customFormat="1" ht="17.25" customHeight="1">
      <c r="A8" s="236" t="s">
        <v>707</v>
      </c>
      <c r="C8" s="238"/>
      <c r="D8" s="238">
        <v>959</v>
      </c>
      <c r="E8" s="238">
        <v>462</v>
      </c>
      <c r="F8" s="239">
        <v>0.48175182481751827</v>
      </c>
      <c r="G8" s="238">
        <v>295</v>
      </c>
      <c r="H8" s="240">
        <v>0.66799339741104446</v>
      </c>
      <c r="I8" s="239">
        <v>1.4458731545693602E-3</v>
      </c>
      <c r="J8" s="238">
        <v>172</v>
      </c>
      <c r="K8" s="238">
        <v>0</v>
      </c>
      <c r="L8" s="238">
        <v>34</v>
      </c>
      <c r="M8" s="241">
        <v>3.5453597497393116E-2</v>
      </c>
      <c r="N8" s="238">
        <v>40</v>
      </c>
      <c r="O8" s="239">
        <v>0.23255813953488372</v>
      </c>
      <c r="P8" s="237">
        <v>2</v>
      </c>
      <c r="Q8" s="237">
        <v>0</v>
      </c>
      <c r="R8" s="239">
        <v>0</v>
      </c>
      <c r="S8" s="238">
        <v>4</v>
      </c>
      <c r="T8" s="436">
        <v>0</v>
      </c>
      <c r="U8" s="436">
        <v>0</v>
      </c>
      <c r="V8" s="436">
        <v>18</v>
      </c>
      <c r="W8" s="436">
        <v>18</v>
      </c>
      <c r="X8" s="238">
        <v>9632</v>
      </c>
      <c r="Y8" s="237">
        <v>0.16800000000000001</v>
      </c>
      <c r="Z8" s="238">
        <v>220920</v>
      </c>
      <c r="AA8" s="238">
        <v>22870</v>
      </c>
      <c r="AB8" s="238">
        <v>139.72999999999999</v>
      </c>
      <c r="AC8" s="238">
        <v>3260</v>
      </c>
      <c r="AD8" s="238">
        <v>12208029.930000002</v>
      </c>
      <c r="AE8" s="238">
        <v>871225.70000000112</v>
      </c>
      <c r="AF8" s="238">
        <v>10937615.459999999</v>
      </c>
      <c r="AG8" s="238">
        <v>1186984.48</v>
      </c>
      <c r="AH8" s="239">
        <v>0.10852314970670948</v>
      </c>
      <c r="AI8" s="242">
        <v>287.131145</v>
      </c>
      <c r="AJ8" s="242">
        <v>34.201096</v>
      </c>
      <c r="AK8" s="242">
        <v>3.5663290928050051</v>
      </c>
      <c r="AL8" s="242">
        <v>124.838987</v>
      </c>
      <c r="AM8" s="242">
        <v>13.017621167883211</v>
      </c>
      <c r="AN8" s="242">
        <v>19258.14</v>
      </c>
      <c r="AO8" s="238">
        <v>223.8</v>
      </c>
      <c r="AP8" s="243">
        <v>1</v>
      </c>
      <c r="AQ8" s="238"/>
      <c r="AR8" s="238">
        <v>1788.1237528793233</v>
      </c>
      <c r="AS8" s="238">
        <v>2340.2855558279066</v>
      </c>
      <c r="AT8" s="238">
        <v>685938</v>
      </c>
      <c r="AU8" s="238">
        <v>377.9108902988952</v>
      </c>
      <c r="AV8" s="237">
        <v>1</v>
      </c>
      <c r="AW8" s="237">
        <v>1</v>
      </c>
      <c r="AX8" s="237">
        <v>1</v>
      </c>
      <c r="AY8" s="244" t="s">
        <v>673</v>
      </c>
      <c r="AZ8" s="244" t="s">
        <v>682</v>
      </c>
      <c r="BA8" s="237">
        <v>2011</v>
      </c>
      <c r="BB8" s="245" t="s">
        <v>708</v>
      </c>
      <c r="BC8" s="215" t="s">
        <v>709</v>
      </c>
      <c r="BE8" s="237">
        <v>403</v>
      </c>
      <c r="BF8" s="237">
        <v>2</v>
      </c>
      <c r="BG8" s="246" t="s">
        <v>676</v>
      </c>
      <c r="BI8" s="239">
        <v>0.34668751221418798</v>
      </c>
      <c r="BJ8" s="239">
        <v>0.24115692788743404</v>
      </c>
      <c r="BK8" s="239">
        <v>0.39710768028141491</v>
      </c>
      <c r="BL8" s="239">
        <v>1.5047879616963064E-2</v>
      </c>
      <c r="BM8" s="247">
        <v>1.9194840726988469</v>
      </c>
      <c r="BN8" s="248">
        <v>1</v>
      </c>
      <c r="BO8" s="248">
        <v>0</v>
      </c>
      <c r="BP8" s="237">
        <v>0</v>
      </c>
      <c r="BQ8" s="237">
        <v>0</v>
      </c>
      <c r="BR8" s="248">
        <v>1</v>
      </c>
      <c r="BS8" s="256"/>
      <c r="BT8" s="256" t="s">
        <v>335</v>
      </c>
      <c r="BU8" s="249" t="s">
        <v>678</v>
      </c>
      <c r="BV8" s="249">
        <v>705</v>
      </c>
      <c r="BW8" s="249">
        <v>3764</v>
      </c>
      <c r="BX8" s="249">
        <v>2846</v>
      </c>
      <c r="BY8" s="249" t="s">
        <v>678</v>
      </c>
      <c r="BZ8" s="249">
        <v>7.2755417956656343</v>
      </c>
      <c r="CA8" s="249">
        <v>38.844169246646025</v>
      </c>
      <c r="CB8" s="249">
        <v>29.37048503611971</v>
      </c>
      <c r="CC8" s="250" t="s">
        <v>678</v>
      </c>
      <c r="CD8" s="242">
        <v>-351</v>
      </c>
      <c r="CE8" s="252">
        <v>96.377708978328172</v>
      </c>
      <c r="CF8" s="238">
        <v>3872</v>
      </c>
      <c r="CG8" s="238">
        <v>442.6</v>
      </c>
      <c r="CH8" s="238">
        <v>4.5675954592363261</v>
      </c>
      <c r="CI8" s="216" t="s">
        <v>700</v>
      </c>
      <c r="CJ8" s="237">
        <v>0</v>
      </c>
      <c r="CK8" s="253">
        <v>314.39999999999998</v>
      </c>
      <c r="CL8" s="253">
        <v>20.340499999999999</v>
      </c>
      <c r="CM8" s="254">
        <v>2.1210114702815433E-2</v>
      </c>
      <c r="CN8" s="237" t="s">
        <v>86</v>
      </c>
      <c r="CO8" s="242">
        <v>229.51</v>
      </c>
      <c r="CP8" s="255">
        <v>0.23932221063607925</v>
      </c>
      <c r="CV8" s="237">
        <v>7</v>
      </c>
      <c r="CW8" s="194">
        <v>1.206</v>
      </c>
      <c r="CX8" s="194">
        <v>0.63500000000000001</v>
      </c>
      <c r="CY8" s="194" t="s">
        <v>680</v>
      </c>
      <c r="DB8" s="216" t="s">
        <v>710</v>
      </c>
      <c r="DC8" s="195" t="s">
        <v>711</v>
      </c>
      <c r="DD8" s="256">
        <v>0.7</v>
      </c>
      <c r="DE8" s="256">
        <v>-6.5</v>
      </c>
      <c r="DF8" s="256">
        <v>0.7</v>
      </c>
      <c r="DG8" s="256">
        <v>-2.2000000000000002</v>
      </c>
      <c r="DL8" s="237" t="s">
        <v>529</v>
      </c>
      <c r="DM8" s="237" t="s">
        <v>712</v>
      </c>
      <c r="DN8" s="237" t="s">
        <v>713</v>
      </c>
      <c r="DP8" s="258" t="s">
        <v>682</v>
      </c>
      <c r="DQ8" s="258"/>
      <c r="DR8" s="258"/>
      <c r="DS8" s="258"/>
      <c r="DT8" s="258"/>
      <c r="DU8" s="237">
        <v>0</v>
      </c>
      <c r="DX8" s="247"/>
      <c r="DY8" s="247">
        <v>0</v>
      </c>
      <c r="EA8" s="237">
        <v>1</v>
      </c>
      <c r="EB8" s="237" t="s">
        <v>714</v>
      </c>
      <c r="ED8" s="237" t="s">
        <v>678</v>
      </c>
      <c r="EE8" s="208">
        <v>3</v>
      </c>
      <c r="EF8" s="237" t="s">
        <v>678</v>
      </c>
      <c r="EG8" s="216" t="s">
        <v>715</v>
      </c>
      <c r="EH8" s="246" t="s">
        <v>690</v>
      </c>
      <c r="EI8" s="216" t="s">
        <v>691</v>
      </c>
      <c r="EJ8" s="216" t="s">
        <v>529</v>
      </c>
      <c r="EK8" s="222" t="s">
        <v>682</v>
      </c>
      <c r="EL8" s="259">
        <v>2014</v>
      </c>
      <c r="EM8" s="260">
        <v>4389</v>
      </c>
      <c r="EN8" s="260">
        <v>562801</v>
      </c>
      <c r="EO8" s="260">
        <v>123786</v>
      </c>
      <c r="ER8" s="237" t="s">
        <v>705</v>
      </c>
      <c r="ES8" s="237">
        <v>9690</v>
      </c>
      <c r="ET8" s="237">
        <v>28.203691045796308</v>
      </c>
      <c r="EU8" s="661">
        <v>3</v>
      </c>
      <c r="EV8" s="661">
        <v>5</v>
      </c>
      <c r="EW8" s="661">
        <v>4</v>
      </c>
      <c r="EX8" s="661">
        <v>5</v>
      </c>
      <c r="EY8" s="660">
        <v>0.32784150156412928</v>
      </c>
      <c r="EZ8" s="256">
        <v>30.820610687022903</v>
      </c>
      <c r="FA8" s="247">
        <v>1.5151515151515151</v>
      </c>
      <c r="FB8" s="208">
        <v>1</v>
      </c>
      <c r="FC8" s="208">
        <v>3</v>
      </c>
      <c r="FD8" s="208">
        <v>3</v>
      </c>
      <c r="FE8" s="239">
        <v>0.6385281385281385</v>
      </c>
      <c r="FF8" s="208"/>
      <c r="FG8" s="241">
        <v>0</v>
      </c>
      <c r="FH8" s="209">
        <v>0</v>
      </c>
      <c r="FI8" s="237" t="s">
        <v>678</v>
      </c>
      <c r="FJ8" s="208" t="s">
        <v>678</v>
      </c>
      <c r="FK8" s="208" t="s">
        <v>678</v>
      </c>
      <c r="FL8" s="217" t="s">
        <v>678</v>
      </c>
      <c r="FM8" s="208" t="s">
        <v>678</v>
      </c>
      <c r="FN8" s="208" t="s">
        <v>678</v>
      </c>
      <c r="FP8" s="247" t="s">
        <v>693</v>
      </c>
      <c r="FU8" s="208" t="s">
        <v>678</v>
      </c>
      <c r="FV8" s="208" t="s">
        <v>678</v>
      </c>
      <c r="FW8" s="208" t="s">
        <v>678</v>
      </c>
      <c r="FX8" s="208" t="s">
        <v>678</v>
      </c>
      <c r="FY8" s="208" t="s">
        <v>678</v>
      </c>
      <c r="FZ8" s="208" t="s">
        <v>678</v>
      </c>
      <c r="GA8" s="208" t="s">
        <v>678</v>
      </c>
      <c r="GB8" s="208" t="s">
        <v>678</v>
      </c>
      <c r="GC8" s="208" t="s">
        <v>678</v>
      </c>
      <c r="GD8" s="208" t="s">
        <v>678</v>
      </c>
      <c r="GE8" s="237" t="s">
        <v>678</v>
      </c>
      <c r="GF8" s="237" t="s">
        <v>678</v>
      </c>
      <c r="GG8" s="237" t="s">
        <v>678</v>
      </c>
      <c r="GH8" s="237" t="s">
        <v>678</v>
      </c>
      <c r="GJ8" s="947">
        <v>167</v>
      </c>
      <c r="GK8" s="320">
        <v>8.0000000000000002E-3</v>
      </c>
      <c r="GL8" s="320">
        <v>0.02</v>
      </c>
      <c r="GM8" s="320">
        <v>6.2E-2</v>
      </c>
      <c r="GN8" s="320">
        <v>0.91</v>
      </c>
      <c r="GO8" s="662">
        <v>8003</v>
      </c>
      <c r="GP8" s="663" t="str">
        <f>VLOOKUP(GS8,'BD Comarcal'!$A$6:$AV$17,48,FALSE)</f>
        <v>21</v>
      </c>
      <c r="GQ8" s="564">
        <v>76</v>
      </c>
      <c r="GR8" s="256">
        <f t="shared" si="0"/>
        <v>0</v>
      </c>
      <c r="GS8" s="237" t="s">
        <v>86</v>
      </c>
    </row>
    <row r="9" spans="1:201" s="237" customFormat="1" ht="17.25" customHeight="1">
      <c r="A9" s="236" t="s">
        <v>716</v>
      </c>
      <c r="C9" s="238"/>
      <c r="D9" s="238">
        <v>1383</v>
      </c>
      <c r="E9" s="238">
        <v>1075</v>
      </c>
      <c r="F9" s="239">
        <v>0.77729573391178597</v>
      </c>
      <c r="G9" s="238">
        <v>1011</v>
      </c>
      <c r="H9" s="240">
        <v>1235.8548116212194</v>
      </c>
      <c r="I9" s="239">
        <v>1</v>
      </c>
      <c r="J9" s="238">
        <v>117</v>
      </c>
      <c r="K9" s="238">
        <v>200</v>
      </c>
      <c r="L9" s="238">
        <v>0</v>
      </c>
      <c r="M9" s="241">
        <v>0</v>
      </c>
      <c r="N9" s="238">
        <v>0</v>
      </c>
      <c r="O9" s="239">
        <v>0</v>
      </c>
      <c r="P9" s="237">
        <v>4</v>
      </c>
      <c r="Q9" s="237">
        <v>0</v>
      </c>
      <c r="R9" s="239">
        <v>0</v>
      </c>
      <c r="S9" s="238">
        <v>604</v>
      </c>
      <c r="T9" s="436">
        <v>0</v>
      </c>
      <c r="U9" s="436">
        <v>29</v>
      </c>
      <c r="V9" s="436">
        <v>12</v>
      </c>
      <c r="W9" s="436">
        <v>41</v>
      </c>
      <c r="X9" s="238">
        <v>294</v>
      </c>
      <c r="Y9" s="237">
        <v>0.1867</v>
      </c>
      <c r="Z9" s="238">
        <v>5122</v>
      </c>
      <c r="AA9" s="238">
        <v>17662</v>
      </c>
      <c r="AB9" s="238">
        <v>107.92</v>
      </c>
      <c r="AC9" s="238">
        <v>31</v>
      </c>
      <c r="AD9" s="238">
        <v>623130.31999999995</v>
      </c>
      <c r="AE9" s="238">
        <v>-66218.509999999893</v>
      </c>
      <c r="AF9" s="238">
        <v>463565.51999999996</v>
      </c>
      <c r="AG9" s="238">
        <v>102709.57</v>
      </c>
      <c r="AH9" s="239">
        <v>0.22156430012309805</v>
      </c>
      <c r="AI9" s="242">
        <v>25.833517000000001</v>
      </c>
      <c r="AJ9" s="242">
        <v>1.3946130000000001</v>
      </c>
      <c r="AK9" s="242">
        <v>0.10083969631236445</v>
      </c>
      <c r="AL9" s="261" t="s">
        <v>678</v>
      </c>
      <c r="AM9" s="242" t="s">
        <v>678</v>
      </c>
      <c r="AN9" s="242">
        <v>6103.51</v>
      </c>
      <c r="AO9" s="238">
        <v>0</v>
      </c>
      <c r="AP9" s="243">
        <v>0</v>
      </c>
      <c r="AQ9" s="238">
        <v>1</v>
      </c>
      <c r="AR9" s="238">
        <v>1413.8689248572994</v>
      </c>
      <c r="AS9" s="238">
        <v>1903.7789386067245</v>
      </c>
      <c r="AT9" s="238">
        <v>15593.333333333334</v>
      </c>
      <c r="AU9" s="238">
        <v>248.26509859910712</v>
      </c>
      <c r="AV9" s="237">
        <v>1</v>
      </c>
      <c r="AW9" s="237">
        <v>1</v>
      </c>
      <c r="AX9" s="237">
        <v>1</v>
      </c>
      <c r="AY9" s="244" t="s">
        <v>717</v>
      </c>
      <c r="AZ9" s="244" t="s">
        <v>695</v>
      </c>
      <c r="BA9" s="237">
        <v>2009</v>
      </c>
      <c r="BB9" s="245" t="s">
        <v>718</v>
      </c>
      <c r="BC9" s="215" t="s">
        <v>719</v>
      </c>
      <c r="BE9" s="237">
        <v>0</v>
      </c>
      <c r="BF9" s="237">
        <v>10</v>
      </c>
      <c r="BG9" s="246" t="s">
        <v>720</v>
      </c>
      <c r="BI9" s="239">
        <v>0.51984126984126988</v>
      </c>
      <c r="BJ9" s="239">
        <v>8.7301587301587297E-2</v>
      </c>
      <c r="BK9" s="239">
        <v>0.38095238095238093</v>
      </c>
      <c r="BL9" s="239">
        <v>1.1904761904761904E-2</v>
      </c>
      <c r="BM9" s="247">
        <v>2.1150793650793656</v>
      </c>
      <c r="BN9" s="248">
        <v>0</v>
      </c>
      <c r="BO9" s="248">
        <v>0</v>
      </c>
      <c r="BP9" s="237">
        <v>0</v>
      </c>
      <c r="BQ9" s="237">
        <v>0</v>
      </c>
      <c r="BR9" s="248">
        <v>0</v>
      </c>
      <c r="BS9" s="256">
        <v>31</v>
      </c>
      <c r="BT9" s="256" t="s">
        <v>721</v>
      </c>
      <c r="BU9" s="249" t="s">
        <v>678</v>
      </c>
      <c r="BV9" s="249" t="s">
        <v>678</v>
      </c>
      <c r="BW9" s="249" t="s">
        <v>678</v>
      </c>
      <c r="BX9" s="249" t="s">
        <v>678</v>
      </c>
      <c r="BY9" s="249" t="s">
        <v>678</v>
      </c>
      <c r="BZ9" s="249" t="s">
        <v>678</v>
      </c>
      <c r="CA9" s="249" t="s">
        <v>678</v>
      </c>
      <c r="CB9" s="249" t="s">
        <v>678</v>
      </c>
      <c r="CC9" s="250" t="s">
        <v>678</v>
      </c>
      <c r="CD9" s="242" t="s">
        <v>678</v>
      </c>
      <c r="CE9" s="252" t="s">
        <v>678</v>
      </c>
      <c r="CF9" s="238">
        <v>250</v>
      </c>
      <c r="CG9" s="238">
        <v>19</v>
      </c>
      <c r="CH9" s="238">
        <v>6.25</v>
      </c>
      <c r="CI9" s="216" t="s">
        <v>722</v>
      </c>
      <c r="CJ9" s="237">
        <v>1</v>
      </c>
      <c r="CK9" s="253">
        <v>24.65</v>
      </c>
      <c r="CL9" s="253">
        <v>0</v>
      </c>
      <c r="CM9" s="254">
        <v>0</v>
      </c>
      <c r="CN9" s="256" t="s">
        <v>88</v>
      </c>
      <c r="CO9" s="261"/>
      <c r="CP9" s="255">
        <v>0</v>
      </c>
      <c r="CW9" s="261" t="s">
        <v>678</v>
      </c>
      <c r="CX9" s="261" t="s">
        <v>678</v>
      </c>
      <c r="CY9" s="261" t="s">
        <v>678</v>
      </c>
      <c r="DB9" s="216" t="s">
        <v>710</v>
      </c>
      <c r="DC9" s="195" t="s">
        <v>711</v>
      </c>
      <c r="DD9" s="256">
        <v>0.8</v>
      </c>
      <c r="DE9" s="256">
        <v>-9</v>
      </c>
      <c r="DF9" s="256">
        <v>-0.3</v>
      </c>
      <c r="DG9" s="256">
        <v>-2.6</v>
      </c>
      <c r="DL9" s="237" t="s">
        <v>682</v>
      </c>
      <c r="DP9" s="258" t="s">
        <v>682</v>
      </c>
      <c r="DQ9" s="258"/>
      <c r="DR9" s="258"/>
      <c r="DS9" s="258"/>
      <c r="DT9" s="258"/>
      <c r="DU9" s="237">
        <v>0</v>
      </c>
      <c r="DX9" s="247"/>
      <c r="DY9" s="247">
        <v>0</v>
      </c>
      <c r="EA9" s="237">
        <v>0</v>
      </c>
      <c r="ED9" s="237" t="s">
        <v>723</v>
      </c>
      <c r="EE9" s="208">
        <v>4</v>
      </c>
      <c r="EF9" s="237" t="s">
        <v>702</v>
      </c>
      <c r="EG9" s="216" t="s">
        <v>703</v>
      </c>
      <c r="EH9" s="246" t="s">
        <v>704</v>
      </c>
      <c r="EI9" s="216"/>
      <c r="EJ9" s="216" t="s">
        <v>529</v>
      </c>
      <c r="EK9" s="222" t="s">
        <v>682</v>
      </c>
      <c r="EL9" s="259">
        <v>1196</v>
      </c>
      <c r="EM9" s="260">
        <v>1170</v>
      </c>
      <c r="EN9" s="260">
        <v>11467</v>
      </c>
      <c r="EO9" s="260">
        <v>4626</v>
      </c>
      <c r="ER9" s="237" t="s">
        <v>705</v>
      </c>
      <c r="ES9" s="237" t="e">
        <v>#DIV/0!</v>
      </c>
      <c r="ET9" s="237">
        <v>3.953846153846154</v>
      </c>
      <c r="EU9" s="661">
        <v>10</v>
      </c>
      <c r="EV9" s="661" t="s">
        <v>678</v>
      </c>
      <c r="EW9" s="661">
        <v>0</v>
      </c>
      <c r="EX9" s="661">
        <v>2</v>
      </c>
      <c r="EY9" s="660">
        <v>1.7823571945046999E-2</v>
      </c>
      <c r="EZ9" s="256">
        <v>12.33265720081136</v>
      </c>
      <c r="FA9" s="247">
        <v>0</v>
      </c>
      <c r="FB9" s="208">
        <v>1</v>
      </c>
      <c r="FC9" s="208">
        <v>2</v>
      </c>
      <c r="FD9" s="208">
        <v>2</v>
      </c>
      <c r="FE9" s="239">
        <v>0.94046511627906981</v>
      </c>
      <c r="FF9" s="208">
        <v>1</v>
      </c>
      <c r="FG9" s="241">
        <v>0</v>
      </c>
      <c r="FH9" s="209">
        <v>0</v>
      </c>
      <c r="FI9" s="237" t="s">
        <v>678</v>
      </c>
      <c r="FJ9" s="208">
        <v>41</v>
      </c>
      <c r="FK9" s="208">
        <v>0</v>
      </c>
      <c r="FL9" s="217">
        <v>0.3</v>
      </c>
      <c r="FM9" s="208">
        <v>19.89</v>
      </c>
      <c r="FN9" s="208" t="s">
        <v>724</v>
      </c>
      <c r="FP9" s="247" t="s">
        <v>693</v>
      </c>
      <c r="FR9" s="237">
        <v>12</v>
      </c>
      <c r="FS9" s="237">
        <v>4</v>
      </c>
      <c r="FU9" s="208">
        <v>25</v>
      </c>
      <c r="FV9" s="208">
        <v>14.9</v>
      </c>
      <c r="FW9" s="237">
        <v>92.06</v>
      </c>
      <c r="FX9" s="237">
        <v>87.3</v>
      </c>
      <c r="FY9" s="208">
        <v>98.92</v>
      </c>
      <c r="FZ9" s="208">
        <v>87.5</v>
      </c>
      <c r="GA9" s="208">
        <v>77.61</v>
      </c>
      <c r="GB9" s="208">
        <v>88.5</v>
      </c>
      <c r="GC9" s="208">
        <v>0.95</v>
      </c>
      <c r="GD9" s="208">
        <v>85.6</v>
      </c>
      <c r="GE9" s="237">
        <v>80.010000000000005</v>
      </c>
      <c r="GF9" s="237">
        <v>93.9</v>
      </c>
      <c r="GG9" s="237">
        <v>5.15</v>
      </c>
      <c r="GH9" s="237">
        <v>45.3</v>
      </c>
      <c r="GJ9" s="947"/>
      <c r="GK9" s="320"/>
      <c r="GL9" s="320"/>
      <c r="GM9" s="320"/>
      <c r="GN9" s="320"/>
      <c r="GO9" s="662">
        <v>8004</v>
      </c>
      <c r="GP9" s="663" t="str">
        <f>VLOOKUP(GS9,'BD Comarcal'!$A$6:$AV$17,48,FALSE)</f>
        <v>24</v>
      </c>
      <c r="GQ9" s="564">
        <v>3</v>
      </c>
      <c r="GR9" s="256">
        <f t="shared" si="0"/>
        <v>0</v>
      </c>
      <c r="GS9" s="237" t="s">
        <v>88</v>
      </c>
    </row>
    <row r="10" spans="1:201" s="237" customFormat="1" ht="17.25" customHeight="1">
      <c r="A10" s="236" t="s">
        <v>725</v>
      </c>
      <c r="C10" s="238"/>
      <c r="D10" s="238">
        <v>1412</v>
      </c>
      <c r="E10" s="238">
        <v>614</v>
      </c>
      <c r="F10" s="239">
        <v>0.43484419263456092</v>
      </c>
      <c r="G10" s="238">
        <v>549</v>
      </c>
      <c r="H10" s="240">
        <v>215.21491075501785</v>
      </c>
      <c r="I10" s="239">
        <v>0.35051288396582714</v>
      </c>
      <c r="J10" s="238">
        <v>308</v>
      </c>
      <c r="K10" s="238">
        <v>7</v>
      </c>
      <c r="L10" s="238">
        <v>110</v>
      </c>
      <c r="M10" s="241">
        <v>7.7903682719546744E-2</v>
      </c>
      <c r="N10" s="238">
        <v>0</v>
      </c>
      <c r="O10" s="239">
        <v>0</v>
      </c>
      <c r="P10" s="237">
        <v>9</v>
      </c>
      <c r="Q10" s="237">
        <v>0</v>
      </c>
      <c r="R10" s="239">
        <v>0</v>
      </c>
      <c r="S10" s="238">
        <v>1429</v>
      </c>
      <c r="T10" s="436">
        <v>0</v>
      </c>
      <c r="U10" s="436">
        <v>29</v>
      </c>
      <c r="V10" s="436">
        <v>0</v>
      </c>
      <c r="W10" s="436">
        <v>29</v>
      </c>
      <c r="X10" s="238">
        <v>8337</v>
      </c>
      <c r="Y10" s="237">
        <v>0.12280000000000001</v>
      </c>
      <c r="Z10" s="238">
        <v>179957</v>
      </c>
      <c r="AA10" s="238">
        <v>21674</v>
      </c>
      <c r="AB10" s="238">
        <v>132.43</v>
      </c>
      <c r="AC10" s="238">
        <v>1256</v>
      </c>
      <c r="AD10" s="238">
        <v>10995715.470000001</v>
      </c>
      <c r="AE10" s="238">
        <v>1080516.9200000018</v>
      </c>
      <c r="AF10" s="238">
        <v>8819223.1399999987</v>
      </c>
      <c r="AG10" s="238">
        <v>140013.85999999999</v>
      </c>
      <c r="AH10" s="239">
        <v>1.5875985648323217E-2</v>
      </c>
      <c r="AI10" s="242">
        <v>464.57921900000002</v>
      </c>
      <c r="AJ10" s="242">
        <v>98.499347999999998</v>
      </c>
      <c r="AK10" s="242">
        <v>6.9758745042492913</v>
      </c>
      <c r="AL10" s="242">
        <v>289.18281200000001</v>
      </c>
      <c r="AM10" s="242">
        <v>20.48036912181303</v>
      </c>
      <c r="AN10" s="242">
        <v>17955.37</v>
      </c>
      <c r="AO10" s="238">
        <v>1784.42</v>
      </c>
      <c r="AP10" s="243">
        <v>6</v>
      </c>
      <c r="AQ10" s="238"/>
      <c r="AR10" s="238">
        <v>1848.5971999011915</v>
      </c>
      <c r="AS10" s="238">
        <v>2221.2257462892289</v>
      </c>
      <c r="AT10" s="238">
        <v>544550.33333333337</v>
      </c>
      <c r="AU10" s="238">
        <v>316.63050245815123</v>
      </c>
      <c r="AV10" s="237">
        <v>1</v>
      </c>
      <c r="AW10" s="237">
        <v>1</v>
      </c>
      <c r="AX10" s="237">
        <v>1</v>
      </c>
      <c r="AY10" s="244" t="s">
        <v>717</v>
      </c>
      <c r="AZ10" s="244" t="s">
        <v>726</v>
      </c>
      <c r="BA10" s="237">
        <v>2014</v>
      </c>
      <c r="BB10" s="245" t="s">
        <v>727</v>
      </c>
      <c r="BC10" s="215" t="s">
        <v>728</v>
      </c>
      <c r="BE10" s="237">
        <v>8</v>
      </c>
      <c r="BF10" s="237">
        <v>42</v>
      </c>
      <c r="BG10" s="246" t="s">
        <v>698</v>
      </c>
      <c r="BI10" s="239">
        <v>0.29477806788511751</v>
      </c>
      <c r="BJ10" s="239">
        <v>0.20182767624020886</v>
      </c>
      <c r="BK10" s="239">
        <v>0.47284595300261095</v>
      </c>
      <c r="BL10" s="239">
        <v>3.0548302872062665E-2</v>
      </c>
      <c r="BM10" s="247">
        <v>1.7608355091383814</v>
      </c>
      <c r="BN10" s="248">
        <v>0</v>
      </c>
      <c r="BO10" s="248">
        <v>0</v>
      </c>
      <c r="BP10" s="237">
        <v>0</v>
      </c>
      <c r="BQ10" s="237">
        <v>0</v>
      </c>
      <c r="BR10" s="248">
        <v>0</v>
      </c>
      <c r="BS10" s="256">
        <v>10</v>
      </c>
      <c r="BT10" s="256" t="s">
        <v>729</v>
      </c>
      <c r="BU10" s="249" t="s">
        <v>678</v>
      </c>
      <c r="BV10" s="249">
        <v>485</v>
      </c>
      <c r="BW10" s="249">
        <v>3827</v>
      </c>
      <c r="BX10" s="249">
        <v>1952</v>
      </c>
      <c r="BY10" s="249" t="s">
        <v>678</v>
      </c>
      <c r="BZ10" s="249">
        <v>5.8952230460678257</v>
      </c>
      <c r="CA10" s="249">
        <v>46.517564118147561</v>
      </c>
      <c r="CB10" s="249">
        <v>23.72675337303999</v>
      </c>
      <c r="CC10" s="250" t="s">
        <v>678</v>
      </c>
      <c r="CD10" s="242">
        <v>-240</v>
      </c>
      <c r="CE10" s="252">
        <v>97.08277622462623</v>
      </c>
      <c r="CF10" s="238">
        <v>3386</v>
      </c>
      <c r="CG10" s="238">
        <v>430</v>
      </c>
      <c r="CH10" s="238">
        <v>5.2266925975446696</v>
      </c>
      <c r="CI10" s="216" t="s">
        <v>679</v>
      </c>
      <c r="CJ10" s="237">
        <v>0</v>
      </c>
      <c r="CK10" s="253">
        <v>445.25</v>
      </c>
      <c r="CL10" s="253">
        <v>95.057699999999997</v>
      </c>
      <c r="CM10" s="254">
        <v>6.7321317280453249E-2</v>
      </c>
      <c r="CN10" s="256" t="s">
        <v>24</v>
      </c>
      <c r="CO10" s="261">
        <v>0.55000000000000004</v>
      </c>
      <c r="CP10" s="255">
        <v>3.8951841359773375E-4</v>
      </c>
      <c r="CV10" s="237">
        <v>5</v>
      </c>
      <c r="CW10" s="194">
        <v>2.59</v>
      </c>
      <c r="CX10" s="194">
        <v>0.63500000000000001</v>
      </c>
      <c r="CY10" s="194" t="s">
        <v>680</v>
      </c>
      <c r="DB10" s="216" t="s">
        <v>710</v>
      </c>
      <c r="DC10" s="195" t="s">
        <v>711</v>
      </c>
      <c r="DD10" s="256">
        <v>0.8</v>
      </c>
      <c r="DE10" s="256">
        <v>-10</v>
      </c>
      <c r="DF10" s="256">
        <v>0.5</v>
      </c>
      <c r="DG10" s="256">
        <v>-2.2999999999999998</v>
      </c>
      <c r="DH10" s="257">
        <v>1</v>
      </c>
      <c r="DI10" s="257">
        <v>2.41</v>
      </c>
      <c r="DJ10" s="257">
        <v>0</v>
      </c>
      <c r="DK10" s="257">
        <v>2.41</v>
      </c>
      <c r="DL10" s="237" t="s">
        <v>529</v>
      </c>
      <c r="DN10" s="237" t="s">
        <v>730</v>
      </c>
      <c r="DP10" s="258" t="s">
        <v>683</v>
      </c>
      <c r="DQ10" s="258" t="s">
        <v>684</v>
      </c>
      <c r="DR10" s="258" t="s">
        <v>731</v>
      </c>
      <c r="DS10" s="258"/>
      <c r="DT10" s="258"/>
      <c r="DU10" s="237">
        <v>0</v>
      </c>
      <c r="DX10" s="247"/>
      <c r="DY10" s="247">
        <v>0</v>
      </c>
      <c r="EA10" s="237">
        <v>0</v>
      </c>
      <c r="ED10" s="237" t="s">
        <v>732</v>
      </c>
      <c r="EE10" s="208">
        <v>1</v>
      </c>
      <c r="EF10" s="237" t="s">
        <v>688</v>
      </c>
      <c r="EG10" s="216" t="s">
        <v>733</v>
      </c>
      <c r="EH10" s="246" t="s">
        <v>734</v>
      </c>
      <c r="EI10" s="216" t="s">
        <v>689</v>
      </c>
      <c r="EJ10" s="216" t="s">
        <v>529</v>
      </c>
      <c r="EK10" s="222" t="s">
        <v>682</v>
      </c>
      <c r="EL10" s="259">
        <v>1987</v>
      </c>
      <c r="EM10" s="263">
        <v>11975</v>
      </c>
      <c r="EN10" s="260">
        <v>430115</v>
      </c>
      <c r="EO10" s="260">
        <v>131274</v>
      </c>
      <c r="ER10" s="237" t="s">
        <v>692</v>
      </c>
      <c r="ES10" s="237" t="e">
        <v>#DIV/0!</v>
      </c>
      <c r="ET10" s="237">
        <v>10.962338204592902</v>
      </c>
      <c r="EU10" s="661">
        <v>2</v>
      </c>
      <c r="EV10" s="661">
        <v>2</v>
      </c>
      <c r="EW10" s="661">
        <v>5</v>
      </c>
      <c r="EX10" s="661">
        <v>7</v>
      </c>
      <c r="EY10" s="660">
        <v>0.31533286118980169</v>
      </c>
      <c r="EZ10" s="256">
        <v>18.47725996631106</v>
      </c>
      <c r="FA10" s="247">
        <v>0.81433224755700329</v>
      </c>
      <c r="FB10" s="208">
        <v>4</v>
      </c>
      <c r="FC10" s="208">
        <v>4</v>
      </c>
      <c r="FD10" s="208">
        <v>2</v>
      </c>
      <c r="FE10" s="239">
        <v>0.89413680781758953</v>
      </c>
      <c r="FF10" s="208"/>
      <c r="FG10" s="241">
        <v>3.925081433224756E-3</v>
      </c>
      <c r="FH10" s="209">
        <v>0</v>
      </c>
      <c r="FI10" s="237" t="s">
        <v>678</v>
      </c>
      <c r="FJ10" s="208">
        <v>43.6</v>
      </c>
      <c r="FK10" s="208">
        <v>0.06</v>
      </c>
      <c r="FL10" s="217">
        <v>20.5</v>
      </c>
      <c r="FM10" s="208">
        <v>2.42</v>
      </c>
      <c r="FN10" s="208" t="s">
        <v>735</v>
      </c>
      <c r="FP10" s="247" t="s">
        <v>693</v>
      </c>
      <c r="FU10" s="208">
        <v>19</v>
      </c>
      <c r="FV10" s="208">
        <v>3.5</v>
      </c>
      <c r="FW10" s="237">
        <v>29.55</v>
      </c>
      <c r="FX10" s="237">
        <v>12.8</v>
      </c>
      <c r="FY10" s="208">
        <v>18.87</v>
      </c>
      <c r="FZ10" s="208">
        <v>33.299999999999997</v>
      </c>
      <c r="GA10" s="208">
        <v>31.67</v>
      </c>
      <c r="GB10" s="208">
        <v>24</v>
      </c>
      <c r="GC10" s="208">
        <v>0.79</v>
      </c>
      <c r="GD10" s="208">
        <v>77.900000000000006</v>
      </c>
      <c r="GE10" s="237">
        <v>23.95</v>
      </c>
      <c r="GF10" s="237">
        <v>24.1</v>
      </c>
      <c r="GG10" s="237">
        <v>1.44</v>
      </c>
      <c r="GH10" s="237">
        <v>17.899999999999999</v>
      </c>
      <c r="GJ10" s="947">
        <v>212</v>
      </c>
      <c r="GK10" s="320">
        <v>3.0000000000000001E-3</v>
      </c>
      <c r="GL10" s="320">
        <v>0.23200000000000001</v>
      </c>
      <c r="GM10" s="320">
        <v>6.6000000000000003E-2</v>
      </c>
      <c r="GN10" s="320">
        <v>0.7</v>
      </c>
      <c r="GO10" s="662">
        <v>8005</v>
      </c>
      <c r="GP10" s="663" t="str">
        <f>VLOOKUP(GS10,'BD Comarcal'!$A$6:$AV$17,48,FALSE)</f>
        <v>41</v>
      </c>
      <c r="GQ10" s="564">
        <v>59</v>
      </c>
      <c r="GR10" s="256">
        <f t="shared" si="0"/>
        <v>1</v>
      </c>
      <c r="GS10" s="237" t="s">
        <v>24</v>
      </c>
    </row>
    <row r="11" spans="1:201" s="237" customFormat="1" ht="17.25" customHeight="1">
      <c r="A11" s="236" t="s">
        <v>334</v>
      </c>
      <c r="C11" s="238" t="s">
        <v>683</v>
      </c>
      <c r="D11" s="238">
        <v>645</v>
      </c>
      <c r="E11" s="238">
        <v>305</v>
      </c>
      <c r="F11" s="239">
        <v>0.47286821705426357</v>
      </c>
      <c r="G11" s="238">
        <v>111</v>
      </c>
      <c r="H11" s="240">
        <v>0</v>
      </c>
      <c r="I11" s="239">
        <v>0</v>
      </c>
      <c r="J11" s="238">
        <v>35</v>
      </c>
      <c r="K11" s="238">
        <v>0</v>
      </c>
      <c r="L11" s="238">
        <v>25</v>
      </c>
      <c r="M11" s="241">
        <v>3.875968992248062E-2</v>
      </c>
      <c r="N11" s="238">
        <v>0</v>
      </c>
      <c r="O11" s="239">
        <v>0</v>
      </c>
      <c r="P11" s="237">
        <v>5</v>
      </c>
      <c r="Q11" s="237">
        <v>0</v>
      </c>
      <c r="R11" s="239">
        <v>0</v>
      </c>
      <c r="S11" s="238">
        <v>223</v>
      </c>
      <c r="T11" s="436">
        <v>1302</v>
      </c>
      <c r="U11" s="436">
        <v>0</v>
      </c>
      <c r="V11" s="436">
        <v>60</v>
      </c>
      <c r="W11" s="436">
        <v>1362</v>
      </c>
      <c r="X11" s="238">
        <v>15253</v>
      </c>
      <c r="Y11" s="237">
        <v>0.20150000000000001</v>
      </c>
      <c r="Z11" s="238">
        <v>222060</v>
      </c>
      <c r="AA11" s="238">
        <v>14524</v>
      </c>
      <c r="AB11" s="238">
        <v>88.74</v>
      </c>
      <c r="AC11" s="238">
        <v>4421</v>
      </c>
      <c r="AD11" s="238">
        <v>17762837.540000003</v>
      </c>
      <c r="AE11" s="238">
        <v>3442411.9800000023</v>
      </c>
      <c r="AF11" s="238">
        <v>14815571.789999997</v>
      </c>
      <c r="AG11" s="238">
        <v>486010.76</v>
      </c>
      <c r="AH11" s="239">
        <v>3.2804050149994254E-2</v>
      </c>
      <c r="AI11" s="242">
        <v>189.89814100000001</v>
      </c>
      <c r="AJ11" s="242">
        <v>36.272286000000001</v>
      </c>
      <c r="AK11" s="242">
        <v>5.6236102325581392</v>
      </c>
      <c r="AL11" s="242">
        <v>77.445004999999995</v>
      </c>
      <c r="AM11" s="242">
        <v>12.006977519379843</v>
      </c>
      <c r="AN11" s="242">
        <v>19728.25</v>
      </c>
      <c r="AO11" s="238">
        <v>0</v>
      </c>
      <c r="AP11" s="243">
        <v>0</v>
      </c>
      <c r="AQ11" s="238">
        <v>1</v>
      </c>
      <c r="AR11" s="238">
        <v>1309.3303641877299</v>
      </c>
      <c r="AS11" s="238">
        <v>1847.953660828545</v>
      </c>
      <c r="AT11" s="238">
        <v>986843</v>
      </c>
      <c r="AU11" s="238">
        <v>292.97559440303257</v>
      </c>
      <c r="AV11" s="237">
        <v>1</v>
      </c>
      <c r="AW11" s="237">
        <v>0</v>
      </c>
      <c r="AX11" s="237">
        <v>0</v>
      </c>
      <c r="AY11" s="244" t="s">
        <v>673</v>
      </c>
      <c r="AZ11" s="244" t="s">
        <v>673</v>
      </c>
      <c r="BA11" s="237">
        <v>2010</v>
      </c>
      <c r="BB11" s="245" t="s">
        <v>736</v>
      </c>
      <c r="BC11" s="215" t="s">
        <v>737</v>
      </c>
      <c r="BD11" s="237">
        <v>1</v>
      </c>
      <c r="BE11" s="237">
        <v>403</v>
      </c>
      <c r="BF11" s="237">
        <v>2</v>
      </c>
      <c r="BG11" s="246" t="s">
        <v>676</v>
      </c>
      <c r="BI11" s="239">
        <v>0.43903974105376731</v>
      </c>
      <c r="BJ11" s="239">
        <v>0.19897500449559433</v>
      </c>
      <c r="BK11" s="239">
        <v>0.32862794461427802</v>
      </c>
      <c r="BL11" s="239">
        <v>3.3357309836360365E-2</v>
      </c>
      <c r="BM11" s="247">
        <v>2.0436971767667687</v>
      </c>
      <c r="BN11" s="248">
        <v>0</v>
      </c>
      <c r="BO11" s="248">
        <v>1</v>
      </c>
      <c r="BP11" s="237">
        <v>0</v>
      </c>
      <c r="BQ11" s="237">
        <v>0</v>
      </c>
      <c r="BR11" s="248">
        <v>1</v>
      </c>
      <c r="BS11" s="256">
        <v>10.4</v>
      </c>
      <c r="BT11" s="256" t="s">
        <v>338</v>
      </c>
      <c r="BU11" s="249" t="s">
        <v>678</v>
      </c>
      <c r="BV11" s="249">
        <v>1920</v>
      </c>
      <c r="BW11" s="249">
        <v>7378</v>
      </c>
      <c r="BX11" s="249">
        <v>2087</v>
      </c>
      <c r="BY11" s="249" t="s">
        <v>678</v>
      </c>
      <c r="BZ11" s="249">
        <v>12.611665790856541</v>
      </c>
      <c r="CA11" s="249">
        <v>48.462953231739355</v>
      </c>
      <c r="CB11" s="249">
        <v>13.708617971623752</v>
      </c>
      <c r="CC11" s="250" t="s">
        <v>678</v>
      </c>
      <c r="CD11" s="242">
        <v>-101</v>
      </c>
      <c r="CE11" s="252">
        <v>99.336573830793483</v>
      </c>
      <c r="CF11" s="238">
        <v>8475</v>
      </c>
      <c r="CG11" s="238">
        <v>1120.0999999999999</v>
      </c>
      <c r="CH11" s="238">
        <v>7.3574619022595895</v>
      </c>
      <c r="CI11" s="216" t="s">
        <v>700</v>
      </c>
      <c r="CJ11" s="237">
        <v>0</v>
      </c>
      <c r="CK11" s="253">
        <v>234.14</v>
      </c>
      <c r="CL11" s="253">
        <v>58.542299999999997</v>
      </c>
      <c r="CM11" s="254">
        <v>9.0763255813953489E-2</v>
      </c>
      <c r="CN11" s="256" t="s">
        <v>86</v>
      </c>
      <c r="CO11" s="261"/>
      <c r="CP11" s="255">
        <v>0</v>
      </c>
      <c r="CV11" s="237">
        <v>3</v>
      </c>
      <c r="CW11" s="194">
        <v>0.72</v>
      </c>
      <c r="CX11" s="194">
        <v>0.63500000000000001</v>
      </c>
      <c r="CY11" s="194">
        <v>0.09</v>
      </c>
      <c r="DB11" s="216" t="s">
        <v>710</v>
      </c>
      <c r="DC11" s="195" t="s">
        <v>711</v>
      </c>
      <c r="DD11" s="256">
        <v>0.7</v>
      </c>
      <c r="DE11" s="256">
        <v>-6.5</v>
      </c>
      <c r="DF11" s="256">
        <v>0.7</v>
      </c>
      <c r="DG11" s="256">
        <v>-2.2000000000000002</v>
      </c>
      <c r="DH11" s="257">
        <v>1</v>
      </c>
      <c r="DI11" s="257">
        <v>1.4</v>
      </c>
      <c r="DJ11" s="257">
        <v>0</v>
      </c>
      <c r="DK11" s="257">
        <v>1.4</v>
      </c>
      <c r="DL11" s="237" t="s">
        <v>529</v>
      </c>
      <c r="DM11" s="237" t="s">
        <v>738</v>
      </c>
      <c r="DN11" s="237" t="s">
        <v>713</v>
      </c>
      <c r="DP11" s="258" t="s">
        <v>683</v>
      </c>
      <c r="DQ11" s="258" t="s">
        <v>739</v>
      </c>
      <c r="DR11" s="258" t="s">
        <v>740</v>
      </c>
      <c r="DS11" s="258"/>
      <c r="DT11" s="258"/>
      <c r="DU11" s="237">
        <v>0</v>
      </c>
      <c r="DX11" s="247"/>
      <c r="DY11" s="247">
        <v>0</v>
      </c>
      <c r="EA11" s="237">
        <v>1</v>
      </c>
      <c r="EB11" s="237" t="s">
        <v>741</v>
      </c>
      <c r="ED11" s="237" t="s">
        <v>678</v>
      </c>
      <c r="EE11" s="208">
        <v>2</v>
      </c>
      <c r="EF11" s="237" t="s">
        <v>678</v>
      </c>
      <c r="EG11" s="216" t="s">
        <v>689</v>
      </c>
      <c r="EH11" s="246" t="s">
        <v>690</v>
      </c>
      <c r="EI11" s="216"/>
      <c r="EJ11" s="216" t="s">
        <v>529</v>
      </c>
      <c r="EK11" s="222" t="s">
        <v>529</v>
      </c>
      <c r="EL11" s="259">
        <v>2010</v>
      </c>
      <c r="EM11" s="260">
        <v>5003</v>
      </c>
      <c r="EN11" s="260">
        <v>737531</v>
      </c>
      <c r="EO11" s="260">
        <v>330826</v>
      </c>
      <c r="EP11" s="237">
        <v>2</v>
      </c>
      <c r="EQ11" s="237">
        <v>186</v>
      </c>
      <c r="ER11" s="237" t="s">
        <v>692</v>
      </c>
      <c r="ES11" s="237">
        <v>15224</v>
      </c>
      <c r="ET11" s="237">
        <v>66.125524685188893</v>
      </c>
      <c r="EU11" s="661">
        <v>2</v>
      </c>
      <c r="EV11" s="661">
        <v>4</v>
      </c>
      <c r="EW11" s="661">
        <v>5</v>
      </c>
      <c r="EX11" s="661">
        <v>6</v>
      </c>
      <c r="EY11" s="660">
        <v>0.36300775193798446</v>
      </c>
      <c r="EZ11" s="256">
        <v>65.020927650123866</v>
      </c>
      <c r="FA11" s="247">
        <v>0.98360655737704916</v>
      </c>
      <c r="FB11" s="208" t="s">
        <v>678</v>
      </c>
      <c r="FC11" s="208" t="s">
        <v>678</v>
      </c>
      <c r="FD11" s="208">
        <v>6</v>
      </c>
      <c r="FE11" s="239">
        <v>0.36393442622950822</v>
      </c>
      <c r="FF11" s="208"/>
      <c r="FG11" s="241">
        <v>4.5901639344262295E-3</v>
      </c>
      <c r="FH11" s="209">
        <v>0</v>
      </c>
      <c r="FI11" s="237" t="s">
        <v>678</v>
      </c>
      <c r="FJ11" s="208" t="s">
        <v>678</v>
      </c>
      <c r="FK11" s="208" t="s">
        <v>678</v>
      </c>
      <c r="FL11" s="217" t="s">
        <v>678</v>
      </c>
      <c r="FM11" s="208" t="s">
        <v>678</v>
      </c>
      <c r="FN11" s="208" t="s">
        <v>678</v>
      </c>
      <c r="FO11" s="237">
        <v>2850</v>
      </c>
      <c r="FP11" s="247">
        <v>4.4186046511627906</v>
      </c>
      <c r="FU11" s="208" t="s">
        <v>678</v>
      </c>
      <c r="FV11" s="208" t="s">
        <v>678</v>
      </c>
      <c r="FW11" s="208" t="s">
        <v>678</v>
      </c>
      <c r="FX11" s="208" t="s">
        <v>678</v>
      </c>
      <c r="FY11" s="208" t="s">
        <v>678</v>
      </c>
      <c r="FZ11" s="208" t="s">
        <v>678</v>
      </c>
      <c r="GA11" s="208" t="s">
        <v>678</v>
      </c>
      <c r="GB11" s="208" t="s">
        <v>678</v>
      </c>
      <c r="GC11" s="208" t="s">
        <v>678</v>
      </c>
      <c r="GD11" s="208" t="s">
        <v>678</v>
      </c>
      <c r="GE11" s="237" t="s">
        <v>678</v>
      </c>
      <c r="GF11" s="237" t="s">
        <v>678</v>
      </c>
      <c r="GG11" s="237" t="s">
        <v>678</v>
      </c>
      <c r="GH11" s="237" t="s">
        <v>678</v>
      </c>
      <c r="GJ11" s="947">
        <v>312</v>
      </c>
      <c r="GK11" s="320">
        <v>2.5999999999999999E-2</v>
      </c>
      <c r="GL11" s="320">
        <v>0.23</v>
      </c>
      <c r="GM11" s="320">
        <v>4.7E-2</v>
      </c>
      <c r="GN11" s="320">
        <v>0.69599999999999995</v>
      </c>
      <c r="GO11" s="662">
        <v>8006</v>
      </c>
      <c r="GP11" s="663" t="str">
        <f>VLOOKUP(GS11,'BD Comarcal'!$A$6:$AV$17,48,FALSE)</f>
        <v>21</v>
      </c>
      <c r="GQ11" s="564">
        <v>169</v>
      </c>
      <c r="GR11" s="256">
        <f t="shared" si="0"/>
        <v>1</v>
      </c>
      <c r="GS11" s="237" t="s">
        <v>86</v>
      </c>
    </row>
    <row r="12" spans="1:201" s="237" customFormat="1" ht="17.25" customHeight="1">
      <c r="A12" s="236" t="s">
        <v>742</v>
      </c>
      <c r="C12" s="238"/>
      <c r="D12" s="238">
        <v>2205</v>
      </c>
      <c r="E12" s="238">
        <v>1821</v>
      </c>
      <c r="F12" s="239">
        <v>0.82585034013605441</v>
      </c>
      <c r="G12" s="238">
        <v>1426</v>
      </c>
      <c r="H12" s="240">
        <v>77.775489626748723</v>
      </c>
      <c r="I12" s="239">
        <v>4.271031830134471E-2</v>
      </c>
      <c r="J12" s="238">
        <v>104</v>
      </c>
      <c r="K12" s="238">
        <v>3</v>
      </c>
      <c r="L12" s="238">
        <v>47</v>
      </c>
      <c r="M12" s="241">
        <v>2.1315192743764172E-2</v>
      </c>
      <c r="N12" s="238">
        <v>0</v>
      </c>
      <c r="O12" s="239">
        <v>0</v>
      </c>
      <c r="P12" s="237">
        <v>7</v>
      </c>
      <c r="Q12" s="237">
        <v>0</v>
      </c>
      <c r="R12" s="239">
        <v>0</v>
      </c>
      <c r="S12" s="238">
        <v>38</v>
      </c>
      <c r="T12" s="436">
        <v>0</v>
      </c>
      <c r="U12" s="436">
        <v>0</v>
      </c>
      <c r="V12" s="436">
        <v>5</v>
      </c>
      <c r="W12" s="436">
        <v>5</v>
      </c>
      <c r="X12" s="238">
        <v>8638</v>
      </c>
      <c r="Y12" s="237">
        <v>0.15770000000000001</v>
      </c>
      <c r="Z12" s="238">
        <v>131924</v>
      </c>
      <c r="AA12" s="238">
        <v>15101</v>
      </c>
      <c r="AB12" s="238">
        <v>92.27</v>
      </c>
      <c r="AC12" s="238">
        <v>2845</v>
      </c>
      <c r="AD12" s="238">
        <v>8551546.1199999992</v>
      </c>
      <c r="AE12" s="238">
        <v>1926526.7799999984</v>
      </c>
      <c r="AF12" s="238">
        <v>6473112.2800000003</v>
      </c>
      <c r="AG12" s="238">
        <v>500764.15</v>
      </c>
      <c r="AH12" s="239">
        <v>7.73606463690137E-2</v>
      </c>
      <c r="AI12" s="242">
        <v>220.77964800000001</v>
      </c>
      <c r="AJ12" s="242">
        <v>64.378579999999999</v>
      </c>
      <c r="AK12" s="242">
        <v>2.9196634920634921</v>
      </c>
      <c r="AL12" s="242">
        <v>173.13876999999999</v>
      </c>
      <c r="AM12" s="242">
        <v>7.852098412698413</v>
      </c>
      <c r="AN12" s="242">
        <v>24065.97</v>
      </c>
      <c r="AO12" s="238">
        <v>5224.13</v>
      </c>
      <c r="AP12" s="243">
        <v>18</v>
      </c>
      <c r="AQ12" s="238"/>
      <c r="AR12" s="238">
        <v>1476.5707872085841</v>
      </c>
      <c r="AS12" s="238">
        <v>1859.484628785739</v>
      </c>
      <c r="AT12" s="238">
        <v>473297.33333333331</v>
      </c>
      <c r="AU12" s="238">
        <v>269.16537950190178</v>
      </c>
      <c r="AV12" s="237">
        <v>1</v>
      </c>
      <c r="AW12" s="237">
        <v>1</v>
      </c>
      <c r="AX12" s="237">
        <v>1</v>
      </c>
      <c r="AY12" s="244" t="s">
        <v>673</v>
      </c>
      <c r="AZ12" s="244" t="s">
        <v>682</v>
      </c>
      <c r="BA12" s="237">
        <v>2011</v>
      </c>
      <c r="BB12" s="245" t="s">
        <v>743</v>
      </c>
      <c r="BC12" s="215" t="s">
        <v>744</v>
      </c>
      <c r="BE12" s="237">
        <v>264</v>
      </c>
      <c r="BF12" s="237">
        <v>2</v>
      </c>
      <c r="BG12" s="246" t="s">
        <v>676</v>
      </c>
      <c r="BI12" s="239">
        <v>0.35173389950460016</v>
      </c>
      <c r="BJ12" s="239">
        <v>0.11518046709129512</v>
      </c>
      <c r="BK12" s="239">
        <v>0.51026185421089876</v>
      </c>
      <c r="BL12" s="239">
        <v>2.2823779193205943E-2</v>
      </c>
      <c r="BM12" s="247">
        <v>1.7958244869072895</v>
      </c>
      <c r="BN12" s="248">
        <v>1</v>
      </c>
      <c r="BO12" s="248">
        <v>0</v>
      </c>
      <c r="BP12" s="237">
        <v>0</v>
      </c>
      <c r="BQ12" s="237">
        <v>0</v>
      </c>
      <c r="BR12" s="248">
        <v>1</v>
      </c>
      <c r="BS12" s="256">
        <v>15.6</v>
      </c>
      <c r="BT12" s="256" t="s">
        <v>338</v>
      </c>
      <c r="BU12" s="249" t="s">
        <v>678</v>
      </c>
      <c r="BV12" s="249">
        <v>1088</v>
      </c>
      <c r="BW12" s="249">
        <v>3908</v>
      </c>
      <c r="BX12" s="249">
        <v>1279</v>
      </c>
      <c r="BY12" s="249" t="s">
        <v>678</v>
      </c>
      <c r="BZ12" s="249">
        <v>12.668840242198417</v>
      </c>
      <c r="CA12" s="249">
        <v>45.505356311131813</v>
      </c>
      <c r="CB12" s="249">
        <v>14.892873777363764</v>
      </c>
      <c r="CC12" s="250" t="s">
        <v>678</v>
      </c>
      <c r="CD12" s="242">
        <v>-480</v>
      </c>
      <c r="CE12" s="252">
        <v>94.410805775500705</v>
      </c>
      <c r="CF12" s="238">
        <v>4332</v>
      </c>
      <c r="CG12" s="238">
        <v>648</v>
      </c>
      <c r="CH12" s="238">
        <v>7.5454122030740569</v>
      </c>
      <c r="CI12" s="216" t="s">
        <v>679</v>
      </c>
      <c r="CJ12" s="237">
        <v>0</v>
      </c>
      <c r="CK12" s="253">
        <v>230.44</v>
      </c>
      <c r="CL12" s="253">
        <v>89.510300000000001</v>
      </c>
      <c r="CM12" s="254">
        <v>4.0594240362811791E-2</v>
      </c>
      <c r="CN12" s="237" t="s">
        <v>86</v>
      </c>
      <c r="CO12" s="242">
        <v>295.85000000000002</v>
      </c>
      <c r="CP12" s="255">
        <v>0.13417233560090705</v>
      </c>
      <c r="CV12" s="237">
        <v>2</v>
      </c>
      <c r="CW12" s="194">
        <v>2.1779999999999999</v>
      </c>
      <c r="CX12" s="194">
        <v>0.63500000000000001</v>
      </c>
      <c r="CY12" s="194">
        <v>0.39300000000000002</v>
      </c>
      <c r="CZ12" s="237" t="s">
        <v>529</v>
      </c>
      <c r="DA12" s="237" t="s">
        <v>745</v>
      </c>
      <c r="DB12" s="216" t="s">
        <v>746</v>
      </c>
      <c r="DC12" s="256" t="s">
        <v>747</v>
      </c>
      <c r="DD12" s="256">
        <v>0.7</v>
      </c>
      <c r="DE12" s="256">
        <v>-6.5</v>
      </c>
      <c r="DF12" s="256">
        <v>0.7</v>
      </c>
      <c r="DG12" s="256">
        <v>-2.2000000000000002</v>
      </c>
      <c r="DL12" s="237" t="s">
        <v>529</v>
      </c>
      <c r="DM12" s="237" t="s">
        <v>748</v>
      </c>
      <c r="DN12" s="237" t="s">
        <v>713</v>
      </c>
      <c r="DP12" s="258" t="s">
        <v>682</v>
      </c>
      <c r="DQ12" s="258"/>
      <c r="DR12" s="258"/>
      <c r="DS12" s="258"/>
      <c r="DT12" s="258"/>
      <c r="DU12" s="237">
        <v>0</v>
      </c>
      <c r="DX12" s="247"/>
      <c r="DY12" s="247">
        <v>0</v>
      </c>
      <c r="EA12" s="237">
        <v>1</v>
      </c>
      <c r="EB12" s="237" t="s">
        <v>741</v>
      </c>
      <c r="ED12" s="237" t="s">
        <v>749</v>
      </c>
      <c r="EE12" s="208">
        <v>1</v>
      </c>
      <c r="EF12" s="237" t="s">
        <v>688</v>
      </c>
      <c r="EG12" s="216" t="s">
        <v>689</v>
      </c>
      <c r="EH12" s="246" t="s">
        <v>690</v>
      </c>
      <c r="EI12" s="216" t="s">
        <v>689</v>
      </c>
      <c r="EJ12" s="216" t="s">
        <v>529</v>
      </c>
      <c r="EK12" s="222" t="s">
        <v>682</v>
      </c>
      <c r="EL12" s="259">
        <v>2003</v>
      </c>
      <c r="EM12" s="260">
        <v>7630</v>
      </c>
      <c r="EN12" s="260">
        <v>380107</v>
      </c>
      <c r="EO12" s="260">
        <v>112779</v>
      </c>
      <c r="ER12" s="237" t="s">
        <v>705</v>
      </c>
      <c r="ES12" s="237">
        <v>8588</v>
      </c>
      <c r="ET12" s="237">
        <v>14.780996068152032</v>
      </c>
      <c r="EU12" s="661">
        <v>1</v>
      </c>
      <c r="EV12" s="661">
        <v>5</v>
      </c>
      <c r="EW12" s="661">
        <v>5</v>
      </c>
      <c r="EX12" s="661">
        <v>4</v>
      </c>
      <c r="EY12" s="660">
        <v>0.10450793650793651</v>
      </c>
      <c r="EZ12" s="256">
        <v>37.2678354452352</v>
      </c>
      <c r="FA12" s="247">
        <v>0.10982976386600769</v>
      </c>
      <c r="FB12" s="208">
        <v>3</v>
      </c>
      <c r="FC12" s="208">
        <v>3</v>
      </c>
      <c r="FD12" s="208">
        <v>5</v>
      </c>
      <c r="FE12" s="239">
        <v>0.78308621636463482</v>
      </c>
      <c r="FF12" s="208"/>
      <c r="FG12" s="241">
        <v>0</v>
      </c>
      <c r="FH12" s="209">
        <v>0</v>
      </c>
      <c r="FI12" s="237" t="s">
        <v>678</v>
      </c>
      <c r="FJ12" s="208">
        <v>48.9</v>
      </c>
      <c r="FK12" s="208">
        <v>16.739999999999998</v>
      </c>
      <c r="FL12" s="217">
        <v>56.9</v>
      </c>
      <c r="FM12" s="208">
        <v>6.57</v>
      </c>
      <c r="FN12" s="208" t="s">
        <v>750</v>
      </c>
      <c r="FP12" s="247" t="s">
        <v>693</v>
      </c>
      <c r="FU12" s="208">
        <v>36</v>
      </c>
      <c r="FV12" s="208">
        <v>41.8</v>
      </c>
      <c r="FW12" s="237">
        <v>81.86</v>
      </c>
      <c r="FX12" s="237">
        <v>68.599999999999994</v>
      </c>
      <c r="FY12" s="208">
        <v>60.65</v>
      </c>
      <c r="FZ12" s="208">
        <v>69.3</v>
      </c>
      <c r="GA12" s="208">
        <v>60.92</v>
      </c>
      <c r="GB12" s="208">
        <v>68.099999999999994</v>
      </c>
      <c r="GC12" s="208">
        <v>0.72</v>
      </c>
      <c r="GD12" s="208">
        <v>74.5</v>
      </c>
      <c r="GE12" s="237">
        <v>46.14</v>
      </c>
      <c r="GF12" s="237">
        <v>61.1</v>
      </c>
      <c r="GG12" s="237">
        <v>4.22</v>
      </c>
      <c r="GH12" s="237">
        <v>36.6</v>
      </c>
      <c r="GJ12" s="947">
        <v>125</v>
      </c>
      <c r="GK12" s="320">
        <v>0.01</v>
      </c>
      <c r="GL12" s="320">
        <v>0.25</v>
      </c>
      <c r="GM12" s="320">
        <v>0.08</v>
      </c>
      <c r="GN12" s="320">
        <v>0.66</v>
      </c>
      <c r="GO12" s="662">
        <v>8007</v>
      </c>
      <c r="GP12" s="663" t="str">
        <f>VLOOKUP(GS12,'BD Comarcal'!$A$6:$AV$17,48,FALSE)</f>
        <v>21</v>
      </c>
      <c r="GQ12" s="564">
        <v>63</v>
      </c>
      <c r="GR12" s="256">
        <f t="shared" si="0"/>
        <v>0</v>
      </c>
      <c r="GS12" s="237" t="s">
        <v>86</v>
      </c>
    </row>
    <row r="13" spans="1:201" s="237" customFormat="1" ht="17.25" customHeight="1">
      <c r="A13" s="236" t="s">
        <v>751</v>
      </c>
      <c r="C13" s="238"/>
      <c r="D13" s="238">
        <v>4710</v>
      </c>
      <c r="E13" s="238">
        <v>2974</v>
      </c>
      <c r="F13" s="239">
        <v>0.6314225053078556</v>
      </c>
      <c r="G13" s="238" t="s">
        <v>752</v>
      </c>
      <c r="H13" s="240">
        <v>474.50899828338919</v>
      </c>
      <c r="I13" s="239">
        <v>0.15955245402938439</v>
      </c>
      <c r="J13" s="238">
        <v>2141</v>
      </c>
      <c r="K13" s="238">
        <v>118</v>
      </c>
      <c r="L13" s="238">
        <v>18</v>
      </c>
      <c r="M13" s="241">
        <v>3.821656050955414E-3</v>
      </c>
      <c r="N13" s="238">
        <v>169</v>
      </c>
      <c r="O13" s="239">
        <v>7.8935077066791218E-2</v>
      </c>
      <c r="P13" s="237">
        <v>9</v>
      </c>
      <c r="Q13" s="237">
        <v>1</v>
      </c>
      <c r="R13" s="239">
        <v>0.1111111111111111</v>
      </c>
      <c r="S13" s="238">
        <v>503</v>
      </c>
      <c r="T13" s="436">
        <v>0</v>
      </c>
      <c r="U13" s="436">
        <v>12</v>
      </c>
      <c r="V13" s="436">
        <v>0</v>
      </c>
      <c r="W13" s="436">
        <v>12</v>
      </c>
      <c r="X13" s="238">
        <v>227</v>
      </c>
      <c r="Y13" s="237">
        <v>0.1792</v>
      </c>
      <c r="Z13" s="238">
        <v>2764</v>
      </c>
      <c r="AA13" s="238">
        <v>12396</v>
      </c>
      <c r="AB13" s="238">
        <v>75.739999999999995</v>
      </c>
      <c r="AC13" s="238">
        <v>5</v>
      </c>
      <c r="AD13" s="238" t="s">
        <v>678</v>
      </c>
      <c r="AE13" s="238">
        <v>35068.660000000033</v>
      </c>
      <c r="AF13" s="238">
        <v>308745.03999999998</v>
      </c>
      <c r="AG13" s="238">
        <v>4721.42</v>
      </c>
      <c r="AH13" s="239">
        <v>1.5292294250297917E-2</v>
      </c>
      <c r="AI13" s="242">
        <v>5.8001959999999997</v>
      </c>
      <c r="AJ13" s="242">
        <v>0.38792599999999999</v>
      </c>
      <c r="AK13" s="242">
        <v>8.2362208067940559E-3</v>
      </c>
      <c r="AL13" s="261" t="s">
        <v>678</v>
      </c>
      <c r="AM13" s="242" t="s">
        <v>678</v>
      </c>
      <c r="AN13" s="242">
        <v>19726.38</v>
      </c>
      <c r="AO13" s="238">
        <v>9813.68</v>
      </c>
      <c r="AP13" s="243">
        <v>55</v>
      </c>
      <c r="AQ13" s="238"/>
      <c r="AR13" s="238">
        <v>1209.4869983360127</v>
      </c>
      <c r="AS13" s="238">
        <v>815.11669925701278</v>
      </c>
      <c r="AT13" s="238">
        <v>5724</v>
      </c>
      <c r="AU13" s="238">
        <v>163.87488040127317</v>
      </c>
      <c r="AV13" s="237">
        <v>1</v>
      </c>
      <c r="AW13" s="237">
        <v>0</v>
      </c>
      <c r="AX13" s="237">
        <v>1</v>
      </c>
      <c r="AY13" s="244" t="s">
        <v>717</v>
      </c>
      <c r="AZ13" s="244" t="s">
        <v>695</v>
      </c>
      <c r="BA13" s="237">
        <v>2012</v>
      </c>
      <c r="BB13" s="245" t="s">
        <v>753</v>
      </c>
      <c r="BC13" s="215" t="s">
        <v>754</v>
      </c>
      <c r="BE13" s="237">
        <v>2</v>
      </c>
      <c r="BF13" s="237">
        <v>77</v>
      </c>
      <c r="BG13" s="246" t="s">
        <v>720</v>
      </c>
      <c r="BI13" s="239">
        <v>0.66216216216216217</v>
      </c>
      <c r="BJ13" s="239">
        <v>0.12162162162162163</v>
      </c>
      <c r="BK13" s="239">
        <v>0.2072072072072072</v>
      </c>
      <c r="BL13" s="239">
        <v>9.0090090090090089E-3</v>
      </c>
      <c r="BM13" s="247">
        <v>2.4369369369369371</v>
      </c>
      <c r="BN13" s="248">
        <v>0</v>
      </c>
      <c r="BO13" s="248">
        <v>0</v>
      </c>
      <c r="BP13" s="237">
        <v>0</v>
      </c>
      <c r="BQ13" s="237">
        <v>0</v>
      </c>
      <c r="BR13" s="248">
        <v>0</v>
      </c>
      <c r="BS13" s="256">
        <v>21</v>
      </c>
      <c r="BT13" s="256" t="s">
        <v>755</v>
      </c>
      <c r="BU13" s="249" t="s">
        <v>678</v>
      </c>
      <c r="BV13" s="249" t="s">
        <v>678</v>
      </c>
      <c r="BW13" s="249" t="s">
        <v>678</v>
      </c>
      <c r="BX13" s="249" t="s">
        <v>678</v>
      </c>
      <c r="BY13" s="249" t="s">
        <v>678</v>
      </c>
      <c r="BZ13" s="249" t="s">
        <v>678</v>
      </c>
      <c r="CA13" s="249" t="s">
        <v>678</v>
      </c>
      <c r="CB13" s="249" t="s">
        <v>678</v>
      </c>
      <c r="CC13" s="250" t="s">
        <v>678</v>
      </c>
      <c r="CD13" s="242" t="s">
        <v>678</v>
      </c>
      <c r="CE13" s="252" t="s">
        <v>678</v>
      </c>
      <c r="CF13" s="238">
        <v>162</v>
      </c>
      <c r="CG13" s="238">
        <v>9.8000000000000007</v>
      </c>
      <c r="CH13" s="238">
        <v>4.558139534883721</v>
      </c>
      <c r="CI13" s="216" t="s">
        <v>756</v>
      </c>
      <c r="CJ13" s="237">
        <v>1</v>
      </c>
      <c r="CK13" s="253">
        <v>5.47</v>
      </c>
      <c r="CL13" s="253">
        <v>0</v>
      </c>
      <c r="CM13" s="254">
        <v>0</v>
      </c>
      <c r="CN13" s="237" t="s">
        <v>81</v>
      </c>
      <c r="CO13" s="242">
        <v>170.59</v>
      </c>
      <c r="CP13" s="255">
        <v>3.6218683651804674E-2</v>
      </c>
      <c r="CV13" s="237">
        <v>1</v>
      </c>
      <c r="CW13" s="261" t="s">
        <v>678</v>
      </c>
      <c r="CX13" s="261" t="s">
        <v>678</v>
      </c>
      <c r="CY13" s="261" t="s">
        <v>678</v>
      </c>
      <c r="DB13" s="216" t="s">
        <v>681</v>
      </c>
      <c r="DC13" s="256"/>
      <c r="DD13" s="256">
        <v>0.8</v>
      </c>
      <c r="DE13" s="256">
        <v>-9</v>
      </c>
      <c r="DF13" s="256">
        <v>-0.3</v>
      </c>
      <c r="DG13" s="256">
        <v>-2.6</v>
      </c>
      <c r="DH13" s="257">
        <v>2</v>
      </c>
      <c r="DI13" s="257">
        <v>23.98</v>
      </c>
      <c r="DJ13" s="257">
        <v>6.16</v>
      </c>
      <c r="DK13" s="257">
        <v>30.14</v>
      </c>
      <c r="DL13" s="237" t="s">
        <v>529</v>
      </c>
      <c r="DN13" s="237" t="s">
        <v>757</v>
      </c>
      <c r="DP13" s="258" t="s">
        <v>683</v>
      </c>
      <c r="DQ13" s="258" t="s">
        <v>758</v>
      </c>
      <c r="DR13" s="258" t="s">
        <v>759</v>
      </c>
      <c r="DS13" s="258"/>
      <c r="DT13" s="258"/>
      <c r="DU13" s="237">
        <v>0</v>
      </c>
      <c r="DX13" s="247"/>
      <c r="DY13" s="247">
        <v>0</v>
      </c>
      <c r="EA13" s="237">
        <v>0</v>
      </c>
      <c r="ED13" s="237" t="s">
        <v>701</v>
      </c>
      <c r="EE13" s="208">
        <v>3</v>
      </c>
      <c r="EF13" s="237" t="s">
        <v>702</v>
      </c>
      <c r="EG13" s="216" t="s">
        <v>703</v>
      </c>
      <c r="EH13" s="246" t="s">
        <v>704</v>
      </c>
      <c r="EI13" s="216"/>
      <c r="EJ13" s="216" t="s">
        <v>529</v>
      </c>
      <c r="EK13" s="222" t="s">
        <v>682</v>
      </c>
      <c r="EL13" s="259">
        <v>2010</v>
      </c>
      <c r="EM13" s="260">
        <v>70</v>
      </c>
      <c r="EN13" s="260">
        <v>5904</v>
      </c>
      <c r="EO13" s="260">
        <v>79</v>
      </c>
      <c r="ER13" s="237" t="s">
        <v>705</v>
      </c>
      <c r="ES13" s="237" t="e">
        <v>#DIV/0!</v>
      </c>
      <c r="ET13" s="237">
        <v>1.1285714285714286</v>
      </c>
      <c r="EU13" s="661">
        <v>1</v>
      </c>
      <c r="EV13" s="661" t="s">
        <v>678</v>
      </c>
      <c r="EW13" s="661">
        <v>3</v>
      </c>
      <c r="EX13" s="661">
        <v>3</v>
      </c>
      <c r="EY13" s="660">
        <v>1.1613588110403396E-3</v>
      </c>
      <c r="EZ13" s="256">
        <v>39.305301645338211</v>
      </c>
      <c r="FA13" s="247">
        <v>3.3624747814391391E-2</v>
      </c>
      <c r="FB13" s="208">
        <v>4</v>
      </c>
      <c r="FC13" s="208">
        <v>6</v>
      </c>
      <c r="FD13" s="208">
        <v>3</v>
      </c>
      <c r="FE13" s="239" t="s">
        <v>678</v>
      </c>
      <c r="FF13" s="208">
        <v>1</v>
      </c>
      <c r="FG13" s="241">
        <v>1.0134498991257566E-2</v>
      </c>
      <c r="FH13" s="209">
        <v>0</v>
      </c>
      <c r="FI13" s="237" t="s">
        <v>678</v>
      </c>
      <c r="FJ13" s="208">
        <v>52.5</v>
      </c>
      <c r="FK13" s="208">
        <v>4.1500000000000004</v>
      </c>
      <c r="FL13" s="217">
        <v>36.6</v>
      </c>
      <c r="FM13" s="208">
        <v>6.35</v>
      </c>
      <c r="FN13" s="208" t="s">
        <v>760</v>
      </c>
      <c r="FP13" s="247" t="s">
        <v>693</v>
      </c>
      <c r="FU13" s="208">
        <v>48</v>
      </c>
      <c r="FV13" s="208">
        <v>71.7</v>
      </c>
      <c r="FW13" s="237">
        <v>75.47</v>
      </c>
      <c r="FX13" s="237">
        <v>60.8</v>
      </c>
      <c r="FY13" s="208">
        <v>32.75</v>
      </c>
      <c r="FZ13" s="208">
        <v>49.7</v>
      </c>
      <c r="GA13" s="208">
        <v>54.02</v>
      </c>
      <c r="GB13" s="208">
        <v>57.5</v>
      </c>
      <c r="GC13" s="208">
        <v>0.38</v>
      </c>
      <c r="GD13" s="208">
        <v>56.1</v>
      </c>
      <c r="GE13" s="237">
        <v>45.49</v>
      </c>
      <c r="GF13" s="237">
        <v>59.9</v>
      </c>
      <c r="GG13" s="237">
        <v>24.89</v>
      </c>
      <c r="GH13" s="237">
        <v>97.7</v>
      </c>
      <c r="GJ13" s="947"/>
      <c r="GK13" s="320"/>
      <c r="GL13" s="320"/>
      <c r="GM13" s="320"/>
      <c r="GN13" s="320"/>
      <c r="GO13" s="662">
        <v>8008</v>
      </c>
      <c r="GP13" s="663" t="str">
        <f>VLOOKUP(GS13,'BD Comarcal'!$A$6:$AV$17,48,FALSE)</f>
        <v>06</v>
      </c>
      <c r="GQ13" s="564">
        <v>1</v>
      </c>
      <c r="GR13" s="256">
        <f t="shared" si="0"/>
        <v>1</v>
      </c>
      <c r="GS13" s="237" t="s">
        <v>81</v>
      </c>
    </row>
    <row r="14" spans="1:201" s="237" customFormat="1" ht="17.25" customHeight="1">
      <c r="A14" s="236" t="s">
        <v>761</v>
      </c>
      <c r="C14" s="238"/>
      <c r="D14" s="238">
        <v>2522</v>
      </c>
      <c r="E14" s="238">
        <v>2119</v>
      </c>
      <c r="F14" s="239">
        <v>0.84020618556701032</v>
      </c>
      <c r="G14" s="238">
        <v>2119</v>
      </c>
      <c r="H14" s="240">
        <v>374.34807930741061</v>
      </c>
      <c r="I14" s="239">
        <v>0.17666261411392667</v>
      </c>
      <c r="J14" s="238">
        <v>93</v>
      </c>
      <c r="K14" s="238">
        <v>0</v>
      </c>
      <c r="L14" s="238">
        <v>79</v>
      </c>
      <c r="M14" s="241">
        <v>3.1324345757335448E-2</v>
      </c>
      <c r="N14" s="238">
        <v>11</v>
      </c>
      <c r="O14" s="239">
        <v>0.11827956989247312</v>
      </c>
      <c r="P14" s="237">
        <v>7</v>
      </c>
      <c r="Q14" s="237">
        <v>0</v>
      </c>
      <c r="R14" s="239">
        <v>0</v>
      </c>
      <c r="S14" s="238">
        <v>351</v>
      </c>
      <c r="T14" s="436">
        <v>0</v>
      </c>
      <c r="U14" s="436">
        <v>0</v>
      </c>
      <c r="V14" s="436">
        <v>0</v>
      </c>
      <c r="W14" s="436">
        <v>0</v>
      </c>
      <c r="X14" s="238">
        <v>12051</v>
      </c>
      <c r="Y14" s="237">
        <v>0.1633</v>
      </c>
      <c r="Z14" s="238">
        <v>197260</v>
      </c>
      <c r="AA14" s="238">
        <v>16469</v>
      </c>
      <c r="AB14" s="238">
        <v>100.62</v>
      </c>
      <c r="AC14" s="238">
        <v>4365</v>
      </c>
      <c r="AD14" s="238">
        <v>14406731.189999999</v>
      </c>
      <c r="AE14" s="238">
        <v>3068782.2299999986</v>
      </c>
      <c r="AF14" s="238">
        <v>11802680.279999999</v>
      </c>
      <c r="AG14" s="238">
        <v>593486.77</v>
      </c>
      <c r="AH14" s="239">
        <v>5.0284067340676968E-2</v>
      </c>
      <c r="AI14" s="242">
        <v>307.98319300000003</v>
      </c>
      <c r="AJ14" s="242">
        <v>40.38091</v>
      </c>
      <c r="AK14" s="242">
        <v>1.6011463124504361</v>
      </c>
      <c r="AL14" s="242">
        <v>172.75621799999999</v>
      </c>
      <c r="AM14" s="242">
        <v>6.8499689928628076</v>
      </c>
      <c r="AN14" s="242">
        <v>58588.639999999999</v>
      </c>
      <c r="AO14" s="238">
        <v>4533.28</v>
      </c>
      <c r="AP14" s="243">
        <v>13</v>
      </c>
      <c r="AQ14" s="238"/>
      <c r="AR14" s="238">
        <v>1434.196446379867</v>
      </c>
      <c r="AS14" s="238">
        <v>2172.8053640103376</v>
      </c>
      <c r="AT14" s="238">
        <v>782781</v>
      </c>
      <c r="AU14" s="238">
        <v>279.61032440315608</v>
      </c>
      <c r="AV14" s="237">
        <v>1</v>
      </c>
      <c r="AW14" s="237">
        <v>1</v>
      </c>
      <c r="AX14" s="237">
        <v>1</v>
      </c>
      <c r="AY14" s="244" t="s">
        <v>673</v>
      </c>
      <c r="AZ14" s="244" t="s">
        <v>682</v>
      </c>
      <c r="BA14" s="237">
        <v>2014</v>
      </c>
      <c r="BB14" s="245" t="s">
        <v>743</v>
      </c>
      <c r="BC14" s="215" t="s">
        <v>744</v>
      </c>
      <c r="BE14" s="237">
        <v>264</v>
      </c>
      <c r="BF14" s="237">
        <v>2</v>
      </c>
      <c r="BG14" s="246" t="s">
        <v>676</v>
      </c>
      <c r="BI14" s="239">
        <v>0.50592948717948716</v>
      </c>
      <c r="BJ14" s="239">
        <v>0.125</v>
      </c>
      <c r="BK14" s="239">
        <v>0.35560897435897437</v>
      </c>
      <c r="BL14" s="239">
        <v>1.3461538461538462E-2</v>
      </c>
      <c r="BM14" s="247">
        <v>2.1233974358974361</v>
      </c>
      <c r="BN14" s="248">
        <v>1</v>
      </c>
      <c r="BO14" s="248">
        <v>1</v>
      </c>
      <c r="BP14" s="237">
        <v>0</v>
      </c>
      <c r="BQ14" s="237">
        <v>0</v>
      </c>
      <c r="BR14" s="248">
        <v>2</v>
      </c>
      <c r="BS14" s="256" t="s">
        <v>345</v>
      </c>
      <c r="BT14" s="256"/>
      <c r="BU14" s="249">
        <v>804</v>
      </c>
      <c r="BV14" s="249">
        <v>1111</v>
      </c>
      <c r="BW14" s="249">
        <v>5705</v>
      </c>
      <c r="BX14" s="249">
        <v>1819</v>
      </c>
      <c r="BY14" s="249">
        <v>6.7449664429530198</v>
      </c>
      <c r="BZ14" s="249">
        <v>9.3204697986577187</v>
      </c>
      <c r="CA14" s="249">
        <v>47.86073825503356</v>
      </c>
      <c r="CB14" s="249">
        <v>15.26006711409396</v>
      </c>
      <c r="CC14" s="250">
        <v>86.736577181208048</v>
      </c>
      <c r="CD14" s="242">
        <v>-426</v>
      </c>
      <c r="CE14" s="252">
        <v>96.426174496644293</v>
      </c>
      <c r="CF14" s="238">
        <v>5411</v>
      </c>
      <c r="CG14" s="238">
        <v>854.2</v>
      </c>
      <c r="CH14" s="238">
        <v>7.1661073825503356</v>
      </c>
      <c r="CI14" s="216" t="s">
        <v>679</v>
      </c>
      <c r="CJ14" s="237">
        <v>0</v>
      </c>
      <c r="CK14" s="253">
        <v>339.99</v>
      </c>
      <c r="CL14" s="253">
        <v>71.571700000000007</v>
      </c>
      <c r="CM14" s="254">
        <v>2.8378945281522603E-2</v>
      </c>
      <c r="CN14" s="237" t="s">
        <v>86</v>
      </c>
      <c r="CO14" s="242">
        <v>801.07</v>
      </c>
      <c r="CP14" s="255">
        <v>0.31763283108643936</v>
      </c>
      <c r="CQ14" s="237">
        <v>10.830000000000002</v>
      </c>
      <c r="CR14" s="248" t="s">
        <v>762</v>
      </c>
      <c r="CS14" s="237">
        <v>10.830000000000002</v>
      </c>
      <c r="CV14" s="237">
        <v>7</v>
      </c>
      <c r="CW14" s="194">
        <v>1.5329999999999999</v>
      </c>
      <c r="CX14" s="194">
        <v>0.63500000000000001</v>
      </c>
      <c r="CY14" s="194" t="s">
        <v>680</v>
      </c>
      <c r="DB14" s="216" t="s">
        <v>746</v>
      </c>
      <c r="DC14" s="256" t="s">
        <v>763</v>
      </c>
      <c r="DD14" s="256">
        <v>0.7</v>
      </c>
      <c r="DE14" s="256">
        <v>-6.5</v>
      </c>
      <c r="DF14" s="256">
        <v>0.7</v>
      </c>
      <c r="DG14" s="256">
        <v>-2.2000000000000002</v>
      </c>
      <c r="DH14" s="257">
        <v>3</v>
      </c>
      <c r="DI14" s="257">
        <v>3.08</v>
      </c>
      <c r="DJ14" s="257">
        <v>2.1</v>
      </c>
      <c r="DK14" s="257">
        <v>5.18</v>
      </c>
      <c r="DL14" s="237" t="s">
        <v>529</v>
      </c>
      <c r="DM14" s="237" t="s">
        <v>764</v>
      </c>
      <c r="DN14" s="237" t="s">
        <v>713</v>
      </c>
      <c r="DP14" s="258" t="s">
        <v>682</v>
      </c>
      <c r="DQ14" s="258"/>
      <c r="DR14" s="258"/>
      <c r="DS14" s="258"/>
      <c r="DT14" s="258"/>
      <c r="DU14" s="237">
        <v>0</v>
      </c>
      <c r="DX14" s="247"/>
      <c r="DY14" s="247">
        <v>0</v>
      </c>
      <c r="EA14" s="237">
        <v>1</v>
      </c>
      <c r="EB14" s="237" t="s">
        <v>765</v>
      </c>
      <c r="ED14" s="237" t="s">
        <v>749</v>
      </c>
      <c r="EE14" s="208">
        <v>1</v>
      </c>
      <c r="EF14" s="237" t="s">
        <v>688</v>
      </c>
      <c r="EG14" s="216" t="s">
        <v>689</v>
      </c>
      <c r="EH14" s="246" t="s">
        <v>690</v>
      </c>
      <c r="EI14" s="216" t="s">
        <v>689</v>
      </c>
      <c r="EJ14" s="216" t="s">
        <v>529</v>
      </c>
      <c r="EK14" s="222" t="s">
        <v>682</v>
      </c>
      <c r="EL14" s="259">
        <v>1987</v>
      </c>
      <c r="EM14" s="260">
        <v>2010</v>
      </c>
      <c r="EN14" s="260">
        <v>529921</v>
      </c>
      <c r="EO14" s="260">
        <v>250990</v>
      </c>
      <c r="ER14" s="237" t="s">
        <v>705</v>
      </c>
      <c r="ES14" s="237">
        <v>5960</v>
      </c>
      <c r="ET14" s="237">
        <v>124.87064676616916</v>
      </c>
      <c r="EU14" s="661">
        <v>1</v>
      </c>
      <c r="EV14" s="661">
        <v>1</v>
      </c>
      <c r="EW14" s="661">
        <v>5</v>
      </c>
      <c r="EX14" s="661">
        <v>6</v>
      </c>
      <c r="EY14" s="660">
        <v>0.13480967486122125</v>
      </c>
      <c r="EZ14" s="256">
        <v>35.05985470160887</v>
      </c>
      <c r="FA14" s="247">
        <v>0.33034450212364325</v>
      </c>
      <c r="FB14" s="208">
        <v>4</v>
      </c>
      <c r="FC14" s="208">
        <v>4</v>
      </c>
      <c r="FD14" s="208">
        <v>1</v>
      </c>
      <c r="FE14" s="239">
        <v>1</v>
      </c>
      <c r="FF14" s="208"/>
      <c r="FG14" s="241">
        <v>2.4445493157149597E-3</v>
      </c>
      <c r="FH14" s="209">
        <v>5.1109013685700809E-3</v>
      </c>
      <c r="FI14" s="237" t="s">
        <v>678</v>
      </c>
      <c r="FJ14" s="208">
        <v>45.2</v>
      </c>
      <c r="FK14" s="208">
        <v>39.03</v>
      </c>
      <c r="FL14" s="217">
        <v>81.8</v>
      </c>
      <c r="FM14" s="208">
        <v>4.1900000000000004</v>
      </c>
      <c r="FN14" s="208" t="s">
        <v>766</v>
      </c>
      <c r="FP14" s="247" t="s">
        <v>693</v>
      </c>
      <c r="FU14" s="208">
        <v>38</v>
      </c>
      <c r="FV14" s="208">
        <v>46.5</v>
      </c>
      <c r="FW14" s="237">
        <v>84.7</v>
      </c>
      <c r="FX14" s="237">
        <v>74.099999999999994</v>
      </c>
      <c r="FY14" s="208">
        <v>46.19</v>
      </c>
      <c r="FZ14" s="208">
        <v>58.9</v>
      </c>
      <c r="GA14" s="208">
        <v>59.82</v>
      </c>
      <c r="GB14" s="208">
        <v>66.8</v>
      </c>
      <c r="GC14" s="208">
        <v>0.84</v>
      </c>
      <c r="GD14" s="208">
        <v>80.900000000000006</v>
      </c>
      <c r="GE14" s="237">
        <v>43.45</v>
      </c>
      <c r="GF14" s="237">
        <v>56.5</v>
      </c>
      <c r="GG14" s="237">
        <v>4.3600000000000003</v>
      </c>
      <c r="GH14" s="237">
        <v>37.5</v>
      </c>
      <c r="GJ14" s="947">
        <v>295</v>
      </c>
      <c r="GK14" s="320">
        <v>1.2E-2</v>
      </c>
      <c r="GL14" s="320">
        <v>0.41499999999999998</v>
      </c>
      <c r="GM14" s="320">
        <v>6.5000000000000002E-2</v>
      </c>
      <c r="GN14" s="320">
        <v>0.50700000000000001</v>
      </c>
      <c r="GO14" s="662">
        <v>8009</v>
      </c>
      <c r="GP14" s="663" t="str">
        <f>VLOOKUP(GS14,'BD Comarcal'!$A$6:$AV$17,48,FALSE)</f>
        <v>21</v>
      </c>
      <c r="GQ14" s="564">
        <v>100</v>
      </c>
      <c r="GR14" s="256">
        <f t="shared" si="0"/>
        <v>1</v>
      </c>
      <c r="GS14" s="237" t="s">
        <v>86</v>
      </c>
    </row>
    <row r="15" spans="1:201" s="237" customFormat="1" ht="17.25" customHeight="1">
      <c r="A15" s="236" t="s">
        <v>767</v>
      </c>
      <c r="C15" s="238"/>
      <c r="D15" s="238">
        <v>1792</v>
      </c>
      <c r="E15" s="238">
        <v>710</v>
      </c>
      <c r="F15" s="239">
        <v>0.39620535714285715</v>
      </c>
      <c r="G15" s="238">
        <v>592</v>
      </c>
      <c r="H15" s="240">
        <v>326.19877578056071</v>
      </c>
      <c r="I15" s="239">
        <v>0.45943489546557847</v>
      </c>
      <c r="J15" s="238">
        <v>1671</v>
      </c>
      <c r="K15" s="238">
        <v>164</v>
      </c>
      <c r="L15" s="238">
        <v>42</v>
      </c>
      <c r="M15" s="241">
        <v>2.34375E-2</v>
      </c>
      <c r="N15" s="238">
        <v>0</v>
      </c>
      <c r="O15" s="239">
        <v>0</v>
      </c>
      <c r="P15" s="237">
        <v>24</v>
      </c>
      <c r="Q15" s="237">
        <v>0</v>
      </c>
      <c r="R15" s="239">
        <v>0</v>
      </c>
      <c r="S15" s="238">
        <v>3266</v>
      </c>
      <c r="T15" s="436">
        <v>0</v>
      </c>
      <c r="U15" s="436">
        <v>0</v>
      </c>
      <c r="V15" s="436">
        <v>0</v>
      </c>
      <c r="W15" s="436">
        <v>0</v>
      </c>
      <c r="X15" s="238">
        <v>5596</v>
      </c>
      <c r="Y15" s="237">
        <v>0.16639999999999999</v>
      </c>
      <c r="Z15" s="238">
        <v>86876</v>
      </c>
      <c r="AA15" s="238">
        <v>15336</v>
      </c>
      <c r="AB15" s="238">
        <v>93.7</v>
      </c>
      <c r="AC15" s="238">
        <v>55</v>
      </c>
      <c r="AD15" s="238">
        <v>5208686.28</v>
      </c>
      <c r="AE15" s="238">
        <v>187467.97999999952</v>
      </c>
      <c r="AF15" s="238">
        <v>4855780.33</v>
      </c>
      <c r="AG15" s="238">
        <v>583182.14</v>
      </c>
      <c r="AH15" s="239">
        <v>0.12010060183262038</v>
      </c>
      <c r="AI15" s="242">
        <v>116.25953199999999</v>
      </c>
      <c r="AJ15" s="242">
        <v>120.62642099999999</v>
      </c>
      <c r="AK15" s="242">
        <v>6.7313851004464285</v>
      </c>
      <c r="AL15" s="242">
        <v>11.534697</v>
      </c>
      <c r="AM15" s="242">
        <v>0.64367728794642853</v>
      </c>
      <c r="AN15" s="242">
        <v>20466.080000000002</v>
      </c>
      <c r="AO15" s="238">
        <v>1957.44</v>
      </c>
      <c r="AP15" s="243">
        <v>10</v>
      </c>
      <c r="AQ15" s="238">
        <v>1</v>
      </c>
      <c r="AR15" s="238">
        <v>1367.4543431535412</v>
      </c>
      <c r="AS15" s="238">
        <v>2442.8804232575758</v>
      </c>
      <c r="AT15" s="238">
        <v>390153.33333333331</v>
      </c>
      <c r="AU15" s="238">
        <v>236.69228964489497</v>
      </c>
      <c r="AV15" s="237">
        <v>1</v>
      </c>
      <c r="AW15" s="237">
        <v>1</v>
      </c>
      <c r="AX15" s="237">
        <v>1</v>
      </c>
      <c r="AY15" s="244" t="s">
        <v>673</v>
      </c>
      <c r="AZ15" s="244" t="s">
        <v>673</v>
      </c>
      <c r="BA15" s="237">
        <v>2012</v>
      </c>
      <c r="BB15" s="245" t="s">
        <v>768</v>
      </c>
      <c r="BC15" s="215" t="s">
        <v>769</v>
      </c>
      <c r="BE15" s="237">
        <v>2</v>
      </c>
      <c r="BF15" s="237">
        <v>143</v>
      </c>
      <c r="BG15" s="246" t="s">
        <v>698</v>
      </c>
      <c r="BI15" s="239">
        <v>0.40381915192361695</v>
      </c>
      <c r="BJ15" s="239">
        <v>0.12524571749508565</v>
      </c>
      <c r="BK15" s="239">
        <v>0.43442853131142939</v>
      </c>
      <c r="BL15" s="239">
        <v>3.6506599269868018E-2</v>
      </c>
      <c r="BM15" s="247">
        <v>1.8963774220724514</v>
      </c>
      <c r="BN15" s="248">
        <v>0</v>
      </c>
      <c r="BO15" s="248">
        <v>1</v>
      </c>
      <c r="BP15" s="237">
        <v>0</v>
      </c>
      <c r="BQ15" s="237">
        <v>0</v>
      </c>
      <c r="BR15" s="248">
        <v>1</v>
      </c>
      <c r="BS15" s="256">
        <v>18</v>
      </c>
      <c r="BT15" s="256" t="s">
        <v>699</v>
      </c>
      <c r="BU15" s="249" t="s">
        <v>678</v>
      </c>
      <c r="BV15" s="249">
        <v>759</v>
      </c>
      <c r="BW15" s="249">
        <v>2644</v>
      </c>
      <c r="BX15" s="249" t="s">
        <v>678</v>
      </c>
      <c r="BY15" s="249" t="s">
        <v>678</v>
      </c>
      <c r="BZ15" s="249">
        <v>13.536650615302301</v>
      </c>
      <c r="CA15" s="249">
        <v>47.155341537364009</v>
      </c>
      <c r="CB15" s="249" t="s">
        <v>678</v>
      </c>
      <c r="CC15" s="250" t="s">
        <v>678</v>
      </c>
      <c r="CD15" s="242">
        <v>-280</v>
      </c>
      <c r="CE15" s="252">
        <v>95.006242197253428</v>
      </c>
      <c r="CF15" s="238">
        <v>2635</v>
      </c>
      <c r="CG15" s="238">
        <v>411</v>
      </c>
      <c r="CH15" s="238">
        <v>7.3301230604601395</v>
      </c>
      <c r="CI15" s="216" t="s">
        <v>722</v>
      </c>
      <c r="CJ15" s="237">
        <v>1</v>
      </c>
      <c r="CK15" s="253">
        <v>101.88</v>
      </c>
      <c r="CL15" s="253">
        <v>42.826500000000003</v>
      </c>
      <c r="CM15" s="254">
        <v>2.3898716517857143E-2</v>
      </c>
      <c r="CN15" s="237" t="s">
        <v>82</v>
      </c>
      <c r="CO15" s="242"/>
      <c r="CP15" s="255">
        <v>0</v>
      </c>
      <c r="CV15" s="237">
        <v>3</v>
      </c>
      <c r="CW15" s="194">
        <v>0.54700000000000004</v>
      </c>
      <c r="CX15" s="194">
        <v>0.1</v>
      </c>
      <c r="CY15" s="194">
        <v>1.282</v>
      </c>
      <c r="DB15" s="216" t="s">
        <v>710</v>
      </c>
      <c r="DC15" s="195" t="s">
        <v>711</v>
      </c>
      <c r="DD15" s="256">
        <v>0.8</v>
      </c>
      <c r="DE15" s="256">
        <v>-10</v>
      </c>
      <c r="DF15" s="256">
        <v>0.5</v>
      </c>
      <c r="DG15" s="256">
        <v>-2.2999999999999998</v>
      </c>
      <c r="DH15" s="257">
        <v>3</v>
      </c>
      <c r="DI15" s="257">
        <v>4</v>
      </c>
      <c r="DJ15" s="257">
        <v>1</v>
      </c>
      <c r="DK15" s="257">
        <v>5</v>
      </c>
      <c r="DL15" s="237" t="s">
        <v>529</v>
      </c>
      <c r="DN15" s="237" t="s">
        <v>770</v>
      </c>
      <c r="DP15" s="258" t="s">
        <v>682</v>
      </c>
      <c r="DQ15" s="258"/>
      <c r="DR15" s="258"/>
      <c r="DS15" s="258"/>
      <c r="DT15" s="258"/>
      <c r="DU15" s="237">
        <v>0.25</v>
      </c>
      <c r="DV15" s="237" t="s">
        <v>771</v>
      </c>
      <c r="DW15" s="237" t="s">
        <v>772</v>
      </c>
      <c r="DX15" s="247">
        <v>24.102499999999999</v>
      </c>
      <c r="DY15" s="247">
        <v>1.3450055803571428</v>
      </c>
      <c r="EA15" s="237">
        <v>0</v>
      </c>
      <c r="ED15" s="237" t="s">
        <v>687</v>
      </c>
      <c r="EE15" s="208">
        <v>1</v>
      </c>
      <c r="EF15" s="237" t="s">
        <v>688</v>
      </c>
      <c r="EG15" s="216" t="s">
        <v>691</v>
      </c>
      <c r="EH15" s="246" t="s">
        <v>690</v>
      </c>
      <c r="EI15" s="216"/>
      <c r="EJ15" s="216" t="s">
        <v>529</v>
      </c>
      <c r="EK15" s="222" t="s">
        <v>682</v>
      </c>
      <c r="EL15" s="259">
        <v>1988</v>
      </c>
      <c r="EM15" s="260">
        <v>2425</v>
      </c>
      <c r="EN15" s="260">
        <v>222448</v>
      </c>
      <c r="EO15" s="260">
        <v>200778</v>
      </c>
      <c r="ER15" s="237" t="s">
        <v>705</v>
      </c>
      <c r="ES15" s="237">
        <v>5607</v>
      </c>
      <c r="ET15" s="237">
        <v>82.795051546391747</v>
      </c>
      <c r="EU15" s="661">
        <v>1</v>
      </c>
      <c r="EV15" s="661">
        <v>1</v>
      </c>
      <c r="EW15" s="661">
        <v>4</v>
      </c>
      <c r="EX15" s="661">
        <v>5</v>
      </c>
      <c r="EY15" s="660">
        <v>5.6852678571428568E-2</v>
      </c>
      <c r="EZ15" s="256">
        <v>55.035335689045937</v>
      </c>
      <c r="FA15" s="247">
        <v>0.42253521126760563</v>
      </c>
      <c r="FB15" s="208">
        <v>3</v>
      </c>
      <c r="FC15" s="208">
        <v>3</v>
      </c>
      <c r="FD15" s="208">
        <v>5</v>
      </c>
      <c r="FE15" s="239">
        <v>0.83380281690140845</v>
      </c>
      <c r="FF15" s="208"/>
      <c r="FG15" s="241">
        <v>7.0422535211267607E-3</v>
      </c>
      <c r="FH15" s="209">
        <v>0</v>
      </c>
      <c r="FI15" s="237" t="s">
        <v>678</v>
      </c>
      <c r="FJ15" s="208">
        <v>41</v>
      </c>
      <c r="FK15" s="208">
        <v>0</v>
      </c>
      <c r="FL15" s="217">
        <v>0.5</v>
      </c>
      <c r="FM15" s="208">
        <v>2.39</v>
      </c>
      <c r="FN15" s="208" t="s">
        <v>773</v>
      </c>
      <c r="FP15" s="247" t="s">
        <v>693</v>
      </c>
      <c r="FU15" s="208">
        <v>25</v>
      </c>
      <c r="FV15" s="208">
        <v>15.1</v>
      </c>
      <c r="FW15" s="237">
        <v>67.5</v>
      </c>
      <c r="FX15" s="237">
        <v>49.1</v>
      </c>
      <c r="FY15" s="208">
        <v>12.49</v>
      </c>
      <c r="FZ15" s="208">
        <v>23.3</v>
      </c>
      <c r="GA15" s="208">
        <v>31.12</v>
      </c>
      <c r="GB15" s="208">
        <v>23.4</v>
      </c>
      <c r="GC15" s="208" t="s">
        <v>678</v>
      </c>
      <c r="GD15" s="208" t="s">
        <v>678</v>
      </c>
      <c r="GE15" s="237">
        <v>24.46</v>
      </c>
      <c r="GF15" s="237">
        <v>25.1</v>
      </c>
      <c r="GG15" s="237">
        <v>11.05</v>
      </c>
      <c r="GH15" s="237">
        <v>71</v>
      </c>
      <c r="GJ15" s="947">
        <v>119</v>
      </c>
      <c r="GK15" s="320">
        <v>1.7000000000000001E-2</v>
      </c>
      <c r="GL15" s="320">
        <v>0.437</v>
      </c>
      <c r="GM15" s="320">
        <v>5.2999999999999999E-2</v>
      </c>
      <c r="GN15" s="320">
        <v>0.49199999999999999</v>
      </c>
      <c r="GO15" s="662">
        <v>8010</v>
      </c>
      <c r="GP15" s="663" t="str">
        <f>VLOOKUP(GS15,'BD Comarcal'!$A$6:$AV$17,48,FALSE)</f>
        <v>07</v>
      </c>
      <c r="GQ15" s="564">
        <v>40</v>
      </c>
      <c r="GR15" s="256">
        <f t="shared" si="0"/>
        <v>1</v>
      </c>
      <c r="GS15" s="237" t="s">
        <v>82</v>
      </c>
    </row>
    <row r="16" spans="1:201" s="237" customFormat="1" ht="17.25" customHeight="1">
      <c r="A16" s="236" t="s">
        <v>774</v>
      </c>
      <c r="C16" s="238"/>
      <c r="D16" s="238">
        <v>2714</v>
      </c>
      <c r="E16" s="238">
        <v>1108</v>
      </c>
      <c r="F16" s="239">
        <v>0.40825350036845987</v>
      </c>
      <c r="G16" s="238">
        <v>1038</v>
      </c>
      <c r="H16" s="240">
        <v>656.82614314637226</v>
      </c>
      <c r="I16" s="239">
        <v>0.59280337829094965</v>
      </c>
      <c r="J16" s="238">
        <v>1247</v>
      </c>
      <c r="K16" s="238">
        <v>242</v>
      </c>
      <c r="L16" s="238">
        <v>8</v>
      </c>
      <c r="M16" s="241">
        <v>2.9476787030213707E-3</v>
      </c>
      <c r="N16" s="238">
        <v>0</v>
      </c>
      <c r="O16" s="239">
        <v>0</v>
      </c>
      <c r="P16" s="237">
        <v>58</v>
      </c>
      <c r="Q16" s="237">
        <v>0</v>
      </c>
      <c r="R16" s="239">
        <v>0</v>
      </c>
      <c r="S16" s="238">
        <v>5491</v>
      </c>
      <c r="T16" s="436">
        <v>129</v>
      </c>
      <c r="U16" s="436">
        <v>26</v>
      </c>
      <c r="V16" s="436">
        <v>16</v>
      </c>
      <c r="W16" s="436">
        <v>171</v>
      </c>
      <c r="X16" s="238">
        <v>2257</v>
      </c>
      <c r="Y16" s="237">
        <v>0.1953</v>
      </c>
      <c r="Z16" s="238">
        <v>39890</v>
      </c>
      <c r="AA16" s="238">
        <v>17928</v>
      </c>
      <c r="AB16" s="238">
        <v>109.54</v>
      </c>
      <c r="AC16" s="238">
        <v>162</v>
      </c>
      <c r="AD16" s="238">
        <v>2159031.0100000002</v>
      </c>
      <c r="AE16" s="238">
        <v>116871.35000000009</v>
      </c>
      <c r="AF16" s="238">
        <v>1791098.23</v>
      </c>
      <c r="AG16" s="238">
        <v>49900.21</v>
      </c>
      <c r="AH16" s="239">
        <v>2.7860119095757245E-2</v>
      </c>
      <c r="AI16" s="242">
        <v>50.472723000000002</v>
      </c>
      <c r="AJ16" s="242">
        <v>20.069823</v>
      </c>
      <c r="AK16" s="242">
        <v>0.73949237288135594</v>
      </c>
      <c r="AL16" s="242">
        <v>8.4600190000000008</v>
      </c>
      <c r="AM16" s="242">
        <v>0.31171772291820193</v>
      </c>
      <c r="AN16" s="242">
        <v>19817.150000000001</v>
      </c>
      <c r="AO16" s="238">
        <v>0</v>
      </c>
      <c r="AP16" s="243">
        <v>0</v>
      </c>
      <c r="AQ16" s="238"/>
      <c r="AR16" s="238">
        <v>1481.3336359551115</v>
      </c>
      <c r="AS16" s="238">
        <v>2517.4406306599717</v>
      </c>
      <c r="AT16" s="238">
        <v>163333.66666666666</v>
      </c>
      <c r="AU16" s="238">
        <v>263.57129502021706</v>
      </c>
      <c r="AV16" s="237">
        <v>1</v>
      </c>
      <c r="AW16" s="237">
        <v>1</v>
      </c>
      <c r="AX16" s="237">
        <v>1</v>
      </c>
      <c r="AY16" s="244" t="s">
        <v>673</v>
      </c>
      <c r="AZ16" s="244" t="s">
        <v>726</v>
      </c>
      <c r="BA16" s="237">
        <v>2009</v>
      </c>
      <c r="BB16" s="245" t="s">
        <v>775</v>
      </c>
      <c r="BC16" s="215" t="s">
        <v>776</v>
      </c>
      <c r="BE16" s="237">
        <v>3</v>
      </c>
      <c r="BF16" s="237">
        <v>17</v>
      </c>
      <c r="BG16" s="246" t="s">
        <v>720</v>
      </c>
      <c r="BI16" s="239">
        <v>0.50623624358033747</v>
      </c>
      <c r="BJ16" s="239">
        <v>7.7769625825385186E-2</v>
      </c>
      <c r="BK16" s="239">
        <v>0.40132061628760091</v>
      </c>
      <c r="BL16" s="239">
        <v>1.4673514306676448E-2</v>
      </c>
      <c r="BM16" s="247">
        <v>2.0755685986793835</v>
      </c>
      <c r="BN16" s="248">
        <v>0</v>
      </c>
      <c r="BO16" s="248">
        <v>0</v>
      </c>
      <c r="BP16" s="237">
        <v>0</v>
      </c>
      <c r="BQ16" s="237">
        <v>0</v>
      </c>
      <c r="BR16" s="248">
        <v>0</v>
      </c>
      <c r="BS16" s="256">
        <v>4.7</v>
      </c>
      <c r="BT16" s="256" t="s">
        <v>777</v>
      </c>
      <c r="BU16" s="249" t="s">
        <v>678</v>
      </c>
      <c r="BV16" s="249">
        <v>243</v>
      </c>
      <c r="BW16" s="249">
        <v>1132</v>
      </c>
      <c r="BX16" s="249" t="s">
        <v>678</v>
      </c>
      <c r="BY16" s="249" t="s">
        <v>678</v>
      </c>
      <c r="BZ16" s="249">
        <v>10.615989515072084</v>
      </c>
      <c r="CA16" s="249">
        <v>49.453910004368723</v>
      </c>
      <c r="CB16" s="249" t="s">
        <v>678</v>
      </c>
      <c r="CC16" s="250" t="s">
        <v>678</v>
      </c>
      <c r="CD16" s="242" t="s">
        <v>678</v>
      </c>
      <c r="CE16" s="252" t="s">
        <v>678</v>
      </c>
      <c r="CF16" s="238">
        <v>1176</v>
      </c>
      <c r="CG16" s="238">
        <v>116.7</v>
      </c>
      <c r="CH16" s="238">
        <v>5.09829619921363</v>
      </c>
      <c r="CI16" s="216" t="s">
        <v>700</v>
      </c>
      <c r="CJ16" s="237">
        <v>0</v>
      </c>
      <c r="CK16" s="253">
        <v>86.51</v>
      </c>
      <c r="CL16" s="253">
        <v>10.8424</v>
      </c>
      <c r="CM16" s="254">
        <v>3.9949889462048633E-3</v>
      </c>
      <c r="CN16" s="237" t="s">
        <v>84</v>
      </c>
      <c r="CO16" s="242">
        <v>36.15</v>
      </c>
      <c r="CP16" s="255">
        <v>1.3319823139277818E-2</v>
      </c>
      <c r="CV16" s="237">
        <v>2</v>
      </c>
      <c r="CW16" s="261" t="s">
        <v>678</v>
      </c>
      <c r="CX16" s="261" t="s">
        <v>678</v>
      </c>
      <c r="CY16" s="261" t="s">
        <v>678</v>
      </c>
      <c r="DB16" s="216" t="s">
        <v>710</v>
      </c>
      <c r="DC16" s="195" t="s">
        <v>711</v>
      </c>
      <c r="DD16" s="256">
        <v>0.8</v>
      </c>
      <c r="DE16" s="256">
        <v>-9</v>
      </c>
      <c r="DF16" s="256">
        <v>-0.3</v>
      </c>
      <c r="DG16" s="256">
        <v>-2.6</v>
      </c>
      <c r="DH16" s="257">
        <v>1</v>
      </c>
      <c r="DI16" s="257">
        <v>0</v>
      </c>
      <c r="DJ16" s="257">
        <v>4</v>
      </c>
      <c r="DK16" s="257">
        <v>4</v>
      </c>
      <c r="DL16" s="237" t="s">
        <v>529</v>
      </c>
      <c r="DN16" s="237" t="s">
        <v>770</v>
      </c>
      <c r="DO16" s="237">
        <v>2</v>
      </c>
      <c r="DP16" s="258" t="s">
        <v>682</v>
      </c>
      <c r="DQ16" s="258"/>
      <c r="DR16" s="258"/>
      <c r="DS16" s="258"/>
      <c r="DT16" s="258"/>
      <c r="DU16" s="237">
        <v>1</v>
      </c>
      <c r="DV16" s="237" t="s">
        <v>778</v>
      </c>
      <c r="DW16" s="237" t="s">
        <v>779</v>
      </c>
      <c r="DX16" s="247">
        <v>12.55</v>
      </c>
      <c r="DY16" s="247">
        <v>0.4624170965364775</v>
      </c>
      <c r="EA16" s="237">
        <v>0</v>
      </c>
      <c r="ED16" s="237" t="s">
        <v>723</v>
      </c>
      <c r="EE16" s="208">
        <v>1</v>
      </c>
      <c r="EF16" s="237" t="s">
        <v>702</v>
      </c>
      <c r="EG16" s="216" t="s">
        <v>733</v>
      </c>
      <c r="EH16" s="246" t="s">
        <v>734</v>
      </c>
      <c r="EI16" s="216"/>
      <c r="EJ16" s="216" t="s">
        <v>529</v>
      </c>
      <c r="EK16" s="222" t="s">
        <v>682</v>
      </c>
      <c r="EL16" s="259">
        <v>2011</v>
      </c>
      <c r="EM16" s="260">
        <v>6823</v>
      </c>
      <c r="EN16" s="260">
        <v>71479</v>
      </c>
      <c r="EO16" s="260">
        <v>69188</v>
      </c>
      <c r="EP16" s="237">
        <v>1</v>
      </c>
      <c r="EQ16" s="237">
        <v>176</v>
      </c>
      <c r="ER16" s="237" t="s">
        <v>692</v>
      </c>
      <c r="ES16" s="237" t="e">
        <v>#DIV/0!</v>
      </c>
      <c r="ET16" s="237">
        <v>10.140407445405247</v>
      </c>
      <c r="EU16" s="661">
        <v>5</v>
      </c>
      <c r="EV16" s="661">
        <v>2</v>
      </c>
      <c r="EW16" s="661">
        <v>0</v>
      </c>
      <c r="EX16" s="661">
        <v>1</v>
      </c>
      <c r="EY16" s="660">
        <v>3.187546057479735E-2</v>
      </c>
      <c r="EZ16" s="256">
        <v>26.459368859091434</v>
      </c>
      <c r="FA16" s="247">
        <v>0.18050541516245489</v>
      </c>
      <c r="FB16" s="208">
        <v>1</v>
      </c>
      <c r="FC16" s="208">
        <v>1</v>
      </c>
      <c r="FD16" s="208">
        <v>2</v>
      </c>
      <c r="FE16" s="239">
        <v>0.93682310469314078</v>
      </c>
      <c r="FF16" s="208">
        <v>1</v>
      </c>
      <c r="FG16" s="241">
        <v>3.6101083032490976E-3</v>
      </c>
      <c r="FH16" s="209">
        <v>0</v>
      </c>
      <c r="FI16" s="237" t="s">
        <v>678</v>
      </c>
      <c r="FJ16" s="208">
        <v>52.2</v>
      </c>
      <c r="FK16" s="208">
        <v>0</v>
      </c>
      <c r="FL16" s="217">
        <v>0.7</v>
      </c>
      <c r="FM16" s="208">
        <v>4.6900000000000004</v>
      </c>
      <c r="FN16" s="208" t="s">
        <v>780</v>
      </c>
      <c r="FP16" s="247" t="s">
        <v>693</v>
      </c>
      <c r="FU16" s="208">
        <v>27</v>
      </c>
      <c r="FV16" s="208">
        <v>19.3</v>
      </c>
      <c r="FW16" s="237">
        <v>82.63</v>
      </c>
      <c r="FX16" s="237">
        <v>70.5</v>
      </c>
      <c r="FY16" s="208">
        <v>17.22</v>
      </c>
      <c r="FZ16" s="208">
        <v>30.4</v>
      </c>
      <c r="GA16" s="208">
        <v>34.6</v>
      </c>
      <c r="GB16" s="208">
        <v>27.8</v>
      </c>
      <c r="GC16" s="208">
        <v>0.05</v>
      </c>
      <c r="GD16" s="208">
        <v>22.9</v>
      </c>
      <c r="GE16" s="237">
        <v>29.86</v>
      </c>
      <c r="GF16" s="237">
        <v>33.700000000000003</v>
      </c>
      <c r="GG16" s="237">
        <v>19.52</v>
      </c>
      <c r="GH16" s="237">
        <v>92.5</v>
      </c>
      <c r="GJ16" s="947"/>
      <c r="GK16" s="320"/>
      <c r="GL16" s="320"/>
      <c r="GM16" s="320"/>
      <c r="GN16" s="320"/>
      <c r="GO16" s="662">
        <v>8011</v>
      </c>
      <c r="GP16" s="663" t="str">
        <f>VLOOKUP(GS16,'BD Comarcal'!$A$6:$AV$17,48,FALSE)</f>
        <v>14</v>
      </c>
      <c r="GQ16" s="564">
        <v>29</v>
      </c>
      <c r="GR16" s="256">
        <f t="shared" si="0"/>
        <v>0</v>
      </c>
      <c r="GS16" s="237" t="s">
        <v>84</v>
      </c>
    </row>
    <row r="17" spans="1:201" s="237" customFormat="1" ht="17.25" customHeight="1">
      <c r="A17" s="236" t="s">
        <v>781</v>
      </c>
      <c r="C17" s="238"/>
      <c r="D17" s="238">
        <v>6256</v>
      </c>
      <c r="E17" s="238">
        <v>4581</v>
      </c>
      <c r="F17" s="239">
        <v>0.73225703324808189</v>
      </c>
      <c r="G17" s="238">
        <v>3679</v>
      </c>
      <c r="H17" s="240">
        <v>3837.2997877831303</v>
      </c>
      <c r="I17" s="239">
        <v>0.8376554874008143</v>
      </c>
      <c r="J17" s="238">
        <v>1180</v>
      </c>
      <c r="K17" s="238">
        <v>484</v>
      </c>
      <c r="L17" s="238">
        <v>14</v>
      </c>
      <c r="M17" s="241">
        <v>2.237851662404092E-3</v>
      </c>
      <c r="N17" s="238">
        <v>0</v>
      </c>
      <c r="O17" s="239">
        <v>0</v>
      </c>
      <c r="P17" s="237">
        <v>26</v>
      </c>
      <c r="Q17" s="237">
        <v>0</v>
      </c>
      <c r="R17" s="239">
        <v>0</v>
      </c>
      <c r="S17" s="238">
        <v>5954</v>
      </c>
      <c r="T17" s="436">
        <v>0</v>
      </c>
      <c r="U17" s="436">
        <v>23</v>
      </c>
      <c r="V17" s="436">
        <v>18</v>
      </c>
      <c r="W17" s="436">
        <v>41</v>
      </c>
      <c r="X17" s="238">
        <v>2212</v>
      </c>
      <c r="Y17" s="237">
        <v>0.21759999999999999</v>
      </c>
      <c r="Z17" s="238">
        <v>34474</v>
      </c>
      <c r="AA17" s="238">
        <v>15336</v>
      </c>
      <c r="AB17" s="238">
        <v>93.7</v>
      </c>
      <c r="AC17" s="238">
        <v>0</v>
      </c>
      <c r="AD17" s="238">
        <v>2306178.1800000002</v>
      </c>
      <c r="AE17" s="238">
        <v>285699.4299999997</v>
      </c>
      <c r="AF17" s="238">
        <v>2231411.73</v>
      </c>
      <c r="AG17" s="238">
        <v>407187.88</v>
      </c>
      <c r="AH17" s="239">
        <v>0.18247994062485276</v>
      </c>
      <c r="AI17" s="242">
        <v>114.62052799999999</v>
      </c>
      <c r="AJ17" s="242">
        <v>32.720312999999997</v>
      </c>
      <c r="AK17" s="242">
        <v>0.52302290601023016</v>
      </c>
      <c r="AL17" s="242">
        <v>36.757595999999999</v>
      </c>
      <c r="AM17" s="242">
        <v>0.5875574808184143</v>
      </c>
      <c r="AN17" s="242">
        <v>35742.379999999997</v>
      </c>
      <c r="AO17" s="238">
        <v>1935.16</v>
      </c>
      <c r="AP17" s="243">
        <v>9</v>
      </c>
      <c r="AQ17" s="238">
        <v>1</v>
      </c>
      <c r="AR17" s="238">
        <v>1366.5722280258142</v>
      </c>
      <c r="AS17" s="238">
        <v>1562.5445527975724</v>
      </c>
      <c r="AT17" s="238">
        <v>538369.33333333337</v>
      </c>
      <c r="AU17" s="238">
        <v>201.00154690524587</v>
      </c>
      <c r="AV17" s="237">
        <v>1</v>
      </c>
      <c r="AW17" s="237">
        <v>1</v>
      </c>
      <c r="AX17" s="237">
        <v>1</v>
      </c>
      <c r="AY17" s="244" t="s">
        <v>673</v>
      </c>
      <c r="AZ17" s="244" t="s">
        <v>726</v>
      </c>
      <c r="BA17" s="237">
        <v>0</v>
      </c>
      <c r="BB17" s="245" t="s">
        <v>782</v>
      </c>
      <c r="BC17" s="215" t="s">
        <v>783</v>
      </c>
      <c r="BE17" s="237">
        <v>2</v>
      </c>
      <c r="BF17" s="237">
        <v>143</v>
      </c>
      <c r="BG17" s="246" t="s">
        <v>698</v>
      </c>
      <c r="BI17" s="239">
        <v>0.4838709677419355</v>
      </c>
      <c r="BJ17" s="239">
        <v>0.16354088522130533</v>
      </c>
      <c r="BK17" s="239">
        <v>0.34133533383345838</v>
      </c>
      <c r="BL17" s="239">
        <v>1.1252813203300824E-2</v>
      </c>
      <c r="BM17" s="247">
        <v>2.1200300075018754</v>
      </c>
      <c r="BN17" s="248">
        <v>1</v>
      </c>
      <c r="BO17" s="248">
        <v>0</v>
      </c>
      <c r="BP17" s="237">
        <v>0</v>
      </c>
      <c r="BQ17" s="237">
        <v>0</v>
      </c>
      <c r="BR17" s="248">
        <v>1</v>
      </c>
      <c r="BS17" s="256">
        <v>24.5</v>
      </c>
      <c r="BT17" s="256" t="s">
        <v>699</v>
      </c>
      <c r="BU17" s="249" t="s">
        <v>678</v>
      </c>
      <c r="BV17" s="249">
        <v>299</v>
      </c>
      <c r="BW17" s="249">
        <v>1243</v>
      </c>
      <c r="BX17" s="249" t="s">
        <v>678</v>
      </c>
      <c r="BY17" s="249" t="s">
        <v>678</v>
      </c>
      <c r="BZ17" s="249">
        <v>12.910189982728843</v>
      </c>
      <c r="CA17" s="249">
        <v>53.670120898100173</v>
      </c>
      <c r="CB17" s="249" t="s">
        <v>678</v>
      </c>
      <c r="CC17" s="250" t="s">
        <v>678</v>
      </c>
      <c r="CD17" s="242" t="s">
        <v>678</v>
      </c>
      <c r="CE17" s="252" t="s">
        <v>678</v>
      </c>
      <c r="CF17" s="238">
        <v>1128</v>
      </c>
      <c r="CG17" s="238">
        <v>127</v>
      </c>
      <c r="CH17" s="238">
        <v>5.4835924006908465</v>
      </c>
      <c r="CI17" s="216" t="s">
        <v>700</v>
      </c>
      <c r="CJ17" s="237">
        <v>0</v>
      </c>
      <c r="CK17" s="253">
        <v>132.66</v>
      </c>
      <c r="CL17" s="253">
        <v>38.430300000000003</v>
      </c>
      <c r="CM17" s="254">
        <v>6.1429507672634276E-3</v>
      </c>
      <c r="CN17" s="237" t="s">
        <v>82</v>
      </c>
      <c r="CO17" s="242">
        <v>9.18</v>
      </c>
      <c r="CP17" s="255">
        <v>1.467391304347826E-3</v>
      </c>
      <c r="CV17" s="237">
        <v>3</v>
      </c>
      <c r="CW17" s="261" t="s">
        <v>678</v>
      </c>
      <c r="CX17" s="261" t="s">
        <v>678</v>
      </c>
      <c r="CY17" s="261" t="s">
        <v>678</v>
      </c>
      <c r="DB17" s="216" t="s">
        <v>710</v>
      </c>
      <c r="DC17" s="195" t="s">
        <v>711</v>
      </c>
      <c r="DD17" s="256">
        <v>0.8</v>
      </c>
      <c r="DE17" s="256">
        <v>-10</v>
      </c>
      <c r="DF17" s="256">
        <v>0.5</v>
      </c>
      <c r="DG17" s="256">
        <v>-2.2999999999999998</v>
      </c>
      <c r="DH17" s="257">
        <v>3</v>
      </c>
      <c r="DI17" s="257">
        <v>1.85</v>
      </c>
      <c r="DJ17" s="257">
        <v>3.14</v>
      </c>
      <c r="DK17" s="257">
        <v>4.99</v>
      </c>
      <c r="DL17" s="237" t="s">
        <v>529</v>
      </c>
      <c r="DN17" s="237" t="s">
        <v>770</v>
      </c>
      <c r="DP17" s="258" t="s">
        <v>683</v>
      </c>
      <c r="DQ17" s="258" t="s">
        <v>784</v>
      </c>
      <c r="DR17" s="258" t="s">
        <v>785</v>
      </c>
      <c r="DS17" s="258"/>
      <c r="DT17" s="258"/>
      <c r="DU17" s="237">
        <v>0</v>
      </c>
      <c r="DX17" s="247"/>
      <c r="DY17" s="247">
        <v>0</v>
      </c>
      <c r="EA17" s="237">
        <v>0</v>
      </c>
      <c r="ED17" s="237" t="s">
        <v>687</v>
      </c>
      <c r="EE17" s="208">
        <v>1</v>
      </c>
      <c r="EF17" s="237" t="s">
        <v>688</v>
      </c>
      <c r="EG17" s="216" t="s">
        <v>733</v>
      </c>
      <c r="EH17" s="246" t="s">
        <v>734</v>
      </c>
      <c r="EI17" s="216"/>
      <c r="EJ17" s="216" t="s">
        <v>529</v>
      </c>
      <c r="EK17" s="222" t="s">
        <v>682</v>
      </c>
      <c r="EL17" s="259">
        <v>2013</v>
      </c>
      <c r="EM17" s="260">
        <v>2100</v>
      </c>
      <c r="EN17" s="260">
        <v>72471</v>
      </c>
      <c r="EO17" s="260">
        <v>560175</v>
      </c>
      <c r="EP17" s="237">
        <v>1</v>
      </c>
      <c r="EQ17" s="237">
        <v>140</v>
      </c>
      <c r="ER17" s="237" t="s">
        <v>705</v>
      </c>
      <c r="ES17" s="237">
        <v>2316</v>
      </c>
      <c r="ET17" s="237">
        <v>266.75</v>
      </c>
      <c r="EU17" s="661">
        <v>1</v>
      </c>
      <c r="EV17" s="661">
        <v>3</v>
      </c>
      <c r="EW17" s="661">
        <v>1</v>
      </c>
      <c r="EX17" s="661">
        <v>3</v>
      </c>
      <c r="EY17" s="660">
        <v>2.1205242966751917E-2</v>
      </c>
      <c r="EZ17" s="256">
        <v>17.458163726820445</v>
      </c>
      <c r="FA17" s="247">
        <v>6.548788474132286E-2</v>
      </c>
      <c r="FB17" s="208">
        <v>3</v>
      </c>
      <c r="FC17" s="208">
        <v>3</v>
      </c>
      <c r="FD17" s="208">
        <v>3</v>
      </c>
      <c r="FE17" s="239">
        <v>0.80309975987775595</v>
      </c>
      <c r="FF17" s="208"/>
      <c r="FG17" s="241">
        <v>1.0892818161973368E-3</v>
      </c>
      <c r="FH17" s="209">
        <v>0</v>
      </c>
      <c r="FI17" s="237" t="s">
        <v>678</v>
      </c>
      <c r="FJ17" s="208">
        <v>55.7</v>
      </c>
      <c r="FK17" s="208">
        <v>0</v>
      </c>
      <c r="FL17" s="217">
        <v>0.9</v>
      </c>
      <c r="FM17" s="208">
        <v>4.87</v>
      </c>
      <c r="FN17" s="208" t="s">
        <v>786</v>
      </c>
      <c r="FP17" s="247" t="s">
        <v>693</v>
      </c>
      <c r="FU17" s="208">
        <v>41</v>
      </c>
      <c r="FV17" s="208">
        <v>54.9</v>
      </c>
      <c r="FW17" s="237">
        <v>77.59</v>
      </c>
      <c r="FX17" s="237">
        <v>63.2</v>
      </c>
      <c r="FY17" s="208">
        <v>49.14</v>
      </c>
      <c r="FZ17" s="208">
        <v>61.1</v>
      </c>
      <c r="GA17" s="208">
        <v>60.49</v>
      </c>
      <c r="GB17" s="208">
        <v>67.5</v>
      </c>
      <c r="GC17" s="208">
        <v>0.64</v>
      </c>
      <c r="GD17" s="208">
        <v>70.900000000000006</v>
      </c>
      <c r="GE17" s="237">
        <v>50.37</v>
      </c>
      <c r="GF17" s="237">
        <v>65.8</v>
      </c>
      <c r="GG17" s="237">
        <v>10.34</v>
      </c>
      <c r="GH17" s="237">
        <v>69.3</v>
      </c>
      <c r="GJ17" s="947"/>
      <c r="GK17" s="320"/>
      <c r="GL17" s="320"/>
      <c r="GM17" s="320"/>
      <c r="GN17" s="320"/>
      <c r="GO17" s="662">
        <v>8012</v>
      </c>
      <c r="GP17" s="663" t="str">
        <f>VLOOKUP(GS17,'BD Comarcal'!$A$6:$AV$17,48,FALSE)</f>
        <v>07</v>
      </c>
      <c r="GQ17" s="564">
        <v>31</v>
      </c>
      <c r="GR17" s="256">
        <f t="shared" si="0"/>
        <v>1</v>
      </c>
      <c r="GS17" s="237" t="s">
        <v>82</v>
      </c>
    </row>
    <row r="18" spans="1:201" s="237" customFormat="1" ht="17.25" customHeight="1">
      <c r="A18" s="236" t="s">
        <v>787</v>
      </c>
      <c r="C18" s="238"/>
      <c r="D18" s="238">
        <v>2916</v>
      </c>
      <c r="E18" s="238">
        <v>1414</v>
      </c>
      <c r="F18" s="239">
        <v>0.48491083676268859</v>
      </c>
      <c r="G18" s="238">
        <v>474</v>
      </c>
      <c r="H18" s="240">
        <v>601.19486977504982</v>
      </c>
      <c r="I18" s="239">
        <v>0.42517317522987963</v>
      </c>
      <c r="J18" s="238">
        <v>1229</v>
      </c>
      <c r="K18" s="238">
        <v>205</v>
      </c>
      <c r="L18" s="238">
        <v>7</v>
      </c>
      <c r="M18" s="241">
        <v>2.4005486968449933E-3</v>
      </c>
      <c r="N18" s="238">
        <v>118</v>
      </c>
      <c r="O18" s="239">
        <v>9.6013018714401946E-2</v>
      </c>
      <c r="P18" s="237">
        <v>7</v>
      </c>
      <c r="Q18" s="237">
        <v>0</v>
      </c>
      <c r="R18" s="239">
        <v>0</v>
      </c>
      <c r="S18" s="238">
        <v>90</v>
      </c>
      <c r="T18" s="436">
        <v>0</v>
      </c>
      <c r="U18" s="436">
        <v>77</v>
      </c>
      <c r="V18" s="436">
        <v>0</v>
      </c>
      <c r="W18" s="436">
        <v>77</v>
      </c>
      <c r="X18" s="238">
        <v>1665</v>
      </c>
      <c r="Y18" s="237">
        <v>0.19040000000000001</v>
      </c>
      <c r="Z18" s="238">
        <v>21666</v>
      </c>
      <c r="AA18" s="238">
        <v>13115</v>
      </c>
      <c r="AB18" s="238">
        <v>80.13</v>
      </c>
      <c r="AC18" s="238">
        <v>0</v>
      </c>
      <c r="AD18" s="238">
        <v>2012828.7000000002</v>
      </c>
      <c r="AE18" s="238">
        <v>116633.87999999989</v>
      </c>
      <c r="AF18" s="238">
        <v>1887823</v>
      </c>
      <c r="AG18" s="238">
        <v>307969.43</v>
      </c>
      <c r="AH18" s="239">
        <v>0.16313469536074091</v>
      </c>
      <c r="AI18" s="242">
        <v>105.7637</v>
      </c>
      <c r="AJ18" s="242">
        <v>16.325261000000001</v>
      </c>
      <c r="AK18" s="242">
        <v>0.55985120027434843</v>
      </c>
      <c r="AL18" s="242">
        <v>45.039793000000003</v>
      </c>
      <c r="AM18" s="242">
        <v>1.5445745198902605</v>
      </c>
      <c r="AN18" s="242">
        <v>21499.07</v>
      </c>
      <c r="AO18" s="238">
        <v>18980.580000000002</v>
      </c>
      <c r="AP18" s="243">
        <v>58</v>
      </c>
      <c r="AQ18" s="238"/>
      <c r="AR18" s="238">
        <v>1619.8951424707204</v>
      </c>
      <c r="AS18" s="238">
        <v>1412.5234172446369</v>
      </c>
      <c r="AT18" s="238">
        <v>141239</v>
      </c>
      <c r="AU18" s="238">
        <v>234.11832367641367</v>
      </c>
      <c r="AV18" s="237">
        <v>1</v>
      </c>
      <c r="AW18" s="237">
        <v>0</v>
      </c>
      <c r="AX18" s="237">
        <v>1</v>
      </c>
      <c r="AY18" s="244" t="s">
        <v>673</v>
      </c>
      <c r="AZ18" s="244" t="s">
        <v>695</v>
      </c>
      <c r="BA18" s="237">
        <v>0</v>
      </c>
      <c r="BB18" s="245" t="s">
        <v>788</v>
      </c>
      <c r="BC18" s="215" t="s">
        <v>789</v>
      </c>
      <c r="BE18" s="237">
        <v>10</v>
      </c>
      <c r="BF18" s="237">
        <v>15</v>
      </c>
      <c r="BG18" s="246" t="s">
        <v>698</v>
      </c>
      <c r="BI18" s="239">
        <v>0.4455535390199637</v>
      </c>
      <c r="BJ18" s="239">
        <v>0.14609800362976408</v>
      </c>
      <c r="BK18" s="239">
        <v>0.35843920145190561</v>
      </c>
      <c r="BL18" s="239">
        <v>4.9909255898366603E-2</v>
      </c>
      <c r="BM18" s="247">
        <v>1.9872958257713249</v>
      </c>
      <c r="BN18" s="248">
        <v>0</v>
      </c>
      <c r="BO18" s="248">
        <v>0</v>
      </c>
      <c r="BP18" s="237">
        <v>0</v>
      </c>
      <c r="BQ18" s="237">
        <v>0</v>
      </c>
      <c r="BR18" s="248">
        <v>0</v>
      </c>
      <c r="BS18" s="256">
        <v>8.5</v>
      </c>
      <c r="BT18" s="256" t="s">
        <v>790</v>
      </c>
      <c r="BU18" s="249" t="s">
        <v>678</v>
      </c>
      <c r="BV18" s="249">
        <v>247</v>
      </c>
      <c r="BW18" s="249">
        <v>834</v>
      </c>
      <c r="BX18" s="249" t="s">
        <v>678</v>
      </c>
      <c r="BY18" s="249" t="s">
        <v>678</v>
      </c>
      <c r="BZ18" s="249">
        <v>14.486803519061583</v>
      </c>
      <c r="CA18" s="249">
        <v>48.914956011730204</v>
      </c>
      <c r="CB18" s="249" t="s">
        <v>678</v>
      </c>
      <c r="CC18" s="250" t="s">
        <v>678</v>
      </c>
      <c r="CD18" s="242">
        <v>0</v>
      </c>
      <c r="CE18" s="252">
        <v>100</v>
      </c>
      <c r="CF18" s="238">
        <v>938</v>
      </c>
      <c r="CG18" s="238">
        <v>107</v>
      </c>
      <c r="CH18" s="238">
        <v>6.2756598240469206</v>
      </c>
      <c r="CI18" s="216" t="s">
        <v>700</v>
      </c>
      <c r="CJ18" s="237">
        <v>0</v>
      </c>
      <c r="CK18" s="264">
        <v>61.22</v>
      </c>
      <c r="CL18" s="253">
        <v>38.657600000000002</v>
      </c>
      <c r="CM18" s="254">
        <v>1.3257064471879288E-2</v>
      </c>
      <c r="CN18" s="237" t="s">
        <v>791</v>
      </c>
      <c r="CO18" s="242">
        <v>1283.8399999999999</v>
      </c>
      <c r="CP18" s="255">
        <v>0.44027434842249652</v>
      </c>
      <c r="CV18" s="237">
        <v>6</v>
      </c>
      <c r="CW18" s="261" t="s">
        <v>678</v>
      </c>
      <c r="CX18" s="261" t="s">
        <v>678</v>
      </c>
      <c r="CY18" s="261" t="s">
        <v>678</v>
      </c>
      <c r="DB18" s="216" t="s">
        <v>710</v>
      </c>
      <c r="DC18" s="256" t="s">
        <v>792</v>
      </c>
      <c r="DD18" s="256">
        <v>0.8</v>
      </c>
      <c r="DE18" s="256">
        <v>-10</v>
      </c>
      <c r="DF18" s="256">
        <v>0.5</v>
      </c>
      <c r="DG18" s="256">
        <v>-2.2999999999999998</v>
      </c>
      <c r="DH18" s="257">
        <v>2</v>
      </c>
      <c r="DI18" s="257">
        <v>2.0499999999999998</v>
      </c>
      <c r="DJ18" s="257">
        <v>74.290000000000006</v>
      </c>
      <c r="DK18" s="257">
        <v>76.34</v>
      </c>
      <c r="DL18" s="237" t="s">
        <v>682</v>
      </c>
      <c r="DP18" s="258" t="s">
        <v>682</v>
      </c>
      <c r="DQ18" s="258"/>
      <c r="DR18" s="258"/>
      <c r="DS18" s="258"/>
      <c r="DT18" s="258"/>
      <c r="DU18" s="237">
        <v>1</v>
      </c>
      <c r="DV18" s="237" t="s">
        <v>793</v>
      </c>
      <c r="DW18" s="237" t="s">
        <v>794</v>
      </c>
      <c r="DX18" s="247">
        <v>2.71</v>
      </c>
      <c r="DY18" s="247">
        <v>9.2935528120713304E-2</v>
      </c>
      <c r="DZ18" s="237" t="s">
        <v>795</v>
      </c>
      <c r="EA18" s="237">
        <v>0</v>
      </c>
      <c r="ED18" s="237" t="s">
        <v>687</v>
      </c>
      <c r="EE18" s="208">
        <v>3</v>
      </c>
      <c r="EF18" s="237" t="s">
        <v>688</v>
      </c>
      <c r="EG18" s="216" t="s">
        <v>703</v>
      </c>
      <c r="EH18" s="246" t="s">
        <v>704</v>
      </c>
      <c r="EI18" s="216"/>
      <c r="EJ18" s="216" t="s">
        <v>529</v>
      </c>
      <c r="EK18" s="222" t="s">
        <v>682</v>
      </c>
      <c r="EL18" s="259">
        <v>2005</v>
      </c>
      <c r="EM18" s="260">
        <v>550</v>
      </c>
      <c r="EN18" s="260">
        <v>62174</v>
      </c>
      <c r="EO18" s="260">
        <v>87607</v>
      </c>
      <c r="ER18" s="237" t="s">
        <v>705</v>
      </c>
      <c r="ES18" s="237" t="e">
        <v>#DIV/0!</v>
      </c>
      <c r="ET18" s="237">
        <v>159.28545454545454</v>
      </c>
      <c r="EU18" s="661">
        <v>3</v>
      </c>
      <c r="EV18" s="661" t="s">
        <v>678</v>
      </c>
      <c r="EW18" s="661">
        <v>1</v>
      </c>
      <c r="EX18" s="661">
        <v>5</v>
      </c>
      <c r="EY18" s="660">
        <v>2.0994513031550067E-2</v>
      </c>
      <c r="EZ18" s="256">
        <v>27.850375694217576</v>
      </c>
      <c r="FA18" s="247">
        <v>0.42432814710042432</v>
      </c>
      <c r="FB18" s="208">
        <v>3</v>
      </c>
      <c r="FC18" s="208">
        <v>3</v>
      </c>
      <c r="FD18" s="208">
        <v>5</v>
      </c>
      <c r="FE18" s="239">
        <v>0.33521923620933519</v>
      </c>
      <c r="FF18" s="208"/>
      <c r="FG18" s="241">
        <v>5.3988684582743994E-2</v>
      </c>
      <c r="FH18" s="209">
        <v>0</v>
      </c>
      <c r="FI18" s="237" t="s">
        <v>678</v>
      </c>
      <c r="FJ18" s="208">
        <v>42.7</v>
      </c>
      <c r="FK18" s="208">
        <v>20.239999999999998</v>
      </c>
      <c r="FL18" s="217">
        <v>61.8</v>
      </c>
      <c r="FM18" s="208">
        <v>0.78</v>
      </c>
      <c r="FN18" s="208" t="s">
        <v>796</v>
      </c>
      <c r="FP18" s="247" t="s">
        <v>693</v>
      </c>
      <c r="FU18" s="208">
        <v>36</v>
      </c>
      <c r="FV18" s="208">
        <v>42</v>
      </c>
      <c r="FW18" s="237">
        <v>20</v>
      </c>
      <c r="FX18" s="237">
        <v>8.1999999999999993</v>
      </c>
      <c r="FY18" s="208">
        <v>5.68</v>
      </c>
      <c r="FZ18" s="208">
        <v>10.1</v>
      </c>
      <c r="GA18" s="208">
        <v>18.079999999999998</v>
      </c>
      <c r="GB18" s="208">
        <v>5.7</v>
      </c>
      <c r="GC18" s="208">
        <v>0.23</v>
      </c>
      <c r="GD18" s="208">
        <v>41</v>
      </c>
      <c r="GE18" s="237">
        <v>13.48</v>
      </c>
      <c r="GF18" s="237">
        <v>6.8</v>
      </c>
      <c r="GG18" s="237">
        <v>6.15</v>
      </c>
      <c r="GH18" s="237">
        <v>51.7</v>
      </c>
      <c r="GJ18" s="947"/>
      <c r="GK18" s="320"/>
      <c r="GL18" s="320"/>
      <c r="GM18" s="320"/>
      <c r="GN18" s="320"/>
      <c r="GO18" s="662">
        <v>8013</v>
      </c>
      <c r="GP18" s="663" t="str">
        <f>VLOOKUP(GS18,'BD Comarcal'!$A$6:$AV$17,48,FALSE)</f>
        <v>03</v>
      </c>
      <c r="GQ18" s="564">
        <v>20</v>
      </c>
      <c r="GR18" s="256">
        <f t="shared" si="0"/>
        <v>1</v>
      </c>
      <c r="GS18" s="237" t="s">
        <v>791</v>
      </c>
    </row>
    <row r="19" spans="1:201" s="237" customFormat="1" ht="17.25" customHeight="1">
      <c r="A19" s="236" t="s">
        <v>797</v>
      </c>
      <c r="C19" s="238"/>
      <c r="D19" s="238">
        <v>796</v>
      </c>
      <c r="E19" s="238">
        <v>689</v>
      </c>
      <c r="F19" s="239">
        <v>0.86557788944723613</v>
      </c>
      <c r="G19" s="238">
        <v>622</v>
      </c>
      <c r="H19" s="240">
        <v>434.3459799046629</v>
      </c>
      <c r="I19" s="239">
        <v>0.63040055138557749</v>
      </c>
      <c r="J19" s="238">
        <v>42</v>
      </c>
      <c r="K19" s="238">
        <v>65</v>
      </c>
      <c r="L19" s="238" t="s">
        <v>678</v>
      </c>
      <c r="M19" s="241" t="s">
        <v>678</v>
      </c>
      <c r="N19" s="238" t="s">
        <v>678</v>
      </c>
      <c r="O19" s="239" t="s">
        <v>678</v>
      </c>
      <c r="P19" s="237" t="s">
        <v>678</v>
      </c>
      <c r="Q19" s="237" t="s">
        <v>678</v>
      </c>
      <c r="R19" s="239" t="s">
        <v>678</v>
      </c>
      <c r="S19" s="238" t="s">
        <v>678</v>
      </c>
      <c r="T19" s="436">
        <v>0</v>
      </c>
      <c r="U19" s="436">
        <v>0</v>
      </c>
      <c r="V19" s="436">
        <v>15</v>
      </c>
      <c r="W19" s="436">
        <v>15</v>
      </c>
      <c r="X19" s="238">
        <v>2467</v>
      </c>
      <c r="Y19" s="237">
        <v>0.20899999999999999</v>
      </c>
      <c r="Z19" s="238">
        <v>41313</v>
      </c>
      <c r="AA19" s="238">
        <v>16760</v>
      </c>
      <c r="AB19" s="238">
        <v>102.4</v>
      </c>
      <c r="AC19" s="238">
        <v>938</v>
      </c>
      <c r="AD19" s="238">
        <v>2784952.34</v>
      </c>
      <c r="AE19" s="238">
        <v>357188.06999999983</v>
      </c>
      <c r="AF19" s="238">
        <v>2315432.2400000002</v>
      </c>
      <c r="AG19" s="238">
        <v>315868.96000000002</v>
      </c>
      <c r="AH19" s="239">
        <v>0.13641900399555634</v>
      </c>
      <c r="AI19" s="242">
        <v>86.539264000000003</v>
      </c>
      <c r="AJ19" s="242">
        <v>260.79836299999999</v>
      </c>
      <c r="AK19" s="242">
        <v>32.763613442211053</v>
      </c>
      <c r="AL19" s="242" t="s">
        <v>678</v>
      </c>
      <c r="AM19" s="242" t="s">
        <v>678</v>
      </c>
      <c r="AN19" s="242">
        <v>331.52</v>
      </c>
      <c r="AO19" s="238">
        <v>2929.51</v>
      </c>
      <c r="AP19" s="243">
        <v>7</v>
      </c>
      <c r="AQ19" s="238">
        <v>1</v>
      </c>
      <c r="AR19" s="238">
        <v>1324.0445165780354</v>
      </c>
      <c r="AS19" s="238">
        <v>3478.5017816993914</v>
      </c>
      <c r="AT19" s="238">
        <v>154572.19999999998</v>
      </c>
      <c r="AU19" s="238">
        <v>335.46655238122372</v>
      </c>
      <c r="AV19" s="237">
        <v>1</v>
      </c>
      <c r="AW19" s="237">
        <v>1</v>
      </c>
      <c r="AX19" s="237">
        <v>1</v>
      </c>
      <c r="AY19" s="244" t="s">
        <v>673</v>
      </c>
      <c r="AZ19" s="244" t="s">
        <v>673</v>
      </c>
      <c r="BA19" s="237">
        <v>2013</v>
      </c>
      <c r="BB19" s="245" t="s">
        <v>798</v>
      </c>
      <c r="BC19" s="215" t="s">
        <v>799</v>
      </c>
      <c r="BE19" s="237">
        <v>8</v>
      </c>
      <c r="BF19" s="237">
        <v>42</v>
      </c>
      <c r="BG19" s="246" t="s">
        <v>698</v>
      </c>
      <c r="BI19" s="239">
        <v>0.6226522481502561</v>
      </c>
      <c r="BJ19" s="239">
        <v>7.0005691519635746E-2</v>
      </c>
      <c r="BK19" s="239">
        <v>0.30563460443938534</v>
      </c>
      <c r="BL19" s="239">
        <v>1.7074558907228231E-3</v>
      </c>
      <c r="BM19" s="247">
        <v>2.313602731929425</v>
      </c>
      <c r="BN19" s="248">
        <v>0</v>
      </c>
      <c r="BO19" s="248">
        <v>0</v>
      </c>
      <c r="BP19" s="237">
        <v>0</v>
      </c>
      <c r="BQ19" s="237">
        <v>0</v>
      </c>
      <c r="BR19" s="248">
        <v>0</v>
      </c>
      <c r="BS19" s="256">
        <v>11</v>
      </c>
      <c r="BT19" s="256" t="s">
        <v>729</v>
      </c>
      <c r="BU19" s="249" t="s">
        <v>678</v>
      </c>
      <c r="BV19" s="249">
        <v>284</v>
      </c>
      <c r="BW19" s="249">
        <v>1334</v>
      </c>
      <c r="BX19" s="249" t="s">
        <v>678</v>
      </c>
      <c r="BY19" s="249" t="s">
        <v>678</v>
      </c>
      <c r="BZ19" s="249">
        <v>11.350919264588329</v>
      </c>
      <c r="CA19" s="249">
        <v>53.317346123101515</v>
      </c>
      <c r="CB19" s="249" t="s">
        <v>678</v>
      </c>
      <c r="CC19" s="250" t="s">
        <v>678</v>
      </c>
      <c r="CD19" s="242" t="s">
        <v>678</v>
      </c>
      <c r="CE19" s="252" t="s">
        <v>678</v>
      </c>
      <c r="CF19" s="238">
        <v>1338</v>
      </c>
      <c r="CG19" s="238">
        <v>166</v>
      </c>
      <c r="CH19" s="238">
        <v>6.6346922462030378</v>
      </c>
      <c r="CI19" s="216" t="s">
        <v>679</v>
      </c>
      <c r="CJ19" s="237">
        <v>0</v>
      </c>
      <c r="CK19" s="253">
        <v>98.69</v>
      </c>
      <c r="CL19" s="253">
        <v>40.93</v>
      </c>
      <c r="CM19" s="254">
        <v>5.1419597989949752E-2</v>
      </c>
      <c r="CN19" s="237" t="s">
        <v>24</v>
      </c>
      <c r="CO19" s="242">
        <v>542.57000000000005</v>
      </c>
      <c r="CP19" s="255">
        <v>0.68162060301507543</v>
      </c>
      <c r="CW19" s="261" t="s">
        <v>678</v>
      </c>
      <c r="CX19" s="261" t="s">
        <v>678</v>
      </c>
      <c r="CY19" s="261" t="s">
        <v>678</v>
      </c>
      <c r="CZ19" s="237" t="s">
        <v>683</v>
      </c>
      <c r="DA19" s="237" t="s">
        <v>800</v>
      </c>
      <c r="DB19" s="216" t="s">
        <v>710</v>
      </c>
      <c r="DC19" s="195" t="s">
        <v>711</v>
      </c>
      <c r="DD19" s="256">
        <v>0.8</v>
      </c>
      <c r="DE19" s="256">
        <v>-10</v>
      </c>
      <c r="DF19" s="256">
        <v>0.5</v>
      </c>
      <c r="DG19" s="256">
        <v>-2.2999999999999998</v>
      </c>
      <c r="DL19" s="237" t="s">
        <v>682</v>
      </c>
      <c r="DO19" s="237">
        <v>1</v>
      </c>
      <c r="DP19" s="258" t="s">
        <v>683</v>
      </c>
      <c r="DQ19" s="258" t="s">
        <v>784</v>
      </c>
      <c r="DR19" s="258" t="s">
        <v>801</v>
      </c>
      <c r="DS19" s="258"/>
      <c r="DT19" s="258"/>
      <c r="DU19" s="237">
        <v>0</v>
      </c>
      <c r="DX19" s="247"/>
      <c r="DY19" s="247">
        <v>0</v>
      </c>
      <c r="EA19" s="237">
        <v>0</v>
      </c>
      <c r="ED19" s="237" t="s">
        <v>687</v>
      </c>
      <c r="EE19" s="208">
        <v>0</v>
      </c>
      <c r="EF19" s="237" t="s">
        <v>688</v>
      </c>
      <c r="EG19" s="216" t="s">
        <v>691</v>
      </c>
      <c r="EH19" s="246" t="s">
        <v>690</v>
      </c>
      <c r="EI19" s="216"/>
      <c r="EJ19" s="216" t="s">
        <v>529</v>
      </c>
      <c r="EK19" s="222" t="s">
        <v>682</v>
      </c>
      <c r="EL19" s="259">
        <v>1981</v>
      </c>
      <c r="EM19" s="260">
        <v>500</v>
      </c>
      <c r="EN19" s="260">
        <v>115760.59999999999</v>
      </c>
      <c r="EO19" s="260">
        <v>23786</v>
      </c>
      <c r="EP19" s="237">
        <v>1</v>
      </c>
      <c r="EQ19" s="237">
        <v>98</v>
      </c>
      <c r="ER19" s="237" t="s">
        <v>705</v>
      </c>
      <c r="ES19" s="237" t="e">
        <v>#DIV/0!</v>
      </c>
      <c r="ET19" s="237">
        <v>47.572000000000003</v>
      </c>
      <c r="EU19" s="661">
        <v>2</v>
      </c>
      <c r="EV19" s="661">
        <v>0</v>
      </c>
      <c r="EW19" s="661" t="s">
        <v>678</v>
      </c>
      <c r="EX19" s="661">
        <v>3</v>
      </c>
      <c r="EY19" s="660">
        <v>0.1239824120603015</v>
      </c>
      <c r="EZ19" s="256">
        <v>25.35211267605634</v>
      </c>
      <c r="FA19" s="247">
        <v>0</v>
      </c>
      <c r="FB19" s="208">
        <v>1</v>
      </c>
      <c r="FC19" s="208">
        <v>1</v>
      </c>
      <c r="FD19" s="208" t="s">
        <v>678</v>
      </c>
      <c r="FE19" s="239">
        <v>0.90275761973875179</v>
      </c>
      <c r="FF19" s="208">
        <v>1</v>
      </c>
      <c r="FG19" s="241">
        <v>0</v>
      </c>
      <c r="FH19" s="209">
        <v>0</v>
      </c>
      <c r="FI19" s="237" t="s">
        <v>678</v>
      </c>
      <c r="FJ19" s="208">
        <v>60.7</v>
      </c>
      <c r="FK19" s="208">
        <v>64.56</v>
      </c>
      <c r="FL19" s="217">
        <v>96.4</v>
      </c>
      <c r="FM19" s="208">
        <v>6.75</v>
      </c>
      <c r="FN19" s="208" t="s">
        <v>802</v>
      </c>
      <c r="FP19" s="247" t="s">
        <v>693</v>
      </c>
      <c r="FU19" s="208">
        <v>43</v>
      </c>
      <c r="FV19" s="208">
        <v>59.9</v>
      </c>
      <c r="FW19" s="237">
        <v>90.85</v>
      </c>
      <c r="FX19" s="237">
        <v>85.1</v>
      </c>
      <c r="FY19" s="208">
        <v>102.08</v>
      </c>
      <c r="FZ19" s="208">
        <v>89.6</v>
      </c>
      <c r="GA19" s="208">
        <v>80.98</v>
      </c>
      <c r="GB19" s="208">
        <v>92.9</v>
      </c>
      <c r="GC19" s="208">
        <v>0.92</v>
      </c>
      <c r="GD19" s="208">
        <v>83.9</v>
      </c>
      <c r="GE19" s="237">
        <v>71.59</v>
      </c>
      <c r="GF19" s="237">
        <v>87.4</v>
      </c>
      <c r="GG19" s="237">
        <v>13.74</v>
      </c>
      <c r="GH19" s="237">
        <v>82.6</v>
      </c>
      <c r="GJ19" s="947"/>
      <c r="GK19" s="320"/>
      <c r="GL19" s="320"/>
      <c r="GM19" s="320"/>
      <c r="GN19" s="320"/>
      <c r="GO19" s="662">
        <v>8014</v>
      </c>
      <c r="GP19" s="663" t="str">
        <f>VLOOKUP(GS19,'BD Comarcal'!$A$6:$AV$17,48,FALSE)</f>
        <v>41</v>
      </c>
      <c r="GQ19" s="564">
        <v>30</v>
      </c>
      <c r="GR19" s="256">
        <f t="shared" si="0"/>
        <v>0</v>
      </c>
      <c r="GS19" s="237" t="s">
        <v>24</v>
      </c>
    </row>
    <row r="20" spans="1:201" s="237" customFormat="1" ht="17.25" customHeight="1">
      <c r="A20" s="236" t="s">
        <v>335</v>
      </c>
      <c r="C20" s="238" t="s">
        <v>683</v>
      </c>
      <c r="D20" s="238">
        <v>2217</v>
      </c>
      <c r="E20" s="238">
        <v>791</v>
      </c>
      <c r="F20" s="239">
        <v>0.35678845286423094</v>
      </c>
      <c r="G20" s="238">
        <v>149</v>
      </c>
      <c r="H20" s="240">
        <v>0.58343756207370534</v>
      </c>
      <c r="I20" s="239">
        <v>7.3759489516271224E-4</v>
      </c>
      <c r="J20" s="238">
        <v>53</v>
      </c>
      <c r="K20" s="238">
        <v>1</v>
      </c>
      <c r="L20" s="238">
        <v>24</v>
      </c>
      <c r="M20" s="241">
        <v>1.0825439783491205E-2</v>
      </c>
      <c r="N20" s="238">
        <v>15</v>
      </c>
      <c r="O20" s="239">
        <v>0.28301886792452829</v>
      </c>
      <c r="P20" s="237">
        <v>1</v>
      </c>
      <c r="Q20" s="237">
        <v>0</v>
      </c>
      <c r="R20" s="239">
        <v>0</v>
      </c>
      <c r="S20" s="238">
        <v>1</v>
      </c>
      <c r="T20" s="436">
        <v>0</v>
      </c>
      <c r="U20" s="436">
        <v>0</v>
      </c>
      <c r="V20" s="436">
        <v>528</v>
      </c>
      <c r="W20" s="436">
        <v>528</v>
      </c>
      <c r="X20" s="238">
        <v>215634</v>
      </c>
      <c r="Y20" s="237">
        <v>0.17119999999999999</v>
      </c>
      <c r="Z20" s="238">
        <v>3199992</v>
      </c>
      <c r="AA20" s="238">
        <v>14839</v>
      </c>
      <c r="AB20" s="238">
        <v>90.66</v>
      </c>
      <c r="AC20" s="238">
        <v>90458</v>
      </c>
      <c r="AD20" s="238">
        <v>196258390.11000001</v>
      </c>
      <c r="AE20" s="238">
        <v>30491885.100000024</v>
      </c>
      <c r="AF20" s="238">
        <v>160500851.88</v>
      </c>
      <c r="AG20" s="238">
        <v>4869713.63</v>
      </c>
      <c r="AH20" s="239">
        <v>3.0340733852558539E-2</v>
      </c>
      <c r="AI20" s="242">
        <v>1301.3999699999999</v>
      </c>
      <c r="AJ20" s="242">
        <v>763.201415</v>
      </c>
      <c r="AK20" s="242">
        <v>34.424962336490751</v>
      </c>
      <c r="AL20" s="242">
        <v>67.986879999999999</v>
      </c>
      <c r="AM20" s="242">
        <v>3.066616147947677</v>
      </c>
      <c r="AN20" s="242">
        <v>250869.48</v>
      </c>
      <c r="AO20" s="238">
        <v>16183.71</v>
      </c>
      <c r="AP20" s="243">
        <v>32</v>
      </c>
      <c r="AQ20" s="238"/>
      <c r="AR20" s="238">
        <v>968.45074798855046</v>
      </c>
      <c r="AS20" s="238">
        <v>1213.5957569816794</v>
      </c>
      <c r="AT20" s="238">
        <v>9529879.666666666</v>
      </c>
      <c r="AU20" s="238">
        <v>225.21974777875272</v>
      </c>
      <c r="AV20" s="237">
        <v>1</v>
      </c>
      <c r="AW20" s="237">
        <v>0</v>
      </c>
      <c r="AX20" s="237">
        <v>1</v>
      </c>
      <c r="AY20" s="244" t="s">
        <v>717</v>
      </c>
      <c r="AZ20" s="244" t="s">
        <v>682</v>
      </c>
      <c r="BA20" s="237">
        <v>2009</v>
      </c>
      <c r="BB20" s="245" t="s">
        <v>678</v>
      </c>
      <c r="BC20" s="215" t="s">
        <v>678</v>
      </c>
      <c r="BD20" s="237">
        <v>1</v>
      </c>
      <c r="BE20" s="237">
        <v>504</v>
      </c>
      <c r="BF20" s="237">
        <v>6</v>
      </c>
      <c r="BG20" s="246" t="s">
        <v>676</v>
      </c>
      <c r="BI20" s="239">
        <v>0.58603146251656213</v>
      </c>
      <c r="BJ20" s="239">
        <v>6.1314573923737438E-2</v>
      </c>
      <c r="BK20" s="239">
        <v>0.33499015423806977</v>
      </c>
      <c r="BL20" s="239">
        <v>1.7663809321630662E-2</v>
      </c>
      <c r="BM20" s="247">
        <v>2.2157136896352307</v>
      </c>
      <c r="BN20" s="248">
        <v>0</v>
      </c>
      <c r="BO20" s="248">
        <v>11</v>
      </c>
      <c r="BP20" s="237">
        <v>4</v>
      </c>
      <c r="BQ20" s="237">
        <v>2</v>
      </c>
      <c r="BR20" s="248">
        <v>17</v>
      </c>
      <c r="BS20" s="256">
        <v>0</v>
      </c>
      <c r="BT20" s="256" t="s">
        <v>335</v>
      </c>
      <c r="BU20" s="249">
        <v>24576</v>
      </c>
      <c r="BV20" s="249">
        <v>28981</v>
      </c>
      <c r="BW20" s="249">
        <v>104706</v>
      </c>
      <c r="BX20" s="249">
        <v>23427</v>
      </c>
      <c r="BY20" s="249">
        <v>11.185755639303075</v>
      </c>
      <c r="BZ20" s="249">
        <v>13.190689460556738</v>
      </c>
      <c r="CA20" s="249">
        <v>47.656890054071766</v>
      </c>
      <c r="CB20" s="249">
        <v>10.662788792397182</v>
      </c>
      <c r="CC20" s="250">
        <v>107.59553589309446</v>
      </c>
      <c r="CD20" s="242">
        <v>-14835</v>
      </c>
      <c r="CE20" s="252">
        <v>93.247856245562289</v>
      </c>
      <c r="CF20" s="238">
        <v>92873</v>
      </c>
      <c r="CG20" s="238">
        <v>21275.7</v>
      </c>
      <c r="CH20" s="238">
        <v>9.6836255393522315</v>
      </c>
      <c r="CI20" s="216" t="s">
        <v>679</v>
      </c>
      <c r="CJ20" s="237">
        <v>0</v>
      </c>
      <c r="CK20" s="253">
        <v>1126.57</v>
      </c>
      <c r="CL20" s="253">
        <v>130.07069999999999</v>
      </c>
      <c r="CM20" s="254">
        <v>5.8669688768606218E-2</v>
      </c>
      <c r="CN20" s="237" t="s">
        <v>83</v>
      </c>
      <c r="CO20" s="242">
        <v>392.6</v>
      </c>
      <c r="CP20" s="255">
        <v>0.17708615245827697</v>
      </c>
      <c r="CV20" s="256">
        <v>46</v>
      </c>
      <c r="CW20" s="194">
        <v>1.867</v>
      </c>
      <c r="CX20" s="194" t="s">
        <v>680</v>
      </c>
      <c r="CY20" s="194">
        <v>2.5019999999999998</v>
      </c>
      <c r="CZ20" s="237" t="s">
        <v>529</v>
      </c>
      <c r="DA20" s="237" t="s">
        <v>803</v>
      </c>
      <c r="DB20" s="216" t="s">
        <v>804</v>
      </c>
      <c r="DC20" s="256" t="s">
        <v>805</v>
      </c>
      <c r="DD20" s="256">
        <v>0.7</v>
      </c>
      <c r="DE20" s="256">
        <v>-6.5</v>
      </c>
      <c r="DF20" s="256">
        <v>0.7</v>
      </c>
      <c r="DG20" s="256">
        <v>-2.2000000000000002</v>
      </c>
      <c r="DH20" s="257">
        <v>13</v>
      </c>
      <c r="DI20" s="257">
        <v>13.94</v>
      </c>
      <c r="DJ20" s="257">
        <v>147.94</v>
      </c>
      <c r="DK20" s="257">
        <v>161.88</v>
      </c>
      <c r="DL20" s="237" t="s">
        <v>682</v>
      </c>
      <c r="DP20" s="258" t="s">
        <v>682</v>
      </c>
      <c r="DQ20" s="258"/>
      <c r="DR20" s="258"/>
      <c r="DS20" s="258"/>
      <c r="DT20" s="258"/>
      <c r="DU20" s="237">
        <v>0</v>
      </c>
      <c r="DX20" s="247"/>
      <c r="DY20" s="247">
        <v>0</v>
      </c>
      <c r="EA20" s="237">
        <v>0</v>
      </c>
      <c r="ED20" s="237" t="s">
        <v>678</v>
      </c>
      <c r="EE20" s="208">
        <v>3</v>
      </c>
      <c r="EF20" s="237" t="s">
        <v>678</v>
      </c>
      <c r="EG20" s="216" t="s">
        <v>689</v>
      </c>
      <c r="EH20" s="246" t="s">
        <v>690</v>
      </c>
      <c r="EI20" s="216" t="s">
        <v>689</v>
      </c>
      <c r="EJ20" s="216" t="s">
        <v>806</v>
      </c>
      <c r="EK20" s="222" t="s">
        <v>529</v>
      </c>
      <c r="EL20" s="259">
        <v>1976</v>
      </c>
      <c r="EM20" s="260">
        <v>278325</v>
      </c>
      <c r="EN20" s="260">
        <v>7780986</v>
      </c>
      <c r="EO20" s="260">
        <v>1946258</v>
      </c>
      <c r="ER20" s="237" t="s">
        <v>705</v>
      </c>
      <c r="ES20" s="237">
        <v>12924</v>
      </c>
      <c r="ET20" s="237">
        <v>6.9927530764394144</v>
      </c>
      <c r="EU20" s="661">
        <v>3</v>
      </c>
      <c r="EV20" s="661">
        <v>6</v>
      </c>
      <c r="EW20" s="661">
        <v>5</v>
      </c>
      <c r="EX20" s="661">
        <v>3</v>
      </c>
      <c r="EY20" s="660">
        <v>0.50815065403698689</v>
      </c>
      <c r="EZ20" s="256">
        <v>195.02383340582477</v>
      </c>
      <c r="FA20" s="247">
        <v>5.8154235145385584</v>
      </c>
      <c r="FB20" s="208">
        <v>5</v>
      </c>
      <c r="FC20" s="208">
        <v>5</v>
      </c>
      <c r="FD20" s="208">
        <v>2</v>
      </c>
      <c r="FE20" s="239">
        <v>0.18836915297092288</v>
      </c>
      <c r="FF20" s="208"/>
      <c r="FG20" s="241">
        <v>0.20465233881163084</v>
      </c>
      <c r="FH20" s="209">
        <v>0</v>
      </c>
      <c r="FI20" s="237" t="s">
        <v>678</v>
      </c>
      <c r="FJ20" s="208" t="s">
        <v>678</v>
      </c>
      <c r="FK20" s="208" t="s">
        <v>678</v>
      </c>
      <c r="FL20" s="217" t="s">
        <v>678</v>
      </c>
      <c r="FM20" s="208" t="s">
        <v>678</v>
      </c>
      <c r="FN20" s="208" t="s">
        <v>678</v>
      </c>
      <c r="FO20" s="237">
        <v>4370</v>
      </c>
      <c r="FP20" s="247">
        <v>1.9711321605773569</v>
      </c>
      <c r="FQ20" s="237">
        <v>1</v>
      </c>
      <c r="FU20" s="208" t="s">
        <v>678</v>
      </c>
      <c r="FV20" s="208" t="s">
        <v>678</v>
      </c>
      <c r="FW20" s="208" t="s">
        <v>678</v>
      </c>
      <c r="FX20" s="208" t="s">
        <v>678</v>
      </c>
      <c r="FY20" s="208" t="s">
        <v>678</v>
      </c>
      <c r="FZ20" s="208" t="s">
        <v>678</v>
      </c>
      <c r="GA20" s="208" t="s">
        <v>678</v>
      </c>
      <c r="GB20" s="208" t="s">
        <v>678</v>
      </c>
      <c r="GC20" s="208" t="s">
        <v>678</v>
      </c>
      <c r="GD20" s="208" t="s">
        <v>678</v>
      </c>
      <c r="GE20" s="237" t="s">
        <v>678</v>
      </c>
      <c r="GF20" s="237" t="s">
        <v>678</v>
      </c>
      <c r="GG20" s="237" t="s">
        <v>678</v>
      </c>
      <c r="GH20" s="237" t="s">
        <v>678</v>
      </c>
      <c r="GJ20" s="947">
        <v>3869</v>
      </c>
      <c r="GK20" s="320">
        <v>0</v>
      </c>
      <c r="GL20" s="320">
        <v>0.13</v>
      </c>
      <c r="GM20" s="320">
        <v>5.2999999999999999E-2</v>
      </c>
      <c r="GN20" s="320">
        <v>0.81599999999999995</v>
      </c>
      <c r="GO20" s="662">
        <v>8015</v>
      </c>
      <c r="GP20" s="663" t="str">
        <f>VLOOKUP(GS20,'BD Comarcal'!$A$6:$AV$17,48,FALSE)</f>
        <v>13</v>
      </c>
      <c r="GQ20" s="564">
        <v>1531</v>
      </c>
      <c r="GR20" s="256">
        <f t="shared" si="0"/>
        <v>1</v>
      </c>
      <c r="GS20" s="237" t="s">
        <v>83</v>
      </c>
    </row>
    <row r="21" spans="1:201" s="237" customFormat="1" ht="17.25" customHeight="1">
      <c r="A21" s="236" t="s">
        <v>807</v>
      </c>
      <c r="C21" s="238"/>
      <c r="D21" s="238">
        <v>4299</v>
      </c>
      <c r="E21" s="238">
        <v>3527</v>
      </c>
      <c r="F21" s="239">
        <v>0.82042335426843449</v>
      </c>
      <c r="G21" s="238">
        <v>2026</v>
      </c>
      <c r="H21" s="240">
        <v>619.93102375352157</v>
      </c>
      <c r="I21" s="239">
        <v>0.1757672310046843</v>
      </c>
      <c r="J21" s="238">
        <v>27</v>
      </c>
      <c r="K21" s="238">
        <v>192</v>
      </c>
      <c r="L21" s="238">
        <v>12</v>
      </c>
      <c r="M21" s="241">
        <v>2.7913468248429866E-3</v>
      </c>
      <c r="N21" s="238">
        <v>0</v>
      </c>
      <c r="O21" s="239">
        <v>0</v>
      </c>
      <c r="P21" s="237">
        <v>6</v>
      </c>
      <c r="Q21" s="237">
        <v>0</v>
      </c>
      <c r="R21" s="239">
        <v>0</v>
      </c>
      <c r="S21" s="238">
        <v>169</v>
      </c>
      <c r="T21" s="436">
        <v>240</v>
      </c>
      <c r="U21" s="436">
        <v>14</v>
      </c>
      <c r="V21" s="436">
        <v>159</v>
      </c>
      <c r="W21" s="436">
        <v>413</v>
      </c>
      <c r="X21" s="238">
        <v>2162</v>
      </c>
      <c r="Y21" s="237">
        <v>0.2409</v>
      </c>
      <c r="Z21" s="238">
        <v>39227</v>
      </c>
      <c r="AA21" s="238">
        <v>17928</v>
      </c>
      <c r="AB21" s="238">
        <v>109.54</v>
      </c>
      <c r="AC21" s="265">
        <v>209</v>
      </c>
      <c r="AD21" s="265">
        <v>2297338.6</v>
      </c>
      <c r="AE21" s="238">
        <v>32987.410000000149</v>
      </c>
      <c r="AF21" s="238">
        <v>2606510.2999999998</v>
      </c>
      <c r="AG21" s="238">
        <v>820768.7</v>
      </c>
      <c r="AH21" s="239">
        <v>0.31489179229408765</v>
      </c>
      <c r="AI21" s="242">
        <v>33.957431999999997</v>
      </c>
      <c r="AJ21" s="242">
        <v>7.361542</v>
      </c>
      <c r="AK21" s="242">
        <v>0.17123847406373574</v>
      </c>
      <c r="AL21" s="261" t="s">
        <v>678</v>
      </c>
      <c r="AM21" s="242" t="s">
        <v>678</v>
      </c>
      <c r="AN21" s="242">
        <v>13882.4</v>
      </c>
      <c r="AO21" s="238">
        <v>3983.76</v>
      </c>
      <c r="AP21" s="243">
        <v>15</v>
      </c>
      <c r="AQ21" s="238">
        <v>1</v>
      </c>
      <c r="AR21" s="238">
        <v>1714.7212399454547</v>
      </c>
      <c r="AS21" s="238">
        <v>2417.7010393350479</v>
      </c>
      <c r="AT21" s="238">
        <v>83831.666666666672</v>
      </c>
      <c r="AU21" s="238">
        <v>201.63788631686617</v>
      </c>
      <c r="AV21" s="237">
        <v>1</v>
      </c>
      <c r="AW21" s="237">
        <v>0</v>
      </c>
      <c r="AX21" s="237">
        <v>1</v>
      </c>
      <c r="AY21" s="244" t="s">
        <v>673</v>
      </c>
      <c r="AZ21" s="244" t="s">
        <v>682</v>
      </c>
      <c r="BA21" s="237">
        <v>2010</v>
      </c>
      <c r="BB21" s="245" t="s">
        <v>808</v>
      </c>
      <c r="BC21" s="215" t="s">
        <v>809</v>
      </c>
      <c r="BE21" s="237">
        <v>0</v>
      </c>
      <c r="BF21" s="237">
        <v>11</v>
      </c>
      <c r="BG21" s="246" t="s">
        <v>720</v>
      </c>
      <c r="BI21" s="239">
        <v>0.31183786273606634</v>
      </c>
      <c r="BJ21" s="239">
        <v>0.14187010594196223</v>
      </c>
      <c r="BK21" s="239">
        <v>0.52372178719484108</v>
      </c>
      <c r="BL21" s="239">
        <v>2.2570244127130355E-2</v>
      </c>
      <c r="BM21" s="247">
        <v>1.7429755872869648</v>
      </c>
      <c r="BN21" s="248">
        <v>0</v>
      </c>
      <c r="BO21" s="248">
        <v>0</v>
      </c>
      <c r="BP21" s="237">
        <v>0</v>
      </c>
      <c r="BQ21" s="237">
        <v>0</v>
      </c>
      <c r="BR21" s="248">
        <v>0</v>
      </c>
      <c r="BS21" s="256">
        <v>22.7</v>
      </c>
      <c r="BT21" s="256" t="s">
        <v>777</v>
      </c>
      <c r="BU21" s="249" t="s">
        <v>678</v>
      </c>
      <c r="BV21" s="249">
        <v>265</v>
      </c>
      <c r="BW21" s="249">
        <v>1245</v>
      </c>
      <c r="BX21" s="249" t="s">
        <v>678</v>
      </c>
      <c r="BY21" s="249" t="s">
        <v>678</v>
      </c>
      <c r="BZ21" s="249">
        <v>11.526750761200521</v>
      </c>
      <c r="CA21" s="249">
        <v>54.153979991300567</v>
      </c>
      <c r="CB21" s="249" t="s">
        <v>678</v>
      </c>
      <c r="CC21" s="250" t="s">
        <v>678</v>
      </c>
      <c r="CD21" s="242" t="s">
        <v>678</v>
      </c>
      <c r="CE21" s="252" t="s">
        <v>678</v>
      </c>
      <c r="CF21" s="238">
        <v>1762</v>
      </c>
      <c r="CG21" s="238">
        <v>165.1</v>
      </c>
      <c r="CH21" s="238">
        <v>7.1813832100913437</v>
      </c>
      <c r="CI21" s="216" t="s">
        <v>722</v>
      </c>
      <c r="CJ21" s="237">
        <v>1</v>
      </c>
      <c r="CK21" s="253">
        <v>32.54</v>
      </c>
      <c r="CL21" s="253">
        <v>38.204099999999997</v>
      </c>
      <c r="CM21" s="254">
        <v>8.8867411025819951E-3</v>
      </c>
      <c r="CN21" s="237" t="s">
        <v>84</v>
      </c>
      <c r="CO21" s="242">
        <v>3611.56</v>
      </c>
      <c r="CP21" s="255">
        <v>0.84009304489416137</v>
      </c>
      <c r="CQ21" s="237">
        <v>3219.56</v>
      </c>
      <c r="CR21" s="248" t="s">
        <v>810</v>
      </c>
      <c r="CS21" s="237">
        <v>3219.56</v>
      </c>
      <c r="CV21" s="237">
        <v>1</v>
      </c>
      <c r="CW21" s="261" t="s">
        <v>678</v>
      </c>
      <c r="CX21" s="261" t="s">
        <v>678</v>
      </c>
      <c r="CY21" s="261" t="s">
        <v>678</v>
      </c>
      <c r="DB21" s="216" t="s">
        <v>681</v>
      </c>
      <c r="DC21" s="256"/>
      <c r="DD21" s="256">
        <v>0.8</v>
      </c>
      <c r="DE21" s="256">
        <v>-9</v>
      </c>
      <c r="DF21" s="256">
        <v>-0.3</v>
      </c>
      <c r="DG21" s="256">
        <v>-2.6</v>
      </c>
      <c r="DL21" s="237" t="s">
        <v>682</v>
      </c>
      <c r="DP21" s="258" t="s">
        <v>682</v>
      </c>
      <c r="DQ21" s="258"/>
      <c r="DR21" s="258"/>
      <c r="DS21" s="258"/>
      <c r="DT21" s="258"/>
      <c r="DU21" s="237">
        <v>0</v>
      </c>
      <c r="DX21" s="247"/>
      <c r="DY21" s="247">
        <v>0</v>
      </c>
      <c r="EA21" s="237">
        <v>0</v>
      </c>
      <c r="ED21" s="237" t="s">
        <v>723</v>
      </c>
      <c r="EE21" s="208">
        <v>2</v>
      </c>
      <c r="EF21" s="237" t="s">
        <v>702</v>
      </c>
      <c r="EG21" s="216" t="s">
        <v>691</v>
      </c>
      <c r="EH21" s="246" t="s">
        <v>690</v>
      </c>
      <c r="EI21" s="216" t="s">
        <v>691</v>
      </c>
      <c r="EJ21" s="216" t="s">
        <v>529</v>
      </c>
      <c r="EK21" s="222" t="s">
        <v>682</v>
      </c>
      <c r="EL21" s="259">
        <v>1983</v>
      </c>
      <c r="EM21" s="260">
        <v>1800</v>
      </c>
      <c r="EN21" s="260">
        <v>73128</v>
      </c>
      <c r="EO21" s="260">
        <v>14866</v>
      </c>
      <c r="ER21" s="237" t="s">
        <v>705</v>
      </c>
      <c r="ES21" s="237" t="e">
        <v>#DIV/0!</v>
      </c>
      <c r="ET21" s="237">
        <v>8.2588888888888885</v>
      </c>
      <c r="EU21" s="661">
        <v>8</v>
      </c>
      <c r="EV21" s="661">
        <v>1</v>
      </c>
      <c r="EW21" s="661">
        <v>1</v>
      </c>
      <c r="EX21" s="661">
        <v>2</v>
      </c>
      <c r="EY21" s="660">
        <v>7.5692021400325651E-3</v>
      </c>
      <c r="EZ21" s="256">
        <v>70.651505838967424</v>
      </c>
      <c r="FA21" s="247">
        <v>2.8352707683583781E-2</v>
      </c>
      <c r="FB21" s="208">
        <v>0</v>
      </c>
      <c r="FC21" s="208">
        <v>2</v>
      </c>
      <c r="FD21" s="208">
        <v>1</v>
      </c>
      <c r="FE21" s="239">
        <v>0.57442585766940746</v>
      </c>
      <c r="FF21" s="208">
        <v>1</v>
      </c>
      <c r="FG21" s="241">
        <v>0</v>
      </c>
      <c r="FH21" s="209">
        <v>0.91283243549758997</v>
      </c>
      <c r="FI21" s="237" t="s">
        <v>678</v>
      </c>
      <c r="FJ21" s="208">
        <v>64.599999999999994</v>
      </c>
      <c r="FK21" s="208">
        <v>47.96</v>
      </c>
      <c r="FL21" s="217">
        <v>89.2</v>
      </c>
      <c r="FM21" s="208">
        <v>12.58</v>
      </c>
      <c r="FN21" s="208" t="s">
        <v>811</v>
      </c>
      <c r="FP21" s="247" t="s">
        <v>693</v>
      </c>
      <c r="FU21" s="208">
        <v>35</v>
      </c>
      <c r="FV21" s="208">
        <v>38.4</v>
      </c>
      <c r="FW21" s="237">
        <v>58.23</v>
      </c>
      <c r="FX21" s="237">
        <v>38.9</v>
      </c>
      <c r="FY21" s="208">
        <v>43.91</v>
      </c>
      <c r="FZ21" s="208">
        <v>57.1</v>
      </c>
      <c r="GA21" s="208">
        <v>51.8</v>
      </c>
      <c r="GB21" s="208">
        <v>55.6</v>
      </c>
      <c r="GC21" s="208">
        <v>0.86</v>
      </c>
      <c r="GD21" s="208">
        <v>81.3</v>
      </c>
      <c r="GE21" s="237">
        <v>60.25</v>
      </c>
      <c r="GF21" s="237">
        <v>78.5</v>
      </c>
      <c r="GG21" s="237">
        <v>12.67</v>
      </c>
      <c r="GH21" s="237">
        <v>78.099999999999994</v>
      </c>
      <c r="GJ21" s="947"/>
      <c r="GK21" s="320"/>
      <c r="GL21" s="320"/>
      <c r="GM21" s="320"/>
      <c r="GN21" s="320"/>
      <c r="GO21" s="662">
        <v>8016</v>
      </c>
      <c r="GP21" s="663" t="str">
        <f>VLOOKUP(GS21,'BD Comarcal'!$A$6:$AV$17,48,FALSE)</f>
        <v>14</v>
      </c>
      <c r="GQ21" s="564">
        <v>33</v>
      </c>
      <c r="GR21" s="256">
        <f t="shared" si="0"/>
        <v>0</v>
      </c>
      <c r="GS21" s="237" t="s">
        <v>84</v>
      </c>
    </row>
    <row r="22" spans="1:201" s="237" customFormat="1" ht="17.25" customHeight="1">
      <c r="A22" s="236" t="s">
        <v>812</v>
      </c>
      <c r="C22" s="238"/>
      <c r="D22" s="238">
        <v>1847</v>
      </c>
      <c r="E22" s="238">
        <v>808</v>
      </c>
      <c r="F22" s="239">
        <v>0.43746616134271793</v>
      </c>
      <c r="G22" s="238">
        <v>734</v>
      </c>
      <c r="H22" s="240">
        <v>304.70174122933196</v>
      </c>
      <c r="I22" s="239">
        <v>0.37710611538283656</v>
      </c>
      <c r="J22" s="238">
        <v>602</v>
      </c>
      <c r="K22" s="238">
        <v>50</v>
      </c>
      <c r="L22" s="238">
        <v>12</v>
      </c>
      <c r="M22" s="241">
        <v>6.4970221981591773E-3</v>
      </c>
      <c r="N22" s="238">
        <v>0</v>
      </c>
      <c r="O22" s="239">
        <v>0</v>
      </c>
      <c r="P22" s="237">
        <v>29</v>
      </c>
      <c r="Q22" s="237">
        <v>0</v>
      </c>
      <c r="R22" s="239">
        <v>0</v>
      </c>
      <c r="S22" s="238">
        <v>4106</v>
      </c>
      <c r="T22" s="436">
        <v>0</v>
      </c>
      <c r="U22" s="436">
        <v>0</v>
      </c>
      <c r="V22" s="436">
        <v>0</v>
      </c>
      <c r="W22" s="436">
        <v>0</v>
      </c>
      <c r="X22" s="238">
        <v>3705</v>
      </c>
      <c r="Y22" s="237">
        <v>0.1515</v>
      </c>
      <c r="Z22" s="238">
        <v>65543</v>
      </c>
      <c r="AA22" s="238">
        <v>17662</v>
      </c>
      <c r="AB22" s="238">
        <v>107.92</v>
      </c>
      <c r="AC22" s="265">
        <v>274</v>
      </c>
      <c r="AD22" s="265">
        <v>2986384.84</v>
      </c>
      <c r="AE22" s="238">
        <v>1123490.71</v>
      </c>
      <c r="AF22" s="238">
        <v>2786185.4200000004</v>
      </c>
      <c r="AG22" s="238">
        <v>183903.89</v>
      </c>
      <c r="AH22" s="239">
        <v>6.6005617817065446E-2</v>
      </c>
      <c r="AI22" s="242">
        <v>82.445047000000002</v>
      </c>
      <c r="AJ22" s="261">
        <v>11.746276999999999</v>
      </c>
      <c r="AK22" s="242">
        <v>0.63596518678938818</v>
      </c>
      <c r="AL22" s="261">
        <v>232.28946999999999</v>
      </c>
      <c r="AM22" s="242">
        <v>12.576582024905251</v>
      </c>
      <c r="AN22" s="261">
        <v>17524.490000000002</v>
      </c>
      <c r="AO22" s="238">
        <v>3344.41</v>
      </c>
      <c r="AP22" s="243">
        <v>8</v>
      </c>
      <c r="AQ22" s="238"/>
      <c r="AR22" s="238">
        <v>1077.4640724544934</v>
      </c>
      <c r="AS22" s="238">
        <v>2978.1027092228651</v>
      </c>
      <c r="AT22" s="238">
        <v>182444.33333333334</v>
      </c>
      <c r="AU22" s="238">
        <v>217.65317437728359</v>
      </c>
      <c r="AV22" s="237">
        <v>1</v>
      </c>
      <c r="AW22" s="237">
        <v>0</v>
      </c>
      <c r="AX22" s="237">
        <v>1</v>
      </c>
      <c r="AY22" s="244" t="s">
        <v>673</v>
      </c>
      <c r="AZ22" s="244" t="s">
        <v>695</v>
      </c>
      <c r="BA22" s="237">
        <v>2015</v>
      </c>
      <c r="BB22" s="245" t="s">
        <v>813</v>
      </c>
      <c r="BC22" s="215" t="s">
        <v>814</v>
      </c>
      <c r="BE22" s="237">
        <v>0</v>
      </c>
      <c r="BF22" s="237">
        <v>83</v>
      </c>
      <c r="BG22" s="246" t="s">
        <v>720</v>
      </c>
      <c r="BI22" s="239">
        <v>0.34004576659038904</v>
      </c>
      <c r="BJ22" s="239">
        <v>0.12585812356979406</v>
      </c>
      <c r="BK22" s="239">
        <v>0.50114416475972545</v>
      </c>
      <c r="BL22" s="239">
        <v>3.2951945080091534E-2</v>
      </c>
      <c r="BM22" s="247">
        <v>1.7729977116704807</v>
      </c>
      <c r="BN22" s="248">
        <v>0</v>
      </c>
      <c r="BO22" s="248">
        <v>0</v>
      </c>
      <c r="BP22" s="237">
        <v>0</v>
      </c>
      <c r="BQ22" s="237">
        <v>0</v>
      </c>
      <c r="BR22" s="248">
        <v>0</v>
      </c>
      <c r="BS22" s="256">
        <v>16.399999999999999</v>
      </c>
      <c r="BT22" s="256" t="s">
        <v>815</v>
      </c>
      <c r="BU22" s="249" t="s">
        <v>678</v>
      </c>
      <c r="BV22" s="249">
        <v>444</v>
      </c>
      <c r="BW22" s="249">
        <v>2061</v>
      </c>
      <c r="BX22" s="249" t="s">
        <v>678</v>
      </c>
      <c r="BY22" s="249" t="s">
        <v>678</v>
      </c>
      <c r="BZ22" s="249">
        <v>11.909871244635193</v>
      </c>
      <c r="CA22" s="249">
        <v>55.2843347639485</v>
      </c>
      <c r="CB22" s="249" t="s">
        <v>678</v>
      </c>
      <c r="CC22" s="250" t="s">
        <v>678</v>
      </c>
      <c r="CD22" s="242" t="s">
        <v>678</v>
      </c>
      <c r="CE22" s="252" t="s">
        <v>678</v>
      </c>
      <c r="CF22" s="238">
        <v>1692</v>
      </c>
      <c r="CG22" s="238">
        <v>366</v>
      </c>
      <c r="CH22" s="238">
        <v>9.8175965665236049</v>
      </c>
      <c r="CI22" s="216" t="s">
        <v>722</v>
      </c>
      <c r="CJ22" s="237">
        <v>1</v>
      </c>
      <c r="CK22" s="253">
        <v>47.98</v>
      </c>
      <c r="CL22" s="253">
        <v>40.665799999999997</v>
      </c>
      <c r="CM22" s="254">
        <v>2.2017217108825121E-2</v>
      </c>
      <c r="CN22" s="237" t="s">
        <v>88</v>
      </c>
      <c r="CO22" s="242">
        <v>2.62</v>
      </c>
      <c r="CP22" s="255">
        <v>1.4185165132647537E-3</v>
      </c>
      <c r="CV22" s="237">
        <v>3</v>
      </c>
      <c r="CW22" s="261" t="s">
        <v>678</v>
      </c>
      <c r="CX22" s="261" t="s">
        <v>678</v>
      </c>
      <c r="CY22" s="261" t="s">
        <v>678</v>
      </c>
      <c r="DB22" s="216" t="s">
        <v>710</v>
      </c>
      <c r="DC22" s="195" t="s">
        <v>711</v>
      </c>
      <c r="DD22" s="256">
        <v>0.8</v>
      </c>
      <c r="DE22" s="256">
        <v>-9</v>
      </c>
      <c r="DF22" s="256">
        <v>-0.3</v>
      </c>
      <c r="DG22" s="256">
        <v>-2.6</v>
      </c>
      <c r="DH22" s="257">
        <v>1</v>
      </c>
      <c r="DI22" s="257">
        <v>0.8</v>
      </c>
      <c r="DJ22" s="257">
        <v>0.2</v>
      </c>
      <c r="DK22" s="257">
        <v>1</v>
      </c>
      <c r="DL22" s="237" t="s">
        <v>682</v>
      </c>
      <c r="DP22" s="258" t="s">
        <v>682</v>
      </c>
      <c r="DQ22" s="258"/>
      <c r="DR22" s="258"/>
      <c r="DS22" s="258"/>
      <c r="DT22" s="258"/>
      <c r="DU22" s="237">
        <v>0</v>
      </c>
      <c r="DX22" s="247"/>
      <c r="DY22" s="247">
        <v>0</v>
      </c>
      <c r="EA22" s="237">
        <v>0</v>
      </c>
      <c r="ED22" s="237" t="s">
        <v>678</v>
      </c>
      <c r="EE22" s="208">
        <v>1</v>
      </c>
      <c r="EF22" s="237" t="s">
        <v>678</v>
      </c>
      <c r="EG22" s="216" t="s">
        <v>703</v>
      </c>
      <c r="EH22" s="246" t="s">
        <v>704</v>
      </c>
      <c r="EI22" s="216"/>
      <c r="EJ22" s="216" t="s">
        <v>529</v>
      </c>
      <c r="EK22" s="222" t="s">
        <v>682</v>
      </c>
      <c r="EL22" s="259">
        <v>2000</v>
      </c>
      <c r="EM22" s="260">
        <v>1030</v>
      </c>
      <c r="EN22" s="260">
        <v>125666</v>
      </c>
      <c r="EO22" s="260">
        <v>51221</v>
      </c>
      <c r="EP22" s="237">
        <v>1</v>
      </c>
      <c r="EQ22" s="237">
        <v>55</v>
      </c>
      <c r="ER22" s="237" t="s">
        <v>705</v>
      </c>
      <c r="ES22" s="237" t="e">
        <v>#DIV/0!</v>
      </c>
      <c r="ET22" s="237">
        <v>49.729126213592231</v>
      </c>
      <c r="EU22" s="661">
        <v>5</v>
      </c>
      <c r="EV22" s="661">
        <v>1</v>
      </c>
      <c r="EW22" s="661">
        <v>2</v>
      </c>
      <c r="EX22" s="661">
        <v>2</v>
      </c>
      <c r="EY22" s="660">
        <v>2.5977260422306442E-2</v>
      </c>
      <c r="EZ22" s="256">
        <v>77.699041267194673</v>
      </c>
      <c r="FA22" s="247">
        <v>0.37128712871287128</v>
      </c>
      <c r="FB22" s="208">
        <v>1</v>
      </c>
      <c r="FC22" s="208">
        <v>1</v>
      </c>
      <c r="FD22" s="208">
        <v>2</v>
      </c>
      <c r="FE22" s="239">
        <v>0.90841584158415845</v>
      </c>
      <c r="FF22" s="208">
        <v>1</v>
      </c>
      <c r="FG22" s="241">
        <v>1.2376237623762376E-3</v>
      </c>
      <c r="FH22" s="209">
        <v>0</v>
      </c>
      <c r="FI22" s="237" t="s">
        <v>678</v>
      </c>
      <c r="FJ22" s="208">
        <v>50.9</v>
      </c>
      <c r="FK22" s="208">
        <v>0</v>
      </c>
      <c r="FL22" s="217">
        <v>1</v>
      </c>
      <c r="FM22" s="208">
        <v>5.0599999999999996</v>
      </c>
      <c r="FN22" s="208" t="s">
        <v>816</v>
      </c>
      <c r="FP22" s="247" t="s">
        <v>693</v>
      </c>
      <c r="FU22" s="208">
        <v>29</v>
      </c>
      <c r="FV22" s="208">
        <v>23.8</v>
      </c>
      <c r="FW22" s="237">
        <v>78.11</v>
      </c>
      <c r="FX22" s="237">
        <v>64.099999999999994</v>
      </c>
      <c r="FY22" s="208">
        <v>24.17</v>
      </c>
      <c r="FZ22" s="208">
        <v>38.4</v>
      </c>
      <c r="GA22" s="208">
        <v>43.54</v>
      </c>
      <c r="GB22" s="208">
        <v>42.9</v>
      </c>
      <c r="GC22" s="208">
        <v>0.49</v>
      </c>
      <c r="GD22" s="208">
        <v>63.5</v>
      </c>
      <c r="GE22" s="237">
        <v>43.74</v>
      </c>
      <c r="GF22" s="237">
        <v>56.7</v>
      </c>
      <c r="GG22" s="237">
        <v>9.64</v>
      </c>
      <c r="GH22" s="237">
        <v>65.5</v>
      </c>
      <c r="GJ22" s="947"/>
      <c r="GO22" s="662">
        <v>8017</v>
      </c>
      <c r="GP22" s="663" t="str">
        <f>VLOOKUP(GS22,'BD Comarcal'!$A$6:$AV$17,48,FALSE)</f>
        <v>24</v>
      </c>
      <c r="GQ22" s="564">
        <v>33</v>
      </c>
      <c r="GR22" s="256">
        <f t="shared" si="0"/>
        <v>1</v>
      </c>
      <c r="GS22" s="237" t="s">
        <v>88</v>
      </c>
    </row>
    <row r="23" spans="1:201" s="237" customFormat="1" ht="17.25" customHeight="1">
      <c r="A23" s="236" t="s">
        <v>817</v>
      </c>
      <c r="C23" s="238"/>
      <c r="D23" s="238">
        <v>3664</v>
      </c>
      <c r="E23" s="238">
        <v>2470</v>
      </c>
      <c r="F23" s="239">
        <v>0.67412663755458513</v>
      </c>
      <c r="G23" s="238">
        <v>2185</v>
      </c>
      <c r="H23" s="240">
        <v>1930.1979727668486</v>
      </c>
      <c r="I23" s="239">
        <v>0.7814566691363759</v>
      </c>
      <c r="J23" s="238">
        <v>561</v>
      </c>
      <c r="K23" s="238">
        <v>78</v>
      </c>
      <c r="L23" s="238">
        <v>2</v>
      </c>
      <c r="M23" s="241">
        <v>5.4585152838427945E-4</v>
      </c>
      <c r="N23" s="238">
        <v>40</v>
      </c>
      <c r="O23" s="239">
        <v>7.130124777183601E-2</v>
      </c>
      <c r="P23" s="237">
        <v>16</v>
      </c>
      <c r="Q23" s="237">
        <v>0</v>
      </c>
      <c r="R23" s="239">
        <v>0</v>
      </c>
      <c r="S23" s="238">
        <v>4279</v>
      </c>
      <c r="T23" s="436">
        <v>0</v>
      </c>
      <c r="U23" s="436">
        <v>21</v>
      </c>
      <c r="V23" s="436">
        <v>0</v>
      </c>
      <c r="W23" s="436">
        <v>21</v>
      </c>
      <c r="X23" s="238">
        <v>3285</v>
      </c>
      <c r="Y23" s="237">
        <v>0.20910000000000001</v>
      </c>
      <c r="Z23" s="238">
        <v>50975</v>
      </c>
      <c r="AA23" s="238">
        <v>15336</v>
      </c>
      <c r="AB23" s="238">
        <v>93.7</v>
      </c>
      <c r="AC23" s="265">
        <v>211</v>
      </c>
      <c r="AD23" s="265">
        <v>3142095.2399999998</v>
      </c>
      <c r="AE23" s="238">
        <v>657923.61999999965</v>
      </c>
      <c r="AF23" s="238">
        <v>2736902.7900000005</v>
      </c>
      <c r="AG23" s="238">
        <v>165539.18</v>
      </c>
      <c r="AH23" s="239">
        <v>6.0484128484519527E-2</v>
      </c>
      <c r="AI23" s="242">
        <v>137.530372</v>
      </c>
      <c r="AJ23" s="261">
        <v>30.807369999999999</v>
      </c>
      <c r="AK23" s="242">
        <v>0.84081250000000007</v>
      </c>
      <c r="AL23" s="261" t="s">
        <v>678</v>
      </c>
      <c r="AM23" s="242" t="s">
        <v>678</v>
      </c>
      <c r="AN23" s="261">
        <v>28559.79</v>
      </c>
      <c r="AO23" s="238">
        <v>0</v>
      </c>
      <c r="AP23" s="243">
        <v>0</v>
      </c>
      <c r="AQ23" s="238">
        <v>1</v>
      </c>
      <c r="AR23" s="238">
        <v>1168.1121166675973</v>
      </c>
      <c r="AS23" s="238">
        <v>2966.0060248716177</v>
      </c>
      <c r="AT23" s="238">
        <v>277423.33333333331</v>
      </c>
      <c r="AU23" s="238">
        <v>217.22057773005145</v>
      </c>
      <c r="AV23" s="237">
        <v>1</v>
      </c>
      <c r="AW23" s="237">
        <v>1</v>
      </c>
      <c r="AX23" s="237">
        <v>1</v>
      </c>
      <c r="AY23" s="244" t="s">
        <v>673</v>
      </c>
      <c r="AZ23" s="244" t="s">
        <v>673</v>
      </c>
      <c r="BA23" s="237">
        <v>2014</v>
      </c>
      <c r="BB23" s="245" t="s">
        <v>818</v>
      </c>
      <c r="BC23" s="215" t="s">
        <v>819</v>
      </c>
      <c r="BE23" s="237">
        <v>2</v>
      </c>
      <c r="BF23" s="237">
        <v>143</v>
      </c>
      <c r="BG23" s="246" t="s">
        <v>698</v>
      </c>
      <c r="BI23" s="239">
        <v>0.48245614035087719</v>
      </c>
      <c r="BJ23" s="239">
        <v>0.10219298245614035</v>
      </c>
      <c r="BK23" s="239">
        <v>0.40921052631578947</v>
      </c>
      <c r="BL23" s="239">
        <v>6.1403508771929825E-3</v>
      </c>
      <c r="BM23" s="247">
        <v>2.0609649122807019</v>
      </c>
      <c r="BN23" s="248">
        <v>0</v>
      </c>
      <c r="BO23" s="248">
        <v>0</v>
      </c>
      <c r="BP23" s="237">
        <v>0</v>
      </c>
      <c r="BQ23" s="237">
        <v>0</v>
      </c>
      <c r="BR23" s="248">
        <v>0</v>
      </c>
      <c r="BS23" s="256">
        <v>21.3</v>
      </c>
      <c r="BT23" s="256" t="s">
        <v>699</v>
      </c>
      <c r="BU23" s="249">
        <v>367</v>
      </c>
      <c r="BV23" s="249">
        <v>376</v>
      </c>
      <c r="BW23" s="249">
        <v>1853</v>
      </c>
      <c r="BX23" s="249" t="s">
        <v>678</v>
      </c>
      <c r="BY23" s="249">
        <v>10.564191134139321</v>
      </c>
      <c r="BZ23" s="249">
        <v>10.823258491652274</v>
      </c>
      <c r="CA23" s="249">
        <v>53.339090385722507</v>
      </c>
      <c r="CB23" s="249" t="s">
        <v>678</v>
      </c>
      <c r="CC23" s="250">
        <v>106.67818077144503</v>
      </c>
      <c r="CD23" s="242" t="s">
        <v>678</v>
      </c>
      <c r="CE23" s="252" t="s">
        <v>678</v>
      </c>
      <c r="CF23" s="238">
        <v>1749</v>
      </c>
      <c r="CG23" s="238">
        <v>251</v>
      </c>
      <c r="CH23" s="238">
        <v>7.2251007484168106</v>
      </c>
      <c r="CI23" s="216" t="s">
        <v>679</v>
      </c>
      <c r="CJ23" s="237">
        <v>0</v>
      </c>
      <c r="CK23" s="253">
        <v>134.80000000000001</v>
      </c>
      <c r="CL23" s="253">
        <v>64.365499999999997</v>
      </c>
      <c r="CM23" s="254">
        <v>1.7567003275109169E-2</v>
      </c>
      <c r="CN23" s="237" t="s">
        <v>82</v>
      </c>
      <c r="CO23" s="242"/>
      <c r="CP23" s="255">
        <v>0</v>
      </c>
      <c r="CW23" s="261" t="s">
        <v>678</v>
      </c>
      <c r="CX23" s="261" t="s">
        <v>678</v>
      </c>
      <c r="CY23" s="261" t="s">
        <v>678</v>
      </c>
      <c r="DB23" s="216" t="s">
        <v>681</v>
      </c>
      <c r="DC23" s="256"/>
      <c r="DD23" s="256">
        <v>0.8</v>
      </c>
      <c r="DE23" s="256">
        <v>-10</v>
      </c>
      <c r="DF23" s="256">
        <v>0.5</v>
      </c>
      <c r="DG23" s="256">
        <v>-2.2999999999999998</v>
      </c>
      <c r="DH23" s="257">
        <v>5</v>
      </c>
      <c r="DI23" s="257">
        <v>16.96</v>
      </c>
      <c r="DJ23" s="257">
        <v>1.6</v>
      </c>
      <c r="DK23" s="257">
        <v>18.559999999999999</v>
      </c>
      <c r="DL23" s="237" t="s">
        <v>529</v>
      </c>
      <c r="DN23" s="237" t="s">
        <v>770</v>
      </c>
      <c r="DO23" s="237">
        <v>1</v>
      </c>
      <c r="DP23" s="258" t="s">
        <v>682</v>
      </c>
      <c r="DQ23" s="258"/>
      <c r="DR23" s="258"/>
      <c r="DS23" s="258"/>
      <c r="DT23" s="258"/>
      <c r="DU23" s="237">
        <v>1</v>
      </c>
      <c r="DV23" s="237" t="s">
        <v>820</v>
      </c>
      <c r="DW23" s="237" t="s">
        <v>794</v>
      </c>
      <c r="DX23" s="247">
        <v>9.7899999999999991</v>
      </c>
      <c r="DY23" s="247">
        <v>0.2671943231441048</v>
      </c>
      <c r="EA23" s="237">
        <v>0</v>
      </c>
      <c r="ED23" s="237" t="s">
        <v>701</v>
      </c>
      <c r="EE23" s="208">
        <v>1</v>
      </c>
      <c r="EF23" s="237" t="s">
        <v>702</v>
      </c>
      <c r="EG23" s="216" t="s">
        <v>691</v>
      </c>
      <c r="EH23" s="246" t="s">
        <v>690</v>
      </c>
      <c r="EI23" s="216"/>
      <c r="EJ23" s="216" t="s">
        <v>529</v>
      </c>
      <c r="EK23" s="222" t="s">
        <v>682</v>
      </c>
      <c r="EL23" s="259">
        <v>1993</v>
      </c>
      <c r="EM23" s="260">
        <v>2340</v>
      </c>
      <c r="EN23" s="260">
        <v>115123</v>
      </c>
      <c r="EO23" s="260">
        <v>173961</v>
      </c>
      <c r="ER23" s="237" t="s">
        <v>705</v>
      </c>
      <c r="ES23" s="237" t="e">
        <v>#DIV/0!</v>
      </c>
      <c r="ET23" s="237">
        <v>74.342307692307699</v>
      </c>
      <c r="EU23" s="661">
        <v>1</v>
      </c>
      <c r="EV23" s="661">
        <v>2</v>
      </c>
      <c r="EW23" s="661">
        <v>1</v>
      </c>
      <c r="EX23" s="661">
        <v>5</v>
      </c>
      <c r="EY23" s="660">
        <v>3.6790393013100442E-2</v>
      </c>
      <c r="EZ23" s="256">
        <v>25.771513353115726</v>
      </c>
      <c r="FA23" s="247">
        <v>0</v>
      </c>
      <c r="FB23" s="208">
        <v>3</v>
      </c>
      <c r="FC23" s="208">
        <v>5</v>
      </c>
      <c r="FD23" s="208">
        <v>5</v>
      </c>
      <c r="FE23" s="239">
        <v>0.88461538461538458</v>
      </c>
      <c r="FF23" s="208"/>
      <c r="FG23" s="241">
        <v>7.5141700404858297E-3</v>
      </c>
      <c r="FH23" s="209">
        <v>0</v>
      </c>
      <c r="FI23" s="237" t="s">
        <v>678</v>
      </c>
      <c r="FJ23" s="208">
        <v>51.5</v>
      </c>
      <c r="FK23" s="208">
        <v>0</v>
      </c>
      <c r="FL23" s="217">
        <v>1.2</v>
      </c>
      <c r="FM23" s="208">
        <v>1.73</v>
      </c>
      <c r="FN23" s="208" t="s">
        <v>821</v>
      </c>
      <c r="FP23" s="247" t="s">
        <v>693</v>
      </c>
      <c r="FU23" s="208">
        <v>34</v>
      </c>
      <c r="FV23" s="208">
        <v>37.200000000000003</v>
      </c>
      <c r="FW23" s="237">
        <v>20.39</v>
      </c>
      <c r="FX23" s="237">
        <v>8.3000000000000007</v>
      </c>
      <c r="FY23" s="208">
        <v>9.3699999999999992</v>
      </c>
      <c r="FZ23" s="208">
        <v>17.899999999999999</v>
      </c>
      <c r="GA23" s="208">
        <v>30.33</v>
      </c>
      <c r="GB23" s="208">
        <v>21.7</v>
      </c>
      <c r="GC23" s="208">
        <v>0.02</v>
      </c>
      <c r="GD23" s="208">
        <v>15.7</v>
      </c>
      <c r="GE23" s="237">
        <v>24.62</v>
      </c>
      <c r="GF23" s="237">
        <v>25.7</v>
      </c>
      <c r="GG23" s="237">
        <v>11.49</v>
      </c>
      <c r="GH23" s="237">
        <v>73.8</v>
      </c>
      <c r="GJ23" s="947"/>
      <c r="GK23" s="320">
        <v>0</v>
      </c>
      <c r="GL23" s="320">
        <v>0.36499999999999999</v>
      </c>
      <c r="GM23" s="320">
        <v>2.5999999999999999E-2</v>
      </c>
      <c r="GN23" s="320">
        <v>0.60799999999999998</v>
      </c>
      <c r="GO23" s="662">
        <v>8018</v>
      </c>
      <c r="GP23" s="663" t="str">
        <f>VLOOKUP(GS23,'BD Comarcal'!$A$6:$AV$17,48,FALSE)</f>
        <v>07</v>
      </c>
      <c r="GQ23" s="564">
        <v>41</v>
      </c>
      <c r="GR23" s="256">
        <f t="shared" si="0"/>
        <v>1</v>
      </c>
      <c r="GS23" s="237" t="s">
        <v>82</v>
      </c>
    </row>
    <row r="24" spans="1:201" s="237" customFormat="1" ht="17.25" customHeight="1">
      <c r="A24" s="236" t="s">
        <v>331</v>
      </c>
      <c r="C24" s="238" t="s">
        <v>683</v>
      </c>
      <c r="D24" s="238">
        <v>9762</v>
      </c>
      <c r="E24" s="238">
        <v>1916</v>
      </c>
      <c r="F24" s="239">
        <v>0.19627125589018643</v>
      </c>
      <c r="G24" s="238">
        <v>1096</v>
      </c>
      <c r="H24" s="240">
        <v>1.5591123544785783</v>
      </c>
      <c r="I24" s="239">
        <v>8.1373296162765051E-4</v>
      </c>
      <c r="J24" s="238">
        <v>661</v>
      </c>
      <c r="K24" s="238">
        <v>20</v>
      </c>
      <c r="L24" s="238">
        <v>133</v>
      </c>
      <c r="M24" s="241">
        <v>1.3624257324318788E-2</v>
      </c>
      <c r="N24" s="238">
        <v>92</v>
      </c>
      <c r="O24" s="239">
        <v>0.13918305597579425</v>
      </c>
      <c r="P24" s="237">
        <v>2</v>
      </c>
      <c r="Q24" s="237">
        <v>0</v>
      </c>
      <c r="R24" s="239">
        <v>0</v>
      </c>
      <c r="S24" s="238">
        <v>7</v>
      </c>
      <c r="T24" s="436">
        <v>0</v>
      </c>
      <c r="U24" s="436">
        <v>0</v>
      </c>
      <c r="V24" s="436">
        <v>71013</v>
      </c>
      <c r="W24" s="436">
        <v>71013</v>
      </c>
      <c r="X24" s="238">
        <v>1608746</v>
      </c>
      <c r="Y24" s="237">
        <v>0.2147</v>
      </c>
      <c r="Z24" s="238">
        <v>33529453</v>
      </c>
      <c r="AA24" s="238">
        <v>20896</v>
      </c>
      <c r="AB24" s="238">
        <v>127.68</v>
      </c>
      <c r="AC24" s="265">
        <v>836102</v>
      </c>
      <c r="AD24" s="265">
        <v>2708257458.8200006</v>
      </c>
      <c r="AE24" s="238">
        <v>53740256.009999752</v>
      </c>
      <c r="AF24" s="238">
        <v>2602885167.3299999</v>
      </c>
      <c r="AG24" s="238">
        <v>409709985.45999998</v>
      </c>
      <c r="AH24" s="239">
        <v>0.1574060932854269</v>
      </c>
      <c r="AI24" s="242">
        <v>8502.9750499999991</v>
      </c>
      <c r="AJ24" s="261">
        <v>2831.8591799999999</v>
      </c>
      <c r="AK24" s="242">
        <v>29.0090061462815</v>
      </c>
      <c r="AL24" s="261" t="s">
        <v>678</v>
      </c>
      <c r="AM24" s="242" t="s">
        <v>678</v>
      </c>
      <c r="AN24" s="261">
        <v>1962893.43</v>
      </c>
      <c r="AO24" s="238">
        <v>89041.81</v>
      </c>
      <c r="AP24" s="243">
        <v>138</v>
      </c>
      <c r="AQ24" s="238">
        <v>2</v>
      </c>
      <c r="AR24" s="238">
        <v>1211.2108286834539</v>
      </c>
      <c r="AS24" s="238">
        <v>1529.8910559802587</v>
      </c>
      <c r="AT24" s="238">
        <v>95945188.333333328</v>
      </c>
      <c r="AU24" s="238">
        <v>246.04975392243466</v>
      </c>
      <c r="AV24" s="237">
        <v>0</v>
      </c>
      <c r="AW24" s="237">
        <v>0</v>
      </c>
      <c r="AX24" s="237">
        <v>0</v>
      </c>
      <c r="AY24" s="244" t="s">
        <v>673</v>
      </c>
      <c r="AZ24" s="244" t="s">
        <v>673</v>
      </c>
      <c r="BA24" s="237">
        <v>2011</v>
      </c>
      <c r="BB24" s="245" t="s">
        <v>678</v>
      </c>
      <c r="BC24" s="215" t="s">
        <v>678</v>
      </c>
      <c r="BD24" s="237">
        <v>1</v>
      </c>
      <c r="BE24" s="237">
        <v>199</v>
      </c>
      <c r="BF24" s="237">
        <v>33</v>
      </c>
      <c r="BG24" s="246" t="s">
        <v>676</v>
      </c>
      <c r="BI24" s="239">
        <v>0.67402974519426528</v>
      </c>
      <c r="BJ24" s="239">
        <v>0.11174895884676653</v>
      </c>
      <c r="BK24" s="239">
        <v>0.20232750430390958</v>
      </c>
      <c r="BL24" s="239">
        <v>1.1893791655058612E-2</v>
      </c>
      <c r="BM24" s="247">
        <v>2.4479146575802386</v>
      </c>
      <c r="BN24" s="248">
        <v>0</v>
      </c>
      <c r="BO24" s="248">
        <v>50</v>
      </c>
      <c r="BP24" s="237">
        <v>13</v>
      </c>
      <c r="BQ24" s="237">
        <v>8</v>
      </c>
      <c r="BR24" s="248">
        <v>71</v>
      </c>
      <c r="BS24" s="237">
        <v>0</v>
      </c>
      <c r="BU24" s="249">
        <v>104138</v>
      </c>
      <c r="BV24" s="249">
        <v>162261</v>
      </c>
      <c r="BW24" s="249">
        <v>678572</v>
      </c>
      <c r="BX24" s="249">
        <v>444364</v>
      </c>
      <c r="BY24" s="249">
        <v>6.4608871202899572</v>
      </c>
      <c r="BZ24" s="249">
        <v>10.066930467508199</v>
      </c>
      <c r="CA24" s="249">
        <v>42.099685945470405</v>
      </c>
      <c r="CB24" s="249">
        <v>27.569049187813544</v>
      </c>
      <c r="CC24" s="250">
        <v>81.616208241356674</v>
      </c>
      <c r="CD24" s="242">
        <v>64757</v>
      </c>
      <c r="CE24" s="252">
        <v>104.01762725660774</v>
      </c>
      <c r="CF24" s="238">
        <v>811106</v>
      </c>
      <c r="CG24" s="238">
        <v>103465.9</v>
      </c>
      <c r="CH24" s="238">
        <v>6.4191889675162646</v>
      </c>
      <c r="CI24" s="216" t="s">
        <v>679</v>
      </c>
      <c r="CJ24" s="237">
        <v>0</v>
      </c>
      <c r="CK24" s="253">
        <v>7484.8</v>
      </c>
      <c r="CL24" s="253">
        <v>208.4683</v>
      </c>
      <c r="CM24" s="254">
        <v>2.1355080926039747E-2</v>
      </c>
      <c r="CN24" s="237" t="s">
        <v>83</v>
      </c>
      <c r="CO24" s="242">
        <v>1649.09</v>
      </c>
      <c r="CP24" s="255">
        <v>0.16892952263880351</v>
      </c>
      <c r="CV24" s="237">
        <v>5</v>
      </c>
      <c r="CW24" s="194">
        <v>1.867</v>
      </c>
      <c r="CX24" s="194">
        <v>0.153</v>
      </c>
      <c r="CY24" s="194">
        <v>2.6549999999999998</v>
      </c>
      <c r="DB24" s="216" t="s">
        <v>710</v>
      </c>
      <c r="DC24" s="256" t="s">
        <v>805</v>
      </c>
      <c r="DD24" s="256">
        <v>0.7</v>
      </c>
      <c r="DE24" s="256">
        <v>-6.5</v>
      </c>
      <c r="DF24" s="256">
        <v>0.7</v>
      </c>
      <c r="DG24" s="256">
        <v>-2.2000000000000002</v>
      </c>
      <c r="DH24" s="257">
        <v>29</v>
      </c>
      <c r="DI24" s="257">
        <v>21.81</v>
      </c>
      <c r="DJ24" s="257">
        <v>95.287000000000006</v>
      </c>
      <c r="DK24" s="257">
        <v>117.09699999999997</v>
      </c>
      <c r="DL24" s="237" t="s">
        <v>682</v>
      </c>
      <c r="DO24" s="237">
        <v>1</v>
      </c>
      <c r="DP24" s="258" t="s">
        <v>683</v>
      </c>
      <c r="DQ24" s="258" t="s">
        <v>822</v>
      </c>
      <c r="DR24" s="258" t="s">
        <v>740</v>
      </c>
      <c r="DS24" s="258"/>
      <c r="DT24" s="258"/>
      <c r="DU24" s="237">
        <v>0</v>
      </c>
      <c r="DX24" s="247"/>
      <c r="DY24" s="247">
        <v>0</v>
      </c>
      <c r="EA24" s="237">
        <v>1</v>
      </c>
      <c r="EB24" s="237" t="s">
        <v>823</v>
      </c>
      <c r="EC24" s="237">
        <v>3</v>
      </c>
      <c r="ED24" s="237" t="s">
        <v>732</v>
      </c>
      <c r="EE24" s="208">
        <v>3</v>
      </c>
      <c r="EF24" s="237" t="s">
        <v>688</v>
      </c>
      <c r="EG24" s="216" t="s">
        <v>689</v>
      </c>
      <c r="EH24" s="246" t="s">
        <v>690</v>
      </c>
      <c r="EI24" s="216" t="s">
        <v>689</v>
      </c>
      <c r="EJ24" s="216" t="s">
        <v>806</v>
      </c>
      <c r="EK24" s="222" t="s">
        <v>529</v>
      </c>
      <c r="EL24" s="259">
        <v>1976</v>
      </c>
      <c r="EM24" s="260">
        <v>278325</v>
      </c>
      <c r="EN24" s="260">
        <v>62594195</v>
      </c>
      <c r="EO24" s="260">
        <v>35178135</v>
      </c>
      <c r="ER24" s="237" t="s">
        <v>705</v>
      </c>
      <c r="ES24" s="237">
        <v>22701.718309859156</v>
      </c>
      <c r="ET24" s="237">
        <v>126.39229318243061</v>
      </c>
      <c r="EU24" s="661">
        <v>3</v>
      </c>
      <c r="EV24" s="661">
        <v>5</v>
      </c>
      <c r="EW24" s="661">
        <v>4</v>
      </c>
      <c r="EX24" s="661">
        <v>6</v>
      </c>
      <c r="EY24" s="660">
        <v>0.76672812948166358</v>
      </c>
      <c r="EZ24" s="256">
        <v>215.34603463018382</v>
      </c>
      <c r="FA24" s="247">
        <v>0.26096033402922758</v>
      </c>
      <c r="FB24" s="208">
        <v>4</v>
      </c>
      <c r="FC24" s="208">
        <v>6</v>
      </c>
      <c r="FD24" s="208">
        <v>2</v>
      </c>
      <c r="FE24" s="239">
        <v>0.57202505219206679</v>
      </c>
      <c r="FF24" s="208"/>
      <c r="FG24" s="241">
        <v>6.11153444676409E-2</v>
      </c>
      <c r="FH24" s="209">
        <v>0</v>
      </c>
      <c r="FI24" s="237" t="s">
        <v>678</v>
      </c>
      <c r="FJ24" s="208">
        <v>43.4</v>
      </c>
      <c r="FK24" s="208">
        <v>11.32</v>
      </c>
      <c r="FL24" s="217">
        <v>48.3</v>
      </c>
      <c r="FM24" s="208">
        <v>0.73</v>
      </c>
      <c r="FN24" s="208" t="s">
        <v>824</v>
      </c>
      <c r="FO24" s="237">
        <v>4200</v>
      </c>
      <c r="FP24" s="247">
        <v>0.43023970497848801</v>
      </c>
      <c r="FQ24" s="237">
        <v>3</v>
      </c>
      <c r="FU24" s="208">
        <v>33</v>
      </c>
      <c r="FV24" s="208">
        <v>34.200000000000003</v>
      </c>
      <c r="FW24" s="237">
        <v>48.76</v>
      </c>
      <c r="FX24" s="237">
        <v>26.6</v>
      </c>
      <c r="FY24" s="208">
        <v>2.82</v>
      </c>
      <c r="FZ24" s="208">
        <v>3.5</v>
      </c>
      <c r="GA24" s="208">
        <v>12.84</v>
      </c>
      <c r="GB24" s="208">
        <v>1.6</v>
      </c>
      <c r="GC24" s="208">
        <v>0.21</v>
      </c>
      <c r="GD24" s="208">
        <v>39.299999999999997</v>
      </c>
      <c r="GE24" s="237">
        <v>9.0399999999999991</v>
      </c>
      <c r="GF24" s="237">
        <v>2.1</v>
      </c>
      <c r="GG24" s="237">
        <v>0.25</v>
      </c>
      <c r="GH24" s="237">
        <v>9</v>
      </c>
      <c r="GJ24" s="947">
        <v>66609</v>
      </c>
      <c r="GK24" s="320">
        <v>0</v>
      </c>
      <c r="GL24" s="320">
        <v>8.4000000000000005E-2</v>
      </c>
      <c r="GM24" s="320">
        <v>3.4000000000000002E-2</v>
      </c>
      <c r="GN24" s="320">
        <v>0.88100000000000001</v>
      </c>
      <c r="GO24" s="662">
        <v>8019</v>
      </c>
      <c r="GP24" s="663" t="str">
        <f>VLOOKUP(GS24,'BD Comarcal'!$A$6:$AV$17,48,FALSE)</f>
        <v>13</v>
      </c>
      <c r="GQ24" s="564">
        <v>15454</v>
      </c>
      <c r="GR24" s="256">
        <f t="shared" si="0"/>
        <v>1</v>
      </c>
      <c r="GS24" s="237" t="s">
        <v>83</v>
      </c>
    </row>
    <row r="25" spans="1:201" s="237" customFormat="1" ht="17.25" customHeight="1">
      <c r="A25" s="236" t="s">
        <v>825</v>
      </c>
      <c r="C25" s="238"/>
      <c r="D25" s="238">
        <v>5041</v>
      </c>
      <c r="E25" s="238">
        <v>4379</v>
      </c>
      <c r="F25" s="239">
        <v>0.86867684983138271</v>
      </c>
      <c r="G25" s="238">
        <v>1359</v>
      </c>
      <c r="H25" s="240">
        <v>955.97921343486905</v>
      </c>
      <c r="I25" s="239">
        <v>0.2183099368428566</v>
      </c>
      <c r="J25" s="238">
        <v>86</v>
      </c>
      <c r="K25" s="238">
        <v>0</v>
      </c>
      <c r="L25" s="238">
        <v>12</v>
      </c>
      <c r="M25" s="241">
        <v>2.3804800634794686E-3</v>
      </c>
      <c r="N25" s="238">
        <v>16</v>
      </c>
      <c r="O25" s="239">
        <v>0.18604651162790697</v>
      </c>
      <c r="P25" s="237">
        <v>1</v>
      </c>
      <c r="Q25" s="237">
        <v>0</v>
      </c>
      <c r="R25" s="239">
        <v>0</v>
      </c>
      <c r="S25" s="238">
        <v>4</v>
      </c>
      <c r="T25" s="436">
        <v>0</v>
      </c>
      <c r="U25" s="436">
        <v>0</v>
      </c>
      <c r="V25" s="436">
        <v>20</v>
      </c>
      <c r="W25" s="436">
        <v>20</v>
      </c>
      <c r="X25" s="238">
        <v>6736</v>
      </c>
      <c r="Y25" s="237">
        <v>0.1113</v>
      </c>
      <c r="Z25" s="238">
        <v>116278</v>
      </c>
      <c r="AA25" s="238">
        <v>17433</v>
      </c>
      <c r="AB25" s="238">
        <v>106.52</v>
      </c>
      <c r="AC25" s="265">
        <v>1774</v>
      </c>
      <c r="AD25" s="265">
        <v>11610806.809999999</v>
      </c>
      <c r="AE25" s="238">
        <v>-111360.80999999866</v>
      </c>
      <c r="AF25" s="238">
        <v>9590838.7699999996</v>
      </c>
      <c r="AG25" s="238">
        <v>2128298.92</v>
      </c>
      <c r="AH25" s="239">
        <v>0.22190957131479336</v>
      </c>
      <c r="AI25" s="242">
        <v>324.35217399999999</v>
      </c>
      <c r="AJ25" s="261">
        <v>31.543382999999999</v>
      </c>
      <c r="AK25" s="242">
        <v>0.62573661971830985</v>
      </c>
      <c r="AL25" s="261">
        <v>112.300909</v>
      </c>
      <c r="AM25" s="242">
        <v>2.227750624876017</v>
      </c>
      <c r="AN25" s="261">
        <v>38884.629999999997</v>
      </c>
      <c r="AO25" s="238">
        <v>32965.800000000003</v>
      </c>
      <c r="AP25" s="243">
        <v>82</v>
      </c>
      <c r="AQ25" s="238">
        <v>1</v>
      </c>
      <c r="AR25" s="238">
        <v>1645.4780336656379</v>
      </c>
      <c r="AS25" s="238">
        <v>1175.8525125026338</v>
      </c>
      <c r="AT25" s="238">
        <v>360601.33333333331</v>
      </c>
      <c r="AU25" s="238">
        <v>286.94346668058614</v>
      </c>
      <c r="AV25" s="237">
        <v>1</v>
      </c>
      <c r="AW25" s="237">
        <v>1</v>
      </c>
      <c r="AX25" s="237">
        <v>1</v>
      </c>
      <c r="AY25" s="244" t="s">
        <v>717</v>
      </c>
      <c r="AZ25" s="244" t="s">
        <v>717</v>
      </c>
      <c r="BA25" s="237">
        <v>2012</v>
      </c>
      <c r="BB25" s="245" t="s">
        <v>826</v>
      </c>
      <c r="BC25" s="215" t="s">
        <v>827</v>
      </c>
      <c r="BD25" s="237">
        <v>1</v>
      </c>
      <c r="BE25" s="237">
        <v>60</v>
      </c>
      <c r="BF25" s="237">
        <v>0</v>
      </c>
      <c r="BG25" s="246" t="s">
        <v>676</v>
      </c>
      <c r="BI25" s="239">
        <v>0.3288694308524337</v>
      </c>
      <c r="BJ25" s="239">
        <v>8.9878959567344832E-2</v>
      </c>
      <c r="BK25" s="239">
        <v>0.56167911408704607</v>
      </c>
      <c r="BL25" s="239">
        <v>1.9572495493175381E-2</v>
      </c>
      <c r="BM25" s="247">
        <v>1.7280453257790369</v>
      </c>
      <c r="BN25" s="248">
        <v>1</v>
      </c>
      <c r="BO25" s="248">
        <v>0</v>
      </c>
      <c r="BP25" s="237">
        <v>0</v>
      </c>
      <c r="BQ25" s="237">
        <v>0</v>
      </c>
      <c r="BR25" s="248">
        <v>1</v>
      </c>
      <c r="BU25" s="249" t="s">
        <v>678</v>
      </c>
      <c r="BV25" s="249">
        <v>429</v>
      </c>
      <c r="BW25" s="249">
        <v>2852</v>
      </c>
      <c r="BX25" s="249">
        <v>1576</v>
      </c>
      <c r="BY25" s="249" t="s">
        <v>678</v>
      </c>
      <c r="BZ25" s="249">
        <v>6.5098634294385436</v>
      </c>
      <c r="CA25" s="249">
        <v>43.277693474962064</v>
      </c>
      <c r="CB25" s="249">
        <v>23.915022761760241</v>
      </c>
      <c r="CC25" s="250" t="s">
        <v>678</v>
      </c>
      <c r="CD25" s="242">
        <v>-570</v>
      </c>
      <c r="CE25" s="252">
        <v>91.350531107739002</v>
      </c>
      <c r="CF25" s="238">
        <v>2906</v>
      </c>
      <c r="CG25" s="238">
        <v>346.8</v>
      </c>
      <c r="CH25" s="238">
        <v>5.262518968133536</v>
      </c>
      <c r="CI25" s="216" t="s">
        <v>679</v>
      </c>
      <c r="CJ25" s="237">
        <v>0</v>
      </c>
      <c r="CK25" s="253">
        <v>289.39</v>
      </c>
      <c r="CL25" s="253">
        <v>93.407700000000006</v>
      </c>
      <c r="CM25" s="254">
        <v>1.8529597302122596E-2</v>
      </c>
      <c r="CN25" s="237" t="s">
        <v>90</v>
      </c>
      <c r="CO25" s="242">
        <v>3936.01</v>
      </c>
      <c r="CP25" s="255">
        <v>0.78079944455465189</v>
      </c>
      <c r="CV25" s="237">
        <v>7</v>
      </c>
      <c r="CW25" s="194">
        <v>1.867</v>
      </c>
      <c r="CX25" s="194">
        <v>0.17899999999999999</v>
      </c>
      <c r="CY25" s="194">
        <v>2.6809999999999996</v>
      </c>
      <c r="DB25" s="216" t="s">
        <v>710</v>
      </c>
      <c r="DC25" s="256" t="s">
        <v>805</v>
      </c>
      <c r="DD25" s="256">
        <v>0.7</v>
      </c>
      <c r="DE25" s="256">
        <v>-6.5</v>
      </c>
      <c r="DF25" s="256">
        <v>0.7</v>
      </c>
      <c r="DG25" s="256">
        <v>-2.2000000000000002</v>
      </c>
      <c r="DL25" s="237" t="s">
        <v>682</v>
      </c>
      <c r="DP25" s="258" t="s">
        <v>682</v>
      </c>
      <c r="DQ25" s="258"/>
      <c r="DR25" s="258"/>
      <c r="DS25" s="258"/>
      <c r="DT25" s="258"/>
      <c r="DU25" s="237">
        <v>0</v>
      </c>
      <c r="DX25" s="247"/>
      <c r="DY25" s="247">
        <v>0</v>
      </c>
      <c r="EA25" s="237">
        <v>0</v>
      </c>
      <c r="ED25" s="237" t="s">
        <v>687</v>
      </c>
      <c r="EE25" s="208">
        <v>1</v>
      </c>
      <c r="EF25" s="237" t="s">
        <v>688</v>
      </c>
      <c r="EG25" s="216" t="s">
        <v>715</v>
      </c>
      <c r="EH25" s="246" t="s">
        <v>690</v>
      </c>
      <c r="EI25" s="216" t="s">
        <v>689</v>
      </c>
      <c r="EJ25" s="216" t="s">
        <v>529</v>
      </c>
      <c r="EK25" s="222" t="s">
        <v>529</v>
      </c>
      <c r="EL25" s="259">
        <v>1997</v>
      </c>
      <c r="EM25" s="260">
        <v>278325</v>
      </c>
      <c r="EN25" s="260">
        <v>317470</v>
      </c>
      <c r="EO25" s="260">
        <v>60365</v>
      </c>
      <c r="EP25" s="237">
        <v>1</v>
      </c>
      <c r="EQ25" s="237">
        <v>100</v>
      </c>
      <c r="ER25" s="237" t="s">
        <v>705</v>
      </c>
      <c r="ES25" s="237">
        <v>6590</v>
      </c>
      <c r="ET25" s="237">
        <v>0.21688673313572263</v>
      </c>
      <c r="EU25" s="661">
        <v>1</v>
      </c>
      <c r="EV25" s="661" t="s">
        <v>678</v>
      </c>
      <c r="EW25" s="661">
        <v>2</v>
      </c>
      <c r="EX25" s="661" t="s">
        <v>678</v>
      </c>
      <c r="EY25" s="660">
        <v>5.7407260464193609E-2</v>
      </c>
      <c r="EZ25" s="256">
        <v>22.77203773454508</v>
      </c>
      <c r="FA25" s="247">
        <v>0.15985384791048185</v>
      </c>
      <c r="FB25" s="208">
        <v>4</v>
      </c>
      <c r="FC25" s="208">
        <v>6</v>
      </c>
      <c r="FD25" s="208">
        <v>3</v>
      </c>
      <c r="FE25" s="239">
        <v>0.31034482758620691</v>
      </c>
      <c r="FF25" s="208"/>
      <c r="FG25" s="241">
        <v>0</v>
      </c>
      <c r="FH25" s="209">
        <v>0</v>
      </c>
      <c r="FI25" s="237" t="s">
        <v>678</v>
      </c>
      <c r="FJ25" s="208">
        <v>51.8</v>
      </c>
      <c r="FK25" s="208">
        <v>22.02</v>
      </c>
      <c r="FL25" s="217">
        <v>63.5</v>
      </c>
      <c r="FM25" s="208">
        <v>2.0299999999999998</v>
      </c>
      <c r="FN25" s="208" t="s">
        <v>828</v>
      </c>
      <c r="FP25" s="247" t="s">
        <v>693</v>
      </c>
      <c r="FU25" s="208">
        <v>53</v>
      </c>
      <c r="FV25" s="208">
        <v>80</v>
      </c>
      <c r="FW25" s="237">
        <v>23.92</v>
      </c>
      <c r="FX25" s="237">
        <v>9.5</v>
      </c>
      <c r="FY25" s="208">
        <v>14.06</v>
      </c>
      <c r="FZ25" s="208">
        <v>25.5</v>
      </c>
      <c r="GA25" s="208">
        <v>27.33</v>
      </c>
      <c r="GB25" s="208">
        <v>17</v>
      </c>
      <c r="GC25" s="208">
        <v>0.18</v>
      </c>
      <c r="GD25" s="208">
        <v>36.5</v>
      </c>
      <c r="GE25" s="237">
        <v>21.38</v>
      </c>
      <c r="GF25" s="237">
        <v>18.3</v>
      </c>
      <c r="GG25" s="237">
        <v>1.41</v>
      </c>
      <c r="GH25" s="237">
        <v>17.5</v>
      </c>
      <c r="GJ25" s="947">
        <v>90</v>
      </c>
      <c r="GK25" s="320">
        <v>2E-3</v>
      </c>
      <c r="GL25" s="320">
        <v>9.5000000000000001E-2</v>
      </c>
      <c r="GM25" s="320">
        <v>7.3999999999999996E-2</v>
      </c>
      <c r="GN25" s="320">
        <v>0.82899999999999996</v>
      </c>
      <c r="GO25" s="662">
        <v>8020</v>
      </c>
      <c r="GP25" s="663" t="str">
        <f>VLOOKUP(GS25,'BD Comarcal'!$A$6:$AV$17,48,FALSE)</f>
        <v>11</v>
      </c>
      <c r="GQ25" s="564">
        <v>39</v>
      </c>
      <c r="GR25" s="256">
        <f t="shared" si="0"/>
        <v>0</v>
      </c>
      <c r="GS25" s="237" t="s">
        <v>90</v>
      </c>
    </row>
    <row r="26" spans="1:201" s="237" customFormat="1" ht="17.25" customHeight="1">
      <c r="A26" s="236" t="s">
        <v>829</v>
      </c>
      <c r="C26" s="238"/>
      <c r="D26" s="238">
        <v>3110</v>
      </c>
      <c r="E26" s="238">
        <v>1849</v>
      </c>
      <c r="F26" s="239">
        <v>0.59453376205787778</v>
      </c>
      <c r="G26" s="238">
        <v>1267</v>
      </c>
      <c r="H26" s="240">
        <v>421.50657470362756</v>
      </c>
      <c r="I26" s="239">
        <v>0.22796461584836536</v>
      </c>
      <c r="J26" s="238">
        <v>1090</v>
      </c>
      <c r="K26" s="238">
        <v>62</v>
      </c>
      <c r="L26" s="238">
        <v>27</v>
      </c>
      <c r="M26" s="241">
        <v>8.6816720257234734E-3</v>
      </c>
      <c r="N26" s="238">
        <v>0</v>
      </c>
      <c r="O26" s="239">
        <v>0</v>
      </c>
      <c r="P26" s="237">
        <v>4</v>
      </c>
      <c r="Q26" s="237">
        <v>0</v>
      </c>
      <c r="R26" s="239">
        <v>0</v>
      </c>
      <c r="S26" s="238">
        <v>1072</v>
      </c>
      <c r="T26" s="436">
        <v>0</v>
      </c>
      <c r="U26" s="436">
        <v>4</v>
      </c>
      <c r="V26" s="436">
        <v>0</v>
      </c>
      <c r="W26" s="436">
        <v>4</v>
      </c>
      <c r="X26" s="238">
        <v>75</v>
      </c>
      <c r="Y26" s="237">
        <v>0.33329999999999999</v>
      </c>
      <c r="Z26" s="238">
        <v>917</v>
      </c>
      <c r="AA26" s="238">
        <v>12396</v>
      </c>
      <c r="AB26" s="238">
        <v>75.739999999999995</v>
      </c>
      <c r="AC26" s="238">
        <v>178</v>
      </c>
      <c r="AD26" s="238">
        <v>180030.05</v>
      </c>
      <c r="AE26" s="238">
        <v>130935.02999999997</v>
      </c>
      <c r="AF26" s="238">
        <v>203757.86</v>
      </c>
      <c r="AG26" s="238">
        <v>82370.48</v>
      </c>
      <c r="AH26" s="239">
        <v>0.4042566995943126</v>
      </c>
      <c r="AI26" s="242">
        <v>2.1434709999999999</v>
      </c>
      <c r="AJ26" s="261" t="s">
        <v>678</v>
      </c>
      <c r="AK26" s="261" t="s">
        <v>678</v>
      </c>
      <c r="AL26" s="261" t="s">
        <v>678</v>
      </c>
      <c r="AM26" s="242" t="s">
        <v>678</v>
      </c>
      <c r="AN26" s="261">
        <v>10884.09</v>
      </c>
      <c r="AO26" s="238">
        <v>4289.5</v>
      </c>
      <c r="AP26" s="243">
        <v>0</v>
      </c>
      <c r="AQ26" s="238"/>
      <c r="AR26" s="238">
        <v>1471.2960637560639</v>
      </c>
      <c r="AS26" s="238">
        <v>810.78261664427725</v>
      </c>
      <c r="AT26" s="238">
        <v>891.66666666666663</v>
      </c>
      <c r="AU26" s="238">
        <v>75.462872224605889</v>
      </c>
      <c r="AV26" s="237">
        <v>1</v>
      </c>
      <c r="AW26" s="237">
        <v>0</v>
      </c>
      <c r="AX26" s="237">
        <v>1</v>
      </c>
      <c r="AY26" s="244" t="s">
        <v>717</v>
      </c>
      <c r="AZ26" s="244" t="s">
        <v>695</v>
      </c>
      <c r="BA26" s="237">
        <v>0</v>
      </c>
      <c r="BB26" s="245" t="s">
        <v>830</v>
      </c>
      <c r="BC26" s="215" t="s">
        <v>831</v>
      </c>
      <c r="BE26" s="237">
        <v>2</v>
      </c>
      <c r="BF26" s="237">
        <v>77</v>
      </c>
      <c r="BG26" s="246" t="s">
        <v>698</v>
      </c>
      <c r="BI26" s="239">
        <v>0.81818181818181823</v>
      </c>
      <c r="BJ26" s="239">
        <v>6.0606060606060608E-2</v>
      </c>
      <c r="BK26" s="239">
        <v>0.10101010101010101</v>
      </c>
      <c r="BL26" s="239">
        <v>2.0202020202020204E-2</v>
      </c>
      <c r="BM26" s="247">
        <v>2.6767676767676769</v>
      </c>
      <c r="BN26" s="248">
        <v>0</v>
      </c>
      <c r="BO26" s="248">
        <v>0</v>
      </c>
      <c r="BP26" s="237">
        <v>0</v>
      </c>
      <c r="BQ26" s="237">
        <v>0</v>
      </c>
      <c r="BR26" s="248">
        <v>0</v>
      </c>
      <c r="BS26" s="237">
        <v>21</v>
      </c>
      <c r="BT26" s="237" t="s">
        <v>755</v>
      </c>
      <c r="BU26" s="249" t="s">
        <v>678</v>
      </c>
      <c r="BV26" s="249" t="s">
        <v>678</v>
      </c>
      <c r="BW26" s="249" t="s">
        <v>678</v>
      </c>
      <c r="BX26" s="249" t="s">
        <v>678</v>
      </c>
      <c r="BY26" s="249" t="s">
        <v>678</v>
      </c>
      <c r="BZ26" s="249" t="s">
        <v>678</v>
      </c>
      <c r="CA26" s="249" t="s">
        <v>678</v>
      </c>
      <c r="CB26" s="249" t="s">
        <v>678</v>
      </c>
      <c r="CC26" s="250" t="s">
        <v>678</v>
      </c>
      <c r="CD26" s="242" t="s">
        <v>678</v>
      </c>
      <c r="CE26" s="252" t="s">
        <v>678</v>
      </c>
      <c r="CF26" s="238">
        <v>78</v>
      </c>
      <c r="CG26" s="238">
        <v>3.2</v>
      </c>
      <c r="CH26" s="238">
        <v>3.595505617977528</v>
      </c>
      <c r="CI26" s="216" t="s">
        <v>756</v>
      </c>
      <c r="CJ26" s="237">
        <v>1</v>
      </c>
      <c r="CK26" s="253">
        <v>2.14</v>
      </c>
      <c r="CL26" s="253">
        <v>0</v>
      </c>
      <c r="CM26" s="254">
        <v>0</v>
      </c>
      <c r="CN26" s="237" t="s">
        <v>81</v>
      </c>
      <c r="CO26" s="242">
        <v>1484.01</v>
      </c>
      <c r="CP26" s="255">
        <v>0.47717363344051444</v>
      </c>
      <c r="CQ26" s="247">
        <v>258.52</v>
      </c>
      <c r="CR26" s="266" t="s">
        <v>762</v>
      </c>
      <c r="CS26" s="247">
        <v>258.52</v>
      </c>
      <c r="CV26" s="237">
        <v>1</v>
      </c>
      <c r="CW26" s="261" t="s">
        <v>678</v>
      </c>
      <c r="CX26" s="261" t="s">
        <v>678</v>
      </c>
      <c r="CY26" s="261" t="s">
        <v>678</v>
      </c>
      <c r="DB26" s="216" t="s">
        <v>681</v>
      </c>
      <c r="DC26" s="256"/>
      <c r="DD26" s="256">
        <v>0.8</v>
      </c>
      <c r="DE26" s="256">
        <v>-10</v>
      </c>
      <c r="DF26" s="256">
        <v>0.5</v>
      </c>
      <c r="DG26" s="256">
        <v>-2.2999999999999998</v>
      </c>
      <c r="DH26" s="257">
        <v>1</v>
      </c>
      <c r="DI26" s="257">
        <v>2.15</v>
      </c>
      <c r="DJ26" s="257">
        <v>0.52</v>
      </c>
      <c r="DK26" s="257">
        <v>2.67</v>
      </c>
      <c r="DL26" s="237" t="s">
        <v>682</v>
      </c>
      <c r="DP26" s="258" t="s">
        <v>682</v>
      </c>
      <c r="DQ26" s="258"/>
      <c r="DR26" s="258"/>
      <c r="DS26" s="258"/>
      <c r="DT26" s="258"/>
      <c r="DU26" s="237">
        <v>0</v>
      </c>
      <c r="DX26" s="247"/>
      <c r="DY26" s="247">
        <v>0</v>
      </c>
      <c r="EA26" s="237">
        <v>0</v>
      </c>
      <c r="ED26" s="237" t="s">
        <v>701</v>
      </c>
      <c r="EE26" s="208">
        <v>1</v>
      </c>
      <c r="EF26" s="237" t="s">
        <v>702</v>
      </c>
      <c r="EG26" s="216" t="s">
        <v>703</v>
      </c>
      <c r="EH26" s="246" t="s">
        <v>704</v>
      </c>
      <c r="EI26" s="216"/>
      <c r="EJ26" s="216" t="s">
        <v>529</v>
      </c>
      <c r="EK26" s="222" t="s">
        <v>682</v>
      </c>
      <c r="EL26" s="259">
        <v>2010</v>
      </c>
      <c r="EM26" s="260">
        <v>0</v>
      </c>
      <c r="EN26" s="260">
        <v>879</v>
      </c>
      <c r="EO26" s="260">
        <v>0</v>
      </c>
      <c r="ER26" s="237" t="s">
        <v>705</v>
      </c>
      <c r="ES26" s="237" t="e">
        <v>#DIV/0!</v>
      </c>
      <c r="EU26" s="661">
        <v>3</v>
      </c>
      <c r="EV26" s="661" t="s">
        <v>678</v>
      </c>
      <c r="EW26" s="661">
        <v>2</v>
      </c>
      <c r="EX26" s="661" t="s">
        <v>678</v>
      </c>
      <c r="EY26" s="660">
        <v>6.8810289389067524E-4</v>
      </c>
      <c r="EZ26" s="256">
        <v>41.588785046728972</v>
      </c>
      <c r="FA26" s="247">
        <v>5.4083288263926443E-2</v>
      </c>
      <c r="FB26" s="208">
        <v>2</v>
      </c>
      <c r="FC26" s="208">
        <v>2</v>
      </c>
      <c r="FD26" s="208">
        <v>2</v>
      </c>
      <c r="FE26" s="239">
        <v>0.68523526230394805</v>
      </c>
      <c r="FF26" s="208">
        <v>1</v>
      </c>
      <c r="FG26" s="241">
        <v>1.4440237966468362E-3</v>
      </c>
      <c r="FH26" s="209">
        <v>0.13981611681990264</v>
      </c>
      <c r="FI26" s="237" t="s">
        <v>678</v>
      </c>
      <c r="FJ26" s="208">
        <v>53.8</v>
      </c>
      <c r="FK26" s="208">
        <v>33.700000000000003</v>
      </c>
      <c r="FL26" s="217">
        <v>76.2</v>
      </c>
      <c r="FM26" s="208">
        <v>6.91</v>
      </c>
      <c r="FN26" s="208" t="s">
        <v>832</v>
      </c>
      <c r="FP26" s="247" t="s">
        <v>693</v>
      </c>
      <c r="FU26" s="208">
        <v>48</v>
      </c>
      <c r="FV26" s="208">
        <v>71.900000000000006</v>
      </c>
      <c r="FW26" s="237">
        <v>79.510000000000005</v>
      </c>
      <c r="FX26" s="237">
        <v>66.099999999999994</v>
      </c>
      <c r="FY26" s="208">
        <v>29.9</v>
      </c>
      <c r="FZ26" s="208">
        <v>46.9</v>
      </c>
      <c r="GA26" s="208">
        <v>52.72</v>
      </c>
      <c r="GB26" s="208">
        <v>56.4</v>
      </c>
      <c r="GC26" s="208">
        <v>0.42</v>
      </c>
      <c r="GD26" s="208">
        <v>59.2</v>
      </c>
      <c r="GE26" s="237">
        <v>45.57</v>
      </c>
      <c r="GF26" s="237">
        <v>60</v>
      </c>
      <c r="GG26" s="237">
        <v>18.260000000000002</v>
      </c>
      <c r="GH26" s="237">
        <v>90.8</v>
      </c>
      <c r="GJ26" s="947"/>
      <c r="GK26" s="320"/>
      <c r="GL26" s="320"/>
      <c r="GM26" s="320"/>
      <c r="GN26" s="320"/>
      <c r="GO26" s="662">
        <v>8021</v>
      </c>
      <c r="GP26" s="663" t="str">
        <f>VLOOKUP(GS26,'BD Comarcal'!$A$6:$AV$17,48,FALSE)</f>
        <v>06</v>
      </c>
      <c r="GQ26" s="564">
        <v>1</v>
      </c>
      <c r="GR26" s="256">
        <f t="shared" si="0"/>
        <v>1</v>
      </c>
      <c r="GS26" s="237" t="s">
        <v>81</v>
      </c>
    </row>
    <row r="27" spans="1:201" s="237" customFormat="1" ht="17.25" customHeight="1">
      <c r="A27" s="236" t="s">
        <v>777</v>
      </c>
      <c r="C27" s="238"/>
      <c r="D27" s="238">
        <v>2250</v>
      </c>
      <c r="E27" s="238">
        <v>1376</v>
      </c>
      <c r="F27" s="239">
        <v>0.61155555555555552</v>
      </c>
      <c r="G27" s="238">
        <v>938</v>
      </c>
      <c r="H27" s="240">
        <v>483.37481828839975</v>
      </c>
      <c r="I27" s="239">
        <v>0.35128983887238352</v>
      </c>
      <c r="J27" s="238">
        <v>448</v>
      </c>
      <c r="K27" s="238">
        <v>393</v>
      </c>
      <c r="L27" s="238">
        <v>38</v>
      </c>
      <c r="M27" s="241">
        <v>1.6888888888888887E-2</v>
      </c>
      <c r="N27" s="238">
        <v>0</v>
      </c>
      <c r="O27" s="239">
        <v>0</v>
      </c>
      <c r="P27" s="237">
        <v>26</v>
      </c>
      <c r="Q27" s="237">
        <v>1</v>
      </c>
      <c r="R27" s="239">
        <v>3.8461538461538464E-2</v>
      </c>
      <c r="S27" s="238">
        <v>1152</v>
      </c>
      <c r="T27" s="436">
        <v>1779</v>
      </c>
      <c r="U27" s="436">
        <v>16</v>
      </c>
      <c r="V27" s="436">
        <v>346</v>
      </c>
      <c r="W27" s="436">
        <v>2141</v>
      </c>
      <c r="X27" s="238">
        <v>16175</v>
      </c>
      <c r="Y27" s="237">
        <v>0.21210000000000001</v>
      </c>
      <c r="Z27" s="238">
        <v>289599</v>
      </c>
      <c r="AA27" s="238">
        <v>17835</v>
      </c>
      <c r="AB27" s="238">
        <v>108.97</v>
      </c>
      <c r="AC27" s="238">
        <v>17146</v>
      </c>
      <c r="AD27" s="238">
        <v>38193435.520000003</v>
      </c>
      <c r="AE27" s="238">
        <v>3974786.6699999943</v>
      </c>
      <c r="AF27" s="238">
        <v>34997786.719999999</v>
      </c>
      <c r="AG27" s="238">
        <v>658765.22</v>
      </c>
      <c r="AH27" s="239">
        <v>1.882305373395338E-2</v>
      </c>
      <c r="AI27" s="242">
        <v>240.15741800000001</v>
      </c>
      <c r="AJ27" s="261">
        <v>42.859892000000002</v>
      </c>
      <c r="AK27" s="242">
        <v>1.9048840888888889</v>
      </c>
      <c r="AL27" s="261">
        <v>26.134699000000001</v>
      </c>
      <c r="AM27" s="242">
        <v>1.1615421777777779</v>
      </c>
      <c r="AN27" s="261">
        <v>47372.63</v>
      </c>
      <c r="AO27" s="238">
        <v>3044.26</v>
      </c>
      <c r="AP27" s="243">
        <v>7</v>
      </c>
      <c r="AQ27" s="238">
        <v>1</v>
      </c>
      <c r="AR27" s="238">
        <v>1387.7321378426641</v>
      </c>
      <c r="AS27" s="238">
        <v>3082.2079931845983</v>
      </c>
      <c r="AT27" s="238">
        <v>811198.33333333337</v>
      </c>
      <c r="AU27" s="238">
        <v>213.62536593010353</v>
      </c>
      <c r="AV27" s="237">
        <v>1</v>
      </c>
      <c r="AW27" s="237">
        <v>0</v>
      </c>
      <c r="AX27" s="237">
        <v>1</v>
      </c>
      <c r="AY27" s="244" t="s">
        <v>673</v>
      </c>
      <c r="AZ27" s="244" t="s">
        <v>673</v>
      </c>
      <c r="BA27" s="237">
        <v>2011</v>
      </c>
      <c r="BB27" s="245" t="s">
        <v>833</v>
      </c>
      <c r="BC27" s="215" t="s">
        <v>834</v>
      </c>
      <c r="BD27" s="237">
        <v>1</v>
      </c>
      <c r="BE27" s="237">
        <v>0</v>
      </c>
      <c r="BF27" s="237">
        <v>11</v>
      </c>
      <c r="BG27" s="246" t="s">
        <v>720</v>
      </c>
      <c r="BI27" s="239">
        <v>0.37338020402536531</v>
      </c>
      <c r="BJ27" s="239">
        <v>0.15060656189688448</v>
      </c>
      <c r="BK27" s="239">
        <v>0.4505100634132892</v>
      </c>
      <c r="BL27" s="239">
        <v>2.5503170664460988E-2</v>
      </c>
      <c r="BM27" s="247">
        <v>1.8718637992831542</v>
      </c>
      <c r="BN27" s="248">
        <v>0</v>
      </c>
      <c r="BO27" s="248">
        <v>1</v>
      </c>
      <c r="BP27" s="237">
        <v>1</v>
      </c>
      <c r="BQ27" s="237">
        <v>1</v>
      </c>
      <c r="BR27" s="248">
        <v>3</v>
      </c>
      <c r="BS27" s="237">
        <v>0</v>
      </c>
      <c r="BT27" s="237" t="s">
        <v>777</v>
      </c>
      <c r="BU27" s="249">
        <v>1965</v>
      </c>
      <c r="BV27" s="249">
        <v>1743</v>
      </c>
      <c r="BW27" s="249">
        <v>8385</v>
      </c>
      <c r="BX27" s="249">
        <v>2153</v>
      </c>
      <c r="BY27" s="249">
        <v>11.830935035221868</v>
      </c>
      <c r="BZ27" s="249">
        <v>10.494310313685352</v>
      </c>
      <c r="CA27" s="249">
        <v>50.484676982358963</v>
      </c>
      <c r="CB27" s="249">
        <v>12.96285146607261</v>
      </c>
      <c r="CC27" s="250">
        <v>106.96610271539527</v>
      </c>
      <c r="CD27" s="242">
        <v>277</v>
      </c>
      <c r="CE27" s="252">
        <v>101.66777048588115</v>
      </c>
      <c r="CF27" s="238">
        <v>9120</v>
      </c>
      <c r="CG27" s="238">
        <v>1431.8</v>
      </c>
      <c r="CH27" s="238">
        <v>8.620627370702632</v>
      </c>
      <c r="CI27" s="216" t="s">
        <v>700</v>
      </c>
      <c r="CJ27" s="237">
        <v>0</v>
      </c>
      <c r="CK27" s="253">
        <v>258.35000000000002</v>
      </c>
      <c r="CL27" s="253">
        <v>130.7234</v>
      </c>
      <c r="CM27" s="254">
        <v>5.8099288888888885E-2</v>
      </c>
      <c r="CN27" s="237" t="s">
        <v>84</v>
      </c>
      <c r="CO27" s="242">
        <v>100.92</v>
      </c>
      <c r="CP27" s="255">
        <v>4.4853333333333335E-2</v>
      </c>
      <c r="CQ27" s="237">
        <v>253.13</v>
      </c>
      <c r="CR27" s="248" t="s">
        <v>810</v>
      </c>
      <c r="CS27" s="237">
        <v>253.13</v>
      </c>
      <c r="CV27" s="237">
        <v>6</v>
      </c>
      <c r="CW27" s="194">
        <v>1.3740000000000001</v>
      </c>
      <c r="CX27" s="194" t="s">
        <v>680</v>
      </c>
      <c r="CY27" s="194">
        <v>2.0090000000000003</v>
      </c>
      <c r="DB27" s="216" t="s">
        <v>710</v>
      </c>
      <c r="DC27" s="195" t="s">
        <v>711</v>
      </c>
      <c r="DD27" s="256">
        <v>0.8</v>
      </c>
      <c r="DE27" s="256">
        <v>-9</v>
      </c>
      <c r="DF27" s="256">
        <v>-0.3</v>
      </c>
      <c r="DG27" s="256">
        <v>-2.6</v>
      </c>
      <c r="DH27" s="257">
        <v>1</v>
      </c>
      <c r="DI27" s="257">
        <v>1.67</v>
      </c>
      <c r="DJ27" s="257">
        <v>0</v>
      </c>
      <c r="DK27" s="257">
        <v>1.67</v>
      </c>
      <c r="DL27" s="237" t="s">
        <v>529</v>
      </c>
      <c r="DN27" s="237" t="s">
        <v>770</v>
      </c>
      <c r="DO27" s="237">
        <v>1</v>
      </c>
      <c r="DP27" s="258" t="s">
        <v>683</v>
      </c>
      <c r="DQ27" s="258" t="s">
        <v>784</v>
      </c>
      <c r="DR27" s="258" t="s">
        <v>835</v>
      </c>
      <c r="DS27" s="258"/>
      <c r="DT27" s="258"/>
      <c r="DU27" s="237">
        <v>0</v>
      </c>
      <c r="DX27" s="247"/>
      <c r="DY27" s="247">
        <v>0</v>
      </c>
      <c r="EA27" s="237">
        <v>0</v>
      </c>
      <c r="ED27" s="237" t="s">
        <v>836</v>
      </c>
      <c r="EE27" s="208">
        <v>1</v>
      </c>
      <c r="EF27" s="237" t="s">
        <v>688</v>
      </c>
      <c r="EG27" s="216" t="s">
        <v>691</v>
      </c>
      <c r="EH27" s="246" t="s">
        <v>690</v>
      </c>
      <c r="EI27" s="216" t="s">
        <v>691</v>
      </c>
      <c r="EJ27" s="216" t="s">
        <v>529</v>
      </c>
      <c r="EK27" s="222" t="s">
        <v>529</v>
      </c>
      <c r="EL27" s="259">
        <v>2005</v>
      </c>
      <c r="EM27" s="260">
        <v>4203</v>
      </c>
      <c r="EN27" s="260">
        <v>526462</v>
      </c>
      <c r="EO27" s="260">
        <v>260797</v>
      </c>
      <c r="ER27" s="237" t="s">
        <v>692</v>
      </c>
      <c r="ES27" s="237">
        <v>5536.333333333333</v>
      </c>
      <c r="ET27" s="237">
        <v>62.050202236497739</v>
      </c>
      <c r="EU27" s="661">
        <v>5</v>
      </c>
      <c r="EV27" s="661">
        <v>2</v>
      </c>
      <c r="EW27" s="661">
        <v>2</v>
      </c>
      <c r="EX27" s="661">
        <v>2</v>
      </c>
      <c r="EY27" s="660">
        <v>0.11482222222222223</v>
      </c>
      <c r="EZ27" s="256">
        <v>64.288755564157142</v>
      </c>
      <c r="FA27" s="247">
        <v>0.43604651162790697</v>
      </c>
      <c r="FB27" s="208">
        <v>1</v>
      </c>
      <c r="FC27" s="208">
        <v>2</v>
      </c>
      <c r="FD27" s="208">
        <v>2</v>
      </c>
      <c r="FE27" s="239">
        <v>0.6816860465116279</v>
      </c>
      <c r="FF27" s="208">
        <v>1</v>
      </c>
      <c r="FG27" s="241">
        <v>1.2136627906976743E-3</v>
      </c>
      <c r="FH27" s="209">
        <v>0.18396075581395349</v>
      </c>
      <c r="FI27" s="237" t="s">
        <v>678</v>
      </c>
      <c r="FJ27" s="208">
        <v>63.9</v>
      </c>
      <c r="FK27" s="208">
        <v>7.53</v>
      </c>
      <c r="FL27" s="217">
        <v>42.2</v>
      </c>
      <c r="FM27" s="208">
        <v>8.9600000000000009</v>
      </c>
      <c r="FN27" s="208" t="s">
        <v>837</v>
      </c>
      <c r="FP27" s="247" t="s">
        <v>693</v>
      </c>
      <c r="FU27" s="208">
        <v>40</v>
      </c>
      <c r="FV27" s="208">
        <v>53.1</v>
      </c>
      <c r="FW27" s="237">
        <v>65.53</v>
      </c>
      <c r="FX27" s="237">
        <v>47</v>
      </c>
      <c r="FY27" s="208">
        <v>40.090000000000003</v>
      </c>
      <c r="FZ27" s="208">
        <v>54.3</v>
      </c>
      <c r="GA27" s="208">
        <v>45.33</v>
      </c>
      <c r="GB27" s="208">
        <v>44.4</v>
      </c>
      <c r="GC27" s="208">
        <v>0.92</v>
      </c>
      <c r="GD27" s="208">
        <v>84.1</v>
      </c>
      <c r="GE27" s="237">
        <v>39.47</v>
      </c>
      <c r="GF27" s="237">
        <v>49.2</v>
      </c>
      <c r="GG27" s="237">
        <v>10.11</v>
      </c>
      <c r="GH27" s="237">
        <v>68.099999999999994</v>
      </c>
      <c r="GJ27" s="947">
        <v>360</v>
      </c>
      <c r="GK27" s="320">
        <v>3.0000000000000001E-3</v>
      </c>
      <c r="GL27" s="320">
        <v>0.245</v>
      </c>
      <c r="GM27" s="320">
        <v>7.1999999999999995E-2</v>
      </c>
      <c r="GN27" s="320">
        <v>0.68</v>
      </c>
      <c r="GO27" s="662">
        <v>8022</v>
      </c>
      <c r="GP27" s="663" t="str">
        <f>VLOOKUP(GS27,'BD Comarcal'!$A$6:$AV$17,48,FALSE)</f>
        <v>14</v>
      </c>
      <c r="GQ27" s="564">
        <v>178</v>
      </c>
      <c r="GR27" s="256">
        <f t="shared" si="0"/>
        <v>1</v>
      </c>
      <c r="GS27" s="237" t="s">
        <v>84</v>
      </c>
    </row>
    <row r="28" spans="1:201" s="237" customFormat="1" ht="17.25" customHeight="1">
      <c r="A28" s="236" t="s">
        <v>838</v>
      </c>
      <c r="C28" s="238"/>
      <c r="D28" s="238">
        <v>2867</v>
      </c>
      <c r="E28" s="238">
        <v>1962</v>
      </c>
      <c r="F28" s="239">
        <v>0.68433903034530863</v>
      </c>
      <c r="G28" s="238">
        <v>1962</v>
      </c>
      <c r="H28" s="240">
        <v>554.55007106736764</v>
      </c>
      <c r="I28" s="239">
        <v>0.28264529616073786</v>
      </c>
      <c r="J28" s="238">
        <v>392</v>
      </c>
      <c r="K28" s="238">
        <v>131</v>
      </c>
      <c r="L28" s="238">
        <v>113</v>
      </c>
      <c r="M28" s="241">
        <v>3.9414021625392398E-2</v>
      </c>
      <c r="N28" s="238">
        <v>0</v>
      </c>
      <c r="O28" s="239">
        <v>0</v>
      </c>
      <c r="P28" s="237">
        <v>32</v>
      </c>
      <c r="Q28" s="237">
        <v>0</v>
      </c>
      <c r="R28" s="239">
        <v>0</v>
      </c>
      <c r="S28" s="238">
        <v>4065</v>
      </c>
      <c r="T28" s="436">
        <v>0</v>
      </c>
      <c r="U28" s="436">
        <v>15</v>
      </c>
      <c r="V28" s="436">
        <v>26</v>
      </c>
      <c r="W28" s="436">
        <v>41</v>
      </c>
      <c r="X28" s="238">
        <v>8915</v>
      </c>
      <c r="Y28" s="237">
        <v>0.1323</v>
      </c>
      <c r="Z28" s="238">
        <v>144716</v>
      </c>
      <c r="AA28" s="238">
        <v>16337</v>
      </c>
      <c r="AB28" s="238">
        <v>99.82</v>
      </c>
      <c r="AC28" s="238">
        <v>2978</v>
      </c>
      <c r="AD28" s="238">
        <v>11376304.460000001</v>
      </c>
      <c r="AE28" s="238">
        <v>2685531.51</v>
      </c>
      <c r="AF28" s="238">
        <v>9497695.4700000007</v>
      </c>
      <c r="AG28" s="238">
        <v>1217121.8500000001</v>
      </c>
      <c r="AH28" s="239">
        <v>0.12814917617062743</v>
      </c>
      <c r="AI28" s="242">
        <v>600.86499900000001</v>
      </c>
      <c r="AJ28" s="261">
        <v>96.901392999999999</v>
      </c>
      <c r="AK28" s="242">
        <v>3.3798881409138475</v>
      </c>
      <c r="AL28" s="261">
        <v>483.50261699999999</v>
      </c>
      <c r="AM28" s="242">
        <v>16.864409382629926</v>
      </c>
      <c r="AN28" s="261">
        <v>19183.97</v>
      </c>
      <c r="AO28" s="238">
        <v>7080.67</v>
      </c>
      <c r="AP28" s="243">
        <v>17</v>
      </c>
      <c r="AQ28" s="238">
        <v>1</v>
      </c>
      <c r="AR28" s="238">
        <v>1580.9456957078598</v>
      </c>
      <c r="AS28" s="238">
        <v>1604.9172167524837</v>
      </c>
      <c r="AT28" s="238">
        <v>492712.66666666669</v>
      </c>
      <c r="AU28" s="238">
        <v>302.52818211505775</v>
      </c>
      <c r="AV28" s="237">
        <v>1</v>
      </c>
      <c r="AW28" s="237">
        <v>0</v>
      </c>
      <c r="AX28" s="237">
        <v>1</v>
      </c>
      <c r="AY28" s="244" t="s">
        <v>717</v>
      </c>
      <c r="AZ28" s="244" t="s">
        <v>726</v>
      </c>
      <c r="BA28" s="237">
        <v>2009</v>
      </c>
      <c r="BB28" s="245" t="s">
        <v>839</v>
      </c>
      <c r="BC28" s="215" t="s">
        <v>840</v>
      </c>
      <c r="BE28" s="237">
        <v>8</v>
      </c>
      <c r="BF28" s="237">
        <v>42</v>
      </c>
      <c r="BG28" s="246" t="s">
        <v>698</v>
      </c>
      <c r="BI28" s="239">
        <v>0.3216494845360825</v>
      </c>
      <c r="BJ28" s="239">
        <v>0.18371134020618557</v>
      </c>
      <c r="BK28" s="239">
        <v>0.48041237113402063</v>
      </c>
      <c r="BL28" s="239">
        <v>1.4226804123711341E-2</v>
      </c>
      <c r="BM28" s="247">
        <v>1.8127835051546395</v>
      </c>
      <c r="BN28" s="248">
        <v>0</v>
      </c>
      <c r="BO28" s="248">
        <v>0</v>
      </c>
      <c r="BP28" s="237">
        <v>0</v>
      </c>
      <c r="BQ28" s="237">
        <v>0</v>
      </c>
      <c r="BR28" s="248">
        <v>0</v>
      </c>
      <c r="BS28" s="237">
        <v>14</v>
      </c>
      <c r="BT28" s="237" t="s">
        <v>729</v>
      </c>
      <c r="BU28" s="249" t="s">
        <v>678</v>
      </c>
      <c r="BV28" s="249">
        <v>779</v>
      </c>
      <c r="BW28" s="249">
        <v>4729</v>
      </c>
      <c r="BX28" s="249">
        <v>946</v>
      </c>
      <c r="BY28" s="249" t="s">
        <v>678</v>
      </c>
      <c r="BZ28" s="249">
        <v>8.9059105979192861</v>
      </c>
      <c r="CA28" s="249">
        <v>54.064250600205781</v>
      </c>
      <c r="CB28" s="249">
        <v>10.81513661826912</v>
      </c>
      <c r="CC28" s="250" t="s">
        <v>678</v>
      </c>
      <c r="CD28" s="242">
        <v>65</v>
      </c>
      <c r="CE28" s="252">
        <v>100.74311192408825</v>
      </c>
      <c r="CF28" s="238">
        <v>4391</v>
      </c>
      <c r="CG28" s="238">
        <v>665</v>
      </c>
      <c r="CH28" s="238">
        <v>7.6026066079798786</v>
      </c>
      <c r="CI28" s="216" t="s">
        <v>700</v>
      </c>
      <c r="CJ28" s="237">
        <v>0</v>
      </c>
      <c r="CK28" s="253">
        <v>599.95000000000005</v>
      </c>
      <c r="CL28" s="253">
        <v>92.450500000000005</v>
      </c>
      <c r="CM28" s="254">
        <v>3.2246424834321594E-2</v>
      </c>
      <c r="CN28" s="237" t="s">
        <v>24</v>
      </c>
      <c r="CO28" s="242">
        <v>986.83</v>
      </c>
      <c r="CP28" s="255">
        <v>0.34420299965120338</v>
      </c>
      <c r="CV28" s="237">
        <v>2</v>
      </c>
      <c r="CW28" s="194">
        <v>1.7450000000000001</v>
      </c>
      <c r="CX28" s="194">
        <v>0.63500000000000001</v>
      </c>
      <c r="CY28" s="194">
        <v>0.29599999999999999</v>
      </c>
      <c r="DB28" s="216" t="s">
        <v>710</v>
      </c>
      <c r="DC28" s="195" t="s">
        <v>711</v>
      </c>
      <c r="DD28" s="256">
        <v>0.8</v>
      </c>
      <c r="DE28" s="256">
        <v>-10</v>
      </c>
      <c r="DF28" s="256">
        <v>0.5</v>
      </c>
      <c r="DG28" s="256">
        <v>-2.2999999999999998</v>
      </c>
      <c r="DL28" s="237" t="s">
        <v>529</v>
      </c>
      <c r="DN28" s="237" t="s">
        <v>730</v>
      </c>
      <c r="DP28" s="258" t="s">
        <v>683</v>
      </c>
      <c r="DQ28" s="258" t="s">
        <v>784</v>
      </c>
      <c r="DR28" s="258" t="s">
        <v>841</v>
      </c>
      <c r="DS28" s="258"/>
      <c r="DT28" s="258"/>
      <c r="DU28" s="237">
        <v>0</v>
      </c>
      <c r="DX28" s="247"/>
      <c r="DY28" s="247">
        <v>0</v>
      </c>
      <c r="EA28" s="237">
        <v>0</v>
      </c>
      <c r="ED28" s="237" t="s">
        <v>732</v>
      </c>
      <c r="EE28" s="208">
        <v>1</v>
      </c>
      <c r="EF28" s="237" t="s">
        <v>688</v>
      </c>
      <c r="EG28" s="216" t="s">
        <v>733</v>
      </c>
      <c r="EH28" s="246" t="s">
        <v>734</v>
      </c>
      <c r="EI28" s="216" t="s">
        <v>689</v>
      </c>
      <c r="EJ28" s="216" t="s">
        <v>529</v>
      </c>
      <c r="EK28" s="222" t="s">
        <v>682</v>
      </c>
      <c r="EL28" s="259">
        <v>2006</v>
      </c>
      <c r="EM28" s="260">
        <v>13685</v>
      </c>
      <c r="EN28" s="260">
        <v>431638</v>
      </c>
      <c r="EO28" s="260">
        <v>70617</v>
      </c>
      <c r="EP28" s="237">
        <v>1</v>
      </c>
      <c r="EQ28" s="237">
        <v>190</v>
      </c>
      <c r="ER28" s="237" t="s">
        <v>705</v>
      </c>
      <c r="ES28" s="237" t="e">
        <v>#DIV/0!</v>
      </c>
      <c r="ET28" s="237">
        <v>5.1601753744976255</v>
      </c>
      <c r="EU28" s="661">
        <v>1</v>
      </c>
      <c r="EV28" s="661">
        <v>2</v>
      </c>
      <c r="EW28" s="661">
        <v>4</v>
      </c>
      <c r="EX28" s="661">
        <v>4</v>
      </c>
      <c r="EY28" s="660">
        <v>0.20926055109870947</v>
      </c>
      <c r="EZ28" s="256">
        <v>14.579548295691307</v>
      </c>
      <c r="FA28" s="247">
        <v>0.1019367991845056</v>
      </c>
      <c r="FB28" s="208">
        <v>4</v>
      </c>
      <c r="FC28" s="208">
        <v>4</v>
      </c>
      <c r="FD28" s="208">
        <v>1</v>
      </c>
      <c r="FE28" s="239">
        <v>1</v>
      </c>
      <c r="FF28" s="208"/>
      <c r="FG28" s="241">
        <v>0</v>
      </c>
      <c r="FH28" s="209">
        <v>0</v>
      </c>
      <c r="FI28" s="237" t="s">
        <v>678</v>
      </c>
      <c r="FJ28" s="208">
        <v>59.5</v>
      </c>
      <c r="FK28" s="208">
        <v>21.75</v>
      </c>
      <c r="FL28" s="217">
        <v>63</v>
      </c>
      <c r="FM28" s="208">
        <v>3.35</v>
      </c>
      <c r="FN28" s="208" t="s">
        <v>842</v>
      </c>
      <c r="FP28" s="247" t="s">
        <v>693</v>
      </c>
      <c r="FU28" s="208">
        <v>43</v>
      </c>
      <c r="FV28" s="208">
        <v>60.1</v>
      </c>
      <c r="FW28" s="237">
        <v>22.94</v>
      </c>
      <c r="FX28" s="237">
        <v>8.6999999999999993</v>
      </c>
      <c r="FY28" s="208">
        <v>16.39</v>
      </c>
      <c r="FZ28" s="208">
        <v>28.1</v>
      </c>
      <c r="GA28" s="208">
        <v>37.450000000000003</v>
      </c>
      <c r="GB28" s="208">
        <v>33.200000000000003</v>
      </c>
      <c r="GC28" s="208">
        <v>-0.75</v>
      </c>
      <c r="GD28" s="208">
        <v>0.6</v>
      </c>
      <c r="GE28" s="237">
        <v>30.25</v>
      </c>
      <c r="GF28" s="237">
        <v>34.700000000000003</v>
      </c>
      <c r="GG28" s="237">
        <v>20.71</v>
      </c>
      <c r="GH28" s="237">
        <v>93.8</v>
      </c>
      <c r="GJ28" s="947">
        <v>158</v>
      </c>
      <c r="GK28" s="320">
        <v>1.4999999999999999E-2</v>
      </c>
      <c r="GL28" s="320">
        <v>0.17599999999999999</v>
      </c>
      <c r="GM28" s="320">
        <v>0.08</v>
      </c>
      <c r="GN28" s="320">
        <v>0.72899999999999998</v>
      </c>
      <c r="GO28" s="662">
        <v>8023</v>
      </c>
      <c r="GP28" s="663" t="str">
        <f>VLOOKUP(GS28,'BD Comarcal'!$A$6:$AV$17,48,FALSE)</f>
        <v>41</v>
      </c>
      <c r="GQ28" s="564">
        <v>57</v>
      </c>
      <c r="GR28" s="256">
        <f t="shared" si="0"/>
        <v>0</v>
      </c>
      <c r="GS28" s="237" t="s">
        <v>24</v>
      </c>
    </row>
    <row r="29" spans="1:201" s="237" customFormat="1" ht="17.25" customHeight="1">
      <c r="A29" s="236" t="s">
        <v>843</v>
      </c>
      <c r="C29" s="238"/>
      <c r="D29" s="238">
        <v>4360</v>
      </c>
      <c r="E29" s="238">
        <v>3739</v>
      </c>
      <c r="F29" s="239">
        <v>0.85756880733944951</v>
      </c>
      <c r="G29" s="238">
        <v>3590</v>
      </c>
      <c r="H29" s="240">
        <v>2631.1786716228189</v>
      </c>
      <c r="I29" s="239">
        <v>0.70371186724333212</v>
      </c>
      <c r="J29" s="238">
        <v>292</v>
      </c>
      <c r="K29" s="238">
        <v>351</v>
      </c>
      <c r="L29" s="238">
        <v>1</v>
      </c>
      <c r="M29" s="241">
        <v>2.2935779816513763E-4</v>
      </c>
      <c r="N29" s="238">
        <v>0</v>
      </c>
      <c r="O29" s="239">
        <v>0</v>
      </c>
      <c r="P29" s="237">
        <v>12</v>
      </c>
      <c r="Q29" s="237">
        <v>0</v>
      </c>
      <c r="R29" s="239">
        <v>0</v>
      </c>
      <c r="S29" s="238">
        <v>1692</v>
      </c>
      <c r="T29" s="436">
        <v>1488</v>
      </c>
      <c r="U29" s="436">
        <v>56</v>
      </c>
      <c r="V29" s="436">
        <v>52</v>
      </c>
      <c r="W29" s="436">
        <v>1596</v>
      </c>
      <c r="X29" s="238">
        <v>495</v>
      </c>
      <c r="Y29" s="237">
        <v>0.25190000000000001</v>
      </c>
      <c r="Z29" s="238">
        <v>9018</v>
      </c>
      <c r="AA29" s="238">
        <v>17928</v>
      </c>
      <c r="AB29" s="238">
        <v>109.54</v>
      </c>
      <c r="AC29" s="238">
        <v>302</v>
      </c>
      <c r="AD29" s="238">
        <v>742722.77</v>
      </c>
      <c r="AE29" s="238">
        <v>-23816.999999999884</v>
      </c>
      <c r="AF29" s="238">
        <v>950838.9</v>
      </c>
      <c r="AG29" s="238">
        <v>385272.49</v>
      </c>
      <c r="AH29" s="239">
        <v>0.40519218344979363</v>
      </c>
      <c r="AI29" s="242">
        <v>25.041691</v>
      </c>
      <c r="AJ29" s="261">
        <v>2.220046</v>
      </c>
      <c r="AK29" s="242">
        <v>5.0918486238532103E-2</v>
      </c>
      <c r="AL29" s="261">
        <v>2.054357</v>
      </c>
      <c r="AM29" s="242">
        <v>4.7118279816513758E-2</v>
      </c>
      <c r="AN29" s="261">
        <v>14444.21</v>
      </c>
      <c r="AO29" s="238">
        <v>0</v>
      </c>
      <c r="AP29" s="243">
        <v>0</v>
      </c>
      <c r="AQ29" s="238"/>
      <c r="AR29" s="238">
        <v>1578.2313831935435</v>
      </c>
      <c r="AS29" s="238">
        <v>2103.8021882118169</v>
      </c>
      <c r="AT29" s="238">
        <v>32265.666666666668</v>
      </c>
      <c r="AU29" s="238">
        <v>221.55537608899181</v>
      </c>
      <c r="AV29" s="237">
        <v>1</v>
      </c>
      <c r="AW29" s="237">
        <v>0</v>
      </c>
      <c r="AX29" s="237">
        <v>1</v>
      </c>
      <c r="AY29" s="244" t="s">
        <v>726</v>
      </c>
      <c r="AZ29" s="244" t="s">
        <v>695</v>
      </c>
      <c r="BA29" s="237">
        <v>2009</v>
      </c>
      <c r="BB29" s="245" t="s">
        <v>833</v>
      </c>
      <c r="BC29" s="215" t="s">
        <v>834</v>
      </c>
      <c r="BE29" s="237">
        <v>3</v>
      </c>
      <c r="BF29" s="237">
        <v>17</v>
      </c>
      <c r="BG29" s="246" t="s">
        <v>720</v>
      </c>
      <c r="BI29" s="239">
        <v>0.47395833333333331</v>
      </c>
      <c r="BJ29" s="239">
        <v>0.24479166666666666</v>
      </c>
      <c r="BK29" s="239">
        <v>0.265625</v>
      </c>
      <c r="BL29" s="239">
        <v>1.5625E-2</v>
      </c>
      <c r="BM29" s="247">
        <v>2.177083333333333</v>
      </c>
      <c r="BN29" s="248">
        <v>0</v>
      </c>
      <c r="BO29" s="248">
        <v>0</v>
      </c>
      <c r="BP29" s="237">
        <v>0</v>
      </c>
      <c r="BQ29" s="237">
        <v>0</v>
      </c>
      <c r="BR29" s="248">
        <v>0</v>
      </c>
      <c r="BS29" s="237">
        <v>20.6</v>
      </c>
      <c r="BT29" s="237" t="s">
        <v>777</v>
      </c>
      <c r="BU29" s="249" t="s">
        <v>678</v>
      </c>
      <c r="BV29" s="249" t="s">
        <v>678</v>
      </c>
      <c r="BW29" s="249" t="s">
        <v>678</v>
      </c>
      <c r="BX29" s="249" t="s">
        <v>678</v>
      </c>
      <c r="BY29" s="249" t="s">
        <v>678</v>
      </c>
      <c r="BZ29" s="249" t="s">
        <v>678</v>
      </c>
      <c r="CA29" s="249" t="s">
        <v>678</v>
      </c>
      <c r="CB29" s="249" t="s">
        <v>678</v>
      </c>
      <c r="CC29" s="250" t="s">
        <v>678</v>
      </c>
      <c r="CD29" s="242" t="s">
        <v>678</v>
      </c>
      <c r="CE29" s="252" t="s">
        <v>678</v>
      </c>
      <c r="CF29" s="238">
        <v>456</v>
      </c>
      <c r="CG29" s="238">
        <v>29.2</v>
      </c>
      <c r="CH29" s="238">
        <v>5.0344827586206895</v>
      </c>
      <c r="CI29" s="216" t="s">
        <v>722</v>
      </c>
      <c r="CJ29" s="237">
        <v>1</v>
      </c>
      <c r="CK29" s="253">
        <v>25</v>
      </c>
      <c r="CL29" s="253">
        <v>0</v>
      </c>
      <c r="CM29" s="254">
        <v>0</v>
      </c>
      <c r="CN29" s="237" t="s">
        <v>84</v>
      </c>
      <c r="CO29" s="242">
        <v>29.38</v>
      </c>
      <c r="CP29" s="255">
        <v>6.7385321100917432E-3</v>
      </c>
      <c r="CQ29" s="237">
        <v>41.75</v>
      </c>
      <c r="CR29" s="248" t="s">
        <v>762</v>
      </c>
      <c r="CS29" s="237">
        <v>41.75</v>
      </c>
      <c r="CW29" s="261" t="s">
        <v>678</v>
      </c>
      <c r="CX29" s="261" t="s">
        <v>678</v>
      </c>
      <c r="CY29" s="261" t="s">
        <v>678</v>
      </c>
      <c r="DB29" s="216" t="s">
        <v>681</v>
      </c>
      <c r="DC29" s="256"/>
      <c r="DD29" s="256">
        <v>0.8</v>
      </c>
      <c r="DE29" s="256">
        <v>-9</v>
      </c>
      <c r="DF29" s="256">
        <v>-0.3</v>
      </c>
      <c r="DG29" s="256">
        <v>-2.6</v>
      </c>
      <c r="DL29" s="237" t="s">
        <v>682</v>
      </c>
      <c r="DP29" s="258" t="s">
        <v>683</v>
      </c>
      <c r="DQ29" s="258" t="s">
        <v>758</v>
      </c>
      <c r="DR29" s="258" t="s">
        <v>844</v>
      </c>
      <c r="DS29" s="258"/>
      <c r="DT29" s="258"/>
      <c r="DU29" s="237">
        <v>0</v>
      </c>
      <c r="DX29" s="247"/>
      <c r="DY29" s="247">
        <v>0</v>
      </c>
      <c r="EA29" s="237">
        <v>0</v>
      </c>
      <c r="ED29" s="237" t="s">
        <v>723</v>
      </c>
      <c r="EE29" s="208">
        <v>2</v>
      </c>
      <c r="EF29" s="237" t="s">
        <v>702</v>
      </c>
      <c r="EG29" s="216" t="s">
        <v>703</v>
      </c>
      <c r="EH29" s="246" t="s">
        <v>704</v>
      </c>
      <c r="EI29" s="216"/>
      <c r="EJ29" s="216" t="s">
        <v>529</v>
      </c>
      <c r="EK29" s="222" t="s">
        <v>682</v>
      </c>
      <c r="EL29" s="259">
        <v>2003</v>
      </c>
      <c r="EM29" s="260">
        <v>830</v>
      </c>
      <c r="EN29" s="260">
        <v>18696</v>
      </c>
      <c r="EO29" s="260">
        <v>16904</v>
      </c>
      <c r="EP29" s="237">
        <v>1</v>
      </c>
      <c r="EQ29" s="237">
        <v>54</v>
      </c>
      <c r="ER29" s="237" t="s">
        <v>692</v>
      </c>
      <c r="ES29" s="237" t="e">
        <v>#DIV/0!</v>
      </c>
      <c r="ET29" s="237">
        <v>20.366265060240963</v>
      </c>
      <c r="EU29" s="661">
        <v>8</v>
      </c>
      <c r="EV29" s="661" t="s">
        <v>678</v>
      </c>
      <c r="EW29" s="661">
        <v>0</v>
      </c>
      <c r="EX29" s="661">
        <v>2</v>
      </c>
      <c r="EY29" s="660">
        <v>5.7339449541284407E-3</v>
      </c>
      <c r="EZ29" s="256">
        <v>23.2</v>
      </c>
      <c r="FA29" s="247">
        <v>0</v>
      </c>
      <c r="FB29" s="208">
        <v>1</v>
      </c>
      <c r="FC29" s="208">
        <v>3</v>
      </c>
      <c r="FD29" s="208">
        <v>3</v>
      </c>
      <c r="FE29" s="239">
        <v>0.96014977266648838</v>
      </c>
      <c r="FF29" s="208">
        <v>1</v>
      </c>
      <c r="FG29" s="241">
        <v>0</v>
      </c>
      <c r="FH29" s="209">
        <v>1.1166087189087992E-2</v>
      </c>
      <c r="FI29" s="237" t="s">
        <v>678</v>
      </c>
      <c r="FJ29" s="208">
        <v>60.6</v>
      </c>
      <c r="FK29" s="208">
        <v>0.36</v>
      </c>
      <c r="FL29" s="217">
        <v>24</v>
      </c>
      <c r="FM29" s="208">
        <v>17.64</v>
      </c>
      <c r="FN29" s="208" t="s">
        <v>845</v>
      </c>
      <c r="FP29" s="247" t="s">
        <v>693</v>
      </c>
      <c r="FU29" s="208">
        <v>49</v>
      </c>
      <c r="FV29" s="208">
        <v>72.900000000000006</v>
      </c>
      <c r="FW29" s="237">
        <v>93.77</v>
      </c>
      <c r="FX29" s="237">
        <v>90.8</v>
      </c>
      <c r="FY29" s="208">
        <v>118.07</v>
      </c>
      <c r="FZ29" s="208">
        <v>93.1</v>
      </c>
      <c r="GA29" s="208">
        <v>85.54</v>
      </c>
      <c r="GB29" s="208">
        <v>97.4</v>
      </c>
      <c r="GC29" s="208">
        <v>1.01</v>
      </c>
      <c r="GD29" s="208">
        <v>87</v>
      </c>
      <c r="GE29" s="237">
        <v>87.13</v>
      </c>
      <c r="GF29" s="237">
        <v>97</v>
      </c>
      <c r="GG29" s="237">
        <v>13.59</v>
      </c>
      <c r="GH29" s="237">
        <v>81.3</v>
      </c>
      <c r="GJ29" s="947"/>
      <c r="GK29" s="320"/>
      <c r="GL29" s="320"/>
      <c r="GM29" s="320"/>
      <c r="GN29" s="320"/>
      <c r="GO29" s="662">
        <v>8024</v>
      </c>
      <c r="GP29" s="663" t="str">
        <f>VLOOKUP(GS29,'BD Comarcal'!$A$6:$AV$17,48,FALSE)</f>
        <v>14</v>
      </c>
      <c r="GQ29" s="564">
        <v>4</v>
      </c>
      <c r="GR29" s="256">
        <f t="shared" si="0"/>
        <v>0</v>
      </c>
      <c r="GS29" s="237" t="s">
        <v>84</v>
      </c>
    </row>
    <row r="30" spans="1:201" s="237" customFormat="1" ht="17.25" customHeight="1">
      <c r="A30" s="236" t="s">
        <v>846</v>
      </c>
      <c r="C30" s="238"/>
      <c r="D30" s="238">
        <v>4680</v>
      </c>
      <c r="E30" s="238">
        <v>3982</v>
      </c>
      <c r="F30" s="239">
        <v>0.85085470085470083</v>
      </c>
      <c r="G30" s="238">
        <v>1406</v>
      </c>
      <c r="H30" s="240">
        <v>1212.5522203595108</v>
      </c>
      <c r="I30" s="239">
        <v>0.30450834263172044</v>
      </c>
      <c r="J30" s="238">
        <v>270</v>
      </c>
      <c r="K30" s="238">
        <v>7</v>
      </c>
      <c r="L30" s="238">
        <v>1</v>
      </c>
      <c r="M30" s="241">
        <v>2.1367521367521368E-4</v>
      </c>
      <c r="N30" s="238">
        <v>16</v>
      </c>
      <c r="O30" s="239">
        <v>5.9259259259259262E-2</v>
      </c>
      <c r="P30" s="237">
        <v>2</v>
      </c>
      <c r="Q30" s="237">
        <v>0</v>
      </c>
      <c r="R30" s="239">
        <v>0</v>
      </c>
      <c r="S30" s="238">
        <v>4</v>
      </c>
      <c r="T30" s="436">
        <v>0</v>
      </c>
      <c r="U30" s="436">
        <v>10</v>
      </c>
      <c r="V30" s="436">
        <v>125</v>
      </c>
      <c r="W30" s="436">
        <v>135</v>
      </c>
      <c r="X30" s="238">
        <v>2014</v>
      </c>
      <c r="Y30" s="237">
        <v>0.1341</v>
      </c>
      <c r="Z30" s="238">
        <v>25189</v>
      </c>
      <c r="AA30" s="238">
        <v>12396</v>
      </c>
      <c r="AB30" s="238">
        <v>75.739999999999995</v>
      </c>
      <c r="AC30" s="238">
        <v>0</v>
      </c>
      <c r="AD30" s="238">
        <v>2520761.1000000006</v>
      </c>
      <c r="AE30" s="238">
        <v>252606.08000000054</v>
      </c>
      <c r="AF30" s="238">
        <v>2021375.7799999998</v>
      </c>
      <c r="AG30" s="238">
        <v>155618.38</v>
      </c>
      <c r="AH30" s="239">
        <v>7.6986368165547145E-2</v>
      </c>
      <c r="AI30" s="247">
        <v>138.10628</v>
      </c>
      <c r="AJ30" s="242">
        <v>14.091638</v>
      </c>
      <c r="AK30" s="242">
        <v>0.30110337606837606</v>
      </c>
      <c r="AL30" s="242">
        <v>101.039905</v>
      </c>
      <c r="AM30" s="242">
        <v>2.1589723290598291</v>
      </c>
      <c r="AN30" s="242">
        <v>17897.310000000001</v>
      </c>
      <c r="AO30" s="238">
        <v>5882.72</v>
      </c>
      <c r="AP30" s="243">
        <v>0</v>
      </c>
      <c r="AQ30" s="238"/>
      <c r="AR30" s="238">
        <v>1600.0252083192775</v>
      </c>
      <c r="AS30" s="238">
        <v>1711.8178981403771</v>
      </c>
      <c r="AT30" s="238">
        <v>111957</v>
      </c>
      <c r="AU30" s="238">
        <v>306.02024386213111</v>
      </c>
      <c r="AV30" s="237">
        <v>1</v>
      </c>
      <c r="AW30" s="237">
        <v>1</v>
      </c>
      <c r="AX30" s="237">
        <v>1</v>
      </c>
      <c r="AY30" s="244" t="s">
        <v>673</v>
      </c>
      <c r="AZ30" s="244" t="s">
        <v>682</v>
      </c>
      <c r="BA30" s="237">
        <v>0</v>
      </c>
      <c r="BB30" s="245" t="s">
        <v>847</v>
      </c>
      <c r="BC30" s="215" t="s">
        <v>848</v>
      </c>
      <c r="BE30" s="237">
        <v>45</v>
      </c>
      <c r="BF30" s="237">
        <v>35</v>
      </c>
      <c r="BG30" s="246" t="s">
        <v>698</v>
      </c>
      <c r="BI30" s="239">
        <v>0.37640029873039582</v>
      </c>
      <c r="BJ30" s="239">
        <v>0.1157580283793876</v>
      </c>
      <c r="BK30" s="239">
        <v>0.49066467513069456</v>
      </c>
      <c r="BL30" s="239">
        <v>1.7176997759522031E-2</v>
      </c>
      <c r="BM30" s="247">
        <v>1.8513816280806572</v>
      </c>
      <c r="BN30" s="248">
        <v>1</v>
      </c>
      <c r="BO30" s="248">
        <v>0</v>
      </c>
      <c r="BP30" s="237">
        <v>0</v>
      </c>
      <c r="BQ30" s="237">
        <v>0</v>
      </c>
      <c r="BR30" s="248">
        <v>1</v>
      </c>
      <c r="BS30" s="237">
        <v>17</v>
      </c>
      <c r="BT30" s="237" t="s">
        <v>755</v>
      </c>
      <c r="BU30" s="249" t="s">
        <v>678</v>
      </c>
      <c r="BV30" s="249">
        <v>207</v>
      </c>
      <c r="BW30" s="249">
        <v>877</v>
      </c>
      <c r="BX30" s="249" t="s">
        <v>678</v>
      </c>
      <c r="BY30" s="249" t="s">
        <v>678</v>
      </c>
      <c r="BZ30" s="249">
        <v>10.21213616181549</v>
      </c>
      <c r="CA30" s="249">
        <v>43.265910212136163</v>
      </c>
      <c r="CB30" s="249" t="s">
        <v>678</v>
      </c>
      <c r="CC30" s="250" t="s">
        <v>678</v>
      </c>
      <c r="CD30" s="242" t="s">
        <v>678</v>
      </c>
      <c r="CE30" s="252" t="s">
        <v>678</v>
      </c>
      <c r="CF30" s="238">
        <v>1068</v>
      </c>
      <c r="CG30" s="238">
        <v>119.2</v>
      </c>
      <c r="CH30" s="238">
        <v>5.8806117414898864</v>
      </c>
      <c r="CI30" s="216" t="s">
        <v>722</v>
      </c>
      <c r="CJ30" s="237">
        <v>1</v>
      </c>
      <c r="CK30" s="253">
        <v>129.94</v>
      </c>
      <c r="CL30" s="253">
        <v>6.8594999999999997</v>
      </c>
      <c r="CM30" s="254">
        <v>1.4657051282051282E-3</v>
      </c>
      <c r="CN30" s="237" t="s">
        <v>81</v>
      </c>
      <c r="CO30" s="242">
        <v>1544.81</v>
      </c>
      <c r="CP30" s="255">
        <v>0.33008760683760685</v>
      </c>
      <c r="CV30" s="237">
        <v>4</v>
      </c>
      <c r="CW30" s="261" t="s">
        <v>678</v>
      </c>
      <c r="CX30" s="261" t="s">
        <v>678</v>
      </c>
      <c r="CY30" s="261" t="s">
        <v>678</v>
      </c>
      <c r="DB30" s="216" t="s">
        <v>681</v>
      </c>
      <c r="DC30" s="256"/>
      <c r="DD30" s="256">
        <v>0.8</v>
      </c>
      <c r="DE30" s="256">
        <v>-10</v>
      </c>
      <c r="DF30" s="256">
        <v>0.5</v>
      </c>
      <c r="DG30" s="256">
        <v>-2.2999999999999998</v>
      </c>
      <c r="DH30" s="257">
        <v>5</v>
      </c>
      <c r="DI30" s="257">
        <v>16.04</v>
      </c>
      <c r="DJ30" s="257">
        <v>13.16</v>
      </c>
      <c r="DK30" s="257">
        <v>29.2</v>
      </c>
      <c r="DL30" s="237" t="s">
        <v>682</v>
      </c>
      <c r="DP30" s="258" t="s">
        <v>682</v>
      </c>
      <c r="DQ30" s="258"/>
      <c r="DR30" s="258"/>
      <c r="DS30" s="258"/>
      <c r="DT30" s="258"/>
      <c r="DU30" s="237">
        <v>0</v>
      </c>
      <c r="DX30" s="247"/>
      <c r="DY30" s="247">
        <v>0</v>
      </c>
      <c r="EA30" s="237">
        <v>0</v>
      </c>
      <c r="ED30" s="237" t="s">
        <v>687</v>
      </c>
      <c r="EE30" s="208">
        <v>1</v>
      </c>
      <c r="EF30" s="237" t="s">
        <v>688</v>
      </c>
      <c r="EG30" s="216" t="s">
        <v>689</v>
      </c>
      <c r="EH30" s="246" t="s">
        <v>690</v>
      </c>
      <c r="EI30" s="216" t="s">
        <v>689</v>
      </c>
      <c r="EJ30" s="216" t="s">
        <v>529</v>
      </c>
      <c r="EK30" s="222" t="s">
        <v>682</v>
      </c>
      <c r="EL30" s="259">
        <v>1983</v>
      </c>
      <c r="EM30" s="260">
        <v>1470</v>
      </c>
      <c r="EN30" s="260">
        <v>95683</v>
      </c>
      <c r="EO30" s="260">
        <v>20341</v>
      </c>
      <c r="ER30" s="237" t="s">
        <v>692</v>
      </c>
      <c r="ES30" s="237">
        <v>2027</v>
      </c>
      <c r="ET30" s="237">
        <v>13.837414965986394</v>
      </c>
      <c r="EU30" s="661">
        <v>1</v>
      </c>
      <c r="EV30" s="661" t="s">
        <v>678</v>
      </c>
      <c r="EW30" s="661">
        <v>1</v>
      </c>
      <c r="EX30" s="661">
        <v>5</v>
      </c>
      <c r="EY30" s="660">
        <v>2.7764957264957264E-2</v>
      </c>
      <c r="EZ30" s="256">
        <v>15.599507464983839</v>
      </c>
      <c r="FA30" s="247">
        <v>0.10045203415369161</v>
      </c>
      <c r="FB30" s="208">
        <v>3</v>
      </c>
      <c r="FC30" s="208">
        <v>5</v>
      </c>
      <c r="FD30" s="208">
        <v>3</v>
      </c>
      <c r="FE30" s="239">
        <v>0.35308890005022603</v>
      </c>
      <c r="FF30" s="208"/>
      <c r="FG30" s="241">
        <v>7.3329984932194872E-3</v>
      </c>
      <c r="FH30" s="209">
        <v>0</v>
      </c>
      <c r="FI30" s="237" t="s">
        <v>678</v>
      </c>
      <c r="FJ30" s="208">
        <v>64.8</v>
      </c>
      <c r="FK30" s="208">
        <v>22.21</v>
      </c>
      <c r="FL30" s="217">
        <v>64.2</v>
      </c>
      <c r="FM30" s="208">
        <v>4.74</v>
      </c>
      <c r="FN30" s="208" t="s">
        <v>849</v>
      </c>
      <c r="FP30" s="247" t="s">
        <v>693</v>
      </c>
      <c r="FU30" s="208">
        <v>64</v>
      </c>
      <c r="FV30" s="208">
        <v>93.6</v>
      </c>
      <c r="FW30" s="237">
        <v>50.9</v>
      </c>
      <c r="FX30" s="237">
        <v>29.3</v>
      </c>
      <c r="FY30" s="208">
        <v>25.27</v>
      </c>
      <c r="FZ30" s="208">
        <v>41.1</v>
      </c>
      <c r="GA30" s="208">
        <v>33.340000000000003</v>
      </c>
      <c r="GB30" s="208">
        <v>25.5</v>
      </c>
      <c r="GC30" s="208">
        <v>0.24</v>
      </c>
      <c r="GD30" s="208">
        <v>42.2</v>
      </c>
      <c r="GE30" s="237">
        <v>26.12</v>
      </c>
      <c r="GF30" s="237">
        <v>27.4</v>
      </c>
      <c r="GG30" s="237">
        <v>1.1299999999999999</v>
      </c>
      <c r="GH30" s="237">
        <v>15.8</v>
      </c>
      <c r="GJ30" s="947"/>
      <c r="GK30" s="320"/>
      <c r="GL30" s="320"/>
      <c r="GM30" s="320"/>
      <c r="GN30" s="320"/>
      <c r="GO30" s="662">
        <v>8025</v>
      </c>
      <c r="GP30" s="663" t="str">
        <f>VLOOKUP(GS30,'BD Comarcal'!$A$6:$AV$17,48,FALSE)</f>
        <v>06</v>
      </c>
      <c r="GQ30" s="564">
        <v>10</v>
      </c>
      <c r="GR30" s="256">
        <f t="shared" si="0"/>
        <v>1</v>
      </c>
      <c r="GS30" s="237" t="s">
        <v>81</v>
      </c>
    </row>
    <row r="31" spans="1:201" s="237" customFormat="1" ht="17.25" customHeight="1">
      <c r="A31" s="236" t="s">
        <v>850</v>
      </c>
      <c r="C31" s="238"/>
      <c r="D31" s="238">
        <v>4108</v>
      </c>
      <c r="E31" s="238">
        <v>3436</v>
      </c>
      <c r="F31" s="239">
        <v>0.83641674780915287</v>
      </c>
      <c r="G31" s="238">
        <v>2956</v>
      </c>
      <c r="H31" s="240">
        <v>1992.6373051697954</v>
      </c>
      <c r="I31" s="239">
        <v>0.57992936704592413</v>
      </c>
      <c r="J31" s="238">
        <v>372</v>
      </c>
      <c r="K31" s="238">
        <v>36</v>
      </c>
      <c r="L31" s="238">
        <v>0</v>
      </c>
      <c r="M31" s="241">
        <v>0</v>
      </c>
      <c r="N31" s="238">
        <v>0</v>
      </c>
      <c r="O31" s="239">
        <v>0</v>
      </c>
      <c r="P31" s="237">
        <v>16</v>
      </c>
      <c r="Q31" s="237">
        <v>0</v>
      </c>
      <c r="R31" s="239">
        <v>0</v>
      </c>
      <c r="S31" s="238">
        <v>2186</v>
      </c>
      <c r="T31" s="436">
        <v>0</v>
      </c>
      <c r="U31" s="436">
        <v>27</v>
      </c>
      <c r="V31" s="436">
        <v>0</v>
      </c>
      <c r="W31" s="436">
        <v>27</v>
      </c>
      <c r="X31" s="238">
        <v>263</v>
      </c>
      <c r="Y31" s="237">
        <v>0.14829999999999999</v>
      </c>
      <c r="Z31" s="238">
        <v>4486</v>
      </c>
      <c r="AA31" s="238">
        <v>17662</v>
      </c>
      <c r="AB31" s="238">
        <v>107.92</v>
      </c>
      <c r="AC31" s="238">
        <v>0</v>
      </c>
      <c r="AD31" s="238">
        <v>610824.67999999993</v>
      </c>
      <c r="AE31" s="238">
        <v>193311.88</v>
      </c>
      <c r="AF31" s="238">
        <v>496123.20999999996</v>
      </c>
      <c r="AG31" s="238">
        <v>136132.45000000001</v>
      </c>
      <c r="AH31" s="239">
        <v>0.27439242360783728</v>
      </c>
      <c r="AI31" s="247">
        <v>28.181090999999999</v>
      </c>
      <c r="AJ31" s="242">
        <v>6.8222480000000001</v>
      </c>
      <c r="AK31" s="242">
        <v>0.16607224926971761</v>
      </c>
      <c r="AL31" s="242">
        <v>25.753086</v>
      </c>
      <c r="AM31" s="242">
        <v>0.6269008276533593</v>
      </c>
      <c r="AN31" s="242"/>
      <c r="AO31" s="238">
        <v>7793.54</v>
      </c>
      <c r="AP31" s="243">
        <v>17</v>
      </c>
      <c r="AQ31" s="238"/>
      <c r="AR31" s="238">
        <v>1439.3913954672016</v>
      </c>
      <c r="AS31" s="238">
        <v>1517.3308213387002</v>
      </c>
      <c r="AT31" s="238">
        <v>111782.66666666667</v>
      </c>
      <c r="AU31" s="238">
        <v>356.77912052471652</v>
      </c>
      <c r="AV31" s="237">
        <v>1</v>
      </c>
      <c r="AW31" s="237">
        <v>1</v>
      </c>
      <c r="AX31" s="237">
        <v>1</v>
      </c>
      <c r="AY31" s="244" t="s">
        <v>673</v>
      </c>
      <c r="AZ31" s="244" t="s">
        <v>695</v>
      </c>
      <c r="BA31" s="237">
        <v>2012</v>
      </c>
      <c r="BB31" s="245" t="s">
        <v>798</v>
      </c>
      <c r="BC31" s="215" t="s">
        <v>799</v>
      </c>
      <c r="BE31" s="237">
        <v>9</v>
      </c>
      <c r="BF31" s="237">
        <v>4</v>
      </c>
      <c r="BG31" s="246" t="s">
        <v>720</v>
      </c>
      <c r="BI31" s="239">
        <v>0.6171875</v>
      </c>
      <c r="BJ31" s="239">
        <v>0.1640625</v>
      </c>
      <c r="BK31" s="239">
        <v>0.203125</v>
      </c>
      <c r="BL31" s="239">
        <v>1.5625E-2</v>
      </c>
      <c r="BM31" s="247">
        <v>2.3828125</v>
      </c>
      <c r="BN31" s="248">
        <v>0</v>
      </c>
      <c r="BO31" s="248">
        <v>0</v>
      </c>
      <c r="BP31" s="237">
        <v>0</v>
      </c>
      <c r="BQ31" s="237">
        <v>0</v>
      </c>
      <c r="BR31" s="248">
        <v>0</v>
      </c>
      <c r="BS31" s="237">
        <v>19.100000000000001</v>
      </c>
      <c r="BT31" s="237" t="s">
        <v>815</v>
      </c>
      <c r="BU31" s="249" t="s">
        <v>678</v>
      </c>
      <c r="BV31" s="249" t="s">
        <v>678</v>
      </c>
      <c r="BW31" s="249" t="s">
        <v>678</v>
      </c>
      <c r="BX31" s="249" t="s">
        <v>678</v>
      </c>
      <c r="BY31" s="249" t="s">
        <v>678</v>
      </c>
      <c r="BZ31" s="249" t="s">
        <v>678</v>
      </c>
      <c r="CA31" s="249" t="s">
        <v>678</v>
      </c>
      <c r="CB31" s="249" t="s">
        <v>678</v>
      </c>
      <c r="CC31" s="250" t="s">
        <v>678</v>
      </c>
      <c r="CD31" s="242" t="s">
        <v>678</v>
      </c>
      <c r="CE31" s="252" t="s">
        <v>678</v>
      </c>
      <c r="CF31" s="238">
        <v>140</v>
      </c>
      <c r="CG31" s="238">
        <v>8</v>
      </c>
      <c r="CH31" s="238">
        <v>3.007518796992481</v>
      </c>
      <c r="CI31" s="216" t="s">
        <v>722</v>
      </c>
      <c r="CJ31" s="237">
        <v>1</v>
      </c>
      <c r="CK31" s="253">
        <v>28.54</v>
      </c>
      <c r="CL31" s="253">
        <v>26.105</v>
      </c>
      <c r="CM31" s="254">
        <v>6.3546738072054526E-3</v>
      </c>
      <c r="CN31" s="237" t="s">
        <v>88</v>
      </c>
      <c r="CO31" s="242">
        <v>3460.5</v>
      </c>
      <c r="CP31" s="255">
        <v>0.84238072054527746</v>
      </c>
      <c r="CQ31" s="247">
        <v>277.75</v>
      </c>
      <c r="CR31" s="248" t="s">
        <v>810</v>
      </c>
      <c r="CT31" s="247">
        <v>277.75</v>
      </c>
      <c r="CW31" s="261" t="s">
        <v>678</v>
      </c>
      <c r="CX31" s="261" t="s">
        <v>678</v>
      </c>
      <c r="CY31" s="261" t="s">
        <v>678</v>
      </c>
      <c r="DB31" s="216" t="s">
        <v>681</v>
      </c>
      <c r="DC31" s="256"/>
      <c r="DD31" s="256">
        <v>0.8</v>
      </c>
      <c r="DE31" s="256">
        <v>-9</v>
      </c>
      <c r="DF31" s="256">
        <v>-0.3</v>
      </c>
      <c r="DG31" s="256">
        <v>-2.6</v>
      </c>
      <c r="DL31" s="237" t="s">
        <v>682</v>
      </c>
      <c r="DP31" s="258" t="s">
        <v>682</v>
      </c>
      <c r="DQ31" s="258"/>
      <c r="DR31" s="258"/>
      <c r="DS31" s="258"/>
      <c r="DT31" s="258"/>
      <c r="DU31" s="237">
        <v>0</v>
      </c>
      <c r="DX31" s="247"/>
      <c r="DY31" s="247">
        <v>0</v>
      </c>
      <c r="EA31" s="237">
        <v>0</v>
      </c>
      <c r="ED31" s="237" t="s">
        <v>851</v>
      </c>
      <c r="EE31" s="208">
        <v>0</v>
      </c>
      <c r="EF31" s="237" t="s">
        <v>852</v>
      </c>
      <c r="EG31" s="216" t="s">
        <v>703</v>
      </c>
      <c r="EH31" s="246" t="s">
        <v>704</v>
      </c>
      <c r="EI31" s="216"/>
      <c r="EJ31" s="216" t="s">
        <v>529</v>
      </c>
      <c r="EK31" s="222" t="s">
        <v>682</v>
      </c>
      <c r="EL31" s="259">
        <v>1991</v>
      </c>
      <c r="EM31" s="260">
        <v>0</v>
      </c>
      <c r="EN31" s="260">
        <v>13192</v>
      </c>
      <c r="EO31" s="260">
        <v>134484</v>
      </c>
      <c r="ER31" s="237" t="s">
        <v>705</v>
      </c>
      <c r="ES31" s="237" t="e">
        <v>#DIV/0!</v>
      </c>
      <c r="EU31" s="661">
        <v>2</v>
      </c>
      <c r="EV31" s="661" t="s">
        <v>678</v>
      </c>
      <c r="EW31" s="661">
        <v>0</v>
      </c>
      <c r="EX31" s="661">
        <v>4</v>
      </c>
      <c r="EY31" s="660">
        <v>6.947419668938656E-3</v>
      </c>
      <c r="EZ31" s="256">
        <v>9.3202522775052561</v>
      </c>
      <c r="FA31" s="247">
        <v>0</v>
      </c>
      <c r="FB31" s="208">
        <v>2</v>
      </c>
      <c r="FC31" s="208">
        <v>1</v>
      </c>
      <c r="FD31" s="208">
        <v>1</v>
      </c>
      <c r="FE31" s="239">
        <v>0.86030267753201395</v>
      </c>
      <c r="FF31" s="208">
        <v>1</v>
      </c>
      <c r="FG31" s="241">
        <v>0</v>
      </c>
      <c r="FH31" s="209">
        <v>8.0835273573923172E-2</v>
      </c>
      <c r="FI31" s="237" t="s">
        <v>678</v>
      </c>
      <c r="FJ31" s="208">
        <v>66.8</v>
      </c>
      <c r="FK31" s="208">
        <v>67.17</v>
      </c>
      <c r="FL31" s="217">
        <v>97</v>
      </c>
      <c r="FM31" s="208">
        <v>12.55</v>
      </c>
      <c r="FN31" s="208" t="s">
        <v>853</v>
      </c>
      <c r="FP31" s="247" t="s">
        <v>693</v>
      </c>
      <c r="FU31" s="208">
        <v>51</v>
      </c>
      <c r="FV31" s="208">
        <v>76.2</v>
      </c>
      <c r="FW31" s="237">
        <v>83.55</v>
      </c>
      <c r="FX31" s="237">
        <v>72.400000000000006</v>
      </c>
      <c r="FY31" s="208">
        <v>96.88</v>
      </c>
      <c r="FZ31" s="208">
        <v>86.6</v>
      </c>
      <c r="GA31" s="208">
        <v>72.989999999999995</v>
      </c>
      <c r="GB31" s="208">
        <v>83.2</v>
      </c>
      <c r="GC31" s="208">
        <v>1.21</v>
      </c>
      <c r="GD31" s="208">
        <v>91.7</v>
      </c>
      <c r="GE31" s="237">
        <v>64.06</v>
      </c>
      <c r="GF31" s="237">
        <v>81.5</v>
      </c>
      <c r="GG31" s="237">
        <v>21.19</v>
      </c>
      <c r="GH31" s="237">
        <v>94.4</v>
      </c>
      <c r="GJ31" s="947"/>
      <c r="GK31" s="320"/>
      <c r="GL31" s="320"/>
      <c r="GM31" s="320"/>
      <c r="GN31" s="320"/>
      <c r="GO31" s="662">
        <v>8026</v>
      </c>
      <c r="GP31" s="663" t="str">
        <f>VLOOKUP(GS31,'BD Comarcal'!$A$6:$AV$17,48,FALSE)</f>
        <v>24</v>
      </c>
      <c r="GQ31" s="564">
        <v>3</v>
      </c>
      <c r="GR31" s="256">
        <f t="shared" si="0"/>
        <v>0</v>
      </c>
      <c r="GS31" s="237" t="s">
        <v>88</v>
      </c>
    </row>
    <row r="32" spans="1:201" s="237" customFormat="1" ht="17.25" customHeight="1">
      <c r="A32" s="236" t="s">
        <v>854</v>
      </c>
      <c r="C32" s="238"/>
      <c r="D32" s="238">
        <v>179</v>
      </c>
      <c r="E32" s="238">
        <v>8</v>
      </c>
      <c r="F32" s="239">
        <v>4.4692737430167599E-2</v>
      </c>
      <c r="G32" s="238">
        <v>3</v>
      </c>
      <c r="H32" s="240">
        <v>0</v>
      </c>
      <c r="I32" s="239">
        <v>0</v>
      </c>
      <c r="J32" s="238">
        <v>79</v>
      </c>
      <c r="K32" s="238">
        <v>0</v>
      </c>
      <c r="L32" s="238">
        <v>0</v>
      </c>
      <c r="M32" s="241">
        <v>0</v>
      </c>
      <c r="N32" s="238">
        <v>0</v>
      </c>
      <c r="O32" s="239">
        <v>0</v>
      </c>
      <c r="P32" s="237">
        <v>0</v>
      </c>
      <c r="Q32" s="237">
        <v>0</v>
      </c>
      <c r="R32" s="239">
        <v>0</v>
      </c>
      <c r="S32" s="238">
        <v>0</v>
      </c>
      <c r="T32" s="436">
        <v>0</v>
      </c>
      <c r="U32" s="436">
        <v>0</v>
      </c>
      <c r="V32" s="436">
        <v>0</v>
      </c>
      <c r="W32" s="436">
        <v>0</v>
      </c>
      <c r="X32" s="238">
        <v>943</v>
      </c>
      <c r="Y32" s="237">
        <v>0.13109999999999999</v>
      </c>
      <c r="Z32" s="238">
        <v>12682</v>
      </c>
      <c r="AA32" s="238">
        <v>13115</v>
      </c>
      <c r="AB32" s="238">
        <v>80.13</v>
      </c>
      <c r="AC32" s="238">
        <v>0</v>
      </c>
      <c r="AD32" s="238">
        <v>1074321.2</v>
      </c>
      <c r="AE32" s="238">
        <v>46755.639999999781</v>
      </c>
      <c r="AF32" s="238">
        <v>902752.29</v>
      </c>
      <c r="AG32" s="238">
        <v>21197.72</v>
      </c>
      <c r="AH32" s="239">
        <v>2.3481214320708065E-2</v>
      </c>
      <c r="AI32" s="247">
        <v>23.343154999999999</v>
      </c>
      <c r="AJ32" s="242">
        <v>4.0914320000000002</v>
      </c>
      <c r="AK32" s="242">
        <v>2.2857162011173187</v>
      </c>
      <c r="AL32" s="242" t="s">
        <v>678</v>
      </c>
      <c r="AM32" s="242" t="s">
        <v>678</v>
      </c>
      <c r="AN32" s="242">
        <v>3318.32</v>
      </c>
      <c r="AO32" s="238">
        <v>821.97</v>
      </c>
      <c r="AP32" s="243">
        <v>4</v>
      </c>
      <c r="AQ32" s="238"/>
      <c r="AR32" s="238">
        <v>1622.0301505292493</v>
      </c>
      <c r="AS32" s="238">
        <v>998.80721838715783</v>
      </c>
      <c r="AT32" s="238">
        <v>37604</v>
      </c>
      <c r="AU32" s="238">
        <v>197.78463341776236</v>
      </c>
      <c r="AV32" s="237">
        <v>0</v>
      </c>
      <c r="AW32" s="237">
        <v>0</v>
      </c>
      <c r="AX32" s="237">
        <v>0</v>
      </c>
      <c r="AY32" s="244" t="s">
        <v>695</v>
      </c>
      <c r="AZ32" s="244" t="s">
        <v>695</v>
      </c>
      <c r="BA32" s="237">
        <v>0</v>
      </c>
      <c r="BB32" s="245" t="s">
        <v>678</v>
      </c>
      <c r="BC32" s="215" t="s">
        <v>678</v>
      </c>
      <c r="BE32" s="237">
        <v>10</v>
      </c>
      <c r="BF32" s="237">
        <v>15</v>
      </c>
      <c r="BG32" s="246" t="s">
        <v>676</v>
      </c>
      <c r="BI32" s="239">
        <v>0.30820399113082042</v>
      </c>
      <c r="BJ32" s="239">
        <v>0.12195121951219512</v>
      </c>
      <c r="BK32" s="239">
        <v>0.53436807095343686</v>
      </c>
      <c r="BL32" s="239">
        <v>3.5476718403547672E-2</v>
      </c>
      <c r="BM32" s="247">
        <v>1.7028824833702882</v>
      </c>
      <c r="BN32" s="248">
        <v>1</v>
      </c>
      <c r="BO32" s="248">
        <v>0</v>
      </c>
      <c r="BP32" s="237">
        <v>0</v>
      </c>
      <c r="BQ32" s="237">
        <v>0</v>
      </c>
      <c r="BR32" s="248">
        <v>1</v>
      </c>
      <c r="BS32" s="237">
        <v>4.5</v>
      </c>
      <c r="BT32" s="237" t="s">
        <v>790</v>
      </c>
      <c r="BU32" s="249" t="s">
        <v>678</v>
      </c>
      <c r="BV32" s="249" t="s">
        <v>678</v>
      </c>
      <c r="BW32" s="249" t="s">
        <v>678</v>
      </c>
      <c r="BX32" s="249" t="s">
        <v>678</v>
      </c>
      <c r="BY32" s="249" t="s">
        <v>678</v>
      </c>
      <c r="BZ32" s="249" t="s">
        <v>678</v>
      </c>
      <c r="CA32" s="249" t="s">
        <v>678</v>
      </c>
      <c r="CB32" s="249" t="s">
        <v>678</v>
      </c>
      <c r="CC32" s="250" t="s">
        <v>678</v>
      </c>
      <c r="CD32" s="242" t="s">
        <v>678</v>
      </c>
      <c r="CE32" s="252" t="s">
        <v>678</v>
      </c>
      <c r="CF32" s="238">
        <v>341</v>
      </c>
      <c r="CG32" s="238">
        <v>52</v>
      </c>
      <c r="CH32" s="238">
        <v>5.3663570691434472</v>
      </c>
      <c r="CI32" s="216" t="s">
        <v>722</v>
      </c>
      <c r="CJ32" s="237">
        <v>1</v>
      </c>
      <c r="CK32" s="253">
        <v>17.71</v>
      </c>
      <c r="CL32" s="253">
        <v>20.510100000000001</v>
      </c>
      <c r="CM32" s="254">
        <v>0.11458156424581006</v>
      </c>
      <c r="CN32" s="237" t="s">
        <v>791</v>
      </c>
      <c r="CO32" s="242"/>
      <c r="CP32" s="255">
        <v>0</v>
      </c>
      <c r="CW32" s="261" t="s">
        <v>678</v>
      </c>
      <c r="CX32" s="261" t="s">
        <v>678</v>
      </c>
      <c r="CY32" s="261" t="s">
        <v>678</v>
      </c>
      <c r="DB32" s="216" t="s">
        <v>746</v>
      </c>
      <c r="DC32" s="256" t="s">
        <v>855</v>
      </c>
      <c r="DD32" s="256">
        <v>0.7</v>
      </c>
      <c r="DE32" s="256">
        <v>-6.5</v>
      </c>
      <c r="DF32" s="256">
        <v>0.7</v>
      </c>
      <c r="DG32" s="256">
        <v>-2.2000000000000002</v>
      </c>
      <c r="DL32" s="237" t="s">
        <v>682</v>
      </c>
      <c r="DP32" s="258" t="s">
        <v>682</v>
      </c>
      <c r="DQ32" s="258"/>
      <c r="DR32" s="258"/>
      <c r="DS32" s="258"/>
      <c r="DT32" s="258"/>
      <c r="DU32" s="237">
        <v>0</v>
      </c>
      <c r="DX32" s="247"/>
      <c r="DY32" s="247">
        <v>0</v>
      </c>
      <c r="EA32" s="237">
        <v>0</v>
      </c>
      <c r="ED32" s="237" t="s">
        <v>678</v>
      </c>
      <c r="EE32" s="208">
        <v>3</v>
      </c>
      <c r="EF32" s="237" t="s">
        <v>678</v>
      </c>
      <c r="EG32" s="216" t="s">
        <v>703</v>
      </c>
      <c r="EH32" s="246" t="s">
        <v>704</v>
      </c>
      <c r="EI32" s="216"/>
      <c r="EJ32" s="216" t="s">
        <v>806</v>
      </c>
      <c r="EK32" s="222" t="s">
        <v>682</v>
      </c>
      <c r="EL32" s="259">
        <v>1999</v>
      </c>
      <c r="EM32" s="260">
        <v>16048</v>
      </c>
      <c r="EN32" s="260">
        <v>28490</v>
      </c>
      <c r="EO32" s="260">
        <v>10187</v>
      </c>
      <c r="ER32" s="237" t="s">
        <v>705</v>
      </c>
      <c r="ES32" s="237">
        <v>969</v>
      </c>
      <c r="ET32" s="237">
        <v>0.63478315054835488</v>
      </c>
      <c r="EU32" s="661">
        <v>3</v>
      </c>
      <c r="EV32" s="661" t="s">
        <v>678</v>
      </c>
      <c r="EW32" s="661">
        <v>1</v>
      </c>
      <c r="EX32" s="661">
        <v>5</v>
      </c>
      <c r="EY32" s="660">
        <v>9.8938547486033521E-2</v>
      </c>
      <c r="EZ32" s="256">
        <v>54.714850367024276</v>
      </c>
      <c r="FA32" s="247">
        <v>0</v>
      </c>
      <c r="FB32" s="208" t="s">
        <v>678</v>
      </c>
      <c r="FC32" s="208" t="s">
        <v>678</v>
      </c>
      <c r="FD32" s="208">
        <v>5</v>
      </c>
      <c r="FE32" s="239">
        <v>0.375</v>
      </c>
      <c r="FF32" s="208"/>
      <c r="FG32" s="241">
        <v>0</v>
      </c>
      <c r="FH32" s="209">
        <v>0</v>
      </c>
      <c r="FI32" s="237" t="s">
        <v>678</v>
      </c>
      <c r="FJ32" s="208" t="s">
        <v>678</v>
      </c>
      <c r="FK32" s="208" t="s">
        <v>678</v>
      </c>
      <c r="FL32" s="217" t="s">
        <v>678</v>
      </c>
      <c r="FM32" s="208" t="s">
        <v>678</v>
      </c>
      <c r="FN32" s="208" t="s">
        <v>678</v>
      </c>
      <c r="FP32" s="247" t="s">
        <v>693</v>
      </c>
      <c r="FU32" s="208" t="s">
        <v>678</v>
      </c>
      <c r="FV32" s="208" t="s">
        <v>678</v>
      </c>
      <c r="FW32" s="208" t="s">
        <v>678</v>
      </c>
      <c r="FX32" s="208" t="s">
        <v>678</v>
      </c>
      <c r="FY32" s="208" t="s">
        <v>678</v>
      </c>
      <c r="FZ32" s="208" t="s">
        <v>678</v>
      </c>
      <c r="GA32" s="208" t="s">
        <v>678</v>
      </c>
      <c r="GB32" s="208" t="s">
        <v>678</v>
      </c>
      <c r="GC32" s="208" t="s">
        <v>678</v>
      </c>
      <c r="GD32" s="208" t="s">
        <v>678</v>
      </c>
      <c r="GE32" s="237" t="s">
        <v>678</v>
      </c>
      <c r="GF32" s="237" t="s">
        <v>678</v>
      </c>
      <c r="GG32" s="237" t="s">
        <v>678</v>
      </c>
      <c r="GH32" s="237" t="s">
        <v>678</v>
      </c>
      <c r="GJ32" s="947"/>
      <c r="GK32" s="320"/>
      <c r="GL32" s="320"/>
      <c r="GM32" s="320"/>
      <c r="GN32" s="320"/>
      <c r="GO32" s="662">
        <v>8027</v>
      </c>
      <c r="GP32" s="663" t="str">
        <f>VLOOKUP(GS32,'BD Comarcal'!$A$6:$AV$17,48,FALSE)</f>
        <v>03</v>
      </c>
      <c r="GQ32" s="564">
        <v>8</v>
      </c>
      <c r="GR32" s="256">
        <f t="shared" si="0"/>
        <v>0</v>
      </c>
      <c r="GS32" s="237" t="s">
        <v>791</v>
      </c>
    </row>
    <row r="33" spans="1:201" s="237" customFormat="1" ht="17.25" customHeight="1">
      <c r="A33" s="236" t="s">
        <v>856</v>
      </c>
      <c r="C33" s="238"/>
      <c r="D33" s="238">
        <v>1700</v>
      </c>
      <c r="E33" s="238">
        <v>1138</v>
      </c>
      <c r="F33" s="239">
        <v>0.66941176470588237</v>
      </c>
      <c r="G33" s="238">
        <v>910</v>
      </c>
      <c r="H33" s="240">
        <v>576.91575466843688</v>
      </c>
      <c r="I33" s="239">
        <v>0.50695584768755442</v>
      </c>
      <c r="J33" s="238">
        <v>323</v>
      </c>
      <c r="K33" s="238">
        <v>0</v>
      </c>
      <c r="L33" s="238">
        <v>10</v>
      </c>
      <c r="M33" s="241">
        <v>5.8823529411764705E-3</v>
      </c>
      <c r="N33" s="238">
        <v>97</v>
      </c>
      <c r="O33" s="239">
        <v>0.30030959752321984</v>
      </c>
      <c r="Q33" s="237">
        <v>0</v>
      </c>
      <c r="R33" s="239">
        <v>0</v>
      </c>
      <c r="S33" s="238">
        <v>5</v>
      </c>
      <c r="T33" s="436">
        <v>0</v>
      </c>
      <c r="U33" s="436">
        <v>0</v>
      </c>
      <c r="V33" s="436">
        <v>0</v>
      </c>
      <c r="W33" s="436">
        <v>0</v>
      </c>
      <c r="X33" s="238">
        <v>1351</v>
      </c>
      <c r="Y33" s="237">
        <v>0.14749999999999999</v>
      </c>
      <c r="Z33" s="238">
        <v>16710</v>
      </c>
      <c r="AA33" s="238">
        <v>12396</v>
      </c>
      <c r="AB33" s="238">
        <v>75.739999999999995</v>
      </c>
      <c r="AC33" s="238">
        <v>438</v>
      </c>
      <c r="AD33" s="238">
        <v>1742287.95</v>
      </c>
      <c r="AE33" s="238">
        <v>493047.66000000038</v>
      </c>
      <c r="AF33" s="238">
        <v>1514208.7699999998</v>
      </c>
      <c r="AG33" s="238">
        <v>174078.19</v>
      </c>
      <c r="AH33" s="239">
        <v>0.11496313682029462</v>
      </c>
      <c r="AI33" s="242">
        <v>223.666921</v>
      </c>
      <c r="AJ33" s="242">
        <v>33.734454999999997</v>
      </c>
      <c r="AK33" s="242">
        <v>1.9843797058823529</v>
      </c>
      <c r="AL33" s="242">
        <v>225.09736699999999</v>
      </c>
      <c r="AM33" s="242">
        <v>13.241021588235293</v>
      </c>
      <c r="AN33" s="242">
        <v>16067.47</v>
      </c>
      <c r="AO33" s="238">
        <v>1436.54</v>
      </c>
      <c r="AP33" s="243">
        <v>6</v>
      </c>
      <c r="AQ33" s="238"/>
      <c r="AR33" s="238">
        <v>1303.7179891910812</v>
      </c>
      <c r="AS33" s="238">
        <v>1362.9873010396129</v>
      </c>
      <c r="AT33" s="238">
        <v>105373</v>
      </c>
      <c r="AU33" s="238">
        <v>457.56191968672891</v>
      </c>
      <c r="AV33" s="237">
        <v>1</v>
      </c>
      <c r="AW33" s="237">
        <v>0</v>
      </c>
      <c r="AX33" s="237">
        <v>1</v>
      </c>
      <c r="AY33" s="244" t="s">
        <v>682</v>
      </c>
      <c r="AZ33" s="244" t="s">
        <v>726</v>
      </c>
      <c r="BA33" s="237">
        <v>2013</v>
      </c>
      <c r="BB33" s="245" t="s">
        <v>857</v>
      </c>
      <c r="BC33" s="215" t="s">
        <v>858</v>
      </c>
      <c r="BE33" s="237">
        <v>8</v>
      </c>
      <c r="BF33" s="237">
        <v>20</v>
      </c>
      <c r="BG33" s="246" t="s">
        <v>698</v>
      </c>
      <c r="BI33" s="239">
        <v>0.29809220985691576</v>
      </c>
      <c r="BJ33" s="239">
        <v>0.30365659777424481</v>
      </c>
      <c r="BK33" s="239">
        <v>0.37599364069952307</v>
      </c>
      <c r="BL33" s="239">
        <v>2.2257551669316374E-2</v>
      </c>
      <c r="BM33" s="247">
        <v>1.87758346581876</v>
      </c>
      <c r="BN33" s="248">
        <v>0</v>
      </c>
      <c r="BO33" s="248">
        <v>0</v>
      </c>
      <c r="BP33" s="237">
        <v>0</v>
      </c>
      <c r="BQ33" s="237">
        <v>0</v>
      </c>
      <c r="BR33" s="248">
        <v>0</v>
      </c>
      <c r="BS33" s="237">
        <v>21</v>
      </c>
      <c r="BT33" s="237" t="s">
        <v>755</v>
      </c>
      <c r="BU33" s="249" t="s">
        <v>678</v>
      </c>
      <c r="BV33" s="249">
        <v>148</v>
      </c>
      <c r="BW33" s="249">
        <v>777</v>
      </c>
      <c r="BX33" s="249" t="s">
        <v>678</v>
      </c>
      <c r="BY33" s="249" t="s">
        <v>678</v>
      </c>
      <c r="BZ33" s="249">
        <v>11.061285500747385</v>
      </c>
      <c r="CA33" s="249">
        <v>58.071748878923763</v>
      </c>
      <c r="CB33" s="249" t="s">
        <v>678</v>
      </c>
      <c r="CC33" s="250" t="s">
        <v>678</v>
      </c>
      <c r="CD33" s="242" t="s">
        <v>678</v>
      </c>
      <c r="CE33" s="252" t="s">
        <v>678</v>
      </c>
      <c r="CF33" s="238">
        <v>1116</v>
      </c>
      <c r="CG33" s="238">
        <v>149.80000000000001</v>
      </c>
      <c r="CH33" s="238">
        <v>11.195814648729447</v>
      </c>
      <c r="CI33" s="216" t="s">
        <v>722</v>
      </c>
      <c r="CJ33" s="237">
        <v>1</v>
      </c>
      <c r="CK33" s="253">
        <v>241.52</v>
      </c>
      <c r="CL33" s="253">
        <v>13.07</v>
      </c>
      <c r="CM33" s="254">
        <v>7.6882352941176476E-3</v>
      </c>
      <c r="CN33" s="237" t="s">
        <v>81</v>
      </c>
      <c r="CO33" s="242">
        <v>1301.17</v>
      </c>
      <c r="CP33" s="255">
        <v>0.76539411764705889</v>
      </c>
      <c r="CV33" s="237">
        <v>1</v>
      </c>
      <c r="CW33" s="261" t="s">
        <v>678</v>
      </c>
      <c r="CX33" s="261" t="s">
        <v>678</v>
      </c>
      <c r="CY33" s="261" t="s">
        <v>678</v>
      </c>
      <c r="DB33" s="216" t="s">
        <v>710</v>
      </c>
      <c r="DC33" s="195" t="s">
        <v>711</v>
      </c>
      <c r="DD33" s="256">
        <v>0.8</v>
      </c>
      <c r="DE33" s="256">
        <v>-10</v>
      </c>
      <c r="DF33" s="256">
        <v>0.5</v>
      </c>
      <c r="DG33" s="256">
        <v>-2.2999999999999998</v>
      </c>
      <c r="DH33" s="257">
        <v>2</v>
      </c>
      <c r="DI33" s="257">
        <v>6.6</v>
      </c>
      <c r="DJ33" s="257">
        <v>0.8</v>
      </c>
      <c r="DK33" s="257">
        <v>7.4</v>
      </c>
      <c r="DL33" s="237" t="s">
        <v>682</v>
      </c>
      <c r="DP33" s="258" t="s">
        <v>682</v>
      </c>
      <c r="DQ33" s="258"/>
      <c r="DR33" s="258"/>
      <c r="DS33" s="258"/>
      <c r="DT33" s="258"/>
      <c r="DU33" s="237">
        <v>0</v>
      </c>
      <c r="DX33" s="247"/>
      <c r="DY33" s="247">
        <v>0</v>
      </c>
      <c r="EA33" s="237">
        <v>1</v>
      </c>
      <c r="EB33" s="237" t="s">
        <v>859</v>
      </c>
      <c r="ED33" s="237" t="s">
        <v>687</v>
      </c>
      <c r="EE33" s="208">
        <v>1</v>
      </c>
      <c r="EF33" s="237" t="s">
        <v>688</v>
      </c>
      <c r="EG33" s="216" t="s">
        <v>733</v>
      </c>
      <c r="EH33" s="246" t="s">
        <v>734</v>
      </c>
      <c r="EI33" s="216" t="s">
        <v>691</v>
      </c>
      <c r="EJ33" s="216" t="s">
        <v>529</v>
      </c>
      <c r="EK33" s="222" t="s">
        <v>682</v>
      </c>
      <c r="EL33" s="259">
        <v>1984</v>
      </c>
      <c r="EM33" s="260">
        <v>2700</v>
      </c>
      <c r="EN33" s="260">
        <v>101657</v>
      </c>
      <c r="EO33" s="260">
        <v>8110</v>
      </c>
      <c r="EP33" s="237">
        <v>1</v>
      </c>
      <c r="EQ33" s="237">
        <v>44</v>
      </c>
      <c r="ER33" s="237" t="s">
        <v>705</v>
      </c>
      <c r="ES33" s="237" t="e">
        <v>#DIV/0!</v>
      </c>
      <c r="ET33" s="237">
        <v>3.0037037037037035</v>
      </c>
      <c r="EU33" s="661">
        <v>1</v>
      </c>
      <c r="EV33" s="661" t="s">
        <v>678</v>
      </c>
      <c r="EW33" s="661">
        <v>4</v>
      </c>
      <c r="EX33" s="661">
        <v>5</v>
      </c>
      <c r="EY33" s="660">
        <v>0.14207058823529412</v>
      </c>
      <c r="EZ33" s="256">
        <v>5.5399138787678037</v>
      </c>
      <c r="FA33" s="247">
        <v>8.7873462214411252E-2</v>
      </c>
      <c r="FB33" s="208">
        <v>4</v>
      </c>
      <c r="FC33" s="208">
        <v>6</v>
      </c>
      <c r="FD33" s="208">
        <v>2</v>
      </c>
      <c r="FE33" s="239">
        <v>0.79964850615114236</v>
      </c>
      <c r="FF33" s="208"/>
      <c r="FG33" s="241">
        <v>6.5026362038664324E-3</v>
      </c>
      <c r="FH33" s="209">
        <v>0</v>
      </c>
      <c r="FI33" s="237" t="s">
        <v>678</v>
      </c>
      <c r="FJ33" s="208">
        <v>44.6</v>
      </c>
      <c r="FK33" s="208">
        <v>51.15</v>
      </c>
      <c r="FL33" s="217">
        <v>91.1</v>
      </c>
      <c r="FM33" s="208">
        <v>4.28</v>
      </c>
      <c r="FN33" s="208" t="s">
        <v>860</v>
      </c>
      <c r="FP33" s="247" t="s">
        <v>693</v>
      </c>
      <c r="FU33" s="208">
        <v>31</v>
      </c>
      <c r="FV33" s="208">
        <v>28.6</v>
      </c>
      <c r="FW33" s="237">
        <v>77.91</v>
      </c>
      <c r="FX33" s="237">
        <v>63.7</v>
      </c>
      <c r="FY33" s="208">
        <v>50.69</v>
      </c>
      <c r="FZ33" s="208">
        <v>62.3</v>
      </c>
      <c r="GA33" s="208">
        <v>60.58</v>
      </c>
      <c r="GB33" s="208">
        <v>67.7</v>
      </c>
      <c r="GC33" s="208">
        <v>0.78</v>
      </c>
      <c r="GD33" s="208">
        <v>77.3</v>
      </c>
      <c r="GE33" s="237">
        <v>45.2</v>
      </c>
      <c r="GF33" s="237">
        <v>59.3</v>
      </c>
      <c r="GG33" s="237">
        <v>9.83</v>
      </c>
      <c r="GH33" s="237">
        <v>66.3</v>
      </c>
      <c r="GJ33" s="947"/>
      <c r="GK33" s="320"/>
      <c r="GL33" s="320"/>
      <c r="GM33" s="320"/>
      <c r="GN33" s="320"/>
      <c r="GO33" s="662">
        <v>8028</v>
      </c>
      <c r="GP33" s="663" t="str">
        <f>VLOOKUP(GS33,'BD Comarcal'!$A$6:$AV$17,48,FALSE)</f>
        <v>06</v>
      </c>
      <c r="GQ33" s="564">
        <v>2</v>
      </c>
      <c r="GR33" s="256">
        <f t="shared" si="0"/>
        <v>1</v>
      </c>
      <c r="GS33" s="237" t="s">
        <v>81</v>
      </c>
    </row>
    <row r="34" spans="1:201" s="237" customFormat="1" ht="17.25" customHeight="1">
      <c r="A34" s="236" t="s">
        <v>336</v>
      </c>
      <c r="C34" s="238" t="s">
        <v>683</v>
      </c>
      <c r="D34" s="238">
        <v>950</v>
      </c>
      <c r="E34" s="238">
        <v>325</v>
      </c>
      <c r="F34" s="239">
        <v>0.34210526315789475</v>
      </c>
      <c r="G34" s="238" t="s">
        <v>752</v>
      </c>
      <c r="H34" s="240">
        <v>3.8297135505322983</v>
      </c>
      <c r="I34" s="239">
        <v>1.1783734001637841E-2</v>
      </c>
      <c r="J34" s="238">
        <v>138</v>
      </c>
      <c r="K34" s="238">
        <v>33</v>
      </c>
      <c r="L34" s="238">
        <v>120</v>
      </c>
      <c r="M34" s="241">
        <v>0.12631578947368421</v>
      </c>
      <c r="N34" s="238">
        <v>0</v>
      </c>
      <c r="O34" s="239">
        <v>0</v>
      </c>
      <c r="P34" s="237">
        <v>8</v>
      </c>
      <c r="Q34" s="237">
        <v>0</v>
      </c>
      <c r="R34" s="239">
        <v>0</v>
      </c>
      <c r="S34" s="238">
        <v>72</v>
      </c>
      <c r="T34" s="436">
        <v>0</v>
      </c>
      <c r="U34" s="436">
        <v>12</v>
      </c>
      <c r="V34" s="436">
        <v>16</v>
      </c>
      <c r="W34" s="436">
        <v>28</v>
      </c>
      <c r="X34" s="238">
        <v>4553</v>
      </c>
      <c r="Y34" s="237">
        <v>0.1454</v>
      </c>
      <c r="Z34" s="238">
        <v>89115</v>
      </c>
      <c r="AA34" s="238">
        <v>19707</v>
      </c>
      <c r="AB34" s="238">
        <v>120.41</v>
      </c>
      <c r="AC34" s="238">
        <v>3216</v>
      </c>
      <c r="AD34" s="238">
        <v>7715957.79</v>
      </c>
      <c r="AE34" s="238">
        <v>579872.93999999948</v>
      </c>
      <c r="AF34" s="238">
        <v>7191588.9000000004</v>
      </c>
      <c r="AG34" s="238">
        <v>841179.56</v>
      </c>
      <c r="AH34" s="239">
        <v>0.11696713642794571</v>
      </c>
      <c r="AI34" s="242">
        <v>177.62934200000001</v>
      </c>
      <c r="AJ34" s="242">
        <v>20.163737000000001</v>
      </c>
      <c r="AK34" s="242">
        <v>2.1224986315789476</v>
      </c>
      <c r="AL34" s="242">
        <v>63.895797999999999</v>
      </c>
      <c r="AM34" s="242">
        <v>6.7258734736842101</v>
      </c>
      <c r="AN34" s="242">
        <v>33198.410000000003</v>
      </c>
      <c r="AO34" s="238">
        <v>0</v>
      </c>
      <c r="AP34" s="243">
        <v>0</v>
      </c>
      <c r="AQ34" s="238"/>
      <c r="AR34" s="238">
        <v>1751.2858841302141</v>
      </c>
      <c r="AS34" s="238">
        <v>2656.9880124711708</v>
      </c>
      <c r="AT34" s="238">
        <v>609301.81770833337</v>
      </c>
      <c r="AU34" s="238">
        <v>439.20921967150997</v>
      </c>
      <c r="AV34" s="237">
        <v>1</v>
      </c>
      <c r="AW34" s="237">
        <v>1</v>
      </c>
      <c r="AX34" s="237">
        <v>1</v>
      </c>
      <c r="AY34" s="244" t="s">
        <v>717</v>
      </c>
      <c r="AZ34" s="244" t="s">
        <v>717</v>
      </c>
      <c r="BA34" s="237">
        <v>2009</v>
      </c>
      <c r="BB34" s="245" t="s">
        <v>861</v>
      </c>
      <c r="BC34" s="215" t="s">
        <v>862</v>
      </c>
      <c r="BE34" s="237">
        <v>403</v>
      </c>
      <c r="BF34" s="237">
        <v>2</v>
      </c>
      <c r="BG34" s="246" t="s">
        <v>676</v>
      </c>
      <c r="BI34" s="239">
        <v>0.49516728624535317</v>
      </c>
      <c r="BJ34" s="239">
        <v>0.19479553903345725</v>
      </c>
      <c r="BK34" s="239">
        <v>0.30446096654275095</v>
      </c>
      <c r="BL34" s="239">
        <v>5.5762081784386614E-3</v>
      </c>
      <c r="BM34" s="247">
        <v>2.1795539033457252</v>
      </c>
      <c r="BN34" s="248">
        <v>2</v>
      </c>
      <c r="BO34" s="248">
        <v>0</v>
      </c>
      <c r="BP34" s="237">
        <v>0</v>
      </c>
      <c r="BQ34" s="237">
        <v>0</v>
      </c>
      <c r="BR34" s="248">
        <v>2</v>
      </c>
      <c r="BS34" s="262" t="s">
        <v>345</v>
      </c>
      <c r="BU34" s="249" t="s">
        <v>678</v>
      </c>
      <c r="BV34" s="249">
        <v>276</v>
      </c>
      <c r="BW34" s="249">
        <v>1945</v>
      </c>
      <c r="BX34" s="249">
        <v>1263</v>
      </c>
      <c r="BY34" s="249" t="s">
        <v>678</v>
      </c>
      <c r="BZ34" s="249">
        <v>6.0940604990064031</v>
      </c>
      <c r="CA34" s="249">
        <v>42.945462574519759</v>
      </c>
      <c r="CB34" s="249">
        <v>27.886950761757561</v>
      </c>
      <c r="CC34" s="250" t="s">
        <v>678</v>
      </c>
      <c r="CD34" s="242">
        <v>3617</v>
      </c>
      <c r="CE34" s="252">
        <v>179.86310443806579</v>
      </c>
      <c r="CF34" s="238">
        <v>2264</v>
      </c>
      <c r="CG34" s="238">
        <v>202.9</v>
      </c>
      <c r="CH34" s="238">
        <v>4.4800176639434754</v>
      </c>
      <c r="CI34" s="216" t="s">
        <v>679</v>
      </c>
      <c r="CJ34" s="237">
        <v>0</v>
      </c>
      <c r="CK34" s="253">
        <v>185.21</v>
      </c>
      <c r="CL34" s="253">
        <v>68.295400000000001</v>
      </c>
      <c r="CM34" s="254">
        <v>7.1889894736842111E-2</v>
      </c>
      <c r="CN34" s="237" t="s">
        <v>86</v>
      </c>
      <c r="CO34" s="242">
        <v>176.08</v>
      </c>
      <c r="CP34" s="255">
        <v>0.18534736842105265</v>
      </c>
      <c r="CV34" s="237">
        <v>8</v>
      </c>
      <c r="CW34" s="261" t="s">
        <v>678</v>
      </c>
      <c r="CX34" s="261" t="s">
        <v>678</v>
      </c>
      <c r="CY34" s="261" t="s">
        <v>678</v>
      </c>
      <c r="CZ34" s="237" t="s">
        <v>529</v>
      </c>
      <c r="DA34" s="237" t="s">
        <v>863</v>
      </c>
      <c r="DB34" s="216" t="s">
        <v>710</v>
      </c>
      <c r="DC34" s="195" t="s">
        <v>711</v>
      </c>
      <c r="DD34" s="256">
        <v>0.7</v>
      </c>
      <c r="DE34" s="256">
        <v>-6.5</v>
      </c>
      <c r="DF34" s="256">
        <v>0.7</v>
      </c>
      <c r="DG34" s="256">
        <v>-2.2000000000000002</v>
      </c>
      <c r="DH34" s="257">
        <v>2</v>
      </c>
      <c r="DI34" s="257">
        <v>12.82</v>
      </c>
      <c r="DJ34" s="257">
        <v>0.22</v>
      </c>
      <c r="DK34" s="257">
        <v>13.04</v>
      </c>
      <c r="DL34" s="237" t="s">
        <v>529</v>
      </c>
      <c r="DM34" s="237" t="s">
        <v>764</v>
      </c>
      <c r="DN34" s="237" t="s">
        <v>713</v>
      </c>
      <c r="DP34" s="258" t="s">
        <v>682</v>
      </c>
      <c r="DQ34" s="258"/>
      <c r="DR34" s="258"/>
      <c r="DS34" s="258"/>
      <c r="DT34" s="258"/>
      <c r="DU34" s="237">
        <v>0</v>
      </c>
      <c r="DX34" s="247"/>
      <c r="DY34" s="247">
        <v>0</v>
      </c>
      <c r="EA34" s="237">
        <v>1</v>
      </c>
      <c r="EB34" s="237" t="s">
        <v>765</v>
      </c>
      <c r="ED34" s="237" t="s">
        <v>678</v>
      </c>
      <c r="EE34" s="208">
        <v>3</v>
      </c>
      <c r="EF34" s="237" t="s">
        <v>678</v>
      </c>
      <c r="EG34" s="216" t="s">
        <v>689</v>
      </c>
      <c r="EH34" s="246" t="s">
        <v>690</v>
      </c>
      <c r="EI34" s="216" t="s">
        <v>691</v>
      </c>
      <c r="EJ34" s="216" t="s">
        <v>529</v>
      </c>
      <c r="EK34" s="222" t="s">
        <v>682</v>
      </c>
      <c r="EL34" s="259">
        <v>1993</v>
      </c>
      <c r="EM34" s="260">
        <v>2975</v>
      </c>
      <c r="EN34" s="260">
        <v>333754.453125</v>
      </c>
      <c r="EO34" s="260">
        <v>319802</v>
      </c>
      <c r="ER34" s="237" t="s">
        <v>705</v>
      </c>
      <c r="ES34" s="237">
        <v>2264.5</v>
      </c>
      <c r="ET34" s="237">
        <v>107.4964705882353</v>
      </c>
      <c r="EU34" s="661">
        <v>3</v>
      </c>
      <c r="EV34" s="661">
        <v>2</v>
      </c>
      <c r="EW34" s="661">
        <v>7</v>
      </c>
      <c r="EX34" s="661">
        <v>5</v>
      </c>
      <c r="EY34" s="660">
        <v>0.19495789473684211</v>
      </c>
      <c r="EZ34" s="256">
        <v>24.45332325468387</v>
      </c>
      <c r="FA34" s="247">
        <v>2.4615384615384617</v>
      </c>
      <c r="FB34" s="208" t="s">
        <v>678</v>
      </c>
      <c r="FC34" s="208" t="s">
        <v>678</v>
      </c>
      <c r="FD34" s="208">
        <v>5</v>
      </c>
      <c r="FE34" s="239" t="s">
        <v>678</v>
      </c>
      <c r="FF34" s="208"/>
      <c r="FG34" s="241">
        <v>4.0123076923076921E-2</v>
      </c>
      <c r="FH34" s="209">
        <v>0</v>
      </c>
      <c r="FI34" s="237" t="s">
        <v>678</v>
      </c>
      <c r="FJ34" s="208" t="s">
        <v>678</v>
      </c>
      <c r="FK34" s="208" t="s">
        <v>678</v>
      </c>
      <c r="FL34" s="217" t="s">
        <v>678</v>
      </c>
      <c r="FM34" s="208" t="s">
        <v>678</v>
      </c>
      <c r="FN34" s="208" t="s">
        <v>678</v>
      </c>
      <c r="FO34" s="237">
        <v>900</v>
      </c>
      <c r="FP34" s="247">
        <v>0.94736842105263153</v>
      </c>
      <c r="FU34" s="208" t="s">
        <v>678</v>
      </c>
      <c r="FV34" s="208" t="s">
        <v>678</v>
      </c>
      <c r="FW34" s="208" t="s">
        <v>678</v>
      </c>
      <c r="FX34" s="208" t="s">
        <v>678</v>
      </c>
      <c r="FY34" s="208" t="s">
        <v>678</v>
      </c>
      <c r="FZ34" s="208" t="s">
        <v>678</v>
      </c>
      <c r="GA34" s="208" t="s">
        <v>678</v>
      </c>
      <c r="GB34" s="208" t="s">
        <v>678</v>
      </c>
      <c r="GC34" s="208" t="s">
        <v>678</v>
      </c>
      <c r="GD34" s="208" t="s">
        <v>678</v>
      </c>
      <c r="GE34" s="237" t="s">
        <v>678</v>
      </c>
      <c r="GF34" s="237" t="s">
        <v>678</v>
      </c>
      <c r="GG34" s="237" t="s">
        <v>678</v>
      </c>
      <c r="GH34" s="237" t="s">
        <v>678</v>
      </c>
      <c r="GJ34" s="947"/>
      <c r="GK34" s="320"/>
      <c r="GL34" s="320"/>
      <c r="GM34" s="320"/>
      <c r="GN34" s="320"/>
      <c r="GO34" s="662">
        <v>8029</v>
      </c>
      <c r="GP34" s="663" t="str">
        <f>VLOOKUP(GS34,'BD Comarcal'!$A$6:$AV$17,48,FALSE)</f>
        <v>21</v>
      </c>
      <c r="GQ34" s="564">
        <v>25</v>
      </c>
      <c r="GR34" s="256">
        <f t="shared" si="0"/>
        <v>1</v>
      </c>
      <c r="GS34" s="237" t="s">
        <v>86</v>
      </c>
    </row>
    <row r="35" spans="1:201" s="237" customFormat="1" ht="17.25" customHeight="1">
      <c r="A35" s="236" t="s">
        <v>864</v>
      </c>
      <c r="C35" s="238"/>
      <c r="D35" s="238">
        <v>709</v>
      </c>
      <c r="E35" s="238">
        <v>389</v>
      </c>
      <c r="F35" s="239">
        <v>0.54866008462623417</v>
      </c>
      <c r="G35" s="238">
        <v>354</v>
      </c>
      <c r="H35" s="240">
        <v>37.755289769837788</v>
      </c>
      <c r="I35" s="239">
        <v>9.7057300179531583E-2</v>
      </c>
      <c r="J35" s="238">
        <v>11</v>
      </c>
      <c r="K35" s="238">
        <v>0</v>
      </c>
      <c r="L35" s="238">
        <v>10</v>
      </c>
      <c r="M35" s="241">
        <v>1.4104372355430184E-2</v>
      </c>
      <c r="N35" s="238">
        <v>0</v>
      </c>
      <c r="O35" s="239">
        <v>0</v>
      </c>
      <c r="P35" s="237">
        <v>0</v>
      </c>
      <c r="Q35" s="237">
        <v>0</v>
      </c>
      <c r="R35" s="239">
        <v>0</v>
      </c>
      <c r="S35" s="238">
        <v>0</v>
      </c>
      <c r="T35" s="436">
        <v>0</v>
      </c>
      <c r="U35" s="436">
        <v>0</v>
      </c>
      <c r="V35" s="436">
        <v>42</v>
      </c>
      <c r="W35" s="436">
        <v>42</v>
      </c>
      <c r="X35" s="238">
        <v>7287</v>
      </c>
      <c r="Y35" s="237">
        <v>0.1217</v>
      </c>
      <c r="Z35" s="238">
        <v>189549</v>
      </c>
      <c r="AA35" s="238">
        <v>26145</v>
      </c>
      <c r="AB35" s="238">
        <v>159.75</v>
      </c>
      <c r="AC35" s="238">
        <v>933</v>
      </c>
      <c r="AD35" s="238">
        <v>9416350.7999999989</v>
      </c>
      <c r="AE35" s="238">
        <v>2096469.6800000016</v>
      </c>
      <c r="AF35" s="238">
        <v>8918072.2599999998</v>
      </c>
      <c r="AG35" s="238">
        <v>856894.36</v>
      </c>
      <c r="AH35" s="239">
        <v>9.6085155515436477E-2</v>
      </c>
      <c r="AI35" s="242">
        <v>319.74380200000002</v>
      </c>
      <c r="AJ35" s="242">
        <v>81.997988000000007</v>
      </c>
      <c r="AK35" s="242">
        <v>11.56530155148096</v>
      </c>
      <c r="AL35" s="242">
        <v>260.18055500000003</v>
      </c>
      <c r="AM35" s="242">
        <v>36.69683427362483</v>
      </c>
      <c r="AN35" s="242">
        <v>21534.53</v>
      </c>
      <c r="AO35" s="238">
        <v>0</v>
      </c>
      <c r="AP35" s="243">
        <v>0</v>
      </c>
      <c r="AQ35" s="238"/>
      <c r="AR35" s="238">
        <v>1766.0877641567404</v>
      </c>
      <c r="AS35" s="238">
        <v>3663.1047014627216</v>
      </c>
      <c r="AT35" s="238">
        <v>646391.66666666663</v>
      </c>
      <c r="AU35" s="238">
        <v>509.42021019280571</v>
      </c>
      <c r="AV35" s="237">
        <v>1</v>
      </c>
      <c r="AW35" s="237">
        <v>1</v>
      </c>
      <c r="AX35" s="237">
        <v>1</v>
      </c>
      <c r="AY35" s="244" t="s">
        <v>717</v>
      </c>
      <c r="AZ35" s="244" t="s">
        <v>717</v>
      </c>
      <c r="BA35" s="237">
        <v>2010</v>
      </c>
      <c r="BB35" s="245" t="s">
        <v>861</v>
      </c>
      <c r="BC35" s="215" t="s">
        <v>862</v>
      </c>
      <c r="BE35" s="237">
        <v>264</v>
      </c>
      <c r="BF35" s="237">
        <v>2</v>
      </c>
      <c r="BG35" s="246" t="s">
        <v>676</v>
      </c>
      <c r="BI35" s="239">
        <v>0.4167640186915888</v>
      </c>
      <c r="BJ35" s="239">
        <v>0.19655373831775702</v>
      </c>
      <c r="BK35" s="239">
        <v>0.38054906542056077</v>
      </c>
      <c r="BL35" s="239">
        <v>6.1331775700934578E-3</v>
      </c>
      <c r="BM35" s="247">
        <v>2.0239485981308412</v>
      </c>
      <c r="BN35" s="248">
        <v>1</v>
      </c>
      <c r="BO35" s="248">
        <v>0</v>
      </c>
      <c r="BP35" s="237">
        <v>0</v>
      </c>
      <c r="BQ35" s="237">
        <v>0</v>
      </c>
      <c r="BR35" s="248">
        <v>1</v>
      </c>
      <c r="BS35" s="262" t="s">
        <v>345</v>
      </c>
      <c r="BU35" s="249" t="s">
        <v>678</v>
      </c>
      <c r="BV35" s="249">
        <v>432</v>
      </c>
      <c r="BW35" s="249">
        <v>2752</v>
      </c>
      <c r="BX35" s="249">
        <v>2121</v>
      </c>
      <c r="BY35" s="249" t="s">
        <v>678</v>
      </c>
      <c r="BZ35" s="249">
        <v>6.0158752262916027</v>
      </c>
      <c r="CA35" s="249">
        <v>38.32335329341317</v>
      </c>
      <c r="CB35" s="249">
        <v>29.536276284640021</v>
      </c>
      <c r="CC35" s="250" t="s">
        <v>678</v>
      </c>
      <c r="CD35" s="242">
        <v>-428</v>
      </c>
      <c r="CE35" s="252">
        <v>94.039827322099981</v>
      </c>
      <c r="CF35" s="238">
        <v>3087</v>
      </c>
      <c r="CG35" s="238">
        <v>347.9</v>
      </c>
      <c r="CH35" s="238">
        <v>4.8447291463584463</v>
      </c>
      <c r="CI35" s="216" t="s">
        <v>679</v>
      </c>
      <c r="CJ35" s="237">
        <v>0</v>
      </c>
      <c r="CK35" s="253">
        <v>281.7</v>
      </c>
      <c r="CL35" s="253">
        <v>52.328499999999998</v>
      </c>
      <c r="CM35" s="254">
        <v>7.3806064880112834E-2</v>
      </c>
      <c r="CN35" s="237" t="s">
        <v>86</v>
      </c>
      <c r="CO35" s="242">
        <v>150.47</v>
      </c>
      <c r="CP35" s="255">
        <v>0.21222849083215797</v>
      </c>
      <c r="CV35" s="237">
        <v>3</v>
      </c>
      <c r="CW35" s="194">
        <v>1.2390000000000001</v>
      </c>
      <c r="CX35" s="194">
        <v>0.63500000000000001</v>
      </c>
      <c r="CY35" s="194" t="s">
        <v>680</v>
      </c>
      <c r="DB35" s="216" t="s">
        <v>710</v>
      </c>
      <c r="DC35" s="195" t="s">
        <v>711</v>
      </c>
      <c r="DD35" s="256">
        <v>0.7</v>
      </c>
      <c r="DE35" s="256">
        <v>-6.5</v>
      </c>
      <c r="DF35" s="256">
        <v>0.7</v>
      </c>
      <c r="DG35" s="256">
        <v>-2.2000000000000002</v>
      </c>
      <c r="DL35" s="237" t="s">
        <v>529</v>
      </c>
      <c r="DM35" s="237" t="s">
        <v>764</v>
      </c>
      <c r="DN35" s="237" t="s">
        <v>713</v>
      </c>
      <c r="DP35" s="258" t="s">
        <v>682</v>
      </c>
      <c r="DQ35" s="258"/>
      <c r="DR35" s="258"/>
      <c r="DS35" s="258"/>
      <c r="DT35" s="258"/>
      <c r="DU35" s="237">
        <v>0</v>
      </c>
      <c r="DX35" s="247"/>
      <c r="DY35" s="247">
        <v>0</v>
      </c>
      <c r="EA35" s="237">
        <v>1</v>
      </c>
      <c r="EB35" s="237" t="s">
        <v>714</v>
      </c>
      <c r="ED35" s="237" t="s">
        <v>749</v>
      </c>
      <c r="EE35" s="208">
        <v>1</v>
      </c>
      <c r="EF35" s="237" t="s">
        <v>688</v>
      </c>
      <c r="EG35" s="216" t="s">
        <v>689</v>
      </c>
      <c r="EH35" s="246" t="s">
        <v>690</v>
      </c>
      <c r="EI35" s="216" t="s">
        <v>691</v>
      </c>
      <c r="EJ35" s="216" t="s">
        <v>529</v>
      </c>
      <c r="EK35" s="222" t="s">
        <v>682</v>
      </c>
      <c r="EL35" s="259">
        <v>1990</v>
      </c>
      <c r="EM35" s="260">
        <v>5450</v>
      </c>
      <c r="EN35" s="260">
        <v>609873</v>
      </c>
      <c r="EO35" s="260">
        <v>63774</v>
      </c>
      <c r="ER35" s="237" t="s">
        <v>705</v>
      </c>
      <c r="ES35" s="237">
        <v>7181</v>
      </c>
      <c r="ET35" s="237">
        <v>11.701651376146788</v>
      </c>
      <c r="EU35" s="661">
        <v>1</v>
      </c>
      <c r="EV35" s="661">
        <v>2</v>
      </c>
      <c r="EW35" s="661">
        <v>5</v>
      </c>
      <c r="EX35" s="661">
        <v>5</v>
      </c>
      <c r="EY35" s="660">
        <v>0.39732016925246827</v>
      </c>
      <c r="EZ35" s="256">
        <v>25.491657791977282</v>
      </c>
      <c r="FA35" s="247">
        <v>0.77120822622107965</v>
      </c>
      <c r="FB35" s="208">
        <v>2</v>
      </c>
      <c r="FC35" s="208">
        <v>4</v>
      </c>
      <c r="FD35" s="208">
        <v>5</v>
      </c>
      <c r="FE35" s="239">
        <v>0.91002570694087404</v>
      </c>
      <c r="FF35" s="208"/>
      <c r="FG35" s="241">
        <v>0</v>
      </c>
      <c r="FH35" s="209">
        <v>0</v>
      </c>
      <c r="FI35" s="237" t="s">
        <v>678</v>
      </c>
      <c r="FJ35" s="208" t="s">
        <v>678</v>
      </c>
      <c r="FK35" s="208" t="s">
        <v>678</v>
      </c>
      <c r="FL35" s="217" t="s">
        <v>678</v>
      </c>
      <c r="FM35" s="208" t="s">
        <v>678</v>
      </c>
      <c r="FN35" s="208" t="s">
        <v>678</v>
      </c>
      <c r="FP35" s="247" t="s">
        <v>693</v>
      </c>
      <c r="FU35" s="208" t="s">
        <v>678</v>
      </c>
      <c r="FV35" s="208" t="s">
        <v>678</v>
      </c>
      <c r="FW35" s="208" t="s">
        <v>678</v>
      </c>
      <c r="FX35" s="208" t="s">
        <v>678</v>
      </c>
      <c r="FY35" s="208" t="s">
        <v>678</v>
      </c>
      <c r="FZ35" s="208" t="s">
        <v>678</v>
      </c>
      <c r="GA35" s="208" t="s">
        <v>678</v>
      </c>
      <c r="GB35" s="208" t="s">
        <v>678</v>
      </c>
      <c r="GC35" s="208" t="s">
        <v>678</v>
      </c>
      <c r="GD35" s="208" t="s">
        <v>678</v>
      </c>
      <c r="GE35" s="237" t="s">
        <v>678</v>
      </c>
      <c r="GF35" s="237" t="s">
        <v>678</v>
      </c>
      <c r="GG35" s="237" t="s">
        <v>678</v>
      </c>
      <c r="GH35" s="237" t="s">
        <v>678</v>
      </c>
      <c r="GJ35" s="947">
        <v>114</v>
      </c>
      <c r="GK35" s="320">
        <v>1E-3</v>
      </c>
      <c r="GL35" s="320">
        <v>6.0999999999999999E-2</v>
      </c>
      <c r="GM35" s="320">
        <v>6.2E-2</v>
      </c>
      <c r="GN35" s="320">
        <v>0.876</v>
      </c>
      <c r="GO35" s="662">
        <v>8030</v>
      </c>
      <c r="GP35" s="663" t="str">
        <f>VLOOKUP(GS35,'BD Comarcal'!$A$6:$AV$17,48,FALSE)</f>
        <v>21</v>
      </c>
      <c r="GQ35" s="564">
        <v>39</v>
      </c>
      <c r="GR35" s="256">
        <f t="shared" si="0"/>
        <v>0</v>
      </c>
      <c r="GS35" s="237" t="s">
        <v>86</v>
      </c>
    </row>
    <row r="36" spans="1:201" s="237" customFormat="1" ht="17.25" customHeight="1">
      <c r="A36" s="236" t="s">
        <v>865</v>
      </c>
      <c r="C36" s="238"/>
      <c r="D36" s="238">
        <v>940</v>
      </c>
      <c r="E36" s="238">
        <v>76</v>
      </c>
      <c r="F36" s="239">
        <v>8.085106382978724E-2</v>
      </c>
      <c r="G36" s="238">
        <v>38</v>
      </c>
      <c r="H36" s="240">
        <v>0</v>
      </c>
      <c r="I36" s="239">
        <v>0</v>
      </c>
      <c r="J36" s="238">
        <v>522</v>
      </c>
      <c r="K36" s="238">
        <v>0</v>
      </c>
      <c r="L36" s="238">
        <v>3</v>
      </c>
      <c r="M36" s="241">
        <v>3.1914893617021275E-3</v>
      </c>
      <c r="N36" s="238">
        <v>0</v>
      </c>
      <c r="O36" s="239">
        <v>0</v>
      </c>
      <c r="P36" s="237">
        <v>9</v>
      </c>
      <c r="Q36" s="237">
        <v>0</v>
      </c>
      <c r="R36" s="239">
        <v>0</v>
      </c>
      <c r="S36" s="238">
        <v>1131</v>
      </c>
      <c r="T36" s="436">
        <v>0</v>
      </c>
      <c r="U36" s="436">
        <v>0</v>
      </c>
      <c r="V36" s="436">
        <v>20</v>
      </c>
      <c r="W36" s="436">
        <v>20</v>
      </c>
      <c r="X36" s="238">
        <v>3424</v>
      </c>
      <c r="Y36" s="237">
        <v>0.19189999999999999</v>
      </c>
      <c r="Z36" s="238">
        <v>42470</v>
      </c>
      <c r="AA36" s="238">
        <v>12396</v>
      </c>
      <c r="AB36" s="238">
        <v>75.739999999999995</v>
      </c>
      <c r="AC36" s="238">
        <v>2075</v>
      </c>
      <c r="AD36" s="238">
        <v>4187068.33</v>
      </c>
      <c r="AE36" s="238">
        <v>345464.26000000024</v>
      </c>
      <c r="AF36" s="238">
        <v>3370836.8699999996</v>
      </c>
      <c r="AG36" s="238">
        <v>138984.82999999999</v>
      </c>
      <c r="AH36" s="239">
        <v>4.1231550312311613E-2</v>
      </c>
      <c r="AI36" s="242">
        <v>102.214285</v>
      </c>
      <c r="AJ36" s="242">
        <v>8.9969199999999994</v>
      </c>
      <c r="AK36" s="242">
        <v>0.95711914893617012</v>
      </c>
      <c r="AL36" s="242" t="s">
        <v>678</v>
      </c>
      <c r="AM36" s="242" t="s">
        <v>678</v>
      </c>
      <c r="AN36" s="242">
        <v>22925.919999999998</v>
      </c>
      <c r="AO36" s="238">
        <v>1357.53</v>
      </c>
      <c r="AP36" s="243">
        <v>4</v>
      </c>
      <c r="AQ36" s="238">
        <v>1</v>
      </c>
      <c r="AR36" s="238">
        <v>1219.2201664445813</v>
      </c>
      <c r="AS36" s="238">
        <v>3112.7776784380349</v>
      </c>
      <c r="AT36" s="238">
        <v>152095.33333333334</v>
      </c>
      <c r="AU36" s="238">
        <v>187.68008620207794</v>
      </c>
      <c r="AV36" s="237">
        <v>0</v>
      </c>
      <c r="AW36" s="237">
        <v>0</v>
      </c>
      <c r="AX36" s="237">
        <v>0</v>
      </c>
      <c r="AY36" s="244" t="s">
        <v>695</v>
      </c>
      <c r="AZ36" s="244" t="s">
        <v>695</v>
      </c>
      <c r="BA36" s="237">
        <v>2013</v>
      </c>
      <c r="BB36" s="245" t="s">
        <v>678</v>
      </c>
      <c r="BC36" s="215" t="s">
        <v>678</v>
      </c>
      <c r="BD36" s="237">
        <v>1</v>
      </c>
      <c r="BE36" s="237">
        <v>2</v>
      </c>
      <c r="BF36" s="237">
        <v>77</v>
      </c>
      <c r="BG36" s="246" t="s">
        <v>720</v>
      </c>
      <c r="BI36" s="239">
        <v>0.49016641452344933</v>
      </c>
      <c r="BJ36" s="239">
        <v>9.0015128593040852E-2</v>
      </c>
      <c r="BK36" s="239">
        <v>0.38426626323751889</v>
      </c>
      <c r="BL36" s="239">
        <v>3.5552193645990923E-2</v>
      </c>
      <c r="BM36" s="247">
        <v>2.0347957639939489</v>
      </c>
      <c r="BN36" s="248">
        <v>0</v>
      </c>
      <c r="BO36" s="267">
        <v>1</v>
      </c>
      <c r="BP36" s="237">
        <v>0</v>
      </c>
      <c r="BQ36" s="237">
        <v>0</v>
      </c>
      <c r="BR36" s="248">
        <v>1</v>
      </c>
      <c r="BS36" s="237">
        <v>26</v>
      </c>
      <c r="BT36" s="237" t="s">
        <v>755</v>
      </c>
      <c r="BU36" s="249" t="s">
        <v>678</v>
      </c>
      <c r="BV36" s="249">
        <v>604</v>
      </c>
      <c r="BW36" s="249">
        <v>1699</v>
      </c>
      <c r="BX36" s="249" t="s">
        <v>678</v>
      </c>
      <c r="BY36" s="249" t="s">
        <v>678</v>
      </c>
      <c r="BZ36" s="249">
        <v>17.237442922374431</v>
      </c>
      <c r="CA36" s="249">
        <v>48.487442922374427</v>
      </c>
      <c r="CB36" s="249" t="s">
        <v>678</v>
      </c>
      <c r="CC36" s="250" t="s">
        <v>678</v>
      </c>
      <c r="CD36" s="242" t="s">
        <v>678</v>
      </c>
      <c r="CE36" s="252" t="s">
        <v>678</v>
      </c>
      <c r="CF36" s="238">
        <v>1793</v>
      </c>
      <c r="CG36" s="238">
        <v>345.5</v>
      </c>
      <c r="CH36" s="238">
        <v>9.8601598173515974</v>
      </c>
      <c r="CI36" s="216" t="s">
        <v>700</v>
      </c>
      <c r="CJ36" s="237">
        <v>0</v>
      </c>
      <c r="CK36" s="253">
        <v>110.18</v>
      </c>
      <c r="CL36" s="253">
        <v>109.51049999999999</v>
      </c>
      <c r="CM36" s="254">
        <v>0.11650053191489361</v>
      </c>
      <c r="CN36" s="237" t="s">
        <v>81</v>
      </c>
      <c r="CO36" s="242"/>
      <c r="CP36" s="255">
        <v>0</v>
      </c>
      <c r="CV36" s="237">
        <v>4</v>
      </c>
      <c r="CW36" s="261" t="s">
        <v>678</v>
      </c>
      <c r="CX36" s="261" t="s">
        <v>678</v>
      </c>
      <c r="CY36" s="261" t="s">
        <v>678</v>
      </c>
      <c r="DB36" s="216" t="s">
        <v>746</v>
      </c>
      <c r="DC36" s="195" t="s">
        <v>866</v>
      </c>
      <c r="DD36" s="256">
        <v>0.8</v>
      </c>
      <c r="DE36" s="256">
        <v>-9</v>
      </c>
      <c r="DF36" s="256">
        <v>-0.3</v>
      </c>
      <c r="DG36" s="256">
        <v>-2.6</v>
      </c>
      <c r="DH36" s="257">
        <v>2</v>
      </c>
      <c r="DI36" s="257">
        <v>2.42</v>
      </c>
      <c r="DJ36" s="257">
        <v>2.8</v>
      </c>
      <c r="DK36" s="257">
        <v>5.22</v>
      </c>
      <c r="DL36" s="237" t="s">
        <v>529</v>
      </c>
      <c r="DN36" s="237" t="s">
        <v>730</v>
      </c>
      <c r="DP36" s="258" t="s">
        <v>682</v>
      </c>
      <c r="DQ36" s="258"/>
      <c r="DR36" s="258"/>
      <c r="DS36" s="258"/>
      <c r="DT36" s="258"/>
      <c r="DU36" s="237">
        <v>0</v>
      </c>
      <c r="DX36" s="247"/>
      <c r="DY36" s="247">
        <v>0</v>
      </c>
      <c r="EA36" s="237">
        <v>0</v>
      </c>
      <c r="ED36" s="237" t="s">
        <v>678</v>
      </c>
      <c r="EE36" s="208">
        <v>5</v>
      </c>
      <c r="EF36" s="237" t="s">
        <v>678</v>
      </c>
      <c r="EG36" s="216" t="s">
        <v>703</v>
      </c>
      <c r="EH36" s="246" t="s">
        <v>704</v>
      </c>
      <c r="EI36" s="216"/>
      <c r="EJ36" s="216" t="s">
        <v>806</v>
      </c>
      <c r="EK36" s="222" t="s">
        <v>529</v>
      </c>
      <c r="EL36" s="259">
        <v>2006</v>
      </c>
      <c r="EM36" s="260">
        <v>1300</v>
      </c>
      <c r="EN36" s="260">
        <v>103948</v>
      </c>
      <c r="EO36" s="260">
        <v>54861</v>
      </c>
      <c r="ER36" s="237" t="s">
        <v>705</v>
      </c>
      <c r="ES36" s="237">
        <v>3504</v>
      </c>
      <c r="ET36" s="237">
        <v>42.200769230769232</v>
      </c>
      <c r="EU36" s="661">
        <v>3</v>
      </c>
      <c r="EV36" s="661">
        <v>2</v>
      </c>
      <c r="EW36" s="661">
        <v>3</v>
      </c>
      <c r="EX36" s="661">
        <v>3</v>
      </c>
      <c r="EY36" s="660">
        <v>0.11721276595744681</v>
      </c>
      <c r="EZ36" s="256">
        <v>31.802504991831547</v>
      </c>
      <c r="FA36" s="247">
        <v>5.2631578947368425</v>
      </c>
      <c r="FB36" s="208">
        <v>7</v>
      </c>
      <c r="FC36" s="208">
        <v>3</v>
      </c>
      <c r="FD36" s="208">
        <v>3</v>
      </c>
      <c r="FE36" s="239">
        <v>0.5</v>
      </c>
      <c r="FF36" s="208"/>
      <c r="FG36" s="241">
        <v>6.8684210526315792E-2</v>
      </c>
      <c r="FH36" s="209">
        <v>0</v>
      </c>
      <c r="FI36" s="237" t="s">
        <v>678</v>
      </c>
      <c r="FJ36" s="208" t="s">
        <v>678</v>
      </c>
      <c r="FK36" s="208" t="s">
        <v>678</v>
      </c>
      <c r="FL36" s="217" t="s">
        <v>678</v>
      </c>
      <c r="FM36" s="208" t="s">
        <v>678</v>
      </c>
      <c r="FN36" s="208" t="s">
        <v>678</v>
      </c>
      <c r="FP36" s="247" t="s">
        <v>693</v>
      </c>
      <c r="FU36" s="208" t="s">
        <v>678</v>
      </c>
      <c r="FV36" s="208" t="s">
        <v>678</v>
      </c>
      <c r="FW36" s="208" t="s">
        <v>678</v>
      </c>
      <c r="FX36" s="208" t="s">
        <v>678</v>
      </c>
      <c r="FY36" s="208" t="s">
        <v>678</v>
      </c>
      <c r="FZ36" s="208" t="s">
        <v>678</v>
      </c>
      <c r="GA36" s="208" t="s">
        <v>678</v>
      </c>
      <c r="GB36" s="208" t="s">
        <v>678</v>
      </c>
      <c r="GC36" s="208" t="s">
        <v>678</v>
      </c>
      <c r="GD36" s="208" t="s">
        <v>678</v>
      </c>
      <c r="GE36" s="237" t="s">
        <v>678</v>
      </c>
      <c r="GF36" s="237" t="s">
        <v>678</v>
      </c>
      <c r="GG36" s="237" t="s">
        <v>678</v>
      </c>
      <c r="GH36" s="237" t="s">
        <v>678</v>
      </c>
      <c r="GJ36" s="947"/>
      <c r="GK36" s="320"/>
      <c r="GL36" s="320"/>
      <c r="GM36" s="320"/>
      <c r="GN36" s="320"/>
      <c r="GO36" s="662">
        <v>8031</v>
      </c>
      <c r="GP36" s="663" t="str">
        <f>VLOOKUP(GS36,'BD Comarcal'!$A$6:$AV$17,48,FALSE)</f>
        <v>06</v>
      </c>
      <c r="GQ36" s="564">
        <v>23</v>
      </c>
      <c r="GR36" s="256">
        <f t="shared" si="0"/>
        <v>1</v>
      </c>
      <c r="GS36" s="237" t="s">
        <v>81</v>
      </c>
    </row>
    <row r="37" spans="1:201" s="237" customFormat="1" ht="17.25" customHeight="1">
      <c r="A37" s="236" t="s">
        <v>337</v>
      </c>
      <c r="C37" s="238" t="s">
        <v>683</v>
      </c>
      <c r="D37" s="238">
        <v>74</v>
      </c>
      <c r="E37" s="238">
        <v>29</v>
      </c>
      <c r="F37" s="239">
        <v>0.39189189189189189</v>
      </c>
      <c r="G37" s="238">
        <v>20</v>
      </c>
      <c r="H37" s="240">
        <v>0</v>
      </c>
      <c r="I37" s="239">
        <v>0</v>
      </c>
      <c r="J37" s="238">
        <v>0</v>
      </c>
      <c r="K37" s="238">
        <v>0</v>
      </c>
      <c r="L37" s="238">
        <v>0</v>
      </c>
      <c r="M37" s="241">
        <v>0</v>
      </c>
      <c r="N37" s="238">
        <v>0</v>
      </c>
      <c r="O37" s="239">
        <v>0</v>
      </c>
      <c r="P37" s="237">
        <v>0</v>
      </c>
      <c r="Q37" s="237">
        <v>0</v>
      </c>
      <c r="R37" s="239">
        <v>0</v>
      </c>
      <c r="S37" s="238">
        <v>0</v>
      </c>
      <c r="T37" s="436">
        <v>0</v>
      </c>
      <c r="U37" s="436">
        <v>0</v>
      </c>
      <c r="V37" s="436">
        <v>315</v>
      </c>
      <c r="W37" s="436">
        <v>315</v>
      </c>
      <c r="X37" s="238">
        <v>2766</v>
      </c>
      <c r="Y37" s="237">
        <v>0.1991</v>
      </c>
      <c r="Z37" s="238">
        <v>53544</v>
      </c>
      <c r="AA37" s="238">
        <v>19707</v>
      </c>
      <c r="AB37" s="238">
        <v>120.41</v>
      </c>
      <c r="AC37" s="238">
        <v>3988</v>
      </c>
      <c r="AD37" s="238">
        <v>4808600.62</v>
      </c>
      <c r="AE37" s="238">
        <v>866830.55000000028</v>
      </c>
      <c r="AF37" s="238">
        <v>3740688.31</v>
      </c>
      <c r="AG37" s="238">
        <v>55670.9</v>
      </c>
      <c r="AH37" s="239">
        <v>1.4882528397561143E-2</v>
      </c>
      <c r="AI37" s="242">
        <v>55.191201999999997</v>
      </c>
      <c r="AJ37" s="242">
        <v>6.8989690000000001</v>
      </c>
      <c r="AK37" s="242">
        <v>9.3229310810810802</v>
      </c>
      <c r="AL37" s="242">
        <v>18.934628</v>
      </c>
      <c r="AM37" s="242">
        <v>25.587335135135135</v>
      </c>
      <c r="AN37" s="242">
        <v>3886.96</v>
      </c>
      <c r="AO37" s="238">
        <v>0</v>
      </c>
      <c r="AP37" s="243">
        <v>0</v>
      </c>
      <c r="AQ37" s="238"/>
      <c r="AR37" s="238">
        <v>1628.3396510385382</v>
      </c>
      <c r="AS37" s="238">
        <v>2580.3116985046158</v>
      </c>
      <c r="AT37" s="238">
        <v>230920</v>
      </c>
      <c r="AU37" s="238">
        <v>435.97374714741841</v>
      </c>
      <c r="AV37" s="237">
        <v>1</v>
      </c>
      <c r="AW37" s="237">
        <v>0</v>
      </c>
      <c r="AX37" s="237">
        <v>1</v>
      </c>
      <c r="AY37" s="244" t="s">
        <v>717</v>
      </c>
      <c r="AZ37" s="244" t="s">
        <v>673</v>
      </c>
      <c r="BA37" s="237">
        <v>2010</v>
      </c>
      <c r="BB37" s="245" t="s">
        <v>736</v>
      </c>
      <c r="BC37" s="215" t="s">
        <v>737</v>
      </c>
      <c r="BE37" s="237">
        <v>403</v>
      </c>
      <c r="BF37" s="237">
        <v>2</v>
      </c>
      <c r="BG37" s="246" t="s">
        <v>676</v>
      </c>
      <c r="BI37" s="239">
        <v>0.62462462462462465</v>
      </c>
      <c r="BJ37" s="239">
        <v>0.10596310596310596</v>
      </c>
      <c r="BK37" s="239">
        <v>0.2574002574002574</v>
      </c>
      <c r="BL37" s="239">
        <v>1.2012012012012012E-2</v>
      </c>
      <c r="BM37" s="247">
        <v>2.3432003432003432</v>
      </c>
      <c r="BN37" s="248">
        <v>1</v>
      </c>
      <c r="BO37" s="248">
        <v>0</v>
      </c>
      <c r="BP37" s="237">
        <v>0</v>
      </c>
      <c r="BQ37" s="237">
        <v>0</v>
      </c>
      <c r="BR37" s="248">
        <v>1</v>
      </c>
      <c r="BS37" s="262" t="s">
        <v>345</v>
      </c>
      <c r="BU37" s="249" t="s">
        <v>678</v>
      </c>
      <c r="BV37" s="249">
        <v>296</v>
      </c>
      <c r="BW37" s="249">
        <v>1129</v>
      </c>
      <c r="BX37" s="249">
        <v>652</v>
      </c>
      <c r="BY37" s="249" t="s">
        <v>678</v>
      </c>
      <c r="BZ37" s="249">
        <v>10.72463768115942</v>
      </c>
      <c r="CA37" s="249">
        <v>40.905797101449274</v>
      </c>
      <c r="CB37" s="249">
        <v>23.623188405797102</v>
      </c>
      <c r="CC37" s="250" t="s">
        <v>678</v>
      </c>
      <c r="CD37" s="242" t="s">
        <v>678</v>
      </c>
      <c r="CE37" s="252" t="s">
        <v>678</v>
      </c>
      <c r="CF37" s="238">
        <v>1940</v>
      </c>
      <c r="CG37" s="238">
        <v>187.3</v>
      </c>
      <c r="CH37" s="238">
        <v>6.7862318840579707</v>
      </c>
      <c r="CI37" s="216" t="s">
        <v>679</v>
      </c>
      <c r="CJ37" s="237">
        <v>0</v>
      </c>
      <c r="CK37" s="253">
        <v>45.95</v>
      </c>
      <c r="CL37" s="253">
        <v>22.851500000000001</v>
      </c>
      <c r="CM37" s="254">
        <v>0.30880405405405409</v>
      </c>
      <c r="CN37" s="237" t="s">
        <v>86</v>
      </c>
      <c r="CO37" s="242"/>
      <c r="CP37" s="255">
        <v>0</v>
      </c>
      <c r="CV37" s="237">
        <v>2</v>
      </c>
      <c r="CW37" s="261" t="s">
        <v>678</v>
      </c>
      <c r="CX37" s="261" t="s">
        <v>678</v>
      </c>
      <c r="CY37" s="261" t="s">
        <v>678</v>
      </c>
      <c r="DB37" s="216" t="s">
        <v>710</v>
      </c>
      <c r="DC37" s="195" t="s">
        <v>711</v>
      </c>
      <c r="DD37" s="256">
        <v>0.7</v>
      </c>
      <c r="DE37" s="256">
        <v>-6.5</v>
      </c>
      <c r="DF37" s="256">
        <v>0.7</v>
      </c>
      <c r="DG37" s="256">
        <v>-2.2000000000000002</v>
      </c>
      <c r="DL37" s="237" t="s">
        <v>529</v>
      </c>
      <c r="DN37" s="237" t="s">
        <v>730</v>
      </c>
      <c r="DP37" s="258" t="s">
        <v>682</v>
      </c>
      <c r="DQ37" s="258"/>
      <c r="DR37" s="258"/>
      <c r="DS37" s="258"/>
      <c r="DT37" s="258"/>
      <c r="DU37" s="237">
        <v>0</v>
      </c>
      <c r="DX37" s="247"/>
      <c r="DY37" s="247">
        <v>0</v>
      </c>
      <c r="EA37" s="237">
        <v>1</v>
      </c>
      <c r="EB37" s="237" t="s">
        <v>741</v>
      </c>
      <c r="ED37" s="237" t="s">
        <v>678</v>
      </c>
      <c r="EE37" s="208">
        <v>4</v>
      </c>
      <c r="EF37" s="237" t="s">
        <v>678</v>
      </c>
      <c r="EG37" s="216" t="s">
        <v>689</v>
      </c>
      <c r="EH37" s="246" t="s">
        <v>690</v>
      </c>
      <c r="EI37" s="216"/>
      <c r="EJ37" s="216" t="s">
        <v>529</v>
      </c>
      <c r="EK37" s="222" t="s">
        <v>682</v>
      </c>
      <c r="EL37" s="259">
        <v>1984</v>
      </c>
      <c r="EM37" s="260">
        <v>940</v>
      </c>
      <c r="EN37" s="260">
        <v>192087</v>
      </c>
      <c r="EO37" s="260">
        <v>52189</v>
      </c>
      <c r="ER37" s="237" t="s">
        <v>705</v>
      </c>
      <c r="ES37" s="237">
        <v>2760</v>
      </c>
      <c r="ET37" s="237">
        <v>55.520212765957446</v>
      </c>
      <c r="EU37" s="661">
        <v>3</v>
      </c>
      <c r="EV37" s="661">
        <v>3</v>
      </c>
      <c r="EW37" s="661" t="s">
        <v>678</v>
      </c>
      <c r="EX37" s="661">
        <v>7</v>
      </c>
      <c r="EY37" s="660">
        <v>0.62094594594594599</v>
      </c>
      <c r="EZ37" s="256">
        <v>60.065288356909683</v>
      </c>
      <c r="FA37" s="247">
        <v>6.8965517241379306</v>
      </c>
      <c r="FB37" s="208" t="s">
        <v>678</v>
      </c>
      <c r="FC37" s="208" t="s">
        <v>678</v>
      </c>
      <c r="FD37" s="208">
        <v>4</v>
      </c>
      <c r="FE37" s="239">
        <v>0.68965517241379315</v>
      </c>
      <c r="FF37" s="208"/>
      <c r="FG37" s="241">
        <v>0</v>
      </c>
      <c r="FH37" s="209">
        <v>0</v>
      </c>
      <c r="FI37" s="237" t="s">
        <v>678</v>
      </c>
      <c r="FJ37" s="208" t="s">
        <v>678</v>
      </c>
      <c r="FK37" s="208" t="s">
        <v>678</v>
      </c>
      <c r="FL37" s="217" t="s">
        <v>678</v>
      </c>
      <c r="FM37" s="208" t="s">
        <v>678</v>
      </c>
      <c r="FN37" s="208" t="s">
        <v>678</v>
      </c>
      <c r="FO37" s="237">
        <v>850</v>
      </c>
      <c r="FP37" s="247">
        <v>11.486486486486486</v>
      </c>
      <c r="FU37" s="208" t="s">
        <v>678</v>
      </c>
      <c r="FV37" s="208" t="s">
        <v>678</v>
      </c>
      <c r="FW37" s="208" t="s">
        <v>678</v>
      </c>
      <c r="FX37" s="208" t="s">
        <v>678</v>
      </c>
      <c r="FY37" s="208" t="s">
        <v>678</v>
      </c>
      <c r="FZ37" s="208" t="s">
        <v>678</v>
      </c>
      <c r="GA37" s="208" t="s">
        <v>678</v>
      </c>
      <c r="GB37" s="208" t="s">
        <v>678</v>
      </c>
      <c r="GC37" s="208" t="s">
        <v>678</v>
      </c>
      <c r="GD37" s="208" t="s">
        <v>678</v>
      </c>
      <c r="GE37" s="237" t="s">
        <v>678</v>
      </c>
      <c r="GF37" s="237" t="s">
        <v>678</v>
      </c>
      <c r="GG37" s="237" t="s">
        <v>678</v>
      </c>
      <c r="GH37" s="237" t="s">
        <v>678</v>
      </c>
      <c r="GJ37" s="947"/>
      <c r="GK37" s="320"/>
      <c r="GL37" s="320"/>
      <c r="GM37" s="320"/>
      <c r="GN37" s="320"/>
      <c r="GO37" s="662">
        <v>8032</v>
      </c>
      <c r="GP37" s="663" t="str">
        <f>VLOOKUP(GS37,'BD Comarcal'!$A$6:$AV$17,48,FALSE)</f>
        <v>21</v>
      </c>
      <c r="GQ37" s="564">
        <v>39</v>
      </c>
      <c r="GR37" s="256">
        <f t="shared" si="0"/>
        <v>0</v>
      </c>
      <c r="GS37" s="237" t="s">
        <v>86</v>
      </c>
    </row>
    <row r="38" spans="1:201" s="237" customFormat="1" ht="17.25" customHeight="1">
      <c r="A38" s="236" t="s">
        <v>867</v>
      </c>
      <c r="C38" s="238"/>
      <c r="D38" s="238">
        <v>3794</v>
      </c>
      <c r="E38" s="238">
        <v>2429</v>
      </c>
      <c r="F38" s="239">
        <v>0.64022140221402213</v>
      </c>
      <c r="G38" s="238">
        <v>2177</v>
      </c>
      <c r="H38" s="240">
        <v>683.37386626065984</v>
      </c>
      <c r="I38" s="239">
        <v>0.28133959088540955</v>
      </c>
      <c r="J38" s="238">
        <v>570</v>
      </c>
      <c r="K38" s="238">
        <v>58</v>
      </c>
      <c r="L38" s="238">
        <v>109</v>
      </c>
      <c r="M38" s="241">
        <v>2.8729573010015816E-2</v>
      </c>
      <c r="N38" s="238">
        <v>0</v>
      </c>
      <c r="O38" s="239">
        <v>0</v>
      </c>
      <c r="P38" s="237">
        <v>28</v>
      </c>
      <c r="Q38" s="237">
        <v>0</v>
      </c>
      <c r="R38" s="239">
        <v>0</v>
      </c>
      <c r="S38" s="238">
        <v>10674</v>
      </c>
      <c r="T38" s="436">
        <v>516</v>
      </c>
      <c r="U38" s="436">
        <v>0</v>
      </c>
      <c r="V38" s="436">
        <v>342</v>
      </c>
      <c r="W38" s="436">
        <v>858</v>
      </c>
      <c r="X38" s="238">
        <v>17137</v>
      </c>
      <c r="Y38" s="237">
        <v>0.16650000000000001</v>
      </c>
      <c r="Z38" s="238">
        <v>251376</v>
      </c>
      <c r="AA38" s="238">
        <v>14702</v>
      </c>
      <c r="AB38" s="238">
        <v>89.83</v>
      </c>
      <c r="AC38" s="238">
        <v>9547</v>
      </c>
      <c r="AD38" s="238">
        <v>17773826.73</v>
      </c>
      <c r="AE38" s="238">
        <v>1701317.450000003</v>
      </c>
      <c r="AF38" s="238">
        <v>17087191.07</v>
      </c>
      <c r="AG38" s="238">
        <v>2074809.81</v>
      </c>
      <c r="AH38" s="239">
        <v>0.12142486155274203</v>
      </c>
      <c r="AI38" s="242">
        <v>490.12424900000002</v>
      </c>
      <c r="AJ38" s="242">
        <v>72.850302999999997</v>
      </c>
      <c r="AK38" s="242">
        <v>1.9201450448075907</v>
      </c>
      <c r="AL38" s="242">
        <v>352.18174099999999</v>
      </c>
      <c r="AM38" s="242">
        <v>9.282597285187137</v>
      </c>
      <c r="AN38" s="242">
        <v>22984.03</v>
      </c>
      <c r="AO38" s="238">
        <v>5981.04</v>
      </c>
      <c r="AP38" s="243">
        <v>15</v>
      </c>
      <c r="AQ38" s="238">
        <v>1</v>
      </c>
      <c r="AR38" s="238">
        <v>1473.3157777437291</v>
      </c>
      <c r="AS38" s="238">
        <v>1883.0142650892656</v>
      </c>
      <c r="AT38" s="238">
        <v>928216</v>
      </c>
      <c r="AU38" s="238">
        <v>236.09610456351038</v>
      </c>
      <c r="AV38" s="237">
        <v>1</v>
      </c>
      <c r="AW38" s="237">
        <v>0</v>
      </c>
      <c r="AX38" s="237">
        <v>1</v>
      </c>
      <c r="AY38" s="244" t="s">
        <v>717</v>
      </c>
      <c r="AZ38" s="244" t="s">
        <v>717</v>
      </c>
      <c r="BA38" s="237">
        <v>2010</v>
      </c>
      <c r="BB38" s="245" t="s">
        <v>868</v>
      </c>
      <c r="BC38" s="215" t="s">
        <v>869</v>
      </c>
      <c r="BD38" s="237">
        <v>1</v>
      </c>
      <c r="BE38" s="237">
        <v>8</v>
      </c>
      <c r="BF38" s="237">
        <v>42</v>
      </c>
      <c r="BG38" s="246" t="s">
        <v>698</v>
      </c>
      <c r="BI38" s="239">
        <v>0.41331802525832378</v>
      </c>
      <c r="BJ38" s="239">
        <v>0.14768813276275963</v>
      </c>
      <c r="BK38" s="239">
        <v>0.42323348293497548</v>
      </c>
      <c r="BL38" s="239">
        <v>1.5760359043941134E-2</v>
      </c>
      <c r="BM38" s="247">
        <v>1.9585638242354662</v>
      </c>
      <c r="BN38" s="248">
        <v>0</v>
      </c>
      <c r="BO38" s="248">
        <v>1</v>
      </c>
      <c r="BP38" s="237">
        <v>0</v>
      </c>
      <c r="BQ38" s="237">
        <v>0</v>
      </c>
      <c r="BR38" s="248">
        <v>1</v>
      </c>
      <c r="BS38" s="268" t="s">
        <v>870</v>
      </c>
      <c r="BT38" s="237" t="s">
        <v>729</v>
      </c>
      <c r="BU38" s="249">
        <v>1342</v>
      </c>
      <c r="BV38" s="249">
        <v>1599</v>
      </c>
      <c r="BW38" s="249">
        <v>8594</v>
      </c>
      <c r="BX38" s="249">
        <v>2470</v>
      </c>
      <c r="BY38" s="249">
        <v>7.8223362089065054</v>
      </c>
      <c r="BZ38" s="249">
        <v>9.3203543949638608</v>
      </c>
      <c r="CA38" s="249">
        <v>50.093261832595012</v>
      </c>
      <c r="CB38" s="249">
        <v>14.397295406854745</v>
      </c>
      <c r="CC38" s="250">
        <v>92.200979249242238</v>
      </c>
      <c r="CD38" s="242">
        <v>-703</v>
      </c>
      <c r="CE38" s="252">
        <v>95.902308230356724</v>
      </c>
      <c r="CF38" s="238">
        <v>7437</v>
      </c>
      <c r="CG38" s="238">
        <v>1305</v>
      </c>
      <c r="CH38" s="238">
        <v>7.6066682210305432</v>
      </c>
      <c r="CI38" s="216" t="s">
        <v>700</v>
      </c>
      <c r="CJ38" s="237">
        <v>0</v>
      </c>
      <c r="CK38" s="253">
        <v>505.2</v>
      </c>
      <c r="CL38" s="253">
        <v>64.799899999999994</v>
      </c>
      <c r="CM38" s="254">
        <v>1.7079573010015812E-2</v>
      </c>
      <c r="CN38" s="237" t="s">
        <v>24</v>
      </c>
      <c r="CO38" s="242"/>
      <c r="CP38" s="255">
        <v>0</v>
      </c>
      <c r="CV38" s="237">
        <v>18</v>
      </c>
      <c r="CW38" s="194">
        <v>1.0629999999999999</v>
      </c>
      <c r="CX38" s="194">
        <v>0.63500000000000001</v>
      </c>
      <c r="CY38" s="194">
        <v>0.17199999999999999</v>
      </c>
      <c r="DB38" s="216" t="s">
        <v>746</v>
      </c>
      <c r="DC38" s="195" t="s">
        <v>871</v>
      </c>
      <c r="DD38" s="256">
        <v>0.8</v>
      </c>
      <c r="DE38" s="256">
        <v>-10</v>
      </c>
      <c r="DF38" s="256">
        <v>0.5</v>
      </c>
      <c r="DG38" s="256">
        <v>-2.2999999999999998</v>
      </c>
      <c r="DH38" s="257">
        <v>1</v>
      </c>
      <c r="DI38" s="257">
        <v>0</v>
      </c>
      <c r="DJ38" s="257">
        <v>1</v>
      </c>
      <c r="DK38" s="257">
        <v>1</v>
      </c>
      <c r="DL38" s="237" t="s">
        <v>529</v>
      </c>
      <c r="DN38" s="237" t="s">
        <v>730</v>
      </c>
      <c r="DO38" s="237">
        <v>1</v>
      </c>
      <c r="DP38" s="258" t="s">
        <v>683</v>
      </c>
      <c r="DQ38" s="258" t="s">
        <v>872</v>
      </c>
      <c r="DR38" s="258" t="s">
        <v>873</v>
      </c>
      <c r="DS38" s="258"/>
      <c r="DT38" s="258"/>
      <c r="DU38" s="237">
        <v>0</v>
      </c>
      <c r="DX38" s="247"/>
      <c r="DY38" s="247">
        <v>0</v>
      </c>
      <c r="EA38" s="237">
        <v>0</v>
      </c>
      <c r="ED38" s="237" t="s">
        <v>732</v>
      </c>
      <c r="EE38" s="208">
        <v>1</v>
      </c>
      <c r="EF38" s="237" t="s">
        <v>688</v>
      </c>
      <c r="EG38" s="216" t="s">
        <v>691</v>
      </c>
      <c r="EH38" s="246" t="s">
        <v>690</v>
      </c>
      <c r="EI38" s="216" t="s">
        <v>689</v>
      </c>
      <c r="EJ38" s="216" t="s">
        <v>529</v>
      </c>
      <c r="EK38" s="222" t="s">
        <v>529</v>
      </c>
      <c r="EL38" s="259">
        <v>2009</v>
      </c>
      <c r="EM38" s="260">
        <v>12219</v>
      </c>
      <c r="EN38" s="260">
        <v>639122</v>
      </c>
      <c r="EO38" s="260">
        <v>306735</v>
      </c>
      <c r="ER38" s="237" t="s">
        <v>692</v>
      </c>
      <c r="ES38" s="237">
        <v>17156</v>
      </c>
      <c r="ET38" s="237">
        <v>25.103118094770441</v>
      </c>
      <c r="EU38" s="661">
        <v>1</v>
      </c>
      <c r="EV38" s="661">
        <v>2</v>
      </c>
      <c r="EW38" s="661">
        <v>4</v>
      </c>
      <c r="EX38" s="661">
        <v>4</v>
      </c>
      <c r="EY38" s="660">
        <v>0.13315761729045861</v>
      </c>
      <c r="EZ38" s="256">
        <v>33.958828186856692</v>
      </c>
      <c r="FA38" s="247">
        <v>0.74104569781803209</v>
      </c>
      <c r="FB38" s="208">
        <v>4</v>
      </c>
      <c r="FC38" s="208">
        <v>4</v>
      </c>
      <c r="FD38" s="208">
        <v>3</v>
      </c>
      <c r="FE38" s="239">
        <v>0.89625360230547546</v>
      </c>
      <c r="FF38" s="208"/>
      <c r="FG38" s="241">
        <v>4.1169205434335118E-4</v>
      </c>
      <c r="FH38" s="209">
        <v>0</v>
      </c>
      <c r="FI38" s="237" t="s">
        <v>678</v>
      </c>
      <c r="FJ38" s="208">
        <v>68.599999999999994</v>
      </c>
      <c r="FK38" s="208">
        <v>0</v>
      </c>
      <c r="FL38" s="217">
        <v>1.4</v>
      </c>
      <c r="FM38" s="208">
        <v>5.26</v>
      </c>
      <c r="FN38" s="208" t="s">
        <v>874</v>
      </c>
      <c r="FP38" s="247" t="s">
        <v>693</v>
      </c>
      <c r="FU38" s="208">
        <v>56</v>
      </c>
      <c r="FV38" s="208">
        <v>84.7</v>
      </c>
      <c r="FW38" s="237">
        <v>88.89</v>
      </c>
      <c r="FX38" s="237">
        <v>81.3</v>
      </c>
      <c r="FY38" s="208">
        <v>57.35</v>
      </c>
      <c r="FZ38" s="208">
        <v>67.5</v>
      </c>
      <c r="GA38" s="208">
        <v>54.76</v>
      </c>
      <c r="GB38" s="208">
        <v>58.5</v>
      </c>
      <c r="GC38" s="208">
        <v>0.8</v>
      </c>
      <c r="GD38" s="208">
        <v>78.400000000000006</v>
      </c>
      <c r="GE38" s="237">
        <v>45.82</v>
      </c>
      <c r="GF38" s="237">
        <v>60.4</v>
      </c>
      <c r="GG38" s="237">
        <v>7.97</v>
      </c>
      <c r="GH38" s="237">
        <v>60.9</v>
      </c>
      <c r="GJ38" s="947">
        <v>355</v>
      </c>
      <c r="GK38" s="320">
        <v>8.0000000000000002E-3</v>
      </c>
      <c r="GL38" s="320">
        <v>0.24299999999999999</v>
      </c>
      <c r="GM38" s="320">
        <v>6.5000000000000002E-2</v>
      </c>
      <c r="GN38" s="320">
        <v>0.68400000000000005</v>
      </c>
      <c r="GO38" s="662">
        <v>8033</v>
      </c>
      <c r="GP38" s="663" t="str">
        <f>VLOOKUP(GS38,'BD Comarcal'!$A$6:$AV$17,48,FALSE)</f>
        <v>41</v>
      </c>
      <c r="GQ38" s="564">
        <v>145</v>
      </c>
      <c r="GR38" s="256">
        <f t="shared" si="0"/>
        <v>0</v>
      </c>
      <c r="GS38" s="237" t="s">
        <v>24</v>
      </c>
    </row>
    <row r="39" spans="1:201" s="237" customFormat="1" ht="17.25" customHeight="1">
      <c r="A39" s="236" t="s">
        <v>875</v>
      </c>
      <c r="C39" s="238"/>
      <c r="D39" s="238">
        <v>3330</v>
      </c>
      <c r="E39" s="238">
        <v>2396</v>
      </c>
      <c r="F39" s="239">
        <v>0.71951951951951953</v>
      </c>
      <c r="G39" s="238">
        <v>2013</v>
      </c>
      <c r="H39" s="240">
        <v>1958.8254545780255</v>
      </c>
      <c r="I39" s="239">
        <v>0.81753983913940964</v>
      </c>
      <c r="J39" s="238">
        <v>486</v>
      </c>
      <c r="K39" s="238">
        <v>479</v>
      </c>
      <c r="L39" s="238">
        <v>13</v>
      </c>
      <c r="M39" s="241">
        <v>3.9039039039039038E-3</v>
      </c>
      <c r="N39" s="238">
        <v>98</v>
      </c>
      <c r="O39" s="239">
        <v>0.20164609053497942</v>
      </c>
      <c r="P39" s="237">
        <v>15</v>
      </c>
      <c r="Q39" s="237">
        <v>2</v>
      </c>
      <c r="R39" s="239">
        <v>0.13333333333333333</v>
      </c>
      <c r="S39" s="238">
        <v>2207</v>
      </c>
      <c r="T39" s="436">
        <v>0</v>
      </c>
      <c r="U39" s="436">
        <v>42</v>
      </c>
      <c r="V39" s="436">
        <v>24</v>
      </c>
      <c r="W39" s="436">
        <v>66</v>
      </c>
      <c r="X39" s="238">
        <v>953</v>
      </c>
      <c r="Y39" s="237">
        <v>0.16969999999999999</v>
      </c>
      <c r="Z39" s="238">
        <v>14845</v>
      </c>
      <c r="AA39" s="238">
        <v>15336</v>
      </c>
      <c r="AB39" s="238">
        <v>93.7</v>
      </c>
      <c r="AC39" s="238">
        <v>480</v>
      </c>
      <c r="AD39" s="238">
        <v>1407619.38</v>
      </c>
      <c r="AE39" s="238">
        <v>104414.29999999981</v>
      </c>
      <c r="AF39" s="238">
        <v>1188459.4300000002</v>
      </c>
      <c r="AG39" s="238">
        <v>112030.37</v>
      </c>
      <c r="AH39" s="239">
        <v>9.4265203482797877E-2</v>
      </c>
      <c r="AI39" s="242">
        <v>81.063855000000004</v>
      </c>
      <c r="AJ39" s="242">
        <v>15.353292</v>
      </c>
      <c r="AK39" s="242">
        <v>0.4610598198198198</v>
      </c>
      <c r="AL39" s="242">
        <v>53.078651000000001</v>
      </c>
      <c r="AM39" s="242">
        <v>1.5939534834834834</v>
      </c>
      <c r="AN39" s="242">
        <v>22916.65</v>
      </c>
      <c r="AO39" s="238">
        <v>15205.94</v>
      </c>
      <c r="AP39" s="243">
        <v>49</v>
      </c>
      <c r="AQ39" s="238"/>
      <c r="AR39" s="238">
        <v>1540.3065705943591</v>
      </c>
      <c r="AS39" s="238">
        <v>1929.3514637075532</v>
      </c>
      <c r="AT39" s="238">
        <v>92527.666666666672</v>
      </c>
      <c r="AU39" s="238">
        <v>347.19220864053869</v>
      </c>
      <c r="AV39" s="237">
        <v>1</v>
      </c>
      <c r="AW39" s="237">
        <v>1</v>
      </c>
      <c r="AX39" s="237">
        <v>1</v>
      </c>
      <c r="AY39" s="244" t="s">
        <v>717</v>
      </c>
      <c r="AZ39" s="244" t="s">
        <v>695</v>
      </c>
      <c r="BA39" s="237">
        <v>2009</v>
      </c>
      <c r="BB39" s="245" t="s">
        <v>768</v>
      </c>
      <c r="BC39" s="215" t="s">
        <v>769</v>
      </c>
      <c r="BE39" s="237">
        <v>2</v>
      </c>
      <c r="BF39" s="237">
        <v>143</v>
      </c>
      <c r="BG39" s="246" t="s">
        <v>720</v>
      </c>
      <c r="BI39" s="239">
        <v>0.59882869692532947</v>
      </c>
      <c r="BJ39" s="239">
        <v>0.14055636896046853</v>
      </c>
      <c r="BK39" s="239">
        <v>0.23133235724743778</v>
      </c>
      <c r="BL39" s="239">
        <v>2.9282576866764276E-2</v>
      </c>
      <c r="BM39" s="247">
        <v>2.3089311859443633</v>
      </c>
      <c r="BN39" s="248">
        <v>0</v>
      </c>
      <c r="BO39" s="248">
        <v>0</v>
      </c>
      <c r="BP39" s="237">
        <v>0</v>
      </c>
      <c r="BQ39" s="237">
        <v>0</v>
      </c>
      <c r="BR39" s="248">
        <v>0</v>
      </c>
      <c r="BS39" s="237">
        <v>24</v>
      </c>
      <c r="BT39" s="237" t="s">
        <v>699</v>
      </c>
      <c r="BU39" s="249" t="s">
        <v>678</v>
      </c>
      <c r="BV39" s="249" t="s">
        <v>678</v>
      </c>
      <c r="BW39" s="249" t="s">
        <v>678</v>
      </c>
      <c r="BX39" s="249" t="s">
        <v>678</v>
      </c>
      <c r="BY39" s="249" t="s">
        <v>678</v>
      </c>
      <c r="BZ39" s="249" t="s">
        <v>678</v>
      </c>
      <c r="CA39" s="249" t="s">
        <v>678</v>
      </c>
      <c r="CB39" s="249" t="s">
        <v>678</v>
      </c>
      <c r="CC39" s="250" t="s">
        <v>678</v>
      </c>
      <c r="CD39" s="242" t="s">
        <v>678</v>
      </c>
      <c r="CE39" s="252" t="s">
        <v>678</v>
      </c>
      <c r="CF39" s="238">
        <v>596</v>
      </c>
      <c r="CG39" s="238">
        <v>57.2</v>
      </c>
      <c r="CH39" s="238">
        <v>6.0020986358866733</v>
      </c>
      <c r="CI39" s="216" t="s">
        <v>700</v>
      </c>
      <c r="CJ39" s="237">
        <v>0</v>
      </c>
      <c r="CK39" s="253">
        <v>81.52</v>
      </c>
      <c r="CL39" s="253">
        <v>14.9636</v>
      </c>
      <c r="CM39" s="254">
        <v>4.493573573573573E-3</v>
      </c>
      <c r="CN39" s="237" t="s">
        <v>82</v>
      </c>
      <c r="CO39" s="242"/>
      <c r="CP39" s="255">
        <v>0</v>
      </c>
      <c r="CW39" s="261" t="s">
        <v>678</v>
      </c>
      <c r="CX39" s="261" t="s">
        <v>678</v>
      </c>
      <c r="CY39" s="261" t="s">
        <v>678</v>
      </c>
      <c r="DB39" s="216" t="s">
        <v>746</v>
      </c>
      <c r="DC39" s="195" t="s">
        <v>866</v>
      </c>
      <c r="DD39" s="256">
        <v>0.8</v>
      </c>
      <c r="DE39" s="256">
        <v>-9</v>
      </c>
      <c r="DF39" s="256">
        <v>-0.3</v>
      </c>
      <c r="DG39" s="256">
        <v>-2.6</v>
      </c>
      <c r="DH39" s="257">
        <v>3</v>
      </c>
      <c r="DI39" s="257">
        <v>33.799999999999997</v>
      </c>
      <c r="DJ39" s="257">
        <v>7.6</v>
      </c>
      <c r="DK39" s="257">
        <v>41.4</v>
      </c>
      <c r="DL39" s="237" t="s">
        <v>682</v>
      </c>
      <c r="DP39" s="258" t="s">
        <v>682</v>
      </c>
      <c r="DQ39" s="258"/>
      <c r="DR39" s="258"/>
      <c r="DS39" s="258"/>
      <c r="DT39" s="258"/>
      <c r="DU39" s="237">
        <v>0.25</v>
      </c>
      <c r="DV39" s="237" t="s">
        <v>771</v>
      </c>
      <c r="DW39" s="237" t="s">
        <v>772</v>
      </c>
      <c r="DX39" s="247">
        <v>24.102499999999999</v>
      </c>
      <c r="DY39" s="247">
        <v>0.72379879879879883</v>
      </c>
      <c r="EA39" s="237">
        <v>0</v>
      </c>
      <c r="ED39" s="237" t="s">
        <v>687</v>
      </c>
      <c r="EE39" s="208">
        <v>1</v>
      </c>
      <c r="EF39" s="237" t="s">
        <v>688</v>
      </c>
      <c r="EG39" s="216" t="s">
        <v>703</v>
      </c>
      <c r="EH39" s="246" t="s">
        <v>704</v>
      </c>
      <c r="EI39" s="216" t="s">
        <v>691</v>
      </c>
      <c r="EJ39" s="216" t="s">
        <v>529</v>
      </c>
      <c r="EK39" s="222" t="s">
        <v>682</v>
      </c>
      <c r="EL39" s="259">
        <v>2012</v>
      </c>
      <c r="EM39" s="260">
        <v>1095</v>
      </c>
      <c r="EN39" s="260">
        <v>56446</v>
      </c>
      <c r="EO39" s="260">
        <v>37822</v>
      </c>
      <c r="ER39" s="237" t="s">
        <v>705</v>
      </c>
      <c r="ES39" s="237" t="e">
        <v>#DIV/0!</v>
      </c>
      <c r="ET39" s="237">
        <v>34.540639269406391</v>
      </c>
      <c r="EU39" s="661">
        <v>1</v>
      </c>
      <c r="EV39" s="661" t="s">
        <v>678</v>
      </c>
      <c r="EW39" s="661">
        <v>4</v>
      </c>
      <c r="EX39" s="661">
        <v>7</v>
      </c>
      <c r="EY39" s="660">
        <v>2.4480480480480481E-2</v>
      </c>
      <c r="EZ39" s="256">
        <v>11.690382728164868</v>
      </c>
      <c r="FA39" s="247">
        <v>0</v>
      </c>
      <c r="FB39" s="208">
        <v>4</v>
      </c>
      <c r="FC39" s="208">
        <v>4</v>
      </c>
      <c r="FD39" s="208">
        <v>5</v>
      </c>
      <c r="FE39" s="239">
        <v>0.84015025041736224</v>
      </c>
      <c r="FF39" s="208"/>
      <c r="FG39" s="241">
        <v>1.7278797996661103E-2</v>
      </c>
      <c r="FH39" s="209">
        <v>0</v>
      </c>
      <c r="FI39" s="237" t="s">
        <v>678</v>
      </c>
      <c r="FJ39" s="208">
        <v>57.6</v>
      </c>
      <c r="FK39" s="208">
        <v>0</v>
      </c>
      <c r="FL39" s="217">
        <v>1.6</v>
      </c>
      <c r="FM39" s="208">
        <v>4.55</v>
      </c>
      <c r="FN39" s="208" t="s">
        <v>876</v>
      </c>
      <c r="FP39" s="247" t="s">
        <v>693</v>
      </c>
      <c r="FU39" s="208">
        <v>44</v>
      </c>
      <c r="FV39" s="208">
        <v>62.5</v>
      </c>
      <c r="FW39" s="237">
        <v>70.819999999999993</v>
      </c>
      <c r="FX39" s="237">
        <v>54.5</v>
      </c>
      <c r="FY39" s="208">
        <v>32.35</v>
      </c>
      <c r="FZ39" s="208">
        <v>49.1</v>
      </c>
      <c r="GA39" s="208">
        <v>55.72</v>
      </c>
      <c r="GB39" s="208">
        <v>60.2</v>
      </c>
      <c r="GC39" s="208">
        <v>0.14000000000000001</v>
      </c>
      <c r="GD39" s="208">
        <v>33.1</v>
      </c>
      <c r="GE39" s="237">
        <v>44.83</v>
      </c>
      <c r="GF39" s="237">
        <v>58.8</v>
      </c>
      <c r="GG39" s="237">
        <v>10.210000000000001</v>
      </c>
      <c r="GH39" s="237">
        <v>68.599999999999994</v>
      </c>
      <c r="GJ39" s="947"/>
      <c r="GK39" s="320"/>
      <c r="GL39" s="320"/>
      <c r="GM39" s="320"/>
      <c r="GN39" s="320"/>
      <c r="GO39" s="662">
        <v>8034</v>
      </c>
      <c r="GP39" s="663" t="str">
        <f>VLOOKUP(GS39,'BD Comarcal'!$A$6:$AV$17,48,FALSE)</f>
        <v>42</v>
      </c>
      <c r="GQ39" s="564">
        <v>10</v>
      </c>
      <c r="GR39" s="256">
        <f t="shared" si="0"/>
        <v>1</v>
      </c>
      <c r="GS39" s="237" t="s">
        <v>87</v>
      </c>
    </row>
    <row r="40" spans="1:201" s="237" customFormat="1" ht="17.25" customHeight="1">
      <c r="A40" s="236" t="s">
        <v>338</v>
      </c>
      <c r="C40" s="238" t="s">
        <v>683</v>
      </c>
      <c r="D40" s="238">
        <v>790</v>
      </c>
      <c r="E40" s="238">
        <v>427</v>
      </c>
      <c r="F40" s="239">
        <v>0.54050632911392404</v>
      </c>
      <c r="G40" s="238">
        <v>254</v>
      </c>
      <c r="H40" s="240">
        <v>2.2312567349792038</v>
      </c>
      <c r="I40" s="239">
        <v>5.2254256088505946E-3</v>
      </c>
      <c r="J40" s="238">
        <v>23</v>
      </c>
      <c r="K40" s="238">
        <v>0</v>
      </c>
      <c r="L40" s="238">
        <v>19</v>
      </c>
      <c r="M40" s="241">
        <v>2.4050632911392405E-2</v>
      </c>
      <c r="N40" s="238">
        <v>0</v>
      </c>
      <c r="O40" s="239">
        <v>0</v>
      </c>
      <c r="P40" s="237">
        <v>1</v>
      </c>
      <c r="Q40" s="237">
        <v>0</v>
      </c>
      <c r="R40" s="239">
        <v>0</v>
      </c>
      <c r="S40" s="238">
        <v>8</v>
      </c>
      <c r="T40" s="436">
        <v>2226</v>
      </c>
      <c r="U40" s="436">
        <v>0</v>
      </c>
      <c r="V40" s="436">
        <v>10939</v>
      </c>
      <c r="W40" s="436">
        <v>13165</v>
      </c>
      <c r="X40" s="238">
        <v>18317</v>
      </c>
      <c r="Y40" s="237">
        <v>0.1918</v>
      </c>
      <c r="Z40" s="238">
        <v>253811</v>
      </c>
      <c r="AA40" s="238">
        <v>13926</v>
      </c>
      <c r="AB40" s="238">
        <v>85.09</v>
      </c>
      <c r="AC40" s="238">
        <v>6546</v>
      </c>
      <c r="AD40" s="238">
        <v>20022928.579999998</v>
      </c>
      <c r="AE40" s="238">
        <v>673204.45000000298</v>
      </c>
      <c r="AF40" s="238">
        <v>18617832.329999998</v>
      </c>
      <c r="AG40" s="238">
        <v>1865472.38</v>
      </c>
      <c r="AH40" s="239">
        <v>0.10019815126350964</v>
      </c>
      <c r="AI40" s="242">
        <v>176.45496900000001</v>
      </c>
      <c r="AJ40" s="242">
        <v>55.95523</v>
      </c>
      <c r="AK40" s="242">
        <v>7.0829405063291144</v>
      </c>
      <c r="AL40" s="242">
        <v>42.035842000000002</v>
      </c>
      <c r="AM40" s="242">
        <v>5.3209926582278486</v>
      </c>
      <c r="AN40" s="242">
        <v>18867.29</v>
      </c>
      <c r="AO40" s="238">
        <v>2402.1999999999998</v>
      </c>
      <c r="AP40" s="243">
        <v>10</v>
      </c>
      <c r="AQ40" s="238"/>
      <c r="AR40" s="238">
        <v>1334.4847684226168</v>
      </c>
      <c r="AS40" s="238">
        <v>1397.7194397313051</v>
      </c>
      <c r="AT40" s="238">
        <v>1474516.6666666667</v>
      </c>
      <c r="AU40" s="238">
        <v>281.3566937313405</v>
      </c>
      <c r="AV40" s="237">
        <v>1</v>
      </c>
      <c r="AW40" s="237">
        <v>0</v>
      </c>
      <c r="AX40" s="237">
        <v>1</v>
      </c>
      <c r="AY40" s="244" t="s">
        <v>673</v>
      </c>
      <c r="AZ40" s="244" t="s">
        <v>673</v>
      </c>
      <c r="BA40" s="237">
        <v>2009</v>
      </c>
      <c r="BB40" s="245" t="s">
        <v>877</v>
      </c>
      <c r="BC40" s="215" t="s">
        <v>878</v>
      </c>
      <c r="BD40" s="237">
        <v>1</v>
      </c>
      <c r="BE40" s="237">
        <v>62</v>
      </c>
      <c r="BF40" s="237">
        <v>0</v>
      </c>
      <c r="BG40" s="246" t="s">
        <v>676</v>
      </c>
      <c r="BI40" s="239">
        <v>0.44250977517106549</v>
      </c>
      <c r="BJ40" s="239">
        <v>0.16471163245356793</v>
      </c>
      <c r="BK40" s="239">
        <v>0.36681329423264908</v>
      </c>
      <c r="BL40" s="239">
        <v>2.5965298142717499E-2</v>
      </c>
      <c r="BM40" s="247">
        <v>2.0237658846529816</v>
      </c>
      <c r="BN40" s="248">
        <v>0</v>
      </c>
      <c r="BO40" s="248">
        <v>0</v>
      </c>
      <c r="BP40" s="237">
        <v>0</v>
      </c>
      <c r="BQ40" s="237">
        <v>0</v>
      </c>
      <c r="BR40" s="248">
        <v>0</v>
      </c>
      <c r="BS40" s="237">
        <v>0</v>
      </c>
      <c r="BT40" s="237" t="s">
        <v>338</v>
      </c>
      <c r="BU40" s="249">
        <v>1139</v>
      </c>
      <c r="BV40" s="249">
        <v>2323</v>
      </c>
      <c r="BW40" s="249">
        <v>9089</v>
      </c>
      <c r="BX40" s="249">
        <v>2442</v>
      </c>
      <c r="BY40" s="249">
        <v>6.1670908008013425</v>
      </c>
      <c r="BZ40" s="249">
        <v>12.577833125778332</v>
      </c>
      <c r="CA40" s="249">
        <v>49.212193405165415</v>
      </c>
      <c r="CB40" s="249">
        <v>13.222156045265038</v>
      </c>
      <c r="CC40" s="250">
        <v>92.869132059126116</v>
      </c>
      <c r="CD40" s="242">
        <v>6016</v>
      </c>
      <c r="CE40" s="252">
        <v>132.57350154312633</v>
      </c>
      <c r="CF40" s="238">
        <v>10615</v>
      </c>
      <c r="CG40" s="238">
        <v>1578.4</v>
      </c>
      <c r="CH40" s="238">
        <v>8.5462125724186482</v>
      </c>
      <c r="CI40" s="216" t="s">
        <v>700</v>
      </c>
      <c r="CJ40" s="237">
        <v>0</v>
      </c>
      <c r="CK40" s="253">
        <v>187.4</v>
      </c>
      <c r="CL40" s="253">
        <v>83.982500000000002</v>
      </c>
      <c r="CM40" s="254">
        <v>0.10630696202531646</v>
      </c>
      <c r="CN40" s="237" t="s">
        <v>86</v>
      </c>
      <c r="CO40" s="242"/>
      <c r="CP40" s="255">
        <v>0</v>
      </c>
      <c r="CV40" s="237">
        <v>10</v>
      </c>
      <c r="CW40" s="194">
        <v>1.0980000000000001</v>
      </c>
      <c r="CX40" s="194">
        <v>0.63500000000000001</v>
      </c>
      <c r="CY40" s="194">
        <v>0.253</v>
      </c>
      <c r="DB40" s="216" t="s">
        <v>804</v>
      </c>
      <c r="DC40" s="195" t="s">
        <v>879</v>
      </c>
      <c r="DD40" s="256">
        <v>0.7</v>
      </c>
      <c r="DE40" s="256">
        <v>-6.5</v>
      </c>
      <c r="DF40" s="256">
        <v>0.7</v>
      </c>
      <c r="DG40" s="256">
        <v>-2.2000000000000002</v>
      </c>
      <c r="DH40" s="257">
        <v>2</v>
      </c>
      <c r="DI40" s="257">
        <v>2.5</v>
      </c>
      <c r="DJ40" s="257">
        <v>2.6</v>
      </c>
      <c r="DK40" s="257">
        <v>5.0999999999999996</v>
      </c>
      <c r="DL40" s="237" t="s">
        <v>529</v>
      </c>
      <c r="DM40" s="237" t="s">
        <v>764</v>
      </c>
      <c r="DN40" s="237" t="s">
        <v>713</v>
      </c>
      <c r="DP40" s="258" t="s">
        <v>682</v>
      </c>
      <c r="DQ40" s="258"/>
      <c r="DR40" s="258"/>
      <c r="DS40" s="258"/>
      <c r="DT40" s="258"/>
      <c r="DU40" s="237">
        <v>0</v>
      </c>
      <c r="DX40" s="247"/>
      <c r="DY40" s="247">
        <v>0</v>
      </c>
      <c r="EA40" s="237">
        <v>1</v>
      </c>
      <c r="EB40" s="237" t="s">
        <v>741</v>
      </c>
      <c r="ED40" s="237" t="s">
        <v>880</v>
      </c>
      <c r="EE40" s="208">
        <v>1</v>
      </c>
      <c r="EF40" s="237" t="s">
        <v>852</v>
      </c>
      <c r="EG40" s="216" t="s">
        <v>689</v>
      </c>
      <c r="EH40" s="246" t="s">
        <v>690</v>
      </c>
      <c r="EI40" s="216"/>
      <c r="EJ40" s="216" t="s">
        <v>529</v>
      </c>
      <c r="EK40" s="222" t="s">
        <v>529</v>
      </c>
      <c r="EL40" s="259">
        <v>2005</v>
      </c>
      <c r="EM40" s="260">
        <v>10000</v>
      </c>
      <c r="EN40" s="260">
        <v>794665</v>
      </c>
      <c r="EO40" s="260">
        <v>661676</v>
      </c>
      <c r="ER40" s="237" t="s">
        <v>705</v>
      </c>
      <c r="ES40" s="237" t="e">
        <v>#DIV/0!</v>
      </c>
      <c r="ET40" s="237">
        <v>66.167599999999993</v>
      </c>
      <c r="EU40" s="661">
        <v>1</v>
      </c>
      <c r="EV40" s="661">
        <v>3</v>
      </c>
      <c r="EW40" s="661">
        <v>5</v>
      </c>
      <c r="EX40" s="661">
        <v>6</v>
      </c>
      <c r="EY40" s="660">
        <v>0.23721518987341772</v>
      </c>
      <c r="EZ40" s="256">
        <v>98.553895410885801</v>
      </c>
      <c r="FA40" s="247">
        <v>2.3419203747072599</v>
      </c>
      <c r="FB40" s="208" t="s">
        <v>678</v>
      </c>
      <c r="FC40" s="208" t="s">
        <v>678</v>
      </c>
      <c r="FD40" s="208">
        <v>3</v>
      </c>
      <c r="FE40" s="239">
        <v>0.59484777517564402</v>
      </c>
      <c r="FF40" s="208"/>
      <c r="FG40" s="241">
        <v>1.1943793911007024E-2</v>
      </c>
      <c r="FH40" s="209">
        <v>0</v>
      </c>
      <c r="FI40" s="237" t="s">
        <v>678</v>
      </c>
      <c r="FJ40" s="208" t="s">
        <v>678</v>
      </c>
      <c r="FK40" s="208" t="s">
        <v>678</v>
      </c>
      <c r="FL40" s="217" t="s">
        <v>678</v>
      </c>
      <c r="FM40" s="208" t="s">
        <v>678</v>
      </c>
      <c r="FN40" s="208" t="s">
        <v>678</v>
      </c>
      <c r="FO40" s="237">
        <v>2330</v>
      </c>
      <c r="FP40" s="247">
        <v>2.9493670886075951</v>
      </c>
      <c r="FU40" s="208" t="s">
        <v>678</v>
      </c>
      <c r="FV40" s="208" t="s">
        <v>678</v>
      </c>
      <c r="FW40" s="208" t="s">
        <v>678</v>
      </c>
      <c r="FX40" s="208" t="s">
        <v>678</v>
      </c>
      <c r="FY40" s="208" t="s">
        <v>678</v>
      </c>
      <c r="FZ40" s="208" t="s">
        <v>678</v>
      </c>
      <c r="GA40" s="208" t="s">
        <v>678</v>
      </c>
      <c r="GB40" s="208" t="s">
        <v>678</v>
      </c>
      <c r="GC40" s="208" t="s">
        <v>678</v>
      </c>
      <c r="GD40" s="208" t="s">
        <v>678</v>
      </c>
      <c r="GE40" s="237" t="s">
        <v>678</v>
      </c>
      <c r="GF40" s="237" t="s">
        <v>678</v>
      </c>
      <c r="GG40" s="237" t="s">
        <v>678</v>
      </c>
      <c r="GH40" s="237" t="s">
        <v>678</v>
      </c>
      <c r="GJ40" s="947">
        <v>341</v>
      </c>
      <c r="GK40" s="320">
        <v>2E-3</v>
      </c>
      <c r="GL40" s="320">
        <v>4.4999999999999998E-2</v>
      </c>
      <c r="GM40" s="320">
        <v>4.8000000000000001E-2</v>
      </c>
      <c r="GN40" s="320">
        <v>0.90400000000000003</v>
      </c>
      <c r="GO40" s="662">
        <v>8035</v>
      </c>
      <c r="GP40" s="663" t="str">
        <f>VLOOKUP(GS40,'BD Comarcal'!$A$6:$AV$17,48,FALSE)</f>
        <v>21</v>
      </c>
      <c r="GQ40" s="564">
        <v>203</v>
      </c>
      <c r="GR40" s="256">
        <f t="shared" si="0"/>
        <v>1</v>
      </c>
      <c r="GS40" s="237" t="s">
        <v>86</v>
      </c>
    </row>
    <row r="41" spans="1:201" s="237" customFormat="1" ht="17.25" customHeight="1">
      <c r="A41" s="236" t="s">
        <v>881</v>
      </c>
      <c r="C41" s="238"/>
      <c r="D41" s="238">
        <v>3730</v>
      </c>
      <c r="E41" s="238">
        <v>1480</v>
      </c>
      <c r="F41" s="239">
        <v>0.39678284182305629</v>
      </c>
      <c r="G41" s="238">
        <v>948</v>
      </c>
      <c r="H41" s="240">
        <v>44.399860150208902</v>
      </c>
      <c r="I41" s="239">
        <v>2.9999905506897906E-2</v>
      </c>
      <c r="J41" s="238">
        <v>2015</v>
      </c>
      <c r="K41" s="238">
        <v>48</v>
      </c>
      <c r="L41" s="238">
        <v>4</v>
      </c>
      <c r="M41" s="241">
        <v>1.0723860589812334E-3</v>
      </c>
      <c r="N41" s="238">
        <v>14</v>
      </c>
      <c r="O41" s="239">
        <v>6.9478908188585608E-3</v>
      </c>
      <c r="P41" s="237">
        <v>22</v>
      </c>
      <c r="Q41" s="237">
        <v>0</v>
      </c>
      <c r="R41" s="239">
        <v>0</v>
      </c>
      <c r="S41" s="238">
        <v>4189</v>
      </c>
      <c r="T41" s="436">
        <v>0</v>
      </c>
      <c r="U41" s="436">
        <v>72</v>
      </c>
      <c r="V41" s="436">
        <v>0</v>
      </c>
      <c r="W41" s="436">
        <v>72</v>
      </c>
      <c r="X41" s="238">
        <v>191</v>
      </c>
      <c r="Y41" s="237">
        <v>0.29699999999999999</v>
      </c>
      <c r="Z41" s="238">
        <v>2442</v>
      </c>
      <c r="AA41" s="238">
        <v>12396</v>
      </c>
      <c r="AB41" s="238">
        <v>75.739999999999995</v>
      </c>
      <c r="AC41" s="238">
        <v>0</v>
      </c>
      <c r="AD41" s="238">
        <v>571768.57000000007</v>
      </c>
      <c r="AE41" s="238">
        <v>145348.31999999995</v>
      </c>
      <c r="AF41" s="238">
        <v>379987.80000000005</v>
      </c>
      <c r="AG41" s="238">
        <v>119218.41</v>
      </c>
      <c r="AH41" s="239">
        <v>0.31374273068766939</v>
      </c>
      <c r="AI41" s="242">
        <v>25.494644000000001</v>
      </c>
      <c r="AJ41" s="242">
        <v>0.50680899999999995</v>
      </c>
      <c r="AK41" s="242">
        <v>1.3587372654155494E-2</v>
      </c>
      <c r="AL41" s="242" t="s">
        <v>678</v>
      </c>
      <c r="AM41" s="242" t="s">
        <v>678</v>
      </c>
      <c r="AN41" s="242">
        <v>27914.25</v>
      </c>
      <c r="AO41" s="238">
        <v>21566.36</v>
      </c>
      <c r="AP41" s="243">
        <v>117</v>
      </c>
      <c r="AQ41" s="238"/>
      <c r="AR41" s="238">
        <v>1460.779332585503</v>
      </c>
      <c r="AS41" s="238">
        <v>1159.4030656814305</v>
      </c>
      <c r="AT41" s="238">
        <v>9850.3333333333339</v>
      </c>
      <c r="AU41" s="238">
        <v>257.96822972864794</v>
      </c>
      <c r="AV41" s="237">
        <v>1</v>
      </c>
      <c r="AW41" s="237">
        <v>1</v>
      </c>
      <c r="AX41" s="237">
        <v>1</v>
      </c>
      <c r="AY41" s="244" t="s">
        <v>717</v>
      </c>
      <c r="AZ41" s="244" t="s">
        <v>695</v>
      </c>
      <c r="BA41" s="237">
        <v>0</v>
      </c>
      <c r="BB41" s="245" t="s">
        <v>882</v>
      </c>
      <c r="BC41" s="215" t="s">
        <v>883</v>
      </c>
      <c r="BE41" s="237">
        <v>2</v>
      </c>
      <c r="BF41" s="237">
        <v>77</v>
      </c>
      <c r="BG41" s="246" t="s">
        <v>720</v>
      </c>
      <c r="BI41" s="239">
        <v>0.84677419354838712</v>
      </c>
      <c r="BJ41" s="239">
        <v>9.6774193548387094E-2</v>
      </c>
      <c r="BK41" s="239">
        <v>4.8387096774193547E-2</v>
      </c>
      <c r="BL41" s="239">
        <v>8.0645161290322578E-3</v>
      </c>
      <c r="BM41" s="247">
        <v>2.782258064516129</v>
      </c>
      <c r="BN41" s="248">
        <v>0</v>
      </c>
      <c r="BO41" s="248">
        <v>0</v>
      </c>
      <c r="BP41" s="237">
        <v>0</v>
      </c>
      <c r="BQ41" s="237">
        <v>0</v>
      </c>
      <c r="BR41" s="248">
        <v>0</v>
      </c>
      <c r="BS41" s="237">
        <v>32</v>
      </c>
      <c r="BT41" s="237" t="s">
        <v>755</v>
      </c>
      <c r="BU41" s="249" t="s">
        <v>678</v>
      </c>
      <c r="BV41" s="249" t="s">
        <v>678</v>
      </c>
      <c r="BW41" s="249" t="s">
        <v>678</v>
      </c>
      <c r="BX41" s="249" t="s">
        <v>678</v>
      </c>
      <c r="BY41" s="249" t="s">
        <v>678</v>
      </c>
      <c r="BZ41" s="249" t="s">
        <v>678</v>
      </c>
      <c r="CA41" s="249" t="s">
        <v>678</v>
      </c>
      <c r="CB41" s="249" t="s">
        <v>678</v>
      </c>
      <c r="CC41" s="250" t="s">
        <v>678</v>
      </c>
      <c r="CD41" s="242" t="s">
        <v>678</v>
      </c>
      <c r="CE41" s="252" t="s">
        <v>678</v>
      </c>
      <c r="CF41" s="238">
        <v>159</v>
      </c>
      <c r="CG41" s="238">
        <v>6.8</v>
      </c>
      <c r="CH41" s="238">
        <v>3.3497536945812807</v>
      </c>
      <c r="CI41" s="216" t="s">
        <v>756</v>
      </c>
      <c r="CJ41" s="237">
        <v>1</v>
      </c>
      <c r="CK41" s="253">
        <v>7.68</v>
      </c>
      <c r="CL41" s="253">
        <v>0</v>
      </c>
      <c r="CM41" s="254">
        <v>0</v>
      </c>
      <c r="CN41" s="237" t="s">
        <v>81</v>
      </c>
      <c r="CO41" s="242"/>
      <c r="CP41" s="255">
        <v>0</v>
      </c>
      <c r="CW41" s="261" t="s">
        <v>678</v>
      </c>
      <c r="CX41" s="261" t="s">
        <v>678</v>
      </c>
      <c r="CY41" s="261" t="s">
        <v>678</v>
      </c>
      <c r="DB41" s="216" t="s">
        <v>681</v>
      </c>
      <c r="DC41" s="256"/>
      <c r="DD41" s="256">
        <v>0.8</v>
      </c>
      <c r="DE41" s="256">
        <v>-9</v>
      </c>
      <c r="DF41" s="256">
        <v>-0.3</v>
      </c>
      <c r="DG41" s="256">
        <v>-2.6</v>
      </c>
      <c r="DL41" s="237" t="s">
        <v>529</v>
      </c>
      <c r="DN41" s="237" t="s">
        <v>730</v>
      </c>
      <c r="DP41" s="258" t="s">
        <v>682</v>
      </c>
      <c r="DQ41" s="258"/>
      <c r="DR41" s="258"/>
      <c r="DS41" s="258"/>
      <c r="DT41" s="258"/>
      <c r="DU41" s="237">
        <v>0</v>
      </c>
      <c r="DX41" s="247"/>
      <c r="DY41" s="247">
        <v>0</v>
      </c>
      <c r="EA41" s="237">
        <v>0</v>
      </c>
      <c r="ED41" s="237" t="s">
        <v>884</v>
      </c>
      <c r="EE41" s="208">
        <v>3</v>
      </c>
      <c r="EF41" s="237" t="s">
        <v>688</v>
      </c>
      <c r="EG41" s="216" t="s">
        <v>703</v>
      </c>
      <c r="EH41" s="246" t="s">
        <v>704</v>
      </c>
      <c r="EI41" s="216"/>
      <c r="EJ41" s="216" t="s">
        <v>529</v>
      </c>
      <c r="EK41" s="222" t="s">
        <v>682</v>
      </c>
      <c r="EL41" s="259">
        <v>2010</v>
      </c>
      <c r="EM41" s="260">
        <v>900</v>
      </c>
      <c r="EN41" s="260">
        <v>7959</v>
      </c>
      <c r="EO41" s="260">
        <v>1627</v>
      </c>
      <c r="ER41" s="237" t="s">
        <v>705</v>
      </c>
      <c r="ES41" s="237" t="e">
        <v>#DIV/0!</v>
      </c>
      <c r="ET41" s="237">
        <v>1.8077777777777777</v>
      </c>
      <c r="EU41" s="661">
        <v>3</v>
      </c>
      <c r="EV41" s="661" t="s">
        <v>678</v>
      </c>
      <c r="EW41" s="661">
        <v>1</v>
      </c>
      <c r="EX41" s="661">
        <v>2</v>
      </c>
      <c r="EY41" s="660">
        <v>2.0589812332439676E-3</v>
      </c>
      <c r="EZ41" s="256">
        <v>26.432291666666668</v>
      </c>
      <c r="FA41" s="247">
        <v>0</v>
      </c>
      <c r="FB41" s="208">
        <v>4</v>
      </c>
      <c r="FC41" s="208">
        <v>4</v>
      </c>
      <c r="FD41" s="208">
        <v>5</v>
      </c>
      <c r="FE41" s="239">
        <v>0.64054054054054055</v>
      </c>
      <c r="FF41" s="208">
        <v>1</v>
      </c>
      <c r="FG41" s="241">
        <v>0</v>
      </c>
      <c r="FH41" s="209">
        <v>0</v>
      </c>
      <c r="FI41" s="237" t="s">
        <v>678</v>
      </c>
      <c r="FJ41" s="208">
        <v>40.200000000000003</v>
      </c>
      <c r="FK41" s="208">
        <v>0</v>
      </c>
      <c r="FL41" s="217">
        <v>1.7</v>
      </c>
      <c r="FM41" s="208">
        <v>5.31</v>
      </c>
      <c r="FN41" s="208" t="s">
        <v>885</v>
      </c>
      <c r="FP41" s="247" t="s">
        <v>693</v>
      </c>
      <c r="FU41" s="208">
        <v>32</v>
      </c>
      <c r="FV41" s="208">
        <v>31.3</v>
      </c>
      <c r="FW41" s="237">
        <v>43.28</v>
      </c>
      <c r="FX41" s="237">
        <v>22.4</v>
      </c>
      <c r="FY41" s="208">
        <v>9.33</v>
      </c>
      <c r="FZ41" s="208">
        <v>17.7</v>
      </c>
      <c r="GA41" s="208">
        <v>28.29</v>
      </c>
      <c r="GB41" s="208">
        <v>18.600000000000001</v>
      </c>
      <c r="GC41" s="208">
        <v>0.37</v>
      </c>
      <c r="GD41" s="208">
        <v>55.6</v>
      </c>
      <c r="GE41" s="237">
        <v>23.22</v>
      </c>
      <c r="GF41" s="237">
        <v>22.7</v>
      </c>
      <c r="GG41" s="237">
        <v>5.64</v>
      </c>
      <c r="GH41" s="237">
        <v>47.7</v>
      </c>
      <c r="GJ41" s="947"/>
      <c r="GK41" s="320"/>
      <c r="GL41" s="320"/>
      <c r="GM41" s="320"/>
      <c r="GN41" s="320"/>
      <c r="GO41" s="662">
        <v>8036</v>
      </c>
      <c r="GP41" s="663" t="str">
        <f>VLOOKUP(GS41,'BD Comarcal'!$A$6:$AV$17,48,FALSE)</f>
        <v>06</v>
      </c>
      <c r="GQ41" s="564">
        <v>4</v>
      </c>
      <c r="GR41" s="256">
        <f t="shared" si="0"/>
        <v>0</v>
      </c>
      <c r="GS41" s="237" t="s">
        <v>81</v>
      </c>
    </row>
    <row r="42" spans="1:201" s="237" customFormat="1" ht="17.25" customHeight="1">
      <c r="A42" s="236" t="s">
        <v>886</v>
      </c>
      <c r="C42" s="238"/>
      <c r="D42" s="238">
        <v>580</v>
      </c>
      <c r="E42" s="238">
        <v>76</v>
      </c>
      <c r="F42" s="239">
        <v>0.1310344827586207</v>
      </c>
      <c r="G42" s="238">
        <v>54</v>
      </c>
      <c r="H42" s="240">
        <v>65.548236693385505</v>
      </c>
      <c r="I42" s="239">
        <v>0.86247679859717774</v>
      </c>
      <c r="J42" s="238">
        <v>434</v>
      </c>
      <c r="K42" s="238">
        <v>78</v>
      </c>
      <c r="L42" s="238">
        <v>30</v>
      </c>
      <c r="M42" s="241">
        <v>5.1724137931034482E-2</v>
      </c>
      <c r="N42" s="238">
        <v>0</v>
      </c>
      <c r="O42" s="239">
        <v>0</v>
      </c>
      <c r="P42" s="237">
        <v>26</v>
      </c>
      <c r="Q42" s="237">
        <v>0</v>
      </c>
      <c r="R42" s="239">
        <v>0</v>
      </c>
      <c r="S42" s="238">
        <v>6064</v>
      </c>
      <c r="T42" s="436">
        <v>0</v>
      </c>
      <c r="U42" s="436">
        <v>11</v>
      </c>
      <c r="V42" s="436">
        <v>0</v>
      </c>
      <c r="W42" s="436">
        <v>11</v>
      </c>
      <c r="X42" s="238">
        <v>2418</v>
      </c>
      <c r="Y42" s="237">
        <v>0.14369999999999999</v>
      </c>
      <c r="Z42" s="238">
        <v>42866</v>
      </c>
      <c r="AA42" s="238">
        <v>17662</v>
      </c>
      <c r="AB42" s="238">
        <v>107.92</v>
      </c>
      <c r="AC42" s="238">
        <v>3149</v>
      </c>
      <c r="AD42" s="238">
        <v>3214695.95</v>
      </c>
      <c r="AE42" s="238">
        <v>211383.16000000015</v>
      </c>
      <c r="AF42" s="238">
        <v>2138379.29</v>
      </c>
      <c r="AG42" s="238">
        <v>123512.51</v>
      </c>
      <c r="AH42" s="239">
        <v>5.7759870093017966E-2</v>
      </c>
      <c r="AI42" s="242">
        <v>46.825527000000001</v>
      </c>
      <c r="AJ42" s="242">
        <v>6.6046110000000002</v>
      </c>
      <c r="AK42" s="242">
        <v>1.1387260344827586</v>
      </c>
      <c r="AL42" s="242" t="s">
        <v>678</v>
      </c>
      <c r="AM42" s="242" t="s">
        <v>678</v>
      </c>
      <c r="AN42" s="242">
        <v>8907.4500000000007</v>
      </c>
      <c r="AO42" s="238">
        <v>2173.58</v>
      </c>
      <c r="AP42" s="243">
        <v>9</v>
      </c>
      <c r="AQ42" s="238"/>
      <c r="AR42" s="238">
        <v>1430.9417441283865</v>
      </c>
      <c r="AS42" s="238">
        <v>1651.6222811582772</v>
      </c>
      <c r="AT42" s="238">
        <v>126898.33333333333</v>
      </c>
      <c r="AU42" s="238">
        <v>233.07382546615651</v>
      </c>
      <c r="AV42" s="237">
        <v>1</v>
      </c>
      <c r="AW42" s="237">
        <v>0</v>
      </c>
      <c r="AX42" s="237">
        <v>0</v>
      </c>
      <c r="AY42" s="244" t="s">
        <v>717</v>
      </c>
      <c r="AZ42" s="244" t="s">
        <v>726</v>
      </c>
      <c r="BA42" s="237">
        <v>2013</v>
      </c>
      <c r="BB42" s="245" t="s">
        <v>887</v>
      </c>
      <c r="BC42" s="215" t="s">
        <v>888</v>
      </c>
      <c r="BE42" s="237">
        <v>0</v>
      </c>
      <c r="BF42" s="237">
        <v>83</v>
      </c>
      <c r="BG42" s="246" t="s">
        <v>698</v>
      </c>
      <c r="BI42" s="239">
        <v>0.29861568885959128</v>
      </c>
      <c r="BJ42" s="239">
        <v>0.1001977587343441</v>
      </c>
      <c r="BK42" s="239">
        <v>0.54976928147659854</v>
      </c>
      <c r="BL42" s="239">
        <v>5.1417270929466054E-2</v>
      </c>
      <c r="BM42" s="247">
        <v>1.6460118655240605</v>
      </c>
      <c r="BN42" s="248">
        <v>0</v>
      </c>
      <c r="BO42" s="248">
        <v>0</v>
      </c>
      <c r="BP42" s="237">
        <v>0</v>
      </c>
      <c r="BQ42" s="237">
        <v>0</v>
      </c>
      <c r="BR42" s="248">
        <v>0</v>
      </c>
      <c r="BS42" s="237">
        <v>3</v>
      </c>
      <c r="BT42" s="237" t="s">
        <v>815</v>
      </c>
      <c r="BU42" s="249" t="s">
        <v>678</v>
      </c>
      <c r="BV42" s="249">
        <v>296</v>
      </c>
      <c r="BW42" s="249">
        <v>1081</v>
      </c>
      <c r="BX42" s="249" t="s">
        <v>678</v>
      </c>
      <c r="BY42" s="249" t="s">
        <v>678</v>
      </c>
      <c r="BZ42" s="249">
        <v>11.940298507462687</v>
      </c>
      <c r="CA42" s="249">
        <v>43.606292860024205</v>
      </c>
      <c r="CB42" s="249" t="s">
        <v>678</v>
      </c>
      <c r="CC42" s="250" t="s">
        <v>678</v>
      </c>
      <c r="CD42" s="242" t="s">
        <v>678</v>
      </c>
      <c r="CE42" s="252" t="s">
        <v>678</v>
      </c>
      <c r="CF42" s="238">
        <v>943</v>
      </c>
      <c r="CG42" s="238">
        <v>150</v>
      </c>
      <c r="CH42" s="238">
        <v>6.0508269463493347</v>
      </c>
      <c r="CI42" s="216" t="s">
        <v>722</v>
      </c>
      <c r="CJ42" s="237">
        <v>1</v>
      </c>
      <c r="CK42" s="253">
        <v>43.15</v>
      </c>
      <c r="CL42" s="253">
        <v>40.730800000000002</v>
      </c>
      <c r="CM42" s="254">
        <v>7.022551724137932E-2</v>
      </c>
      <c r="CN42" s="237" t="s">
        <v>88</v>
      </c>
      <c r="CO42" s="242"/>
      <c r="CP42" s="255">
        <v>0</v>
      </c>
      <c r="CV42" s="237">
        <v>1</v>
      </c>
      <c r="CW42" s="261" t="s">
        <v>678</v>
      </c>
      <c r="CX42" s="261" t="s">
        <v>678</v>
      </c>
      <c r="CY42" s="261" t="s">
        <v>678</v>
      </c>
      <c r="DB42" s="216" t="s">
        <v>710</v>
      </c>
      <c r="DC42" s="195" t="s">
        <v>711</v>
      </c>
      <c r="DD42" s="256">
        <v>0.8</v>
      </c>
      <c r="DE42" s="256">
        <v>-10</v>
      </c>
      <c r="DF42" s="256">
        <v>0.5</v>
      </c>
      <c r="DG42" s="256">
        <v>-2.2999999999999998</v>
      </c>
      <c r="DL42" s="237" t="s">
        <v>529</v>
      </c>
      <c r="DM42" s="237" t="s">
        <v>889</v>
      </c>
      <c r="DN42" s="237" t="s">
        <v>713</v>
      </c>
      <c r="DP42" s="258" t="s">
        <v>682</v>
      </c>
      <c r="DQ42" s="258"/>
      <c r="DR42" s="258"/>
      <c r="DS42" s="258"/>
      <c r="DT42" s="258"/>
      <c r="DU42" s="237">
        <v>0</v>
      </c>
      <c r="DX42" s="247"/>
      <c r="DY42" s="247">
        <v>0</v>
      </c>
      <c r="EA42" s="237">
        <v>0</v>
      </c>
      <c r="ED42" s="237" t="s">
        <v>678</v>
      </c>
      <c r="EE42" s="208">
        <v>5</v>
      </c>
      <c r="EF42" s="237" t="s">
        <v>678</v>
      </c>
      <c r="EG42" s="216" t="s">
        <v>733</v>
      </c>
      <c r="EH42" s="246" t="s">
        <v>734</v>
      </c>
      <c r="EI42" s="216"/>
      <c r="EJ42" s="216" t="s">
        <v>529</v>
      </c>
      <c r="EK42" s="222" t="s">
        <v>682</v>
      </c>
      <c r="EL42" s="259">
        <v>1986</v>
      </c>
      <c r="EM42" s="260">
        <v>5380</v>
      </c>
      <c r="EN42" s="260">
        <v>90406</v>
      </c>
      <c r="EO42" s="260">
        <v>38270</v>
      </c>
      <c r="ER42" s="237" t="s">
        <v>705</v>
      </c>
      <c r="ES42" s="237" t="e">
        <v>#DIV/0!</v>
      </c>
      <c r="ET42" s="237">
        <v>7.1133828996282524</v>
      </c>
      <c r="EU42" s="661">
        <v>7</v>
      </c>
      <c r="EV42" s="661">
        <v>2</v>
      </c>
      <c r="EW42" s="661">
        <v>4</v>
      </c>
      <c r="EX42" s="661">
        <v>3</v>
      </c>
      <c r="EY42" s="660">
        <v>7.4396551724137935E-2</v>
      </c>
      <c r="EZ42" s="256">
        <v>57.450753186558522</v>
      </c>
      <c r="FA42" s="247">
        <v>1.3157894736842106</v>
      </c>
      <c r="FB42" s="208">
        <v>6</v>
      </c>
      <c r="FC42" s="208">
        <v>4</v>
      </c>
      <c r="FD42" s="208">
        <v>4</v>
      </c>
      <c r="FE42" s="239">
        <v>0.71052631578947367</v>
      </c>
      <c r="FF42" s="208"/>
      <c r="FG42" s="241">
        <v>0</v>
      </c>
      <c r="FH42" s="209">
        <v>0</v>
      </c>
      <c r="FI42" s="237" t="s">
        <v>678</v>
      </c>
      <c r="FJ42" s="208" t="s">
        <v>678</v>
      </c>
      <c r="FK42" s="208" t="s">
        <v>678</v>
      </c>
      <c r="FL42" s="217" t="s">
        <v>678</v>
      </c>
      <c r="FM42" s="208" t="s">
        <v>678</v>
      </c>
      <c r="FN42" s="208" t="s">
        <v>678</v>
      </c>
      <c r="FP42" s="247" t="s">
        <v>693</v>
      </c>
      <c r="FU42" s="208" t="s">
        <v>678</v>
      </c>
      <c r="FV42" s="208" t="s">
        <v>678</v>
      </c>
      <c r="FW42" s="208" t="s">
        <v>678</v>
      </c>
      <c r="FX42" s="208" t="s">
        <v>678</v>
      </c>
      <c r="FY42" s="208" t="s">
        <v>678</v>
      </c>
      <c r="FZ42" s="208" t="s">
        <v>678</v>
      </c>
      <c r="GA42" s="208" t="s">
        <v>678</v>
      </c>
      <c r="GB42" s="208" t="s">
        <v>678</v>
      </c>
      <c r="GC42" s="208" t="s">
        <v>678</v>
      </c>
      <c r="GD42" s="208" t="s">
        <v>678</v>
      </c>
      <c r="GE42" s="237" t="s">
        <v>678</v>
      </c>
      <c r="GF42" s="237" t="s">
        <v>678</v>
      </c>
      <c r="GG42" s="237" t="s">
        <v>678</v>
      </c>
      <c r="GH42" s="237" t="s">
        <v>678</v>
      </c>
      <c r="GJ42" s="947"/>
      <c r="GK42" s="320"/>
      <c r="GL42" s="320"/>
      <c r="GM42" s="320"/>
      <c r="GN42" s="320"/>
      <c r="GO42" s="662">
        <v>8037</v>
      </c>
      <c r="GP42" s="663" t="str">
        <f>VLOOKUP(GS42,'BD Comarcal'!$A$6:$AV$17,48,FALSE)</f>
        <v>24</v>
      </c>
      <c r="GQ42" s="564">
        <v>13</v>
      </c>
      <c r="GR42" s="256">
        <f t="shared" si="0"/>
        <v>0</v>
      </c>
      <c r="GS42" s="237" t="s">
        <v>88</v>
      </c>
    </row>
    <row r="43" spans="1:201" s="237" customFormat="1" ht="17.25" customHeight="1">
      <c r="A43" s="236" t="s">
        <v>890</v>
      </c>
      <c r="C43" s="238"/>
      <c r="D43" s="238">
        <v>1210</v>
      </c>
      <c r="E43" s="238">
        <v>721</v>
      </c>
      <c r="F43" s="239">
        <v>0.59586776859504131</v>
      </c>
      <c r="G43" s="238">
        <v>431</v>
      </c>
      <c r="H43" s="240">
        <v>873.45784216352195</v>
      </c>
      <c r="I43" s="239">
        <v>1</v>
      </c>
      <c r="J43" s="238">
        <v>325</v>
      </c>
      <c r="K43" s="238">
        <v>43</v>
      </c>
      <c r="L43" s="238">
        <v>1</v>
      </c>
      <c r="M43" s="241">
        <v>8.2644628099173552E-4</v>
      </c>
      <c r="N43" s="238">
        <v>0</v>
      </c>
      <c r="O43" s="239">
        <v>0</v>
      </c>
      <c r="P43" s="237">
        <v>7</v>
      </c>
      <c r="Q43" s="237">
        <v>0</v>
      </c>
      <c r="R43" s="239">
        <v>0</v>
      </c>
      <c r="S43" s="238">
        <v>829</v>
      </c>
      <c r="T43" s="436">
        <v>0</v>
      </c>
      <c r="U43" s="436">
        <v>0</v>
      </c>
      <c r="V43" s="436">
        <v>0</v>
      </c>
      <c r="W43" s="436">
        <v>0</v>
      </c>
      <c r="X43" s="238">
        <v>2057</v>
      </c>
      <c r="Y43" s="237">
        <v>0.18190000000000001</v>
      </c>
      <c r="Z43" s="238">
        <v>31039</v>
      </c>
      <c r="AA43" s="238">
        <v>15336</v>
      </c>
      <c r="AB43" s="238">
        <v>93.7</v>
      </c>
      <c r="AC43" s="238">
        <v>40</v>
      </c>
      <c r="AD43" s="238">
        <v>1724807.8900000001</v>
      </c>
      <c r="AE43" s="238">
        <v>227762.92999999993</v>
      </c>
      <c r="AF43" s="238">
        <v>1358876.98</v>
      </c>
      <c r="AG43" s="238">
        <v>151174.46</v>
      </c>
      <c r="AH43" s="239">
        <v>0.11124955549692217</v>
      </c>
      <c r="AI43" s="242">
        <v>39.183424000000002</v>
      </c>
      <c r="AJ43" s="242">
        <v>16.491641000000001</v>
      </c>
      <c r="AK43" s="242">
        <v>1.3629455371900827</v>
      </c>
      <c r="AL43" s="242" t="s">
        <v>678</v>
      </c>
      <c r="AM43" s="242" t="s">
        <v>678</v>
      </c>
      <c r="AN43" s="242">
        <v>9876.64</v>
      </c>
      <c r="AO43" s="238">
        <v>2920.3</v>
      </c>
      <c r="AP43" s="243">
        <v>21</v>
      </c>
      <c r="AQ43" s="238"/>
      <c r="AR43" s="238">
        <v>1502.5784488924344</v>
      </c>
      <c r="AS43" s="238">
        <v>2379.0826680102805</v>
      </c>
      <c r="AT43" s="238">
        <v>101926</v>
      </c>
      <c r="AU43" s="238">
        <v>257.39103304387322</v>
      </c>
      <c r="AV43" s="237">
        <v>1</v>
      </c>
      <c r="AW43" s="237">
        <v>1</v>
      </c>
      <c r="AX43" s="237">
        <v>1</v>
      </c>
      <c r="AY43" s="244" t="s">
        <v>673</v>
      </c>
      <c r="AZ43" s="244" t="s">
        <v>682</v>
      </c>
      <c r="BA43" s="237">
        <v>2011</v>
      </c>
      <c r="BB43" s="245" t="s">
        <v>891</v>
      </c>
      <c r="BC43" s="215" t="s">
        <v>892</v>
      </c>
      <c r="BE43" s="237">
        <v>2</v>
      </c>
      <c r="BF43" s="237">
        <v>143</v>
      </c>
      <c r="BG43" s="246" t="s">
        <v>698</v>
      </c>
      <c r="BI43" s="239">
        <v>0.32982225148123767</v>
      </c>
      <c r="BJ43" s="239">
        <v>4.5424621461487819E-2</v>
      </c>
      <c r="BK43" s="239">
        <v>0.50362080315997371</v>
      </c>
      <c r="BL43" s="239">
        <v>0.12113232389730086</v>
      </c>
      <c r="BM43" s="247">
        <v>1.5839368005266623</v>
      </c>
      <c r="BN43" s="248">
        <v>0</v>
      </c>
      <c r="BO43" s="248">
        <v>0</v>
      </c>
      <c r="BP43" s="237">
        <v>0</v>
      </c>
      <c r="BQ43" s="237">
        <v>0</v>
      </c>
      <c r="BR43" s="248">
        <v>0</v>
      </c>
      <c r="BS43" s="237">
        <v>8</v>
      </c>
      <c r="BT43" s="237" t="s">
        <v>699</v>
      </c>
      <c r="BU43" s="249" t="s">
        <v>678</v>
      </c>
      <c r="BV43" s="249">
        <v>228</v>
      </c>
      <c r="BW43" s="249">
        <v>858</v>
      </c>
      <c r="BX43" s="249" t="s">
        <v>678</v>
      </c>
      <c r="BY43" s="249" t="s">
        <v>678</v>
      </c>
      <c r="BZ43" s="249">
        <v>12.025316455696203</v>
      </c>
      <c r="CA43" s="249">
        <v>45.253164556962027</v>
      </c>
      <c r="CB43" s="249" t="s">
        <v>678</v>
      </c>
      <c r="CC43" s="250" t="s">
        <v>678</v>
      </c>
      <c r="CD43" s="242" t="s">
        <v>678</v>
      </c>
      <c r="CE43" s="252" t="s">
        <v>678</v>
      </c>
      <c r="CF43" s="238">
        <v>894</v>
      </c>
      <c r="CG43" s="238">
        <v>157</v>
      </c>
      <c r="CH43" s="238">
        <v>8.2805907172995781</v>
      </c>
      <c r="CI43" s="216" t="s">
        <v>679</v>
      </c>
      <c r="CJ43" s="237">
        <v>0</v>
      </c>
      <c r="CK43" s="253">
        <v>44.63</v>
      </c>
      <c r="CL43" s="253">
        <v>39.786000000000001</v>
      </c>
      <c r="CM43" s="254">
        <v>3.2880991735537192E-2</v>
      </c>
      <c r="CN43" s="237" t="s">
        <v>82</v>
      </c>
      <c r="CO43" s="242"/>
      <c r="CP43" s="255">
        <v>0</v>
      </c>
      <c r="CV43" s="237">
        <v>2</v>
      </c>
      <c r="CW43" s="261" t="s">
        <v>678</v>
      </c>
      <c r="CX43" s="261" t="s">
        <v>678</v>
      </c>
      <c r="CY43" s="261" t="s">
        <v>678</v>
      </c>
      <c r="DB43" s="216" t="s">
        <v>710</v>
      </c>
      <c r="DC43" s="195" t="s">
        <v>711</v>
      </c>
      <c r="DD43" s="256">
        <v>0.8</v>
      </c>
      <c r="DE43" s="256">
        <v>-10</v>
      </c>
      <c r="DF43" s="256">
        <v>0.5</v>
      </c>
      <c r="DG43" s="256">
        <v>-2.2999999999999998</v>
      </c>
      <c r="DH43" s="257">
        <v>1</v>
      </c>
      <c r="DI43" s="257">
        <v>0</v>
      </c>
      <c r="DJ43" s="257">
        <v>1.6</v>
      </c>
      <c r="DK43" s="257">
        <v>1.6</v>
      </c>
      <c r="DL43" s="237" t="s">
        <v>529</v>
      </c>
      <c r="DN43" s="237" t="s">
        <v>770</v>
      </c>
      <c r="DP43" s="258" t="s">
        <v>682</v>
      </c>
      <c r="DQ43" s="258"/>
      <c r="DR43" s="258"/>
      <c r="DS43" s="258"/>
      <c r="DT43" s="258"/>
      <c r="DU43" s="237">
        <v>0</v>
      </c>
      <c r="DX43" s="247"/>
      <c r="DY43" s="247">
        <v>0</v>
      </c>
      <c r="EA43" s="237">
        <v>0</v>
      </c>
      <c r="ED43" s="237" t="s">
        <v>678</v>
      </c>
      <c r="EE43" s="208">
        <v>1</v>
      </c>
      <c r="EF43" s="237" t="s">
        <v>678</v>
      </c>
      <c r="EG43" s="216" t="s">
        <v>691</v>
      </c>
      <c r="EH43" s="246" t="s">
        <v>690</v>
      </c>
      <c r="EI43" s="216"/>
      <c r="EJ43" s="216" t="s">
        <v>529</v>
      </c>
      <c r="EK43" s="222" t="s">
        <v>682</v>
      </c>
      <c r="EL43" s="259">
        <v>1998</v>
      </c>
      <c r="EM43" s="260">
        <v>500</v>
      </c>
      <c r="EN43" s="260">
        <v>75093</v>
      </c>
      <c r="EO43" s="260">
        <v>22834</v>
      </c>
      <c r="ER43" s="237" t="s">
        <v>705</v>
      </c>
      <c r="ES43" s="237" t="e">
        <v>#DIV/0!</v>
      </c>
      <c r="ET43" s="237">
        <v>45.667999999999999</v>
      </c>
      <c r="EU43" s="661">
        <v>1</v>
      </c>
      <c r="EV43" s="661" t="s">
        <v>678</v>
      </c>
      <c r="EW43" s="661">
        <v>1</v>
      </c>
      <c r="EX43" s="661">
        <v>5</v>
      </c>
      <c r="EY43" s="660">
        <v>3.6884297520661156E-2</v>
      </c>
      <c r="EZ43" s="256">
        <v>42.482634998879675</v>
      </c>
      <c r="FA43" s="247">
        <v>0.27739251040221913</v>
      </c>
      <c r="FB43" s="208">
        <v>3</v>
      </c>
      <c r="FC43" s="208">
        <v>3</v>
      </c>
      <c r="FD43" s="208">
        <v>5</v>
      </c>
      <c r="FE43" s="239">
        <v>0.5977808599167822</v>
      </c>
      <c r="FF43" s="208"/>
      <c r="FG43" s="241">
        <v>2.2191400832177531E-3</v>
      </c>
      <c r="FH43" s="209">
        <v>0</v>
      </c>
      <c r="FI43" s="237" t="s">
        <v>678</v>
      </c>
      <c r="FJ43" s="208">
        <v>37.799999999999997</v>
      </c>
      <c r="FK43" s="208">
        <v>0</v>
      </c>
      <c r="FL43" s="217">
        <v>1.9</v>
      </c>
      <c r="FM43" s="208">
        <v>0.56000000000000005</v>
      </c>
      <c r="FN43" s="208" t="s">
        <v>893</v>
      </c>
      <c r="FP43" s="247" t="s">
        <v>693</v>
      </c>
      <c r="FU43" s="208">
        <v>28</v>
      </c>
      <c r="FV43" s="208">
        <v>21.9</v>
      </c>
      <c r="FW43" s="237">
        <v>51.96</v>
      </c>
      <c r="FX43" s="237">
        <v>30.4</v>
      </c>
      <c r="FY43" s="208">
        <v>9.5500000000000007</v>
      </c>
      <c r="FZ43" s="208">
        <v>18.2</v>
      </c>
      <c r="GA43" s="208">
        <v>22.54</v>
      </c>
      <c r="GB43" s="208">
        <v>10.4</v>
      </c>
      <c r="GC43" s="208" t="s">
        <v>678</v>
      </c>
      <c r="GD43" s="208" t="s">
        <v>678</v>
      </c>
      <c r="GE43" s="237">
        <v>17.149999999999999</v>
      </c>
      <c r="GF43" s="237">
        <v>12.4</v>
      </c>
      <c r="GG43" s="237">
        <v>5.0599999999999996</v>
      </c>
      <c r="GH43" s="237">
        <v>44.1</v>
      </c>
      <c r="GJ43" s="947"/>
      <c r="GK43" s="320"/>
      <c r="GL43" s="320"/>
      <c r="GM43" s="320"/>
      <c r="GN43" s="320"/>
      <c r="GO43" s="662">
        <v>8038</v>
      </c>
      <c r="GP43" s="663" t="str">
        <f>VLOOKUP(GS43,'BD Comarcal'!$A$6:$AV$17,48,FALSE)</f>
        <v>07</v>
      </c>
      <c r="GQ43" s="564">
        <v>24</v>
      </c>
      <c r="GR43" s="256">
        <f t="shared" si="0"/>
        <v>0</v>
      </c>
      <c r="GS43" s="237" t="s">
        <v>82</v>
      </c>
    </row>
    <row r="44" spans="1:201" s="237" customFormat="1" ht="17.25" customHeight="1">
      <c r="A44" s="236" t="s">
        <v>894</v>
      </c>
      <c r="C44" s="238"/>
      <c r="D44" s="238">
        <v>738</v>
      </c>
      <c r="E44" s="238">
        <v>616</v>
      </c>
      <c r="F44" s="239">
        <v>0.83468834688346882</v>
      </c>
      <c r="G44" s="238">
        <v>586</v>
      </c>
      <c r="H44" s="240">
        <v>278.03975714875816</v>
      </c>
      <c r="I44" s="239">
        <v>0.45136324212460738</v>
      </c>
      <c r="J44" s="238">
        <v>15</v>
      </c>
      <c r="K44" s="238">
        <v>0</v>
      </c>
      <c r="L44" s="238">
        <v>1</v>
      </c>
      <c r="M44" s="241">
        <v>1.3550135501355014E-3</v>
      </c>
      <c r="N44" s="238">
        <v>0</v>
      </c>
      <c r="O44" s="239">
        <v>0</v>
      </c>
      <c r="P44" s="237">
        <v>4</v>
      </c>
      <c r="Q44" s="237">
        <v>0</v>
      </c>
      <c r="R44" s="239">
        <v>0</v>
      </c>
      <c r="S44" s="238">
        <v>6</v>
      </c>
      <c r="T44" s="436">
        <v>0</v>
      </c>
      <c r="U44" s="436">
        <v>24</v>
      </c>
      <c r="V44" s="436">
        <v>0</v>
      </c>
      <c r="W44" s="436">
        <v>24</v>
      </c>
      <c r="X44" s="238">
        <v>470</v>
      </c>
      <c r="Y44" s="237">
        <v>0.12479999999999999</v>
      </c>
      <c r="Z44" s="238">
        <v>8229</v>
      </c>
      <c r="AA44" s="238">
        <v>16760</v>
      </c>
      <c r="AB44" s="238">
        <v>102.4</v>
      </c>
      <c r="AC44" s="238">
        <v>0</v>
      </c>
      <c r="AD44" s="238">
        <v>704480.09</v>
      </c>
      <c r="AE44" s="238">
        <v>209581.83999999997</v>
      </c>
      <c r="AF44" s="238">
        <v>647840.03</v>
      </c>
      <c r="AG44" s="238">
        <v>38827.050000000003</v>
      </c>
      <c r="AH44" s="239">
        <v>5.9933082554346019E-2</v>
      </c>
      <c r="AI44" s="242">
        <v>21.191213999999999</v>
      </c>
      <c r="AJ44" s="242">
        <v>10.033034000000001</v>
      </c>
      <c r="AK44" s="242">
        <v>1.3594897018970189</v>
      </c>
      <c r="AL44" s="242">
        <v>19.374983</v>
      </c>
      <c r="AM44" s="242">
        <v>2.6253364498644984</v>
      </c>
      <c r="AN44" s="242">
        <v>6176.09</v>
      </c>
      <c r="AO44" s="238">
        <v>1599.89</v>
      </c>
      <c r="AP44" s="243">
        <v>3</v>
      </c>
      <c r="AQ44" s="238">
        <v>1</v>
      </c>
      <c r="AR44" s="238">
        <v>2365.5048871187064</v>
      </c>
      <c r="AS44" s="238">
        <v>1572.6035252739173</v>
      </c>
      <c r="AT44" s="238">
        <v>35530.333333333336</v>
      </c>
      <c r="AU44" s="238">
        <v>365.67700012138391</v>
      </c>
      <c r="AV44" s="237">
        <v>1</v>
      </c>
      <c r="AW44" s="237">
        <v>0</v>
      </c>
      <c r="AX44" s="237">
        <v>1</v>
      </c>
      <c r="AY44" s="244" t="s">
        <v>717</v>
      </c>
      <c r="AZ44" s="244" t="s">
        <v>695</v>
      </c>
      <c r="BA44" s="237">
        <v>0</v>
      </c>
      <c r="BB44" s="245" t="s">
        <v>895</v>
      </c>
      <c r="BC44" s="215" t="s">
        <v>896</v>
      </c>
      <c r="BE44" s="237">
        <v>2</v>
      </c>
      <c r="BF44" s="237">
        <v>39</v>
      </c>
      <c r="BG44" s="246" t="s">
        <v>698</v>
      </c>
      <c r="BI44" s="239">
        <v>0.41134751773049644</v>
      </c>
      <c r="BJ44" s="239">
        <v>0.22695035460992907</v>
      </c>
      <c r="BK44" s="239">
        <v>0.34397163120567376</v>
      </c>
      <c r="BL44" s="239">
        <v>1.7730496453900711E-2</v>
      </c>
      <c r="BM44" s="247">
        <v>2.0319148936170213</v>
      </c>
      <c r="BN44" s="248">
        <v>0</v>
      </c>
      <c r="BO44" s="248">
        <v>0</v>
      </c>
      <c r="BP44" s="237">
        <v>0</v>
      </c>
      <c r="BQ44" s="237">
        <v>0</v>
      </c>
      <c r="BR44" s="248">
        <v>0</v>
      </c>
      <c r="BS44" s="262">
        <v>30</v>
      </c>
      <c r="BT44" s="237" t="s">
        <v>729</v>
      </c>
      <c r="BU44" s="249" t="s">
        <v>678</v>
      </c>
      <c r="BV44" s="249" t="s">
        <v>678</v>
      </c>
      <c r="BW44" s="249" t="s">
        <v>678</v>
      </c>
      <c r="BX44" s="249" t="s">
        <v>678</v>
      </c>
      <c r="BY44" s="249" t="s">
        <v>678</v>
      </c>
      <c r="BZ44" s="249" t="s">
        <v>678</v>
      </c>
      <c r="CA44" s="249" t="s">
        <v>678</v>
      </c>
      <c r="CB44" s="249" t="s">
        <v>678</v>
      </c>
      <c r="CC44" s="250" t="s">
        <v>678</v>
      </c>
      <c r="CD44" s="242" t="s">
        <v>678</v>
      </c>
      <c r="CE44" s="252" t="s">
        <v>678</v>
      </c>
      <c r="CF44" s="238">
        <v>277</v>
      </c>
      <c r="CG44" s="238">
        <v>32</v>
      </c>
      <c r="CH44" s="238">
        <v>5.882352941176471</v>
      </c>
      <c r="CI44" s="216" t="s">
        <v>722</v>
      </c>
      <c r="CJ44" s="237">
        <v>1</v>
      </c>
      <c r="CK44" s="253">
        <v>14.6</v>
      </c>
      <c r="CL44" s="253">
        <v>36.885800000000003</v>
      </c>
      <c r="CM44" s="254">
        <v>4.998075880758808E-2</v>
      </c>
      <c r="CN44" s="237" t="s">
        <v>24</v>
      </c>
      <c r="CO44" s="242">
        <v>207.85</v>
      </c>
      <c r="CP44" s="255">
        <v>0.28163956639566395</v>
      </c>
      <c r="CW44" s="261" t="s">
        <v>678</v>
      </c>
      <c r="CX44" s="261" t="s">
        <v>678</v>
      </c>
      <c r="CY44" s="261" t="s">
        <v>678</v>
      </c>
      <c r="DB44" s="216" t="s">
        <v>681</v>
      </c>
      <c r="DC44" s="256"/>
      <c r="DD44" s="256">
        <v>0.8</v>
      </c>
      <c r="DE44" s="256">
        <v>-10</v>
      </c>
      <c r="DF44" s="256">
        <v>0.5</v>
      </c>
      <c r="DG44" s="256">
        <v>-2.2999999999999998</v>
      </c>
      <c r="DL44" s="237" t="s">
        <v>682</v>
      </c>
      <c r="DO44" s="237">
        <v>1</v>
      </c>
      <c r="DP44" s="258" t="s">
        <v>682</v>
      </c>
      <c r="DQ44" s="258"/>
      <c r="DR44" s="258"/>
      <c r="DS44" s="258"/>
      <c r="DT44" s="258"/>
      <c r="DU44" s="237">
        <v>0</v>
      </c>
      <c r="DX44" s="247"/>
      <c r="DY44" s="247">
        <v>0</v>
      </c>
      <c r="EA44" s="237">
        <v>0</v>
      </c>
      <c r="ED44" s="237" t="s">
        <v>678</v>
      </c>
      <c r="EE44" s="208">
        <v>1</v>
      </c>
      <c r="EF44" s="237" t="s">
        <v>678</v>
      </c>
      <c r="EG44" s="216" t="s">
        <v>703</v>
      </c>
      <c r="EH44" s="246" t="s">
        <v>704</v>
      </c>
      <c r="EI44" s="216"/>
      <c r="EJ44" s="216" t="s">
        <v>529</v>
      </c>
      <c r="EK44" s="222" t="s">
        <v>682</v>
      </c>
      <c r="EL44" s="259">
        <v>1994</v>
      </c>
      <c r="EM44" s="260">
        <v>12550</v>
      </c>
      <c r="EN44" s="260">
        <v>30800</v>
      </c>
      <c r="EO44" s="260">
        <v>7206</v>
      </c>
      <c r="ER44" s="237" t="s">
        <v>705</v>
      </c>
      <c r="ES44" s="237" t="e">
        <v>#DIV/0!</v>
      </c>
      <c r="ET44" s="237">
        <v>0.57418326693227095</v>
      </c>
      <c r="EU44" s="661">
        <v>1</v>
      </c>
      <c r="EV44" s="661" t="s">
        <v>678</v>
      </c>
      <c r="EW44" s="661">
        <v>2</v>
      </c>
      <c r="EX44" s="661">
        <v>7</v>
      </c>
      <c r="EY44" s="660">
        <v>1.9783197831978318E-2</v>
      </c>
      <c r="EZ44" s="256">
        <v>37.260273972602739</v>
      </c>
      <c r="FA44" s="247">
        <v>0</v>
      </c>
      <c r="FB44" s="208">
        <v>4</v>
      </c>
      <c r="FC44" s="208">
        <v>4</v>
      </c>
      <c r="FD44" s="208">
        <v>1</v>
      </c>
      <c r="FE44" s="239">
        <v>0.95129870129870131</v>
      </c>
      <c r="FF44" s="208"/>
      <c r="FG44" s="241">
        <v>0</v>
      </c>
      <c r="FH44" s="209">
        <v>0</v>
      </c>
      <c r="FI44" s="237" t="s">
        <v>678</v>
      </c>
      <c r="FJ44" s="208">
        <v>44.1</v>
      </c>
      <c r="FK44" s="208">
        <v>25.67</v>
      </c>
      <c r="FL44" s="217">
        <v>67.2</v>
      </c>
      <c r="FM44" s="208">
        <v>11.28</v>
      </c>
      <c r="FN44" s="208" t="s">
        <v>897</v>
      </c>
      <c r="FP44" s="247" t="s">
        <v>693</v>
      </c>
      <c r="FU44" s="208">
        <v>28</v>
      </c>
      <c r="FV44" s="208">
        <v>22</v>
      </c>
      <c r="FW44" s="237">
        <v>88.36</v>
      </c>
      <c r="FX44" s="237">
        <v>80.400000000000006</v>
      </c>
      <c r="FY44" s="208">
        <v>126.22</v>
      </c>
      <c r="FZ44" s="208">
        <v>94.8</v>
      </c>
      <c r="GA44" s="208">
        <v>78.89</v>
      </c>
      <c r="GB44" s="208">
        <v>90.1</v>
      </c>
      <c r="GC44" s="208">
        <v>1.91</v>
      </c>
      <c r="GD44" s="208">
        <v>99.4</v>
      </c>
      <c r="GE44" s="237">
        <v>57</v>
      </c>
      <c r="GF44" s="237">
        <v>74</v>
      </c>
      <c r="GG44" s="237">
        <v>12.77</v>
      </c>
      <c r="GH44" s="237">
        <v>78.599999999999994</v>
      </c>
      <c r="GJ44" s="947"/>
      <c r="GK44" s="320"/>
      <c r="GL44" s="320"/>
      <c r="GM44" s="320"/>
      <c r="GN44" s="320"/>
      <c r="GO44" s="662">
        <v>8039</v>
      </c>
      <c r="GP44" s="663" t="str">
        <f>VLOOKUP(GS44,'BD Comarcal'!$A$6:$AV$17,48,FALSE)</f>
        <v>41</v>
      </c>
      <c r="GQ44" s="564">
        <v>4</v>
      </c>
      <c r="GR44" s="256">
        <f t="shared" si="0"/>
        <v>0</v>
      </c>
      <c r="GS44" s="237" t="s">
        <v>24</v>
      </c>
    </row>
    <row r="45" spans="1:201" s="237" customFormat="1" ht="17.25" customHeight="1">
      <c r="A45" s="236" t="s">
        <v>339</v>
      </c>
      <c r="C45" s="238" t="s">
        <v>683</v>
      </c>
      <c r="D45" s="238">
        <v>620</v>
      </c>
      <c r="E45" s="238">
        <v>484</v>
      </c>
      <c r="F45" s="239">
        <v>0.78064516129032258</v>
      </c>
      <c r="G45" s="238">
        <v>151</v>
      </c>
      <c r="H45" s="240">
        <v>0</v>
      </c>
      <c r="I45" s="239">
        <v>0</v>
      </c>
      <c r="J45" s="238">
        <v>17</v>
      </c>
      <c r="K45" s="238">
        <v>0</v>
      </c>
      <c r="L45" s="238">
        <v>12</v>
      </c>
      <c r="M45" s="241">
        <v>1.935483870967742E-2</v>
      </c>
      <c r="N45" s="238">
        <v>0</v>
      </c>
      <c r="O45" s="239">
        <v>0</v>
      </c>
      <c r="P45" s="237">
        <v>0</v>
      </c>
      <c r="Q45" s="237">
        <v>0</v>
      </c>
      <c r="R45" s="239">
        <v>0</v>
      </c>
      <c r="S45" s="238">
        <v>0</v>
      </c>
      <c r="T45" s="436">
        <v>1998</v>
      </c>
      <c r="U45" s="436">
        <v>0</v>
      </c>
      <c r="V45" s="436">
        <v>313</v>
      </c>
      <c r="W45" s="436">
        <v>2311</v>
      </c>
      <c r="X45" s="238">
        <v>14284</v>
      </c>
      <c r="Y45" s="237">
        <v>0.19620000000000001</v>
      </c>
      <c r="Z45" s="238">
        <v>196929</v>
      </c>
      <c r="AA45" s="238">
        <v>13891</v>
      </c>
      <c r="AB45" s="238">
        <v>84.87</v>
      </c>
      <c r="AC45" s="238">
        <v>8364</v>
      </c>
      <c r="AD45" s="238">
        <v>14738670.98</v>
      </c>
      <c r="AE45" s="238">
        <v>2978498.9899999984</v>
      </c>
      <c r="AF45" s="238">
        <v>10674842.440000001</v>
      </c>
      <c r="AG45" s="238">
        <v>625198.73</v>
      </c>
      <c r="AH45" s="239">
        <v>5.8567490200820228E-2</v>
      </c>
      <c r="AI45" s="242">
        <v>119.503742</v>
      </c>
      <c r="AJ45" s="242">
        <v>54.575778999999997</v>
      </c>
      <c r="AK45" s="242">
        <v>8.8025449999999985</v>
      </c>
      <c r="AL45" s="242" t="s">
        <v>678</v>
      </c>
      <c r="AM45" s="242" t="s">
        <v>678</v>
      </c>
      <c r="AN45" s="242">
        <v>13249.66</v>
      </c>
      <c r="AO45" s="238">
        <v>0</v>
      </c>
      <c r="AP45" s="243">
        <v>0</v>
      </c>
      <c r="AQ45" s="238"/>
      <c r="AR45" s="238">
        <v>1270.0223547637199</v>
      </c>
      <c r="AS45" s="238">
        <v>1653.6307711997797</v>
      </c>
      <c r="AT45" s="238">
        <v>749676</v>
      </c>
      <c r="AU45" s="238">
        <v>258.15057576560912</v>
      </c>
      <c r="AV45" s="237">
        <v>1</v>
      </c>
      <c r="AW45" s="237">
        <v>0</v>
      </c>
      <c r="AX45" s="237">
        <v>1</v>
      </c>
      <c r="AY45" s="244" t="s">
        <v>673</v>
      </c>
      <c r="AZ45" s="244" t="s">
        <v>717</v>
      </c>
      <c r="BA45" s="237">
        <v>2010</v>
      </c>
      <c r="BB45" s="245" t="s">
        <v>898</v>
      </c>
      <c r="BC45" s="215" t="s">
        <v>899</v>
      </c>
      <c r="BE45" s="237">
        <v>403</v>
      </c>
      <c r="BF45" s="237">
        <v>2</v>
      </c>
      <c r="BG45" s="246" t="s">
        <v>676</v>
      </c>
      <c r="BI45" s="239">
        <v>0.46996970237034397</v>
      </c>
      <c r="BJ45" s="239">
        <v>9.9714845838531463E-2</v>
      </c>
      <c r="BK45" s="239">
        <v>0.41481019426127252</v>
      </c>
      <c r="BL45" s="239">
        <v>1.5505257529852077E-2</v>
      </c>
      <c r="BM45" s="247">
        <v>2.0241489930493675</v>
      </c>
      <c r="BN45" s="248">
        <v>0</v>
      </c>
      <c r="BO45" s="248">
        <v>0</v>
      </c>
      <c r="BP45" s="237">
        <v>0</v>
      </c>
      <c r="BQ45" s="237">
        <v>0</v>
      </c>
      <c r="BR45" s="248">
        <v>0</v>
      </c>
      <c r="BS45" s="237">
        <v>7.6</v>
      </c>
      <c r="BT45" s="237" t="s">
        <v>338</v>
      </c>
      <c r="BU45" s="249" t="s">
        <v>678</v>
      </c>
      <c r="BV45" s="249">
        <v>1428</v>
      </c>
      <c r="BW45" s="249">
        <v>6510</v>
      </c>
      <c r="BX45" s="249">
        <v>2318</v>
      </c>
      <c r="BY45" s="249" t="s">
        <v>678</v>
      </c>
      <c r="BZ45" s="249">
        <v>10.110450297366185</v>
      </c>
      <c r="CA45" s="249">
        <v>46.091758708581139</v>
      </c>
      <c r="CB45" s="249">
        <v>16.411781365052391</v>
      </c>
      <c r="CC45" s="250" t="s">
        <v>678</v>
      </c>
      <c r="CD45" s="242">
        <v>-159</v>
      </c>
      <c r="CE45" s="252">
        <v>98.874256584536965</v>
      </c>
      <c r="CF45" s="238">
        <v>7720</v>
      </c>
      <c r="CG45" s="238">
        <v>1148.8</v>
      </c>
      <c r="CH45" s="238">
        <v>8.1336731804021518</v>
      </c>
      <c r="CI45" s="216" t="s">
        <v>722</v>
      </c>
      <c r="CJ45" s="237">
        <v>1</v>
      </c>
      <c r="CK45" s="253">
        <v>123.24</v>
      </c>
      <c r="CL45" s="253">
        <v>72.169899999999998</v>
      </c>
      <c r="CM45" s="254">
        <v>0.11640306451612903</v>
      </c>
      <c r="CN45" s="237" t="s">
        <v>86</v>
      </c>
      <c r="CO45" s="242"/>
      <c r="CP45" s="255">
        <v>0</v>
      </c>
      <c r="CV45" s="237">
        <v>8</v>
      </c>
      <c r="CW45" s="194">
        <v>1.0740000000000001</v>
      </c>
      <c r="CX45" s="194">
        <v>0.63500000000000001</v>
      </c>
      <c r="CY45" s="194">
        <v>0.436</v>
      </c>
      <c r="DB45" s="216" t="s">
        <v>710</v>
      </c>
      <c r="DC45" s="195" t="s">
        <v>711</v>
      </c>
      <c r="DD45" s="256">
        <v>0.7</v>
      </c>
      <c r="DE45" s="256">
        <v>-6.5</v>
      </c>
      <c r="DF45" s="256">
        <v>0.7</v>
      </c>
      <c r="DG45" s="256">
        <v>-2.2000000000000002</v>
      </c>
      <c r="DL45" s="237" t="s">
        <v>529</v>
      </c>
      <c r="DM45" s="237" t="s">
        <v>738</v>
      </c>
      <c r="DN45" s="237" t="s">
        <v>713</v>
      </c>
      <c r="DP45" s="258" t="s">
        <v>682</v>
      </c>
      <c r="DQ45" s="258"/>
      <c r="DR45" s="258"/>
      <c r="DS45" s="258"/>
      <c r="DT45" s="258"/>
      <c r="DU45" s="237">
        <v>0</v>
      </c>
      <c r="DX45" s="247"/>
      <c r="DY45" s="247">
        <v>0</v>
      </c>
      <c r="EA45" s="237">
        <v>1</v>
      </c>
      <c r="EB45" s="237" t="s">
        <v>741</v>
      </c>
      <c r="ED45" s="237" t="s">
        <v>678</v>
      </c>
      <c r="EE45" s="208">
        <v>3</v>
      </c>
      <c r="EF45" s="237" t="s">
        <v>678</v>
      </c>
      <c r="EG45" s="216" t="s">
        <v>689</v>
      </c>
      <c r="EH45" s="246" t="s">
        <v>690</v>
      </c>
      <c r="EI45" s="216"/>
      <c r="EJ45" s="216" t="s">
        <v>529</v>
      </c>
      <c r="EK45" s="222" t="s">
        <v>682</v>
      </c>
      <c r="EL45" s="259">
        <v>1992</v>
      </c>
      <c r="EM45" s="260">
        <v>10300</v>
      </c>
      <c r="EN45" s="260">
        <v>606064</v>
      </c>
      <c r="EO45" s="260">
        <v>166504</v>
      </c>
      <c r="EP45" s="237">
        <v>1</v>
      </c>
      <c r="EQ45" s="237">
        <v>60</v>
      </c>
      <c r="ER45" s="237" t="s">
        <v>705</v>
      </c>
      <c r="ES45" s="237" t="e">
        <v>#DIV/0!</v>
      </c>
      <c r="ET45" s="237">
        <v>16.165436893203882</v>
      </c>
      <c r="EU45" s="661">
        <v>3</v>
      </c>
      <c r="EV45" s="661">
        <v>3</v>
      </c>
      <c r="EW45" s="661">
        <v>5</v>
      </c>
      <c r="EX45" s="661">
        <v>6</v>
      </c>
      <c r="EY45" s="660">
        <v>0.1987741935483871</v>
      </c>
      <c r="EZ45" s="256">
        <v>114.60564751703993</v>
      </c>
      <c r="FA45" s="247">
        <v>1.6528925619834711</v>
      </c>
      <c r="FB45" s="208">
        <v>1</v>
      </c>
      <c r="FC45" s="208">
        <v>3</v>
      </c>
      <c r="FD45" s="208">
        <v>6</v>
      </c>
      <c r="FE45" s="239">
        <v>0.31198347107438018</v>
      </c>
      <c r="FF45" s="208"/>
      <c r="FG45" s="241">
        <v>0</v>
      </c>
      <c r="FH45" s="209">
        <v>0</v>
      </c>
      <c r="FI45" s="237" t="s">
        <v>678</v>
      </c>
      <c r="FJ45" s="208" t="s">
        <v>678</v>
      </c>
      <c r="FK45" s="208" t="s">
        <v>678</v>
      </c>
      <c r="FL45" s="217" t="s">
        <v>678</v>
      </c>
      <c r="FM45" s="208" t="s">
        <v>678</v>
      </c>
      <c r="FN45" s="208" t="s">
        <v>678</v>
      </c>
      <c r="FO45" s="237">
        <v>2230</v>
      </c>
      <c r="FP45" s="247">
        <v>3.596774193548387</v>
      </c>
      <c r="FU45" s="208" t="s">
        <v>678</v>
      </c>
      <c r="FV45" s="208" t="s">
        <v>678</v>
      </c>
      <c r="FW45" s="208" t="s">
        <v>678</v>
      </c>
      <c r="FX45" s="208" t="s">
        <v>678</v>
      </c>
      <c r="FY45" s="208" t="s">
        <v>678</v>
      </c>
      <c r="FZ45" s="208" t="s">
        <v>678</v>
      </c>
      <c r="GA45" s="208" t="s">
        <v>678</v>
      </c>
      <c r="GB45" s="208" t="s">
        <v>678</v>
      </c>
      <c r="GC45" s="208" t="s">
        <v>678</v>
      </c>
      <c r="GD45" s="208" t="s">
        <v>678</v>
      </c>
      <c r="GE45" s="237" t="s">
        <v>678</v>
      </c>
      <c r="GF45" s="237" t="s">
        <v>678</v>
      </c>
      <c r="GG45" s="237" t="s">
        <v>678</v>
      </c>
      <c r="GH45" s="237" t="s">
        <v>678</v>
      </c>
      <c r="GJ45" s="947">
        <v>222</v>
      </c>
      <c r="GK45" s="320">
        <v>8.0000000000000002E-3</v>
      </c>
      <c r="GL45" s="320">
        <v>0.16900000000000001</v>
      </c>
      <c r="GM45" s="320">
        <v>7.6999999999999999E-2</v>
      </c>
      <c r="GN45" s="320">
        <v>0.746</v>
      </c>
      <c r="GO45" s="662">
        <v>8040</v>
      </c>
      <c r="GP45" s="663" t="str">
        <f>VLOOKUP(GS45,'BD Comarcal'!$A$6:$AV$17,48,FALSE)</f>
        <v>21</v>
      </c>
      <c r="GQ45" s="564">
        <v>159</v>
      </c>
      <c r="GR45" s="256">
        <f t="shared" si="0"/>
        <v>0</v>
      </c>
      <c r="GS45" s="237" t="s">
        <v>86</v>
      </c>
    </row>
    <row r="46" spans="1:201" s="237" customFormat="1" ht="17.25" customHeight="1">
      <c r="A46" s="236" t="s">
        <v>900</v>
      </c>
      <c r="C46" s="238"/>
      <c r="D46" s="238">
        <v>675</v>
      </c>
      <c r="E46" s="238">
        <v>10</v>
      </c>
      <c r="F46" s="239">
        <v>1.4814814814814815E-2</v>
      </c>
      <c r="G46" s="238" t="s">
        <v>752</v>
      </c>
      <c r="H46" s="240">
        <v>87.147847441511061</v>
      </c>
      <c r="I46" s="239">
        <v>1</v>
      </c>
      <c r="J46" s="238">
        <v>225</v>
      </c>
      <c r="K46" s="238">
        <v>47</v>
      </c>
      <c r="L46" s="238">
        <v>30</v>
      </c>
      <c r="M46" s="241">
        <v>4.4444444444444446E-2</v>
      </c>
      <c r="N46" s="238">
        <v>0</v>
      </c>
      <c r="O46" s="239">
        <v>0</v>
      </c>
      <c r="P46" s="237">
        <v>7</v>
      </c>
      <c r="Q46" s="237">
        <v>0</v>
      </c>
      <c r="R46" s="239">
        <v>0</v>
      </c>
      <c r="S46" s="238">
        <v>134</v>
      </c>
      <c r="T46" s="436">
        <v>0</v>
      </c>
      <c r="U46" s="436">
        <v>0</v>
      </c>
      <c r="V46" s="436">
        <v>34</v>
      </c>
      <c r="W46" s="436">
        <v>34</v>
      </c>
      <c r="X46" s="238">
        <v>15937</v>
      </c>
      <c r="Y46" s="237">
        <v>0.1366</v>
      </c>
      <c r="Z46" s="238">
        <v>178575</v>
      </c>
      <c r="AA46" s="238">
        <v>11227</v>
      </c>
      <c r="AB46" s="238">
        <v>68.599999999999994</v>
      </c>
      <c r="AC46" s="238">
        <v>6063</v>
      </c>
      <c r="AD46" s="238">
        <v>15514791.110000001</v>
      </c>
      <c r="AE46" s="238">
        <v>3360841.7400000021</v>
      </c>
      <c r="AF46" s="238">
        <v>12764986.869999999</v>
      </c>
      <c r="AG46" s="238">
        <v>367987.49</v>
      </c>
      <c r="AH46" s="239">
        <v>2.8827878457504438E-2</v>
      </c>
      <c r="AI46" s="242">
        <v>198.245135</v>
      </c>
      <c r="AJ46" s="242">
        <v>17.600299</v>
      </c>
      <c r="AK46" s="242">
        <v>2.6074517037037035</v>
      </c>
      <c r="AL46" s="242">
        <v>37.127327000000001</v>
      </c>
      <c r="AM46" s="242">
        <v>5.5003447407407409</v>
      </c>
      <c r="AN46" s="242">
        <v>331.52</v>
      </c>
      <c r="AO46" s="238">
        <v>1483.34</v>
      </c>
      <c r="AP46" s="243">
        <v>2</v>
      </c>
      <c r="AQ46" s="238"/>
      <c r="AR46" s="238">
        <v>1011.7320439144191</v>
      </c>
      <c r="AS46" s="238">
        <v>1579.840725775766</v>
      </c>
      <c r="AT46" s="238">
        <v>871020.33333333337</v>
      </c>
      <c r="AU46" s="238">
        <v>246.11307120835133</v>
      </c>
      <c r="AV46" s="237">
        <v>0</v>
      </c>
      <c r="AW46" s="237">
        <v>0</v>
      </c>
      <c r="AX46" s="237">
        <v>0</v>
      </c>
      <c r="AY46" s="244" t="s">
        <v>717</v>
      </c>
      <c r="AZ46" s="244" t="s">
        <v>717</v>
      </c>
      <c r="BA46" s="237">
        <v>2017</v>
      </c>
      <c r="BB46" s="245" t="s">
        <v>678</v>
      </c>
      <c r="BC46" s="215" t="s">
        <v>678</v>
      </c>
      <c r="BE46" s="237">
        <v>2</v>
      </c>
      <c r="BF46" s="237">
        <v>39</v>
      </c>
      <c r="BG46" s="246" t="s">
        <v>676</v>
      </c>
      <c r="BI46" s="239">
        <v>0.48431939501779359</v>
      </c>
      <c r="BJ46" s="239">
        <v>0.10520462633451957</v>
      </c>
      <c r="BK46" s="239">
        <v>0.40736209964412812</v>
      </c>
      <c r="BL46" s="239">
        <v>3.1138790035587188E-3</v>
      </c>
      <c r="BM46" s="247">
        <v>2.0707295373665482</v>
      </c>
      <c r="BN46" s="248">
        <v>0</v>
      </c>
      <c r="BO46" s="248">
        <v>1</v>
      </c>
      <c r="BP46" s="237">
        <v>0</v>
      </c>
      <c r="BQ46" s="237">
        <v>0</v>
      </c>
      <c r="BR46" s="248">
        <v>1</v>
      </c>
      <c r="BS46" s="237">
        <v>2</v>
      </c>
      <c r="BT46" s="237" t="s">
        <v>729</v>
      </c>
      <c r="BU46" s="249">
        <v>2512</v>
      </c>
      <c r="BV46" s="249">
        <v>1543</v>
      </c>
      <c r="BW46" s="249">
        <v>7709</v>
      </c>
      <c r="BX46" s="249" t="s">
        <v>678</v>
      </c>
      <c r="BY46" s="249">
        <v>15.691173714785434</v>
      </c>
      <c r="BZ46" s="249">
        <v>9.6383284402523586</v>
      </c>
      <c r="CA46" s="249">
        <v>48.154163283153224</v>
      </c>
      <c r="CB46" s="249" t="s">
        <v>678</v>
      </c>
      <c r="CC46" s="250">
        <v>114.50434130801423</v>
      </c>
      <c r="CD46" s="242">
        <v>-1449</v>
      </c>
      <c r="CE46" s="252">
        <v>90.948841276781806</v>
      </c>
      <c r="CF46" s="238">
        <v>6343</v>
      </c>
      <c r="CG46" s="238">
        <v>1926</v>
      </c>
      <c r="CH46" s="238">
        <v>12.030732712849023</v>
      </c>
      <c r="CI46" s="216" t="s">
        <v>679</v>
      </c>
      <c r="CJ46" s="237">
        <v>0</v>
      </c>
      <c r="CK46" s="253">
        <v>214.5</v>
      </c>
      <c r="CL46" s="253">
        <v>59.722799999999999</v>
      </c>
      <c r="CM46" s="254">
        <v>8.8478222222222222E-2</v>
      </c>
      <c r="CN46" s="237" t="s">
        <v>24</v>
      </c>
      <c r="CO46" s="242"/>
      <c r="CP46" s="255">
        <v>0</v>
      </c>
      <c r="CV46" s="237">
        <v>10</v>
      </c>
      <c r="CW46" s="194">
        <v>0.86499999999999999</v>
      </c>
      <c r="CX46" s="194">
        <v>0.63500000000000001</v>
      </c>
      <c r="CY46" s="194" t="s">
        <v>680</v>
      </c>
      <c r="DB46" s="216" t="s">
        <v>710</v>
      </c>
      <c r="DC46" s="195" t="s">
        <v>711</v>
      </c>
      <c r="DD46" s="256">
        <v>0.7</v>
      </c>
      <c r="DE46" s="256">
        <v>-6.5</v>
      </c>
      <c r="DF46" s="256">
        <v>0.7</v>
      </c>
      <c r="DG46" s="256">
        <v>-2.2000000000000002</v>
      </c>
      <c r="DL46" s="237" t="s">
        <v>529</v>
      </c>
      <c r="DN46" s="237" t="s">
        <v>730</v>
      </c>
      <c r="DP46" s="258" t="s">
        <v>682</v>
      </c>
      <c r="DQ46" s="258"/>
      <c r="DR46" s="258"/>
      <c r="DS46" s="258"/>
      <c r="DT46" s="258"/>
      <c r="DU46" s="237">
        <v>0</v>
      </c>
      <c r="DX46" s="247"/>
      <c r="DY46" s="247">
        <v>0</v>
      </c>
      <c r="EA46" s="237">
        <v>0</v>
      </c>
      <c r="ED46" s="237" t="s">
        <v>678</v>
      </c>
      <c r="EE46" s="208">
        <v>3</v>
      </c>
      <c r="EF46" s="237" t="s">
        <v>678</v>
      </c>
      <c r="EG46" s="216" t="s">
        <v>689</v>
      </c>
      <c r="EH46" s="246" t="s">
        <v>690</v>
      </c>
      <c r="EI46" s="216"/>
      <c r="EJ46" s="216" t="s">
        <v>806</v>
      </c>
      <c r="EK46" s="222" t="s">
        <v>682</v>
      </c>
      <c r="EL46" s="259">
        <v>1984</v>
      </c>
      <c r="EM46" s="260">
        <v>2800</v>
      </c>
      <c r="EN46" s="260">
        <v>624923</v>
      </c>
      <c r="EO46" s="260">
        <v>264427</v>
      </c>
      <c r="ER46" s="237" t="s">
        <v>705</v>
      </c>
      <c r="ES46" s="237">
        <v>16009</v>
      </c>
      <c r="ET46" s="237">
        <v>94.438214285714281</v>
      </c>
      <c r="EU46" s="661">
        <v>3</v>
      </c>
      <c r="EV46" s="661">
        <v>2</v>
      </c>
      <c r="EW46" s="661">
        <v>4</v>
      </c>
      <c r="EX46" s="661">
        <v>4</v>
      </c>
      <c r="EY46" s="660">
        <v>0.31777777777777777</v>
      </c>
      <c r="EZ46" s="256">
        <v>74.634032634032636</v>
      </c>
      <c r="FA46" s="247">
        <v>100</v>
      </c>
      <c r="FB46" s="208" t="s">
        <v>678</v>
      </c>
      <c r="FC46" s="208" t="s">
        <v>678</v>
      </c>
      <c r="FD46" s="208">
        <v>2</v>
      </c>
      <c r="FE46" s="239" t="s">
        <v>678</v>
      </c>
      <c r="FF46" s="208"/>
      <c r="FG46" s="241">
        <v>0</v>
      </c>
      <c r="FH46" s="209">
        <v>0</v>
      </c>
      <c r="FI46" s="237" t="s">
        <v>678</v>
      </c>
      <c r="FJ46" s="208" t="s">
        <v>678</v>
      </c>
      <c r="FK46" s="208" t="s">
        <v>678</v>
      </c>
      <c r="FL46" s="217" t="s">
        <v>678</v>
      </c>
      <c r="FM46" s="208" t="s">
        <v>678</v>
      </c>
      <c r="FN46" s="208" t="s">
        <v>678</v>
      </c>
      <c r="FP46" s="247" t="s">
        <v>693</v>
      </c>
      <c r="FU46" s="208" t="s">
        <v>678</v>
      </c>
      <c r="FV46" s="208" t="s">
        <v>678</v>
      </c>
      <c r="FW46" s="208" t="s">
        <v>678</v>
      </c>
      <c r="FX46" s="208" t="s">
        <v>678</v>
      </c>
      <c r="FY46" s="208" t="s">
        <v>678</v>
      </c>
      <c r="FZ46" s="208" t="s">
        <v>678</v>
      </c>
      <c r="GA46" s="208" t="s">
        <v>678</v>
      </c>
      <c r="GB46" s="208" t="s">
        <v>678</v>
      </c>
      <c r="GC46" s="208" t="s">
        <v>678</v>
      </c>
      <c r="GD46" s="208" t="s">
        <v>678</v>
      </c>
      <c r="GE46" s="237" t="s">
        <v>678</v>
      </c>
      <c r="GF46" s="237" t="s">
        <v>678</v>
      </c>
      <c r="GG46" s="237" t="s">
        <v>678</v>
      </c>
      <c r="GH46" s="237" t="s">
        <v>678</v>
      </c>
      <c r="GJ46" s="947">
        <v>284</v>
      </c>
      <c r="GK46" s="320">
        <v>1E-3</v>
      </c>
      <c r="GL46" s="320">
        <v>0.41399999999999998</v>
      </c>
      <c r="GM46" s="320">
        <v>6.6000000000000003E-2</v>
      </c>
      <c r="GN46" s="320">
        <v>0.52</v>
      </c>
      <c r="GO46" s="662">
        <v>8041</v>
      </c>
      <c r="GP46" s="663" t="str">
        <f>VLOOKUP(GS46,'BD Comarcal'!$A$6:$AV$17,48,FALSE)</f>
        <v>41</v>
      </c>
      <c r="GQ46" s="564">
        <v>103</v>
      </c>
      <c r="GR46" s="256">
        <f t="shared" si="0"/>
        <v>0</v>
      </c>
      <c r="GS46" s="237" t="s">
        <v>24</v>
      </c>
    </row>
    <row r="47" spans="1:201" s="237" customFormat="1" ht="17.25" customHeight="1">
      <c r="A47" s="236" t="s">
        <v>901</v>
      </c>
      <c r="C47" s="238"/>
      <c r="D47" s="238">
        <v>2848</v>
      </c>
      <c r="E47" s="238">
        <v>2211</v>
      </c>
      <c r="F47" s="239">
        <v>0.77633426966292129</v>
      </c>
      <c r="G47" s="238">
        <v>2152</v>
      </c>
      <c r="H47" s="240">
        <v>1927.2377384945232</v>
      </c>
      <c r="I47" s="239">
        <v>0.87165885956333022</v>
      </c>
      <c r="J47" s="238">
        <v>349</v>
      </c>
      <c r="K47" s="238">
        <v>3</v>
      </c>
      <c r="L47" s="238">
        <v>55</v>
      </c>
      <c r="M47" s="241">
        <v>1.9311797752808987E-2</v>
      </c>
      <c r="N47" s="238">
        <v>0</v>
      </c>
      <c r="O47" s="239">
        <v>0</v>
      </c>
      <c r="P47" s="237">
        <v>11</v>
      </c>
      <c r="Q47" s="237">
        <v>0</v>
      </c>
      <c r="R47" s="239">
        <v>0</v>
      </c>
      <c r="S47" s="238">
        <v>576</v>
      </c>
      <c r="T47" s="436">
        <v>0</v>
      </c>
      <c r="U47" s="436">
        <v>18</v>
      </c>
      <c r="V47" s="436">
        <v>22</v>
      </c>
      <c r="W47" s="436">
        <v>40</v>
      </c>
      <c r="X47" s="238">
        <v>2873</v>
      </c>
      <c r="Y47" s="237">
        <v>0.16170000000000001</v>
      </c>
      <c r="Z47" s="238">
        <v>48553</v>
      </c>
      <c r="AA47" s="238">
        <v>16760</v>
      </c>
      <c r="AB47" s="238">
        <v>102.4</v>
      </c>
      <c r="AC47" s="238">
        <v>0</v>
      </c>
      <c r="AD47" s="238">
        <v>3070118.52</v>
      </c>
      <c r="AE47" s="238">
        <v>357902.7099999995</v>
      </c>
      <c r="AF47" s="238">
        <v>2737184.0100000002</v>
      </c>
      <c r="AG47" s="238">
        <v>12814.02</v>
      </c>
      <c r="AH47" s="239">
        <v>4.6814609296216073E-3</v>
      </c>
      <c r="AI47" s="242">
        <v>155.15064000000001</v>
      </c>
      <c r="AJ47" s="242">
        <v>22.394089000000001</v>
      </c>
      <c r="AK47" s="242">
        <v>0.78630930477528083</v>
      </c>
      <c r="AL47" s="242">
        <v>136.81858500000001</v>
      </c>
      <c r="AM47" s="242">
        <v>4.8040233497191016</v>
      </c>
      <c r="AN47" s="242">
        <v>13147.8</v>
      </c>
      <c r="AO47" s="238">
        <v>9087.5</v>
      </c>
      <c r="AP47" s="243">
        <v>21</v>
      </c>
      <c r="AQ47" s="238">
        <v>1</v>
      </c>
      <c r="AR47" s="238">
        <v>1455.966065596652</v>
      </c>
      <c r="AS47" s="238">
        <v>1458.6293202419022</v>
      </c>
      <c r="AT47" s="238">
        <v>152096.66666666666</v>
      </c>
      <c r="AU47" s="238">
        <v>307.60992298972587</v>
      </c>
      <c r="AV47" s="237">
        <v>1</v>
      </c>
      <c r="AW47" s="237">
        <v>0</v>
      </c>
      <c r="AX47" s="237">
        <v>1</v>
      </c>
      <c r="AY47" s="244" t="s">
        <v>673</v>
      </c>
      <c r="AZ47" s="244" t="s">
        <v>726</v>
      </c>
      <c r="BA47" s="237">
        <v>0</v>
      </c>
      <c r="BB47" s="245" t="s">
        <v>727</v>
      </c>
      <c r="BC47" s="215" t="s">
        <v>728</v>
      </c>
      <c r="BE47" s="237">
        <v>2</v>
      </c>
      <c r="BF47" s="237">
        <v>39</v>
      </c>
      <c r="BG47" s="246" t="s">
        <v>698</v>
      </c>
      <c r="BI47" s="239">
        <v>0.39882506527415146</v>
      </c>
      <c r="BJ47" s="239">
        <v>0.23759791122715404</v>
      </c>
      <c r="BK47" s="239">
        <v>0.35182767624020889</v>
      </c>
      <c r="BL47" s="239">
        <v>1.1749347258485639E-2</v>
      </c>
      <c r="BM47" s="247">
        <v>2.0234986945169715</v>
      </c>
      <c r="BN47" s="248">
        <v>1</v>
      </c>
      <c r="BO47" s="248">
        <v>0</v>
      </c>
      <c r="BP47" s="237">
        <v>0</v>
      </c>
      <c r="BQ47" s="237">
        <v>0</v>
      </c>
      <c r="BR47" s="248">
        <v>1</v>
      </c>
      <c r="BS47" s="237">
        <v>13</v>
      </c>
      <c r="BT47" s="237" t="s">
        <v>729</v>
      </c>
      <c r="BU47" s="249" t="s">
        <v>678</v>
      </c>
      <c r="BV47" s="249">
        <v>272</v>
      </c>
      <c r="BW47" s="249">
        <v>1533</v>
      </c>
      <c r="BX47" s="249" t="s">
        <v>678</v>
      </c>
      <c r="BY47" s="249" t="s">
        <v>678</v>
      </c>
      <c r="BZ47" s="249">
        <v>9.4542926659714972</v>
      </c>
      <c r="CA47" s="249">
        <v>53.284671532846716</v>
      </c>
      <c r="CB47" s="249" t="s">
        <v>678</v>
      </c>
      <c r="CC47" s="250" t="s">
        <v>678</v>
      </c>
      <c r="CD47" s="242" t="s">
        <v>678</v>
      </c>
      <c r="CE47" s="252" t="s">
        <v>678</v>
      </c>
      <c r="CF47" s="238">
        <v>1403</v>
      </c>
      <c r="CG47" s="238">
        <v>239</v>
      </c>
      <c r="CH47" s="238">
        <v>8.3072645116440729</v>
      </c>
      <c r="CI47" s="216" t="s">
        <v>700</v>
      </c>
      <c r="CJ47" s="237">
        <v>0</v>
      </c>
      <c r="CK47" s="253">
        <v>142</v>
      </c>
      <c r="CL47" s="253">
        <v>38.731699999999996</v>
      </c>
      <c r="CM47" s="254">
        <v>1.3599613764044942E-2</v>
      </c>
      <c r="CN47" s="237" t="s">
        <v>24</v>
      </c>
      <c r="CO47" s="242">
        <v>1790.4</v>
      </c>
      <c r="CP47" s="255">
        <v>0.62865168539325844</v>
      </c>
      <c r="CW47" s="261" t="s">
        <v>678</v>
      </c>
      <c r="CX47" s="261" t="s">
        <v>678</v>
      </c>
      <c r="CY47" s="261" t="s">
        <v>678</v>
      </c>
      <c r="CZ47" s="237" t="s">
        <v>683</v>
      </c>
      <c r="DA47" s="237" t="s">
        <v>902</v>
      </c>
      <c r="DB47" s="216" t="s">
        <v>710</v>
      </c>
      <c r="DC47" s="195" t="s">
        <v>903</v>
      </c>
      <c r="DD47" s="256">
        <v>0.8</v>
      </c>
      <c r="DE47" s="256">
        <v>-10</v>
      </c>
      <c r="DF47" s="256">
        <v>0.5</v>
      </c>
      <c r="DG47" s="256">
        <v>-2.2999999999999998</v>
      </c>
      <c r="DL47" s="237" t="s">
        <v>529</v>
      </c>
      <c r="DN47" s="237" t="s">
        <v>730</v>
      </c>
      <c r="DO47" s="237">
        <v>1</v>
      </c>
      <c r="DP47" s="258" t="s">
        <v>682</v>
      </c>
      <c r="DQ47" s="258"/>
      <c r="DR47" s="258"/>
      <c r="DS47" s="258"/>
      <c r="DT47" s="258"/>
      <c r="DU47" s="237">
        <v>0</v>
      </c>
      <c r="DX47" s="247"/>
      <c r="DY47" s="247">
        <v>0</v>
      </c>
      <c r="EA47" s="237">
        <v>0</v>
      </c>
      <c r="ED47" s="237" t="s">
        <v>851</v>
      </c>
      <c r="EE47" s="208">
        <v>0</v>
      </c>
      <c r="EF47" s="237" t="s">
        <v>852</v>
      </c>
      <c r="EG47" s="216" t="s">
        <v>733</v>
      </c>
      <c r="EH47" s="246" t="s">
        <v>734</v>
      </c>
      <c r="EI47" s="216" t="s">
        <v>904</v>
      </c>
      <c r="EJ47" s="216" t="s">
        <v>529</v>
      </c>
      <c r="EK47" s="222" t="s">
        <v>682</v>
      </c>
      <c r="EL47" s="259">
        <v>2011</v>
      </c>
      <c r="EM47" s="260">
        <v>1405</v>
      </c>
      <c r="EN47" s="260">
        <v>162861</v>
      </c>
      <c r="EO47" s="260">
        <v>9202</v>
      </c>
      <c r="EP47" s="237">
        <v>1</v>
      </c>
      <c r="EQ47" s="237">
        <v>35</v>
      </c>
      <c r="ER47" s="237" t="s">
        <v>692</v>
      </c>
      <c r="ES47" s="237">
        <v>2877</v>
      </c>
      <c r="ET47" s="237">
        <v>6.5494661921708186</v>
      </c>
      <c r="EU47" s="661">
        <v>2</v>
      </c>
      <c r="EV47" s="661">
        <v>0</v>
      </c>
      <c r="EW47" s="661">
        <v>2</v>
      </c>
      <c r="EX47" s="661">
        <v>3</v>
      </c>
      <c r="EY47" s="660">
        <v>4.985955056179775E-2</v>
      </c>
      <c r="EZ47" s="256">
        <v>20.260563380281692</v>
      </c>
      <c r="FA47" s="247">
        <v>0</v>
      </c>
      <c r="FB47" s="208">
        <v>2</v>
      </c>
      <c r="FC47" s="208">
        <v>1</v>
      </c>
      <c r="FD47" s="208">
        <v>1</v>
      </c>
      <c r="FE47" s="239">
        <v>0.9733152419719584</v>
      </c>
      <c r="FF47" s="208"/>
      <c r="FG47" s="241">
        <v>0</v>
      </c>
      <c r="FH47" s="209">
        <v>0</v>
      </c>
      <c r="FI47" s="237" t="s">
        <v>678</v>
      </c>
      <c r="FJ47" s="208">
        <v>55.7</v>
      </c>
      <c r="FK47" s="208">
        <v>57.59</v>
      </c>
      <c r="FL47" s="217">
        <v>93.9</v>
      </c>
      <c r="FM47" s="208">
        <v>11.58</v>
      </c>
      <c r="FN47" s="208" t="s">
        <v>905</v>
      </c>
      <c r="FP47" s="247" t="s">
        <v>693</v>
      </c>
      <c r="FU47" s="208">
        <v>41</v>
      </c>
      <c r="FV47" s="208">
        <v>55</v>
      </c>
      <c r="FW47" s="237">
        <v>95.05</v>
      </c>
      <c r="FX47" s="237">
        <v>92.9</v>
      </c>
      <c r="FY47" s="208">
        <v>91.51</v>
      </c>
      <c r="FZ47" s="208">
        <v>84.4</v>
      </c>
      <c r="GA47" s="208">
        <v>73.89</v>
      </c>
      <c r="GB47" s="208">
        <v>83.9</v>
      </c>
      <c r="GC47" s="208">
        <v>1.33</v>
      </c>
      <c r="GD47" s="208">
        <v>94.5</v>
      </c>
      <c r="GE47" s="237">
        <v>58.93</v>
      </c>
      <c r="GF47" s="237">
        <v>77.3</v>
      </c>
      <c r="GG47" s="237">
        <v>11.33</v>
      </c>
      <c r="GH47" s="237">
        <v>72.400000000000006</v>
      </c>
      <c r="GJ47" s="947"/>
      <c r="GK47" s="320"/>
      <c r="GL47" s="320"/>
      <c r="GM47" s="320"/>
      <c r="GN47" s="320"/>
      <c r="GO47" s="662">
        <v>8042</v>
      </c>
      <c r="GP47" s="663" t="str">
        <f>VLOOKUP(GS47,'BD Comarcal'!$A$6:$AV$17,48,FALSE)</f>
        <v>41</v>
      </c>
      <c r="GQ47" s="564">
        <v>14</v>
      </c>
      <c r="GR47" s="256">
        <f t="shared" si="0"/>
        <v>0</v>
      </c>
      <c r="GS47" s="237" t="s">
        <v>24</v>
      </c>
    </row>
    <row r="48" spans="1:201" s="237" customFormat="1" ht="18" customHeight="1">
      <c r="A48" s="236" t="s">
        <v>906</v>
      </c>
      <c r="C48" s="238"/>
      <c r="D48" s="238">
        <v>1408</v>
      </c>
      <c r="E48" s="238">
        <v>972</v>
      </c>
      <c r="F48" s="239">
        <v>0.69034090909090906</v>
      </c>
      <c r="G48" s="238">
        <v>558</v>
      </c>
      <c r="H48" s="240">
        <v>0.77971852902010097</v>
      </c>
      <c r="I48" s="239">
        <v>8.021795566050422E-4</v>
      </c>
      <c r="J48" s="238">
        <v>60</v>
      </c>
      <c r="K48" s="238">
        <v>1</v>
      </c>
      <c r="L48" s="238">
        <v>0</v>
      </c>
      <c r="M48" s="241">
        <v>0</v>
      </c>
      <c r="N48" s="238">
        <v>11</v>
      </c>
      <c r="O48" s="239">
        <v>0.18333333333333332</v>
      </c>
      <c r="P48" s="237">
        <v>1</v>
      </c>
      <c r="Q48" s="237">
        <v>0</v>
      </c>
      <c r="R48" s="239">
        <v>0</v>
      </c>
      <c r="S48" s="238">
        <v>4</v>
      </c>
      <c r="T48" s="436">
        <v>0</v>
      </c>
      <c r="U48" s="436">
        <v>23</v>
      </c>
      <c r="V48" s="436">
        <v>0</v>
      </c>
      <c r="W48" s="436">
        <v>23</v>
      </c>
      <c r="X48" s="238">
        <v>4407</v>
      </c>
      <c r="Y48" s="237">
        <v>0.1227</v>
      </c>
      <c r="Z48" s="238">
        <v>54870</v>
      </c>
      <c r="AA48" s="238">
        <v>12542</v>
      </c>
      <c r="AB48" s="238">
        <v>76.63</v>
      </c>
      <c r="AC48" s="238">
        <v>1869</v>
      </c>
      <c r="AD48" s="238">
        <v>5636629.4699999997</v>
      </c>
      <c r="AE48" s="238">
        <v>767087.54999999888</v>
      </c>
      <c r="AF48" s="238">
        <v>4953680.58</v>
      </c>
      <c r="AG48" s="238">
        <v>736285.06</v>
      </c>
      <c r="AH48" s="239">
        <v>0.14863393957468288</v>
      </c>
      <c r="AI48" s="242">
        <v>197.539165</v>
      </c>
      <c r="AJ48" s="242">
        <v>80.860977000000005</v>
      </c>
      <c r="AK48" s="242">
        <v>5.7429671164772733</v>
      </c>
      <c r="AL48" s="242">
        <v>415.31864400000001</v>
      </c>
      <c r="AM48" s="242">
        <v>29.497062784090907</v>
      </c>
      <c r="AN48" s="242">
        <v>17274.259999999998</v>
      </c>
      <c r="AO48" s="238">
        <v>11252.16</v>
      </c>
      <c r="AP48" s="243">
        <v>25</v>
      </c>
      <c r="AQ48" s="238"/>
      <c r="AR48" s="238">
        <v>1743.1736602224257</v>
      </c>
      <c r="AS48" s="238">
        <v>1238.4380268757554</v>
      </c>
      <c r="AT48" s="238">
        <v>233074.33333333334</v>
      </c>
      <c r="AU48" s="238">
        <v>305.13715395090736</v>
      </c>
      <c r="AV48" s="237">
        <v>1</v>
      </c>
      <c r="AW48" s="237">
        <v>0</v>
      </c>
      <c r="AX48" s="237">
        <v>1</v>
      </c>
      <c r="AY48" s="244" t="s">
        <v>673</v>
      </c>
      <c r="AZ48" s="244" t="s">
        <v>726</v>
      </c>
      <c r="BA48" s="237">
        <v>2010</v>
      </c>
      <c r="BB48" s="245" t="s">
        <v>907</v>
      </c>
      <c r="BC48" s="215" t="s">
        <v>908</v>
      </c>
      <c r="BE48" s="237">
        <v>137</v>
      </c>
      <c r="BF48" s="237">
        <v>19</v>
      </c>
      <c r="BG48" s="246" t="s">
        <v>676</v>
      </c>
      <c r="BI48" s="239">
        <v>0.29728801922416753</v>
      </c>
      <c r="BJ48" s="239">
        <v>0.22622725712324065</v>
      </c>
      <c r="BK48" s="239">
        <v>0.4624098867147271</v>
      </c>
      <c r="BL48" s="239">
        <v>1.4074836937864744E-2</v>
      </c>
      <c r="BM48" s="247">
        <v>1.8067284586337109</v>
      </c>
      <c r="BN48" s="248">
        <v>1</v>
      </c>
      <c r="BO48" s="248">
        <v>0</v>
      </c>
      <c r="BP48" s="237">
        <v>0</v>
      </c>
      <c r="BQ48" s="237">
        <v>0</v>
      </c>
      <c r="BR48" s="248">
        <v>1</v>
      </c>
      <c r="BS48" s="237">
        <v>10</v>
      </c>
      <c r="BT48" s="237" t="s">
        <v>909</v>
      </c>
      <c r="BU48" s="249" t="s">
        <v>678</v>
      </c>
      <c r="BV48" s="249">
        <v>431</v>
      </c>
      <c r="BW48" s="249">
        <v>2220</v>
      </c>
      <c r="BX48" s="249" t="s">
        <v>678</v>
      </c>
      <c r="BY48" s="249" t="s">
        <v>678</v>
      </c>
      <c r="BZ48" s="249">
        <v>9.9791618430192166</v>
      </c>
      <c r="CA48" s="249">
        <v>51.400787219263719</v>
      </c>
      <c r="CB48" s="249" t="s">
        <v>678</v>
      </c>
      <c r="CC48" s="250" t="s">
        <v>678</v>
      </c>
      <c r="CD48" s="242" t="s">
        <v>678</v>
      </c>
      <c r="CE48" s="252" t="s">
        <v>678</v>
      </c>
      <c r="CF48" s="238">
        <v>2394</v>
      </c>
      <c r="CG48" s="238">
        <v>391.1</v>
      </c>
      <c r="CH48" s="238">
        <v>9.0553368835378567</v>
      </c>
      <c r="CI48" s="216" t="s">
        <v>679</v>
      </c>
      <c r="CJ48" s="237">
        <v>0</v>
      </c>
      <c r="CK48" s="253">
        <v>191.98</v>
      </c>
      <c r="CL48" s="253">
        <v>320.43650000000002</v>
      </c>
      <c r="CM48" s="254">
        <v>0.22758274147727275</v>
      </c>
      <c r="CN48" s="237" t="s">
        <v>85</v>
      </c>
      <c r="CO48" s="242">
        <v>338.06</v>
      </c>
      <c r="CP48" s="255">
        <v>0.24009943181818183</v>
      </c>
      <c r="CV48" s="237">
        <v>4</v>
      </c>
      <c r="CW48" s="261" t="s">
        <v>678</v>
      </c>
      <c r="CX48" s="261" t="s">
        <v>678</v>
      </c>
      <c r="CY48" s="261" t="s">
        <v>678</v>
      </c>
      <c r="CZ48" s="237" t="s">
        <v>529</v>
      </c>
      <c r="DA48" s="237" t="s">
        <v>910</v>
      </c>
      <c r="DB48" s="216" t="s">
        <v>710</v>
      </c>
      <c r="DC48" s="195" t="s">
        <v>711</v>
      </c>
      <c r="DD48" s="256">
        <v>0.7</v>
      </c>
      <c r="DE48" s="256">
        <v>-6.5</v>
      </c>
      <c r="DF48" s="256">
        <v>0.7</v>
      </c>
      <c r="DG48" s="256">
        <v>-2.2000000000000002</v>
      </c>
      <c r="DH48" s="257">
        <v>3</v>
      </c>
      <c r="DI48" s="257">
        <v>5.42</v>
      </c>
      <c r="DJ48" s="257">
        <v>1.2</v>
      </c>
      <c r="DK48" s="257">
        <v>6.62</v>
      </c>
      <c r="DL48" s="237" t="s">
        <v>682</v>
      </c>
      <c r="DP48" s="258" t="s">
        <v>682</v>
      </c>
      <c r="DQ48" s="258"/>
      <c r="DR48" s="258"/>
      <c r="DS48" s="258"/>
      <c r="DT48" s="258"/>
      <c r="DU48" s="237">
        <v>0</v>
      </c>
      <c r="DX48" s="247"/>
      <c r="DY48" s="247">
        <v>0</v>
      </c>
      <c r="EA48" s="237">
        <v>0</v>
      </c>
      <c r="ED48" s="237" t="s">
        <v>687</v>
      </c>
      <c r="EE48" s="208">
        <v>4</v>
      </c>
      <c r="EF48" s="237" t="s">
        <v>688</v>
      </c>
      <c r="EG48" s="216" t="s">
        <v>733</v>
      </c>
      <c r="EH48" s="246" t="s">
        <v>734</v>
      </c>
      <c r="EI48" s="216" t="s">
        <v>689</v>
      </c>
      <c r="EJ48" s="216" t="s">
        <v>529</v>
      </c>
      <c r="EK48" s="222" t="s">
        <v>682</v>
      </c>
      <c r="EL48" s="259">
        <v>1987</v>
      </c>
      <c r="EM48" s="260">
        <v>3070</v>
      </c>
      <c r="EN48" s="260">
        <v>211896</v>
      </c>
      <c r="EO48" s="260">
        <v>27662</v>
      </c>
      <c r="EP48" s="237">
        <v>1</v>
      </c>
      <c r="EQ48" s="237">
        <v>180</v>
      </c>
      <c r="ER48" s="237" t="s">
        <v>692</v>
      </c>
      <c r="ES48" s="237">
        <v>4319</v>
      </c>
      <c r="ET48" s="237">
        <v>9.0104234527687304</v>
      </c>
      <c r="EU48" s="661">
        <v>3</v>
      </c>
      <c r="EV48" s="661">
        <v>2</v>
      </c>
      <c r="EW48" s="661">
        <v>2</v>
      </c>
      <c r="EX48" s="661">
        <v>9</v>
      </c>
      <c r="EY48" s="660">
        <v>0.13634943181818182</v>
      </c>
      <c r="EZ48" s="256">
        <v>22.497135118241484</v>
      </c>
      <c r="FA48" s="247">
        <v>0.41152263374485598</v>
      </c>
      <c r="FB48" s="208">
        <v>5</v>
      </c>
      <c r="FC48" s="208">
        <v>8</v>
      </c>
      <c r="FD48" s="208">
        <v>4</v>
      </c>
      <c r="FE48" s="239">
        <v>0.57407407407407407</v>
      </c>
      <c r="FF48" s="208"/>
      <c r="FG48" s="241">
        <v>6.8106995884773666E-3</v>
      </c>
      <c r="FH48" s="209">
        <v>0</v>
      </c>
      <c r="FI48" s="237" t="s">
        <v>678</v>
      </c>
      <c r="FJ48" s="208">
        <v>31</v>
      </c>
      <c r="FK48" s="208">
        <v>14.45</v>
      </c>
      <c r="FL48" s="217">
        <v>54</v>
      </c>
      <c r="FM48" s="208">
        <v>0.86</v>
      </c>
      <c r="FN48" s="208" t="s">
        <v>911</v>
      </c>
      <c r="FP48" s="247" t="s">
        <v>693</v>
      </c>
      <c r="FU48" s="208">
        <v>25</v>
      </c>
      <c r="FV48" s="208">
        <v>15.3</v>
      </c>
      <c r="FW48" s="237">
        <v>49.74</v>
      </c>
      <c r="FX48" s="237">
        <v>27.3</v>
      </c>
      <c r="FY48" s="208">
        <v>21.25</v>
      </c>
      <c r="FZ48" s="208">
        <v>35.4</v>
      </c>
      <c r="GA48" s="208">
        <v>35.25</v>
      </c>
      <c r="GB48" s="208">
        <v>29.2</v>
      </c>
      <c r="GC48" s="208">
        <v>0.44</v>
      </c>
      <c r="GD48" s="208">
        <v>60.7</v>
      </c>
      <c r="GE48" s="237">
        <v>25.41</v>
      </c>
      <c r="GF48" s="237">
        <v>26.9</v>
      </c>
      <c r="GG48" s="237">
        <v>0</v>
      </c>
      <c r="GH48" s="237">
        <v>0.2</v>
      </c>
      <c r="GJ48" s="947"/>
      <c r="GK48" s="320"/>
      <c r="GL48" s="320"/>
      <c r="GM48" s="320"/>
      <c r="GN48" s="320"/>
      <c r="GO48" s="662">
        <v>8043</v>
      </c>
      <c r="GP48" s="663" t="str">
        <f>VLOOKUP(GS48,'BD Comarcal'!$A$6:$AV$17,48,FALSE)</f>
        <v>17</v>
      </c>
      <c r="GQ48" s="564">
        <v>22</v>
      </c>
      <c r="GR48" s="256">
        <f t="shared" si="0"/>
        <v>1</v>
      </c>
      <c r="GS48" s="237" t="s">
        <v>85</v>
      </c>
    </row>
    <row r="49" spans="1:201" s="237" customFormat="1" ht="17.25" customHeight="1">
      <c r="A49" s="236" t="s">
        <v>912</v>
      </c>
      <c r="C49" s="238"/>
      <c r="D49" s="238">
        <v>290</v>
      </c>
      <c r="E49" s="238">
        <v>153</v>
      </c>
      <c r="F49" s="239">
        <v>0.52758620689655178</v>
      </c>
      <c r="G49" s="238">
        <v>110</v>
      </c>
      <c r="H49" s="240">
        <v>0</v>
      </c>
      <c r="I49" s="239">
        <v>0</v>
      </c>
      <c r="J49" s="238">
        <v>1</v>
      </c>
      <c r="K49" s="238">
        <v>0</v>
      </c>
      <c r="L49" s="238" t="s">
        <v>678</v>
      </c>
      <c r="M49" s="241" t="s">
        <v>678</v>
      </c>
      <c r="N49" s="238" t="s">
        <v>678</v>
      </c>
      <c r="O49" s="239" t="s">
        <v>678</v>
      </c>
      <c r="P49" s="237" t="s">
        <v>678</v>
      </c>
      <c r="Q49" s="237" t="s">
        <v>678</v>
      </c>
      <c r="R49" s="239" t="s">
        <v>678</v>
      </c>
      <c r="S49" s="238" t="s">
        <v>678</v>
      </c>
      <c r="T49" s="436">
        <v>0</v>
      </c>
      <c r="U49" s="436">
        <v>0</v>
      </c>
      <c r="V49" s="436">
        <v>15</v>
      </c>
      <c r="W49" s="436">
        <v>15</v>
      </c>
      <c r="X49" s="238">
        <v>5227</v>
      </c>
      <c r="Y49" s="237">
        <v>0.20080000000000001</v>
      </c>
      <c r="Z49" s="238">
        <v>61087</v>
      </c>
      <c r="AA49" s="238">
        <v>11596</v>
      </c>
      <c r="AB49" s="238">
        <v>70.849999999999994</v>
      </c>
      <c r="AC49" s="238">
        <v>2721</v>
      </c>
      <c r="AD49" s="238">
        <v>5699790.6600000001</v>
      </c>
      <c r="AE49" s="238">
        <v>1150014.1400000006</v>
      </c>
      <c r="AF49" s="238">
        <v>4189375.3499999996</v>
      </c>
      <c r="AG49" s="238">
        <v>200557.03</v>
      </c>
      <c r="AH49" s="239">
        <v>4.7872776546508303E-2</v>
      </c>
      <c r="AI49" s="242">
        <v>68.353307999999998</v>
      </c>
      <c r="AJ49" s="242">
        <v>3.1692049999999998</v>
      </c>
      <c r="AK49" s="242">
        <v>1.0928293103448277</v>
      </c>
      <c r="AL49" s="242" t="s">
        <v>678</v>
      </c>
      <c r="AM49" s="242" t="s">
        <v>678</v>
      </c>
      <c r="AN49" s="242">
        <v>13822.4</v>
      </c>
      <c r="AO49" s="238">
        <v>385.4</v>
      </c>
      <c r="AP49" s="243">
        <v>1</v>
      </c>
      <c r="AQ49" s="238"/>
      <c r="AR49" s="238">
        <v>1260.2609565001355</v>
      </c>
      <c r="AS49" s="238">
        <v>2538.5651114729972</v>
      </c>
      <c r="AT49" s="238">
        <v>905667</v>
      </c>
      <c r="AU49" s="238">
        <v>254.35306920959621</v>
      </c>
      <c r="AV49" s="237">
        <v>1</v>
      </c>
      <c r="AW49" s="237">
        <v>0</v>
      </c>
      <c r="AX49" s="237">
        <v>1</v>
      </c>
      <c r="AY49" s="244" t="s">
        <v>717</v>
      </c>
      <c r="AZ49" s="244" t="s">
        <v>682</v>
      </c>
      <c r="BA49" s="237">
        <v>2013</v>
      </c>
      <c r="BB49" s="245" t="s">
        <v>913</v>
      </c>
      <c r="BC49" s="215" t="s">
        <v>914</v>
      </c>
      <c r="BD49" s="237">
        <v>1</v>
      </c>
      <c r="BE49" s="237">
        <v>8</v>
      </c>
      <c r="BF49" s="237">
        <v>20</v>
      </c>
      <c r="BG49" s="246" t="s">
        <v>698</v>
      </c>
      <c r="BI49" s="239">
        <v>0.51253481894150421</v>
      </c>
      <c r="BJ49" s="239">
        <v>9.7746264877184103E-2</v>
      </c>
      <c r="BK49" s="239">
        <v>0.36870093694606232</v>
      </c>
      <c r="BL49" s="239">
        <v>2.101797923524943E-2</v>
      </c>
      <c r="BM49" s="247">
        <v>2.1017979235249431</v>
      </c>
      <c r="BN49" s="248">
        <v>0</v>
      </c>
      <c r="BO49" s="267">
        <v>1</v>
      </c>
      <c r="BP49" s="237">
        <v>0</v>
      </c>
      <c r="BQ49" s="237">
        <v>0</v>
      </c>
      <c r="BR49" s="248">
        <v>1</v>
      </c>
      <c r="BS49" s="237">
        <v>11.5</v>
      </c>
      <c r="BT49" s="237" t="s">
        <v>755</v>
      </c>
      <c r="BU49" s="249">
        <v>481</v>
      </c>
      <c r="BV49" s="249">
        <v>552</v>
      </c>
      <c r="BW49" s="249">
        <v>2869</v>
      </c>
      <c r="BX49" s="249" t="s">
        <v>678</v>
      </c>
      <c r="BY49" s="249">
        <v>8.9505024190547076</v>
      </c>
      <c r="BZ49" s="249">
        <v>10.271678451804988</v>
      </c>
      <c r="CA49" s="249">
        <v>53.386676590993673</v>
      </c>
      <c r="CB49" s="249" t="s">
        <v>678</v>
      </c>
      <c r="CC49" s="250">
        <v>100.78154075176778</v>
      </c>
      <c r="CD49" s="242" t="s">
        <v>678</v>
      </c>
      <c r="CE49" s="252" t="s">
        <v>678</v>
      </c>
      <c r="CF49" s="238">
        <v>2584</v>
      </c>
      <c r="CG49" s="238">
        <v>440</v>
      </c>
      <c r="CH49" s="238">
        <v>8.1875697804242655</v>
      </c>
      <c r="CI49" s="216" t="s">
        <v>679</v>
      </c>
      <c r="CJ49" s="237">
        <v>0</v>
      </c>
      <c r="CK49" s="253">
        <v>73.23</v>
      </c>
      <c r="CL49" s="253">
        <v>10.813499999999999</v>
      </c>
      <c r="CM49" s="254">
        <v>3.7287931034482753E-2</v>
      </c>
      <c r="CN49" s="237" t="s">
        <v>81</v>
      </c>
      <c r="CO49" s="242">
        <v>93.97</v>
      </c>
      <c r="CP49" s="255">
        <v>0.32403448275862068</v>
      </c>
      <c r="CV49" s="237">
        <v>2</v>
      </c>
      <c r="CW49" s="261">
        <v>0.65300000000000002</v>
      </c>
      <c r="CX49" s="261" t="s">
        <v>915</v>
      </c>
      <c r="CY49" s="261">
        <v>1.288</v>
      </c>
      <c r="DB49" s="216" t="s">
        <v>681</v>
      </c>
      <c r="DC49" s="256"/>
      <c r="DD49" s="256">
        <v>0.8</v>
      </c>
      <c r="DE49" s="256">
        <v>-10</v>
      </c>
      <c r="DF49" s="256">
        <v>0.5</v>
      </c>
      <c r="DG49" s="256">
        <v>-2.2999999999999998</v>
      </c>
      <c r="DH49" s="257">
        <v>1</v>
      </c>
      <c r="DI49" s="257">
        <v>1.5</v>
      </c>
      <c r="DJ49" s="257">
        <v>0</v>
      </c>
      <c r="DK49" s="257">
        <v>1.5</v>
      </c>
      <c r="DL49" s="237" t="s">
        <v>682</v>
      </c>
      <c r="DP49" s="258" t="s">
        <v>682</v>
      </c>
      <c r="DQ49" s="258"/>
      <c r="DR49" s="258"/>
      <c r="DS49" s="258"/>
      <c r="DT49" s="258"/>
      <c r="DU49" s="237">
        <v>0</v>
      </c>
      <c r="DX49" s="247"/>
      <c r="DY49" s="247">
        <v>0</v>
      </c>
      <c r="EA49" s="237">
        <v>1</v>
      </c>
      <c r="EB49" s="237" t="s">
        <v>859</v>
      </c>
      <c r="ED49" s="237" t="s">
        <v>678</v>
      </c>
      <c r="EE49" s="208">
        <v>3</v>
      </c>
      <c r="EF49" s="237" t="s">
        <v>678</v>
      </c>
      <c r="EG49" s="216" t="s">
        <v>715</v>
      </c>
      <c r="EH49" s="246" t="s">
        <v>690</v>
      </c>
      <c r="EI49" s="216"/>
      <c r="EJ49" s="216" t="s">
        <v>529</v>
      </c>
      <c r="EK49" s="222" t="s">
        <v>529</v>
      </c>
      <c r="EL49" s="259">
        <v>1987</v>
      </c>
      <c r="EM49" s="260">
        <v>1250</v>
      </c>
      <c r="EN49" s="260">
        <v>204659</v>
      </c>
      <c r="EO49" s="260">
        <v>689485</v>
      </c>
      <c r="ER49" s="237" t="s">
        <v>705</v>
      </c>
      <c r="ES49" s="237">
        <v>5374</v>
      </c>
      <c r="ET49" s="237">
        <v>551.58799999999997</v>
      </c>
      <c r="EU49" s="661">
        <v>3</v>
      </c>
      <c r="EV49" s="661" t="s">
        <v>678</v>
      </c>
      <c r="EW49" s="661" t="s">
        <v>678</v>
      </c>
      <c r="EX49" s="661" t="s">
        <v>678</v>
      </c>
      <c r="EY49" s="660">
        <v>0.25251724137931036</v>
      </c>
      <c r="EZ49" s="256">
        <v>73.385224634712543</v>
      </c>
      <c r="FA49" s="247">
        <v>1.3071895424836601</v>
      </c>
      <c r="FB49" s="208" t="s">
        <v>678</v>
      </c>
      <c r="FC49" s="208" t="s">
        <v>678</v>
      </c>
      <c r="FD49" s="208">
        <v>5</v>
      </c>
      <c r="FE49" s="239">
        <v>0.71895424836601307</v>
      </c>
      <c r="FF49" s="208"/>
      <c r="FG49" s="241">
        <v>9.8039215686274508E-3</v>
      </c>
      <c r="FH49" s="209">
        <v>0</v>
      </c>
      <c r="FI49" s="237" t="s">
        <v>678</v>
      </c>
      <c r="FJ49" s="208" t="s">
        <v>678</v>
      </c>
      <c r="FK49" s="208" t="s">
        <v>678</v>
      </c>
      <c r="FL49" s="217" t="s">
        <v>678</v>
      </c>
      <c r="FM49" s="208" t="s">
        <v>678</v>
      </c>
      <c r="FN49" s="208" t="s">
        <v>678</v>
      </c>
      <c r="FP49" s="247" t="s">
        <v>693</v>
      </c>
      <c r="FU49" s="208" t="s">
        <v>678</v>
      </c>
      <c r="FV49" s="208" t="s">
        <v>678</v>
      </c>
      <c r="FW49" s="208" t="s">
        <v>678</v>
      </c>
      <c r="FX49" s="208" t="s">
        <v>678</v>
      </c>
      <c r="FY49" s="208" t="s">
        <v>678</v>
      </c>
      <c r="FZ49" s="208" t="s">
        <v>678</v>
      </c>
      <c r="GA49" s="208" t="s">
        <v>678</v>
      </c>
      <c r="GB49" s="208" t="s">
        <v>678</v>
      </c>
      <c r="GC49" s="208" t="s">
        <v>678</v>
      </c>
      <c r="GD49" s="208" t="s">
        <v>678</v>
      </c>
      <c r="GE49" s="237" t="s">
        <v>678</v>
      </c>
      <c r="GF49" s="237" t="s">
        <v>678</v>
      </c>
      <c r="GG49" s="237" t="s">
        <v>678</v>
      </c>
      <c r="GH49" s="237" t="s">
        <v>678</v>
      </c>
      <c r="GJ49" s="947">
        <v>171</v>
      </c>
      <c r="GK49" s="320">
        <v>0</v>
      </c>
      <c r="GL49" s="320">
        <v>0.70899999999999996</v>
      </c>
      <c r="GM49" s="320">
        <v>2.9000000000000001E-2</v>
      </c>
      <c r="GN49" s="320">
        <v>0.26100000000000001</v>
      </c>
      <c r="GO49" s="662">
        <v>8044</v>
      </c>
      <c r="GP49" s="663" t="str">
        <f>VLOOKUP(GS49,'BD Comarcal'!$A$6:$AV$17,48,FALSE)</f>
        <v>06</v>
      </c>
      <c r="GQ49" s="564">
        <v>55</v>
      </c>
      <c r="GR49" s="256">
        <f t="shared" si="0"/>
        <v>1</v>
      </c>
      <c r="GS49" s="237" t="s">
        <v>81</v>
      </c>
    </row>
    <row r="50" spans="1:201" s="237" customFormat="1" ht="17.25" customHeight="1">
      <c r="A50" s="236" t="s">
        <v>916</v>
      </c>
      <c r="C50" s="238"/>
      <c r="D50" s="238">
        <v>3430</v>
      </c>
      <c r="E50" s="238">
        <v>2786</v>
      </c>
      <c r="F50" s="239">
        <v>0.81224489795918364</v>
      </c>
      <c r="G50" s="238">
        <v>2617</v>
      </c>
      <c r="H50" s="240">
        <v>1978.7620892213133</v>
      </c>
      <c r="I50" s="239">
        <v>0.71025200618137596</v>
      </c>
      <c r="J50" s="238">
        <v>443</v>
      </c>
      <c r="K50" s="238">
        <v>641</v>
      </c>
      <c r="L50" s="238">
        <v>1</v>
      </c>
      <c r="M50" s="241">
        <v>2.9154518950437317E-4</v>
      </c>
      <c r="N50" s="238">
        <v>0</v>
      </c>
      <c r="O50" s="239">
        <v>0</v>
      </c>
      <c r="P50" s="237">
        <v>10</v>
      </c>
      <c r="Q50" s="237">
        <v>0</v>
      </c>
      <c r="R50" s="239">
        <v>0</v>
      </c>
      <c r="S50" s="238">
        <v>2148</v>
      </c>
      <c r="T50" s="436">
        <v>0</v>
      </c>
      <c r="U50" s="436">
        <v>48</v>
      </c>
      <c r="V50" s="436">
        <v>0</v>
      </c>
      <c r="W50" s="436">
        <v>48</v>
      </c>
      <c r="X50" s="238">
        <v>93</v>
      </c>
      <c r="Y50" s="237">
        <v>0.13639999999999999</v>
      </c>
      <c r="Z50" s="238">
        <v>1649</v>
      </c>
      <c r="AA50" s="238">
        <v>17928</v>
      </c>
      <c r="AB50" s="238">
        <v>109.54</v>
      </c>
      <c r="AC50" s="238">
        <v>489</v>
      </c>
      <c r="AD50" s="238">
        <v>288200.40999999997</v>
      </c>
      <c r="AE50" s="238">
        <v>235257.5</v>
      </c>
      <c r="AF50" s="238">
        <v>215561.94</v>
      </c>
      <c r="AG50" s="238">
        <v>0</v>
      </c>
      <c r="AH50" s="239">
        <v>0</v>
      </c>
      <c r="AI50" s="269" t="s">
        <v>678</v>
      </c>
      <c r="AJ50" s="242" t="s">
        <v>678</v>
      </c>
      <c r="AK50" s="242" t="s">
        <v>678</v>
      </c>
      <c r="AL50" s="242" t="s">
        <v>678</v>
      </c>
      <c r="AM50" s="242" t="s">
        <v>678</v>
      </c>
      <c r="AN50" s="242">
        <v>17303.28</v>
      </c>
      <c r="AO50" s="238">
        <v>0</v>
      </c>
      <c r="AP50" s="243">
        <v>0</v>
      </c>
      <c r="AQ50" s="238"/>
      <c r="AR50" s="238">
        <v>1519.4555034921443</v>
      </c>
      <c r="AS50" s="238">
        <v>1814.3871074832257</v>
      </c>
      <c r="AT50" s="238">
        <v>4677.666666666667</v>
      </c>
      <c r="AU50" s="238">
        <v>103.58168334405418</v>
      </c>
      <c r="AV50" s="237">
        <v>1</v>
      </c>
      <c r="AW50" s="237">
        <v>0</v>
      </c>
      <c r="AX50" s="237">
        <v>1</v>
      </c>
      <c r="AY50" s="244" t="s">
        <v>682</v>
      </c>
      <c r="AZ50" s="244" t="s">
        <v>695</v>
      </c>
      <c r="BA50" s="237">
        <v>0</v>
      </c>
      <c r="BB50" s="245" t="s">
        <v>775</v>
      </c>
      <c r="BC50" s="215" t="s">
        <v>776</v>
      </c>
      <c r="BE50" s="237">
        <v>0</v>
      </c>
      <c r="BF50" s="237">
        <v>0</v>
      </c>
      <c r="BG50" s="246" t="s">
        <v>720</v>
      </c>
      <c r="BI50" s="239">
        <v>0.82608695652173914</v>
      </c>
      <c r="BJ50" s="239">
        <v>0</v>
      </c>
      <c r="BK50" s="239">
        <v>0.15942028985507245</v>
      </c>
      <c r="BL50" s="239">
        <v>1.4492753623188406E-2</v>
      </c>
      <c r="BM50" s="247">
        <v>2.6376811594202896</v>
      </c>
      <c r="BN50" s="248">
        <v>0</v>
      </c>
      <c r="BO50" s="248">
        <v>0</v>
      </c>
      <c r="BP50" s="237">
        <v>0</v>
      </c>
      <c r="BQ50" s="237">
        <v>0</v>
      </c>
      <c r="BR50" s="248">
        <v>0</v>
      </c>
      <c r="BS50" s="237">
        <v>15.5</v>
      </c>
      <c r="BT50" s="237" t="s">
        <v>777</v>
      </c>
      <c r="BU50" s="249" t="s">
        <v>678</v>
      </c>
      <c r="BV50" s="249" t="s">
        <v>678</v>
      </c>
      <c r="BW50" s="249" t="s">
        <v>678</v>
      </c>
      <c r="BX50" s="249" t="s">
        <v>678</v>
      </c>
      <c r="BY50" s="249" t="s">
        <v>678</v>
      </c>
      <c r="BZ50" s="249" t="s">
        <v>678</v>
      </c>
      <c r="CA50" s="249" t="s">
        <v>678</v>
      </c>
      <c r="CB50" s="249" t="s">
        <v>678</v>
      </c>
      <c r="CC50" s="250" t="s">
        <v>678</v>
      </c>
      <c r="CD50" s="242" t="s">
        <v>678</v>
      </c>
      <c r="CE50" s="252" t="s">
        <v>678</v>
      </c>
      <c r="CF50" s="238">
        <v>46</v>
      </c>
      <c r="CG50" s="238">
        <v>4.8</v>
      </c>
      <c r="CH50" s="238">
        <v>5.5172413793103452</v>
      </c>
      <c r="CI50" s="216" t="s">
        <v>756</v>
      </c>
      <c r="CJ50" s="237">
        <v>1</v>
      </c>
      <c r="CK50" s="253">
        <v>2.31</v>
      </c>
      <c r="CL50" s="253">
        <v>0</v>
      </c>
      <c r="CM50" s="254">
        <v>0</v>
      </c>
      <c r="CN50" s="237" t="s">
        <v>84</v>
      </c>
      <c r="CO50" s="242">
        <v>208.87</v>
      </c>
      <c r="CP50" s="255">
        <v>6.0895043731778425E-2</v>
      </c>
      <c r="CW50" s="261" t="s">
        <v>678</v>
      </c>
      <c r="CX50" s="261" t="s">
        <v>678</v>
      </c>
      <c r="CY50" s="261" t="s">
        <v>678</v>
      </c>
      <c r="DB50" s="216" t="s">
        <v>681</v>
      </c>
      <c r="DC50" s="256"/>
      <c r="DD50" s="256">
        <v>0.8</v>
      </c>
      <c r="DE50" s="256">
        <v>-9</v>
      </c>
      <c r="DF50" s="256">
        <v>-0.3</v>
      </c>
      <c r="DG50" s="256">
        <v>-2.6</v>
      </c>
      <c r="DL50" s="237" t="s">
        <v>682</v>
      </c>
      <c r="DP50" s="258" t="s">
        <v>682</v>
      </c>
      <c r="DQ50" s="258"/>
      <c r="DR50" s="258"/>
      <c r="DS50" s="258"/>
      <c r="DT50" s="258"/>
      <c r="DU50" s="237">
        <v>1</v>
      </c>
      <c r="DV50" s="237" t="s">
        <v>917</v>
      </c>
      <c r="DW50" s="237" t="s">
        <v>918</v>
      </c>
      <c r="DX50" s="247">
        <v>0.81</v>
      </c>
      <c r="DY50" s="247">
        <v>2.3615160349854229E-2</v>
      </c>
      <c r="EA50" s="237">
        <v>0</v>
      </c>
      <c r="ED50" s="237" t="s">
        <v>723</v>
      </c>
      <c r="EE50" s="208">
        <v>2</v>
      </c>
      <c r="EF50" s="237" t="s">
        <v>702</v>
      </c>
      <c r="EG50" s="216" t="s">
        <v>703</v>
      </c>
      <c r="EH50" s="246" t="s">
        <v>704</v>
      </c>
      <c r="EI50" s="216"/>
      <c r="EJ50" s="216" t="s">
        <v>529</v>
      </c>
      <c r="EK50" s="222" t="s">
        <v>682</v>
      </c>
      <c r="EL50" s="259">
        <v>2010</v>
      </c>
      <c r="EM50" s="260">
        <v>1300</v>
      </c>
      <c r="EN50" s="260">
        <v>1939</v>
      </c>
      <c r="EO50" s="260">
        <v>2985</v>
      </c>
      <c r="ER50" s="237" t="s">
        <v>705</v>
      </c>
      <c r="ES50" s="237" t="e">
        <v>#DIV/0!</v>
      </c>
      <c r="ET50" s="237">
        <v>2.296153846153846</v>
      </c>
      <c r="EU50" s="661">
        <v>8</v>
      </c>
      <c r="EV50" s="661" t="s">
        <v>678</v>
      </c>
      <c r="EW50" s="661">
        <v>0</v>
      </c>
      <c r="EX50" s="661">
        <v>2</v>
      </c>
      <c r="EY50" s="660">
        <v>6.7346938775510201E-4</v>
      </c>
      <c r="EZ50" s="256">
        <v>37.662337662337663</v>
      </c>
      <c r="FA50" s="247">
        <v>0</v>
      </c>
      <c r="FB50" s="208">
        <v>1</v>
      </c>
      <c r="FC50" s="208">
        <v>3</v>
      </c>
      <c r="FD50" s="208">
        <v>1</v>
      </c>
      <c r="FE50" s="239">
        <v>0.93933955491744436</v>
      </c>
      <c r="FF50" s="208">
        <v>1</v>
      </c>
      <c r="FG50" s="241">
        <v>0</v>
      </c>
      <c r="FH50" s="209">
        <v>0</v>
      </c>
      <c r="FI50" s="237" t="s">
        <v>678</v>
      </c>
      <c r="FJ50" s="208">
        <v>62.5</v>
      </c>
      <c r="FK50" s="208">
        <v>42.14</v>
      </c>
      <c r="FL50" s="217">
        <v>85.4</v>
      </c>
      <c r="FM50" s="208">
        <v>23.62</v>
      </c>
      <c r="FN50" s="208" t="s">
        <v>919</v>
      </c>
      <c r="FP50" s="247" t="s">
        <v>693</v>
      </c>
      <c r="FU50" s="208">
        <v>46</v>
      </c>
      <c r="FV50" s="208">
        <v>66.3</v>
      </c>
      <c r="FW50" s="237">
        <v>92.37</v>
      </c>
      <c r="FX50" s="237">
        <v>88.2</v>
      </c>
      <c r="FY50" s="208">
        <v>81.62</v>
      </c>
      <c r="FZ50" s="208">
        <v>80.400000000000006</v>
      </c>
      <c r="GA50" s="208">
        <v>82.44</v>
      </c>
      <c r="GB50" s="208">
        <v>95</v>
      </c>
      <c r="GC50" s="208">
        <v>0.56000000000000005</v>
      </c>
      <c r="GD50" s="208">
        <v>67.5</v>
      </c>
      <c r="GE50" s="237">
        <v>91.9</v>
      </c>
      <c r="GF50" s="237">
        <v>98.1</v>
      </c>
      <c r="GG50" s="237">
        <v>5.13</v>
      </c>
      <c r="GH50" s="237">
        <v>45.1</v>
      </c>
      <c r="GJ50" s="947"/>
      <c r="GK50" s="320"/>
      <c r="GL50" s="320"/>
      <c r="GM50" s="320"/>
      <c r="GN50" s="320"/>
      <c r="GO50" s="662">
        <v>8045</v>
      </c>
      <c r="GP50" s="663" t="str">
        <f>VLOOKUP(GS50,'BD Comarcal'!$A$6:$AV$17,48,FALSE)</f>
        <v>14</v>
      </c>
      <c r="GQ50" s="564">
        <v>0</v>
      </c>
      <c r="GR50" s="256">
        <f t="shared" si="0"/>
        <v>0</v>
      </c>
      <c r="GS50" s="237" t="s">
        <v>84</v>
      </c>
    </row>
    <row r="51" spans="1:201" s="237" customFormat="1" ht="17.25" customHeight="1">
      <c r="A51" s="236" t="s">
        <v>920</v>
      </c>
      <c r="C51" s="238"/>
      <c r="D51" s="238">
        <v>1289</v>
      </c>
      <c r="E51" s="238">
        <v>279</v>
      </c>
      <c r="F51" s="239">
        <v>0.21644685802948022</v>
      </c>
      <c r="G51" s="238">
        <v>236</v>
      </c>
      <c r="H51" s="240">
        <v>27.285247663045865</v>
      </c>
      <c r="I51" s="239">
        <v>9.7796586605899155E-2</v>
      </c>
      <c r="J51" s="238">
        <v>466</v>
      </c>
      <c r="K51" s="238">
        <v>87</v>
      </c>
      <c r="L51" s="238">
        <v>253</v>
      </c>
      <c r="M51" s="241">
        <v>0.19627618308766487</v>
      </c>
      <c r="N51" s="238">
        <v>102</v>
      </c>
      <c r="O51" s="239">
        <v>0.21888412017167383</v>
      </c>
      <c r="P51" s="237">
        <v>14</v>
      </c>
      <c r="Q51" s="237">
        <v>0</v>
      </c>
      <c r="R51" s="239">
        <v>0</v>
      </c>
      <c r="S51" s="238">
        <v>699</v>
      </c>
      <c r="T51" s="436">
        <v>0</v>
      </c>
      <c r="U51" s="436">
        <v>0</v>
      </c>
      <c r="V51" s="436">
        <v>81</v>
      </c>
      <c r="W51" s="436">
        <v>81</v>
      </c>
      <c r="X51" s="238">
        <v>18158</v>
      </c>
      <c r="Y51" s="237">
        <v>0.1434</v>
      </c>
      <c r="Z51" s="238">
        <v>279399</v>
      </c>
      <c r="AA51" s="238">
        <v>15576</v>
      </c>
      <c r="AB51" s="238">
        <v>95.17</v>
      </c>
      <c r="AC51" s="238">
        <v>7699</v>
      </c>
      <c r="AD51" s="238">
        <v>16307336.9</v>
      </c>
      <c r="AE51" s="238">
        <v>1444493.7399999984</v>
      </c>
      <c r="AF51" s="238">
        <v>16563848.010000002</v>
      </c>
      <c r="AG51" s="238">
        <v>1887950.3</v>
      </c>
      <c r="AH51" s="239">
        <v>0.11398017531072478</v>
      </c>
      <c r="AI51" s="242">
        <v>267.14062200000001</v>
      </c>
      <c r="AJ51" s="242">
        <v>61.361598999999998</v>
      </c>
      <c r="AK51" s="242">
        <v>4.7604033359193174</v>
      </c>
      <c r="AL51" s="242" t="s">
        <v>678</v>
      </c>
      <c r="AM51" s="242" t="s">
        <v>678</v>
      </c>
      <c r="AN51" s="242">
        <v>28289.82</v>
      </c>
      <c r="AO51" s="238">
        <v>2212.98</v>
      </c>
      <c r="AP51" s="243">
        <v>10</v>
      </c>
      <c r="AQ51" s="238"/>
      <c r="AR51" s="238">
        <v>1432.5210341814998</v>
      </c>
      <c r="AS51" s="238">
        <v>2218.3386303908906</v>
      </c>
      <c r="AT51" s="238">
        <v>862044.66666666663</v>
      </c>
      <c r="AU51" s="238">
        <v>250.83014879272508</v>
      </c>
      <c r="AV51" s="237">
        <v>1</v>
      </c>
      <c r="AW51" s="237">
        <v>0</v>
      </c>
      <c r="AX51" s="237">
        <v>1</v>
      </c>
      <c r="AY51" s="244" t="s">
        <v>717</v>
      </c>
      <c r="AZ51" s="244" t="s">
        <v>717</v>
      </c>
      <c r="BA51" s="237">
        <v>2009</v>
      </c>
      <c r="BB51" s="245" t="s">
        <v>921</v>
      </c>
      <c r="BC51" s="215" t="s">
        <v>922</v>
      </c>
      <c r="BE51" s="237">
        <v>2</v>
      </c>
      <c r="BF51" s="237">
        <v>39</v>
      </c>
      <c r="BG51" s="246" t="s">
        <v>698</v>
      </c>
      <c r="BI51" s="239">
        <v>0.3175589666791464</v>
      </c>
      <c r="BJ51" s="239">
        <v>7.29314863347061E-2</v>
      </c>
      <c r="BK51" s="239">
        <v>0.58360164732309994</v>
      </c>
      <c r="BL51" s="239">
        <v>2.5907899663047549E-2</v>
      </c>
      <c r="BM51" s="247">
        <v>1.6821415200299512</v>
      </c>
      <c r="BN51" s="248">
        <v>0</v>
      </c>
      <c r="BO51" s="248">
        <v>1</v>
      </c>
      <c r="BP51" s="237">
        <v>0</v>
      </c>
      <c r="BQ51" s="237">
        <v>0</v>
      </c>
      <c r="BR51" s="248">
        <v>1</v>
      </c>
      <c r="BS51" s="237">
        <v>7</v>
      </c>
      <c r="BT51" s="237" t="s">
        <v>729</v>
      </c>
      <c r="BU51" s="249">
        <v>1091</v>
      </c>
      <c r="BV51" s="249">
        <v>1363</v>
      </c>
      <c r="BW51" s="249">
        <v>7925</v>
      </c>
      <c r="BX51" s="249">
        <v>3483</v>
      </c>
      <c r="BY51" s="249">
        <v>6.2225517595391544</v>
      </c>
      <c r="BZ51" s="249">
        <v>7.7739120515599156</v>
      </c>
      <c r="CA51" s="249">
        <v>45.20047909656077</v>
      </c>
      <c r="CB51" s="249">
        <v>19.865396680545256</v>
      </c>
      <c r="CC51" s="250">
        <v>79.415958478298066</v>
      </c>
      <c r="CD51" s="242">
        <v>-1448</v>
      </c>
      <c r="CE51" s="252">
        <v>91.741287857183593</v>
      </c>
      <c r="CF51" s="238">
        <v>7613</v>
      </c>
      <c r="CG51" s="238">
        <v>1257</v>
      </c>
      <c r="CH51" s="238">
        <v>7.1693378201106484</v>
      </c>
      <c r="CI51" s="216" t="s">
        <v>700</v>
      </c>
      <c r="CJ51" s="237">
        <v>0</v>
      </c>
      <c r="CK51" s="253">
        <v>304</v>
      </c>
      <c r="CL51" s="253">
        <v>111.152</v>
      </c>
      <c r="CM51" s="254">
        <v>8.623118696664081E-2</v>
      </c>
      <c r="CN51" s="237" t="s">
        <v>24</v>
      </c>
      <c r="CO51" s="242"/>
      <c r="CP51" s="255">
        <v>0</v>
      </c>
      <c r="CV51" s="237">
        <v>3</v>
      </c>
      <c r="CW51" s="194">
        <v>0.874</v>
      </c>
      <c r="CX51" s="194">
        <v>0.63500000000000001</v>
      </c>
      <c r="CY51" s="194">
        <v>0.372</v>
      </c>
      <c r="DB51" s="216" t="s">
        <v>710</v>
      </c>
      <c r="DC51" s="195" t="s">
        <v>923</v>
      </c>
      <c r="DD51" s="256">
        <v>0.8</v>
      </c>
      <c r="DE51" s="256">
        <v>-10</v>
      </c>
      <c r="DF51" s="256">
        <v>0.5</v>
      </c>
      <c r="DG51" s="256">
        <v>-2.2999999999999998</v>
      </c>
      <c r="DL51" s="237" t="s">
        <v>529</v>
      </c>
      <c r="DN51" s="237" t="s">
        <v>730</v>
      </c>
      <c r="DO51" s="237">
        <v>1</v>
      </c>
      <c r="DP51" s="258" t="s">
        <v>682</v>
      </c>
      <c r="DQ51" s="258"/>
      <c r="DR51" s="258"/>
      <c r="DS51" s="258"/>
      <c r="DT51" s="258"/>
      <c r="DU51" s="237">
        <v>0</v>
      </c>
      <c r="DX51" s="247"/>
      <c r="DY51" s="247">
        <v>0</v>
      </c>
      <c r="EA51" s="237">
        <v>0</v>
      </c>
      <c r="ED51" s="237" t="s">
        <v>678</v>
      </c>
      <c r="EE51" s="208">
        <v>3</v>
      </c>
      <c r="EF51" s="237" t="s">
        <v>678</v>
      </c>
      <c r="EG51" s="216" t="s">
        <v>689</v>
      </c>
      <c r="EH51" s="246" t="s">
        <v>690</v>
      </c>
      <c r="EI51" s="216"/>
      <c r="EJ51" s="216" t="s">
        <v>529</v>
      </c>
      <c r="EK51" s="222" t="s">
        <v>682</v>
      </c>
      <c r="EL51" s="259">
        <v>2007</v>
      </c>
      <c r="EM51" s="260">
        <v>0</v>
      </c>
      <c r="EN51" s="260">
        <v>726513</v>
      </c>
      <c r="EO51" s="260">
        <v>166904</v>
      </c>
      <c r="ER51" s="237" t="s">
        <v>705</v>
      </c>
      <c r="ES51" s="237">
        <v>17533</v>
      </c>
      <c r="EU51" s="661">
        <v>3</v>
      </c>
      <c r="EV51" s="661">
        <v>2</v>
      </c>
      <c r="EW51" s="661">
        <v>7</v>
      </c>
      <c r="EX51" s="661">
        <v>6</v>
      </c>
      <c r="EY51" s="660">
        <v>0.23584173778122575</v>
      </c>
      <c r="EZ51" s="256">
        <v>57.674342105263158</v>
      </c>
      <c r="FA51" s="247">
        <v>1.075268817204301</v>
      </c>
      <c r="FB51" s="208">
        <v>4</v>
      </c>
      <c r="FC51" s="208">
        <v>4</v>
      </c>
      <c r="FD51" s="208">
        <v>4</v>
      </c>
      <c r="FE51" s="239">
        <v>0.84587813620071683</v>
      </c>
      <c r="FF51" s="208"/>
      <c r="FG51" s="241">
        <v>0</v>
      </c>
      <c r="FH51" s="209">
        <v>0</v>
      </c>
      <c r="FI51" s="237" t="s">
        <v>678</v>
      </c>
      <c r="FJ51" s="208" t="s">
        <v>678</v>
      </c>
      <c r="FK51" s="208" t="s">
        <v>678</v>
      </c>
      <c r="FL51" s="217" t="s">
        <v>678</v>
      </c>
      <c r="FM51" s="208" t="s">
        <v>678</v>
      </c>
      <c r="FN51" s="208" t="s">
        <v>678</v>
      </c>
      <c r="FP51" s="247" t="s">
        <v>693</v>
      </c>
      <c r="FU51" s="208" t="s">
        <v>678</v>
      </c>
      <c r="FV51" s="208" t="s">
        <v>678</v>
      </c>
      <c r="FW51" s="208" t="s">
        <v>678</v>
      </c>
      <c r="FX51" s="208" t="s">
        <v>678</v>
      </c>
      <c r="FY51" s="208" t="s">
        <v>678</v>
      </c>
      <c r="FZ51" s="208" t="s">
        <v>678</v>
      </c>
      <c r="GA51" s="208" t="s">
        <v>678</v>
      </c>
      <c r="GB51" s="208" t="s">
        <v>678</v>
      </c>
      <c r="GC51" s="208" t="s">
        <v>678</v>
      </c>
      <c r="GD51" s="208" t="s">
        <v>678</v>
      </c>
      <c r="GE51" s="237" t="s">
        <v>678</v>
      </c>
      <c r="GF51" s="237" t="s">
        <v>678</v>
      </c>
      <c r="GG51" s="237" t="s">
        <v>678</v>
      </c>
      <c r="GH51" s="237" t="s">
        <v>678</v>
      </c>
      <c r="GJ51" s="947">
        <v>313</v>
      </c>
      <c r="GK51" s="320">
        <v>2.7E-2</v>
      </c>
      <c r="GL51" s="320">
        <v>0.189</v>
      </c>
      <c r="GM51" s="320">
        <v>8.2000000000000003E-2</v>
      </c>
      <c r="GN51" s="320">
        <v>0.70199999999999996</v>
      </c>
      <c r="GO51" s="662">
        <v>8046</v>
      </c>
      <c r="GP51" s="663" t="str">
        <f>VLOOKUP(GS51,'BD Comarcal'!$A$6:$AV$17,48,FALSE)</f>
        <v>41</v>
      </c>
      <c r="GQ51" s="564">
        <v>108</v>
      </c>
      <c r="GR51" s="256">
        <f t="shared" si="0"/>
        <v>0</v>
      </c>
      <c r="GS51" s="237" t="s">
        <v>24</v>
      </c>
    </row>
    <row r="52" spans="1:201" s="237" customFormat="1" ht="17.25" customHeight="1">
      <c r="A52" s="236" t="s">
        <v>924</v>
      </c>
      <c r="C52" s="238"/>
      <c r="D52" s="238">
        <v>6640</v>
      </c>
      <c r="E52" s="238">
        <v>4259</v>
      </c>
      <c r="F52" s="239">
        <v>0.64141566265060246</v>
      </c>
      <c r="G52" s="238">
        <v>3425</v>
      </c>
      <c r="H52" s="240">
        <v>3690.1589012328282</v>
      </c>
      <c r="I52" s="239">
        <v>0.86643787302954411</v>
      </c>
      <c r="J52" s="238">
        <v>1839</v>
      </c>
      <c r="K52" s="238">
        <v>1677</v>
      </c>
      <c r="L52" s="238">
        <v>57</v>
      </c>
      <c r="M52" s="241">
        <v>8.5843373493975899E-3</v>
      </c>
      <c r="N52" s="238">
        <v>97</v>
      </c>
      <c r="O52" s="239">
        <v>5.274605764002175E-2</v>
      </c>
      <c r="P52" s="237">
        <v>70</v>
      </c>
      <c r="Q52" s="237">
        <v>1</v>
      </c>
      <c r="R52" s="239">
        <v>1.4285714285714285E-2</v>
      </c>
      <c r="S52" s="238">
        <v>10768</v>
      </c>
      <c r="T52" s="436">
        <v>0</v>
      </c>
      <c r="U52" s="436">
        <v>56</v>
      </c>
      <c r="V52" s="436">
        <v>365</v>
      </c>
      <c r="W52" s="436">
        <v>421</v>
      </c>
      <c r="X52" s="238">
        <v>4775</v>
      </c>
      <c r="Y52" s="237">
        <v>0.25690000000000002</v>
      </c>
      <c r="Z52" s="238">
        <v>77466</v>
      </c>
      <c r="AA52" s="238">
        <v>15816</v>
      </c>
      <c r="AB52" s="238">
        <v>96.64</v>
      </c>
      <c r="AC52" s="238">
        <v>2839</v>
      </c>
      <c r="AD52" s="238">
        <v>5431910.6100000003</v>
      </c>
      <c r="AE52" s="238">
        <v>-127871.04000000097</v>
      </c>
      <c r="AF52" s="238">
        <v>5674847.3100000005</v>
      </c>
      <c r="AG52" s="238">
        <v>1525108.58</v>
      </c>
      <c r="AH52" s="239">
        <v>0.26874883088264095</v>
      </c>
      <c r="AI52" s="242">
        <v>91.876562000000007</v>
      </c>
      <c r="AJ52" s="242">
        <v>7.3721800000000002</v>
      </c>
      <c r="AK52" s="242">
        <v>0.11102680722891567</v>
      </c>
      <c r="AL52" s="242">
        <v>1.7576510000000001</v>
      </c>
      <c r="AM52" s="242">
        <v>2.6470647590361447E-2</v>
      </c>
      <c r="AN52" s="242">
        <v>44888.13</v>
      </c>
      <c r="AO52" s="238">
        <v>12413.74</v>
      </c>
      <c r="AP52" s="243">
        <v>65</v>
      </c>
      <c r="AQ52" s="238">
        <v>1</v>
      </c>
      <c r="AR52" s="238">
        <v>1509.7937681096892</v>
      </c>
      <c r="AS52" s="238">
        <v>1551.3674964508211</v>
      </c>
      <c r="AT52" s="238">
        <v>875730.33333333337</v>
      </c>
      <c r="AU52" s="238">
        <v>265.81216790113126</v>
      </c>
      <c r="AV52" s="237">
        <v>1</v>
      </c>
      <c r="AW52" s="237">
        <v>1</v>
      </c>
      <c r="AX52" s="237">
        <v>1</v>
      </c>
      <c r="AY52" s="244" t="s">
        <v>673</v>
      </c>
      <c r="AZ52" s="244" t="s">
        <v>673</v>
      </c>
      <c r="BA52" s="237">
        <v>0</v>
      </c>
      <c r="BB52" s="245" t="s">
        <v>925</v>
      </c>
      <c r="BC52" s="215" t="s">
        <v>926</v>
      </c>
      <c r="BD52" s="237">
        <v>1</v>
      </c>
      <c r="BE52" s="237">
        <v>3</v>
      </c>
      <c r="BF52" s="237">
        <v>70</v>
      </c>
      <c r="BG52" s="246" t="s">
        <v>698</v>
      </c>
      <c r="BI52" s="239">
        <v>0.51300984528832627</v>
      </c>
      <c r="BJ52" s="239">
        <v>0.33157524613220818</v>
      </c>
      <c r="BK52" s="239">
        <v>0.13431786216596342</v>
      </c>
      <c r="BL52" s="239">
        <v>2.1097046413502109E-2</v>
      </c>
      <c r="BM52" s="247">
        <v>2.3364978902953584</v>
      </c>
      <c r="BN52" s="248">
        <v>0</v>
      </c>
      <c r="BO52" s="248">
        <v>1</v>
      </c>
      <c r="BP52" s="237">
        <v>0</v>
      </c>
      <c r="BQ52" s="237">
        <v>0</v>
      </c>
      <c r="BR52" s="248">
        <v>1</v>
      </c>
      <c r="BS52" s="262">
        <v>30</v>
      </c>
      <c r="BT52" s="237" t="s">
        <v>699</v>
      </c>
      <c r="BU52" s="249">
        <v>697</v>
      </c>
      <c r="BV52" s="249">
        <v>609</v>
      </c>
      <c r="BW52" s="249">
        <v>2519</v>
      </c>
      <c r="BX52" s="249" t="s">
        <v>678</v>
      </c>
      <c r="BY52" s="249">
        <v>13.923292049540551</v>
      </c>
      <c r="BZ52" s="249">
        <v>12.165401518178186</v>
      </c>
      <c r="CA52" s="249">
        <v>50.319616460247701</v>
      </c>
      <c r="CB52" s="249" t="s">
        <v>678</v>
      </c>
      <c r="CC52" s="250">
        <v>116.42029564522572</v>
      </c>
      <c r="CD52" s="242" t="s">
        <v>678</v>
      </c>
      <c r="CE52" s="252" t="s">
        <v>678</v>
      </c>
      <c r="CF52" s="238">
        <v>2611</v>
      </c>
      <c r="CG52" s="238">
        <v>310</v>
      </c>
      <c r="CH52" s="238">
        <v>6.1925689172992406</v>
      </c>
      <c r="CI52" s="216" t="s">
        <v>722</v>
      </c>
      <c r="CJ52" s="237">
        <v>1</v>
      </c>
      <c r="CK52" s="253">
        <v>110.96</v>
      </c>
      <c r="CL52" s="253">
        <v>49.621699999999997</v>
      </c>
      <c r="CM52" s="254">
        <v>7.4731475903614449E-3</v>
      </c>
      <c r="CN52" s="237" t="s">
        <v>82</v>
      </c>
      <c r="CO52" s="242">
        <v>139.76</v>
      </c>
      <c r="CP52" s="255">
        <v>2.1048192771084336E-2</v>
      </c>
      <c r="CV52" s="237">
        <v>5</v>
      </c>
      <c r="CW52" s="261" t="s">
        <v>678</v>
      </c>
      <c r="CX52" s="261" t="s">
        <v>678</v>
      </c>
      <c r="CY52" s="261" t="s">
        <v>678</v>
      </c>
      <c r="DB52" s="216" t="s">
        <v>528</v>
      </c>
      <c r="DC52" s="195" t="s">
        <v>927</v>
      </c>
      <c r="DD52" s="256">
        <v>0.8</v>
      </c>
      <c r="DE52" s="256">
        <v>-10</v>
      </c>
      <c r="DF52" s="256">
        <v>0.5</v>
      </c>
      <c r="DG52" s="256">
        <v>-2.2999999999999998</v>
      </c>
      <c r="DH52" s="257">
        <v>3</v>
      </c>
      <c r="DI52" s="257">
        <v>5113.38</v>
      </c>
      <c r="DJ52" s="257">
        <v>706.23</v>
      </c>
      <c r="DK52" s="257">
        <v>5819.61</v>
      </c>
      <c r="DL52" s="237" t="s">
        <v>529</v>
      </c>
      <c r="DN52" s="237" t="s">
        <v>770</v>
      </c>
      <c r="DO52" s="237">
        <v>1</v>
      </c>
      <c r="DP52" s="258" t="s">
        <v>682</v>
      </c>
      <c r="DQ52" s="258"/>
      <c r="DR52" s="258"/>
      <c r="DS52" s="258"/>
      <c r="DT52" s="258"/>
      <c r="DU52" s="237">
        <v>0</v>
      </c>
      <c r="DX52" s="247"/>
      <c r="DY52" s="247">
        <v>0</v>
      </c>
      <c r="EA52" s="237">
        <v>0</v>
      </c>
      <c r="ED52" s="237" t="s">
        <v>701</v>
      </c>
      <c r="EE52" s="208">
        <v>3</v>
      </c>
      <c r="EF52" s="237" t="s">
        <v>702</v>
      </c>
      <c r="EG52" s="216" t="s">
        <v>689</v>
      </c>
      <c r="EH52" s="246" t="s">
        <v>690</v>
      </c>
      <c r="EI52" s="216" t="s">
        <v>691</v>
      </c>
      <c r="EJ52" s="216" t="s">
        <v>529</v>
      </c>
      <c r="EK52" s="222" t="s">
        <v>529</v>
      </c>
      <c r="EL52" s="259">
        <v>1988</v>
      </c>
      <c r="EM52" s="260">
        <v>5250</v>
      </c>
      <c r="EN52" s="260">
        <v>209649</v>
      </c>
      <c r="EO52" s="260">
        <v>713771</v>
      </c>
      <c r="ER52" s="237" t="s">
        <v>705</v>
      </c>
      <c r="ES52" s="237">
        <v>5006</v>
      </c>
      <c r="ET52" s="237">
        <v>135.95638095238095</v>
      </c>
      <c r="EU52" s="661">
        <v>3</v>
      </c>
      <c r="EV52" s="661">
        <v>2</v>
      </c>
      <c r="EW52" s="661">
        <v>4</v>
      </c>
      <c r="EX52" s="661">
        <v>6</v>
      </c>
      <c r="EY52" s="660">
        <v>1.6710843373493975E-2</v>
      </c>
      <c r="EZ52" s="256">
        <v>45.1153568853641</v>
      </c>
      <c r="FA52" s="247">
        <v>0.11739845034045551</v>
      </c>
      <c r="FB52" s="208">
        <v>3</v>
      </c>
      <c r="FC52" s="208">
        <v>3</v>
      </c>
      <c r="FD52" s="208">
        <v>3</v>
      </c>
      <c r="FE52" s="239">
        <v>0.80417938483212026</v>
      </c>
      <c r="FF52" s="208"/>
      <c r="FG52" s="241">
        <v>1.3664263911716366</v>
      </c>
      <c r="FH52" s="209">
        <v>0</v>
      </c>
      <c r="FI52" s="237" t="s">
        <v>678</v>
      </c>
      <c r="FJ52" s="208">
        <v>70.5</v>
      </c>
      <c r="FK52" s="208">
        <v>0</v>
      </c>
      <c r="FL52" s="217">
        <v>2.1</v>
      </c>
      <c r="FM52" s="208">
        <v>3.42</v>
      </c>
      <c r="FN52" s="208" t="s">
        <v>928</v>
      </c>
      <c r="FP52" s="247" t="s">
        <v>693</v>
      </c>
      <c r="FU52" s="208">
        <v>55</v>
      </c>
      <c r="FV52" s="208">
        <v>83.9</v>
      </c>
      <c r="FW52" s="237">
        <v>59.15</v>
      </c>
      <c r="FX52" s="237">
        <v>40.1</v>
      </c>
      <c r="FY52" s="208">
        <v>23.97</v>
      </c>
      <c r="FZ52" s="208">
        <v>37.799999999999997</v>
      </c>
      <c r="GA52" s="208">
        <v>43.68</v>
      </c>
      <c r="GB52" s="208">
        <v>43.1</v>
      </c>
      <c r="GC52" s="208">
        <v>0.23</v>
      </c>
      <c r="GD52" s="208">
        <v>41.2</v>
      </c>
      <c r="GE52" s="237">
        <v>36.72</v>
      </c>
      <c r="GF52" s="237">
        <v>45.5</v>
      </c>
      <c r="GG52" s="237">
        <v>18.78</v>
      </c>
      <c r="GH52" s="237">
        <v>91.8</v>
      </c>
      <c r="GJ52" s="947">
        <v>90</v>
      </c>
      <c r="GK52" s="320">
        <v>5.8999999999999997E-2</v>
      </c>
      <c r="GL52" s="320">
        <v>0.32300000000000001</v>
      </c>
      <c r="GM52" s="320">
        <v>8.1000000000000003E-2</v>
      </c>
      <c r="GN52" s="320">
        <v>0.53700000000000003</v>
      </c>
      <c r="GO52" s="662">
        <v>8047</v>
      </c>
      <c r="GP52" s="663" t="str">
        <f>VLOOKUP(GS52,'BD Comarcal'!$A$6:$AV$17,48,FALSE)</f>
        <v>07</v>
      </c>
      <c r="GQ52" s="564">
        <v>71</v>
      </c>
      <c r="GR52" s="256">
        <f t="shared" si="0"/>
        <v>1</v>
      </c>
      <c r="GS52" s="237" t="s">
        <v>82</v>
      </c>
    </row>
    <row r="53" spans="1:201" s="237" customFormat="1" ht="17.25" customHeight="1">
      <c r="A53" s="236" t="s">
        <v>929</v>
      </c>
      <c r="C53" s="238"/>
      <c r="D53" s="238">
        <v>1122</v>
      </c>
      <c r="E53" s="238">
        <v>713</v>
      </c>
      <c r="F53" s="239">
        <v>0.63547237076648844</v>
      </c>
      <c r="G53" s="238">
        <v>578</v>
      </c>
      <c r="H53" s="240">
        <v>3.3610331175056585</v>
      </c>
      <c r="I53" s="239">
        <v>4.7139314411019052E-3</v>
      </c>
      <c r="J53" s="238">
        <v>246</v>
      </c>
      <c r="K53" s="238">
        <v>25</v>
      </c>
      <c r="L53" s="238">
        <v>0</v>
      </c>
      <c r="M53" s="241">
        <v>0</v>
      </c>
      <c r="N53" s="238">
        <v>0</v>
      </c>
      <c r="O53" s="239">
        <v>0</v>
      </c>
      <c r="P53" s="237">
        <v>1</v>
      </c>
      <c r="Q53" s="237">
        <v>0</v>
      </c>
      <c r="R53" s="239">
        <v>0</v>
      </c>
      <c r="S53" s="238">
        <v>82</v>
      </c>
      <c r="T53" s="436">
        <v>0</v>
      </c>
      <c r="U53" s="436">
        <v>8</v>
      </c>
      <c r="V53" s="436">
        <v>0</v>
      </c>
      <c r="W53" s="436">
        <v>8</v>
      </c>
      <c r="X53" s="238">
        <v>791</v>
      </c>
      <c r="Y53" s="237">
        <v>0.20810000000000001</v>
      </c>
      <c r="Z53" s="238">
        <v>9818</v>
      </c>
      <c r="AA53" s="238">
        <v>12396</v>
      </c>
      <c r="AB53" s="238">
        <v>75.739999999999995</v>
      </c>
      <c r="AC53" s="238">
        <v>365</v>
      </c>
      <c r="AD53" s="238">
        <v>1086352.96</v>
      </c>
      <c r="AE53" s="238">
        <v>162908.79999999981</v>
      </c>
      <c r="AF53" s="238">
        <v>1006998.73</v>
      </c>
      <c r="AG53" s="238">
        <v>248576.46</v>
      </c>
      <c r="AH53" s="239">
        <v>0.24684883167628224</v>
      </c>
      <c r="AI53" s="242">
        <v>29.081320000000002</v>
      </c>
      <c r="AJ53" s="242">
        <v>5.2074280000000002</v>
      </c>
      <c r="AK53" s="242">
        <v>0.46412014260249551</v>
      </c>
      <c r="AL53" s="242">
        <v>4.3895010000000001</v>
      </c>
      <c r="AM53" s="242">
        <v>0.39122112299465245</v>
      </c>
      <c r="AN53" s="242">
        <v>5753.41</v>
      </c>
      <c r="AO53" s="238">
        <v>3206.17</v>
      </c>
      <c r="AP53" s="243">
        <v>13</v>
      </c>
      <c r="AQ53" s="238">
        <v>1</v>
      </c>
      <c r="AR53" s="238">
        <v>1224.5542445751228</v>
      </c>
      <c r="AS53" s="238">
        <v>1521.053211370044</v>
      </c>
      <c r="AT53" s="238">
        <v>32915</v>
      </c>
      <c r="AU53" s="238">
        <v>247.28532699867915</v>
      </c>
      <c r="AV53" s="237">
        <v>1</v>
      </c>
      <c r="AW53" s="237">
        <v>1</v>
      </c>
      <c r="AX53" s="237">
        <v>1</v>
      </c>
      <c r="AY53" s="244" t="s">
        <v>682</v>
      </c>
      <c r="AZ53" s="244" t="s">
        <v>726</v>
      </c>
      <c r="BA53" s="237">
        <v>2010</v>
      </c>
      <c r="BB53" s="245" t="s">
        <v>930</v>
      </c>
      <c r="BC53" s="215" t="s">
        <v>931</v>
      </c>
      <c r="BE53" s="237">
        <v>8</v>
      </c>
      <c r="BF53" s="237">
        <v>20</v>
      </c>
      <c r="BG53" s="246" t="s">
        <v>698</v>
      </c>
      <c r="BI53" s="239">
        <v>0.68085106382978722</v>
      </c>
      <c r="BJ53" s="239">
        <v>7.5435203094777567E-2</v>
      </c>
      <c r="BK53" s="239">
        <v>0.23210831721470018</v>
      </c>
      <c r="BL53" s="239">
        <v>1.160541586073501E-2</v>
      </c>
      <c r="BM53" s="247">
        <v>2.4255319148936167</v>
      </c>
      <c r="BN53" s="248">
        <v>0</v>
      </c>
      <c r="BO53" s="248">
        <v>0</v>
      </c>
      <c r="BP53" s="237">
        <v>0</v>
      </c>
      <c r="BQ53" s="237">
        <v>0</v>
      </c>
      <c r="BR53" s="248">
        <v>0</v>
      </c>
      <c r="BS53" s="237">
        <v>13</v>
      </c>
      <c r="BT53" s="237" t="s">
        <v>755</v>
      </c>
      <c r="BU53" s="249" t="s">
        <v>678</v>
      </c>
      <c r="BV53" s="249" t="s">
        <v>678</v>
      </c>
      <c r="BW53" s="249" t="s">
        <v>678</v>
      </c>
      <c r="BX53" s="249" t="s">
        <v>678</v>
      </c>
      <c r="BY53" s="249" t="s">
        <v>678</v>
      </c>
      <c r="BZ53" s="249" t="s">
        <v>678</v>
      </c>
      <c r="CA53" s="249" t="s">
        <v>678</v>
      </c>
      <c r="CB53" s="249" t="s">
        <v>678</v>
      </c>
      <c r="CC53" s="250" t="s">
        <v>678</v>
      </c>
      <c r="CD53" s="242" t="s">
        <v>678</v>
      </c>
      <c r="CE53" s="252" t="s">
        <v>678</v>
      </c>
      <c r="CF53" s="238">
        <v>486</v>
      </c>
      <c r="CG53" s="238">
        <v>58.6</v>
      </c>
      <c r="CH53" s="238">
        <v>7.0517448856799039</v>
      </c>
      <c r="CI53" s="216" t="s">
        <v>722</v>
      </c>
      <c r="CJ53" s="237">
        <v>1</v>
      </c>
      <c r="CK53" s="253">
        <v>24.9</v>
      </c>
      <c r="CL53" s="253">
        <v>12.3538</v>
      </c>
      <c r="CM53" s="254">
        <v>1.1010516934046345E-2</v>
      </c>
      <c r="CN53" s="237" t="s">
        <v>81</v>
      </c>
      <c r="CO53" s="242">
        <v>12.49</v>
      </c>
      <c r="CP53" s="255">
        <v>1.1131907308377896E-2</v>
      </c>
      <c r="CW53" s="261" t="s">
        <v>678</v>
      </c>
      <c r="CX53" s="261" t="s">
        <v>678</v>
      </c>
      <c r="CY53" s="261" t="s">
        <v>678</v>
      </c>
      <c r="DB53" s="216" t="s">
        <v>681</v>
      </c>
      <c r="DC53" s="256"/>
      <c r="DD53" s="256">
        <v>0.8</v>
      </c>
      <c r="DE53" s="256">
        <v>-10</v>
      </c>
      <c r="DF53" s="256">
        <v>0.5</v>
      </c>
      <c r="DG53" s="256">
        <v>-2.2999999999999998</v>
      </c>
      <c r="DL53" s="237" t="s">
        <v>682</v>
      </c>
      <c r="DP53" s="258" t="s">
        <v>682</v>
      </c>
      <c r="DQ53" s="258"/>
      <c r="DR53" s="258"/>
      <c r="DS53" s="258"/>
      <c r="DT53" s="258"/>
      <c r="DU53" s="237">
        <v>0</v>
      </c>
      <c r="DX53" s="247"/>
      <c r="DY53" s="247">
        <v>0</v>
      </c>
      <c r="EA53" s="237">
        <v>1</v>
      </c>
      <c r="EB53" s="237" t="s">
        <v>859</v>
      </c>
      <c r="ED53" s="237" t="s">
        <v>932</v>
      </c>
      <c r="EE53" s="208">
        <v>3</v>
      </c>
      <c r="EF53" s="237" t="s">
        <v>702</v>
      </c>
      <c r="EG53" s="216" t="s">
        <v>733</v>
      </c>
      <c r="EH53" s="246" t="s">
        <v>734</v>
      </c>
      <c r="EI53" s="216"/>
      <c r="EJ53" s="216" t="s">
        <v>529</v>
      </c>
      <c r="EK53" s="222" t="s">
        <v>682</v>
      </c>
      <c r="EL53" s="259">
        <v>2000</v>
      </c>
      <c r="EM53" s="260">
        <v>25920</v>
      </c>
      <c r="EN53" s="260">
        <v>28117</v>
      </c>
      <c r="EO53" s="260">
        <v>5542</v>
      </c>
      <c r="ER53" s="237" t="s">
        <v>705</v>
      </c>
      <c r="ES53" s="237" t="e">
        <v>#DIV/0!</v>
      </c>
      <c r="ET53" s="237">
        <v>0.21381172839506174</v>
      </c>
      <c r="EU53" s="661">
        <v>3</v>
      </c>
      <c r="EV53" s="661" t="s">
        <v>678</v>
      </c>
      <c r="EW53" s="661">
        <v>1</v>
      </c>
      <c r="EX53" s="661">
        <v>6</v>
      </c>
      <c r="EY53" s="660">
        <v>2.2192513368983955E-2</v>
      </c>
      <c r="EZ53" s="256">
        <v>33.373493975903614</v>
      </c>
      <c r="FA53" s="247">
        <v>0</v>
      </c>
      <c r="FB53" s="208">
        <v>4</v>
      </c>
      <c r="FC53" s="208">
        <v>6</v>
      </c>
      <c r="FD53" s="208">
        <v>4</v>
      </c>
      <c r="FE53" s="239">
        <v>0.81065918653576441</v>
      </c>
      <c r="FF53" s="208"/>
      <c r="FG53" s="241">
        <v>0</v>
      </c>
      <c r="FH53" s="209">
        <v>0</v>
      </c>
      <c r="FI53" s="237" t="s">
        <v>678</v>
      </c>
      <c r="FJ53" s="208">
        <v>39.1</v>
      </c>
      <c r="FK53" s="208">
        <v>0.45</v>
      </c>
      <c r="FL53" s="217">
        <v>24.7</v>
      </c>
      <c r="FM53" s="208">
        <v>8.33</v>
      </c>
      <c r="FN53" s="208" t="s">
        <v>933</v>
      </c>
      <c r="FP53" s="247" t="s">
        <v>693</v>
      </c>
      <c r="FU53" s="208">
        <v>28</v>
      </c>
      <c r="FV53" s="208">
        <v>22.2</v>
      </c>
      <c r="FW53" s="237">
        <v>86.92</v>
      </c>
      <c r="FX53" s="237">
        <v>77.400000000000006</v>
      </c>
      <c r="FY53" s="208">
        <v>24.87</v>
      </c>
      <c r="FZ53" s="208">
        <v>39.4</v>
      </c>
      <c r="GA53" s="208">
        <v>54.5</v>
      </c>
      <c r="GB53" s="208">
        <v>58</v>
      </c>
      <c r="GC53" s="208">
        <v>0.3</v>
      </c>
      <c r="GD53" s="208">
        <v>47.4</v>
      </c>
      <c r="GE53" s="237">
        <v>43.13</v>
      </c>
      <c r="GF53" s="237">
        <v>55.5</v>
      </c>
      <c r="GG53" s="237">
        <v>28.22</v>
      </c>
      <c r="GH53" s="237">
        <v>98.4</v>
      </c>
      <c r="GJ53" s="947"/>
      <c r="GK53" s="320"/>
      <c r="GL53" s="320"/>
      <c r="GM53" s="320"/>
      <c r="GN53" s="320"/>
      <c r="GO53" s="662">
        <v>8048</v>
      </c>
      <c r="GP53" s="663" t="str">
        <f>VLOOKUP(GS53,'BD Comarcal'!$A$6:$AV$17,48,FALSE)</f>
        <v>06</v>
      </c>
      <c r="GQ53" s="564">
        <v>6</v>
      </c>
      <c r="GR53" s="256">
        <f t="shared" si="0"/>
        <v>0</v>
      </c>
      <c r="GS53" s="237" t="s">
        <v>81</v>
      </c>
    </row>
    <row r="54" spans="1:201" s="237" customFormat="1" ht="17.25" customHeight="1">
      <c r="A54" s="236" t="s">
        <v>934</v>
      </c>
      <c r="C54" s="238"/>
      <c r="D54" s="238">
        <v>2891</v>
      </c>
      <c r="E54" s="238">
        <v>1739</v>
      </c>
      <c r="F54" s="239">
        <v>0.60152196471809061</v>
      </c>
      <c r="G54" s="238">
        <v>1522</v>
      </c>
      <c r="H54" s="240">
        <v>1842.4643773190319</v>
      </c>
      <c r="I54" s="239">
        <v>1</v>
      </c>
      <c r="J54" s="238">
        <v>918</v>
      </c>
      <c r="K54" s="238">
        <v>220</v>
      </c>
      <c r="L54" s="238">
        <v>1</v>
      </c>
      <c r="M54" s="241">
        <v>3.4590107229332413E-4</v>
      </c>
      <c r="N54" s="238">
        <v>0</v>
      </c>
      <c r="O54" s="239">
        <v>0</v>
      </c>
      <c r="P54" s="237">
        <v>7</v>
      </c>
      <c r="Q54" s="237">
        <v>0</v>
      </c>
      <c r="R54" s="239">
        <v>0</v>
      </c>
      <c r="S54" s="238">
        <v>1102</v>
      </c>
      <c r="T54" s="436">
        <v>0</v>
      </c>
      <c r="U54" s="436">
        <v>194</v>
      </c>
      <c r="V54" s="436">
        <v>0</v>
      </c>
      <c r="W54" s="436">
        <v>194</v>
      </c>
      <c r="X54" s="238">
        <v>1528</v>
      </c>
      <c r="Y54" s="237">
        <v>0.25879999999999997</v>
      </c>
      <c r="Z54" s="238">
        <v>27627</v>
      </c>
      <c r="AA54" s="238">
        <v>17928</v>
      </c>
      <c r="AB54" s="238">
        <v>109.54</v>
      </c>
      <c r="AC54" s="238">
        <v>452</v>
      </c>
      <c r="AD54" s="238">
        <v>1667781.95</v>
      </c>
      <c r="AE54" s="238">
        <v>354999.14000000013</v>
      </c>
      <c r="AF54" s="238">
        <v>1284984.52</v>
      </c>
      <c r="AG54" s="238">
        <v>185794.22</v>
      </c>
      <c r="AH54" s="239">
        <v>0.14458868344966522</v>
      </c>
      <c r="AI54" s="242">
        <v>44.363418000000003</v>
      </c>
      <c r="AJ54" s="242">
        <v>5.6600299999999999</v>
      </c>
      <c r="AK54" s="242">
        <v>0.19578104462123835</v>
      </c>
      <c r="AL54" s="242" t="s">
        <v>678</v>
      </c>
      <c r="AM54" s="242" t="s">
        <v>678</v>
      </c>
      <c r="AN54" s="242">
        <v>22322.31</v>
      </c>
      <c r="AO54" s="238">
        <v>0</v>
      </c>
      <c r="AP54" s="243">
        <v>0</v>
      </c>
      <c r="AQ54" s="238">
        <v>2</v>
      </c>
      <c r="AR54" s="238">
        <v>1753.7372426324237</v>
      </c>
      <c r="AS54" s="238">
        <v>1730.7968065559623</v>
      </c>
      <c r="AT54" s="238">
        <v>97682</v>
      </c>
      <c r="AU54" s="238">
        <v>212.65195140374243</v>
      </c>
      <c r="AV54" s="237">
        <v>1</v>
      </c>
      <c r="AW54" s="237">
        <v>1</v>
      </c>
      <c r="AX54" s="237">
        <v>1</v>
      </c>
      <c r="AY54" s="244" t="s">
        <v>673</v>
      </c>
      <c r="AZ54" s="244" t="s">
        <v>695</v>
      </c>
      <c r="BA54" s="237">
        <v>2014</v>
      </c>
      <c r="BB54" s="245" t="s">
        <v>935</v>
      </c>
      <c r="BC54" s="215" t="s">
        <v>936</v>
      </c>
      <c r="BE54" s="237">
        <v>0</v>
      </c>
      <c r="BF54" s="237">
        <v>11</v>
      </c>
      <c r="BG54" s="246" t="s">
        <v>720</v>
      </c>
      <c r="BI54" s="239">
        <v>0.75137111517367461</v>
      </c>
      <c r="BJ54" s="239">
        <v>6.1243144424131625E-2</v>
      </c>
      <c r="BK54" s="239">
        <v>0.16819012797074953</v>
      </c>
      <c r="BL54" s="239">
        <v>1.9195612431444242E-2</v>
      </c>
      <c r="BM54" s="247">
        <v>2.5447897623400366</v>
      </c>
      <c r="BN54" s="248">
        <v>0</v>
      </c>
      <c r="BO54" s="248">
        <v>0</v>
      </c>
      <c r="BP54" s="237">
        <v>0</v>
      </c>
      <c r="BQ54" s="237">
        <v>0</v>
      </c>
      <c r="BR54" s="248">
        <v>0</v>
      </c>
      <c r="BS54" s="237">
        <v>13.7</v>
      </c>
      <c r="BT54" s="237" t="s">
        <v>777</v>
      </c>
      <c r="BU54" s="249" t="s">
        <v>678</v>
      </c>
      <c r="BV54" s="249">
        <v>144</v>
      </c>
      <c r="BW54" s="249">
        <v>919</v>
      </c>
      <c r="BX54" s="249" t="s">
        <v>678</v>
      </c>
      <c r="BY54" s="249" t="s">
        <v>678</v>
      </c>
      <c r="BZ54" s="249">
        <v>9.0338770388958594</v>
      </c>
      <c r="CA54" s="249">
        <v>57.653701380175661</v>
      </c>
      <c r="CB54" s="249" t="s">
        <v>678</v>
      </c>
      <c r="CC54" s="250" t="s">
        <v>678</v>
      </c>
      <c r="CD54" s="242" t="s">
        <v>678</v>
      </c>
      <c r="CE54" s="252" t="s">
        <v>678</v>
      </c>
      <c r="CF54" s="238">
        <v>1044</v>
      </c>
      <c r="CG54" s="238">
        <v>98.3</v>
      </c>
      <c r="CH54" s="238">
        <v>6.1668757841907151</v>
      </c>
      <c r="CI54" s="216" t="s">
        <v>722</v>
      </c>
      <c r="CJ54" s="237">
        <v>1</v>
      </c>
      <c r="CK54" s="253">
        <v>44.38</v>
      </c>
      <c r="CL54" s="253">
        <v>38.396700000000003</v>
      </c>
      <c r="CM54" s="254">
        <v>1.3281459702525079E-2</v>
      </c>
      <c r="CN54" s="237" t="s">
        <v>84</v>
      </c>
      <c r="CO54" s="242">
        <v>209.23</v>
      </c>
      <c r="CP54" s="255">
        <v>7.23728813559322E-2</v>
      </c>
      <c r="CV54" s="237">
        <v>3</v>
      </c>
      <c r="CW54" s="261" t="s">
        <v>678</v>
      </c>
      <c r="CX54" s="261" t="s">
        <v>678</v>
      </c>
      <c r="CY54" s="261" t="s">
        <v>678</v>
      </c>
      <c r="DB54" s="216" t="s">
        <v>710</v>
      </c>
      <c r="DC54" s="195" t="s">
        <v>937</v>
      </c>
      <c r="DD54" s="256">
        <v>0.8</v>
      </c>
      <c r="DE54" s="256">
        <v>-9</v>
      </c>
      <c r="DF54" s="256">
        <v>-0.3</v>
      </c>
      <c r="DG54" s="256">
        <v>-2.6</v>
      </c>
      <c r="DH54" s="257">
        <v>1</v>
      </c>
      <c r="DI54" s="257">
        <v>2</v>
      </c>
      <c r="DJ54" s="257">
        <v>0</v>
      </c>
      <c r="DK54" s="257">
        <v>2</v>
      </c>
      <c r="DL54" s="237" t="s">
        <v>529</v>
      </c>
      <c r="DN54" s="237" t="s">
        <v>770</v>
      </c>
      <c r="DO54" s="237">
        <v>1</v>
      </c>
      <c r="DP54" s="258" t="s">
        <v>682</v>
      </c>
      <c r="DQ54" s="258"/>
      <c r="DR54" s="258"/>
      <c r="DS54" s="258"/>
      <c r="DT54" s="258"/>
      <c r="DU54" s="237">
        <v>1</v>
      </c>
      <c r="DV54" s="237" t="s">
        <v>938</v>
      </c>
      <c r="DW54" s="237" t="s">
        <v>918</v>
      </c>
      <c r="DX54" s="247">
        <v>7.11</v>
      </c>
      <c r="DY54" s="247">
        <v>0.24593566240055345</v>
      </c>
      <c r="DZ54" s="237" t="s">
        <v>939</v>
      </c>
      <c r="EA54" s="237">
        <v>0</v>
      </c>
      <c r="ED54" s="237" t="s">
        <v>940</v>
      </c>
      <c r="EE54" s="208">
        <v>3</v>
      </c>
      <c r="EF54" s="237" t="s">
        <v>702</v>
      </c>
      <c r="EG54" s="216" t="s">
        <v>703</v>
      </c>
      <c r="EH54" s="246" t="s">
        <v>704</v>
      </c>
      <c r="EI54" s="216"/>
      <c r="EJ54" s="216" t="s">
        <v>529</v>
      </c>
      <c r="EK54" s="222" t="s">
        <v>682</v>
      </c>
      <c r="EL54" s="259">
        <v>1991</v>
      </c>
      <c r="EM54" s="260">
        <v>2990</v>
      </c>
      <c r="EN54" s="260">
        <v>51257</v>
      </c>
      <c r="EO54" s="260">
        <v>47688</v>
      </c>
      <c r="ER54" s="237" t="s">
        <v>692</v>
      </c>
      <c r="ES54" s="237" t="e">
        <v>#DIV/0!</v>
      </c>
      <c r="ET54" s="237">
        <v>15.949163879598663</v>
      </c>
      <c r="EU54" s="661">
        <v>5</v>
      </c>
      <c r="EV54" s="661" t="s">
        <v>678</v>
      </c>
      <c r="EW54" s="661">
        <v>1</v>
      </c>
      <c r="EX54" s="661" t="s">
        <v>678</v>
      </c>
      <c r="EY54" s="660">
        <v>1.5351089588377725E-2</v>
      </c>
      <c r="EZ54" s="256">
        <v>35.917079765660205</v>
      </c>
      <c r="FA54" s="247">
        <v>0.17251293847038529</v>
      </c>
      <c r="FB54" s="208">
        <v>3</v>
      </c>
      <c r="FC54" s="208">
        <v>3</v>
      </c>
      <c r="FD54" s="208">
        <v>4</v>
      </c>
      <c r="FE54" s="239">
        <v>0.87521564117308803</v>
      </c>
      <c r="FF54" s="208">
        <v>1</v>
      </c>
      <c r="FG54" s="241">
        <v>1.1500862564692352E-3</v>
      </c>
      <c r="FH54" s="209">
        <v>0</v>
      </c>
      <c r="FI54" s="237" t="s">
        <v>678</v>
      </c>
      <c r="FJ54" s="208">
        <v>55.9</v>
      </c>
      <c r="FK54" s="208">
        <v>0</v>
      </c>
      <c r="FL54" s="217">
        <v>2.2999999999999998</v>
      </c>
      <c r="FM54" s="208">
        <v>1.81</v>
      </c>
      <c r="FN54" s="208" t="s">
        <v>941</v>
      </c>
      <c r="FP54" s="247" t="s">
        <v>693</v>
      </c>
      <c r="FU54" s="208">
        <v>31</v>
      </c>
      <c r="FV54" s="208">
        <v>28.8</v>
      </c>
      <c r="FW54" s="237">
        <v>34.25</v>
      </c>
      <c r="FX54" s="237">
        <v>14.6</v>
      </c>
      <c r="FY54" s="208">
        <v>5.0199999999999996</v>
      </c>
      <c r="FZ54" s="208">
        <v>8.9</v>
      </c>
      <c r="GA54" s="208">
        <v>20.12</v>
      </c>
      <c r="GB54" s="208">
        <v>8.1999999999999993</v>
      </c>
      <c r="GC54" s="208">
        <v>-0.5</v>
      </c>
      <c r="GD54" s="208">
        <v>1.3</v>
      </c>
      <c r="GE54" s="237">
        <v>13.85</v>
      </c>
      <c r="GF54" s="237">
        <v>7.7</v>
      </c>
      <c r="GG54" s="237">
        <v>14</v>
      </c>
      <c r="GH54" s="237">
        <v>83.2</v>
      </c>
      <c r="GJ54" s="947"/>
      <c r="GK54" s="320"/>
      <c r="GL54" s="320"/>
      <c r="GM54" s="320"/>
      <c r="GN54" s="320"/>
      <c r="GO54" s="662">
        <v>8049</v>
      </c>
      <c r="GP54" s="663" t="str">
        <f>VLOOKUP(GS54,'BD Comarcal'!$A$6:$AV$17,48,FALSE)</f>
        <v>14</v>
      </c>
      <c r="GQ54" s="564">
        <v>22</v>
      </c>
      <c r="GR54" s="256">
        <f t="shared" si="0"/>
        <v>1</v>
      </c>
      <c r="GS54" s="237" t="s">
        <v>84</v>
      </c>
    </row>
    <row r="55" spans="1:201" s="237" customFormat="1" ht="17.25" customHeight="1">
      <c r="A55" s="236" t="s">
        <v>942</v>
      </c>
      <c r="C55" s="238"/>
      <c r="D55" s="238">
        <v>3262</v>
      </c>
      <c r="E55" s="238">
        <v>2914</v>
      </c>
      <c r="F55" s="239">
        <v>0.89331698344573884</v>
      </c>
      <c r="G55" s="238">
        <v>2490</v>
      </c>
      <c r="H55" s="240">
        <v>2657.6736625567441</v>
      </c>
      <c r="I55" s="239">
        <v>0.91203626031459994</v>
      </c>
      <c r="J55" s="238">
        <v>72</v>
      </c>
      <c r="K55" s="238">
        <v>225</v>
      </c>
      <c r="L55" s="238">
        <v>0</v>
      </c>
      <c r="M55" s="241">
        <v>0</v>
      </c>
      <c r="N55" s="238">
        <v>0</v>
      </c>
      <c r="O55" s="239">
        <v>0</v>
      </c>
      <c r="P55" s="237">
        <v>4</v>
      </c>
      <c r="Q55" s="237">
        <v>0</v>
      </c>
      <c r="R55" s="239">
        <v>0</v>
      </c>
      <c r="S55" s="238">
        <v>179</v>
      </c>
      <c r="T55" s="436">
        <v>1044</v>
      </c>
      <c r="U55" s="436">
        <v>0</v>
      </c>
      <c r="V55" s="436">
        <v>0</v>
      </c>
      <c r="W55" s="436">
        <v>1044</v>
      </c>
      <c r="X55" s="238">
        <v>176</v>
      </c>
      <c r="Y55" s="237">
        <v>0.2281</v>
      </c>
      <c r="Z55" s="238">
        <v>3137</v>
      </c>
      <c r="AA55" s="238">
        <v>17928</v>
      </c>
      <c r="AB55" s="238">
        <v>109.54</v>
      </c>
      <c r="AC55" s="238">
        <v>86</v>
      </c>
      <c r="AD55" s="238">
        <v>240000</v>
      </c>
      <c r="AE55" s="238">
        <v>45061.600000000006</v>
      </c>
      <c r="AF55" s="238">
        <v>149752.24</v>
      </c>
      <c r="AG55" s="238">
        <v>0</v>
      </c>
      <c r="AH55" s="239">
        <v>0</v>
      </c>
      <c r="AI55" s="269" t="s">
        <v>678</v>
      </c>
      <c r="AJ55" s="242" t="s">
        <v>678</v>
      </c>
      <c r="AK55" s="242" t="s">
        <v>678</v>
      </c>
      <c r="AL55" s="242">
        <v>5.5297210000000003</v>
      </c>
      <c r="AM55" s="242">
        <v>0.16951934396076029</v>
      </c>
      <c r="AN55" s="242">
        <v>14895.49</v>
      </c>
      <c r="AO55" s="238">
        <v>0</v>
      </c>
      <c r="AP55" s="243">
        <v>0</v>
      </c>
      <c r="AQ55" s="238"/>
      <c r="AR55" s="238">
        <v>1315.7944369129898</v>
      </c>
      <c r="AS55" s="238">
        <v>1623.3426134879367</v>
      </c>
      <c r="AT55" s="238">
        <v>10011.666666666666</v>
      </c>
      <c r="AU55" s="238">
        <v>144.44179218077656</v>
      </c>
      <c r="AV55" s="237">
        <v>1</v>
      </c>
      <c r="AW55" s="237">
        <v>0</v>
      </c>
      <c r="AX55" s="237">
        <v>1</v>
      </c>
      <c r="AY55" s="244" t="s">
        <v>673</v>
      </c>
      <c r="AZ55" s="244" t="s">
        <v>695</v>
      </c>
      <c r="BA55" s="237">
        <v>2010</v>
      </c>
      <c r="BB55" s="245" t="s">
        <v>775</v>
      </c>
      <c r="BC55" s="215" t="s">
        <v>776</v>
      </c>
      <c r="BE55" s="237">
        <v>3</v>
      </c>
      <c r="BF55" s="237">
        <v>17</v>
      </c>
      <c r="BG55" s="246" t="s">
        <v>720</v>
      </c>
      <c r="BI55" s="239">
        <v>0.6328125</v>
      </c>
      <c r="BJ55" s="239">
        <v>0.2421875</v>
      </c>
      <c r="BK55" s="239">
        <v>8.59375E-2</v>
      </c>
      <c r="BL55" s="239">
        <v>3.90625E-2</v>
      </c>
      <c r="BM55" s="247">
        <v>2.46875</v>
      </c>
      <c r="BN55" s="248">
        <v>0</v>
      </c>
      <c r="BO55" s="248">
        <v>0</v>
      </c>
      <c r="BP55" s="237">
        <v>0</v>
      </c>
      <c r="BQ55" s="237">
        <v>0</v>
      </c>
      <c r="BR55" s="248">
        <v>0</v>
      </c>
      <c r="BS55" s="237">
        <v>14.1</v>
      </c>
      <c r="BT55" s="237" t="s">
        <v>777</v>
      </c>
      <c r="BU55" s="249" t="s">
        <v>678</v>
      </c>
      <c r="BV55" s="249" t="s">
        <v>678</v>
      </c>
      <c r="BW55" s="249" t="s">
        <v>678</v>
      </c>
      <c r="BX55" s="249" t="s">
        <v>678</v>
      </c>
      <c r="BY55" s="249" t="s">
        <v>678</v>
      </c>
      <c r="BZ55" s="249" t="s">
        <v>678</v>
      </c>
      <c r="CA55" s="249" t="s">
        <v>678</v>
      </c>
      <c r="CB55" s="249" t="s">
        <v>678</v>
      </c>
      <c r="CC55" s="250" t="s">
        <v>678</v>
      </c>
      <c r="CD55" s="242" t="s">
        <v>678</v>
      </c>
      <c r="CE55" s="252" t="s">
        <v>678</v>
      </c>
      <c r="CF55" s="238">
        <v>86</v>
      </c>
      <c r="CG55" s="238">
        <v>4.5999999999999996</v>
      </c>
      <c r="CH55" s="238">
        <v>2.7058823529411762</v>
      </c>
      <c r="CI55" s="216" t="s">
        <v>722</v>
      </c>
      <c r="CJ55" s="237">
        <v>1</v>
      </c>
      <c r="CK55" s="253">
        <v>0</v>
      </c>
      <c r="CL55" s="253">
        <v>5.4492000000000003</v>
      </c>
      <c r="CM55" s="254">
        <v>1.6705088902513796E-3</v>
      </c>
      <c r="CN55" s="237" t="s">
        <v>84</v>
      </c>
      <c r="CO55" s="242">
        <v>625.15</v>
      </c>
      <c r="CP55" s="255">
        <v>0.19164622930717351</v>
      </c>
      <c r="CW55" s="261" t="s">
        <v>678</v>
      </c>
      <c r="CX55" s="261" t="s">
        <v>678</v>
      </c>
      <c r="CY55" s="261" t="s">
        <v>678</v>
      </c>
      <c r="DB55" s="216" t="s">
        <v>681</v>
      </c>
      <c r="DC55" s="256"/>
      <c r="DD55" s="256">
        <v>0.8</v>
      </c>
      <c r="DE55" s="256">
        <v>-9</v>
      </c>
      <c r="DF55" s="256">
        <v>-0.3</v>
      </c>
      <c r="DG55" s="256">
        <v>-2.6</v>
      </c>
      <c r="DL55" s="237" t="s">
        <v>682</v>
      </c>
      <c r="DP55" s="258" t="s">
        <v>682</v>
      </c>
      <c r="DQ55" s="258"/>
      <c r="DR55" s="258"/>
      <c r="DS55" s="258"/>
      <c r="DT55" s="258"/>
      <c r="DU55" s="237">
        <v>0</v>
      </c>
      <c r="DX55" s="247"/>
      <c r="DY55" s="247">
        <v>0</v>
      </c>
      <c r="EA55" s="237">
        <v>0</v>
      </c>
      <c r="ED55" s="237" t="s">
        <v>943</v>
      </c>
      <c r="EE55" s="208">
        <v>2</v>
      </c>
      <c r="EF55" s="237" t="s">
        <v>702</v>
      </c>
      <c r="EG55" s="216" t="s">
        <v>703</v>
      </c>
      <c r="EH55" s="246" t="s">
        <v>704</v>
      </c>
      <c r="EI55" s="216"/>
      <c r="EJ55" s="216" t="s">
        <v>529</v>
      </c>
      <c r="EK55" s="222" t="s">
        <v>682</v>
      </c>
      <c r="EL55" s="259">
        <v>2002</v>
      </c>
      <c r="EM55" s="260">
        <v>600</v>
      </c>
      <c r="EN55" s="260">
        <v>4371</v>
      </c>
      <c r="EO55" s="260">
        <v>4466</v>
      </c>
      <c r="ER55" s="237" t="s">
        <v>705</v>
      </c>
      <c r="ES55" s="237" t="e">
        <v>#DIV/0!</v>
      </c>
      <c r="ET55" s="237">
        <v>7.4433333333333334</v>
      </c>
      <c r="EU55" s="661">
        <v>8</v>
      </c>
      <c r="EV55" s="661" t="s">
        <v>678</v>
      </c>
      <c r="EW55" s="661">
        <v>0</v>
      </c>
      <c r="EX55" s="661" t="s">
        <v>678</v>
      </c>
      <c r="EY55" s="660">
        <v>0</v>
      </c>
      <c r="EZ55" s="256">
        <v>10</v>
      </c>
      <c r="FA55" s="247">
        <v>0</v>
      </c>
      <c r="FB55" s="208">
        <v>0</v>
      </c>
      <c r="FC55" s="208">
        <v>2</v>
      </c>
      <c r="FD55" s="208">
        <v>2</v>
      </c>
      <c r="FE55" s="239">
        <v>0.85449553877831164</v>
      </c>
      <c r="FF55" s="208">
        <v>1</v>
      </c>
      <c r="FG55" s="241">
        <v>0</v>
      </c>
      <c r="FH55" s="209">
        <v>0</v>
      </c>
      <c r="FI55" s="237" t="s">
        <v>678</v>
      </c>
      <c r="FJ55" s="208">
        <v>62.6</v>
      </c>
      <c r="FK55" s="208">
        <v>18.78</v>
      </c>
      <c r="FL55" s="217">
        <v>59.9</v>
      </c>
      <c r="FM55" s="208">
        <v>26.82</v>
      </c>
      <c r="FN55" s="208">
        <v>100</v>
      </c>
      <c r="FP55" s="247" t="s">
        <v>693</v>
      </c>
      <c r="FU55" s="208">
        <v>44</v>
      </c>
      <c r="FV55" s="208">
        <v>62.7</v>
      </c>
      <c r="FW55" s="237">
        <v>88.58</v>
      </c>
      <c r="FX55" s="237">
        <v>80.7</v>
      </c>
      <c r="FY55" s="208">
        <v>95.47</v>
      </c>
      <c r="FZ55" s="208">
        <v>85.6</v>
      </c>
      <c r="GA55" s="208">
        <v>86.57</v>
      </c>
      <c r="GB55" s="208">
        <v>98.1</v>
      </c>
      <c r="GC55" s="208">
        <v>0.99</v>
      </c>
      <c r="GD55" s="208">
        <v>86.4</v>
      </c>
      <c r="GE55" s="237">
        <v>101.08</v>
      </c>
      <c r="GF55" s="237">
        <v>100</v>
      </c>
      <c r="GG55" s="237">
        <v>1.46</v>
      </c>
      <c r="GH55" s="237">
        <v>18.2</v>
      </c>
      <c r="GJ55" s="947"/>
      <c r="GK55" s="320"/>
      <c r="GL55" s="320"/>
      <c r="GM55" s="320"/>
      <c r="GN55" s="320"/>
      <c r="GO55" s="662">
        <v>8050</v>
      </c>
      <c r="GP55" s="663" t="str">
        <f>VLOOKUP(GS55,'BD Comarcal'!$A$6:$AV$17,48,FALSE)</f>
        <v>14</v>
      </c>
      <c r="GQ55" s="564">
        <v>1</v>
      </c>
      <c r="GR55" s="256">
        <f t="shared" si="0"/>
        <v>0</v>
      </c>
      <c r="GS55" s="237" t="s">
        <v>84</v>
      </c>
    </row>
    <row r="56" spans="1:201" s="237" customFormat="1" ht="17.25" customHeight="1">
      <c r="A56" s="236" t="s">
        <v>944</v>
      </c>
      <c r="C56" s="238"/>
      <c r="D56" s="238">
        <v>4470</v>
      </c>
      <c r="E56" s="238">
        <v>3399</v>
      </c>
      <c r="F56" s="239">
        <v>0.76040268456375837</v>
      </c>
      <c r="G56" s="238">
        <v>2972</v>
      </c>
      <c r="H56" s="240">
        <v>2136.875678151594</v>
      </c>
      <c r="I56" s="239">
        <v>0.6286777517362736</v>
      </c>
      <c r="J56" s="238">
        <v>240</v>
      </c>
      <c r="K56" s="238">
        <v>1</v>
      </c>
      <c r="L56" s="238">
        <v>7</v>
      </c>
      <c r="M56" s="241">
        <v>1.5659955257270694E-3</v>
      </c>
      <c r="N56" s="238">
        <v>0</v>
      </c>
      <c r="O56" s="239">
        <v>0</v>
      </c>
      <c r="P56" s="237">
        <v>7</v>
      </c>
      <c r="Q56" s="237">
        <v>0</v>
      </c>
      <c r="R56" s="239">
        <v>0</v>
      </c>
      <c r="S56" s="238">
        <v>743</v>
      </c>
      <c r="T56" s="436">
        <v>0</v>
      </c>
      <c r="U56" s="436">
        <v>32</v>
      </c>
      <c r="V56" s="436">
        <v>0</v>
      </c>
      <c r="W56" s="436">
        <v>32</v>
      </c>
      <c r="X56" s="238">
        <v>23633</v>
      </c>
      <c r="Y56" s="237">
        <v>0.14130000000000001</v>
      </c>
      <c r="Z56" s="238">
        <v>343864</v>
      </c>
      <c r="AA56" s="238">
        <v>14669</v>
      </c>
      <c r="AB56" s="238">
        <v>89.63</v>
      </c>
      <c r="AC56" s="238">
        <v>15078</v>
      </c>
      <c r="AD56" s="238">
        <v>26429079.550000001</v>
      </c>
      <c r="AE56" s="238">
        <v>7569073.6800000034</v>
      </c>
      <c r="AF56" s="238">
        <v>19556078.409999996</v>
      </c>
      <c r="AG56" s="238">
        <v>1538091.24</v>
      </c>
      <c r="AH56" s="239">
        <v>7.8650290091570582E-2</v>
      </c>
      <c r="AI56" s="242">
        <v>668.60621200000003</v>
      </c>
      <c r="AJ56" s="242">
        <v>163.87800200000001</v>
      </c>
      <c r="AK56" s="242">
        <v>3.6661745413870248</v>
      </c>
      <c r="AL56" s="242">
        <v>326.049958</v>
      </c>
      <c r="AM56" s="242">
        <v>7.2941825055928415</v>
      </c>
      <c r="AN56" s="242">
        <v>80303.09</v>
      </c>
      <c r="AO56" s="238">
        <v>8673.0499999999993</v>
      </c>
      <c r="AP56" s="243">
        <v>21</v>
      </c>
      <c r="AQ56" s="238">
        <v>1</v>
      </c>
      <c r="AR56" s="238">
        <v>1203.0354917453567</v>
      </c>
      <c r="AS56" s="238">
        <v>2503.0161516153785</v>
      </c>
      <c r="AT56" s="238">
        <v>1547322.6666666667</v>
      </c>
      <c r="AU56" s="238">
        <v>273.16529649945477</v>
      </c>
      <c r="AV56" s="237">
        <v>1</v>
      </c>
      <c r="AW56" s="237">
        <v>0</v>
      </c>
      <c r="AX56" s="237">
        <v>1</v>
      </c>
      <c r="AY56" s="244" t="s">
        <v>673</v>
      </c>
      <c r="AZ56" s="244" t="s">
        <v>717</v>
      </c>
      <c r="BA56" s="237">
        <v>2009</v>
      </c>
      <c r="BB56" s="245" t="s">
        <v>945</v>
      </c>
      <c r="BC56" s="215" t="s">
        <v>946</v>
      </c>
      <c r="BD56" s="237">
        <v>1</v>
      </c>
      <c r="BE56" s="237">
        <v>39</v>
      </c>
      <c r="BF56" s="237">
        <v>37</v>
      </c>
      <c r="BG56" s="246" t="s">
        <v>698</v>
      </c>
      <c r="BI56" s="239">
        <v>0.32448525719205107</v>
      </c>
      <c r="BJ56" s="239">
        <v>0.12820144917138962</v>
      </c>
      <c r="BK56" s="239">
        <v>0.53755649616184809</v>
      </c>
      <c r="BL56" s="239">
        <v>9.7567974747112419E-3</v>
      </c>
      <c r="BM56" s="247">
        <v>1.7674151660807804</v>
      </c>
      <c r="BN56" s="248">
        <v>0</v>
      </c>
      <c r="BO56" s="248">
        <v>1</v>
      </c>
      <c r="BP56" s="237">
        <v>0</v>
      </c>
      <c r="BQ56" s="237">
        <v>0</v>
      </c>
      <c r="BR56" s="248">
        <v>1</v>
      </c>
      <c r="BS56" s="237">
        <v>10</v>
      </c>
      <c r="BT56" s="237" t="s">
        <v>947</v>
      </c>
      <c r="BU56" s="249">
        <v>1390</v>
      </c>
      <c r="BV56" s="249">
        <v>2258</v>
      </c>
      <c r="BW56" s="249">
        <v>11279</v>
      </c>
      <c r="BX56" s="249">
        <v>3472</v>
      </c>
      <c r="BY56" s="249">
        <v>5.9262417395011724</v>
      </c>
      <c r="BZ56" s="249">
        <v>9.6269452142400347</v>
      </c>
      <c r="CA56" s="249">
        <v>48.087827755276059</v>
      </c>
      <c r="CB56" s="249">
        <v>14.802813898955447</v>
      </c>
      <c r="CC56" s="250">
        <v>85.120443402259639</v>
      </c>
      <c r="CD56" s="242">
        <v>-1600</v>
      </c>
      <c r="CE56" s="252">
        <v>93.178426774674904</v>
      </c>
      <c r="CF56" s="238">
        <v>9956</v>
      </c>
      <c r="CG56" s="238">
        <v>1831.9</v>
      </c>
      <c r="CH56" s="238">
        <v>7.810274994670646</v>
      </c>
      <c r="CI56" s="216" t="s">
        <v>679</v>
      </c>
      <c r="CJ56" s="237">
        <v>0</v>
      </c>
      <c r="CK56" s="253">
        <v>673.69</v>
      </c>
      <c r="CL56" s="253">
        <v>102.8098</v>
      </c>
      <c r="CM56" s="254">
        <v>2.2999955257270693E-2</v>
      </c>
      <c r="CN56" s="237" t="s">
        <v>89</v>
      </c>
      <c r="CO56" s="242">
        <v>1280.4100000000001</v>
      </c>
      <c r="CP56" s="255">
        <v>0.28644519015659958</v>
      </c>
      <c r="CQ56" s="247">
        <v>18.399999999999999</v>
      </c>
      <c r="CR56" s="248" t="s">
        <v>762</v>
      </c>
      <c r="CS56" s="247">
        <v>18.399999999999999</v>
      </c>
      <c r="CV56" s="237">
        <v>13</v>
      </c>
      <c r="CW56" s="194">
        <v>0.95599999999999996</v>
      </c>
      <c r="CX56" s="194">
        <v>0.63500000000000001</v>
      </c>
      <c r="CY56" s="194">
        <v>0.41</v>
      </c>
      <c r="DB56" s="216" t="s">
        <v>710</v>
      </c>
      <c r="DC56" s="195" t="s">
        <v>711</v>
      </c>
      <c r="DD56" s="256">
        <v>0.8</v>
      </c>
      <c r="DE56" s="256">
        <v>-10</v>
      </c>
      <c r="DF56" s="256">
        <v>0.5</v>
      </c>
      <c r="DG56" s="256">
        <v>-2.2999999999999998</v>
      </c>
      <c r="DH56" s="257">
        <v>3</v>
      </c>
      <c r="DI56" s="257">
        <v>3.75</v>
      </c>
      <c r="DJ56" s="257">
        <v>0.95</v>
      </c>
      <c r="DK56" s="257">
        <v>4.7</v>
      </c>
      <c r="DL56" s="237" t="s">
        <v>682</v>
      </c>
      <c r="DP56" s="258" t="s">
        <v>683</v>
      </c>
      <c r="DQ56" s="258" t="s">
        <v>948</v>
      </c>
      <c r="DR56" s="258" t="s">
        <v>949</v>
      </c>
      <c r="DS56" s="258"/>
      <c r="DT56" s="258"/>
      <c r="DU56" s="237">
        <v>0</v>
      </c>
      <c r="DX56" s="247"/>
      <c r="DY56" s="247">
        <v>0</v>
      </c>
      <c r="EA56" s="237">
        <v>0</v>
      </c>
      <c r="ED56" s="237" t="s">
        <v>687</v>
      </c>
      <c r="EE56" s="208">
        <v>1</v>
      </c>
      <c r="EF56" s="237" t="s">
        <v>688</v>
      </c>
      <c r="EG56" s="216" t="s">
        <v>691</v>
      </c>
      <c r="EH56" s="246" t="s">
        <v>690</v>
      </c>
      <c r="EI56" s="216" t="s">
        <v>689</v>
      </c>
      <c r="EJ56" s="216" t="s">
        <v>529</v>
      </c>
      <c r="EK56" s="222" t="s">
        <v>529</v>
      </c>
      <c r="EL56" s="259">
        <v>1999</v>
      </c>
      <c r="EM56" s="260">
        <v>15384</v>
      </c>
      <c r="EN56" s="260">
        <v>999671</v>
      </c>
      <c r="EO56" s="260">
        <v>578997</v>
      </c>
      <c r="ER56" s="237" t="s">
        <v>705</v>
      </c>
      <c r="ES56" s="237">
        <v>23455</v>
      </c>
      <c r="ET56" s="237">
        <v>37.636310452418094</v>
      </c>
      <c r="EU56" s="661">
        <v>1</v>
      </c>
      <c r="EV56" s="661">
        <v>3</v>
      </c>
      <c r="EW56" s="661">
        <v>2</v>
      </c>
      <c r="EX56" s="661">
        <v>2</v>
      </c>
      <c r="EY56" s="660">
        <v>0.15071364653243849</v>
      </c>
      <c r="EZ56" s="256">
        <v>34.815716427436946</v>
      </c>
      <c r="FA56" s="247">
        <v>0.38246543100912034</v>
      </c>
      <c r="FB56" s="208">
        <v>3</v>
      </c>
      <c r="FC56" s="208">
        <v>5</v>
      </c>
      <c r="FD56" s="208">
        <v>2</v>
      </c>
      <c r="FE56" s="239">
        <v>0.87437481612238899</v>
      </c>
      <c r="FF56" s="208"/>
      <c r="FG56" s="241">
        <v>1.3827596351868197E-3</v>
      </c>
      <c r="FH56" s="209">
        <v>5.4133568696675492E-3</v>
      </c>
      <c r="FI56" s="237" t="s">
        <v>678</v>
      </c>
      <c r="FJ56" s="208">
        <v>64.3</v>
      </c>
      <c r="FK56" s="208">
        <v>25</v>
      </c>
      <c r="FL56" s="217">
        <v>66.7</v>
      </c>
      <c r="FM56" s="208">
        <v>5.79</v>
      </c>
      <c r="FN56" s="208" t="s">
        <v>950</v>
      </c>
      <c r="FP56" s="247" t="s">
        <v>693</v>
      </c>
      <c r="FU56" s="208">
        <v>51</v>
      </c>
      <c r="FV56" s="208">
        <v>76.400000000000006</v>
      </c>
      <c r="FW56" s="237">
        <v>80.989999999999995</v>
      </c>
      <c r="FX56" s="237">
        <v>67.5</v>
      </c>
      <c r="FY56" s="208">
        <v>78.150000000000006</v>
      </c>
      <c r="FZ56" s="208">
        <v>78.8</v>
      </c>
      <c r="GA56" s="208">
        <v>65.709999999999994</v>
      </c>
      <c r="GB56" s="208">
        <v>74.8</v>
      </c>
      <c r="GC56" s="208">
        <v>1.0900000000000001</v>
      </c>
      <c r="GD56" s="208">
        <v>89.2</v>
      </c>
      <c r="GE56" s="237">
        <v>53.47</v>
      </c>
      <c r="GF56" s="237">
        <v>69.8</v>
      </c>
      <c r="GG56" s="237">
        <v>2.27</v>
      </c>
      <c r="GH56" s="237">
        <v>22.6</v>
      </c>
      <c r="GJ56" s="947">
        <v>545</v>
      </c>
      <c r="GK56" s="320">
        <v>1E-3</v>
      </c>
      <c r="GL56" s="320">
        <v>0.38500000000000001</v>
      </c>
      <c r="GM56" s="320">
        <v>6.4000000000000001E-2</v>
      </c>
      <c r="GN56" s="320">
        <v>0.55000000000000004</v>
      </c>
      <c r="GO56" s="662">
        <v>8051</v>
      </c>
      <c r="GP56" s="663" t="str">
        <f>VLOOKUP(GS56,'BD Comarcal'!$A$6:$AV$17,48,FALSE)</f>
        <v>40</v>
      </c>
      <c r="GQ56" s="564">
        <v>135</v>
      </c>
      <c r="GR56" s="256">
        <f t="shared" si="0"/>
        <v>1</v>
      </c>
      <c r="GS56" s="237" t="s">
        <v>89</v>
      </c>
    </row>
    <row r="57" spans="1:201" s="237" customFormat="1" ht="17.25" customHeight="1">
      <c r="A57" s="236" t="s">
        <v>951</v>
      </c>
      <c r="C57" s="238"/>
      <c r="D57" s="238">
        <v>4676</v>
      </c>
      <c r="E57" s="238">
        <v>4126</v>
      </c>
      <c r="F57" s="239">
        <v>0.88237810094097524</v>
      </c>
      <c r="G57" s="238">
        <v>2278</v>
      </c>
      <c r="H57" s="240">
        <v>1924.6257772352953</v>
      </c>
      <c r="I57" s="239">
        <v>0.46646286408998916</v>
      </c>
      <c r="J57" s="238">
        <v>51</v>
      </c>
      <c r="K57" s="238">
        <v>163</v>
      </c>
      <c r="L57" s="238">
        <v>0</v>
      </c>
      <c r="M57" s="241">
        <v>0</v>
      </c>
      <c r="N57" s="238">
        <v>0</v>
      </c>
      <c r="O57" s="239">
        <v>0</v>
      </c>
      <c r="P57" s="237">
        <v>5</v>
      </c>
      <c r="Q57" s="237">
        <v>0</v>
      </c>
      <c r="R57" s="239">
        <v>0</v>
      </c>
      <c r="S57" s="238">
        <v>323</v>
      </c>
      <c r="T57" s="436">
        <v>0</v>
      </c>
      <c r="U57" s="436">
        <v>17</v>
      </c>
      <c r="V57" s="436">
        <v>118</v>
      </c>
      <c r="W57" s="436">
        <v>135</v>
      </c>
      <c r="X57" s="238">
        <v>157</v>
      </c>
      <c r="Y57" s="237">
        <v>0.22639999999999999</v>
      </c>
      <c r="Z57" s="238">
        <v>2851</v>
      </c>
      <c r="AA57" s="238">
        <v>17928</v>
      </c>
      <c r="AB57" s="238">
        <v>109.54</v>
      </c>
      <c r="AC57" s="238">
        <v>0</v>
      </c>
      <c r="AD57" s="238">
        <v>421605.61</v>
      </c>
      <c r="AE57" s="238">
        <v>115400.99000000005</v>
      </c>
      <c r="AF57" s="238">
        <v>336388.07999999996</v>
      </c>
      <c r="AG57" s="238">
        <v>24122.81</v>
      </c>
      <c r="AH57" s="239">
        <v>7.1711250886178857E-2</v>
      </c>
      <c r="AI57" s="242">
        <v>18.747881</v>
      </c>
      <c r="AJ57" s="242">
        <v>1.0170809999999999</v>
      </c>
      <c r="AK57" s="242">
        <v>2.1751090675791271E-2</v>
      </c>
      <c r="AL57" s="242" t="s">
        <v>678</v>
      </c>
      <c r="AM57" s="242" t="s">
        <v>678</v>
      </c>
      <c r="AN57" s="242">
        <v>10315.67</v>
      </c>
      <c r="AO57" s="238">
        <v>0</v>
      </c>
      <c r="AP57" s="243">
        <v>0</v>
      </c>
      <c r="AQ57" s="238">
        <v>1</v>
      </c>
      <c r="AR57" s="238">
        <v>1602.4052130486452</v>
      </c>
      <c r="AS57" s="238">
        <v>1858.347659493782</v>
      </c>
      <c r="AT57" s="238">
        <v>20160</v>
      </c>
      <c r="AU57" s="238">
        <v>608.77501351899753</v>
      </c>
      <c r="AV57" s="237">
        <v>1</v>
      </c>
      <c r="AW57" s="237">
        <v>0</v>
      </c>
      <c r="AX57" s="237">
        <v>1</v>
      </c>
      <c r="AY57" s="244" t="s">
        <v>673</v>
      </c>
      <c r="AZ57" s="244" t="s">
        <v>726</v>
      </c>
      <c r="BA57" s="237">
        <v>0</v>
      </c>
      <c r="BB57" s="245" t="s">
        <v>952</v>
      </c>
      <c r="BC57" s="215" t="s">
        <v>953</v>
      </c>
      <c r="BE57" s="237">
        <v>0</v>
      </c>
      <c r="BF57" s="237">
        <v>11</v>
      </c>
      <c r="BG57" s="246" t="s">
        <v>720</v>
      </c>
      <c r="BI57" s="239">
        <v>0.44525547445255476</v>
      </c>
      <c r="BJ57" s="239">
        <v>0.18248175182481752</v>
      </c>
      <c r="BK57" s="239">
        <v>0.36861313868613138</v>
      </c>
      <c r="BL57" s="239">
        <v>3.6496350364963502E-3</v>
      </c>
      <c r="BM57" s="247">
        <v>2.0693430656934306</v>
      </c>
      <c r="BN57" s="248">
        <v>0</v>
      </c>
      <c r="BO57" s="248">
        <v>0</v>
      </c>
      <c r="BP57" s="237">
        <v>0</v>
      </c>
      <c r="BQ57" s="237">
        <v>0</v>
      </c>
      <c r="BR57" s="248">
        <v>0</v>
      </c>
      <c r="BS57" s="262">
        <v>40</v>
      </c>
      <c r="BT57" s="237" t="s">
        <v>777</v>
      </c>
      <c r="BU57" s="249" t="s">
        <v>678</v>
      </c>
      <c r="BV57" s="249" t="s">
        <v>678</v>
      </c>
      <c r="BW57" s="249" t="s">
        <v>678</v>
      </c>
      <c r="BX57" s="249" t="s">
        <v>678</v>
      </c>
      <c r="BY57" s="249" t="s">
        <v>678</v>
      </c>
      <c r="BZ57" s="249" t="s">
        <v>678</v>
      </c>
      <c r="CA57" s="249" t="s">
        <v>678</v>
      </c>
      <c r="CB57" s="249" t="s">
        <v>678</v>
      </c>
      <c r="CC57" s="250" t="s">
        <v>678</v>
      </c>
      <c r="CD57" s="242" t="s">
        <v>678</v>
      </c>
      <c r="CE57" s="252" t="s">
        <v>678</v>
      </c>
      <c r="CF57" s="238">
        <v>255</v>
      </c>
      <c r="CG57" s="238">
        <v>7.4</v>
      </c>
      <c r="CH57" s="238">
        <v>4.4578313253012052</v>
      </c>
      <c r="CI57" s="216" t="s">
        <v>722</v>
      </c>
      <c r="CJ57" s="237">
        <v>1</v>
      </c>
      <c r="CK57" s="253">
        <v>64.72</v>
      </c>
      <c r="CL57" s="253">
        <v>0</v>
      </c>
      <c r="CM57" s="254">
        <v>0</v>
      </c>
      <c r="CN57" s="237" t="s">
        <v>84</v>
      </c>
      <c r="CO57" s="242">
        <v>3902.52</v>
      </c>
      <c r="CP57" s="255">
        <v>0.83458511548331904</v>
      </c>
      <c r="CQ57" s="237">
        <v>1905.03</v>
      </c>
      <c r="CR57" s="248" t="s">
        <v>954</v>
      </c>
      <c r="CT57" s="237">
        <v>1905.03</v>
      </c>
      <c r="CW57" s="261" t="s">
        <v>678</v>
      </c>
      <c r="CX57" s="261" t="s">
        <v>678</v>
      </c>
      <c r="CY57" s="261" t="s">
        <v>678</v>
      </c>
      <c r="DB57" s="216" t="s">
        <v>710</v>
      </c>
      <c r="DC57" s="195" t="s">
        <v>955</v>
      </c>
      <c r="DD57" s="256">
        <v>0.8</v>
      </c>
      <c r="DE57" s="256">
        <v>-9</v>
      </c>
      <c r="DF57" s="256">
        <v>-0.3</v>
      </c>
      <c r="DG57" s="256">
        <v>-2.6</v>
      </c>
      <c r="DL57" s="237" t="s">
        <v>682</v>
      </c>
      <c r="DP57" s="258" t="s">
        <v>682</v>
      </c>
      <c r="DQ57" s="258"/>
      <c r="DR57" s="258"/>
      <c r="DS57" s="258"/>
      <c r="DT57" s="258"/>
      <c r="DU57" s="237">
        <v>0</v>
      </c>
      <c r="DX57" s="247"/>
      <c r="DY57" s="247">
        <v>0</v>
      </c>
      <c r="EA57" s="237">
        <v>0</v>
      </c>
      <c r="ED57" s="237" t="s">
        <v>956</v>
      </c>
      <c r="EE57" s="208">
        <v>2</v>
      </c>
      <c r="EF57" s="237" t="s">
        <v>688</v>
      </c>
      <c r="EG57" s="216" t="s">
        <v>733</v>
      </c>
      <c r="EH57" s="246" t="s">
        <v>734</v>
      </c>
      <c r="EI57" s="216" t="s">
        <v>691</v>
      </c>
      <c r="EJ57" s="216" t="s">
        <v>529</v>
      </c>
      <c r="EK57" s="222" t="s">
        <v>682</v>
      </c>
      <c r="EL57" s="259">
        <v>1997</v>
      </c>
      <c r="EM57" s="260"/>
      <c r="EN57" s="260">
        <v>15120</v>
      </c>
      <c r="EO57" s="260">
        <v>5040</v>
      </c>
      <c r="EP57" s="237">
        <v>2</v>
      </c>
      <c r="EQ57" s="237">
        <v>211</v>
      </c>
      <c r="ER57" s="237" t="s">
        <v>705</v>
      </c>
      <c r="ES57" s="237" t="e">
        <v>#DIV/0!</v>
      </c>
      <c r="EU57" s="661">
        <v>8</v>
      </c>
      <c r="EV57" s="661" t="s">
        <v>678</v>
      </c>
      <c r="EW57" s="661">
        <v>0</v>
      </c>
      <c r="EX57" s="661">
        <v>2</v>
      </c>
      <c r="EY57" s="660">
        <v>1.3840889649272882E-2</v>
      </c>
      <c r="EZ57" s="256">
        <v>2.5648949320148331</v>
      </c>
      <c r="FA57" s="247">
        <v>0</v>
      </c>
      <c r="FB57" s="208">
        <v>0</v>
      </c>
      <c r="FC57" s="208">
        <v>1</v>
      </c>
      <c r="FD57" s="208">
        <v>3</v>
      </c>
      <c r="FE57" s="239">
        <v>0.55210857973824523</v>
      </c>
      <c r="FF57" s="208">
        <v>1</v>
      </c>
      <c r="FG57" s="241">
        <v>0</v>
      </c>
      <c r="FH57" s="209">
        <v>0.46171352399418319</v>
      </c>
      <c r="FI57" s="237" t="s">
        <v>678</v>
      </c>
      <c r="FJ57" s="208">
        <v>59.5</v>
      </c>
      <c r="FK57" s="208">
        <v>42.81</v>
      </c>
      <c r="FL57" s="217">
        <v>85.8</v>
      </c>
      <c r="FM57" s="208">
        <v>14.03</v>
      </c>
      <c r="FN57" s="208" t="s">
        <v>957</v>
      </c>
      <c r="FP57" s="247" t="s">
        <v>693</v>
      </c>
      <c r="FU57" s="208">
        <v>37</v>
      </c>
      <c r="FV57" s="208">
        <v>44.8</v>
      </c>
      <c r="FW57" s="237">
        <v>54.29</v>
      </c>
      <c r="FX57" s="237">
        <v>33.700000000000003</v>
      </c>
      <c r="FY57" s="208">
        <v>41.65</v>
      </c>
      <c r="FZ57" s="208">
        <v>55.2</v>
      </c>
      <c r="GA57" s="208">
        <v>51.46</v>
      </c>
      <c r="GB57" s="208">
        <v>54.5</v>
      </c>
      <c r="GC57" s="208">
        <v>0.5</v>
      </c>
      <c r="GD57" s="208">
        <v>64.3</v>
      </c>
      <c r="GE57" s="237">
        <v>62.71</v>
      </c>
      <c r="GF57" s="237">
        <v>81.2</v>
      </c>
      <c r="GG57" s="237">
        <v>7.0000000000000007E-2</v>
      </c>
      <c r="GH57" s="237">
        <v>7.3</v>
      </c>
      <c r="GJ57" s="947"/>
      <c r="GK57" s="320"/>
      <c r="GL57" s="320"/>
      <c r="GM57" s="320"/>
      <c r="GN57" s="320"/>
      <c r="GO57" s="662">
        <v>8052</v>
      </c>
      <c r="GP57" s="663" t="str">
        <f>VLOOKUP(GS57,'BD Comarcal'!$A$6:$AV$17,48,FALSE)</f>
        <v>14</v>
      </c>
      <c r="GQ57" s="564">
        <v>4</v>
      </c>
      <c r="GR57" s="256">
        <f t="shared" si="0"/>
        <v>0</v>
      </c>
      <c r="GS57" s="237" t="s">
        <v>84</v>
      </c>
    </row>
    <row r="58" spans="1:201" s="237" customFormat="1" ht="17.25" customHeight="1">
      <c r="A58" s="236" t="s">
        <v>958</v>
      </c>
      <c r="C58" s="238"/>
      <c r="D58" s="238">
        <v>2820</v>
      </c>
      <c r="E58" s="238">
        <v>2124</v>
      </c>
      <c r="F58" s="239">
        <v>0.7531914893617021</v>
      </c>
      <c r="G58" s="238">
        <v>739</v>
      </c>
      <c r="H58" s="240">
        <v>124.07153167232701</v>
      </c>
      <c r="I58" s="239">
        <v>5.8414092124447745E-2</v>
      </c>
      <c r="J58" s="238">
        <v>104</v>
      </c>
      <c r="K58" s="238">
        <v>215</v>
      </c>
      <c r="L58" s="238">
        <v>7</v>
      </c>
      <c r="M58" s="241">
        <v>2.4822695035460994E-3</v>
      </c>
      <c r="N58" s="238">
        <v>0</v>
      </c>
      <c r="O58" s="239">
        <v>0</v>
      </c>
      <c r="P58" s="237">
        <v>8</v>
      </c>
      <c r="Q58" s="237">
        <v>0</v>
      </c>
      <c r="R58" s="239">
        <v>0</v>
      </c>
      <c r="S58" s="238">
        <v>1036</v>
      </c>
      <c r="T58" s="436">
        <v>0</v>
      </c>
      <c r="U58" s="436">
        <v>19</v>
      </c>
      <c r="V58" s="436">
        <v>0</v>
      </c>
      <c r="W58" s="436">
        <v>19</v>
      </c>
      <c r="X58" s="238">
        <v>3584</v>
      </c>
      <c r="Y58" s="237">
        <v>0.18429999999999999</v>
      </c>
      <c r="Z58" s="238">
        <v>54686</v>
      </c>
      <c r="AA58" s="238">
        <v>15336</v>
      </c>
      <c r="AB58" s="238">
        <v>93.7</v>
      </c>
      <c r="AC58" s="238">
        <v>568</v>
      </c>
      <c r="AD58" s="238">
        <v>3675803.98</v>
      </c>
      <c r="AE58" s="238">
        <v>527814.57999999961</v>
      </c>
      <c r="AF58" s="238">
        <v>3041836.8100000005</v>
      </c>
      <c r="AG58" s="238">
        <v>255419.11</v>
      </c>
      <c r="AH58" s="239">
        <v>8.3968709024860519E-2</v>
      </c>
      <c r="AI58" s="242">
        <v>151.92888199999999</v>
      </c>
      <c r="AJ58" s="242">
        <v>55.667231000000001</v>
      </c>
      <c r="AK58" s="242">
        <v>1.9740152836879432</v>
      </c>
      <c r="AL58" s="242">
        <v>169.46672699999999</v>
      </c>
      <c r="AM58" s="242">
        <v>6.0094584042553185</v>
      </c>
      <c r="AN58" s="242">
        <v>32413.93</v>
      </c>
      <c r="AO58" s="238">
        <v>11280.64</v>
      </c>
      <c r="AP58" s="243">
        <v>27</v>
      </c>
      <c r="AQ58" s="238">
        <v>1</v>
      </c>
      <c r="AR58" s="238">
        <v>1525.0773938971167</v>
      </c>
      <c r="AS58" s="238">
        <v>1820.8899950881453</v>
      </c>
      <c r="AT58" s="238">
        <v>200353.66666666666</v>
      </c>
      <c r="AU58" s="238">
        <v>257.28409184718146</v>
      </c>
      <c r="AV58" s="237">
        <v>1</v>
      </c>
      <c r="AW58" s="237">
        <v>1</v>
      </c>
      <c r="AX58" s="237">
        <v>1</v>
      </c>
      <c r="AY58" s="244" t="s">
        <v>682</v>
      </c>
      <c r="AZ58" s="244" t="s">
        <v>682</v>
      </c>
      <c r="BA58" s="237">
        <v>0</v>
      </c>
      <c r="BB58" s="245" t="s">
        <v>959</v>
      </c>
      <c r="BC58" s="215" t="s">
        <v>960</v>
      </c>
      <c r="BE58" s="237">
        <v>5</v>
      </c>
      <c r="BF58" s="237">
        <v>138</v>
      </c>
      <c r="BG58" s="246" t="s">
        <v>676</v>
      </c>
      <c r="BI58" s="239">
        <v>0.54655107425555971</v>
      </c>
      <c r="BJ58" s="239">
        <v>0.1127026008292499</v>
      </c>
      <c r="BK58" s="239">
        <v>0.33848473426309839</v>
      </c>
      <c r="BL58" s="239">
        <v>2.2615906520919715E-3</v>
      </c>
      <c r="BM58" s="247">
        <v>2.2035431586882774</v>
      </c>
      <c r="BN58" s="248">
        <v>0</v>
      </c>
      <c r="BO58" s="248">
        <v>0</v>
      </c>
      <c r="BP58" s="237">
        <v>0</v>
      </c>
      <c r="BQ58" s="237">
        <v>0</v>
      </c>
      <c r="BR58" s="248">
        <v>0</v>
      </c>
      <c r="BS58" s="237">
        <v>16</v>
      </c>
      <c r="BT58" s="237" t="s">
        <v>699</v>
      </c>
      <c r="BU58" s="249">
        <v>257</v>
      </c>
      <c r="BV58" s="249">
        <v>641</v>
      </c>
      <c r="BW58" s="249">
        <v>1585</v>
      </c>
      <c r="BX58" s="249" t="s">
        <v>678</v>
      </c>
      <c r="BY58" s="249">
        <v>7.0546253088114188</v>
      </c>
      <c r="BZ58" s="249">
        <v>17.595388416140544</v>
      </c>
      <c r="CA58" s="249">
        <v>43.508097721657975</v>
      </c>
      <c r="CB58" s="249" t="s">
        <v>678</v>
      </c>
      <c r="CC58" s="250">
        <v>99.862750480373322</v>
      </c>
      <c r="CD58" s="242" t="s">
        <v>678</v>
      </c>
      <c r="CE58" s="252" t="s">
        <v>678</v>
      </c>
      <c r="CF58" s="238">
        <v>2101</v>
      </c>
      <c r="CG58" s="238">
        <v>325</v>
      </c>
      <c r="CH58" s="238">
        <v>8.9212187757342853</v>
      </c>
      <c r="CI58" s="216" t="s">
        <v>722</v>
      </c>
      <c r="CJ58" s="237">
        <v>1</v>
      </c>
      <c r="CK58" s="253">
        <v>172.04</v>
      </c>
      <c r="CL58" s="253">
        <v>69.014399999999995</v>
      </c>
      <c r="CM58" s="254">
        <v>2.4473191489361699E-2</v>
      </c>
      <c r="CN58" s="237" t="s">
        <v>82</v>
      </c>
      <c r="CO58" s="242">
        <v>567.85</v>
      </c>
      <c r="CP58" s="255">
        <v>0.20136524822695037</v>
      </c>
      <c r="CW58" s="261" t="s">
        <v>678</v>
      </c>
      <c r="CX58" s="261" t="s">
        <v>678</v>
      </c>
      <c r="CY58" s="261" t="s">
        <v>678</v>
      </c>
      <c r="DB58" s="216" t="s">
        <v>710</v>
      </c>
      <c r="DC58" s="195" t="s">
        <v>711</v>
      </c>
      <c r="DD58" s="256">
        <v>0.7</v>
      </c>
      <c r="DE58" s="256">
        <v>-6.5</v>
      </c>
      <c r="DF58" s="256">
        <v>0.7</v>
      </c>
      <c r="DG58" s="256">
        <v>-2.2000000000000002</v>
      </c>
      <c r="DH58" s="257">
        <v>4</v>
      </c>
      <c r="DI58" s="257">
        <v>88.95</v>
      </c>
      <c r="DJ58" s="257">
        <v>219.12</v>
      </c>
      <c r="DK58" s="257">
        <v>308.07</v>
      </c>
      <c r="DL58" s="237" t="s">
        <v>682</v>
      </c>
      <c r="DP58" s="258" t="s">
        <v>682</v>
      </c>
      <c r="DQ58" s="258"/>
      <c r="DR58" s="258"/>
      <c r="DS58" s="258"/>
      <c r="DT58" s="258"/>
      <c r="DU58" s="237">
        <v>1</v>
      </c>
      <c r="DV58" s="237" t="s">
        <v>961</v>
      </c>
      <c r="DW58" s="237" t="s">
        <v>962</v>
      </c>
      <c r="DX58" s="247">
        <v>27.88</v>
      </c>
      <c r="DY58" s="247">
        <v>0.98865248226950353</v>
      </c>
      <c r="EA58" s="237">
        <v>0</v>
      </c>
      <c r="ED58" s="237" t="s">
        <v>687</v>
      </c>
      <c r="EE58" s="208">
        <v>1</v>
      </c>
      <c r="EF58" s="237" t="s">
        <v>688</v>
      </c>
      <c r="EG58" s="216" t="s">
        <v>689</v>
      </c>
      <c r="EH58" s="246" t="s">
        <v>690</v>
      </c>
      <c r="EI58" s="216" t="s">
        <v>689</v>
      </c>
      <c r="EJ58" s="216" t="s">
        <v>529</v>
      </c>
      <c r="EK58" s="222" t="s">
        <v>682</v>
      </c>
      <c r="EL58" s="259">
        <v>1985</v>
      </c>
      <c r="EM58" s="260">
        <v>2220</v>
      </c>
      <c r="EN58" s="260">
        <v>152930</v>
      </c>
      <c r="EO58" s="260">
        <v>54552</v>
      </c>
      <c r="ER58" s="237" t="s">
        <v>705</v>
      </c>
      <c r="ES58" s="237" t="e">
        <v>#DIV/0!</v>
      </c>
      <c r="ET58" s="237">
        <v>24.572972972972973</v>
      </c>
      <c r="EU58" s="661">
        <v>1</v>
      </c>
      <c r="EV58" s="661">
        <v>1</v>
      </c>
      <c r="EW58" s="661">
        <v>2</v>
      </c>
      <c r="EX58" s="661">
        <v>6</v>
      </c>
      <c r="EY58" s="660">
        <v>6.100709219858156E-2</v>
      </c>
      <c r="EZ58" s="256">
        <v>21.175308067891191</v>
      </c>
      <c r="FA58" s="247">
        <v>0</v>
      </c>
      <c r="FB58" s="208">
        <v>4</v>
      </c>
      <c r="FC58" s="208">
        <v>6</v>
      </c>
      <c r="FD58" s="208">
        <v>1</v>
      </c>
      <c r="FE58" s="239">
        <v>0.34792843691148778</v>
      </c>
      <c r="FF58" s="208"/>
      <c r="FG58" s="241">
        <v>0.14504237288135594</v>
      </c>
      <c r="FH58" s="209">
        <v>0</v>
      </c>
      <c r="FI58" s="237" t="s">
        <v>678</v>
      </c>
      <c r="FJ58" s="208">
        <v>49.5</v>
      </c>
      <c r="FK58" s="208">
        <v>6.75</v>
      </c>
      <c r="FL58" s="217">
        <v>41.5</v>
      </c>
      <c r="FM58" s="208">
        <v>1.86</v>
      </c>
      <c r="FN58" s="208" t="s">
        <v>963</v>
      </c>
      <c r="FP58" s="247" t="s">
        <v>693</v>
      </c>
      <c r="FU58" s="208">
        <v>37</v>
      </c>
      <c r="FV58" s="208">
        <v>45</v>
      </c>
      <c r="FW58" s="237">
        <v>36.97</v>
      </c>
      <c r="FX58" s="237">
        <v>16.8</v>
      </c>
      <c r="FY58" s="208">
        <v>12.26</v>
      </c>
      <c r="FZ58" s="208">
        <v>22.7</v>
      </c>
      <c r="GA58" s="208">
        <v>30.38</v>
      </c>
      <c r="GB58" s="208">
        <v>21.9</v>
      </c>
      <c r="GC58" s="208">
        <v>0.12</v>
      </c>
      <c r="GD58" s="208">
        <v>30.6</v>
      </c>
      <c r="GE58" s="237">
        <v>22.91</v>
      </c>
      <c r="GF58" s="237">
        <v>22.2</v>
      </c>
      <c r="GG58" s="237">
        <v>5.63</v>
      </c>
      <c r="GH58" s="237">
        <v>47.2</v>
      </c>
      <c r="GJ58" s="947"/>
      <c r="GK58" s="320"/>
      <c r="GL58" s="320"/>
      <c r="GM58" s="320"/>
      <c r="GN58" s="320"/>
      <c r="GO58" s="662">
        <v>8053</v>
      </c>
      <c r="GP58" s="663" t="str">
        <f>VLOOKUP(GS58,'BD Comarcal'!$A$6:$AV$17,48,FALSE)</f>
        <v>07</v>
      </c>
      <c r="GQ58" s="564">
        <v>34</v>
      </c>
      <c r="GR58" s="256">
        <f t="shared" si="0"/>
        <v>1</v>
      </c>
      <c r="GS58" s="237" t="s">
        <v>82</v>
      </c>
    </row>
    <row r="59" spans="1:201" s="237" customFormat="1" ht="17.25" customHeight="1">
      <c r="A59" s="236" t="s">
        <v>964</v>
      </c>
      <c r="C59" s="238"/>
      <c r="D59" s="238">
        <v>3097</v>
      </c>
      <c r="E59" s="238">
        <v>1595</v>
      </c>
      <c r="F59" s="239">
        <v>0.51501453019050691</v>
      </c>
      <c r="G59" s="238">
        <v>806</v>
      </c>
      <c r="H59" s="240">
        <v>311.81020837047731</v>
      </c>
      <c r="I59" s="239">
        <v>0.19549229364920206</v>
      </c>
      <c r="J59" s="238">
        <v>194</v>
      </c>
      <c r="K59" s="238">
        <v>133</v>
      </c>
      <c r="L59" s="238">
        <v>46</v>
      </c>
      <c r="M59" s="241">
        <v>1.4853083629318696E-2</v>
      </c>
      <c r="N59" s="238">
        <v>40</v>
      </c>
      <c r="O59" s="239">
        <v>0.20618556701030927</v>
      </c>
      <c r="P59" s="237">
        <v>7</v>
      </c>
      <c r="Q59" s="237">
        <v>0</v>
      </c>
      <c r="R59" s="239">
        <v>0</v>
      </c>
      <c r="S59" s="238">
        <v>706</v>
      </c>
      <c r="T59" s="436">
        <v>0</v>
      </c>
      <c r="U59" s="436">
        <v>0</v>
      </c>
      <c r="V59" s="436">
        <v>98</v>
      </c>
      <c r="W59" s="436">
        <v>98</v>
      </c>
      <c r="X59" s="238">
        <v>12277</v>
      </c>
      <c r="Y59" s="237">
        <v>0.11849999999999999</v>
      </c>
      <c r="Z59" s="238">
        <v>172082</v>
      </c>
      <c r="AA59" s="238">
        <v>13918</v>
      </c>
      <c r="AB59" s="238">
        <v>85.04</v>
      </c>
      <c r="AC59" s="238">
        <v>3863</v>
      </c>
      <c r="AD59" s="238">
        <v>22135949.830000002</v>
      </c>
      <c r="AE59" s="238">
        <v>3444170.5799999982</v>
      </c>
      <c r="AF59" s="238">
        <v>19015137.890000001</v>
      </c>
      <c r="AG59" s="238">
        <v>775887.9</v>
      </c>
      <c r="AH59" s="239">
        <v>4.0803695691738161E-2</v>
      </c>
      <c r="AI59" s="242">
        <v>945.20653500000003</v>
      </c>
      <c r="AJ59" s="242">
        <v>511.40163000000001</v>
      </c>
      <c r="AK59" s="242">
        <v>16.512806909912818</v>
      </c>
      <c r="AL59" s="242">
        <v>338.482482</v>
      </c>
      <c r="AM59" s="242">
        <v>10.929366548272522</v>
      </c>
      <c r="AN59" s="242">
        <v>81733.850000000006</v>
      </c>
      <c r="AO59" s="238">
        <v>48170.02</v>
      </c>
      <c r="AP59" s="243">
        <v>107</v>
      </c>
      <c r="AQ59" s="238"/>
      <c r="AR59" s="238">
        <v>1189.0499196822564</v>
      </c>
      <c r="AS59" s="238">
        <v>1766.3138214437161</v>
      </c>
      <c r="AT59" s="238">
        <v>5674052</v>
      </c>
      <c r="AU59" s="238">
        <v>259.80459676410294</v>
      </c>
      <c r="AV59" s="237">
        <v>1</v>
      </c>
      <c r="AW59" s="237">
        <v>0</v>
      </c>
      <c r="AX59" s="237">
        <v>1</v>
      </c>
      <c r="AY59" s="244" t="s">
        <v>717</v>
      </c>
      <c r="AZ59" s="244" t="s">
        <v>717</v>
      </c>
      <c r="BA59" s="237">
        <v>2014</v>
      </c>
      <c r="BB59" s="245" t="s">
        <v>965</v>
      </c>
      <c r="BC59" s="215" t="s">
        <v>966</v>
      </c>
      <c r="BE59" s="237">
        <v>39</v>
      </c>
      <c r="BF59" s="237">
        <v>37</v>
      </c>
      <c r="BG59" s="246" t="s">
        <v>676</v>
      </c>
      <c r="BI59" s="239">
        <v>0.35870586655926973</v>
      </c>
      <c r="BJ59" s="239">
        <v>0.1092764129413344</v>
      </c>
      <c r="BK59" s="239">
        <v>0.5152369445563163</v>
      </c>
      <c r="BL59" s="239">
        <v>1.6780775943079609E-2</v>
      </c>
      <c r="BM59" s="247">
        <v>1.8099073701167943</v>
      </c>
      <c r="BN59" s="248">
        <v>0</v>
      </c>
      <c r="BO59" s="248">
        <v>0</v>
      </c>
      <c r="BP59" s="237">
        <v>0</v>
      </c>
      <c r="BQ59" s="237">
        <v>0</v>
      </c>
      <c r="BR59" s="248">
        <v>0</v>
      </c>
      <c r="BS59" s="237">
        <v>13</v>
      </c>
      <c r="BT59" s="237" t="s">
        <v>967</v>
      </c>
      <c r="BU59" s="249">
        <v>977</v>
      </c>
      <c r="BV59" s="249">
        <v>1172</v>
      </c>
      <c r="BW59" s="249">
        <v>5915</v>
      </c>
      <c r="BX59" s="249">
        <v>1578</v>
      </c>
      <c r="BY59" s="249">
        <v>7.8987792060797153</v>
      </c>
      <c r="BZ59" s="249">
        <v>9.475301156116096</v>
      </c>
      <c r="CA59" s="249">
        <v>47.821165817770229</v>
      </c>
      <c r="CB59" s="249">
        <v>12.757700703371331</v>
      </c>
      <c r="CC59" s="250">
        <v>90.468105748241555</v>
      </c>
      <c r="CD59" s="242">
        <v>1073</v>
      </c>
      <c r="CE59" s="252">
        <v>108.67491308917455</v>
      </c>
      <c r="CF59" s="238">
        <v>5247</v>
      </c>
      <c r="CG59" s="238">
        <v>913.8</v>
      </c>
      <c r="CH59" s="238">
        <v>7.3878243997089497</v>
      </c>
      <c r="CI59" s="216" t="s">
        <v>700</v>
      </c>
      <c r="CJ59" s="237">
        <v>0</v>
      </c>
      <c r="CK59" s="253">
        <v>979.35</v>
      </c>
      <c r="CL59" s="253">
        <v>73.444100000000006</v>
      </c>
      <c r="CM59" s="254">
        <v>2.371459476913142E-2</v>
      </c>
      <c r="CN59" s="237" t="s">
        <v>89</v>
      </c>
      <c r="CO59" s="242">
        <v>26.92</v>
      </c>
      <c r="CP59" s="255">
        <v>8.6922828543752016E-3</v>
      </c>
      <c r="CV59" s="237">
        <v>6</v>
      </c>
      <c r="CW59" s="194">
        <v>1.3839999999999999</v>
      </c>
      <c r="CX59" s="194">
        <v>0.63500000000000001</v>
      </c>
      <c r="CY59" s="194">
        <v>0.28299999999999997</v>
      </c>
      <c r="DB59" s="216" t="s">
        <v>804</v>
      </c>
      <c r="DC59" s="195" t="s">
        <v>968</v>
      </c>
      <c r="DD59" s="256">
        <v>0.7</v>
      </c>
      <c r="DE59" s="256">
        <v>-6.5</v>
      </c>
      <c r="DF59" s="256">
        <v>0.7</v>
      </c>
      <c r="DG59" s="256">
        <v>-2.2000000000000002</v>
      </c>
      <c r="DH59" s="257">
        <v>5</v>
      </c>
      <c r="DI59" s="257">
        <v>12.83</v>
      </c>
      <c r="DJ59" s="257">
        <v>323.60000000000002</v>
      </c>
      <c r="DK59" s="257">
        <v>336.43</v>
      </c>
      <c r="DL59" s="237" t="s">
        <v>682</v>
      </c>
      <c r="DP59" s="258" t="s">
        <v>682</v>
      </c>
      <c r="DQ59" s="258"/>
      <c r="DR59" s="258"/>
      <c r="DS59" s="258"/>
      <c r="DT59" s="258"/>
      <c r="DU59" s="237">
        <v>0</v>
      </c>
      <c r="DX59" s="247"/>
      <c r="DY59" s="247">
        <v>0</v>
      </c>
      <c r="EA59" s="237">
        <v>2</v>
      </c>
      <c r="EB59" s="237" t="s">
        <v>969</v>
      </c>
      <c r="EC59" s="237">
        <v>8</v>
      </c>
      <c r="ED59" s="237" t="s">
        <v>678</v>
      </c>
      <c r="EE59" s="208">
        <v>2</v>
      </c>
      <c r="EF59" s="237" t="s">
        <v>678</v>
      </c>
      <c r="EG59" s="216" t="s">
        <v>689</v>
      </c>
      <c r="EH59" s="246" t="s">
        <v>690</v>
      </c>
      <c r="EI59" s="216" t="s">
        <v>689</v>
      </c>
      <c r="EJ59" s="216" t="s">
        <v>529</v>
      </c>
      <c r="EK59" s="222" t="s">
        <v>682</v>
      </c>
      <c r="EL59" s="259">
        <v>2008</v>
      </c>
      <c r="EM59" s="260">
        <v>6500</v>
      </c>
      <c r="EN59" s="260">
        <v>507825</v>
      </c>
      <c r="EO59" s="260">
        <v>5111722</v>
      </c>
      <c r="ER59" s="237" t="s">
        <v>705</v>
      </c>
      <c r="ES59" s="237" t="e">
        <v>#DIV/0!</v>
      </c>
      <c r="ET59" s="237">
        <v>786.41876923076927</v>
      </c>
      <c r="EU59" s="661">
        <v>1</v>
      </c>
      <c r="EV59" s="661">
        <v>2</v>
      </c>
      <c r="EW59" s="661">
        <v>6</v>
      </c>
      <c r="EX59" s="661">
        <v>9</v>
      </c>
      <c r="EY59" s="660">
        <v>0.3162253793994188</v>
      </c>
      <c r="EZ59" s="256">
        <v>12.629805483228672</v>
      </c>
      <c r="FA59" s="247">
        <v>0.37617554858934171</v>
      </c>
      <c r="FB59" s="208">
        <v>6</v>
      </c>
      <c r="FC59" s="208">
        <v>6</v>
      </c>
      <c r="FD59" s="208">
        <v>2</v>
      </c>
      <c r="FE59" s="239">
        <v>0.50532915360501562</v>
      </c>
      <c r="FF59" s="208"/>
      <c r="FG59" s="241">
        <v>0.21092789968652037</v>
      </c>
      <c r="FH59" s="209">
        <v>0</v>
      </c>
      <c r="FI59" s="237" t="s">
        <v>678</v>
      </c>
      <c r="FJ59" s="208" t="s">
        <v>678</v>
      </c>
      <c r="FK59" s="208" t="s">
        <v>678</v>
      </c>
      <c r="FL59" s="217" t="s">
        <v>678</v>
      </c>
      <c r="FM59" s="208" t="s">
        <v>678</v>
      </c>
      <c r="FN59" s="208" t="s">
        <v>678</v>
      </c>
      <c r="FP59" s="247" t="s">
        <v>693</v>
      </c>
      <c r="FU59" s="208" t="s">
        <v>678</v>
      </c>
      <c r="FV59" s="208" t="s">
        <v>678</v>
      </c>
      <c r="FW59" s="208" t="s">
        <v>678</v>
      </c>
      <c r="FX59" s="208" t="s">
        <v>678</v>
      </c>
      <c r="FY59" s="208" t="s">
        <v>678</v>
      </c>
      <c r="FZ59" s="208" t="s">
        <v>678</v>
      </c>
      <c r="GA59" s="208" t="s">
        <v>678</v>
      </c>
      <c r="GB59" s="208" t="s">
        <v>678</v>
      </c>
      <c r="GC59" s="208" t="s">
        <v>678</v>
      </c>
      <c r="GD59" s="208" t="s">
        <v>678</v>
      </c>
      <c r="GE59" s="237" t="s">
        <v>678</v>
      </c>
      <c r="GF59" s="237" t="s">
        <v>678</v>
      </c>
      <c r="GG59" s="237" t="s">
        <v>678</v>
      </c>
      <c r="GH59" s="237" t="s">
        <v>678</v>
      </c>
      <c r="GJ59" s="947">
        <v>920</v>
      </c>
      <c r="GK59" s="320">
        <v>1E-3</v>
      </c>
      <c r="GL59" s="320">
        <v>0.61399999999999999</v>
      </c>
      <c r="GM59" s="320">
        <v>2.5999999999999999E-2</v>
      </c>
      <c r="GN59" s="320">
        <v>0.36</v>
      </c>
      <c r="GO59" s="662">
        <v>8054</v>
      </c>
      <c r="GP59" s="663" t="str">
        <f>VLOOKUP(GS59,'BD Comarcal'!$A$6:$AV$17,48,FALSE)</f>
        <v>40</v>
      </c>
      <c r="GQ59" s="564">
        <v>62</v>
      </c>
      <c r="GR59" s="256">
        <f t="shared" si="0"/>
        <v>1</v>
      </c>
      <c r="GS59" s="237" t="s">
        <v>89</v>
      </c>
    </row>
    <row r="60" spans="1:201" s="237" customFormat="1" ht="17.25" customHeight="1">
      <c r="A60" s="236" t="s">
        <v>970</v>
      </c>
      <c r="C60" s="238"/>
      <c r="D60" s="238">
        <v>3450</v>
      </c>
      <c r="E60" s="238">
        <v>2825</v>
      </c>
      <c r="F60" s="239">
        <v>0.8188405797101449</v>
      </c>
      <c r="G60" s="238">
        <v>2594</v>
      </c>
      <c r="H60" s="240">
        <v>2034.6086438048578</v>
      </c>
      <c r="I60" s="239">
        <v>0.72021544913446289</v>
      </c>
      <c r="J60" s="238">
        <v>322</v>
      </c>
      <c r="K60" s="238">
        <v>528</v>
      </c>
      <c r="L60" s="238">
        <v>31</v>
      </c>
      <c r="M60" s="241">
        <v>8.9855072463768115E-3</v>
      </c>
      <c r="N60" s="238">
        <v>23</v>
      </c>
      <c r="O60" s="239">
        <v>7.1428571428571425E-2</v>
      </c>
      <c r="P60" s="237">
        <v>13</v>
      </c>
      <c r="Q60" s="237">
        <v>0</v>
      </c>
      <c r="R60" s="239">
        <v>0</v>
      </c>
      <c r="S60" s="238">
        <v>592</v>
      </c>
      <c r="T60" s="436">
        <v>0</v>
      </c>
      <c r="U60" s="436">
        <v>0</v>
      </c>
      <c r="V60" s="436">
        <v>0</v>
      </c>
      <c r="W60" s="436">
        <v>0</v>
      </c>
      <c r="X60" s="238">
        <v>726</v>
      </c>
      <c r="Y60" s="237">
        <v>0.16159999999999999</v>
      </c>
      <c r="Z60" s="238">
        <v>11631</v>
      </c>
      <c r="AA60" s="238">
        <v>16760</v>
      </c>
      <c r="AB60" s="238">
        <v>102.4</v>
      </c>
      <c r="AC60" s="238">
        <v>0</v>
      </c>
      <c r="AD60" s="238">
        <v>887097.4800000001</v>
      </c>
      <c r="AE60" s="238">
        <v>84322.230000000098</v>
      </c>
      <c r="AF60" s="238">
        <v>898178.54999999993</v>
      </c>
      <c r="AG60" s="238">
        <v>216855.47</v>
      </c>
      <c r="AH60" s="239">
        <v>0.24143915483174255</v>
      </c>
      <c r="AI60" s="242">
        <v>76.471601000000007</v>
      </c>
      <c r="AJ60" s="242">
        <v>8.1534259999999996</v>
      </c>
      <c r="AK60" s="242">
        <v>0.23633118840579709</v>
      </c>
      <c r="AL60" s="242">
        <v>32.525598000000002</v>
      </c>
      <c r="AM60" s="242">
        <v>0.94277095652173915</v>
      </c>
      <c r="AN60" s="242">
        <v>18473.349999999999</v>
      </c>
      <c r="AO60" s="238">
        <v>0</v>
      </c>
      <c r="AP60" s="243">
        <v>0</v>
      </c>
      <c r="AQ60" s="238"/>
      <c r="AR60" s="238">
        <v>1626.3938531452275</v>
      </c>
      <c r="AS60" s="238">
        <v>2171.988230422809</v>
      </c>
      <c r="AT60" s="238">
        <v>63877.666666666664</v>
      </c>
      <c r="AU60" s="238">
        <v>333.02849904283278</v>
      </c>
      <c r="AV60" s="237">
        <v>1</v>
      </c>
      <c r="AW60" s="237">
        <v>1</v>
      </c>
      <c r="AX60" s="237">
        <v>1</v>
      </c>
      <c r="AY60" s="244" t="s">
        <v>673</v>
      </c>
      <c r="AZ60" s="244" t="s">
        <v>726</v>
      </c>
      <c r="BA60" s="237">
        <v>0</v>
      </c>
      <c r="BB60" s="245" t="s">
        <v>971</v>
      </c>
      <c r="BC60" s="215" t="s">
        <v>972</v>
      </c>
      <c r="BE60" s="237">
        <v>8</v>
      </c>
      <c r="BF60" s="237">
        <v>42</v>
      </c>
      <c r="BG60" s="246" t="s">
        <v>720</v>
      </c>
      <c r="BI60" s="239">
        <v>0.36936936936936937</v>
      </c>
      <c r="BJ60" s="239">
        <v>0.1981981981981982</v>
      </c>
      <c r="BK60" s="239">
        <v>0.35495495495495494</v>
      </c>
      <c r="BL60" s="239">
        <v>7.7477477477477477E-2</v>
      </c>
      <c r="BM60" s="247">
        <v>1.8594594594594593</v>
      </c>
      <c r="BN60" s="248">
        <v>0</v>
      </c>
      <c r="BO60" s="248">
        <v>0</v>
      </c>
      <c r="BP60" s="237">
        <v>0</v>
      </c>
      <c r="BQ60" s="237">
        <v>0</v>
      </c>
      <c r="BR60" s="248">
        <v>0</v>
      </c>
      <c r="BS60" s="262">
        <v>35</v>
      </c>
      <c r="BT60" s="237" t="s">
        <v>729</v>
      </c>
      <c r="BU60" s="249" t="s">
        <v>678</v>
      </c>
      <c r="BV60" s="249" t="s">
        <v>678</v>
      </c>
      <c r="BW60" s="249" t="s">
        <v>678</v>
      </c>
      <c r="BX60" s="249" t="s">
        <v>678</v>
      </c>
      <c r="BY60" s="249" t="s">
        <v>678</v>
      </c>
      <c r="BZ60" s="249" t="s">
        <v>678</v>
      </c>
      <c r="CA60" s="249" t="s">
        <v>678</v>
      </c>
      <c r="CB60" s="249" t="s">
        <v>678</v>
      </c>
      <c r="CC60" s="250" t="s">
        <v>678</v>
      </c>
      <c r="CD60" s="242" t="s">
        <v>678</v>
      </c>
      <c r="CE60" s="252" t="s">
        <v>678</v>
      </c>
      <c r="CF60" s="238">
        <v>289</v>
      </c>
      <c r="CG60" s="238">
        <v>39.799999999999997</v>
      </c>
      <c r="CH60" s="238">
        <v>5.6534090909090899</v>
      </c>
      <c r="CI60" s="216" t="s">
        <v>700</v>
      </c>
      <c r="CJ60" s="237">
        <v>0</v>
      </c>
      <c r="CK60" s="253">
        <v>76.319999999999993</v>
      </c>
      <c r="CL60" s="253">
        <v>8.4285999999999994</v>
      </c>
      <c r="CM60" s="254">
        <v>2.4430724637681156E-3</v>
      </c>
      <c r="CN60" s="237" t="s">
        <v>24</v>
      </c>
      <c r="CO60" s="242">
        <v>211.8</v>
      </c>
      <c r="CP60" s="255">
        <v>6.1391304347826088E-2</v>
      </c>
      <c r="CV60" s="237">
        <v>2</v>
      </c>
      <c r="CW60" s="261" t="s">
        <v>678</v>
      </c>
      <c r="CX60" s="261" t="s">
        <v>678</v>
      </c>
      <c r="CY60" s="261" t="s">
        <v>678</v>
      </c>
      <c r="DB60" s="216" t="s">
        <v>710</v>
      </c>
      <c r="DC60" s="195" t="s">
        <v>711</v>
      </c>
      <c r="DD60" s="256">
        <v>0.8</v>
      </c>
      <c r="DE60" s="256">
        <v>-9</v>
      </c>
      <c r="DF60" s="256">
        <v>-0.3</v>
      </c>
      <c r="DG60" s="256">
        <v>-2.6</v>
      </c>
      <c r="DH60" s="257">
        <v>1</v>
      </c>
      <c r="DI60" s="257">
        <v>4.3</v>
      </c>
      <c r="DJ60" s="257">
        <v>0</v>
      </c>
      <c r="DK60" s="257">
        <v>4.3</v>
      </c>
      <c r="DL60" s="237" t="s">
        <v>682</v>
      </c>
      <c r="DO60" s="237">
        <v>1</v>
      </c>
      <c r="DP60" s="258" t="s">
        <v>682</v>
      </c>
      <c r="DQ60" s="258"/>
      <c r="DR60" s="258"/>
      <c r="DS60" s="258"/>
      <c r="DT60" s="258"/>
      <c r="DU60" s="237">
        <v>0</v>
      </c>
      <c r="DX60" s="247"/>
      <c r="DY60" s="247">
        <v>0</v>
      </c>
      <c r="EA60" s="237">
        <v>0</v>
      </c>
      <c r="ED60" s="237" t="s">
        <v>956</v>
      </c>
      <c r="EE60" s="208">
        <v>1</v>
      </c>
      <c r="EF60" s="237" t="s">
        <v>688</v>
      </c>
      <c r="EG60" s="216" t="s">
        <v>733</v>
      </c>
      <c r="EH60" s="246" t="s">
        <v>734</v>
      </c>
      <c r="EI60" s="216"/>
      <c r="EJ60" s="216" t="s">
        <v>529</v>
      </c>
      <c r="EK60" s="222" t="s">
        <v>682</v>
      </c>
      <c r="EL60" s="259">
        <v>2013</v>
      </c>
      <c r="EM60" s="260">
        <v>1350</v>
      </c>
      <c r="EN60" s="260">
        <v>39145</v>
      </c>
      <c r="EO60" s="260">
        <v>33529</v>
      </c>
      <c r="ER60" s="237" t="s">
        <v>973</v>
      </c>
      <c r="ES60" s="237" t="e">
        <v>#DIV/0!</v>
      </c>
      <c r="ET60" s="237">
        <v>24.836296296296297</v>
      </c>
      <c r="EU60" s="661">
        <v>5</v>
      </c>
      <c r="EV60" s="661" t="s">
        <v>678</v>
      </c>
      <c r="EW60" s="661">
        <v>2</v>
      </c>
      <c r="EX60" s="661">
        <v>3</v>
      </c>
      <c r="EY60" s="660">
        <v>2.2121739130434779E-2</v>
      </c>
      <c r="EZ60" s="256">
        <v>9.2243186582809233</v>
      </c>
      <c r="FA60" s="247">
        <v>7.0796460176991149E-2</v>
      </c>
      <c r="FB60" s="208">
        <v>1</v>
      </c>
      <c r="FC60" s="208">
        <v>2</v>
      </c>
      <c r="FD60" s="208">
        <v>1</v>
      </c>
      <c r="FE60" s="239">
        <v>0.91823008849557519</v>
      </c>
      <c r="FF60" s="208">
        <v>1</v>
      </c>
      <c r="FG60" s="241">
        <v>1.5221238938053097E-3</v>
      </c>
      <c r="FH60" s="209">
        <v>0</v>
      </c>
      <c r="FI60" s="237" t="s">
        <v>678</v>
      </c>
      <c r="FJ60" s="208">
        <v>69.8</v>
      </c>
      <c r="FK60" s="208">
        <v>0</v>
      </c>
      <c r="FL60" s="217">
        <v>2.4</v>
      </c>
      <c r="FM60" s="208">
        <v>13.93</v>
      </c>
      <c r="FN60" s="208" t="s">
        <v>974</v>
      </c>
      <c r="FP60" s="247" t="s">
        <v>693</v>
      </c>
      <c r="FU60" s="208">
        <v>60</v>
      </c>
      <c r="FV60" s="208">
        <v>89.4</v>
      </c>
      <c r="FW60" s="237">
        <v>90.23</v>
      </c>
      <c r="FX60" s="237">
        <v>83.2</v>
      </c>
      <c r="FY60" s="208">
        <v>76.97</v>
      </c>
      <c r="FZ60" s="208">
        <v>78</v>
      </c>
      <c r="GA60" s="208">
        <v>75.69</v>
      </c>
      <c r="GB60" s="208">
        <v>86.1</v>
      </c>
      <c r="GC60" s="208">
        <v>1.05</v>
      </c>
      <c r="GD60" s="208">
        <v>87.9</v>
      </c>
      <c r="GE60" s="237">
        <v>70.959999999999994</v>
      </c>
      <c r="GF60" s="237">
        <v>86.9</v>
      </c>
      <c r="GG60" s="237">
        <v>6.85</v>
      </c>
      <c r="GH60" s="237">
        <v>55.6</v>
      </c>
      <c r="GJ60" s="947"/>
      <c r="GK60" s="320"/>
      <c r="GL60" s="320"/>
      <c r="GM60" s="320"/>
      <c r="GN60" s="320"/>
      <c r="GO60" s="662">
        <v>8055</v>
      </c>
      <c r="GP60" s="663" t="str">
        <f>VLOOKUP(GS60,'BD Comarcal'!$A$6:$AV$17,48,FALSE)</f>
        <v>42</v>
      </c>
      <c r="GQ60" s="564">
        <v>10</v>
      </c>
      <c r="GR60" s="256">
        <f t="shared" si="0"/>
        <v>1</v>
      </c>
      <c r="GS60" s="237" t="s">
        <v>87</v>
      </c>
    </row>
    <row r="61" spans="1:201" s="237" customFormat="1" ht="17.25" customHeight="1">
      <c r="A61" s="236" t="s">
        <v>340</v>
      </c>
      <c r="C61" s="238" t="s">
        <v>683</v>
      </c>
      <c r="D61" s="238">
        <v>1250</v>
      </c>
      <c r="E61" s="238">
        <v>563</v>
      </c>
      <c r="F61" s="239">
        <v>0.45040000000000002</v>
      </c>
      <c r="G61" s="238">
        <v>161</v>
      </c>
      <c r="H61" s="240">
        <v>0</v>
      </c>
      <c r="I61" s="239">
        <v>0</v>
      </c>
      <c r="J61" s="238">
        <v>17</v>
      </c>
      <c r="K61" s="238">
        <v>0</v>
      </c>
      <c r="L61" s="238" t="s">
        <v>678</v>
      </c>
      <c r="M61" s="241" t="s">
        <v>678</v>
      </c>
      <c r="N61" s="238">
        <v>0</v>
      </c>
      <c r="O61" s="239">
        <v>0</v>
      </c>
      <c r="P61" s="237" t="s">
        <v>678</v>
      </c>
      <c r="Q61" s="237" t="s">
        <v>678</v>
      </c>
      <c r="R61" s="239" t="s">
        <v>678</v>
      </c>
      <c r="S61" s="238" t="s">
        <v>678</v>
      </c>
      <c r="T61" s="436">
        <v>1821</v>
      </c>
      <c r="U61" s="436">
        <v>0</v>
      </c>
      <c r="V61" s="436">
        <v>2174</v>
      </c>
      <c r="W61" s="436">
        <v>3995</v>
      </c>
      <c r="X61" s="238">
        <v>64892</v>
      </c>
      <c r="Y61" s="237">
        <v>0.1326</v>
      </c>
      <c r="Z61" s="238">
        <v>1064596</v>
      </c>
      <c r="AA61" s="238">
        <v>16663</v>
      </c>
      <c r="AB61" s="238">
        <v>101.81</v>
      </c>
      <c r="AC61" s="238">
        <v>31816</v>
      </c>
      <c r="AD61" s="238">
        <v>67969449.890000001</v>
      </c>
      <c r="AE61" s="238">
        <v>14397854.330000006</v>
      </c>
      <c r="AF61" s="238">
        <v>56106388.499999993</v>
      </c>
      <c r="AG61" s="238">
        <v>3369237.61</v>
      </c>
      <c r="AH61" s="239">
        <v>6.0050872994614514E-2</v>
      </c>
      <c r="AI61" s="242">
        <v>933.89132400000005</v>
      </c>
      <c r="AJ61" s="242">
        <v>329.83288399999998</v>
      </c>
      <c r="AK61" s="242">
        <v>26.386630719999999</v>
      </c>
      <c r="AL61" s="242">
        <v>61.074112</v>
      </c>
      <c r="AM61" s="242">
        <v>4.8859289599999993</v>
      </c>
      <c r="AN61" s="242">
        <v>63846.89</v>
      </c>
      <c r="AO61" s="238">
        <v>3439.37</v>
      </c>
      <c r="AP61" s="243">
        <v>10</v>
      </c>
      <c r="AQ61" s="238"/>
      <c r="AR61" s="238">
        <v>1388.5358139838763</v>
      </c>
      <c r="AS61" s="238">
        <v>1578.5870960587592</v>
      </c>
      <c r="AT61" s="238">
        <v>3760504.6666666665</v>
      </c>
      <c r="AU61" s="238">
        <v>294.4246885169614</v>
      </c>
      <c r="AV61" s="237">
        <v>1</v>
      </c>
      <c r="AW61" s="237">
        <v>1</v>
      </c>
      <c r="AX61" s="237">
        <v>1</v>
      </c>
      <c r="AY61" s="244" t="s">
        <v>717</v>
      </c>
      <c r="AZ61" s="244" t="s">
        <v>717</v>
      </c>
      <c r="BA61" s="237">
        <v>2009</v>
      </c>
      <c r="BB61" s="245" t="s">
        <v>975</v>
      </c>
      <c r="BC61" s="215" t="s">
        <v>976</v>
      </c>
      <c r="BE61" s="237">
        <v>246</v>
      </c>
      <c r="BF61" s="237">
        <v>2</v>
      </c>
      <c r="BG61" s="246" t="s">
        <v>676</v>
      </c>
      <c r="BI61" s="239">
        <v>0.42449329146445902</v>
      </c>
      <c r="BJ61" s="239">
        <v>0.10036635265010943</v>
      </c>
      <c r="BK61" s="239">
        <v>0.45384908173946142</v>
      </c>
      <c r="BL61" s="239">
        <v>2.129127414597012E-2</v>
      </c>
      <c r="BM61" s="247">
        <v>1.9280616614330572</v>
      </c>
      <c r="BN61" s="248">
        <v>0</v>
      </c>
      <c r="BO61" s="248">
        <v>2</v>
      </c>
      <c r="BP61" s="237">
        <v>0</v>
      </c>
      <c r="BQ61" s="237">
        <v>0</v>
      </c>
      <c r="BR61" s="248">
        <v>2</v>
      </c>
      <c r="BU61" s="249">
        <v>3428</v>
      </c>
      <c r="BV61" s="249">
        <v>5005</v>
      </c>
      <c r="BW61" s="249">
        <v>28354</v>
      </c>
      <c r="BX61" s="249">
        <v>13236</v>
      </c>
      <c r="BY61" s="249">
        <v>5.434627518746928</v>
      </c>
      <c r="BZ61" s="249">
        <v>7.9347464210409502</v>
      </c>
      <c r="CA61" s="249">
        <v>44.951408595843176</v>
      </c>
      <c r="CB61" s="249">
        <v>20.983876848930674</v>
      </c>
      <c r="CC61" s="250">
        <v>77.124783994165853</v>
      </c>
      <c r="CD61" s="242">
        <v>-1735</v>
      </c>
      <c r="CE61" s="252">
        <v>97.249393598300486</v>
      </c>
      <c r="CF61" s="238">
        <v>32214</v>
      </c>
      <c r="CG61" s="238">
        <v>4337.8999999999996</v>
      </c>
      <c r="CH61" s="238">
        <v>6.8771501498168899</v>
      </c>
      <c r="CI61" s="216" t="s">
        <v>679</v>
      </c>
      <c r="CJ61" s="237">
        <v>0</v>
      </c>
      <c r="CK61" s="253">
        <v>596.70000000000005</v>
      </c>
      <c r="CL61" s="253">
        <v>363.04140000000001</v>
      </c>
      <c r="CM61" s="254">
        <v>0.29043311999999999</v>
      </c>
      <c r="CN61" s="237" t="s">
        <v>90</v>
      </c>
      <c r="CO61" s="242">
        <v>190.49</v>
      </c>
      <c r="CP61" s="255">
        <v>0.152392</v>
      </c>
      <c r="CV61" s="237">
        <v>8</v>
      </c>
      <c r="CW61" s="194">
        <v>1.867</v>
      </c>
      <c r="CX61" s="194">
        <v>0.19900000000000001</v>
      </c>
      <c r="CY61" s="194">
        <v>2.7009999999999996</v>
      </c>
      <c r="DB61" s="216" t="s">
        <v>804</v>
      </c>
      <c r="DC61" s="195" t="s">
        <v>977</v>
      </c>
      <c r="DD61" s="256">
        <v>0.7</v>
      </c>
      <c r="DE61" s="256">
        <v>-6.5</v>
      </c>
      <c r="DF61" s="256">
        <v>0.7</v>
      </c>
      <c r="DG61" s="256">
        <v>-2.2000000000000002</v>
      </c>
      <c r="DH61" s="257">
        <v>6</v>
      </c>
      <c r="DI61" s="257">
        <v>15.82</v>
      </c>
      <c r="DJ61" s="257">
        <v>78.83</v>
      </c>
      <c r="DK61" s="257">
        <v>94.65</v>
      </c>
      <c r="DL61" s="237" t="s">
        <v>682</v>
      </c>
      <c r="DP61" s="258" t="s">
        <v>682</v>
      </c>
      <c r="DQ61" s="258"/>
      <c r="DR61" s="258"/>
      <c r="DS61" s="258"/>
      <c r="DT61" s="258"/>
      <c r="DU61" s="237">
        <v>1</v>
      </c>
      <c r="DV61" s="237" t="s">
        <v>978</v>
      </c>
      <c r="DW61" s="237" t="s">
        <v>779</v>
      </c>
      <c r="DX61" s="247">
        <v>6.61</v>
      </c>
      <c r="DY61" s="247">
        <v>0.52880000000000005</v>
      </c>
      <c r="EA61" s="237">
        <v>1</v>
      </c>
      <c r="EB61" s="237" t="s">
        <v>979</v>
      </c>
      <c r="EC61" s="237">
        <v>4</v>
      </c>
      <c r="ED61" s="237" t="s">
        <v>678</v>
      </c>
      <c r="EE61" s="208">
        <v>4</v>
      </c>
      <c r="EF61" s="237" t="s">
        <v>678</v>
      </c>
      <c r="EG61" s="216" t="s">
        <v>689</v>
      </c>
      <c r="EH61" s="246" t="s">
        <v>690</v>
      </c>
      <c r="EI61" s="216" t="s">
        <v>689</v>
      </c>
      <c r="EJ61" s="216" t="s">
        <v>529</v>
      </c>
      <c r="EK61" s="222" t="s">
        <v>682</v>
      </c>
      <c r="EL61" s="259">
        <v>1976</v>
      </c>
      <c r="EM61" s="260">
        <v>278325</v>
      </c>
      <c r="EN61" s="260">
        <v>2993151</v>
      </c>
      <c r="EO61" s="260">
        <v>831777</v>
      </c>
      <c r="ER61" s="237" t="s">
        <v>705</v>
      </c>
      <c r="ES61" s="237">
        <v>31538.5</v>
      </c>
      <c r="ET61" s="237">
        <v>2.9885098356238209</v>
      </c>
      <c r="EU61" s="661">
        <v>3</v>
      </c>
      <c r="EV61" s="661">
        <v>9</v>
      </c>
      <c r="EW61" s="661" t="s">
        <v>678</v>
      </c>
      <c r="EX61" s="661">
        <v>9</v>
      </c>
      <c r="EY61" s="660">
        <v>0.47736000000000006</v>
      </c>
      <c r="EZ61" s="256">
        <v>105.70973688620747</v>
      </c>
      <c r="FA61" s="247">
        <v>1.4209591474245116</v>
      </c>
      <c r="FB61" s="208">
        <v>6</v>
      </c>
      <c r="FC61" s="208">
        <v>9</v>
      </c>
      <c r="FD61" s="208">
        <v>7</v>
      </c>
      <c r="FE61" s="239">
        <v>0.28596802841918295</v>
      </c>
      <c r="FF61" s="208"/>
      <c r="FG61" s="241">
        <v>0.16811722912966254</v>
      </c>
      <c r="FH61" s="209">
        <v>0</v>
      </c>
      <c r="FI61" s="237" t="s">
        <v>678</v>
      </c>
      <c r="FJ61" s="208" t="s">
        <v>678</v>
      </c>
      <c r="FK61" s="208" t="s">
        <v>678</v>
      </c>
      <c r="FL61" s="217" t="s">
        <v>678</v>
      </c>
      <c r="FM61" s="208" t="s">
        <v>678</v>
      </c>
      <c r="FN61" s="208" t="s">
        <v>678</v>
      </c>
      <c r="FO61" s="237">
        <v>4726</v>
      </c>
      <c r="FP61" s="247">
        <v>3.7808000000000002</v>
      </c>
      <c r="FU61" s="208" t="s">
        <v>678</v>
      </c>
      <c r="FV61" s="208" t="s">
        <v>678</v>
      </c>
      <c r="FW61" s="208" t="s">
        <v>678</v>
      </c>
      <c r="FX61" s="208" t="s">
        <v>678</v>
      </c>
      <c r="FY61" s="208" t="s">
        <v>678</v>
      </c>
      <c r="FZ61" s="208" t="s">
        <v>678</v>
      </c>
      <c r="GA61" s="208" t="s">
        <v>678</v>
      </c>
      <c r="GB61" s="208" t="s">
        <v>678</v>
      </c>
      <c r="GC61" s="208" t="s">
        <v>678</v>
      </c>
      <c r="GD61" s="208" t="s">
        <v>678</v>
      </c>
      <c r="GE61" s="237" t="s">
        <v>678</v>
      </c>
      <c r="GF61" s="237" t="s">
        <v>678</v>
      </c>
      <c r="GG61" s="237" t="s">
        <v>678</v>
      </c>
      <c r="GH61" s="237" t="s">
        <v>678</v>
      </c>
      <c r="GJ61" s="947">
        <v>1190</v>
      </c>
      <c r="GK61" s="320">
        <v>0</v>
      </c>
      <c r="GL61" s="320">
        <v>8.5999999999999993E-2</v>
      </c>
      <c r="GM61" s="320">
        <v>5.1999999999999998E-2</v>
      </c>
      <c r="GN61" s="320">
        <v>0.86199999999999999</v>
      </c>
      <c r="GO61" s="662">
        <v>8056</v>
      </c>
      <c r="GP61" s="663" t="str">
        <f>VLOOKUP(GS61,'BD Comarcal'!$A$6:$AV$17,48,FALSE)</f>
        <v>11</v>
      </c>
      <c r="GQ61" s="564">
        <v>410</v>
      </c>
      <c r="GR61" s="256">
        <f t="shared" si="0"/>
        <v>1</v>
      </c>
      <c r="GS61" s="237" t="s">
        <v>90</v>
      </c>
    </row>
    <row r="62" spans="1:201" s="237" customFormat="1" ht="17.25" customHeight="1">
      <c r="A62" s="236" t="s">
        <v>980</v>
      </c>
      <c r="C62" s="238"/>
      <c r="D62" s="238">
        <v>2456</v>
      </c>
      <c r="E62" s="238">
        <v>2230</v>
      </c>
      <c r="F62" s="239">
        <v>0.90798045602605859</v>
      </c>
      <c r="G62" s="238">
        <v>2072</v>
      </c>
      <c r="H62" s="240">
        <v>1928.4728939629458</v>
      </c>
      <c r="I62" s="239">
        <v>0.86478605110446005</v>
      </c>
      <c r="J62" s="238">
        <v>7</v>
      </c>
      <c r="K62" s="238">
        <v>138</v>
      </c>
      <c r="L62" s="238">
        <v>0</v>
      </c>
      <c r="M62" s="241">
        <v>0</v>
      </c>
      <c r="N62" s="238">
        <v>4</v>
      </c>
      <c r="O62" s="239">
        <v>0.5714285714285714</v>
      </c>
      <c r="P62" s="237">
        <v>4</v>
      </c>
      <c r="Q62" s="237">
        <v>1</v>
      </c>
      <c r="R62" s="239">
        <v>0.25</v>
      </c>
      <c r="S62" s="238">
        <v>132</v>
      </c>
      <c r="T62" s="436">
        <v>0</v>
      </c>
      <c r="U62" s="436">
        <v>44</v>
      </c>
      <c r="V62" s="436">
        <v>0</v>
      </c>
      <c r="W62" s="436">
        <v>44</v>
      </c>
      <c r="X62" s="238">
        <v>69</v>
      </c>
      <c r="Y62" s="237">
        <v>0.2</v>
      </c>
      <c r="Z62" s="238">
        <v>1309</v>
      </c>
      <c r="AA62" s="238">
        <v>17928</v>
      </c>
      <c r="AB62" s="238">
        <v>109.54</v>
      </c>
      <c r="AC62" s="238">
        <v>0</v>
      </c>
      <c r="AD62" s="238">
        <v>227123.32</v>
      </c>
      <c r="AE62" s="238">
        <v>1006.3800000000047</v>
      </c>
      <c r="AF62" s="238">
        <v>156691.09</v>
      </c>
      <c r="AG62" s="238">
        <v>30000</v>
      </c>
      <c r="AH62" s="239">
        <v>0.19145951438591691</v>
      </c>
      <c r="AI62" s="242">
        <v>1.231225</v>
      </c>
      <c r="AJ62" s="242">
        <v>1.1739930000000001</v>
      </c>
      <c r="AK62" s="242">
        <v>4.7801017915309447E-2</v>
      </c>
      <c r="AL62" s="242">
        <v>5.8523290000000001</v>
      </c>
      <c r="AM62" s="242">
        <v>0.23828701140065145</v>
      </c>
      <c r="AN62" s="242">
        <v>8098.59</v>
      </c>
      <c r="AO62" s="238">
        <v>0</v>
      </c>
      <c r="AP62" s="243">
        <v>0</v>
      </c>
      <c r="AQ62" s="238"/>
      <c r="AR62" s="238">
        <v>1351.9051313612599</v>
      </c>
      <c r="AS62" s="238">
        <v>2912.875663492443</v>
      </c>
      <c r="AT62" s="238">
        <v>2514.6666666666665</v>
      </c>
      <c r="AU62" s="238">
        <v>223.08245337275079</v>
      </c>
      <c r="AV62" s="237">
        <v>1</v>
      </c>
      <c r="AW62" s="237">
        <v>0</v>
      </c>
      <c r="AX62" s="237">
        <v>1</v>
      </c>
      <c r="AY62" s="244" t="s">
        <v>726</v>
      </c>
      <c r="AZ62" s="244" t="s">
        <v>695</v>
      </c>
      <c r="BA62" s="237">
        <v>0</v>
      </c>
      <c r="BB62" s="245" t="s">
        <v>833</v>
      </c>
      <c r="BC62" s="215" t="s">
        <v>834</v>
      </c>
      <c r="BE62" s="237">
        <v>3</v>
      </c>
      <c r="BF62" s="237">
        <v>17</v>
      </c>
      <c r="BG62" s="246" t="s">
        <v>720</v>
      </c>
      <c r="BI62" s="239">
        <v>0.32</v>
      </c>
      <c r="BJ62" s="239">
        <v>0.04</v>
      </c>
      <c r="BK62" s="239">
        <v>0.6</v>
      </c>
      <c r="BL62" s="239">
        <v>0.04</v>
      </c>
      <c r="BM62" s="247">
        <v>1.6400000000000001</v>
      </c>
      <c r="BN62" s="248">
        <v>0</v>
      </c>
      <c r="BO62" s="248">
        <v>0</v>
      </c>
      <c r="BP62" s="237">
        <v>0</v>
      </c>
      <c r="BQ62" s="237">
        <v>0</v>
      </c>
      <c r="BR62" s="248">
        <v>0</v>
      </c>
      <c r="BS62" s="237">
        <v>19.100000000000001</v>
      </c>
      <c r="BT62" s="237" t="s">
        <v>777</v>
      </c>
      <c r="BU62" s="249" t="s">
        <v>678</v>
      </c>
      <c r="BV62" s="249" t="s">
        <v>678</v>
      </c>
      <c r="BW62" s="249" t="s">
        <v>678</v>
      </c>
      <c r="BX62" s="249" t="s">
        <v>678</v>
      </c>
      <c r="BY62" s="249" t="s">
        <v>678</v>
      </c>
      <c r="BZ62" s="249" t="s">
        <v>678</v>
      </c>
      <c r="CA62" s="249" t="s">
        <v>678</v>
      </c>
      <c r="CB62" s="249" t="s">
        <v>678</v>
      </c>
      <c r="CC62" s="250" t="s">
        <v>678</v>
      </c>
      <c r="CD62" s="242" t="s">
        <v>678</v>
      </c>
      <c r="CE62" s="252" t="s">
        <v>678</v>
      </c>
      <c r="CF62" s="238">
        <v>54</v>
      </c>
      <c r="CG62" s="238">
        <v>2.8</v>
      </c>
      <c r="CH62" s="238">
        <v>3.8888888888888888</v>
      </c>
      <c r="CI62" s="216" t="s">
        <v>722</v>
      </c>
      <c r="CJ62" s="237">
        <v>1</v>
      </c>
      <c r="CK62" s="253">
        <v>1.62</v>
      </c>
      <c r="CL62" s="253">
        <v>8.1974</v>
      </c>
      <c r="CM62" s="254">
        <v>3.3377035830618892E-3</v>
      </c>
      <c r="CN62" s="237" t="s">
        <v>84</v>
      </c>
      <c r="CO62" s="242">
        <v>1193.9000000000001</v>
      </c>
      <c r="CP62" s="255">
        <v>0.48611563517915313</v>
      </c>
      <c r="CQ62" s="237">
        <v>549.01</v>
      </c>
      <c r="CR62" s="248" t="s">
        <v>810</v>
      </c>
      <c r="CT62" s="237">
        <v>549.01</v>
      </c>
      <c r="CW62" s="261" t="s">
        <v>678</v>
      </c>
      <c r="CX62" s="261" t="s">
        <v>678</v>
      </c>
      <c r="CY62" s="261" t="s">
        <v>678</v>
      </c>
      <c r="DB62" s="216" t="s">
        <v>681</v>
      </c>
      <c r="DC62" s="195"/>
      <c r="DD62" s="256">
        <v>0.8</v>
      </c>
      <c r="DE62" s="256">
        <v>-9</v>
      </c>
      <c r="DF62" s="256">
        <v>-0.3</v>
      </c>
      <c r="DG62" s="256">
        <v>-2.6</v>
      </c>
      <c r="DL62" s="237" t="s">
        <v>682</v>
      </c>
      <c r="DP62" s="258" t="s">
        <v>683</v>
      </c>
      <c r="DQ62" s="258" t="s">
        <v>981</v>
      </c>
      <c r="DR62" s="258" t="s">
        <v>982</v>
      </c>
      <c r="DS62" s="258"/>
      <c r="DT62" s="258"/>
      <c r="DU62" s="237">
        <v>0</v>
      </c>
      <c r="DX62" s="247"/>
      <c r="DY62" s="247">
        <v>0</v>
      </c>
      <c r="EA62" s="237">
        <v>0</v>
      </c>
      <c r="ED62" s="237" t="s">
        <v>723</v>
      </c>
      <c r="EE62" s="208">
        <v>2</v>
      </c>
      <c r="EF62" s="237" t="s">
        <v>702</v>
      </c>
      <c r="EG62" s="216" t="s">
        <v>703</v>
      </c>
      <c r="EH62" s="246" t="s">
        <v>704</v>
      </c>
      <c r="EI62" s="216"/>
      <c r="EJ62" s="216" t="s">
        <v>529</v>
      </c>
      <c r="EK62" s="222" t="s">
        <v>682</v>
      </c>
      <c r="EL62" s="259">
        <v>1996</v>
      </c>
      <c r="EM62" s="260">
        <v>1700</v>
      </c>
      <c r="EN62" s="260">
        <v>2375</v>
      </c>
      <c r="EO62" s="260">
        <v>0</v>
      </c>
      <c r="EP62" s="237">
        <v>1</v>
      </c>
      <c r="EQ62" s="237">
        <v>142</v>
      </c>
      <c r="ER62" s="237" t="s">
        <v>705</v>
      </c>
      <c r="ES62" s="237" t="e">
        <v>#DIV/0!</v>
      </c>
      <c r="EU62" s="661">
        <v>8</v>
      </c>
      <c r="EV62" s="661" t="s">
        <v>678</v>
      </c>
      <c r="EW62" s="661">
        <v>0</v>
      </c>
      <c r="EX62" s="661">
        <v>2</v>
      </c>
      <c r="EY62" s="660">
        <v>6.5960912052117271E-4</v>
      </c>
      <c r="EZ62" s="256">
        <v>44.444444444444443</v>
      </c>
      <c r="FA62" s="247">
        <v>0</v>
      </c>
      <c r="FB62" s="208">
        <v>1</v>
      </c>
      <c r="FC62" s="208">
        <v>3</v>
      </c>
      <c r="FD62" s="208">
        <v>2</v>
      </c>
      <c r="FE62" s="239">
        <v>0.92914798206278026</v>
      </c>
      <c r="FF62" s="208">
        <v>1</v>
      </c>
      <c r="FG62" s="241">
        <v>0</v>
      </c>
      <c r="FH62" s="209">
        <v>0.24619282511210763</v>
      </c>
      <c r="FI62" s="237" t="s">
        <v>678</v>
      </c>
      <c r="FJ62" s="208">
        <v>52.7</v>
      </c>
      <c r="FK62" s="208">
        <v>41.04</v>
      </c>
      <c r="FL62" s="217">
        <v>83.3</v>
      </c>
      <c r="FM62" s="208">
        <v>20.260000000000002</v>
      </c>
      <c r="FN62" s="208" t="s">
        <v>983</v>
      </c>
      <c r="FP62" s="247" t="s">
        <v>693</v>
      </c>
      <c r="FU62" s="208">
        <v>36</v>
      </c>
      <c r="FV62" s="208">
        <v>42.2</v>
      </c>
      <c r="FW62" s="237">
        <v>89.94</v>
      </c>
      <c r="FX62" s="237">
        <v>82.6</v>
      </c>
      <c r="FY62" s="208">
        <v>113.66</v>
      </c>
      <c r="FZ62" s="208">
        <v>92</v>
      </c>
      <c r="GA62" s="208">
        <v>88.65</v>
      </c>
      <c r="GB62" s="208">
        <v>99</v>
      </c>
      <c r="GC62" s="208">
        <v>1.49</v>
      </c>
      <c r="GD62" s="208">
        <v>96.6</v>
      </c>
      <c r="GE62" s="237">
        <v>97.72</v>
      </c>
      <c r="GF62" s="237">
        <v>99.7</v>
      </c>
      <c r="GG62" s="237">
        <v>7.93</v>
      </c>
      <c r="GH62" s="237">
        <v>60.4</v>
      </c>
      <c r="GJ62" s="947"/>
      <c r="GK62" s="320"/>
      <c r="GL62" s="320"/>
      <c r="GM62" s="320"/>
      <c r="GN62" s="320"/>
      <c r="GO62" s="662">
        <v>8057</v>
      </c>
      <c r="GP62" s="663" t="str">
        <f>VLOOKUP(GS62,'BD Comarcal'!$A$6:$AV$17,48,FALSE)</f>
        <v>14</v>
      </c>
      <c r="GQ62" s="564">
        <v>1</v>
      </c>
      <c r="GR62" s="256">
        <f t="shared" si="0"/>
        <v>0</v>
      </c>
      <c r="GS62" s="237" t="s">
        <v>84</v>
      </c>
    </row>
    <row r="63" spans="1:201" s="237" customFormat="1" ht="17.25" customHeight="1">
      <c r="A63" s="236" t="s">
        <v>984</v>
      </c>
      <c r="C63" s="238"/>
      <c r="D63" s="238">
        <v>4684</v>
      </c>
      <c r="E63" s="238">
        <v>2387</v>
      </c>
      <c r="F63" s="239">
        <v>0.50960717335610595</v>
      </c>
      <c r="G63" s="238">
        <v>973</v>
      </c>
      <c r="H63" s="240">
        <v>603.74489578396674</v>
      </c>
      <c r="I63" s="239">
        <v>0.25293041298029606</v>
      </c>
      <c r="J63" s="238">
        <v>1459</v>
      </c>
      <c r="K63" s="238">
        <v>5</v>
      </c>
      <c r="L63" s="238">
        <v>41</v>
      </c>
      <c r="M63" s="241">
        <v>8.7532023911187015E-3</v>
      </c>
      <c r="N63" s="238">
        <v>0</v>
      </c>
      <c r="O63" s="239">
        <v>0</v>
      </c>
      <c r="P63" s="237">
        <v>7</v>
      </c>
      <c r="Q63" s="237">
        <v>0</v>
      </c>
      <c r="R63" s="239">
        <v>0</v>
      </c>
      <c r="S63" s="238">
        <v>85</v>
      </c>
      <c r="T63" s="436">
        <v>0</v>
      </c>
      <c r="U63" s="436">
        <v>38</v>
      </c>
      <c r="V63" s="436">
        <v>0</v>
      </c>
      <c r="W63" s="436">
        <v>38</v>
      </c>
      <c r="X63" s="238">
        <v>2193</v>
      </c>
      <c r="Y63" s="237">
        <v>0.19270000000000001</v>
      </c>
      <c r="Z63" s="238">
        <v>29011</v>
      </c>
      <c r="AA63" s="238">
        <v>13115</v>
      </c>
      <c r="AB63" s="238">
        <v>80.13</v>
      </c>
      <c r="AC63" s="238">
        <v>642</v>
      </c>
      <c r="AD63" s="238">
        <v>3251769.59</v>
      </c>
      <c r="AE63" s="238">
        <v>193396.37999999989</v>
      </c>
      <c r="AF63" s="238">
        <v>2642876.5500000003</v>
      </c>
      <c r="AG63" s="238">
        <v>264232.37</v>
      </c>
      <c r="AH63" s="239">
        <v>9.9979081504960932E-2</v>
      </c>
      <c r="AI63" s="242">
        <v>203.89970099999999</v>
      </c>
      <c r="AJ63" s="242">
        <v>71.052201999999994</v>
      </c>
      <c r="AK63" s="242">
        <v>1.5169129376601196</v>
      </c>
      <c r="AL63" s="242">
        <v>174.92808199999999</v>
      </c>
      <c r="AM63" s="242">
        <v>3.7345875747224593</v>
      </c>
      <c r="AN63" s="242">
        <v>45683.02</v>
      </c>
      <c r="AO63" s="238">
        <v>17684.39</v>
      </c>
      <c r="AP63" s="243">
        <v>32</v>
      </c>
      <c r="AQ63" s="238">
        <v>6</v>
      </c>
      <c r="AR63" s="238">
        <v>1549.4946483442664</v>
      </c>
      <c r="AS63" s="238">
        <v>961.70602082256266</v>
      </c>
      <c r="AT63" s="238">
        <v>217665</v>
      </c>
      <c r="AU63" s="238">
        <v>321.76741061380829</v>
      </c>
      <c r="AV63" s="237">
        <v>1</v>
      </c>
      <c r="AW63" s="237">
        <v>0</v>
      </c>
      <c r="AX63" s="237">
        <v>1</v>
      </c>
      <c r="AY63" s="244" t="s">
        <v>673</v>
      </c>
      <c r="AZ63" s="244" t="s">
        <v>673</v>
      </c>
      <c r="BA63" s="237">
        <v>0</v>
      </c>
      <c r="BB63" s="245" t="s">
        <v>985</v>
      </c>
      <c r="BC63" s="215" t="s">
        <v>986</v>
      </c>
      <c r="BE63" s="237">
        <v>10</v>
      </c>
      <c r="BF63" s="237">
        <v>25</v>
      </c>
      <c r="BG63" s="246" t="s">
        <v>676</v>
      </c>
      <c r="BI63" s="239">
        <v>0.37566137566137564</v>
      </c>
      <c r="BJ63" s="239">
        <v>0.21746031746031746</v>
      </c>
      <c r="BK63" s="239">
        <v>0.37777777777777777</v>
      </c>
      <c r="BL63" s="239">
        <v>2.9100529100529099E-2</v>
      </c>
      <c r="BM63" s="247">
        <v>1.9396825396825397</v>
      </c>
      <c r="BN63" s="248">
        <v>0</v>
      </c>
      <c r="BO63" s="248">
        <v>0</v>
      </c>
      <c r="BP63" s="237">
        <v>0</v>
      </c>
      <c r="BQ63" s="237">
        <v>0</v>
      </c>
      <c r="BR63" s="248">
        <v>0</v>
      </c>
      <c r="BS63" s="237">
        <v>15.5</v>
      </c>
      <c r="BT63" s="237" t="s">
        <v>790</v>
      </c>
      <c r="BU63" s="249" t="s">
        <v>678</v>
      </c>
      <c r="BV63" s="249">
        <v>290</v>
      </c>
      <c r="BW63" s="249">
        <v>1231</v>
      </c>
      <c r="BX63" s="249" t="s">
        <v>678</v>
      </c>
      <c r="BY63" s="249" t="s">
        <v>678</v>
      </c>
      <c r="BZ63" s="249">
        <v>12.826183104820876</v>
      </c>
      <c r="CA63" s="249">
        <v>54.444935869084475</v>
      </c>
      <c r="CB63" s="249" t="s">
        <v>678</v>
      </c>
      <c r="CC63" s="250" t="s">
        <v>678</v>
      </c>
      <c r="CD63" s="242" t="s">
        <v>678</v>
      </c>
      <c r="CE63" s="252" t="s">
        <v>678</v>
      </c>
      <c r="CF63" s="238">
        <v>1310</v>
      </c>
      <c r="CG63" s="238">
        <v>166</v>
      </c>
      <c r="CH63" s="238">
        <v>7.3418841220698807</v>
      </c>
      <c r="CI63" s="216" t="s">
        <v>700</v>
      </c>
      <c r="CJ63" s="237">
        <v>0</v>
      </c>
      <c r="CK63" s="253">
        <v>214.37</v>
      </c>
      <c r="CL63" s="253">
        <v>213.0598</v>
      </c>
      <c r="CM63" s="254">
        <v>4.5486720751494451E-2</v>
      </c>
      <c r="CN63" s="237" t="s">
        <v>791</v>
      </c>
      <c r="CO63" s="242">
        <v>1951.76</v>
      </c>
      <c r="CP63" s="255">
        <v>0.41668659265584967</v>
      </c>
      <c r="CV63" s="237">
        <v>7</v>
      </c>
      <c r="CW63" s="261" t="s">
        <v>678</v>
      </c>
      <c r="CX63" s="261" t="s">
        <v>678</v>
      </c>
      <c r="CY63" s="261" t="s">
        <v>678</v>
      </c>
      <c r="CZ63" s="237" t="s">
        <v>529</v>
      </c>
      <c r="DA63" s="237" t="s">
        <v>987</v>
      </c>
      <c r="DB63" s="216" t="s">
        <v>710</v>
      </c>
      <c r="DC63" s="195" t="s">
        <v>711</v>
      </c>
      <c r="DD63" s="256">
        <v>0.7</v>
      </c>
      <c r="DE63" s="256">
        <v>-6.5</v>
      </c>
      <c r="DF63" s="256">
        <v>0.7</v>
      </c>
      <c r="DG63" s="256">
        <v>-2.2000000000000002</v>
      </c>
      <c r="DH63" s="257">
        <v>10</v>
      </c>
      <c r="DI63" s="257">
        <v>312.2</v>
      </c>
      <c r="DJ63" s="257">
        <v>282.72000000000003</v>
      </c>
      <c r="DK63" s="257">
        <v>594.91999999999996</v>
      </c>
      <c r="DL63" s="237" t="s">
        <v>529</v>
      </c>
      <c r="DM63" s="237" t="s">
        <v>988</v>
      </c>
      <c r="DN63" s="237" t="s">
        <v>730</v>
      </c>
      <c r="DP63" s="258" t="s">
        <v>682</v>
      </c>
      <c r="DQ63" s="258"/>
      <c r="DR63" s="258"/>
      <c r="DS63" s="258"/>
      <c r="DT63" s="258"/>
      <c r="DU63" s="237">
        <v>1</v>
      </c>
      <c r="DV63" s="237" t="s">
        <v>989</v>
      </c>
      <c r="DW63" s="237" t="s">
        <v>918</v>
      </c>
      <c r="DX63" s="247">
        <v>79.209999999999994</v>
      </c>
      <c r="DY63" s="247">
        <v>1.6910760034158836</v>
      </c>
      <c r="DZ63" s="237" t="s">
        <v>990</v>
      </c>
      <c r="EA63" s="237">
        <v>1</v>
      </c>
      <c r="EB63" s="237" t="s">
        <v>991</v>
      </c>
      <c r="ED63" s="237" t="s">
        <v>687</v>
      </c>
      <c r="EE63" s="208">
        <v>1</v>
      </c>
      <c r="EF63" s="237" t="s">
        <v>688</v>
      </c>
      <c r="EG63" s="216" t="s">
        <v>691</v>
      </c>
      <c r="EH63" s="246" t="s">
        <v>690</v>
      </c>
      <c r="EI63" s="216" t="s">
        <v>691</v>
      </c>
      <c r="EJ63" s="216" t="s">
        <v>529</v>
      </c>
      <c r="EK63" s="222" t="s">
        <v>682</v>
      </c>
      <c r="EL63" s="259">
        <v>2005</v>
      </c>
      <c r="EM63" s="260">
        <v>18273</v>
      </c>
      <c r="EN63" s="260">
        <v>119848</v>
      </c>
      <c r="EO63" s="260">
        <v>110861</v>
      </c>
      <c r="EP63" s="237">
        <v>1</v>
      </c>
      <c r="EQ63" s="237">
        <v>44</v>
      </c>
      <c r="ER63" s="237" t="s">
        <v>705</v>
      </c>
      <c r="ES63" s="237" t="e">
        <v>#DIV/0!</v>
      </c>
      <c r="ET63" s="237">
        <v>6.0669293493131944</v>
      </c>
      <c r="EU63" s="661">
        <v>1</v>
      </c>
      <c r="EV63" s="661">
        <v>1</v>
      </c>
      <c r="EW63" s="661">
        <v>4</v>
      </c>
      <c r="EX63" s="661">
        <v>7</v>
      </c>
      <c r="EY63" s="660">
        <v>4.5766438941076001E-2</v>
      </c>
      <c r="EZ63" s="256">
        <v>10.547184773988898</v>
      </c>
      <c r="FA63" s="247">
        <v>0.2932551319648094</v>
      </c>
      <c r="FB63" s="208">
        <v>3</v>
      </c>
      <c r="FC63" s="208">
        <v>3</v>
      </c>
      <c r="FD63" s="208">
        <v>7</v>
      </c>
      <c r="FE63" s="239">
        <v>0.40762463343108507</v>
      </c>
      <c r="FF63" s="208"/>
      <c r="FG63" s="241">
        <v>0.24923334729786342</v>
      </c>
      <c r="FH63" s="209">
        <v>0</v>
      </c>
      <c r="FI63" s="237" t="s">
        <v>678</v>
      </c>
      <c r="FJ63" s="208">
        <v>43.9</v>
      </c>
      <c r="FK63" s="208">
        <v>19.96</v>
      </c>
      <c r="FL63" s="217">
        <v>61.1</v>
      </c>
      <c r="FM63" s="208">
        <v>0.75</v>
      </c>
      <c r="FN63" s="208" t="s">
        <v>992</v>
      </c>
      <c r="FP63" s="247" t="s">
        <v>693</v>
      </c>
      <c r="FU63" s="208">
        <v>38</v>
      </c>
      <c r="FV63" s="208">
        <v>46.7</v>
      </c>
      <c r="FW63" s="237">
        <v>44.06</v>
      </c>
      <c r="FX63" s="237">
        <v>22.9</v>
      </c>
      <c r="FY63" s="208">
        <v>12.13</v>
      </c>
      <c r="FZ63" s="208">
        <v>22.6</v>
      </c>
      <c r="GA63" s="208">
        <v>26.7</v>
      </c>
      <c r="GB63" s="208">
        <v>15.8</v>
      </c>
      <c r="GC63" s="208">
        <v>0.25</v>
      </c>
      <c r="GD63" s="208">
        <v>43.9</v>
      </c>
      <c r="GE63" s="237">
        <v>19.09</v>
      </c>
      <c r="GF63" s="237">
        <v>14.8</v>
      </c>
      <c r="GG63" s="237">
        <v>5.23</v>
      </c>
      <c r="GH63" s="237">
        <v>45.7</v>
      </c>
      <c r="GJ63" s="947"/>
      <c r="GK63" s="320"/>
      <c r="GL63" s="320"/>
      <c r="GM63" s="320"/>
      <c r="GN63" s="320"/>
      <c r="GO63" s="662">
        <v>8058</v>
      </c>
      <c r="GP63" s="663" t="str">
        <f>VLOOKUP(GS63,'BD Comarcal'!$A$6:$AV$17,48,FALSE)</f>
        <v>03</v>
      </c>
      <c r="GQ63" s="564">
        <v>20</v>
      </c>
      <c r="GR63" s="256">
        <f t="shared" si="0"/>
        <v>1</v>
      </c>
      <c r="GS63" s="237" t="s">
        <v>791</v>
      </c>
    </row>
    <row r="64" spans="1:201" s="237" customFormat="1" ht="17.25" customHeight="1">
      <c r="A64" s="236" t="s">
        <v>993</v>
      </c>
      <c r="C64" s="238"/>
      <c r="D64" s="238">
        <v>5942</v>
      </c>
      <c r="E64" s="238">
        <v>4397</v>
      </c>
      <c r="F64" s="239">
        <v>0.73998653651969037</v>
      </c>
      <c r="G64" s="238">
        <v>2355</v>
      </c>
      <c r="H64" s="240">
        <v>3610.0640490067549</v>
      </c>
      <c r="I64" s="239">
        <v>0.8210288944750409</v>
      </c>
      <c r="J64" s="238">
        <v>1301</v>
      </c>
      <c r="K64" s="238">
        <v>595</v>
      </c>
      <c r="L64" s="238">
        <v>4</v>
      </c>
      <c r="M64" s="241">
        <v>6.7317401548300237E-4</v>
      </c>
      <c r="N64" s="238">
        <v>17</v>
      </c>
      <c r="O64" s="239">
        <v>1.3066871637202153E-2</v>
      </c>
      <c r="P64" s="237">
        <v>17</v>
      </c>
      <c r="Q64" s="237">
        <v>0</v>
      </c>
      <c r="R64" s="239">
        <v>0</v>
      </c>
      <c r="S64" s="238">
        <v>1211</v>
      </c>
      <c r="T64" s="436">
        <v>0</v>
      </c>
      <c r="U64" s="436">
        <v>55</v>
      </c>
      <c r="V64" s="436">
        <v>0</v>
      </c>
      <c r="W64" s="436">
        <v>55</v>
      </c>
      <c r="X64" s="238">
        <v>448</v>
      </c>
      <c r="Y64" s="237">
        <v>0.1963</v>
      </c>
      <c r="Z64" s="238">
        <v>6656</v>
      </c>
      <c r="AA64" s="238">
        <v>15336</v>
      </c>
      <c r="AB64" s="238">
        <v>93.7</v>
      </c>
      <c r="AC64" s="238">
        <v>0</v>
      </c>
      <c r="AD64" s="238">
        <v>589581.81000000006</v>
      </c>
      <c r="AE64" s="238">
        <v>129587.72000000003</v>
      </c>
      <c r="AF64" s="238">
        <v>490864.07</v>
      </c>
      <c r="AG64" s="238">
        <v>94331.62</v>
      </c>
      <c r="AH64" s="239">
        <v>0.19217462789647649</v>
      </c>
      <c r="AI64" s="242">
        <v>7.5750669999999998</v>
      </c>
      <c r="AJ64" s="242">
        <v>0.254772</v>
      </c>
      <c r="AK64" s="242">
        <v>4.2876472568158866E-3</v>
      </c>
      <c r="AL64" s="242" t="s">
        <v>678</v>
      </c>
      <c r="AM64" s="242" t="s">
        <v>678</v>
      </c>
      <c r="AN64" s="242">
        <v>27461.99</v>
      </c>
      <c r="AO64" s="238">
        <v>0</v>
      </c>
      <c r="AP64" s="243">
        <v>0</v>
      </c>
      <c r="AQ64" s="238"/>
      <c r="AR64" s="238">
        <v>1191.9110743087558</v>
      </c>
      <c r="AS64" s="238">
        <v>1254.6688978652676</v>
      </c>
      <c r="AT64" s="238">
        <v>25931.666666666668</v>
      </c>
      <c r="AU64" s="238">
        <v>299.38604940007264</v>
      </c>
      <c r="AV64" s="237">
        <v>1</v>
      </c>
      <c r="AW64" s="237">
        <v>1</v>
      </c>
      <c r="AX64" s="237">
        <v>1</v>
      </c>
      <c r="AY64" s="244" t="s">
        <v>717</v>
      </c>
      <c r="AZ64" s="244" t="s">
        <v>695</v>
      </c>
      <c r="BA64" s="237">
        <v>0</v>
      </c>
      <c r="BB64" s="245" t="s">
        <v>994</v>
      </c>
      <c r="BC64" s="215" t="s">
        <v>995</v>
      </c>
      <c r="BD64" s="237">
        <v>1</v>
      </c>
      <c r="BE64" s="237">
        <v>1</v>
      </c>
      <c r="BF64" s="237">
        <v>90</v>
      </c>
      <c r="BG64" s="246" t="s">
        <v>720</v>
      </c>
      <c r="BI64" s="239">
        <v>0.60176991150442483</v>
      </c>
      <c r="BJ64" s="239">
        <v>6.1946902654867256E-2</v>
      </c>
      <c r="BK64" s="239">
        <v>0.32743362831858408</v>
      </c>
      <c r="BL64" s="239">
        <v>8.8495575221238937E-3</v>
      </c>
      <c r="BM64" s="247">
        <v>2.2566371681415931</v>
      </c>
      <c r="BN64" s="248">
        <v>0</v>
      </c>
      <c r="BO64" s="248">
        <v>0</v>
      </c>
      <c r="BP64" s="237">
        <v>0</v>
      </c>
      <c r="BQ64" s="237">
        <v>0</v>
      </c>
      <c r="BR64" s="248">
        <v>0</v>
      </c>
      <c r="BS64" s="237">
        <v>17</v>
      </c>
      <c r="BT64" s="237" t="s">
        <v>699</v>
      </c>
      <c r="BU64" s="249" t="s">
        <v>678</v>
      </c>
      <c r="BV64" s="249" t="s">
        <v>678</v>
      </c>
      <c r="BW64" s="249" t="s">
        <v>678</v>
      </c>
      <c r="BX64" s="249" t="s">
        <v>678</v>
      </c>
      <c r="BY64" s="249" t="s">
        <v>678</v>
      </c>
      <c r="BZ64" s="249" t="s">
        <v>678</v>
      </c>
      <c r="CA64" s="249" t="s">
        <v>678</v>
      </c>
      <c r="CB64" s="249" t="s">
        <v>678</v>
      </c>
      <c r="CC64" s="250" t="s">
        <v>678</v>
      </c>
      <c r="CD64" s="242" t="s">
        <v>678</v>
      </c>
      <c r="CE64" s="252" t="s">
        <v>678</v>
      </c>
      <c r="CF64" s="238">
        <v>287</v>
      </c>
      <c r="CG64" s="238">
        <v>15</v>
      </c>
      <c r="CH64" s="238">
        <v>3.5377358490566038</v>
      </c>
      <c r="CI64" s="216" t="s">
        <v>722</v>
      </c>
      <c r="CJ64" s="237">
        <v>1</v>
      </c>
      <c r="CK64" s="253">
        <v>67</v>
      </c>
      <c r="CL64" s="253">
        <v>0</v>
      </c>
      <c r="CM64" s="254">
        <v>0</v>
      </c>
      <c r="CN64" s="237" t="s">
        <v>82</v>
      </c>
      <c r="CO64" s="242"/>
      <c r="CP64" s="255">
        <v>0</v>
      </c>
      <c r="CV64" s="237">
        <v>1</v>
      </c>
      <c r="CW64" s="261" t="s">
        <v>678</v>
      </c>
      <c r="CX64" s="261" t="s">
        <v>678</v>
      </c>
      <c r="CY64" s="261" t="s">
        <v>678</v>
      </c>
      <c r="DB64" s="216" t="s">
        <v>746</v>
      </c>
      <c r="DC64" s="195" t="s">
        <v>866</v>
      </c>
      <c r="DD64" s="256">
        <v>0.8</v>
      </c>
      <c r="DE64" s="256">
        <v>-9</v>
      </c>
      <c r="DF64" s="256">
        <v>-0.3</v>
      </c>
      <c r="DG64" s="256">
        <v>-2.6</v>
      </c>
      <c r="DH64" s="257">
        <v>1</v>
      </c>
      <c r="DI64" s="257">
        <v>2.2000000000000002</v>
      </c>
      <c r="DJ64" s="257">
        <v>0</v>
      </c>
      <c r="DK64" s="257">
        <v>2.2000000000000002</v>
      </c>
      <c r="DL64" s="237" t="s">
        <v>682</v>
      </c>
      <c r="DP64" s="258" t="s">
        <v>682</v>
      </c>
      <c r="DQ64" s="258"/>
      <c r="DR64" s="258"/>
      <c r="DS64" s="258"/>
      <c r="DT64" s="258"/>
      <c r="DU64" s="237">
        <v>0</v>
      </c>
      <c r="DX64" s="247"/>
      <c r="DY64" s="247">
        <v>0</v>
      </c>
      <c r="EA64" s="237">
        <v>0</v>
      </c>
      <c r="ED64" s="237" t="s">
        <v>687</v>
      </c>
      <c r="EE64" s="208">
        <v>1</v>
      </c>
      <c r="EF64" s="237" t="s">
        <v>688</v>
      </c>
      <c r="EG64" s="216" t="s">
        <v>703</v>
      </c>
      <c r="EH64" s="246" t="s">
        <v>704</v>
      </c>
      <c r="EI64" s="216" t="s">
        <v>691</v>
      </c>
      <c r="EJ64" s="216" t="s">
        <v>529</v>
      </c>
      <c r="EK64" s="222" t="s">
        <v>529</v>
      </c>
      <c r="EL64" s="259">
        <v>1994</v>
      </c>
      <c r="EM64" s="260">
        <v>1760</v>
      </c>
      <c r="EN64" s="260">
        <v>21972</v>
      </c>
      <c r="EO64" s="260">
        <v>4740</v>
      </c>
      <c r="ER64" s="237" t="s">
        <v>973</v>
      </c>
      <c r="ES64" s="237" t="e">
        <v>#DIV/0!</v>
      </c>
      <c r="ET64" s="237">
        <v>2.6931818181818183</v>
      </c>
      <c r="EU64" s="661">
        <v>1</v>
      </c>
      <c r="EV64" s="661" t="s">
        <v>678</v>
      </c>
      <c r="EW64" s="661">
        <v>1</v>
      </c>
      <c r="EX64" s="661">
        <v>4</v>
      </c>
      <c r="EY64" s="660">
        <v>1.127566475934029E-2</v>
      </c>
      <c r="EZ64" s="256">
        <v>6.3283582089552235</v>
      </c>
      <c r="FA64" s="247">
        <v>2.2742779167614281E-2</v>
      </c>
      <c r="FB64" s="208">
        <v>4</v>
      </c>
      <c r="FC64" s="208">
        <v>4</v>
      </c>
      <c r="FD64" s="208">
        <v>2</v>
      </c>
      <c r="FE64" s="239">
        <v>0.53559244939731632</v>
      </c>
      <c r="FF64" s="208">
        <v>1</v>
      </c>
      <c r="FG64" s="241">
        <v>5.0034114168751422E-4</v>
      </c>
      <c r="FH64" s="209">
        <v>0</v>
      </c>
      <c r="FI64" s="237" t="s">
        <v>678</v>
      </c>
      <c r="FJ64" s="208">
        <v>67.8</v>
      </c>
      <c r="FK64" s="208">
        <v>0</v>
      </c>
      <c r="FL64" s="217">
        <v>2.6</v>
      </c>
      <c r="FM64" s="208">
        <v>6.2</v>
      </c>
      <c r="FN64" s="208" t="s">
        <v>996</v>
      </c>
      <c r="FP64" s="247" t="s">
        <v>693</v>
      </c>
      <c r="FU64" s="208">
        <v>67</v>
      </c>
      <c r="FV64" s="208">
        <v>95.7</v>
      </c>
      <c r="FW64" s="237">
        <v>57.82</v>
      </c>
      <c r="FX64" s="237">
        <v>37.700000000000003</v>
      </c>
      <c r="FY64" s="208">
        <v>27.95</v>
      </c>
      <c r="FZ64" s="208">
        <v>44.1</v>
      </c>
      <c r="GA64" s="208">
        <v>51.1</v>
      </c>
      <c r="GB64" s="208">
        <v>53.5</v>
      </c>
      <c r="GC64" s="208">
        <v>0.33</v>
      </c>
      <c r="GD64" s="208">
        <v>50.5</v>
      </c>
      <c r="GE64" s="237">
        <v>43.31</v>
      </c>
      <c r="GF64" s="237">
        <v>56.4</v>
      </c>
      <c r="GG64" s="237">
        <v>10.35</v>
      </c>
      <c r="GH64" s="237">
        <v>69.400000000000006</v>
      </c>
      <c r="GJ64" s="947"/>
      <c r="GK64" s="320"/>
      <c r="GL64" s="320"/>
      <c r="GM64" s="320"/>
      <c r="GN64" s="320"/>
      <c r="GO64" s="662">
        <v>8059</v>
      </c>
      <c r="GP64" s="663" t="str">
        <f>VLOOKUP(GS64,'BD Comarcal'!$A$6:$AV$17,48,FALSE)</f>
        <v>07</v>
      </c>
      <c r="GQ64" s="564">
        <v>4</v>
      </c>
      <c r="GR64" s="256">
        <f t="shared" si="0"/>
        <v>1</v>
      </c>
      <c r="GS64" s="237" t="s">
        <v>82</v>
      </c>
    </row>
    <row r="65" spans="1:201" s="237" customFormat="1" ht="17.25" customHeight="1">
      <c r="A65" s="236" t="s">
        <v>997</v>
      </c>
      <c r="C65" s="238"/>
      <c r="D65" s="238">
        <v>2630</v>
      </c>
      <c r="E65" s="238">
        <v>1283</v>
      </c>
      <c r="F65" s="239">
        <v>0.48783269961977188</v>
      </c>
      <c r="G65" s="238">
        <v>639</v>
      </c>
      <c r="H65" s="240">
        <v>465.08515267985433</v>
      </c>
      <c r="I65" s="239">
        <v>0.36249817044415772</v>
      </c>
      <c r="J65" s="238">
        <v>903</v>
      </c>
      <c r="K65" s="238">
        <v>0</v>
      </c>
      <c r="L65" s="238">
        <v>2</v>
      </c>
      <c r="M65" s="241">
        <v>7.6045627376425851E-4</v>
      </c>
      <c r="N65" s="238">
        <v>0</v>
      </c>
      <c r="O65" s="239">
        <v>0</v>
      </c>
      <c r="P65" s="237">
        <v>10</v>
      </c>
      <c r="Q65" s="237">
        <v>0</v>
      </c>
      <c r="R65" s="239">
        <v>0</v>
      </c>
      <c r="S65" s="238">
        <v>1409</v>
      </c>
      <c r="T65" s="436">
        <v>0</v>
      </c>
      <c r="U65" s="436">
        <v>14</v>
      </c>
      <c r="V65" s="436">
        <v>0</v>
      </c>
      <c r="W65" s="436">
        <v>14</v>
      </c>
      <c r="X65" s="238">
        <v>165</v>
      </c>
      <c r="Y65" s="237">
        <v>0.26550000000000001</v>
      </c>
      <c r="Z65" s="238">
        <v>2070</v>
      </c>
      <c r="AA65" s="238">
        <v>12396</v>
      </c>
      <c r="AB65" s="238">
        <v>75.739999999999995</v>
      </c>
      <c r="AC65" s="238">
        <v>28</v>
      </c>
      <c r="AD65" s="238">
        <v>482711.82999999996</v>
      </c>
      <c r="AE65" s="238">
        <v>7238.820000000007</v>
      </c>
      <c r="AF65" s="238">
        <v>394650.76</v>
      </c>
      <c r="AG65" s="238">
        <v>144152.63</v>
      </c>
      <c r="AH65" s="239">
        <v>0.36526631799720849</v>
      </c>
      <c r="AI65" s="242">
        <v>3.937243</v>
      </c>
      <c r="AJ65" s="242">
        <v>0.67924099999999998</v>
      </c>
      <c r="AK65" s="242">
        <v>2.5826653992395435E-2</v>
      </c>
      <c r="AL65" s="242" t="s">
        <v>678</v>
      </c>
      <c r="AM65" s="242" t="s">
        <v>678</v>
      </c>
      <c r="AN65" s="242">
        <v>14741.79</v>
      </c>
      <c r="AO65" s="238">
        <v>9802.66</v>
      </c>
      <c r="AP65" s="243">
        <v>43</v>
      </c>
      <c r="AQ65" s="238"/>
      <c r="AR65" s="238">
        <v>2279.6052968536474</v>
      </c>
      <c r="AS65" s="238">
        <v>968.51466102936911</v>
      </c>
      <c r="AT65" s="238">
        <v>11547.333333333334</v>
      </c>
      <c r="AU65" s="238">
        <v>313.64682538042769</v>
      </c>
      <c r="AV65" s="237">
        <v>1</v>
      </c>
      <c r="AW65" s="237">
        <v>1</v>
      </c>
      <c r="AX65" s="237">
        <v>1</v>
      </c>
      <c r="AY65" s="244" t="s">
        <v>673</v>
      </c>
      <c r="AZ65" s="244" t="s">
        <v>673</v>
      </c>
      <c r="BA65" s="237">
        <v>0</v>
      </c>
      <c r="BB65" s="245" t="s">
        <v>998</v>
      </c>
      <c r="BC65" s="215" t="s">
        <v>999</v>
      </c>
      <c r="BE65" s="237">
        <v>2</v>
      </c>
      <c r="BF65" s="237">
        <v>77</v>
      </c>
      <c r="BG65" s="246" t="s">
        <v>698</v>
      </c>
      <c r="BI65" s="239">
        <v>0.95375722543352603</v>
      </c>
      <c r="BJ65" s="239">
        <v>1.1560693641618497E-2</v>
      </c>
      <c r="BK65" s="239">
        <v>3.4682080924855488E-2</v>
      </c>
      <c r="BL65" s="239">
        <v>0</v>
      </c>
      <c r="BM65" s="247">
        <v>2.9190751445086707</v>
      </c>
      <c r="BN65" s="248">
        <v>0</v>
      </c>
      <c r="BO65" s="248">
        <v>0</v>
      </c>
      <c r="BP65" s="237">
        <v>0</v>
      </c>
      <c r="BQ65" s="237">
        <v>0</v>
      </c>
      <c r="BR65" s="248">
        <v>0</v>
      </c>
      <c r="BS65" s="237">
        <v>34</v>
      </c>
      <c r="BT65" s="237" t="s">
        <v>755</v>
      </c>
      <c r="BU65" s="249" t="s">
        <v>678</v>
      </c>
      <c r="BV65" s="249" t="s">
        <v>678</v>
      </c>
      <c r="BW65" s="249" t="s">
        <v>678</v>
      </c>
      <c r="BX65" s="249" t="s">
        <v>678</v>
      </c>
      <c r="BY65" s="249" t="s">
        <v>678</v>
      </c>
      <c r="BZ65" s="249" t="s">
        <v>678</v>
      </c>
      <c r="CA65" s="249" t="s">
        <v>678</v>
      </c>
      <c r="CB65" s="249" t="s">
        <v>678</v>
      </c>
      <c r="CC65" s="250" t="s">
        <v>678</v>
      </c>
      <c r="CD65" s="242" t="s">
        <v>678</v>
      </c>
      <c r="CE65" s="252" t="s">
        <v>678</v>
      </c>
      <c r="CF65" s="238">
        <v>153</v>
      </c>
      <c r="CG65" s="238">
        <v>8</v>
      </c>
      <c r="CH65" s="238">
        <v>4.3715846994535523</v>
      </c>
      <c r="CI65" s="216" t="s">
        <v>722</v>
      </c>
      <c r="CJ65" s="237">
        <v>1</v>
      </c>
      <c r="CK65" s="253">
        <v>4.1100000000000003</v>
      </c>
      <c r="CL65" s="253">
        <v>0</v>
      </c>
      <c r="CM65" s="254">
        <v>0</v>
      </c>
      <c r="CN65" s="237" t="s">
        <v>81</v>
      </c>
      <c r="CO65" s="242">
        <v>463.11</v>
      </c>
      <c r="CP65" s="255">
        <v>0.17608745247148289</v>
      </c>
      <c r="CV65" s="237">
        <v>2</v>
      </c>
      <c r="CW65" s="261" t="s">
        <v>678</v>
      </c>
      <c r="CX65" s="261" t="s">
        <v>678</v>
      </c>
      <c r="CY65" s="261" t="s">
        <v>678</v>
      </c>
      <c r="DB65" s="216" t="s">
        <v>710</v>
      </c>
      <c r="DC65" s="195" t="s">
        <v>1000</v>
      </c>
      <c r="DD65" s="256">
        <v>0.8</v>
      </c>
      <c r="DE65" s="256">
        <v>-10</v>
      </c>
      <c r="DF65" s="256">
        <v>0.5</v>
      </c>
      <c r="DG65" s="256">
        <v>-2.2999999999999998</v>
      </c>
      <c r="DH65" s="257">
        <v>2</v>
      </c>
      <c r="DI65" s="257">
        <v>1.2</v>
      </c>
      <c r="DJ65" s="257">
        <v>4.7</v>
      </c>
      <c r="DK65" s="257">
        <v>5.9</v>
      </c>
      <c r="DL65" s="237" t="s">
        <v>529</v>
      </c>
      <c r="DN65" s="237" t="s">
        <v>730</v>
      </c>
      <c r="DP65" s="258" t="s">
        <v>682</v>
      </c>
      <c r="DQ65" s="258"/>
      <c r="DR65" s="258"/>
      <c r="DS65" s="258"/>
      <c r="DT65" s="258"/>
      <c r="DU65" s="237">
        <v>0</v>
      </c>
      <c r="DX65" s="247"/>
      <c r="DY65" s="247">
        <v>0</v>
      </c>
      <c r="EA65" s="237">
        <v>0</v>
      </c>
      <c r="ED65" s="237" t="s">
        <v>1001</v>
      </c>
      <c r="EE65" s="208">
        <v>3</v>
      </c>
      <c r="EF65" s="237" t="s">
        <v>688</v>
      </c>
      <c r="EG65" s="216" t="s">
        <v>691</v>
      </c>
      <c r="EH65" s="246" t="s">
        <v>690</v>
      </c>
      <c r="EI65" s="216"/>
      <c r="EJ65" s="216" t="s">
        <v>529</v>
      </c>
      <c r="EK65" s="222" t="s">
        <v>682</v>
      </c>
      <c r="EL65" s="259">
        <v>2000</v>
      </c>
      <c r="EM65" s="260">
        <v>227</v>
      </c>
      <c r="EN65" s="260">
        <v>8483</v>
      </c>
      <c r="EO65" s="260">
        <v>3801</v>
      </c>
      <c r="ER65" s="237" t="s">
        <v>705</v>
      </c>
      <c r="ES65" s="237" t="e">
        <v>#DIV/0!</v>
      </c>
      <c r="ET65" s="237">
        <v>16.744493392070485</v>
      </c>
      <c r="EU65" s="661">
        <v>3</v>
      </c>
      <c r="EV65" s="661" t="s">
        <v>678</v>
      </c>
      <c r="EW65" s="661">
        <v>1</v>
      </c>
      <c r="EX65" s="661">
        <v>6</v>
      </c>
      <c r="EY65" s="660">
        <v>1.5627376425855514E-3</v>
      </c>
      <c r="EZ65" s="256">
        <v>44.525547445255469</v>
      </c>
      <c r="FA65" s="247">
        <v>0.1558846453624318</v>
      </c>
      <c r="FB65" s="208">
        <v>6</v>
      </c>
      <c r="FC65" s="208">
        <v>4</v>
      </c>
      <c r="FD65" s="208">
        <v>3</v>
      </c>
      <c r="FE65" s="239">
        <v>0.49805144193296963</v>
      </c>
      <c r="FF65" s="208"/>
      <c r="FG65" s="241">
        <v>4.5985970381917382E-3</v>
      </c>
      <c r="FH65" s="209">
        <v>0</v>
      </c>
      <c r="FI65" s="237" t="s">
        <v>678</v>
      </c>
      <c r="FJ65" s="208" t="s">
        <v>678</v>
      </c>
      <c r="FK65" s="208" t="s">
        <v>678</v>
      </c>
      <c r="FL65" s="217" t="s">
        <v>678</v>
      </c>
      <c r="FM65" s="208" t="s">
        <v>678</v>
      </c>
      <c r="FN65" s="208" t="s">
        <v>678</v>
      </c>
      <c r="FP65" s="247" t="s">
        <v>693</v>
      </c>
      <c r="FU65" s="208" t="s">
        <v>678</v>
      </c>
      <c r="FV65" s="208" t="s">
        <v>678</v>
      </c>
      <c r="FW65" s="208" t="s">
        <v>678</v>
      </c>
      <c r="FX65" s="208" t="s">
        <v>678</v>
      </c>
      <c r="FY65" s="208" t="s">
        <v>678</v>
      </c>
      <c r="FZ65" s="208" t="s">
        <v>678</v>
      </c>
      <c r="GA65" s="208" t="s">
        <v>678</v>
      </c>
      <c r="GB65" s="208" t="s">
        <v>678</v>
      </c>
      <c r="GC65" s="208" t="s">
        <v>678</v>
      </c>
      <c r="GD65" s="208" t="s">
        <v>678</v>
      </c>
      <c r="GE65" s="237" t="s">
        <v>678</v>
      </c>
      <c r="GF65" s="237" t="s">
        <v>678</v>
      </c>
      <c r="GG65" s="237" t="s">
        <v>678</v>
      </c>
      <c r="GH65" s="237" t="s">
        <v>678</v>
      </c>
      <c r="GJ65" s="947"/>
      <c r="GK65" s="320"/>
      <c r="GL65" s="320"/>
      <c r="GM65" s="320"/>
      <c r="GN65" s="320"/>
      <c r="GO65" s="662">
        <v>8060</v>
      </c>
      <c r="GP65" s="663" t="str">
        <f>VLOOKUP(GS65,'BD Comarcal'!$A$6:$AV$17,48,FALSE)</f>
        <v>06</v>
      </c>
      <c r="GQ65" s="564">
        <v>4</v>
      </c>
      <c r="GR65" s="256">
        <f t="shared" si="0"/>
        <v>1</v>
      </c>
      <c r="GS65" s="237" t="s">
        <v>81</v>
      </c>
    </row>
    <row r="66" spans="1:201" s="237" customFormat="1" ht="17.25" customHeight="1">
      <c r="A66" s="236" t="s">
        <v>1002</v>
      </c>
      <c r="C66" s="238"/>
      <c r="D66" s="238">
        <v>1720</v>
      </c>
      <c r="E66" s="238">
        <v>1139</v>
      </c>
      <c r="F66" s="239">
        <v>0.66220930232558139</v>
      </c>
      <c r="G66" s="238">
        <v>772</v>
      </c>
      <c r="H66" s="240">
        <v>440.4801334132012</v>
      </c>
      <c r="I66" s="239">
        <v>0.38672531467357435</v>
      </c>
      <c r="J66" s="238">
        <v>322</v>
      </c>
      <c r="K66" s="238">
        <v>65</v>
      </c>
      <c r="L66" s="238">
        <v>19</v>
      </c>
      <c r="M66" s="241">
        <v>1.1046511627906977E-2</v>
      </c>
      <c r="N66" s="238">
        <v>8</v>
      </c>
      <c r="O66" s="239">
        <v>2.4844720496894408E-2</v>
      </c>
      <c r="P66" s="237">
        <v>8</v>
      </c>
      <c r="Q66" s="237">
        <v>0</v>
      </c>
      <c r="R66" s="239">
        <v>0</v>
      </c>
      <c r="S66" s="238">
        <v>364</v>
      </c>
      <c r="T66" s="436">
        <v>0</v>
      </c>
      <c r="U66" s="436">
        <v>0</v>
      </c>
      <c r="V66" s="436">
        <v>0</v>
      </c>
      <c r="W66" s="436">
        <v>0</v>
      </c>
      <c r="X66" s="238">
        <v>1995</v>
      </c>
      <c r="Y66" s="237">
        <v>0.1578</v>
      </c>
      <c r="Z66" s="238">
        <v>30610</v>
      </c>
      <c r="AA66" s="238">
        <v>15336</v>
      </c>
      <c r="AB66" s="238">
        <v>93.7</v>
      </c>
      <c r="AC66" s="238">
        <v>954</v>
      </c>
      <c r="AD66" s="238">
        <v>2363387.4500000002</v>
      </c>
      <c r="AE66" s="238">
        <v>1216807.7699999996</v>
      </c>
      <c r="AF66" s="238">
        <v>2099543.75</v>
      </c>
      <c r="AG66" s="238">
        <v>8764.1</v>
      </c>
      <c r="AH66" s="239">
        <v>4.1742878661137689E-3</v>
      </c>
      <c r="AI66" s="242">
        <v>101.857939</v>
      </c>
      <c r="AJ66" s="242">
        <v>29.164021000000002</v>
      </c>
      <c r="AK66" s="242">
        <v>1.6955826162790699</v>
      </c>
      <c r="AL66" s="242">
        <v>97.862836999999999</v>
      </c>
      <c r="AM66" s="242">
        <v>5.6896998255813953</v>
      </c>
      <c r="AN66" s="242">
        <v>19774.75</v>
      </c>
      <c r="AO66" s="238">
        <v>1985.92</v>
      </c>
      <c r="AP66" s="243">
        <v>11</v>
      </c>
      <c r="AQ66" s="238"/>
      <c r="AR66" s="238">
        <v>1464.6678468804814</v>
      </c>
      <c r="AS66" s="238">
        <v>1846.1051982897</v>
      </c>
      <c r="AT66" s="238">
        <v>256104.66666666666</v>
      </c>
      <c r="AU66" s="238">
        <v>288.42028345523215</v>
      </c>
      <c r="AV66" s="237">
        <v>1</v>
      </c>
      <c r="AW66" s="237">
        <v>1</v>
      </c>
      <c r="AX66" s="237">
        <v>1</v>
      </c>
      <c r="AY66" s="244" t="s">
        <v>673</v>
      </c>
      <c r="AZ66" s="244" t="s">
        <v>673</v>
      </c>
      <c r="BA66" s="237">
        <v>2012</v>
      </c>
      <c r="BB66" s="245" t="s">
        <v>959</v>
      </c>
      <c r="BC66" s="215" t="s">
        <v>960</v>
      </c>
      <c r="BE66" s="237">
        <v>1</v>
      </c>
      <c r="BF66" s="237">
        <v>90</v>
      </c>
      <c r="BG66" s="246" t="s">
        <v>698</v>
      </c>
      <c r="BI66" s="239">
        <v>0.29306794783802331</v>
      </c>
      <c r="BJ66" s="239">
        <v>0.10981468771448182</v>
      </c>
      <c r="BK66" s="239">
        <v>0.55662319835277974</v>
      </c>
      <c r="BL66" s="239">
        <v>4.0494166094715171E-2</v>
      </c>
      <c r="BM66" s="247">
        <v>1.6554564172958131</v>
      </c>
      <c r="BN66" s="248">
        <v>0</v>
      </c>
      <c r="BO66" s="248">
        <v>0</v>
      </c>
      <c r="BP66" s="237">
        <v>0</v>
      </c>
      <c r="BQ66" s="237">
        <v>0</v>
      </c>
      <c r="BR66" s="248">
        <v>0</v>
      </c>
      <c r="BS66" s="237">
        <v>8.6</v>
      </c>
      <c r="BT66" s="237" t="s">
        <v>699</v>
      </c>
      <c r="BU66" s="249" t="s">
        <v>678</v>
      </c>
      <c r="BV66" s="249">
        <v>231</v>
      </c>
      <c r="BW66" s="249">
        <v>994</v>
      </c>
      <c r="BX66" s="249" t="s">
        <v>678</v>
      </c>
      <c r="BY66" s="249" t="s">
        <v>678</v>
      </c>
      <c r="BZ66" s="249">
        <v>11.418685121107266</v>
      </c>
      <c r="CA66" s="249">
        <v>49.134948096885815</v>
      </c>
      <c r="CB66" s="249" t="s">
        <v>678</v>
      </c>
      <c r="CC66" s="250" t="s">
        <v>678</v>
      </c>
      <c r="CD66" s="242" t="s">
        <v>678</v>
      </c>
      <c r="CE66" s="252" t="s">
        <v>678</v>
      </c>
      <c r="CF66" s="238">
        <v>1073</v>
      </c>
      <c r="CG66" s="238">
        <v>175</v>
      </c>
      <c r="CH66" s="238">
        <v>8.6505190311418687</v>
      </c>
      <c r="CI66" s="216" t="s">
        <v>700</v>
      </c>
      <c r="CJ66" s="237">
        <v>0</v>
      </c>
      <c r="CK66" s="253">
        <v>206.35</v>
      </c>
      <c r="CL66" s="253">
        <v>43.595799999999997</v>
      </c>
      <c r="CM66" s="254">
        <v>2.5346395348837206E-2</v>
      </c>
      <c r="CN66" s="237" t="s">
        <v>82</v>
      </c>
      <c r="CO66" s="242"/>
      <c r="CP66" s="255">
        <v>0</v>
      </c>
      <c r="CV66" s="237">
        <v>2</v>
      </c>
      <c r="CW66" s="261" t="s">
        <v>678</v>
      </c>
      <c r="CX66" s="261" t="s">
        <v>678</v>
      </c>
      <c r="CY66" s="261" t="s">
        <v>678</v>
      </c>
      <c r="DB66" s="216" t="s">
        <v>681</v>
      </c>
      <c r="DC66" s="256"/>
      <c r="DD66" s="256">
        <v>0.8</v>
      </c>
      <c r="DE66" s="256">
        <v>-10</v>
      </c>
      <c r="DF66" s="256">
        <v>0.5</v>
      </c>
      <c r="DG66" s="256">
        <v>-2.2999999999999998</v>
      </c>
      <c r="DH66" s="257">
        <v>1</v>
      </c>
      <c r="DI66" s="257">
        <v>8.5</v>
      </c>
      <c r="DJ66" s="257">
        <v>0</v>
      </c>
      <c r="DK66" s="257">
        <v>8.5</v>
      </c>
      <c r="DL66" s="237" t="s">
        <v>682</v>
      </c>
      <c r="DP66" s="258" t="s">
        <v>682</v>
      </c>
      <c r="DQ66" s="258"/>
      <c r="DR66" s="258"/>
      <c r="DS66" s="258"/>
      <c r="DT66" s="258"/>
      <c r="DU66" s="237">
        <v>0</v>
      </c>
      <c r="DX66" s="247"/>
      <c r="DY66" s="247">
        <v>0</v>
      </c>
      <c r="EA66" s="237">
        <v>0</v>
      </c>
      <c r="ED66" s="237" t="s">
        <v>678</v>
      </c>
      <c r="EE66" s="208">
        <v>1</v>
      </c>
      <c r="EF66" s="237" t="s">
        <v>678</v>
      </c>
      <c r="EG66" s="216" t="s">
        <v>691</v>
      </c>
      <c r="EH66" s="246" t="s">
        <v>690</v>
      </c>
      <c r="EI66" s="216" t="s">
        <v>691</v>
      </c>
      <c r="EJ66" s="216" t="s">
        <v>529</v>
      </c>
      <c r="EK66" s="222" t="s">
        <v>682</v>
      </c>
      <c r="EL66" s="259">
        <v>2014</v>
      </c>
      <c r="EM66" s="260">
        <v>1230</v>
      </c>
      <c r="EN66" s="260">
        <v>89441</v>
      </c>
      <c r="EO66" s="260">
        <v>155135</v>
      </c>
      <c r="ER66" s="237" t="s">
        <v>973</v>
      </c>
      <c r="ES66" s="237" t="e">
        <v>#DIV/0!</v>
      </c>
      <c r="ET66" s="237">
        <v>126.1260162601626</v>
      </c>
      <c r="EU66" s="661">
        <v>1</v>
      </c>
      <c r="EV66" s="661" t="s">
        <v>678</v>
      </c>
      <c r="EW66" s="661">
        <v>4</v>
      </c>
      <c r="EX66" s="661">
        <v>6</v>
      </c>
      <c r="EY66" s="660">
        <v>0.11997093023255814</v>
      </c>
      <c r="EZ66" s="256">
        <v>9.8037315241095229</v>
      </c>
      <c r="FA66" s="247">
        <v>0.17559262510974538</v>
      </c>
      <c r="FB66" s="208">
        <v>3</v>
      </c>
      <c r="FC66" s="208">
        <v>5</v>
      </c>
      <c r="FD66" s="208">
        <v>3</v>
      </c>
      <c r="FE66" s="239">
        <v>0.67778753292361715</v>
      </c>
      <c r="FF66" s="208"/>
      <c r="FG66" s="241">
        <v>7.462686567164179E-3</v>
      </c>
      <c r="FH66" s="209">
        <v>0</v>
      </c>
      <c r="FI66" s="237" t="s">
        <v>678</v>
      </c>
      <c r="FJ66" s="208">
        <v>45.2</v>
      </c>
      <c r="FK66" s="208">
        <v>0</v>
      </c>
      <c r="FL66" s="217">
        <v>2.8</v>
      </c>
      <c r="FM66" s="208">
        <v>2.1</v>
      </c>
      <c r="FN66" s="208" t="s">
        <v>1003</v>
      </c>
      <c r="FP66" s="247" t="s">
        <v>693</v>
      </c>
      <c r="FU66" s="208">
        <v>32</v>
      </c>
      <c r="FV66" s="208">
        <v>31.4</v>
      </c>
      <c r="FW66" s="237">
        <v>52.67</v>
      </c>
      <c r="FX66" s="237">
        <v>31.8</v>
      </c>
      <c r="FY66" s="208">
        <v>29.35</v>
      </c>
      <c r="FZ66" s="208">
        <v>46</v>
      </c>
      <c r="GA66" s="208">
        <v>48.07</v>
      </c>
      <c r="GB66" s="208">
        <v>50</v>
      </c>
      <c r="GC66" s="208">
        <v>0.72</v>
      </c>
      <c r="GD66" s="208">
        <v>74.7</v>
      </c>
      <c r="GE66" s="237">
        <v>36.83</v>
      </c>
      <c r="GF66" s="237">
        <v>45.9</v>
      </c>
      <c r="GG66" s="237">
        <v>9.44</v>
      </c>
      <c r="GH66" s="237">
        <v>64.900000000000006</v>
      </c>
      <c r="GJ66" s="947"/>
      <c r="GK66" s="320"/>
      <c r="GL66" s="320"/>
      <c r="GM66" s="320"/>
      <c r="GN66" s="320"/>
      <c r="GO66" s="662">
        <v>8061</v>
      </c>
      <c r="GP66" s="663" t="str">
        <f>VLOOKUP(GS66,'BD Comarcal'!$A$6:$AV$17,48,FALSE)</f>
        <v>07</v>
      </c>
      <c r="GQ66" s="564">
        <v>20</v>
      </c>
      <c r="GR66" s="256">
        <f t="shared" si="0"/>
        <v>1</v>
      </c>
      <c r="GS66" s="237" t="s">
        <v>82</v>
      </c>
    </row>
    <row r="67" spans="1:201" s="237" customFormat="1" ht="17.25" customHeight="1">
      <c r="A67" s="236" t="s">
        <v>1004</v>
      </c>
      <c r="C67" s="238"/>
      <c r="D67" s="238">
        <v>2921</v>
      </c>
      <c r="E67" s="238">
        <v>2272</v>
      </c>
      <c r="F67" s="239">
        <v>0.77781581650119824</v>
      </c>
      <c r="G67" s="238">
        <v>2082</v>
      </c>
      <c r="H67" s="240">
        <v>2396.8047192932218</v>
      </c>
      <c r="I67" s="239">
        <v>1</v>
      </c>
      <c r="J67" s="238">
        <v>569</v>
      </c>
      <c r="K67" s="238">
        <v>201</v>
      </c>
      <c r="L67" s="238">
        <v>3</v>
      </c>
      <c r="M67" s="241">
        <v>1.0270455323519343E-3</v>
      </c>
      <c r="N67" s="238">
        <v>0</v>
      </c>
      <c r="O67" s="239">
        <v>0</v>
      </c>
      <c r="P67" s="237">
        <v>6</v>
      </c>
      <c r="Q67" s="237">
        <v>0</v>
      </c>
      <c r="R67" s="239">
        <v>0</v>
      </c>
      <c r="S67" s="238">
        <v>929</v>
      </c>
      <c r="T67" s="436">
        <v>0</v>
      </c>
      <c r="U67" s="436">
        <v>10</v>
      </c>
      <c r="V67" s="436">
        <v>20</v>
      </c>
      <c r="W67" s="436">
        <v>30</v>
      </c>
      <c r="X67" s="238">
        <v>1287</v>
      </c>
      <c r="Y67" s="237">
        <v>0.1201</v>
      </c>
      <c r="Z67" s="238">
        <v>19415</v>
      </c>
      <c r="AA67" s="238">
        <v>15336</v>
      </c>
      <c r="AB67" s="238">
        <v>93.7</v>
      </c>
      <c r="AC67" s="238">
        <v>308</v>
      </c>
      <c r="AD67" s="238">
        <v>1286668.21</v>
      </c>
      <c r="AE67" s="238">
        <v>288860.37000000011</v>
      </c>
      <c r="AF67" s="238">
        <v>1079884.9099999999</v>
      </c>
      <c r="AG67" s="238">
        <v>52357.41</v>
      </c>
      <c r="AH67" s="239">
        <v>4.8484250048461193E-2</v>
      </c>
      <c r="AI67" s="242">
        <v>136.095889</v>
      </c>
      <c r="AJ67" s="242">
        <v>25.075496000000001</v>
      </c>
      <c r="AK67" s="242">
        <v>0.85845587127695999</v>
      </c>
      <c r="AL67" s="242">
        <v>133.33252100000001</v>
      </c>
      <c r="AM67" s="242">
        <v>4.5646190003423488</v>
      </c>
      <c r="AN67" s="242">
        <v>11063.29</v>
      </c>
      <c r="AO67" s="238">
        <v>0</v>
      </c>
      <c r="AP67" s="243">
        <v>0</v>
      </c>
      <c r="AQ67" s="238">
        <v>2</v>
      </c>
      <c r="AR67" s="238">
        <v>1588.9022303062636</v>
      </c>
      <c r="AS67" s="238">
        <v>2132.9456840431853</v>
      </c>
      <c r="AT67" s="238">
        <v>103145</v>
      </c>
      <c r="AU67" s="238">
        <v>377.0007327273882</v>
      </c>
      <c r="AV67" s="237">
        <v>1</v>
      </c>
      <c r="AW67" s="237">
        <v>1</v>
      </c>
      <c r="AX67" s="237">
        <v>1</v>
      </c>
      <c r="AY67" s="244" t="s">
        <v>673</v>
      </c>
      <c r="AZ67" s="244" t="s">
        <v>695</v>
      </c>
      <c r="BA67" s="237">
        <v>2009</v>
      </c>
      <c r="BB67" s="245" t="s">
        <v>891</v>
      </c>
      <c r="BC67" s="215" t="s">
        <v>892</v>
      </c>
      <c r="BE67" s="237">
        <v>3</v>
      </c>
      <c r="BF67" s="237">
        <v>70</v>
      </c>
      <c r="BG67" s="246" t="s">
        <v>720</v>
      </c>
      <c r="BI67" s="239">
        <v>0.3342696629213483</v>
      </c>
      <c r="BJ67" s="239">
        <v>0.2345505617977528</v>
      </c>
      <c r="BK67" s="239">
        <v>0.4058988764044944</v>
      </c>
      <c r="BL67" s="239">
        <v>2.5280898876404494E-2</v>
      </c>
      <c r="BM67" s="247">
        <v>1.8778089887640448</v>
      </c>
      <c r="BN67" s="248">
        <v>0</v>
      </c>
      <c r="BO67" s="248">
        <v>1</v>
      </c>
      <c r="BP67" s="237">
        <v>0</v>
      </c>
      <c r="BQ67" s="237">
        <v>0</v>
      </c>
      <c r="BR67" s="248">
        <v>1</v>
      </c>
      <c r="BS67" s="237">
        <v>19</v>
      </c>
      <c r="BT67" s="237" t="s">
        <v>699</v>
      </c>
      <c r="BU67" s="249" t="s">
        <v>678</v>
      </c>
      <c r="BV67" s="249">
        <v>103</v>
      </c>
      <c r="BW67" s="249">
        <v>614</v>
      </c>
      <c r="BX67" s="249" t="s">
        <v>678</v>
      </c>
      <c r="BY67" s="249" t="s">
        <v>678</v>
      </c>
      <c r="BZ67" s="249">
        <v>8.4703947368421044</v>
      </c>
      <c r="CA67" s="249">
        <v>50.493421052631582</v>
      </c>
      <c r="CB67" s="249" t="s">
        <v>678</v>
      </c>
      <c r="CC67" s="250" t="s">
        <v>678</v>
      </c>
      <c r="CD67" s="242" t="s">
        <v>678</v>
      </c>
      <c r="CE67" s="252" t="s">
        <v>678</v>
      </c>
      <c r="CF67" s="238">
        <v>525</v>
      </c>
      <c r="CG67" s="238">
        <v>61</v>
      </c>
      <c r="CH67" s="238">
        <v>5.0164473684210522</v>
      </c>
      <c r="CI67" s="216" t="s">
        <v>700</v>
      </c>
      <c r="CJ67" s="237">
        <v>0</v>
      </c>
      <c r="CK67" s="253">
        <v>135.22999999999999</v>
      </c>
      <c r="CL67" s="253">
        <v>0</v>
      </c>
      <c r="CM67" s="254">
        <v>0</v>
      </c>
      <c r="CN67" s="237" t="s">
        <v>82</v>
      </c>
      <c r="CO67" s="242"/>
      <c r="CP67" s="255">
        <v>0</v>
      </c>
      <c r="CV67" s="237">
        <v>1</v>
      </c>
      <c r="CW67" s="261" t="s">
        <v>678</v>
      </c>
      <c r="CX67" s="261" t="s">
        <v>678</v>
      </c>
      <c r="CY67" s="261" t="s">
        <v>678</v>
      </c>
      <c r="DB67" s="216" t="s">
        <v>746</v>
      </c>
      <c r="DC67" s="195" t="s">
        <v>866</v>
      </c>
      <c r="DD67" s="256">
        <v>0.8</v>
      </c>
      <c r="DE67" s="256">
        <v>-9</v>
      </c>
      <c r="DF67" s="256">
        <v>-0.3</v>
      </c>
      <c r="DG67" s="256">
        <v>-2.6</v>
      </c>
      <c r="DH67" s="257">
        <v>4</v>
      </c>
      <c r="DI67" s="257">
        <v>783.15</v>
      </c>
      <c r="DJ67" s="257">
        <v>26.11</v>
      </c>
      <c r="DK67" s="257">
        <v>809.26</v>
      </c>
      <c r="DL67" s="237" t="s">
        <v>529</v>
      </c>
      <c r="DN67" s="237" t="s">
        <v>770</v>
      </c>
      <c r="DP67" s="258" t="s">
        <v>682</v>
      </c>
      <c r="DQ67" s="258"/>
      <c r="DR67" s="258"/>
      <c r="DS67" s="258"/>
      <c r="DT67" s="258"/>
      <c r="DU67" s="237">
        <v>1</v>
      </c>
      <c r="DV67" s="237" t="s">
        <v>1005</v>
      </c>
      <c r="DW67" s="237" t="s">
        <v>1006</v>
      </c>
      <c r="DX67" s="247">
        <v>2.4</v>
      </c>
      <c r="DY67" s="247">
        <v>8.2163642588154742E-2</v>
      </c>
      <c r="EA67" s="237">
        <v>0</v>
      </c>
      <c r="ED67" s="237" t="s">
        <v>687</v>
      </c>
      <c r="EE67" s="208">
        <v>1</v>
      </c>
      <c r="EF67" s="237" t="s">
        <v>688</v>
      </c>
      <c r="EG67" s="216" t="s">
        <v>703</v>
      </c>
      <c r="EH67" s="246" t="s">
        <v>704</v>
      </c>
      <c r="EI67" s="216"/>
      <c r="EJ67" s="216" t="s">
        <v>529</v>
      </c>
      <c r="EK67" s="222" t="s">
        <v>682</v>
      </c>
      <c r="EL67" s="259">
        <v>2012</v>
      </c>
      <c r="EM67" s="260">
        <v>10015</v>
      </c>
      <c r="EN67" s="260">
        <v>74911</v>
      </c>
      <c r="EO67" s="260">
        <v>29537</v>
      </c>
      <c r="EP67" s="237">
        <v>1</v>
      </c>
      <c r="EQ67" s="237">
        <v>150</v>
      </c>
      <c r="ER67" s="237" t="s">
        <v>705</v>
      </c>
      <c r="ES67" s="237">
        <v>1216</v>
      </c>
      <c r="ET67" s="237">
        <v>2.9492760858711931</v>
      </c>
      <c r="EU67" s="661">
        <v>1</v>
      </c>
      <c r="EV67" s="661" t="s">
        <v>678</v>
      </c>
      <c r="EW67" s="661">
        <v>1</v>
      </c>
      <c r="EX67" s="661">
        <v>7</v>
      </c>
      <c r="EY67" s="660">
        <v>4.6295789113317352E-2</v>
      </c>
      <c r="EZ67" s="256">
        <v>8.9920875545367167</v>
      </c>
      <c r="FA67" s="247">
        <v>4.401408450704225E-2</v>
      </c>
      <c r="FB67" s="208">
        <v>3</v>
      </c>
      <c r="FC67" s="208">
        <v>5</v>
      </c>
      <c r="FD67" s="208">
        <v>2</v>
      </c>
      <c r="FE67" s="239">
        <v>0.91637323943661975</v>
      </c>
      <c r="FF67" s="208"/>
      <c r="FG67" s="241">
        <v>0.35618838028169014</v>
      </c>
      <c r="FH67" s="209">
        <v>0</v>
      </c>
      <c r="FI67" s="237" t="s">
        <v>678</v>
      </c>
      <c r="FJ67" s="208">
        <v>55.1</v>
      </c>
      <c r="FK67" s="208">
        <v>0</v>
      </c>
      <c r="FL67" s="217">
        <v>3</v>
      </c>
      <c r="FM67" s="208">
        <v>3.42</v>
      </c>
      <c r="FN67" s="208" t="s">
        <v>1007</v>
      </c>
      <c r="FP67" s="247" t="s">
        <v>693</v>
      </c>
      <c r="FU67" s="208">
        <v>40</v>
      </c>
      <c r="FV67" s="208">
        <v>53.3</v>
      </c>
      <c r="FW67" s="237">
        <v>61.93</v>
      </c>
      <c r="FX67" s="237">
        <v>43.4</v>
      </c>
      <c r="FY67" s="208">
        <v>32.32</v>
      </c>
      <c r="FZ67" s="208">
        <v>49</v>
      </c>
      <c r="GA67" s="208">
        <v>48.28</v>
      </c>
      <c r="GB67" s="208">
        <v>50.2</v>
      </c>
      <c r="GC67" s="208">
        <v>0.11</v>
      </c>
      <c r="GD67" s="208">
        <v>29.9</v>
      </c>
      <c r="GE67" s="237">
        <v>39.33</v>
      </c>
      <c r="GF67" s="237">
        <v>48.9</v>
      </c>
      <c r="GG67" s="237">
        <v>4.5</v>
      </c>
      <c r="GH67" s="237">
        <v>39.799999999999997</v>
      </c>
      <c r="GJ67" s="947"/>
      <c r="GK67" s="320"/>
      <c r="GL67" s="320"/>
      <c r="GM67" s="320"/>
      <c r="GN67" s="320"/>
      <c r="GO67" s="662">
        <v>8062</v>
      </c>
      <c r="GP67" s="663" t="str">
        <f>VLOOKUP(GS67,'BD Comarcal'!$A$6:$AV$17,48,FALSE)</f>
        <v>07</v>
      </c>
      <c r="GQ67" s="564">
        <v>2</v>
      </c>
      <c r="GR67" s="256">
        <f t="shared" si="0"/>
        <v>1</v>
      </c>
      <c r="GS67" s="237" t="s">
        <v>82</v>
      </c>
    </row>
    <row r="68" spans="1:201" s="237" customFormat="1" ht="17.25" customHeight="1">
      <c r="A68" s="236" t="s">
        <v>1008</v>
      </c>
      <c r="C68" s="238"/>
      <c r="D68" s="238">
        <v>2525</v>
      </c>
      <c r="E68" s="238">
        <v>1887</v>
      </c>
      <c r="F68" s="239">
        <v>0.74732673267326732</v>
      </c>
      <c r="G68" s="238">
        <v>1541</v>
      </c>
      <c r="H68" s="240">
        <v>608.35448520580621</v>
      </c>
      <c r="I68" s="239">
        <v>0.32239241399353802</v>
      </c>
      <c r="J68" s="238">
        <v>323</v>
      </c>
      <c r="K68" s="238">
        <v>66</v>
      </c>
      <c r="L68" s="238">
        <v>20</v>
      </c>
      <c r="M68" s="241">
        <v>7.9207920792079209E-3</v>
      </c>
      <c r="N68" s="238">
        <v>0</v>
      </c>
      <c r="O68" s="239">
        <v>0</v>
      </c>
      <c r="P68" s="237">
        <v>3</v>
      </c>
      <c r="Q68" s="237">
        <v>0</v>
      </c>
      <c r="R68" s="239">
        <v>0</v>
      </c>
      <c r="S68" s="238">
        <v>32</v>
      </c>
      <c r="T68" s="436">
        <v>0</v>
      </c>
      <c r="U68" s="436">
        <v>6</v>
      </c>
      <c r="V68" s="436">
        <v>0</v>
      </c>
      <c r="W68" s="436">
        <v>6</v>
      </c>
      <c r="X68" s="238">
        <v>573</v>
      </c>
      <c r="Y68" s="237">
        <v>0.15759999999999999</v>
      </c>
      <c r="Z68" s="238">
        <v>7116</v>
      </c>
      <c r="AA68" s="238">
        <v>12396</v>
      </c>
      <c r="AB68" s="238">
        <v>75.739999999999995</v>
      </c>
      <c r="AC68" s="238">
        <v>221</v>
      </c>
      <c r="AD68" s="238">
        <v>1376152.06</v>
      </c>
      <c r="AE68" s="238">
        <v>333377.7799999998</v>
      </c>
      <c r="AF68" s="238">
        <v>935533.8</v>
      </c>
      <c r="AG68" s="238">
        <v>117632.16</v>
      </c>
      <c r="AH68" s="239">
        <v>0.12573801181742444</v>
      </c>
      <c r="AI68" s="242">
        <v>30.472425999999999</v>
      </c>
      <c r="AJ68" s="242">
        <v>4.1657070000000003</v>
      </c>
      <c r="AK68" s="242">
        <v>0.16497849504950496</v>
      </c>
      <c r="AL68" s="242">
        <v>8.7792739999999991</v>
      </c>
      <c r="AM68" s="242">
        <v>0.34769401980198017</v>
      </c>
      <c r="AN68" s="242">
        <v>17582.71</v>
      </c>
      <c r="AO68" s="238">
        <v>11030.37</v>
      </c>
      <c r="AP68" s="243">
        <v>11</v>
      </c>
      <c r="AQ68" s="238">
        <v>1</v>
      </c>
      <c r="AR68" s="238">
        <v>1766.7874950413923</v>
      </c>
      <c r="AS68" s="238">
        <v>1204.6154210970878</v>
      </c>
      <c r="AT68" s="238">
        <v>34160.333333333336</v>
      </c>
      <c r="AU68" s="238">
        <v>200.95567368576602</v>
      </c>
      <c r="AV68" s="237">
        <v>1</v>
      </c>
      <c r="AW68" s="237">
        <v>1</v>
      </c>
      <c r="AX68" s="237">
        <v>1</v>
      </c>
      <c r="AY68" s="244" t="s">
        <v>673</v>
      </c>
      <c r="AZ68" s="244" t="s">
        <v>726</v>
      </c>
      <c r="BA68" s="237">
        <v>2012</v>
      </c>
      <c r="BB68" s="245" t="s">
        <v>1009</v>
      </c>
      <c r="BC68" s="215" t="s">
        <v>1010</v>
      </c>
      <c r="BE68" s="237">
        <v>2</v>
      </c>
      <c r="BF68" s="237">
        <v>77</v>
      </c>
      <c r="BG68" s="246" t="s">
        <v>698</v>
      </c>
      <c r="BI68" s="239">
        <v>0.45137157107231918</v>
      </c>
      <c r="BJ68" s="239">
        <v>8.9775561097256859E-2</v>
      </c>
      <c r="BK68" s="239">
        <v>0.43640897755610975</v>
      </c>
      <c r="BL68" s="239">
        <v>2.2443890274314215E-2</v>
      </c>
      <c r="BM68" s="247">
        <v>1.9700748129675809</v>
      </c>
      <c r="BN68" s="248">
        <v>0</v>
      </c>
      <c r="BO68" s="248">
        <v>0</v>
      </c>
      <c r="BP68" s="237">
        <v>0</v>
      </c>
      <c r="BQ68" s="237">
        <v>0</v>
      </c>
      <c r="BR68" s="248">
        <v>0</v>
      </c>
      <c r="BS68" s="237">
        <v>9</v>
      </c>
      <c r="BT68" s="237" t="s">
        <v>755</v>
      </c>
      <c r="BU68" s="249" t="s">
        <v>678</v>
      </c>
      <c r="BV68" s="249" t="s">
        <v>678</v>
      </c>
      <c r="BW68" s="249" t="s">
        <v>678</v>
      </c>
      <c r="BX68" s="249" t="s">
        <v>678</v>
      </c>
      <c r="BY68" s="249" t="s">
        <v>678</v>
      </c>
      <c r="BZ68" s="249" t="s">
        <v>678</v>
      </c>
      <c r="CA68" s="249" t="s">
        <v>678</v>
      </c>
      <c r="CB68" s="249" t="s">
        <v>678</v>
      </c>
      <c r="CC68" s="250" t="s">
        <v>678</v>
      </c>
      <c r="CD68" s="242" t="s">
        <v>678</v>
      </c>
      <c r="CE68" s="252" t="s">
        <v>678</v>
      </c>
      <c r="CF68" s="238">
        <v>287</v>
      </c>
      <c r="CG68" s="238">
        <v>22.2</v>
      </c>
      <c r="CH68" s="238">
        <v>3.9928057553956835</v>
      </c>
      <c r="CI68" s="216" t="s">
        <v>722</v>
      </c>
      <c r="CJ68" s="237">
        <v>1</v>
      </c>
      <c r="CK68" s="253">
        <v>29.77</v>
      </c>
      <c r="CL68" s="253">
        <v>27.099799999999998</v>
      </c>
      <c r="CM68" s="254">
        <v>1.073259405940594E-2</v>
      </c>
      <c r="CN68" s="237" t="s">
        <v>81</v>
      </c>
      <c r="CO68" s="242"/>
      <c r="CP68" s="255">
        <v>0</v>
      </c>
      <c r="CV68" s="237">
        <v>7</v>
      </c>
      <c r="CW68" s="261" t="s">
        <v>678</v>
      </c>
      <c r="CX68" s="261" t="s">
        <v>678</v>
      </c>
      <c r="CY68" s="261" t="s">
        <v>678</v>
      </c>
      <c r="DB68" s="216" t="s">
        <v>681</v>
      </c>
      <c r="DC68" s="256"/>
      <c r="DD68" s="256">
        <v>0.8</v>
      </c>
      <c r="DE68" s="256">
        <v>-10</v>
      </c>
      <c r="DF68" s="256">
        <v>0.5</v>
      </c>
      <c r="DG68" s="256">
        <v>-2.2999999999999998</v>
      </c>
      <c r="DH68" s="257">
        <v>1</v>
      </c>
      <c r="DI68" s="257">
        <v>3.4</v>
      </c>
      <c r="DJ68" s="257">
        <v>0</v>
      </c>
      <c r="DK68" s="257">
        <v>3.4</v>
      </c>
      <c r="DL68" s="237" t="s">
        <v>682</v>
      </c>
      <c r="DP68" s="258" t="s">
        <v>682</v>
      </c>
      <c r="DQ68" s="258"/>
      <c r="DR68" s="258"/>
      <c r="DS68" s="258"/>
      <c r="DT68" s="258"/>
      <c r="DU68" s="237">
        <v>0</v>
      </c>
      <c r="DX68" s="247"/>
      <c r="DY68" s="247">
        <v>0</v>
      </c>
      <c r="EA68" s="237">
        <v>0</v>
      </c>
      <c r="ED68" s="237" t="s">
        <v>701</v>
      </c>
      <c r="EE68" s="208">
        <v>1</v>
      </c>
      <c r="EF68" s="237" t="s">
        <v>702</v>
      </c>
      <c r="EG68" s="216" t="s">
        <v>733</v>
      </c>
      <c r="EH68" s="246" t="s">
        <v>734</v>
      </c>
      <c r="EI68" s="216"/>
      <c r="EJ68" s="216" t="s">
        <v>529</v>
      </c>
      <c r="EK68" s="222" t="s">
        <v>682</v>
      </c>
      <c r="EL68" s="259">
        <v>1992</v>
      </c>
      <c r="EM68" s="260">
        <v>480</v>
      </c>
      <c r="EN68" s="260">
        <v>18390</v>
      </c>
      <c r="EO68" s="260">
        <v>16300</v>
      </c>
      <c r="ER68" s="237" t="s">
        <v>705</v>
      </c>
      <c r="ES68" s="237" t="e">
        <v>#DIV/0!</v>
      </c>
      <c r="ET68" s="237">
        <v>33.958333333333336</v>
      </c>
      <c r="EU68" s="661">
        <v>1</v>
      </c>
      <c r="EV68" s="661" t="s">
        <v>678</v>
      </c>
      <c r="EW68" s="661">
        <v>4</v>
      </c>
      <c r="EX68" s="661">
        <v>3</v>
      </c>
      <c r="EY68" s="660">
        <v>1.179009900990099E-2</v>
      </c>
      <c r="EZ68" s="256">
        <v>18.676519986563655</v>
      </c>
      <c r="FA68" s="247">
        <v>0.37095919448860626</v>
      </c>
      <c r="FB68" s="208">
        <v>3</v>
      </c>
      <c r="FC68" s="208">
        <v>5</v>
      </c>
      <c r="FD68" s="208">
        <v>2</v>
      </c>
      <c r="FE68" s="239">
        <v>0.816640169581346</v>
      </c>
      <c r="FF68" s="208"/>
      <c r="FG68" s="241">
        <v>1.8018018018018018E-3</v>
      </c>
      <c r="FH68" s="209">
        <v>0</v>
      </c>
      <c r="FI68" s="237" t="s">
        <v>678</v>
      </c>
      <c r="FJ68" s="208">
        <v>64.2</v>
      </c>
      <c r="FK68" s="208">
        <v>0</v>
      </c>
      <c r="FL68" s="217">
        <v>3.1</v>
      </c>
      <c r="FM68" s="208">
        <v>6.34</v>
      </c>
      <c r="FN68" s="208" t="s">
        <v>1011</v>
      </c>
      <c r="FP68" s="247" t="s">
        <v>693</v>
      </c>
      <c r="FU68" s="208">
        <v>57</v>
      </c>
      <c r="FV68" s="208">
        <v>86.6</v>
      </c>
      <c r="FW68" s="237">
        <v>84.36</v>
      </c>
      <c r="FX68" s="237">
        <v>73.8</v>
      </c>
      <c r="FY68" s="208">
        <v>39.340000000000003</v>
      </c>
      <c r="FZ68" s="208">
        <v>53.3</v>
      </c>
      <c r="GA68" s="208">
        <v>61.74</v>
      </c>
      <c r="GB68" s="208">
        <v>69.099999999999994</v>
      </c>
      <c r="GC68" s="208">
        <v>0.51</v>
      </c>
      <c r="GD68" s="208">
        <v>64.7</v>
      </c>
      <c r="GE68" s="237">
        <v>50.66</v>
      </c>
      <c r="GF68" s="237">
        <v>66.3</v>
      </c>
      <c r="GG68" s="237">
        <v>2.71</v>
      </c>
      <c r="GH68" s="237">
        <v>26.4</v>
      </c>
      <c r="GJ68" s="947"/>
      <c r="GK68" s="320"/>
      <c r="GL68" s="320"/>
      <c r="GM68" s="320"/>
      <c r="GN68" s="320"/>
      <c r="GO68" s="662">
        <v>8063</v>
      </c>
      <c r="GP68" s="663" t="str">
        <f>VLOOKUP(GS68,'BD Comarcal'!$A$6:$AV$17,48,FALSE)</f>
        <v>06</v>
      </c>
      <c r="GQ68" s="564">
        <v>8</v>
      </c>
      <c r="GR68" s="256">
        <f t="shared" si="0"/>
        <v>1</v>
      </c>
      <c r="GS68" s="237" t="s">
        <v>81</v>
      </c>
    </row>
    <row r="69" spans="1:201" s="237" customFormat="1" ht="17.25" customHeight="1">
      <c r="A69" s="236" t="s">
        <v>1012</v>
      </c>
      <c r="C69" s="238"/>
      <c r="D69" s="238">
        <v>3161</v>
      </c>
      <c r="E69" s="238">
        <v>2458</v>
      </c>
      <c r="F69" s="239">
        <v>0.77760202467573558</v>
      </c>
      <c r="G69" s="238">
        <v>2304</v>
      </c>
      <c r="H69" s="240">
        <v>1905.4526104901217</v>
      </c>
      <c r="I69" s="239">
        <v>0.77520447945082249</v>
      </c>
      <c r="J69" s="238">
        <v>372</v>
      </c>
      <c r="K69" s="238">
        <v>776</v>
      </c>
      <c r="L69" s="238">
        <v>11</v>
      </c>
      <c r="M69" s="241">
        <v>3.4799114204365706E-3</v>
      </c>
      <c r="N69" s="238">
        <v>95</v>
      </c>
      <c r="O69" s="239">
        <v>0.2553763440860215</v>
      </c>
      <c r="P69" s="237">
        <v>18</v>
      </c>
      <c r="Q69" s="237">
        <v>0</v>
      </c>
      <c r="R69" s="239">
        <v>0</v>
      </c>
      <c r="S69" s="238">
        <v>1867</v>
      </c>
      <c r="T69" s="436">
        <v>0</v>
      </c>
      <c r="U69" s="436">
        <v>29</v>
      </c>
      <c r="V69" s="436">
        <v>12</v>
      </c>
      <c r="W69" s="436">
        <v>41</v>
      </c>
      <c r="X69" s="238">
        <v>2351</v>
      </c>
      <c r="Y69" s="237">
        <v>0.22539999999999999</v>
      </c>
      <c r="Z69" s="238">
        <v>39687</v>
      </c>
      <c r="AA69" s="238">
        <v>16760</v>
      </c>
      <c r="AB69" s="238">
        <v>102.4</v>
      </c>
      <c r="AC69" s="238">
        <v>928</v>
      </c>
      <c r="AD69" s="238">
        <v>3223350.11</v>
      </c>
      <c r="AE69" s="238">
        <v>913418.90999999968</v>
      </c>
      <c r="AF69" s="238">
        <v>2248100.52</v>
      </c>
      <c r="AG69" s="238">
        <v>95201.88</v>
      </c>
      <c r="AH69" s="239">
        <v>4.2347697157242778E-2</v>
      </c>
      <c r="AI69" s="242">
        <v>78.970229000000003</v>
      </c>
      <c r="AJ69" s="242">
        <v>13.350125999999999</v>
      </c>
      <c r="AK69" s="242">
        <v>0.42233869028788357</v>
      </c>
      <c r="AL69" s="242" t="s">
        <v>678</v>
      </c>
      <c r="AM69" s="242" t="s">
        <v>678</v>
      </c>
      <c r="AN69" s="242">
        <v>19969.89</v>
      </c>
      <c r="AO69" s="238">
        <v>0</v>
      </c>
      <c r="AP69" s="243">
        <v>0</v>
      </c>
      <c r="AQ69" s="238"/>
      <c r="AR69" s="238">
        <v>1577.5712573127148</v>
      </c>
      <c r="AS69" s="238">
        <v>2657.6243997833599</v>
      </c>
      <c r="AT69" s="238">
        <v>219710.66666666666</v>
      </c>
      <c r="AU69" s="238">
        <v>275.41216686763767</v>
      </c>
      <c r="AV69" s="237">
        <v>1</v>
      </c>
      <c r="AW69" s="237">
        <v>1</v>
      </c>
      <c r="AX69" s="237">
        <v>1</v>
      </c>
      <c r="AY69" s="244" t="s">
        <v>673</v>
      </c>
      <c r="AZ69" s="244" t="s">
        <v>682</v>
      </c>
      <c r="BA69" s="237">
        <v>2013</v>
      </c>
      <c r="BB69" s="245" t="s">
        <v>971</v>
      </c>
      <c r="BC69" s="215" t="s">
        <v>972</v>
      </c>
      <c r="BE69" s="237">
        <v>8</v>
      </c>
      <c r="BF69" s="237">
        <v>42</v>
      </c>
      <c r="BG69" s="246" t="s">
        <v>720</v>
      </c>
      <c r="BI69" s="239">
        <v>0.57744282744282749</v>
      </c>
      <c r="BJ69" s="239">
        <v>7.5883575883575888E-2</v>
      </c>
      <c r="BK69" s="239">
        <v>0.31860706860706861</v>
      </c>
      <c r="BL69" s="239">
        <v>2.8066528066528068E-2</v>
      </c>
      <c r="BM69" s="247">
        <v>2.2027027027027026</v>
      </c>
      <c r="BN69" s="248">
        <v>0</v>
      </c>
      <c r="BO69" s="248">
        <v>0</v>
      </c>
      <c r="BP69" s="237">
        <v>0</v>
      </c>
      <c r="BQ69" s="237">
        <v>0</v>
      </c>
      <c r="BR69" s="248">
        <v>0</v>
      </c>
      <c r="BS69" s="262">
        <v>33</v>
      </c>
      <c r="BT69" s="237" t="s">
        <v>729</v>
      </c>
      <c r="BU69" s="249" t="s">
        <v>678</v>
      </c>
      <c r="BV69" s="249">
        <v>240</v>
      </c>
      <c r="BW69" s="249">
        <v>973</v>
      </c>
      <c r="BX69" s="249" t="s">
        <v>678</v>
      </c>
      <c r="BY69" s="249" t="s">
        <v>678</v>
      </c>
      <c r="BZ69" s="249">
        <v>9.9916736053288933</v>
      </c>
      <c r="CA69" s="249">
        <v>40.507910074937556</v>
      </c>
      <c r="CB69" s="249" t="s">
        <v>678</v>
      </c>
      <c r="CC69" s="250" t="s">
        <v>678</v>
      </c>
      <c r="CD69" s="242" t="s">
        <v>678</v>
      </c>
      <c r="CE69" s="252" t="s">
        <v>678</v>
      </c>
      <c r="CF69" s="238">
        <v>1615</v>
      </c>
      <c r="CG69" s="238">
        <v>127.4</v>
      </c>
      <c r="CH69" s="238">
        <v>5.3039134054954209</v>
      </c>
      <c r="CI69" s="216" t="s">
        <v>679</v>
      </c>
      <c r="CJ69" s="237">
        <v>0</v>
      </c>
      <c r="CK69" s="253">
        <v>61.04</v>
      </c>
      <c r="CL69" s="253">
        <v>48.52</v>
      </c>
      <c r="CM69" s="254">
        <v>1.5349572919962038E-2</v>
      </c>
      <c r="CN69" s="237" t="s">
        <v>24</v>
      </c>
      <c r="CO69" s="242">
        <v>578.24</v>
      </c>
      <c r="CP69" s="255">
        <v>0.18292945270484023</v>
      </c>
      <c r="CV69" s="237">
        <v>4</v>
      </c>
      <c r="CW69" s="261" t="s">
        <v>678</v>
      </c>
      <c r="CX69" s="261" t="s">
        <v>678</v>
      </c>
      <c r="CY69" s="261" t="s">
        <v>678</v>
      </c>
      <c r="DB69" s="216" t="s">
        <v>710</v>
      </c>
      <c r="DC69" s="195" t="s">
        <v>711</v>
      </c>
      <c r="DD69" s="256">
        <v>0.8</v>
      </c>
      <c r="DE69" s="256">
        <v>-9</v>
      </c>
      <c r="DF69" s="256">
        <v>-0.3</v>
      </c>
      <c r="DG69" s="256">
        <v>-2.6</v>
      </c>
      <c r="DL69" s="237" t="s">
        <v>682</v>
      </c>
      <c r="DP69" s="258" t="s">
        <v>682</v>
      </c>
      <c r="DQ69" s="258"/>
      <c r="DR69" s="258"/>
      <c r="DS69" s="258"/>
      <c r="DT69" s="258"/>
      <c r="DU69" s="237">
        <v>0</v>
      </c>
      <c r="DX69" s="247"/>
      <c r="DY69" s="247">
        <v>0</v>
      </c>
      <c r="EA69" s="237">
        <v>0</v>
      </c>
      <c r="ED69" s="237" t="s">
        <v>723</v>
      </c>
      <c r="EE69" s="208">
        <v>1</v>
      </c>
      <c r="EF69" s="237" t="s">
        <v>702</v>
      </c>
      <c r="EG69" s="216" t="s">
        <v>715</v>
      </c>
      <c r="EH69" s="246" t="s">
        <v>690</v>
      </c>
      <c r="EI69" s="216"/>
      <c r="EJ69" s="216" t="s">
        <v>529</v>
      </c>
      <c r="EK69" s="222" t="s">
        <v>682</v>
      </c>
      <c r="EL69" s="259">
        <v>1981</v>
      </c>
      <c r="EM69" s="260">
        <v>1300</v>
      </c>
      <c r="EN69" s="260">
        <v>106045</v>
      </c>
      <c r="EO69" s="260">
        <v>137641</v>
      </c>
      <c r="ER69" s="237" t="s">
        <v>705</v>
      </c>
      <c r="ES69" s="237" t="e">
        <v>#DIV/0!</v>
      </c>
      <c r="ET69" s="237">
        <v>105.87769230769231</v>
      </c>
      <c r="EU69" s="661">
        <v>5</v>
      </c>
      <c r="EV69" s="661">
        <v>1</v>
      </c>
      <c r="EW69" s="661">
        <v>1</v>
      </c>
      <c r="EX69" s="661">
        <v>2</v>
      </c>
      <c r="EY69" s="660">
        <v>1.9310344827586208E-2</v>
      </c>
      <c r="EZ69" s="256">
        <v>39.351245085190037</v>
      </c>
      <c r="FA69" s="247">
        <v>0.16273393002441008</v>
      </c>
      <c r="FB69" s="208">
        <v>1</v>
      </c>
      <c r="FC69" s="208">
        <v>1</v>
      </c>
      <c r="FD69" s="208">
        <v>1</v>
      </c>
      <c r="FE69" s="239">
        <v>0.93734743694060207</v>
      </c>
      <c r="FF69" s="208">
        <v>1</v>
      </c>
      <c r="FG69" s="241">
        <v>0</v>
      </c>
      <c r="FH69" s="209">
        <v>0</v>
      </c>
      <c r="FI69" s="237" t="s">
        <v>678</v>
      </c>
      <c r="FJ69" s="208">
        <v>55.8</v>
      </c>
      <c r="FK69" s="208">
        <v>8.75</v>
      </c>
      <c r="FL69" s="217">
        <v>44.6</v>
      </c>
      <c r="FM69" s="208">
        <v>9.74</v>
      </c>
      <c r="FN69" s="208" t="s">
        <v>1013</v>
      </c>
      <c r="FP69" s="247" t="s">
        <v>693</v>
      </c>
      <c r="FU69" s="208">
        <v>39</v>
      </c>
      <c r="FV69" s="208">
        <v>50.2</v>
      </c>
      <c r="FW69" s="237">
        <v>91.35</v>
      </c>
      <c r="FX69" s="237">
        <v>85.8</v>
      </c>
      <c r="FY69" s="208">
        <v>76.02</v>
      </c>
      <c r="FZ69" s="208">
        <v>77.3</v>
      </c>
      <c r="GA69" s="208">
        <v>71.489999999999995</v>
      </c>
      <c r="GB69" s="208">
        <v>81.099999999999994</v>
      </c>
      <c r="GC69" s="208">
        <v>0.36</v>
      </c>
      <c r="GD69" s="208">
        <v>54.1</v>
      </c>
      <c r="GE69" s="237">
        <v>66.22</v>
      </c>
      <c r="GF69" s="237">
        <v>83.4</v>
      </c>
      <c r="GG69" s="237">
        <v>5.44</v>
      </c>
      <c r="GH69" s="237">
        <v>46.7</v>
      </c>
      <c r="GJ69" s="947"/>
      <c r="GK69" s="320"/>
      <c r="GL69" s="320"/>
      <c r="GM69" s="320"/>
      <c r="GN69" s="320"/>
      <c r="GO69" s="662">
        <v>8064</v>
      </c>
      <c r="GP69" s="663" t="str">
        <f>VLOOKUP(GS69,'BD Comarcal'!$A$6:$AV$17,48,FALSE)</f>
        <v>42</v>
      </c>
      <c r="GQ69" s="564">
        <v>35</v>
      </c>
      <c r="GR69" s="256">
        <f t="shared" si="0"/>
        <v>0</v>
      </c>
      <c r="GS69" s="237" t="s">
        <v>87</v>
      </c>
    </row>
    <row r="70" spans="1:201" s="237" customFormat="1" ht="17.25" customHeight="1">
      <c r="A70" s="236" t="s">
        <v>1014</v>
      </c>
      <c r="C70" s="238"/>
      <c r="D70" s="238">
        <v>2849</v>
      </c>
      <c r="E70" s="238">
        <v>880</v>
      </c>
      <c r="F70" s="239">
        <v>0.30888030888030887</v>
      </c>
      <c r="G70" s="238">
        <v>650</v>
      </c>
      <c r="H70" s="240">
        <v>256.2649709387876</v>
      </c>
      <c r="I70" s="239">
        <v>0.29121019424862227</v>
      </c>
      <c r="J70" s="238">
        <v>1748</v>
      </c>
      <c r="K70" s="238">
        <v>24</v>
      </c>
      <c r="L70" s="238">
        <v>79</v>
      </c>
      <c r="M70" s="241">
        <v>2.772902772902773E-2</v>
      </c>
      <c r="N70" s="238">
        <v>172</v>
      </c>
      <c r="O70" s="239">
        <v>9.8398169336384442E-2</v>
      </c>
      <c r="P70" s="237">
        <v>23</v>
      </c>
      <c r="Q70" s="237">
        <v>0</v>
      </c>
      <c r="R70" s="239">
        <v>0</v>
      </c>
      <c r="S70" s="238">
        <v>3399</v>
      </c>
      <c r="T70" s="436">
        <v>0</v>
      </c>
      <c r="U70" s="436">
        <v>47</v>
      </c>
      <c r="V70" s="436">
        <v>0</v>
      </c>
      <c r="W70" s="436">
        <v>47</v>
      </c>
      <c r="X70" s="238">
        <v>1545</v>
      </c>
      <c r="Y70" s="237">
        <v>0.20519999999999999</v>
      </c>
      <c r="Z70" s="238">
        <v>20197</v>
      </c>
      <c r="AA70" s="238">
        <v>13115</v>
      </c>
      <c r="AB70" s="238">
        <v>80.13</v>
      </c>
      <c r="AC70" s="238">
        <v>76</v>
      </c>
      <c r="AD70" s="238">
        <v>1878672.3399999999</v>
      </c>
      <c r="AE70" s="238">
        <v>49160.449999999721</v>
      </c>
      <c r="AF70" s="238">
        <v>1515752.35</v>
      </c>
      <c r="AG70" s="238">
        <v>316609.03999999998</v>
      </c>
      <c r="AH70" s="239">
        <v>0.20887913517006915</v>
      </c>
      <c r="AI70" s="242">
        <v>27.147548</v>
      </c>
      <c r="AJ70" s="242">
        <v>1.5935060000000001</v>
      </c>
      <c r="AK70" s="242">
        <v>5.5932116532116535E-2</v>
      </c>
      <c r="AL70" s="242" t="s">
        <v>678</v>
      </c>
      <c r="AM70" s="242" t="s">
        <v>678</v>
      </c>
      <c r="AN70" s="242">
        <v>19889.37</v>
      </c>
      <c r="AO70" s="238">
        <v>0</v>
      </c>
      <c r="AP70" s="243">
        <v>0</v>
      </c>
      <c r="AQ70" s="238">
        <v>1</v>
      </c>
      <c r="AR70" s="238">
        <v>1700.3846430541737</v>
      </c>
      <c r="AS70" s="238">
        <v>891.89318954171301</v>
      </c>
      <c r="AT70" s="238">
        <v>79094.333333333328</v>
      </c>
      <c r="AU70" s="238">
        <v>218.69230740375025</v>
      </c>
      <c r="AV70" s="237">
        <v>1</v>
      </c>
      <c r="AW70" s="237">
        <v>1</v>
      </c>
      <c r="AX70" s="237">
        <v>1</v>
      </c>
      <c r="AY70" s="244" t="s">
        <v>673</v>
      </c>
      <c r="AZ70" s="244" t="s">
        <v>726</v>
      </c>
      <c r="BA70" s="237">
        <v>2012</v>
      </c>
      <c r="BB70" s="245" t="s">
        <v>1015</v>
      </c>
      <c r="BC70" s="215" t="s">
        <v>1016</v>
      </c>
      <c r="BE70" s="237">
        <v>10</v>
      </c>
      <c r="BF70" s="237">
        <v>25</v>
      </c>
      <c r="BG70" s="246" t="s">
        <v>676</v>
      </c>
      <c r="BI70" s="239">
        <v>0.69054178145087231</v>
      </c>
      <c r="BJ70" s="239">
        <v>7.7134986225895319E-2</v>
      </c>
      <c r="BK70" s="239">
        <v>0.2231404958677686</v>
      </c>
      <c r="BL70" s="239">
        <v>9.1827364554637279E-3</v>
      </c>
      <c r="BM70" s="247">
        <v>2.4490358126721756</v>
      </c>
      <c r="BN70" s="248">
        <v>0</v>
      </c>
      <c r="BO70" s="248">
        <v>0</v>
      </c>
      <c r="BP70" s="237">
        <v>0</v>
      </c>
      <c r="BQ70" s="237">
        <v>0</v>
      </c>
      <c r="BR70" s="248">
        <v>0</v>
      </c>
      <c r="BS70" s="237">
        <v>10.5</v>
      </c>
      <c r="BT70" s="237" t="s">
        <v>790</v>
      </c>
      <c r="BU70" s="249" t="s">
        <v>678</v>
      </c>
      <c r="BV70" s="249">
        <v>137</v>
      </c>
      <c r="BW70" s="249">
        <v>884</v>
      </c>
      <c r="BX70" s="249" t="s">
        <v>678</v>
      </c>
      <c r="BY70" s="249" t="s">
        <v>678</v>
      </c>
      <c r="BZ70" s="249">
        <v>8.4620135886349601</v>
      </c>
      <c r="CA70" s="249">
        <v>54.601605929586164</v>
      </c>
      <c r="CB70" s="249" t="s">
        <v>678</v>
      </c>
      <c r="CC70" s="250" t="s">
        <v>678</v>
      </c>
      <c r="CD70" s="242" t="s">
        <v>678</v>
      </c>
      <c r="CE70" s="252" t="s">
        <v>678</v>
      </c>
      <c r="CF70" s="238">
        <v>709</v>
      </c>
      <c r="CG70" s="238">
        <v>111</v>
      </c>
      <c r="CH70" s="238">
        <v>6.8560840024706611</v>
      </c>
      <c r="CI70" s="216" t="s">
        <v>700</v>
      </c>
      <c r="CJ70" s="237">
        <v>0</v>
      </c>
      <c r="CK70" s="253">
        <v>20.75</v>
      </c>
      <c r="CL70" s="253">
        <v>26.822099999999999</v>
      </c>
      <c r="CM70" s="254">
        <v>9.4145665145665136E-3</v>
      </c>
      <c r="CN70" s="237" t="s">
        <v>791</v>
      </c>
      <c r="CO70" s="242">
        <v>665.86</v>
      </c>
      <c r="CP70" s="255">
        <v>0.23371709371709373</v>
      </c>
      <c r="CV70" s="237">
        <v>7</v>
      </c>
      <c r="CW70" s="261" t="s">
        <v>678</v>
      </c>
      <c r="CX70" s="261" t="s">
        <v>678</v>
      </c>
      <c r="CY70" s="261" t="s">
        <v>678</v>
      </c>
      <c r="DB70" s="216" t="s">
        <v>1017</v>
      </c>
      <c r="DC70" s="195" t="s">
        <v>1018</v>
      </c>
      <c r="DD70" s="256">
        <v>0.7</v>
      </c>
      <c r="DE70" s="256">
        <v>-6.5</v>
      </c>
      <c r="DF70" s="256">
        <v>0.7</v>
      </c>
      <c r="DG70" s="256">
        <v>-2.2000000000000002</v>
      </c>
      <c r="DH70" s="257">
        <v>4</v>
      </c>
      <c r="DI70" s="257">
        <v>8.2899999999999991</v>
      </c>
      <c r="DJ70" s="257">
        <v>19.7</v>
      </c>
      <c r="DK70" s="257">
        <v>27.99</v>
      </c>
      <c r="DL70" s="237" t="s">
        <v>529</v>
      </c>
      <c r="DM70" s="237" t="s">
        <v>988</v>
      </c>
      <c r="DN70" s="237" t="s">
        <v>730</v>
      </c>
      <c r="DP70" s="258" t="s">
        <v>682</v>
      </c>
      <c r="DQ70" s="258"/>
      <c r="DR70" s="258"/>
      <c r="DS70" s="258"/>
      <c r="DT70" s="258"/>
      <c r="DU70" s="237">
        <v>0</v>
      </c>
      <c r="DX70" s="247"/>
      <c r="DY70" s="247">
        <v>0</v>
      </c>
      <c r="EA70" s="237">
        <v>1</v>
      </c>
      <c r="EB70" s="237" t="s">
        <v>1019</v>
      </c>
      <c r="ED70" s="237" t="s">
        <v>687</v>
      </c>
      <c r="EE70" s="208">
        <v>1</v>
      </c>
      <c r="EF70" s="237" t="s">
        <v>688</v>
      </c>
      <c r="EG70" s="216" t="s">
        <v>733</v>
      </c>
      <c r="EH70" s="246" t="s">
        <v>734</v>
      </c>
      <c r="EI70" s="216"/>
      <c r="EJ70" s="216" t="s">
        <v>529</v>
      </c>
      <c r="EK70" s="222" t="s">
        <v>682</v>
      </c>
      <c r="EL70" s="259">
        <v>2014</v>
      </c>
      <c r="EM70" s="260">
        <v>17098</v>
      </c>
      <c r="EN70" s="260">
        <v>54092</v>
      </c>
      <c r="EO70" s="260">
        <v>21680</v>
      </c>
      <c r="ER70" s="237" t="s">
        <v>705</v>
      </c>
      <c r="ES70" s="237" t="e">
        <v>#DIV/0!</v>
      </c>
      <c r="ET70" s="237">
        <v>1.2679845595976138</v>
      </c>
      <c r="EU70" s="661">
        <v>1</v>
      </c>
      <c r="EV70" s="661" t="s">
        <v>678</v>
      </c>
      <c r="EW70" s="661">
        <v>4</v>
      </c>
      <c r="EX70" s="661">
        <v>1</v>
      </c>
      <c r="EY70" s="660">
        <v>7.2832572832572835E-3</v>
      </c>
      <c r="EZ70" s="256">
        <v>78.024096385542165</v>
      </c>
      <c r="FA70" s="247">
        <v>0.79545454545454541</v>
      </c>
      <c r="FB70" s="208">
        <v>3</v>
      </c>
      <c r="FC70" s="208">
        <v>3</v>
      </c>
      <c r="FD70" s="208">
        <v>3</v>
      </c>
      <c r="FE70" s="239">
        <v>0.73863636363636365</v>
      </c>
      <c r="FF70" s="208"/>
      <c r="FG70" s="241">
        <v>3.1806818181818179E-2</v>
      </c>
      <c r="FH70" s="209">
        <v>0</v>
      </c>
      <c r="FI70" s="237" t="s">
        <v>678</v>
      </c>
      <c r="FJ70" s="208">
        <v>39.700000000000003</v>
      </c>
      <c r="FK70" s="208">
        <v>16.46</v>
      </c>
      <c r="FL70" s="217">
        <v>56.3</v>
      </c>
      <c r="FM70" s="208">
        <v>0.91</v>
      </c>
      <c r="FN70" s="208" t="s">
        <v>1020</v>
      </c>
      <c r="FP70" s="247" t="s">
        <v>693</v>
      </c>
      <c r="FU70" s="208">
        <v>29</v>
      </c>
      <c r="FV70" s="208">
        <v>24</v>
      </c>
      <c r="FW70" s="237">
        <v>76.14</v>
      </c>
      <c r="FX70" s="237">
        <v>62</v>
      </c>
      <c r="FY70" s="208">
        <v>6.57</v>
      </c>
      <c r="FZ70" s="208">
        <v>12.5</v>
      </c>
      <c r="GA70" s="208">
        <v>20.34</v>
      </c>
      <c r="GB70" s="208">
        <v>8.6999999999999993</v>
      </c>
      <c r="GC70" s="208">
        <v>0.15</v>
      </c>
      <c r="GD70" s="208">
        <v>33.799999999999997</v>
      </c>
      <c r="GE70" s="237">
        <v>15.51</v>
      </c>
      <c r="GF70" s="237">
        <v>9.9</v>
      </c>
      <c r="GG70" s="237">
        <v>7.62</v>
      </c>
      <c r="GH70" s="237">
        <v>58.9</v>
      </c>
      <c r="GJ70" s="947"/>
      <c r="GK70" s="320"/>
      <c r="GL70" s="320"/>
      <c r="GM70" s="320"/>
      <c r="GN70" s="320"/>
      <c r="GO70" s="662">
        <v>8065</v>
      </c>
      <c r="GP70" s="663" t="str">
        <f>VLOOKUP(GS70,'BD Comarcal'!$A$6:$AV$17,48,FALSE)</f>
        <v>03</v>
      </c>
      <c r="GQ70" s="564">
        <v>9</v>
      </c>
      <c r="GR70" s="256">
        <f t="shared" si="0"/>
        <v>1</v>
      </c>
      <c r="GS70" s="237" t="s">
        <v>791</v>
      </c>
    </row>
    <row r="71" spans="1:201" s="237" customFormat="1" ht="17.25" customHeight="1">
      <c r="A71" s="236" t="s">
        <v>1021</v>
      </c>
      <c r="C71" s="238"/>
      <c r="D71" s="238">
        <v>1709</v>
      </c>
      <c r="E71" s="238">
        <v>1390</v>
      </c>
      <c r="F71" s="239">
        <v>0.81334113516676421</v>
      </c>
      <c r="G71" s="238">
        <v>1187</v>
      </c>
      <c r="H71" s="240">
        <v>426.4201419766249</v>
      </c>
      <c r="I71" s="239">
        <v>0.30677708055872294</v>
      </c>
      <c r="J71" s="238">
        <v>158</v>
      </c>
      <c r="K71" s="238">
        <v>2</v>
      </c>
      <c r="L71" s="238">
        <v>14</v>
      </c>
      <c r="M71" s="241">
        <v>8.1919251023990641E-3</v>
      </c>
      <c r="N71" s="238">
        <v>0</v>
      </c>
      <c r="O71" s="239">
        <v>0</v>
      </c>
      <c r="P71" s="237">
        <v>2</v>
      </c>
      <c r="Q71" s="237">
        <v>0</v>
      </c>
      <c r="R71" s="239">
        <v>0</v>
      </c>
      <c r="S71" s="238">
        <v>13</v>
      </c>
      <c r="T71" s="436">
        <v>0</v>
      </c>
      <c r="U71" s="436">
        <v>0</v>
      </c>
      <c r="V71" s="436">
        <v>0</v>
      </c>
      <c r="W71" s="436">
        <v>0</v>
      </c>
      <c r="X71" s="238">
        <v>1807</v>
      </c>
      <c r="Y71" s="237">
        <v>0.14829999999999999</v>
      </c>
      <c r="Z71" s="238">
        <v>30874</v>
      </c>
      <c r="AA71" s="238">
        <v>17433</v>
      </c>
      <c r="AB71" s="238">
        <v>106.52</v>
      </c>
      <c r="AC71" s="238">
        <v>483</v>
      </c>
      <c r="AD71" s="238">
        <v>2055956.0100000002</v>
      </c>
      <c r="AE71" s="238">
        <v>344655.60000000009</v>
      </c>
      <c r="AF71" s="238">
        <v>1626179.8699999999</v>
      </c>
      <c r="AG71" s="238">
        <v>185807.3</v>
      </c>
      <c r="AH71" s="239">
        <v>0.11425999265382618</v>
      </c>
      <c r="AI71" s="242">
        <v>126.382491</v>
      </c>
      <c r="AJ71" s="242">
        <v>25.138715000000001</v>
      </c>
      <c r="AK71" s="242">
        <v>1.4709605032182564</v>
      </c>
      <c r="AL71" s="242">
        <v>116.001734</v>
      </c>
      <c r="AM71" s="242">
        <v>6.7876965476887063</v>
      </c>
      <c r="AN71" s="242">
        <v>18301.72</v>
      </c>
      <c r="AO71" s="238">
        <v>11333.11</v>
      </c>
      <c r="AP71" s="243">
        <v>34</v>
      </c>
      <c r="AQ71" s="238">
        <v>1</v>
      </c>
      <c r="AR71" s="238">
        <v>1657.3036301196198</v>
      </c>
      <c r="AS71" s="238">
        <v>964.84269189310498</v>
      </c>
      <c r="AT71" s="238">
        <v>169645.66666666666</v>
      </c>
      <c r="AU71" s="238">
        <v>337.06518374421483</v>
      </c>
      <c r="AV71" s="237">
        <v>1</v>
      </c>
      <c r="AW71" s="237">
        <v>1</v>
      </c>
      <c r="AX71" s="237">
        <v>1</v>
      </c>
      <c r="AY71" s="244" t="s">
        <v>673</v>
      </c>
      <c r="AZ71" s="244" t="s">
        <v>682</v>
      </c>
      <c r="BA71" s="237">
        <v>2010</v>
      </c>
      <c r="BB71" s="245" t="s">
        <v>1022</v>
      </c>
      <c r="BC71" s="215" t="s">
        <v>1023</v>
      </c>
      <c r="BE71" s="237">
        <v>125</v>
      </c>
      <c r="BF71" s="237">
        <v>102</v>
      </c>
      <c r="BG71" s="246" t="s">
        <v>676</v>
      </c>
      <c r="BI71" s="239">
        <v>0.36934441366574333</v>
      </c>
      <c r="BJ71" s="239">
        <v>0.15881809787626963</v>
      </c>
      <c r="BK71" s="239">
        <v>0.45614035087719296</v>
      </c>
      <c r="BL71" s="239">
        <v>1.569713758079409E-2</v>
      </c>
      <c r="BM71" s="247">
        <v>1.8818097876269624</v>
      </c>
      <c r="BN71" s="248">
        <v>1</v>
      </c>
      <c r="BO71" s="248">
        <v>1</v>
      </c>
      <c r="BP71" s="237">
        <v>0</v>
      </c>
      <c r="BQ71" s="237">
        <v>0</v>
      </c>
      <c r="BR71" s="248">
        <v>2</v>
      </c>
      <c r="BS71" s="237">
        <v>7</v>
      </c>
      <c r="BT71" s="237" t="s">
        <v>677</v>
      </c>
      <c r="BU71" s="249" t="s">
        <v>678</v>
      </c>
      <c r="BV71" s="249">
        <v>103</v>
      </c>
      <c r="BW71" s="249">
        <v>852</v>
      </c>
      <c r="BX71" s="249" t="s">
        <v>678</v>
      </c>
      <c r="BY71" s="249" t="s">
        <v>678</v>
      </c>
      <c r="BZ71" s="249">
        <v>5.8991981672394047</v>
      </c>
      <c r="CA71" s="249">
        <v>48.797250859106526</v>
      </c>
      <c r="CB71" s="249" t="s">
        <v>678</v>
      </c>
      <c r="CC71" s="250" t="s">
        <v>678</v>
      </c>
      <c r="CD71" s="242" t="s">
        <v>678</v>
      </c>
      <c r="CE71" s="252" t="s">
        <v>678</v>
      </c>
      <c r="CF71" s="238">
        <v>776</v>
      </c>
      <c r="CG71" s="238">
        <v>105.2</v>
      </c>
      <c r="CH71" s="238">
        <v>6.0252004581901488</v>
      </c>
      <c r="CI71" s="216" t="s">
        <v>679</v>
      </c>
      <c r="CJ71" s="237">
        <v>0</v>
      </c>
      <c r="CK71" s="253">
        <v>126.72</v>
      </c>
      <c r="CL71" s="253">
        <v>35.816499999999998</v>
      </c>
      <c r="CM71" s="254">
        <v>2.0957577530719716E-2</v>
      </c>
      <c r="CN71" s="237" t="s">
        <v>90</v>
      </c>
      <c r="CO71" s="242">
        <v>354.21</v>
      </c>
      <c r="CP71" s="255">
        <v>0.20726155646576944</v>
      </c>
      <c r="CV71" s="237">
        <v>4</v>
      </c>
      <c r="CW71" s="261" t="s">
        <v>678</v>
      </c>
      <c r="CX71" s="261" t="s">
        <v>678</v>
      </c>
      <c r="CY71" s="261" t="s">
        <v>678</v>
      </c>
      <c r="DB71" s="216" t="s">
        <v>710</v>
      </c>
      <c r="DC71" s="195" t="s">
        <v>711</v>
      </c>
      <c r="DD71" s="256">
        <v>0.7</v>
      </c>
      <c r="DE71" s="256">
        <v>-6.5</v>
      </c>
      <c r="DF71" s="256">
        <v>0.7</v>
      </c>
      <c r="DG71" s="256">
        <v>-2.2000000000000002</v>
      </c>
      <c r="DL71" s="237" t="s">
        <v>682</v>
      </c>
      <c r="DO71" s="237">
        <v>1</v>
      </c>
      <c r="DP71" s="258" t="s">
        <v>682</v>
      </c>
      <c r="DQ71" s="258"/>
      <c r="DR71" s="258"/>
      <c r="DS71" s="258"/>
      <c r="DT71" s="258"/>
      <c r="DU71" s="237">
        <v>0</v>
      </c>
      <c r="DX71" s="247"/>
      <c r="DY71" s="247">
        <v>0</v>
      </c>
      <c r="EA71" s="237">
        <v>0</v>
      </c>
      <c r="ED71" s="237" t="s">
        <v>732</v>
      </c>
      <c r="EE71" s="208">
        <v>2</v>
      </c>
      <c r="EF71" s="237" t="s">
        <v>688</v>
      </c>
      <c r="EG71" s="216" t="s">
        <v>691</v>
      </c>
      <c r="EH71" s="246" t="s">
        <v>690</v>
      </c>
      <c r="EI71" s="216" t="s">
        <v>691</v>
      </c>
      <c r="EJ71" s="216" t="s">
        <v>529</v>
      </c>
      <c r="EK71" s="222" t="s">
        <v>682</v>
      </c>
      <c r="EL71" s="259">
        <v>1984</v>
      </c>
      <c r="EM71" s="260">
        <v>2400</v>
      </c>
      <c r="EN71" s="260">
        <v>91587</v>
      </c>
      <c r="EO71" s="260">
        <v>80823</v>
      </c>
      <c r="ER71" s="237" t="s">
        <v>705</v>
      </c>
      <c r="ES71" s="237">
        <v>873</v>
      </c>
      <c r="ET71" s="237">
        <v>33.676250000000003</v>
      </c>
      <c r="EU71" s="661">
        <v>1</v>
      </c>
      <c r="EV71" s="661" t="s">
        <v>678</v>
      </c>
      <c r="EW71" s="661">
        <v>6</v>
      </c>
      <c r="EX71" s="661">
        <v>7</v>
      </c>
      <c r="EY71" s="660">
        <v>7.4148624926857809E-2</v>
      </c>
      <c r="EZ71" s="256">
        <v>13.778409090909092</v>
      </c>
      <c r="FA71" s="247">
        <v>0.28776978417266186</v>
      </c>
      <c r="FB71" s="208">
        <v>5</v>
      </c>
      <c r="FC71" s="208">
        <v>8</v>
      </c>
      <c r="FD71" s="208">
        <v>1</v>
      </c>
      <c r="FE71" s="239">
        <v>0.85395683453237414</v>
      </c>
      <c r="FF71" s="208"/>
      <c r="FG71" s="241">
        <v>0</v>
      </c>
      <c r="FH71" s="209">
        <v>0</v>
      </c>
      <c r="FI71" s="237" t="s">
        <v>678</v>
      </c>
      <c r="FJ71" s="208">
        <v>49.5</v>
      </c>
      <c r="FK71" s="208">
        <v>19.75</v>
      </c>
      <c r="FL71" s="217">
        <v>60.9</v>
      </c>
      <c r="FM71" s="208">
        <v>5.48</v>
      </c>
      <c r="FN71" s="208" t="s">
        <v>1024</v>
      </c>
      <c r="FP71" s="247" t="s">
        <v>693</v>
      </c>
      <c r="FU71" s="208">
        <v>43</v>
      </c>
      <c r="FV71" s="208">
        <v>60.2</v>
      </c>
      <c r="FW71" s="237">
        <v>83.07</v>
      </c>
      <c r="FX71" s="237">
        <v>71.2</v>
      </c>
      <c r="FY71" s="208">
        <v>62.2</v>
      </c>
      <c r="FZ71" s="208">
        <v>70.099999999999994</v>
      </c>
      <c r="GA71" s="208">
        <v>67.64</v>
      </c>
      <c r="GB71" s="208">
        <v>76</v>
      </c>
      <c r="GC71" s="208">
        <v>0.86</v>
      </c>
      <c r="GD71" s="208">
        <v>81.5</v>
      </c>
      <c r="GE71" s="237">
        <v>49.22</v>
      </c>
      <c r="GF71" s="237">
        <v>64.400000000000006</v>
      </c>
      <c r="GG71" s="237">
        <v>1.88</v>
      </c>
      <c r="GH71" s="237">
        <v>21.2</v>
      </c>
      <c r="GJ71" s="947"/>
      <c r="GK71" s="320"/>
      <c r="GL71" s="320"/>
      <c r="GM71" s="320"/>
      <c r="GN71" s="320"/>
      <c r="GO71" s="662">
        <v>8066</v>
      </c>
      <c r="GP71" s="663" t="str">
        <f>VLOOKUP(GS71,'BD Comarcal'!$A$6:$AV$17,48,FALSE)</f>
        <v>11</v>
      </c>
      <c r="GQ71" s="564">
        <v>12</v>
      </c>
      <c r="GR71" s="256">
        <f t="shared" ref="GR71:GR134" si="1">IF(DI71&gt;0,1,0)</f>
        <v>0</v>
      </c>
      <c r="GS71" s="237" t="s">
        <v>90</v>
      </c>
    </row>
    <row r="72" spans="1:201" s="237" customFormat="1" ht="17.25" customHeight="1">
      <c r="A72" s="236" t="s">
        <v>1025</v>
      </c>
      <c r="C72" s="238"/>
      <c r="D72" s="238">
        <v>1513</v>
      </c>
      <c r="E72" s="238">
        <v>724</v>
      </c>
      <c r="F72" s="239">
        <v>0.47851949768671515</v>
      </c>
      <c r="G72" s="238">
        <v>645</v>
      </c>
      <c r="H72" s="240">
        <v>481.59443850437208</v>
      </c>
      <c r="I72" s="239">
        <v>0.66518568854195037</v>
      </c>
      <c r="J72" s="238">
        <v>328</v>
      </c>
      <c r="K72" s="238">
        <v>38</v>
      </c>
      <c r="L72" s="238">
        <v>0</v>
      </c>
      <c r="M72" s="241">
        <v>0</v>
      </c>
      <c r="N72" s="238">
        <v>9</v>
      </c>
      <c r="O72" s="239">
        <v>2.7439024390243903E-2</v>
      </c>
      <c r="P72" s="237">
        <v>23</v>
      </c>
      <c r="Q72" s="237">
        <v>1</v>
      </c>
      <c r="R72" s="239">
        <v>4.3478260869565216E-2</v>
      </c>
      <c r="S72" s="238">
        <v>1556</v>
      </c>
      <c r="T72" s="436">
        <v>300</v>
      </c>
      <c r="U72" s="436">
        <v>10</v>
      </c>
      <c r="V72" s="436">
        <v>24</v>
      </c>
      <c r="W72" s="436">
        <v>334</v>
      </c>
      <c r="X72" s="238">
        <v>7410</v>
      </c>
      <c r="Y72" s="237">
        <v>0.18740000000000001</v>
      </c>
      <c r="Z72" s="238">
        <v>123987</v>
      </c>
      <c r="AA72" s="238">
        <v>16819</v>
      </c>
      <c r="AB72" s="238">
        <v>102.76</v>
      </c>
      <c r="AC72" s="238">
        <v>452</v>
      </c>
      <c r="AD72" s="238">
        <v>8059579.6500000004</v>
      </c>
      <c r="AE72" s="238">
        <v>1045609.0999999996</v>
      </c>
      <c r="AF72" s="238">
        <v>7334343.3200000003</v>
      </c>
      <c r="AG72" s="238">
        <v>341936.34</v>
      </c>
      <c r="AH72" s="239">
        <v>4.6621261792800836E-2</v>
      </c>
      <c r="AI72" s="242">
        <v>102.301907</v>
      </c>
      <c r="AJ72" s="242">
        <v>14.985372</v>
      </c>
      <c r="AK72" s="242">
        <v>0.99044097818902843</v>
      </c>
      <c r="AL72" s="242">
        <v>87.728168999999994</v>
      </c>
      <c r="AM72" s="242">
        <v>5.79829272967614</v>
      </c>
      <c r="AN72" s="242">
        <v>10746.09</v>
      </c>
      <c r="AO72" s="238">
        <v>99.92</v>
      </c>
      <c r="AP72" s="243">
        <v>2</v>
      </c>
      <c r="AQ72" s="238">
        <v>1</v>
      </c>
      <c r="AR72" s="238">
        <v>1331.2424403068828</v>
      </c>
      <c r="AS72" s="238">
        <v>3267.5028878708977</v>
      </c>
      <c r="AT72" s="238">
        <v>532147</v>
      </c>
      <c r="AU72" s="238">
        <v>231.31718961877527</v>
      </c>
      <c r="AV72" s="237">
        <v>1</v>
      </c>
      <c r="AW72" s="237">
        <v>0</v>
      </c>
      <c r="AX72" s="237">
        <v>1</v>
      </c>
      <c r="AY72" s="244" t="s">
        <v>717</v>
      </c>
      <c r="AZ72" s="244" t="s">
        <v>673</v>
      </c>
      <c r="BA72" s="237">
        <v>2011</v>
      </c>
      <c r="BB72" s="245" t="s">
        <v>813</v>
      </c>
      <c r="BC72" s="215" t="s">
        <v>814</v>
      </c>
      <c r="BE72" s="237">
        <v>0</v>
      </c>
      <c r="BF72" s="237">
        <v>83</v>
      </c>
      <c r="BG72" s="246" t="s">
        <v>720</v>
      </c>
      <c r="BI72" s="239">
        <v>0.44272076372315033</v>
      </c>
      <c r="BJ72" s="239">
        <v>9.7653142402545745E-2</v>
      </c>
      <c r="BK72" s="239">
        <v>0.43914081145584727</v>
      </c>
      <c r="BL72" s="239">
        <v>2.0485282418456641E-2</v>
      </c>
      <c r="BM72" s="247">
        <v>1.9626093874303898</v>
      </c>
      <c r="BN72" s="248">
        <v>0</v>
      </c>
      <c r="BO72" s="248">
        <v>1</v>
      </c>
      <c r="BP72" s="237">
        <v>0</v>
      </c>
      <c r="BQ72" s="237">
        <v>0</v>
      </c>
      <c r="BR72" s="248">
        <v>1</v>
      </c>
      <c r="BS72" s="237">
        <v>18</v>
      </c>
      <c r="BT72" s="237" t="s">
        <v>815</v>
      </c>
      <c r="BU72" s="249" t="s">
        <v>678</v>
      </c>
      <c r="BV72" s="249">
        <v>761</v>
      </c>
      <c r="BW72" s="249">
        <v>3607</v>
      </c>
      <c r="BX72" s="249" t="s">
        <v>678</v>
      </c>
      <c r="BY72" s="249" t="s">
        <v>678</v>
      </c>
      <c r="BZ72" s="249">
        <v>10.35937925401579</v>
      </c>
      <c r="CA72" s="249">
        <v>49.10155186496052</v>
      </c>
      <c r="CB72" s="249" t="s">
        <v>678</v>
      </c>
      <c r="CC72" s="250" t="s">
        <v>678</v>
      </c>
      <c r="CD72" s="242">
        <v>-157</v>
      </c>
      <c r="CE72" s="252">
        <v>97.862782466648511</v>
      </c>
      <c r="CF72" s="238">
        <v>3249</v>
      </c>
      <c r="CG72" s="238">
        <v>567.20000000000005</v>
      </c>
      <c r="CH72" s="238">
        <v>7.7212088211271448</v>
      </c>
      <c r="CI72" s="216" t="s">
        <v>679</v>
      </c>
      <c r="CJ72" s="237">
        <v>0</v>
      </c>
      <c r="CK72" s="253">
        <v>92.44</v>
      </c>
      <c r="CL72" s="253">
        <v>112.50449999999999</v>
      </c>
      <c r="CM72" s="254">
        <v>7.435855915399868E-2</v>
      </c>
      <c r="CN72" s="237" t="s">
        <v>88</v>
      </c>
      <c r="CO72" s="242">
        <v>40.61</v>
      </c>
      <c r="CP72" s="255">
        <v>2.6840713813615334E-2</v>
      </c>
      <c r="CV72" s="237">
        <v>4</v>
      </c>
      <c r="CW72" s="194">
        <v>1.244</v>
      </c>
      <c r="CX72" s="194">
        <v>0.63500000000000001</v>
      </c>
      <c r="CY72" s="194" t="s">
        <v>680</v>
      </c>
      <c r="DB72" s="216" t="s">
        <v>710</v>
      </c>
      <c r="DC72" s="195" t="s">
        <v>711</v>
      </c>
      <c r="DD72" s="256">
        <v>0.8</v>
      </c>
      <c r="DE72" s="256">
        <v>-9</v>
      </c>
      <c r="DF72" s="256">
        <v>-0.3</v>
      </c>
      <c r="DG72" s="256">
        <v>-2.6</v>
      </c>
      <c r="DH72" s="257">
        <v>1</v>
      </c>
      <c r="DI72" s="257">
        <v>0</v>
      </c>
      <c r="DJ72" s="257">
        <v>1</v>
      </c>
      <c r="DK72" s="257">
        <v>1</v>
      </c>
      <c r="DL72" s="237" t="s">
        <v>682</v>
      </c>
      <c r="DO72" s="237">
        <v>1</v>
      </c>
      <c r="DP72" s="258" t="s">
        <v>682</v>
      </c>
      <c r="DQ72" s="258"/>
      <c r="DR72" s="258"/>
      <c r="DS72" s="258"/>
      <c r="DT72" s="258"/>
      <c r="DU72" s="237">
        <v>0</v>
      </c>
      <c r="DX72" s="247"/>
      <c r="DY72" s="247">
        <v>0</v>
      </c>
      <c r="EA72" s="237">
        <v>0</v>
      </c>
      <c r="ED72" s="237" t="s">
        <v>678</v>
      </c>
      <c r="EE72" s="208">
        <v>3</v>
      </c>
      <c r="EF72" s="237" t="s">
        <v>678</v>
      </c>
      <c r="EG72" s="216" t="s">
        <v>691</v>
      </c>
      <c r="EH72" s="246" t="s">
        <v>690</v>
      </c>
      <c r="EI72" s="216"/>
      <c r="EJ72" s="216" t="s">
        <v>529</v>
      </c>
      <c r="EK72" s="222" t="s">
        <v>682</v>
      </c>
      <c r="EL72" s="259">
        <v>1983</v>
      </c>
      <c r="EM72" s="260">
        <v>2470</v>
      </c>
      <c r="EN72" s="260">
        <v>273991</v>
      </c>
      <c r="EO72" s="260">
        <v>278884</v>
      </c>
      <c r="EP72" s="237">
        <v>1</v>
      </c>
      <c r="EQ72" s="237">
        <v>110</v>
      </c>
      <c r="ER72" s="237" t="s">
        <v>705</v>
      </c>
      <c r="ES72" s="237">
        <v>7346</v>
      </c>
      <c r="ET72" s="237">
        <v>112.90850202429149</v>
      </c>
      <c r="EU72" s="661">
        <v>7</v>
      </c>
      <c r="EV72" s="661">
        <v>2</v>
      </c>
      <c r="EW72" s="661">
        <v>0</v>
      </c>
      <c r="EX72" s="661">
        <v>1</v>
      </c>
      <c r="EY72" s="660">
        <v>6.1097157964309319E-2</v>
      </c>
      <c r="EZ72" s="256">
        <v>79.467762873215065</v>
      </c>
      <c r="FA72" s="247">
        <v>0.5524861878453039</v>
      </c>
      <c r="FB72" s="208">
        <v>2</v>
      </c>
      <c r="FC72" s="208">
        <v>3</v>
      </c>
      <c r="FD72" s="208">
        <v>2</v>
      </c>
      <c r="FE72" s="239">
        <v>0.89088397790055252</v>
      </c>
      <c r="FF72" s="208">
        <v>1</v>
      </c>
      <c r="FG72" s="241">
        <v>1.3812154696132596E-3</v>
      </c>
      <c r="FH72" s="209">
        <v>0</v>
      </c>
      <c r="FI72" s="237" t="s">
        <v>678</v>
      </c>
      <c r="FJ72" s="208">
        <v>62</v>
      </c>
      <c r="FK72" s="208">
        <v>0</v>
      </c>
      <c r="FL72" s="217">
        <v>3.3</v>
      </c>
      <c r="FM72" s="208">
        <v>4.55</v>
      </c>
      <c r="FN72" s="208" t="s">
        <v>1026</v>
      </c>
      <c r="FP72" s="247" t="s">
        <v>693</v>
      </c>
      <c r="FU72" s="208">
        <v>43</v>
      </c>
      <c r="FV72" s="208">
        <v>60.4</v>
      </c>
      <c r="FW72" s="237">
        <v>73.290000000000006</v>
      </c>
      <c r="FX72" s="237">
        <v>57.8</v>
      </c>
      <c r="FY72" s="208">
        <v>34.92</v>
      </c>
      <c r="FZ72" s="208">
        <v>51.9</v>
      </c>
      <c r="GA72" s="208">
        <v>43</v>
      </c>
      <c r="GB72" s="208">
        <v>41.1</v>
      </c>
      <c r="GC72" s="208">
        <v>0.84</v>
      </c>
      <c r="GD72" s="208">
        <v>81.099999999999994</v>
      </c>
      <c r="GE72" s="237">
        <v>38.42</v>
      </c>
      <c r="GF72" s="237">
        <v>48</v>
      </c>
      <c r="GG72" s="237">
        <v>7.95</v>
      </c>
      <c r="GH72" s="237">
        <v>60.8</v>
      </c>
      <c r="GJ72" s="947">
        <v>175</v>
      </c>
      <c r="GK72" s="320">
        <v>6.0000000000000001E-3</v>
      </c>
      <c r="GL72" s="320">
        <v>0.35699999999999998</v>
      </c>
      <c r="GM72" s="320">
        <v>6.0999999999999999E-2</v>
      </c>
      <c r="GN72" s="320">
        <v>0.57599999999999996</v>
      </c>
      <c r="GO72" s="662">
        <v>8067</v>
      </c>
      <c r="GP72" s="663" t="str">
        <f>VLOOKUP(GS72,'BD Comarcal'!$A$6:$AV$17,48,FALSE)</f>
        <v>24</v>
      </c>
      <c r="GQ72" s="564">
        <v>72</v>
      </c>
      <c r="GR72" s="256">
        <f t="shared" si="1"/>
        <v>0</v>
      </c>
      <c r="GS72" s="237" t="s">
        <v>88</v>
      </c>
    </row>
    <row r="73" spans="1:201" s="237" customFormat="1" ht="17.25" customHeight="1">
      <c r="A73" s="236" t="s">
        <v>1027</v>
      </c>
      <c r="C73" s="238"/>
      <c r="D73" s="238">
        <v>2425</v>
      </c>
      <c r="E73" s="238">
        <v>1906</v>
      </c>
      <c r="F73" s="239">
        <v>0.78597938144329893</v>
      </c>
      <c r="G73" s="238">
        <v>1486</v>
      </c>
      <c r="H73" s="240">
        <v>231.32513745145667</v>
      </c>
      <c r="I73" s="239">
        <v>0.12136680873633614</v>
      </c>
      <c r="J73" s="238">
        <v>77</v>
      </c>
      <c r="K73" s="238">
        <v>1</v>
      </c>
      <c r="L73" s="238">
        <v>13</v>
      </c>
      <c r="M73" s="241">
        <v>5.3608247422680414E-3</v>
      </c>
      <c r="N73" s="238">
        <v>8</v>
      </c>
      <c r="O73" s="239">
        <v>0.1038961038961039</v>
      </c>
      <c r="P73" s="237">
        <v>1</v>
      </c>
      <c r="Q73" s="237">
        <v>0</v>
      </c>
      <c r="R73" s="239">
        <v>0</v>
      </c>
      <c r="S73" s="238">
        <v>1</v>
      </c>
      <c r="T73" s="436">
        <v>0</v>
      </c>
      <c r="U73" s="436">
        <v>0</v>
      </c>
      <c r="V73" s="436">
        <v>50</v>
      </c>
      <c r="W73" s="436">
        <v>50</v>
      </c>
      <c r="X73" s="238">
        <v>8861</v>
      </c>
      <c r="Y73" s="237">
        <v>0.14499999999999999</v>
      </c>
      <c r="Z73" s="238">
        <v>151588</v>
      </c>
      <c r="AA73" s="238">
        <v>17127</v>
      </c>
      <c r="AB73" s="238">
        <v>104.64</v>
      </c>
      <c r="AC73" s="238">
        <v>3378</v>
      </c>
      <c r="AD73" s="238">
        <v>8218018.2199999997</v>
      </c>
      <c r="AE73" s="238">
        <v>1808695.7200000007</v>
      </c>
      <c r="AF73" s="238">
        <v>7242135.1899999995</v>
      </c>
      <c r="AG73" s="238">
        <v>294991.49</v>
      </c>
      <c r="AH73" s="239">
        <v>4.0732668233993574E-2</v>
      </c>
      <c r="AI73" s="242">
        <v>489.18311399999999</v>
      </c>
      <c r="AJ73" s="242">
        <v>142.117288</v>
      </c>
      <c r="AK73" s="242">
        <v>5.8605067216494851</v>
      </c>
      <c r="AL73" s="242">
        <v>471.62933800000002</v>
      </c>
      <c r="AM73" s="242">
        <v>19.448632494845359</v>
      </c>
      <c r="AN73" s="242">
        <v>35369.089999999997</v>
      </c>
      <c r="AO73" s="238">
        <v>9769.5</v>
      </c>
      <c r="AP73" s="243">
        <v>22</v>
      </c>
      <c r="AQ73" s="238"/>
      <c r="AR73" s="238">
        <v>1443.90648059614</v>
      </c>
      <c r="AS73" s="238">
        <v>1924.2506969847821</v>
      </c>
      <c r="AT73" s="238">
        <v>517254.4883190883</v>
      </c>
      <c r="AU73" s="238">
        <v>304.61836923596672</v>
      </c>
      <c r="AV73" s="237">
        <v>1</v>
      </c>
      <c r="AW73" s="237">
        <v>1</v>
      </c>
      <c r="AX73" s="237">
        <v>1</v>
      </c>
      <c r="AY73" s="244" t="s">
        <v>673</v>
      </c>
      <c r="AZ73" s="244" t="s">
        <v>682</v>
      </c>
      <c r="BA73" s="237">
        <v>2011</v>
      </c>
      <c r="BB73" s="245" t="s">
        <v>826</v>
      </c>
      <c r="BC73" s="215" t="s">
        <v>827</v>
      </c>
      <c r="BE73" s="237">
        <v>125</v>
      </c>
      <c r="BF73" s="237">
        <v>102</v>
      </c>
      <c r="BG73" s="246" t="s">
        <v>676</v>
      </c>
      <c r="BI73" s="239">
        <v>0.31666666666666665</v>
      </c>
      <c r="BJ73" s="239">
        <v>0.14780701754385964</v>
      </c>
      <c r="BK73" s="239">
        <v>0.51973684210526316</v>
      </c>
      <c r="BL73" s="239">
        <v>1.5789473684210527E-2</v>
      </c>
      <c r="BM73" s="247">
        <v>1.7653508771929824</v>
      </c>
      <c r="BN73" s="248">
        <v>0</v>
      </c>
      <c r="BO73" s="248">
        <v>1</v>
      </c>
      <c r="BP73" s="237">
        <v>0</v>
      </c>
      <c r="BQ73" s="237">
        <v>0</v>
      </c>
      <c r="BR73" s="248">
        <v>1</v>
      </c>
      <c r="BS73" s="237">
        <v>12</v>
      </c>
      <c r="BT73" s="237" t="s">
        <v>1028</v>
      </c>
      <c r="BU73" s="249">
        <v>535</v>
      </c>
      <c r="BV73" s="249">
        <v>718</v>
      </c>
      <c r="BW73" s="249">
        <v>4305</v>
      </c>
      <c r="BX73" s="249">
        <v>1404</v>
      </c>
      <c r="BY73" s="249">
        <v>6.1346175897259485</v>
      </c>
      <c r="BZ73" s="249">
        <v>8.2330008026602446</v>
      </c>
      <c r="CA73" s="249">
        <v>49.363605091159272</v>
      </c>
      <c r="CB73" s="249">
        <v>16.099071207430342</v>
      </c>
      <c r="CC73" s="250">
        <v>84.233459465657603</v>
      </c>
      <c r="CD73" s="242">
        <v>-502</v>
      </c>
      <c r="CE73" s="252">
        <v>94.243779383098271</v>
      </c>
      <c r="CF73" s="238">
        <v>3984</v>
      </c>
      <c r="CG73" s="238">
        <v>632.20000000000005</v>
      </c>
      <c r="CH73" s="238">
        <v>7.2491686733172811</v>
      </c>
      <c r="CI73" s="216" t="s">
        <v>679</v>
      </c>
      <c r="CJ73" s="237">
        <v>0</v>
      </c>
      <c r="CK73" s="253">
        <v>520.99</v>
      </c>
      <c r="CL73" s="253">
        <v>204.01650000000001</v>
      </c>
      <c r="CM73" s="254">
        <v>8.4130515463917532E-2</v>
      </c>
      <c r="CN73" s="237" t="s">
        <v>90</v>
      </c>
      <c r="CO73" s="242">
        <v>1323.64</v>
      </c>
      <c r="CP73" s="255">
        <v>0.5458309278350516</v>
      </c>
      <c r="CV73" s="237">
        <v>7</v>
      </c>
      <c r="CW73" s="194">
        <v>1.47</v>
      </c>
      <c r="CX73" s="194">
        <v>8.7999999999999995E-2</v>
      </c>
      <c r="CY73" s="194">
        <v>2.1930000000000001</v>
      </c>
      <c r="DB73" s="216" t="s">
        <v>710</v>
      </c>
      <c r="DC73" s="195" t="s">
        <v>711</v>
      </c>
      <c r="DD73" s="256">
        <v>0.7</v>
      </c>
      <c r="DE73" s="256">
        <v>-6.5</v>
      </c>
      <c r="DF73" s="256">
        <v>0.7</v>
      </c>
      <c r="DG73" s="256">
        <v>-2.2000000000000002</v>
      </c>
      <c r="DH73" s="257">
        <v>2</v>
      </c>
      <c r="DI73" s="257">
        <v>4.8499999999999996</v>
      </c>
      <c r="DJ73" s="257">
        <v>0</v>
      </c>
      <c r="DK73" s="257">
        <v>4.8499999999999996</v>
      </c>
      <c r="DL73" s="237" t="s">
        <v>682</v>
      </c>
      <c r="DP73" s="258" t="s">
        <v>682</v>
      </c>
      <c r="DQ73" s="258"/>
      <c r="DR73" s="258"/>
      <c r="DS73" s="258"/>
      <c r="DT73" s="258"/>
      <c r="DU73" s="237">
        <v>0</v>
      </c>
      <c r="DX73" s="247"/>
      <c r="DY73" s="247">
        <v>0</v>
      </c>
      <c r="EA73" s="237">
        <v>0</v>
      </c>
      <c r="ED73" s="237" t="s">
        <v>687</v>
      </c>
      <c r="EE73" s="208">
        <v>1</v>
      </c>
      <c r="EF73" s="237" t="s">
        <v>688</v>
      </c>
      <c r="EG73" s="216" t="s">
        <v>691</v>
      </c>
      <c r="EH73" s="246" t="s">
        <v>690</v>
      </c>
      <c r="EI73" s="216" t="s">
        <v>689</v>
      </c>
      <c r="EJ73" s="216" t="s">
        <v>529</v>
      </c>
      <c r="EK73" s="222" t="s">
        <v>682</v>
      </c>
      <c r="EL73" s="259">
        <v>1990</v>
      </c>
      <c r="EM73" s="260">
        <v>9545</v>
      </c>
      <c r="EN73" s="260">
        <v>453405.46495726495</v>
      </c>
      <c r="EO73" s="260">
        <v>92143</v>
      </c>
      <c r="ER73" s="237" t="s">
        <v>705</v>
      </c>
      <c r="ES73" s="237">
        <v>8721</v>
      </c>
      <c r="ET73" s="237">
        <v>9.65353588266108</v>
      </c>
      <c r="EU73" s="661">
        <v>1</v>
      </c>
      <c r="EV73" s="661">
        <v>1</v>
      </c>
      <c r="EW73" s="661">
        <v>4</v>
      </c>
      <c r="EX73" s="661">
        <v>6</v>
      </c>
      <c r="EY73" s="660">
        <v>0.21484123711340206</v>
      </c>
      <c r="EZ73" s="256">
        <v>16.739284823125203</v>
      </c>
      <c r="FA73" s="247">
        <v>0.36726128016789089</v>
      </c>
      <c r="FB73" s="208">
        <v>4</v>
      </c>
      <c r="FC73" s="208">
        <v>6</v>
      </c>
      <c r="FD73" s="208">
        <v>3</v>
      </c>
      <c r="FE73" s="239">
        <v>0.77964323189926543</v>
      </c>
      <c r="FF73" s="208"/>
      <c r="FG73" s="241">
        <v>2.5445960125918153E-3</v>
      </c>
      <c r="FH73" s="209">
        <v>0</v>
      </c>
      <c r="FI73" s="237" t="s">
        <v>678</v>
      </c>
      <c r="FJ73" s="208">
        <v>49.4</v>
      </c>
      <c r="FK73" s="208">
        <v>43.56</v>
      </c>
      <c r="FL73" s="217">
        <v>86.3</v>
      </c>
      <c r="FM73" s="208">
        <v>3.58</v>
      </c>
      <c r="FN73" s="208" t="s">
        <v>1029</v>
      </c>
      <c r="FP73" s="247" t="s">
        <v>693</v>
      </c>
      <c r="FU73" s="208">
        <v>49</v>
      </c>
      <c r="FV73" s="208">
        <v>73.099999999999994</v>
      </c>
      <c r="FW73" s="237">
        <v>66.41</v>
      </c>
      <c r="FX73" s="237">
        <v>47.9</v>
      </c>
      <c r="FY73" s="208">
        <v>55.38</v>
      </c>
      <c r="FZ73" s="208">
        <v>66.099999999999994</v>
      </c>
      <c r="GA73" s="208">
        <v>60.42</v>
      </c>
      <c r="GB73" s="208">
        <v>67.2</v>
      </c>
      <c r="GC73" s="208">
        <v>0.33</v>
      </c>
      <c r="GD73" s="208">
        <v>50.9</v>
      </c>
      <c r="GE73" s="237">
        <v>46.39</v>
      </c>
      <c r="GF73" s="237">
        <v>61.3</v>
      </c>
      <c r="GG73" s="237">
        <v>1.67</v>
      </c>
      <c r="GH73" s="237">
        <v>19.600000000000001</v>
      </c>
      <c r="GJ73" s="947">
        <v>192</v>
      </c>
      <c r="GK73" s="320">
        <v>1E-3</v>
      </c>
      <c r="GL73" s="320">
        <v>0.27400000000000002</v>
      </c>
      <c r="GM73" s="320">
        <v>5.8000000000000003E-2</v>
      </c>
      <c r="GN73" s="320">
        <v>0.66700000000000004</v>
      </c>
      <c r="GO73" s="662">
        <v>8068</v>
      </c>
      <c r="GP73" s="663" t="str">
        <f>VLOOKUP(GS73,'BD Comarcal'!$A$6:$AV$17,48,FALSE)</f>
        <v>11</v>
      </c>
      <c r="GQ73" s="564">
        <v>74</v>
      </c>
      <c r="GR73" s="256">
        <f t="shared" si="1"/>
        <v>1</v>
      </c>
      <c r="GS73" s="237" t="s">
        <v>90</v>
      </c>
    </row>
    <row r="74" spans="1:201" s="237" customFormat="1" ht="17.25" customHeight="1">
      <c r="A74" s="236" t="s">
        <v>1030</v>
      </c>
      <c r="C74" s="238"/>
      <c r="D74" s="238">
        <v>1799</v>
      </c>
      <c r="E74" s="238">
        <v>1195</v>
      </c>
      <c r="F74" s="239">
        <v>0.66425792106725956</v>
      </c>
      <c r="G74" s="238">
        <v>908</v>
      </c>
      <c r="H74" s="240">
        <v>95.136199223247317</v>
      </c>
      <c r="I74" s="239">
        <v>7.9611882195186043E-2</v>
      </c>
      <c r="J74" s="238">
        <v>18</v>
      </c>
      <c r="K74" s="238">
        <v>1</v>
      </c>
      <c r="L74" s="238">
        <v>0</v>
      </c>
      <c r="M74" s="241">
        <v>0</v>
      </c>
      <c r="N74" s="238">
        <v>0</v>
      </c>
      <c r="O74" s="239">
        <v>0</v>
      </c>
      <c r="P74" s="237">
        <v>0</v>
      </c>
      <c r="Q74" s="237">
        <v>0</v>
      </c>
      <c r="R74" s="239">
        <v>0</v>
      </c>
      <c r="S74" s="238">
        <v>0</v>
      </c>
      <c r="T74" s="436">
        <v>0</v>
      </c>
      <c r="U74" s="436">
        <v>4</v>
      </c>
      <c r="V74" s="436">
        <v>240</v>
      </c>
      <c r="W74" s="436">
        <v>244</v>
      </c>
      <c r="X74" s="238">
        <v>4396</v>
      </c>
      <c r="Y74" s="237">
        <v>0.1066</v>
      </c>
      <c r="Z74" s="238">
        <v>76513</v>
      </c>
      <c r="AA74" s="238">
        <v>17433</v>
      </c>
      <c r="AB74" s="238">
        <v>106.52</v>
      </c>
      <c r="AC74" s="238">
        <v>1524</v>
      </c>
      <c r="AD74" s="238">
        <v>5382641.5600000005</v>
      </c>
      <c r="AE74" s="238">
        <v>1715780.8299999987</v>
      </c>
      <c r="AF74" s="238">
        <v>4029674.2600000002</v>
      </c>
      <c r="AG74" s="238">
        <v>205870.12</v>
      </c>
      <c r="AH74" s="239">
        <v>5.1088526445807553E-2</v>
      </c>
      <c r="AI74" s="242">
        <v>114.369703</v>
      </c>
      <c r="AJ74" s="242">
        <v>28.779710000000001</v>
      </c>
      <c r="AK74" s="242">
        <v>1.5997615341856588</v>
      </c>
      <c r="AL74" s="242">
        <v>196.11489800000001</v>
      </c>
      <c r="AM74" s="242">
        <v>10.901328404669261</v>
      </c>
      <c r="AN74" s="242">
        <v>19489.75</v>
      </c>
      <c r="AO74" s="238">
        <v>0</v>
      </c>
      <c r="AP74" s="243">
        <v>0</v>
      </c>
      <c r="AQ74" s="238"/>
      <c r="AR74" s="238">
        <v>1536.3246514920927</v>
      </c>
      <c r="AS74" s="238">
        <v>2450.9476257909178</v>
      </c>
      <c r="AT74" s="238">
        <v>270402.33333333331</v>
      </c>
      <c r="AU74" s="238">
        <v>339.28445340364095</v>
      </c>
      <c r="AV74" s="237">
        <v>1</v>
      </c>
      <c r="AW74" s="237">
        <v>1</v>
      </c>
      <c r="AX74" s="237">
        <v>1</v>
      </c>
      <c r="AY74" s="244" t="s">
        <v>682</v>
      </c>
      <c r="AZ74" s="244" t="s">
        <v>673</v>
      </c>
      <c r="BA74" s="237">
        <v>2013</v>
      </c>
      <c r="BB74" s="245" t="s">
        <v>1031</v>
      </c>
      <c r="BC74" s="215" t="s">
        <v>1032</v>
      </c>
      <c r="BD74" s="237">
        <v>1</v>
      </c>
      <c r="BE74" s="237">
        <v>45</v>
      </c>
      <c r="BF74" s="237">
        <v>35</v>
      </c>
      <c r="BG74" s="246" t="s">
        <v>698</v>
      </c>
      <c r="BI74" s="239">
        <v>0.33931168201648088</v>
      </c>
      <c r="BJ74" s="239">
        <v>0.22200678623364034</v>
      </c>
      <c r="BK74" s="239">
        <v>0.41735336888027147</v>
      </c>
      <c r="BL74" s="239">
        <v>2.1328162869607366E-2</v>
      </c>
      <c r="BM74" s="247">
        <v>1.8793019873969947</v>
      </c>
      <c r="BN74" s="248">
        <v>1</v>
      </c>
      <c r="BO74" s="248">
        <v>0</v>
      </c>
      <c r="BP74" s="237">
        <v>0</v>
      </c>
      <c r="BQ74" s="237">
        <v>0</v>
      </c>
      <c r="BR74" s="248">
        <v>1</v>
      </c>
      <c r="BS74" s="237">
        <v>15</v>
      </c>
      <c r="BT74" s="237" t="s">
        <v>677</v>
      </c>
      <c r="BU74" s="249" t="s">
        <v>678</v>
      </c>
      <c r="BV74" s="249">
        <v>180</v>
      </c>
      <c r="BW74" s="249">
        <v>1871</v>
      </c>
      <c r="BX74" s="249">
        <v>991</v>
      </c>
      <c r="BY74" s="249" t="s">
        <v>678</v>
      </c>
      <c r="BZ74" s="249">
        <v>4.1218227616212504</v>
      </c>
      <c r="CA74" s="249">
        <v>42.844057705518665</v>
      </c>
      <c r="CB74" s="249">
        <v>22.692924204259217</v>
      </c>
      <c r="CC74" s="250" t="s">
        <v>678</v>
      </c>
      <c r="CD74" s="242" t="s">
        <v>678</v>
      </c>
      <c r="CE74" s="252" t="s">
        <v>678</v>
      </c>
      <c r="CF74" s="238">
        <v>2195</v>
      </c>
      <c r="CG74" s="238">
        <v>230.8</v>
      </c>
      <c r="CH74" s="238">
        <v>5.2850927410121367</v>
      </c>
      <c r="CI74" s="216" t="s">
        <v>679</v>
      </c>
      <c r="CJ74" s="237">
        <v>0</v>
      </c>
      <c r="CK74" s="253">
        <v>120.33</v>
      </c>
      <c r="CL74" s="253">
        <v>167.40369999999999</v>
      </c>
      <c r="CM74" s="254">
        <v>9.3053752084491376E-2</v>
      </c>
      <c r="CN74" s="237" t="s">
        <v>90</v>
      </c>
      <c r="CO74" s="242">
        <v>1083.8499999999999</v>
      </c>
      <c r="CP74" s="255">
        <v>0.60247359644246801</v>
      </c>
      <c r="CV74" s="237">
        <v>9</v>
      </c>
      <c r="CW74" s="261" t="s">
        <v>678</v>
      </c>
      <c r="CX74" s="261" t="s">
        <v>678</v>
      </c>
      <c r="CY74" s="261" t="s">
        <v>678</v>
      </c>
      <c r="DB74" s="216" t="s">
        <v>710</v>
      </c>
      <c r="DC74" s="195" t="s">
        <v>711</v>
      </c>
      <c r="DD74" s="256">
        <v>0.8</v>
      </c>
      <c r="DE74" s="256">
        <v>-10</v>
      </c>
      <c r="DF74" s="256">
        <v>0.5</v>
      </c>
      <c r="DG74" s="256">
        <v>-2.2999999999999998</v>
      </c>
      <c r="DL74" s="237" t="s">
        <v>682</v>
      </c>
      <c r="DP74" s="258" t="s">
        <v>682</v>
      </c>
      <c r="DQ74" s="258"/>
      <c r="DR74" s="258"/>
      <c r="DS74" s="258"/>
      <c r="DT74" s="258"/>
      <c r="DU74" s="237">
        <v>0</v>
      </c>
      <c r="DX74" s="247"/>
      <c r="DY74" s="247">
        <v>0</v>
      </c>
      <c r="EA74" s="237">
        <v>1</v>
      </c>
      <c r="EB74" s="237" t="s">
        <v>686</v>
      </c>
      <c r="ED74" s="237" t="s">
        <v>678</v>
      </c>
      <c r="EE74" s="208">
        <v>3</v>
      </c>
      <c r="EF74" s="237" t="s">
        <v>678</v>
      </c>
      <c r="EG74" s="216" t="s">
        <v>689</v>
      </c>
      <c r="EH74" s="246" t="s">
        <v>690</v>
      </c>
      <c r="EI74" s="216" t="s">
        <v>689</v>
      </c>
      <c r="EJ74" s="216" t="s">
        <v>529</v>
      </c>
      <c r="EK74" s="222" t="s">
        <v>529</v>
      </c>
      <c r="EL74" s="259">
        <v>1984</v>
      </c>
      <c r="EM74" s="260">
        <v>1440</v>
      </c>
      <c r="EN74" s="260">
        <v>213232</v>
      </c>
      <c r="EO74" s="260">
        <v>40004</v>
      </c>
      <c r="ER74" s="237" t="s">
        <v>705</v>
      </c>
      <c r="ES74" s="237">
        <v>4367</v>
      </c>
      <c r="ET74" s="237">
        <v>27.780555555555555</v>
      </c>
      <c r="EU74" s="661">
        <v>3</v>
      </c>
      <c r="EV74" s="661">
        <v>1</v>
      </c>
      <c r="EW74" s="661">
        <v>2</v>
      </c>
      <c r="EX74" s="661">
        <v>7</v>
      </c>
      <c r="EY74" s="660">
        <v>6.6887159533073934E-2</v>
      </c>
      <c r="EZ74" s="256">
        <v>36.29186404055514</v>
      </c>
      <c r="FA74" s="247">
        <v>0.7531380753138075</v>
      </c>
      <c r="FB74" s="208" t="s">
        <v>678</v>
      </c>
      <c r="FC74" s="208" t="s">
        <v>678</v>
      </c>
      <c r="FD74" s="208">
        <v>2</v>
      </c>
      <c r="FE74" s="239">
        <v>0.75983263598326356</v>
      </c>
      <c r="FF74" s="208"/>
      <c r="FG74" s="241">
        <v>0</v>
      </c>
      <c r="FH74" s="209">
        <v>0</v>
      </c>
      <c r="FI74" s="237" t="s">
        <v>678</v>
      </c>
      <c r="FJ74" s="208">
        <v>58</v>
      </c>
      <c r="FK74" s="208">
        <v>27.55</v>
      </c>
      <c r="FL74" s="217">
        <v>69.599999999999994</v>
      </c>
      <c r="FM74" s="208">
        <v>2.2999999999999998</v>
      </c>
      <c r="FN74" s="208" t="s">
        <v>1033</v>
      </c>
      <c r="FP74" s="247" t="s">
        <v>693</v>
      </c>
      <c r="FU74" s="208">
        <v>53</v>
      </c>
      <c r="FV74" s="208">
        <v>80.2</v>
      </c>
      <c r="FW74" s="237">
        <v>19.41</v>
      </c>
      <c r="FX74" s="237">
        <v>7.6</v>
      </c>
      <c r="FY74" s="208">
        <v>8.8000000000000007</v>
      </c>
      <c r="FZ74" s="208">
        <v>15.5</v>
      </c>
      <c r="GA74" s="208">
        <v>24.38</v>
      </c>
      <c r="GB74" s="208">
        <v>12.8</v>
      </c>
      <c r="GC74" s="208">
        <v>-0.6</v>
      </c>
      <c r="GD74" s="208">
        <v>0.9</v>
      </c>
      <c r="GE74" s="237">
        <v>14.24</v>
      </c>
      <c r="GF74" s="237">
        <v>8.6999999999999993</v>
      </c>
      <c r="GG74" s="237">
        <v>1.81</v>
      </c>
      <c r="GH74" s="237">
        <v>20.5</v>
      </c>
      <c r="GJ74" s="947"/>
      <c r="GK74" s="320"/>
      <c r="GL74" s="320"/>
      <c r="GM74" s="320"/>
      <c r="GN74" s="320"/>
      <c r="GO74" s="662">
        <v>8069</v>
      </c>
      <c r="GP74" s="663" t="str">
        <f>VLOOKUP(GS74,'BD Comarcal'!$A$6:$AV$17,48,FALSE)</f>
        <v>11</v>
      </c>
      <c r="GQ74" s="564">
        <v>32</v>
      </c>
      <c r="GR74" s="256">
        <f t="shared" si="1"/>
        <v>0</v>
      </c>
      <c r="GS74" s="237" t="s">
        <v>90</v>
      </c>
    </row>
    <row r="75" spans="1:201" s="237" customFormat="1" ht="17.25" customHeight="1">
      <c r="A75" s="236" t="s">
        <v>1034</v>
      </c>
      <c r="C75" s="238"/>
      <c r="D75" s="238">
        <v>1486</v>
      </c>
      <c r="E75" s="238">
        <v>919</v>
      </c>
      <c r="F75" s="239">
        <v>0.61843876177658141</v>
      </c>
      <c r="G75" s="238">
        <v>739</v>
      </c>
      <c r="H75" s="240">
        <v>403.7998976801764</v>
      </c>
      <c r="I75" s="239">
        <v>0.43939053066395689</v>
      </c>
      <c r="J75" s="238">
        <v>657</v>
      </c>
      <c r="K75" s="238">
        <v>248</v>
      </c>
      <c r="L75" s="238">
        <v>0</v>
      </c>
      <c r="M75" s="241">
        <v>0</v>
      </c>
      <c r="N75" s="238">
        <v>0</v>
      </c>
      <c r="O75" s="239">
        <v>0</v>
      </c>
      <c r="P75" s="237">
        <v>17</v>
      </c>
      <c r="Q75" s="237">
        <v>0</v>
      </c>
      <c r="R75" s="239">
        <v>0</v>
      </c>
      <c r="S75" s="238">
        <v>3330</v>
      </c>
      <c r="T75" s="436">
        <v>0</v>
      </c>
      <c r="U75" s="436">
        <v>20</v>
      </c>
      <c r="V75" s="436">
        <v>32</v>
      </c>
      <c r="W75" s="436">
        <v>52</v>
      </c>
      <c r="X75" s="238">
        <v>349</v>
      </c>
      <c r="Y75" s="237">
        <v>0.18049999999999999</v>
      </c>
      <c r="Z75" s="238">
        <v>6058</v>
      </c>
      <c r="AA75" s="238">
        <v>17662</v>
      </c>
      <c r="AB75" s="238">
        <v>107.92</v>
      </c>
      <c r="AC75" s="238">
        <v>0</v>
      </c>
      <c r="AD75" s="238">
        <v>782754.28</v>
      </c>
      <c r="AE75" s="238">
        <v>-233259.16000000003</v>
      </c>
      <c r="AF75" s="238">
        <v>793970.61</v>
      </c>
      <c r="AG75" s="238">
        <v>450590.7</v>
      </c>
      <c r="AH75" s="239">
        <v>0.56751559103680171</v>
      </c>
      <c r="AI75" s="242">
        <v>22.926069999999999</v>
      </c>
      <c r="AJ75" s="242">
        <v>1.385195</v>
      </c>
      <c r="AK75" s="242">
        <v>9.3216352624495291E-2</v>
      </c>
      <c r="AL75" s="242">
        <v>8.6143739999999998</v>
      </c>
      <c r="AM75" s="242">
        <v>0.57970215343203235</v>
      </c>
      <c r="AN75" s="242">
        <v>11247.41</v>
      </c>
      <c r="AO75" s="238">
        <v>0</v>
      </c>
      <c r="AP75" s="243">
        <v>0</v>
      </c>
      <c r="AQ75" s="238"/>
      <c r="AR75" s="238">
        <v>1618.823222996373</v>
      </c>
      <c r="AS75" s="238">
        <v>2164.5102597486762</v>
      </c>
      <c r="AT75" s="238">
        <v>47273</v>
      </c>
      <c r="AU75" s="238">
        <v>332.45489216347204</v>
      </c>
      <c r="AV75" s="237">
        <v>1</v>
      </c>
      <c r="AW75" s="237">
        <v>1</v>
      </c>
      <c r="AX75" s="237">
        <v>1</v>
      </c>
      <c r="AY75" s="244" t="s">
        <v>726</v>
      </c>
      <c r="AZ75" s="244" t="s">
        <v>695</v>
      </c>
      <c r="BA75" s="237">
        <v>2013</v>
      </c>
      <c r="BB75" s="245" t="s">
        <v>971</v>
      </c>
      <c r="BC75" s="215" t="s">
        <v>972</v>
      </c>
      <c r="BE75" s="237">
        <v>9</v>
      </c>
      <c r="BF75" s="237">
        <v>4</v>
      </c>
      <c r="BG75" s="246" t="s">
        <v>720</v>
      </c>
      <c r="BI75" s="239">
        <v>0.57345971563981046</v>
      </c>
      <c r="BJ75" s="239">
        <v>7.582938388625593E-2</v>
      </c>
      <c r="BK75" s="239">
        <v>0.34123222748815168</v>
      </c>
      <c r="BL75" s="239">
        <v>9.4786729857819912E-3</v>
      </c>
      <c r="BM75" s="247">
        <v>2.2132701421800949</v>
      </c>
      <c r="BN75" s="248">
        <v>0</v>
      </c>
      <c r="BO75" s="248">
        <v>0</v>
      </c>
      <c r="BP75" s="237">
        <v>0</v>
      </c>
      <c r="BQ75" s="237">
        <v>0</v>
      </c>
      <c r="BR75" s="248">
        <v>0</v>
      </c>
      <c r="BS75" s="237">
        <v>19</v>
      </c>
      <c r="BT75" s="237" t="s">
        <v>815</v>
      </c>
      <c r="BU75" s="249" t="s">
        <v>678</v>
      </c>
      <c r="BV75" s="249" t="s">
        <v>678</v>
      </c>
      <c r="BW75" s="249" t="s">
        <v>678</v>
      </c>
      <c r="BX75" s="249" t="s">
        <v>678</v>
      </c>
      <c r="BY75" s="249" t="s">
        <v>678</v>
      </c>
      <c r="BZ75" s="249" t="s">
        <v>678</v>
      </c>
      <c r="CA75" s="249" t="s">
        <v>678</v>
      </c>
      <c r="CB75" s="249" t="s">
        <v>678</v>
      </c>
      <c r="CC75" s="250" t="s">
        <v>678</v>
      </c>
      <c r="CD75" s="242" t="s">
        <v>678</v>
      </c>
      <c r="CE75" s="252" t="s">
        <v>678</v>
      </c>
      <c r="CF75" s="238">
        <v>180</v>
      </c>
      <c r="CG75" s="238">
        <v>19.600000000000001</v>
      </c>
      <c r="CH75" s="238">
        <v>5.7988165680473376</v>
      </c>
      <c r="CI75" s="216" t="s">
        <v>722</v>
      </c>
      <c r="CJ75" s="237">
        <v>1</v>
      </c>
      <c r="CK75" s="253">
        <v>23.98</v>
      </c>
      <c r="CL75" s="253">
        <v>6.03</v>
      </c>
      <c r="CM75" s="254">
        <v>4.0578734858681027E-3</v>
      </c>
      <c r="CN75" s="237" t="s">
        <v>88</v>
      </c>
      <c r="CO75" s="242"/>
      <c r="CP75" s="255">
        <v>0</v>
      </c>
      <c r="CV75" s="237">
        <v>1</v>
      </c>
      <c r="CW75" s="261" t="s">
        <v>678</v>
      </c>
      <c r="CX75" s="261" t="s">
        <v>678</v>
      </c>
      <c r="CY75" s="261" t="s">
        <v>678</v>
      </c>
      <c r="DB75" s="216" t="s">
        <v>710</v>
      </c>
      <c r="DC75" s="195" t="s">
        <v>711</v>
      </c>
      <c r="DD75" s="256">
        <v>0.8</v>
      </c>
      <c r="DE75" s="256">
        <v>-9</v>
      </c>
      <c r="DF75" s="256">
        <v>-0.3</v>
      </c>
      <c r="DG75" s="256">
        <v>-2.6</v>
      </c>
      <c r="DL75" s="237" t="s">
        <v>529</v>
      </c>
      <c r="DN75" s="237" t="s">
        <v>770</v>
      </c>
      <c r="DP75" s="258" t="s">
        <v>682</v>
      </c>
      <c r="DQ75" s="258"/>
      <c r="DR75" s="258"/>
      <c r="DS75" s="258"/>
      <c r="DT75" s="258"/>
      <c r="DU75" s="237">
        <v>0</v>
      </c>
      <c r="DX75" s="247"/>
      <c r="DY75" s="247">
        <v>0</v>
      </c>
      <c r="EA75" s="237">
        <v>0</v>
      </c>
      <c r="ED75" s="237" t="s">
        <v>1035</v>
      </c>
      <c r="EE75" s="208">
        <v>1</v>
      </c>
      <c r="EF75" s="237" t="s">
        <v>852</v>
      </c>
      <c r="EG75" s="216" t="s">
        <v>703</v>
      </c>
      <c r="EH75" s="246" t="s">
        <v>704</v>
      </c>
      <c r="EI75" s="216"/>
      <c r="EJ75" s="216" t="s">
        <v>529</v>
      </c>
      <c r="EK75" s="222" t="s">
        <v>682</v>
      </c>
      <c r="EL75" s="259">
        <v>1999</v>
      </c>
      <c r="EM75" s="260">
        <v>1100</v>
      </c>
      <c r="EN75" s="260">
        <v>20391</v>
      </c>
      <c r="EO75" s="260">
        <v>26922</v>
      </c>
      <c r="ER75" s="237" t="s">
        <v>692</v>
      </c>
      <c r="ES75" s="237" t="e">
        <v>#DIV/0!</v>
      </c>
      <c r="ET75" s="237">
        <v>24.474545454545453</v>
      </c>
      <c r="EU75" s="661">
        <v>5</v>
      </c>
      <c r="EV75" s="661" t="s">
        <v>678</v>
      </c>
      <c r="EW75" s="661">
        <v>0</v>
      </c>
      <c r="EX75" s="661">
        <v>2</v>
      </c>
      <c r="EY75" s="660">
        <v>1.613728129205922E-2</v>
      </c>
      <c r="EZ75" s="256">
        <v>14.09507923269391</v>
      </c>
      <c r="FA75" s="247">
        <v>0.1088139281828074</v>
      </c>
      <c r="FB75" s="208">
        <v>3</v>
      </c>
      <c r="FC75" s="208">
        <v>2</v>
      </c>
      <c r="FD75" s="208">
        <v>2</v>
      </c>
      <c r="FE75" s="239">
        <v>0.80413492927094665</v>
      </c>
      <c r="FF75" s="208">
        <v>1</v>
      </c>
      <c r="FG75" s="241">
        <v>0</v>
      </c>
      <c r="FH75" s="209">
        <v>0</v>
      </c>
      <c r="FI75" s="237" t="s">
        <v>678</v>
      </c>
      <c r="FJ75" s="208">
        <v>49.1</v>
      </c>
      <c r="FK75" s="208">
        <v>0</v>
      </c>
      <c r="FL75" s="217">
        <v>3.5</v>
      </c>
      <c r="FM75" s="208">
        <v>10.18</v>
      </c>
      <c r="FN75" s="208" t="s">
        <v>1036</v>
      </c>
      <c r="FP75" s="247" t="s">
        <v>693</v>
      </c>
      <c r="FU75" s="208">
        <v>28</v>
      </c>
      <c r="FV75" s="208">
        <v>22.4</v>
      </c>
      <c r="FW75" s="237">
        <v>79.5</v>
      </c>
      <c r="FX75" s="237">
        <v>66</v>
      </c>
      <c r="FY75" s="208">
        <v>45.47</v>
      </c>
      <c r="FZ75" s="208">
        <v>58.2</v>
      </c>
      <c r="GA75" s="208">
        <v>55.66</v>
      </c>
      <c r="GB75" s="208">
        <v>59.9</v>
      </c>
      <c r="GC75" s="208">
        <v>1.02</v>
      </c>
      <c r="GD75" s="208">
        <v>87.1</v>
      </c>
      <c r="GE75" s="237">
        <v>57.61</v>
      </c>
      <c r="GF75" s="237">
        <v>75.2</v>
      </c>
      <c r="GG75" s="237">
        <v>2.48</v>
      </c>
      <c r="GH75" s="237">
        <v>24.7</v>
      </c>
      <c r="GJ75" s="947"/>
      <c r="GK75" s="320"/>
      <c r="GL75" s="320"/>
      <c r="GM75" s="320"/>
      <c r="GN75" s="320"/>
      <c r="GO75" s="662">
        <v>8070</v>
      </c>
      <c r="GP75" s="663" t="str">
        <f>VLOOKUP(GS75,'BD Comarcal'!$A$6:$AV$17,48,FALSE)</f>
        <v>42</v>
      </c>
      <c r="GQ75" s="564">
        <v>0</v>
      </c>
      <c r="GR75" s="256">
        <f t="shared" si="1"/>
        <v>0</v>
      </c>
      <c r="GS75" s="237" t="s">
        <v>87</v>
      </c>
    </row>
    <row r="76" spans="1:201" s="237" customFormat="1" ht="17.25" customHeight="1">
      <c r="A76" s="236" t="s">
        <v>1037</v>
      </c>
      <c r="C76" s="238"/>
      <c r="D76" s="238">
        <v>1866</v>
      </c>
      <c r="E76" s="238">
        <v>1099</v>
      </c>
      <c r="F76" s="239">
        <v>0.58896034297963562</v>
      </c>
      <c r="G76" s="238">
        <v>134</v>
      </c>
      <c r="H76" s="240">
        <v>28.029811677077731</v>
      </c>
      <c r="I76" s="239">
        <v>2.5504833191153532E-2</v>
      </c>
      <c r="J76" s="238">
        <v>263</v>
      </c>
      <c r="K76" s="238">
        <v>33</v>
      </c>
      <c r="L76" s="238">
        <v>0</v>
      </c>
      <c r="M76" s="241">
        <v>0</v>
      </c>
      <c r="N76" s="238">
        <v>0</v>
      </c>
      <c r="O76" s="239">
        <v>0</v>
      </c>
      <c r="P76" s="237">
        <v>3</v>
      </c>
      <c r="Q76" s="237">
        <v>0</v>
      </c>
      <c r="R76" s="239">
        <v>0</v>
      </c>
      <c r="S76" s="238">
        <v>332</v>
      </c>
      <c r="T76" s="436">
        <v>0</v>
      </c>
      <c r="U76" s="436">
        <v>0</v>
      </c>
      <c r="V76" s="436">
        <v>0</v>
      </c>
      <c r="W76" s="436">
        <v>0</v>
      </c>
      <c r="X76" s="238">
        <v>300</v>
      </c>
      <c r="Y76" s="237">
        <v>0.21360000000000001</v>
      </c>
      <c r="Z76" s="238">
        <v>3806</v>
      </c>
      <c r="AA76" s="238">
        <v>12396</v>
      </c>
      <c r="AB76" s="238">
        <v>75.739999999999995</v>
      </c>
      <c r="AC76" s="196">
        <v>272</v>
      </c>
      <c r="AD76" s="196">
        <v>634046.76</v>
      </c>
      <c r="AE76" s="238">
        <v>-62381.410000000033</v>
      </c>
      <c r="AF76" s="238">
        <v>660499.91</v>
      </c>
      <c r="AG76" s="238">
        <v>232584.19</v>
      </c>
      <c r="AH76" s="239">
        <v>0.35213356804242407</v>
      </c>
      <c r="AI76" s="242">
        <v>10.670470999999999</v>
      </c>
      <c r="AJ76" s="242">
        <v>1.0818559999999999</v>
      </c>
      <c r="AK76" s="242">
        <v>5.7977277599142549E-2</v>
      </c>
      <c r="AL76" s="242" t="s">
        <v>678</v>
      </c>
      <c r="AM76" s="242" t="s">
        <v>678</v>
      </c>
      <c r="AN76" s="242">
        <v>10061.370000000001</v>
      </c>
      <c r="AO76" s="238">
        <v>3314.11</v>
      </c>
      <c r="AP76" s="243">
        <v>0</v>
      </c>
      <c r="AQ76" s="238"/>
      <c r="AR76" s="238">
        <v>1323.2410389949453</v>
      </c>
      <c r="AS76" s="238">
        <v>1482.8477760599155</v>
      </c>
      <c r="AT76" s="238">
        <v>15639.666666666666</v>
      </c>
      <c r="AU76" s="238">
        <v>199.8753613267192</v>
      </c>
      <c r="AV76" s="237">
        <v>1</v>
      </c>
      <c r="AW76" s="237">
        <v>1</v>
      </c>
      <c r="AX76" s="237">
        <v>1</v>
      </c>
      <c r="AY76" s="244" t="s">
        <v>717</v>
      </c>
      <c r="AZ76" s="244" t="s">
        <v>726</v>
      </c>
      <c r="BA76" s="237" t="s">
        <v>1038</v>
      </c>
      <c r="BB76" s="245" t="s">
        <v>1039</v>
      </c>
      <c r="BC76" s="215" t="s">
        <v>1040</v>
      </c>
      <c r="BE76" s="237">
        <v>2</v>
      </c>
      <c r="BF76" s="237">
        <v>77</v>
      </c>
      <c r="BG76" s="246" t="s">
        <v>698</v>
      </c>
      <c r="BI76" s="239">
        <v>0.79166666666666663</v>
      </c>
      <c r="BJ76" s="239">
        <v>6.4393939393939392E-2</v>
      </c>
      <c r="BK76" s="239">
        <v>0.13636363636363635</v>
      </c>
      <c r="BL76" s="239">
        <v>7.575757575757576E-3</v>
      </c>
      <c r="BM76" s="247">
        <v>2.6401515151515151</v>
      </c>
      <c r="BN76" s="248">
        <v>0</v>
      </c>
      <c r="BO76" s="248">
        <v>0</v>
      </c>
      <c r="BP76" s="237">
        <v>0</v>
      </c>
      <c r="BQ76" s="237">
        <v>0</v>
      </c>
      <c r="BR76" s="248">
        <v>0</v>
      </c>
      <c r="BS76" s="237">
        <v>12.6</v>
      </c>
      <c r="BT76" s="237" t="s">
        <v>755</v>
      </c>
      <c r="BU76" s="249" t="s">
        <v>678</v>
      </c>
      <c r="BV76" s="249" t="s">
        <v>678</v>
      </c>
      <c r="BW76" s="249" t="s">
        <v>678</v>
      </c>
      <c r="BX76" s="249" t="s">
        <v>678</v>
      </c>
      <c r="BY76" s="249" t="s">
        <v>678</v>
      </c>
      <c r="BZ76" s="249" t="s">
        <v>678</v>
      </c>
      <c r="CA76" s="249" t="s">
        <v>678</v>
      </c>
      <c r="CB76" s="249" t="s">
        <v>678</v>
      </c>
      <c r="CC76" s="250" t="s">
        <v>678</v>
      </c>
      <c r="CD76" s="242" t="s">
        <v>678</v>
      </c>
      <c r="CE76" s="252" t="s">
        <v>678</v>
      </c>
      <c r="CF76" s="238">
        <v>169</v>
      </c>
      <c r="CG76" s="238">
        <v>15.1</v>
      </c>
      <c r="CH76" s="238">
        <v>4.6461538461538465</v>
      </c>
      <c r="CI76" s="216" t="s">
        <v>722</v>
      </c>
      <c r="CJ76" s="237">
        <v>1</v>
      </c>
      <c r="CK76" s="253">
        <v>58.13</v>
      </c>
      <c r="CL76" s="253">
        <v>4.8650000000000002</v>
      </c>
      <c r="CM76" s="254">
        <v>2.6071811361200428E-3</v>
      </c>
      <c r="CN76" s="237" t="s">
        <v>81</v>
      </c>
      <c r="CO76" s="242"/>
      <c r="CP76" s="255">
        <v>0</v>
      </c>
      <c r="CW76" s="261" t="s">
        <v>678</v>
      </c>
      <c r="CX76" s="261" t="s">
        <v>678</v>
      </c>
      <c r="CY76" s="261" t="s">
        <v>678</v>
      </c>
      <c r="DB76" s="216" t="s">
        <v>1017</v>
      </c>
      <c r="DC76" s="195" t="s">
        <v>1041</v>
      </c>
      <c r="DD76" s="256">
        <v>0.8</v>
      </c>
      <c r="DE76" s="256">
        <v>-10</v>
      </c>
      <c r="DF76" s="256">
        <v>0.5</v>
      </c>
      <c r="DG76" s="256">
        <v>-2.2999999999999998</v>
      </c>
      <c r="DH76" s="257">
        <v>3</v>
      </c>
      <c r="DI76" s="257">
        <v>1.56</v>
      </c>
      <c r="DJ76" s="257">
        <v>33</v>
      </c>
      <c r="DK76" s="257">
        <v>34.56</v>
      </c>
      <c r="DL76" s="237" t="s">
        <v>682</v>
      </c>
      <c r="DP76" s="258" t="s">
        <v>682</v>
      </c>
      <c r="DQ76" s="258"/>
      <c r="DR76" s="258"/>
      <c r="DS76" s="258"/>
      <c r="DT76" s="258"/>
      <c r="DU76" s="237">
        <v>0.5</v>
      </c>
      <c r="DV76" s="237" t="s">
        <v>1042</v>
      </c>
      <c r="DW76" s="237" t="s">
        <v>794</v>
      </c>
      <c r="DX76" s="247">
        <v>2.02</v>
      </c>
      <c r="DY76" s="247">
        <v>0.1082529474812433</v>
      </c>
      <c r="EA76" s="237">
        <v>0</v>
      </c>
      <c r="ED76" s="237" t="s">
        <v>678</v>
      </c>
      <c r="EE76" s="208">
        <v>3</v>
      </c>
      <c r="EF76" s="237" t="s">
        <v>678</v>
      </c>
      <c r="EG76" s="216" t="s">
        <v>733</v>
      </c>
      <c r="EH76" s="246" t="s">
        <v>734</v>
      </c>
      <c r="EI76" s="216"/>
      <c r="EJ76" s="216" t="s">
        <v>529</v>
      </c>
      <c r="EK76" s="222" t="s">
        <v>682</v>
      </c>
      <c r="EL76" s="259">
        <v>1996</v>
      </c>
      <c r="EM76" s="260">
        <v>650</v>
      </c>
      <c r="EN76" s="260">
        <v>11733</v>
      </c>
      <c r="EO76" s="260">
        <v>6450</v>
      </c>
      <c r="ER76" s="237" t="s">
        <v>705</v>
      </c>
      <c r="ES76" s="237" t="e">
        <v>#DIV/0!</v>
      </c>
      <c r="ET76" s="237">
        <v>9.9230769230769234</v>
      </c>
      <c r="EU76" s="661">
        <v>2</v>
      </c>
      <c r="EV76" s="661" t="s">
        <v>678</v>
      </c>
      <c r="EW76" s="661">
        <v>1</v>
      </c>
      <c r="EX76" s="661">
        <v>3</v>
      </c>
      <c r="EY76" s="660">
        <v>3.1152197213290461E-2</v>
      </c>
      <c r="EZ76" s="256">
        <v>5.5909169103733012</v>
      </c>
      <c r="FA76" s="247">
        <v>0</v>
      </c>
      <c r="FB76" s="208">
        <v>4</v>
      </c>
      <c r="FC76" s="208">
        <v>4</v>
      </c>
      <c r="FD76" s="208">
        <v>5</v>
      </c>
      <c r="FE76" s="239">
        <v>0.12192902638762511</v>
      </c>
      <c r="FF76" s="208"/>
      <c r="FG76" s="241">
        <v>3.1446769790718837E-2</v>
      </c>
      <c r="FH76" s="209">
        <v>0</v>
      </c>
      <c r="FI76" s="237" t="s">
        <v>678</v>
      </c>
      <c r="FJ76" s="208" t="s">
        <v>678</v>
      </c>
      <c r="FK76" s="208" t="s">
        <v>678</v>
      </c>
      <c r="FL76" s="217" t="s">
        <v>678</v>
      </c>
      <c r="FM76" s="208" t="s">
        <v>678</v>
      </c>
      <c r="FN76" s="208" t="s">
        <v>678</v>
      </c>
      <c r="FP76" s="247" t="s">
        <v>693</v>
      </c>
      <c r="FU76" s="208" t="s">
        <v>678</v>
      </c>
      <c r="FV76" s="208" t="s">
        <v>678</v>
      </c>
      <c r="FW76" s="208" t="s">
        <v>678</v>
      </c>
      <c r="FX76" s="208" t="s">
        <v>678</v>
      </c>
      <c r="FY76" s="208" t="s">
        <v>678</v>
      </c>
      <c r="FZ76" s="208" t="s">
        <v>678</v>
      </c>
      <c r="GA76" s="208" t="s">
        <v>678</v>
      </c>
      <c r="GB76" s="208" t="s">
        <v>678</v>
      </c>
      <c r="GC76" s="208" t="s">
        <v>678</v>
      </c>
      <c r="GD76" s="208" t="s">
        <v>678</v>
      </c>
      <c r="GE76" s="237" t="s">
        <v>678</v>
      </c>
      <c r="GF76" s="237" t="s">
        <v>678</v>
      </c>
      <c r="GG76" s="237" t="s">
        <v>678</v>
      </c>
      <c r="GH76" s="237" t="s">
        <v>678</v>
      </c>
      <c r="GJ76" s="947"/>
      <c r="GK76" s="320"/>
      <c r="GL76" s="320"/>
      <c r="GM76" s="320"/>
      <c r="GN76" s="320"/>
      <c r="GO76" s="662">
        <v>8071</v>
      </c>
      <c r="GP76" s="663" t="str">
        <f>VLOOKUP(GS76,'BD Comarcal'!$A$6:$AV$17,48,FALSE)</f>
        <v>06</v>
      </c>
      <c r="GQ76" s="564">
        <v>5</v>
      </c>
      <c r="GR76" s="256">
        <f t="shared" si="1"/>
        <v>1</v>
      </c>
      <c r="GS76" s="237" t="s">
        <v>81</v>
      </c>
    </row>
    <row r="77" spans="1:201" s="237" customFormat="1" ht="17.25" customHeight="1">
      <c r="A77" s="236" t="s">
        <v>1043</v>
      </c>
      <c r="C77" s="238"/>
      <c r="D77" s="238">
        <v>1846</v>
      </c>
      <c r="E77" s="238">
        <v>1282</v>
      </c>
      <c r="F77" s="239">
        <v>0.69447453954496208</v>
      </c>
      <c r="G77" s="238">
        <v>935</v>
      </c>
      <c r="H77" s="240">
        <v>229.98191275082175</v>
      </c>
      <c r="I77" s="239">
        <v>0.1793930676683477</v>
      </c>
      <c r="J77" s="238">
        <v>6</v>
      </c>
      <c r="K77" s="238">
        <v>0</v>
      </c>
      <c r="L77" s="238" t="s">
        <v>678</v>
      </c>
      <c r="M77" s="241" t="s">
        <v>678</v>
      </c>
      <c r="N77" s="238" t="s">
        <v>678</v>
      </c>
      <c r="O77" s="239" t="s">
        <v>678</v>
      </c>
      <c r="P77" s="237" t="s">
        <v>678</v>
      </c>
      <c r="Q77" s="237" t="s">
        <v>678</v>
      </c>
      <c r="R77" s="239" t="s">
        <v>678</v>
      </c>
      <c r="S77" s="238" t="s">
        <v>678</v>
      </c>
      <c r="T77" s="436">
        <v>0</v>
      </c>
      <c r="U77" s="436">
        <v>0</v>
      </c>
      <c r="V77" s="436">
        <v>26</v>
      </c>
      <c r="W77" s="436">
        <v>26</v>
      </c>
      <c r="X77" s="238">
        <v>14168</v>
      </c>
      <c r="Y77" s="237">
        <v>0.12759999999999999</v>
      </c>
      <c r="Z77" s="238">
        <v>263111</v>
      </c>
      <c r="AA77" s="238">
        <v>18477</v>
      </c>
      <c r="AB77" s="238">
        <v>112.9</v>
      </c>
      <c r="AC77" s="196">
        <v>10354</v>
      </c>
      <c r="AD77" s="196">
        <v>14165483.880000001</v>
      </c>
      <c r="AE77" s="238">
        <v>4227855.2199999988</v>
      </c>
      <c r="AF77" s="238">
        <v>12025090.76</v>
      </c>
      <c r="AG77" s="238">
        <v>1177917.1000000001</v>
      </c>
      <c r="AH77" s="239">
        <v>9.795494466604758E-2</v>
      </c>
      <c r="AI77" s="242">
        <v>857.33710299999996</v>
      </c>
      <c r="AJ77" s="242">
        <v>130.390545</v>
      </c>
      <c r="AK77" s="242">
        <v>7.063409804983749</v>
      </c>
      <c r="AL77" s="242">
        <v>723.25094200000001</v>
      </c>
      <c r="AM77" s="242">
        <v>39.179357638136516</v>
      </c>
      <c r="AN77" s="242">
        <v>44065.85</v>
      </c>
      <c r="AO77" s="238">
        <v>6883.65</v>
      </c>
      <c r="AP77" s="243">
        <v>9</v>
      </c>
      <c r="AQ77" s="238"/>
      <c r="AR77" s="238">
        <v>1576.3283907450248</v>
      </c>
      <c r="AS77" s="238">
        <v>1149.008923578381</v>
      </c>
      <c r="AT77" s="238">
        <v>756076.4345616264</v>
      </c>
      <c r="AU77" s="238">
        <v>292.74504915979958</v>
      </c>
      <c r="AV77" s="237">
        <v>1</v>
      </c>
      <c r="AW77" s="237">
        <v>1</v>
      </c>
      <c r="AX77" s="237">
        <v>1</v>
      </c>
      <c r="AY77" s="244" t="s">
        <v>717</v>
      </c>
      <c r="AZ77" s="244" t="s">
        <v>682</v>
      </c>
      <c r="BA77" s="237">
        <v>2009</v>
      </c>
      <c r="BB77" s="245" t="s">
        <v>1022</v>
      </c>
      <c r="BC77" s="215" t="s">
        <v>1023</v>
      </c>
      <c r="BE77" s="237">
        <v>125</v>
      </c>
      <c r="BF77" s="237">
        <v>102</v>
      </c>
      <c r="BG77" s="246" t="s">
        <v>676</v>
      </c>
      <c r="BI77" s="239">
        <v>0.34754636053992682</v>
      </c>
      <c r="BJ77" s="239">
        <v>0.20070644632269458</v>
      </c>
      <c r="BK77" s="239">
        <v>0.43585215087675033</v>
      </c>
      <c r="BL77" s="239">
        <v>1.5895042260628232E-2</v>
      </c>
      <c r="BM77" s="247">
        <v>1.8799041251419202</v>
      </c>
      <c r="BN77" s="248">
        <v>0</v>
      </c>
      <c r="BO77" s="248">
        <v>1</v>
      </c>
      <c r="BP77" s="237">
        <v>0</v>
      </c>
      <c r="BQ77" s="237">
        <v>0</v>
      </c>
      <c r="BR77" s="248">
        <v>1</v>
      </c>
      <c r="BS77" s="237">
        <v>13</v>
      </c>
      <c r="BT77" s="237" t="s">
        <v>677</v>
      </c>
      <c r="BU77" s="249" t="s">
        <v>678</v>
      </c>
      <c r="BV77" s="249">
        <v>1318</v>
      </c>
      <c r="BW77" s="249">
        <v>6753</v>
      </c>
      <c r="BX77" s="249">
        <v>2191</v>
      </c>
      <c r="BY77" s="249" t="s">
        <v>678</v>
      </c>
      <c r="BZ77" s="249">
        <v>9.2071253929444641</v>
      </c>
      <c r="CA77" s="249">
        <v>47.174292699965072</v>
      </c>
      <c r="CB77" s="249">
        <v>15.30562347188264</v>
      </c>
      <c r="CC77" s="250" t="s">
        <v>678</v>
      </c>
      <c r="CD77" s="242">
        <v>-964</v>
      </c>
      <c r="CE77" s="252">
        <v>93.265805099545929</v>
      </c>
      <c r="CF77" s="238">
        <v>6722</v>
      </c>
      <c r="CG77" s="238">
        <v>888.2</v>
      </c>
      <c r="CH77" s="238">
        <v>6.2046804051694027</v>
      </c>
      <c r="CI77" s="216" t="s">
        <v>679</v>
      </c>
      <c r="CJ77" s="237">
        <v>0</v>
      </c>
      <c r="CK77" s="253">
        <v>819.99</v>
      </c>
      <c r="CL77" s="253">
        <v>37.380000000000003</v>
      </c>
      <c r="CM77" s="254">
        <v>2.0249187432286025E-2</v>
      </c>
      <c r="CN77" s="237" t="s">
        <v>90</v>
      </c>
      <c r="CO77" s="242">
        <v>21.32</v>
      </c>
      <c r="CP77" s="255">
        <v>1.1549295774647887E-2</v>
      </c>
      <c r="CV77" s="237">
        <v>2</v>
      </c>
      <c r="CW77" s="194">
        <v>2.395</v>
      </c>
      <c r="CX77" s="194">
        <v>0.17299999999999999</v>
      </c>
      <c r="CY77" s="194">
        <v>3.2030000000000003</v>
      </c>
      <c r="DB77" s="216" t="s">
        <v>710</v>
      </c>
      <c r="DC77" s="195" t="s">
        <v>711</v>
      </c>
      <c r="DD77" s="256">
        <v>0.7</v>
      </c>
      <c r="DE77" s="256">
        <v>-6.5</v>
      </c>
      <c r="DF77" s="256">
        <v>0.7</v>
      </c>
      <c r="DG77" s="256">
        <v>-2.2000000000000002</v>
      </c>
      <c r="DH77" s="257">
        <v>1</v>
      </c>
      <c r="DI77" s="257">
        <v>1</v>
      </c>
      <c r="DJ77" s="257">
        <v>0.5</v>
      </c>
      <c r="DK77" s="257">
        <v>1.5</v>
      </c>
      <c r="DL77" s="237" t="s">
        <v>682</v>
      </c>
      <c r="DP77" s="258" t="s">
        <v>682</v>
      </c>
      <c r="DQ77" s="258"/>
      <c r="DR77" s="258"/>
      <c r="DS77" s="258"/>
      <c r="DT77" s="258"/>
      <c r="DU77" s="237">
        <v>0</v>
      </c>
      <c r="DX77" s="247"/>
      <c r="DY77" s="247">
        <v>0</v>
      </c>
      <c r="EA77" s="237">
        <v>1</v>
      </c>
      <c r="EB77" s="237" t="s">
        <v>1044</v>
      </c>
      <c r="ED77" s="237" t="s">
        <v>687</v>
      </c>
      <c r="EE77" s="208">
        <v>3</v>
      </c>
      <c r="EF77" s="237" t="s">
        <v>688</v>
      </c>
      <c r="EG77" s="216" t="s">
        <v>715</v>
      </c>
      <c r="EH77" s="246" t="s">
        <v>690</v>
      </c>
      <c r="EI77" s="216" t="s">
        <v>689</v>
      </c>
      <c r="EJ77" s="216" t="s">
        <v>529</v>
      </c>
      <c r="EK77" s="222" t="s">
        <v>682</v>
      </c>
      <c r="EL77" s="259">
        <v>1999</v>
      </c>
      <c r="EM77" s="260">
        <v>8555</v>
      </c>
      <c r="EN77" s="260">
        <v>671442.30368487933</v>
      </c>
      <c r="EO77" s="260">
        <v>100523</v>
      </c>
      <c r="ER77" s="237" t="s">
        <v>692</v>
      </c>
      <c r="ES77" s="237">
        <v>14315</v>
      </c>
      <c r="ET77" s="237">
        <v>11.750204558737581</v>
      </c>
      <c r="EU77" s="661">
        <v>3</v>
      </c>
      <c r="EV77" s="661">
        <v>2</v>
      </c>
      <c r="EW77" s="661" t="s">
        <v>678</v>
      </c>
      <c r="EX77" s="661">
        <v>6</v>
      </c>
      <c r="EY77" s="660">
        <v>0.44419826652221017</v>
      </c>
      <c r="EZ77" s="256">
        <v>17.45752996987768</v>
      </c>
      <c r="FA77" s="247">
        <v>0.15600624024960999</v>
      </c>
      <c r="FB77" s="208" t="s">
        <v>678</v>
      </c>
      <c r="FC77" s="208" t="s">
        <v>678</v>
      </c>
      <c r="FD77" s="208">
        <v>3</v>
      </c>
      <c r="FE77" s="239">
        <v>0.72932917316692669</v>
      </c>
      <c r="FF77" s="208"/>
      <c r="FG77" s="241">
        <v>1.1700468018720749E-3</v>
      </c>
      <c r="FH77" s="209">
        <v>0</v>
      </c>
      <c r="FI77" s="237" t="s">
        <v>678</v>
      </c>
      <c r="FJ77" s="208">
        <v>43.2</v>
      </c>
      <c r="FK77" s="208">
        <v>1.6</v>
      </c>
      <c r="FL77" s="217">
        <v>30.2</v>
      </c>
      <c r="FM77" s="208">
        <v>0.64</v>
      </c>
      <c r="FN77" s="208" t="s">
        <v>1045</v>
      </c>
      <c r="FP77" s="247" t="s">
        <v>693</v>
      </c>
      <c r="FU77" s="208">
        <v>41</v>
      </c>
      <c r="FV77" s="208">
        <v>55.2</v>
      </c>
      <c r="FW77" s="237">
        <v>55.67</v>
      </c>
      <c r="FX77" s="237">
        <v>35.9</v>
      </c>
      <c r="FY77" s="208">
        <v>23.97</v>
      </c>
      <c r="FZ77" s="208">
        <v>38</v>
      </c>
      <c r="GA77" s="208">
        <v>46.04</v>
      </c>
      <c r="GB77" s="208">
        <v>46.2</v>
      </c>
      <c r="GC77" s="208">
        <v>0.05</v>
      </c>
      <c r="GD77" s="208">
        <v>23.1</v>
      </c>
      <c r="GE77" s="237">
        <v>35.21</v>
      </c>
      <c r="GF77" s="237">
        <v>42.6</v>
      </c>
      <c r="GG77" s="237">
        <v>3.54</v>
      </c>
      <c r="GH77" s="237">
        <v>32.5</v>
      </c>
      <c r="GJ77" s="947">
        <v>187</v>
      </c>
      <c r="GK77" s="320">
        <v>0</v>
      </c>
      <c r="GL77" s="320">
        <v>0.152</v>
      </c>
      <c r="GM77" s="320">
        <v>0.1</v>
      </c>
      <c r="GN77" s="320">
        <v>0.748</v>
      </c>
      <c r="GO77" s="662">
        <v>8072</v>
      </c>
      <c r="GP77" s="663" t="str">
        <f>VLOOKUP(GS77,'BD Comarcal'!$A$6:$AV$17,48,FALSE)</f>
        <v>11</v>
      </c>
      <c r="GQ77" s="564">
        <v>124</v>
      </c>
      <c r="GR77" s="256">
        <f t="shared" si="1"/>
        <v>1</v>
      </c>
      <c r="GS77" s="237" t="s">
        <v>90</v>
      </c>
    </row>
    <row r="78" spans="1:201" s="237" customFormat="1" ht="17.25" customHeight="1">
      <c r="A78" s="236" t="s">
        <v>1046</v>
      </c>
      <c r="C78" s="238"/>
      <c r="D78" s="238">
        <v>690</v>
      </c>
      <c r="E78" s="238">
        <v>96</v>
      </c>
      <c r="F78" s="239">
        <v>0.1391304347826087</v>
      </c>
      <c r="G78" s="238">
        <v>0</v>
      </c>
      <c r="H78" s="240">
        <v>0</v>
      </c>
      <c r="I78" s="239">
        <v>0</v>
      </c>
      <c r="J78" s="238">
        <v>6</v>
      </c>
      <c r="K78" s="238">
        <v>0</v>
      </c>
      <c r="L78" s="238" t="s">
        <v>678</v>
      </c>
      <c r="M78" s="241" t="s">
        <v>678</v>
      </c>
      <c r="N78" s="238" t="s">
        <v>678</v>
      </c>
      <c r="O78" s="239" t="s">
        <v>678</v>
      </c>
      <c r="P78" s="237" t="s">
        <v>678</v>
      </c>
      <c r="Q78" s="237" t="s">
        <v>678</v>
      </c>
      <c r="R78" s="239" t="s">
        <v>678</v>
      </c>
      <c r="S78" s="238" t="s">
        <v>678</v>
      </c>
      <c r="T78" s="436">
        <v>0</v>
      </c>
      <c r="U78" s="436">
        <v>0</v>
      </c>
      <c r="V78" s="436">
        <v>1049</v>
      </c>
      <c r="W78" s="436">
        <v>1049</v>
      </c>
      <c r="X78" s="238">
        <v>86072</v>
      </c>
      <c r="Y78" s="237">
        <v>0.19450000000000001</v>
      </c>
      <c r="Z78" s="238">
        <v>1151892</v>
      </c>
      <c r="AA78" s="238">
        <v>13336</v>
      </c>
      <c r="AB78" s="238">
        <v>81.48</v>
      </c>
      <c r="AC78" s="196">
        <v>66751</v>
      </c>
      <c r="AD78" s="196">
        <v>88515412.169999987</v>
      </c>
      <c r="AE78" s="238">
        <v>13462585.420000002</v>
      </c>
      <c r="AF78" s="238">
        <v>74750888.769999996</v>
      </c>
      <c r="AG78" s="238">
        <v>4548630.05</v>
      </c>
      <c r="AH78" s="239">
        <v>6.0850514620576869E-2</v>
      </c>
      <c r="AI78" s="242">
        <v>549.94145700000001</v>
      </c>
      <c r="AJ78" s="242">
        <v>101.325312</v>
      </c>
      <c r="AK78" s="242">
        <v>14.684827826086956</v>
      </c>
      <c r="AL78" s="242" t="s">
        <v>678</v>
      </c>
      <c r="AM78" s="242" t="s">
        <v>678</v>
      </c>
      <c r="AN78" s="242">
        <v>80619.69</v>
      </c>
      <c r="AO78" s="238">
        <v>2544.4</v>
      </c>
      <c r="AP78" s="243">
        <v>15</v>
      </c>
      <c r="AQ78" s="238"/>
      <c r="AR78" s="238">
        <v>945.09083114558882</v>
      </c>
      <c r="AS78" s="238">
        <v>1062.1390411152756</v>
      </c>
      <c r="AT78" s="238">
        <v>4190077.3333333335</v>
      </c>
      <c r="AU78" s="238">
        <v>214.93757051450231</v>
      </c>
      <c r="AV78" s="237">
        <v>0</v>
      </c>
      <c r="AW78" s="237">
        <v>0</v>
      </c>
      <c r="AX78" s="237">
        <v>0</v>
      </c>
      <c r="AY78" s="244" t="s">
        <v>695</v>
      </c>
      <c r="AZ78" s="244" t="s">
        <v>682</v>
      </c>
      <c r="BA78" s="237">
        <v>2010</v>
      </c>
      <c r="BB78" s="245" t="s">
        <v>678</v>
      </c>
      <c r="BC78" s="215" t="s">
        <v>678</v>
      </c>
      <c r="BD78" s="237">
        <v>1</v>
      </c>
      <c r="BE78" s="237">
        <v>246</v>
      </c>
      <c r="BF78" s="237">
        <v>2</v>
      </c>
      <c r="BG78" s="246" t="s">
        <v>676</v>
      </c>
      <c r="BI78" s="239">
        <v>0.53435732973246686</v>
      </c>
      <c r="BJ78" s="239">
        <v>5.4485610600050638E-2</v>
      </c>
      <c r="BK78" s="239">
        <v>0.37866486623343742</v>
      </c>
      <c r="BL78" s="239">
        <v>3.2492193434045066E-2</v>
      </c>
      <c r="BM78" s="247">
        <v>2.0907080766309392</v>
      </c>
      <c r="BN78" s="248">
        <v>2</v>
      </c>
      <c r="BO78" s="248">
        <v>4</v>
      </c>
      <c r="BP78" s="237">
        <v>0</v>
      </c>
      <c r="BQ78" s="237">
        <v>0</v>
      </c>
      <c r="BR78" s="248">
        <v>6</v>
      </c>
      <c r="BS78" s="237">
        <v>5</v>
      </c>
      <c r="BT78" s="237" t="s">
        <v>1028</v>
      </c>
      <c r="BU78" s="249">
        <v>11376</v>
      </c>
      <c r="BV78" s="249">
        <v>9793</v>
      </c>
      <c r="BW78" s="249">
        <v>40533</v>
      </c>
      <c r="BX78" s="249">
        <v>10120</v>
      </c>
      <c r="BY78" s="249">
        <v>13.123074970872219</v>
      </c>
      <c r="BZ78" s="249">
        <v>11.296964942840333</v>
      </c>
      <c r="CA78" s="249">
        <v>46.75787603677599</v>
      </c>
      <c r="CB78" s="249">
        <v>11.674184133722473</v>
      </c>
      <c r="CC78" s="250">
        <v>108.72103083507332</v>
      </c>
      <c r="CD78" s="242">
        <v>-2750</v>
      </c>
      <c r="CE78" s="252">
        <v>96.827667354966721</v>
      </c>
      <c r="CF78" s="238">
        <v>36662</v>
      </c>
      <c r="CG78" s="238">
        <v>7572.8</v>
      </c>
      <c r="CH78" s="238">
        <v>8.7357966015665554</v>
      </c>
      <c r="CI78" s="216" t="s">
        <v>679</v>
      </c>
      <c r="CJ78" s="237">
        <v>0</v>
      </c>
      <c r="CK78" s="253">
        <v>462.65</v>
      </c>
      <c r="CL78" s="253">
        <v>148.87870000000001</v>
      </c>
      <c r="CM78" s="254">
        <v>0.215766231884058</v>
      </c>
      <c r="CN78" s="237" t="s">
        <v>90</v>
      </c>
      <c r="CO78" s="242"/>
      <c r="CP78" s="255">
        <v>0</v>
      </c>
      <c r="CV78" s="262">
        <v>24</v>
      </c>
      <c r="CW78" s="194">
        <v>1.867</v>
      </c>
      <c r="CX78" s="194" t="s">
        <v>680</v>
      </c>
      <c r="CY78" s="194">
        <v>2.5019999999999998</v>
      </c>
      <c r="DB78" s="216" t="s">
        <v>804</v>
      </c>
      <c r="DC78" s="195" t="s">
        <v>977</v>
      </c>
      <c r="DD78" s="256">
        <v>0.7</v>
      </c>
      <c r="DE78" s="256">
        <v>-6.5</v>
      </c>
      <c r="DF78" s="256">
        <v>0.7</v>
      </c>
      <c r="DG78" s="256">
        <v>-2.2000000000000002</v>
      </c>
      <c r="DL78" s="237" t="s">
        <v>682</v>
      </c>
      <c r="DO78" s="237">
        <v>1</v>
      </c>
      <c r="DP78" s="258" t="s">
        <v>682</v>
      </c>
      <c r="DQ78" s="258"/>
      <c r="DR78" s="258"/>
      <c r="DS78" s="258"/>
      <c r="DT78" s="258"/>
      <c r="DU78" s="237">
        <v>0</v>
      </c>
      <c r="DX78" s="247"/>
      <c r="DY78" s="247">
        <v>0</v>
      </c>
      <c r="EA78" s="237">
        <v>1</v>
      </c>
      <c r="EB78" s="237" t="s">
        <v>823</v>
      </c>
      <c r="ED78" s="237" t="s">
        <v>678</v>
      </c>
      <c r="EE78" s="208">
        <v>4</v>
      </c>
      <c r="EF78" s="237" t="s">
        <v>678</v>
      </c>
      <c r="EG78" s="216" t="s">
        <v>689</v>
      </c>
      <c r="EH78" s="246" t="s">
        <v>690</v>
      </c>
      <c r="EI78" s="216"/>
      <c r="EJ78" s="216" t="s">
        <v>806</v>
      </c>
      <c r="EK78" s="222" t="s">
        <v>529</v>
      </c>
      <c r="EL78" s="259">
        <v>1976</v>
      </c>
      <c r="EM78" s="260">
        <v>278325</v>
      </c>
      <c r="EN78" s="260">
        <v>2983127</v>
      </c>
      <c r="EO78" s="260">
        <v>1370469</v>
      </c>
      <c r="ER78" s="237" t="s">
        <v>705</v>
      </c>
      <c r="ES78" s="237">
        <v>14447.833333333334</v>
      </c>
      <c r="ET78" s="237">
        <v>4.9239881433575858</v>
      </c>
      <c r="EU78" s="661">
        <v>3</v>
      </c>
      <c r="EV78" s="661">
        <v>9</v>
      </c>
      <c r="EW78" s="661" t="s">
        <v>678</v>
      </c>
      <c r="EX78" s="661">
        <v>8</v>
      </c>
      <c r="EY78" s="660">
        <v>0.67050724637681158</v>
      </c>
      <c r="EZ78" s="256">
        <v>187.37058251377931</v>
      </c>
      <c r="FA78" s="247">
        <v>25</v>
      </c>
      <c r="FB78" s="208" t="s">
        <v>678</v>
      </c>
      <c r="FC78" s="208" t="s">
        <v>678</v>
      </c>
      <c r="FD78" s="208">
        <v>4</v>
      </c>
      <c r="FE78" s="239">
        <v>0</v>
      </c>
      <c r="FF78" s="208"/>
      <c r="FG78" s="241">
        <v>0</v>
      </c>
      <c r="FH78" s="209">
        <v>0</v>
      </c>
      <c r="FI78" s="237" t="s">
        <v>678</v>
      </c>
      <c r="FJ78" s="208" t="s">
        <v>678</v>
      </c>
      <c r="FK78" s="208" t="s">
        <v>678</v>
      </c>
      <c r="FL78" s="217" t="s">
        <v>678</v>
      </c>
      <c r="FM78" s="208" t="s">
        <v>678</v>
      </c>
      <c r="FN78" s="208" t="s">
        <v>678</v>
      </c>
      <c r="FP78" s="247" t="s">
        <v>693</v>
      </c>
      <c r="FU78" s="208" t="s">
        <v>678</v>
      </c>
      <c r="FV78" s="208" t="s">
        <v>678</v>
      </c>
      <c r="FW78" s="208" t="s">
        <v>678</v>
      </c>
      <c r="FX78" s="208" t="s">
        <v>678</v>
      </c>
      <c r="FY78" s="208" t="s">
        <v>678</v>
      </c>
      <c r="FZ78" s="208" t="s">
        <v>678</v>
      </c>
      <c r="GA78" s="208" t="s">
        <v>678</v>
      </c>
      <c r="GB78" s="208" t="s">
        <v>678</v>
      </c>
      <c r="GC78" s="208" t="s">
        <v>678</v>
      </c>
      <c r="GD78" s="208" t="s">
        <v>678</v>
      </c>
      <c r="GE78" s="237" t="s">
        <v>678</v>
      </c>
      <c r="GF78" s="237" t="s">
        <v>678</v>
      </c>
      <c r="GG78" s="237" t="s">
        <v>678</v>
      </c>
      <c r="GH78" s="237" t="s">
        <v>678</v>
      </c>
      <c r="GJ78" s="947">
        <v>2628</v>
      </c>
      <c r="GK78" s="320">
        <v>0</v>
      </c>
      <c r="GL78" s="320">
        <v>0.13400000000000001</v>
      </c>
      <c r="GM78" s="320">
        <v>7.1999999999999995E-2</v>
      </c>
      <c r="GN78" s="320">
        <v>0.79400000000000004</v>
      </c>
      <c r="GO78" s="662">
        <v>8073</v>
      </c>
      <c r="GP78" s="663" t="str">
        <f>VLOOKUP(GS78,'BD Comarcal'!$A$6:$AV$17,48,FALSE)</f>
        <v>11</v>
      </c>
      <c r="GQ78" s="564">
        <v>676</v>
      </c>
      <c r="GR78" s="256">
        <f t="shared" si="1"/>
        <v>0</v>
      </c>
      <c r="GS78" s="237" t="s">
        <v>90</v>
      </c>
    </row>
    <row r="79" spans="1:201" s="237" customFormat="1" ht="17.25" customHeight="1">
      <c r="A79" s="236" t="s">
        <v>341</v>
      </c>
      <c r="C79" s="238" t="s">
        <v>683</v>
      </c>
      <c r="D79" s="238">
        <v>1336</v>
      </c>
      <c r="E79" s="238">
        <v>620</v>
      </c>
      <c r="F79" s="239">
        <v>0.46407185628742514</v>
      </c>
      <c r="G79" s="238">
        <v>299</v>
      </c>
      <c r="H79" s="240">
        <v>0</v>
      </c>
      <c r="I79" s="239">
        <v>0</v>
      </c>
      <c r="J79" s="238">
        <v>123</v>
      </c>
      <c r="K79" s="238">
        <v>0</v>
      </c>
      <c r="L79" s="238">
        <v>21</v>
      </c>
      <c r="M79" s="241">
        <v>1.5718562874251496E-2</v>
      </c>
      <c r="N79" s="238">
        <v>0</v>
      </c>
      <c r="O79" s="239">
        <v>0</v>
      </c>
      <c r="P79" s="237">
        <v>4</v>
      </c>
      <c r="Q79" s="237">
        <v>0</v>
      </c>
      <c r="R79" s="239">
        <v>0</v>
      </c>
      <c r="S79" s="238">
        <v>11540</v>
      </c>
      <c r="T79" s="436">
        <v>1230</v>
      </c>
      <c r="U79" s="436">
        <v>0</v>
      </c>
      <c r="V79" s="436">
        <v>119</v>
      </c>
      <c r="W79" s="436">
        <v>1349</v>
      </c>
      <c r="X79" s="238">
        <v>14608</v>
      </c>
      <c r="Y79" s="237">
        <v>0.14879999999999999</v>
      </c>
      <c r="Z79" s="238">
        <v>168106</v>
      </c>
      <c r="AA79" s="238">
        <v>11658</v>
      </c>
      <c r="AB79" s="238">
        <v>71.23</v>
      </c>
      <c r="AC79" s="238">
        <v>3500</v>
      </c>
      <c r="AD79" s="238">
        <v>15050150.549999997</v>
      </c>
      <c r="AE79" s="238">
        <v>1504680.8200000003</v>
      </c>
      <c r="AF79" s="238">
        <v>13743939.140000001</v>
      </c>
      <c r="AG79" s="238">
        <v>567313.35</v>
      </c>
      <c r="AH79" s="239">
        <v>4.127734736171132E-2</v>
      </c>
      <c r="AI79" s="242">
        <v>273.80526700000001</v>
      </c>
      <c r="AJ79" s="242">
        <v>44.700842999999999</v>
      </c>
      <c r="AK79" s="242">
        <v>3.3458714820359279</v>
      </c>
      <c r="AL79" s="242">
        <v>199.27539100000001</v>
      </c>
      <c r="AM79" s="242">
        <v>14.915822679640719</v>
      </c>
      <c r="AN79" s="242">
        <v>37528.51</v>
      </c>
      <c r="AO79" s="238">
        <v>8242.4599999999991</v>
      </c>
      <c r="AP79" s="243">
        <v>33</v>
      </c>
      <c r="AQ79" s="238">
        <v>1</v>
      </c>
      <c r="AR79" s="238">
        <v>1729.6435282592356</v>
      </c>
      <c r="AS79" s="238">
        <v>1593.7091813009972</v>
      </c>
      <c r="AT79" s="238">
        <v>1069813</v>
      </c>
      <c r="AU79" s="238">
        <v>401.53621434940044</v>
      </c>
      <c r="AV79" s="237">
        <v>1</v>
      </c>
      <c r="AW79" s="237">
        <v>0</v>
      </c>
      <c r="AX79" s="237">
        <v>1</v>
      </c>
      <c r="AY79" s="244" t="s">
        <v>673</v>
      </c>
      <c r="AZ79" s="244" t="s">
        <v>673</v>
      </c>
      <c r="BA79" s="237">
        <v>0</v>
      </c>
      <c r="BB79" s="245" t="s">
        <v>678</v>
      </c>
      <c r="BC79" s="215" t="s">
        <v>678</v>
      </c>
      <c r="BE79" s="237">
        <v>137</v>
      </c>
      <c r="BF79" s="237">
        <v>19</v>
      </c>
      <c r="BG79" s="246" t="s">
        <v>676</v>
      </c>
      <c r="BI79" s="239">
        <v>0.15324822695035462</v>
      </c>
      <c r="BJ79" s="239">
        <v>0.17270921985815602</v>
      </c>
      <c r="BK79" s="239">
        <v>0.64635460992907801</v>
      </c>
      <c r="BL79" s="239">
        <v>2.7687943262411349E-2</v>
      </c>
      <c r="BM79" s="247">
        <v>1.4515177304964539</v>
      </c>
      <c r="BN79" s="248">
        <v>0</v>
      </c>
      <c r="BO79" s="248">
        <v>1</v>
      </c>
      <c r="BP79" s="237">
        <v>0</v>
      </c>
      <c r="BQ79" s="237">
        <v>0</v>
      </c>
      <c r="BR79" s="248">
        <v>1</v>
      </c>
      <c r="BS79" s="237">
        <v>6</v>
      </c>
      <c r="BT79" s="237" t="s">
        <v>1047</v>
      </c>
      <c r="BU79" s="249">
        <v>1468</v>
      </c>
      <c r="BV79" s="249">
        <v>1382</v>
      </c>
      <c r="BW79" s="249">
        <v>6686</v>
      </c>
      <c r="BX79" s="249" t="s">
        <v>678</v>
      </c>
      <c r="BY79" s="249">
        <v>10.104625550660794</v>
      </c>
      <c r="BZ79" s="249">
        <v>9.5126651982378849</v>
      </c>
      <c r="CA79" s="249">
        <v>46.021475770925107</v>
      </c>
      <c r="CB79" s="249" t="s">
        <v>678</v>
      </c>
      <c r="CC79" s="250">
        <v>95.360682819383257</v>
      </c>
      <c r="CD79" s="242">
        <v>120</v>
      </c>
      <c r="CE79" s="252">
        <v>100.82599118942731</v>
      </c>
      <c r="CF79" s="238">
        <v>10600</v>
      </c>
      <c r="CG79" s="238">
        <v>1242</v>
      </c>
      <c r="CH79" s="238">
        <v>8.5490088105726869</v>
      </c>
      <c r="CI79" s="216" t="s">
        <v>679</v>
      </c>
      <c r="CJ79" s="237">
        <v>0</v>
      </c>
      <c r="CK79" s="253">
        <v>273.92</v>
      </c>
      <c r="CL79" s="253">
        <v>171.54949999999999</v>
      </c>
      <c r="CM79" s="254">
        <v>0.12840531437125749</v>
      </c>
      <c r="CN79" s="237" t="s">
        <v>85</v>
      </c>
      <c r="CO79" s="242">
        <v>23.37</v>
      </c>
      <c r="CP79" s="255">
        <v>1.749251497005988E-2</v>
      </c>
      <c r="CV79" s="237">
        <v>12</v>
      </c>
      <c r="CW79" s="194">
        <v>1.073</v>
      </c>
      <c r="CX79" s="194">
        <v>0.63500000000000001</v>
      </c>
      <c r="CY79" s="194">
        <v>0.13900000000000001</v>
      </c>
      <c r="DB79" s="216" t="s">
        <v>710</v>
      </c>
      <c r="DC79" s="195" t="s">
        <v>711</v>
      </c>
      <c r="DD79" s="256">
        <v>0.7</v>
      </c>
      <c r="DE79" s="256">
        <v>-6.5</v>
      </c>
      <c r="DF79" s="256">
        <v>0.7</v>
      </c>
      <c r="DG79" s="256">
        <v>-2.2000000000000002</v>
      </c>
      <c r="DH79" s="257">
        <v>2</v>
      </c>
      <c r="DI79" s="257">
        <v>6.1</v>
      </c>
      <c r="DJ79" s="257">
        <v>0</v>
      </c>
      <c r="DK79" s="257">
        <v>6.1</v>
      </c>
      <c r="DL79" s="237" t="s">
        <v>682</v>
      </c>
      <c r="DP79" s="258" t="s">
        <v>682</v>
      </c>
      <c r="DQ79" s="258"/>
      <c r="DR79" s="258"/>
      <c r="DS79" s="258"/>
      <c r="DT79" s="258"/>
      <c r="DU79" s="237">
        <v>1.5</v>
      </c>
      <c r="DV79" s="237" t="s">
        <v>1048</v>
      </c>
      <c r="DX79" s="247">
        <v>28.544999999999998</v>
      </c>
      <c r="DY79" s="247">
        <v>2.1366017964071857</v>
      </c>
      <c r="DZ79" s="237" t="s">
        <v>1049</v>
      </c>
      <c r="EA79" s="237">
        <v>0</v>
      </c>
      <c r="ED79" s="237" t="s">
        <v>678</v>
      </c>
      <c r="EE79" s="208">
        <v>4</v>
      </c>
      <c r="EF79" s="237" t="s">
        <v>678</v>
      </c>
      <c r="EG79" s="216" t="s">
        <v>689</v>
      </c>
      <c r="EH79" s="246" t="s">
        <v>690</v>
      </c>
      <c r="EI79" s="216" t="s">
        <v>691</v>
      </c>
      <c r="EJ79" s="216" t="s">
        <v>806</v>
      </c>
      <c r="EK79" s="222" t="s">
        <v>682</v>
      </c>
      <c r="EL79" s="259">
        <v>1993</v>
      </c>
      <c r="EM79" s="260">
        <v>6000</v>
      </c>
      <c r="EN79" s="260">
        <v>928518</v>
      </c>
      <c r="EO79" s="260">
        <v>167036</v>
      </c>
      <c r="EP79" s="237">
        <v>2</v>
      </c>
      <c r="EQ79" s="237">
        <v>160</v>
      </c>
      <c r="ER79" s="237" t="s">
        <v>705</v>
      </c>
      <c r="ES79" s="237">
        <v>14528</v>
      </c>
      <c r="ET79" s="237">
        <v>27.839333333333332</v>
      </c>
      <c r="EU79" s="661">
        <v>3</v>
      </c>
      <c r="EV79" s="661">
        <v>6</v>
      </c>
      <c r="EW79" s="661">
        <v>6</v>
      </c>
      <c r="EX79" s="661">
        <v>10</v>
      </c>
      <c r="EY79" s="660">
        <v>0.2050299401197605</v>
      </c>
      <c r="EZ79" s="256">
        <v>53.037383177570092</v>
      </c>
      <c r="FA79" s="247">
        <v>1.935483870967742</v>
      </c>
      <c r="FB79" s="208">
        <v>5</v>
      </c>
      <c r="FC79" s="208">
        <v>5</v>
      </c>
      <c r="FD79" s="208">
        <v>8</v>
      </c>
      <c r="FE79" s="239">
        <v>0.48225806451612901</v>
      </c>
      <c r="FF79" s="208"/>
      <c r="FG79" s="241">
        <v>9.8387096774193543E-3</v>
      </c>
      <c r="FH79" s="209">
        <v>0</v>
      </c>
      <c r="FI79" s="237" t="s">
        <v>678</v>
      </c>
      <c r="FJ79" s="208" t="s">
        <v>678</v>
      </c>
      <c r="FK79" s="208" t="s">
        <v>678</v>
      </c>
      <c r="FL79" s="217" t="s">
        <v>678</v>
      </c>
      <c r="FM79" s="208" t="s">
        <v>678</v>
      </c>
      <c r="FN79" s="208" t="s">
        <v>678</v>
      </c>
      <c r="FO79" s="237">
        <v>2980</v>
      </c>
      <c r="FP79" s="247">
        <v>2.2305389221556888</v>
      </c>
      <c r="FU79" s="208" t="s">
        <v>678</v>
      </c>
      <c r="FV79" s="208" t="s">
        <v>678</v>
      </c>
      <c r="FW79" s="208" t="s">
        <v>678</v>
      </c>
      <c r="FX79" s="208" t="s">
        <v>678</v>
      </c>
      <c r="FY79" s="208" t="s">
        <v>678</v>
      </c>
      <c r="FZ79" s="208" t="s">
        <v>678</v>
      </c>
      <c r="GA79" s="208" t="s">
        <v>678</v>
      </c>
      <c r="GB79" s="208" t="s">
        <v>678</v>
      </c>
      <c r="GC79" s="208" t="s">
        <v>678</v>
      </c>
      <c r="GD79" s="208" t="s">
        <v>678</v>
      </c>
      <c r="GE79" s="237" t="s">
        <v>678</v>
      </c>
      <c r="GF79" s="237" t="s">
        <v>678</v>
      </c>
      <c r="GG79" s="237" t="s">
        <v>678</v>
      </c>
      <c r="GH79" s="237" t="s">
        <v>678</v>
      </c>
      <c r="GJ79" s="947">
        <v>190</v>
      </c>
      <c r="GK79" s="320">
        <v>2E-3</v>
      </c>
      <c r="GL79" s="320">
        <v>5.7000000000000002E-2</v>
      </c>
      <c r="GM79" s="320">
        <v>0.104</v>
      </c>
      <c r="GN79" s="320">
        <v>0.83799999999999997</v>
      </c>
      <c r="GO79" s="662">
        <v>8074</v>
      </c>
      <c r="GP79" s="663" t="str">
        <f>VLOOKUP(GS79,'BD Comarcal'!$A$6:$AV$17,48,FALSE)</f>
        <v>17</v>
      </c>
      <c r="GQ79" s="564">
        <v>83</v>
      </c>
      <c r="GR79" s="256">
        <f t="shared" si="1"/>
        <v>1</v>
      </c>
      <c r="GS79" s="237" t="s">
        <v>85</v>
      </c>
    </row>
    <row r="80" spans="1:201" s="237" customFormat="1" ht="17.25" customHeight="1">
      <c r="A80" s="236" t="s">
        <v>1050</v>
      </c>
      <c r="C80" s="238"/>
      <c r="D80" s="238">
        <v>4082</v>
      </c>
      <c r="E80" s="238">
        <v>3454</v>
      </c>
      <c r="F80" s="239">
        <v>0.84615384615384615</v>
      </c>
      <c r="G80" s="238">
        <v>3011</v>
      </c>
      <c r="H80" s="240">
        <v>1269.7514461125822</v>
      </c>
      <c r="I80" s="239">
        <v>0.36761767403375284</v>
      </c>
      <c r="J80" s="238">
        <v>175</v>
      </c>
      <c r="K80" s="238">
        <v>118</v>
      </c>
      <c r="L80" s="238">
        <v>47</v>
      </c>
      <c r="M80" s="241">
        <v>1.1513963743263106E-2</v>
      </c>
      <c r="N80" s="238">
        <v>4</v>
      </c>
      <c r="O80" s="239">
        <v>2.2857142857142857E-2</v>
      </c>
      <c r="P80" s="237">
        <v>10</v>
      </c>
      <c r="Q80" s="237">
        <v>1</v>
      </c>
      <c r="R80" s="239">
        <v>0.1</v>
      </c>
      <c r="S80" s="238">
        <v>2642</v>
      </c>
      <c r="T80" s="436">
        <v>0</v>
      </c>
      <c r="U80" s="436">
        <v>31</v>
      </c>
      <c r="V80" s="436">
        <v>0</v>
      </c>
      <c r="W80" s="436">
        <v>31</v>
      </c>
      <c r="X80" s="238">
        <v>5154</v>
      </c>
      <c r="Y80" s="237">
        <v>0.1205</v>
      </c>
      <c r="Z80" s="238">
        <v>102772</v>
      </c>
      <c r="AA80" s="238">
        <v>19707</v>
      </c>
      <c r="AB80" s="238">
        <v>120.41</v>
      </c>
      <c r="AC80" s="238">
        <v>1018</v>
      </c>
      <c r="AD80" s="238">
        <v>6084298.2000000002</v>
      </c>
      <c r="AE80" s="238">
        <v>1368473.9900000002</v>
      </c>
      <c r="AF80" s="238">
        <v>4522417.91</v>
      </c>
      <c r="AG80" s="238">
        <v>254117.84</v>
      </c>
      <c r="AH80" s="239">
        <v>5.6190702641189562E-2</v>
      </c>
      <c r="AI80" s="242">
        <v>395.11205799999999</v>
      </c>
      <c r="AJ80" s="242">
        <v>59.697952000000001</v>
      </c>
      <c r="AK80" s="242">
        <v>1.4624682018618325</v>
      </c>
      <c r="AL80" s="242">
        <v>324.34209399999997</v>
      </c>
      <c r="AM80" s="242">
        <v>7.9456661930426256</v>
      </c>
      <c r="AN80" s="242">
        <v>30848.79</v>
      </c>
      <c r="AO80" s="238">
        <v>6182.2</v>
      </c>
      <c r="AP80" s="243">
        <v>18</v>
      </c>
      <c r="AQ80" s="238">
        <v>1</v>
      </c>
      <c r="AR80" s="238">
        <v>1603.2977474932502</v>
      </c>
      <c r="AS80" s="238">
        <v>1339.2698260874661</v>
      </c>
      <c r="AT80" s="238">
        <v>470952.33333333331</v>
      </c>
      <c r="AU80" s="238">
        <v>313.69993441690701</v>
      </c>
      <c r="AV80" s="237">
        <v>1</v>
      </c>
      <c r="AW80" s="237">
        <v>1</v>
      </c>
      <c r="AX80" s="237">
        <v>1</v>
      </c>
      <c r="AY80" s="244" t="s">
        <v>673</v>
      </c>
      <c r="AZ80" s="244" t="s">
        <v>682</v>
      </c>
      <c r="BA80" s="237">
        <v>2012</v>
      </c>
      <c r="BB80" s="245" t="s">
        <v>743</v>
      </c>
      <c r="BC80" s="215" t="s">
        <v>744</v>
      </c>
      <c r="BE80" s="237">
        <v>38</v>
      </c>
      <c r="BF80" s="237">
        <v>2</v>
      </c>
      <c r="BG80" s="246" t="s">
        <v>698</v>
      </c>
      <c r="BI80" s="239">
        <v>0.2811151676070362</v>
      </c>
      <c r="BJ80" s="239">
        <v>0.25954198473282442</v>
      </c>
      <c r="BK80" s="239">
        <v>0.41055426485230667</v>
      </c>
      <c r="BL80" s="239">
        <v>4.8788582807832728E-2</v>
      </c>
      <c r="BM80" s="247">
        <v>1.772983737139064</v>
      </c>
      <c r="BN80" s="248">
        <v>3</v>
      </c>
      <c r="BO80" s="248">
        <v>0</v>
      </c>
      <c r="BP80" s="237">
        <v>0</v>
      </c>
      <c r="BQ80" s="237">
        <v>0</v>
      </c>
      <c r="BR80" s="248">
        <v>3</v>
      </c>
      <c r="BT80" s="262" t="s">
        <v>345</v>
      </c>
      <c r="BU80" s="249" t="s">
        <v>678</v>
      </c>
      <c r="BV80" s="249">
        <v>291</v>
      </c>
      <c r="BW80" s="249">
        <v>2695</v>
      </c>
      <c r="BX80" s="249" t="s">
        <v>678</v>
      </c>
      <c r="BY80" s="249" t="s">
        <v>678</v>
      </c>
      <c r="BZ80" s="249">
        <v>5.6123432979749275</v>
      </c>
      <c r="CA80" s="249">
        <v>51.97685631629701</v>
      </c>
      <c r="CB80" s="249" t="s">
        <v>678</v>
      </c>
      <c r="CC80" s="250" t="s">
        <v>678</v>
      </c>
      <c r="CD80" s="242">
        <v>-186</v>
      </c>
      <c r="CE80" s="252">
        <v>96.412729026036644</v>
      </c>
      <c r="CF80" s="238">
        <v>2255</v>
      </c>
      <c r="CG80" s="238">
        <v>407.5</v>
      </c>
      <c r="CH80" s="238">
        <v>7.8592092574734815</v>
      </c>
      <c r="CI80" s="216" t="s">
        <v>722</v>
      </c>
      <c r="CJ80" s="237">
        <v>1</v>
      </c>
      <c r="CK80" s="253">
        <v>409.37</v>
      </c>
      <c r="CL80" s="253">
        <v>244.5616</v>
      </c>
      <c r="CM80" s="254">
        <v>5.9912199902008821E-2</v>
      </c>
      <c r="CN80" s="237" t="s">
        <v>86</v>
      </c>
      <c r="CO80" s="242">
        <v>1220.96</v>
      </c>
      <c r="CP80" s="255">
        <v>0.29910828025477709</v>
      </c>
      <c r="CQ80" s="247">
        <v>65.53</v>
      </c>
      <c r="CR80" s="248" t="s">
        <v>762</v>
      </c>
      <c r="CS80" s="247">
        <v>65.53</v>
      </c>
      <c r="CV80" s="237">
        <v>4</v>
      </c>
      <c r="CW80" s="194">
        <v>1.2849999999999999</v>
      </c>
      <c r="CX80" s="194">
        <v>0.63500000000000001</v>
      </c>
      <c r="CY80" s="194">
        <v>0.14699999999999999</v>
      </c>
      <c r="DB80" s="216" t="s">
        <v>710</v>
      </c>
      <c r="DC80" s="195" t="s">
        <v>711</v>
      </c>
      <c r="DD80" s="256">
        <v>0.8</v>
      </c>
      <c r="DE80" s="256">
        <v>-10</v>
      </c>
      <c r="DF80" s="256">
        <v>0.5</v>
      </c>
      <c r="DG80" s="256">
        <v>-2.2999999999999998</v>
      </c>
      <c r="DH80" s="257">
        <v>2</v>
      </c>
      <c r="DI80" s="257">
        <v>5.21</v>
      </c>
      <c r="DJ80" s="257">
        <v>4.18</v>
      </c>
      <c r="DK80" s="257">
        <v>9.39</v>
      </c>
      <c r="DL80" s="237" t="s">
        <v>529</v>
      </c>
      <c r="DM80" s="270" t="s">
        <v>748</v>
      </c>
      <c r="DN80" s="237" t="s">
        <v>713</v>
      </c>
      <c r="DP80" s="258" t="s">
        <v>683</v>
      </c>
      <c r="DQ80" s="258" t="s">
        <v>784</v>
      </c>
      <c r="DR80" s="258" t="s">
        <v>1051</v>
      </c>
      <c r="DS80" s="258"/>
      <c r="DT80" s="258"/>
      <c r="DU80" s="237">
        <v>0</v>
      </c>
      <c r="DX80" s="247"/>
      <c r="DY80" s="247">
        <v>0</v>
      </c>
      <c r="EA80" s="237">
        <v>1</v>
      </c>
      <c r="EB80" s="237" t="s">
        <v>765</v>
      </c>
      <c r="ED80" s="237" t="s">
        <v>749</v>
      </c>
      <c r="EE80" s="208">
        <v>1</v>
      </c>
      <c r="EF80" s="237" t="s">
        <v>688</v>
      </c>
      <c r="EG80" s="216" t="s">
        <v>691</v>
      </c>
      <c r="EH80" s="246" t="s">
        <v>690</v>
      </c>
      <c r="EI80" s="216" t="s">
        <v>689</v>
      </c>
      <c r="EJ80" s="216" t="s">
        <v>529</v>
      </c>
      <c r="EK80" s="222" t="s">
        <v>682</v>
      </c>
      <c r="EL80" s="259">
        <v>1998</v>
      </c>
      <c r="EM80" s="260">
        <v>3770</v>
      </c>
      <c r="EN80" s="260">
        <v>268038</v>
      </c>
      <c r="EO80" s="260">
        <v>224732</v>
      </c>
      <c r="EP80" s="237">
        <v>1</v>
      </c>
      <c r="EQ80" s="237">
        <v>40</v>
      </c>
      <c r="ER80" s="237" t="s">
        <v>705</v>
      </c>
      <c r="ES80" s="237">
        <v>1728.3333333333333</v>
      </c>
      <c r="ET80" s="237">
        <v>59.610610079575594</v>
      </c>
      <c r="EU80" s="661">
        <v>1</v>
      </c>
      <c r="EV80" s="661">
        <v>2</v>
      </c>
      <c r="EW80" s="661">
        <v>4</v>
      </c>
      <c r="EX80" s="661">
        <v>6</v>
      </c>
      <c r="EY80" s="660">
        <v>0.10028662420382166</v>
      </c>
      <c r="EZ80" s="256">
        <v>12.665803551799106</v>
      </c>
      <c r="FA80" s="247">
        <v>0.11580775911986103</v>
      </c>
      <c r="FB80" s="208">
        <v>3</v>
      </c>
      <c r="FC80" s="208">
        <v>5</v>
      </c>
      <c r="FD80" s="208">
        <v>3</v>
      </c>
      <c r="FE80" s="239">
        <v>0.87174290677475386</v>
      </c>
      <c r="FF80" s="208"/>
      <c r="FG80" s="241">
        <v>2.7185871453387377E-3</v>
      </c>
      <c r="FH80" s="209">
        <v>1.8972206137811233E-2</v>
      </c>
      <c r="FI80" s="237" t="s">
        <v>678</v>
      </c>
      <c r="FJ80" s="208">
        <v>61.1</v>
      </c>
      <c r="FK80" s="208">
        <v>41.29</v>
      </c>
      <c r="FL80" s="217">
        <v>84</v>
      </c>
      <c r="FM80" s="208">
        <v>8.69</v>
      </c>
      <c r="FN80" s="208" t="s">
        <v>1052</v>
      </c>
      <c r="FP80" s="247" t="s">
        <v>693</v>
      </c>
      <c r="FU80" s="208">
        <v>60</v>
      </c>
      <c r="FV80" s="208">
        <v>89.6</v>
      </c>
      <c r="FW80" s="237">
        <v>90.64</v>
      </c>
      <c r="FX80" s="237">
        <v>84.5</v>
      </c>
      <c r="FY80" s="208">
        <v>98.78</v>
      </c>
      <c r="FZ80" s="208">
        <v>87.3</v>
      </c>
      <c r="GA80" s="208">
        <v>81.14</v>
      </c>
      <c r="GB80" s="208">
        <v>93.4</v>
      </c>
      <c r="GC80" s="208">
        <v>0</v>
      </c>
      <c r="GD80" s="208">
        <v>8.3000000000000007</v>
      </c>
      <c r="GE80" s="237">
        <v>60.19</v>
      </c>
      <c r="GF80" s="237">
        <v>78.2</v>
      </c>
      <c r="GG80" s="237">
        <v>4.2300000000000004</v>
      </c>
      <c r="GH80" s="237">
        <v>37</v>
      </c>
      <c r="GJ80" s="947">
        <v>105</v>
      </c>
      <c r="GK80" s="320">
        <v>1.7999999999999999E-2</v>
      </c>
      <c r="GL80" s="320">
        <v>0.38100000000000001</v>
      </c>
      <c r="GM80" s="320">
        <v>6.0999999999999999E-2</v>
      </c>
      <c r="GN80" s="320">
        <v>0.54100000000000004</v>
      </c>
      <c r="GO80" s="662">
        <v>8075</v>
      </c>
      <c r="GP80" s="663" t="str">
        <f>VLOOKUP(GS80,'BD Comarcal'!$A$6:$AV$17,48,FALSE)</f>
        <v>21</v>
      </c>
      <c r="GQ80" s="564">
        <v>33</v>
      </c>
      <c r="GR80" s="256">
        <f t="shared" si="1"/>
        <v>1</v>
      </c>
      <c r="GS80" s="237" t="s">
        <v>86</v>
      </c>
    </row>
    <row r="81" spans="1:201" s="237" customFormat="1" ht="17.25" customHeight="1">
      <c r="A81" s="236" t="s">
        <v>1053</v>
      </c>
      <c r="C81" s="238"/>
      <c r="D81" s="238">
        <v>2747</v>
      </c>
      <c r="E81" s="238">
        <v>1605</v>
      </c>
      <c r="F81" s="239">
        <v>0.58427375318529307</v>
      </c>
      <c r="G81" s="238">
        <v>979</v>
      </c>
      <c r="H81" s="240">
        <v>96.707612317145717</v>
      </c>
      <c r="I81" s="239">
        <v>6.0253964060526924E-2</v>
      </c>
      <c r="J81" s="238">
        <v>286</v>
      </c>
      <c r="K81" s="238">
        <v>18</v>
      </c>
      <c r="L81" s="238">
        <v>26</v>
      </c>
      <c r="M81" s="241">
        <v>9.4648707681106656E-3</v>
      </c>
      <c r="N81" s="238">
        <v>19</v>
      </c>
      <c r="O81" s="239">
        <v>6.6433566433566432E-2</v>
      </c>
      <c r="P81" s="237">
        <v>3</v>
      </c>
      <c r="Q81" s="237">
        <v>0</v>
      </c>
      <c r="R81" s="239">
        <v>0</v>
      </c>
      <c r="S81" s="238">
        <v>38</v>
      </c>
      <c r="T81" s="436">
        <v>0</v>
      </c>
      <c r="U81" s="436">
        <v>0</v>
      </c>
      <c r="V81" s="436">
        <v>0</v>
      </c>
      <c r="W81" s="436">
        <v>0</v>
      </c>
      <c r="X81" s="238">
        <v>21766</v>
      </c>
      <c r="Y81" s="237">
        <v>0.14779999999999999</v>
      </c>
      <c r="Z81" s="238">
        <v>311584</v>
      </c>
      <c r="AA81" s="238">
        <v>14358</v>
      </c>
      <c r="AB81" s="238">
        <v>87.73</v>
      </c>
      <c r="AC81" s="238">
        <v>5673</v>
      </c>
      <c r="AD81" s="238">
        <v>22841172.399999999</v>
      </c>
      <c r="AE81" s="238">
        <v>4456051.0699999966</v>
      </c>
      <c r="AF81" s="238">
        <v>19130941.98</v>
      </c>
      <c r="AG81" s="238">
        <v>1071395.1599999999</v>
      </c>
      <c r="AH81" s="239">
        <v>5.6003262208419488E-2</v>
      </c>
      <c r="AI81" s="242">
        <v>423.08687500000002</v>
      </c>
      <c r="AJ81" s="242">
        <v>91.924092999999999</v>
      </c>
      <c r="AK81" s="242">
        <v>3.3463448489261012</v>
      </c>
      <c r="AL81" s="271">
        <v>2235098.54</v>
      </c>
      <c r="AM81" s="271">
        <v>81365.072442664721</v>
      </c>
      <c r="AN81" s="242">
        <v>119526.63</v>
      </c>
      <c r="AO81" s="238">
        <v>8778.4</v>
      </c>
      <c r="AP81" s="243">
        <v>3</v>
      </c>
      <c r="AQ81" s="238"/>
      <c r="AR81" s="238">
        <v>1241.3342705566326</v>
      </c>
      <c r="AS81" s="238">
        <v>1778.3131105746779</v>
      </c>
      <c r="AT81" s="238">
        <v>1247189.6666666667</v>
      </c>
      <c r="AU81" s="238">
        <v>256.85894177609498</v>
      </c>
      <c r="AV81" s="237">
        <v>1</v>
      </c>
      <c r="AW81" s="237">
        <v>1</v>
      </c>
      <c r="AX81" s="237">
        <v>1</v>
      </c>
      <c r="AY81" s="244" t="s">
        <v>717</v>
      </c>
      <c r="AZ81" s="244" t="s">
        <v>717</v>
      </c>
      <c r="BA81" s="237">
        <v>0</v>
      </c>
      <c r="BB81" s="245" t="s">
        <v>1054</v>
      </c>
      <c r="BC81" s="215" t="s">
        <v>1055</v>
      </c>
      <c r="BE81" s="237">
        <v>125</v>
      </c>
      <c r="BF81" s="237">
        <v>102</v>
      </c>
      <c r="BG81" s="246" t="s">
        <v>676</v>
      </c>
      <c r="BI81" s="239">
        <v>0.36555996380594419</v>
      </c>
      <c r="BJ81" s="239">
        <v>0.12500870049418808</v>
      </c>
      <c r="BK81" s="239">
        <v>0.50212292058188901</v>
      </c>
      <c r="BL81" s="239">
        <v>7.308415117978701E-3</v>
      </c>
      <c r="BM81" s="247">
        <v>1.8488202129880977</v>
      </c>
      <c r="BN81" s="248">
        <v>0</v>
      </c>
      <c r="BO81" s="248">
        <v>1</v>
      </c>
      <c r="BP81" s="237">
        <v>0</v>
      </c>
      <c r="BQ81" s="237">
        <v>0</v>
      </c>
      <c r="BR81" s="248">
        <v>1</v>
      </c>
      <c r="BS81" s="237">
        <v>9</v>
      </c>
      <c r="BT81" s="237" t="s">
        <v>677</v>
      </c>
      <c r="BU81" s="249">
        <v>1831</v>
      </c>
      <c r="BV81" s="249">
        <v>2443</v>
      </c>
      <c r="BW81" s="249">
        <v>11177</v>
      </c>
      <c r="BX81" s="249">
        <v>2101</v>
      </c>
      <c r="BY81" s="249">
        <v>8.3508163823770865</v>
      </c>
      <c r="BZ81" s="249">
        <v>11.142023168840646</v>
      </c>
      <c r="CA81" s="249">
        <v>50.976010216181699</v>
      </c>
      <c r="CB81" s="249">
        <v>9.5822311411110093</v>
      </c>
      <c r="CC81" s="250">
        <v>98.312505700994251</v>
      </c>
      <c r="CD81" s="242">
        <v>-1327</v>
      </c>
      <c r="CE81" s="252">
        <v>93.947824500592901</v>
      </c>
      <c r="CF81" s="238">
        <v>10489</v>
      </c>
      <c r="CG81" s="238">
        <v>2037.2</v>
      </c>
      <c r="CH81" s="238">
        <v>9.2912523944175867</v>
      </c>
      <c r="CI81" s="216" t="s">
        <v>700</v>
      </c>
      <c r="CJ81" s="237">
        <v>0</v>
      </c>
      <c r="CK81" s="253">
        <v>504.12</v>
      </c>
      <c r="CL81" s="253">
        <v>105.1229</v>
      </c>
      <c r="CM81" s="254">
        <v>3.8268256279577723E-2</v>
      </c>
      <c r="CN81" s="237" t="s">
        <v>90</v>
      </c>
      <c r="CO81" s="242">
        <v>948.16</v>
      </c>
      <c r="CP81" s="255">
        <v>0.34516199490353111</v>
      </c>
      <c r="CV81" s="262">
        <v>24</v>
      </c>
      <c r="CW81" s="194">
        <v>1.1120000000000001</v>
      </c>
      <c r="CX81" s="194" t="s">
        <v>680</v>
      </c>
      <c r="CY81" s="194">
        <v>1.7470000000000001</v>
      </c>
      <c r="DB81" s="216" t="s">
        <v>710</v>
      </c>
      <c r="DC81" s="195" t="s">
        <v>1056</v>
      </c>
      <c r="DD81" s="256">
        <v>0.7</v>
      </c>
      <c r="DE81" s="256">
        <v>-6.5</v>
      </c>
      <c r="DF81" s="256">
        <v>0.7</v>
      </c>
      <c r="DG81" s="256">
        <v>-2.2000000000000002</v>
      </c>
      <c r="DH81" s="257">
        <v>6</v>
      </c>
      <c r="DI81" s="257">
        <v>10.62</v>
      </c>
      <c r="DJ81" s="257">
        <v>9.09</v>
      </c>
      <c r="DK81" s="257">
        <v>19.71</v>
      </c>
      <c r="DL81" s="237" t="s">
        <v>682</v>
      </c>
      <c r="DP81" s="258" t="s">
        <v>683</v>
      </c>
      <c r="DQ81" s="258" t="s">
        <v>948</v>
      </c>
      <c r="DR81" s="258" t="s">
        <v>1057</v>
      </c>
      <c r="DS81" s="258"/>
      <c r="DT81" s="258"/>
      <c r="DU81" s="237">
        <v>1</v>
      </c>
      <c r="DV81" s="237" t="s">
        <v>1058</v>
      </c>
      <c r="DW81" s="237" t="s">
        <v>1059</v>
      </c>
      <c r="DX81" s="247">
        <v>0.26</v>
      </c>
      <c r="DY81" s="247">
        <v>9.4648707681106656E-3</v>
      </c>
      <c r="EA81" s="237">
        <v>1</v>
      </c>
      <c r="EB81" s="237" t="s">
        <v>686</v>
      </c>
      <c r="ED81" s="237" t="s">
        <v>687</v>
      </c>
      <c r="EE81" s="208">
        <v>2</v>
      </c>
      <c r="EF81" s="237" t="s">
        <v>688</v>
      </c>
      <c r="EG81" s="216" t="s">
        <v>689</v>
      </c>
      <c r="EH81" s="246" t="s">
        <v>690</v>
      </c>
      <c r="EI81" s="216" t="s">
        <v>689</v>
      </c>
      <c r="EJ81" s="216" t="s">
        <v>529</v>
      </c>
      <c r="EK81" s="222" t="s">
        <v>682</v>
      </c>
      <c r="EL81" s="259">
        <v>2005</v>
      </c>
      <c r="EM81" s="260">
        <v>6141</v>
      </c>
      <c r="EN81" s="260">
        <v>873975</v>
      </c>
      <c r="EO81" s="260">
        <v>362476</v>
      </c>
      <c r="ER81" s="237" t="s">
        <v>692</v>
      </c>
      <c r="ES81" s="237">
        <v>21926</v>
      </c>
      <c r="ET81" s="237">
        <v>59.025565868751016</v>
      </c>
      <c r="EU81" s="661">
        <v>1</v>
      </c>
      <c r="EV81" s="661">
        <v>5</v>
      </c>
      <c r="EW81" s="661">
        <v>6</v>
      </c>
      <c r="EX81" s="661">
        <v>9</v>
      </c>
      <c r="EY81" s="660">
        <v>0.18351656352384418</v>
      </c>
      <c r="EZ81" s="256">
        <v>43.493612631913038</v>
      </c>
      <c r="FA81" s="247">
        <v>1.4953271028037383</v>
      </c>
      <c r="FB81" s="208">
        <v>6</v>
      </c>
      <c r="FC81" s="208">
        <v>6</v>
      </c>
      <c r="FD81" s="208">
        <v>3</v>
      </c>
      <c r="FE81" s="239">
        <v>0.60996884735202495</v>
      </c>
      <c r="FF81" s="208"/>
      <c r="FG81" s="241">
        <v>1.2280373831775701E-2</v>
      </c>
      <c r="FH81" s="209">
        <v>0</v>
      </c>
      <c r="FI81" s="237" t="s">
        <v>678</v>
      </c>
      <c r="FJ81" s="208">
        <v>48.3</v>
      </c>
      <c r="FK81" s="208">
        <v>13.36</v>
      </c>
      <c r="FL81" s="217">
        <v>51.4</v>
      </c>
      <c r="FM81" s="208">
        <v>0.44</v>
      </c>
      <c r="FN81" s="208" t="s">
        <v>1060</v>
      </c>
      <c r="FP81" s="247" t="s">
        <v>693</v>
      </c>
      <c r="FU81" s="208">
        <v>35</v>
      </c>
      <c r="FV81" s="208">
        <v>38.5</v>
      </c>
      <c r="FW81" s="237">
        <v>23.41</v>
      </c>
      <c r="FX81" s="237">
        <v>9.1999999999999993</v>
      </c>
      <c r="FY81" s="208">
        <v>9.0299999999999994</v>
      </c>
      <c r="FZ81" s="208">
        <v>16.3</v>
      </c>
      <c r="GA81" s="208">
        <v>24.53</v>
      </c>
      <c r="GB81" s="208">
        <v>13</v>
      </c>
      <c r="GC81" s="208" t="s">
        <v>678</v>
      </c>
      <c r="GD81" s="208" t="s">
        <v>678</v>
      </c>
      <c r="GE81" s="237">
        <v>16.77</v>
      </c>
      <c r="GF81" s="237">
        <v>11.7</v>
      </c>
      <c r="GG81" s="237">
        <v>9.75</v>
      </c>
      <c r="GH81" s="237">
        <v>66.099999999999994</v>
      </c>
      <c r="GJ81" s="947">
        <v>420</v>
      </c>
      <c r="GK81" s="320">
        <v>0</v>
      </c>
      <c r="GL81" s="320">
        <v>0.25700000000000001</v>
      </c>
      <c r="GM81" s="320">
        <v>4.3999999999999997E-2</v>
      </c>
      <c r="GN81" s="320">
        <v>0.69899999999999995</v>
      </c>
      <c r="GO81" s="662">
        <v>8076</v>
      </c>
      <c r="GP81" s="663" t="str">
        <f>VLOOKUP(GS81,'BD Comarcal'!$A$6:$AV$17,48,FALSE)</f>
        <v>11</v>
      </c>
      <c r="GQ81" s="564">
        <v>140</v>
      </c>
      <c r="GR81" s="256">
        <f t="shared" si="1"/>
        <v>1</v>
      </c>
      <c r="GS81" s="237" t="s">
        <v>90</v>
      </c>
    </row>
    <row r="82" spans="1:201" s="237" customFormat="1" ht="17.25" customHeight="1">
      <c r="A82" s="236" t="s">
        <v>1061</v>
      </c>
      <c r="C82" s="238"/>
      <c r="D82" s="238">
        <v>460</v>
      </c>
      <c r="E82" s="238">
        <v>97</v>
      </c>
      <c r="F82" s="239">
        <v>0.21086956521739131</v>
      </c>
      <c r="G82" s="238">
        <v>6</v>
      </c>
      <c r="H82" s="240">
        <v>0</v>
      </c>
      <c r="I82" s="239">
        <v>0</v>
      </c>
      <c r="J82" s="238">
        <v>7</v>
      </c>
      <c r="K82" s="238">
        <v>0</v>
      </c>
      <c r="L82" s="238" t="s">
        <v>678</v>
      </c>
      <c r="M82" s="241" t="s">
        <v>678</v>
      </c>
      <c r="N82" s="238" t="s">
        <v>678</v>
      </c>
      <c r="O82" s="239" t="s">
        <v>678</v>
      </c>
      <c r="P82" s="237" t="s">
        <v>678</v>
      </c>
      <c r="Q82" s="237" t="s">
        <v>678</v>
      </c>
      <c r="R82" s="239" t="s">
        <v>678</v>
      </c>
      <c r="S82" s="238" t="s">
        <v>678</v>
      </c>
      <c r="T82" s="436">
        <v>0</v>
      </c>
      <c r="U82" s="436">
        <v>0</v>
      </c>
      <c r="V82" s="436">
        <v>474</v>
      </c>
      <c r="W82" s="436">
        <v>474</v>
      </c>
      <c r="X82" s="238">
        <v>45733</v>
      </c>
      <c r="Y82" s="237">
        <v>0.20810000000000001</v>
      </c>
      <c r="Z82" s="238">
        <v>750349</v>
      </c>
      <c r="AA82" s="238">
        <v>16446</v>
      </c>
      <c r="AB82" s="238">
        <v>100.48</v>
      </c>
      <c r="AC82" s="238">
        <v>18847</v>
      </c>
      <c r="AD82" s="238">
        <v>42991039.609999992</v>
      </c>
      <c r="AE82" s="238">
        <v>13366649.749999993</v>
      </c>
      <c r="AF82" s="238">
        <v>37432885.410000004</v>
      </c>
      <c r="AG82" s="238">
        <v>3644302.36</v>
      </c>
      <c r="AH82" s="239">
        <v>9.7355635828875839E-2</v>
      </c>
      <c r="AI82" s="242">
        <v>322.54773599999999</v>
      </c>
      <c r="AJ82" s="242">
        <v>124.715855</v>
      </c>
      <c r="AK82" s="242">
        <v>27.112142391304349</v>
      </c>
      <c r="AL82" s="242" t="s">
        <v>678</v>
      </c>
      <c r="AM82" s="242" t="s">
        <v>678</v>
      </c>
      <c r="AN82" s="242">
        <v>50991.65</v>
      </c>
      <c r="AO82" s="238">
        <v>6538.63</v>
      </c>
      <c r="AP82" s="243">
        <v>30</v>
      </c>
      <c r="AQ82" s="238"/>
      <c r="AR82" s="238">
        <v>1118.5362065599691</v>
      </c>
      <c r="AS82" s="238">
        <v>1425.0783998810948</v>
      </c>
      <c r="AT82" s="238">
        <v>2484506.3333333335</v>
      </c>
      <c r="AU82" s="238">
        <v>242.35526785262857</v>
      </c>
      <c r="AV82" s="237">
        <v>1</v>
      </c>
      <c r="AW82" s="237">
        <v>0</v>
      </c>
      <c r="AX82" s="237">
        <v>0</v>
      </c>
      <c r="AY82" s="244" t="s">
        <v>682</v>
      </c>
      <c r="AZ82" s="244" t="s">
        <v>682</v>
      </c>
      <c r="BA82" s="237">
        <v>2010</v>
      </c>
      <c r="BB82" s="245" t="s">
        <v>678</v>
      </c>
      <c r="BC82" s="215" t="s">
        <v>678</v>
      </c>
      <c r="BE82" s="237">
        <v>246</v>
      </c>
      <c r="BF82" s="237">
        <v>2</v>
      </c>
      <c r="BG82" s="246" t="s">
        <v>676</v>
      </c>
      <c r="BI82" s="239">
        <v>0.6068586914978632</v>
      </c>
      <c r="BJ82" s="239">
        <v>0.10899551787637678</v>
      </c>
      <c r="BK82" s="239">
        <v>0.25249296410826588</v>
      </c>
      <c r="BL82" s="239">
        <v>3.1652826517494181E-2</v>
      </c>
      <c r="BM82" s="247">
        <v>2.291060074354609</v>
      </c>
      <c r="BN82" s="248">
        <v>0</v>
      </c>
      <c r="BO82" s="248">
        <v>2</v>
      </c>
      <c r="BP82" s="237">
        <v>1</v>
      </c>
      <c r="BQ82" s="237">
        <v>1</v>
      </c>
      <c r="BR82" s="248">
        <v>4</v>
      </c>
      <c r="BS82" s="237">
        <v>4</v>
      </c>
      <c r="BT82" s="237" t="s">
        <v>1028</v>
      </c>
      <c r="BU82" s="249">
        <v>4438</v>
      </c>
      <c r="BV82" s="249">
        <v>4662</v>
      </c>
      <c r="BW82" s="249">
        <v>22057</v>
      </c>
      <c r="BX82" s="249">
        <v>7907</v>
      </c>
      <c r="BY82" s="249">
        <v>9.5099320719137719</v>
      </c>
      <c r="BZ82" s="249">
        <v>9.9899286433668326</v>
      </c>
      <c r="CA82" s="249">
        <v>47.264662395268608</v>
      </c>
      <c r="CB82" s="249">
        <v>16.943450403925688</v>
      </c>
      <c r="CC82" s="250">
        <v>95.774315897743577</v>
      </c>
      <c r="CD82" s="242">
        <v>-3106</v>
      </c>
      <c r="CE82" s="252">
        <v>93.344333254762461</v>
      </c>
      <c r="CF82" s="238">
        <v>19453</v>
      </c>
      <c r="CG82" s="238">
        <v>3275.7</v>
      </c>
      <c r="CH82" s="238">
        <v>7.0193070049499644</v>
      </c>
      <c r="CI82" s="216" t="s">
        <v>679</v>
      </c>
      <c r="CJ82" s="237">
        <v>0</v>
      </c>
      <c r="CK82" s="253">
        <v>252.48</v>
      </c>
      <c r="CL82" s="253">
        <v>110.2551</v>
      </c>
      <c r="CM82" s="254">
        <v>0.23968500000000001</v>
      </c>
      <c r="CN82" s="237" t="s">
        <v>90</v>
      </c>
      <c r="CO82" s="242">
        <v>64.959999999999994</v>
      </c>
      <c r="CP82" s="255">
        <v>0.14121739130434782</v>
      </c>
      <c r="CV82" s="237">
        <v>13</v>
      </c>
      <c r="CW82" s="194">
        <v>1.867</v>
      </c>
      <c r="CX82" s="194" t="s">
        <v>680</v>
      </c>
      <c r="CY82" s="194">
        <v>2.5019999999999998</v>
      </c>
      <c r="DB82" s="216" t="s">
        <v>804</v>
      </c>
      <c r="DC82" s="195" t="s">
        <v>977</v>
      </c>
      <c r="DD82" s="256">
        <v>0.7</v>
      </c>
      <c r="DE82" s="256">
        <v>-6.5</v>
      </c>
      <c r="DF82" s="256">
        <v>0.7</v>
      </c>
      <c r="DG82" s="256">
        <v>-2.2000000000000002</v>
      </c>
      <c r="DH82" s="257">
        <v>1</v>
      </c>
      <c r="DI82" s="257">
        <v>0</v>
      </c>
      <c r="DJ82" s="257">
        <v>5.0999999999999996</v>
      </c>
      <c r="DK82" s="257">
        <v>5.0999999999999996</v>
      </c>
      <c r="DL82" s="237" t="s">
        <v>682</v>
      </c>
      <c r="DP82" s="258" t="s">
        <v>682</v>
      </c>
      <c r="DQ82" s="258"/>
      <c r="DR82" s="258"/>
      <c r="DS82" s="258"/>
      <c r="DT82" s="258"/>
      <c r="DU82" s="237">
        <v>0</v>
      </c>
      <c r="DX82" s="247"/>
      <c r="DY82" s="247">
        <v>0</v>
      </c>
      <c r="EA82" s="237">
        <v>0</v>
      </c>
      <c r="ED82" s="237" t="s">
        <v>678</v>
      </c>
      <c r="EE82" s="208">
        <v>3</v>
      </c>
      <c r="EF82" s="237" t="s">
        <v>678</v>
      </c>
      <c r="EG82" s="216" t="s">
        <v>691</v>
      </c>
      <c r="EH82" s="246" t="s">
        <v>690</v>
      </c>
      <c r="EI82" s="216"/>
      <c r="EJ82" s="216" t="s">
        <v>806</v>
      </c>
      <c r="EK82" s="222" t="s">
        <v>682</v>
      </c>
      <c r="EL82" s="259">
        <v>1976</v>
      </c>
      <c r="EM82" s="260">
        <v>278325</v>
      </c>
      <c r="EN82" s="260">
        <v>1766972</v>
      </c>
      <c r="EO82" s="260">
        <v>791791</v>
      </c>
      <c r="ER82" s="237" t="s">
        <v>705</v>
      </c>
      <c r="ES82" s="237">
        <v>11666.75</v>
      </c>
      <c r="ET82" s="237">
        <v>2.8448432587802031</v>
      </c>
      <c r="EU82" s="661">
        <v>3</v>
      </c>
      <c r="EV82" s="661">
        <v>5</v>
      </c>
      <c r="EW82" s="661" t="s">
        <v>678</v>
      </c>
      <c r="EX82" s="661">
        <v>6</v>
      </c>
      <c r="EY82" s="660">
        <v>0.54886956521739128</v>
      </c>
      <c r="EZ82" s="256">
        <v>184.83444233206592</v>
      </c>
      <c r="FA82" s="247">
        <v>13.402061855670103</v>
      </c>
      <c r="FB82" s="208" t="s">
        <v>678</v>
      </c>
      <c r="FC82" s="208" t="s">
        <v>678</v>
      </c>
      <c r="FD82" s="208">
        <v>7</v>
      </c>
      <c r="FE82" s="239">
        <v>6.1855670103092786E-2</v>
      </c>
      <c r="FF82" s="208"/>
      <c r="FG82" s="241">
        <v>5.257731958762886E-2</v>
      </c>
      <c r="FH82" s="209">
        <v>0</v>
      </c>
      <c r="FI82" s="237" t="s">
        <v>678</v>
      </c>
      <c r="FJ82" s="208" t="s">
        <v>678</v>
      </c>
      <c r="FK82" s="208" t="s">
        <v>678</v>
      </c>
      <c r="FL82" s="217" t="s">
        <v>678</v>
      </c>
      <c r="FM82" s="208" t="s">
        <v>678</v>
      </c>
      <c r="FN82" s="208" t="s">
        <v>678</v>
      </c>
      <c r="FP82" s="247" t="s">
        <v>693</v>
      </c>
      <c r="FU82" s="208" t="s">
        <v>678</v>
      </c>
      <c r="FV82" s="208" t="s">
        <v>678</v>
      </c>
      <c r="FW82" s="208" t="s">
        <v>678</v>
      </c>
      <c r="FX82" s="208" t="s">
        <v>678</v>
      </c>
      <c r="FY82" s="208" t="s">
        <v>678</v>
      </c>
      <c r="FZ82" s="208" t="s">
        <v>678</v>
      </c>
      <c r="GA82" s="208" t="s">
        <v>678</v>
      </c>
      <c r="GB82" s="208" t="s">
        <v>678</v>
      </c>
      <c r="GC82" s="208" t="s">
        <v>678</v>
      </c>
      <c r="GD82" s="208" t="s">
        <v>678</v>
      </c>
      <c r="GE82" s="237" t="s">
        <v>678</v>
      </c>
      <c r="GF82" s="237" t="s">
        <v>678</v>
      </c>
      <c r="GG82" s="237" t="s">
        <v>678</v>
      </c>
      <c r="GH82" s="237" t="s">
        <v>678</v>
      </c>
      <c r="GJ82" s="947">
        <v>1182</v>
      </c>
      <c r="GK82" s="320">
        <v>0</v>
      </c>
      <c r="GL82" s="320">
        <v>0.128</v>
      </c>
      <c r="GM82" s="320">
        <v>4.5999999999999999E-2</v>
      </c>
      <c r="GN82" s="320">
        <v>0.82599999999999996</v>
      </c>
      <c r="GO82" s="662">
        <v>8077</v>
      </c>
      <c r="GP82" s="663" t="str">
        <f>VLOOKUP(GS82,'BD Comarcal'!$A$6:$AV$17,48,FALSE)</f>
        <v>11</v>
      </c>
      <c r="GQ82" s="564">
        <v>369</v>
      </c>
      <c r="GR82" s="256">
        <f t="shared" si="1"/>
        <v>0</v>
      </c>
      <c r="GS82" s="237" t="s">
        <v>90</v>
      </c>
    </row>
    <row r="83" spans="1:201" s="237" customFormat="1" ht="17.25" customHeight="1">
      <c r="A83" s="236" t="s">
        <v>1062</v>
      </c>
      <c r="C83" s="238"/>
      <c r="D83" s="238">
        <v>3526</v>
      </c>
      <c r="E83" s="238">
        <v>2356</v>
      </c>
      <c r="F83" s="239">
        <v>0.66817923993193418</v>
      </c>
      <c r="G83" s="238">
        <v>2260</v>
      </c>
      <c r="H83" s="240">
        <v>2187.112939663612</v>
      </c>
      <c r="I83" s="239">
        <v>0.92831618831222917</v>
      </c>
      <c r="J83" s="238">
        <v>934</v>
      </c>
      <c r="K83" s="238">
        <v>785</v>
      </c>
      <c r="L83" s="238">
        <v>1</v>
      </c>
      <c r="M83" s="241">
        <v>2.836074872376631E-4</v>
      </c>
      <c r="N83" s="238">
        <v>126</v>
      </c>
      <c r="O83" s="239">
        <v>0.13490364025695931</v>
      </c>
      <c r="P83" s="237">
        <v>37</v>
      </c>
      <c r="Q83" s="237">
        <v>2</v>
      </c>
      <c r="R83" s="239">
        <v>5.4054054054054057E-2</v>
      </c>
      <c r="S83" s="238">
        <v>5361</v>
      </c>
      <c r="T83" s="436">
        <v>0</v>
      </c>
      <c r="U83" s="436">
        <v>70</v>
      </c>
      <c r="V83" s="436">
        <v>19</v>
      </c>
      <c r="W83" s="436">
        <v>89</v>
      </c>
      <c r="X83" s="238">
        <v>247</v>
      </c>
      <c r="Y83" s="237">
        <v>0.26250000000000001</v>
      </c>
      <c r="Z83" s="238">
        <v>4518</v>
      </c>
      <c r="AA83" s="238">
        <v>17928</v>
      </c>
      <c r="AB83" s="238">
        <v>109.54</v>
      </c>
      <c r="AC83" s="238">
        <v>0</v>
      </c>
      <c r="AD83" s="238">
        <v>171375.63</v>
      </c>
      <c r="AE83" s="238">
        <v>137406.15000000002</v>
      </c>
      <c r="AF83" s="238">
        <v>210691.44999999995</v>
      </c>
      <c r="AG83" s="238">
        <v>41642.949999999997</v>
      </c>
      <c r="AH83" s="239">
        <v>0.19764897911139728</v>
      </c>
      <c r="AI83" s="247">
        <v>5.1069810000000002</v>
      </c>
      <c r="AJ83" s="242">
        <v>0.32513300000000001</v>
      </c>
      <c r="AK83" s="242">
        <v>9.2210153148043119E-3</v>
      </c>
      <c r="AL83" s="242" t="s">
        <v>678</v>
      </c>
      <c r="AM83" s="242" t="s">
        <v>678</v>
      </c>
      <c r="AN83" s="242">
        <v>16666.919999999998</v>
      </c>
      <c r="AO83" s="238">
        <v>0</v>
      </c>
      <c r="AP83" s="243">
        <v>0</v>
      </c>
      <c r="AQ83" s="238"/>
      <c r="AR83" s="238">
        <v>1647.867669722933</v>
      </c>
      <c r="AS83" s="238">
        <v>841.65149996470689</v>
      </c>
      <c r="AT83" s="238">
        <v>8072</v>
      </c>
      <c r="AU83" s="238">
        <v>136.79176323638367</v>
      </c>
      <c r="AV83" s="237">
        <v>1</v>
      </c>
      <c r="AW83" s="237">
        <v>1</v>
      </c>
      <c r="AX83" s="237">
        <v>1</v>
      </c>
      <c r="AY83" s="244" t="s">
        <v>673</v>
      </c>
      <c r="AZ83" s="244" t="s">
        <v>695</v>
      </c>
      <c r="BA83" s="237">
        <v>2012</v>
      </c>
      <c r="BB83" s="245" t="s">
        <v>775</v>
      </c>
      <c r="BC83" s="215" t="s">
        <v>776</v>
      </c>
      <c r="BE83" s="237">
        <v>3</v>
      </c>
      <c r="BF83" s="237">
        <v>17</v>
      </c>
      <c r="BG83" s="246" t="s">
        <v>720</v>
      </c>
      <c r="BI83" s="239">
        <v>0.8046875</v>
      </c>
      <c r="BJ83" s="239">
        <v>0.1328125</v>
      </c>
      <c r="BK83" s="239">
        <v>6.25E-2</v>
      </c>
      <c r="BL83" s="239">
        <v>0</v>
      </c>
      <c r="BM83" s="247">
        <v>2.7421875</v>
      </c>
      <c r="BN83" s="248">
        <v>0</v>
      </c>
      <c r="BO83" s="248">
        <v>0</v>
      </c>
      <c r="BP83" s="237">
        <v>0</v>
      </c>
      <c r="BQ83" s="237">
        <v>0</v>
      </c>
      <c r="BR83" s="248">
        <v>0</v>
      </c>
      <c r="BS83" s="237">
        <v>10.7</v>
      </c>
      <c r="BT83" s="237" t="s">
        <v>777</v>
      </c>
      <c r="BU83" s="249" t="s">
        <v>678</v>
      </c>
      <c r="BV83" s="249" t="s">
        <v>678</v>
      </c>
      <c r="BW83" s="249" t="s">
        <v>678</v>
      </c>
      <c r="BX83" s="249" t="s">
        <v>678</v>
      </c>
      <c r="BY83" s="249" t="s">
        <v>678</v>
      </c>
      <c r="BZ83" s="249" t="s">
        <v>678</v>
      </c>
      <c r="CA83" s="249" t="s">
        <v>678</v>
      </c>
      <c r="CB83" s="249" t="s">
        <v>678</v>
      </c>
      <c r="CC83" s="250" t="s">
        <v>678</v>
      </c>
      <c r="CD83" s="242" t="s">
        <v>678</v>
      </c>
      <c r="CE83" s="252" t="s">
        <v>678</v>
      </c>
      <c r="CF83" s="238">
        <v>116</v>
      </c>
      <c r="CG83" s="238">
        <v>15.5</v>
      </c>
      <c r="CH83" s="238">
        <v>5.8490566037735849</v>
      </c>
      <c r="CI83" s="216" t="s">
        <v>756</v>
      </c>
      <c r="CJ83" s="237">
        <v>1</v>
      </c>
      <c r="CK83" s="253">
        <v>5.1100000000000003</v>
      </c>
      <c r="CL83" s="253">
        <v>0</v>
      </c>
      <c r="CM83" s="254">
        <v>0</v>
      </c>
      <c r="CN83" s="237" t="s">
        <v>84</v>
      </c>
      <c r="CO83" s="242"/>
      <c r="CP83" s="255">
        <v>0</v>
      </c>
      <c r="CW83" s="261" t="s">
        <v>678</v>
      </c>
      <c r="CX83" s="261" t="s">
        <v>678</v>
      </c>
      <c r="CY83" s="261" t="s">
        <v>678</v>
      </c>
      <c r="DB83" s="216" t="s">
        <v>681</v>
      </c>
      <c r="DC83" s="256"/>
      <c r="DD83" s="256">
        <v>0.8</v>
      </c>
      <c r="DE83" s="256">
        <v>-9</v>
      </c>
      <c r="DF83" s="256">
        <v>-0.3</v>
      </c>
      <c r="DG83" s="256">
        <v>-2.6</v>
      </c>
      <c r="DL83" s="237" t="s">
        <v>529</v>
      </c>
      <c r="DN83" s="237" t="s">
        <v>770</v>
      </c>
      <c r="DP83" s="258" t="s">
        <v>682</v>
      </c>
      <c r="DQ83" s="258"/>
      <c r="DR83" s="258"/>
      <c r="DS83" s="258"/>
      <c r="DT83" s="258"/>
      <c r="DU83" s="237">
        <v>0</v>
      </c>
      <c r="DX83" s="247"/>
      <c r="DY83" s="247">
        <v>0</v>
      </c>
      <c r="EA83" s="237">
        <v>0</v>
      </c>
      <c r="ED83" s="237" t="s">
        <v>943</v>
      </c>
      <c r="EE83" s="208">
        <v>1</v>
      </c>
      <c r="EF83" s="237" t="s">
        <v>702</v>
      </c>
      <c r="EG83" s="216" t="s">
        <v>703</v>
      </c>
      <c r="EH83" s="246" t="s">
        <v>704</v>
      </c>
      <c r="EI83" s="216"/>
      <c r="EJ83" s="216" t="s">
        <v>529</v>
      </c>
      <c r="EK83" s="222" t="s">
        <v>682</v>
      </c>
      <c r="EL83" s="259">
        <v>2010</v>
      </c>
      <c r="EM83" s="260">
        <v>3700</v>
      </c>
      <c r="EN83" s="260">
        <v>5213</v>
      </c>
      <c r="EO83" s="260">
        <v>2486</v>
      </c>
      <c r="ER83" s="237" t="s">
        <v>705</v>
      </c>
      <c r="ES83" s="237" t="e">
        <v>#DIV/0!</v>
      </c>
      <c r="ET83" s="237">
        <v>0.67189189189189191</v>
      </c>
      <c r="EU83" s="661">
        <v>5</v>
      </c>
      <c r="EV83" s="661" t="s">
        <v>678</v>
      </c>
      <c r="EW83" s="661">
        <v>0</v>
      </c>
      <c r="EX83" s="661">
        <v>1</v>
      </c>
      <c r="EY83" s="660">
        <v>1.4492342597844585E-3</v>
      </c>
      <c r="EZ83" s="256">
        <v>51.859099804305281</v>
      </c>
      <c r="FA83" s="247">
        <v>0</v>
      </c>
      <c r="FB83" s="208">
        <v>2</v>
      </c>
      <c r="FC83" s="208">
        <v>2</v>
      </c>
      <c r="FD83" s="208">
        <v>3</v>
      </c>
      <c r="FE83" s="239">
        <v>0.95925297113752117</v>
      </c>
      <c r="FF83" s="208">
        <v>1</v>
      </c>
      <c r="FG83" s="241">
        <v>0</v>
      </c>
      <c r="FH83" s="209">
        <v>0</v>
      </c>
      <c r="FI83" s="237" t="s">
        <v>678</v>
      </c>
      <c r="FJ83" s="208">
        <v>68.099999999999994</v>
      </c>
      <c r="FK83" s="208">
        <v>2.84</v>
      </c>
      <c r="FL83" s="217">
        <v>34.200000000000003</v>
      </c>
      <c r="FM83" s="208">
        <v>9.74</v>
      </c>
      <c r="FN83" s="208">
        <v>74</v>
      </c>
      <c r="FP83" s="247" t="s">
        <v>693</v>
      </c>
      <c r="FU83" s="208">
        <v>47</v>
      </c>
      <c r="FV83" s="208">
        <v>69.099999999999994</v>
      </c>
      <c r="FW83" s="237">
        <v>93.58</v>
      </c>
      <c r="FX83" s="237">
        <v>90.3</v>
      </c>
      <c r="FY83" s="208">
        <v>53.41</v>
      </c>
      <c r="FZ83" s="208">
        <v>64.8</v>
      </c>
      <c r="GA83" s="208">
        <v>58.49</v>
      </c>
      <c r="GB83" s="208">
        <v>65.099999999999994</v>
      </c>
      <c r="GC83" s="208">
        <v>0.28999999999999998</v>
      </c>
      <c r="GD83" s="208">
        <v>47.1</v>
      </c>
      <c r="GE83" s="237">
        <v>55.45</v>
      </c>
      <c r="GF83" s="237">
        <v>72.3</v>
      </c>
      <c r="GG83" s="237">
        <v>7.8</v>
      </c>
      <c r="GH83" s="237">
        <v>59.9</v>
      </c>
      <c r="GJ83" s="947"/>
      <c r="GK83" s="320">
        <v>4.0000000000000001E-3</v>
      </c>
      <c r="GL83" s="320">
        <v>0.51300000000000001</v>
      </c>
      <c r="GM83" s="320">
        <v>6.3E-2</v>
      </c>
      <c r="GN83" s="320">
        <v>0.42</v>
      </c>
      <c r="GO83" s="662">
        <v>8078</v>
      </c>
      <c r="GP83" s="663" t="str">
        <f>VLOOKUP(GS83,'BD Comarcal'!$A$6:$AV$17,48,FALSE)</f>
        <v>14</v>
      </c>
      <c r="GQ83" s="564">
        <v>1</v>
      </c>
      <c r="GR83" s="256">
        <f t="shared" si="1"/>
        <v>0</v>
      </c>
      <c r="GS83" s="237" t="s">
        <v>84</v>
      </c>
    </row>
    <row r="84" spans="1:201" s="237" customFormat="1" ht="17.25" customHeight="1">
      <c r="A84" s="236" t="s">
        <v>1063</v>
      </c>
      <c r="C84" s="238"/>
      <c r="D84" s="238">
        <v>1025</v>
      </c>
      <c r="E84" s="238">
        <v>720</v>
      </c>
      <c r="F84" s="239">
        <v>0.70243902439024386</v>
      </c>
      <c r="G84" s="238">
        <v>604</v>
      </c>
      <c r="H84" s="240">
        <v>274.85897785703014</v>
      </c>
      <c r="I84" s="239">
        <v>0.38174858035698633</v>
      </c>
      <c r="J84" s="238">
        <v>103</v>
      </c>
      <c r="K84" s="238">
        <v>59</v>
      </c>
      <c r="L84" s="238">
        <v>0</v>
      </c>
      <c r="M84" s="241">
        <v>0</v>
      </c>
      <c r="N84" s="238">
        <v>0</v>
      </c>
      <c r="O84" s="239">
        <v>0</v>
      </c>
      <c r="P84" s="237">
        <v>8</v>
      </c>
      <c r="Q84" s="237">
        <v>0</v>
      </c>
      <c r="R84" s="239">
        <v>0</v>
      </c>
      <c r="S84" s="238">
        <v>2034</v>
      </c>
      <c r="T84" s="436">
        <v>0</v>
      </c>
      <c r="U84" s="436">
        <v>23</v>
      </c>
      <c r="V84" s="436">
        <v>0</v>
      </c>
      <c r="W84" s="436">
        <v>23</v>
      </c>
      <c r="X84" s="238">
        <v>404</v>
      </c>
      <c r="Y84" s="237">
        <v>0.26040000000000002</v>
      </c>
      <c r="Z84" s="238">
        <v>6104</v>
      </c>
      <c r="AA84" s="238">
        <v>15336</v>
      </c>
      <c r="AB84" s="238">
        <v>93.7</v>
      </c>
      <c r="AC84" s="238">
        <v>86</v>
      </c>
      <c r="AD84" s="238">
        <v>861902.52</v>
      </c>
      <c r="AE84" s="238">
        <v>338290.59999999986</v>
      </c>
      <c r="AF84" s="238">
        <v>571535.32000000007</v>
      </c>
      <c r="AG84" s="238">
        <v>84199.73</v>
      </c>
      <c r="AH84" s="239">
        <v>0.14732200627600756</v>
      </c>
      <c r="AI84" s="247">
        <v>31.822516</v>
      </c>
      <c r="AJ84" s="242">
        <v>3.1093250000000001</v>
      </c>
      <c r="AK84" s="242">
        <v>0.30334878048780489</v>
      </c>
      <c r="AL84" s="242" t="s">
        <v>678</v>
      </c>
      <c r="AM84" s="242" t="s">
        <v>678</v>
      </c>
      <c r="AN84" s="242">
        <v>5806.62</v>
      </c>
      <c r="AO84" s="238">
        <v>2620.6999999999998</v>
      </c>
      <c r="AP84" s="243">
        <v>12</v>
      </c>
      <c r="AQ84" s="238">
        <v>1</v>
      </c>
      <c r="AR84" s="238">
        <v>1560.3494077066271</v>
      </c>
      <c r="AS84" s="238">
        <v>1740.4512694238947</v>
      </c>
      <c r="AT84" s="238">
        <v>34101.666666666664</v>
      </c>
      <c r="AU84" s="238">
        <v>274.63592486495736</v>
      </c>
      <c r="AV84" s="237">
        <v>1</v>
      </c>
      <c r="AW84" s="237">
        <v>1</v>
      </c>
      <c r="AX84" s="237">
        <v>1</v>
      </c>
      <c r="AY84" s="244" t="s">
        <v>673</v>
      </c>
      <c r="AZ84" s="244" t="s">
        <v>695</v>
      </c>
      <c r="BA84" s="237">
        <v>2010</v>
      </c>
      <c r="BB84" s="245" t="s">
        <v>782</v>
      </c>
      <c r="BC84" s="215" t="s">
        <v>783</v>
      </c>
      <c r="BE84" s="237">
        <v>9</v>
      </c>
      <c r="BF84" s="237">
        <v>4</v>
      </c>
      <c r="BG84" s="246" t="s">
        <v>720</v>
      </c>
      <c r="BI84" s="239">
        <v>0.52</v>
      </c>
      <c r="BJ84" s="239">
        <v>0.17714285714285713</v>
      </c>
      <c r="BK84" s="239">
        <v>0.26</v>
      </c>
      <c r="BL84" s="239">
        <v>4.2857142857142858E-2</v>
      </c>
      <c r="BM84" s="247">
        <v>2.1742857142857144</v>
      </c>
      <c r="BN84" s="248">
        <v>0</v>
      </c>
      <c r="BO84" s="248">
        <v>0</v>
      </c>
      <c r="BP84" s="237">
        <v>0</v>
      </c>
      <c r="BQ84" s="237">
        <v>0</v>
      </c>
      <c r="BR84" s="248">
        <v>0</v>
      </c>
      <c r="BS84" s="262">
        <v>42</v>
      </c>
      <c r="BT84" s="237" t="s">
        <v>699</v>
      </c>
      <c r="BU84" s="249" t="s">
        <v>678</v>
      </c>
      <c r="BV84" s="249" t="s">
        <v>678</v>
      </c>
      <c r="BW84" s="249" t="s">
        <v>678</v>
      </c>
      <c r="BX84" s="249" t="s">
        <v>678</v>
      </c>
      <c r="BY84" s="249" t="s">
        <v>678</v>
      </c>
      <c r="BZ84" s="249" t="s">
        <v>678</v>
      </c>
      <c r="CA84" s="249" t="s">
        <v>678</v>
      </c>
      <c r="CB84" s="249" t="s">
        <v>678</v>
      </c>
      <c r="CC84" s="250" t="s">
        <v>678</v>
      </c>
      <c r="CD84" s="242" t="s">
        <v>678</v>
      </c>
      <c r="CE84" s="252" t="s">
        <v>678</v>
      </c>
      <c r="CF84" s="238">
        <v>319</v>
      </c>
      <c r="CG84" s="238">
        <v>22.4</v>
      </c>
      <c r="CH84" s="238">
        <v>5.4501216545012161</v>
      </c>
      <c r="CI84" s="216" t="s">
        <v>722</v>
      </c>
      <c r="CJ84" s="237">
        <v>1</v>
      </c>
      <c r="CK84" s="253">
        <v>35.36</v>
      </c>
      <c r="CL84" s="253">
        <v>8.2716999999999992</v>
      </c>
      <c r="CM84" s="254">
        <v>8.0699512195121937E-3</v>
      </c>
      <c r="CN84" s="237" t="s">
        <v>82</v>
      </c>
      <c r="CO84" s="242">
        <v>155.72999999999999</v>
      </c>
      <c r="CP84" s="255">
        <v>0.15193170731707317</v>
      </c>
      <c r="CV84" s="237">
        <v>1</v>
      </c>
      <c r="CW84" s="261" t="s">
        <v>678</v>
      </c>
      <c r="CX84" s="261" t="s">
        <v>678</v>
      </c>
      <c r="CY84" s="261" t="s">
        <v>678</v>
      </c>
      <c r="DB84" s="216" t="s">
        <v>710</v>
      </c>
      <c r="DC84" s="195" t="s">
        <v>711</v>
      </c>
      <c r="DD84" s="256">
        <v>0.8</v>
      </c>
      <c r="DE84" s="256">
        <v>-9</v>
      </c>
      <c r="DF84" s="256">
        <v>-0.3</v>
      </c>
      <c r="DG84" s="256">
        <v>-2.6</v>
      </c>
      <c r="DH84" s="257">
        <v>1</v>
      </c>
      <c r="DI84" s="257">
        <v>0.23</v>
      </c>
      <c r="DJ84" s="257">
        <v>0.88</v>
      </c>
      <c r="DK84" s="257">
        <v>1.1100000000000001</v>
      </c>
      <c r="DL84" s="237" t="s">
        <v>529</v>
      </c>
      <c r="DN84" s="237" t="s">
        <v>770</v>
      </c>
      <c r="DP84" s="258" t="s">
        <v>682</v>
      </c>
      <c r="DQ84" s="258"/>
      <c r="DR84" s="258"/>
      <c r="DS84" s="258"/>
      <c r="DT84" s="258"/>
      <c r="DU84" s="237">
        <v>1</v>
      </c>
      <c r="DV84" s="237" t="s">
        <v>1064</v>
      </c>
      <c r="DW84" s="237" t="s">
        <v>1065</v>
      </c>
      <c r="DX84" s="247">
        <v>7.5</v>
      </c>
      <c r="DY84" s="247">
        <v>0.73170731707317072</v>
      </c>
      <c r="EA84" s="237">
        <v>0</v>
      </c>
      <c r="ED84" s="237" t="s">
        <v>678</v>
      </c>
      <c r="EE84" s="208">
        <v>2</v>
      </c>
      <c r="EF84" s="237" t="s">
        <v>678</v>
      </c>
      <c r="EG84" s="216" t="s">
        <v>703</v>
      </c>
      <c r="EH84" s="246" t="s">
        <v>704</v>
      </c>
      <c r="EI84" s="216"/>
      <c r="EJ84" s="216" t="s">
        <v>529</v>
      </c>
      <c r="EK84" s="222" t="s">
        <v>682</v>
      </c>
      <c r="EL84" s="259">
        <v>1991</v>
      </c>
      <c r="EM84" s="260">
        <v>575</v>
      </c>
      <c r="EN84" s="260">
        <v>22522</v>
      </c>
      <c r="EO84" s="260">
        <v>21896</v>
      </c>
      <c r="ER84" s="237" t="s">
        <v>705</v>
      </c>
      <c r="ES84" s="237" t="e">
        <v>#DIV/0!</v>
      </c>
      <c r="ET84" s="237">
        <v>38.08</v>
      </c>
      <c r="EU84" s="661">
        <v>8</v>
      </c>
      <c r="EV84" s="661" t="s">
        <v>678</v>
      </c>
      <c r="EW84" s="661">
        <v>0</v>
      </c>
      <c r="EX84" s="661">
        <v>2</v>
      </c>
      <c r="EY84" s="660">
        <v>3.4497560975609756E-2</v>
      </c>
      <c r="EZ84" s="256">
        <v>11.623303167420815</v>
      </c>
      <c r="FA84" s="247">
        <v>0.1388888888888889</v>
      </c>
      <c r="FB84" s="208">
        <v>1</v>
      </c>
      <c r="FC84" s="208">
        <v>2</v>
      </c>
      <c r="FD84" s="208">
        <v>3</v>
      </c>
      <c r="FE84" s="239">
        <v>0.83888888888888891</v>
      </c>
      <c r="FF84" s="208">
        <v>1</v>
      </c>
      <c r="FG84" s="241">
        <v>1.5416666666666669E-3</v>
      </c>
      <c r="FH84" s="209">
        <v>0</v>
      </c>
      <c r="FI84" s="237" t="s">
        <v>678</v>
      </c>
      <c r="FJ84" s="208">
        <v>37.299999999999997</v>
      </c>
      <c r="FK84" s="208">
        <v>0</v>
      </c>
      <c r="FL84" s="217">
        <v>3.6</v>
      </c>
      <c r="FM84" s="208">
        <v>15.08</v>
      </c>
      <c r="FN84" s="208" t="s">
        <v>1066</v>
      </c>
      <c r="FP84" s="247" t="s">
        <v>693</v>
      </c>
      <c r="FU84" s="208">
        <v>21</v>
      </c>
      <c r="FV84" s="208">
        <v>6.3</v>
      </c>
      <c r="FW84" s="237">
        <v>83.98</v>
      </c>
      <c r="FX84" s="237">
        <v>73.3</v>
      </c>
      <c r="FY84" s="208">
        <v>70.099999999999994</v>
      </c>
      <c r="FZ84" s="208">
        <v>74.3</v>
      </c>
      <c r="GA84" s="208">
        <v>69.36</v>
      </c>
      <c r="GB84" s="208">
        <v>78.8</v>
      </c>
      <c r="GC84" s="208" t="s">
        <v>678</v>
      </c>
      <c r="GD84" s="208" t="s">
        <v>678</v>
      </c>
      <c r="GE84" s="237">
        <v>70.13</v>
      </c>
      <c r="GF84" s="237">
        <v>86.2</v>
      </c>
      <c r="GG84" s="237">
        <v>0.93</v>
      </c>
      <c r="GH84" s="237">
        <v>14.9</v>
      </c>
      <c r="GJ84" s="947"/>
      <c r="GK84" s="320">
        <v>1E-3</v>
      </c>
      <c r="GL84" s="320">
        <v>0.30299999999999999</v>
      </c>
      <c r="GM84" s="320">
        <v>4.5999999999999999E-2</v>
      </c>
      <c r="GN84" s="320">
        <v>0.65</v>
      </c>
      <c r="GO84" s="662">
        <v>8079</v>
      </c>
      <c r="GP84" s="663" t="str">
        <f>VLOOKUP(GS84,'BD Comarcal'!$A$6:$AV$17,48,FALSE)</f>
        <v>42</v>
      </c>
      <c r="GQ84" s="564">
        <v>8</v>
      </c>
      <c r="GR84" s="256">
        <f t="shared" si="1"/>
        <v>1</v>
      </c>
      <c r="GS84" s="237" t="s">
        <v>87</v>
      </c>
    </row>
    <row r="85" spans="1:201" s="237" customFormat="1" ht="17.25" customHeight="1">
      <c r="A85" s="236" t="s">
        <v>1067</v>
      </c>
      <c r="C85" s="238"/>
      <c r="D85" s="238">
        <v>2949</v>
      </c>
      <c r="E85" s="238">
        <v>2618</v>
      </c>
      <c r="F85" s="239">
        <v>0.88775856222448291</v>
      </c>
      <c r="G85" s="238">
        <v>2042</v>
      </c>
      <c r="H85" s="240">
        <v>2626.2514062361688</v>
      </c>
      <c r="I85" s="239">
        <v>1</v>
      </c>
      <c r="J85" s="238">
        <v>460</v>
      </c>
      <c r="K85" s="238">
        <v>220</v>
      </c>
      <c r="L85" s="238" t="s">
        <v>678</v>
      </c>
      <c r="M85" s="241" t="s">
        <v>678</v>
      </c>
      <c r="N85" s="238" t="s">
        <v>678</v>
      </c>
      <c r="O85" s="239" t="s">
        <v>678</v>
      </c>
      <c r="P85" s="237" t="s">
        <v>678</v>
      </c>
      <c r="Q85" s="237" t="s">
        <v>678</v>
      </c>
      <c r="R85" s="239" t="s">
        <v>678</v>
      </c>
      <c r="S85" s="238" t="s">
        <v>678</v>
      </c>
      <c r="T85" s="436">
        <v>0</v>
      </c>
      <c r="U85" s="436">
        <v>0</v>
      </c>
      <c r="V85" s="436">
        <v>0</v>
      </c>
      <c r="W85" s="436">
        <v>0</v>
      </c>
      <c r="X85" s="238">
        <v>40</v>
      </c>
      <c r="Y85" s="237">
        <v>0.3488</v>
      </c>
      <c r="Z85" s="238">
        <v>771</v>
      </c>
      <c r="AA85" s="238">
        <v>17928</v>
      </c>
      <c r="AB85" s="238">
        <v>109.54</v>
      </c>
      <c r="AC85" s="238">
        <v>0</v>
      </c>
      <c r="AD85" s="238">
        <v>146526.08000000002</v>
      </c>
      <c r="AE85" s="238">
        <v>22907.509999999995</v>
      </c>
      <c r="AF85" s="238">
        <v>97918.21</v>
      </c>
      <c r="AG85" s="238">
        <v>29470.94</v>
      </c>
      <c r="AH85" s="239">
        <v>0.30097506888657377</v>
      </c>
      <c r="AI85" s="242">
        <v>1.984564</v>
      </c>
      <c r="AJ85" s="242">
        <v>2.8721930000000002</v>
      </c>
      <c r="AK85" s="242">
        <v>9.7395489996609033E-2</v>
      </c>
      <c r="AL85" s="242" t="s">
        <v>678</v>
      </c>
      <c r="AM85" s="242" t="s">
        <v>678</v>
      </c>
      <c r="AN85" s="242">
        <v>11668.04</v>
      </c>
      <c r="AO85" s="238">
        <v>1589.8</v>
      </c>
      <c r="AP85" s="243">
        <v>7</v>
      </c>
      <c r="AQ85" s="238"/>
      <c r="AR85" s="238">
        <v>540.28294573643416</v>
      </c>
      <c r="AS85" s="238">
        <v>923.20436513167203</v>
      </c>
      <c r="AT85" s="238">
        <v>1059</v>
      </c>
      <c r="AU85" s="238">
        <v>56.921675774134791</v>
      </c>
      <c r="AV85" s="237">
        <v>1</v>
      </c>
      <c r="AW85" s="237">
        <v>0</v>
      </c>
      <c r="AX85" s="237">
        <v>1</v>
      </c>
      <c r="AY85" s="244" t="s">
        <v>726</v>
      </c>
      <c r="AZ85" s="244" t="s">
        <v>726</v>
      </c>
      <c r="BA85" s="237">
        <v>0</v>
      </c>
      <c r="BB85" s="245" t="s">
        <v>808</v>
      </c>
      <c r="BC85" s="215" t="s">
        <v>809</v>
      </c>
      <c r="BE85" s="237">
        <v>3</v>
      </c>
      <c r="BF85" s="237">
        <v>17</v>
      </c>
      <c r="BG85" s="246" t="s">
        <v>720</v>
      </c>
      <c r="BI85" s="239">
        <v>0.97142857142857142</v>
      </c>
      <c r="BJ85" s="239">
        <v>2.8571428571428571E-2</v>
      </c>
      <c r="BK85" s="239">
        <v>0</v>
      </c>
      <c r="BL85" s="239">
        <v>0</v>
      </c>
      <c r="BM85" s="247">
        <v>2.9714285714285711</v>
      </c>
      <c r="BN85" s="248">
        <v>0</v>
      </c>
      <c r="BO85" s="248">
        <v>0</v>
      </c>
      <c r="BP85" s="237">
        <v>0</v>
      </c>
      <c r="BQ85" s="237">
        <v>0</v>
      </c>
      <c r="BR85" s="248">
        <v>0</v>
      </c>
      <c r="BS85" s="237">
        <v>18.3</v>
      </c>
      <c r="BT85" s="237" t="s">
        <v>777</v>
      </c>
      <c r="BU85" s="249" t="s">
        <v>678</v>
      </c>
      <c r="BV85" s="249" t="s">
        <v>678</v>
      </c>
      <c r="BW85" s="249" t="s">
        <v>678</v>
      </c>
      <c r="BX85" s="249" t="s">
        <v>678</v>
      </c>
      <c r="BY85" s="249" t="s">
        <v>678</v>
      </c>
      <c r="BZ85" s="249" t="s">
        <v>678</v>
      </c>
      <c r="CA85" s="249" t="s">
        <v>678</v>
      </c>
      <c r="CB85" s="249" t="s">
        <v>678</v>
      </c>
      <c r="CC85" s="250" t="s">
        <v>678</v>
      </c>
      <c r="CD85" s="242" t="s">
        <v>678</v>
      </c>
      <c r="CE85" s="252" t="s">
        <v>678</v>
      </c>
      <c r="CF85" s="238">
        <v>28</v>
      </c>
      <c r="CG85" s="238">
        <v>2.1</v>
      </c>
      <c r="CH85" s="238">
        <v>4.666666666666667</v>
      </c>
      <c r="CI85" s="216" t="s">
        <v>700</v>
      </c>
      <c r="CJ85" s="237">
        <v>0</v>
      </c>
      <c r="CK85" s="253">
        <v>2.06</v>
      </c>
      <c r="CL85" s="253">
        <v>0</v>
      </c>
      <c r="CM85" s="254">
        <v>0</v>
      </c>
      <c r="CN85" s="237" t="s">
        <v>84</v>
      </c>
      <c r="CO85" s="242">
        <v>1044.58</v>
      </c>
      <c r="CP85" s="255">
        <v>0.35421498813156999</v>
      </c>
      <c r="CV85" s="237">
        <v>1</v>
      </c>
      <c r="CW85" s="261" t="s">
        <v>678</v>
      </c>
      <c r="CX85" s="261" t="s">
        <v>678</v>
      </c>
      <c r="CY85" s="261" t="s">
        <v>678</v>
      </c>
      <c r="DB85" s="216" t="s">
        <v>681</v>
      </c>
      <c r="DC85" s="256"/>
      <c r="DD85" s="256">
        <v>0.8</v>
      </c>
      <c r="DE85" s="256">
        <v>-9</v>
      </c>
      <c r="DF85" s="256">
        <v>-0.3</v>
      </c>
      <c r="DG85" s="256">
        <v>-2.6</v>
      </c>
      <c r="DL85" s="237" t="s">
        <v>682</v>
      </c>
      <c r="DP85" s="258" t="s">
        <v>682</v>
      </c>
      <c r="DQ85" s="258"/>
      <c r="DR85" s="258"/>
      <c r="DS85" s="258"/>
      <c r="DT85" s="258"/>
      <c r="DU85" s="237">
        <v>0</v>
      </c>
      <c r="DX85" s="247"/>
      <c r="DY85" s="247">
        <v>0</v>
      </c>
      <c r="EA85" s="237">
        <v>0</v>
      </c>
      <c r="ED85" s="237" t="s">
        <v>723</v>
      </c>
      <c r="EE85" s="208">
        <v>2</v>
      </c>
      <c r="EF85" s="237" t="s">
        <v>702</v>
      </c>
      <c r="EG85" s="216" t="s">
        <v>733</v>
      </c>
      <c r="EH85" s="246" t="s">
        <v>734</v>
      </c>
      <c r="EI85" s="216"/>
      <c r="EJ85" s="216" t="s">
        <v>529</v>
      </c>
      <c r="EK85" s="222" t="s">
        <v>682</v>
      </c>
      <c r="EL85" s="259">
        <v>2009</v>
      </c>
      <c r="EM85" s="260">
        <v>386</v>
      </c>
      <c r="EN85" s="260">
        <v>2500</v>
      </c>
      <c r="EO85" s="260">
        <v>385</v>
      </c>
      <c r="ER85" s="237" t="s">
        <v>705</v>
      </c>
      <c r="ES85" s="237" t="e">
        <v>#DIV/0!</v>
      </c>
      <c r="ET85" s="237">
        <v>0.99740932642487046</v>
      </c>
      <c r="EU85" s="661">
        <v>8</v>
      </c>
      <c r="EV85" s="661" t="s">
        <v>678</v>
      </c>
      <c r="EW85" s="661" t="s">
        <v>678</v>
      </c>
      <c r="EX85" s="661" t="s">
        <v>678</v>
      </c>
      <c r="EY85" s="660">
        <v>6.9854187860291623E-4</v>
      </c>
      <c r="EZ85" s="256">
        <v>21.844660194174757</v>
      </c>
      <c r="FA85" s="247">
        <v>3.819709702062643E-2</v>
      </c>
      <c r="FB85" s="208">
        <v>1</v>
      </c>
      <c r="FC85" s="208">
        <v>2</v>
      </c>
      <c r="FD85" s="208">
        <v>3</v>
      </c>
      <c r="FE85" s="239">
        <v>0.77998472116119177</v>
      </c>
      <c r="FF85" s="208">
        <v>1</v>
      </c>
      <c r="FG85" s="241">
        <v>0</v>
      </c>
      <c r="FH85" s="209">
        <v>0</v>
      </c>
      <c r="FI85" s="237" t="s">
        <v>678</v>
      </c>
      <c r="FJ85" s="208">
        <v>60.8</v>
      </c>
      <c r="FK85" s="208">
        <v>29.5</v>
      </c>
      <c r="FL85" s="217">
        <v>71.400000000000006</v>
      </c>
      <c r="FM85" s="208">
        <v>20.94</v>
      </c>
      <c r="FN85" s="208">
        <v>99</v>
      </c>
      <c r="FP85" s="247" t="s">
        <v>693</v>
      </c>
      <c r="FU85" s="208">
        <v>35</v>
      </c>
      <c r="FV85" s="208">
        <v>38.700000000000003</v>
      </c>
      <c r="FW85" s="237">
        <v>85.09</v>
      </c>
      <c r="FX85" s="237">
        <v>74.5</v>
      </c>
      <c r="FY85" s="208">
        <v>91.46</v>
      </c>
      <c r="FZ85" s="208">
        <v>84.2</v>
      </c>
      <c r="GA85" s="208">
        <v>78.400000000000006</v>
      </c>
      <c r="GB85" s="208">
        <v>89.6</v>
      </c>
      <c r="GC85" s="208">
        <v>1.03</v>
      </c>
      <c r="GD85" s="208">
        <v>87.5</v>
      </c>
      <c r="GE85" s="237">
        <v>83.11</v>
      </c>
      <c r="GF85" s="237">
        <v>94.9</v>
      </c>
      <c r="GG85" s="237">
        <v>0</v>
      </c>
      <c r="GH85" s="237">
        <v>0.3</v>
      </c>
      <c r="GJ85" s="947"/>
      <c r="GK85" s="320"/>
      <c r="GL85" s="320"/>
      <c r="GM85" s="320"/>
      <c r="GN85" s="320"/>
      <c r="GO85" s="662">
        <v>8080</v>
      </c>
      <c r="GP85" s="663" t="str">
        <f>VLOOKUP(GS85,'BD Comarcal'!$A$6:$AV$17,48,FALSE)</f>
        <v>14</v>
      </c>
      <c r="GQ85" s="564">
        <v>0</v>
      </c>
      <c r="GR85" s="256">
        <f t="shared" si="1"/>
        <v>0</v>
      </c>
      <c r="GS85" s="237" t="s">
        <v>84</v>
      </c>
    </row>
    <row r="86" spans="1:201" s="237" customFormat="1" ht="17.25" customHeight="1">
      <c r="A86" s="236" t="s">
        <v>1068</v>
      </c>
      <c r="C86" s="238"/>
      <c r="D86" s="238">
        <v>4015</v>
      </c>
      <c r="E86" s="238">
        <v>3654</v>
      </c>
      <c r="F86" s="239">
        <v>0.91008717310087173</v>
      </c>
      <c r="G86" s="238">
        <v>3193</v>
      </c>
      <c r="H86" s="240">
        <v>1448.3896486292613</v>
      </c>
      <c r="I86" s="239">
        <v>0.39638468763800255</v>
      </c>
      <c r="J86" s="238">
        <v>154</v>
      </c>
      <c r="K86" s="238">
        <v>401</v>
      </c>
      <c r="L86" s="238">
        <v>22</v>
      </c>
      <c r="M86" s="241">
        <v>5.4794520547945206E-3</v>
      </c>
      <c r="N86" s="238">
        <v>10</v>
      </c>
      <c r="O86" s="239">
        <v>6.4935064935064929E-2</v>
      </c>
      <c r="P86" s="237">
        <v>7</v>
      </c>
      <c r="Q86" s="237">
        <v>0</v>
      </c>
      <c r="R86" s="239">
        <v>0</v>
      </c>
      <c r="S86" s="238">
        <v>269</v>
      </c>
      <c r="T86" s="436">
        <v>750</v>
      </c>
      <c r="U86" s="436">
        <v>31</v>
      </c>
      <c r="V86" s="436">
        <v>79</v>
      </c>
      <c r="W86" s="436">
        <v>860</v>
      </c>
      <c r="X86" s="238">
        <v>462</v>
      </c>
      <c r="Y86" s="237">
        <v>0.1618</v>
      </c>
      <c r="Z86" s="238">
        <v>7994</v>
      </c>
      <c r="AA86" s="238">
        <v>16760</v>
      </c>
      <c r="AB86" s="238">
        <v>102.4</v>
      </c>
      <c r="AC86" s="238">
        <v>0</v>
      </c>
      <c r="AD86" s="238">
        <v>539483.61</v>
      </c>
      <c r="AE86" s="238">
        <v>264152.22000000003</v>
      </c>
      <c r="AF86" s="238">
        <v>457150.84</v>
      </c>
      <c r="AG86" s="238">
        <v>1078.93</v>
      </c>
      <c r="AH86" s="239">
        <v>2.3601181614366059E-3</v>
      </c>
      <c r="AI86" s="242">
        <v>19.886095000000001</v>
      </c>
      <c r="AJ86" s="242">
        <v>6.0730829999999996</v>
      </c>
      <c r="AK86" s="242">
        <v>0.15125985056039848</v>
      </c>
      <c r="AL86" s="242">
        <v>4.1284409999999996</v>
      </c>
      <c r="AM86" s="242">
        <v>0.10282542963885428</v>
      </c>
      <c r="AN86" s="242">
        <v>22558.67</v>
      </c>
      <c r="AO86" s="238">
        <v>7741.27</v>
      </c>
      <c r="AP86" s="243">
        <v>19</v>
      </c>
      <c r="AQ86" s="238">
        <v>1</v>
      </c>
      <c r="AR86" s="238">
        <v>1728.524082315439</v>
      </c>
      <c r="AS86" s="238">
        <v>1002.4033819933494</v>
      </c>
      <c r="AT86" s="238">
        <v>28937.333333333332</v>
      </c>
      <c r="AU86" s="238">
        <v>242.34239347149895</v>
      </c>
      <c r="AV86" s="237">
        <v>1</v>
      </c>
      <c r="AW86" s="237">
        <v>0</v>
      </c>
      <c r="AX86" s="237">
        <v>1</v>
      </c>
      <c r="AY86" s="244" t="s">
        <v>717</v>
      </c>
      <c r="AZ86" s="244" t="s">
        <v>682</v>
      </c>
      <c r="BA86" s="237">
        <v>0</v>
      </c>
      <c r="BB86" s="245" t="s">
        <v>895</v>
      </c>
      <c r="BC86" s="215" t="s">
        <v>896</v>
      </c>
      <c r="BE86" s="237">
        <v>2</v>
      </c>
      <c r="BF86" s="237">
        <v>39</v>
      </c>
      <c r="BG86" s="246" t="s">
        <v>698</v>
      </c>
      <c r="BI86" s="239">
        <v>0.77655677655677657</v>
      </c>
      <c r="BJ86" s="239">
        <v>5.8608058608058608E-2</v>
      </c>
      <c r="BK86" s="239">
        <v>0.15384615384615385</v>
      </c>
      <c r="BL86" s="239">
        <v>1.098901098901099E-2</v>
      </c>
      <c r="BM86" s="247">
        <v>2.6007326007326008</v>
      </c>
      <c r="BN86" s="248">
        <v>0</v>
      </c>
      <c r="BO86" s="248">
        <v>0</v>
      </c>
      <c r="BP86" s="237">
        <v>0</v>
      </c>
      <c r="BQ86" s="237">
        <v>0</v>
      </c>
      <c r="BR86" s="248">
        <v>0</v>
      </c>
      <c r="BS86" s="262">
        <v>30</v>
      </c>
      <c r="BT86" s="237" t="s">
        <v>729</v>
      </c>
      <c r="BU86" s="249" t="s">
        <v>678</v>
      </c>
      <c r="BV86" s="249" t="s">
        <v>678</v>
      </c>
      <c r="BW86" s="249" t="s">
        <v>678</v>
      </c>
      <c r="BX86" s="249" t="s">
        <v>678</v>
      </c>
      <c r="BY86" s="249" t="s">
        <v>678</v>
      </c>
      <c r="BZ86" s="249" t="s">
        <v>678</v>
      </c>
      <c r="CA86" s="249" t="s">
        <v>678</v>
      </c>
      <c r="CB86" s="249" t="s">
        <v>678</v>
      </c>
      <c r="CC86" s="250" t="s">
        <v>678</v>
      </c>
      <c r="CD86" s="242" t="s">
        <v>678</v>
      </c>
      <c r="CE86" s="252" t="s">
        <v>678</v>
      </c>
      <c r="CF86" s="238">
        <v>244</v>
      </c>
      <c r="CG86" s="238">
        <v>25</v>
      </c>
      <c r="CH86" s="238">
        <v>5.2854122621564485</v>
      </c>
      <c r="CI86" s="216" t="s">
        <v>722</v>
      </c>
      <c r="CJ86" s="237">
        <v>1</v>
      </c>
      <c r="CK86" s="253">
        <v>20.82</v>
      </c>
      <c r="CL86" s="253">
        <v>0</v>
      </c>
      <c r="CM86" s="254">
        <v>0</v>
      </c>
      <c r="CN86" s="237" t="s">
        <v>24</v>
      </c>
      <c r="CO86" s="242">
        <v>3508.27</v>
      </c>
      <c r="CP86" s="255">
        <v>0.87379078455790782</v>
      </c>
      <c r="CW86" s="261" t="s">
        <v>678</v>
      </c>
      <c r="CX86" s="261" t="s">
        <v>678</v>
      </c>
      <c r="CY86" s="261" t="s">
        <v>678</v>
      </c>
      <c r="DB86" s="216" t="s">
        <v>681</v>
      </c>
      <c r="DC86" s="256"/>
      <c r="DD86" s="256">
        <v>0.8</v>
      </c>
      <c r="DE86" s="256">
        <v>-10</v>
      </c>
      <c r="DF86" s="256">
        <v>0.5</v>
      </c>
      <c r="DG86" s="256">
        <v>-2.2999999999999998</v>
      </c>
      <c r="DL86" s="237" t="s">
        <v>682</v>
      </c>
      <c r="DP86" s="258" t="s">
        <v>682</v>
      </c>
      <c r="DQ86" s="258"/>
      <c r="DR86" s="258"/>
      <c r="DS86" s="258"/>
      <c r="DT86" s="258"/>
      <c r="DU86" s="237">
        <v>0</v>
      </c>
      <c r="DX86" s="247"/>
      <c r="DY86" s="247">
        <v>0</v>
      </c>
      <c r="EA86" s="237">
        <v>0</v>
      </c>
      <c r="ED86" s="237" t="s">
        <v>1069</v>
      </c>
      <c r="EE86" s="208">
        <v>0</v>
      </c>
      <c r="EF86" s="237" t="s">
        <v>688</v>
      </c>
      <c r="EG86" s="216" t="s">
        <v>703</v>
      </c>
      <c r="EH86" s="246" t="s">
        <v>704</v>
      </c>
      <c r="EI86" s="216" t="s">
        <v>904</v>
      </c>
      <c r="EJ86" s="216" t="s">
        <v>529</v>
      </c>
      <c r="EK86" s="222" t="s">
        <v>682</v>
      </c>
      <c r="EL86" s="259">
        <v>1992</v>
      </c>
      <c r="EM86" s="260">
        <v>360</v>
      </c>
      <c r="EN86" s="260">
        <v>19328</v>
      </c>
      <c r="EO86" s="260">
        <v>9222</v>
      </c>
      <c r="EP86" s="237">
        <v>1</v>
      </c>
      <c r="EQ86" s="237">
        <v>120</v>
      </c>
      <c r="ER86" s="237" t="s">
        <v>705</v>
      </c>
      <c r="ES86" s="237" t="e">
        <v>#DIV/0!</v>
      </c>
      <c r="ET86" s="237">
        <v>25.616666666666667</v>
      </c>
      <c r="EU86" s="661">
        <v>2</v>
      </c>
      <c r="EV86" s="661" t="s">
        <v>678</v>
      </c>
      <c r="EW86" s="661">
        <v>2</v>
      </c>
      <c r="EX86" s="661">
        <v>2</v>
      </c>
      <c r="EY86" s="660">
        <v>5.1855541718555422E-3</v>
      </c>
      <c r="EZ86" s="256">
        <v>22.718539865513929</v>
      </c>
      <c r="FA86" s="247">
        <v>0</v>
      </c>
      <c r="FB86" s="208">
        <v>3</v>
      </c>
      <c r="FC86" s="208">
        <v>3</v>
      </c>
      <c r="FD86" s="208">
        <v>2</v>
      </c>
      <c r="FE86" s="239">
        <v>0.87383689107827034</v>
      </c>
      <c r="FF86" s="208">
        <v>1</v>
      </c>
      <c r="FG86" s="241">
        <v>0</v>
      </c>
      <c r="FH86" s="209">
        <v>0</v>
      </c>
      <c r="FI86" s="237" t="s">
        <v>678</v>
      </c>
      <c r="FJ86" s="208">
        <v>64.400000000000006</v>
      </c>
      <c r="FK86" s="208">
        <v>72.489999999999995</v>
      </c>
      <c r="FL86" s="217">
        <v>98.4</v>
      </c>
      <c r="FM86" s="208">
        <v>8.6199999999999992</v>
      </c>
      <c r="FN86" s="208" t="s">
        <v>1070</v>
      </c>
      <c r="FP86" s="247" t="s">
        <v>693</v>
      </c>
      <c r="FU86" s="208">
        <v>49</v>
      </c>
      <c r="FV86" s="208">
        <v>73.3</v>
      </c>
      <c r="FW86" s="237">
        <v>81.680000000000007</v>
      </c>
      <c r="FX86" s="237">
        <v>67.900000000000006</v>
      </c>
      <c r="FY86" s="208">
        <v>111.45</v>
      </c>
      <c r="FZ86" s="208">
        <v>91.5</v>
      </c>
      <c r="GA86" s="208">
        <v>80.14</v>
      </c>
      <c r="GB86" s="208">
        <v>92.2</v>
      </c>
      <c r="GC86" s="208">
        <v>0.51</v>
      </c>
      <c r="GD86" s="208">
        <v>64.8</v>
      </c>
      <c r="GE86" s="237">
        <v>76.19</v>
      </c>
      <c r="GF86" s="237">
        <v>90.6</v>
      </c>
      <c r="GG86" s="237">
        <v>21.49</v>
      </c>
      <c r="GH86" s="237">
        <v>95.7</v>
      </c>
      <c r="GJ86" s="947"/>
      <c r="GK86" s="320"/>
      <c r="GL86" s="320"/>
      <c r="GM86" s="320"/>
      <c r="GN86" s="320"/>
      <c r="GO86" s="662">
        <v>8081</v>
      </c>
      <c r="GP86" s="663" t="str">
        <f>VLOOKUP(GS86,'BD Comarcal'!$A$6:$AV$17,48,FALSE)</f>
        <v>41</v>
      </c>
      <c r="GQ86" s="564">
        <v>2</v>
      </c>
      <c r="GR86" s="256">
        <f t="shared" si="1"/>
        <v>0</v>
      </c>
      <c r="GS86" s="237" t="s">
        <v>24</v>
      </c>
    </row>
    <row r="87" spans="1:201" s="237" customFormat="1" ht="17.25" customHeight="1">
      <c r="A87" s="236" t="s">
        <v>1071</v>
      </c>
      <c r="C87" s="238"/>
      <c r="D87" s="238">
        <v>3324</v>
      </c>
      <c r="E87" s="238">
        <v>2792</v>
      </c>
      <c r="F87" s="239">
        <v>0.83995186522262333</v>
      </c>
      <c r="G87" s="238">
        <v>2709</v>
      </c>
      <c r="H87" s="240">
        <v>1364.1440589516781</v>
      </c>
      <c r="I87" s="239">
        <v>0.48859027899415403</v>
      </c>
      <c r="J87" s="238">
        <v>119</v>
      </c>
      <c r="K87" s="238">
        <v>7</v>
      </c>
      <c r="L87" s="238">
        <v>70</v>
      </c>
      <c r="M87" s="241">
        <v>2.1058965102286401E-2</v>
      </c>
      <c r="N87" s="238">
        <v>0</v>
      </c>
      <c r="O87" s="239">
        <v>0</v>
      </c>
      <c r="P87" s="237">
        <v>8</v>
      </c>
      <c r="Q87" s="237">
        <v>0</v>
      </c>
      <c r="R87" s="239">
        <v>0</v>
      </c>
      <c r="S87" s="238">
        <v>360</v>
      </c>
      <c r="T87" s="436">
        <v>0</v>
      </c>
      <c r="U87" s="436">
        <v>12</v>
      </c>
      <c r="V87" s="436">
        <v>0</v>
      </c>
      <c r="W87" s="436">
        <v>12</v>
      </c>
      <c r="X87" s="238">
        <v>1452</v>
      </c>
      <c r="Y87" s="237">
        <v>0.16600000000000001</v>
      </c>
      <c r="Z87" s="238">
        <v>28969</v>
      </c>
      <c r="AA87" s="238">
        <v>19707</v>
      </c>
      <c r="AB87" s="238">
        <v>120.41</v>
      </c>
      <c r="AC87" s="238">
        <v>801</v>
      </c>
      <c r="AD87" s="238">
        <v>2333461.5000000005</v>
      </c>
      <c r="AE87" s="238">
        <v>294706.61000000034</v>
      </c>
      <c r="AF87" s="238">
        <v>2484398.06</v>
      </c>
      <c r="AG87" s="238">
        <v>811561.36</v>
      </c>
      <c r="AH87" s="239">
        <v>0.32666317570703624</v>
      </c>
      <c r="AI87" s="242">
        <v>168.20459299999999</v>
      </c>
      <c r="AJ87" s="242">
        <v>68.868707000000001</v>
      </c>
      <c r="AK87" s="242">
        <v>2.0718624247894106</v>
      </c>
      <c r="AL87" s="242">
        <v>138.81707900000001</v>
      </c>
      <c r="AM87" s="242">
        <v>4.1762057460890496</v>
      </c>
      <c r="AN87" s="242">
        <v>16469.580000000002</v>
      </c>
      <c r="AO87" s="238">
        <v>7993.37</v>
      </c>
      <c r="AP87" s="243">
        <v>22</v>
      </c>
      <c r="AQ87" s="238"/>
      <c r="AR87" s="238">
        <v>1491.6957516829809</v>
      </c>
      <c r="AS87" s="238">
        <v>1287.2951655870177</v>
      </c>
      <c r="AT87" s="238">
        <v>1003025</v>
      </c>
      <c r="AU87" s="238">
        <v>509.56359867433974</v>
      </c>
      <c r="AV87" s="237">
        <v>1</v>
      </c>
      <c r="AW87" s="237">
        <v>1</v>
      </c>
      <c r="AX87" s="237">
        <v>1</v>
      </c>
      <c r="AY87" s="244" t="s">
        <v>717</v>
      </c>
      <c r="AZ87" s="244" t="s">
        <v>682</v>
      </c>
      <c r="BA87" s="237">
        <v>2009</v>
      </c>
      <c r="BB87" s="245" t="s">
        <v>1072</v>
      </c>
      <c r="BC87" s="215" t="s">
        <v>1073</v>
      </c>
      <c r="BE87" s="237">
        <v>62</v>
      </c>
      <c r="BF87" s="237">
        <v>0</v>
      </c>
      <c r="BG87" s="246" t="s">
        <v>676</v>
      </c>
      <c r="BI87" s="239">
        <v>0.27326150832517138</v>
      </c>
      <c r="BJ87" s="239">
        <v>0.23212536728697356</v>
      </c>
      <c r="BK87" s="239">
        <v>0.47698334965719885</v>
      </c>
      <c r="BL87" s="239">
        <v>1.762977473065622E-2</v>
      </c>
      <c r="BM87" s="247">
        <v>1.7610186092066602</v>
      </c>
      <c r="BN87" s="248">
        <v>0</v>
      </c>
      <c r="BO87" s="248">
        <v>0</v>
      </c>
      <c r="BP87" s="237">
        <v>0</v>
      </c>
      <c r="BQ87" s="237">
        <v>0</v>
      </c>
      <c r="BR87" s="248">
        <v>0</v>
      </c>
      <c r="BS87" s="237">
        <v>13.6</v>
      </c>
      <c r="BT87" s="237" t="s">
        <v>1074</v>
      </c>
      <c r="BU87" s="249" t="s">
        <v>678</v>
      </c>
      <c r="BV87" s="249">
        <v>260</v>
      </c>
      <c r="BW87" s="249">
        <v>764</v>
      </c>
      <c r="BX87" s="249" t="s">
        <v>678</v>
      </c>
      <c r="BY87" s="249" t="s">
        <v>678</v>
      </c>
      <c r="BZ87" s="249">
        <v>17.520215633423181</v>
      </c>
      <c r="CA87" s="249">
        <v>51.482479784366575</v>
      </c>
      <c r="CB87" s="249" t="s">
        <v>678</v>
      </c>
      <c r="CC87" s="250" t="s">
        <v>678</v>
      </c>
      <c r="CD87" s="242"/>
      <c r="CE87" s="252">
        <v>100</v>
      </c>
      <c r="CF87" s="238"/>
      <c r="CG87" s="238">
        <v>153.69999999999999</v>
      </c>
      <c r="CH87" s="238">
        <v>10.357142857142856</v>
      </c>
      <c r="CI87" s="216" t="s">
        <v>700</v>
      </c>
      <c r="CJ87" s="237">
        <v>0</v>
      </c>
      <c r="CK87" s="253">
        <v>168.33</v>
      </c>
      <c r="CL87" s="253">
        <v>26.051100000000002</v>
      </c>
      <c r="CM87" s="254">
        <v>7.8372743682310481E-3</v>
      </c>
      <c r="CN87" s="237" t="s">
        <v>1075</v>
      </c>
      <c r="CO87" s="242">
        <v>997.71</v>
      </c>
      <c r="CP87" s="255">
        <v>0.3001534296028881</v>
      </c>
      <c r="CV87" s="237">
        <v>4</v>
      </c>
      <c r="CW87" s="261" t="s">
        <v>678</v>
      </c>
      <c r="CX87" s="261" t="s">
        <v>678</v>
      </c>
      <c r="CY87" s="261" t="s">
        <v>678</v>
      </c>
      <c r="DB87" s="216" t="s">
        <v>681</v>
      </c>
      <c r="DC87" s="256"/>
      <c r="DD87" s="256">
        <v>0.7</v>
      </c>
      <c r="DE87" s="256">
        <v>-6.5</v>
      </c>
      <c r="DF87" s="256">
        <v>0.7</v>
      </c>
      <c r="DG87" s="256">
        <v>-2.2000000000000002</v>
      </c>
      <c r="DH87" s="257">
        <v>1</v>
      </c>
      <c r="DI87" s="257">
        <v>1</v>
      </c>
      <c r="DJ87" s="257">
        <v>0</v>
      </c>
      <c r="DK87" s="257">
        <v>1</v>
      </c>
      <c r="DL87" s="237" t="s">
        <v>682</v>
      </c>
      <c r="DP87" s="258" t="s">
        <v>682</v>
      </c>
      <c r="DQ87" s="258"/>
      <c r="DR87" s="258"/>
      <c r="DS87" s="258"/>
      <c r="DT87" s="258"/>
      <c r="DU87" s="237">
        <v>0</v>
      </c>
      <c r="DX87" s="247"/>
      <c r="DY87" s="247">
        <v>0</v>
      </c>
      <c r="EA87" s="237">
        <v>0</v>
      </c>
      <c r="ED87" s="237" t="s">
        <v>678</v>
      </c>
      <c r="EE87" s="208">
        <v>1</v>
      </c>
      <c r="EF87" s="237" t="s">
        <v>678</v>
      </c>
      <c r="EG87" s="216" t="s">
        <v>691</v>
      </c>
      <c r="EH87" s="246" t="s">
        <v>690</v>
      </c>
      <c r="EI87" s="216" t="s">
        <v>691</v>
      </c>
      <c r="EJ87" s="216" t="s">
        <v>529</v>
      </c>
      <c r="EK87" s="222" t="s">
        <v>682</v>
      </c>
      <c r="EL87" s="259">
        <v>2013</v>
      </c>
      <c r="EM87" s="260">
        <v>260</v>
      </c>
      <c r="EN87" s="260">
        <v>118421</v>
      </c>
      <c r="EO87" s="260">
        <v>879808</v>
      </c>
      <c r="ER87" s="237" t="s">
        <v>692</v>
      </c>
      <c r="ES87" s="237" t="e">
        <v>#DIV/0!</v>
      </c>
      <c r="ET87" s="237">
        <v>3383.876923076923</v>
      </c>
      <c r="EU87" s="661">
        <v>1</v>
      </c>
      <c r="EV87" s="661" t="s">
        <v>678</v>
      </c>
      <c r="EW87" s="661">
        <v>5</v>
      </c>
      <c r="EX87" s="661">
        <v>5</v>
      </c>
      <c r="EY87" s="660">
        <v>5.0640794223826717E-2</v>
      </c>
      <c r="EZ87" s="256">
        <v>8.816016158735815</v>
      </c>
      <c r="FA87" s="247">
        <v>0.14326647564469913</v>
      </c>
      <c r="FB87" s="208">
        <v>4</v>
      </c>
      <c r="FC87" s="208">
        <v>6</v>
      </c>
      <c r="FD87" s="208">
        <v>6</v>
      </c>
      <c r="FE87" s="239">
        <v>0.9702722063037249</v>
      </c>
      <c r="FF87" s="208"/>
      <c r="FG87" s="241">
        <v>3.5816618911174784E-4</v>
      </c>
      <c r="FH87" s="209">
        <v>0</v>
      </c>
      <c r="FI87" s="237" t="s">
        <v>678</v>
      </c>
      <c r="FJ87" s="208">
        <v>64.900000000000006</v>
      </c>
      <c r="FK87" s="208">
        <v>42.17</v>
      </c>
      <c r="FL87" s="217">
        <v>85.6</v>
      </c>
      <c r="FM87" s="208">
        <v>10.31</v>
      </c>
      <c r="FN87" s="208" t="s">
        <v>1076</v>
      </c>
      <c r="FP87" s="247" t="s">
        <v>693</v>
      </c>
      <c r="FU87" s="208">
        <v>54</v>
      </c>
      <c r="FV87" s="208">
        <v>81.900000000000006</v>
      </c>
      <c r="FW87" s="237">
        <v>98.86</v>
      </c>
      <c r="FX87" s="237">
        <v>97.9</v>
      </c>
      <c r="FY87" s="208">
        <v>101.21</v>
      </c>
      <c r="FZ87" s="208">
        <v>89.1</v>
      </c>
      <c r="GA87" s="208">
        <v>79.53</v>
      </c>
      <c r="GB87" s="208">
        <v>91</v>
      </c>
      <c r="GC87" s="208">
        <v>0.01</v>
      </c>
      <c r="GD87" s="208">
        <v>13.2</v>
      </c>
      <c r="GE87" s="237">
        <v>57.71</v>
      </c>
      <c r="GF87" s="237">
        <v>75.400000000000006</v>
      </c>
      <c r="GG87" s="237">
        <v>9.15</v>
      </c>
      <c r="GH87" s="237">
        <v>64.099999999999994</v>
      </c>
      <c r="GJ87" s="947"/>
      <c r="GK87" s="320"/>
      <c r="GL87" s="320"/>
      <c r="GM87" s="320"/>
      <c r="GN87" s="320"/>
      <c r="GO87" s="662">
        <v>8082</v>
      </c>
      <c r="GP87" s="663" t="e">
        <f>VLOOKUP(GS87,'BD Comarcal'!$A$6:$AV$17,48,FALSE)</f>
        <v>#N/A</v>
      </c>
      <c r="GQ87" s="564">
        <v>11</v>
      </c>
      <c r="GR87" s="256">
        <f t="shared" si="1"/>
        <v>1</v>
      </c>
      <c r="GS87" s="237" t="s">
        <v>1075</v>
      </c>
    </row>
    <row r="88" spans="1:201" s="237" customFormat="1" ht="17.25" customHeight="1">
      <c r="A88" s="236" t="s">
        <v>1077</v>
      </c>
      <c r="C88" s="238"/>
      <c r="D88" s="238">
        <v>1099</v>
      </c>
      <c r="E88" s="238">
        <v>303</v>
      </c>
      <c r="F88" s="239">
        <v>0.27570518653321202</v>
      </c>
      <c r="G88" s="238">
        <v>276</v>
      </c>
      <c r="H88" s="240">
        <v>187.98284256095383</v>
      </c>
      <c r="I88" s="239">
        <v>0.62040542099324691</v>
      </c>
      <c r="J88" s="238">
        <v>601</v>
      </c>
      <c r="K88" s="238">
        <v>58</v>
      </c>
      <c r="L88" s="238">
        <v>0</v>
      </c>
      <c r="M88" s="241">
        <v>0</v>
      </c>
      <c r="N88" s="238">
        <v>0</v>
      </c>
      <c r="O88" s="239">
        <v>0</v>
      </c>
      <c r="P88" s="237">
        <v>21</v>
      </c>
      <c r="Q88" s="237">
        <v>0</v>
      </c>
      <c r="R88" s="239">
        <v>0</v>
      </c>
      <c r="S88" s="238">
        <v>6988</v>
      </c>
      <c r="T88" s="436">
        <v>0</v>
      </c>
      <c r="U88" s="436">
        <v>5</v>
      </c>
      <c r="V88" s="436">
        <v>0</v>
      </c>
      <c r="W88" s="436">
        <v>5</v>
      </c>
      <c r="X88" s="238">
        <v>2298</v>
      </c>
      <c r="Y88" s="237">
        <v>0.14829999999999999</v>
      </c>
      <c r="Z88" s="238">
        <v>40358</v>
      </c>
      <c r="AA88" s="238">
        <v>17662</v>
      </c>
      <c r="AB88" s="238">
        <v>107.92</v>
      </c>
      <c r="AC88" s="238">
        <v>94</v>
      </c>
      <c r="AD88" s="238">
        <v>2408391.2800000003</v>
      </c>
      <c r="AE88" s="238">
        <v>281510.48000000021</v>
      </c>
      <c r="AF88" s="238">
        <v>1929672.64</v>
      </c>
      <c r="AG88" s="238">
        <v>110674.56</v>
      </c>
      <c r="AH88" s="239">
        <v>5.7354059805708811E-2</v>
      </c>
      <c r="AI88" s="242">
        <v>58.460861999999999</v>
      </c>
      <c r="AJ88" s="242">
        <v>9.53172</v>
      </c>
      <c r="AK88" s="242">
        <v>0.86730846223839853</v>
      </c>
      <c r="AL88" s="242" t="s">
        <v>678</v>
      </c>
      <c r="AM88" s="242" t="s">
        <v>678</v>
      </c>
      <c r="AN88" s="242">
        <v>10292.24</v>
      </c>
      <c r="AO88" s="238">
        <v>10783.17</v>
      </c>
      <c r="AP88" s="243">
        <v>33</v>
      </c>
      <c r="AQ88" s="238">
        <v>1</v>
      </c>
      <c r="AR88" s="238">
        <v>1337.7782837969535</v>
      </c>
      <c r="AS88" s="238">
        <v>1811.3752394174107</v>
      </c>
      <c r="AT88" s="238">
        <v>137475.66666666666</v>
      </c>
      <c r="AU88" s="238">
        <v>223.47597840929836</v>
      </c>
      <c r="AV88" s="237">
        <v>1</v>
      </c>
      <c r="AW88" s="237">
        <v>0</v>
      </c>
      <c r="AX88" s="237">
        <v>1</v>
      </c>
      <c r="AY88" s="244" t="s">
        <v>673</v>
      </c>
      <c r="AZ88" s="244" t="s">
        <v>682</v>
      </c>
      <c r="BA88" s="237">
        <v>2016</v>
      </c>
      <c r="BB88" s="245" t="s">
        <v>887</v>
      </c>
      <c r="BC88" s="215" t="s">
        <v>888</v>
      </c>
      <c r="BE88" s="237">
        <v>0</v>
      </c>
      <c r="BF88" s="237">
        <v>83</v>
      </c>
      <c r="BG88" s="246" t="s">
        <v>698</v>
      </c>
      <c r="BI88" s="239">
        <v>0.33902877697841727</v>
      </c>
      <c r="BJ88" s="239">
        <v>8.9028776978417268E-2</v>
      </c>
      <c r="BK88" s="239">
        <v>0.56294964028776984</v>
      </c>
      <c r="BL88" s="239">
        <v>8.9928057553956831E-3</v>
      </c>
      <c r="BM88" s="247">
        <v>1.7580935251798562</v>
      </c>
      <c r="BN88" s="248">
        <v>0</v>
      </c>
      <c r="BO88" s="248">
        <v>0</v>
      </c>
      <c r="BP88" s="237">
        <v>0</v>
      </c>
      <c r="BQ88" s="237">
        <v>0</v>
      </c>
      <c r="BR88" s="248">
        <v>0</v>
      </c>
      <c r="BS88" s="237">
        <v>7</v>
      </c>
      <c r="BT88" s="237" t="s">
        <v>815</v>
      </c>
      <c r="BU88" s="249" t="s">
        <v>678</v>
      </c>
      <c r="BV88" s="249">
        <v>127</v>
      </c>
      <c r="BW88" s="249">
        <v>1077</v>
      </c>
      <c r="BX88" s="249" t="s">
        <v>678</v>
      </c>
      <c r="BY88" s="249" t="s">
        <v>678</v>
      </c>
      <c r="BZ88" s="249">
        <v>5.646954201867497</v>
      </c>
      <c r="CA88" s="249">
        <v>47.88795020008893</v>
      </c>
      <c r="CB88" s="249" t="s">
        <v>678</v>
      </c>
      <c r="CC88" s="250" t="s">
        <v>678</v>
      </c>
      <c r="CD88" s="242" t="s">
        <v>678</v>
      </c>
      <c r="CE88" s="252" t="s">
        <v>678</v>
      </c>
      <c r="CF88" s="238">
        <v>934</v>
      </c>
      <c r="CG88" s="238">
        <v>97</v>
      </c>
      <c r="CH88" s="238">
        <v>4.313028012449978</v>
      </c>
      <c r="CI88" s="216" t="s">
        <v>700</v>
      </c>
      <c r="CJ88" s="237">
        <v>0</v>
      </c>
      <c r="CK88" s="253">
        <v>67.040000000000006</v>
      </c>
      <c r="CL88" s="253">
        <v>103.6666</v>
      </c>
      <c r="CM88" s="254">
        <v>9.4328116469517748E-2</v>
      </c>
      <c r="CN88" s="237" t="s">
        <v>88</v>
      </c>
      <c r="CO88" s="242">
        <v>1.82</v>
      </c>
      <c r="CP88" s="255">
        <v>1.6560509554140127E-3</v>
      </c>
      <c r="CV88" s="237">
        <v>2</v>
      </c>
      <c r="CW88" s="261" t="s">
        <v>678</v>
      </c>
      <c r="CX88" s="261" t="s">
        <v>678</v>
      </c>
      <c r="CY88" s="261" t="s">
        <v>678</v>
      </c>
      <c r="DB88" s="216" t="s">
        <v>710</v>
      </c>
      <c r="DC88" s="195" t="s">
        <v>711</v>
      </c>
      <c r="DD88" s="256">
        <v>0.8</v>
      </c>
      <c r="DE88" s="256">
        <v>-10</v>
      </c>
      <c r="DF88" s="256">
        <v>0.5</v>
      </c>
      <c r="DG88" s="256">
        <v>-2.2999999999999998</v>
      </c>
      <c r="DL88" s="237" t="s">
        <v>529</v>
      </c>
      <c r="DM88" s="270" t="s">
        <v>889</v>
      </c>
      <c r="DN88" s="237" t="s">
        <v>713</v>
      </c>
      <c r="DP88" s="258" t="s">
        <v>682</v>
      </c>
      <c r="DQ88" s="258"/>
      <c r="DR88" s="258"/>
      <c r="DS88" s="258"/>
      <c r="DT88" s="258"/>
      <c r="DU88" s="237">
        <v>0</v>
      </c>
      <c r="DX88" s="247"/>
      <c r="DY88" s="247">
        <v>0</v>
      </c>
      <c r="EA88" s="237">
        <v>0</v>
      </c>
      <c r="ED88" s="237" t="s">
        <v>678</v>
      </c>
      <c r="EE88" s="208">
        <v>1</v>
      </c>
      <c r="EF88" s="237" t="s">
        <v>678</v>
      </c>
      <c r="EG88" s="216" t="s">
        <v>715</v>
      </c>
      <c r="EH88" s="246" t="s">
        <v>690</v>
      </c>
      <c r="EI88" s="216"/>
      <c r="EJ88" s="216" t="s">
        <v>529</v>
      </c>
      <c r="EK88" s="222" t="s">
        <v>682</v>
      </c>
      <c r="EL88" s="259">
        <v>2007</v>
      </c>
      <c r="EM88" s="260">
        <v>5380</v>
      </c>
      <c r="EN88" s="260">
        <v>82254</v>
      </c>
      <c r="EO88" s="260">
        <v>61294</v>
      </c>
      <c r="ER88" s="237" t="s">
        <v>705</v>
      </c>
      <c r="ES88" s="237" t="e">
        <v>#DIV/0!</v>
      </c>
      <c r="ET88" s="237">
        <v>11.392936802973978</v>
      </c>
      <c r="EU88" s="661">
        <v>5</v>
      </c>
      <c r="EV88" s="661">
        <v>2</v>
      </c>
      <c r="EW88" s="661">
        <v>0</v>
      </c>
      <c r="EX88" s="661">
        <v>1</v>
      </c>
      <c r="EY88" s="660">
        <v>6.1000909918107374E-2</v>
      </c>
      <c r="EZ88" s="256">
        <v>33.547136038186153</v>
      </c>
      <c r="FA88" s="247">
        <v>0.66006600660066006</v>
      </c>
      <c r="FB88" s="208">
        <v>1</v>
      </c>
      <c r="FC88" s="208">
        <v>1</v>
      </c>
      <c r="FD88" s="208">
        <v>4</v>
      </c>
      <c r="FE88" s="239">
        <v>0.91089108910891092</v>
      </c>
      <c r="FF88" s="208">
        <v>1</v>
      </c>
      <c r="FG88" s="241">
        <v>0</v>
      </c>
      <c r="FH88" s="209">
        <v>0</v>
      </c>
      <c r="FI88" s="237" t="s">
        <v>678</v>
      </c>
      <c r="FJ88" s="208" t="s">
        <v>678</v>
      </c>
      <c r="FK88" s="208" t="s">
        <v>678</v>
      </c>
      <c r="FL88" s="217" t="s">
        <v>678</v>
      </c>
      <c r="FM88" s="208" t="s">
        <v>678</v>
      </c>
      <c r="FN88" s="208" t="s">
        <v>678</v>
      </c>
      <c r="FP88" s="247" t="s">
        <v>693</v>
      </c>
      <c r="FU88" s="208" t="s">
        <v>678</v>
      </c>
      <c r="FV88" s="208" t="s">
        <v>678</v>
      </c>
      <c r="FW88" s="208" t="s">
        <v>678</v>
      </c>
      <c r="FX88" s="208" t="s">
        <v>678</v>
      </c>
      <c r="FY88" s="208" t="s">
        <v>678</v>
      </c>
      <c r="FZ88" s="208" t="s">
        <v>678</v>
      </c>
      <c r="GA88" s="208" t="s">
        <v>678</v>
      </c>
      <c r="GB88" s="208" t="s">
        <v>678</v>
      </c>
      <c r="GC88" s="208" t="s">
        <v>678</v>
      </c>
      <c r="GD88" s="208" t="s">
        <v>678</v>
      </c>
      <c r="GE88" s="237" t="s">
        <v>678</v>
      </c>
      <c r="GF88" s="237" t="s">
        <v>678</v>
      </c>
      <c r="GG88" s="237" t="s">
        <v>678</v>
      </c>
      <c r="GH88" s="237" t="s">
        <v>678</v>
      </c>
      <c r="GJ88" s="947"/>
      <c r="GK88" s="320"/>
      <c r="GL88" s="320"/>
      <c r="GM88" s="320"/>
      <c r="GN88" s="320"/>
      <c r="GO88" s="662">
        <v>8083</v>
      </c>
      <c r="GP88" s="663" t="str">
        <f>VLOOKUP(GS88,'BD Comarcal'!$A$6:$AV$17,48,FALSE)</f>
        <v>24</v>
      </c>
      <c r="GQ88" s="564">
        <v>12</v>
      </c>
      <c r="GR88" s="256">
        <f t="shared" si="1"/>
        <v>0</v>
      </c>
      <c r="GS88" s="237" t="s">
        <v>88</v>
      </c>
    </row>
    <row r="89" spans="1:201" s="237" customFormat="1" ht="17.25" customHeight="1">
      <c r="A89" s="236" t="s">
        <v>1078</v>
      </c>
      <c r="C89" s="238"/>
      <c r="D89" s="238">
        <v>5190</v>
      </c>
      <c r="E89" s="238">
        <v>3085</v>
      </c>
      <c r="F89" s="239">
        <v>0.59441233140655103</v>
      </c>
      <c r="G89" s="238">
        <v>2449</v>
      </c>
      <c r="H89" s="240">
        <v>2163.4792701322067</v>
      </c>
      <c r="I89" s="239">
        <v>0.70128987686619337</v>
      </c>
      <c r="J89" s="238">
        <v>1695</v>
      </c>
      <c r="K89" s="238">
        <v>136</v>
      </c>
      <c r="L89" s="238">
        <v>12</v>
      </c>
      <c r="M89" s="241">
        <v>2.3121387283236996E-3</v>
      </c>
      <c r="N89" s="238">
        <v>0</v>
      </c>
      <c r="O89" s="239">
        <v>0</v>
      </c>
      <c r="P89" s="237">
        <v>34</v>
      </c>
      <c r="Q89" s="237">
        <v>0</v>
      </c>
      <c r="R89" s="239">
        <v>0</v>
      </c>
      <c r="S89" s="238">
        <v>3423</v>
      </c>
      <c r="T89" s="436">
        <v>0</v>
      </c>
      <c r="U89" s="436">
        <v>46</v>
      </c>
      <c r="V89" s="436">
        <v>0</v>
      </c>
      <c r="W89" s="436">
        <v>46</v>
      </c>
      <c r="X89" s="238">
        <v>1401</v>
      </c>
      <c r="Y89" s="237">
        <v>0.1638</v>
      </c>
      <c r="Z89" s="238">
        <v>21362</v>
      </c>
      <c r="AA89" s="238">
        <v>15335</v>
      </c>
      <c r="AB89" s="238">
        <v>93.7</v>
      </c>
      <c r="AC89" s="238">
        <v>120</v>
      </c>
      <c r="AD89" s="238">
        <v>1452151.9800000002</v>
      </c>
      <c r="AE89" s="238">
        <v>271454.16999999969</v>
      </c>
      <c r="AF89" s="238">
        <v>1518135.2700000003</v>
      </c>
      <c r="AG89" s="238">
        <v>175631.44</v>
      </c>
      <c r="AH89" s="239">
        <v>0.11568892671863158</v>
      </c>
      <c r="AI89" s="242">
        <v>99.022049999999993</v>
      </c>
      <c r="AJ89" s="242">
        <v>23.317357999999999</v>
      </c>
      <c r="AK89" s="242">
        <v>0.44927472061657031</v>
      </c>
      <c r="AL89" s="242">
        <v>77.582948999999999</v>
      </c>
      <c r="AM89" s="242">
        <v>1.4948545086705203</v>
      </c>
      <c r="AN89" s="242">
        <v>30666.53</v>
      </c>
      <c r="AO89" s="238">
        <v>24610.99</v>
      </c>
      <c r="AP89" s="243">
        <v>70</v>
      </c>
      <c r="AQ89" s="238"/>
      <c r="AR89" s="238">
        <v>2064.2083336753981</v>
      </c>
      <c r="AS89" s="238">
        <v>1481.0949439879587</v>
      </c>
      <c r="AT89" s="238">
        <v>95390</v>
      </c>
      <c r="AU89" s="238">
        <v>311.05826307325896</v>
      </c>
      <c r="AV89" s="237">
        <v>1</v>
      </c>
      <c r="AW89" s="237">
        <v>1</v>
      </c>
      <c r="AX89" s="237">
        <v>1</v>
      </c>
      <c r="AY89" s="244" t="s">
        <v>673</v>
      </c>
      <c r="AZ89" s="244" t="s">
        <v>726</v>
      </c>
      <c r="BA89" s="237">
        <v>2014</v>
      </c>
      <c r="BB89" s="245" t="s">
        <v>696</v>
      </c>
      <c r="BC89" s="215" t="s">
        <v>697</v>
      </c>
      <c r="BE89" s="237">
        <v>1</v>
      </c>
      <c r="BF89" s="237">
        <v>90</v>
      </c>
      <c r="BG89" s="246" t="s">
        <v>698</v>
      </c>
      <c r="BI89" s="239">
        <v>0.23860182370820668</v>
      </c>
      <c r="BJ89" s="239">
        <v>0.38905775075987842</v>
      </c>
      <c r="BK89" s="239">
        <v>0.36170212765957449</v>
      </c>
      <c r="BL89" s="239">
        <v>1.0638297872340425E-2</v>
      </c>
      <c r="BM89" s="247">
        <v>1.8556231003039512</v>
      </c>
      <c r="BN89" s="248">
        <v>0</v>
      </c>
      <c r="BO89" s="248">
        <v>0</v>
      </c>
      <c r="BP89" s="237">
        <v>0</v>
      </c>
      <c r="BQ89" s="237">
        <v>0</v>
      </c>
      <c r="BR89" s="248">
        <v>0</v>
      </c>
      <c r="BS89" s="237">
        <v>15</v>
      </c>
      <c r="BT89" s="237" t="s">
        <v>699</v>
      </c>
      <c r="BU89" s="249" t="s">
        <v>678</v>
      </c>
      <c r="BV89" s="249">
        <v>138</v>
      </c>
      <c r="BW89" s="249">
        <v>776</v>
      </c>
      <c r="BX89" s="249" t="s">
        <v>678</v>
      </c>
      <c r="BY89" s="249" t="s">
        <v>678</v>
      </c>
      <c r="BZ89" s="249">
        <v>9.5435684647302903</v>
      </c>
      <c r="CA89" s="249">
        <v>53.665283540802214</v>
      </c>
      <c r="CB89" s="249" t="s">
        <v>678</v>
      </c>
      <c r="CC89" s="250" t="s">
        <v>678</v>
      </c>
      <c r="CD89" s="242" t="s">
        <v>678</v>
      </c>
      <c r="CE89" s="252" t="s">
        <v>678</v>
      </c>
      <c r="CF89" s="238">
        <v>781</v>
      </c>
      <c r="CG89" s="238">
        <v>94</v>
      </c>
      <c r="CH89" s="238">
        <v>6.5006915629322268</v>
      </c>
      <c r="CI89" s="216" t="s">
        <v>722</v>
      </c>
      <c r="CJ89" s="237">
        <v>1</v>
      </c>
      <c r="CK89" s="253">
        <v>95.74</v>
      </c>
      <c r="CL89" s="253">
        <v>3.15</v>
      </c>
      <c r="CM89" s="254">
        <v>6.0693641618497112E-4</v>
      </c>
      <c r="CN89" s="237" t="s">
        <v>82</v>
      </c>
      <c r="CO89" s="242"/>
      <c r="CP89" s="255">
        <v>0</v>
      </c>
      <c r="CV89" s="237">
        <v>2</v>
      </c>
      <c r="CW89" s="261" t="s">
        <v>678</v>
      </c>
      <c r="CX89" s="261" t="s">
        <v>678</v>
      </c>
      <c r="CY89" s="261" t="s">
        <v>678</v>
      </c>
      <c r="DB89" s="216" t="s">
        <v>746</v>
      </c>
      <c r="DC89" s="195" t="s">
        <v>866</v>
      </c>
      <c r="DD89" s="256">
        <v>0.8</v>
      </c>
      <c r="DE89" s="256">
        <v>-10</v>
      </c>
      <c r="DF89" s="256">
        <v>0.5</v>
      </c>
      <c r="DG89" s="256">
        <v>-2.2999999999999998</v>
      </c>
      <c r="DH89" s="257">
        <v>3</v>
      </c>
      <c r="DI89" s="257">
        <v>4.01</v>
      </c>
      <c r="DJ89" s="257">
        <v>0</v>
      </c>
      <c r="DK89" s="257">
        <v>4.01</v>
      </c>
      <c r="DL89" s="237" t="s">
        <v>529</v>
      </c>
      <c r="DN89" s="237" t="s">
        <v>770</v>
      </c>
      <c r="DP89" s="258" t="s">
        <v>682</v>
      </c>
      <c r="DQ89" s="258"/>
      <c r="DR89" s="258"/>
      <c r="DS89" s="258"/>
      <c r="DT89" s="258"/>
      <c r="DU89" s="237">
        <v>0</v>
      </c>
      <c r="DX89" s="247"/>
      <c r="DY89" s="247">
        <v>0</v>
      </c>
      <c r="EA89" s="237">
        <v>0</v>
      </c>
      <c r="ED89" s="237" t="s">
        <v>687</v>
      </c>
      <c r="EE89" s="208">
        <v>1</v>
      </c>
      <c r="EF89" s="237" t="s">
        <v>688</v>
      </c>
      <c r="EG89" s="216" t="s">
        <v>733</v>
      </c>
      <c r="EH89" s="246" t="s">
        <v>734</v>
      </c>
      <c r="EI89" s="216" t="s">
        <v>691</v>
      </c>
      <c r="EJ89" s="216" t="s">
        <v>529</v>
      </c>
      <c r="EK89" s="222" t="s">
        <v>682</v>
      </c>
      <c r="EL89" s="259">
        <v>1993</v>
      </c>
      <c r="EM89" s="260">
        <v>4700</v>
      </c>
      <c r="EN89" s="260">
        <v>73289</v>
      </c>
      <c r="EO89" s="260">
        <v>25585</v>
      </c>
      <c r="ER89" s="237" t="s">
        <v>973</v>
      </c>
      <c r="ES89" s="237" t="e">
        <v>#DIV/0!</v>
      </c>
      <c r="ET89" s="237">
        <v>5.4436170212765953</v>
      </c>
      <c r="EU89" s="661">
        <v>1</v>
      </c>
      <c r="EV89" s="661" t="s">
        <v>678</v>
      </c>
      <c r="EW89" s="661">
        <v>1</v>
      </c>
      <c r="EX89" s="661">
        <v>4</v>
      </c>
      <c r="EY89" s="660">
        <v>1.8447013487475915E-2</v>
      </c>
      <c r="EZ89" s="256">
        <v>15.103405055358262</v>
      </c>
      <c r="FA89" s="247">
        <v>6.4829821717990274E-2</v>
      </c>
      <c r="FB89" s="208">
        <v>3</v>
      </c>
      <c r="FC89" s="208">
        <v>5</v>
      </c>
      <c r="FD89" s="208">
        <v>5</v>
      </c>
      <c r="FE89" s="239">
        <v>0.79384116693679097</v>
      </c>
      <c r="FF89" s="208"/>
      <c r="FG89" s="241">
        <v>1.299837925445705E-3</v>
      </c>
      <c r="FH89" s="209">
        <v>0</v>
      </c>
      <c r="FI89" s="237" t="s">
        <v>678</v>
      </c>
      <c r="FJ89" s="208">
        <v>57.5</v>
      </c>
      <c r="FK89" s="208">
        <v>0.06</v>
      </c>
      <c r="FL89" s="217">
        <v>20.7</v>
      </c>
      <c r="FM89" s="208">
        <v>2.95</v>
      </c>
      <c r="FN89" s="208" t="s">
        <v>1079</v>
      </c>
      <c r="FP89" s="247" t="s">
        <v>693</v>
      </c>
      <c r="FU89" s="208">
        <v>50</v>
      </c>
      <c r="FV89" s="208">
        <v>75</v>
      </c>
      <c r="FW89" s="237">
        <v>66.81</v>
      </c>
      <c r="FX89" s="237">
        <v>48.4</v>
      </c>
      <c r="FY89" s="208">
        <v>18.690000000000001</v>
      </c>
      <c r="FZ89" s="208">
        <v>33</v>
      </c>
      <c r="GA89" s="208">
        <v>39.700000000000003</v>
      </c>
      <c r="GB89" s="208">
        <v>36.299999999999997</v>
      </c>
      <c r="GC89" s="208">
        <v>0</v>
      </c>
      <c r="GD89" s="208">
        <v>8.5</v>
      </c>
      <c r="GE89" s="237">
        <v>32.24</v>
      </c>
      <c r="GF89" s="237">
        <v>38.200000000000003</v>
      </c>
      <c r="GG89" s="237">
        <v>7.8</v>
      </c>
      <c r="GH89" s="237">
        <v>60.1</v>
      </c>
      <c r="GJ89" s="947"/>
      <c r="GK89" s="320"/>
      <c r="GL89" s="320"/>
      <c r="GM89" s="320"/>
      <c r="GN89" s="320"/>
      <c r="GO89" s="662">
        <v>8084</v>
      </c>
      <c r="GP89" s="663" t="str">
        <f>VLOOKUP(GS89,'BD Comarcal'!$A$6:$AV$17,48,FALSE)</f>
        <v>07</v>
      </c>
      <c r="GQ89" s="564">
        <v>24</v>
      </c>
      <c r="GR89" s="256">
        <f t="shared" si="1"/>
        <v>1</v>
      </c>
      <c r="GS89" s="237" t="s">
        <v>82</v>
      </c>
    </row>
    <row r="90" spans="1:201" s="237" customFormat="1" ht="17.25" customHeight="1">
      <c r="A90" s="236" t="s">
        <v>1080</v>
      </c>
      <c r="C90" s="238"/>
      <c r="D90" s="238">
        <v>3700</v>
      </c>
      <c r="E90" s="238">
        <v>1219</v>
      </c>
      <c r="F90" s="239">
        <v>0.32945945945945948</v>
      </c>
      <c r="G90" s="238">
        <v>964</v>
      </c>
      <c r="H90" s="240">
        <v>48.68015476843712</v>
      </c>
      <c r="I90" s="239">
        <v>3.9934499399866381E-2</v>
      </c>
      <c r="J90" s="238">
        <v>1839</v>
      </c>
      <c r="K90" s="238">
        <v>7</v>
      </c>
      <c r="L90" s="238">
        <v>12</v>
      </c>
      <c r="M90" s="241">
        <v>3.2432432432432431E-3</v>
      </c>
      <c r="N90" s="238">
        <v>150</v>
      </c>
      <c r="O90" s="239">
        <v>8.1566068515497553E-2</v>
      </c>
      <c r="P90" s="237">
        <v>16</v>
      </c>
      <c r="Q90" s="237">
        <v>0</v>
      </c>
      <c r="R90" s="239">
        <v>0</v>
      </c>
      <c r="S90" s="238">
        <v>2755</v>
      </c>
      <c r="T90" s="436">
        <v>0</v>
      </c>
      <c r="U90" s="436">
        <v>36</v>
      </c>
      <c r="V90" s="436">
        <v>0</v>
      </c>
      <c r="W90" s="436">
        <v>36</v>
      </c>
      <c r="X90" s="238">
        <v>1363</v>
      </c>
      <c r="Y90" s="237">
        <v>0.23499999999999999</v>
      </c>
      <c r="Z90" s="238">
        <v>17679</v>
      </c>
      <c r="AA90" s="238">
        <v>13115</v>
      </c>
      <c r="AB90" s="238">
        <v>80.13</v>
      </c>
      <c r="AC90" s="238">
        <v>0</v>
      </c>
      <c r="AD90" s="238">
        <v>2180159.9900000002</v>
      </c>
      <c r="AE90" s="238">
        <v>72764.220000000205</v>
      </c>
      <c r="AF90" s="238">
        <v>2079461.75</v>
      </c>
      <c r="AG90" s="238">
        <v>434908.68</v>
      </c>
      <c r="AH90" s="239">
        <v>0.20914483279146634</v>
      </c>
      <c r="AI90" s="242">
        <v>65.512182999999993</v>
      </c>
      <c r="AJ90" s="242">
        <v>8.3902760000000001</v>
      </c>
      <c r="AK90" s="242">
        <v>0.22676421621621623</v>
      </c>
      <c r="AL90" s="242">
        <v>19.616054999999999</v>
      </c>
      <c r="AM90" s="242">
        <v>0.53016364864864862</v>
      </c>
      <c r="AN90" s="242">
        <v>32630.14</v>
      </c>
      <c r="AO90" s="238">
        <v>1996.17</v>
      </c>
      <c r="AP90" s="243">
        <v>0</v>
      </c>
      <c r="AQ90" s="238">
        <v>8</v>
      </c>
      <c r="AR90" s="238">
        <v>1623.8834273468194</v>
      </c>
      <c r="AS90" s="238">
        <v>1118.8629264552449</v>
      </c>
      <c r="AT90" s="238">
        <v>102325</v>
      </c>
      <c r="AU90" s="238">
        <v>280.7072309899076</v>
      </c>
      <c r="AV90" s="237">
        <v>1</v>
      </c>
      <c r="AW90" s="237">
        <v>1</v>
      </c>
      <c r="AX90" s="237">
        <v>1</v>
      </c>
      <c r="AY90" s="244" t="s">
        <v>717</v>
      </c>
      <c r="AZ90" s="244" t="s">
        <v>726</v>
      </c>
      <c r="BA90" s="237">
        <v>0</v>
      </c>
      <c r="BB90" s="245" t="s">
        <v>1081</v>
      </c>
      <c r="BC90" s="215" t="s">
        <v>1082</v>
      </c>
      <c r="BE90" s="237">
        <v>49</v>
      </c>
      <c r="BF90" s="237">
        <v>8</v>
      </c>
      <c r="BG90" s="246" t="s">
        <v>698</v>
      </c>
      <c r="BI90" s="239">
        <v>0.6123499142367067</v>
      </c>
      <c r="BJ90" s="239">
        <v>0.137221269296741</v>
      </c>
      <c r="BK90" s="239">
        <v>0.24013722126929674</v>
      </c>
      <c r="BL90" s="239">
        <v>1.0291595197255575E-2</v>
      </c>
      <c r="BM90" s="247">
        <v>2.3516295025728988</v>
      </c>
      <c r="BN90" s="248">
        <v>1</v>
      </c>
      <c r="BO90" s="248">
        <v>0</v>
      </c>
      <c r="BP90" s="237">
        <v>0</v>
      </c>
      <c r="BQ90" s="237">
        <v>0</v>
      </c>
      <c r="BR90" s="248">
        <v>1</v>
      </c>
      <c r="BS90" s="237">
        <v>12</v>
      </c>
      <c r="BT90" s="237" t="s">
        <v>790</v>
      </c>
      <c r="BU90" s="249" t="s">
        <v>678</v>
      </c>
      <c r="BV90" s="249">
        <v>191</v>
      </c>
      <c r="BW90" s="249">
        <v>686</v>
      </c>
      <c r="BX90" s="249" t="s">
        <v>678</v>
      </c>
      <c r="BY90" s="249" t="s">
        <v>678</v>
      </c>
      <c r="BZ90" s="249">
        <v>13.498233215547703</v>
      </c>
      <c r="CA90" s="249">
        <v>48.480565371024738</v>
      </c>
      <c r="CB90" s="249" t="s">
        <v>678</v>
      </c>
      <c r="CC90" s="250" t="s">
        <v>678</v>
      </c>
      <c r="CD90" s="242" t="s">
        <v>678</v>
      </c>
      <c r="CE90" s="252" t="s">
        <v>678</v>
      </c>
      <c r="CF90" s="238">
        <v>674</v>
      </c>
      <c r="CG90" s="238">
        <v>91</v>
      </c>
      <c r="CH90" s="238">
        <v>6.4310954063604244</v>
      </c>
      <c r="CI90" s="216" t="s">
        <v>722</v>
      </c>
      <c r="CJ90" s="237">
        <v>1</v>
      </c>
      <c r="CK90" s="253">
        <v>48.66</v>
      </c>
      <c r="CL90" s="253">
        <v>10.090999999999999</v>
      </c>
      <c r="CM90" s="254">
        <v>2.7272972972972971E-3</v>
      </c>
      <c r="CN90" s="237" t="s">
        <v>791</v>
      </c>
      <c r="CO90" s="242">
        <v>432.37</v>
      </c>
      <c r="CP90" s="255">
        <v>0.11685675675675676</v>
      </c>
      <c r="CV90" s="237">
        <v>1</v>
      </c>
      <c r="CW90" s="261" t="s">
        <v>678</v>
      </c>
      <c r="CX90" s="261" t="s">
        <v>678</v>
      </c>
      <c r="CY90" s="261" t="s">
        <v>678</v>
      </c>
      <c r="DB90" s="216" t="s">
        <v>681</v>
      </c>
      <c r="DC90" s="256"/>
      <c r="DD90" s="256">
        <v>0.8</v>
      </c>
      <c r="DE90" s="256">
        <v>-10</v>
      </c>
      <c r="DF90" s="256">
        <v>0.5</v>
      </c>
      <c r="DG90" s="256">
        <v>-2.2999999999999998</v>
      </c>
      <c r="DH90" s="257">
        <v>2</v>
      </c>
      <c r="DI90" s="257">
        <v>1.1000000000000001</v>
      </c>
      <c r="DJ90" s="257">
        <v>2.66</v>
      </c>
      <c r="DK90" s="257">
        <v>3.76</v>
      </c>
      <c r="DL90" s="237" t="s">
        <v>682</v>
      </c>
      <c r="DP90" s="258" t="s">
        <v>682</v>
      </c>
      <c r="DQ90" s="258"/>
      <c r="DR90" s="258"/>
      <c r="DS90" s="258"/>
      <c r="DT90" s="258"/>
      <c r="DU90" s="237">
        <v>0</v>
      </c>
      <c r="DX90" s="247"/>
      <c r="DY90" s="247">
        <v>0</v>
      </c>
      <c r="EA90" s="237">
        <v>1</v>
      </c>
      <c r="EB90" s="237" t="s">
        <v>859</v>
      </c>
      <c r="ED90" s="237" t="s">
        <v>687</v>
      </c>
      <c r="EE90" s="208">
        <v>1</v>
      </c>
      <c r="EF90" s="237" t="s">
        <v>688</v>
      </c>
      <c r="EG90" s="216" t="s">
        <v>733</v>
      </c>
      <c r="EH90" s="246" t="s">
        <v>734</v>
      </c>
      <c r="EI90" s="216"/>
      <c r="EJ90" s="216" t="s">
        <v>529</v>
      </c>
      <c r="EK90" s="222" t="s">
        <v>682</v>
      </c>
      <c r="EL90" s="259">
        <v>2001</v>
      </c>
      <c r="EM90" s="260">
        <v>1015</v>
      </c>
      <c r="EN90" s="260">
        <v>62498</v>
      </c>
      <c r="EO90" s="260">
        <v>42304</v>
      </c>
      <c r="EP90" s="237">
        <v>2</v>
      </c>
      <c r="EQ90" s="237">
        <v>127</v>
      </c>
      <c r="ER90" s="237" t="s">
        <v>973</v>
      </c>
      <c r="ES90" s="237">
        <v>1415</v>
      </c>
      <c r="ET90" s="237">
        <v>41.678817733990151</v>
      </c>
      <c r="EU90" s="661">
        <v>1</v>
      </c>
      <c r="EV90" s="661" t="s">
        <v>678</v>
      </c>
      <c r="EW90" s="661">
        <v>3</v>
      </c>
      <c r="EX90" s="661">
        <v>4</v>
      </c>
      <c r="EY90" s="660">
        <v>1.3151351351351351E-2</v>
      </c>
      <c r="EZ90" s="256">
        <v>29.0793259350596</v>
      </c>
      <c r="FA90" s="247">
        <v>8.2034454470877774E-2</v>
      </c>
      <c r="FB90" s="208">
        <v>4</v>
      </c>
      <c r="FC90" s="208">
        <v>4</v>
      </c>
      <c r="FD90" s="208">
        <v>5</v>
      </c>
      <c r="FE90" s="239">
        <v>0.79081214109926168</v>
      </c>
      <c r="FF90" s="208"/>
      <c r="FG90" s="241">
        <v>3.0844954881050039E-3</v>
      </c>
      <c r="FH90" s="209">
        <v>0</v>
      </c>
      <c r="FI90" s="237" t="s">
        <v>678</v>
      </c>
      <c r="FJ90" s="208">
        <v>41.5</v>
      </c>
      <c r="FK90" s="208">
        <v>7.62</v>
      </c>
      <c r="FL90" s="217">
        <v>42.4</v>
      </c>
      <c r="FM90" s="208">
        <v>2.31</v>
      </c>
      <c r="FN90" s="208" t="s">
        <v>1083</v>
      </c>
      <c r="FP90" s="247" t="s">
        <v>693</v>
      </c>
      <c r="FU90" s="208">
        <v>30</v>
      </c>
      <c r="FV90" s="208">
        <v>26.2</v>
      </c>
      <c r="FW90" s="237">
        <v>50.87</v>
      </c>
      <c r="FX90" s="237">
        <v>29.2</v>
      </c>
      <c r="FY90" s="208">
        <v>6.56</v>
      </c>
      <c r="FZ90" s="208">
        <v>12.3</v>
      </c>
      <c r="GA90" s="208">
        <v>23.63</v>
      </c>
      <c r="GB90" s="208">
        <v>12</v>
      </c>
      <c r="GC90" s="208">
        <v>0.26</v>
      </c>
      <c r="GD90" s="208">
        <v>45.7</v>
      </c>
      <c r="GE90" s="237">
        <v>19.05</v>
      </c>
      <c r="GF90" s="237">
        <v>14.3</v>
      </c>
      <c r="GG90" s="237">
        <v>29.44</v>
      </c>
      <c r="GH90" s="237">
        <v>98.6</v>
      </c>
      <c r="GJ90" s="947"/>
      <c r="GK90" s="320"/>
      <c r="GL90" s="320"/>
      <c r="GM90" s="320"/>
      <c r="GN90" s="320"/>
      <c r="GO90" s="662">
        <v>8085</v>
      </c>
      <c r="GP90" s="663" t="str">
        <f>VLOOKUP(GS90,'BD Comarcal'!$A$6:$AV$17,48,FALSE)</f>
        <v>03</v>
      </c>
      <c r="GQ90" s="564">
        <v>15</v>
      </c>
      <c r="GR90" s="256">
        <f t="shared" si="1"/>
        <v>1</v>
      </c>
      <c r="GS90" s="237" t="s">
        <v>791</v>
      </c>
    </row>
    <row r="91" spans="1:201" s="237" customFormat="1" ht="17.25" customHeight="1">
      <c r="A91" s="236" t="s">
        <v>1084</v>
      </c>
      <c r="C91" s="238"/>
      <c r="D91" s="238">
        <v>2950</v>
      </c>
      <c r="E91" s="238">
        <v>900</v>
      </c>
      <c r="F91" s="239">
        <v>0.30508474576271188</v>
      </c>
      <c r="G91" s="238">
        <v>666</v>
      </c>
      <c r="H91" s="240">
        <v>261.87082342425947</v>
      </c>
      <c r="I91" s="239">
        <v>0.29096758158251051</v>
      </c>
      <c r="J91" s="238">
        <v>1461</v>
      </c>
      <c r="K91" s="238">
        <v>114</v>
      </c>
      <c r="L91" s="238">
        <v>424</v>
      </c>
      <c r="M91" s="241">
        <v>0.14372881355932204</v>
      </c>
      <c r="N91" s="238">
        <v>7</v>
      </c>
      <c r="O91" s="239">
        <v>4.7912388774811769E-3</v>
      </c>
      <c r="P91" s="237">
        <v>52</v>
      </c>
      <c r="Q91" s="237">
        <v>0</v>
      </c>
      <c r="R91" s="239">
        <v>0</v>
      </c>
      <c r="S91" s="238">
        <v>4316</v>
      </c>
      <c r="T91" s="436">
        <v>0</v>
      </c>
      <c r="U91" s="436">
        <v>0</v>
      </c>
      <c r="V91" s="436">
        <v>172</v>
      </c>
      <c r="W91" s="436">
        <v>172</v>
      </c>
      <c r="X91" s="238">
        <v>19417</v>
      </c>
      <c r="Y91" s="237">
        <v>0.1206</v>
      </c>
      <c r="Z91" s="238">
        <v>253654</v>
      </c>
      <c r="AA91" s="238">
        <v>13044</v>
      </c>
      <c r="AB91" s="238">
        <v>79.7</v>
      </c>
      <c r="AC91" s="238">
        <v>12098</v>
      </c>
      <c r="AD91" s="238">
        <v>21961840.540000003</v>
      </c>
      <c r="AE91" s="238">
        <v>3581539.3000000045</v>
      </c>
      <c r="AF91" s="238">
        <v>17383570.459999997</v>
      </c>
      <c r="AG91" s="238">
        <v>1835402.87</v>
      </c>
      <c r="AH91" s="239">
        <v>0.10558261746189053</v>
      </c>
      <c r="AI91" s="247">
        <v>322.470574</v>
      </c>
      <c r="AJ91" s="242">
        <v>82.366169999999997</v>
      </c>
      <c r="AK91" s="242">
        <v>2.7920735593220338</v>
      </c>
      <c r="AL91" s="242">
        <v>61.542456000000001</v>
      </c>
      <c r="AM91" s="242">
        <v>2.0861849491525426</v>
      </c>
      <c r="AN91" s="242">
        <v>60015.35</v>
      </c>
      <c r="AO91" s="238">
        <v>9241.36</v>
      </c>
      <c r="AP91" s="243">
        <v>26</v>
      </c>
      <c r="AQ91" s="238">
        <v>1</v>
      </c>
      <c r="AR91" s="238">
        <v>1199.529263189447</v>
      </c>
      <c r="AS91" s="238">
        <v>1900.3530580336094</v>
      </c>
      <c r="AT91" s="238">
        <v>1424558.1428571427</v>
      </c>
      <c r="AU91" s="238">
        <v>238.5728751511713</v>
      </c>
      <c r="AV91" s="237">
        <v>1</v>
      </c>
      <c r="AW91" s="237">
        <v>0</v>
      </c>
      <c r="AX91" s="237">
        <v>1</v>
      </c>
      <c r="AY91" s="244" t="s">
        <v>717</v>
      </c>
      <c r="AZ91" s="244" t="s">
        <v>682</v>
      </c>
      <c r="BA91" s="237">
        <v>2010</v>
      </c>
      <c r="BB91" s="245" t="s">
        <v>727</v>
      </c>
      <c r="BC91" s="215" t="s">
        <v>728</v>
      </c>
      <c r="BE91" s="237">
        <v>2</v>
      </c>
      <c r="BF91" s="237">
        <v>39</v>
      </c>
      <c r="BG91" s="246" t="s">
        <v>698</v>
      </c>
      <c r="BI91" s="239">
        <v>0.25016405395552316</v>
      </c>
      <c r="BJ91" s="239">
        <v>7.2985781990521331E-2</v>
      </c>
      <c r="BK91" s="239">
        <v>0.65679912504557059</v>
      </c>
      <c r="BL91" s="239">
        <v>2.005103900838498E-2</v>
      </c>
      <c r="BM91" s="247">
        <v>1.5532628508931827</v>
      </c>
      <c r="BN91" s="248">
        <v>0</v>
      </c>
      <c r="BO91" s="248">
        <v>0</v>
      </c>
      <c r="BP91" s="237">
        <v>0</v>
      </c>
      <c r="BQ91" s="237">
        <v>0</v>
      </c>
      <c r="BR91" s="248">
        <v>0</v>
      </c>
      <c r="BS91" s="237">
        <v>7</v>
      </c>
      <c r="BT91" s="237" t="s">
        <v>729</v>
      </c>
      <c r="BU91" s="249">
        <v>1497</v>
      </c>
      <c r="BV91" s="249">
        <v>2050</v>
      </c>
      <c r="BW91" s="249">
        <v>9620</v>
      </c>
      <c r="BX91" s="249" t="s">
        <v>678</v>
      </c>
      <c r="BY91" s="249">
        <v>7.8483799937087131</v>
      </c>
      <c r="BZ91" s="249">
        <v>10.747614553842928</v>
      </c>
      <c r="CA91" s="249">
        <v>50.435147320960468</v>
      </c>
      <c r="CB91" s="249" t="s">
        <v>678</v>
      </c>
      <c r="CC91" s="250">
        <v>95.475516409772467</v>
      </c>
      <c r="CD91" s="242">
        <v>-915</v>
      </c>
      <c r="CE91" s="252">
        <v>95.202893991821327</v>
      </c>
      <c r="CF91" s="238">
        <v>7676</v>
      </c>
      <c r="CG91" s="238">
        <v>1674</v>
      </c>
      <c r="CH91" s="238">
        <v>8.7763447625039319</v>
      </c>
      <c r="CI91" s="216" t="s">
        <v>679</v>
      </c>
      <c r="CJ91" s="237">
        <v>0</v>
      </c>
      <c r="CK91" s="253">
        <v>312</v>
      </c>
      <c r="CL91" s="253">
        <v>173.1165</v>
      </c>
      <c r="CM91" s="254">
        <v>5.8683559322033896E-2</v>
      </c>
      <c r="CN91" s="237" t="s">
        <v>24</v>
      </c>
      <c r="CO91" s="242"/>
      <c r="CP91" s="255">
        <v>0</v>
      </c>
      <c r="CV91" s="237">
        <v>11</v>
      </c>
      <c r="CW91" s="194">
        <v>0.45200000000000001</v>
      </c>
      <c r="CX91" s="194">
        <v>0.63500000000000001</v>
      </c>
      <c r="CY91" s="194" t="s">
        <v>680</v>
      </c>
      <c r="DB91" s="216" t="s">
        <v>710</v>
      </c>
      <c r="DC91" s="195" t="s">
        <v>711</v>
      </c>
      <c r="DD91" s="256">
        <v>0.8</v>
      </c>
      <c r="DE91" s="256">
        <v>-10</v>
      </c>
      <c r="DF91" s="256">
        <v>0.5</v>
      </c>
      <c r="DG91" s="256">
        <v>-2.2999999999999998</v>
      </c>
      <c r="DL91" s="237" t="s">
        <v>529</v>
      </c>
      <c r="DN91" s="237" t="s">
        <v>730</v>
      </c>
      <c r="DP91" s="258" t="s">
        <v>683</v>
      </c>
      <c r="DQ91" s="258" t="s">
        <v>872</v>
      </c>
      <c r="DR91" s="258" t="s">
        <v>1085</v>
      </c>
      <c r="DS91" s="258"/>
      <c r="DT91" s="258"/>
      <c r="DU91" s="237">
        <v>0</v>
      </c>
      <c r="DX91" s="247"/>
      <c r="DY91" s="247">
        <v>0</v>
      </c>
      <c r="EA91" s="237">
        <v>0</v>
      </c>
      <c r="ED91" s="237" t="s">
        <v>678</v>
      </c>
      <c r="EE91" s="208">
        <v>1</v>
      </c>
      <c r="EF91" s="237" t="s">
        <v>678</v>
      </c>
      <c r="EG91" s="216" t="s">
        <v>691</v>
      </c>
      <c r="EH91" s="246" t="s">
        <v>690</v>
      </c>
      <c r="EI91" s="216"/>
      <c r="EJ91" s="216" t="s">
        <v>529</v>
      </c>
      <c r="EK91" s="222" t="s">
        <v>682</v>
      </c>
      <c r="EL91" s="259">
        <v>2009</v>
      </c>
      <c r="EM91" s="260">
        <v>26660</v>
      </c>
      <c r="EN91" s="260">
        <v>724001</v>
      </c>
      <c r="EO91" s="260">
        <v>611449.14285714284</v>
      </c>
      <c r="ER91" s="237" t="s">
        <v>705</v>
      </c>
      <c r="ES91" s="237" t="e">
        <v>#DIV/0!</v>
      </c>
      <c r="ET91" s="237">
        <v>22.935076626299431</v>
      </c>
      <c r="EU91" s="661">
        <v>1</v>
      </c>
      <c r="EV91" s="661">
        <v>1</v>
      </c>
      <c r="EW91" s="661">
        <v>6</v>
      </c>
      <c r="EX91" s="661">
        <v>6</v>
      </c>
      <c r="EY91" s="660">
        <v>0.10576271186440678</v>
      </c>
      <c r="EZ91" s="256">
        <v>61.134615384615387</v>
      </c>
      <c r="FA91" s="247">
        <v>1.2222222222222223</v>
      </c>
      <c r="FB91" s="208">
        <v>4</v>
      </c>
      <c r="FC91" s="208">
        <v>4</v>
      </c>
      <c r="FD91" s="208">
        <v>4</v>
      </c>
      <c r="FE91" s="239">
        <v>0.74</v>
      </c>
      <c r="FF91" s="208"/>
      <c r="FG91" s="241">
        <v>0</v>
      </c>
      <c r="FH91" s="209">
        <v>0</v>
      </c>
      <c r="FI91" s="237" t="s">
        <v>678</v>
      </c>
      <c r="FJ91" s="208">
        <v>45.4</v>
      </c>
      <c r="FK91" s="208">
        <v>1.41</v>
      </c>
      <c r="FL91" s="217">
        <v>29.5</v>
      </c>
      <c r="FM91" s="208">
        <v>2.46</v>
      </c>
      <c r="FN91" s="208" t="s">
        <v>1086</v>
      </c>
      <c r="FP91" s="247" t="s">
        <v>693</v>
      </c>
      <c r="FU91" s="208">
        <v>22</v>
      </c>
      <c r="FV91" s="208">
        <v>8</v>
      </c>
      <c r="FW91" s="237">
        <v>100</v>
      </c>
      <c r="FX91" s="237">
        <v>98.3</v>
      </c>
      <c r="FY91" s="208">
        <v>10.47</v>
      </c>
      <c r="FZ91" s="208">
        <v>20</v>
      </c>
      <c r="GA91" s="208">
        <v>25.84</v>
      </c>
      <c r="GB91" s="208">
        <v>14.4</v>
      </c>
      <c r="GC91" s="208">
        <v>0.03</v>
      </c>
      <c r="GD91" s="208">
        <v>18.7</v>
      </c>
      <c r="GE91" s="237">
        <v>20.27</v>
      </c>
      <c r="GF91" s="237">
        <v>16.600000000000001</v>
      </c>
      <c r="GG91" s="237">
        <v>3.57</v>
      </c>
      <c r="GH91" s="237">
        <v>32.799999999999997</v>
      </c>
      <c r="GJ91" s="947">
        <v>649</v>
      </c>
      <c r="GK91" s="320"/>
      <c r="GL91" s="320"/>
      <c r="GM91" s="320"/>
      <c r="GN91" s="320"/>
      <c r="GO91" s="662">
        <v>8086</v>
      </c>
      <c r="GP91" s="663" t="str">
        <f>VLOOKUP(GS91,'BD Comarcal'!$A$6:$AV$17,48,FALSE)</f>
        <v>41</v>
      </c>
      <c r="GQ91" s="564">
        <v>101</v>
      </c>
      <c r="GR91" s="256">
        <f t="shared" si="1"/>
        <v>0</v>
      </c>
      <c r="GS91" s="237" t="s">
        <v>24</v>
      </c>
    </row>
    <row r="92" spans="1:201" s="237" customFormat="1" ht="17.25" customHeight="1">
      <c r="A92" s="236" t="s">
        <v>1087</v>
      </c>
      <c r="C92" s="238"/>
      <c r="D92" s="238">
        <v>1640</v>
      </c>
      <c r="E92" s="238">
        <v>1512</v>
      </c>
      <c r="F92" s="239">
        <v>0.92195121951219516</v>
      </c>
      <c r="G92" s="238">
        <v>1383</v>
      </c>
      <c r="H92" s="240">
        <v>507.55492945439795</v>
      </c>
      <c r="I92" s="239">
        <v>0.33568447715237959</v>
      </c>
      <c r="J92" s="238">
        <v>64</v>
      </c>
      <c r="K92" s="238">
        <v>136</v>
      </c>
      <c r="L92" s="238" t="s">
        <v>678</v>
      </c>
      <c r="M92" s="241" t="s">
        <v>678</v>
      </c>
      <c r="N92" s="238" t="s">
        <v>678</v>
      </c>
      <c r="O92" s="239" t="s">
        <v>678</v>
      </c>
      <c r="P92" s="237" t="s">
        <v>678</v>
      </c>
      <c r="Q92" s="237" t="s">
        <v>678</v>
      </c>
      <c r="R92" s="239" t="s">
        <v>678</v>
      </c>
      <c r="S92" s="238" t="s">
        <v>678</v>
      </c>
      <c r="T92" s="436">
        <v>0</v>
      </c>
      <c r="U92" s="436">
        <v>20</v>
      </c>
      <c r="V92" s="436">
        <v>0</v>
      </c>
      <c r="W92" s="436">
        <v>20</v>
      </c>
      <c r="X92" s="238">
        <v>187</v>
      </c>
      <c r="Y92" s="237">
        <v>0.14849999999999999</v>
      </c>
      <c r="Z92" s="238">
        <v>2296</v>
      </c>
      <c r="AA92" s="238">
        <v>11656</v>
      </c>
      <c r="AB92" s="238">
        <v>71.22</v>
      </c>
      <c r="AC92" s="238">
        <v>0</v>
      </c>
      <c r="AD92" s="238">
        <v>462575.62</v>
      </c>
      <c r="AE92" s="238">
        <v>47.679999999934807</v>
      </c>
      <c r="AF92" s="238">
        <v>293349.87000000005</v>
      </c>
      <c r="AG92" s="238">
        <v>38725.620000000003</v>
      </c>
      <c r="AH92" s="239">
        <v>0.13201171693036712</v>
      </c>
      <c r="AI92" s="242">
        <v>21.649601000000001</v>
      </c>
      <c r="AJ92" s="242">
        <v>1.3407009999999999</v>
      </c>
      <c r="AK92" s="242">
        <v>8.1750060975609759E-2</v>
      </c>
      <c r="AL92" s="242" t="s">
        <v>678</v>
      </c>
      <c r="AM92" s="242" t="s">
        <v>678</v>
      </c>
      <c r="AN92" s="242">
        <v>3769.1</v>
      </c>
      <c r="AO92" s="238">
        <v>556.46</v>
      </c>
      <c r="AP92" s="243">
        <v>0</v>
      </c>
      <c r="AQ92" s="238"/>
      <c r="AR92" s="238">
        <v>2006.2120070322947</v>
      </c>
      <c r="AS92" s="238">
        <v>1724.0077725356439</v>
      </c>
      <c r="AT92" s="238">
        <v>8566.3333333333339</v>
      </c>
      <c r="AU92" s="238">
        <v>245.25204002335877</v>
      </c>
      <c r="AV92" s="237">
        <v>1</v>
      </c>
      <c r="AW92" s="237">
        <v>1</v>
      </c>
      <c r="AX92" s="237">
        <v>1</v>
      </c>
      <c r="AY92" s="244" t="s">
        <v>717</v>
      </c>
      <c r="AZ92" s="244" t="s">
        <v>695</v>
      </c>
      <c r="BA92" s="237">
        <v>0</v>
      </c>
      <c r="BB92" s="245" t="s">
        <v>839</v>
      </c>
      <c r="BC92" s="215" t="s">
        <v>840</v>
      </c>
      <c r="BE92" s="237">
        <v>0</v>
      </c>
      <c r="BF92" s="237">
        <v>30</v>
      </c>
      <c r="BG92" s="246" t="s">
        <v>698</v>
      </c>
      <c r="BI92" s="239">
        <v>0.62616822429906538</v>
      </c>
      <c r="BJ92" s="239">
        <v>0.16822429906542055</v>
      </c>
      <c r="BK92" s="239">
        <v>0.19626168224299065</v>
      </c>
      <c r="BL92" s="239">
        <v>9.3457943925233638E-3</v>
      </c>
      <c r="BM92" s="247">
        <v>2.4112149532710281</v>
      </c>
      <c r="BN92" s="248">
        <v>0</v>
      </c>
      <c r="BO92" s="248">
        <v>0</v>
      </c>
      <c r="BP92" s="237">
        <v>0</v>
      </c>
      <c r="BQ92" s="237">
        <v>0</v>
      </c>
      <c r="BR92" s="248">
        <v>0</v>
      </c>
      <c r="BS92" s="268" t="s">
        <v>1088</v>
      </c>
      <c r="BT92" s="268"/>
      <c r="BU92" s="249" t="s">
        <v>678</v>
      </c>
      <c r="BV92" s="249" t="s">
        <v>678</v>
      </c>
      <c r="BW92" s="249" t="s">
        <v>678</v>
      </c>
      <c r="BX92" s="249" t="s">
        <v>678</v>
      </c>
      <c r="BY92" s="249" t="s">
        <v>678</v>
      </c>
      <c r="BZ92" s="249" t="s">
        <v>678</v>
      </c>
      <c r="CA92" s="249" t="s">
        <v>678</v>
      </c>
      <c r="CB92" s="249" t="s">
        <v>678</v>
      </c>
      <c r="CC92" s="250" t="s">
        <v>678</v>
      </c>
      <c r="CD92" s="242" t="s">
        <v>678</v>
      </c>
      <c r="CE92" s="252" t="s">
        <v>678</v>
      </c>
      <c r="CF92" s="238">
        <v>117</v>
      </c>
      <c r="CG92" s="238">
        <v>11.7</v>
      </c>
      <c r="CH92" s="238">
        <v>5.85</v>
      </c>
      <c r="CI92" s="216" t="s">
        <v>700</v>
      </c>
      <c r="CJ92" s="237">
        <v>0</v>
      </c>
      <c r="CK92" s="253">
        <v>21.65</v>
      </c>
      <c r="CL92" s="253">
        <v>3.1473</v>
      </c>
      <c r="CM92" s="254">
        <v>1.9190853658536586E-3</v>
      </c>
      <c r="CN92" s="237" t="s">
        <v>89</v>
      </c>
      <c r="CO92" s="242">
        <v>849.26</v>
      </c>
      <c r="CP92" s="255">
        <v>0.51784146341463411</v>
      </c>
      <c r="CW92" s="261" t="s">
        <v>678</v>
      </c>
      <c r="CX92" s="261" t="s">
        <v>678</v>
      </c>
      <c r="CY92" s="261" t="s">
        <v>678</v>
      </c>
      <c r="DB92" s="216" t="s">
        <v>710</v>
      </c>
      <c r="DC92" s="256" t="s">
        <v>1089</v>
      </c>
      <c r="DD92" s="256">
        <v>0.8</v>
      </c>
      <c r="DE92" s="256">
        <v>-10</v>
      </c>
      <c r="DF92" s="256">
        <v>0.5</v>
      </c>
      <c r="DG92" s="256">
        <v>-2.2999999999999998</v>
      </c>
      <c r="DH92" s="257">
        <v>1</v>
      </c>
      <c r="DI92" s="257">
        <v>1129.44</v>
      </c>
      <c r="DJ92" s="257">
        <v>99.84</v>
      </c>
      <c r="DK92" s="257">
        <v>1229.28</v>
      </c>
      <c r="DL92" s="237" t="s">
        <v>682</v>
      </c>
      <c r="DP92" s="258" t="s">
        <v>682</v>
      </c>
      <c r="DQ92" s="258"/>
      <c r="DR92" s="258"/>
      <c r="DS92" s="258"/>
      <c r="DT92" s="258"/>
      <c r="DU92" s="237">
        <v>0</v>
      </c>
      <c r="DX92" s="247"/>
      <c r="DY92" s="247">
        <v>0</v>
      </c>
      <c r="EA92" s="237">
        <v>0</v>
      </c>
      <c r="ED92" s="237" t="s">
        <v>732</v>
      </c>
      <c r="EE92" s="208">
        <v>0</v>
      </c>
      <c r="EF92" s="237" t="s">
        <v>688</v>
      </c>
      <c r="EG92" s="216" t="s">
        <v>703</v>
      </c>
      <c r="EH92" s="246" t="s">
        <v>704</v>
      </c>
      <c r="EI92" s="216"/>
      <c r="EJ92" s="216" t="s">
        <v>529</v>
      </c>
      <c r="EK92" s="222" t="s">
        <v>682</v>
      </c>
      <c r="EL92" s="259">
        <v>2010</v>
      </c>
      <c r="EM92" s="260">
        <v>200</v>
      </c>
      <c r="EN92" s="260">
        <v>8268</v>
      </c>
      <c r="EO92" s="260">
        <v>710</v>
      </c>
      <c r="ER92" s="237" t="s">
        <v>692</v>
      </c>
      <c r="ES92" s="237" t="e">
        <v>#DIV/0!</v>
      </c>
      <c r="ET92" s="237">
        <v>3.55</v>
      </c>
      <c r="EU92" s="661">
        <v>2</v>
      </c>
      <c r="EV92" s="661" t="s">
        <v>678</v>
      </c>
      <c r="EW92" s="661" t="s">
        <v>678</v>
      </c>
      <c r="EX92" s="661">
        <v>3</v>
      </c>
      <c r="EY92" s="660">
        <v>1.3201219512195122E-2</v>
      </c>
      <c r="EZ92" s="256">
        <v>9.237875288683604</v>
      </c>
      <c r="FA92" s="247">
        <v>0</v>
      </c>
      <c r="FB92" s="208">
        <v>2</v>
      </c>
      <c r="FC92" s="208">
        <v>3</v>
      </c>
      <c r="FD92" s="208">
        <v>7</v>
      </c>
      <c r="FE92" s="239">
        <v>0.91468253968253965</v>
      </c>
      <c r="FF92" s="208">
        <v>1</v>
      </c>
      <c r="FG92" s="241">
        <v>0.81301587301587297</v>
      </c>
      <c r="FH92" s="209">
        <v>0</v>
      </c>
      <c r="FI92" s="237" t="s">
        <v>678</v>
      </c>
      <c r="FJ92" s="208">
        <v>58.1</v>
      </c>
      <c r="FK92" s="208">
        <v>37.57</v>
      </c>
      <c r="FL92" s="217">
        <v>79.7</v>
      </c>
      <c r="FM92" s="208">
        <v>9.09</v>
      </c>
      <c r="FN92" s="208" t="s">
        <v>1090</v>
      </c>
      <c r="FP92" s="247" t="s">
        <v>693</v>
      </c>
      <c r="FU92" s="208">
        <v>47</v>
      </c>
      <c r="FV92" s="208">
        <v>69.3</v>
      </c>
      <c r="FW92" s="237">
        <v>71.28</v>
      </c>
      <c r="FX92" s="237">
        <v>55.2</v>
      </c>
      <c r="FY92" s="208">
        <v>89.33</v>
      </c>
      <c r="FZ92" s="208">
        <v>83.5</v>
      </c>
      <c r="GA92" s="208">
        <v>69.86</v>
      </c>
      <c r="GB92" s="208">
        <v>79.5</v>
      </c>
      <c r="GC92" s="208">
        <v>0.01</v>
      </c>
      <c r="GD92" s="208">
        <v>13.4</v>
      </c>
      <c r="GE92" s="237">
        <v>60.85</v>
      </c>
      <c r="GF92" s="237">
        <v>79.900000000000006</v>
      </c>
      <c r="GG92" s="237">
        <v>4.71</v>
      </c>
      <c r="GH92" s="237">
        <v>41.7</v>
      </c>
      <c r="GJ92" s="947"/>
      <c r="GK92" s="320"/>
      <c r="GL92" s="320"/>
      <c r="GM92" s="320"/>
      <c r="GN92" s="320"/>
      <c r="GO92" s="662">
        <v>8087</v>
      </c>
      <c r="GP92" s="663" t="str">
        <f>VLOOKUP(GS92,'BD Comarcal'!$A$6:$AV$17,48,FALSE)</f>
        <v>40</v>
      </c>
      <c r="GQ92" s="564">
        <v>1</v>
      </c>
      <c r="GR92" s="256">
        <f t="shared" si="1"/>
        <v>1</v>
      </c>
      <c r="GS92" s="237" t="s">
        <v>89</v>
      </c>
    </row>
    <row r="93" spans="1:201" s="237" customFormat="1" ht="17.25" customHeight="1">
      <c r="A93" s="236" t="s">
        <v>1091</v>
      </c>
      <c r="C93" s="238"/>
      <c r="D93" s="238">
        <v>1972</v>
      </c>
      <c r="E93" s="238">
        <v>1200</v>
      </c>
      <c r="F93" s="239">
        <v>0.60851926977687631</v>
      </c>
      <c r="G93" s="238">
        <v>1102</v>
      </c>
      <c r="H93" s="240">
        <v>400.7997728277885</v>
      </c>
      <c r="I93" s="239">
        <v>0.33399981068982376</v>
      </c>
      <c r="J93" s="238">
        <v>201</v>
      </c>
      <c r="K93" s="238">
        <v>150</v>
      </c>
      <c r="L93" s="238">
        <v>26</v>
      </c>
      <c r="M93" s="241">
        <v>1.3184584178498986E-2</v>
      </c>
      <c r="N93" s="238">
        <v>0</v>
      </c>
      <c r="O93" s="239">
        <v>0</v>
      </c>
      <c r="P93" s="237">
        <v>5</v>
      </c>
      <c r="Q93" s="237">
        <v>0</v>
      </c>
      <c r="R93" s="239">
        <v>0</v>
      </c>
      <c r="S93" s="238">
        <v>53</v>
      </c>
      <c r="T93" s="436">
        <v>0</v>
      </c>
      <c r="U93" s="436">
        <v>10</v>
      </c>
      <c r="V93" s="436">
        <v>264</v>
      </c>
      <c r="W93" s="436">
        <v>274</v>
      </c>
      <c r="X93" s="238">
        <v>15912</v>
      </c>
      <c r="Y93" s="237">
        <v>0.1535</v>
      </c>
      <c r="Z93" s="238">
        <v>238566</v>
      </c>
      <c r="AA93" s="238">
        <v>15157</v>
      </c>
      <c r="AB93" s="238">
        <v>92.61</v>
      </c>
      <c r="AC93" s="238">
        <v>2580</v>
      </c>
      <c r="AD93" s="238">
        <v>15873682.100000001</v>
      </c>
      <c r="AE93" s="238">
        <v>1950812.4100000057</v>
      </c>
      <c r="AF93" s="238">
        <v>15926248.789999997</v>
      </c>
      <c r="AG93" s="238">
        <v>1554949.58</v>
      </c>
      <c r="AH93" s="239">
        <v>9.7634389648386263E-2</v>
      </c>
      <c r="AI93" s="242">
        <v>281.79844200000002</v>
      </c>
      <c r="AJ93" s="242">
        <v>74.381181999999995</v>
      </c>
      <c r="AK93" s="242">
        <v>3.7718652129817443</v>
      </c>
      <c r="AL93" s="242">
        <v>35.360866000000001</v>
      </c>
      <c r="AM93" s="242">
        <v>1.7931473630831642</v>
      </c>
      <c r="AN93" s="242">
        <v>20433.03</v>
      </c>
      <c r="AO93" s="238">
        <v>5077.99</v>
      </c>
      <c r="AP93" s="243">
        <v>11</v>
      </c>
      <c r="AQ93" s="238">
        <v>1</v>
      </c>
      <c r="AR93" s="238">
        <v>1263.2009110574766</v>
      </c>
      <c r="AS93" s="238">
        <v>2509.5697213914132</v>
      </c>
      <c r="AT93" s="238">
        <v>847895.86666666658</v>
      </c>
      <c r="AU93" s="238">
        <v>244.54217778944948</v>
      </c>
      <c r="AV93" s="237">
        <v>1</v>
      </c>
      <c r="AW93" s="237">
        <v>0</v>
      </c>
      <c r="AX93" s="237">
        <v>1</v>
      </c>
      <c r="AY93" s="244" t="s">
        <v>717</v>
      </c>
      <c r="AZ93" s="244" t="s">
        <v>717</v>
      </c>
      <c r="BA93" s="237">
        <v>2013</v>
      </c>
      <c r="BB93" s="245" t="s">
        <v>727</v>
      </c>
      <c r="BC93" s="215" t="s">
        <v>728</v>
      </c>
      <c r="BE93" s="237">
        <v>8</v>
      </c>
      <c r="BF93" s="237">
        <v>42</v>
      </c>
      <c r="BG93" s="246" t="s">
        <v>698</v>
      </c>
      <c r="BI93" s="239">
        <v>0.31101694915254235</v>
      </c>
      <c r="BJ93" s="239">
        <v>8.8418079096045196E-2</v>
      </c>
      <c r="BK93" s="239">
        <v>0.58305084745762714</v>
      </c>
      <c r="BL93" s="239">
        <v>1.7514124293785311E-2</v>
      </c>
      <c r="BM93" s="247">
        <v>1.6929378531073445</v>
      </c>
      <c r="BN93" s="248">
        <v>0</v>
      </c>
      <c r="BO93" s="248">
        <v>1</v>
      </c>
      <c r="BP93" s="237">
        <v>0</v>
      </c>
      <c r="BQ93" s="237">
        <v>0</v>
      </c>
      <c r="BR93" s="248">
        <v>1</v>
      </c>
      <c r="BS93" s="237">
        <v>11</v>
      </c>
      <c r="BT93" s="237" t="s">
        <v>729</v>
      </c>
      <c r="BU93" s="249" t="s">
        <v>678</v>
      </c>
      <c r="BV93" s="249">
        <v>1261</v>
      </c>
      <c r="BW93" s="249">
        <v>7156</v>
      </c>
      <c r="BX93" s="249">
        <v>2927</v>
      </c>
      <c r="BY93" s="249" t="s">
        <v>678</v>
      </c>
      <c r="BZ93" s="249">
        <v>8.0905941229308347</v>
      </c>
      <c r="CA93" s="249">
        <v>45.912998845117414</v>
      </c>
      <c r="CB93" s="249">
        <v>18.779674066469909</v>
      </c>
      <c r="CC93" s="250" t="s">
        <v>678</v>
      </c>
      <c r="CD93" s="242">
        <v>-604</v>
      </c>
      <c r="CE93" s="252">
        <v>96.124727319389194</v>
      </c>
      <c r="CF93" s="238">
        <v>6988</v>
      </c>
      <c r="CG93" s="238">
        <v>1089</v>
      </c>
      <c r="CH93" s="238">
        <v>6.9870396509688177</v>
      </c>
      <c r="CI93" s="216" t="s">
        <v>679</v>
      </c>
      <c r="CJ93" s="237">
        <v>0</v>
      </c>
      <c r="CK93" s="253">
        <v>324.2</v>
      </c>
      <c r="CL93" s="253">
        <v>154.07310000000001</v>
      </c>
      <c r="CM93" s="254">
        <v>7.8130375253549697E-2</v>
      </c>
      <c r="CN93" s="237" t="s">
        <v>24</v>
      </c>
      <c r="CO93" s="242">
        <v>556.39</v>
      </c>
      <c r="CP93" s="255">
        <v>0.28214503042596351</v>
      </c>
      <c r="CV93" s="237">
        <v>6</v>
      </c>
      <c r="CW93" s="194">
        <v>1.375</v>
      </c>
      <c r="CX93" s="194">
        <v>0.63500000000000001</v>
      </c>
      <c r="CY93" s="194">
        <v>0.11700000000000001</v>
      </c>
      <c r="DB93" s="216" t="s">
        <v>710</v>
      </c>
      <c r="DC93" s="195" t="s">
        <v>711</v>
      </c>
      <c r="DD93" s="256">
        <v>0.8</v>
      </c>
      <c r="DE93" s="256">
        <v>-10</v>
      </c>
      <c r="DF93" s="256">
        <v>0.5</v>
      </c>
      <c r="DG93" s="256">
        <v>-2.2999999999999998</v>
      </c>
      <c r="DH93" s="257">
        <v>1</v>
      </c>
      <c r="DI93" s="257">
        <v>12.19</v>
      </c>
      <c r="DJ93" s="257">
        <v>0</v>
      </c>
      <c r="DK93" s="257">
        <v>12.19</v>
      </c>
      <c r="DL93" s="237" t="s">
        <v>529</v>
      </c>
      <c r="DN93" s="237" t="s">
        <v>730</v>
      </c>
      <c r="DP93" s="258" t="s">
        <v>682</v>
      </c>
      <c r="DQ93" s="258"/>
      <c r="DR93" s="258"/>
      <c r="DS93" s="258"/>
      <c r="DT93" s="258"/>
      <c r="DU93" s="237">
        <v>0</v>
      </c>
      <c r="DX93" s="247"/>
      <c r="DY93" s="247">
        <v>0</v>
      </c>
      <c r="EA93" s="237">
        <v>0</v>
      </c>
      <c r="ED93" s="237" t="s">
        <v>687</v>
      </c>
      <c r="EE93" s="208">
        <v>1</v>
      </c>
      <c r="EF93" s="237" t="s">
        <v>688</v>
      </c>
      <c r="EG93" s="216" t="s">
        <v>689</v>
      </c>
      <c r="EH93" s="246" t="s">
        <v>690</v>
      </c>
      <c r="EI93" s="216" t="s">
        <v>904</v>
      </c>
      <c r="EJ93" s="216" t="s">
        <v>529</v>
      </c>
      <c r="EK93" s="222" t="s">
        <v>682</v>
      </c>
      <c r="EL93" s="259">
        <v>2001</v>
      </c>
      <c r="EM93" s="260">
        <v>5695</v>
      </c>
      <c r="EN93" s="260">
        <v>614685</v>
      </c>
      <c r="EO93" s="260">
        <v>240714.11199999999</v>
      </c>
      <c r="ER93" s="237" t="s">
        <v>705</v>
      </c>
      <c r="ES93" s="237">
        <v>15586</v>
      </c>
      <c r="ET93" s="237">
        <v>42.267622827041265</v>
      </c>
      <c r="EU93" s="661">
        <v>1</v>
      </c>
      <c r="EV93" s="661">
        <v>1</v>
      </c>
      <c r="EW93" s="661">
        <v>4</v>
      </c>
      <c r="EX93" s="661">
        <v>6</v>
      </c>
      <c r="EY93" s="660">
        <v>0.16440162271805273</v>
      </c>
      <c r="EZ93" s="256">
        <v>48.07526218383714</v>
      </c>
      <c r="FA93" s="247">
        <v>0.5</v>
      </c>
      <c r="FB93" s="208">
        <v>4</v>
      </c>
      <c r="FC93" s="208">
        <v>2</v>
      </c>
      <c r="FD93" s="208">
        <v>6</v>
      </c>
      <c r="FE93" s="239">
        <v>0.91833333333333333</v>
      </c>
      <c r="FF93" s="208"/>
      <c r="FG93" s="241">
        <v>1.0158333333333333E-2</v>
      </c>
      <c r="FH93" s="209">
        <v>0</v>
      </c>
      <c r="FI93" s="237" t="s">
        <v>678</v>
      </c>
      <c r="FJ93" s="208">
        <v>53.4</v>
      </c>
      <c r="FK93" s="208">
        <v>26.58</v>
      </c>
      <c r="FL93" s="217">
        <v>68.900000000000006</v>
      </c>
      <c r="FM93" s="208">
        <v>5.08</v>
      </c>
      <c r="FN93" s="208">
        <v>45</v>
      </c>
      <c r="FP93" s="247" t="s">
        <v>693</v>
      </c>
      <c r="FU93" s="208">
        <v>33</v>
      </c>
      <c r="FV93" s="208">
        <v>34.4</v>
      </c>
      <c r="FW93" s="237">
        <v>90.35</v>
      </c>
      <c r="FX93" s="237">
        <v>83.5</v>
      </c>
      <c r="FY93" s="208">
        <v>54.05</v>
      </c>
      <c r="FZ93" s="208">
        <v>65.099999999999994</v>
      </c>
      <c r="GA93" s="208">
        <v>54.47</v>
      </c>
      <c r="GB93" s="208">
        <v>57.8</v>
      </c>
      <c r="GC93" s="208">
        <v>0.05</v>
      </c>
      <c r="GD93" s="208">
        <v>23.4</v>
      </c>
      <c r="GE93" s="237">
        <v>42.01</v>
      </c>
      <c r="GF93" s="237">
        <v>53.8</v>
      </c>
      <c r="GG93" s="237">
        <v>3.79</v>
      </c>
      <c r="GH93" s="237">
        <v>34</v>
      </c>
      <c r="GJ93" s="947">
        <v>332</v>
      </c>
      <c r="GK93" s="320"/>
      <c r="GL93" s="320"/>
      <c r="GM93" s="320"/>
      <c r="GN93" s="320"/>
      <c r="GO93" s="662">
        <v>8088</v>
      </c>
      <c r="GP93" s="663" t="str">
        <f>VLOOKUP(GS93,'BD Comarcal'!$A$6:$AV$17,48,FALSE)</f>
        <v>41</v>
      </c>
      <c r="GQ93" s="564">
        <v>125</v>
      </c>
      <c r="GR93" s="256">
        <f t="shared" si="1"/>
        <v>1</v>
      </c>
      <c r="GS93" s="237" t="s">
        <v>24</v>
      </c>
    </row>
    <row r="94" spans="1:201" s="237" customFormat="1" ht="17.25" customHeight="1">
      <c r="A94" s="236" t="s">
        <v>342</v>
      </c>
      <c r="C94" s="238" t="s">
        <v>683</v>
      </c>
      <c r="D94" s="238">
        <v>3090</v>
      </c>
      <c r="E94" s="238">
        <v>1676</v>
      </c>
      <c r="F94" s="239">
        <v>0.54239482200647249</v>
      </c>
      <c r="G94" s="238">
        <v>480</v>
      </c>
      <c r="H94" s="240">
        <v>367.15874740016761</v>
      </c>
      <c r="I94" s="239">
        <v>0.21906846503589952</v>
      </c>
      <c r="J94" s="238">
        <v>298</v>
      </c>
      <c r="K94" s="238">
        <v>2</v>
      </c>
      <c r="L94" s="238">
        <v>213</v>
      </c>
      <c r="M94" s="241">
        <v>6.8932038834951456E-2</v>
      </c>
      <c r="N94" s="238">
        <v>1</v>
      </c>
      <c r="O94" s="239">
        <v>3.3557046979865771E-3</v>
      </c>
      <c r="P94" s="237">
        <v>6</v>
      </c>
      <c r="Q94" s="237">
        <v>0</v>
      </c>
      <c r="R94" s="239">
        <v>0</v>
      </c>
      <c r="S94" s="238">
        <v>314</v>
      </c>
      <c r="T94" s="436">
        <v>1221</v>
      </c>
      <c r="U94" s="436">
        <v>0</v>
      </c>
      <c r="V94" s="436">
        <v>254</v>
      </c>
      <c r="W94" s="436">
        <v>1475</v>
      </c>
      <c r="X94" s="238">
        <v>46266</v>
      </c>
      <c r="Y94" s="237">
        <v>0.15720000000000001</v>
      </c>
      <c r="Z94" s="238">
        <v>693272</v>
      </c>
      <c r="AA94" s="238">
        <v>14940</v>
      </c>
      <c r="AB94" s="238">
        <v>91.28</v>
      </c>
      <c r="AC94" s="238">
        <v>39106</v>
      </c>
      <c r="AD94" s="238">
        <v>48414350.899999999</v>
      </c>
      <c r="AE94" s="238">
        <v>6511604.1000000089</v>
      </c>
      <c r="AF94" s="238">
        <v>41795997.499999993</v>
      </c>
      <c r="AG94" s="238">
        <v>1132758.4099999999</v>
      </c>
      <c r="AH94" s="239">
        <v>2.7102078614106535E-2</v>
      </c>
      <c r="AI94" s="242">
        <v>624.13755300000003</v>
      </c>
      <c r="AJ94" s="242">
        <v>1350.09788</v>
      </c>
      <c r="AK94" s="242">
        <v>43.692488025889965</v>
      </c>
      <c r="AL94" s="242">
        <v>82.255858000000003</v>
      </c>
      <c r="AM94" s="242">
        <v>2.6620018770226541</v>
      </c>
      <c r="AN94" s="242">
        <v>77127.41</v>
      </c>
      <c r="AO94" s="238">
        <v>10798.31</v>
      </c>
      <c r="AP94" s="243">
        <v>51</v>
      </c>
      <c r="AQ94" s="238">
        <v>1</v>
      </c>
      <c r="AR94" s="238">
        <v>1269.1232615318215</v>
      </c>
      <c r="AS94" s="238">
        <v>1389.0935624256679</v>
      </c>
      <c r="AT94" s="238">
        <v>2767182</v>
      </c>
      <c r="AU94" s="238">
        <v>260.27283279283358</v>
      </c>
      <c r="AV94" s="237">
        <v>1</v>
      </c>
      <c r="AW94" s="237">
        <v>1</v>
      </c>
      <c r="AX94" s="237">
        <v>1</v>
      </c>
      <c r="AY94" s="244" t="s">
        <v>673</v>
      </c>
      <c r="AZ94" s="244" t="s">
        <v>717</v>
      </c>
      <c r="BA94" s="237">
        <v>2010</v>
      </c>
      <c r="BB94" s="245" t="s">
        <v>1092</v>
      </c>
      <c r="BC94" s="215" t="s">
        <v>1093</v>
      </c>
      <c r="BD94" s="237">
        <v>1</v>
      </c>
      <c r="BE94" s="237">
        <v>246</v>
      </c>
      <c r="BF94" s="237">
        <v>2</v>
      </c>
      <c r="BG94" s="246" t="s">
        <v>676</v>
      </c>
      <c r="BI94" s="239">
        <v>0.46846210745746758</v>
      </c>
      <c r="BJ94" s="239">
        <v>0.10601170062537825</v>
      </c>
      <c r="BK94" s="239">
        <v>0.40380606549660414</v>
      </c>
      <c r="BL94" s="239">
        <v>2.1720126420550063E-2</v>
      </c>
      <c r="BM94" s="247">
        <v>2.0212157891197635</v>
      </c>
      <c r="BN94" s="248">
        <v>0</v>
      </c>
      <c r="BO94" s="248">
        <v>2</v>
      </c>
      <c r="BP94" s="237">
        <v>0</v>
      </c>
      <c r="BQ94" s="237">
        <v>0</v>
      </c>
      <c r="BR94" s="248">
        <v>2</v>
      </c>
      <c r="BS94" s="237">
        <v>10</v>
      </c>
      <c r="BT94" s="237" t="s">
        <v>1094</v>
      </c>
      <c r="BU94" s="249">
        <v>3767</v>
      </c>
      <c r="BV94" s="249">
        <v>4121</v>
      </c>
      <c r="BW94" s="249">
        <v>22439</v>
      </c>
      <c r="BX94" s="249">
        <v>7556</v>
      </c>
      <c r="BY94" s="249">
        <v>8.1225607520969447</v>
      </c>
      <c r="BZ94" s="249">
        <v>8.8858701511525116</v>
      </c>
      <c r="CA94" s="249">
        <v>48.383897190417663</v>
      </c>
      <c r="CB94" s="249">
        <v>16.292558811479829</v>
      </c>
      <c r="CC94" s="250">
        <v>90.523319749013524</v>
      </c>
      <c r="CD94" s="242">
        <v>-1456</v>
      </c>
      <c r="CE94" s="252">
        <v>96.860512754166933</v>
      </c>
      <c r="CF94" s="238">
        <v>21428</v>
      </c>
      <c r="CG94" s="238">
        <v>3691</v>
      </c>
      <c r="CH94" s="238">
        <v>7.9586864178364278</v>
      </c>
      <c r="CI94" s="216" t="s">
        <v>679</v>
      </c>
      <c r="CJ94" s="237">
        <v>0</v>
      </c>
      <c r="CK94" s="253">
        <v>375.22</v>
      </c>
      <c r="CL94" s="253">
        <v>830.67819999999995</v>
      </c>
      <c r="CM94" s="254">
        <v>0.26882789644012944</v>
      </c>
      <c r="CN94" s="237" t="s">
        <v>90</v>
      </c>
      <c r="CO94" s="242">
        <v>1034.82</v>
      </c>
      <c r="CP94" s="255">
        <v>0.33489320388349514</v>
      </c>
      <c r="CV94" s="262">
        <v>35</v>
      </c>
      <c r="CW94" s="194">
        <v>1.867</v>
      </c>
      <c r="CX94" s="194">
        <v>4.9000000000000002E-2</v>
      </c>
      <c r="CY94" s="194">
        <v>2.5509999999999997</v>
      </c>
      <c r="CZ94" s="237" t="s">
        <v>529</v>
      </c>
      <c r="DA94" s="237" t="s">
        <v>1095</v>
      </c>
      <c r="DB94" s="216" t="s">
        <v>804</v>
      </c>
      <c r="DC94" s="195" t="s">
        <v>977</v>
      </c>
      <c r="DD94" s="256">
        <v>0.7</v>
      </c>
      <c r="DE94" s="256">
        <v>-6.5</v>
      </c>
      <c r="DF94" s="256">
        <v>0.7</v>
      </c>
      <c r="DG94" s="256">
        <v>-2.2000000000000002</v>
      </c>
      <c r="DH94" s="257">
        <v>11</v>
      </c>
      <c r="DI94" s="257">
        <v>13.05</v>
      </c>
      <c r="DJ94" s="257">
        <v>33.840000000000003</v>
      </c>
      <c r="DK94" s="257">
        <v>46.89</v>
      </c>
      <c r="DL94" s="237" t="s">
        <v>682</v>
      </c>
      <c r="DP94" s="258" t="s">
        <v>682</v>
      </c>
      <c r="DQ94" s="258"/>
      <c r="DR94" s="258"/>
      <c r="DS94" s="258"/>
      <c r="DT94" s="258"/>
      <c r="DU94" s="237">
        <v>4.5</v>
      </c>
      <c r="DV94" s="237" t="s">
        <v>1096</v>
      </c>
      <c r="DW94" s="237" t="s">
        <v>1097</v>
      </c>
      <c r="DX94" s="247">
        <v>43.174999999999997</v>
      </c>
      <c r="DY94" s="247">
        <v>1.3972491909385114</v>
      </c>
      <c r="DZ94" s="237" t="s">
        <v>1098</v>
      </c>
      <c r="EA94" s="237">
        <v>1</v>
      </c>
      <c r="EB94" s="237" t="s">
        <v>979</v>
      </c>
      <c r="EC94" s="237">
        <v>1</v>
      </c>
      <c r="ED94" s="237" t="s">
        <v>732</v>
      </c>
      <c r="EE94" s="208">
        <v>1</v>
      </c>
      <c r="EF94" s="237" t="s">
        <v>688</v>
      </c>
      <c r="EG94" s="216" t="s">
        <v>689</v>
      </c>
      <c r="EH94" s="246" t="s">
        <v>690</v>
      </c>
      <c r="EI94" s="216" t="s">
        <v>691</v>
      </c>
      <c r="EJ94" s="216" t="s">
        <v>529</v>
      </c>
      <c r="EK94" s="222" t="s">
        <v>529</v>
      </c>
      <c r="EL94" s="259">
        <v>1976</v>
      </c>
      <c r="EM94" s="260">
        <v>278325</v>
      </c>
      <c r="EN94" s="260">
        <v>1890488</v>
      </c>
      <c r="EO94" s="260">
        <v>895285</v>
      </c>
      <c r="ER94" s="237" t="s">
        <v>705</v>
      </c>
      <c r="ES94" s="237">
        <v>23188.5</v>
      </c>
      <c r="ET94" s="237">
        <v>3.2166891224288152</v>
      </c>
      <c r="EU94" s="661">
        <v>1</v>
      </c>
      <c r="EV94" s="661">
        <v>3</v>
      </c>
      <c r="EW94" s="661">
        <v>5</v>
      </c>
      <c r="EX94" s="661">
        <v>4</v>
      </c>
      <c r="EY94" s="660">
        <v>0.12143042071197412</v>
      </c>
      <c r="EZ94" s="256">
        <v>123.59948830019721</v>
      </c>
      <c r="FA94" s="247">
        <v>2.0883054892601431</v>
      </c>
      <c r="FB94" s="208">
        <v>3</v>
      </c>
      <c r="FC94" s="208">
        <v>3</v>
      </c>
      <c r="FD94" s="208">
        <v>2</v>
      </c>
      <c r="FE94" s="239">
        <v>0.28639618138424822</v>
      </c>
      <c r="FF94" s="208"/>
      <c r="FG94" s="241">
        <v>2.7977326968973749E-2</v>
      </c>
      <c r="FH94" s="209">
        <v>0</v>
      </c>
      <c r="FI94" s="237" t="s">
        <v>678</v>
      </c>
      <c r="FJ94" s="208">
        <v>38.9</v>
      </c>
      <c r="FK94" s="208">
        <v>8.49</v>
      </c>
      <c r="FL94" s="217">
        <v>43.9</v>
      </c>
      <c r="FM94" s="208">
        <v>0.25</v>
      </c>
      <c r="FN94" s="208" t="s">
        <v>1099</v>
      </c>
      <c r="FO94" s="237">
        <v>3405</v>
      </c>
      <c r="FP94" s="247">
        <v>1.1019417475728155</v>
      </c>
      <c r="FU94" s="208">
        <v>38</v>
      </c>
      <c r="FV94" s="208">
        <v>46.9</v>
      </c>
      <c r="FW94" s="237">
        <v>27.99</v>
      </c>
      <c r="FX94" s="237">
        <v>12.2</v>
      </c>
      <c r="FY94" s="208">
        <v>5.2</v>
      </c>
      <c r="FZ94" s="208">
        <v>9</v>
      </c>
      <c r="GA94" s="208">
        <v>22.47</v>
      </c>
      <c r="GB94" s="208">
        <v>10.199999999999999</v>
      </c>
      <c r="GC94" s="208">
        <v>0.28000000000000003</v>
      </c>
      <c r="GD94" s="208">
        <v>46.9</v>
      </c>
      <c r="GE94" s="237">
        <v>16.46</v>
      </c>
      <c r="GF94" s="237">
        <v>11.3</v>
      </c>
      <c r="GG94" s="237">
        <v>0.52</v>
      </c>
      <c r="GH94" s="237">
        <v>11.5</v>
      </c>
      <c r="GJ94" s="947">
        <v>1194</v>
      </c>
      <c r="GK94" s="320">
        <v>3.0000000000000001E-3</v>
      </c>
      <c r="GL94" s="320">
        <v>0.27</v>
      </c>
      <c r="GM94" s="320">
        <v>4.8000000000000001E-2</v>
      </c>
      <c r="GN94" s="320">
        <v>0.67900000000000005</v>
      </c>
      <c r="GO94" s="662">
        <v>8089</v>
      </c>
      <c r="GP94" s="663" t="str">
        <f>VLOOKUP(GS94,'BD Comarcal'!$A$6:$AV$17,48,FALSE)</f>
        <v>11</v>
      </c>
      <c r="GQ94" s="564">
        <v>273</v>
      </c>
      <c r="GR94" s="256">
        <f t="shared" si="1"/>
        <v>1</v>
      </c>
      <c r="GS94" s="237" t="s">
        <v>90</v>
      </c>
    </row>
    <row r="95" spans="1:201" s="237" customFormat="1" ht="17.25" customHeight="1">
      <c r="A95" s="236" t="s">
        <v>1100</v>
      </c>
      <c r="C95" s="238"/>
      <c r="D95" s="238">
        <v>3986</v>
      </c>
      <c r="E95" s="238">
        <v>3245</v>
      </c>
      <c r="F95" s="239">
        <v>0.81409934771700954</v>
      </c>
      <c r="G95" s="238">
        <v>2757</v>
      </c>
      <c r="H95" s="240">
        <v>2810.864107817255</v>
      </c>
      <c r="I95" s="239">
        <v>0.8662139007141002</v>
      </c>
      <c r="J95" s="238">
        <v>716</v>
      </c>
      <c r="K95" s="238">
        <v>240</v>
      </c>
      <c r="L95" s="238">
        <v>0</v>
      </c>
      <c r="M95" s="241">
        <v>0</v>
      </c>
      <c r="N95" s="238">
        <v>0</v>
      </c>
      <c r="O95" s="239">
        <v>0</v>
      </c>
      <c r="P95" s="237">
        <v>12</v>
      </c>
      <c r="Q95" s="237">
        <v>0</v>
      </c>
      <c r="R95" s="239">
        <v>0</v>
      </c>
      <c r="S95" s="238">
        <v>3695</v>
      </c>
      <c r="T95" s="436">
        <v>0</v>
      </c>
      <c r="U95" s="436">
        <v>0</v>
      </c>
      <c r="V95" s="436">
        <v>0</v>
      </c>
      <c r="W95" s="436">
        <v>0</v>
      </c>
      <c r="X95" s="238">
        <v>160</v>
      </c>
      <c r="Y95" s="237">
        <v>0.1227</v>
      </c>
      <c r="Z95" s="238">
        <v>2576</v>
      </c>
      <c r="AA95" s="238">
        <v>15335</v>
      </c>
      <c r="AB95" s="238">
        <v>93.7</v>
      </c>
      <c r="AC95" s="238">
        <v>0</v>
      </c>
      <c r="AD95" s="238">
        <v>376952.33999999997</v>
      </c>
      <c r="AE95" s="238">
        <v>56577.859999999986</v>
      </c>
      <c r="AF95" s="238">
        <v>576562.15</v>
      </c>
      <c r="AG95" s="238">
        <v>344328.46</v>
      </c>
      <c r="AH95" s="239">
        <v>0.59720961565028163</v>
      </c>
      <c r="AI95" s="242">
        <v>4.2225720000000004</v>
      </c>
      <c r="AJ95" s="242">
        <v>0.82163399999999998</v>
      </c>
      <c r="AK95" s="242">
        <v>2.0612995484194679E-2</v>
      </c>
      <c r="AL95" s="242" t="s">
        <v>678</v>
      </c>
      <c r="AM95" s="242" t="s">
        <v>678</v>
      </c>
      <c r="AN95" s="242">
        <v>19766.71</v>
      </c>
      <c r="AO95" s="238">
        <v>0</v>
      </c>
      <c r="AP95" s="243">
        <v>0</v>
      </c>
      <c r="AQ95" s="238">
        <v>1</v>
      </c>
      <c r="AR95" s="238">
        <v>2632.5789542555262</v>
      </c>
      <c r="AS95" s="238">
        <v>627.06229745657993</v>
      </c>
      <c r="AT95" s="238">
        <v>23698</v>
      </c>
      <c r="AU95" s="238">
        <v>225.76908883735794</v>
      </c>
      <c r="AV95" s="237">
        <v>1</v>
      </c>
      <c r="AW95" s="237">
        <v>1</v>
      </c>
      <c r="AX95" s="237">
        <v>1</v>
      </c>
      <c r="AY95" s="244" t="s">
        <v>673</v>
      </c>
      <c r="AZ95" s="244" t="s">
        <v>726</v>
      </c>
      <c r="BA95" s="237">
        <v>0</v>
      </c>
      <c r="BB95" s="245" t="s">
        <v>818</v>
      </c>
      <c r="BC95" s="215" t="s">
        <v>819</v>
      </c>
      <c r="BE95" s="237">
        <v>3</v>
      </c>
      <c r="BF95" s="237">
        <v>70</v>
      </c>
      <c r="BG95" s="246" t="s">
        <v>698</v>
      </c>
      <c r="BI95" s="239">
        <v>0.92700729927007297</v>
      </c>
      <c r="BJ95" s="239">
        <v>2.1897810218978103E-2</v>
      </c>
      <c r="BK95" s="239">
        <v>5.1094890510948905E-2</v>
      </c>
      <c r="BL95" s="239">
        <v>0</v>
      </c>
      <c r="BM95" s="247">
        <v>2.8759124087591244</v>
      </c>
      <c r="BN95" s="248">
        <v>0</v>
      </c>
      <c r="BO95" s="248">
        <v>0</v>
      </c>
      <c r="BP95" s="237">
        <v>0</v>
      </c>
      <c r="BQ95" s="237">
        <v>0</v>
      </c>
      <c r="BR95" s="248">
        <v>0</v>
      </c>
      <c r="BS95" s="262">
        <v>35</v>
      </c>
      <c r="BT95" s="237" t="s">
        <v>699</v>
      </c>
      <c r="BU95" s="249" t="s">
        <v>678</v>
      </c>
      <c r="BV95" s="249" t="s">
        <v>678</v>
      </c>
      <c r="BW95" s="249" t="s">
        <v>678</v>
      </c>
      <c r="BX95" s="249" t="s">
        <v>678</v>
      </c>
      <c r="BY95" s="249" t="s">
        <v>678</v>
      </c>
      <c r="BZ95" s="249" t="s">
        <v>678</v>
      </c>
      <c r="CA95" s="249" t="s">
        <v>678</v>
      </c>
      <c r="CB95" s="249" t="s">
        <v>678</v>
      </c>
      <c r="CC95" s="250" t="s">
        <v>678</v>
      </c>
      <c r="CD95" s="242" t="s">
        <v>678</v>
      </c>
      <c r="CE95" s="252" t="s">
        <v>678</v>
      </c>
      <c r="CF95" s="238">
        <v>130</v>
      </c>
      <c r="CG95" s="238">
        <v>12</v>
      </c>
      <c r="CH95" s="238">
        <v>7.5471698113207548</v>
      </c>
      <c r="CI95" s="216" t="s">
        <v>722</v>
      </c>
      <c r="CJ95" s="237">
        <v>1</v>
      </c>
      <c r="CK95" s="253">
        <v>4.25</v>
      </c>
      <c r="CL95" s="253">
        <v>0</v>
      </c>
      <c r="CM95" s="254">
        <v>0</v>
      </c>
      <c r="CN95" s="237" t="s">
        <v>82</v>
      </c>
      <c r="CO95" s="242">
        <v>646.99</v>
      </c>
      <c r="CP95" s="255">
        <v>0.16231560461615654</v>
      </c>
      <c r="CV95" s="237">
        <v>2</v>
      </c>
      <c r="CW95" s="261" t="s">
        <v>678</v>
      </c>
      <c r="CX95" s="261" t="s">
        <v>678</v>
      </c>
      <c r="CY95" s="261" t="s">
        <v>678</v>
      </c>
      <c r="DB95" s="216" t="s">
        <v>710</v>
      </c>
      <c r="DC95" s="195" t="s">
        <v>711</v>
      </c>
      <c r="DD95" s="256">
        <v>0.8</v>
      </c>
      <c r="DE95" s="256">
        <v>-10</v>
      </c>
      <c r="DF95" s="256">
        <v>0.5</v>
      </c>
      <c r="DG95" s="256">
        <v>-2.2999999999999998</v>
      </c>
      <c r="DH95" s="257">
        <v>2</v>
      </c>
      <c r="DI95" s="257">
        <v>174.1</v>
      </c>
      <c r="DJ95" s="257">
        <v>4.4000000000000004</v>
      </c>
      <c r="DK95" s="257">
        <v>178.5</v>
      </c>
      <c r="DL95" s="237" t="s">
        <v>529</v>
      </c>
      <c r="DN95" s="237" t="s">
        <v>770</v>
      </c>
      <c r="DP95" s="258" t="s">
        <v>682</v>
      </c>
      <c r="DQ95" s="258"/>
      <c r="DR95" s="258"/>
      <c r="DS95" s="258"/>
      <c r="DT95" s="258"/>
      <c r="DU95" s="237">
        <v>0</v>
      </c>
      <c r="DX95" s="247"/>
      <c r="DY95" s="247">
        <v>0</v>
      </c>
      <c r="EA95" s="237">
        <v>0</v>
      </c>
      <c r="ED95" s="237" t="s">
        <v>701</v>
      </c>
      <c r="EE95" s="208">
        <v>3</v>
      </c>
      <c r="EF95" s="237" t="s">
        <v>702</v>
      </c>
      <c r="EG95" s="216" t="s">
        <v>733</v>
      </c>
      <c r="EH95" s="246" t="s">
        <v>734</v>
      </c>
      <c r="EI95" s="216"/>
      <c r="EJ95" s="216" t="s">
        <v>529</v>
      </c>
      <c r="EK95" s="222" t="s">
        <v>682</v>
      </c>
      <c r="EL95" s="259">
        <v>1986</v>
      </c>
      <c r="EM95" s="260">
        <v>2600</v>
      </c>
      <c r="EN95" s="260">
        <v>6015</v>
      </c>
      <c r="EO95" s="260">
        <v>27972</v>
      </c>
      <c r="ER95" s="237" t="s">
        <v>692</v>
      </c>
      <c r="ES95" s="237" t="e">
        <v>#DIV/0!</v>
      </c>
      <c r="ET95" s="237">
        <v>10.758461538461539</v>
      </c>
      <c r="EU95" s="661">
        <v>3</v>
      </c>
      <c r="EV95" s="661" t="s">
        <v>678</v>
      </c>
      <c r="EW95" s="661">
        <v>1</v>
      </c>
      <c r="EX95" s="661">
        <v>4</v>
      </c>
      <c r="EY95" s="660">
        <v>1.066231811339689E-3</v>
      </c>
      <c r="EZ95" s="256">
        <v>37.411764705882355</v>
      </c>
      <c r="FA95" s="247">
        <v>6.1633281972265024E-2</v>
      </c>
      <c r="FB95" s="208">
        <v>3</v>
      </c>
      <c r="FC95" s="208">
        <v>5</v>
      </c>
      <c r="FD95" s="208">
        <v>5</v>
      </c>
      <c r="FE95" s="239">
        <v>0.84961479198767331</v>
      </c>
      <c r="FF95" s="208"/>
      <c r="FG95" s="241">
        <v>5.5007704160246536E-2</v>
      </c>
      <c r="FH95" s="209">
        <v>0</v>
      </c>
      <c r="FI95" s="237" t="s">
        <v>678</v>
      </c>
      <c r="FJ95" s="208">
        <v>62.4</v>
      </c>
      <c r="FK95" s="208">
        <v>14.39</v>
      </c>
      <c r="FL95" s="217">
        <v>53.3</v>
      </c>
      <c r="FM95" s="208">
        <v>5.22</v>
      </c>
      <c r="FN95" s="208" t="s">
        <v>1101</v>
      </c>
      <c r="FP95" s="247" t="s">
        <v>693</v>
      </c>
      <c r="FU95" s="208">
        <v>54</v>
      </c>
      <c r="FV95" s="208">
        <v>82.1</v>
      </c>
      <c r="FW95" s="237">
        <v>76.44</v>
      </c>
      <c r="FX95" s="237">
        <v>62.5</v>
      </c>
      <c r="FY95" s="208">
        <v>68.17</v>
      </c>
      <c r="FZ95" s="208">
        <v>73.400000000000006</v>
      </c>
      <c r="GA95" s="208">
        <v>70.48</v>
      </c>
      <c r="GB95" s="208">
        <v>80.400000000000006</v>
      </c>
      <c r="GC95" s="208">
        <v>0.68</v>
      </c>
      <c r="GD95" s="208">
        <v>72.400000000000006</v>
      </c>
      <c r="GE95" s="237">
        <v>60.51</v>
      </c>
      <c r="GF95" s="237">
        <v>79.599999999999994</v>
      </c>
      <c r="GG95" s="237">
        <v>7.38</v>
      </c>
      <c r="GH95" s="237">
        <v>57.5</v>
      </c>
      <c r="GJ95" s="947"/>
      <c r="GK95" s="320"/>
      <c r="GL95" s="320"/>
      <c r="GM95" s="320"/>
      <c r="GN95" s="320"/>
      <c r="GO95" s="662">
        <v>8090</v>
      </c>
      <c r="GP95" s="663" t="str">
        <f>VLOOKUP(GS95,'BD Comarcal'!$A$6:$AV$17,48,FALSE)</f>
        <v>07</v>
      </c>
      <c r="GQ95" s="564">
        <v>1</v>
      </c>
      <c r="GR95" s="256">
        <f t="shared" si="1"/>
        <v>1</v>
      </c>
      <c r="GS95" s="237" t="s">
        <v>82</v>
      </c>
    </row>
    <row r="96" spans="1:201" s="237" customFormat="1" ht="17.25" customHeight="1">
      <c r="A96" s="236" t="s">
        <v>1102</v>
      </c>
      <c r="C96" s="238"/>
      <c r="D96" s="238">
        <v>2673</v>
      </c>
      <c r="E96" s="238">
        <v>1559</v>
      </c>
      <c r="F96" s="239">
        <v>0.58323980546202769</v>
      </c>
      <c r="G96" s="238">
        <v>865</v>
      </c>
      <c r="H96" s="240">
        <v>620.82996405819711</v>
      </c>
      <c r="I96" s="239">
        <v>0.39822319695843306</v>
      </c>
      <c r="J96" s="238">
        <v>578</v>
      </c>
      <c r="K96" s="238">
        <v>1</v>
      </c>
      <c r="L96" s="238">
        <v>21</v>
      </c>
      <c r="M96" s="241">
        <v>7.8563411896745237E-3</v>
      </c>
      <c r="N96" s="238">
        <v>37</v>
      </c>
      <c r="O96" s="239">
        <v>6.4013840830449822E-2</v>
      </c>
      <c r="P96" s="237">
        <v>3</v>
      </c>
      <c r="Q96" s="237">
        <v>0</v>
      </c>
      <c r="R96" s="239">
        <v>0</v>
      </c>
      <c r="S96" s="238">
        <v>4</v>
      </c>
      <c r="T96" s="436">
        <v>0</v>
      </c>
      <c r="U96" s="436">
        <v>27</v>
      </c>
      <c r="V96" s="436">
        <v>0</v>
      </c>
      <c r="W96" s="436">
        <v>27</v>
      </c>
      <c r="X96" s="238">
        <v>7238</v>
      </c>
      <c r="Y96" s="237">
        <v>0.14599999999999999</v>
      </c>
      <c r="Z96" s="238">
        <v>95124</v>
      </c>
      <c r="AA96" s="238">
        <v>13115</v>
      </c>
      <c r="AB96" s="238">
        <v>80.13</v>
      </c>
      <c r="AC96" s="238">
        <v>3175</v>
      </c>
      <c r="AD96" s="238">
        <v>7603056.8500000006</v>
      </c>
      <c r="AE96" s="238">
        <v>913689.97999999858</v>
      </c>
      <c r="AF96" s="238">
        <v>5957276.3500000006</v>
      </c>
      <c r="AG96" s="238">
        <v>69871.14</v>
      </c>
      <c r="AH96" s="239">
        <v>1.172870551825248E-2</v>
      </c>
      <c r="AI96" s="242">
        <v>240.904999</v>
      </c>
      <c r="AJ96" s="242">
        <v>32.306935000000003</v>
      </c>
      <c r="AK96" s="242">
        <v>1.2086395435839881</v>
      </c>
      <c r="AL96" s="242">
        <v>131.94879399999999</v>
      </c>
      <c r="AM96" s="242">
        <v>4.936355929667041</v>
      </c>
      <c r="AN96" s="242">
        <v>49926.44</v>
      </c>
      <c r="AO96" s="238">
        <v>13451.37</v>
      </c>
      <c r="AP96" s="243">
        <v>21</v>
      </c>
      <c r="AQ96" s="238">
        <v>1</v>
      </c>
      <c r="AR96" s="238">
        <v>1720.7649166563122</v>
      </c>
      <c r="AS96" s="238">
        <v>1215.4192755483461</v>
      </c>
      <c r="AT96" s="238">
        <v>709903.33333333337</v>
      </c>
      <c r="AU96" s="238">
        <v>274.6232198303303</v>
      </c>
      <c r="AV96" s="237">
        <v>1</v>
      </c>
      <c r="AW96" s="237">
        <v>0</v>
      </c>
      <c r="AX96" s="237">
        <v>1</v>
      </c>
      <c r="AY96" s="244" t="s">
        <v>673</v>
      </c>
      <c r="AZ96" s="244" t="s">
        <v>673</v>
      </c>
      <c r="BA96" s="237">
        <v>2010</v>
      </c>
      <c r="BB96" s="245" t="s">
        <v>1022</v>
      </c>
      <c r="BC96" s="215" t="s">
        <v>1023</v>
      </c>
      <c r="BD96" s="237">
        <v>1</v>
      </c>
      <c r="BE96" s="237">
        <v>7</v>
      </c>
      <c r="BF96" s="237">
        <v>37</v>
      </c>
      <c r="BG96" s="246" t="s">
        <v>676</v>
      </c>
      <c r="BI96" s="239">
        <v>0.35271933306867803</v>
      </c>
      <c r="BJ96" s="239">
        <v>9.1306073838824928E-2</v>
      </c>
      <c r="BK96" s="239">
        <v>0.52520841603811041</v>
      </c>
      <c r="BL96" s="239">
        <v>3.0766177054386661E-2</v>
      </c>
      <c r="BM96" s="247">
        <v>1.7659785629217946</v>
      </c>
      <c r="BN96" s="248">
        <v>1</v>
      </c>
      <c r="BO96" s="248">
        <v>0</v>
      </c>
      <c r="BP96" s="237">
        <v>0</v>
      </c>
      <c r="BQ96" s="237">
        <v>0</v>
      </c>
      <c r="BR96" s="248">
        <v>1</v>
      </c>
      <c r="BS96" s="237">
        <v>21</v>
      </c>
      <c r="BT96" s="237" t="s">
        <v>790</v>
      </c>
      <c r="BU96" s="249" t="s">
        <v>678</v>
      </c>
      <c r="BV96" s="249">
        <v>558</v>
      </c>
      <c r="BW96" s="249">
        <v>3225</v>
      </c>
      <c r="BX96" s="249" t="s">
        <v>678</v>
      </c>
      <c r="BY96" s="249" t="s">
        <v>678</v>
      </c>
      <c r="BZ96" s="249">
        <v>7.8337779025691425</v>
      </c>
      <c r="CA96" s="249">
        <v>45.275866910009825</v>
      </c>
      <c r="CB96" s="249" t="s">
        <v>678</v>
      </c>
      <c r="CC96" s="250" t="s">
        <v>678</v>
      </c>
      <c r="CD96" s="242" t="s">
        <v>678</v>
      </c>
      <c r="CE96" s="252" t="s">
        <v>678</v>
      </c>
      <c r="CF96" s="238">
        <v>3905</v>
      </c>
      <c r="CG96" s="238">
        <v>549</v>
      </c>
      <c r="CH96" s="238">
        <v>7.7074266460760912</v>
      </c>
      <c r="CI96" s="216" t="s">
        <v>679</v>
      </c>
      <c r="CJ96" s="237">
        <v>0</v>
      </c>
      <c r="CK96" s="253">
        <v>256.60000000000002</v>
      </c>
      <c r="CL96" s="253">
        <v>52.320900000000002</v>
      </c>
      <c r="CM96" s="254">
        <v>1.957384960718294E-2</v>
      </c>
      <c r="CN96" s="237" t="s">
        <v>791</v>
      </c>
      <c r="CO96" s="242">
        <v>885.71</v>
      </c>
      <c r="CP96" s="255">
        <v>0.33135428357650581</v>
      </c>
      <c r="CV96" s="237">
        <v>11</v>
      </c>
      <c r="CW96" s="261">
        <v>1.272</v>
      </c>
      <c r="CX96" s="261" t="s">
        <v>915</v>
      </c>
      <c r="CY96" s="261">
        <v>1.907</v>
      </c>
      <c r="DB96" s="216" t="s">
        <v>710</v>
      </c>
      <c r="DC96" s="195" t="s">
        <v>711</v>
      </c>
      <c r="DD96" s="256">
        <v>0.7</v>
      </c>
      <c r="DE96" s="256">
        <v>-6.5</v>
      </c>
      <c r="DF96" s="256">
        <v>0.7</v>
      </c>
      <c r="DG96" s="256">
        <v>-2.2000000000000002</v>
      </c>
      <c r="DH96" s="257">
        <v>2</v>
      </c>
      <c r="DI96" s="257">
        <v>5</v>
      </c>
      <c r="DJ96" s="257">
        <v>3.2</v>
      </c>
      <c r="DK96" s="257">
        <v>8.1999999999999993</v>
      </c>
      <c r="DL96" s="237" t="s">
        <v>682</v>
      </c>
      <c r="DP96" s="258" t="s">
        <v>682</v>
      </c>
      <c r="DQ96" s="258"/>
      <c r="DR96" s="258"/>
      <c r="DS96" s="258"/>
      <c r="DT96" s="258"/>
      <c r="DU96" s="237">
        <v>0</v>
      </c>
      <c r="DX96" s="247"/>
      <c r="DY96" s="247">
        <v>0</v>
      </c>
      <c r="EA96" s="237">
        <v>0</v>
      </c>
      <c r="ED96" s="237" t="s">
        <v>687</v>
      </c>
      <c r="EE96" s="208">
        <v>2</v>
      </c>
      <c r="EF96" s="237" t="s">
        <v>688</v>
      </c>
      <c r="EG96" s="216" t="s">
        <v>689</v>
      </c>
      <c r="EH96" s="246" t="s">
        <v>690</v>
      </c>
      <c r="EI96" s="216" t="s">
        <v>689</v>
      </c>
      <c r="EJ96" s="216" t="s">
        <v>529</v>
      </c>
      <c r="EK96" s="222" t="s">
        <v>529</v>
      </c>
      <c r="EL96" s="259">
        <v>1986</v>
      </c>
      <c r="EM96" s="260">
        <v>3050.1</v>
      </c>
      <c r="EN96" s="260">
        <v>317550</v>
      </c>
      <c r="EO96" s="260">
        <v>367027</v>
      </c>
      <c r="ER96" s="237" t="s">
        <v>692</v>
      </c>
      <c r="ES96" s="237">
        <v>7123</v>
      </c>
      <c r="ET96" s="237">
        <v>120.33277597455822</v>
      </c>
      <c r="EU96" s="661">
        <v>1</v>
      </c>
      <c r="EV96" s="661">
        <v>3</v>
      </c>
      <c r="EW96" s="661">
        <v>6</v>
      </c>
      <c r="EX96" s="661">
        <v>9</v>
      </c>
      <c r="EY96" s="660">
        <v>9.5997007108118232E-2</v>
      </c>
      <c r="EZ96" s="256">
        <v>27.75915822291504</v>
      </c>
      <c r="FA96" s="247">
        <v>0.7055805003207184</v>
      </c>
      <c r="FB96" s="208">
        <v>5</v>
      </c>
      <c r="FC96" s="208">
        <v>8</v>
      </c>
      <c r="FD96" s="208">
        <v>5</v>
      </c>
      <c r="FE96" s="239">
        <v>0.55484284797947403</v>
      </c>
      <c r="FF96" s="208"/>
      <c r="FG96" s="241">
        <v>5.2597819114817189E-3</v>
      </c>
      <c r="FH96" s="209">
        <v>0</v>
      </c>
      <c r="FI96" s="237" t="s">
        <v>678</v>
      </c>
      <c r="FJ96" s="208">
        <v>57.3</v>
      </c>
      <c r="FK96" s="208">
        <v>26.76</v>
      </c>
      <c r="FL96" s="217">
        <v>69.099999999999994</v>
      </c>
      <c r="FM96" s="208">
        <v>1.72</v>
      </c>
      <c r="FN96" s="208" t="s">
        <v>1103</v>
      </c>
      <c r="FP96" s="247" t="s">
        <v>693</v>
      </c>
      <c r="FU96" s="208">
        <v>60</v>
      </c>
      <c r="FV96" s="208">
        <v>89.8</v>
      </c>
      <c r="FW96" s="237">
        <v>51.12</v>
      </c>
      <c r="FX96" s="237">
        <v>29.5</v>
      </c>
      <c r="FY96" s="208">
        <v>16.84</v>
      </c>
      <c r="FZ96" s="208">
        <v>29.5</v>
      </c>
      <c r="GA96" s="208">
        <v>34.65</v>
      </c>
      <c r="GB96" s="208">
        <v>28</v>
      </c>
      <c r="GC96" s="208">
        <v>0.36</v>
      </c>
      <c r="GD96" s="208">
        <v>54.3</v>
      </c>
      <c r="GE96" s="237">
        <v>26.51</v>
      </c>
      <c r="GF96" s="237">
        <v>28.1</v>
      </c>
      <c r="GG96" s="237">
        <v>4.46</v>
      </c>
      <c r="GH96" s="237">
        <v>39.200000000000003</v>
      </c>
      <c r="GJ96" s="947">
        <v>117</v>
      </c>
      <c r="GK96" s="320">
        <v>8.0000000000000002E-3</v>
      </c>
      <c r="GL96" s="320">
        <v>0.38200000000000001</v>
      </c>
      <c r="GM96" s="320">
        <v>6.0999999999999999E-2</v>
      </c>
      <c r="GN96" s="320">
        <v>0.54900000000000004</v>
      </c>
      <c r="GO96" s="662">
        <v>8091</v>
      </c>
      <c r="GP96" s="663" t="str">
        <f>VLOOKUP(GS96,'BD Comarcal'!$A$6:$AV$17,48,FALSE)</f>
        <v>03</v>
      </c>
      <c r="GQ96" s="564">
        <v>47</v>
      </c>
      <c r="GR96" s="256">
        <f t="shared" si="1"/>
        <v>1</v>
      </c>
      <c r="GS96" s="237" t="s">
        <v>791</v>
      </c>
    </row>
    <row r="97" spans="1:201" s="237" customFormat="1" ht="17.25" customHeight="1">
      <c r="A97" s="236" t="s">
        <v>1104</v>
      </c>
      <c r="C97" s="238"/>
      <c r="D97" s="238">
        <v>684</v>
      </c>
      <c r="E97" s="238">
        <v>225</v>
      </c>
      <c r="F97" s="239">
        <v>0.32894736842105265</v>
      </c>
      <c r="G97" s="238">
        <v>120</v>
      </c>
      <c r="H97" s="240">
        <v>98.166597273884364</v>
      </c>
      <c r="I97" s="239">
        <v>0.43629598788393048</v>
      </c>
      <c r="J97" s="238">
        <v>184</v>
      </c>
      <c r="K97" s="238">
        <v>119</v>
      </c>
      <c r="L97" s="238">
        <v>1</v>
      </c>
      <c r="M97" s="241">
        <v>1.4619883040935672E-3</v>
      </c>
      <c r="N97" s="238">
        <v>0</v>
      </c>
      <c r="O97" s="239">
        <v>0</v>
      </c>
      <c r="P97" s="237">
        <v>14</v>
      </c>
      <c r="Q97" s="237">
        <v>0</v>
      </c>
      <c r="R97" s="239">
        <v>0</v>
      </c>
      <c r="S97" s="238">
        <v>2902</v>
      </c>
      <c r="T97" s="436">
        <v>549</v>
      </c>
      <c r="U97" s="436">
        <v>15</v>
      </c>
      <c r="V97" s="436">
        <v>30</v>
      </c>
      <c r="W97" s="436">
        <v>594</v>
      </c>
      <c r="X97" s="238">
        <v>4829</v>
      </c>
      <c r="Y97" s="237">
        <v>0.2424</v>
      </c>
      <c r="Z97" s="238">
        <v>88297</v>
      </c>
      <c r="AA97" s="238">
        <v>17928</v>
      </c>
      <c r="AB97" s="238">
        <v>109.54</v>
      </c>
      <c r="AC97" s="238">
        <v>1652</v>
      </c>
      <c r="AD97" s="238">
        <v>4340523.9300000006</v>
      </c>
      <c r="AE97" s="238">
        <v>314734.60000000149</v>
      </c>
      <c r="AF97" s="238">
        <v>4664651.5599999996</v>
      </c>
      <c r="AG97" s="238">
        <v>1479942.86</v>
      </c>
      <c r="AH97" s="239">
        <v>0.31726761173132517</v>
      </c>
      <c r="AI97" s="242">
        <v>137.227949</v>
      </c>
      <c r="AJ97" s="242">
        <v>22.727076</v>
      </c>
      <c r="AK97" s="242">
        <v>3.3226719298245615</v>
      </c>
      <c r="AL97" s="242">
        <v>18.080987</v>
      </c>
      <c r="AM97" s="242">
        <v>2.6434191520467838</v>
      </c>
      <c r="AN97" s="242">
        <v>12429.27</v>
      </c>
      <c r="AO97" s="238">
        <v>0</v>
      </c>
      <c r="AP97" s="243">
        <v>0</v>
      </c>
      <c r="AQ97" s="238">
        <v>1</v>
      </c>
      <c r="AR97" s="238">
        <v>1255.8821311199856</v>
      </c>
      <c r="AS97" s="238">
        <v>2956.5979346375389</v>
      </c>
      <c r="AT97" s="238">
        <v>216252</v>
      </c>
      <c r="AU97" s="238">
        <v>209.12230329923162</v>
      </c>
      <c r="AV97" s="237">
        <v>1</v>
      </c>
      <c r="AW97" s="237">
        <v>1</v>
      </c>
      <c r="AX97" s="237">
        <v>1</v>
      </c>
      <c r="AY97" s="244" t="s">
        <v>673</v>
      </c>
      <c r="AZ97" s="244" t="s">
        <v>673</v>
      </c>
      <c r="BA97" s="237">
        <v>2009</v>
      </c>
      <c r="BB97" s="245" t="s">
        <v>935</v>
      </c>
      <c r="BC97" s="215" t="s">
        <v>936</v>
      </c>
      <c r="BD97" s="237">
        <v>1</v>
      </c>
      <c r="BE97" s="237">
        <v>0</v>
      </c>
      <c r="BF97" s="237">
        <v>11</v>
      </c>
      <c r="BG97" s="246" t="s">
        <v>698</v>
      </c>
      <c r="BI97" s="239">
        <v>0.58715871587158719</v>
      </c>
      <c r="BJ97" s="239">
        <v>9.3009300930093006E-2</v>
      </c>
      <c r="BK97" s="239">
        <v>0.27962796279627961</v>
      </c>
      <c r="BL97" s="239">
        <v>4.0204020402040207E-2</v>
      </c>
      <c r="BM97" s="247">
        <v>2.2271227122712269</v>
      </c>
      <c r="BN97" s="248">
        <v>0</v>
      </c>
      <c r="BO97" s="248">
        <v>1</v>
      </c>
      <c r="BP97" s="237">
        <v>0</v>
      </c>
      <c r="BQ97" s="237">
        <v>0</v>
      </c>
      <c r="BR97" s="248">
        <v>1</v>
      </c>
      <c r="BS97" s="237">
        <v>9.3000000000000007</v>
      </c>
      <c r="BT97" s="237" t="s">
        <v>777</v>
      </c>
      <c r="BU97" s="249">
        <v>495</v>
      </c>
      <c r="BV97" s="249">
        <v>763</v>
      </c>
      <c r="BW97" s="249">
        <v>2551</v>
      </c>
      <c r="BX97" s="249" t="s">
        <v>678</v>
      </c>
      <c r="BY97" s="249">
        <v>10.020242914979757</v>
      </c>
      <c r="BZ97" s="249">
        <v>15.445344129554655</v>
      </c>
      <c r="CA97" s="249">
        <v>51.639676113360323</v>
      </c>
      <c r="CB97" s="249" t="s">
        <v>678</v>
      </c>
      <c r="CC97" s="250">
        <v>112.5910931174089</v>
      </c>
      <c r="CD97" s="242" t="s">
        <v>678</v>
      </c>
      <c r="CE97" s="252" t="s">
        <v>678</v>
      </c>
      <c r="CF97" s="238">
        <v>2845</v>
      </c>
      <c r="CG97" s="238">
        <v>372.8</v>
      </c>
      <c r="CH97" s="238">
        <v>7.5465587044534415</v>
      </c>
      <c r="CI97" s="216" t="s">
        <v>679</v>
      </c>
      <c r="CJ97" s="237">
        <v>0</v>
      </c>
      <c r="CK97" s="253">
        <v>118.34</v>
      </c>
      <c r="CL97" s="253">
        <v>39.253</v>
      </c>
      <c r="CM97" s="254">
        <v>5.7387426900584793E-2</v>
      </c>
      <c r="CN97" s="237" t="s">
        <v>84</v>
      </c>
      <c r="CO97" s="242"/>
      <c r="CP97" s="255">
        <v>0</v>
      </c>
      <c r="CV97" s="237">
        <v>8</v>
      </c>
      <c r="CW97" s="261" t="s">
        <v>678</v>
      </c>
      <c r="CX97" s="261" t="s">
        <v>678</v>
      </c>
      <c r="CY97" s="261" t="s">
        <v>678</v>
      </c>
      <c r="DB97" s="216" t="s">
        <v>681</v>
      </c>
      <c r="DC97" s="256"/>
      <c r="DD97" s="256">
        <v>0.8</v>
      </c>
      <c r="DE97" s="256">
        <v>-10</v>
      </c>
      <c r="DF97" s="256">
        <v>0.5</v>
      </c>
      <c r="DG97" s="256">
        <v>-2.2999999999999998</v>
      </c>
      <c r="DL97" s="237" t="s">
        <v>529</v>
      </c>
      <c r="DN97" s="237" t="s">
        <v>770</v>
      </c>
      <c r="DO97" s="237">
        <v>1</v>
      </c>
      <c r="DP97" s="258" t="s">
        <v>682</v>
      </c>
      <c r="DQ97" s="258"/>
      <c r="DR97" s="258"/>
      <c r="DS97" s="258"/>
      <c r="DT97" s="258"/>
      <c r="DU97" s="237">
        <v>0</v>
      </c>
      <c r="DX97" s="247"/>
      <c r="DY97" s="247">
        <v>0</v>
      </c>
      <c r="EA97" s="237">
        <v>0</v>
      </c>
      <c r="ED97" s="237" t="s">
        <v>678</v>
      </c>
      <c r="EE97" s="208">
        <v>3</v>
      </c>
      <c r="EF97" s="237" t="s">
        <v>678</v>
      </c>
      <c r="EG97" s="216" t="s">
        <v>689</v>
      </c>
      <c r="EH97" s="246" t="s">
        <v>690</v>
      </c>
      <c r="EI97" s="216"/>
      <c r="EJ97" s="216" t="s">
        <v>529</v>
      </c>
      <c r="EK97" s="222" t="s">
        <v>529</v>
      </c>
      <c r="EL97" s="259">
        <v>2003</v>
      </c>
      <c r="EM97" s="260">
        <v>2450</v>
      </c>
      <c r="EN97" s="260">
        <v>161944</v>
      </c>
      <c r="EO97" s="260">
        <v>46597</v>
      </c>
      <c r="ER97" s="237" t="s">
        <v>692</v>
      </c>
      <c r="ES97" s="237">
        <v>4940</v>
      </c>
      <c r="ET97" s="237">
        <v>19.019183673469389</v>
      </c>
      <c r="EU97" s="661">
        <v>5</v>
      </c>
      <c r="EV97" s="661">
        <v>4</v>
      </c>
      <c r="EW97" s="661">
        <v>1</v>
      </c>
      <c r="EX97" s="661">
        <v>5</v>
      </c>
      <c r="EY97" s="660">
        <v>0.17301169590643276</v>
      </c>
      <c r="EZ97" s="256">
        <v>41.744127091431466</v>
      </c>
      <c r="FA97" s="247">
        <v>3.5555555555555554</v>
      </c>
      <c r="FB97" s="208">
        <v>3</v>
      </c>
      <c r="FC97" s="208">
        <v>3</v>
      </c>
      <c r="FD97" s="208">
        <v>4</v>
      </c>
      <c r="FE97" s="239">
        <v>0.53333333333333333</v>
      </c>
      <c r="FF97" s="208">
        <v>1</v>
      </c>
      <c r="FG97" s="241">
        <v>0</v>
      </c>
      <c r="FH97" s="209">
        <v>0</v>
      </c>
      <c r="FI97" s="237" t="s">
        <v>678</v>
      </c>
      <c r="FJ97" s="208" t="s">
        <v>678</v>
      </c>
      <c r="FK97" s="208" t="s">
        <v>678</v>
      </c>
      <c r="FL97" s="217" t="s">
        <v>678</v>
      </c>
      <c r="FM97" s="208" t="s">
        <v>678</v>
      </c>
      <c r="FN97" s="208" t="s">
        <v>678</v>
      </c>
      <c r="FP97" s="247" t="s">
        <v>693</v>
      </c>
      <c r="FU97" s="208" t="s">
        <v>678</v>
      </c>
      <c r="FV97" s="208" t="s">
        <v>678</v>
      </c>
      <c r="FW97" s="208" t="s">
        <v>678</v>
      </c>
      <c r="FX97" s="208" t="s">
        <v>678</v>
      </c>
      <c r="FY97" s="208" t="s">
        <v>678</v>
      </c>
      <c r="FZ97" s="208" t="s">
        <v>678</v>
      </c>
      <c r="GA97" s="208" t="s">
        <v>678</v>
      </c>
      <c r="GB97" s="208" t="s">
        <v>678</v>
      </c>
      <c r="GC97" s="208" t="s">
        <v>678</v>
      </c>
      <c r="GD97" s="208" t="s">
        <v>678</v>
      </c>
      <c r="GE97" s="237" t="s">
        <v>678</v>
      </c>
      <c r="GF97" s="237" t="s">
        <v>678</v>
      </c>
      <c r="GG97" s="237" t="s">
        <v>678</v>
      </c>
      <c r="GH97" s="237" t="s">
        <v>678</v>
      </c>
      <c r="GJ97" s="947">
        <v>66</v>
      </c>
      <c r="GK97" s="320">
        <v>1.2E-2</v>
      </c>
      <c r="GL97" s="320">
        <v>0.26300000000000001</v>
      </c>
      <c r="GM97" s="320">
        <v>0.1</v>
      </c>
      <c r="GN97" s="320">
        <v>0.625</v>
      </c>
      <c r="GO97" s="662">
        <v>8092</v>
      </c>
      <c r="GP97" s="663" t="str">
        <f>VLOOKUP(GS97,'BD Comarcal'!$A$6:$AV$17,48,FALSE)</f>
        <v>14</v>
      </c>
      <c r="GQ97" s="564">
        <v>73</v>
      </c>
      <c r="GR97" s="256">
        <f t="shared" si="1"/>
        <v>0</v>
      </c>
      <c r="GS97" s="237" t="s">
        <v>84</v>
      </c>
    </row>
    <row r="98" spans="1:201" s="237" customFormat="1" ht="17.25" customHeight="1">
      <c r="A98" s="236" t="s">
        <v>1105</v>
      </c>
      <c r="C98" s="238"/>
      <c r="D98" s="238">
        <v>3675</v>
      </c>
      <c r="E98" s="238">
        <v>3405</v>
      </c>
      <c r="F98" s="239">
        <v>0.92653061224489797</v>
      </c>
      <c r="G98" s="238">
        <v>2296</v>
      </c>
      <c r="H98" s="240">
        <v>759.80858769586735</v>
      </c>
      <c r="I98" s="239">
        <v>0.22314495967573197</v>
      </c>
      <c r="J98" s="238">
        <v>25</v>
      </c>
      <c r="K98" s="238">
        <v>112</v>
      </c>
      <c r="L98" s="238" t="s">
        <v>678</v>
      </c>
      <c r="M98" s="241" t="s">
        <v>678</v>
      </c>
      <c r="N98" s="238" t="s">
        <v>678</v>
      </c>
      <c r="O98" s="239" t="s">
        <v>678</v>
      </c>
      <c r="P98" s="237" t="s">
        <v>678</v>
      </c>
      <c r="Q98" s="237" t="s">
        <v>678</v>
      </c>
      <c r="R98" s="239" t="s">
        <v>678</v>
      </c>
      <c r="S98" s="238" t="s">
        <v>678</v>
      </c>
      <c r="T98" s="436">
        <v>0</v>
      </c>
      <c r="U98" s="436">
        <v>15</v>
      </c>
      <c r="V98" s="436">
        <v>0</v>
      </c>
      <c r="W98" s="436">
        <v>15</v>
      </c>
      <c r="X98" s="238">
        <v>29</v>
      </c>
      <c r="Y98" s="237">
        <v>0.16</v>
      </c>
      <c r="Z98" s="238">
        <v>484</v>
      </c>
      <c r="AA98" s="238">
        <v>17928</v>
      </c>
      <c r="AB98" s="238">
        <v>109.54</v>
      </c>
      <c r="AC98" s="238">
        <v>0</v>
      </c>
      <c r="AD98" s="238">
        <v>316682.32999999996</v>
      </c>
      <c r="AE98" s="238">
        <v>6449.0900000000111</v>
      </c>
      <c r="AF98" s="238">
        <v>118906.87999999999</v>
      </c>
      <c r="AG98" s="238">
        <v>13000</v>
      </c>
      <c r="AH98" s="239">
        <v>0.1093292499138822</v>
      </c>
      <c r="AI98" s="269" t="s">
        <v>678</v>
      </c>
      <c r="AJ98" s="242" t="s">
        <v>678</v>
      </c>
      <c r="AK98" s="242" t="s">
        <v>678</v>
      </c>
      <c r="AL98" s="242" t="s">
        <v>678</v>
      </c>
      <c r="AM98" s="242" t="s">
        <v>678</v>
      </c>
      <c r="AN98" s="242">
        <v>7068.53</v>
      </c>
      <c r="AO98" s="238">
        <v>0</v>
      </c>
      <c r="AP98" s="243">
        <v>0</v>
      </c>
      <c r="AQ98" s="238"/>
      <c r="AR98" s="238">
        <v>2656.9175478927204</v>
      </c>
      <c r="AS98" s="238">
        <v>1956.5941449867948</v>
      </c>
      <c r="AT98" s="238">
        <v>1171.3333333333333</v>
      </c>
      <c r="AU98" s="238">
        <v>181.19839194607854</v>
      </c>
      <c r="AV98" s="237">
        <v>1</v>
      </c>
      <c r="AW98" s="237">
        <v>0</v>
      </c>
      <c r="AX98" s="237">
        <v>1</v>
      </c>
      <c r="AY98" s="244" t="s">
        <v>673</v>
      </c>
      <c r="AZ98" s="244" t="s">
        <v>695</v>
      </c>
      <c r="BA98" s="237">
        <v>0</v>
      </c>
      <c r="BB98" s="245" t="s">
        <v>808</v>
      </c>
      <c r="BC98" s="215" t="s">
        <v>809</v>
      </c>
      <c r="BE98" s="237">
        <v>0</v>
      </c>
      <c r="BF98" s="237">
        <v>0</v>
      </c>
      <c r="BG98" s="246" t="s">
        <v>720</v>
      </c>
      <c r="BI98" s="239">
        <v>0.69230769230769229</v>
      </c>
      <c r="BJ98" s="239">
        <v>2.564102564102564E-2</v>
      </c>
      <c r="BK98" s="239">
        <v>0.28205128205128205</v>
      </c>
      <c r="BL98" s="239">
        <v>0</v>
      </c>
      <c r="BM98" s="247">
        <v>2.4102564102564097</v>
      </c>
      <c r="BN98" s="248">
        <v>0</v>
      </c>
      <c r="BO98" s="248">
        <v>0</v>
      </c>
      <c r="BP98" s="237">
        <v>0</v>
      </c>
      <c r="BQ98" s="237">
        <v>0</v>
      </c>
      <c r="BR98" s="248">
        <v>0</v>
      </c>
      <c r="BS98" s="262">
        <v>30</v>
      </c>
      <c r="BT98" s="237" t="s">
        <v>777</v>
      </c>
      <c r="BU98" s="249" t="s">
        <v>678</v>
      </c>
      <c r="BV98" s="249" t="s">
        <v>678</v>
      </c>
      <c r="BW98" s="249" t="s">
        <v>678</v>
      </c>
      <c r="BX98" s="249" t="s">
        <v>678</v>
      </c>
      <c r="BY98" s="249" t="s">
        <v>678</v>
      </c>
      <c r="BZ98" s="249" t="s">
        <v>678</v>
      </c>
      <c r="CA98" s="249" t="s">
        <v>678</v>
      </c>
      <c r="CB98" s="249" t="s">
        <v>678</v>
      </c>
      <c r="CC98" s="250" t="s">
        <v>678</v>
      </c>
      <c r="CD98" s="242" t="s">
        <v>678</v>
      </c>
      <c r="CE98" s="252" t="s">
        <v>678</v>
      </c>
      <c r="CF98" s="238">
        <v>37</v>
      </c>
      <c r="CG98" s="238">
        <v>0</v>
      </c>
      <c r="CH98" s="238">
        <v>0</v>
      </c>
      <c r="CI98" s="216" t="s">
        <v>722</v>
      </c>
      <c r="CJ98" s="237">
        <v>1</v>
      </c>
      <c r="CK98" s="253">
        <v>2.15</v>
      </c>
      <c r="CL98" s="253">
        <v>0</v>
      </c>
      <c r="CM98" s="254">
        <v>0</v>
      </c>
      <c r="CN98" s="237" t="s">
        <v>84</v>
      </c>
      <c r="CO98" s="242">
        <v>3646.56</v>
      </c>
      <c r="CP98" s="255">
        <v>0.99226122448979592</v>
      </c>
      <c r="CQ98" s="237">
        <v>1393.75</v>
      </c>
      <c r="CR98" s="248" t="s">
        <v>1106</v>
      </c>
      <c r="CS98" s="237">
        <v>1393.75</v>
      </c>
      <c r="CW98" s="261" t="s">
        <v>678</v>
      </c>
      <c r="CX98" s="261" t="s">
        <v>678</v>
      </c>
      <c r="CY98" s="261" t="s">
        <v>678</v>
      </c>
      <c r="DB98" s="216" t="s">
        <v>681</v>
      </c>
      <c r="DC98" s="256"/>
      <c r="DD98" s="256">
        <v>0.8</v>
      </c>
      <c r="DE98" s="256">
        <v>-9</v>
      </c>
      <c r="DF98" s="256">
        <v>-0.3</v>
      </c>
      <c r="DG98" s="256">
        <v>-2.6</v>
      </c>
      <c r="DH98" s="257">
        <v>1</v>
      </c>
      <c r="DI98" s="257">
        <v>0.3</v>
      </c>
      <c r="DJ98" s="257">
        <v>0.7</v>
      </c>
      <c r="DK98" s="257">
        <v>1</v>
      </c>
      <c r="DL98" s="237" t="s">
        <v>682</v>
      </c>
      <c r="DP98" s="258" t="s">
        <v>682</v>
      </c>
      <c r="DQ98" s="258"/>
      <c r="DR98" s="258"/>
      <c r="DS98" s="258"/>
      <c r="DT98" s="258"/>
      <c r="DU98" s="237">
        <v>0</v>
      </c>
      <c r="DX98" s="247"/>
      <c r="DY98" s="247">
        <v>0</v>
      </c>
      <c r="EA98" s="237">
        <v>0</v>
      </c>
      <c r="ED98" s="237" t="s">
        <v>956</v>
      </c>
      <c r="EE98" s="208">
        <v>2</v>
      </c>
      <c r="EF98" s="237" t="s">
        <v>688</v>
      </c>
      <c r="EG98" s="216" t="s">
        <v>703</v>
      </c>
      <c r="EH98" s="246" t="s">
        <v>704</v>
      </c>
      <c r="EI98" s="216"/>
      <c r="EJ98" s="216" t="s">
        <v>529</v>
      </c>
      <c r="EK98" s="222" t="s">
        <v>682</v>
      </c>
      <c r="EL98" s="259">
        <v>1993</v>
      </c>
      <c r="EM98" s="260">
        <v>240</v>
      </c>
      <c r="EN98" s="260">
        <v>755</v>
      </c>
      <c r="EO98" s="260">
        <v>344</v>
      </c>
      <c r="ER98" s="237" t="s">
        <v>705</v>
      </c>
      <c r="ES98" s="237" t="e">
        <v>#DIV/0!</v>
      </c>
      <c r="ET98" s="237">
        <v>1.4333333333333333</v>
      </c>
      <c r="EU98" s="661">
        <v>8</v>
      </c>
      <c r="EV98" s="661" t="s">
        <v>678</v>
      </c>
      <c r="EW98" s="661" t="s">
        <v>678</v>
      </c>
      <c r="EX98" s="661" t="s">
        <v>678</v>
      </c>
      <c r="EY98" s="660">
        <v>5.8503401360544219E-4</v>
      </c>
      <c r="EZ98" s="256">
        <v>13.488372093023257</v>
      </c>
      <c r="FA98" s="247">
        <v>0</v>
      </c>
      <c r="FB98" s="208">
        <v>1</v>
      </c>
      <c r="FC98" s="208">
        <v>1</v>
      </c>
      <c r="FD98" s="208">
        <v>4</v>
      </c>
      <c r="FE98" s="239">
        <v>0.67430249632892802</v>
      </c>
      <c r="FF98" s="208">
        <v>1</v>
      </c>
      <c r="FG98" s="241">
        <v>2.9368575624082231E-4</v>
      </c>
      <c r="FH98" s="209">
        <v>0.40932452276064613</v>
      </c>
      <c r="FI98" s="237" t="s">
        <v>678</v>
      </c>
      <c r="FJ98" s="208">
        <v>58.4</v>
      </c>
      <c r="FK98" s="208">
        <v>70.08</v>
      </c>
      <c r="FL98" s="217">
        <v>97.7</v>
      </c>
      <c r="FM98" s="208">
        <v>19.96</v>
      </c>
      <c r="FN98" s="208" t="s">
        <v>1107</v>
      </c>
      <c r="FP98" s="247" t="s">
        <v>693</v>
      </c>
      <c r="FU98" s="208">
        <v>33</v>
      </c>
      <c r="FV98" s="208">
        <v>34.5</v>
      </c>
      <c r="FW98" s="237">
        <v>70.150000000000006</v>
      </c>
      <c r="FX98" s="237">
        <v>53.5</v>
      </c>
      <c r="FY98" s="208">
        <v>76.27</v>
      </c>
      <c r="FZ98" s="208">
        <v>77.400000000000006</v>
      </c>
      <c r="GA98" s="208">
        <v>70.03</v>
      </c>
      <c r="GB98" s="208">
        <v>79.7</v>
      </c>
      <c r="GC98" s="208">
        <v>0.33</v>
      </c>
      <c r="GD98" s="208">
        <v>51</v>
      </c>
      <c r="GE98" s="237">
        <v>79.650000000000006</v>
      </c>
      <c r="GF98" s="237">
        <v>93.5</v>
      </c>
      <c r="GG98" s="237">
        <v>6.59</v>
      </c>
      <c r="GH98" s="237">
        <v>54</v>
      </c>
      <c r="GJ98" s="947"/>
      <c r="GK98" s="320"/>
      <c r="GL98" s="320"/>
      <c r="GM98" s="320"/>
      <c r="GN98" s="320"/>
      <c r="GO98" s="662">
        <v>8093</v>
      </c>
      <c r="GP98" s="663" t="str">
        <f>VLOOKUP(GS98,'BD Comarcal'!$A$6:$AV$17,48,FALSE)</f>
        <v>14</v>
      </c>
      <c r="GQ98" s="564">
        <v>0</v>
      </c>
      <c r="GR98" s="256">
        <f t="shared" si="1"/>
        <v>1</v>
      </c>
      <c r="GS98" s="237" t="s">
        <v>84</v>
      </c>
    </row>
    <row r="99" spans="1:201" s="237" customFormat="1" ht="17.25" customHeight="1">
      <c r="A99" s="236" t="s">
        <v>1108</v>
      </c>
      <c r="C99" s="238"/>
      <c r="D99" s="238">
        <v>657</v>
      </c>
      <c r="E99" s="238">
        <v>35</v>
      </c>
      <c r="F99" s="239">
        <v>5.3272450532724502E-2</v>
      </c>
      <c r="G99" s="238">
        <v>14</v>
      </c>
      <c r="H99" s="240">
        <v>0</v>
      </c>
      <c r="I99" s="239">
        <v>0</v>
      </c>
      <c r="J99" s="238">
        <v>585</v>
      </c>
      <c r="K99" s="238">
        <v>4</v>
      </c>
      <c r="L99" s="238">
        <v>1</v>
      </c>
      <c r="M99" s="241">
        <v>1.5220700152207001E-3</v>
      </c>
      <c r="N99" s="238">
        <v>0</v>
      </c>
      <c r="O99" s="239">
        <v>0</v>
      </c>
      <c r="P99" s="237">
        <v>2</v>
      </c>
      <c r="Q99" s="237">
        <v>0</v>
      </c>
      <c r="R99" s="239">
        <v>0</v>
      </c>
      <c r="S99" s="238">
        <v>132</v>
      </c>
      <c r="T99" s="436">
        <v>0</v>
      </c>
      <c r="U99" s="436">
        <v>0</v>
      </c>
      <c r="V99" s="436">
        <v>0</v>
      </c>
      <c r="W99" s="436">
        <v>0</v>
      </c>
      <c r="X99" s="238">
        <v>2091</v>
      </c>
      <c r="Y99" s="237">
        <v>0.1452</v>
      </c>
      <c r="Z99" s="238">
        <v>27345</v>
      </c>
      <c r="AA99" s="238">
        <v>13115</v>
      </c>
      <c r="AB99" s="238">
        <v>80.13</v>
      </c>
      <c r="AC99" s="238">
        <v>0</v>
      </c>
      <c r="AD99" s="238">
        <v>2079329.42</v>
      </c>
      <c r="AE99" s="238">
        <v>1397369.2599999998</v>
      </c>
      <c r="AF99" s="238">
        <v>1753392.9499999997</v>
      </c>
      <c r="AG99" s="238">
        <v>62614.63</v>
      </c>
      <c r="AH99" s="239">
        <v>3.5710551933039313E-2</v>
      </c>
      <c r="AI99" s="242">
        <v>45.534891999999999</v>
      </c>
      <c r="AJ99" s="242">
        <v>0.18407100000000001</v>
      </c>
      <c r="AK99" s="242">
        <v>2.801689497716895E-2</v>
      </c>
      <c r="AL99" s="242" t="s">
        <v>678</v>
      </c>
      <c r="AM99" s="242" t="s">
        <v>678</v>
      </c>
      <c r="AN99" s="242">
        <v>10038.35</v>
      </c>
      <c r="AO99" s="238">
        <v>2879.72</v>
      </c>
      <c r="AP99" s="243">
        <v>0</v>
      </c>
      <c r="AQ99" s="238"/>
      <c r="AR99" s="238">
        <v>1464.3205875225322</v>
      </c>
      <c r="AS99" s="238">
        <v>1840.3117322420258</v>
      </c>
      <c r="AT99" s="238">
        <v>100051.33333333333</v>
      </c>
      <c r="AU99" s="238">
        <v>208.92315708920083</v>
      </c>
      <c r="AV99" s="237">
        <v>0</v>
      </c>
      <c r="AW99" s="237">
        <v>0</v>
      </c>
      <c r="AX99" s="237">
        <v>0</v>
      </c>
      <c r="AY99" s="244" t="s">
        <v>695</v>
      </c>
      <c r="AZ99" s="244" t="s">
        <v>695</v>
      </c>
      <c r="BA99" s="237">
        <v>2014</v>
      </c>
      <c r="BB99" s="245" t="s">
        <v>678</v>
      </c>
      <c r="BC99" s="215" t="s">
        <v>678</v>
      </c>
      <c r="BE99" s="237">
        <v>10</v>
      </c>
      <c r="BF99" s="237">
        <v>15</v>
      </c>
      <c r="BG99" s="246" t="s">
        <v>698</v>
      </c>
      <c r="BI99" s="239">
        <v>0.44394281414597442</v>
      </c>
      <c r="BJ99" s="239">
        <v>3.3107599699021821E-2</v>
      </c>
      <c r="BK99" s="239">
        <v>0.48457486832204666</v>
      </c>
      <c r="BL99" s="239">
        <v>3.8374717832957109E-2</v>
      </c>
      <c r="BM99" s="247">
        <v>1.8826185101580135</v>
      </c>
      <c r="BN99" s="248">
        <v>1</v>
      </c>
      <c r="BO99" s="248">
        <v>0</v>
      </c>
      <c r="BP99" s="237">
        <v>0</v>
      </c>
      <c r="BQ99" s="237">
        <v>0</v>
      </c>
      <c r="BR99" s="248">
        <v>1</v>
      </c>
      <c r="BS99" s="237">
        <v>4.5</v>
      </c>
      <c r="BT99" s="237" t="s">
        <v>790</v>
      </c>
      <c r="BU99" s="249" t="s">
        <v>678</v>
      </c>
      <c r="BV99" s="249">
        <v>204</v>
      </c>
      <c r="BW99" s="249">
        <v>1064</v>
      </c>
      <c r="BX99" s="249" t="s">
        <v>678</v>
      </c>
      <c r="BY99" s="249" t="s">
        <v>678</v>
      </c>
      <c r="BZ99" s="249">
        <v>9.9270072992700733</v>
      </c>
      <c r="CA99" s="249">
        <v>51.776155717761554</v>
      </c>
      <c r="CB99" s="249" t="s">
        <v>678</v>
      </c>
      <c r="CC99" s="250" t="s">
        <v>678</v>
      </c>
      <c r="CD99" s="242" t="s">
        <v>678</v>
      </c>
      <c r="CE99" s="252" t="s">
        <v>678</v>
      </c>
      <c r="CF99" s="238">
        <v>965</v>
      </c>
      <c r="CG99" s="238">
        <v>150</v>
      </c>
      <c r="CH99" s="238">
        <v>7.2992700729927007</v>
      </c>
      <c r="CI99" s="216" t="s">
        <v>722</v>
      </c>
      <c r="CJ99" s="237">
        <v>1</v>
      </c>
      <c r="CK99" s="253">
        <v>31.89</v>
      </c>
      <c r="CL99" s="253">
        <v>43.009799999999998</v>
      </c>
      <c r="CM99" s="254">
        <v>6.5463926940639267E-2</v>
      </c>
      <c r="CN99" s="237" t="s">
        <v>791</v>
      </c>
      <c r="CO99" s="242"/>
      <c r="CP99" s="255">
        <v>0</v>
      </c>
      <c r="CV99" s="237">
        <v>2</v>
      </c>
      <c r="CW99" s="261" t="s">
        <v>678</v>
      </c>
      <c r="CX99" s="261" t="s">
        <v>678</v>
      </c>
      <c r="CY99" s="261" t="s">
        <v>678</v>
      </c>
      <c r="DB99" s="216" t="s">
        <v>746</v>
      </c>
      <c r="DC99" s="195" t="s">
        <v>1109</v>
      </c>
      <c r="DD99" s="256">
        <v>0.8</v>
      </c>
      <c r="DE99" s="256">
        <v>-10</v>
      </c>
      <c r="DF99" s="256">
        <v>0.5</v>
      </c>
      <c r="DG99" s="256">
        <v>-2.2999999999999998</v>
      </c>
      <c r="DL99" s="237" t="s">
        <v>682</v>
      </c>
      <c r="DP99" s="258" t="s">
        <v>682</v>
      </c>
      <c r="DQ99" s="258"/>
      <c r="DR99" s="258"/>
      <c r="DS99" s="258"/>
      <c r="DT99" s="258"/>
      <c r="DU99" s="237">
        <v>0</v>
      </c>
      <c r="DX99" s="247"/>
      <c r="DY99" s="247">
        <v>0</v>
      </c>
      <c r="EA99" s="237">
        <v>0</v>
      </c>
      <c r="ED99" s="237" t="s">
        <v>678</v>
      </c>
      <c r="EE99" s="208">
        <v>4</v>
      </c>
      <c r="EF99" s="237" t="s">
        <v>678</v>
      </c>
      <c r="EG99" s="216" t="s">
        <v>703</v>
      </c>
      <c r="EH99" s="246" t="s">
        <v>704</v>
      </c>
      <c r="EI99" s="216"/>
      <c r="EJ99" s="216" t="s">
        <v>806</v>
      </c>
      <c r="EK99" s="222" t="s">
        <v>682</v>
      </c>
      <c r="EL99" s="259">
        <v>1995</v>
      </c>
      <c r="EM99" s="260">
        <v>1000</v>
      </c>
      <c r="EN99" s="260">
        <v>73147</v>
      </c>
      <c r="EO99" s="260">
        <v>24227</v>
      </c>
      <c r="ER99" s="237" t="s">
        <v>705</v>
      </c>
      <c r="ES99" s="237">
        <v>2055</v>
      </c>
      <c r="ET99" s="237">
        <v>24.227</v>
      </c>
      <c r="EU99" s="661">
        <v>3</v>
      </c>
      <c r="EV99" s="661" t="s">
        <v>678</v>
      </c>
      <c r="EW99" s="661">
        <v>2</v>
      </c>
      <c r="EX99" s="661">
        <v>2</v>
      </c>
      <c r="EY99" s="660">
        <v>4.853881278538813E-2</v>
      </c>
      <c r="EZ99" s="256">
        <v>64.44026340545625</v>
      </c>
      <c r="FA99" s="247">
        <v>5.7142857142857144</v>
      </c>
      <c r="FB99" s="208">
        <v>7</v>
      </c>
      <c r="FC99" s="208">
        <v>4</v>
      </c>
      <c r="FD99" s="208">
        <v>5</v>
      </c>
      <c r="FE99" s="239">
        <v>0.4</v>
      </c>
      <c r="FF99" s="208"/>
      <c r="FG99" s="241">
        <v>0</v>
      </c>
      <c r="FH99" s="209">
        <v>0</v>
      </c>
      <c r="FI99" s="237" t="s">
        <v>678</v>
      </c>
      <c r="FJ99" s="208" t="s">
        <v>678</v>
      </c>
      <c r="FK99" s="208" t="s">
        <v>678</v>
      </c>
      <c r="FL99" s="217" t="s">
        <v>678</v>
      </c>
      <c r="FM99" s="208" t="s">
        <v>678</v>
      </c>
      <c r="FN99" s="208" t="s">
        <v>678</v>
      </c>
      <c r="FP99" s="247" t="s">
        <v>693</v>
      </c>
      <c r="FU99" s="208" t="s">
        <v>678</v>
      </c>
      <c r="FV99" s="208" t="s">
        <v>678</v>
      </c>
      <c r="FW99" s="208" t="s">
        <v>678</v>
      </c>
      <c r="FX99" s="208" t="s">
        <v>678</v>
      </c>
      <c r="FY99" s="208" t="s">
        <v>678</v>
      </c>
      <c r="FZ99" s="208" t="s">
        <v>678</v>
      </c>
      <c r="GA99" s="208" t="s">
        <v>678</v>
      </c>
      <c r="GB99" s="208" t="s">
        <v>678</v>
      </c>
      <c r="GC99" s="208" t="s">
        <v>678</v>
      </c>
      <c r="GD99" s="208" t="s">
        <v>678</v>
      </c>
      <c r="GE99" s="237" t="s">
        <v>678</v>
      </c>
      <c r="GF99" s="237" t="s">
        <v>678</v>
      </c>
      <c r="GG99" s="237" t="s">
        <v>678</v>
      </c>
      <c r="GH99" s="237" t="s">
        <v>678</v>
      </c>
      <c r="GJ99" s="947"/>
      <c r="GK99" s="320"/>
      <c r="GL99" s="320"/>
      <c r="GM99" s="320"/>
      <c r="GN99" s="320"/>
      <c r="GO99" s="662">
        <v>8094</v>
      </c>
      <c r="GP99" s="663" t="str">
        <f>VLOOKUP(GS99,'BD Comarcal'!$A$6:$AV$17,48,FALSE)</f>
        <v>03</v>
      </c>
      <c r="GQ99" s="564">
        <v>15</v>
      </c>
      <c r="GR99" s="256">
        <f t="shared" si="1"/>
        <v>0</v>
      </c>
      <c r="GS99" s="237" t="s">
        <v>791</v>
      </c>
    </row>
    <row r="100" spans="1:201" s="237" customFormat="1" ht="17.25" customHeight="1">
      <c r="A100" s="236" t="s">
        <v>1110</v>
      </c>
      <c r="C100" s="238"/>
      <c r="D100" s="238">
        <v>2395</v>
      </c>
      <c r="E100" s="238">
        <v>2160</v>
      </c>
      <c r="F100" s="239">
        <v>0.90187891440501045</v>
      </c>
      <c r="G100" s="238">
        <v>2072</v>
      </c>
      <c r="H100" s="240">
        <v>1937.994107555262</v>
      </c>
      <c r="I100" s="239">
        <v>0.89721949423854719</v>
      </c>
      <c r="J100" s="238">
        <v>52</v>
      </c>
      <c r="K100" s="238">
        <v>1</v>
      </c>
      <c r="L100" s="238">
        <v>0</v>
      </c>
      <c r="M100" s="241">
        <v>0</v>
      </c>
      <c r="N100" s="238">
        <v>4</v>
      </c>
      <c r="O100" s="239">
        <v>7.6923076923076927E-2</v>
      </c>
      <c r="P100" s="237">
        <v>3</v>
      </c>
      <c r="Q100" s="237">
        <v>0</v>
      </c>
      <c r="R100" s="239">
        <v>0</v>
      </c>
      <c r="S100" s="238">
        <v>10</v>
      </c>
      <c r="T100" s="436">
        <v>0</v>
      </c>
      <c r="U100" s="436">
        <v>21</v>
      </c>
      <c r="V100" s="436">
        <v>0</v>
      </c>
      <c r="W100" s="436">
        <v>21</v>
      </c>
      <c r="X100" s="238">
        <v>79</v>
      </c>
      <c r="Y100" s="237">
        <v>0.21249999999999999</v>
      </c>
      <c r="Z100" s="238">
        <v>1341</v>
      </c>
      <c r="AA100" s="238">
        <v>16760</v>
      </c>
      <c r="AB100" s="238">
        <v>102.4</v>
      </c>
      <c r="AC100" s="238">
        <v>76</v>
      </c>
      <c r="AD100" s="238">
        <v>350048.16</v>
      </c>
      <c r="AE100" s="238">
        <v>45489.310000000056</v>
      </c>
      <c r="AF100" s="238">
        <v>305628.69999999995</v>
      </c>
      <c r="AG100" s="238">
        <v>144520.29999999999</v>
      </c>
      <c r="AH100" s="239">
        <v>0.47286233262779315</v>
      </c>
      <c r="AI100" s="242">
        <v>13.090199999999999</v>
      </c>
      <c r="AJ100" s="242">
        <v>126.786528</v>
      </c>
      <c r="AK100" s="242">
        <v>5.2938007515657617</v>
      </c>
      <c r="AL100" s="242" t="s">
        <v>678</v>
      </c>
      <c r="AM100" s="242" t="s">
        <v>678</v>
      </c>
      <c r="AN100" s="242">
        <v>91806.43</v>
      </c>
      <c r="AO100" s="238">
        <v>3954.63</v>
      </c>
      <c r="AP100" s="243">
        <v>0</v>
      </c>
      <c r="AQ100" s="238"/>
      <c r="AR100" s="238">
        <v>2219.5683544303797</v>
      </c>
      <c r="AS100" s="238">
        <v>2185.5844796939091</v>
      </c>
      <c r="AT100" s="238">
        <v>4755.666666666667</v>
      </c>
      <c r="AU100" s="238">
        <v>328.87580173987857</v>
      </c>
      <c r="AV100" s="237">
        <v>1</v>
      </c>
      <c r="AW100" s="237">
        <v>1</v>
      </c>
      <c r="AX100" s="237">
        <v>1</v>
      </c>
      <c r="AY100" s="244" t="s">
        <v>673</v>
      </c>
      <c r="AZ100" s="244" t="s">
        <v>695</v>
      </c>
      <c r="BA100" s="237">
        <v>0</v>
      </c>
      <c r="BB100" s="245" t="s">
        <v>971</v>
      </c>
      <c r="BC100" s="215" t="s">
        <v>972</v>
      </c>
      <c r="BE100" s="237">
        <v>0</v>
      </c>
      <c r="BF100" s="237">
        <v>30</v>
      </c>
      <c r="BG100" s="246" t="s">
        <v>720</v>
      </c>
      <c r="BI100" s="239">
        <v>0.75409836065573765</v>
      </c>
      <c r="BJ100" s="239">
        <v>0.19672131147540983</v>
      </c>
      <c r="BK100" s="239">
        <v>4.9180327868852458E-2</v>
      </c>
      <c r="BL100" s="239">
        <v>0</v>
      </c>
      <c r="BM100" s="247">
        <v>2.7049180327868849</v>
      </c>
      <c r="BN100" s="248">
        <v>0</v>
      </c>
      <c r="BO100" s="248">
        <v>0</v>
      </c>
      <c r="BP100" s="237">
        <v>0</v>
      </c>
      <c r="BQ100" s="237">
        <v>0</v>
      </c>
      <c r="BR100" s="248">
        <v>0</v>
      </c>
      <c r="BS100" s="262">
        <v>41</v>
      </c>
      <c r="BT100" s="237" t="s">
        <v>729</v>
      </c>
      <c r="BU100" s="249" t="s">
        <v>678</v>
      </c>
      <c r="BV100" s="249" t="s">
        <v>678</v>
      </c>
      <c r="BW100" s="249" t="s">
        <v>678</v>
      </c>
      <c r="BX100" s="249" t="s">
        <v>678</v>
      </c>
      <c r="BY100" s="249" t="s">
        <v>678</v>
      </c>
      <c r="BZ100" s="249" t="s">
        <v>678</v>
      </c>
      <c r="CA100" s="249" t="s">
        <v>678</v>
      </c>
      <c r="CB100" s="249" t="s">
        <v>678</v>
      </c>
      <c r="CC100" s="250" t="s">
        <v>678</v>
      </c>
      <c r="CD100" s="242" t="s">
        <v>678</v>
      </c>
      <c r="CE100" s="252" t="s">
        <v>678</v>
      </c>
      <c r="CF100" s="238">
        <v>90</v>
      </c>
      <c r="CG100" s="238">
        <v>3.5</v>
      </c>
      <c r="CH100" s="238">
        <v>4.6052631578947372</v>
      </c>
      <c r="CI100" s="216" t="s">
        <v>722</v>
      </c>
      <c r="CJ100" s="237">
        <v>1</v>
      </c>
      <c r="CK100" s="253">
        <v>12.31</v>
      </c>
      <c r="CL100" s="253">
        <v>0</v>
      </c>
      <c r="CM100" s="254">
        <v>0</v>
      </c>
      <c r="CN100" s="237" t="s">
        <v>24</v>
      </c>
      <c r="CO100" s="242">
        <v>843.29</v>
      </c>
      <c r="CP100" s="255">
        <v>0.35210438413361167</v>
      </c>
      <c r="CW100" s="261" t="s">
        <v>678</v>
      </c>
      <c r="CX100" s="261" t="s">
        <v>678</v>
      </c>
      <c r="CY100" s="261" t="s">
        <v>678</v>
      </c>
      <c r="DB100" s="216" t="s">
        <v>528</v>
      </c>
      <c r="DC100" s="195" t="s">
        <v>1111</v>
      </c>
      <c r="DD100" s="256">
        <v>0.8</v>
      </c>
      <c r="DE100" s="256">
        <v>-9</v>
      </c>
      <c r="DF100" s="256">
        <v>-0.3</v>
      </c>
      <c r="DG100" s="256">
        <v>-2.6</v>
      </c>
      <c r="DL100" s="237" t="s">
        <v>682</v>
      </c>
      <c r="DP100" s="258" t="s">
        <v>682</v>
      </c>
      <c r="DQ100" s="258"/>
      <c r="DR100" s="258"/>
      <c r="DS100" s="258"/>
      <c r="DT100" s="258"/>
      <c r="DU100" s="237">
        <v>0</v>
      </c>
      <c r="DX100" s="247"/>
      <c r="DY100" s="247">
        <v>0</v>
      </c>
      <c r="EA100" s="237">
        <v>0</v>
      </c>
      <c r="ED100" s="237" t="s">
        <v>836</v>
      </c>
      <c r="EE100" s="208">
        <v>1</v>
      </c>
      <c r="EF100" s="237" t="s">
        <v>688</v>
      </c>
      <c r="EG100" s="216" t="s">
        <v>703</v>
      </c>
      <c r="EH100" s="246" t="s">
        <v>704</v>
      </c>
      <c r="EI100" s="216"/>
      <c r="EJ100" s="216" t="s">
        <v>529</v>
      </c>
      <c r="EK100" s="222" t="s">
        <v>682</v>
      </c>
      <c r="EL100" s="259">
        <v>2000</v>
      </c>
      <c r="EM100" s="260"/>
      <c r="EN100" s="260">
        <v>4602</v>
      </c>
      <c r="EO100" s="260">
        <v>378</v>
      </c>
      <c r="ER100" s="237" t="s">
        <v>973</v>
      </c>
      <c r="ES100" s="237" t="e">
        <v>#DIV/0!</v>
      </c>
      <c r="EU100" s="661">
        <v>5</v>
      </c>
      <c r="EV100" s="661" t="s">
        <v>678</v>
      </c>
      <c r="EW100" s="661">
        <v>0</v>
      </c>
      <c r="EX100" s="661">
        <v>3</v>
      </c>
      <c r="EY100" s="660">
        <v>5.1398747390396663E-3</v>
      </c>
      <c r="EZ100" s="256">
        <v>6.1738424045491467</v>
      </c>
      <c r="FA100" s="247">
        <v>0</v>
      </c>
      <c r="FB100" s="208">
        <v>1</v>
      </c>
      <c r="FC100" s="208">
        <v>2</v>
      </c>
      <c r="FD100" s="208">
        <v>3</v>
      </c>
      <c r="FE100" s="239">
        <v>0.95925925925925926</v>
      </c>
      <c r="FF100" s="208">
        <v>1</v>
      </c>
      <c r="FG100" s="241">
        <v>0</v>
      </c>
      <c r="FH100" s="209">
        <v>0</v>
      </c>
      <c r="FI100" s="237" t="s">
        <v>678</v>
      </c>
      <c r="FJ100" s="208">
        <v>54.5</v>
      </c>
      <c r="FK100" s="208">
        <v>18.7</v>
      </c>
      <c r="FL100" s="217">
        <v>59.7</v>
      </c>
      <c r="FM100" s="208">
        <v>8.6999999999999993</v>
      </c>
      <c r="FN100" s="208" t="s">
        <v>1112</v>
      </c>
      <c r="FP100" s="247" t="s">
        <v>693</v>
      </c>
      <c r="FU100" s="208">
        <v>41</v>
      </c>
      <c r="FV100" s="208">
        <v>55.4</v>
      </c>
      <c r="FW100" s="237">
        <v>74.31</v>
      </c>
      <c r="FX100" s="237">
        <v>59.2</v>
      </c>
      <c r="FY100" s="208">
        <v>43.81</v>
      </c>
      <c r="FZ100" s="208">
        <v>56.9</v>
      </c>
      <c r="GA100" s="208">
        <v>55.56</v>
      </c>
      <c r="GB100" s="208">
        <v>59.4</v>
      </c>
      <c r="GC100" s="208">
        <v>0.24</v>
      </c>
      <c r="GD100" s="208">
        <v>42.3</v>
      </c>
      <c r="GE100" s="237">
        <v>51.25</v>
      </c>
      <c r="GF100" s="237">
        <v>67.5</v>
      </c>
      <c r="GG100" s="237">
        <v>0</v>
      </c>
      <c r="GH100" s="237">
        <v>0.5</v>
      </c>
      <c r="GJ100" s="947"/>
      <c r="GK100" s="320"/>
      <c r="GL100" s="320"/>
      <c r="GM100" s="320"/>
      <c r="GN100" s="320"/>
      <c r="GO100" s="662">
        <v>8095</v>
      </c>
      <c r="GP100" s="663" t="str">
        <f>VLOOKUP(GS100,'BD Comarcal'!$A$6:$AV$17,48,FALSE)</f>
        <v>42</v>
      </c>
      <c r="GQ100" s="564">
        <v>0</v>
      </c>
      <c r="GR100" s="256">
        <f t="shared" si="1"/>
        <v>0</v>
      </c>
      <c r="GS100" s="237" t="s">
        <v>87</v>
      </c>
    </row>
    <row r="101" spans="1:201" s="237" customFormat="1" ht="16.5" customHeight="1">
      <c r="A101" s="236" t="s">
        <v>1113</v>
      </c>
      <c r="C101" s="238"/>
      <c r="D101" s="238">
        <v>1489</v>
      </c>
      <c r="E101" s="238">
        <v>131</v>
      </c>
      <c r="F101" s="239">
        <v>8.7978509066487576E-2</v>
      </c>
      <c r="G101" s="238">
        <v>58</v>
      </c>
      <c r="H101" s="240">
        <v>1.9120774719134543</v>
      </c>
      <c r="I101" s="239">
        <v>1.4596011235980567E-2</v>
      </c>
      <c r="J101" s="238">
        <v>313</v>
      </c>
      <c r="K101" s="238">
        <v>0</v>
      </c>
      <c r="L101" s="238">
        <v>59</v>
      </c>
      <c r="M101" s="241">
        <v>3.9623908663532575E-2</v>
      </c>
      <c r="N101" s="238">
        <v>0</v>
      </c>
      <c r="O101" s="239">
        <v>0</v>
      </c>
      <c r="P101" s="237">
        <v>15</v>
      </c>
      <c r="Q101" s="237">
        <v>0</v>
      </c>
      <c r="R101" s="239">
        <v>0</v>
      </c>
      <c r="S101" s="238">
        <v>709</v>
      </c>
      <c r="T101" s="436">
        <v>0</v>
      </c>
      <c r="U101" s="436">
        <v>0</v>
      </c>
      <c r="V101" s="436">
        <v>1209</v>
      </c>
      <c r="W101" s="436">
        <v>1209</v>
      </c>
      <c r="X101" s="238">
        <v>60174</v>
      </c>
      <c r="Y101" s="237">
        <v>0.1636</v>
      </c>
      <c r="Z101" s="238">
        <v>818200</v>
      </c>
      <c r="AA101" s="238">
        <v>13614</v>
      </c>
      <c r="AB101" s="238">
        <v>83.18</v>
      </c>
      <c r="AC101" s="238">
        <v>34507</v>
      </c>
      <c r="AD101" s="238">
        <v>71529208.569999993</v>
      </c>
      <c r="AE101" s="238">
        <v>10973720.100000001</v>
      </c>
      <c r="AF101" s="238">
        <v>62681155.350000001</v>
      </c>
      <c r="AG101" s="238">
        <v>3425926.62</v>
      </c>
      <c r="AH101" s="239">
        <v>5.4656405116821127E-2</v>
      </c>
      <c r="AI101" s="242">
        <v>668.13493700000004</v>
      </c>
      <c r="AJ101" s="242">
        <v>126.786528</v>
      </c>
      <c r="AK101" s="242">
        <v>8.5148776359973137</v>
      </c>
      <c r="AL101" s="242">
        <v>38.841092000000003</v>
      </c>
      <c r="AM101" s="242">
        <v>2.6085353928811283</v>
      </c>
      <c r="AN101" s="242">
        <v>91806.43</v>
      </c>
      <c r="AO101" s="238">
        <v>6924.57</v>
      </c>
      <c r="AP101" s="243">
        <v>31</v>
      </c>
      <c r="AQ101" s="238">
        <v>1</v>
      </c>
      <c r="AR101" s="238">
        <v>1120.8082262407549</v>
      </c>
      <c r="AS101" s="238">
        <v>1867.3892315420846</v>
      </c>
      <c r="AT101" s="238">
        <v>3925975.3333333335</v>
      </c>
      <c r="AU101" s="238">
        <v>231.4291059365076</v>
      </c>
      <c r="AV101" s="237">
        <v>1</v>
      </c>
      <c r="AW101" s="237">
        <v>0</v>
      </c>
      <c r="AX101" s="237">
        <v>1</v>
      </c>
      <c r="AY101" s="244" t="s">
        <v>695</v>
      </c>
      <c r="AZ101" s="244" t="s">
        <v>717</v>
      </c>
      <c r="BA101" s="237">
        <v>2009</v>
      </c>
      <c r="BB101" s="245" t="s">
        <v>727</v>
      </c>
      <c r="BC101" s="215" t="s">
        <v>728</v>
      </c>
      <c r="BD101" s="237">
        <v>1</v>
      </c>
      <c r="BE101" s="237">
        <v>2</v>
      </c>
      <c r="BF101" s="237">
        <v>39</v>
      </c>
      <c r="BG101" s="246" t="s">
        <v>676</v>
      </c>
      <c r="BI101" s="239">
        <v>0.4067933949454689</v>
      </c>
      <c r="BJ101" s="239">
        <v>0.13481669659673251</v>
      </c>
      <c r="BK101" s="239">
        <v>0.42983224563094041</v>
      </c>
      <c r="BL101" s="239">
        <v>2.8557662826858218E-2</v>
      </c>
      <c r="BM101" s="247">
        <v>1.9198458236608122</v>
      </c>
      <c r="BN101" s="248">
        <v>0</v>
      </c>
      <c r="BO101" s="248">
        <v>2</v>
      </c>
      <c r="BP101" s="237">
        <v>1</v>
      </c>
      <c r="BQ101" s="237">
        <v>1</v>
      </c>
      <c r="BR101" s="248">
        <v>4</v>
      </c>
      <c r="BS101" s="237">
        <v>0</v>
      </c>
      <c r="BT101" s="237" t="s">
        <v>729</v>
      </c>
      <c r="BU101" s="249">
        <v>4720</v>
      </c>
      <c r="BV101" s="249">
        <v>6204</v>
      </c>
      <c r="BW101" s="249">
        <v>29923</v>
      </c>
      <c r="BX101" s="249">
        <v>8355</v>
      </c>
      <c r="BY101" s="249">
        <v>7.8991849781600925</v>
      </c>
      <c r="BZ101" s="249">
        <v>10.382742289090087</v>
      </c>
      <c r="CA101" s="249">
        <v>50.07782036048399</v>
      </c>
      <c r="CB101" s="249">
        <v>13.982561545027028</v>
      </c>
      <c r="CC101" s="250">
        <v>94.540859873144441</v>
      </c>
      <c r="CD101" s="242">
        <v>1564</v>
      </c>
      <c r="CE101" s="252">
        <v>102.61744180208525</v>
      </c>
      <c r="CF101" s="238">
        <v>26125</v>
      </c>
      <c r="CG101" s="238">
        <v>5686</v>
      </c>
      <c r="CH101" s="238">
        <v>9.5158402088598066</v>
      </c>
      <c r="CI101" s="216" t="s">
        <v>700</v>
      </c>
      <c r="CJ101" s="237">
        <v>0</v>
      </c>
      <c r="CK101" s="253">
        <v>692.08</v>
      </c>
      <c r="CL101" s="253">
        <v>156.83930000000001</v>
      </c>
      <c r="CM101" s="254">
        <v>0.10533196776359974</v>
      </c>
      <c r="CN101" s="237" t="s">
        <v>24</v>
      </c>
      <c r="CO101" s="242"/>
      <c r="CP101" s="255">
        <v>0</v>
      </c>
      <c r="CV101" s="237">
        <v>6</v>
      </c>
      <c r="CW101" s="194">
        <v>0.89</v>
      </c>
      <c r="CX101" s="194">
        <v>0.63500000000000001</v>
      </c>
      <c r="CY101" s="194" t="s">
        <v>680</v>
      </c>
      <c r="DB101" s="216" t="s">
        <v>710</v>
      </c>
      <c r="DC101" s="195" t="s">
        <v>711</v>
      </c>
      <c r="DD101" s="256">
        <v>0.7</v>
      </c>
      <c r="DE101" s="256">
        <v>-6.5</v>
      </c>
      <c r="DF101" s="256">
        <v>0.7</v>
      </c>
      <c r="DG101" s="256">
        <v>-2.2000000000000002</v>
      </c>
      <c r="DL101" s="237" t="s">
        <v>529</v>
      </c>
      <c r="DN101" s="237" t="s">
        <v>730</v>
      </c>
      <c r="DP101" s="258" t="s">
        <v>683</v>
      </c>
      <c r="DQ101" s="258" t="s">
        <v>1114</v>
      </c>
      <c r="DR101" s="258" t="s">
        <v>1115</v>
      </c>
      <c r="DS101" s="258"/>
      <c r="DT101" s="258"/>
      <c r="DU101" s="237">
        <v>0</v>
      </c>
      <c r="DX101" s="247"/>
      <c r="DY101" s="247">
        <v>0</v>
      </c>
      <c r="EA101" s="237">
        <v>0</v>
      </c>
      <c r="ED101" s="237" t="s">
        <v>678</v>
      </c>
      <c r="EE101" s="208">
        <v>3</v>
      </c>
      <c r="EF101" s="237" t="s">
        <v>678</v>
      </c>
      <c r="EG101" s="216" t="s">
        <v>691</v>
      </c>
      <c r="EH101" s="246" t="s">
        <v>690</v>
      </c>
      <c r="EI101" s="216"/>
      <c r="EJ101" s="216" t="s">
        <v>529</v>
      </c>
      <c r="EK101" s="222" t="s">
        <v>529</v>
      </c>
      <c r="EL101" s="259">
        <v>2013</v>
      </c>
      <c r="EM101" s="260">
        <v>19400</v>
      </c>
      <c r="EN101" s="260">
        <v>2203808</v>
      </c>
      <c r="EO101" s="260">
        <v>1797288</v>
      </c>
      <c r="ER101" s="237" t="s">
        <v>705</v>
      </c>
      <c r="ES101" s="237">
        <v>14938.25</v>
      </c>
      <c r="ET101" s="237">
        <v>92.643711340206181</v>
      </c>
      <c r="EU101" s="661">
        <v>3</v>
      </c>
      <c r="EV101" s="661">
        <v>4</v>
      </c>
      <c r="EW101" s="661">
        <v>4</v>
      </c>
      <c r="EX101" s="661">
        <v>5</v>
      </c>
      <c r="EY101" s="660">
        <v>0.46479516453995973</v>
      </c>
      <c r="EZ101" s="256">
        <v>86.33828459137672</v>
      </c>
      <c r="FA101" s="247">
        <v>4.5801526717557248</v>
      </c>
      <c r="FB101" s="208">
        <v>4</v>
      </c>
      <c r="FC101" s="208">
        <v>2</v>
      </c>
      <c r="FD101" s="208">
        <v>7</v>
      </c>
      <c r="FE101" s="239">
        <v>0.44274809160305345</v>
      </c>
      <c r="FF101" s="208"/>
      <c r="FG101" s="241">
        <v>0</v>
      </c>
      <c r="FH101" s="209">
        <v>0</v>
      </c>
      <c r="FI101" s="237" t="s">
        <v>678</v>
      </c>
      <c r="FJ101" s="208" t="s">
        <v>678</v>
      </c>
      <c r="FK101" s="208" t="s">
        <v>678</v>
      </c>
      <c r="FL101" s="217" t="s">
        <v>678</v>
      </c>
      <c r="FM101" s="208" t="s">
        <v>678</v>
      </c>
      <c r="FN101" s="208" t="s">
        <v>678</v>
      </c>
      <c r="FP101" s="247" t="s">
        <v>693</v>
      </c>
      <c r="FU101" s="208" t="s">
        <v>678</v>
      </c>
      <c r="FV101" s="208" t="s">
        <v>678</v>
      </c>
      <c r="FW101" s="208" t="s">
        <v>678</v>
      </c>
      <c r="FX101" s="208" t="s">
        <v>678</v>
      </c>
      <c r="FY101" s="208" t="s">
        <v>678</v>
      </c>
      <c r="FZ101" s="208" t="s">
        <v>678</v>
      </c>
      <c r="GA101" s="208" t="s">
        <v>678</v>
      </c>
      <c r="GB101" s="208" t="s">
        <v>678</v>
      </c>
      <c r="GC101" s="208" t="s">
        <v>678</v>
      </c>
      <c r="GD101" s="208" t="s">
        <v>678</v>
      </c>
      <c r="GE101" s="237" t="s">
        <v>678</v>
      </c>
      <c r="GF101" s="237" t="s">
        <v>678</v>
      </c>
      <c r="GG101" s="237" t="s">
        <v>678</v>
      </c>
      <c r="GH101" s="237" t="s">
        <v>678</v>
      </c>
      <c r="GJ101" s="947">
        <v>2196</v>
      </c>
      <c r="GK101" s="320">
        <v>0</v>
      </c>
      <c r="GL101" s="320">
        <v>0.26100000000000001</v>
      </c>
      <c r="GM101" s="320">
        <v>3.4000000000000002E-2</v>
      </c>
      <c r="GN101" s="320">
        <v>0.70399999999999996</v>
      </c>
      <c r="GO101" s="662">
        <v>8096</v>
      </c>
      <c r="GP101" s="663" t="str">
        <f>VLOOKUP(GS101,'BD Comarcal'!$A$6:$AV$17,48,FALSE)</f>
        <v>41</v>
      </c>
      <c r="GQ101" s="564">
        <v>456</v>
      </c>
      <c r="GR101" s="256">
        <f t="shared" si="1"/>
        <v>0</v>
      </c>
      <c r="GS101" s="237" t="s">
        <v>24</v>
      </c>
    </row>
    <row r="102" spans="1:201" s="237" customFormat="1" ht="17.25" customHeight="1">
      <c r="A102" s="236" t="s">
        <v>1116</v>
      </c>
      <c r="C102" s="238"/>
      <c r="D102" s="238">
        <v>2324</v>
      </c>
      <c r="E102" s="238">
        <v>2044</v>
      </c>
      <c r="F102" s="239">
        <v>0.87951807228915657</v>
      </c>
      <c r="G102" s="238">
        <v>1983</v>
      </c>
      <c r="H102" s="240">
        <v>838.78269992083517</v>
      </c>
      <c r="I102" s="239">
        <v>0.41036335612565322</v>
      </c>
      <c r="J102" s="238">
        <v>89</v>
      </c>
      <c r="K102" s="238">
        <v>4</v>
      </c>
      <c r="L102" s="238">
        <v>4</v>
      </c>
      <c r="M102" s="241">
        <v>1.7211703958691911E-3</v>
      </c>
      <c r="N102" s="238">
        <v>0</v>
      </c>
      <c r="O102" s="239">
        <v>0</v>
      </c>
      <c r="P102" s="237">
        <v>7</v>
      </c>
      <c r="Q102" s="237">
        <v>0</v>
      </c>
      <c r="R102" s="239">
        <v>0</v>
      </c>
      <c r="S102" s="238">
        <v>24</v>
      </c>
      <c r="T102" s="436">
        <v>0</v>
      </c>
      <c r="U102" s="436">
        <v>0</v>
      </c>
      <c r="V102" s="436">
        <v>21</v>
      </c>
      <c r="W102" s="436">
        <v>21</v>
      </c>
      <c r="X102" s="238">
        <v>1426</v>
      </c>
      <c r="Y102" s="237">
        <v>0.1421</v>
      </c>
      <c r="Z102" s="238">
        <v>23698</v>
      </c>
      <c r="AA102" s="238">
        <v>16760</v>
      </c>
      <c r="AB102" s="238">
        <v>102.4</v>
      </c>
      <c r="AC102" s="238">
        <v>225</v>
      </c>
      <c r="AD102" s="238">
        <v>1952146.46</v>
      </c>
      <c r="AE102" s="238">
        <v>-35651.530000000261</v>
      </c>
      <c r="AF102" s="238">
        <v>2126879.7000000002</v>
      </c>
      <c r="AG102" s="238">
        <v>670716.69999999995</v>
      </c>
      <c r="AH102" s="239">
        <v>0.31535243859819617</v>
      </c>
      <c r="AI102" s="242">
        <v>40.391945</v>
      </c>
      <c r="AJ102" s="242">
        <v>20.889823</v>
      </c>
      <c r="AK102" s="242">
        <v>0.89887362306368335</v>
      </c>
      <c r="AL102" s="242">
        <v>38.841092000000003</v>
      </c>
      <c r="AM102" s="242">
        <v>1.671303442340792</v>
      </c>
      <c r="AN102" s="242">
        <v>25588.16</v>
      </c>
      <c r="AO102" s="238">
        <v>4660.8500000000004</v>
      </c>
      <c r="AP102" s="243">
        <v>16</v>
      </c>
      <c r="AQ102" s="238">
        <v>1</v>
      </c>
      <c r="AR102" s="238">
        <v>1565.3465076715256</v>
      </c>
      <c r="AS102" s="238">
        <v>1677.4916651870378</v>
      </c>
      <c r="AT102" s="238">
        <v>171769.33333333334</v>
      </c>
      <c r="AU102" s="238">
        <v>407.1263790258887</v>
      </c>
      <c r="AV102" s="237">
        <v>1</v>
      </c>
      <c r="AW102" s="237">
        <v>0</v>
      </c>
      <c r="AX102" s="237">
        <v>1</v>
      </c>
      <c r="AY102" s="244" t="s">
        <v>673</v>
      </c>
      <c r="AZ102" s="244" t="s">
        <v>682</v>
      </c>
      <c r="BA102" s="237">
        <v>0</v>
      </c>
      <c r="BB102" s="245" t="s">
        <v>1117</v>
      </c>
      <c r="BC102" s="215" t="s">
        <v>1118</v>
      </c>
      <c r="BE102" s="237">
        <v>2</v>
      </c>
      <c r="BF102" s="237">
        <v>39</v>
      </c>
      <c r="BG102" s="246" t="s">
        <v>698</v>
      </c>
      <c r="BI102" s="239">
        <v>0.5403788634097707</v>
      </c>
      <c r="BJ102" s="239">
        <v>7.8763708873379856E-2</v>
      </c>
      <c r="BK102" s="239">
        <v>0.34995014955134596</v>
      </c>
      <c r="BL102" s="239">
        <v>3.0907278165503489E-2</v>
      </c>
      <c r="BM102" s="247">
        <v>2.1286141575274176</v>
      </c>
      <c r="BN102" s="248">
        <v>1</v>
      </c>
      <c r="BO102" s="248">
        <v>0</v>
      </c>
      <c r="BP102" s="237">
        <v>0</v>
      </c>
      <c r="BQ102" s="237">
        <v>0</v>
      </c>
      <c r="BR102" s="248">
        <v>1</v>
      </c>
      <c r="BS102" s="262">
        <v>32</v>
      </c>
      <c r="BT102" s="237" t="s">
        <v>729</v>
      </c>
      <c r="BU102" s="249" t="s">
        <v>678</v>
      </c>
      <c r="BV102" s="249">
        <v>118</v>
      </c>
      <c r="BW102" s="249">
        <v>654</v>
      </c>
      <c r="BX102" s="249" t="s">
        <v>678</v>
      </c>
      <c r="BY102" s="249" t="s">
        <v>678</v>
      </c>
      <c r="BZ102" s="249">
        <v>8.4648493543758967</v>
      </c>
      <c r="CA102" s="249">
        <v>46.91535150645624</v>
      </c>
      <c r="CB102" s="249" t="s">
        <v>678</v>
      </c>
      <c r="CC102" s="250" t="s">
        <v>678</v>
      </c>
      <c r="CD102" s="242" t="s">
        <v>678</v>
      </c>
      <c r="CE102" s="252" t="s">
        <v>678</v>
      </c>
      <c r="CF102" s="238">
        <v>790</v>
      </c>
      <c r="CG102" s="238">
        <v>82</v>
      </c>
      <c r="CH102" s="238">
        <v>5.882352941176471</v>
      </c>
      <c r="CI102" s="216" t="s">
        <v>722</v>
      </c>
      <c r="CJ102" s="237">
        <v>1</v>
      </c>
      <c r="CK102" s="253">
        <v>40.700000000000003</v>
      </c>
      <c r="CL102" s="253">
        <v>77.990200000000002</v>
      </c>
      <c r="CM102" s="254">
        <v>3.3558605851979346E-2</v>
      </c>
      <c r="CN102" s="237" t="s">
        <v>24</v>
      </c>
      <c r="CO102" s="242">
        <v>749.34</v>
      </c>
      <c r="CP102" s="255">
        <v>0.32243545611015489</v>
      </c>
      <c r="CV102" s="237">
        <v>1</v>
      </c>
      <c r="CW102" s="261" t="s">
        <v>678</v>
      </c>
      <c r="CX102" s="261" t="s">
        <v>678</v>
      </c>
      <c r="CY102" s="261" t="s">
        <v>678</v>
      </c>
      <c r="DB102" s="216" t="s">
        <v>681</v>
      </c>
      <c r="DC102" s="256"/>
      <c r="DD102" s="256">
        <v>0.8</v>
      </c>
      <c r="DE102" s="256">
        <v>-10</v>
      </c>
      <c r="DF102" s="256">
        <v>0.5</v>
      </c>
      <c r="DG102" s="256">
        <v>-2.2999999999999998</v>
      </c>
      <c r="DL102" s="237" t="s">
        <v>682</v>
      </c>
      <c r="DO102" s="237">
        <v>1</v>
      </c>
      <c r="DP102" s="258" t="s">
        <v>682</v>
      </c>
      <c r="DQ102" s="258"/>
      <c r="DR102" s="258"/>
      <c r="DS102" s="258"/>
      <c r="DT102" s="258"/>
      <c r="DU102" s="237">
        <v>0</v>
      </c>
      <c r="DX102" s="247"/>
      <c r="DY102" s="247">
        <v>0</v>
      </c>
      <c r="EA102" s="237">
        <v>0</v>
      </c>
      <c r="EB102" s="237" t="s">
        <v>1119</v>
      </c>
      <c r="ED102" s="237" t="s">
        <v>880</v>
      </c>
      <c r="EE102" s="208">
        <v>1</v>
      </c>
      <c r="EF102" s="237" t="s">
        <v>852</v>
      </c>
      <c r="EG102" s="216" t="s">
        <v>715</v>
      </c>
      <c r="EH102" s="246" t="s">
        <v>690</v>
      </c>
      <c r="EI102" s="216"/>
      <c r="EJ102" s="216" t="s">
        <v>529</v>
      </c>
      <c r="EK102" s="222" t="s">
        <v>682</v>
      </c>
      <c r="EL102" s="259">
        <v>2001</v>
      </c>
      <c r="EM102" s="260">
        <v>2950</v>
      </c>
      <c r="EN102" s="260">
        <v>89081</v>
      </c>
      <c r="EO102" s="260">
        <v>79209</v>
      </c>
      <c r="EP102" s="237">
        <v>2</v>
      </c>
      <c r="EQ102" s="237">
        <v>271</v>
      </c>
      <c r="ER102" s="237" t="s">
        <v>705</v>
      </c>
      <c r="ES102" s="237">
        <v>1394</v>
      </c>
      <c r="ET102" s="237">
        <v>26.850508474576269</v>
      </c>
      <c r="EU102" s="661">
        <v>1</v>
      </c>
      <c r="EV102" s="661" t="s">
        <v>678</v>
      </c>
      <c r="EW102" s="661">
        <v>2</v>
      </c>
      <c r="EX102" s="661">
        <v>5</v>
      </c>
      <c r="EY102" s="660">
        <v>1.751290877796902E-2</v>
      </c>
      <c r="EZ102" s="256">
        <v>34.250614250614248</v>
      </c>
      <c r="FA102" s="247">
        <v>4.8923679060665359E-2</v>
      </c>
      <c r="FB102" s="208">
        <v>6</v>
      </c>
      <c r="FC102" s="208">
        <v>6</v>
      </c>
      <c r="FD102" s="208">
        <v>4</v>
      </c>
      <c r="FE102" s="239">
        <v>0.97015655577299409</v>
      </c>
      <c r="FF102" s="208"/>
      <c r="FG102" s="241">
        <v>0</v>
      </c>
      <c r="FH102" s="209">
        <v>0</v>
      </c>
      <c r="FI102" s="237" t="s">
        <v>678</v>
      </c>
      <c r="FJ102" s="208">
        <v>57.7</v>
      </c>
      <c r="FK102" s="208">
        <v>29.26</v>
      </c>
      <c r="FL102" s="217">
        <v>71.2</v>
      </c>
      <c r="FM102" s="208">
        <v>9.06</v>
      </c>
      <c r="FN102" s="208" t="s">
        <v>1120</v>
      </c>
      <c r="FP102" s="247" t="s">
        <v>693</v>
      </c>
      <c r="FU102" s="208">
        <v>38</v>
      </c>
      <c r="FV102" s="208">
        <v>47</v>
      </c>
      <c r="FW102" s="237">
        <v>76.2</v>
      </c>
      <c r="FX102" s="237">
        <v>62.2</v>
      </c>
      <c r="FY102" s="208">
        <v>51.99</v>
      </c>
      <c r="FZ102" s="208">
        <v>63.5</v>
      </c>
      <c r="GA102" s="208">
        <v>64.16</v>
      </c>
      <c r="GB102" s="208">
        <v>71.900000000000006</v>
      </c>
      <c r="GC102" s="208">
        <v>-0.19</v>
      </c>
      <c r="GD102" s="208">
        <v>3.4</v>
      </c>
      <c r="GE102" s="237">
        <v>42.42</v>
      </c>
      <c r="GF102" s="237">
        <v>54.6</v>
      </c>
      <c r="GG102" s="237">
        <v>7.76</v>
      </c>
      <c r="GH102" s="237">
        <v>59.4</v>
      </c>
      <c r="GJ102" s="947"/>
      <c r="GK102" s="320"/>
      <c r="GL102" s="320"/>
      <c r="GM102" s="320"/>
      <c r="GN102" s="320"/>
      <c r="GO102" s="662">
        <v>8097</v>
      </c>
      <c r="GP102" s="663" t="str">
        <f>VLOOKUP(GS102,'BD Comarcal'!$A$6:$AV$17,48,FALSE)</f>
        <v>41</v>
      </c>
      <c r="GQ102" s="564">
        <v>4</v>
      </c>
      <c r="GR102" s="256">
        <f t="shared" si="1"/>
        <v>0</v>
      </c>
      <c r="GS102" s="237" t="s">
        <v>24</v>
      </c>
    </row>
    <row r="103" spans="1:201" s="237" customFormat="1" ht="17.25" customHeight="1">
      <c r="A103" s="236" t="s">
        <v>1121</v>
      </c>
      <c r="C103" s="238"/>
      <c r="D103" s="238">
        <v>3699</v>
      </c>
      <c r="E103" s="238">
        <v>2580</v>
      </c>
      <c r="F103" s="239">
        <v>0.69748580697485807</v>
      </c>
      <c r="G103" s="238">
        <v>1279</v>
      </c>
      <c r="H103" s="240">
        <v>1235.6781206033756</v>
      </c>
      <c r="I103" s="239">
        <v>0.47894500798580453</v>
      </c>
      <c r="J103" s="238">
        <v>719</v>
      </c>
      <c r="K103" s="238">
        <v>209</v>
      </c>
      <c r="L103" s="238">
        <v>2</v>
      </c>
      <c r="M103" s="241">
        <v>5.406866720735334E-4</v>
      </c>
      <c r="N103" s="238">
        <v>10</v>
      </c>
      <c r="O103" s="239">
        <v>1.3908205841446454E-2</v>
      </c>
      <c r="Q103" s="237">
        <v>0</v>
      </c>
      <c r="R103" s="239">
        <v>0</v>
      </c>
      <c r="S103" s="238">
        <v>870</v>
      </c>
      <c r="T103" s="436">
        <v>0</v>
      </c>
      <c r="U103" s="436">
        <v>30</v>
      </c>
      <c r="V103" s="436">
        <v>0</v>
      </c>
      <c r="W103" s="436">
        <v>30</v>
      </c>
      <c r="X103" s="238">
        <v>3141</v>
      </c>
      <c r="Y103" s="237">
        <v>0.1696</v>
      </c>
      <c r="Z103" s="238">
        <v>47939</v>
      </c>
      <c r="AA103" s="238">
        <v>15336</v>
      </c>
      <c r="AB103" s="238">
        <v>93.7</v>
      </c>
      <c r="AC103" s="238">
        <v>650</v>
      </c>
      <c r="AD103" s="238">
        <v>3378460.14</v>
      </c>
      <c r="AE103" s="238">
        <v>402286.10000000056</v>
      </c>
      <c r="AF103" s="238">
        <v>3182269.7199999997</v>
      </c>
      <c r="AG103" s="238">
        <v>426385.04</v>
      </c>
      <c r="AH103" s="239">
        <v>0.13398771239290175</v>
      </c>
      <c r="AI103" s="247">
        <v>142.80793399999999</v>
      </c>
      <c r="AJ103" s="242">
        <v>14.438696999999999</v>
      </c>
      <c r="AK103" s="242">
        <v>0.39034055150040553</v>
      </c>
      <c r="AL103" s="242">
        <v>475.18753099999998</v>
      </c>
      <c r="AM103" s="242">
        <v>12.846378237361447</v>
      </c>
      <c r="AN103" s="242">
        <v>26689.99</v>
      </c>
      <c r="AO103" s="238">
        <v>0</v>
      </c>
      <c r="AP103" s="243">
        <v>0</v>
      </c>
      <c r="AQ103" s="238">
        <v>1</v>
      </c>
      <c r="AR103" s="238">
        <v>1508.7666381544004</v>
      </c>
      <c r="AS103" s="238">
        <v>2443.5624727124464</v>
      </c>
      <c r="AT103" s="238">
        <v>211832</v>
      </c>
      <c r="AU103" s="238">
        <v>356.14889284857793</v>
      </c>
      <c r="AV103" s="237">
        <v>1</v>
      </c>
      <c r="AW103" s="237">
        <v>1</v>
      </c>
      <c r="AX103" s="237">
        <v>1</v>
      </c>
      <c r="AY103" s="244" t="s">
        <v>717</v>
      </c>
      <c r="AZ103" s="244" t="s">
        <v>673</v>
      </c>
      <c r="BA103" s="237">
        <v>2010</v>
      </c>
      <c r="BB103" s="245" t="s">
        <v>1122</v>
      </c>
      <c r="BC103" s="215" t="s">
        <v>1123</v>
      </c>
      <c r="BE103" s="237">
        <v>1</v>
      </c>
      <c r="BF103" s="237">
        <v>90</v>
      </c>
      <c r="BG103" s="246" t="s">
        <v>698</v>
      </c>
      <c r="BI103" s="239">
        <v>0.23988095238095239</v>
      </c>
      <c r="BJ103" s="239">
        <v>0.45238095238095238</v>
      </c>
      <c r="BK103" s="239">
        <v>0.30059523809523808</v>
      </c>
      <c r="BL103" s="239">
        <v>7.1428571428571426E-3</v>
      </c>
      <c r="BM103" s="247">
        <v>1.925</v>
      </c>
      <c r="BN103" s="248">
        <v>0</v>
      </c>
      <c r="BO103" s="248">
        <v>0</v>
      </c>
      <c r="BP103" s="237">
        <v>0</v>
      </c>
      <c r="BQ103" s="237">
        <v>0</v>
      </c>
      <c r="BR103" s="248">
        <v>0</v>
      </c>
      <c r="BS103" s="237">
        <v>8.3000000000000007</v>
      </c>
      <c r="BT103" s="237" t="s">
        <v>699</v>
      </c>
      <c r="BU103" s="249" t="s">
        <v>678</v>
      </c>
      <c r="BV103" s="249">
        <v>359</v>
      </c>
      <c r="BW103" s="249">
        <v>1549</v>
      </c>
      <c r="BX103" s="249" t="s">
        <v>678</v>
      </c>
      <c r="BY103" s="249" t="s">
        <v>678</v>
      </c>
      <c r="BZ103" s="249">
        <v>11.499039077514414</v>
      </c>
      <c r="CA103" s="249">
        <v>49.615631005765536</v>
      </c>
      <c r="CB103" s="249" t="s">
        <v>678</v>
      </c>
      <c r="CC103" s="250" t="s">
        <v>678</v>
      </c>
      <c r="CD103" s="242" t="s">
        <v>678</v>
      </c>
      <c r="CE103" s="252" t="s">
        <v>678</v>
      </c>
      <c r="CF103" s="238">
        <v>1546</v>
      </c>
      <c r="CG103" s="238">
        <v>250</v>
      </c>
      <c r="CH103" s="238">
        <v>8.0076873798846897</v>
      </c>
      <c r="CI103" s="216" t="s">
        <v>722</v>
      </c>
      <c r="CJ103" s="237">
        <v>1</v>
      </c>
      <c r="CK103" s="253">
        <v>142.1</v>
      </c>
      <c r="CL103" s="253">
        <v>13.5581</v>
      </c>
      <c r="CM103" s="254">
        <v>3.6653419843200863E-3</v>
      </c>
      <c r="CN103" s="237" t="s">
        <v>82</v>
      </c>
      <c r="CO103" s="242"/>
      <c r="CP103" s="255">
        <v>0</v>
      </c>
      <c r="CV103" s="237">
        <v>3</v>
      </c>
      <c r="CW103" s="261" t="s">
        <v>678</v>
      </c>
      <c r="CX103" s="261" t="s">
        <v>678</v>
      </c>
      <c r="CY103" s="261" t="s">
        <v>678</v>
      </c>
      <c r="DB103" s="216" t="s">
        <v>746</v>
      </c>
      <c r="DC103" s="195" t="s">
        <v>866</v>
      </c>
      <c r="DD103" s="256">
        <v>0.8</v>
      </c>
      <c r="DE103" s="256">
        <v>-10</v>
      </c>
      <c r="DF103" s="256">
        <v>0.5</v>
      </c>
      <c r="DG103" s="256">
        <v>-2.2999999999999998</v>
      </c>
      <c r="DH103" s="257">
        <v>2</v>
      </c>
      <c r="DI103" s="257">
        <v>10.9</v>
      </c>
      <c r="DJ103" s="257">
        <v>2</v>
      </c>
      <c r="DK103" s="257">
        <v>12.9</v>
      </c>
      <c r="DL103" s="237" t="s">
        <v>682</v>
      </c>
      <c r="DP103" s="258" t="s">
        <v>682</v>
      </c>
      <c r="DQ103" s="258"/>
      <c r="DR103" s="258"/>
      <c r="DS103" s="258"/>
      <c r="DT103" s="258"/>
      <c r="DU103" s="237">
        <v>0</v>
      </c>
      <c r="DX103" s="247"/>
      <c r="DY103" s="247">
        <v>0</v>
      </c>
      <c r="EA103" s="237">
        <v>0</v>
      </c>
      <c r="ED103" s="237" t="s">
        <v>687</v>
      </c>
      <c r="EE103" s="208">
        <v>1</v>
      </c>
      <c r="EF103" s="237" t="s">
        <v>688</v>
      </c>
      <c r="EG103" s="216" t="s">
        <v>715</v>
      </c>
      <c r="EH103" s="246" t="s">
        <v>690</v>
      </c>
      <c r="EI103" s="216" t="s">
        <v>689</v>
      </c>
      <c r="EJ103" s="216" t="s">
        <v>529</v>
      </c>
      <c r="EK103" s="222" t="s">
        <v>682</v>
      </c>
      <c r="EL103" s="259">
        <v>1987</v>
      </c>
      <c r="EM103" s="263">
        <v>2300</v>
      </c>
      <c r="EN103" s="260">
        <v>173055</v>
      </c>
      <c r="EO103" s="260">
        <v>42429</v>
      </c>
      <c r="EP103" s="237">
        <v>1</v>
      </c>
      <c r="EQ103" s="237">
        <v>90</v>
      </c>
      <c r="ER103" s="237" t="s">
        <v>705</v>
      </c>
      <c r="ES103" s="237" t="e">
        <v>#DIV/0!</v>
      </c>
      <c r="ET103" s="237">
        <v>18.447391304347825</v>
      </c>
      <c r="EU103" s="661">
        <v>1</v>
      </c>
      <c r="EV103" s="661">
        <v>2</v>
      </c>
      <c r="EW103" s="661">
        <v>1</v>
      </c>
      <c r="EX103" s="661">
        <v>5</v>
      </c>
      <c r="EY103" s="660">
        <v>3.8415788050824545E-2</v>
      </c>
      <c r="EZ103" s="256">
        <v>21.970443349753694</v>
      </c>
      <c r="FA103" s="247">
        <v>0.11627906976744186</v>
      </c>
      <c r="FB103" s="208">
        <v>4</v>
      </c>
      <c r="FC103" s="208">
        <v>4</v>
      </c>
      <c r="FD103" s="208">
        <v>6</v>
      </c>
      <c r="FE103" s="239">
        <v>0.49573643410852714</v>
      </c>
      <c r="FF103" s="208"/>
      <c r="FG103" s="241">
        <v>5.0000000000000001E-3</v>
      </c>
      <c r="FH103" s="209">
        <v>0</v>
      </c>
      <c r="FI103" s="237" t="s">
        <v>678</v>
      </c>
      <c r="FJ103" s="208">
        <v>56.2</v>
      </c>
      <c r="FK103" s="208">
        <v>0</v>
      </c>
      <c r="FL103" s="217">
        <v>3.8</v>
      </c>
      <c r="FM103" s="208">
        <v>1.97</v>
      </c>
      <c r="FN103" s="208" t="s">
        <v>1124</v>
      </c>
      <c r="FP103" s="247" t="s">
        <v>693</v>
      </c>
      <c r="FU103" s="208">
        <v>52</v>
      </c>
      <c r="FV103" s="208">
        <v>78.599999999999994</v>
      </c>
      <c r="FW103" s="237">
        <v>91.37</v>
      </c>
      <c r="FX103" s="237">
        <v>85.9</v>
      </c>
      <c r="FY103" s="208">
        <v>40.9</v>
      </c>
      <c r="FZ103" s="208">
        <v>54.9</v>
      </c>
      <c r="GA103" s="208">
        <v>53.81</v>
      </c>
      <c r="GB103" s="208">
        <v>57.3</v>
      </c>
      <c r="GC103" s="208">
        <v>0.33</v>
      </c>
      <c r="GD103" s="208">
        <v>51.8</v>
      </c>
      <c r="GE103" s="237">
        <v>42.38</v>
      </c>
      <c r="GF103" s="237">
        <v>54.5</v>
      </c>
      <c r="GG103" s="237">
        <v>4.3600000000000003</v>
      </c>
      <c r="GH103" s="237">
        <v>37.700000000000003</v>
      </c>
      <c r="GJ103" s="947"/>
      <c r="GK103" s="320"/>
      <c r="GL103" s="320"/>
      <c r="GM103" s="320"/>
      <c r="GN103" s="320"/>
      <c r="GO103" s="662">
        <v>8098</v>
      </c>
      <c r="GP103" s="663" t="str">
        <f>VLOOKUP(GS103,'BD Comarcal'!$A$6:$AV$17,48,FALSE)</f>
        <v>07</v>
      </c>
      <c r="GQ103" s="564">
        <v>26</v>
      </c>
      <c r="GR103" s="256">
        <f t="shared" si="1"/>
        <v>1</v>
      </c>
      <c r="GS103" s="237" t="s">
        <v>82</v>
      </c>
    </row>
    <row r="104" spans="1:201" s="237" customFormat="1" ht="17.25" customHeight="1">
      <c r="A104" s="236" t="s">
        <v>1125</v>
      </c>
      <c r="C104" s="238"/>
      <c r="D104" s="238">
        <v>6200</v>
      </c>
      <c r="E104" s="238">
        <v>5446</v>
      </c>
      <c r="F104" s="239">
        <v>0.87838709677419358</v>
      </c>
      <c r="G104" s="238">
        <v>3840</v>
      </c>
      <c r="H104" s="240">
        <v>4322.125584024885</v>
      </c>
      <c r="I104" s="239">
        <v>0.79363304884775709</v>
      </c>
      <c r="J104" s="238">
        <v>393</v>
      </c>
      <c r="K104" s="238">
        <v>914</v>
      </c>
      <c r="L104" s="238">
        <v>5</v>
      </c>
      <c r="M104" s="241">
        <v>8.0645161290322581E-4</v>
      </c>
      <c r="N104" s="238">
        <v>0</v>
      </c>
      <c r="O104" s="239">
        <v>0</v>
      </c>
      <c r="P104" s="237">
        <v>10</v>
      </c>
      <c r="Q104" s="237">
        <v>0</v>
      </c>
      <c r="R104" s="239">
        <v>0</v>
      </c>
      <c r="S104" s="238">
        <v>626</v>
      </c>
      <c r="T104" s="436">
        <v>219</v>
      </c>
      <c r="U104" s="436">
        <v>15</v>
      </c>
      <c r="V104" s="436">
        <v>65</v>
      </c>
      <c r="W104" s="436">
        <v>299</v>
      </c>
      <c r="X104" s="238">
        <v>897</v>
      </c>
      <c r="Y104" s="237">
        <v>0.24010000000000001</v>
      </c>
      <c r="Z104" s="238">
        <v>16673</v>
      </c>
      <c r="AA104" s="238">
        <v>17928</v>
      </c>
      <c r="AB104" s="238">
        <v>109.54</v>
      </c>
      <c r="AC104" s="238">
        <v>218</v>
      </c>
      <c r="AD104" s="238">
        <v>1559665.13</v>
      </c>
      <c r="AE104" s="238">
        <v>275960.65000000014</v>
      </c>
      <c r="AF104" s="238">
        <v>1073205.67</v>
      </c>
      <c r="AG104" s="238">
        <v>120835.43</v>
      </c>
      <c r="AH104" s="239">
        <v>0.11259298508924202</v>
      </c>
      <c r="AI104" s="242">
        <v>20.835187999999999</v>
      </c>
      <c r="AJ104" s="242">
        <v>2.2184780000000002</v>
      </c>
      <c r="AK104" s="242">
        <v>3.5781903225806454E-2</v>
      </c>
      <c r="AL104" s="242" t="s">
        <v>678</v>
      </c>
      <c r="AM104" s="242" t="s">
        <v>678</v>
      </c>
      <c r="AN104" s="242">
        <v>22993.16</v>
      </c>
      <c r="AO104" s="238">
        <v>12127.2</v>
      </c>
      <c r="AP104" s="243">
        <v>33</v>
      </c>
      <c r="AQ104" s="238">
        <v>1</v>
      </c>
      <c r="AR104" s="238">
        <v>1509.0413626900784</v>
      </c>
      <c r="AS104" s="238">
        <v>1813.8648270560907</v>
      </c>
      <c r="AT104" s="238">
        <v>36760.444444444445</v>
      </c>
      <c r="AU104" s="238">
        <v>206.74126464926749</v>
      </c>
      <c r="AV104" s="237">
        <v>1</v>
      </c>
      <c r="AW104" s="237">
        <v>0</v>
      </c>
      <c r="AX104" s="237">
        <v>1</v>
      </c>
      <c r="AY104" s="244" t="s">
        <v>717</v>
      </c>
      <c r="AZ104" s="244" t="s">
        <v>673</v>
      </c>
      <c r="BA104" s="237">
        <v>2013</v>
      </c>
      <c r="BB104" s="245" t="s">
        <v>808</v>
      </c>
      <c r="BC104" s="215" t="s">
        <v>809</v>
      </c>
      <c r="BD104" s="237">
        <v>1</v>
      </c>
      <c r="BE104" s="237">
        <v>0</v>
      </c>
      <c r="BF104" s="237">
        <v>11</v>
      </c>
      <c r="BG104" s="246" t="s">
        <v>720</v>
      </c>
      <c r="BI104" s="239">
        <v>0.51096491228070173</v>
      </c>
      <c r="BJ104" s="239">
        <v>4.8245614035087717E-2</v>
      </c>
      <c r="BK104" s="239">
        <v>0.43092105263157893</v>
      </c>
      <c r="BL104" s="239">
        <v>9.8684210526315784E-3</v>
      </c>
      <c r="BM104" s="247">
        <v>2.0603070175438596</v>
      </c>
      <c r="BN104" s="248">
        <v>0</v>
      </c>
      <c r="BO104" s="248">
        <v>1</v>
      </c>
      <c r="BP104" s="237">
        <v>0</v>
      </c>
      <c r="BQ104" s="237">
        <v>0</v>
      </c>
      <c r="BR104" s="248">
        <v>1</v>
      </c>
      <c r="BS104" s="237">
        <v>19.7</v>
      </c>
      <c r="BT104" s="237" t="s">
        <v>777</v>
      </c>
      <c r="BU104" s="249" t="s">
        <v>678</v>
      </c>
      <c r="BV104" s="249" t="s">
        <v>678</v>
      </c>
      <c r="BW104" s="249" t="s">
        <v>678</v>
      </c>
      <c r="BX104" s="249" t="s">
        <v>678</v>
      </c>
      <c r="BY104" s="249" t="s">
        <v>678</v>
      </c>
      <c r="BZ104" s="249" t="s">
        <v>678</v>
      </c>
      <c r="CA104" s="249" t="s">
        <v>678</v>
      </c>
      <c r="CB104" s="249" t="s">
        <v>678</v>
      </c>
      <c r="CC104" s="250" t="s">
        <v>678</v>
      </c>
      <c r="CD104" s="242" t="s">
        <v>678</v>
      </c>
      <c r="CE104" s="252" t="s">
        <v>678</v>
      </c>
      <c r="CF104" s="238">
        <v>384</v>
      </c>
      <c r="CG104" s="238">
        <v>7.5</v>
      </c>
      <c r="CH104" s="238">
        <v>0.76687116564417179</v>
      </c>
      <c r="CI104" s="216" t="s">
        <v>722</v>
      </c>
      <c r="CJ104" s="237">
        <v>1</v>
      </c>
      <c r="CK104" s="253">
        <v>30.7</v>
      </c>
      <c r="CL104" s="253">
        <v>4.2329999999999997</v>
      </c>
      <c r="CM104" s="254">
        <v>6.8274193548387087E-4</v>
      </c>
      <c r="CN104" s="237" t="s">
        <v>84</v>
      </c>
      <c r="CO104" s="242">
        <v>3947.05</v>
      </c>
      <c r="CP104" s="255">
        <v>0.63662096774193555</v>
      </c>
      <c r="CQ104" s="247">
        <v>136.76</v>
      </c>
      <c r="CR104" s="248" t="s">
        <v>954</v>
      </c>
      <c r="CT104" s="247">
        <v>136.76</v>
      </c>
      <c r="CV104" s="237">
        <v>2</v>
      </c>
      <c r="CW104" s="261" t="s">
        <v>678</v>
      </c>
      <c r="CX104" s="261" t="s">
        <v>678</v>
      </c>
      <c r="CY104" s="261" t="s">
        <v>678</v>
      </c>
      <c r="DB104" s="216" t="s">
        <v>681</v>
      </c>
      <c r="DC104" s="256"/>
      <c r="DD104" s="256">
        <v>0.8</v>
      </c>
      <c r="DE104" s="256">
        <v>-9</v>
      </c>
      <c r="DF104" s="256">
        <v>-0.3</v>
      </c>
      <c r="DG104" s="256">
        <v>-2.6</v>
      </c>
      <c r="DL104" s="237" t="s">
        <v>682</v>
      </c>
      <c r="DP104" s="258" t="s">
        <v>682</v>
      </c>
      <c r="DQ104" s="258"/>
      <c r="DR104" s="258"/>
      <c r="DS104" s="258"/>
      <c r="DT104" s="258"/>
      <c r="DU104" s="237">
        <v>0</v>
      </c>
      <c r="DX104" s="247"/>
      <c r="DY104" s="247">
        <v>0</v>
      </c>
      <c r="EA104" s="237">
        <v>0</v>
      </c>
      <c r="ED104" s="237" t="s">
        <v>956</v>
      </c>
      <c r="EE104" s="208">
        <v>2</v>
      </c>
      <c r="EF104" s="237" t="s">
        <v>688</v>
      </c>
      <c r="EG104" s="216" t="s">
        <v>689</v>
      </c>
      <c r="EH104" s="246" t="s">
        <v>690</v>
      </c>
      <c r="EI104" s="216" t="s">
        <v>691</v>
      </c>
      <c r="EJ104" s="216" t="s">
        <v>529</v>
      </c>
      <c r="EK104" s="222" t="s">
        <v>529</v>
      </c>
      <c r="EL104" s="259">
        <v>1992</v>
      </c>
      <c r="EM104" s="260">
        <v>1000</v>
      </c>
      <c r="EN104" s="260">
        <v>28661.333333333332</v>
      </c>
      <c r="EO104" s="260">
        <v>6832</v>
      </c>
      <c r="EP104" s="237">
        <v>1</v>
      </c>
      <c r="EQ104" s="237">
        <v>50</v>
      </c>
      <c r="ER104" s="237" t="s">
        <v>705</v>
      </c>
      <c r="ES104" s="237">
        <v>978</v>
      </c>
      <c r="ET104" s="237">
        <v>6.8319999999999999</v>
      </c>
      <c r="EU104" s="661">
        <v>8</v>
      </c>
      <c r="EV104" s="661" t="s">
        <v>678</v>
      </c>
      <c r="EW104" s="661">
        <v>0</v>
      </c>
      <c r="EX104" s="661">
        <v>2</v>
      </c>
      <c r="EY104" s="660">
        <v>4.951612903225806E-3</v>
      </c>
      <c r="EZ104" s="256">
        <v>31.856677524429969</v>
      </c>
      <c r="FA104" s="247">
        <v>3.6724201248622843E-2</v>
      </c>
      <c r="FB104" s="208">
        <v>2</v>
      </c>
      <c r="FC104" s="208">
        <v>2</v>
      </c>
      <c r="FD104" s="208">
        <v>2</v>
      </c>
      <c r="FE104" s="239">
        <v>0.70510466397355853</v>
      </c>
      <c r="FF104" s="208">
        <v>1</v>
      </c>
      <c r="FG104" s="241">
        <v>0</v>
      </c>
      <c r="FH104" s="209">
        <v>2.5112008813808297E-2</v>
      </c>
      <c r="FI104" s="237" t="s">
        <v>678</v>
      </c>
      <c r="FJ104" s="208">
        <v>68.8</v>
      </c>
      <c r="FK104" s="208">
        <v>44.01</v>
      </c>
      <c r="FL104" s="217">
        <v>87.2</v>
      </c>
      <c r="FM104" s="208">
        <v>15.36</v>
      </c>
      <c r="FN104" s="208" t="s">
        <v>1126</v>
      </c>
      <c r="FP104" s="247" t="s">
        <v>693</v>
      </c>
      <c r="FU104" s="208">
        <v>44</v>
      </c>
      <c r="FV104" s="208">
        <v>62.8</v>
      </c>
      <c r="FW104" s="237">
        <v>70.13</v>
      </c>
      <c r="FX104" s="237">
        <v>53.3</v>
      </c>
      <c r="FY104" s="208">
        <v>59.75</v>
      </c>
      <c r="FZ104" s="208">
        <v>68.599999999999994</v>
      </c>
      <c r="GA104" s="208">
        <v>68.930000000000007</v>
      </c>
      <c r="GB104" s="208">
        <v>78.3</v>
      </c>
      <c r="GC104" s="208">
        <v>0.13</v>
      </c>
      <c r="GD104" s="208">
        <v>31.2</v>
      </c>
      <c r="GE104" s="237">
        <v>77.77</v>
      </c>
      <c r="GF104" s="237">
        <v>91.4</v>
      </c>
      <c r="GG104" s="237">
        <v>6.55</v>
      </c>
      <c r="GH104" s="237">
        <v>53.6</v>
      </c>
      <c r="GJ104" s="947"/>
      <c r="GK104" s="320"/>
      <c r="GL104" s="320"/>
      <c r="GM104" s="320"/>
      <c r="GN104" s="320"/>
      <c r="GO104" s="662">
        <v>8099</v>
      </c>
      <c r="GP104" s="663" t="str">
        <f>VLOOKUP(GS104,'BD Comarcal'!$A$6:$AV$17,48,FALSE)</f>
        <v>14</v>
      </c>
      <c r="GQ104" s="564">
        <v>11</v>
      </c>
      <c r="GR104" s="256">
        <f t="shared" si="1"/>
        <v>0</v>
      </c>
      <c r="GS104" s="237" t="s">
        <v>84</v>
      </c>
    </row>
    <row r="105" spans="1:201" s="237" customFormat="1" ht="17.25" customHeight="1">
      <c r="A105" s="236" t="s">
        <v>1127</v>
      </c>
      <c r="C105" s="238"/>
      <c r="D105" s="238">
        <v>5123</v>
      </c>
      <c r="E105" s="238">
        <v>1818</v>
      </c>
      <c r="F105" s="239">
        <v>0.35487019324614483</v>
      </c>
      <c r="G105" s="238">
        <v>1654</v>
      </c>
      <c r="H105" s="240">
        <v>1141.6580169541514</v>
      </c>
      <c r="I105" s="239">
        <v>0.62797470679546286</v>
      </c>
      <c r="J105" s="238">
        <v>2330</v>
      </c>
      <c r="K105" s="238">
        <v>480</v>
      </c>
      <c r="L105" s="238">
        <v>45</v>
      </c>
      <c r="M105" s="241">
        <v>8.7839156744095263E-3</v>
      </c>
      <c r="N105" s="238">
        <v>0</v>
      </c>
      <c r="O105" s="239">
        <v>0</v>
      </c>
      <c r="P105" s="237">
        <v>116</v>
      </c>
      <c r="Q105" s="237">
        <v>0</v>
      </c>
      <c r="R105" s="239">
        <v>0</v>
      </c>
      <c r="S105" s="238">
        <v>21832</v>
      </c>
      <c r="T105" s="436">
        <v>0</v>
      </c>
      <c r="U105" s="436">
        <v>46</v>
      </c>
      <c r="V105" s="436">
        <v>0</v>
      </c>
      <c r="W105" s="436">
        <v>46</v>
      </c>
      <c r="X105" s="238">
        <v>2559</v>
      </c>
      <c r="Y105" s="237">
        <v>0.14180000000000001</v>
      </c>
      <c r="Z105" s="238">
        <v>44950</v>
      </c>
      <c r="AA105" s="238">
        <v>17662</v>
      </c>
      <c r="AB105" s="238">
        <v>107.92</v>
      </c>
      <c r="AC105" s="238">
        <v>0</v>
      </c>
      <c r="AD105" s="238">
        <v>3440661.5900000003</v>
      </c>
      <c r="AE105" s="238">
        <v>872783.21</v>
      </c>
      <c r="AF105" s="238">
        <v>2955264.68</v>
      </c>
      <c r="AG105" s="238">
        <v>574261.35</v>
      </c>
      <c r="AH105" s="239">
        <v>0.19431807712059143</v>
      </c>
      <c r="AI105" s="242">
        <v>124.24166700000001</v>
      </c>
      <c r="AJ105" s="242">
        <v>22.826761999999999</v>
      </c>
      <c r="AK105" s="242">
        <v>0.44557411672847941</v>
      </c>
      <c r="AL105" s="242">
        <v>6.3616289999999998</v>
      </c>
      <c r="AM105" s="242">
        <v>0.12417780597306265</v>
      </c>
      <c r="AN105" s="242">
        <v>72228.88</v>
      </c>
      <c r="AO105" s="238">
        <v>11306.28</v>
      </c>
      <c r="AP105" s="243">
        <v>42</v>
      </c>
      <c r="AQ105" s="238">
        <v>1</v>
      </c>
      <c r="AR105" s="238">
        <v>1925.7235275014566</v>
      </c>
      <c r="AS105" s="238">
        <v>2518.2091041899798</v>
      </c>
      <c r="AT105" s="238">
        <v>1315619.3333333333</v>
      </c>
      <c r="AU105" s="238">
        <v>244.68210841633447</v>
      </c>
      <c r="AV105" s="237">
        <v>1</v>
      </c>
      <c r="AW105" s="237">
        <v>0</v>
      </c>
      <c r="AX105" s="237">
        <v>1</v>
      </c>
      <c r="AY105" s="244" t="s">
        <v>717</v>
      </c>
      <c r="AZ105" s="244" t="s">
        <v>673</v>
      </c>
      <c r="BA105" s="237">
        <v>2015</v>
      </c>
      <c r="BB105" s="245" t="s">
        <v>1128</v>
      </c>
      <c r="BC105" s="215" t="s">
        <v>1129</v>
      </c>
      <c r="BE105" s="237">
        <v>0</v>
      </c>
      <c r="BF105" s="237">
        <v>83</v>
      </c>
      <c r="BG105" s="246" t="s">
        <v>698</v>
      </c>
      <c r="BI105" s="239">
        <v>0.55169258920402564</v>
      </c>
      <c r="BJ105" s="239">
        <v>6.495882891125343E-2</v>
      </c>
      <c r="BK105" s="239">
        <v>0.36779505946935043</v>
      </c>
      <c r="BL105" s="239">
        <v>1.555352241537054E-2</v>
      </c>
      <c r="BM105" s="247">
        <v>2.1527904849039343</v>
      </c>
      <c r="BN105" s="248">
        <v>0</v>
      </c>
      <c r="BO105" s="248">
        <v>0</v>
      </c>
      <c r="BP105" s="237">
        <v>0</v>
      </c>
      <c r="BQ105" s="237">
        <v>0</v>
      </c>
      <c r="BR105" s="248">
        <v>0</v>
      </c>
      <c r="BS105" s="237">
        <v>3</v>
      </c>
      <c r="BT105" s="237" t="s">
        <v>815</v>
      </c>
      <c r="BU105" s="249" t="s">
        <v>678</v>
      </c>
      <c r="BV105" s="249">
        <v>179</v>
      </c>
      <c r="BW105" s="249">
        <v>1264</v>
      </c>
      <c r="BX105" s="249" t="s">
        <v>678</v>
      </c>
      <c r="BY105" s="249" t="s">
        <v>678</v>
      </c>
      <c r="BZ105" s="249">
        <v>6.9649805447470818</v>
      </c>
      <c r="CA105" s="249">
        <v>49.18287937743191</v>
      </c>
      <c r="CB105" s="249" t="s">
        <v>678</v>
      </c>
      <c r="CC105" s="250" t="s">
        <v>678</v>
      </c>
      <c r="CD105" s="242" t="s">
        <v>678</v>
      </c>
      <c r="CE105" s="252" t="s">
        <v>678</v>
      </c>
      <c r="CF105" s="238">
        <v>792</v>
      </c>
      <c r="CG105" s="238">
        <v>85</v>
      </c>
      <c r="CH105" s="238">
        <v>3.3073929961089492</v>
      </c>
      <c r="CI105" s="216" t="s">
        <v>722</v>
      </c>
      <c r="CJ105" s="237">
        <v>1</v>
      </c>
      <c r="CK105" s="253">
        <v>98.43</v>
      </c>
      <c r="CL105" s="253">
        <v>158.25049999999999</v>
      </c>
      <c r="CM105" s="254">
        <v>3.089020105406988E-2</v>
      </c>
      <c r="CN105" s="237" t="s">
        <v>88</v>
      </c>
      <c r="CO105" s="242">
        <v>510.99</v>
      </c>
      <c r="CP105" s="255">
        <v>9.9744290454811632E-2</v>
      </c>
      <c r="CV105" s="237">
        <v>1</v>
      </c>
      <c r="CW105" s="261" t="s">
        <v>678</v>
      </c>
      <c r="CX105" s="261" t="s">
        <v>678</v>
      </c>
      <c r="CY105" s="261" t="s">
        <v>678</v>
      </c>
      <c r="DB105" s="216"/>
      <c r="DC105" s="195" t="s">
        <v>1130</v>
      </c>
      <c r="DD105" s="256">
        <v>0.8</v>
      </c>
      <c r="DE105" s="256">
        <v>-10</v>
      </c>
      <c r="DF105" s="256">
        <v>0.5</v>
      </c>
      <c r="DG105" s="256">
        <v>-2.2999999999999998</v>
      </c>
      <c r="DH105" s="257">
        <v>1</v>
      </c>
      <c r="DI105" s="257">
        <v>0.7</v>
      </c>
      <c r="DJ105" s="257">
        <v>0.8</v>
      </c>
      <c r="DK105" s="257">
        <v>1.5</v>
      </c>
      <c r="DL105" s="237" t="s">
        <v>529</v>
      </c>
      <c r="DM105" s="270" t="s">
        <v>1131</v>
      </c>
      <c r="DN105" s="237" t="s">
        <v>713</v>
      </c>
      <c r="DO105" s="237">
        <v>1</v>
      </c>
      <c r="DP105" s="258" t="s">
        <v>683</v>
      </c>
      <c r="DQ105" s="258" t="s">
        <v>1132</v>
      </c>
      <c r="DR105" s="258" t="s">
        <v>1133</v>
      </c>
      <c r="DS105" s="258"/>
      <c r="DT105" s="258"/>
      <c r="DU105" s="237">
        <v>0</v>
      </c>
      <c r="DX105" s="247"/>
      <c r="DY105" s="247">
        <v>0</v>
      </c>
      <c r="EA105" s="237">
        <v>0</v>
      </c>
      <c r="ED105" s="237" t="s">
        <v>723</v>
      </c>
      <c r="EE105" s="208">
        <v>1</v>
      </c>
      <c r="EF105" s="237" t="s">
        <v>702</v>
      </c>
      <c r="EG105" s="216" t="s">
        <v>715</v>
      </c>
      <c r="EH105" s="246" t="s">
        <v>690</v>
      </c>
      <c r="EI105" s="216"/>
      <c r="EJ105" s="216" t="s">
        <v>529</v>
      </c>
      <c r="EK105" s="222" t="s">
        <v>682</v>
      </c>
      <c r="EL105" s="259">
        <v>2003</v>
      </c>
      <c r="EM105" s="260">
        <v>13155</v>
      </c>
      <c r="EN105" s="260">
        <v>101612</v>
      </c>
      <c r="EO105" s="260">
        <v>1285888</v>
      </c>
      <c r="EP105" s="237">
        <v>2</v>
      </c>
      <c r="EQ105" s="237">
        <v>114</v>
      </c>
      <c r="ER105" s="237" t="s">
        <v>705</v>
      </c>
      <c r="ES105" s="237" t="e">
        <v>#DIV/0!</v>
      </c>
      <c r="ET105" s="237">
        <v>97.74899277841125</v>
      </c>
      <c r="EU105" s="661">
        <v>5</v>
      </c>
      <c r="EV105" s="661">
        <v>1</v>
      </c>
      <c r="EW105" s="661">
        <v>2</v>
      </c>
      <c r="EX105" s="661">
        <v>1</v>
      </c>
      <c r="EY105" s="660">
        <v>1.9213351551825103E-2</v>
      </c>
      <c r="EZ105" s="256">
        <v>26.109925835619219</v>
      </c>
      <c r="FA105" s="247">
        <v>5.5005500550055007E-2</v>
      </c>
      <c r="FB105" s="208">
        <v>2</v>
      </c>
      <c r="FC105" s="208">
        <v>2</v>
      </c>
      <c r="FD105" s="208">
        <v>2</v>
      </c>
      <c r="FE105" s="239">
        <v>0.90979097909790974</v>
      </c>
      <c r="FF105" s="208"/>
      <c r="FG105" s="241">
        <v>8.2508250825082509E-4</v>
      </c>
      <c r="FH105" s="209">
        <v>0</v>
      </c>
      <c r="FI105" s="237" t="s">
        <v>678</v>
      </c>
      <c r="FJ105" s="208">
        <v>52.1</v>
      </c>
      <c r="FK105" s="208">
        <v>0</v>
      </c>
      <c r="FL105" s="217">
        <v>4</v>
      </c>
      <c r="FM105" s="208">
        <v>6.2</v>
      </c>
      <c r="FN105" s="208" t="s">
        <v>1134</v>
      </c>
      <c r="FP105" s="247" t="s">
        <v>693</v>
      </c>
      <c r="FU105" s="208">
        <v>31</v>
      </c>
      <c r="FV105" s="208">
        <v>29</v>
      </c>
      <c r="FW105" s="237">
        <v>80.81</v>
      </c>
      <c r="FX105" s="237">
        <v>66.8</v>
      </c>
      <c r="FY105" s="208">
        <v>16.670000000000002</v>
      </c>
      <c r="FZ105" s="208">
        <v>29.2</v>
      </c>
      <c r="GA105" s="208">
        <v>32.43</v>
      </c>
      <c r="GB105" s="208">
        <v>25</v>
      </c>
      <c r="GC105" s="208">
        <v>0.44</v>
      </c>
      <c r="GD105" s="208">
        <v>60.9</v>
      </c>
      <c r="GE105" s="237">
        <v>29.01</v>
      </c>
      <c r="GF105" s="237">
        <v>31.9</v>
      </c>
      <c r="GG105" s="237">
        <v>10.19</v>
      </c>
      <c r="GH105" s="237">
        <v>68.400000000000006</v>
      </c>
      <c r="GJ105" s="947"/>
      <c r="GK105" s="320"/>
      <c r="GL105" s="320"/>
      <c r="GM105" s="320"/>
      <c r="GN105" s="320"/>
      <c r="GO105" s="662">
        <v>8100</v>
      </c>
      <c r="GP105" s="663" t="str">
        <f>VLOOKUP(GS105,'BD Comarcal'!$A$6:$AV$17,48,FALSE)</f>
        <v>24</v>
      </c>
      <c r="GQ105" s="564">
        <v>11</v>
      </c>
      <c r="GR105" s="256">
        <f t="shared" si="1"/>
        <v>1</v>
      </c>
      <c r="GS105" s="237" t="s">
        <v>88</v>
      </c>
    </row>
    <row r="106" spans="1:201" s="237" customFormat="1" ht="17.25" customHeight="1">
      <c r="A106" s="236" t="s">
        <v>1135</v>
      </c>
      <c r="C106" s="238"/>
      <c r="D106" s="238">
        <v>1236</v>
      </c>
      <c r="E106" s="238">
        <v>101</v>
      </c>
      <c r="F106" s="239">
        <v>8.1715210355987056E-2</v>
      </c>
      <c r="G106" s="238">
        <v>6</v>
      </c>
      <c r="H106" s="240">
        <v>0</v>
      </c>
      <c r="I106" s="239">
        <v>0</v>
      </c>
      <c r="J106" s="238">
        <v>31</v>
      </c>
      <c r="K106" s="238">
        <v>0</v>
      </c>
      <c r="L106" s="238">
        <v>19</v>
      </c>
      <c r="M106" s="241">
        <v>1.5372168284789644E-2</v>
      </c>
      <c r="N106" s="238">
        <v>0</v>
      </c>
      <c r="O106" s="239">
        <v>0</v>
      </c>
      <c r="P106" s="237">
        <v>1</v>
      </c>
      <c r="Q106" s="237">
        <v>0</v>
      </c>
      <c r="R106" s="239">
        <v>0</v>
      </c>
      <c r="S106" s="238">
        <v>3</v>
      </c>
      <c r="T106" s="436">
        <v>0</v>
      </c>
      <c r="U106" s="436">
        <v>0</v>
      </c>
      <c r="V106" s="436">
        <v>3612</v>
      </c>
      <c r="W106" s="436">
        <v>3612</v>
      </c>
      <c r="X106" s="238">
        <v>254804</v>
      </c>
      <c r="Y106" s="237">
        <v>0.2021</v>
      </c>
      <c r="Z106" s="238">
        <v>3803889</v>
      </c>
      <c r="AA106" s="238">
        <v>15085</v>
      </c>
      <c r="AB106" s="238">
        <v>92.17</v>
      </c>
      <c r="AC106" s="238">
        <v>107135</v>
      </c>
      <c r="AD106" s="238">
        <v>230930587.34</v>
      </c>
      <c r="AE106" s="238">
        <v>41705056.369999945</v>
      </c>
      <c r="AF106" s="238">
        <v>203849633.60000002</v>
      </c>
      <c r="AG106" s="238">
        <v>10704719.880000001</v>
      </c>
      <c r="AH106" s="239">
        <v>5.2512823746375378E-2</v>
      </c>
      <c r="AI106" s="247">
        <v>1095.80934</v>
      </c>
      <c r="AJ106" s="242">
        <v>211.359329</v>
      </c>
      <c r="AK106" s="242">
        <v>17.100269336569578</v>
      </c>
      <c r="AL106" s="242" t="s">
        <v>678</v>
      </c>
      <c r="AM106" s="242" t="s">
        <v>678</v>
      </c>
      <c r="AN106" s="242">
        <v>220641.7</v>
      </c>
      <c r="AO106" s="238">
        <v>10370.84</v>
      </c>
      <c r="AP106" s="243">
        <v>32</v>
      </c>
      <c r="AQ106" s="238"/>
      <c r="AR106" s="238">
        <v>875.24210218324333</v>
      </c>
      <c r="AS106" s="238">
        <v>901.33537339658324</v>
      </c>
      <c r="AT106" s="238">
        <v>11224406</v>
      </c>
      <c r="AU106" s="238">
        <v>212.09026931999676</v>
      </c>
      <c r="AV106" s="237">
        <v>0</v>
      </c>
      <c r="AW106" s="237">
        <v>0</v>
      </c>
      <c r="AX106" s="237">
        <v>0</v>
      </c>
      <c r="AY106" s="244" t="s">
        <v>695</v>
      </c>
      <c r="AZ106" s="244" t="s">
        <v>673</v>
      </c>
      <c r="BA106" s="237">
        <v>2010</v>
      </c>
      <c r="BB106" s="245" t="s">
        <v>678</v>
      </c>
      <c r="BC106" s="215" t="s">
        <v>678</v>
      </c>
      <c r="BD106" s="237">
        <v>1</v>
      </c>
      <c r="BE106" s="237">
        <v>199</v>
      </c>
      <c r="BF106" s="237">
        <v>33</v>
      </c>
      <c r="BG106" s="246" t="s">
        <v>676</v>
      </c>
      <c r="BI106" s="239">
        <v>0.70622140202745409</v>
      </c>
      <c r="BJ106" s="239">
        <v>8.7582475920823119E-2</v>
      </c>
      <c r="BK106" s="239">
        <v>0.1858773415577521</v>
      </c>
      <c r="BL106" s="239">
        <v>2.0318780493970727E-2</v>
      </c>
      <c r="BM106" s="247">
        <v>2.4797064994817601</v>
      </c>
      <c r="BN106" s="248">
        <v>0</v>
      </c>
      <c r="BO106" s="248">
        <v>9</v>
      </c>
      <c r="BP106" s="237">
        <v>3</v>
      </c>
      <c r="BQ106" s="237">
        <v>2</v>
      </c>
      <c r="BR106" s="248">
        <v>14</v>
      </c>
      <c r="BS106" s="237">
        <v>0</v>
      </c>
      <c r="BU106" s="249">
        <v>30730</v>
      </c>
      <c r="BV106" s="249">
        <v>35590</v>
      </c>
      <c r="BW106" s="249">
        <v>122064</v>
      </c>
      <c r="BX106" s="249">
        <v>30018</v>
      </c>
      <c r="BY106" s="249">
        <v>12.095758415467456</v>
      </c>
      <c r="BZ106" s="249">
        <v>14.008722486380956</v>
      </c>
      <c r="CA106" s="249">
        <v>48.046100072424977</v>
      </c>
      <c r="CB106" s="249">
        <v>11.815505242938565</v>
      </c>
      <c r="CC106" s="250">
        <v>112.35082029158926</v>
      </c>
      <c r="CD106" s="242">
        <v>-17272</v>
      </c>
      <c r="CE106" s="252">
        <v>93.201498882136221</v>
      </c>
      <c r="CF106" s="238">
        <v>112065</v>
      </c>
      <c r="CG106" s="238">
        <v>22300.3</v>
      </c>
      <c r="CH106" s="238">
        <v>8.7777104260478005</v>
      </c>
      <c r="CI106" s="216" t="s">
        <v>679</v>
      </c>
      <c r="CJ106" s="237">
        <v>0</v>
      </c>
      <c r="CK106" s="253">
        <v>905.2</v>
      </c>
      <c r="CL106" s="253">
        <v>231.571</v>
      </c>
      <c r="CM106" s="254">
        <v>0.18735517799352749</v>
      </c>
      <c r="CN106" s="237" t="s">
        <v>83</v>
      </c>
      <c r="CO106" s="242"/>
      <c r="CP106" s="255">
        <v>0</v>
      </c>
      <c r="CV106" s="262">
        <v>36</v>
      </c>
      <c r="CW106" s="194">
        <v>1.867</v>
      </c>
      <c r="CX106" s="194" t="s">
        <v>680</v>
      </c>
      <c r="CY106" s="194">
        <v>2.5019999999999998</v>
      </c>
      <c r="DB106" s="216" t="s">
        <v>804</v>
      </c>
      <c r="DC106" s="195" t="s">
        <v>977</v>
      </c>
      <c r="DD106" s="256">
        <v>0.7</v>
      </c>
      <c r="DE106" s="256">
        <v>-6.5</v>
      </c>
      <c r="DF106" s="256">
        <v>0.7</v>
      </c>
      <c r="DG106" s="256">
        <v>-2.2000000000000002</v>
      </c>
      <c r="DL106" s="237" t="s">
        <v>682</v>
      </c>
      <c r="DP106" s="258" t="s">
        <v>682</v>
      </c>
      <c r="DQ106" s="258"/>
      <c r="DR106" s="258"/>
      <c r="DS106" s="258"/>
      <c r="DT106" s="258"/>
      <c r="DU106" s="237">
        <v>0</v>
      </c>
      <c r="DX106" s="247"/>
      <c r="DY106" s="247">
        <v>0</v>
      </c>
      <c r="EA106" s="237">
        <v>1</v>
      </c>
      <c r="EB106" s="237" t="s">
        <v>823</v>
      </c>
      <c r="ED106" s="237" t="s">
        <v>678</v>
      </c>
      <c r="EE106" s="208">
        <v>4</v>
      </c>
      <c r="EF106" s="237" t="s">
        <v>678</v>
      </c>
      <c r="EG106" s="216" t="s">
        <v>689</v>
      </c>
      <c r="EH106" s="246" t="s">
        <v>690</v>
      </c>
      <c r="EI106" s="216"/>
      <c r="EJ106" s="216" t="s">
        <v>806</v>
      </c>
      <c r="EK106" s="222" t="s">
        <v>529</v>
      </c>
      <c r="EL106" s="259">
        <v>1976</v>
      </c>
      <c r="EM106" s="260">
        <v>278325</v>
      </c>
      <c r="EN106" s="260">
        <v>8602234</v>
      </c>
      <c r="EO106" s="260">
        <v>2857747</v>
      </c>
      <c r="ER106" s="237" t="s">
        <v>705</v>
      </c>
      <c r="ES106" s="237">
        <v>18146.857142857141</v>
      </c>
      <c r="ET106" s="237">
        <v>10.267661906045092</v>
      </c>
      <c r="EU106" s="661">
        <v>3</v>
      </c>
      <c r="EV106" s="661">
        <v>9</v>
      </c>
      <c r="EW106" s="661">
        <v>7</v>
      </c>
      <c r="EX106" s="661">
        <v>8</v>
      </c>
      <c r="EY106" s="660">
        <v>0.73236245954692558</v>
      </c>
      <c r="EZ106" s="256">
        <v>280.66283694211222</v>
      </c>
      <c r="FA106" s="247">
        <v>35.643564356435647</v>
      </c>
      <c r="FB106" s="208" t="s">
        <v>678</v>
      </c>
      <c r="FC106" s="208" t="s">
        <v>678</v>
      </c>
      <c r="FD106" s="208">
        <v>8</v>
      </c>
      <c r="FE106" s="239">
        <v>5.9405940594059403E-2</v>
      </c>
      <c r="FF106" s="208"/>
      <c r="FG106" s="241">
        <v>0</v>
      </c>
      <c r="FH106" s="209">
        <v>0</v>
      </c>
      <c r="FI106" s="237" t="s">
        <v>678</v>
      </c>
      <c r="FJ106" s="208" t="s">
        <v>678</v>
      </c>
      <c r="FK106" s="208" t="s">
        <v>678</v>
      </c>
      <c r="FL106" s="217" t="s">
        <v>678</v>
      </c>
      <c r="FM106" s="208" t="s">
        <v>678</v>
      </c>
      <c r="FN106" s="208" t="s">
        <v>678</v>
      </c>
      <c r="FP106" s="247" t="s">
        <v>693</v>
      </c>
      <c r="FU106" s="208" t="s">
        <v>678</v>
      </c>
      <c r="FV106" s="208" t="s">
        <v>678</v>
      </c>
      <c r="FW106" s="208" t="s">
        <v>678</v>
      </c>
      <c r="FX106" s="208" t="s">
        <v>678</v>
      </c>
      <c r="FY106" s="208" t="s">
        <v>678</v>
      </c>
      <c r="FZ106" s="208" t="s">
        <v>678</v>
      </c>
      <c r="GA106" s="208" t="s">
        <v>678</v>
      </c>
      <c r="GB106" s="208" t="s">
        <v>678</v>
      </c>
      <c r="GC106" s="208" t="s">
        <v>678</v>
      </c>
      <c r="GD106" s="208" t="s">
        <v>678</v>
      </c>
      <c r="GE106" s="237" t="s">
        <v>678</v>
      </c>
      <c r="GF106" s="237" t="s">
        <v>678</v>
      </c>
      <c r="GG106" s="237" t="s">
        <v>678</v>
      </c>
      <c r="GH106" s="237" t="s">
        <v>678</v>
      </c>
      <c r="GJ106" s="947">
        <v>5635</v>
      </c>
      <c r="GK106" s="320">
        <v>0</v>
      </c>
      <c r="GL106" s="320">
        <v>7.1999999999999995E-2</v>
      </c>
      <c r="GM106" s="320">
        <v>4.3999999999999997E-2</v>
      </c>
      <c r="GN106" s="320">
        <v>0.88400000000000001</v>
      </c>
      <c r="GO106" s="662">
        <v>8101</v>
      </c>
      <c r="GP106" s="663" t="str">
        <f>VLOOKUP(GS106,'BD Comarcal'!$A$6:$AV$17,48,FALSE)</f>
        <v>13</v>
      </c>
      <c r="GQ106" s="564">
        <v>2090</v>
      </c>
      <c r="GR106" s="256">
        <f t="shared" si="1"/>
        <v>0</v>
      </c>
      <c r="GS106" s="237" t="s">
        <v>83</v>
      </c>
    </row>
    <row r="107" spans="1:201" s="237" customFormat="1" ht="17.25" customHeight="1">
      <c r="A107" s="236" t="s">
        <v>1136</v>
      </c>
      <c r="C107" s="238"/>
      <c r="D107" s="238">
        <v>867</v>
      </c>
      <c r="E107" s="238">
        <v>179</v>
      </c>
      <c r="F107" s="239">
        <v>0.20645905420991925</v>
      </c>
      <c r="G107" s="238">
        <v>18</v>
      </c>
      <c r="H107" s="240">
        <v>1.0215131726660283E-2</v>
      </c>
      <c r="I107" s="239">
        <v>5.7067775009275323E-5</v>
      </c>
      <c r="J107" s="238">
        <v>439</v>
      </c>
      <c r="K107" s="238">
        <v>17</v>
      </c>
      <c r="L107" s="238">
        <v>0</v>
      </c>
      <c r="M107" s="241">
        <v>0</v>
      </c>
      <c r="N107" s="238">
        <v>0</v>
      </c>
      <c r="O107" s="239">
        <v>0</v>
      </c>
      <c r="P107" s="237">
        <v>4</v>
      </c>
      <c r="Q107" s="237">
        <v>0</v>
      </c>
      <c r="R107" s="239">
        <v>0</v>
      </c>
      <c r="S107" s="238">
        <v>895</v>
      </c>
      <c r="T107" s="436">
        <v>0</v>
      </c>
      <c r="U107" s="436">
        <v>0</v>
      </c>
      <c r="V107" s="436">
        <v>311</v>
      </c>
      <c r="W107" s="436">
        <v>311</v>
      </c>
      <c r="X107" s="238">
        <v>38987</v>
      </c>
      <c r="Y107" s="237">
        <v>0.18329999999999999</v>
      </c>
      <c r="Z107" s="238">
        <v>528350</v>
      </c>
      <c r="AA107" s="238">
        <v>13634</v>
      </c>
      <c r="AB107" s="238">
        <v>83.31</v>
      </c>
      <c r="AC107" s="238">
        <v>43649</v>
      </c>
      <c r="AD107" s="238">
        <v>48254553.450000003</v>
      </c>
      <c r="AE107" s="238">
        <v>5082393.1199999899</v>
      </c>
      <c r="AF107" s="238">
        <v>43760669.120000005</v>
      </c>
      <c r="AG107" s="238">
        <v>4361176.8</v>
      </c>
      <c r="AH107" s="239">
        <v>9.9659737561160935E-2</v>
      </c>
      <c r="AI107" s="242">
        <v>622.24648500000001</v>
      </c>
      <c r="AJ107" s="242">
        <v>80.136060999999998</v>
      </c>
      <c r="AK107" s="242">
        <v>9.2429136101499427</v>
      </c>
      <c r="AL107" s="242" t="s">
        <v>678</v>
      </c>
      <c r="AM107" s="242" t="s">
        <v>678</v>
      </c>
      <c r="AN107" s="242">
        <v>49781.53</v>
      </c>
      <c r="AO107" s="238">
        <v>0</v>
      </c>
      <c r="AP107" s="243">
        <v>0</v>
      </c>
      <c r="AQ107" s="238">
        <v>1</v>
      </c>
      <c r="AR107" s="238">
        <v>1321.9231206378718</v>
      </c>
      <c r="AS107" s="238">
        <v>2292.6924239134446</v>
      </c>
      <c r="AT107" s="238">
        <v>3295773.3333333335</v>
      </c>
      <c r="AU107" s="238">
        <v>232.12309675152892</v>
      </c>
      <c r="AV107" s="237">
        <v>0</v>
      </c>
      <c r="AW107" s="237">
        <v>0</v>
      </c>
      <c r="AX107" s="237">
        <v>0</v>
      </c>
      <c r="AY107" s="244" t="s">
        <v>695</v>
      </c>
      <c r="AZ107" s="244" t="s">
        <v>682</v>
      </c>
      <c r="BA107" s="237">
        <v>2009</v>
      </c>
      <c r="BB107" s="245" t="s">
        <v>678</v>
      </c>
      <c r="BC107" s="215" t="s">
        <v>678</v>
      </c>
      <c r="BD107" s="237">
        <v>1</v>
      </c>
      <c r="BE107" s="237">
        <v>2</v>
      </c>
      <c r="BF107" s="237">
        <v>77</v>
      </c>
      <c r="BG107" s="246" t="s">
        <v>698</v>
      </c>
      <c r="BI107" s="239">
        <v>0.38841776740960249</v>
      </c>
      <c r="BJ107" s="239">
        <v>0.10658554270041928</v>
      </c>
      <c r="BK107" s="239">
        <v>0.48623939976671604</v>
      </c>
      <c r="BL107" s="239">
        <v>1.8757290123262192E-2</v>
      </c>
      <c r="BM107" s="247">
        <v>1.8646637873963621</v>
      </c>
      <c r="BN107" s="248">
        <v>0</v>
      </c>
      <c r="BO107" s="267">
        <v>2</v>
      </c>
      <c r="BP107" s="237">
        <v>1</v>
      </c>
      <c r="BQ107" s="237">
        <v>1</v>
      </c>
      <c r="BR107" s="248">
        <v>4</v>
      </c>
      <c r="BS107" s="237">
        <v>0</v>
      </c>
      <c r="BT107" s="237" t="s">
        <v>755</v>
      </c>
      <c r="BU107" s="249">
        <v>3032</v>
      </c>
      <c r="BV107" s="249">
        <v>3965</v>
      </c>
      <c r="BW107" s="249">
        <v>18350</v>
      </c>
      <c r="BX107" s="249">
        <v>6386</v>
      </c>
      <c r="BY107" s="249">
        <v>7.7787469854789881</v>
      </c>
      <c r="BZ107" s="249">
        <v>10.172404946380009</v>
      </c>
      <c r="CA107" s="249">
        <v>47.077838780850733</v>
      </c>
      <c r="CB107" s="249">
        <v>16.383601005695521</v>
      </c>
      <c r="CC107" s="250">
        <v>90.758889630047719</v>
      </c>
      <c r="CD107" s="242">
        <v>-52</v>
      </c>
      <c r="CE107" s="252">
        <v>99.866591410539272</v>
      </c>
      <c r="CF107" s="238">
        <v>20036</v>
      </c>
      <c r="CG107" s="238">
        <v>3640.2</v>
      </c>
      <c r="CH107" s="238">
        <v>9.3391143722099645</v>
      </c>
      <c r="CI107" s="216" t="s">
        <v>679</v>
      </c>
      <c r="CJ107" s="237">
        <v>0</v>
      </c>
      <c r="CK107" s="253">
        <v>545.6</v>
      </c>
      <c r="CL107" s="253">
        <v>39.35</v>
      </c>
      <c r="CM107" s="254">
        <v>4.5386389850057669E-2</v>
      </c>
      <c r="CN107" s="237" t="s">
        <v>81</v>
      </c>
      <c r="CO107" s="242"/>
      <c r="CP107" s="255">
        <v>0</v>
      </c>
      <c r="CV107" s="237">
        <v>20</v>
      </c>
      <c r="CW107" s="261">
        <v>1.33</v>
      </c>
      <c r="CX107" s="261" t="s">
        <v>915</v>
      </c>
      <c r="CY107" s="261">
        <v>1.9650000000000001</v>
      </c>
      <c r="DB107" s="216" t="s">
        <v>1017</v>
      </c>
      <c r="DC107" s="195" t="s">
        <v>1041</v>
      </c>
      <c r="DD107" s="256">
        <v>0.8</v>
      </c>
      <c r="DE107" s="256">
        <v>-10</v>
      </c>
      <c r="DF107" s="256">
        <v>0.5</v>
      </c>
      <c r="DG107" s="256">
        <v>-2.2999999999999998</v>
      </c>
      <c r="DL107" s="237" t="s">
        <v>682</v>
      </c>
      <c r="DP107" s="258" t="s">
        <v>682</v>
      </c>
      <c r="DQ107" s="258"/>
      <c r="DR107" s="258"/>
      <c r="DS107" s="258"/>
      <c r="DT107" s="258"/>
      <c r="DU107" s="237">
        <v>0</v>
      </c>
      <c r="DX107" s="247"/>
      <c r="DY107" s="247">
        <v>0</v>
      </c>
      <c r="EA107" s="237">
        <v>0</v>
      </c>
      <c r="ED107" s="237" t="s">
        <v>678</v>
      </c>
      <c r="EE107" s="208">
        <v>3</v>
      </c>
      <c r="EF107" s="237" t="s">
        <v>678</v>
      </c>
      <c r="EG107" s="216" t="s">
        <v>689</v>
      </c>
      <c r="EH107" s="246" t="s">
        <v>690</v>
      </c>
      <c r="EI107" s="216"/>
      <c r="EJ107" s="216" t="s">
        <v>806</v>
      </c>
      <c r="EK107" s="222" t="s">
        <v>529</v>
      </c>
      <c r="EL107" s="259">
        <v>1986</v>
      </c>
      <c r="EM107" s="260">
        <v>26700</v>
      </c>
      <c r="EN107" s="260">
        <v>1410500</v>
      </c>
      <c r="EO107" s="260">
        <v>1960854</v>
      </c>
      <c r="ER107" s="237" t="s">
        <v>705</v>
      </c>
      <c r="ES107" s="237">
        <v>9744.5</v>
      </c>
      <c r="ET107" s="237">
        <v>73.440224719101124</v>
      </c>
      <c r="EU107" s="661">
        <v>3</v>
      </c>
      <c r="EV107" s="661">
        <v>6</v>
      </c>
      <c r="EW107" s="661">
        <v>1</v>
      </c>
      <c r="EX107" s="661">
        <v>5</v>
      </c>
      <c r="EY107" s="660">
        <v>0.62929642445213385</v>
      </c>
      <c r="EZ107" s="256">
        <v>71.440615835777123</v>
      </c>
      <c r="FA107" s="247">
        <v>11.173184357541899</v>
      </c>
      <c r="FB107" s="208">
        <v>5</v>
      </c>
      <c r="FC107" s="208">
        <v>5</v>
      </c>
      <c r="FD107" s="208">
        <v>2</v>
      </c>
      <c r="FE107" s="239">
        <v>0.1005586592178771</v>
      </c>
      <c r="FF107" s="208"/>
      <c r="FG107" s="241">
        <v>0</v>
      </c>
      <c r="FH107" s="209">
        <v>0</v>
      </c>
      <c r="FI107" s="237" t="s">
        <v>678</v>
      </c>
      <c r="FJ107" s="208" t="s">
        <v>678</v>
      </c>
      <c r="FK107" s="208" t="s">
        <v>678</v>
      </c>
      <c r="FL107" s="217" t="s">
        <v>678</v>
      </c>
      <c r="FM107" s="208" t="s">
        <v>678</v>
      </c>
      <c r="FN107" s="208" t="s">
        <v>678</v>
      </c>
      <c r="FP107" s="247" t="s">
        <v>693</v>
      </c>
      <c r="FU107" s="208" t="s">
        <v>678</v>
      </c>
      <c r="FV107" s="208" t="s">
        <v>678</v>
      </c>
      <c r="FW107" s="208" t="s">
        <v>678</v>
      </c>
      <c r="FX107" s="208" t="s">
        <v>678</v>
      </c>
      <c r="FY107" s="208" t="s">
        <v>678</v>
      </c>
      <c r="FZ107" s="208" t="s">
        <v>678</v>
      </c>
      <c r="GA107" s="208" t="s">
        <v>678</v>
      </c>
      <c r="GB107" s="208" t="s">
        <v>678</v>
      </c>
      <c r="GC107" s="208" t="s">
        <v>678</v>
      </c>
      <c r="GD107" s="208" t="s">
        <v>678</v>
      </c>
      <c r="GE107" s="237" t="s">
        <v>678</v>
      </c>
      <c r="GF107" s="237" t="s">
        <v>678</v>
      </c>
      <c r="GG107" s="237" t="s">
        <v>678</v>
      </c>
      <c r="GH107" s="237" t="s">
        <v>678</v>
      </c>
      <c r="GJ107" s="947">
        <v>1089</v>
      </c>
      <c r="GK107" s="320">
        <v>0</v>
      </c>
      <c r="GL107" s="320">
        <v>0.29599999999999999</v>
      </c>
      <c r="GM107" s="320">
        <v>4.2000000000000003E-2</v>
      </c>
      <c r="GN107" s="320">
        <v>0.66200000000000003</v>
      </c>
      <c r="GO107" s="662">
        <v>8102</v>
      </c>
      <c r="GP107" s="663" t="str">
        <f>VLOOKUP(GS107,'BD Comarcal'!$A$6:$AV$17,48,FALSE)</f>
        <v>06</v>
      </c>
      <c r="GQ107" s="564">
        <v>348</v>
      </c>
      <c r="GR107" s="256">
        <f t="shared" si="1"/>
        <v>0</v>
      </c>
      <c r="GS107" s="237" t="s">
        <v>81</v>
      </c>
    </row>
    <row r="108" spans="1:201" s="237" customFormat="1" ht="17.25" customHeight="1">
      <c r="A108" s="236" t="s">
        <v>1137</v>
      </c>
      <c r="C108" s="238"/>
      <c r="D108" s="238">
        <v>3096</v>
      </c>
      <c r="E108" s="238">
        <v>1927</v>
      </c>
      <c r="F108" s="239">
        <v>0.62241602067183466</v>
      </c>
      <c r="G108" s="238">
        <v>616</v>
      </c>
      <c r="H108" s="240">
        <v>247.13504620467941</v>
      </c>
      <c r="I108" s="239">
        <v>0.12824859688878018</v>
      </c>
      <c r="J108" s="238">
        <v>795</v>
      </c>
      <c r="K108" s="238">
        <v>52</v>
      </c>
      <c r="L108" s="238">
        <v>1</v>
      </c>
      <c r="M108" s="241">
        <v>3.2299741602067185E-4</v>
      </c>
      <c r="N108" s="238">
        <v>1</v>
      </c>
      <c r="O108" s="239">
        <v>1.2578616352201257E-3</v>
      </c>
      <c r="P108" s="237">
        <v>6</v>
      </c>
      <c r="Q108" s="237">
        <v>0</v>
      </c>
      <c r="R108" s="239">
        <v>0</v>
      </c>
      <c r="S108" s="238">
        <v>843</v>
      </c>
      <c r="T108" s="436">
        <v>0</v>
      </c>
      <c r="U108" s="436">
        <v>21</v>
      </c>
      <c r="V108" s="436">
        <v>24</v>
      </c>
      <c r="W108" s="436">
        <v>45</v>
      </c>
      <c r="X108" s="238">
        <v>831</v>
      </c>
      <c r="Y108" s="237">
        <v>0.1444</v>
      </c>
      <c r="Z108" s="238">
        <v>10388</v>
      </c>
      <c r="AA108" s="238">
        <v>12396</v>
      </c>
      <c r="AB108" s="238">
        <v>75.739999999999995</v>
      </c>
      <c r="AC108" s="238">
        <v>30</v>
      </c>
      <c r="AD108" s="238">
        <v>968144.97</v>
      </c>
      <c r="AE108" s="238">
        <v>374975.06000000006</v>
      </c>
      <c r="AF108" s="238">
        <v>714987.45</v>
      </c>
      <c r="AG108" s="238">
        <v>138081.09</v>
      </c>
      <c r="AH108" s="239">
        <v>0.19312379538969532</v>
      </c>
      <c r="AI108" s="242">
        <v>35.107076999999997</v>
      </c>
      <c r="AJ108" s="242">
        <v>2.8531249999999999</v>
      </c>
      <c r="AK108" s="242">
        <v>9.2155200258397935E-2</v>
      </c>
      <c r="AL108" s="242">
        <v>7.5493949999999996</v>
      </c>
      <c r="AM108" s="242">
        <v>0.24384350775193797</v>
      </c>
      <c r="AN108" s="242">
        <v>23495.55</v>
      </c>
      <c r="AO108" s="238">
        <v>0</v>
      </c>
      <c r="AP108" s="243">
        <v>0</v>
      </c>
      <c r="AQ108" s="238">
        <v>1</v>
      </c>
      <c r="AR108" s="238">
        <v>1561.3622630238176</v>
      </c>
      <c r="AS108" s="238">
        <v>1587.1967903981313</v>
      </c>
      <c r="AT108" s="238">
        <v>69500.333333333328</v>
      </c>
      <c r="AU108" s="238">
        <v>246.78960144566543</v>
      </c>
      <c r="AV108" s="237">
        <v>1</v>
      </c>
      <c r="AW108" s="237">
        <v>1</v>
      </c>
      <c r="AX108" s="237">
        <v>1</v>
      </c>
      <c r="AY108" s="244" t="s">
        <v>673</v>
      </c>
      <c r="AZ108" s="244" t="s">
        <v>726</v>
      </c>
      <c r="BA108" s="237">
        <v>2014</v>
      </c>
      <c r="BB108" s="245" t="s">
        <v>1138</v>
      </c>
      <c r="BC108" s="215" t="s">
        <v>1139</v>
      </c>
      <c r="BE108" s="237">
        <v>2</v>
      </c>
      <c r="BF108" s="237">
        <v>77</v>
      </c>
      <c r="BG108" s="246" t="s">
        <v>698</v>
      </c>
      <c r="BI108" s="239">
        <v>0.5259391771019678</v>
      </c>
      <c r="BJ108" s="239">
        <v>7.5134168157423978E-2</v>
      </c>
      <c r="BK108" s="239">
        <v>0.39534883720930231</v>
      </c>
      <c r="BL108" s="239">
        <v>3.5778175313059034E-3</v>
      </c>
      <c r="BM108" s="247">
        <v>2.1234347048300535</v>
      </c>
      <c r="BN108" s="248">
        <v>0</v>
      </c>
      <c r="BO108" s="248">
        <v>0</v>
      </c>
      <c r="BP108" s="237">
        <v>0</v>
      </c>
      <c r="BQ108" s="237">
        <v>0</v>
      </c>
      <c r="BR108" s="248">
        <v>0</v>
      </c>
      <c r="BS108" s="237">
        <v>8</v>
      </c>
      <c r="BT108" s="237" t="s">
        <v>755</v>
      </c>
      <c r="BU108" s="249" t="s">
        <v>678</v>
      </c>
      <c r="BV108" s="249" t="s">
        <v>678</v>
      </c>
      <c r="BW108" s="249" t="s">
        <v>678</v>
      </c>
      <c r="BX108" s="249" t="s">
        <v>678</v>
      </c>
      <c r="BY108" s="249" t="s">
        <v>678</v>
      </c>
      <c r="BZ108" s="249" t="s">
        <v>678</v>
      </c>
      <c r="CA108" s="249" t="s">
        <v>678</v>
      </c>
      <c r="CB108" s="249" t="s">
        <v>678</v>
      </c>
      <c r="CC108" s="250" t="s">
        <v>678</v>
      </c>
      <c r="CD108" s="242" t="s">
        <v>678</v>
      </c>
      <c r="CE108" s="252" t="s">
        <v>678</v>
      </c>
      <c r="CF108" s="238">
        <v>430</v>
      </c>
      <c r="CG108" s="238">
        <v>52.6</v>
      </c>
      <c r="CH108" s="238">
        <v>6.195524146054181</v>
      </c>
      <c r="CI108" s="216" t="s">
        <v>679</v>
      </c>
      <c r="CJ108" s="237">
        <v>0</v>
      </c>
      <c r="CK108" s="253">
        <v>30.99</v>
      </c>
      <c r="CL108" s="253">
        <v>16.765999999999998</v>
      </c>
      <c r="CM108" s="254">
        <v>5.415374677002583E-3</v>
      </c>
      <c r="CN108" s="237" t="s">
        <v>81</v>
      </c>
      <c r="CO108" s="242"/>
      <c r="CP108" s="255">
        <v>0</v>
      </c>
      <c r="CV108" s="237">
        <v>6</v>
      </c>
      <c r="CW108" s="261" t="s">
        <v>678</v>
      </c>
      <c r="CX108" s="261" t="s">
        <v>678</v>
      </c>
      <c r="CY108" s="261" t="s">
        <v>678</v>
      </c>
      <c r="DB108" s="216" t="s">
        <v>1017</v>
      </c>
      <c r="DC108" s="195" t="s">
        <v>1140</v>
      </c>
      <c r="DD108" s="256">
        <v>0.8</v>
      </c>
      <c r="DE108" s="256">
        <v>-10</v>
      </c>
      <c r="DF108" s="256">
        <v>0.5</v>
      </c>
      <c r="DG108" s="256">
        <v>-2.2999999999999998</v>
      </c>
      <c r="DH108" s="257">
        <v>2</v>
      </c>
      <c r="DI108" s="257">
        <v>4.34</v>
      </c>
      <c r="DJ108" s="257">
        <v>59.72</v>
      </c>
      <c r="DK108" s="257">
        <v>64.06</v>
      </c>
      <c r="DL108" s="237" t="s">
        <v>682</v>
      </c>
      <c r="DO108" s="237">
        <v>1</v>
      </c>
      <c r="DP108" s="258" t="s">
        <v>682</v>
      </c>
      <c r="DQ108" s="258"/>
      <c r="DR108" s="258"/>
      <c r="DS108" s="258"/>
      <c r="DT108" s="258"/>
      <c r="DU108" s="237">
        <v>0.5</v>
      </c>
      <c r="DV108" s="237" t="s">
        <v>1042</v>
      </c>
      <c r="DW108" s="237" t="s">
        <v>794</v>
      </c>
      <c r="DX108" s="247">
        <v>2.02</v>
      </c>
      <c r="DY108" s="247">
        <v>6.5245478036175711E-2</v>
      </c>
      <c r="EA108" s="237">
        <v>0</v>
      </c>
      <c r="ED108" s="237" t="s">
        <v>687</v>
      </c>
      <c r="EE108" s="208">
        <v>1</v>
      </c>
      <c r="EF108" s="237" t="s">
        <v>688</v>
      </c>
      <c r="EG108" s="216" t="s">
        <v>733</v>
      </c>
      <c r="EH108" s="246" t="s">
        <v>734</v>
      </c>
      <c r="EI108" s="216"/>
      <c r="EJ108" s="216" t="s">
        <v>529</v>
      </c>
      <c r="EK108" s="222" t="s">
        <v>682</v>
      </c>
      <c r="EL108" s="259">
        <v>1983</v>
      </c>
      <c r="EM108" s="260">
        <v>805</v>
      </c>
      <c r="EN108" s="260">
        <v>32568</v>
      </c>
      <c r="EO108" s="260">
        <v>35813</v>
      </c>
      <c r="ER108" s="237" t="s">
        <v>705</v>
      </c>
      <c r="ES108" s="237" t="e">
        <v>#DIV/0!</v>
      </c>
      <c r="ET108" s="237">
        <v>44.488198757763975</v>
      </c>
      <c r="EU108" s="661">
        <v>0</v>
      </c>
      <c r="EV108" s="661" t="s">
        <v>678</v>
      </c>
      <c r="EW108" s="661">
        <v>1</v>
      </c>
      <c r="EX108" s="661">
        <v>4</v>
      </c>
      <c r="EY108" s="660">
        <v>1.000968992248062E-2</v>
      </c>
      <c r="EZ108" s="256">
        <v>27.395934172313652</v>
      </c>
      <c r="FA108" s="247">
        <v>0.31136481577581732</v>
      </c>
      <c r="FB108" s="208">
        <v>3</v>
      </c>
      <c r="FC108" s="208">
        <v>3</v>
      </c>
      <c r="FD108" s="208">
        <v>4</v>
      </c>
      <c r="FE108" s="239">
        <v>0.31966787752983911</v>
      </c>
      <c r="FF108" s="208"/>
      <c r="FG108" s="241">
        <v>3.3243383497664765E-2</v>
      </c>
      <c r="FH108" s="209">
        <v>0</v>
      </c>
      <c r="FI108" s="237" t="s">
        <v>678</v>
      </c>
      <c r="FJ108" s="208">
        <v>57.4</v>
      </c>
      <c r="FK108" s="208">
        <v>8.93</v>
      </c>
      <c r="FL108" s="217">
        <v>45</v>
      </c>
      <c r="FM108" s="208">
        <v>2.09</v>
      </c>
      <c r="FN108" s="208" t="s">
        <v>1141</v>
      </c>
      <c r="FP108" s="247" t="s">
        <v>693</v>
      </c>
      <c r="FU108" s="208">
        <v>54</v>
      </c>
      <c r="FV108" s="208">
        <v>82.3</v>
      </c>
      <c r="FW108" s="237">
        <v>35.22</v>
      </c>
      <c r="FX108" s="237">
        <v>15.5</v>
      </c>
      <c r="FY108" s="208">
        <v>7.62</v>
      </c>
      <c r="FZ108" s="208">
        <v>13.4</v>
      </c>
      <c r="GA108" s="208">
        <v>25.03</v>
      </c>
      <c r="GB108" s="208">
        <v>13.5</v>
      </c>
      <c r="GC108" s="208">
        <v>1.3</v>
      </c>
      <c r="GD108" s="208">
        <v>94</v>
      </c>
      <c r="GE108" s="237">
        <v>19.98</v>
      </c>
      <c r="GF108" s="237">
        <v>16.100000000000001</v>
      </c>
      <c r="GG108" s="237">
        <v>14.45</v>
      </c>
      <c r="GH108" s="237">
        <v>84.2</v>
      </c>
      <c r="GJ108" s="947"/>
      <c r="GK108" s="320"/>
      <c r="GL108" s="320"/>
      <c r="GM108" s="320"/>
      <c r="GN108" s="320"/>
      <c r="GO108" s="662">
        <v>8103</v>
      </c>
      <c r="GP108" s="663" t="str">
        <f>VLOOKUP(GS108,'BD Comarcal'!$A$6:$AV$17,48,FALSE)</f>
        <v>06</v>
      </c>
      <c r="GQ108" s="564">
        <v>8</v>
      </c>
      <c r="GR108" s="256">
        <f t="shared" si="1"/>
        <v>1</v>
      </c>
      <c r="GS108" s="237" t="s">
        <v>81</v>
      </c>
    </row>
    <row r="109" spans="1:201" s="237" customFormat="1" ht="17.25" customHeight="1">
      <c r="A109" s="236" t="s">
        <v>1142</v>
      </c>
      <c r="C109" s="238"/>
      <c r="D109" s="238">
        <v>5249</v>
      </c>
      <c r="E109" s="238">
        <v>3758</v>
      </c>
      <c r="F109" s="239">
        <v>0.71594589445608692</v>
      </c>
      <c r="G109" s="238">
        <v>2787</v>
      </c>
      <c r="H109" s="240">
        <v>1071.9077732402004</v>
      </c>
      <c r="I109" s="239">
        <v>0.28523357457163395</v>
      </c>
      <c r="J109" s="238">
        <v>1392</v>
      </c>
      <c r="K109" s="238">
        <v>71</v>
      </c>
      <c r="L109" s="238">
        <v>1</v>
      </c>
      <c r="M109" s="241">
        <v>1.9051247856734617E-4</v>
      </c>
      <c r="N109" s="238">
        <v>0</v>
      </c>
      <c r="O109" s="239">
        <v>0</v>
      </c>
      <c r="P109" s="237">
        <v>12</v>
      </c>
      <c r="Q109" s="237">
        <v>0</v>
      </c>
      <c r="R109" s="239">
        <v>0</v>
      </c>
      <c r="S109" s="238">
        <v>1445</v>
      </c>
      <c r="T109" s="436">
        <v>90</v>
      </c>
      <c r="U109" s="436">
        <v>71</v>
      </c>
      <c r="V109" s="436">
        <v>0</v>
      </c>
      <c r="W109" s="436">
        <v>161</v>
      </c>
      <c r="X109" s="238">
        <v>872</v>
      </c>
      <c r="Y109" s="237">
        <v>0.25059999999999999</v>
      </c>
      <c r="Z109" s="238">
        <v>10946</v>
      </c>
      <c r="AA109" s="238">
        <v>12396</v>
      </c>
      <c r="AB109" s="238">
        <v>75.739999999999995</v>
      </c>
      <c r="AC109" s="238">
        <v>860</v>
      </c>
      <c r="AD109" s="238">
        <v>1244575.31</v>
      </c>
      <c r="AE109" s="238">
        <v>152767.43999999971</v>
      </c>
      <c r="AF109" s="238">
        <v>1124874.58</v>
      </c>
      <c r="AG109" s="238">
        <v>292848.57</v>
      </c>
      <c r="AH109" s="239">
        <v>0.26033886373359061</v>
      </c>
      <c r="AI109" s="242">
        <v>38.585887</v>
      </c>
      <c r="AJ109" s="242">
        <v>7.6516000000000002</v>
      </c>
      <c r="AK109" s="242">
        <v>0.14577252810059058</v>
      </c>
      <c r="AL109" s="242" t="s">
        <v>678</v>
      </c>
      <c r="AM109" s="242" t="s">
        <v>678</v>
      </c>
      <c r="AN109" s="242">
        <v>42324.11</v>
      </c>
      <c r="AO109" s="238">
        <v>9494.2099999999991</v>
      </c>
      <c r="AP109" s="243">
        <v>0</v>
      </c>
      <c r="AQ109" s="238"/>
      <c r="AR109" s="238">
        <v>1782.6740489643655</v>
      </c>
      <c r="AS109" s="238">
        <v>1530.1636887118591</v>
      </c>
      <c r="AT109" s="238">
        <v>60562.333333333336</v>
      </c>
      <c r="AU109" s="238">
        <v>333.30165991133663</v>
      </c>
      <c r="AV109" s="237">
        <v>1</v>
      </c>
      <c r="AW109" s="237">
        <v>1</v>
      </c>
      <c r="AX109" s="237">
        <v>1</v>
      </c>
      <c r="AY109" s="244" t="s">
        <v>717</v>
      </c>
      <c r="AZ109" s="244" t="s">
        <v>682</v>
      </c>
      <c r="BA109" s="237">
        <v>0</v>
      </c>
      <c r="BB109" s="245" t="s">
        <v>1143</v>
      </c>
      <c r="BC109" s="215" t="s">
        <v>1144</v>
      </c>
      <c r="BD109" s="237">
        <v>1</v>
      </c>
      <c r="BE109" s="237">
        <v>2</v>
      </c>
      <c r="BF109" s="237">
        <v>77</v>
      </c>
      <c r="BG109" s="246" t="s">
        <v>698</v>
      </c>
      <c r="BI109" s="239">
        <v>0.64393063583815024</v>
      </c>
      <c r="BJ109" s="239">
        <v>0.15260115606936417</v>
      </c>
      <c r="BK109" s="239">
        <v>0.19075144508670519</v>
      </c>
      <c r="BL109" s="239">
        <v>1.2716763005780347E-2</v>
      </c>
      <c r="BM109" s="247">
        <v>2.4277456647398843</v>
      </c>
      <c r="BN109" s="248">
        <v>0</v>
      </c>
      <c r="BO109" s="248">
        <v>0</v>
      </c>
      <c r="BP109" s="237">
        <v>0</v>
      </c>
      <c r="BQ109" s="237">
        <v>0</v>
      </c>
      <c r="BR109" s="248">
        <v>0</v>
      </c>
      <c r="BS109" s="237">
        <v>22</v>
      </c>
      <c r="BT109" s="237" t="s">
        <v>755</v>
      </c>
      <c r="BU109" s="249" t="s">
        <v>678</v>
      </c>
      <c r="BV109" s="249" t="s">
        <v>678</v>
      </c>
      <c r="BW109" s="249" t="s">
        <v>678</v>
      </c>
      <c r="BX109" s="249" t="s">
        <v>678</v>
      </c>
      <c r="BY109" s="249" t="s">
        <v>678</v>
      </c>
      <c r="BZ109" s="249" t="s">
        <v>678</v>
      </c>
      <c r="CA109" s="249" t="s">
        <v>678</v>
      </c>
      <c r="CB109" s="249" t="s">
        <v>678</v>
      </c>
      <c r="CC109" s="250" t="s">
        <v>678</v>
      </c>
      <c r="CD109" s="242" t="s">
        <v>678</v>
      </c>
      <c r="CE109" s="252" t="s">
        <v>678</v>
      </c>
      <c r="CF109" s="238">
        <v>726</v>
      </c>
      <c r="CG109" s="238">
        <v>59.8</v>
      </c>
      <c r="CH109" s="238">
        <v>6.402569593147752</v>
      </c>
      <c r="CI109" s="216" t="s">
        <v>722</v>
      </c>
      <c r="CJ109" s="237">
        <v>1</v>
      </c>
      <c r="CK109" s="253">
        <v>69.489999999999995</v>
      </c>
      <c r="CL109" s="253">
        <v>5.2637999999999998</v>
      </c>
      <c r="CM109" s="254">
        <v>1.0028195846827966E-3</v>
      </c>
      <c r="CN109" s="237" t="s">
        <v>81</v>
      </c>
      <c r="CO109" s="242">
        <v>2197.5500000000002</v>
      </c>
      <c r="CP109" s="255">
        <v>0.41866069727567157</v>
      </c>
      <c r="CV109" s="237">
        <v>5</v>
      </c>
      <c r="CW109" s="261" t="s">
        <v>678</v>
      </c>
      <c r="CX109" s="261" t="s">
        <v>678</v>
      </c>
      <c r="CY109" s="261" t="s">
        <v>678</v>
      </c>
      <c r="DB109" s="216"/>
      <c r="DC109" s="195" t="s">
        <v>1145</v>
      </c>
      <c r="DD109" s="256">
        <v>0.8</v>
      </c>
      <c r="DE109" s="256">
        <v>-10</v>
      </c>
      <c r="DF109" s="256">
        <v>0.5</v>
      </c>
      <c r="DG109" s="256">
        <v>-2.2999999999999998</v>
      </c>
      <c r="DH109" s="257">
        <v>3</v>
      </c>
      <c r="DI109" s="257">
        <v>5.87</v>
      </c>
      <c r="DJ109" s="257">
        <v>1</v>
      </c>
      <c r="DK109" s="257">
        <v>6.87</v>
      </c>
      <c r="DL109" s="237" t="s">
        <v>682</v>
      </c>
      <c r="DP109" s="258" t="s">
        <v>682</v>
      </c>
      <c r="DQ109" s="258"/>
      <c r="DR109" s="258"/>
      <c r="DS109" s="258"/>
      <c r="DT109" s="258"/>
      <c r="DU109" s="237">
        <v>0</v>
      </c>
      <c r="DX109" s="247"/>
      <c r="DY109" s="247">
        <v>0</v>
      </c>
      <c r="EA109" s="237">
        <v>1</v>
      </c>
      <c r="EB109" s="237" t="s">
        <v>859</v>
      </c>
      <c r="ED109" s="237" t="s">
        <v>687</v>
      </c>
      <c r="EE109" s="208">
        <v>0</v>
      </c>
      <c r="EF109" s="237" t="s">
        <v>688</v>
      </c>
      <c r="EG109" s="216" t="s">
        <v>691</v>
      </c>
      <c r="EH109" s="246" t="s">
        <v>690</v>
      </c>
      <c r="EI109" s="216" t="s">
        <v>691</v>
      </c>
      <c r="EJ109" s="216" t="s">
        <v>529</v>
      </c>
      <c r="EK109" s="222" t="s">
        <v>529</v>
      </c>
      <c r="EL109" s="259">
        <v>1983</v>
      </c>
      <c r="EM109" s="260">
        <v>3600</v>
      </c>
      <c r="EN109" s="260">
        <v>44597</v>
      </c>
      <c r="EO109" s="260">
        <v>7053</v>
      </c>
      <c r="ER109" s="237" t="s">
        <v>705</v>
      </c>
      <c r="ES109" s="237" t="e">
        <v>#DIV/0!</v>
      </c>
      <c r="ET109" s="237">
        <v>1.9591666666666667</v>
      </c>
      <c r="EU109" s="661">
        <v>1</v>
      </c>
      <c r="EV109" s="661" t="s">
        <v>678</v>
      </c>
      <c r="EW109" s="661">
        <v>0</v>
      </c>
      <c r="EX109" s="661">
        <v>2</v>
      </c>
      <c r="EY109" s="660">
        <v>1.3238712135644884E-2</v>
      </c>
      <c r="EZ109" s="256">
        <v>13.440782846452729</v>
      </c>
      <c r="FA109" s="247">
        <v>0.13304949441192124</v>
      </c>
      <c r="FB109" s="208">
        <v>2</v>
      </c>
      <c r="FC109" s="208">
        <v>3</v>
      </c>
      <c r="FD109" s="208">
        <v>4</v>
      </c>
      <c r="FE109" s="239">
        <v>0.74161788185204891</v>
      </c>
      <c r="FF109" s="208">
        <v>1</v>
      </c>
      <c r="FG109" s="241">
        <v>1.8281000532197977E-3</v>
      </c>
      <c r="FH109" s="209">
        <v>0</v>
      </c>
      <c r="FI109" s="237" t="s">
        <v>678</v>
      </c>
      <c r="FJ109" s="208">
        <v>58.7</v>
      </c>
      <c r="FK109" s="208">
        <v>26.05</v>
      </c>
      <c r="FL109" s="217">
        <v>68.2</v>
      </c>
      <c r="FM109" s="208">
        <v>7</v>
      </c>
      <c r="FN109" s="208" t="s">
        <v>1146</v>
      </c>
      <c r="FP109" s="247" t="s">
        <v>693</v>
      </c>
      <c r="FU109" s="208">
        <v>54</v>
      </c>
      <c r="FV109" s="208">
        <v>82.5</v>
      </c>
      <c r="FW109" s="237">
        <v>82.78</v>
      </c>
      <c r="FX109" s="237">
        <v>70.7</v>
      </c>
      <c r="FY109" s="208">
        <v>39.83</v>
      </c>
      <c r="FZ109" s="208">
        <v>54</v>
      </c>
      <c r="GA109" s="208">
        <v>54.67</v>
      </c>
      <c r="GB109" s="208">
        <v>58.2</v>
      </c>
      <c r="GC109" s="208">
        <v>0</v>
      </c>
      <c r="GD109" s="208">
        <v>9.6</v>
      </c>
      <c r="GE109" s="237">
        <v>46.49</v>
      </c>
      <c r="GF109" s="237">
        <v>61.6</v>
      </c>
      <c r="GG109" s="237">
        <v>5.93</v>
      </c>
      <c r="GH109" s="237">
        <v>50.2</v>
      </c>
      <c r="GJ109" s="947"/>
      <c r="GK109" s="320"/>
      <c r="GL109" s="320"/>
      <c r="GM109" s="320"/>
      <c r="GN109" s="320"/>
      <c r="GO109" s="662">
        <v>8104</v>
      </c>
      <c r="GP109" s="663" t="str">
        <f>VLOOKUP(GS109,'BD Comarcal'!$A$6:$AV$17,48,FALSE)</f>
        <v>06</v>
      </c>
      <c r="GQ109" s="564">
        <v>17</v>
      </c>
      <c r="GR109" s="256">
        <f t="shared" si="1"/>
        <v>1</v>
      </c>
      <c r="GS109" s="237" t="s">
        <v>81</v>
      </c>
    </row>
    <row r="110" spans="1:201" s="237" customFormat="1" ht="17.25" customHeight="1">
      <c r="A110" s="236" t="s">
        <v>1147</v>
      </c>
      <c r="C110" s="238"/>
      <c r="D110" s="238">
        <v>303</v>
      </c>
      <c r="E110" s="238">
        <v>0</v>
      </c>
      <c r="F110" s="239">
        <v>0</v>
      </c>
      <c r="G110" s="238" t="s">
        <v>752</v>
      </c>
      <c r="H110" s="240">
        <v>0</v>
      </c>
      <c r="I110" s="239" t="s">
        <v>1148</v>
      </c>
      <c r="J110" s="238">
        <v>8</v>
      </c>
      <c r="K110" s="238">
        <v>1</v>
      </c>
      <c r="L110" s="238" t="s">
        <v>678</v>
      </c>
      <c r="M110" s="241" t="s">
        <v>678</v>
      </c>
      <c r="N110" s="238" t="s">
        <v>678</v>
      </c>
      <c r="O110" s="239" t="s">
        <v>678</v>
      </c>
      <c r="P110" s="237" t="s">
        <v>678</v>
      </c>
      <c r="Q110" s="237" t="s">
        <v>678</v>
      </c>
      <c r="R110" s="239" t="s">
        <v>678</v>
      </c>
      <c r="S110" s="238" t="s">
        <v>678</v>
      </c>
      <c r="T110" s="436">
        <v>0</v>
      </c>
      <c r="U110" s="436">
        <v>0</v>
      </c>
      <c r="V110" s="436">
        <v>50</v>
      </c>
      <c r="W110" s="436">
        <v>50</v>
      </c>
      <c r="X110" s="238">
        <v>13247</v>
      </c>
      <c r="Y110" s="237">
        <v>0.1729</v>
      </c>
      <c r="Z110" s="238">
        <v>144994</v>
      </c>
      <c r="AA110" s="238">
        <v>10941</v>
      </c>
      <c r="AB110" s="238">
        <v>66.849999999999994</v>
      </c>
      <c r="AC110" s="238">
        <v>3313</v>
      </c>
      <c r="AD110" s="238">
        <v>10173528.459999999</v>
      </c>
      <c r="AE110" s="238">
        <v>1269494.3699999992</v>
      </c>
      <c r="AF110" s="238">
        <v>8605504.1699999999</v>
      </c>
      <c r="AG110" s="238">
        <v>71045.66</v>
      </c>
      <c r="AH110" s="239">
        <v>8.2558393554296554E-3</v>
      </c>
      <c r="AI110" s="242">
        <v>73.744179000000003</v>
      </c>
      <c r="AJ110" s="242">
        <v>26.404775999999998</v>
      </c>
      <c r="AK110" s="242">
        <v>8.7144475247524742</v>
      </c>
      <c r="AL110" s="242" t="s">
        <v>678</v>
      </c>
      <c r="AM110" s="242" t="s">
        <v>678</v>
      </c>
      <c r="AN110" s="242">
        <v>19292.990000000002</v>
      </c>
      <c r="AO110" s="238">
        <v>1062.75</v>
      </c>
      <c r="AP110" s="243">
        <v>3</v>
      </c>
      <c r="AQ110" s="238">
        <v>1</v>
      </c>
      <c r="AR110" s="238">
        <v>948.63013363183029</v>
      </c>
      <c r="AS110" s="238">
        <v>1376.1520602815945</v>
      </c>
      <c r="AT110" s="238">
        <v>874370</v>
      </c>
      <c r="AU110" s="238">
        <v>250.45813195764165</v>
      </c>
      <c r="AV110" s="237">
        <v>0</v>
      </c>
      <c r="AW110" s="237">
        <v>0</v>
      </c>
      <c r="AX110" s="237">
        <v>0</v>
      </c>
      <c r="AY110" s="244" t="s">
        <v>695</v>
      </c>
      <c r="AZ110" s="244" t="s">
        <v>717</v>
      </c>
      <c r="BA110" s="237">
        <v>0</v>
      </c>
      <c r="BB110" s="245" t="s">
        <v>678</v>
      </c>
      <c r="BC110" s="215" t="s">
        <v>678</v>
      </c>
      <c r="BE110" s="237">
        <v>2</v>
      </c>
      <c r="BF110" s="237">
        <v>39</v>
      </c>
      <c r="BG110" s="246" t="s">
        <v>676</v>
      </c>
      <c r="BI110" s="239">
        <v>0.55413271245634454</v>
      </c>
      <c r="BJ110" s="239">
        <v>4.0745052386495922E-2</v>
      </c>
      <c r="BK110" s="239">
        <v>0.40372526193247965</v>
      </c>
      <c r="BL110" s="239">
        <v>1.3969732246798604E-3</v>
      </c>
      <c r="BM110" s="247">
        <v>2.147613504074505</v>
      </c>
      <c r="BN110" s="248">
        <v>0</v>
      </c>
      <c r="BO110" s="248">
        <v>1</v>
      </c>
      <c r="BP110" s="237">
        <v>0</v>
      </c>
      <c r="BQ110" s="237">
        <v>0</v>
      </c>
      <c r="BR110" s="248">
        <v>1</v>
      </c>
      <c r="BS110" s="237">
        <v>16</v>
      </c>
      <c r="BT110" s="237" t="s">
        <v>729</v>
      </c>
      <c r="BU110" s="249">
        <v>1584</v>
      </c>
      <c r="BV110" s="249">
        <v>1445</v>
      </c>
      <c r="BW110" s="249">
        <v>7326</v>
      </c>
      <c r="BX110" s="249" t="s">
        <v>678</v>
      </c>
      <c r="BY110" s="249">
        <v>11.779579088272477</v>
      </c>
      <c r="BZ110" s="249">
        <v>10.745891276864729</v>
      </c>
      <c r="CA110" s="249">
        <v>54.480553283260207</v>
      </c>
      <c r="CB110" s="249" t="s">
        <v>678</v>
      </c>
      <c r="CC110" s="250">
        <v>111.3110731018071</v>
      </c>
      <c r="CD110" s="242">
        <v>-1002</v>
      </c>
      <c r="CE110" s="252">
        <v>92.548523834312491</v>
      </c>
      <c r="CF110" s="238">
        <v>5697</v>
      </c>
      <c r="CG110" s="238">
        <v>1345</v>
      </c>
      <c r="CH110" s="238">
        <v>10.00223098088793</v>
      </c>
      <c r="CI110" s="216" t="s">
        <v>679</v>
      </c>
      <c r="CJ110" s="237">
        <v>0</v>
      </c>
      <c r="CK110" s="253">
        <v>79.41</v>
      </c>
      <c r="CL110" s="253">
        <v>13.772500000000001</v>
      </c>
      <c r="CM110" s="254">
        <v>4.5453795379537955E-2</v>
      </c>
      <c r="CN110" s="237" t="s">
        <v>24</v>
      </c>
      <c r="CO110" s="242"/>
      <c r="CP110" s="255">
        <v>0</v>
      </c>
      <c r="CV110" s="237">
        <v>9</v>
      </c>
      <c r="CW110" s="194">
        <v>0.85499999999999998</v>
      </c>
      <c r="CX110" s="194">
        <v>0.63500000000000001</v>
      </c>
      <c r="CY110" s="194" t="s">
        <v>680</v>
      </c>
      <c r="DB110" s="216" t="s">
        <v>710</v>
      </c>
      <c r="DC110" s="195" t="s">
        <v>711</v>
      </c>
      <c r="DD110" s="256">
        <v>0.7</v>
      </c>
      <c r="DE110" s="256">
        <v>-6.5</v>
      </c>
      <c r="DF110" s="256">
        <v>0.7</v>
      </c>
      <c r="DG110" s="256">
        <v>-2.2000000000000002</v>
      </c>
      <c r="DL110" s="237" t="s">
        <v>682</v>
      </c>
      <c r="DP110" s="258" t="s">
        <v>682</v>
      </c>
      <c r="DQ110" s="258"/>
      <c r="DR110" s="258"/>
      <c r="DS110" s="258"/>
      <c r="DT110" s="258"/>
      <c r="DU110" s="237">
        <v>0</v>
      </c>
      <c r="DX110" s="247"/>
      <c r="DY110" s="247">
        <v>0</v>
      </c>
      <c r="EA110" s="237">
        <v>0</v>
      </c>
      <c r="ED110" s="237" t="s">
        <v>678</v>
      </c>
      <c r="EE110" s="208">
        <v>4</v>
      </c>
      <c r="EF110" s="237" t="s">
        <v>678</v>
      </c>
      <c r="EG110" s="216" t="s">
        <v>691</v>
      </c>
      <c r="EH110" s="246" t="s">
        <v>690</v>
      </c>
      <c r="EI110" s="216"/>
      <c r="EJ110" s="216" t="s">
        <v>806</v>
      </c>
      <c r="EK110" s="222" t="s">
        <v>682</v>
      </c>
      <c r="EL110" s="259">
        <v>1987</v>
      </c>
      <c r="EM110" s="260">
        <v>0</v>
      </c>
      <c r="EN110" s="260">
        <v>501929</v>
      </c>
      <c r="EO110" s="260">
        <v>181003</v>
      </c>
      <c r="ER110" s="237" t="s">
        <v>705</v>
      </c>
      <c r="ES110" s="237">
        <v>13447</v>
      </c>
      <c r="EU110" s="661">
        <v>3</v>
      </c>
      <c r="EV110" s="661">
        <v>6</v>
      </c>
      <c r="EW110" s="661" t="s">
        <v>678</v>
      </c>
      <c r="EX110" s="661">
        <v>6</v>
      </c>
      <c r="EY110" s="660">
        <v>0.26207920792079209</v>
      </c>
      <c r="EZ110" s="256">
        <v>169.33635562271755</v>
      </c>
      <c r="FA110" s="247" t="s">
        <v>678</v>
      </c>
      <c r="FB110" s="208">
        <v>6</v>
      </c>
      <c r="FC110" s="208">
        <v>6</v>
      </c>
      <c r="FD110" s="208">
        <v>7</v>
      </c>
      <c r="FE110" s="239" t="s">
        <v>678</v>
      </c>
      <c r="FF110" s="208"/>
      <c r="FG110" s="241" t="s">
        <v>678</v>
      </c>
      <c r="FH110" s="209" t="s">
        <v>678</v>
      </c>
      <c r="FI110" s="237" t="s">
        <v>678</v>
      </c>
      <c r="FJ110" s="208" t="s">
        <v>678</v>
      </c>
      <c r="FK110" s="208" t="s">
        <v>678</v>
      </c>
      <c r="FL110" s="217" t="s">
        <v>678</v>
      </c>
      <c r="FM110" s="208" t="s">
        <v>678</v>
      </c>
      <c r="FN110" s="208" t="s">
        <v>678</v>
      </c>
      <c r="FP110" s="247" t="s">
        <v>693</v>
      </c>
      <c r="FU110" s="208" t="s">
        <v>678</v>
      </c>
      <c r="FV110" s="208" t="s">
        <v>678</v>
      </c>
      <c r="FW110" s="208" t="s">
        <v>678</v>
      </c>
      <c r="FX110" s="208" t="s">
        <v>678</v>
      </c>
      <c r="FY110" s="208" t="s">
        <v>678</v>
      </c>
      <c r="FZ110" s="208" t="s">
        <v>678</v>
      </c>
      <c r="GA110" s="208" t="s">
        <v>678</v>
      </c>
      <c r="GB110" s="208" t="s">
        <v>678</v>
      </c>
      <c r="GC110" s="208" t="s">
        <v>678</v>
      </c>
      <c r="GD110" s="208" t="s">
        <v>678</v>
      </c>
      <c r="GE110" s="237" t="s">
        <v>678</v>
      </c>
      <c r="GF110" s="237" t="s">
        <v>678</v>
      </c>
      <c r="GG110" s="237" t="s">
        <v>678</v>
      </c>
      <c r="GH110" s="237" t="s">
        <v>678</v>
      </c>
      <c r="GJ110" s="947">
        <v>256</v>
      </c>
      <c r="GK110" s="320">
        <v>0</v>
      </c>
      <c r="GL110" s="320">
        <v>0.435</v>
      </c>
      <c r="GM110" s="320">
        <v>0.06</v>
      </c>
      <c r="GN110" s="320">
        <v>0.504</v>
      </c>
      <c r="GO110" s="662">
        <v>8105</v>
      </c>
      <c r="GP110" s="663" t="str">
        <f>VLOOKUP(GS110,'BD Comarcal'!$A$6:$AV$17,48,FALSE)</f>
        <v>41</v>
      </c>
      <c r="GQ110" s="564">
        <v>82</v>
      </c>
      <c r="GR110" s="256">
        <f t="shared" si="1"/>
        <v>0</v>
      </c>
      <c r="GS110" s="237" t="s">
        <v>24</v>
      </c>
    </row>
    <row r="111" spans="1:201" s="237" customFormat="1" ht="17.25" customHeight="1">
      <c r="A111" s="236" t="s">
        <v>1149</v>
      </c>
      <c r="C111" s="238"/>
      <c r="D111" s="238">
        <v>2752</v>
      </c>
      <c r="E111" s="238">
        <v>1696</v>
      </c>
      <c r="F111" s="239">
        <v>0.61627906976744184</v>
      </c>
      <c r="G111" s="238">
        <v>1567</v>
      </c>
      <c r="H111" s="240">
        <v>1004.9089369630361</v>
      </c>
      <c r="I111" s="239">
        <v>0.59251706188858266</v>
      </c>
      <c r="J111" s="238">
        <v>288</v>
      </c>
      <c r="K111" s="238">
        <v>9</v>
      </c>
      <c r="L111" s="238">
        <v>81</v>
      </c>
      <c r="M111" s="241">
        <v>2.9433139534883721E-2</v>
      </c>
      <c r="N111" s="238">
        <v>0</v>
      </c>
      <c r="O111" s="239">
        <v>0</v>
      </c>
      <c r="P111" s="237">
        <v>19</v>
      </c>
      <c r="Q111" s="237">
        <v>0</v>
      </c>
      <c r="R111" s="239">
        <v>0</v>
      </c>
      <c r="S111" s="238">
        <v>1521</v>
      </c>
      <c r="T111" s="436">
        <v>0</v>
      </c>
      <c r="U111" s="436">
        <v>43</v>
      </c>
      <c r="V111" s="436">
        <v>0</v>
      </c>
      <c r="W111" s="436">
        <v>43</v>
      </c>
      <c r="X111" s="238">
        <v>9717</v>
      </c>
      <c r="Y111" s="237">
        <v>0.16009999999999999</v>
      </c>
      <c r="Z111" s="238">
        <v>126028</v>
      </c>
      <c r="AA111" s="238">
        <v>13169</v>
      </c>
      <c r="AB111" s="238">
        <v>80.459999999999994</v>
      </c>
      <c r="AC111" s="238">
        <v>1629</v>
      </c>
      <c r="AD111" s="238">
        <v>14823338.43</v>
      </c>
      <c r="AE111" s="238">
        <v>65478.840000001714</v>
      </c>
      <c r="AF111" s="238">
        <v>13331154.299999999</v>
      </c>
      <c r="AG111" s="238">
        <v>3410884.59</v>
      </c>
      <c r="AH111" s="239">
        <v>0.2558581585091998</v>
      </c>
      <c r="AI111" s="242">
        <v>295.044713</v>
      </c>
      <c r="AJ111" s="242">
        <v>33.642892000000003</v>
      </c>
      <c r="AK111" s="242">
        <v>1.2224888081395349</v>
      </c>
      <c r="AL111" s="242">
        <v>93.326858000000001</v>
      </c>
      <c r="AM111" s="242">
        <v>3.3912375726744184</v>
      </c>
      <c r="AN111" s="242">
        <v>45477.23</v>
      </c>
      <c r="AO111" s="238">
        <v>5820.38</v>
      </c>
      <c r="AP111" s="243">
        <v>23</v>
      </c>
      <c r="AQ111" s="238"/>
      <c r="AR111" s="238">
        <v>1384.0293656397325</v>
      </c>
      <c r="AS111" s="238">
        <v>2210.5758592584734</v>
      </c>
      <c r="AT111" s="238">
        <v>806648</v>
      </c>
      <c r="AU111" s="238">
        <v>267.96952450576396</v>
      </c>
      <c r="AV111" s="237">
        <v>1</v>
      </c>
      <c r="AW111" s="237">
        <v>0</v>
      </c>
      <c r="AX111" s="237">
        <v>1</v>
      </c>
      <c r="AY111" s="244" t="s">
        <v>682</v>
      </c>
      <c r="AZ111" s="244" t="s">
        <v>682</v>
      </c>
      <c r="BA111" s="237" t="s">
        <v>1038</v>
      </c>
      <c r="BB111" s="245" t="s">
        <v>1150</v>
      </c>
      <c r="BC111" s="215" t="s">
        <v>1151</v>
      </c>
      <c r="BE111" s="237">
        <v>2</v>
      </c>
      <c r="BF111" s="237">
        <v>39</v>
      </c>
      <c r="BG111" s="246" t="s">
        <v>698</v>
      </c>
      <c r="BI111" s="239">
        <v>0.32989862057503738</v>
      </c>
      <c r="BJ111" s="239">
        <v>0.10819345188632208</v>
      </c>
      <c r="BK111" s="239">
        <v>0.52949975070633204</v>
      </c>
      <c r="BL111" s="239">
        <v>3.2408176832308462E-2</v>
      </c>
      <c r="BM111" s="247">
        <v>1.7355825162040883</v>
      </c>
      <c r="BN111" s="248">
        <v>0</v>
      </c>
      <c r="BO111" s="248">
        <v>0</v>
      </c>
      <c r="BP111" s="237">
        <v>0</v>
      </c>
      <c r="BQ111" s="237">
        <v>0</v>
      </c>
      <c r="BR111" s="248">
        <v>0</v>
      </c>
      <c r="BS111" s="237">
        <v>15</v>
      </c>
      <c r="BT111" s="237" t="s">
        <v>729</v>
      </c>
      <c r="BU111" s="249">
        <v>717</v>
      </c>
      <c r="BV111" s="249">
        <v>1207</v>
      </c>
      <c r="BW111" s="249">
        <v>4159</v>
      </c>
      <c r="BX111" s="249">
        <v>1505</v>
      </c>
      <c r="BY111" s="249">
        <v>7.5047100690810131</v>
      </c>
      <c r="BZ111" s="249">
        <v>12.633451957295375</v>
      </c>
      <c r="CA111" s="249">
        <v>43.531505128741891</v>
      </c>
      <c r="CB111" s="249">
        <v>15.752564370944107</v>
      </c>
      <c r="CC111" s="250">
        <v>91.312539250575668</v>
      </c>
      <c r="CD111" s="242">
        <v>140</v>
      </c>
      <c r="CE111" s="252">
        <v>101.4653548252041</v>
      </c>
      <c r="CF111" s="238">
        <v>4352</v>
      </c>
      <c r="CG111" s="238">
        <v>806</v>
      </c>
      <c r="CH111" s="238">
        <v>8.4362570651036215</v>
      </c>
      <c r="CI111" s="216" t="s">
        <v>679</v>
      </c>
      <c r="CJ111" s="237">
        <v>0</v>
      </c>
      <c r="CK111" s="253">
        <v>296.2</v>
      </c>
      <c r="CL111" s="253">
        <v>184.44120000000001</v>
      </c>
      <c r="CM111" s="254">
        <v>6.702078488372093E-2</v>
      </c>
      <c r="CN111" s="237" t="s">
        <v>24</v>
      </c>
      <c r="CO111" s="242">
        <v>176.41</v>
      </c>
      <c r="CP111" s="255">
        <v>6.4102470930232552E-2</v>
      </c>
      <c r="CV111" s="237">
        <v>1</v>
      </c>
      <c r="CW111" s="194">
        <v>1.1950000000000001</v>
      </c>
      <c r="CX111" s="194">
        <v>0.63500000000000001</v>
      </c>
      <c r="CY111" s="194">
        <v>0.185</v>
      </c>
      <c r="CZ111" s="237" t="s">
        <v>529</v>
      </c>
      <c r="DA111" s="237" t="s">
        <v>1152</v>
      </c>
      <c r="DB111" s="216" t="s">
        <v>681</v>
      </c>
      <c r="DC111" s="256"/>
      <c r="DD111" s="256">
        <v>0.8</v>
      </c>
      <c r="DE111" s="256">
        <v>-10</v>
      </c>
      <c r="DF111" s="256">
        <v>0.5</v>
      </c>
      <c r="DG111" s="256">
        <v>-2.2999999999999998</v>
      </c>
      <c r="DL111" s="237" t="s">
        <v>529</v>
      </c>
      <c r="DN111" s="237" t="s">
        <v>730</v>
      </c>
      <c r="DO111" s="237">
        <v>1</v>
      </c>
      <c r="DP111" s="258" t="s">
        <v>682</v>
      </c>
      <c r="DQ111" s="258"/>
      <c r="DR111" s="258"/>
      <c r="DS111" s="258"/>
      <c r="DT111" s="258"/>
      <c r="DU111" s="237">
        <v>0</v>
      </c>
      <c r="DX111" s="247"/>
      <c r="DY111" s="247">
        <v>0</v>
      </c>
      <c r="EA111" s="237">
        <v>0</v>
      </c>
      <c r="ED111" s="237" t="s">
        <v>1153</v>
      </c>
      <c r="EE111" s="208">
        <v>1</v>
      </c>
      <c r="EF111" s="237" t="s">
        <v>688</v>
      </c>
      <c r="EG111" s="216" t="s">
        <v>691</v>
      </c>
      <c r="EH111" s="246" t="s">
        <v>690</v>
      </c>
      <c r="EI111" s="216" t="s">
        <v>904</v>
      </c>
      <c r="EJ111" s="216" t="s">
        <v>529</v>
      </c>
      <c r="EK111" s="222" t="s">
        <v>682</v>
      </c>
      <c r="EL111" s="259">
        <v>2003</v>
      </c>
      <c r="EM111" s="263">
        <v>3930</v>
      </c>
      <c r="EN111" s="260">
        <v>405851</v>
      </c>
      <c r="EO111" s="260">
        <v>415548</v>
      </c>
      <c r="EP111" s="237">
        <v>2</v>
      </c>
      <c r="EQ111" s="237">
        <v>269</v>
      </c>
      <c r="ER111" s="237" t="s">
        <v>705</v>
      </c>
      <c r="ES111" s="237" t="e">
        <v>#DIV/0!</v>
      </c>
      <c r="ET111" s="237">
        <v>105.73740458015267</v>
      </c>
      <c r="EU111" s="661">
        <v>1</v>
      </c>
      <c r="EV111" s="661">
        <v>2</v>
      </c>
      <c r="EW111" s="661">
        <v>4</v>
      </c>
      <c r="EX111" s="661">
        <v>6</v>
      </c>
      <c r="EY111" s="660">
        <v>0.10763081395348836</v>
      </c>
      <c r="EZ111" s="256">
        <v>32.255232950708979</v>
      </c>
      <c r="FA111" s="247">
        <v>5.8962264150943397E-2</v>
      </c>
      <c r="FB111" s="208">
        <v>4</v>
      </c>
      <c r="FC111" s="208">
        <v>6</v>
      </c>
      <c r="FD111" s="208">
        <v>7</v>
      </c>
      <c r="FE111" s="239">
        <v>0.92393867924528306</v>
      </c>
      <c r="FF111" s="208"/>
      <c r="FG111" s="241">
        <v>0</v>
      </c>
      <c r="FH111" s="209">
        <v>0</v>
      </c>
      <c r="FI111" s="237" t="s">
        <v>678</v>
      </c>
      <c r="FJ111" s="208">
        <v>51.4</v>
      </c>
      <c r="FK111" s="208">
        <v>14.4</v>
      </c>
      <c r="FL111" s="217">
        <v>53.5</v>
      </c>
      <c r="FM111" s="208">
        <v>7.52</v>
      </c>
      <c r="FN111" s="208" t="s">
        <v>1154</v>
      </c>
      <c r="FP111" s="247" t="s">
        <v>693</v>
      </c>
      <c r="FU111" s="208">
        <v>36</v>
      </c>
      <c r="FV111" s="208">
        <v>42.4</v>
      </c>
      <c r="FW111" s="237">
        <v>85.6</v>
      </c>
      <c r="FX111" s="237">
        <v>75.5</v>
      </c>
      <c r="FY111" s="208">
        <v>49.77</v>
      </c>
      <c r="FZ111" s="208">
        <v>61.6</v>
      </c>
      <c r="GA111" s="208">
        <v>55.2</v>
      </c>
      <c r="GB111" s="208">
        <v>59</v>
      </c>
      <c r="GC111" s="208">
        <v>1.21</v>
      </c>
      <c r="GD111" s="208">
        <v>92.1</v>
      </c>
      <c r="GE111" s="237">
        <v>40.65</v>
      </c>
      <c r="GF111" s="237">
        <v>51.7</v>
      </c>
      <c r="GG111" s="237">
        <v>5.66</v>
      </c>
      <c r="GH111" s="237">
        <v>48.3</v>
      </c>
      <c r="GJ111" s="947">
        <v>276</v>
      </c>
      <c r="GK111" s="320">
        <v>6.0000000000000001E-3</v>
      </c>
      <c r="GL111" s="320">
        <v>0.36499999999999999</v>
      </c>
      <c r="GM111" s="320">
        <v>5.8999999999999997E-2</v>
      </c>
      <c r="GN111" s="320">
        <v>0.56999999999999995</v>
      </c>
      <c r="GO111" s="662">
        <v>8106</v>
      </c>
      <c r="GP111" s="663" t="str">
        <f>VLOOKUP(GS111,'BD Comarcal'!$A$6:$AV$17,48,FALSE)</f>
        <v>41</v>
      </c>
      <c r="GQ111" s="564">
        <v>90</v>
      </c>
      <c r="GR111" s="256">
        <f t="shared" si="1"/>
        <v>0</v>
      </c>
      <c r="GS111" s="237" t="s">
        <v>24</v>
      </c>
    </row>
    <row r="112" spans="1:201" s="237" customFormat="1" ht="17.25" customHeight="1">
      <c r="A112" s="236" t="s">
        <v>1155</v>
      </c>
      <c r="C112" s="238"/>
      <c r="D112" s="238">
        <v>2198</v>
      </c>
      <c r="E112" s="238">
        <v>783</v>
      </c>
      <c r="F112" s="239">
        <v>0.35623293903548681</v>
      </c>
      <c r="G112" s="238">
        <v>704</v>
      </c>
      <c r="H112" s="240">
        <v>187.94044908461646</v>
      </c>
      <c r="I112" s="239">
        <v>0.24002611632773493</v>
      </c>
      <c r="J112" s="238">
        <v>507</v>
      </c>
      <c r="K112" s="238">
        <v>58</v>
      </c>
      <c r="L112" s="238">
        <v>146</v>
      </c>
      <c r="M112" s="241">
        <v>6.6424021838034572E-2</v>
      </c>
      <c r="N112" s="238">
        <v>5</v>
      </c>
      <c r="O112" s="239">
        <v>9.8619329388560158E-3</v>
      </c>
      <c r="P112" s="237">
        <v>17</v>
      </c>
      <c r="Q112" s="237">
        <v>0</v>
      </c>
      <c r="R112" s="239">
        <v>0</v>
      </c>
      <c r="S112" s="238">
        <v>673</v>
      </c>
      <c r="T112" s="436">
        <v>0</v>
      </c>
      <c r="U112" s="436">
        <v>8</v>
      </c>
      <c r="V112" s="436">
        <v>0</v>
      </c>
      <c r="W112" s="436">
        <v>8</v>
      </c>
      <c r="X112" s="238">
        <v>14759</v>
      </c>
      <c r="Y112" s="237">
        <v>0.1477</v>
      </c>
      <c r="Z112" s="238">
        <v>200924</v>
      </c>
      <c r="AA112" s="238">
        <v>13629</v>
      </c>
      <c r="AB112" s="238">
        <v>83.28</v>
      </c>
      <c r="AC112" s="238">
        <v>6136</v>
      </c>
      <c r="AD112" s="238">
        <v>15050984.629999999</v>
      </c>
      <c r="AE112" s="238">
        <v>1053312.2799999993</v>
      </c>
      <c r="AF112" s="238">
        <v>13399928.4</v>
      </c>
      <c r="AG112" s="238">
        <v>1420455.34</v>
      </c>
      <c r="AH112" s="239">
        <v>0.10600469626389944</v>
      </c>
      <c r="AI112" s="242">
        <v>701.970282</v>
      </c>
      <c r="AJ112" s="242">
        <v>105.259451</v>
      </c>
      <c r="AK112" s="242">
        <v>4.7888740218380343</v>
      </c>
      <c r="AL112" s="242">
        <v>603.16819399999997</v>
      </c>
      <c r="AM112" s="242">
        <v>27.441683075523201</v>
      </c>
      <c r="AN112" s="242">
        <v>40493.97</v>
      </c>
      <c r="AO112" s="238">
        <v>8846.77</v>
      </c>
      <c r="AP112" s="243">
        <v>24</v>
      </c>
      <c r="AQ112" s="238"/>
      <c r="AR112" s="238">
        <v>1340.8731677416247</v>
      </c>
      <c r="AS112" s="238">
        <v>1394.8242502505607</v>
      </c>
      <c r="AT112" s="238">
        <v>840750.33333333337</v>
      </c>
      <c r="AU112" s="238">
        <v>292.0898633333826</v>
      </c>
      <c r="AV112" s="237">
        <v>1</v>
      </c>
      <c r="AW112" s="237">
        <v>0</v>
      </c>
      <c r="AX112" s="237">
        <v>1</v>
      </c>
      <c r="AY112" s="244" t="s">
        <v>673</v>
      </c>
      <c r="AZ112" s="244" t="s">
        <v>673</v>
      </c>
      <c r="BA112" s="237">
        <v>2011</v>
      </c>
      <c r="BB112" s="245" t="s">
        <v>868</v>
      </c>
      <c r="BC112" s="215" t="s">
        <v>869</v>
      </c>
      <c r="BE112" s="237">
        <v>8</v>
      </c>
      <c r="BF112" s="237">
        <v>42</v>
      </c>
      <c r="BG112" s="246" t="s">
        <v>676</v>
      </c>
      <c r="BI112" s="239">
        <v>0.39446706923184943</v>
      </c>
      <c r="BJ112" s="239">
        <v>0.15306838927116978</v>
      </c>
      <c r="BK112" s="239">
        <v>0.41946355848897626</v>
      </c>
      <c r="BL112" s="239">
        <v>3.3000983008004491E-2</v>
      </c>
      <c r="BM112" s="247">
        <v>1.909001544726864</v>
      </c>
      <c r="BN112" s="248">
        <v>0</v>
      </c>
      <c r="BO112" s="248">
        <v>1</v>
      </c>
      <c r="BP112" s="237">
        <v>0</v>
      </c>
      <c r="BQ112" s="237">
        <v>0</v>
      </c>
      <c r="BR112" s="248">
        <v>1</v>
      </c>
      <c r="BS112" s="237">
        <v>5</v>
      </c>
      <c r="BT112" s="237" t="s">
        <v>729</v>
      </c>
      <c r="BU112" s="249">
        <v>1337</v>
      </c>
      <c r="BV112" s="249">
        <v>1191</v>
      </c>
      <c r="BW112" s="249">
        <v>7698</v>
      </c>
      <c r="BX112" s="249">
        <v>1370</v>
      </c>
      <c r="BY112" s="249">
        <v>9.120676717374991</v>
      </c>
      <c r="BZ112" s="249">
        <v>8.124701548536736</v>
      </c>
      <c r="CA112" s="249">
        <v>52.513814039156834</v>
      </c>
      <c r="CB112" s="249">
        <v>9.3457943925233646</v>
      </c>
      <c r="CC112" s="250">
        <v>96.125247288355268</v>
      </c>
      <c r="CD112" s="242">
        <v>-939</v>
      </c>
      <c r="CE112" s="252">
        <v>93.594378879869026</v>
      </c>
      <c r="CF112" s="238">
        <v>6596</v>
      </c>
      <c r="CG112" s="238">
        <v>1157</v>
      </c>
      <c r="CH112" s="238">
        <v>7.892762125656593</v>
      </c>
      <c r="CI112" s="216" t="s">
        <v>700</v>
      </c>
      <c r="CJ112" s="237">
        <v>0</v>
      </c>
      <c r="CK112" s="253">
        <v>710.86</v>
      </c>
      <c r="CL112" s="253">
        <v>121.3051</v>
      </c>
      <c r="CM112" s="254">
        <v>5.5188853503184712E-2</v>
      </c>
      <c r="CN112" s="237" t="s">
        <v>24</v>
      </c>
      <c r="CO112" s="242"/>
      <c r="CP112" s="255">
        <v>0</v>
      </c>
      <c r="CV112" s="237">
        <v>3</v>
      </c>
      <c r="CW112" s="194">
        <v>1.339</v>
      </c>
      <c r="CX112" s="194">
        <v>0.63500000000000001</v>
      </c>
      <c r="CY112" s="194">
        <v>0.22700000000000001</v>
      </c>
      <c r="DB112" s="216" t="s">
        <v>710</v>
      </c>
      <c r="DC112" s="195" t="s">
        <v>711</v>
      </c>
      <c r="DD112" s="256">
        <v>0.7</v>
      </c>
      <c r="DE112" s="256">
        <v>-6.5</v>
      </c>
      <c r="DF112" s="256">
        <v>0.7</v>
      </c>
      <c r="DG112" s="256">
        <v>-2.2000000000000002</v>
      </c>
      <c r="DH112" s="257">
        <v>1</v>
      </c>
      <c r="DI112" s="257">
        <v>0</v>
      </c>
      <c r="DJ112" s="257">
        <v>1.5</v>
      </c>
      <c r="DK112" s="257">
        <v>1.5</v>
      </c>
      <c r="DL112" s="237" t="s">
        <v>529</v>
      </c>
      <c r="DN112" s="237" t="s">
        <v>730</v>
      </c>
      <c r="DP112" s="258" t="s">
        <v>682</v>
      </c>
      <c r="DQ112" s="258"/>
      <c r="DR112" s="258"/>
      <c r="DS112" s="258"/>
      <c r="DT112" s="258"/>
      <c r="DU112" s="237">
        <v>1</v>
      </c>
      <c r="DV112" s="237" t="s">
        <v>1156</v>
      </c>
      <c r="DW112" s="237" t="s">
        <v>779</v>
      </c>
      <c r="DX112" s="247">
        <v>3.14</v>
      </c>
      <c r="DY112" s="247">
        <v>0.14285714285714285</v>
      </c>
      <c r="EA112" s="237">
        <v>0</v>
      </c>
      <c r="ED112" s="237" t="s">
        <v>932</v>
      </c>
      <c r="EE112" s="208">
        <v>1</v>
      </c>
      <c r="EF112" s="237" t="s">
        <v>702</v>
      </c>
      <c r="EG112" s="216" t="s">
        <v>691</v>
      </c>
      <c r="EH112" s="246" t="s">
        <v>690</v>
      </c>
      <c r="EI112" s="216" t="s">
        <v>689</v>
      </c>
      <c r="EJ112" s="216" t="s">
        <v>529</v>
      </c>
      <c r="EK112" s="222" t="s">
        <v>682</v>
      </c>
      <c r="EL112" s="259"/>
      <c r="EM112" s="260">
        <v>10850</v>
      </c>
      <c r="EN112" s="260">
        <v>698302</v>
      </c>
      <c r="EO112" s="260">
        <v>168497</v>
      </c>
      <c r="ER112" s="237" t="s">
        <v>705</v>
      </c>
      <c r="ES112" s="237">
        <v>14659</v>
      </c>
      <c r="ET112" s="237">
        <v>15.529677419354838</v>
      </c>
      <c r="EU112" s="661">
        <v>1</v>
      </c>
      <c r="EV112" s="661">
        <v>2</v>
      </c>
      <c r="EW112" s="661">
        <v>4</v>
      </c>
      <c r="EX112" s="661">
        <v>6</v>
      </c>
      <c r="EY112" s="660">
        <v>0.32341219290263878</v>
      </c>
      <c r="EZ112" s="256">
        <v>20.621500717440846</v>
      </c>
      <c r="FA112" s="247">
        <v>0.38314176245210729</v>
      </c>
      <c r="FB112" s="208">
        <v>3</v>
      </c>
      <c r="FC112" s="208">
        <v>3</v>
      </c>
      <c r="FD112" s="208">
        <v>5</v>
      </c>
      <c r="FE112" s="239">
        <v>0.89910600255427842</v>
      </c>
      <c r="FF112" s="208"/>
      <c r="FG112" s="241">
        <v>1.9157088122605363E-3</v>
      </c>
      <c r="FH112" s="209">
        <v>0</v>
      </c>
      <c r="FI112" s="237" t="s">
        <v>678</v>
      </c>
      <c r="FJ112" s="208">
        <v>34.6</v>
      </c>
      <c r="FK112" s="208">
        <v>0</v>
      </c>
      <c r="FL112" s="217">
        <v>4.2</v>
      </c>
      <c r="FM112" s="208">
        <v>1.41</v>
      </c>
      <c r="FN112" s="208" t="s">
        <v>1157</v>
      </c>
      <c r="FP112" s="247" t="s">
        <v>693</v>
      </c>
      <c r="FU112" s="208">
        <v>31</v>
      </c>
      <c r="FV112" s="208">
        <v>29.2</v>
      </c>
      <c r="FW112" s="237">
        <v>0</v>
      </c>
      <c r="FX112" s="237">
        <v>0.2</v>
      </c>
      <c r="FY112" s="208">
        <v>10.98</v>
      </c>
      <c r="FZ112" s="208">
        <v>20.8</v>
      </c>
      <c r="GA112" s="208">
        <v>29.27</v>
      </c>
      <c r="GB112" s="208">
        <v>20.100000000000001</v>
      </c>
      <c r="GC112" s="208" t="s">
        <v>678</v>
      </c>
      <c r="GD112" s="208" t="s">
        <v>678</v>
      </c>
      <c r="GE112" s="237">
        <v>21.73</v>
      </c>
      <c r="GF112" s="237">
        <v>19.5</v>
      </c>
      <c r="GG112" s="237">
        <v>9.94</v>
      </c>
      <c r="GH112" s="237">
        <v>67.400000000000006</v>
      </c>
      <c r="GJ112" s="947">
        <v>350</v>
      </c>
      <c r="GK112" s="320">
        <v>3.0000000000000001E-3</v>
      </c>
      <c r="GL112" s="320">
        <v>0.45800000000000002</v>
      </c>
      <c r="GM112" s="320">
        <v>4.5999999999999999E-2</v>
      </c>
      <c r="GN112" s="320">
        <v>0.49299999999999999</v>
      </c>
      <c r="GO112" s="662">
        <v>8107</v>
      </c>
      <c r="GP112" s="663" t="str">
        <f>VLOOKUP(GS112,'BD Comarcal'!$A$6:$AV$17,48,FALSE)</f>
        <v>41</v>
      </c>
      <c r="GQ112" s="564">
        <v>76</v>
      </c>
      <c r="GR112" s="256">
        <f t="shared" si="1"/>
        <v>0</v>
      </c>
      <c r="GS112" s="237" t="s">
        <v>24</v>
      </c>
    </row>
    <row r="113" spans="1:201" s="237" customFormat="1" ht="17.25" customHeight="1">
      <c r="A113" s="236" t="s">
        <v>1158</v>
      </c>
      <c r="C113" s="238"/>
      <c r="D113" s="238">
        <v>1066</v>
      </c>
      <c r="E113" s="238">
        <v>262</v>
      </c>
      <c r="F113" s="239">
        <v>0.24577861163227016</v>
      </c>
      <c r="G113" s="238">
        <v>210</v>
      </c>
      <c r="H113" s="240">
        <v>44.616964393944343</v>
      </c>
      <c r="I113" s="239">
        <v>0.1702937572287952</v>
      </c>
      <c r="J113" s="238">
        <v>202</v>
      </c>
      <c r="K113" s="238">
        <v>2</v>
      </c>
      <c r="L113" s="238">
        <v>15</v>
      </c>
      <c r="M113" s="241">
        <v>1.4071294559099437E-2</v>
      </c>
      <c r="N113" s="238">
        <v>0</v>
      </c>
      <c r="O113" s="239">
        <v>0</v>
      </c>
      <c r="P113" s="237">
        <v>11</v>
      </c>
      <c r="Q113" s="237">
        <v>1</v>
      </c>
      <c r="R113" s="239">
        <v>9.0909090909090912E-2</v>
      </c>
      <c r="S113" s="238">
        <v>141</v>
      </c>
      <c r="T113" s="436">
        <v>0</v>
      </c>
      <c r="U113" s="436">
        <v>0</v>
      </c>
      <c r="V113" s="436">
        <v>0</v>
      </c>
      <c r="W113" s="436">
        <v>0</v>
      </c>
      <c r="X113" s="238">
        <v>6370</v>
      </c>
      <c r="Y113" s="237">
        <v>0.15690000000000001</v>
      </c>
      <c r="Z113" s="238">
        <v>97561</v>
      </c>
      <c r="AA113" s="238">
        <v>15285</v>
      </c>
      <c r="AB113" s="238">
        <v>93.39</v>
      </c>
      <c r="AC113" s="238">
        <v>1896</v>
      </c>
      <c r="AD113" s="238">
        <v>10506515.029999999</v>
      </c>
      <c r="AE113" s="238">
        <v>1030119.290000001</v>
      </c>
      <c r="AF113" s="238">
        <v>8912172.629999999</v>
      </c>
      <c r="AG113" s="238">
        <v>551516.11</v>
      </c>
      <c r="AH113" s="239">
        <v>6.18834635387892E-2</v>
      </c>
      <c r="AI113" s="242">
        <v>419.92323399999998</v>
      </c>
      <c r="AJ113" s="242">
        <v>73.449395999999993</v>
      </c>
      <c r="AK113" s="242">
        <v>6.8901872420262658</v>
      </c>
      <c r="AL113" s="242">
        <v>252.65532200000001</v>
      </c>
      <c r="AM113" s="242">
        <v>23.701249718574111</v>
      </c>
      <c r="AN113" s="242">
        <v>43915.62</v>
      </c>
      <c r="AO113" s="238">
        <v>0</v>
      </c>
      <c r="AP113" s="243">
        <v>0</v>
      </c>
      <c r="AQ113" s="238"/>
      <c r="AR113" s="238">
        <v>1426.6807745521528</v>
      </c>
      <c r="AS113" s="238">
        <v>1780.0657299178176</v>
      </c>
      <c r="AT113" s="238">
        <v>553376.66666666663</v>
      </c>
      <c r="AU113" s="238">
        <v>284.9153505688123</v>
      </c>
      <c r="AV113" s="237">
        <v>1</v>
      </c>
      <c r="AW113" s="237">
        <v>0</v>
      </c>
      <c r="AX113" s="237">
        <v>1</v>
      </c>
      <c r="AY113" s="244" t="s">
        <v>717</v>
      </c>
      <c r="AZ113" s="244" t="s">
        <v>682</v>
      </c>
      <c r="BA113" s="237">
        <v>2012</v>
      </c>
      <c r="BB113" s="245" t="s">
        <v>868</v>
      </c>
      <c r="BC113" s="215" t="s">
        <v>869</v>
      </c>
      <c r="BE113" s="237">
        <v>8</v>
      </c>
      <c r="BF113" s="237">
        <v>42</v>
      </c>
      <c r="BG113" s="246" t="s">
        <v>676</v>
      </c>
      <c r="BI113" s="239">
        <v>0.34393939393939393</v>
      </c>
      <c r="BJ113" s="239">
        <v>0.29242424242424242</v>
      </c>
      <c r="BK113" s="239">
        <v>0.3515151515151515</v>
      </c>
      <c r="BL113" s="239">
        <v>1.2121212121212121E-2</v>
      </c>
      <c r="BM113" s="247">
        <v>1.9681818181818183</v>
      </c>
      <c r="BN113" s="248">
        <v>0</v>
      </c>
      <c r="BO113" s="248">
        <v>0</v>
      </c>
      <c r="BP113" s="237">
        <v>0</v>
      </c>
      <c r="BQ113" s="237">
        <v>0</v>
      </c>
      <c r="BR113" s="248">
        <v>0</v>
      </c>
      <c r="BS113" s="237">
        <v>7</v>
      </c>
      <c r="BT113" s="237" t="s">
        <v>729</v>
      </c>
      <c r="BU113" s="249">
        <v>607</v>
      </c>
      <c r="BV113" s="249">
        <v>566</v>
      </c>
      <c r="BW113" s="249">
        <v>3311</v>
      </c>
      <c r="BX113" s="249">
        <v>614</v>
      </c>
      <c r="BY113" s="249">
        <v>9.4460006224712103</v>
      </c>
      <c r="BZ113" s="249">
        <v>8.8079676314970428</v>
      </c>
      <c r="CA113" s="249">
        <v>51.525054466230934</v>
      </c>
      <c r="CB113" s="249">
        <v>9.5549330843448494</v>
      </c>
      <c r="CC113" s="250">
        <v>97.47899159663865</v>
      </c>
      <c r="CD113" s="242">
        <v>150</v>
      </c>
      <c r="CE113" s="252">
        <v>102.3342670401494</v>
      </c>
      <c r="CF113" s="238">
        <v>2699</v>
      </c>
      <c r="CG113" s="238">
        <v>479</v>
      </c>
      <c r="CH113" s="238">
        <v>7.4540927482103951</v>
      </c>
      <c r="CI113" s="216" t="s">
        <v>679</v>
      </c>
      <c r="CJ113" s="237">
        <v>0</v>
      </c>
      <c r="CK113" s="253">
        <v>419.86</v>
      </c>
      <c r="CL113" s="253">
        <v>174.71440000000001</v>
      </c>
      <c r="CM113" s="254">
        <v>0.16389718574108819</v>
      </c>
      <c r="CN113" s="237" t="s">
        <v>24</v>
      </c>
      <c r="CO113" s="242">
        <v>36.19</v>
      </c>
      <c r="CP113" s="255">
        <v>3.394934333958724E-2</v>
      </c>
      <c r="CV113" s="237">
        <v>1</v>
      </c>
      <c r="CW113" s="194">
        <v>0.76200000000000001</v>
      </c>
      <c r="CX113" s="194">
        <v>0.63500000000000001</v>
      </c>
      <c r="CY113" s="194">
        <v>6.4000000000000001E-2</v>
      </c>
      <c r="DB113" s="216" t="s">
        <v>681</v>
      </c>
      <c r="DC113" s="256"/>
      <c r="DD113" s="256">
        <v>0.7</v>
      </c>
      <c r="DE113" s="256">
        <v>-6.5</v>
      </c>
      <c r="DF113" s="256">
        <v>0.7</v>
      </c>
      <c r="DG113" s="256">
        <v>-2.2000000000000002</v>
      </c>
      <c r="DL113" s="237" t="s">
        <v>529</v>
      </c>
      <c r="DN113" s="237" t="s">
        <v>730</v>
      </c>
      <c r="DP113" s="258" t="s">
        <v>682</v>
      </c>
      <c r="DQ113" s="258"/>
      <c r="DR113" s="258"/>
      <c r="DS113" s="258"/>
      <c r="DT113" s="258"/>
      <c r="DU113" s="237">
        <v>0</v>
      </c>
      <c r="DX113" s="247"/>
      <c r="DY113" s="247">
        <v>0</v>
      </c>
      <c r="EA113" s="237">
        <v>0</v>
      </c>
      <c r="ED113" s="237" t="s">
        <v>678</v>
      </c>
      <c r="EE113" s="208">
        <v>3</v>
      </c>
      <c r="EF113" s="237" t="s">
        <v>678</v>
      </c>
      <c r="EG113" s="216" t="s">
        <v>715</v>
      </c>
      <c r="EH113" s="246" t="s">
        <v>690</v>
      </c>
      <c r="EI113" s="216"/>
      <c r="EJ113" s="216" t="s">
        <v>529</v>
      </c>
      <c r="EK113" s="222" t="s">
        <v>682</v>
      </c>
      <c r="EL113" s="259">
        <v>1983</v>
      </c>
      <c r="EM113" s="260">
        <v>20480</v>
      </c>
      <c r="EN113" s="260">
        <v>293247</v>
      </c>
      <c r="EO113" s="260">
        <v>294167</v>
      </c>
      <c r="ER113" s="237" t="s">
        <v>705</v>
      </c>
      <c r="ES113" s="237" t="e">
        <v>#DIV/0!</v>
      </c>
      <c r="ET113" s="237">
        <v>14.363623046875</v>
      </c>
      <c r="EU113" s="661">
        <v>3</v>
      </c>
      <c r="EV113" s="661">
        <v>2</v>
      </c>
      <c r="EW113" s="661">
        <v>4</v>
      </c>
      <c r="EX113" s="661">
        <v>6</v>
      </c>
      <c r="EY113" s="660">
        <v>0.39386491557223263</v>
      </c>
      <c r="EZ113" s="256">
        <v>15.305101700566855</v>
      </c>
      <c r="FA113" s="247">
        <v>0.38167938931297712</v>
      </c>
      <c r="FB113" s="208">
        <v>4</v>
      </c>
      <c r="FC113" s="208">
        <v>4</v>
      </c>
      <c r="FD113" s="208">
        <v>9</v>
      </c>
      <c r="FE113" s="239">
        <v>0.80152671755725191</v>
      </c>
      <c r="FF113" s="208"/>
      <c r="FG113" s="241">
        <v>0</v>
      </c>
      <c r="FH113" s="209">
        <v>0</v>
      </c>
      <c r="FI113" s="237" t="s">
        <v>678</v>
      </c>
      <c r="FJ113" s="208">
        <v>32.200000000000003</v>
      </c>
      <c r="FK113" s="208">
        <v>0</v>
      </c>
      <c r="FL113" s="217">
        <v>4.3</v>
      </c>
      <c r="FM113" s="208">
        <v>1.27</v>
      </c>
      <c r="FN113" s="208" t="s">
        <v>1159</v>
      </c>
      <c r="FP113" s="247" t="s">
        <v>693</v>
      </c>
      <c r="FU113" s="208">
        <v>29</v>
      </c>
      <c r="FV113" s="208">
        <v>24.1</v>
      </c>
      <c r="FW113" s="237">
        <v>0</v>
      </c>
      <c r="FX113" s="237">
        <v>0.3</v>
      </c>
      <c r="FY113" s="208">
        <v>5.93</v>
      </c>
      <c r="FZ113" s="208">
        <v>10.8</v>
      </c>
      <c r="GA113" s="208">
        <v>18.38</v>
      </c>
      <c r="GB113" s="208">
        <v>5.9</v>
      </c>
      <c r="GC113" s="208">
        <v>-0.31</v>
      </c>
      <c r="GD113" s="208">
        <v>2.6</v>
      </c>
      <c r="GE113" s="237">
        <v>11.2</v>
      </c>
      <c r="GF113" s="237">
        <v>3.7</v>
      </c>
      <c r="GG113" s="237">
        <v>5.72</v>
      </c>
      <c r="GH113" s="237">
        <v>48.8</v>
      </c>
      <c r="GJ113" s="947">
        <v>397</v>
      </c>
      <c r="GK113" s="320">
        <v>0</v>
      </c>
      <c r="GL113" s="320">
        <v>0.58699999999999997</v>
      </c>
      <c r="GM113" s="320">
        <v>3.5999999999999997E-2</v>
      </c>
      <c r="GN113" s="320">
        <v>0.376</v>
      </c>
      <c r="GO113" s="662">
        <v>8108</v>
      </c>
      <c r="GP113" s="663" t="str">
        <f>VLOOKUP(GS113,'BD Comarcal'!$A$6:$AV$17,48,FALSE)</f>
        <v>41</v>
      </c>
      <c r="GQ113" s="564">
        <v>36</v>
      </c>
      <c r="GR113" s="256">
        <f t="shared" si="1"/>
        <v>0</v>
      </c>
      <c r="GS113" s="237" t="s">
        <v>24</v>
      </c>
    </row>
    <row r="114" spans="1:201" s="237" customFormat="1" ht="17.25" customHeight="1">
      <c r="A114" s="236" t="s">
        <v>1160</v>
      </c>
      <c r="C114" s="238"/>
      <c r="D114" s="238">
        <v>5354</v>
      </c>
      <c r="E114" s="238">
        <v>3972</v>
      </c>
      <c r="F114" s="239">
        <v>0.7418752334703026</v>
      </c>
      <c r="G114" s="238">
        <v>3711</v>
      </c>
      <c r="H114" s="240">
        <v>3332.6911130820022</v>
      </c>
      <c r="I114" s="239">
        <v>0.83904610097734189</v>
      </c>
      <c r="J114" s="238">
        <v>772</v>
      </c>
      <c r="K114" s="238">
        <v>932</v>
      </c>
      <c r="L114" s="238">
        <v>0</v>
      </c>
      <c r="M114" s="241">
        <v>0</v>
      </c>
      <c r="N114" s="238">
        <v>0</v>
      </c>
      <c r="O114" s="239">
        <v>0</v>
      </c>
      <c r="P114" s="237">
        <v>26</v>
      </c>
      <c r="Q114" s="237">
        <v>0</v>
      </c>
      <c r="R114" s="239">
        <v>0</v>
      </c>
      <c r="S114" s="238">
        <v>3679</v>
      </c>
      <c r="T114" s="436">
        <v>0</v>
      </c>
      <c r="U114" s="436">
        <v>51</v>
      </c>
      <c r="V114" s="436">
        <v>8</v>
      </c>
      <c r="W114" s="436">
        <v>59</v>
      </c>
      <c r="X114" s="238">
        <v>280</v>
      </c>
      <c r="Y114" s="237">
        <v>0.17899999999999999</v>
      </c>
      <c r="Z114" s="238">
        <v>4945</v>
      </c>
      <c r="AA114" s="238">
        <v>17662</v>
      </c>
      <c r="AB114" s="238">
        <v>107.92</v>
      </c>
      <c r="AC114" s="238">
        <v>0</v>
      </c>
      <c r="AD114" s="238">
        <v>506336.88</v>
      </c>
      <c r="AE114" s="238">
        <v>-29736.02999999997</v>
      </c>
      <c r="AF114" s="238">
        <v>406153.13</v>
      </c>
      <c r="AG114" s="238">
        <v>58378.43</v>
      </c>
      <c r="AH114" s="239">
        <v>0.14373502427520379</v>
      </c>
      <c r="AI114" s="242">
        <v>9.8221600000000002</v>
      </c>
      <c r="AJ114" s="242">
        <v>1.0097769999999999</v>
      </c>
      <c r="AK114" s="242">
        <v>1.8860235338064999E-2</v>
      </c>
      <c r="AL114" s="242" t="s">
        <v>678</v>
      </c>
      <c r="AM114" s="242" t="s">
        <v>678</v>
      </c>
      <c r="AN114" s="242">
        <v>20482.330000000002</v>
      </c>
      <c r="AO114" s="238">
        <v>4200.93</v>
      </c>
      <c r="AP114" s="243">
        <v>21</v>
      </c>
      <c r="AQ114" s="238"/>
      <c r="AR114" s="238">
        <v>1225.3604085603113</v>
      </c>
      <c r="AS114" s="238">
        <v>1143.4121069488899</v>
      </c>
      <c r="AT114" s="238">
        <v>19728</v>
      </c>
      <c r="AU114" s="238">
        <v>219.76403233669572</v>
      </c>
      <c r="AV114" s="237">
        <v>1</v>
      </c>
      <c r="AW114" s="237">
        <v>1</v>
      </c>
      <c r="AX114" s="237">
        <v>1</v>
      </c>
      <c r="AY114" s="244" t="s">
        <v>726</v>
      </c>
      <c r="AZ114" s="244" t="s">
        <v>695</v>
      </c>
      <c r="BA114" s="237">
        <v>2016</v>
      </c>
      <c r="BB114" s="245" t="s">
        <v>718</v>
      </c>
      <c r="BC114" s="215" t="s">
        <v>719</v>
      </c>
      <c r="BE114" s="237">
        <v>0</v>
      </c>
      <c r="BF114" s="237">
        <v>10</v>
      </c>
      <c r="BG114" s="246" t="s">
        <v>720</v>
      </c>
      <c r="BI114" s="239">
        <v>0.69432314410480345</v>
      </c>
      <c r="BJ114" s="239">
        <v>0.11790393013100436</v>
      </c>
      <c r="BK114" s="239">
        <v>0.1703056768558952</v>
      </c>
      <c r="BL114" s="239">
        <v>1.7467248908296942E-2</v>
      </c>
      <c r="BM114" s="247">
        <v>2.4890829694323142</v>
      </c>
      <c r="BN114" s="248">
        <v>0</v>
      </c>
      <c r="BO114" s="248">
        <v>0</v>
      </c>
      <c r="BP114" s="237">
        <v>0</v>
      </c>
      <c r="BQ114" s="237">
        <v>0</v>
      </c>
      <c r="BR114" s="248">
        <v>0</v>
      </c>
      <c r="BS114" s="262">
        <v>32</v>
      </c>
      <c r="BT114" s="237" t="s">
        <v>815</v>
      </c>
      <c r="BU114" s="249" t="s">
        <v>678</v>
      </c>
      <c r="BV114" s="249" t="s">
        <v>678</v>
      </c>
      <c r="BW114" s="249" t="s">
        <v>678</v>
      </c>
      <c r="BX114" s="249" t="s">
        <v>678</v>
      </c>
      <c r="BY114" s="249" t="s">
        <v>678</v>
      </c>
      <c r="BZ114" s="249" t="s">
        <v>678</v>
      </c>
      <c r="CA114" s="249" t="s">
        <v>678</v>
      </c>
      <c r="CB114" s="249" t="s">
        <v>678</v>
      </c>
      <c r="CC114" s="250" t="s">
        <v>678</v>
      </c>
      <c r="CD114" s="242" t="s">
        <v>678</v>
      </c>
      <c r="CE114" s="252" t="s">
        <v>678</v>
      </c>
      <c r="CF114" s="238">
        <v>239</v>
      </c>
      <c r="CG114" s="238">
        <v>12</v>
      </c>
      <c r="CH114" s="238">
        <v>4.9586776859504136</v>
      </c>
      <c r="CI114" s="216" t="s">
        <v>722</v>
      </c>
      <c r="CJ114" s="237">
        <v>1</v>
      </c>
      <c r="CK114" s="253">
        <v>8.5399999999999991</v>
      </c>
      <c r="CL114" s="253">
        <v>0</v>
      </c>
      <c r="CM114" s="254">
        <v>0</v>
      </c>
      <c r="CN114" s="237" t="s">
        <v>88</v>
      </c>
      <c r="CO114" s="242">
        <v>14.28</v>
      </c>
      <c r="CP114" s="255">
        <v>2.6671647366454986E-3</v>
      </c>
      <c r="CV114" s="237">
        <v>1</v>
      </c>
      <c r="CW114" s="261" t="s">
        <v>678</v>
      </c>
      <c r="CX114" s="261" t="s">
        <v>678</v>
      </c>
      <c r="CY114" s="261" t="s">
        <v>678</v>
      </c>
      <c r="DB114" s="216" t="s">
        <v>681</v>
      </c>
      <c r="DC114" s="256"/>
      <c r="DD114" s="256">
        <v>0.8</v>
      </c>
      <c r="DE114" s="256">
        <v>-9</v>
      </c>
      <c r="DF114" s="256">
        <v>-0.3</v>
      </c>
      <c r="DG114" s="256">
        <v>-2.6</v>
      </c>
      <c r="DH114" s="257">
        <v>1</v>
      </c>
      <c r="DI114" s="257">
        <v>1.5</v>
      </c>
      <c r="DJ114" s="257">
        <v>0</v>
      </c>
      <c r="DK114" s="257">
        <v>1.5</v>
      </c>
      <c r="DL114" s="237" t="s">
        <v>529</v>
      </c>
      <c r="DN114" s="237" t="s">
        <v>770</v>
      </c>
      <c r="DO114" s="237">
        <v>1</v>
      </c>
      <c r="DP114" s="258" t="s">
        <v>683</v>
      </c>
      <c r="DQ114" s="258" t="s">
        <v>1161</v>
      </c>
      <c r="DR114" s="258" t="s">
        <v>1162</v>
      </c>
      <c r="DS114" s="258"/>
      <c r="DT114" s="258"/>
      <c r="DU114" s="237">
        <v>1</v>
      </c>
      <c r="DV114" s="237" t="s">
        <v>1163</v>
      </c>
      <c r="DX114" s="247">
        <v>2.79</v>
      </c>
      <c r="DY114" s="247">
        <v>5.2110571535300708E-2</v>
      </c>
      <c r="EA114" s="237">
        <v>0</v>
      </c>
      <c r="ED114" s="237" t="s">
        <v>723</v>
      </c>
      <c r="EE114" s="208">
        <v>2</v>
      </c>
      <c r="EF114" s="237" t="s">
        <v>702</v>
      </c>
      <c r="EG114" s="216" t="s">
        <v>703</v>
      </c>
      <c r="EH114" s="246" t="s">
        <v>704</v>
      </c>
      <c r="EI114" s="216"/>
      <c r="EJ114" s="216" t="s">
        <v>529</v>
      </c>
      <c r="EK114" s="222" t="s">
        <v>682</v>
      </c>
      <c r="EL114" s="259">
        <v>2001</v>
      </c>
      <c r="EM114" s="260">
        <v>500</v>
      </c>
      <c r="EN114" s="260">
        <v>9404</v>
      </c>
      <c r="EO114" s="260">
        <v>11424</v>
      </c>
      <c r="EP114" s="237">
        <v>1</v>
      </c>
      <c r="EQ114" s="237">
        <v>52</v>
      </c>
      <c r="ER114" s="237" t="s">
        <v>705</v>
      </c>
      <c r="ES114" s="237" t="e">
        <v>#DIV/0!</v>
      </c>
      <c r="ET114" s="237">
        <v>22.847999999999999</v>
      </c>
      <c r="EU114" s="661">
        <v>8</v>
      </c>
      <c r="EV114" s="661" t="s">
        <v>678</v>
      </c>
      <c r="EW114" s="661">
        <v>0</v>
      </c>
      <c r="EX114" s="661">
        <v>1</v>
      </c>
      <c r="EY114" s="660">
        <v>1.5950691072095628E-3</v>
      </c>
      <c r="EZ114" s="256">
        <v>28.337236533957849</v>
      </c>
      <c r="FA114" s="247">
        <v>2.5176233635448138E-2</v>
      </c>
      <c r="FB114" s="208">
        <v>2</v>
      </c>
      <c r="FC114" s="208">
        <v>3</v>
      </c>
      <c r="FD114" s="208">
        <v>3</v>
      </c>
      <c r="FE114" s="239">
        <v>0.93429003021148038</v>
      </c>
      <c r="FF114" s="208">
        <v>1</v>
      </c>
      <c r="FG114" s="241">
        <v>3.7764350453172205E-4</v>
      </c>
      <c r="FH114" s="209">
        <v>0</v>
      </c>
      <c r="FI114" s="237" t="s">
        <v>678</v>
      </c>
      <c r="FJ114" s="208">
        <v>63.1</v>
      </c>
      <c r="FK114" s="208">
        <v>0.1</v>
      </c>
      <c r="FL114" s="217">
        <v>21.5</v>
      </c>
      <c r="FM114" s="208">
        <v>12.02</v>
      </c>
      <c r="FN114" s="208" t="s">
        <v>1164</v>
      </c>
      <c r="FP114" s="247" t="s">
        <v>693</v>
      </c>
      <c r="FR114" s="237">
        <v>8</v>
      </c>
      <c r="FS114" s="237">
        <v>7</v>
      </c>
      <c r="FT114" s="237">
        <v>6</v>
      </c>
      <c r="FU114" s="208">
        <v>49</v>
      </c>
      <c r="FV114" s="208">
        <v>73.400000000000006</v>
      </c>
      <c r="FW114" s="237">
        <v>82.51</v>
      </c>
      <c r="FX114" s="237">
        <v>69.8</v>
      </c>
      <c r="FY114" s="208">
        <v>65.27</v>
      </c>
      <c r="FZ114" s="208">
        <v>72</v>
      </c>
      <c r="GA114" s="208">
        <v>69.3</v>
      </c>
      <c r="GB114" s="208">
        <v>78.599999999999994</v>
      </c>
      <c r="GC114" s="208">
        <v>0.35</v>
      </c>
      <c r="GD114" s="208">
        <v>53.3</v>
      </c>
      <c r="GE114" s="237">
        <v>65.66</v>
      </c>
      <c r="GF114" s="237">
        <v>82.9</v>
      </c>
      <c r="GG114" s="237">
        <v>14.55</v>
      </c>
      <c r="GH114" s="237">
        <v>84.5</v>
      </c>
      <c r="GJ114" s="947"/>
      <c r="GO114" s="662">
        <v>8109</v>
      </c>
      <c r="GP114" s="663" t="str">
        <f>VLOOKUP(GS114,'BD Comarcal'!$A$6:$AV$17,48,FALSE)</f>
        <v>24</v>
      </c>
      <c r="GQ114" s="564">
        <v>0</v>
      </c>
      <c r="GR114" s="256">
        <f t="shared" si="1"/>
        <v>1</v>
      </c>
      <c r="GS114" s="237" t="s">
        <v>88</v>
      </c>
    </row>
    <row r="115" spans="1:201" s="237" customFormat="1" ht="17.25" customHeight="1">
      <c r="A115" s="236" t="s">
        <v>343</v>
      </c>
      <c r="C115" s="238" t="s">
        <v>683</v>
      </c>
      <c r="D115" s="238">
        <v>905</v>
      </c>
      <c r="E115" s="238">
        <v>393</v>
      </c>
      <c r="F115" s="239">
        <v>0.43425414364640885</v>
      </c>
      <c r="G115" s="238">
        <v>149</v>
      </c>
      <c r="H115" s="240">
        <v>1.9958467114968768</v>
      </c>
      <c r="I115" s="239">
        <v>5.0784903600429431E-3</v>
      </c>
      <c r="J115" s="238">
        <v>194</v>
      </c>
      <c r="K115" s="238">
        <v>70</v>
      </c>
      <c r="L115" s="238">
        <v>171</v>
      </c>
      <c r="M115" s="241">
        <v>0.18895027624309393</v>
      </c>
      <c r="N115" s="238">
        <v>1</v>
      </c>
      <c r="O115" s="239">
        <v>5.1546391752577319E-3</v>
      </c>
      <c r="P115" s="237">
        <v>5</v>
      </c>
      <c r="Q115" s="237">
        <v>0</v>
      </c>
      <c r="R115" s="239">
        <v>0</v>
      </c>
      <c r="S115" s="238">
        <v>73</v>
      </c>
      <c r="T115" s="436">
        <v>4416</v>
      </c>
      <c r="U115" s="436">
        <v>0</v>
      </c>
      <c r="V115" s="436">
        <v>5996</v>
      </c>
      <c r="W115" s="436">
        <v>10412</v>
      </c>
      <c r="X115" s="238">
        <v>18295</v>
      </c>
      <c r="Y115" s="237">
        <v>0.18609999999999999</v>
      </c>
      <c r="Z115" s="238">
        <v>246068</v>
      </c>
      <c r="AA115" s="238">
        <v>13394</v>
      </c>
      <c r="AB115" s="238">
        <v>81.84</v>
      </c>
      <c r="AC115" s="238">
        <v>4454</v>
      </c>
      <c r="AD115" s="238">
        <v>20722747.190000001</v>
      </c>
      <c r="AE115" s="238">
        <v>2503358.9900000021</v>
      </c>
      <c r="AF115" s="238">
        <v>17432254.489999998</v>
      </c>
      <c r="AG115" s="238">
        <v>2091515.72</v>
      </c>
      <c r="AH115" s="239">
        <v>0.11997964584556729</v>
      </c>
      <c r="AI115" s="242">
        <v>231.76829699999999</v>
      </c>
      <c r="AJ115" s="242">
        <v>41.359082000000001</v>
      </c>
      <c r="AK115" s="242">
        <v>4.570064309392265</v>
      </c>
      <c r="AL115" s="242">
        <v>2.2265100000000002</v>
      </c>
      <c r="AM115" s="242">
        <v>0.24602320441988951</v>
      </c>
      <c r="AN115" s="242">
        <v>26755.17</v>
      </c>
      <c r="AO115" s="238">
        <v>0</v>
      </c>
      <c r="AP115" s="243">
        <v>0</v>
      </c>
      <c r="AQ115" s="238"/>
      <c r="AR115" s="238">
        <v>1201.4308922172884</v>
      </c>
      <c r="AS115" s="238">
        <v>1947.6977736635092</v>
      </c>
      <c r="AT115" s="238">
        <v>1709965.6666666667</v>
      </c>
      <c r="AU115" s="238">
        <v>238.89917032555923</v>
      </c>
      <c r="AV115" s="237">
        <v>1</v>
      </c>
      <c r="AW115" s="237">
        <v>0</v>
      </c>
      <c r="AX115" s="237">
        <v>1</v>
      </c>
      <c r="AY115" s="244" t="s">
        <v>717</v>
      </c>
      <c r="AZ115" s="244" t="s">
        <v>682</v>
      </c>
      <c r="BA115" s="237">
        <v>2010</v>
      </c>
      <c r="BB115" s="245" t="s">
        <v>877</v>
      </c>
      <c r="BC115" s="215" t="s">
        <v>878</v>
      </c>
      <c r="BD115" s="237">
        <v>1</v>
      </c>
      <c r="BE115" s="237">
        <v>62</v>
      </c>
      <c r="BF115" s="237">
        <v>0</v>
      </c>
      <c r="BG115" s="246" t="s">
        <v>676</v>
      </c>
      <c r="BI115" s="239">
        <v>0.31707156494831784</v>
      </c>
      <c r="BJ115" s="239">
        <v>0.14345908223056159</v>
      </c>
      <c r="BK115" s="239">
        <v>0.5096451379287642</v>
      </c>
      <c r="BL115" s="239">
        <v>2.9824214892356312E-2</v>
      </c>
      <c r="BM115" s="247">
        <v>1.7477779972348411</v>
      </c>
      <c r="BN115" s="248">
        <v>0</v>
      </c>
      <c r="BO115" s="248">
        <v>0</v>
      </c>
      <c r="BP115" s="237">
        <v>0</v>
      </c>
      <c r="BQ115" s="237">
        <v>0</v>
      </c>
      <c r="BR115" s="248">
        <v>0</v>
      </c>
      <c r="BS115" s="237">
        <v>5</v>
      </c>
      <c r="BT115" s="237" t="s">
        <v>1074</v>
      </c>
      <c r="BU115" s="249">
        <v>1642</v>
      </c>
      <c r="BV115" s="249">
        <v>2319</v>
      </c>
      <c r="BW115" s="249">
        <v>9259</v>
      </c>
      <c r="BX115" s="249">
        <v>1956</v>
      </c>
      <c r="BY115" s="249">
        <v>8.909870313093494</v>
      </c>
      <c r="BZ115" s="249">
        <v>12.583428292365294</v>
      </c>
      <c r="CA115" s="249">
        <v>50.24146725269955</v>
      </c>
      <c r="CB115" s="249">
        <v>10.613706657984698</v>
      </c>
      <c r="CC115" s="250">
        <v>102.13793477671062</v>
      </c>
      <c r="CD115" s="242">
        <v>3248</v>
      </c>
      <c r="CE115" s="252">
        <v>117.62439633186825</v>
      </c>
      <c r="CF115" s="238">
        <v>10184</v>
      </c>
      <c r="CG115" s="238">
        <v>1576.3</v>
      </c>
      <c r="CH115" s="238">
        <v>8.553366975961799</v>
      </c>
      <c r="CI115" s="216" t="s">
        <v>700</v>
      </c>
      <c r="CJ115" s="237">
        <v>0</v>
      </c>
      <c r="CK115" s="253">
        <v>235.28</v>
      </c>
      <c r="CL115" s="253">
        <v>58.156100000000002</v>
      </c>
      <c r="CM115" s="254">
        <v>6.4260883977900557E-2</v>
      </c>
      <c r="CN115" s="237" t="s">
        <v>86</v>
      </c>
      <c r="CO115" s="242"/>
      <c r="CP115" s="255">
        <v>0</v>
      </c>
      <c r="CV115" s="237">
        <v>13</v>
      </c>
      <c r="CW115" s="194">
        <v>1.4870000000000001</v>
      </c>
      <c r="CX115" s="194">
        <v>0.63500000000000001</v>
      </c>
      <c r="CY115" s="194">
        <v>4.9000000000000002E-2</v>
      </c>
      <c r="DB115" s="216"/>
      <c r="DC115" s="195" t="s">
        <v>1165</v>
      </c>
      <c r="DD115" s="256">
        <v>0.7</v>
      </c>
      <c r="DE115" s="256">
        <v>-6.5</v>
      </c>
      <c r="DF115" s="256">
        <v>0.7</v>
      </c>
      <c r="DG115" s="256">
        <v>-2.2000000000000002</v>
      </c>
      <c r="DL115" s="237" t="s">
        <v>529</v>
      </c>
      <c r="DM115" s="270" t="s">
        <v>1166</v>
      </c>
      <c r="DN115" s="237" t="s">
        <v>713</v>
      </c>
      <c r="DP115" s="258" t="s">
        <v>682</v>
      </c>
      <c r="DQ115" s="258"/>
      <c r="DR115" s="258"/>
      <c r="DS115" s="258"/>
      <c r="DT115" s="258"/>
      <c r="DU115" s="237">
        <v>0.5</v>
      </c>
      <c r="DV115" s="237" t="s">
        <v>1167</v>
      </c>
      <c r="DW115" s="237" t="s">
        <v>1168</v>
      </c>
      <c r="DX115" s="247">
        <v>6.97</v>
      </c>
      <c r="DY115" s="247">
        <v>0.77016574585635356</v>
      </c>
      <c r="DZ115" s="237" t="s">
        <v>1169</v>
      </c>
      <c r="EA115" s="237">
        <v>2</v>
      </c>
      <c r="EB115" s="237" t="s">
        <v>1170</v>
      </c>
      <c r="ED115" s="237" t="s">
        <v>678</v>
      </c>
      <c r="EE115" s="208">
        <v>1</v>
      </c>
      <c r="EF115" s="237" t="s">
        <v>678</v>
      </c>
      <c r="EG115" s="216" t="s">
        <v>689</v>
      </c>
      <c r="EH115" s="246" t="s">
        <v>690</v>
      </c>
      <c r="EI115" s="216"/>
      <c r="EJ115" s="216" t="s">
        <v>529</v>
      </c>
      <c r="EK115" s="222" t="s">
        <v>529</v>
      </c>
      <c r="EL115" s="259">
        <v>2005</v>
      </c>
      <c r="EM115" s="260">
        <v>6500</v>
      </c>
      <c r="EN115" s="260">
        <v>680555</v>
      </c>
      <c r="EO115" s="260">
        <v>984877</v>
      </c>
      <c r="ER115" s="237" t="s">
        <v>705</v>
      </c>
      <c r="ES115" s="237" t="e">
        <v>#DIV/0!</v>
      </c>
      <c r="ET115" s="237">
        <v>151.51953846153847</v>
      </c>
      <c r="EU115" s="661">
        <v>1</v>
      </c>
      <c r="EV115" s="661">
        <v>4</v>
      </c>
      <c r="EW115" s="661">
        <v>7</v>
      </c>
      <c r="EX115" s="661">
        <v>4</v>
      </c>
      <c r="EY115" s="660">
        <v>0.25997790055248621</v>
      </c>
      <c r="EZ115" s="256">
        <v>78.327949676980623</v>
      </c>
      <c r="FA115" s="247">
        <v>3.3078880407124682</v>
      </c>
      <c r="FB115" s="208">
        <v>4</v>
      </c>
      <c r="FC115" s="208">
        <v>2</v>
      </c>
      <c r="FD115" s="208">
        <v>6</v>
      </c>
      <c r="FE115" s="239">
        <v>0.37913486005089059</v>
      </c>
      <c r="FF115" s="208"/>
      <c r="FG115" s="241">
        <v>0</v>
      </c>
      <c r="FH115" s="209">
        <v>0</v>
      </c>
      <c r="FI115" s="237" t="s">
        <v>678</v>
      </c>
      <c r="FJ115" s="208" t="s">
        <v>678</v>
      </c>
      <c r="FK115" s="208" t="s">
        <v>678</v>
      </c>
      <c r="FL115" s="217" t="s">
        <v>678</v>
      </c>
      <c r="FM115" s="208" t="s">
        <v>678</v>
      </c>
      <c r="FN115" s="208" t="s">
        <v>678</v>
      </c>
      <c r="FO115" s="238">
        <v>4538</v>
      </c>
      <c r="FP115" s="247">
        <v>5.0143646408839775</v>
      </c>
      <c r="FU115" s="208" t="s">
        <v>678</v>
      </c>
      <c r="FV115" s="208" t="s">
        <v>678</v>
      </c>
      <c r="FW115" s="208" t="s">
        <v>678</v>
      </c>
      <c r="FX115" s="208" t="s">
        <v>678</v>
      </c>
      <c r="FY115" s="208" t="s">
        <v>678</v>
      </c>
      <c r="FZ115" s="208" t="s">
        <v>678</v>
      </c>
      <c r="GA115" s="208" t="s">
        <v>678</v>
      </c>
      <c r="GB115" s="208" t="s">
        <v>678</v>
      </c>
      <c r="GC115" s="208" t="s">
        <v>678</v>
      </c>
      <c r="GD115" s="208" t="s">
        <v>678</v>
      </c>
      <c r="GE115" s="237" t="s">
        <v>678</v>
      </c>
      <c r="GF115" s="237" t="s">
        <v>678</v>
      </c>
      <c r="GG115" s="237" t="s">
        <v>678</v>
      </c>
      <c r="GH115" s="237" t="s">
        <v>678</v>
      </c>
      <c r="GJ115" s="947">
        <v>340</v>
      </c>
      <c r="GK115" s="320">
        <v>0.01</v>
      </c>
      <c r="GL115" s="320">
        <v>0.29799999999999999</v>
      </c>
      <c r="GM115" s="320">
        <v>6.3E-2</v>
      </c>
      <c r="GN115" s="320">
        <v>0.629</v>
      </c>
      <c r="GO115" s="662">
        <v>8110</v>
      </c>
      <c r="GP115" s="663" t="str">
        <f>VLOOKUP(GS115,'BD Comarcal'!$A$6:$AV$17,48,FALSE)</f>
        <v>21</v>
      </c>
      <c r="GQ115" s="564">
        <v>168</v>
      </c>
      <c r="GR115" s="256">
        <f t="shared" si="1"/>
        <v>0</v>
      </c>
      <c r="GS115" s="237" t="s">
        <v>86</v>
      </c>
    </row>
    <row r="116" spans="1:201" s="237" customFormat="1" ht="17.25" customHeight="1">
      <c r="A116" s="236" t="s">
        <v>1171</v>
      </c>
      <c r="C116" s="238"/>
      <c r="D116" s="238">
        <v>1103</v>
      </c>
      <c r="E116" s="238">
        <v>174</v>
      </c>
      <c r="F116" s="239">
        <v>0.15775158658204896</v>
      </c>
      <c r="G116" s="238">
        <v>158</v>
      </c>
      <c r="H116" s="240">
        <v>2.391099053845954</v>
      </c>
      <c r="I116" s="239">
        <v>1.3741948585321575E-2</v>
      </c>
      <c r="J116" s="238">
        <v>767</v>
      </c>
      <c r="K116" s="238">
        <v>11</v>
      </c>
      <c r="L116" s="238">
        <v>26</v>
      </c>
      <c r="M116" s="241">
        <v>2.357207615593835E-2</v>
      </c>
      <c r="N116" s="238">
        <v>0</v>
      </c>
      <c r="O116" s="239">
        <v>0</v>
      </c>
      <c r="P116" s="237">
        <v>24</v>
      </c>
      <c r="Q116" s="237">
        <v>0</v>
      </c>
      <c r="R116" s="239">
        <v>0</v>
      </c>
      <c r="S116" s="238">
        <v>5660</v>
      </c>
      <c r="T116" s="436">
        <v>0</v>
      </c>
      <c r="U116" s="436">
        <v>13</v>
      </c>
      <c r="V116" s="436">
        <v>0</v>
      </c>
      <c r="W116" s="436">
        <v>13</v>
      </c>
      <c r="X116" s="238">
        <v>267</v>
      </c>
      <c r="Y116" s="237">
        <v>0.21429999999999999</v>
      </c>
      <c r="Z116" s="238">
        <v>4627</v>
      </c>
      <c r="AA116" s="238">
        <v>17662</v>
      </c>
      <c r="AB116" s="238">
        <v>107.92</v>
      </c>
      <c r="AC116" s="238">
        <v>0</v>
      </c>
      <c r="AD116" s="238">
        <v>772486.14999999991</v>
      </c>
      <c r="AE116" s="238">
        <v>166357.18000000005</v>
      </c>
      <c r="AF116" s="238">
        <v>332499.02</v>
      </c>
      <c r="AG116" s="238">
        <v>9069.15</v>
      </c>
      <c r="AH116" s="239">
        <v>2.7275719489338643E-2</v>
      </c>
      <c r="AI116" s="269" t="s">
        <v>678</v>
      </c>
      <c r="AJ116" s="242">
        <v>2.2281770000000001</v>
      </c>
      <c r="AK116" s="242">
        <v>0.20201060743427018</v>
      </c>
      <c r="AL116" s="242" t="s">
        <v>678</v>
      </c>
      <c r="AM116" s="242" t="s">
        <v>678</v>
      </c>
      <c r="AN116" s="242">
        <v>11053.75</v>
      </c>
      <c r="AO116" s="238">
        <v>667</v>
      </c>
      <c r="AP116" s="243">
        <v>1</v>
      </c>
      <c r="AQ116" s="238"/>
      <c r="AR116" s="238">
        <v>3465.5294369597545</v>
      </c>
      <c r="AS116" s="238">
        <v>1161.233416142429</v>
      </c>
      <c r="AT116" s="238">
        <v>35557.666666666664</v>
      </c>
      <c r="AU116" s="238">
        <v>230.17850297929266</v>
      </c>
      <c r="AV116" s="237">
        <v>0</v>
      </c>
      <c r="AW116" s="237">
        <v>0</v>
      </c>
      <c r="AX116" s="237">
        <v>0</v>
      </c>
      <c r="AY116" s="244" t="s">
        <v>695</v>
      </c>
      <c r="AZ116" s="244" t="s">
        <v>682</v>
      </c>
      <c r="BA116" s="237">
        <v>0</v>
      </c>
      <c r="BB116" s="245" t="s">
        <v>1172</v>
      </c>
      <c r="BC116" s="215" t="s">
        <v>1173</v>
      </c>
      <c r="BE116" s="237">
        <v>0</v>
      </c>
      <c r="BF116" s="237">
        <v>83</v>
      </c>
      <c r="BG116" s="246" t="s">
        <v>720</v>
      </c>
      <c r="BI116" s="239">
        <v>0.61475409836065575</v>
      </c>
      <c r="BJ116" s="239">
        <v>6.5573770491803282E-2</v>
      </c>
      <c r="BK116" s="239">
        <v>0.28688524590163933</v>
      </c>
      <c r="BL116" s="239">
        <v>3.2786885245901641E-2</v>
      </c>
      <c r="BM116" s="247">
        <v>2.2622950819672134</v>
      </c>
      <c r="BN116" s="248">
        <v>0</v>
      </c>
      <c r="BO116" s="248">
        <v>0</v>
      </c>
      <c r="BP116" s="237">
        <v>0</v>
      </c>
      <c r="BQ116" s="237">
        <v>0</v>
      </c>
      <c r="BR116" s="248">
        <v>0</v>
      </c>
      <c r="BS116" s="237">
        <v>4.7</v>
      </c>
      <c r="BT116" s="237" t="s">
        <v>815</v>
      </c>
      <c r="BU116" s="249" t="s">
        <v>678</v>
      </c>
      <c r="BV116" s="249" t="s">
        <v>678</v>
      </c>
      <c r="BW116" s="249" t="s">
        <v>678</v>
      </c>
      <c r="BX116" s="249" t="s">
        <v>678</v>
      </c>
      <c r="BY116" s="249" t="s">
        <v>678</v>
      </c>
      <c r="BZ116" s="249" t="s">
        <v>678</v>
      </c>
      <c r="CA116" s="249" t="s">
        <v>678</v>
      </c>
      <c r="CB116" s="249" t="s">
        <v>678</v>
      </c>
      <c r="CC116" s="250" t="s">
        <v>678</v>
      </c>
      <c r="CD116" s="242" t="s">
        <v>678</v>
      </c>
      <c r="CE116" s="252" t="s">
        <v>678</v>
      </c>
      <c r="CF116" s="238">
        <v>98</v>
      </c>
      <c r="CG116" s="238">
        <v>5</v>
      </c>
      <c r="CH116" s="238">
        <v>1.9083969465648856</v>
      </c>
      <c r="CI116" s="216" t="s">
        <v>722</v>
      </c>
      <c r="CJ116" s="237">
        <v>1</v>
      </c>
      <c r="CK116" s="253">
        <v>2.5</v>
      </c>
      <c r="CL116" s="253">
        <v>6.61</v>
      </c>
      <c r="CM116" s="254">
        <v>5.9927470534904808E-3</v>
      </c>
      <c r="CN116" s="237" t="s">
        <v>88</v>
      </c>
      <c r="CO116" s="242">
        <v>6.74</v>
      </c>
      <c r="CP116" s="255">
        <v>6.1106074342701724E-3</v>
      </c>
      <c r="CW116" s="261" t="s">
        <v>678</v>
      </c>
      <c r="CX116" s="261" t="s">
        <v>678</v>
      </c>
      <c r="CY116" s="261" t="s">
        <v>678</v>
      </c>
      <c r="DB116" s="216" t="s">
        <v>681</v>
      </c>
      <c r="DC116" s="256"/>
      <c r="DD116" s="256">
        <v>0.8</v>
      </c>
      <c r="DE116" s="256">
        <v>-9</v>
      </c>
      <c r="DF116" s="256">
        <v>-0.3</v>
      </c>
      <c r="DG116" s="256">
        <v>-2.6</v>
      </c>
      <c r="DL116" s="237" t="s">
        <v>529</v>
      </c>
      <c r="DM116" s="270" t="s">
        <v>1174</v>
      </c>
      <c r="DN116" s="237" t="s">
        <v>713</v>
      </c>
      <c r="DP116" s="258" t="s">
        <v>682</v>
      </c>
      <c r="DQ116" s="258"/>
      <c r="DR116" s="258"/>
      <c r="DS116" s="258"/>
      <c r="DT116" s="258"/>
      <c r="DU116" s="237">
        <v>0</v>
      </c>
      <c r="DX116" s="247"/>
      <c r="DY116" s="247">
        <v>0</v>
      </c>
      <c r="EA116" s="237">
        <v>0</v>
      </c>
      <c r="ED116" s="237" t="s">
        <v>678</v>
      </c>
      <c r="EE116" s="208">
        <v>3</v>
      </c>
      <c r="EF116" s="237" t="s">
        <v>678</v>
      </c>
      <c r="EG116" s="216" t="s">
        <v>715</v>
      </c>
      <c r="EH116" s="246" t="s">
        <v>690</v>
      </c>
      <c r="EI116" s="216"/>
      <c r="EJ116" s="216" t="s">
        <v>529</v>
      </c>
      <c r="EK116" s="222" t="s">
        <v>682</v>
      </c>
      <c r="EL116" s="259">
        <v>1987</v>
      </c>
      <c r="EM116" s="260">
        <v>600</v>
      </c>
      <c r="EN116" s="260">
        <v>11141</v>
      </c>
      <c r="EO116" s="260">
        <v>25710</v>
      </c>
      <c r="ER116" s="237" t="s">
        <v>705</v>
      </c>
      <c r="ES116" s="237" t="e">
        <v>#DIV/0!</v>
      </c>
      <c r="ET116" s="237">
        <v>42.85</v>
      </c>
      <c r="EU116" s="661">
        <v>7</v>
      </c>
      <c r="EV116" s="661" t="s">
        <v>678</v>
      </c>
      <c r="EW116" s="661">
        <v>2</v>
      </c>
      <c r="EX116" s="661">
        <v>1</v>
      </c>
      <c r="EY116" s="660">
        <v>2.2665457842248413E-3</v>
      </c>
      <c r="EZ116" s="256">
        <v>104.8</v>
      </c>
      <c r="FA116" s="247">
        <v>0</v>
      </c>
      <c r="FB116" s="208">
        <v>3</v>
      </c>
      <c r="FC116" s="208">
        <v>2</v>
      </c>
      <c r="FD116" s="208">
        <v>2</v>
      </c>
      <c r="FE116" s="239">
        <v>0.90804597701149425</v>
      </c>
      <c r="FF116" s="208"/>
      <c r="FG116" s="241">
        <v>0</v>
      </c>
      <c r="FH116" s="209">
        <v>0</v>
      </c>
      <c r="FI116" s="237" t="s">
        <v>678</v>
      </c>
      <c r="FJ116" s="208" t="s">
        <v>678</v>
      </c>
      <c r="FK116" s="208" t="s">
        <v>678</v>
      </c>
      <c r="FL116" s="217" t="s">
        <v>678</v>
      </c>
      <c r="FM116" s="208" t="s">
        <v>678</v>
      </c>
      <c r="FN116" s="208" t="s">
        <v>678</v>
      </c>
      <c r="FP116" s="247" t="s">
        <v>693</v>
      </c>
      <c r="FU116" s="208" t="s">
        <v>678</v>
      </c>
      <c r="FV116" s="208" t="s">
        <v>678</v>
      </c>
      <c r="FW116" s="208" t="s">
        <v>678</v>
      </c>
      <c r="FX116" s="208" t="s">
        <v>678</v>
      </c>
      <c r="FY116" s="208" t="s">
        <v>678</v>
      </c>
      <c r="FZ116" s="208" t="s">
        <v>678</v>
      </c>
      <c r="GA116" s="208" t="s">
        <v>678</v>
      </c>
      <c r="GB116" s="208" t="s">
        <v>678</v>
      </c>
      <c r="GC116" s="208" t="s">
        <v>678</v>
      </c>
      <c r="GD116" s="208" t="s">
        <v>678</v>
      </c>
      <c r="GE116" s="237" t="s">
        <v>678</v>
      </c>
      <c r="GF116" s="237" t="s">
        <v>678</v>
      </c>
      <c r="GG116" s="237" t="s">
        <v>678</v>
      </c>
      <c r="GH116" s="237" t="s">
        <v>678</v>
      </c>
      <c r="GJ116" s="947"/>
      <c r="GK116" s="320"/>
      <c r="GL116" s="320"/>
      <c r="GM116" s="320"/>
      <c r="GN116" s="320"/>
      <c r="GO116" s="662">
        <v>8111</v>
      </c>
      <c r="GP116" s="663" t="str">
        <f>VLOOKUP(GS116,'BD Comarcal'!$A$6:$AV$17,48,FALSE)</f>
        <v>24</v>
      </c>
      <c r="GQ116" s="564">
        <v>2</v>
      </c>
      <c r="GR116" s="256">
        <f t="shared" si="1"/>
        <v>0</v>
      </c>
      <c r="GS116" s="237" t="s">
        <v>88</v>
      </c>
    </row>
    <row r="117" spans="1:201" s="237" customFormat="1" ht="17.25" customHeight="1">
      <c r="A117" s="236" t="s">
        <v>721</v>
      </c>
      <c r="C117" s="238"/>
      <c r="D117" s="238">
        <v>1719</v>
      </c>
      <c r="E117" s="238">
        <v>185</v>
      </c>
      <c r="F117" s="239">
        <v>0.10762070971495055</v>
      </c>
      <c r="G117" s="238">
        <v>116</v>
      </c>
      <c r="H117" s="240">
        <v>4.8633963526541901E-4</v>
      </c>
      <c r="I117" s="239">
        <v>2.6288628933265891E-6</v>
      </c>
      <c r="J117" s="238">
        <v>682</v>
      </c>
      <c r="K117" s="238">
        <v>123</v>
      </c>
      <c r="L117" s="238">
        <v>42</v>
      </c>
      <c r="M117" s="241">
        <v>2.4432809773123908E-2</v>
      </c>
      <c r="N117" s="238">
        <v>2</v>
      </c>
      <c r="O117" s="239">
        <v>2.9325513196480938E-3</v>
      </c>
      <c r="P117" s="237">
        <v>53</v>
      </c>
      <c r="Q117" s="237">
        <v>0</v>
      </c>
      <c r="R117" s="239">
        <v>0</v>
      </c>
      <c r="S117" s="238">
        <v>8950</v>
      </c>
      <c r="T117" s="436">
        <v>0</v>
      </c>
      <c r="U117" s="436">
        <v>14</v>
      </c>
      <c r="V117" s="436">
        <v>56</v>
      </c>
      <c r="W117" s="436">
        <v>70</v>
      </c>
      <c r="X117" s="238">
        <v>20104</v>
      </c>
      <c r="Y117" s="237">
        <v>0.16739999999999999</v>
      </c>
      <c r="Z117" s="238">
        <v>313064</v>
      </c>
      <c r="AA117" s="238">
        <v>15477</v>
      </c>
      <c r="AB117" s="238">
        <v>94.56</v>
      </c>
      <c r="AC117" s="238">
        <v>13053</v>
      </c>
      <c r="AD117" s="238">
        <v>20904298.970000003</v>
      </c>
      <c r="AE117" s="238">
        <v>3280053.4800000042</v>
      </c>
      <c r="AF117" s="238">
        <v>16796649.149999999</v>
      </c>
      <c r="AG117" s="238">
        <v>1301092.98</v>
      </c>
      <c r="AH117" s="239">
        <v>7.74614608176179E-2</v>
      </c>
      <c r="AI117" s="242">
        <v>289.21833800000002</v>
      </c>
      <c r="AJ117" s="242">
        <v>45.162269000000002</v>
      </c>
      <c r="AK117" s="242">
        <v>2.6272407795229786</v>
      </c>
      <c r="AL117" s="242" t="s">
        <v>678</v>
      </c>
      <c r="AM117" s="242" t="s">
        <v>678</v>
      </c>
      <c r="AN117" s="242">
        <v>53427.77</v>
      </c>
      <c r="AO117" s="238">
        <v>2302.88</v>
      </c>
      <c r="AP117" s="243">
        <v>0</v>
      </c>
      <c r="AQ117" s="238">
        <v>1</v>
      </c>
      <c r="AR117" s="238">
        <v>1123.1905268642136</v>
      </c>
      <c r="AS117" s="238">
        <v>2264.7115010828115</v>
      </c>
      <c r="AT117" s="238">
        <v>1053408.6666666667</v>
      </c>
      <c r="AU117" s="238">
        <v>215.6171719578023</v>
      </c>
      <c r="AV117" s="237">
        <v>1</v>
      </c>
      <c r="AW117" s="237">
        <v>0</v>
      </c>
      <c r="AX117" s="237">
        <v>1</v>
      </c>
      <c r="AY117" s="244" t="s">
        <v>717</v>
      </c>
      <c r="AZ117" s="244" t="s">
        <v>717</v>
      </c>
      <c r="BA117" s="237">
        <v>2009</v>
      </c>
      <c r="BB117" s="245" t="s">
        <v>1175</v>
      </c>
      <c r="BC117" s="215" t="s">
        <v>1176</v>
      </c>
      <c r="BE117" s="237">
        <v>0</v>
      </c>
      <c r="BF117" s="237">
        <v>83</v>
      </c>
      <c r="BG117" s="246" t="s">
        <v>698</v>
      </c>
      <c r="BI117" s="239">
        <v>0.38635329795299467</v>
      </c>
      <c r="BJ117" s="239">
        <v>0.15670962850644427</v>
      </c>
      <c r="BK117" s="239">
        <v>0.40773313115996968</v>
      </c>
      <c r="BL117" s="239">
        <v>4.9203942380591358E-2</v>
      </c>
      <c r="BM117" s="247">
        <v>1.8802122820318423</v>
      </c>
      <c r="BN117" s="248">
        <v>0</v>
      </c>
      <c r="BO117" s="248">
        <v>1</v>
      </c>
      <c r="BP117" s="237">
        <v>0</v>
      </c>
      <c r="BQ117" s="237">
        <v>0</v>
      </c>
      <c r="BR117" s="248">
        <v>1</v>
      </c>
      <c r="BS117" s="237">
        <v>0</v>
      </c>
      <c r="BT117" s="237" t="s">
        <v>721</v>
      </c>
      <c r="BU117" s="249">
        <v>2486</v>
      </c>
      <c r="BV117" s="249">
        <v>2513</v>
      </c>
      <c r="BW117" s="249">
        <v>9432</v>
      </c>
      <c r="BX117" s="249">
        <v>1633</v>
      </c>
      <c r="BY117" s="249">
        <v>12.16540249571813</v>
      </c>
      <c r="BZ117" s="249">
        <v>12.297528749694152</v>
      </c>
      <c r="CA117" s="249">
        <v>46.156104722290188</v>
      </c>
      <c r="CB117" s="249">
        <v>7.9911915830682654</v>
      </c>
      <c r="CC117" s="250">
        <v>107.24736970883288</v>
      </c>
      <c r="CD117" s="242">
        <v>-1096</v>
      </c>
      <c r="CE117" s="252">
        <v>94.636652801565944</v>
      </c>
      <c r="CF117" s="238">
        <v>8770</v>
      </c>
      <c r="CG117" s="238">
        <v>2126</v>
      </c>
      <c r="CH117" s="238">
        <v>10.403719109371178</v>
      </c>
      <c r="CI117" s="216" t="s">
        <v>700</v>
      </c>
      <c r="CJ117" s="237">
        <v>0</v>
      </c>
      <c r="CK117" s="253">
        <v>294.39999999999998</v>
      </c>
      <c r="CL117" s="253">
        <v>190.71770000000001</v>
      </c>
      <c r="CM117" s="254">
        <v>0.11094688772542176</v>
      </c>
      <c r="CN117" s="237" t="s">
        <v>88</v>
      </c>
      <c r="CO117" s="242"/>
      <c r="CP117" s="255">
        <v>0</v>
      </c>
      <c r="CV117" s="237">
        <v>5</v>
      </c>
      <c r="CW117" s="194">
        <v>0.77600000000000002</v>
      </c>
      <c r="CX117" s="194">
        <v>0.63500000000000001</v>
      </c>
      <c r="CY117" s="194">
        <v>7.6999999999999999E-2</v>
      </c>
      <c r="DB117" s="216" t="s">
        <v>710</v>
      </c>
      <c r="DC117" s="195" t="s">
        <v>711</v>
      </c>
      <c r="DD117" s="256">
        <v>0.8</v>
      </c>
      <c r="DE117" s="256">
        <v>-10</v>
      </c>
      <c r="DF117" s="256">
        <v>0.5</v>
      </c>
      <c r="DG117" s="256">
        <v>-2.2999999999999998</v>
      </c>
      <c r="DL117" s="237" t="s">
        <v>529</v>
      </c>
      <c r="DM117" s="270" t="s">
        <v>1177</v>
      </c>
      <c r="DN117" s="237" t="s">
        <v>713</v>
      </c>
      <c r="DO117" s="237">
        <v>1</v>
      </c>
      <c r="DP117" s="258" t="s">
        <v>683</v>
      </c>
      <c r="DQ117" s="258" t="s">
        <v>1178</v>
      </c>
      <c r="DR117" s="258" t="s">
        <v>1179</v>
      </c>
      <c r="DS117" s="258"/>
      <c r="DT117" s="258"/>
      <c r="DU117" s="237">
        <v>0</v>
      </c>
      <c r="DX117" s="247"/>
      <c r="DY117" s="247">
        <v>0</v>
      </c>
      <c r="EA117" s="237">
        <v>0</v>
      </c>
      <c r="ED117" s="237" t="s">
        <v>678</v>
      </c>
      <c r="EE117" s="208">
        <v>5</v>
      </c>
      <c r="EF117" s="237" t="s">
        <v>678</v>
      </c>
      <c r="EG117" s="216" t="s">
        <v>689</v>
      </c>
      <c r="EH117" s="246" t="s">
        <v>690</v>
      </c>
      <c r="EI117" s="216"/>
      <c r="EJ117" s="216" t="s">
        <v>529</v>
      </c>
      <c r="EK117" s="222" t="s">
        <v>682</v>
      </c>
      <c r="EL117" s="259">
        <v>2008</v>
      </c>
      <c r="EM117" s="260">
        <v>4000</v>
      </c>
      <c r="EN117" s="260">
        <v>694732</v>
      </c>
      <c r="EO117" s="260">
        <v>405721</v>
      </c>
      <c r="ER117" s="237" t="s">
        <v>705</v>
      </c>
      <c r="ES117" s="237">
        <v>20435</v>
      </c>
      <c r="ET117" s="237">
        <v>101.43025</v>
      </c>
      <c r="EU117" s="661">
        <v>7</v>
      </c>
      <c r="EV117" s="661">
        <v>4</v>
      </c>
      <c r="EW117" s="661">
        <v>4</v>
      </c>
      <c r="EX117" s="661">
        <v>3</v>
      </c>
      <c r="EY117" s="660">
        <v>0.17126236183827806</v>
      </c>
      <c r="EZ117" s="256">
        <v>69.412364130434781</v>
      </c>
      <c r="FA117" s="247">
        <v>2.7027027027027026</v>
      </c>
      <c r="FB117" s="208">
        <v>6</v>
      </c>
      <c r="FC117" s="208">
        <v>4</v>
      </c>
      <c r="FD117" s="208">
        <v>6</v>
      </c>
      <c r="FE117" s="239">
        <v>0.62702702702702706</v>
      </c>
      <c r="FF117" s="208"/>
      <c r="FG117" s="241">
        <v>0</v>
      </c>
      <c r="FH117" s="209">
        <v>0</v>
      </c>
      <c r="FI117" s="237" t="s">
        <v>678</v>
      </c>
      <c r="FJ117" s="208" t="s">
        <v>678</v>
      </c>
      <c r="FK117" s="208" t="s">
        <v>678</v>
      </c>
      <c r="FL117" s="217" t="s">
        <v>678</v>
      </c>
      <c r="FM117" s="208" t="s">
        <v>678</v>
      </c>
      <c r="FN117" s="208" t="s">
        <v>678</v>
      </c>
      <c r="FP117" s="247" t="s">
        <v>693</v>
      </c>
      <c r="FU117" s="208" t="s">
        <v>678</v>
      </c>
      <c r="FV117" s="208" t="s">
        <v>678</v>
      </c>
      <c r="FW117" s="208" t="s">
        <v>678</v>
      </c>
      <c r="FX117" s="208" t="s">
        <v>678</v>
      </c>
      <c r="FY117" s="208" t="s">
        <v>678</v>
      </c>
      <c r="FZ117" s="208" t="s">
        <v>678</v>
      </c>
      <c r="GA117" s="208" t="s">
        <v>678</v>
      </c>
      <c r="GB117" s="208" t="s">
        <v>678</v>
      </c>
      <c r="GC117" s="208" t="s">
        <v>678</v>
      </c>
      <c r="GD117" s="208" t="s">
        <v>678</v>
      </c>
      <c r="GE117" s="237" t="s">
        <v>678</v>
      </c>
      <c r="GF117" s="237" t="s">
        <v>678</v>
      </c>
      <c r="GG117" s="237" t="s">
        <v>678</v>
      </c>
      <c r="GH117" s="237" t="s">
        <v>678</v>
      </c>
      <c r="GJ117" s="947">
        <v>366</v>
      </c>
      <c r="GK117" s="320">
        <v>0.01</v>
      </c>
      <c r="GL117" s="320">
        <v>0.317</v>
      </c>
      <c r="GM117" s="320">
        <v>6.2E-2</v>
      </c>
      <c r="GN117" s="320">
        <v>0.61199999999999999</v>
      </c>
      <c r="GO117" s="662">
        <v>8112</v>
      </c>
      <c r="GP117" s="663" t="str">
        <f>VLOOKUP(GS117,'BD Comarcal'!$A$6:$AV$17,48,FALSE)</f>
        <v>24</v>
      </c>
      <c r="GQ117" s="564">
        <v>170</v>
      </c>
      <c r="GR117" s="256">
        <f t="shared" si="1"/>
        <v>0</v>
      </c>
      <c r="GS117" s="237" t="s">
        <v>88</v>
      </c>
    </row>
    <row r="118" spans="1:201" s="237" customFormat="1" ht="17.25" customHeight="1">
      <c r="A118" s="236" t="s">
        <v>699</v>
      </c>
      <c r="C118" s="238"/>
      <c r="D118" s="238">
        <v>4124</v>
      </c>
      <c r="E118" s="238">
        <v>1196</v>
      </c>
      <c r="F118" s="239">
        <v>0.29000969932104753</v>
      </c>
      <c r="G118" s="238">
        <v>501</v>
      </c>
      <c r="H118" s="240">
        <v>487.24798442836823</v>
      </c>
      <c r="I118" s="239">
        <v>0.40739798029127777</v>
      </c>
      <c r="J118" s="238">
        <v>1512</v>
      </c>
      <c r="K118" s="238">
        <v>270</v>
      </c>
      <c r="L118" s="238">
        <v>279</v>
      </c>
      <c r="M118" s="241">
        <v>6.7652764306498539E-2</v>
      </c>
      <c r="N118" s="238">
        <v>122</v>
      </c>
      <c r="O118" s="239">
        <v>8.0687830687830683E-2</v>
      </c>
      <c r="P118" s="237">
        <v>59</v>
      </c>
      <c r="Q118" s="237">
        <v>1</v>
      </c>
      <c r="R118" s="239">
        <v>1.6949152542372881E-2</v>
      </c>
      <c r="S118" s="238">
        <v>5372</v>
      </c>
      <c r="T118" s="436">
        <v>234</v>
      </c>
      <c r="U118" s="436">
        <v>6</v>
      </c>
      <c r="V118" s="436">
        <v>321</v>
      </c>
      <c r="W118" s="436">
        <v>561</v>
      </c>
      <c r="X118" s="238">
        <v>74752</v>
      </c>
      <c r="Y118" s="237">
        <v>0.1956</v>
      </c>
      <c r="Z118" s="238">
        <v>1184462</v>
      </c>
      <c r="AA118" s="238">
        <v>15866</v>
      </c>
      <c r="AB118" s="238">
        <v>96.94</v>
      </c>
      <c r="AC118" s="238">
        <v>80610</v>
      </c>
      <c r="AD118" s="238">
        <v>71748944.470000014</v>
      </c>
      <c r="AE118" s="238">
        <v>8595093.459999986</v>
      </c>
      <c r="AF118" s="238">
        <v>62640808.009999998</v>
      </c>
      <c r="AG118" s="238">
        <v>4906048.34</v>
      </c>
      <c r="AH118" s="239">
        <v>7.8320323377961479E-2</v>
      </c>
      <c r="AI118" s="242">
        <v>701.75174700000002</v>
      </c>
      <c r="AJ118" s="242">
        <v>535.68459299999995</v>
      </c>
      <c r="AK118" s="242">
        <v>12.989442119301648</v>
      </c>
      <c r="AL118" s="242" t="s">
        <v>678</v>
      </c>
      <c r="AM118" s="242" t="s">
        <v>678</v>
      </c>
      <c r="AN118" s="242">
        <v>137219.34</v>
      </c>
      <c r="AO118" s="238">
        <v>32577.94</v>
      </c>
      <c r="AP118" s="243">
        <v>174</v>
      </c>
      <c r="AQ118" s="238">
        <v>1</v>
      </c>
      <c r="AR118" s="238">
        <v>1392.6738579821297</v>
      </c>
      <c r="AS118" s="238">
        <v>2533.9510025112627</v>
      </c>
      <c r="AT118" s="238">
        <v>4129616.3333333335</v>
      </c>
      <c r="AU118" s="238">
        <v>261.72454372577067</v>
      </c>
      <c r="AV118" s="237">
        <v>1</v>
      </c>
      <c r="AW118" s="237">
        <v>1</v>
      </c>
      <c r="AX118" s="237">
        <v>1</v>
      </c>
      <c r="AY118" s="244" t="s">
        <v>673</v>
      </c>
      <c r="AZ118" s="244" t="s">
        <v>717</v>
      </c>
      <c r="BA118" s="237">
        <v>2009</v>
      </c>
      <c r="BB118" s="245" t="s">
        <v>1180</v>
      </c>
      <c r="BC118" s="215" t="s">
        <v>1181</v>
      </c>
      <c r="BD118" s="237">
        <v>1</v>
      </c>
      <c r="BE118" s="237">
        <v>5</v>
      </c>
      <c r="BF118" s="237">
        <v>138</v>
      </c>
      <c r="BG118" s="246" t="s">
        <v>698</v>
      </c>
      <c r="BI118" s="239">
        <v>0.40183170202547158</v>
      </c>
      <c r="BJ118" s="239">
        <v>0.11241946970073367</v>
      </c>
      <c r="BK118" s="239">
        <v>0.4642023152978586</v>
      </c>
      <c r="BL118" s="239">
        <v>2.1546512975936138E-2</v>
      </c>
      <c r="BM118" s="247">
        <v>1.8945363607757408</v>
      </c>
      <c r="BN118" s="248">
        <v>0</v>
      </c>
      <c r="BO118" s="248">
        <v>3</v>
      </c>
      <c r="BP118" s="237">
        <v>2</v>
      </c>
      <c r="BQ118" s="237">
        <v>1</v>
      </c>
      <c r="BR118" s="248">
        <v>6</v>
      </c>
      <c r="BS118" s="237">
        <v>0</v>
      </c>
      <c r="BT118" s="237" t="s">
        <v>699</v>
      </c>
      <c r="BU118" s="249">
        <v>6497</v>
      </c>
      <c r="BV118" s="249">
        <v>10320</v>
      </c>
      <c r="BW118" s="249">
        <v>35333</v>
      </c>
      <c r="BX118" s="249">
        <v>11067</v>
      </c>
      <c r="BY118" s="249">
        <v>8.5296048312984123</v>
      </c>
      <c r="BZ118" s="249">
        <v>13.54864119732178</v>
      </c>
      <c r="CA118" s="249">
        <v>46.387029014047528</v>
      </c>
      <c r="CB118" s="249">
        <v>14.529342260732571</v>
      </c>
      <c r="CC118" s="250">
        <v>99.073125902586327</v>
      </c>
      <c r="CD118" s="242">
        <v>-1991</v>
      </c>
      <c r="CE118" s="252">
        <v>97.386110017067082</v>
      </c>
      <c r="CF118" s="238">
        <v>39605</v>
      </c>
      <c r="CG118" s="238">
        <v>6812</v>
      </c>
      <c r="CH118" s="238">
        <v>8.9431534724957338</v>
      </c>
      <c r="CI118" s="216" t="s">
        <v>679</v>
      </c>
      <c r="CJ118" s="237">
        <v>0</v>
      </c>
      <c r="CK118" s="253">
        <v>646.99</v>
      </c>
      <c r="CL118" s="253">
        <v>304.75029999999998</v>
      </c>
      <c r="CM118" s="254">
        <v>7.3896774975751686E-2</v>
      </c>
      <c r="CN118" s="237" t="s">
        <v>82</v>
      </c>
      <c r="CO118" s="242"/>
      <c r="CP118" s="255">
        <v>0</v>
      </c>
      <c r="CV118" s="262">
        <v>34</v>
      </c>
      <c r="CW118" s="194">
        <v>0.98799999999999999</v>
      </c>
      <c r="CX118" s="194">
        <v>0.28799999999999998</v>
      </c>
      <c r="CY118" s="194">
        <v>1.911</v>
      </c>
      <c r="DB118" s="216"/>
      <c r="DC118" s="195" t="s">
        <v>866</v>
      </c>
      <c r="DD118" s="256">
        <v>0.8</v>
      </c>
      <c r="DE118" s="256">
        <v>-10</v>
      </c>
      <c r="DF118" s="256">
        <v>0.5</v>
      </c>
      <c r="DG118" s="256">
        <v>-2.2999999999999998</v>
      </c>
      <c r="DH118" s="257">
        <v>4</v>
      </c>
      <c r="DI118" s="257">
        <v>9.1</v>
      </c>
      <c r="DJ118" s="257">
        <v>2.86</v>
      </c>
      <c r="DK118" s="257">
        <v>11.96</v>
      </c>
      <c r="DL118" s="237" t="s">
        <v>529</v>
      </c>
      <c r="DN118" s="237" t="s">
        <v>770</v>
      </c>
      <c r="DO118" s="237">
        <v>1</v>
      </c>
      <c r="DP118" s="258" t="s">
        <v>682</v>
      </c>
      <c r="DQ118" s="258"/>
      <c r="DR118" s="258"/>
      <c r="DS118" s="258"/>
      <c r="DT118" s="258"/>
      <c r="DU118" s="237">
        <v>0</v>
      </c>
      <c r="DX118" s="247"/>
      <c r="DY118" s="247">
        <v>0</v>
      </c>
      <c r="EA118" s="237">
        <v>0</v>
      </c>
      <c r="ED118" s="237" t="s">
        <v>687</v>
      </c>
      <c r="EE118" s="208">
        <v>1</v>
      </c>
      <c r="EF118" s="237" t="s">
        <v>688</v>
      </c>
      <c r="EG118" s="216" t="s">
        <v>689</v>
      </c>
      <c r="EH118" s="246" t="s">
        <v>690</v>
      </c>
      <c r="EI118" s="216"/>
      <c r="EJ118" s="216" t="s">
        <v>529</v>
      </c>
      <c r="EK118" s="222" t="s">
        <v>529</v>
      </c>
      <c r="EL118" s="259">
        <v>1997</v>
      </c>
      <c r="EM118" s="260">
        <v>36480</v>
      </c>
      <c r="EN118" s="260">
        <v>3106949</v>
      </c>
      <c r="EO118" s="260">
        <v>1084423</v>
      </c>
      <c r="ER118" s="237" t="s">
        <v>705</v>
      </c>
      <c r="ES118" s="237">
        <v>12695</v>
      </c>
      <c r="ET118" s="237">
        <v>29.726507675438597</v>
      </c>
      <c r="EU118" s="661">
        <v>1</v>
      </c>
      <c r="EV118" s="661">
        <v>5</v>
      </c>
      <c r="EW118" s="661">
        <v>4</v>
      </c>
      <c r="EX118" s="661">
        <v>6</v>
      </c>
      <c r="EY118" s="660">
        <v>0.15688409311348206</v>
      </c>
      <c r="EZ118" s="256">
        <v>117.72979489636624</v>
      </c>
      <c r="FA118" s="247">
        <v>2.8428093645484949</v>
      </c>
      <c r="FB118" s="208">
        <v>3</v>
      </c>
      <c r="FC118" s="208">
        <v>3</v>
      </c>
      <c r="FD118" s="208">
        <v>4</v>
      </c>
      <c r="FE118" s="239">
        <v>0.41889632107023411</v>
      </c>
      <c r="FF118" s="208"/>
      <c r="FG118" s="241">
        <v>0.01</v>
      </c>
      <c r="FH118" s="209">
        <v>0</v>
      </c>
      <c r="FI118" s="237" t="s">
        <v>678</v>
      </c>
      <c r="FJ118" s="208">
        <v>36.1</v>
      </c>
      <c r="FK118" s="208">
        <v>0</v>
      </c>
      <c r="FL118" s="217">
        <v>4.5</v>
      </c>
      <c r="FM118" s="208">
        <v>0.35</v>
      </c>
      <c r="FN118" s="208" t="s">
        <v>1182</v>
      </c>
      <c r="FP118" s="247" t="s">
        <v>693</v>
      </c>
      <c r="FU118" s="208">
        <v>17</v>
      </c>
      <c r="FV118" s="208">
        <v>2.6</v>
      </c>
      <c r="FW118" s="237">
        <v>40.79</v>
      </c>
      <c r="FX118" s="237">
        <v>20.100000000000001</v>
      </c>
      <c r="FY118" s="208">
        <v>3.16</v>
      </c>
      <c r="FZ118" s="208">
        <v>3.8</v>
      </c>
      <c r="GA118" s="208">
        <v>15.65</v>
      </c>
      <c r="GB118" s="208">
        <v>3.1</v>
      </c>
      <c r="GC118" s="208">
        <v>0.04</v>
      </c>
      <c r="GD118" s="208">
        <v>20.8</v>
      </c>
      <c r="GE118" s="237">
        <v>11.87</v>
      </c>
      <c r="GF118" s="237">
        <v>4</v>
      </c>
      <c r="GG118" s="237">
        <v>11.97</v>
      </c>
      <c r="GH118" s="237">
        <v>75.5</v>
      </c>
      <c r="GJ118" s="947">
        <v>1859</v>
      </c>
      <c r="GK118" s="320">
        <v>2E-3</v>
      </c>
      <c r="GL118" s="320">
        <v>0.155</v>
      </c>
      <c r="GM118" s="320">
        <v>4.5999999999999999E-2</v>
      </c>
      <c r="GN118" s="320">
        <v>0.79700000000000004</v>
      </c>
      <c r="GO118" s="662">
        <v>8113</v>
      </c>
      <c r="GP118" s="663" t="str">
        <f>VLOOKUP(GS118,'BD Comarcal'!$A$6:$AV$17,48,FALSE)</f>
        <v>07</v>
      </c>
      <c r="GQ118" s="564">
        <v>700</v>
      </c>
      <c r="GR118" s="256">
        <f t="shared" si="1"/>
        <v>1</v>
      </c>
      <c r="GS118" s="237" t="s">
        <v>82</v>
      </c>
    </row>
    <row r="119" spans="1:201" s="237" customFormat="1" ht="17.25" customHeight="1">
      <c r="A119" s="236" t="s">
        <v>677</v>
      </c>
      <c r="C119" s="238"/>
      <c r="D119" s="238">
        <v>1290</v>
      </c>
      <c r="E119" s="238">
        <v>445</v>
      </c>
      <c r="F119" s="239">
        <v>0.34496124031007752</v>
      </c>
      <c r="G119" s="238">
        <v>189</v>
      </c>
      <c r="H119" s="240">
        <v>6.126071134645267</v>
      </c>
      <c r="I119" s="239">
        <v>1.3766451987966891E-2</v>
      </c>
      <c r="J119" s="238">
        <v>63</v>
      </c>
      <c r="K119" s="238">
        <v>0</v>
      </c>
      <c r="L119" s="238">
        <v>13</v>
      </c>
      <c r="M119" s="241">
        <v>1.0077519379844961E-2</v>
      </c>
      <c r="N119" s="238">
        <v>0</v>
      </c>
      <c r="O119" s="239">
        <v>0</v>
      </c>
      <c r="P119" s="237">
        <v>1</v>
      </c>
      <c r="Q119" s="237">
        <v>0</v>
      </c>
      <c r="R119" s="239">
        <v>0</v>
      </c>
      <c r="S119" s="238">
        <v>1</v>
      </c>
      <c r="T119" s="436">
        <v>0</v>
      </c>
      <c r="U119" s="436">
        <v>0</v>
      </c>
      <c r="V119" s="436">
        <v>234</v>
      </c>
      <c r="W119" s="436">
        <v>234</v>
      </c>
      <c r="X119" s="238">
        <v>27645</v>
      </c>
      <c r="Y119" s="237">
        <v>0.1522</v>
      </c>
      <c r="Z119" s="238">
        <v>392447</v>
      </c>
      <c r="AA119" s="238">
        <v>14171</v>
      </c>
      <c r="AB119" s="238">
        <v>86.58</v>
      </c>
      <c r="AC119" s="238">
        <v>14239</v>
      </c>
      <c r="AD119" s="238">
        <v>39414373.070000008</v>
      </c>
      <c r="AE119" s="238">
        <v>3915866.8300000094</v>
      </c>
      <c r="AF119" s="238">
        <v>33162233.699999999</v>
      </c>
      <c r="AG119" s="238">
        <v>5002971.4400000004</v>
      </c>
      <c r="AH119" s="239">
        <v>0.15086352400924069</v>
      </c>
      <c r="AI119" s="242">
        <v>516.396976</v>
      </c>
      <c r="AJ119" s="242">
        <v>194.108329</v>
      </c>
      <c r="AK119" s="242">
        <v>15.047157286821706</v>
      </c>
      <c r="AL119" s="242">
        <v>6.2992549999999996</v>
      </c>
      <c r="AM119" s="242">
        <v>0.48831434108527128</v>
      </c>
      <c r="AN119" s="242">
        <v>51120.11</v>
      </c>
      <c r="AO119" s="238">
        <v>9685.31</v>
      </c>
      <c r="AP119" s="243">
        <v>38</v>
      </c>
      <c r="AQ119" s="238">
        <v>1</v>
      </c>
      <c r="AR119" s="238">
        <v>988.6531749475289</v>
      </c>
      <c r="AS119" s="238">
        <v>1673.8309570693964</v>
      </c>
      <c r="AT119" s="238">
        <v>7684567.333333333</v>
      </c>
      <c r="AU119" s="238">
        <v>227.91798390944135</v>
      </c>
      <c r="AV119" s="237">
        <v>1</v>
      </c>
      <c r="AW119" s="237">
        <v>0</v>
      </c>
      <c r="AX119" s="237">
        <v>1</v>
      </c>
      <c r="AY119" s="244" t="s">
        <v>717</v>
      </c>
      <c r="AZ119" s="244" t="s">
        <v>717</v>
      </c>
      <c r="BA119" s="237">
        <v>2010</v>
      </c>
      <c r="BB119" s="245" t="s">
        <v>678</v>
      </c>
      <c r="BC119" s="215" t="s">
        <v>678</v>
      </c>
      <c r="BD119" s="237">
        <v>1</v>
      </c>
      <c r="BE119" s="237">
        <v>125</v>
      </c>
      <c r="BF119" s="237">
        <v>102</v>
      </c>
      <c r="BG119" s="246" t="s">
        <v>676</v>
      </c>
      <c r="BI119" s="239">
        <v>0.38007934599663379</v>
      </c>
      <c r="BJ119" s="239">
        <v>7.916566482327482E-2</v>
      </c>
      <c r="BK119" s="239">
        <v>0.52194037028131768</v>
      </c>
      <c r="BL119" s="239">
        <v>1.8814618898773745E-2</v>
      </c>
      <c r="BM119" s="247">
        <v>1.8205097379177686</v>
      </c>
      <c r="BN119" s="248">
        <v>1</v>
      </c>
      <c r="BO119" s="248">
        <v>2</v>
      </c>
      <c r="BP119" s="237">
        <v>1</v>
      </c>
      <c r="BQ119" s="237">
        <v>1</v>
      </c>
      <c r="BR119" s="248">
        <v>5</v>
      </c>
      <c r="BS119" s="237">
        <v>0</v>
      </c>
      <c r="BT119" s="237" t="s">
        <v>677</v>
      </c>
      <c r="BU119" s="249">
        <v>2425</v>
      </c>
      <c r="BV119" s="249">
        <v>3369</v>
      </c>
      <c r="BW119" s="249">
        <v>13559</v>
      </c>
      <c r="BX119" s="249">
        <v>2634</v>
      </c>
      <c r="BY119" s="249">
        <v>8.627437028603957</v>
      </c>
      <c r="BZ119" s="249">
        <v>11.98591148427494</v>
      </c>
      <c r="CA119" s="249">
        <v>48.238935534367442</v>
      </c>
      <c r="CB119" s="249">
        <v>9.3709975807599264</v>
      </c>
      <c r="CC119" s="250">
        <v>98.093069588729193</v>
      </c>
      <c r="CD119" s="242">
        <v>4532</v>
      </c>
      <c r="CE119" s="252">
        <v>116.12352355201367</v>
      </c>
      <c r="CF119" s="238">
        <v>10715</v>
      </c>
      <c r="CG119" s="238">
        <v>2668.6</v>
      </c>
      <c r="CH119" s="238">
        <v>9.494094208054646</v>
      </c>
      <c r="CI119" s="216" t="s">
        <v>679</v>
      </c>
      <c r="CJ119" s="237">
        <v>0</v>
      </c>
      <c r="CK119" s="253">
        <v>531.35</v>
      </c>
      <c r="CL119" s="253">
        <v>184.357</v>
      </c>
      <c r="CM119" s="254">
        <v>0.14291240310077519</v>
      </c>
      <c r="CN119" s="237" t="s">
        <v>90</v>
      </c>
      <c r="CO119" s="242">
        <v>36.68</v>
      </c>
      <c r="CP119" s="255">
        <v>2.8434108527131782E-2</v>
      </c>
      <c r="CV119" s="237">
        <v>13</v>
      </c>
      <c r="CW119" s="194">
        <v>0.53100000000000003</v>
      </c>
      <c r="CX119" s="194" t="s">
        <v>680</v>
      </c>
      <c r="CY119" s="194">
        <v>1.1659999999999999</v>
      </c>
      <c r="DB119" s="216" t="s">
        <v>710</v>
      </c>
      <c r="DC119" s="195" t="s">
        <v>711</v>
      </c>
      <c r="DD119" s="256">
        <v>0.7</v>
      </c>
      <c r="DE119" s="256">
        <v>-6.5</v>
      </c>
      <c r="DF119" s="256">
        <v>0.7</v>
      </c>
      <c r="DG119" s="256">
        <v>-2.2000000000000002</v>
      </c>
      <c r="DH119" s="257">
        <v>4</v>
      </c>
      <c r="DI119" s="257">
        <v>10.06</v>
      </c>
      <c r="DJ119" s="257">
        <v>64.88</v>
      </c>
      <c r="DK119" s="257">
        <v>74.94</v>
      </c>
      <c r="DL119" s="237" t="s">
        <v>682</v>
      </c>
      <c r="DP119" s="258" t="s">
        <v>682</v>
      </c>
      <c r="DQ119" s="258"/>
      <c r="DR119" s="258"/>
      <c r="DS119" s="258"/>
      <c r="DT119" s="258"/>
      <c r="DU119" s="237">
        <v>0</v>
      </c>
      <c r="DX119" s="247"/>
      <c r="DY119" s="247">
        <v>0</v>
      </c>
      <c r="EA119" s="237">
        <v>2</v>
      </c>
      <c r="EB119" s="237" t="s">
        <v>969</v>
      </c>
      <c r="ED119" s="237" t="s">
        <v>678</v>
      </c>
      <c r="EE119" s="208">
        <v>4</v>
      </c>
      <c r="EF119" s="237" t="s">
        <v>678</v>
      </c>
      <c r="EG119" s="216" t="s">
        <v>689</v>
      </c>
      <c r="EH119" s="246" t="s">
        <v>690</v>
      </c>
      <c r="EI119" s="216"/>
      <c r="EJ119" s="216" t="s">
        <v>806</v>
      </c>
      <c r="EK119" s="222" t="s">
        <v>529</v>
      </c>
      <c r="EL119" s="259">
        <v>1992</v>
      </c>
      <c r="EM119" s="260">
        <v>20000</v>
      </c>
      <c r="EN119" s="260">
        <v>1021483</v>
      </c>
      <c r="EO119" s="260">
        <v>6689504</v>
      </c>
      <c r="ER119" s="237" t="s">
        <v>705</v>
      </c>
      <c r="ES119" s="237">
        <v>5621.6</v>
      </c>
      <c r="ET119" s="237">
        <v>334.47519999999997</v>
      </c>
      <c r="EU119" s="661">
        <v>3</v>
      </c>
      <c r="EV119" s="661">
        <v>5</v>
      </c>
      <c r="EW119" s="661">
        <v>6</v>
      </c>
      <c r="EX119" s="661">
        <v>8</v>
      </c>
      <c r="EY119" s="660">
        <v>0.41189922480620156</v>
      </c>
      <c r="EZ119" s="256">
        <v>52.89921897054672</v>
      </c>
      <c r="FA119" s="247">
        <v>2.9213483146067416</v>
      </c>
      <c r="FB119" s="208">
        <v>6</v>
      </c>
      <c r="FC119" s="208">
        <v>6</v>
      </c>
      <c r="FD119" s="208">
        <v>8</v>
      </c>
      <c r="FE119" s="239">
        <v>0.42471910112359551</v>
      </c>
      <c r="FF119" s="208"/>
      <c r="FG119" s="241">
        <v>0.16840449438202246</v>
      </c>
      <c r="FH119" s="209">
        <v>0</v>
      </c>
      <c r="FI119" s="237" t="s">
        <v>678</v>
      </c>
      <c r="FJ119" s="208" t="s">
        <v>678</v>
      </c>
      <c r="FK119" s="208" t="s">
        <v>678</v>
      </c>
      <c r="FL119" s="217" t="s">
        <v>678</v>
      </c>
      <c r="FM119" s="208" t="s">
        <v>678</v>
      </c>
      <c r="FN119" s="208" t="s">
        <v>678</v>
      </c>
      <c r="FP119" s="247" t="s">
        <v>693</v>
      </c>
      <c r="FU119" s="208" t="s">
        <v>678</v>
      </c>
      <c r="FV119" s="208" t="s">
        <v>678</v>
      </c>
      <c r="FW119" s="208" t="s">
        <v>678</v>
      </c>
      <c r="FX119" s="208" t="s">
        <v>678</v>
      </c>
      <c r="FY119" s="208" t="s">
        <v>678</v>
      </c>
      <c r="FZ119" s="208" t="s">
        <v>678</v>
      </c>
      <c r="GA119" s="208" t="s">
        <v>678</v>
      </c>
      <c r="GB119" s="208" t="s">
        <v>678</v>
      </c>
      <c r="GC119" s="208" t="s">
        <v>678</v>
      </c>
      <c r="GD119" s="208" t="s">
        <v>678</v>
      </c>
      <c r="GE119" s="237" t="s">
        <v>678</v>
      </c>
      <c r="GF119" s="237" t="s">
        <v>678</v>
      </c>
      <c r="GG119" s="237" t="s">
        <v>678</v>
      </c>
      <c r="GH119" s="237" t="s">
        <v>678</v>
      </c>
      <c r="GJ119" s="947">
        <v>2501</v>
      </c>
      <c r="GK119" s="320">
        <v>0</v>
      </c>
      <c r="GL119" s="320">
        <v>0.64200000000000002</v>
      </c>
      <c r="GM119" s="320">
        <v>0.01</v>
      </c>
      <c r="GN119" s="320">
        <v>0.34799999999999998</v>
      </c>
      <c r="GO119" s="662">
        <v>8114</v>
      </c>
      <c r="GP119" s="663" t="str">
        <f>VLOOKUP(GS119,'BD Comarcal'!$A$6:$AV$17,48,FALSE)</f>
        <v>11</v>
      </c>
      <c r="GQ119" s="564">
        <v>167</v>
      </c>
      <c r="GR119" s="256">
        <f t="shared" si="1"/>
        <v>1</v>
      </c>
      <c r="GS119" s="237" t="s">
        <v>90</v>
      </c>
    </row>
    <row r="120" spans="1:201" s="237" customFormat="1" ht="17.25" customHeight="1">
      <c r="A120" s="236" t="s">
        <v>1183</v>
      </c>
      <c r="C120" s="238"/>
      <c r="D120" s="238">
        <v>361</v>
      </c>
      <c r="E120" s="238">
        <v>125</v>
      </c>
      <c r="F120" s="239">
        <v>0.34626038781163437</v>
      </c>
      <c r="G120" s="238">
        <v>73</v>
      </c>
      <c r="H120" s="240">
        <v>0</v>
      </c>
      <c r="I120" s="239">
        <v>0</v>
      </c>
      <c r="J120" s="238">
        <v>38</v>
      </c>
      <c r="K120" s="238">
        <v>0</v>
      </c>
      <c r="L120" s="238">
        <v>18</v>
      </c>
      <c r="M120" s="241">
        <v>4.9861495844875349E-2</v>
      </c>
      <c r="N120" s="238">
        <v>0</v>
      </c>
      <c r="O120" s="239">
        <v>0</v>
      </c>
      <c r="P120" s="237">
        <v>1</v>
      </c>
      <c r="Q120" s="237">
        <v>0</v>
      </c>
      <c r="R120" s="239">
        <v>0</v>
      </c>
      <c r="S120" s="238">
        <v>13</v>
      </c>
      <c r="T120" s="436">
        <v>0</v>
      </c>
      <c r="U120" s="436">
        <v>0</v>
      </c>
      <c r="V120" s="436">
        <v>0</v>
      </c>
      <c r="W120" s="436">
        <v>0</v>
      </c>
      <c r="X120" s="238">
        <v>4725</v>
      </c>
      <c r="Y120" s="237">
        <v>0.19109999999999999</v>
      </c>
      <c r="Z120" s="238">
        <v>79709</v>
      </c>
      <c r="AA120" s="238">
        <v>16760</v>
      </c>
      <c r="AB120" s="238">
        <v>102.4</v>
      </c>
      <c r="AC120" s="238">
        <v>2338</v>
      </c>
      <c r="AD120" s="238">
        <v>9443334.8300000001</v>
      </c>
      <c r="AE120" s="238">
        <v>1006063.2300000004</v>
      </c>
      <c r="AF120" s="238">
        <v>8162036.6799999997</v>
      </c>
      <c r="AG120" s="238">
        <v>909686.22</v>
      </c>
      <c r="AH120" s="239">
        <v>0.11145333642386915</v>
      </c>
      <c r="AI120" s="242">
        <v>182.550523</v>
      </c>
      <c r="AJ120" s="242">
        <v>44.674447000000001</v>
      </c>
      <c r="AK120" s="242">
        <v>12.375193074792243</v>
      </c>
      <c r="AL120" s="242" t="s">
        <v>678</v>
      </c>
      <c r="AM120" s="242" t="s">
        <v>678</v>
      </c>
      <c r="AN120" s="242">
        <v>19981.759999999998</v>
      </c>
      <c r="AO120" s="238">
        <v>1303.5</v>
      </c>
      <c r="AP120" s="243">
        <v>7</v>
      </c>
      <c r="AQ120" s="238"/>
      <c r="AR120" s="238">
        <v>1230.0679895874471</v>
      </c>
      <c r="AS120" s="238">
        <v>2027.9307442635843</v>
      </c>
      <c r="AT120" s="238">
        <v>1760310.3333333333</v>
      </c>
      <c r="AU120" s="238">
        <v>278.53836234841827</v>
      </c>
      <c r="AV120" s="237">
        <v>1</v>
      </c>
      <c r="AW120" s="237">
        <v>0</v>
      </c>
      <c r="AX120" s="237">
        <v>1</v>
      </c>
      <c r="AY120" s="244" t="s">
        <v>673</v>
      </c>
      <c r="AZ120" s="244" t="s">
        <v>673</v>
      </c>
      <c r="BA120" s="237">
        <v>2010</v>
      </c>
      <c r="BB120" s="245" t="s">
        <v>708</v>
      </c>
      <c r="BC120" s="215" t="s">
        <v>709</v>
      </c>
      <c r="BE120" s="237">
        <v>2</v>
      </c>
      <c r="BF120" s="237">
        <v>39</v>
      </c>
      <c r="BG120" s="246" t="s">
        <v>676</v>
      </c>
      <c r="BI120" s="239">
        <v>0.60925553319919512</v>
      </c>
      <c r="BJ120" s="239">
        <v>0.16659959758551307</v>
      </c>
      <c r="BK120" s="239">
        <v>0.22012072434607646</v>
      </c>
      <c r="BL120" s="239">
        <v>4.0241448692152921E-3</v>
      </c>
      <c r="BM120" s="247">
        <v>2.3810865191146879</v>
      </c>
      <c r="BN120" s="248">
        <v>0</v>
      </c>
      <c r="BO120" s="248">
        <v>0</v>
      </c>
      <c r="BP120" s="237">
        <v>0</v>
      </c>
      <c r="BQ120" s="237">
        <v>0</v>
      </c>
      <c r="BR120" s="248">
        <v>0</v>
      </c>
      <c r="BS120" s="237">
        <v>14</v>
      </c>
      <c r="BT120" s="237" t="s">
        <v>729</v>
      </c>
      <c r="BU120" s="249" t="s">
        <v>678</v>
      </c>
      <c r="BV120" s="249">
        <v>565</v>
      </c>
      <c r="BW120" s="249">
        <v>2615</v>
      </c>
      <c r="BX120" s="249" t="s">
        <v>678</v>
      </c>
      <c r="BY120" s="249" t="s">
        <v>678</v>
      </c>
      <c r="BZ120" s="249">
        <v>11.573125768127817</v>
      </c>
      <c r="CA120" s="249">
        <v>53.564113068414585</v>
      </c>
      <c r="CB120" s="249" t="s">
        <v>678</v>
      </c>
      <c r="CC120" s="250" t="s">
        <v>678</v>
      </c>
      <c r="CD120" s="242" t="s">
        <v>678</v>
      </c>
      <c r="CE120" s="252" t="s">
        <v>678</v>
      </c>
      <c r="CF120" s="238">
        <v>2182</v>
      </c>
      <c r="CG120" s="238">
        <v>430</v>
      </c>
      <c r="CH120" s="238">
        <v>8.8078656288406396</v>
      </c>
      <c r="CI120" s="216" t="s">
        <v>679</v>
      </c>
      <c r="CJ120" s="237">
        <v>0</v>
      </c>
      <c r="CK120" s="253">
        <v>187.47</v>
      </c>
      <c r="CL120" s="253">
        <v>44.531399999999998</v>
      </c>
      <c r="CM120" s="254">
        <v>0.12335567867036011</v>
      </c>
      <c r="CN120" s="237" t="s">
        <v>24</v>
      </c>
      <c r="CO120" s="242"/>
      <c r="CP120" s="255">
        <v>0</v>
      </c>
      <c r="CV120" s="237">
        <v>3</v>
      </c>
      <c r="CW120" s="261" t="s">
        <v>678</v>
      </c>
      <c r="CX120" s="261" t="s">
        <v>678</v>
      </c>
      <c r="CY120" s="261" t="s">
        <v>678</v>
      </c>
      <c r="DB120" s="216" t="s">
        <v>681</v>
      </c>
      <c r="DC120" s="256"/>
      <c r="DD120" s="256">
        <v>0.7</v>
      </c>
      <c r="DE120" s="256">
        <v>-6.5</v>
      </c>
      <c r="DF120" s="256">
        <v>0.7</v>
      </c>
      <c r="DG120" s="256">
        <v>-2.2000000000000002</v>
      </c>
      <c r="DL120" s="237" t="s">
        <v>682</v>
      </c>
      <c r="DP120" s="258" t="s">
        <v>682</v>
      </c>
      <c r="DQ120" s="258"/>
      <c r="DR120" s="258"/>
      <c r="DS120" s="258"/>
      <c r="DT120" s="258"/>
      <c r="DU120" s="237">
        <v>0</v>
      </c>
      <c r="DX120" s="247"/>
      <c r="DY120" s="247">
        <v>0</v>
      </c>
      <c r="EA120" s="237">
        <v>0</v>
      </c>
      <c r="ED120" s="237" t="s">
        <v>678</v>
      </c>
      <c r="EE120" s="208">
        <v>3</v>
      </c>
      <c r="EF120" s="237" t="s">
        <v>678</v>
      </c>
      <c r="EG120" s="216" t="s">
        <v>691</v>
      </c>
      <c r="EH120" s="246" t="s">
        <v>690</v>
      </c>
      <c r="EI120" s="216" t="s">
        <v>904</v>
      </c>
      <c r="EJ120" s="216" t="s">
        <v>529</v>
      </c>
      <c r="EK120" s="222" t="s">
        <v>682</v>
      </c>
      <c r="EL120" s="259">
        <v>1988</v>
      </c>
      <c r="EM120" s="260">
        <v>3280</v>
      </c>
      <c r="EN120" s="260">
        <v>204836</v>
      </c>
      <c r="EO120" s="260">
        <v>1544069</v>
      </c>
      <c r="ER120" s="237" t="s">
        <v>705</v>
      </c>
      <c r="ES120" s="237" t="e">
        <v>#DIV/0!</v>
      </c>
      <c r="ET120" s="237">
        <v>470.75274390243902</v>
      </c>
      <c r="EU120" s="661">
        <v>3</v>
      </c>
      <c r="EV120" s="661">
        <v>1</v>
      </c>
      <c r="EW120" s="661">
        <v>5</v>
      </c>
      <c r="EX120" s="661">
        <v>6</v>
      </c>
      <c r="EY120" s="660">
        <v>0.5193074792243767</v>
      </c>
      <c r="EZ120" s="256">
        <v>26.041499973329067</v>
      </c>
      <c r="FA120" s="247">
        <v>2.4</v>
      </c>
      <c r="FB120" s="208" t="s">
        <v>678</v>
      </c>
      <c r="FC120" s="208" t="s">
        <v>678</v>
      </c>
      <c r="FD120" s="208">
        <v>9</v>
      </c>
      <c r="FE120" s="239">
        <v>0.58399999999999996</v>
      </c>
      <c r="FF120" s="208"/>
      <c r="FG120" s="241">
        <v>0</v>
      </c>
      <c r="FH120" s="209">
        <v>0</v>
      </c>
      <c r="FI120" s="237" t="s">
        <v>678</v>
      </c>
      <c r="FJ120" s="208" t="s">
        <v>678</v>
      </c>
      <c r="FK120" s="208" t="s">
        <v>678</v>
      </c>
      <c r="FL120" s="217" t="s">
        <v>678</v>
      </c>
      <c r="FM120" s="208" t="s">
        <v>678</v>
      </c>
      <c r="FN120" s="208" t="s">
        <v>678</v>
      </c>
      <c r="FP120" s="247" t="s">
        <v>693</v>
      </c>
      <c r="FU120" s="208" t="s">
        <v>678</v>
      </c>
      <c r="FV120" s="208" t="s">
        <v>678</v>
      </c>
      <c r="FW120" s="208" t="s">
        <v>678</v>
      </c>
      <c r="FX120" s="208" t="s">
        <v>678</v>
      </c>
      <c r="FY120" s="208" t="s">
        <v>678</v>
      </c>
      <c r="FZ120" s="208" t="s">
        <v>678</v>
      </c>
      <c r="GA120" s="208" t="s">
        <v>678</v>
      </c>
      <c r="GB120" s="208" t="s">
        <v>678</v>
      </c>
      <c r="GC120" s="208" t="s">
        <v>678</v>
      </c>
      <c r="GD120" s="208" t="s">
        <v>678</v>
      </c>
      <c r="GE120" s="237" t="s">
        <v>678</v>
      </c>
      <c r="GF120" s="237" t="s">
        <v>678</v>
      </c>
      <c r="GG120" s="237" t="s">
        <v>678</v>
      </c>
      <c r="GH120" s="237" t="s">
        <v>678</v>
      </c>
      <c r="GJ120" s="947"/>
      <c r="GO120" s="662">
        <v>8115</v>
      </c>
      <c r="GP120" s="663" t="str">
        <f>VLOOKUP(GS120,'BD Comarcal'!$A$6:$AV$17,48,FALSE)</f>
        <v>41</v>
      </c>
      <c r="GQ120" s="564">
        <v>53</v>
      </c>
      <c r="GR120" s="256">
        <f t="shared" si="1"/>
        <v>0</v>
      </c>
      <c r="GS120" s="237" t="s">
        <v>24</v>
      </c>
    </row>
    <row r="121" spans="1:201" s="237" customFormat="1" ht="17.25" customHeight="1">
      <c r="A121" s="236" t="s">
        <v>1184</v>
      </c>
      <c r="C121" s="238"/>
      <c r="D121" s="238">
        <v>1643</v>
      </c>
      <c r="E121" s="238">
        <v>761</v>
      </c>
      <c r="F121" s="239">
        <v>0.46317711503347536</v>
      </c>
      <c r="G121" s="238">
        <v>610</v>
      </c>
      <c r="H121" s="240">
        <v>726.34859647385679</v>
      </c>
      <c r="I121" s="239">
        <v>0.95446596120086302</v>
      </c>
      <c r="J121" s="238">
        <v>900</v>
      </c>
      <c r="K121" s="238">
        <v>123</v>
      </c>
      <c r="L121" s="238">
        <v>2</v>
      </c>
      <c r="M121" s="241">
        <v>1.2172854534388314E-3</v>
      </c>
      <c r="N121" s="238">
        <v>0</v>
      </c>
      <c r="O121" s="239">
        <v>0</v>
      </c>
      <c r="P121" s="237">
        <v>29</v>
      </c>
      <c r="Q121" s="237">
        <v>0</v>
      </c>
      <c r="R121" s="239">
        <v>0</v>
      </c>
      <c r="S121" s="238">
        <v>4701</v>
      </c>
      <c r="T121" s="436">
        <v>0</v>
      </c>
      <c r="U121" s="436">
        <v>0</v>
      </c>
      <c r="V121" s="436">
        <v>66</v>
      </c>
      <c r="W121" s="436">
        <v>66</v>
      </c>
      <c r="X121" s="238">
        <v>714</v>
      </c>
      <c r="Y121" s="237">
        <v>0.20080000000000001</v>
      </c>
      <c r="Z121" s="238">
        <v>12628</v>
      </c>
      <c r="AA121" s="238">
        <v>17662</v>
      </c>
      <c r="AB121" s="238">
        <v>107.92</v>
      </c>
      <c r="AC121" s="238">
        <v>0</v>
      </c>
      <c r="AD121" s="238">
        <v>1036624.35</v>
      </c>
      <c r="AE121" s="238">
        <v>-340840.20000000042</v>
      </c>
      <c r="AF121" s="238">
        <v>1333245.0300000003</v>
      </c>
      <c r="AG121" s="238">
        <v>637954.67000000004</v>
      </c>
      <c r="AH121" s="239">
        <v>0.47849769220591049</v>
      </c>
      <c r="AI121" s="247">
        <v>21.421014</v>
      </c>
      <c r="AJ121" s="242">
        <v>4.7279090000000004</v>
      </c>
      <c r="AK121" s="242">
        <v>0.28776074254412659</v>
      </c>
      <c r="AL121" s="242">
        <v>9.4526310000000002</v>
      </c>
      <c r="AM121" s="242">
        <v>0.57532751065124776</v>
      </c>
      <c r="AN121" s="242">
        <v>21195.35</v>
      </c>
      <c r="AO121" s="238">
        <v>3225.02</v>
      </c>
      <c r="AP121" s="243">
        <v>0</v>
      </c>
      <c r="AQ121" s="238">
        <v>2</v>
      </c>
      <c r="AR121" s="238">
        <v>1445.0163722240104</v>
      </c>
      <c r="AS121" s="238">
        <v>1489.6620397628042</v>
      </c>
      <c r="AT121" s="238">
        <v>61032.666666666664</v>
      </c>
      <c r="AU121" s="238">
        <v>256.62875349979782</v>
      </c>
      <c r="AV121" s="237">
        <v>1</v>
      </c>
      <c r="AW121" s="237">
        <v>0</v>
      </c>
      <c r="AX121" s="237">
        <v>1</v>
      </c>
      <c r="AY121" s="244" t="s">
        <v>717</v>
      </c>
      <c r="AZ121" s="244" t="s">
        <v>673</v>
      </c>
      <c r="BA121" s="237">
        <v>0</v>
      </c>
      <c r="BB121" s="245" t="s">
        <v>887</v>
      </c>
      <c r="BC121" s="215" t="s">
        <v>888</v>
      </c>
      <c r="BE121" s="237">
        <v>0</v>
      </c>
      <c r="BF121" s="237">
        <v>83</v>
      </c>
      <c r="BG121" s="246" t="s">
        <v>698</v>
      </c>
      <c r="BI121" s="239">
        <v>0.58201058201058198</v>
      </c>
      <c r="BJ121" s="239">
        <v>0.17989417989417988</v>
      </c>
      <c r="BK121" s="239">
        <v>0.23280423280423279</v>
      </c>
      <c r="BL121" s="239">
        <v>5.2910052910052907E-3</v>
      </c>
      <c r="BM121" s="247">
        <v>2.3386243386243386</v>
      </c>
      <c r="BN121" s="248">
        <v>0</v>
      </c>
      <c r="BO121" s="248">
        <v>0</v>
      </c>
      <c r="BP121" s="237">
        <v>0</v>
      </c>
      <c r="BQ121" s="237">
        <v>0</v>
      </c>
      <c r="BR121" s="248">
        <v>0</v>
      </c>
      <c r="BS121" s="237">
        <v>4</v>
      </c>
      <c r="BT121" s="237" t="s">
        <v>721</v>
      </c>
      <c r="BU121" s="249" t="s">
        <v>678</v>
      </c>
      <c r="BV121" s="249" t="s">
        <v>678</v>
      </c>
      <c r="BW121" s="249" t="s">
        <v>678</v>
      </c>
      <c r="BX121" s="249" t="s">
        <v>678</v>
      </c>
      <c r="BY121" s="249" t="s">
        <v>678</v>
      </c>
      <c r="BZ121" s="249" t="s">
        <v>678</v>
      </c>
      <c r="CA121" s="249" t="s">
        <v>678</v>
      </c>
      <c r="CB121" s="249" t="s">
        <v>678</v>
      </c>
      <c r="CC121" s="250" t="s">
        <v>678</v>
      </c>
      <c r="CD121" s="242" t="s">
        <v>678</v>
      </c>
      <c r="CE121" s="252" t="s">
        <v>678</v>
      </c>
      <c r="CF121" s="238">
        <v>314</v>
      </c>
      <c r="CG121" s="238">
        <v>42</v>
      </c>
      <c r="CH121" s="238">
        <v>5.645161290322581</v>
      </c>
      <c r="CI121" s="216" t="s">
        <v>700</v>
      </c>
      <c r="CJ121" s="237">
        <v>0</v>
      </c>
      <c r="CK121" s="253">
        <v>25.69</v>
      </c>
      <c r="CL121" s="253">
        <v>22.1234</v>
      </c>
      <c r="CM121" s="254">
        <v>1.3465246500304321E-2</v>
      </c>
      <c r="CN121" s="237" t="s">
        <v>88</v>
      </c>
      <c r="CO121" s="242">
        <v>295.43</v>
      </c>
      <c r="CP121" s="255">
        <v>0.17981132075471698</v>
      </c>
      <c r="CW121" s="261" t="s">
        <v>678</v>
      </c>
      <c r="CX121" s="261" t="s">
        <v>678</v>
      </c>
      <c r="CY121" s="261" t="s">
        <v>678</v>
      </c>
      <c r="DB121" s="216" t="s">
        <v>681</v>
      </c>
      <c r="DC121" s="256"/>
      <c r="DD121" s="256">
        <v>0.8</v>
      </c>
      <c r="DE121" s="256">
        <v>-10</v>
      </c>
      <c r="DF121" s="256">
        <v>0.5</v>
      </c>
      <c r="DG121" s="256">
        <v>-2.2999999999999998</v>
      </c>
      <c r="DL121" s="237" t="s">
        <v>529</v>
      </c>
      <c r="DM121" s="270" t="s">
        <v>1185</v>
      </c>
      <c r="DN121" s="237" t="s">
        <v>713</v>
      </c>
      <c r="DP121" s="258" t="s">
        <v>682</v>
      </c>
      <c r="DQ121" s="258"/>
      <c r="DR121" s="258"/>
      <c r="DS121" s="258"/>
      <c r="DT121" s="258"/>
      <c r="DU121" s="237">
        <v>0</v>
      </c>
      <c r="DX121" s="247"/>
      <c r="DY121" s="247">
        <v>0</v>
      </c>
      <c r="EA121" s="237">
        <v>0</v>
      </c>
      <c r="ED121" s="237" t="s">
        <v>1035</v>
      </c>
      <c r="EE121" s="208">
        <v>3</v>
      </c>
      <c r="EF121" s="237" t="s">
        <v>852</v>
      </c>
      <c r="EG121" s="216" t="s">
        <v>715</v>
      </c>
      <c r="EH121" s="246" t="s">
        <v>690</v>
      </c>
      <c r="EI121" s="216"/>
      <c r="EJ121" s="216" t="s">
        <v>529</v>
      </c>
      <c r="EK121" s="222" t="s">
        <v>682</v>
      </c>
      <c r="EL121" s="259">
        <v>2008</v>
      </c>
      <c r="EM121" s="260">
        <v>1350</v>
      </c>
      <c r="EN121" s="260">
        <v>29130</v>
      </c>
      <c r="EO121" s="260">
        <v>33956</v>
      </c>
      <c r="ER121" s="237" t="s">
        <v>705</v>
      </c>
      <c r="ES121" s="237" t="e">
        <v>#DIV/0!</v>
      </c>
      <c r="ET121" s="237">
        <v>25.152592592592594</v>
      </c>
      <c r="EU121" s="661">
        <v>5</v>
      </c>
      <c r="EV121" s="661" t="s">
        <v>678</v>
      </c>
      <c r="EW121" s="661">
        <v>1</v>
      </c>
      <c r="EX121" s="661">
        <v>6</v>
      </c>
      <c r="EY121" s="660">
        <v>1.5636031649421789E-2</v>
      </c>
      <c r="EZ121" s="256">
        <v>28.96068509147528</v>
      </c>
      <c r="FA121" s="247">
        <v>0</v>
      </c>
      <c r="FB121" s="208">
        <v>6</v>
      </c>
      <c r="FC121" s="208">
        <v>4</v>
      </c>
      <c r="FD121" s="208">
        <v>4</v>
      </c>
      <c r="FE121" s="239">
        <v>0.80157687253613663</v>
      </c>
      <c r="FF121" s="208"/>
      <c r="FG121" s="241">
        <v>0</v>
      </c>
      <c r="FH121" s="209">
        <v>0</v>
      </c>
      <c r="FI121" s="237" t="s">
        <v>678</v>
      </c>
      <c r="FJ121" s="208">
        <v>50.3</v>
      </c>
      <c r="FK121" s="208">
        <v>11.1</v>
      </c>
      <c r="FL121" s="217">
        <v>47.7</v>
      </c>
      <c r="FM121" s="208">
        <v>7.16</v>
      </c>
      <c r="FN121" s="208" t="s">
        <v>1186</v>
      </c>
      <c r="FP121" s="247" t="s">
        <v>693</v>
      </c>
      <c r="FU121" s="208">
        <v>26</v>
      </c>
      <c r="FV121" s="208">
        <v>17.5</v>
      </c>
      <c r="FW121" s="237">
        <v>68.099999999999994</v>
      </c>
      <c r="FX121" s="237">
        <v>49.8</v>
      </c>
      <c r="FY121" s="208">
        <v>13.95</v>
      </c>
      <c r="FZ121" s="208">
        <v>25</v>
      </c>
      <c r="GA121" s="208">
        <v>36.46</v>
      </c>
      <c r="GB121" s="208">
        <v>31.3</v>
      </c>
      <c r="GC121" s="208">
        <v>0.04</v>
      </c>
      <c r="GD121" s="208">
        <v>21</v>
      </c>
      <c r="GE121" s="237">
        <v>29.66</v>
      </c>
      <c r="GF121" s="237">
        <v>33.200000000000003</v>
      </c>
      <c r="GG121" s="237">
        <v>3.95</v>
      </c>
      <c r="GH121" s="237">
        <v>34.5</v>
      </c>
      <c r="GJ121" s="947"/>
      <c r="GK121" s="320"/>
      <c r="GL121" s="320"/>
      <c r="GM121" s="320"/>
      <c r="GN121" s="320"/>
      <c r="GO121" s="662">
        <v>8116</v>
      </c>
      <c r="GP121" s="663" t="str">
        <f>VLOOKUP(GS121,'BD Comarcal'!$A$6:$AV$17,48,FALSE)</f>
        <v>24</v>
      </c>
      <c r="GQ121" s="564">
        <v>5</v>
      </c>
      <c r="GR121" s="256">
        <f t="shared" si="1"/>
        <v>0</v>
      </c>
      <c r="GS121" s="237" t="s">
        <v>88</v>
      </c>
    </row>
    <row r="122" spans="1:201" s="237" customFormat="1" ht="17.25" customHeight="1">
      <c r="A122" s="236" t="s">
        <v>1187</v>
      </c>
      <c r="C122" s="238"/>
      <c r="D122" s="238">
        <v>2231</v>
      </c>
      <c r="E122" s="238">
        <v>1043</v>
      </c>
      <c r="F122" s="239">
        <v>0.46750336172120127</v>
      </c>
      <c r="G122" s="238">
        <v>759</v>
      </c>
      <c r="H122" s="240">
        <v>320.14811267829748</v>
      </c>
      <c r="I122" s="239">
        <v>0.30694929307602825</v>
      </c>
      <c r="J122" s="238">
        <v>619</v>
      </c>
      <c r="K122" s="238">
        <v>643</v>
      </c>
      <c r="L122" s="238">
        <v>18</v>
      </c>
      <c r="M122" s="241">
        <v>8.0681308830121024E-3</v>
      </c>
      <c r="N122" s="238">
        <v>0</v>
      </c>
      <c r="O122" s="239">
        <v>0</v>
      </c>
      <c r="P122" s="237">
        <v>41</v>
      </c>
      <c r="Q122" s="237">
        <v>0</v>
      </c>
      <c r="R122" s="239">
        <v>0</v>
      </c>
      <c r="S122" s="238">
        <v>12527</v>
      </c>
      <c r="T122" s="436">
        <v>0</v>
      </c>
      <c r="U122" s="436">
        <v>11</v>
      </c>
      <c r="V122" s="436">
        <v>8</v>
      </c>
      <c r="W122" s="436">
        <v>19</v>
      </c>
      <c r="X122" s="238">
        <v>3170</v>
      </c>
      <c r="Y122" s="237">
        <v>0.1623</v>
      </c>
      <c r="Z122" s="238">
        <v>55900</v>
      </c>
      <c r="AA122" s="238">
        <v>17662</v>
      </c>
      <c r="AB122" s="238">
        <v>107.92</v>
      </c>
      <c r="AC122" s="238">
        <v>463</v>
      </c>
      <c r="AD122" s="238">
        <v>3008541.1599999997</v>
      </c>
      <c r="AE122" s="238">
        <v>923695.21999999974</v>
      </c>
      <c r="AF122" s="238">
        <v>2559438.92</v>
      </c>
      <c r="AG122" s="238">
        <v>138871.4</v>
      </c>
      <c r="AH122" s="239">
        <v>5.4258532569317966E-2</v>
      </c>
      <c r="AI122" s="247">
        <v>87.426867999999999</v>
      </c>
      <c r="AJ122" s="242">
        <v>26.835170000000002</v>
      </c>
      <c r="AK122" s="242">
        <v>1.202831465710444</v>
      </c>
      <c r="AL122" s="242" t="s">
        <v>678</v>
      </c>
      <c r="AM122" s="242" t="s">
        <v>678</v>
      </c>
      <c r="AN122" s="242">
        <v>35730.92</v>
      </c>
      <c r="AO122" s="238">
        <v>7599.8</v>
      </c>
      <c r="AP122" s="243">
        <v>23</v>
      </c>
      <c r="AQ122" s="238"/>
      <c r="AR122" s="238">
        <v>1402.684495940227</v>
      </c>
      <c r="AS122" s="238">
        <v>2843.8480466845922</v>
      </c>
      <c r="AT122" s="238">
        <v>520144.66666666669</v>
      </c>
      <c r="AU122" s="238">
        <v>246.98787346327873</v>
      </c>
      <c r="AV122" s="237">
        <v>1</v>
      </c>
      <c r="AW122" s="237">
        <v>0</v>
      </c>
      <c r="AX122" s="237">
        <v>1</v>
      </c>
      <c r="AY122" s="244" t="s">
        <v>726</v>
      </c>
      <c r="AZ122" s="244" t="s">
        <v>682</v>
      </c>
      <c r="BA122" s="237">
        <v>2010</v>
      </c>
      <c r="BB122" s="245" t="s">
        <v>1188</v>
      </c>
      <c r="BC122" s="215" t="s">
        <v>1189</v>
      </c>
      <c r="BE122" s="237">
        <v>0</v>
      </c>
      <c r="BF122" s="237">
        <v>83</v>
      </c>
      <c r="BG122" s="246" t="s">
        <v>720</v>
      </c>
      <c r="BI122" s="239">
        <v>0.56965648854961837</v>
      </c>
      <c r="BJ122" s="239">
        <v>7.967557251908397E-2</v>
      </c>
      <c r="BK122" s="239">
        <v>0.32013358778625955</v>
      </c>
      <c r="BL122" s="239">
        <v>3.0534351145038167E-2</v>
      </c>
      <c r="BM122" s="247">
        <v>2.1884541984732828</v>
      </c>
      <c r="BN122" s="248">
        <v>0</v>
      </c>
      <c r="BO122" s="248">
        <v>0</v>
      </c>
      <c r="BP122" s="237">
        <v>0</v>
      </c>
      <c r="BQ122" s="237">
        <v>0</v>
      </c>
      <c r="BR122" s="248">
        <v>0</v>
      </c>
      <c r="BS122" s="237">
        <v>9</v>
      </c>
      <c r="BT122" s="237" t="s">
        <v>721</v>
      </c>
      <c r="BU122" s="249" t="s">
        <v>678</v>
      </c>
      <c r="BV122" s="249">
        <v>275</v>
      </c>
      <c r="BW122" s="249">
        <v>1681</v>
      </c>
      <c r="BX122" s="249" t="s">
        <v>678</v>
      </c>
      <c r="BY122" s="249" t="s">
        <v>678</v>
      </c>
      <c r="BZ122" s="249">
        <v>8.6723431094292014</v>
      </c>
      <c r="CA122" s="249">
        <v>53.01166824345632</v>
      </c>
      <c r="CB122" s="249" t="s">
        <v>678</v>
      </c>
      <c r="CC122" s="250" t="s">
        <v>678</v>
      </c>
      <c r="CD122" s="242" t="s">
        <v>678</v>
      </c>
      <c r="CE122" s="252" t="s">
        <v>678</v>
      </c>
      <c r="CF122" s="238">
        <v>1330</v>
      </c>
      <c r="CG122" s="238">
        <v>222</v>
      </c>
      <c r="CH122" s="238">
        <v>7.0009460737937559</v>
      </c>
      <c r="CI122" s="216" t="s">
        <v>722</v>
      </c>
      <c r="CJ122" s="237">
        <v>1</v>
      </c>
      <c r="CK122" s="253">
        <v>107.48</v>
      </c>
      <c r="CL122" s="253">
        <v>104.39530000000001</v>
      </c>
      <c r="CM122" s="254">
        <v>4.6793052442850744E-2</v>
      </c>
      <c r="CN122" s="237" t="s">
        <v>88</v>
      </c>
      <c r="CO122" s="242"/>
      <c r="CP122" s="255">
        <v>0</v>
      </c>
      <c r="CV122" s="237">
        <v>2</v>
      </c>
      <c r="CW122" s="261" t="s">
        <v>678</v>
      </c>
      <c r="CX122" s="261" t="s">
        <v>678</v>
      </c>
      <c r="CY122" s="261" t="s">
        <v>678</v>
      </c>
      <c r="DB122" s="216" t="s">
        <v>710</v>
      </c>
      <c r="DC122" s="195" t="s">
        <v>711</v>
      </c>
      <c r="DD122" s="256">
        <v>0.8</v>
      </c>
      <c r="DE122" s="256">
        <v>-9</v>
      </c>
      <c r="DF122" s="256">
        <v>-0.3</v>
      </c>
      <c r="DG122" s="256">
        <v>-2.6</v>
      </c>
      <c r="DH122" s="257">
        <v>2</v>
      </c>
      <c r="DI122" s="257">
        <v>3</v>
      </c>
      <c r="DJ122" s="257">
        <v>2.5</v>
      </c>
      <c r="DK122" s="257">
        <v>5.5</v>
      </c>
      <c r="DL122" s="237" t="s">
        <v>529</v>
      </c>
      <c r="DM122" s="270" t="s">
        <v>1190</v>
      </c>
      <c r="DN122" s="237" t="s">
        <v>713</v>
      </c>
      <c r="DP122" s="258" t="s">
        <v>683</v>
      </c>
      <c r="DQ122" s="258" t="s">
        <v>1178</v>
      </c>
      <c r="DR122" s="258" t="s">
        <v>1191</v>
      </c>
      <c r="DS122" s="258"/>
      <c r="DT122" s="258"/>
      <c r="DU122" s="237">
        <v>0</v>
      </c>
      <c r="DX122" s="247"/>
      <c r="DY122" s="247">
        <v>0</v>
      </c>
      <c r="EA122" s="237">
        <v>0</v>
      </c>
      <c r="ED122" s="237" t="s">
        <v>723</v>
      </c>
      <c r="EE122" s="208">
        <v>3</v>
      </c>
      <c r="EF122" s="237" t="s">
        <v>702</v>
      </c>
      <c r="EG122" s="216" t="s">
        <v>691</v>
      </c>
      <c r="EH122" s="246" t="s">
        <v>690</v>
      </c>
      <c r="EI122" s="216"/>
      <c r="EJ122" s="216" t="s">
        <v>529</v>
      </c>
      <c r="EK122" s="222" t="s">
        <v>682</v>
      </c>
      <c r="EL122" s="259">
        <v>2001</v>
      </c>
      <c r="EM122" s="260">
        <v>2600</v>
      </c>
      <c r="EN122" s="260">
        <v>124309</v>
      </c>
      <c r="EO122" s="260">
        <v>435159</v>
      </c>
      <c r="ER122" s="237" t="s">
        <v>705</v>
      </c>
      <c r="ES122" s="237" t="e">
        <v>#DIV/0!</v>
      </c>
      <c r="ET122" s="237">
        <v>167.36884615384616</v>
      </c>
      <c r="EU122" s="661">
        <v>7</v>
      </c>
      <c r="EV122" s="661">
        <v>1</v>
      </c>
      <c r="EW122" s="661">
        <v>2</v>
      </c>
      <c r="EX122" s="661">
        <v>3</v>
      </c>
      <c r="EY122" s="660">
        <v>4.8175705961452264E-2</v>
      </c>
      <c r="EZ122" s="256">
        <v>29.503163379233346</v>
      </c>
      <c r="FA122" s="247">
        <v>0.19175455417066156</v>
      </c>
      <c r="FB122" s="208">
        <v>2</v>
      </c>
      <c r="FC122" s="208">
        <v>2</v>
      </c>
      <c r="FD122" s="208">
        <v>2</v>
      </c>
      <c r="FE122" s="239">
        <v>0.72770853307766059</v>
      </c>
      <c r="FF122" s="208"/>
      <c r="FG122" s="241">
        <v>5.2732502396931925E-3</v>
      </c>
      <c r="FH122" s="209">
        <v>0</v>
      </c>
      <c r="FI122" s="237" t="s">
        <v>678</v>
      </c>
      <c r="FJ122" s="208">
        <v>47.8</v>
      </c>
      <c r="FK122" s="208">
        <v>0</v>
      </c>
      <c r="FL122" s="217">
        <v>4.7</v>
      </c>
      <c r="FM122" s="208">
        <v>4.6500000000000004</v>
      </c>
      <c r="FN122" s="208" t="s">
        <v>1192</v>
      </c>
      <c r="FP122" s="247" t="s">
        <v>693</v>
      </c>
      <c r="FU122" s="208">
        <v>30</v>
      </c>
      <c r="FV122" s="208">
        <v>26.4</v>
      </c>
      <c r="FW122" s="237">
        <v>66.260000000000005</v>
      </c>
      <c r="FX122" s="237">
        <v>47.7</v>
      </c>
      <c r="FY122" s="208">
        <v>21.13</v>
      </c>
      <c r="FZ122" s="208">
        <v>35.200000000000003</v>
      </c>
      <c r="GA122" s="208">
        <v>33.369999999999997</v>
      </c>
      <c r="GB122" s="208">
        <v>26</v>
      </c>
      <c r="GC122" s="208">
        <v>0.14000000000000001</v>
      </c>
      <c r="GD122" s="208">
        <v>33.299999999999997</v>
      </c>
      <c r="GE122" s="237">
        <v>28.8</v>
      </c>
      <c r="GF122" s="237">
        <v>31.4</v>
      </c>
      <c r="GG122" s="237">
        <v>16.11</v>
      </c>
      <c r="GH122" s="237">
        <v>87.3</v>
      </c>
      <c r="GJ122" s="947"/>
      <c r="GK122" s="320"/>
      <c r="GL122" s="320"/>
      <c r="GM122" s="320"/>
      <c r="GN122" s="320"/>
      <c r="GO122" s="662">
        <v>8117</v>
      </c>
      <c r="GP122" s="663" t="str">
        <f>VLOOKUP(GS122,'BD Comarcal'!$A$6:$AV$17,48,FALSE)</f>
        <v>24</v>
      </c>
      <c r="GQ122" s="564">
        <v>27</v>
      </c>
      <c r="GR122" s="256">
        <f t="shared" si="1"/>
        <v>1</v>
      </c>
      <c r="GS122" s="237" t="s">
        <v>88</v>
      </c>
    </row>
    <row r="123" spans="1:201" s="237" customFormat="1" ht="17.25" customHeight="1">
      <c r="A123" s="236" t="s">
        <v>344</v>
      </c>
      <c r="C123" s="238" t="s">
        <v>683</v>
      </c>
      <c r="D123" s="238">
        <v>330</v>
      </c>
      <c r="E123" s="238">
        <v>0</v>
      </c>
      <c r="F123" s="239">
        <v>0</v>
      </c>
      <c r="G123" s="238" t="s">
        <v>752</v>
      </c>
      <c r="H123" s="240">
        <v>0</v>
      </c>
      <c r="I123" s="239" t="s">
        <v>1148</v>
      </c>
      <c r="J123" s="238">
        <v>25</v>
      </c>
      <c r="K123" s="238">
        <v>0</v>
      </c>
      <c r="L123" s="238">
        <v>19</v>
      </c>
      <c r="M123" s="241">
        <v>5.7575757575757579E-2</v>
      </c>
      <c r="N123" s="238">
        <v>0</v>
      </c>
      <c r="O123" s="239">
        <v>0</v>
      </c>
      <c r="P123" s="237">
        <v>1</v>
      </c>
      <c r="Q123" s="237">
        <v>0</v>
      </c>
      <c r="R123" s="239">
        <v>0</v>
      </c>
      <c r="S123" s="238">
        <v>0</v>
      </c>
      <c r="T123" s="436">
        <v>360</v>
      </c>
      <c r="U123" s="436">
        <v>0</v>
      </c>
      <c r="V123" s="436">
        <v>49</v>
      </c>
      <c r="W123" s="436">
        <v>409</v>
      </c>
      <c r="X123" s="238">
        <v>23119</v>
      </c>
      <c r="Y123" s="237">
        <v>0.17749999999999999</v>
      </c>
      <c r="Z123" s="238">
        <v>395448</v>
      </c>
      <c r="AA123" s="238">
        <v>17251</v>
      </c>
      <c r="AB123" s="238">
        <v>105.41</v>
      </c>
      <c r="AC123" s="238">
        <v>8237</v>
      </c>
      <c r="AD123" s="238">
        <v>23363521.969999999</v>
      </c>
      <c r="AE123" s="238">
        <v>3445109.9599999972</v>
      </c>
      <c r="AF123" s="238">
        <v>20450752.850000001</v>
      </c>
      <c r="AG123" s="238">
        <v>2360279.6</v>
      </c>
      <c r="AH123" s="239">
        <v>0.11541284652510971</v>
      </c>
      <c r="AJ123" s="242">
        <v>26.509406999999999</v>
      </c>
      <c r="AK123" s="242">
        <v>8.033153636363636</v>
      </c>
      <c r="AL123" s="242" t="s">
        <v>678</v>
      </c>
      <c r="AM123" s="242" t="s">
        <v>678</v>
      </c>
      <c r="AN123" s="242">
        <v>19572.560000000001</v>
      </c>
      <c r="AO123" s="238">
        <v>0</v>
      </c>
      <c r="AP123" s="243">
        <v>0</v>
      </c>
      <c r="AQ123" s="238"/>
      <c r="AR123" s="238">
        <v>1248.2331672324901</v>
      </c>
      <c r="AS123" s="238">
        <v>1981.5220086383858</v>
      </c>
      <c r="AT123" s="238">
        <v>1577034</v>
      </c>
      <c r="AU123" s="238">
        <v>310.3649085868546</v>
      </c>
      <c r="AV123" s="237">
        <v>0</v>
      </c>
      <c r="AW123" s="237">
        <v>0</v>
      </c>
      <c r="AX123" s="237">
        <v>0</v>
      </c>
      <c r="AY123" s="244" t="s">
        <v>695</v>
      </c>
      <c r="AZ123" s="244" t="s">
        <v>682</v>
      </c>
      <c r="BA123" s="237">
        <v>2009</v>
      </c>
      <c r="BB123" s="245" t="s">
        <v>678</v>
      </c>
      <c r="BC123" s="215" t="s">
        <v>678</v>
      </c>
      <c r="BE123" s="237">
        <v>403</v>
      </c>
      <c r="BF123" s="237">
        <v>2</v>
      </c>
      <c r="BG123" s="246" t="s">
        <v>676</v>
      </c>
      <c r="BI123" s="239">
        <v>0.56086212795073553</v>
      </c>
      <c r="BJ123" s="239">
        <v>0.11488197057817311</v>
      </c>
      <c r="BK123" s="239">
        <v>0.31631885049606567</v>
      </c>
      <c r="BL123" s="239">
        <v>7.9370509750256585E-3</v>
      </c>
      <c r="BM123" s="247">
        <v>2.2286691755046184</v>
      </c>
      <c r="BN123" s="248">
        <v>0</v>
      </c>
      <c r="BO123" s="248">
        <v>2</v>
      </c>
      <c r="BP123" s="237">
        <v>0</v>
      </c>
      <c r="BQ123" s="237">
        <v>0</v>
      </c>
      <c r="BR123" s="248">
        <v>2</v>
      </c>
      <c r="BS123" s="237">
        <v>10</v>
      </c>
      <c r="BT123" s="237" t="s">
        <v>335</v>
      </c>
      <c r="BU123" s="249">
        <v>1556</v>
      </c>
      <c r="BV123" s="249">
        <v>1875</v>
      </c>
      <c r="BW123" s="249">
        <v>9947</v>
      </c>
      <c r="BX123" s="249">
        <v>5274</v>
      </c>
      <c r="BY123" s="249">
        <v>6.886479309581766</v>
      </c>
      <c r="BZ123" s="249">
        <v>8.2982960832042494</v>
      </c>
      <c r="CA123" s="249">
        <v>44.023013941137421</v>
      </c>
      <c r="CB123" s="249">
        <v>23.341447222836912</v>
      </c>
      <c r="CC123" s="250">
        <v>81.279044036291225</v>
      </c>
      <c r="CD123" s="242">
        <v>-1335</v>
      </c>
      <c r="CE123" s="252">
        <v>94.091613188758572</v>
      </c>
      <c r="CF123" s="238">
        <v>10366</v>
      </c>
      <c r="CG123" s="238">
        <v>1493.8</v>
      </c>
      <c r="CH123" s="238">
        <v>6.6111971675149368</v>
      </c>
      <c r="CI123" s="216" t="s">
        <v>679</v>
      </c>
      <c r="CJ123" s="237">
        <v>0</v>
      </c>
      <c r="CK123" s="253">
        <v>250.53</v>
      </c>
      <c r="CL123" s="253">
        <v>32.154400000000003</v>
      </c>
      <c r="CM123" s="254">
        <v>9.7437575757575765E-2</v>
      </c>
      <c r="CN123" s="237" t="s">
        <v>86</v>
      </c>
      <c r="CO123" s="242"/>
      <c r="CP123" s="255">
        <v>0</v>
      </c>
      <c r="CV123" s="237">
        <v>6</v>
      </c>
      <c r="CW123" s="194">
        <v>1.024</v>
      </c>
      <c r="CX123" s="194">
        <v>0.63500000000000001</v>
      </c>
      <c r="CY123" s="194" t="s">
        <v>680</v>
      </c>
      <c r="DB123" s="216" t="s">
        <v>710</v>
      </c>
      <c r="DC123" s="195" t="s">
        <v>711</v>
      </c>
      <c r="DD123" s="256">
        <v>0.7</v>
      </c>
      <c r="DE123" s="256">
        <v>-6.5</v>
      </c>
      <c r="DF123" s="256">
        <v>0.7</v>
      </c>
      <c r="DG123" s="256">
        <v>-2.2000000000000002</v>
      </c>
      <c r="DL123" s="237" t="s">
        <v>529</v>
      </c>
      <c r="DM123" s="270" t="s">
        <v>764</v>
      </c>
      <c r="DN123" s="237" t="s">
        <v>713</v>
      </c>
      <c r="DP123" s="258" t="s">
        <v>683</v>
      </c>
      <c r="DQ123" s="258" t="s">
        <v>1193</v>
      </c>
      <c r="DR123" s="258" t="s">
        <v>740</v>
      </c>
      <c r="DS123" s="258"/>
      <c r="DT123" s="258"/>
      <c r="DU123" s="237">
        <v>0</v>
      </c>
      <c r="DX123" s="247"/>
      <c r="DY123" s="247">
        <v>0</v>
      </c>
      <c r="EA123" s="237">
        <v>0</v>
      </c>
      <c r="EB123" s="237" t="s">
        <v>714</v>
      </c>
      <c r="ED123" s="237" t="s">
        <v>678</v>
      </c>
      <c r="EE123" s="208">
        <v>4</v>
      </c>
      <c r="EF123" s="237" t="s">
        <v>678</v>
      </c>
      <c r="EG123" s="216" t="s">
        <v>691</v>
      </c>
      <c r="EH123" s="246" t="s">
        <v>690</v>
      </c>
      <c r="EI123" s="216"/>
      <c r="EJ123" s="216" t="s">
        <v>806</v>
      </c>
      <c r="EK123" s="222" t="s">
        <v>682</v>
      </c>
      <c r="EL123" s="259">
        <v>2012</v>
      </c>
      <c r="EM123" s="260">
        <v>2350</v>
      </c>
      <c r="EN123" s="260">
        <v>1130049</v>
      </c>
      <c r="EO123" s="260">
        <v>475714</v>
      </c>
      <c r="ER123" s="237" t="s">
        <v>705</v>
      </c>
      <c r="ES123" s="237">
        <v>11297.5</v>
      </c>
      <c r="ET123" s="237">
        <v>202.43148936170212</v>
      </c>
      <c r="EU123" s="661">
        <v>3</v>
      </c>
      <c r="EV123" s="661">
        <v>8</v>
      </c>
      <c r="EW123" s="661">
        <v>7</v>
      </c>
      <c r="EX123" s="661">
        <v>9</v>
      </c>
      <c r="EY123" s="660">
        <v>0.75918181818181818</v>
      </c>
      <c r="EZ123" s="256">
        <v>90.188799744541569</v>
      </c>
      <c r="FA123" s="247" t="s">
        <v>678</v>
      </c>
      <c r="FB123" s="208" t="s">
        <v>678</v>
      </c>
      <c r="FC123" s="208" t="s">
        <v>678</v>
      </c>
      <c r="FD123" s="208">
        <v>8</v>
      </c>
      <c r="FE123" s="239" t="s">
        <v>678</v>
      </c>
      <c r="FF123" s="208"/>
      <c r="FG123" s="241" t="s">
        <v>678</v>
      </c>
      <c r="FH123" s="209" t="s">
        <v>678</v>
      </c>
      <c r="FI123" s="237" t="s">
        <v>678</v>
      </c>
      <c r="FJ123" s="208" t="s">
        <v>678</v>
      </c>
      <c r="FK123" s="208" t="s">
        <v>678</v>
      </c>
      <c r="FL123" s="217" t="s">
        <v>678</v>
      </c>
      <c r="FM123" s="208" t="s">
        <v>678</v>
      </c>
      <c r="FN123" s="208" t="s">
        <v>678</v>
      </c>
      <c r="FO123" s="237">
        <v>3500</v>
      </c>
      <c r="FP123" s="247">
        <v>10.606060606060606</v>
      </c>
      <c r="FQ123" s="237">
        <v>2</v>
      </c>
      <c r="FU123" s="208" t="s">
        <v>678</v>
      </c>
      <c r="FV123" s="208" t="s">
        <v>678</v>
      </c>
      <c r="FW123" s="208" t="s">
        <v>678</v>
      </c>
      <c r="FX123" s="208" t="s">
        <v>678</v>
      </c>
      <c r="FY123" s="208" t="s">
        <v>678</v>
      </c>
      <c r="FZ123" s="208" t="s">
        <v>678</v>
      </c>
      <c r="GA123" s="208" t="s">
        <v>678</v>
      </c>
      <c r="GB123" s="208" t="s">
        <v>678</v>
      </c>
      <c r="GC123" s="208" t="s">
        <v>678</v>
      </c>
      <c r="GD123" s="208" t="s">
        <v>678</v>
      </c>
      <c r="GE123" s="237" t="s">
        <v>678</v>
      </c>
      <c r="GF123" s="237" t="s">
        <v>678</v>
      </c>
      <c r="GG123" s="237" t="s">
        <v>678</v>
      </c>
      <c r="GH123" s="237" t="s">
        <v>678</v>
      </c>
      <c r="GJ123" s="947">
        <v>492</v>
      </c>
      <c r="GK123" s="320">
        <v>3.0000000000000001E-3</v>
      </c>
      <c r="GL123" s="320">
        <v>0.32500000000000001</v>
      </c>
      <c r="GM123" s="320">
        <v>4.7E-2</v>
      </c>
      <c r="GN123" s="320">
        <v>0.625</v>
      </c>
      <c r="GO123" s="662">
        <v>8118</v>
      </c>
      <c r="GP123" s="663" t="str">
        <f>VLOOKUP(GS123,'BD Comarcal'!$A$6:$AV$17,48,FALSE)</f>
        <v>21</v>
      </c>
      <c r="GQ123" s="564">
        <v>176</v>
      </c>
      <c r="GR123" s="256">
        <f t="shared" si="1"/>
        <v>0</v>
      </c>
      <c r="GS123" s="237" t="s">
        <v>86</v>
      </c>
    </row>
    <row r="124" spans="1:201" s="237" customFormat="1" ht="17.25" customHeight="1">
      <c r="A124" s="236" t="s">
        <v>1194</v>
      </c>
      <c r="C124" s="238"/>
      <c r="D124" s="238">
        <v>1706</v>
      </c>
      <c r="E124" s="238">
        <v>624</v>
      </c>
      <c r="F124" s="239">
        <v>0.36576787807737399</v>
      </c>
      <c r="G124" s="238">
        <v>410</v>
      </c>
      <c r="H124" s="240">
        <v>2.804318419944633E-2</v>
      </c>
      <c r="I124" s="239">
        <v>4.4941000319625527E-5</v>
      </c>
      <c r="J124" s="238">
        <v>465</v>
      </c>
      <c r="K124" s="238">
        <v>4</v>
      </c>
      <c r="L124" s="238">
        <v>0</v>
      </c>
      <c r="M124" s="241">
        <v>0</v>
      </c>
      <c r="N124" s="238">
        <v>0</v>
      </c>
      <c r="O124" s="239">
        <v>0</v>
      </c>
      <c r="P124" s="237">
        <v>5</v>
      </c>
      <c r="Q124" s="237">
        <v>0</v>
      </c>
      <c r="R124" s="239">
        <v>0</v>
      </c>
      <c r="S124" s="238">
        <v>1061</v>
      </c>
      <c r="T124" s="436">
        <v>0</v>
      </c>
      <c r="U124" s="436">
        <v>0</v>
      </c>
      <c r="V124" s="436">
        <v>24</v>
      </c>
      <c r="W124" s="436">
        <v>24</v>
      </c>
      <c r="X124" s="238">
        <v>8386</v>
      </c>
      <c r="Y124" s="237">
        <v>0.12909999999999999</v>
      </c>
      <c r="Z124" s="238">
        <v>99126</v>
      </c>
      <c r="AA124" s="238">
        <v>11893</v>
      </c>
      <c r="AB124" s="238">
        <v>72.67</v>
      </c>
      <c r="AC124" s="238">
        <v>5150</v>
      </c>
      <c r="AD124" s="238">
        <v>9559008.7800000012</v>
      </c>
      <c r="AE124" s="238">
        <v>1269395.5000000019</v>
      </c>
      <c r="AF124" s="238">
        <v>8796782.3599999994</v>
      </c>
      <c r="AG124" s="238">
        <v>866337.84</v>
      </c>
      <c r="AH124" s="239">
        <v>9.848349141151197E-2</v>
      </c>
      <c r="AI124" s="247">
        <v>319.43090799999999</v>
      </c>
      <c r="AJ124" s="242">
        <v>86.609611000000001</v>
      </c>
      <c r="AK124" s="242">
        <v>5.0767650058616649</v>
      </c>
      <c r="AL124" s="242">
        <v>227.21289899999999</v>
      </c>
      <c r="AM124" s="242">
        <v>13.318458323563892</v>
      </c>
      <c r="AN124" s="242">
        <v>36732.42</v>
      </c>
      <c r="AO124" s="238">
        <v>5549.81</v>
      </c>
      <c r="AP124" s="243">
        <v>8</v>
      </c>
      <c r="AQ124" s="238">
        <v>1</v>
      </c>
      <c r="AR124" s="238">
        <v>1504.1701823060748</v>
      </c>
      <c r="AS124" s="238">
        <v>1582.6477691571229</v>
      </c>
      <c r="AT124" s="238">
        <v>450098.66666666669</v>
      </c>
      <c r="AU124" s="238">
        <v>288.93475508851964</v>
      </c>
      <c r="AV124" s="237">
        <v>1</v>
      </c>
      <c r="AW124" s="237">
        <v>0</v>
      </c>
      <c r="AX124" s="237">
        <v>1</v>
      </c>
      <c r="AY124" s="244" t="s">
        <v>673</v>
      </c>
      <c r="AZ124" s="244" t="s">
        <v>726</v>
      </c>
      <c r="BA124" s="237">
        <v>2014</v>
      </c>
      <c r="BB124" s="245" t="s">
        <v>1195</v>
      </c>
      <c r="BC124" s="215" t="s">
        <v>1196</v>
      </c>
      <c r="BE124" s="237">
        <v>2</v>
      </c>
      <c r="BF124" s="237">
        <v>77</v>
      </c>
      <c r="BG124" s="246" t="s">
        <v>698</v>
      </c>
      <c r="BI124" s="239">
        <v>0.35686351192804067</v>
      </c>
      <c r="BJ124" s="239">
        <v>8.7407117716073526E-2</v>
      </c>
      <c r="BK124" s="239">
        <v>0.54223699648025026</v>
      </c>
      <c r="BL124" s="239">
        <v>1.349237387563551E-2</v>
      </c>
      <c r="BM124" s="247">
        <v>1.7876417676965195</v>
      </c>
      <c r="BN124" s="248">
        <v>0</v>
      </c>
      <c r="BO124" s="248">
        <v>0</v>
      </c>
      <c r="BP124" s="237">
        <v>0</v>
      </c>
      <c r="BQ124" s="237">
        <v>0</v>
      </c>
      <c r="BR124" s="248">
        <v>0</v>
      </c>
      <c r="BS124" s="237">
        <v>26</v>
      </c>
      <c r="BT124" s="237" t="s">
        <v>755</v>
      </c>
      <c r="BU124" s="249" t="s">
        <v>678</v>
      </c>
      <c r="BV124" s="249">
        <v>909</v>
      </c>
      <c r="BW124" s="249">
        <v>4535</v>
      </c>
      <c r="BX124" s="249" t="s">
        <v>678</v>
      </c>
      <c r="BY124" s="249" t="s">
        <v>678</v>
      </c>
      <c r="BZ124" s="249">
        <v>10.78419741369083</v>
      </c>
      <c r="CA124" s="249">
        <v>53.802349033100015</v>
      </c>
      <c r="CB124" s="249" t="s">
        <v>678</v>
      </c>
      <c r="CC124" s="250" t="s">
        <v>678</v>
      </c>
      <c r="CD124" s="242">
        <v>-271</v>
      </c>
      <c r="CE124" s="252">
        <v>96.784909241902952</v>
      </c>
      <c r="CF124" s="238">
        <v>4424</v>
      </c>
      <c r="CG124" s="238">
        <v>762.9</v>
      </c>
      <c r="CH124" s="238">
        <v>9.0508957171669238</v>
      </c>
      <c r="CI124" s="216" t="s">
        <v>679</v>
      </c>
      <c r="CJ124" s="237">
        <v>0</v>
      </c>
      <c r="CK124" s="253">
        <v>313.37</v>
      </c>
      <c r="CL124" s="253">
        <v>77.606399999999994</v>
      </c>
      <c r="CM124" s="254">
        <v>4.5490269636576784E-2</v>
      </c>
      <c r="CN124" s="237" t="s">
        <v>81</v>
      </c>
      <c r="CO124" s="242"/>
      <c r="CP124" s="255">
        <v>0</v>
      </c>
      <c r="CV124" s="237">
        <v>7</v>
      </c>
      <c r="CW124" s="261">
        <v>1.833</v>
      </c>
      <c r="CX124" s="261">
        <v>0.221</v>
      </c>
      <c r="CY124" s="261">
        <v>2.68</v>
      </c>
      <c r="DB124" s="216"/>
      <c r="DC124" s="195" t="s">
        <v>1000</v>
      </c>
      <c r="DD124" s="256">
        <v>0.8</v>
      </c>
      <c r="DE124" s="256">
        <v>-10</v>
      </c>
      <c r="DF124" s="256">
        <v>0.5</v>
      </c>
      <c r="DG124" s="256">
        <v>-2.2999999999999998</v>
      </c>
      <c r="DH124" s="257">
        <v>2</v>
      </c>
      <c r="DI124" s="257">
        <v>4</v>
      </c>
      <c r="DJ124" s="257">
        <v>2.1</v>
      </c>
      <c r="DK124" s="257">
        <v>6.1</v>
      </c>
      <c r="DL124" s="237" t="s">
        <v>682</v>
      </c>
      <c r="DP124" s="258" t="s">
        <v>682</v>
      </c>
      <c r="DQ124" s="258"/>
      <c r="DR124" s="258"/>
      <c r="DS124" s="258"/>
      <c r="DT124" s="258"/>
      <c r="DU124" s="237">
        <v>0</v>
      </c>
      <c r="DX124" s="247"/>
      <c r="DY124" s="247">
        <v>0</v>
      </c>
      <c r="EA124" s="237">
        <v>0</v>
      </c>
      <c r="ED124" s="237" t="s">
        <v>678</v>
      </c>
      <c r="EE124" s="208">
        <v>4</v>
      </c>
      <c r="EF124" s="237" t="s">
        <v>678</v>
      </c>
      <c r="EG124" s="216" t="s">
        <v>733</v>
      </c>
      <c r="EH124" s="246" t="s">
        <v>734</v>
      </c>
      <c r="EI124" s="216" t="s">
        <v>691</v>
      </c>
      <c r="EJ124" s="216" t="s">
        <v>529</v>
      </c>
      <c r="EK124" s="222" t="s">
        <v>682</v>
      </c>
      <c r="EL124" s="259">
        <v>1987</v>
      </c>
      <c r="EM124" s="260">
        <v>765</v>
      </c>
      <c r="EN124" s="260">
        <v>387904</v>
      </c>
      <c r="EO124" s="260">
        <v>72224</v>
      </c>
      <c r="ER124" s="237" t="s">
        <v>705</v>
      </c>
      <c r="ES124" s="237" t="e">
        <v>#DIV/0!</v>
      </c>
      <c r="ET124" s="237">
        <v>94.410457516339875</v>
      </c>
      <c r="EU124" s="661">
        <v>3</v>
      </c>
      <c r="EV124" s="661">
        <v>2</v>
      </c>
      <c r="EW124" s="661">
        <v>2</v>
      </c>
      <c r="EX124" s="661">
        <v>9</v>
      </c>
      <c r="EY124" s="660">
        <v>0.18368698710433765</v>
      </c>
      <c r="EZ124" s="256">
        <v>26.897916201295594</v>
      </c>
      <c r="FA124" s="247">
        <v>1.1217948717948718</v>
      </c>
      <c r="FB124" s="208">
        <v>5</v>
      </c>
      <c r="FC124" s="208">
        <v>5</v>
      </c>
      <c r="FD124" s="208">
        <v>7</v>
      </c>
      <c r="FE124" s="239">
        <v>0.65705128205128205</v>
      </c>
      <c r="FF124" s="208"/>
      <c r="FG124" s="241">
        <v>9.7756410256410256E-3</v>
      </c>
      <c r="FH124" s="209">
        <v>0</v>
      </c>
      <c r="FI124" s="237" t="s">
        <v>678</v>
      </c>
      <c r="FJ124" s="208" t="s">
        <v>678</v>
      </c>
      <c r="FK124" s="208" t="s">
        <v>678</v>
      </c>
      <c r="FL124" s="217" t="s">
        <v>678</v>
      </c>
      <c r="FM124" s="208" t="s">
        <v>678</v>
      </c>
      <c r="FN124" s="208" t="s">
        <v>678</v>
      </c>
      <c r="FP124" s="247" t="s">
        <v>693</v>
      </c>
      <c r="FU124" s="208" t="s">
        <v>678</v>
      </c>
      <c r="FV124" s="208" t="s">
        <v>678</v>
      </c>
      <c r="FW124" s="208" t="s">
        <v>678</v>
      </c>
      <c r="FX124" s="208" t="s">
        <v>678</v>
      </c>
      <c r="FY124" s="208" t="s">
        <v>678</v>
      </c>
      <c r="FZ124" s="208" t="s">
        <v>678</v>
      </c>
      <c r="GA124" s="208" t="s">
        <v>678</v>
      </c>
      <c r="GB124" s="208" t="s">
        <v>678</v>
      </c>
      <c r="GC124" s="208" t="s">
        <v>678</v>
      </c>
      <c r="GD124" s="208" t="s">
        <v>678</v>
      </c>
      <c r="GE124" s="237" t="s">
        <v>678</v>
      </c>
      <c r="GF124" s="237" t="s">
        <v>678</v>
      </c>
      <c r="GG124" s="237" t="s">
        <v>678</v>
      </c>
      <c r="GH124" s="237" t="s">
        <v>678</v>
      </c>
      <c r="GJ124" s="947">
        <v>103</v>
      </c>
      <c r="GK124" s="320">
        <v>1.2E-2</v>
      </c>
      <c r="GL124" s="320">
        <v>0.22500000000000001</v>
      </c>
      <c r="GM124" s="320">
        <v>9.9000000000000005E-2</v>
      </c>
      <c r="GN124" s="320">
        <v>0.66400000000000003</v>
      </c>
      <c r="GO124" s="662">
        <v>8119</v>
      </c>
      <c r="GP124" s="663" t="str">
        <f>VLOOKUP(GS124,'BD Comarcal'!$A$6:$AV$17,48,FALSE)</f>
        <v>06</v>
      </c>
      <c r="GQ124" s="564">
        <v>61</v>
      </c>
      <c r="GR124" s="256">
        <f t="shared" si="1"/>
        <v>1</v>
      </c>
      <c r="GS124" s="237" t="s">
        <v>81</v>
      </c>
    </row>
    <row r="125" spans="1:201" s="237" customFormat="1" ht="17.25" customHeight="1">
      <c r="A125" s="236" t="s">
        <v>1197</v>
      </c>
      <c r="C125" s="238"/>
      <c r="D125" s="238">
        <v>2483</v>
      </c>
      <c r="E125" s="238">
        <v>2027</v>
      </c>
      <c r="F125" s="239">
        <v>0.81635118807893681</v>
      </c>
      <c r="G125" s="238">
        <v>1629</v>
      </c>
      <c r="H125" s="240">
        <v>544.90114658741788</v>
      </c>
      <c r="I125" s="239">
        <v>0.26882148326956973</v>
      </c>
      <c r="J125" s="238">
        <v>9</v>
      </c>
      <c r="K125" s="238">
        <v>30</v>
      </c>
      <c r="L125" s="238" t="s">
        <v>678</v>
      </c>
      <c r="M125" s="241" t="s">
        <v>678</v>
      </c>
      <c r="N125" s="238" t="s">
        <v>678</v>
      </c>
      <c r="O125" s="239" t="s">
        <v>678</v>
      </c>
      <c r="P125" s="237" t="s">
        <v>678</v>
      </c>
      <c r="Q125" s="237" t="s">
        <v>678</v>
      </c>
      <c r="R125" s="239" t="s">
        <v>678</v>
      </c>
      <c r="S125" s="238" t="s">
        <v>678</v>
      </c>
      <c r="T125" s="436">
        <v>0</v>
      </c>
      <c r="U125" s="436">
        <v>0</v>
      </c>
      <c r="V125" s="436">
        <v>0</v>
      </c>
      <c r="W125" s="436">
        <v>0</v>
      </c>
      <c r="X125" s="238">
        <v>8984</v>
      </c>
      <c r="Y125" s="237">
        <v>0.151</v>
      </c>
      <c r="Z125" s="238">
        <v>242488</v>
      </c>
      <c r="AA125" s="238">
        <v>27246</v>
      </c>
      <c r="AB125" s="238">
        <v>166.47</v>
      </c>
      <c r="AC125" s="238">
        <v>1185</v>
      </c>
      <c r="AD125" s="238">
        <v>13541430.84</v>
      </c>
      <c r="AE125" s="238">
        <v>3519379.9399999995</v>
      </c>
      <c r="AF125" s="238">
        <v>10142380.16</v>
      </c>
      <c r="AG125" s="238">
        <v>565684.31000000006</v>
      </c>
      <c r="AH125" s="239">
        <v>5.5774315404876332E-2</v>
      </c>
      <c r="AI125" s="247">
        <v>825.17019000000005</v>
      </c>
      <c r="AJ125" s="242">
        <v>225.281702</v>
      </c>
      <c r="AK125" s="242">
        <v>9.0729642368103107</v>
      </c>
      <c r="AL125" s="242">
        <v>600.39133500000003</v>
      </c>
      <c r="AM125" s="242">
        <v>24.180077929923481</v>
      </c>
      <c r="AN125" s="242">
        <v>32129.53</v>
      </c>
      <c r="AO125" s="238">
        <v>0</v>
      </c>
      <c r="AP125" s="243">
        <v>0</v>
      </c>
      <c r="AQ125" s="238">
        <v>1</v>
      </c>
      <c r="AR125" s="238">
        <v>1860.2470104202791</v>
      </c>
      <c r="AS125" s="238">
        <v>4359.7300527731459</v>
      </c>
      <c r="AT125" s="238">
        <v>1039123.6666666666</v>
      </c>
      <c r="AU125" s="238">
        <v>429.0382194284083</v>
      </c>
      <c r="AV125" s="237">
        <v>1</v>
      </c>
      <c r="AW125" s="237">
        <v>0</v>
      </c>
      <c r="AX125" s="237">
        <v>1</v>
      </c>
      <c r="AY125" s="244" t="s">
        <v>717</v>
      </c>
      <c r="AZ125" s="244" t="s">
        <v>717</v>
      </c>
      <c r="BA125" s="237">
        <v>2013</v>
      </c>
      <c r="BB125" s="245" t="s">
        <v>1198</v>
      </c>
      <c r="BC125" s="215" t="s">
        <v>1199</v>
      </c>
      <c r="BD125" s="237">
        <v>1</v>
      </c>
      <c r="BE125" s="237">
        <v>39</v>
      </c>
      <c r="BF125" s="237">
        <v>37</v>
      </c>
      <c r="BG125" s="246" t="s">
        <v>676</v>
      </c>
      <c r="BI125" s="239">
        <v>0.37740321306294444</v>
      </c>
      <c r="BJ125" s="239">
        <v>0.1782986568343429</v>
      </c>
      <c r="BK125" s="239">
        <v>0.42559915722939162</v>
      </c>
      <c r="BL125" s="239">
        <v>1.8698972873321042E-2</v>
      </c>
      <c r="BM125" s="247">
        <v>1.9144061100869108</v>
      </c>
      <c r="BN125" s="248">
        <v>0</v>
      </c>
      <c r="BO125" s="248">
        <v>0</v>
      </c>
      <c r="BP125" s="237">
        <v>0</v>
      </c>
      <c r="BQ125" s="237">
        <v>0</v>
      </c>
      <c r="BR125" s="248">
        <v>0</v>
      </c>
      <c r="BS125" s="237">
        <v>13</v>
      </c>
      <c r="BT125" s="237" t="s">
        <v>967</v>
      </c>
      <c r="BU125" s="249" t="s">
        <v>678</v>
      </c>
      <c r="BV125" s="249">
        <v>555</v>
      </c>
      <c r="BW125" s="249">
        <v>3274</v>
      </c>
      <c r="BX125" s="249">
        <v>2851</v>
      </c>
      <c r="BY125" s="249" t="s">
        <v>678</v>
      </c>
      <c r="BZ125" s="249">
        <v>6.3183060109289615</v>
      </c>
      <c r="CA125" s="249">
        <v>37.272313296903462</v>
      </c>
      <c r="CB125" s="249">
        <v>32.45673952641166</v>
      </c>
      <c r="CC125" s="250" t="s">
        <v>678</v>
      </c>
      <c r="CD125" s="242">
        <v>-488</v>
      </c>
      <c r="CE125" s="252">
        <v>94.444444444444443</v>
      </c>
      <c r="CF125" s="238">
        <v>3333</v>
      </c>
      <c r="CG125" s="238">
        <v>270.39999999999998</v>
      </c>
      <c r="CH125" s="238">
        <v>3.078324225865209</v>
      </c>
      <c r="CI125" s="216" t="s">
        <v>700</v>
      </c>
      <c r="CJ125" s="237">
        <v>0</v>
      </c>
      <c r="CK125" s="253">
        <v>851.06</v>
      </c>
      <c r="CL125" s="253">
        <v>4.1982999999999997</v>
      </c>
      <c r="CM125" s="254">
        <v>1.6908175594039466E-3</v>
      </c>
      <c r="CN125" s="237" t="s">
        <v>89</v>
      </c>
      <c r="CO125" s="242">
        <v>1463.52</v>
      </c>
      <c r="CP125" s="255">
        <v>0.58941602899718082</v>
      </c>
      <c r="CV125" s="237">
        <v>3</v>
      </c>
      <c r="CW125" s="194">
        <v>1.6890000000000001</v>
      </c>
      <c r="CX125" s="194">
        <v>0.63500000000000001</v>
      </c>
      <c r="CY125" s="194">
        <v>0.17499999999999999</v>
      </c>
      <c r="CZ125" s="237" t="s">
        <v>529</v>
      </c>
      <c r="DA125" s="237" t="s">
        <v>1200</v>
      </c>
      <c r="DB125" s="216"/>
      <c r="DC125" s="195" t="s">
        <v>1201</v>
      </c>
      <c r="DD125" s="256">
        <v>0.7</v>
      </c>
      <c r="DE125" s="256">
        <v>-6.5</v>
      </c>
      <c r="DF125" s="256">
        <v>0.7</v>
      </c>
      <c r="DG125" s="256">
        <v>-2.2000000000000002</v>
      </c>
      <c r="DL125" s="237" t="s">
        <v>682</v>
      </c>
      <c r="DP125" s="258" t="s">
        <v>682</v>
      </c>
      <c r="DQ125" s="258"/>
      <c r="DR125" s="258"/>
      <c r="DS125" s="258"/>
      <c r="DT125" s="258"/>
      <c r="DU125" s="237">
        <v>0</v>
      </c>
      <c r="DX125" s="247"/>
      <c r="DY125" s="247">
        <v>0</v>
      </c>
      <c r="EA125" s="237">
        <v>0</v>
      </c>
      <c r="ED125" s="237" t="s">
        <v>732</v>
      </c>
      <c r="EE125" s="208">
        <v>0</v>
      </c>
      <c r="EF125" s="237" t="s">
        <v>688</v>
      </c>
      <c r="EG125" s="216" t="s">
        <v>715</v>
      </c>
      <c r="EH125" s="246" t="s">
        <v>690</v>
      </c>
      <c r="EI125" s="216" t="s">
        <v>689</v>
      </c>
      <c r="EJ125" s="216" t="s">
        <v>529</v>
      </c>
      <c r="EK125" s="222" t="s">
        <v>529</v>
      </c>
      <c r="EL125" s="259">
        <v>2009</v>
      </c>
      <c r="EM125" s="260">
        <v>55057</v>
      </c>
      <c r="EN125" s="260">
        <v>616776</v>
      </c>
      <c r="EO125" s="260">
        <v>156636</v>
      </c>
      <c r="ER125" s="237" t="s">
        <v>705</v>
      </c>
      <c r="ES125" s="237" t="e">
        <v>#DIV/0!</v>
      </c>
      <c r="ET125" s="237">
        <v>2.8449788401111573</v>
      </c>
      <c r="EU125" s="661">
        <v>2</v>
      </c>
      <c r="EV125" s="661">
        <v>0</v>
      </c>
      <c r="EW125" s="661" t="s">
        <v>678</v>
      </c>
      <c r="EX125" s="661">
        <v>4</v>
      </c>
      <c r="EY125" s="660">
        <v>0.34275473217881591</v>
      </c>
      <c r="EZ125" s="256">
        <v>10.321246445609006</v>
      </c>
      <c r="FA125" s="247">
        <v>0.1480019733596448</v>
      </c>
      <c r="FB125" s="208">
        <v>2</v>
      </c>
      <c r="FC125" s="208">
        <v>3</v>
      </c>
      <c r="FD125" s="208">
        <v>4</v>
      </c>
      <c r="FE125" s="239">
        <v>0.80365071534287125</v>
      </c>
      <c r="FF125" s="208"/>
      <c r="FG125" s="241">
        <v>0</v>
      </c>
      <c r="FH125" s="209">
        <v>0</v>
      </c>
      <c r="FI125" s="237" t="s">
        <v>678</v>
      </c>
      <c r="FJ125" s="208">
        <v>58.1</v>
      </c>
      <c r="FK125" s="208">
        <v>45.35</v>
      </c>
      <c r="FL125" s="217">
        <v>88.5</v>
      </c>
      <c r="FM125" s="208">
        <v>10.28</v>
      </c>
      <c r="FN125" s="208" t="s">
        <v>1202</v>
      </c>
      <c r="FP125" s="247" t="s">
        <v>693</v>
      </c>
      <c r="FU125" s="208">
        <v>47</v>
      </c>
      <c r="FV125" s="208">
        <v>69.400000000000006</v>
      </c>
      <c r="FW125" s="237">
        <v>73.430000000000007</v>
      </c>
      <c r="FX125" s="237">
        <v>58.2</v>
      </c>
      <c r="FY125" s="208">
        <v>98.34</v>
      </c>
      <c r="FZ125" s="208">
        <v>87.2</v>
      </c>
      <c r="GA125" s="208">
        <v>64.62</v>
      </c>
      <c r="GB125" s="208">
        <v>73.099999999999994</v>
      </c>
      <c r="GC125" s="208">
        <v>0.15</v>
      </c>
      <c r="GD125" s="208">
        <v>34.200000000000003</v>
      </c>
      <c r="GE125" s="237">
        <v>55.59</v>
      </c>
      <c r="GF125" s="237">
        <v>72.599999999999994</v>
      </c>
      <c r="GG125" s="237">
        <v>0</v>
      </c>
      <c r="GH125" s="237">
        <v>0.7</v>
      </c>
      <c r="GJ125" s="947">
        <v>123</v>
      </c>
      <c r="GK125" s="320">
        <v>0</v>
      </c>
      <c r="GL125" s="320">
        <v>1.2E-2</v>
      </c>
      <c r="GM125" s="320">
        <v>0.113</v>
      </c>
      <c r="GN125" s="320">
        <v>0.874</v>
      </c>
      <c r="GO125" s="662">
        <v>8120</v>
      </c>
      <c r="GP125" s="663" t="str">
        <f>VLOOKUP(GS125,'BD Comarcal'!$A$6:$AV$17,48,FALSE)</f>
        <v>40</v>
      </c>
      <c r="GQ125" s="564">
        <v>53</v>
      </c>
      <c r="GR125" s="256">
        <f t="shared" si="1"/>
        <v>0</v>
      </c>
      <c r="GS125" s="237" t="s">
        <v>89</v>
      </c>
    </row>
    <row r="126" spans="1:201" s="237" customFormat="1" ht="17.25" customHeight="1">
      <c r="A126" s="236" t="s">
        <v>345</v>
      </c>
      <c r="C126" s="238" t="s">
        <v>683</v>
      </c>
      <c r="D126" s="238">
        <v>2260</v>
      </c>
      <c r="E126" s="238">
        <v>923</v>
      </c>
      <c r="F126" s="239">
        <v>0.40840707964601769</v>
      </c>
      <c r="G126" s="238">
        <v>525</v>
      </c>
      <c r="H126" s="240">
        <v>26.25</v>
      </c>
      <c r="I126" s="239">
        <v>0.05</v>
      </c>
      <c r="J126" s="238">
        <v>140</v>
      </c>
      <c r="K126" s="238">
        <v>32</v>
      </c>
      <c r="L126" s="238">
        <v>109</v>
      </c>
      <c r="M126" s="241">
        <v>4.8230088495575224E-2</v>
      </c>
      <c r="N126" s="238">
        <v>11</v>
      </c>
      <c r="O126" s="239">
        <v>7.857142857142857E-2</v>
      </c>
      <c r="P126" s="237">
        <v>7</v>
      </c>
      <c r="Q126" s="237">
        <v>0</v>
      </c>
      <c r="R126" s="239">
        <v>0</v>
      </c>
      <c r="S126" s="238">
        <v>282</v>
      </c>
      <c r="T126" s="436">
        <v>585</v>
      </c>
      <c r="U126" s="436">
        <v>0</v>
      </c>
      <c r="V126" s="436">
        <v>787</v>
      </c>
      <c r="W126" s="436">
        <v>1372</v>
      </c>
      <c r="X126" s="238">
        <v>125517</v>
      </c>
      <c r="Y126" s="237">
        <v>0.16250000000000001</v>
      </c>
      <c r="Z126" s="238">
        <v>1611296</v>
      </c>
      <c r="AA126" s="238">
        <v>12904</v>
      </c>
      <c r="AB126" s="238">
        <v>78.849999999999994</v>
      </c>
      <c r="AC126" s="238">
        <v>127781</v>
      </c>
      <c r="AD126" s="238">
        <v>125588317.86999999</v>
      </c>
      <c r="AE126" s="238">
        <v>16572848.829999983</v>
      </c>
      <c r="AF126" s="238">
        <v>107277196.91000001</v>
      </c>
      <c r="AG126" s="238">
        <v>10099958.57</v>
      </c>
      <c r="AH126" s="239">
        <v>9.4148233370353065E-2</v>
      </c>
      <c r="AI126" s="247">
        <v>749.62551699999995</v>
      </c>
      <c r="AJ126" s="242">
        <v>227.79235499999999</v>
      </c>
      <c r="AK126" s="242">
        <v>10.079307743362831</v>
      </c>
      <c r="AL126" s="242">
        <v>131.53961000000001</v>
      </c>
      <c r="AM126" s="242">
        <v>5.8203367256637177</v>
      </c>
      <c r="AN126" s="242">
        <v>150958.07</v>
      </c>
      <c r="AO126" s="238">
        <v>8758.1</v>
      </c>
      <c r="AP126" s="243">
        <v>34</v>
      </c>
      <c r="AQ126" s="238">
        <v>1</v>
      </c>
      <c r="AR126" s="238">
        <v>1121.421542332645</v>
      </c>
      <c r="AS126" s="238">
        <v>1215.143034207628</v>
      </c>
      <c r="AT126" s="238">
        <v>6300119.7404988827</v>
      </c>
      <c r="AU126" s="238">
        <v>228.10495808729115</v>
      </c>
      <c r="AV126" s="237">
        <v>1</v>
      </c>
      <c r="AW126" s="237">
        <v>0</v>
      </c>
      <c r="AX126" s="237">
        <v>1</v>
      </c>
      <c r="AY126" s="244" t="s">
        <v>673</v>
      </c>
      <c r="AZ126" s="244" t="s">
        <v>673</v>
      </c>
      <c r="BA126" s="237">
        <v>2009</v>
      </c>
      <c r="BB126" s="245" t="s">
        <v>743</v>
      </c>
      <c r="BC126" s="215" t="s">
        <v>744</v>
      </c>
      <c r="BD126" s="237">
        <v>1</v>
      </c>
      <c r="BE126" s="237">
        <v>403</v>
      </c>
      <c r="BF126" s="237">
        <v>2</v>
      </c>
      <c r="BG126" s="246" t="s">
        <v>676</v>
      </c>
      <c r="BI126" s="239">
        <v>0.38498228096373727</v>
      </c>
      <c r="BJ126" s="239">
        <v>0.12665210511066038</v>
      </c>
      <c r="BK126" s="239">
        <v>0.45790893084003831</v>
      </c>
      <c r="BL126" s="239">
        <v>3.0456683085563999E-2</v>
      </c>
      <c r="BM126" s="247">
        <v>1.8661599839525709</v>
      </c>
      <c r="BN126" s="248">
        <v>0</v>
      </c>
      <c r="BO126" s="248">
        <v>7</v>
      </c>
      <c r="BP126" s="237">
        <v>1</v>
      </c>
      <c r="BQ126" s="237">
        <v>1</v>
      </c>
      <c r="BR126" s="248">
        <v>7</v>
      </c>
      <c r="BS126" s="237">
        <v>0</v>
      </c>
      <c r="BT126" s="237" t="s">
        <v>345</v>
      </c>
      <c r="BU126" s="249">
        <v>14022</v>
      </c>
      <c r="BV126" s="249">
        <v>14341</v>
      </c>
      <c r="BW126" s="249">
        <v>57159</v>
      </c>
      <c r="BX126" s="249">
        <v>15729</v>
      </c>
      <c r="BY126" s="249">
        <v>11.29904350558828</v>
      </c>
      <c r="BZ126" s="249">
        <v>11.55609634243628</v>
      </c>
      <c r="CA126" s="249">
        <v>46.059194675218976</v>
      </c>
      <c r="CB126" s="249">
        <v>12.674558215618175</v>
      </c>
      <c r="CC126" s="250">
        <v>103.06851787685638</v>
      </c>
      <c r="CD126" s="242">
        <v>-4531</v>
      </c>
      <c r="CE126" s="252">
        <v>96.348882746839223</v>
      </c>
      <c r="CF126" s="238">
        <v>54310</v>
      </c>
      <c r="CG126" s="238">
        <v>13641.1</v>
      </c>
      <c r="CH126" s="238">
        <v>10.992111137076044</v>
      </c>
      <c r="CI126" s="216" t="s">
        <v>679</v>
      </c>
      <c r="CJ126" s="237">
        <v>0</v>
      </c>
      <c r="CK126" s="253">
        <v>748.33</v>
      </c>
      <c r="CL126" s="253">
        <v>315.87329999999997</v>
      </c>
      <c r="CM126" s="254">
        <v>0.13976694690265484</v>
      </c>
      <c r="CN126" s="237" t="s">
        <v>86</v>
      </c>
      <c r="CO126" s="242"/>
      <c r="CP126" s="255">
        <v>0</v>
      </c>
      <c r="CV126" s="262">
        <v>30</v>
      </c>
      <c r="CW126" s="194">
        <v>1.3140000000000001</v>
      </c>
      <c r="CX126" s="194">
        <v>0.63500000000000001</v>
      </c>
      <c r="CY126" s="194">
        <v>0.65800000000000003</v>
      </c>
      <c r="CZ126" s="237" t="s">
        <v>529</v>
      </c>
      <c r="DA126" s="237" t="s">
        <v>345</v>
      </c>
      <c r="DB126" s="216"/>
      <c r="DC126" s="195" t="s">
        <v>1203</v>
      </c>
      <c r="DD126" s="256">
        <v>0.7</v>
      </c>
      <c r="DE126" s="256">
        <v>-6.5</v>
      </c>
      <c r="DF126" s="256">
        <v>0.7</v>
      </c>
      <c r="DG126" s="256">
        <v>-2.2000000000000002</v>
      </c>
      <c r="DL126" s="237" t="s">
        <v>529</v>
      </c>
      <c r="DM126" s="270" t="s">
        <v>764</v>
      </c>
      <c r="DN126" s="237" t="s">
        <v>713</v>
      </c>
      <c r="DP126" s="258" t="s">
        <v>683</v>
      </c>
      <c r="DQ126" s="258" t="s">
        <v>1193</v>
      </c>
      <c r="DR126" s="258" t="s">
        <v>740</v>
      </c>
      <c r="DS126" s="258"/>
      <c r="DT126" s="258"/>
      <c r="DU126" s="237">
        <v>0</v>
      </c>
      <c r="DX126" s="247"/>
      <c r="DY126" s="247">
        <v>0</v>
      </c>
      <c r="EA126" s="237">
        <v>1</v>
      </c>
      <c r="EB126" s="237" t="s">
        <v>765</v>
      </c>
      <c r="ED126" s="237" t="s">
        <v>678</v>
      </c>
      <c r="EE126" s="208">
        <v>1</v>
      </c>
      <c r="EF126" s="237" t="s">
        <v>678</v>
      </c>
      <c r="EG126" s="216" t="s">
        <v>689</v>
      </c>
      <c r="EH126" s="246" t="s">
        <v>690</v>
      </c>
      <c r="EI126" s="216"/>
      <c r="EJ126" s="216" t="s">
        <v>529</v>
      </c>
      <c r="EK126" s="222" t="s">
        <v>529</v>
      </c>
      <c r="EL126" s="259">
        <v>1997</v>
      </c>
      <c r="EM126" s="260">
        <v>39320</v>
      </c>
      <c r="EN126" s="260">
        <v>4619330.1614895882</v>
      </c>
      <c r="EO126" s="260">
        <v>1957386.0600070602</v>
      </c>
      <c r="ER126" s="237" t="s">
        <v>705</v>
      </c>
      <c r="ES126" s="237">
        <v>17728.428571428572</v>
      </c>
      <c r="ET126" s="237">
        <v>49.780927263658704</v>
      </c>
      <c r="EU126" s="661">
        <v>1</v>
      </c>
      <c r="EV126" s="661">
        <v>5</v>
      </c>
      <c r="EW126" s="661">
        <v>5</v>
      </c>
      <c r="EX126" s="661">
        <v>5</v>
      </c>
      <c r="EY126" s="660">
        <v>0.33111946902654871</v>
      </c>
      <c r="EZ126" s="256">
        <v>165.83459169083159</v>
      </c>
      <c r="FA126" s="247">
        <v>3.2502708559046587</v>
      </c>
      <c r="FB126" s="208">
        <v>1</v>
      </c>
      <c r="FC126" s="208">
        <v>3</v>
      </c>
      <c r="FD126" s="208">
        <v>3</v>
      </c>
      <c r="FE126" s="239">
        <v>0.56879739978331523</v>
      </c>
      <c r="FF126" s="208"/>
      <c r="FG126" s="241">
        <v>0</v>
      </c>
      <c r="FH126" s="209">
        <v>0</v>
      </c>
      <c r="FI126" s="237" t="s">
        <v>678</v>
      </c>
      <c r="FJ126" s="208" t="s">
        <v>678</v>
      </c>
      <c r="FK126" s="208" t="s">
        <v>678</v>
      </c>
      <c r="FL126" s="217" t="s">
        <v>678</v>
      </c>
      <c r="FM126" s="208" t="s">
        <v>678</v>
      </c>
      <c r="FN126" s="208" t="s">
        <v>678</v>
      </c>
      <c r="FO126" s="237">
        <v>2370</v>
      </c>
      <c r="FP126" s="247">
        <v>1.0486725663716814</v>
      </c>
      <c r="FQ126" s="237">
        <v>2</v>
      </c>
      <c r="FU126" s="208" t="s">
        <v>678</v>
      </c>
      <c r="FV126" s="208" t="s">
        <v>678</v>
      </c>
      <c r="FW126" s="208" t="s">
        <v>678</v>
      </c>
      <c r="FX126" s="208" t="s">
        <v>678</v>
      </c>
      <c r="FY126" s="208" t="s">
        <v>678</v>
      </c>
      <c r="FZ126" s="208" t="s">
        <v>678</v>
      </c>
      <c r="GA126" s="208" t="s">
        <v>678</v>
      </c>
      <c r="GB126" s="208" t="s">
        <v>678</v>
      </c>
      <c r="GC126" s="208" t="s">
        <v>678</v>
      </c>
      <c r="GD126" s="208" t="s">
        <v>678</v>
      </c>
      <c r="GE126" s="237" t="s">
        <v>678</v>
      </c>
      <c r="GF126" s="237" t="s">
        <v>678</v>
      </c>
      <c r="GG126" s="237" t="s">
        <v>678</v>
      </c>
      <c r="GH126" s="237" t="s">
        <v>678</v>
      </c>
      <c r="GJ126" s="947">
        <v>2801</v>
      </c>
      <c r="GK126" s="320">
        <v>2E-3</v>
      </c>
      <c r="GL126" s="320">
        <v>0.15</v>
      </c>
      <c r="GM126" s="320">
        <v>4.8000000000000001E-2</v>
      </c>
      <c r="GN126" s="320">
        <v>0.8</v>
      </c>
      <c r="GO126" s="662">
        <v>8121</v>
      </c>
      <c r="GP126" s="663" t="str">
        <f>VLOOKUP(GS126,'BD Comarcal'!$A$6:$AV$17,48,FALSE)</f>
        <v>21</v>
      </c>
      <c r="GQ126" s="564">
        <v>939</v>
      </c>
      <c r="GR126" s="256">
        <f t="shared" si="1"/>
        <v>0</v>
      </c>
      <c r="GS126" s="237" t="s">
        <v>86</v>
      </c>
    </row>
    <row r="127" spans="1:201" s="237" customFormat="1" ht="17.25" customHeight="1">
      <c r="A127" s="236" t="s">
        <v>1204</v>
      </c>
      <c r="C127" s="238"/>
      <c r="D127" s="238">
        <v>4761</v>
      </c>
      <c r="E127" s="238">
        <v>3032</v>
      </c>
      <c r="F127" s="239">
        <v>0.63684099978996012</v>
      </c>
      <c r="G127" s="238">
        <v>2502</v>
      </c>
      <c r="H127" s="240">
        <v>903.38190707887895</v>
      </c>
      <c r="I127" s="239">
        <v>0.29794917779646402</v>
      </c>
      <c r="J127" s="238">
        <v>1691</v>
      </c>
      <c r="K127" s="238">
        <v>62</v>
      </c>
      <c r="L127" s="238">
        <v>8</v>
      </c>
      <c r="M127" s="241">
        <v>1.6803192606595252E-3</v>
      </c>
      <c r="N127" s="238">
        <v>273</v>
      </c>
      <c r="O127" s="239">
        <v>0.16144293317563571</v>
      </c>
      <c r="P127" s="237">
        <v>3</v>
      </c>
      <c r="Q127" s="237">
        <v>0</v>
      </c>
      <c r="R127" s="239">
        <v>0</v>
      </c>
      <c r="S127" s="238">
        <v>952</v>
      </c>
      <c r="T127" s="436">
        <v>0</v>
      </c>
      <c r="U127" s="436">
        <v>13</v>
      </c>
      <c r="V127" s="436">
        <v>0</v>
      </c>
      <c r="W127" s="436">
        <v>13</v>
      </c>
      <c r="X127" s="238">
        <v>2282</v>
      </c>
      <c r="Y127" s="237">
        <v>0.20380000000000001</v>
      </c>
      <c r="Z127" s="238">
        <v>29811</v>
      </c>
      <c r="AA127" s="238">
        <v>13115</v>
      </c>
      <c r="AB127" s="238">
        <v>80.13</v>
      </c>
      <c r="AC127" s="238">
        <v>1555</v>
      </c>
      <c r="AD127" s="238">
        <v>3043159.1100000003</v>
      </c>
      <c r="AE127" s="238">
        <v>306151.06000000052</v>
      </c>
      <c r="AF127" s="238">
        <v>2405321.6599999997</v>
      </c>
      <c r="AG127" s="238">
        <v>73648.899999999994</v>
      </c>
      <c r="AH127" s="239">
        <v>3.0619148043592642E-2</v>
      </c>
      <c r="AI127" s="247">
        <v>249.733462</v>
      </c>
      <c r="AJ127" s="242">
        <v>25.257686</v>
      </c>
      <c r="AK127" s="242">
        <v>0.53051220331863047</v>
      </c>
      <c r="AL127" s="242">
        <v>216.38840200000001</v>
      </c>
      <c r="AM127" s="242">
        <v>4.5450199957992021</v>
      </c>
      <c r="AN127" s="242">
        <v>33055.75</v>
      </c>
      <c r="AO127" s="238">
        <v>2017.77</v>
      </c>
      <c r="AP127" s="243">
        <v>0</v>
      </c>
      <c r="AQ127" s="238">
        <v>2</v>
      </c>
      <c r="AR127" s="238">
        <v>1423.3166409845642</v>
      </c>
      <c r="AS127" s="238">
        <v>2239.350758683091</v>
      </c>
      <c r="AT127" s="238">
        <v>242506.33333333334</v>
      </c>
      <c r="AU127" s="238">
        <v>357.30062638944491</v>
      </c>
      <c r="AV127" s="237">
        <v>1</v>
      </c>
      <c r="AW127" s="237">
        <v>1</v>
      </c>
      <c r="AX127" s="237">
        <v>1</v>
      </c>
      <c r="AY127" s="244" t="s">
        <v>673</v>
      </c>
      <c r="AZ127" s="244" t="s">
        <v>726</v>
      </c>
      <c r="BA127" s="237">
        <v>2009</v>
      </c>
      <c r="BB127" s="245" t="s">
        <v>1205</v>
      </c>
      <c r="BC127" s="215" t="s">
        <v>1206</v>
      </c>
      <c r="BE127" s="237">
        <v>8</v>
      </c>
      <c r="BF127" s="237">
        <v>20</v>
      </c>
      <c r="BG127" s="246" t="s">
        <v>698</v>
      </c>
      <c r="BI127" s="239">
        <v>0.67290192113245706</v>
      </c>
      <c r="BJ127" s="239">
        <v>8.3417593528816988E-2</v>
      </c>
      <c r="BK127" s="239">
        <v>0.22699696663296259</v>
      </c>
      <c r="BL127" s="239">
        <v>1.6683518705763397E-2</v>
      </c>
      <c r="BM127" s="247">
        <v>2.4125379170879682</v>
      </c>
      <c r="BN127" s="248">
        <v>1</v>
      </c>
      <c r="BO127" s="248">
        <v>0</v>
      </c>
      <c r="BP127" s="237">
        <v>0</v>
      </c>
      <c r="BQ127" s="237">
        <v>0</v>
      </c>
      <c r="BR127" s="248">
        <v>1</v>
      </c>
      <c r="BS127" s="237">
        <v>25</v>
      </c>
      <c r="BT127" s="237" t="s">
        <v>790</v>
      </c>
      <c r="BU127" s="249" t="s">
        <v>678</v>
      </c>
      <c r="BV127" s="249">
        <v>263</v>
      </c>
      <c r="BW127" s="249">
        <v>1226</v>
      </c>
      <c r="BX127" s="249" t="s">
        <v>678</v>
      </c>
      <c r="BY127" s="249" t="s">
        <v>678</v>
      </c>
      <c r="BZ127" s="249">
        <v>11.177220569485764</v>
      </c>
      <c r="CA127" s="249">
        <v>52.103697407564809</v>
      </c>
      <c r="CB127" s="249" t="s">
        <v>678</v>
      </c>
      <c r="CC127" s="250" t="s">
        <v>678</v>
      </c>
      <c r="CD127" s="242" t="s">
        <v>678</v>
      </c>
      <c r="CE127" s="252" t="s">
        <v>678</v>
      </c>
      <c r="CF127" s="238">
        <v>1935</v>
      </c>
      <c r="CG127" s="238">
        <v>174</v>
      </c>
      <c r="CH127" s="238">
        <v>7.394815129621759</v>
      </c>
      <c r="CI127" s="216" t="s">
        <v>700</v>
      </c>
      <c r="CJ127" s="237">
        <v>0</v>
      </c>
      <c r="CK127" s="253">
        <v>249.73</v>
      </c>
      <c r="CL127" s="253">
        <v>15.4788</v>
      </c>
      <c r="CM127" s="254">
        <v>3.2511657214870826E-3</v>
      </c>
      <c r="CN127" s="237" t="s">
        <v>791</v>
      </c>
      <c r="CO127" s="242">
        <v>490.86</v>
      </c>
      <c r="CP127" s="255">
        <v>0.10310018903591683</v>
      </c>
      <c r="CV127" s="237">
        <v>6</v>
      </c>
      <c r="CW127" s="261" t="s">
        <v>678</v>
      </c>
      <c r="CX127" s="261" t="s">
        <v>678</v>
      </c>
      <c r="CY127" s="261" t="s">
        <v>678</v>
      </c>
      <c r="DB127" s="216"/>
      <c r="DC127" s="195" t="s">
        <v>1000</v>
      </c>
      <c r="DD127" s="256">
        <v>0.8</v>
      </c>
      <c r="DE127" s="256">
        <v>-10</v>
      </c>
      <c r="DF127" s="256">
        <v>0.5</v>
      </c>
      <c r="DG127" s="256">
        <v>-2.2999999999999998</v>
      </c>
      <c r="DH127" s="257">
        <v>4</v>
      </c>
      <c r="DI127" s="257">
        <v>2.83</v>
      </c>
      <c r="DJ127" s="257">
        <v>2.93</v>
      </c>
      <c r="DK127" s="257">
        <v>5.76</v>
      </c>
      <c r="DL127" s="237" t="s">
        <v>682</v>
      </c>
      <c r="DP127" s="258" t="s">
        <v>682</v>
      </c>
      <c r="DQ127" s="258"/>
      <c r="DR127" s="258"/>
      <c r="DS127" s="258"/>
      <c r="DT127" s="258"/>
      <c r="DU127" s="237">
        <v>0</v>
      </c>
      <c r="DX127" s="247"/>
      <c r="DY127" s="247">
        <v>0</v>
      </c>
      <c r="EA127" s="237">
        <v>0</v>
      </c>
      <c r="EB127" s="237" t="s">
        <v>859</v>
      </c>
      <c r="ED127" s="237" t="s">
        <v>687</v>
      </c>
      <c r="EE127" s="208">
        <v>1</v>
      </c>
      <c r="EF127" s="237" t="s">
        <v>688</v>
      </c>
      <c r="EG127" s="216" t="s">
        <v>733</v>
      </c>
      <c r="EH127" s="246" t="s">
        <v>734</v>
      </c>
      <c r="EI127" s="216" t="s">
        <v>689</v>
      </c>
      <c r="EJ127" s="216" t="s">
        <v>529</v>
      </c>
      <c r="EK127" s="222" t="s">
        <v>682</v>
      </c>
      <c r="EL127" s="259">
        <v>2013</v>
      </c>
      <c r="EM127" s="260">
        <v>9025</v>
      </c>
      <c r="EN127" s="260">
        <v>128474</v>
      </c>
      <c r="EO127" s="260">
        <v>103325</v>
      </c>
      <c r="ER127" s="237" t="s">
        <v>705</v>
      </c>
      <c r="ES127" s="237">
        <v>2353</v>
      </c>
      <c r="ET127" s="237">
        <v>11.448753462603879</v>
      </c>
      <c r="EU127" s="661">
        <v>1</v>
      </c>
      <c r="EV127" s="661">
        <v>1</v>
      </c>
      <c r="EW127" s="661">
        <v>1</v>
      </c>
      <c r="EX127" s="661">
        <v>7</v>
      </c>
      <c r="EY127" s="660">
        <v>5.2453266120562905E-2</v>
      </c>
      <c r="EZ127" s="256">
        <v>9.4221759500260287</v>
      </c>
      <c r="FA127" s="247">
        <v>0.19788918205804748</v>
      </c>
      <c r="FB127" s="208">
        <v>3</v>
      </c>
      <c r="FC127" s="208">
        <v>5</v>
      </c>
      <c r="FD127" s="208">
        <v>4</v>
      </c>
      <c r="FE127" s="239">
        <v>0.82519788918205805</v>
      </c>
      <c r="FF127" s="208"/>
      <c r="FG127" s="241">
        <v>1.8997361477572558E-3</v>
      </c>
      <c r="FH127" s="209">
        <v>0</v>
      </c>
      <c r="FI127" s="237" t="s">
        <v>678</v>
      </c>
      <c r="FJ127" s="208">
        <v>51.9</v>
      </c>
      <c r="FK127" s="208">
        <v>7.49</v>
      </c>
      <c r="FL127" s="217">
        <v>42</v>
      </c>
      <c r="FM127" s="208">
        <v>3.88</v>
      </c>
      <c r="FN127" s="208" t="s">
        <v>1207</v>
      </c>
      <c r="FP127" s="247" t="s">
        <v>693</v>
      </c>
      <c r="FU127" s="208">
        <v>45</v>
      </c>
      <c r="FV127" s="208">
        <v>65.3</v>
      </c>
      <c r="FW127" s="237">
        <v>54.06</v>
      </c>
      <c r="FX127" s="237">
        <v>33.200000000000003</v>
      </c>
      <c r="FY127" s="208">
        <v>25.13</v>
      </c>
      <c r="FZ127" s="208">
        <v>40.799999999999997</v>
      </c>
      <c r="GA127" s="208">
        <v>43.43</v>
      </c>
      <c r="GB127" s="208">
        <v>42.7</v>
      </c>
      <c r="GC127" s="208">
        <v>0.16</v>
      </c>
      <c r="GD127" s="208">
        <v>35.299999999999997</v>
      </c>
      <c r="GE127" s="237">
        <v>35.56</v>
      </c>
      <c r="GF127" s="237">
        <v>43.5</v>
      </c>
      <c r="GG127" s="237">
        <v>12.06</v>
      </c>
      <c r="GH127" s="237">
        <v>75.900000000000006</v>
      </c>
      <c r="GJ127" s="947"/>
      <c r="GO127" s="662">
        <v>8122</v>
      </c>
      <c r="GP127" s="663" t="str">
        <f>VLOOKUP(GS127,'BD Comarcal'!$A$6:$AV$17,48,FALSE)</f>
        <v>03</v>
      </c>
      <c r="GQ127" s="564">
        <v>29</v>
      </c>
      <c r="GR127" s="256">
        <f t="shared" si="1"/>
        <v>1</v>
      </c>
      <c r="GS127" s="237" t="s">
        <v>791</v>
      </c>
    </row>
    <row r="128" spans="1:201" s="237" customFormat="1" ht="17.25" customHeight="1">
      <c r="A128" s="236" t="s">
        <v>1208</v>
      </c>
      <c r="C128" s="238"/>
      <c r="D128" s="238">
        <v>1600</v>
      </c>
      <c r="E128" s="238">
        <v>922</v>
      </c>
      <c r="F128" s="239">
        <v>0.57625000000000004</v>
      </c>
      <c r="G128" s="238">
        <v>742</v>
      </c>
      <c r="H128" s="240">
        <v>90.548815414580488</v>
      </c>
      <c r="I128" s="239">
        <v>9.8209127347701181E-2</v>
      </c>
      <c r="J128" s="238">
        <v>34</v>
      </c>
      <c r="K128" s="238">
        <v>3</v>
      </c>
      <c r="L128" s="238">
        <v>27</v>
      </c>
      <c r="M128" s="241">
        <v>1.6875000000000001E-2</v>
      </c>
      <c r="N128" s="238">
        <v>0</v>
      </c>
      <c r="O128" s="239">
        <v>0</v>
      </c>
      <c r="P128" s="237">
        <v>3</v>
      </c>
      <c r="Q128" s="237">
        <v>0</v>
      </c>
      <c r="R128" s="239">
        <v>0</v>
      </c>
      <c r="S128" s="238">
        <v>23</v>
      </c>
      <c r="T128" s="436">
        <v>0</v>
      </c>
      <c r="U128" s="436">
        <v>0</v>
      </c>
      <c r="V128" s="436">
        <v>466</v>
      </c>
      <c r="W128" s="436">
        <v>466</v>
      </c>
      <c r="X128" s="238">
        <v>25359</v>
      </c>
      <c r="Y128" s="237">
        <v>0.1565</v>
      </c>
      <c r="Z128" s="238">
        <v>428778</v>
      </c>
      <c r="AA128" s="238">
        <v>17045</v>
      </c>
      <c r="AB128" s="238">
        <v>104.15</v>
      </c>
      <c r="AC128" s="238">
        <v>16417</v>
      </c>
      <c r="AD128" s="238">
        <v>30769404.859999999</v>
      </c>
      <c r="AE128" s="238">
        <v>422423.14000000432</v>
      </c>
      <c r="AF128" s="238">
        <v>29499397.829999998</v>
      </c>
      <c r="AG128" s="238">
        <v>3806881.5</v>
      </c>
      <c r="AH128" s="239">
        <v>0.12904946473614171</v>
      </c>
      <c r="AI128" s="247">
        <v>349.62755700000002</v>
      </c>
      <c r="AJ128" s="242">
        <v>996.97742200000005</v>
      </c>
      <c r="AK128" s="242">
        <v>62.311088875000003</v>
      </c>
      <c r="AL128" s="242">
        <v>101.26879</v>
      </c>
      <c r="AM128" s="242">
        <v>6.3292993749999997</v>
      </c>
      <c r="AN128" s="242">
        <v>47539.42</v>
      </c>
      <c r="AO128" s="238">
        <v>19369.84</v>
      </c>
      <c r="AP128" s="243">
        <v>50</v>
      </c>
      <c r="AQ128" s="238"/>
      <c r="AR128" s="238">
        <v>1304.3645414034797</v>
      </c>
      <c r="AS128" s="238">
        <v>1532.7173748347757</v>
      </c>
      <c r="AT128" s="238">
        <v>1286682.6666666667</v>
      </c>
      <c r="AU128" s="238">
        <v>251.91420839504241</v>
      </c>
      <c r="AV128" s="237">
        <v>1</v>
      </c>
      <c r="AW128" s="237">
        <v>1</v>
      </c>
      <c r="AX128" s="237">
        <v>0</v>
      </c>
      <c r="AY128" s="244" t="s">
        <v>673</v>
      </c>
      <c r="AZ128" s="244" t="s">
        <v>673</v>
      </c>
      <c r="BA128" s="237">
        <v>2011</v>
      </c>
      <c r="BB128" s="245" t="s">
        <v>1209</v>
      </c>
      <c r="BC128" s="215" t="s">
        <v>1210</v>
      </c>
      <c r="BE128" s="237">
        <v>246</v>
      </c>
      <c r="BF128" s="237">
        <v>2</v>
      </c>
      <c r="BG128" s="246" t="s">
        <v>676</v>
      </c>
      <c r="BI128" s="239">
        <v>0.42112706701479546</v>
      </c>
      <c r="BJ128" s="239">
        <v>5.559181897302002E-2</v>
      </c>
      <c r="BK128" s="239">
        <v>0.50750652741514357</v>
      </c>
      <c r="BL128" s="239">
        <v>1.5774586597040906E-2</v>
      </c>
      <c r="BM128" s="247">
        <v>1.8820713664055699</v>
      </c>
      <c r="BN128" s="248">
        <v>0</v>
      </c>
      <c r="BO128" s="248">
        <v>1</v>
      </c>
      <c r="BP128" s="237">
        <v>0</v>
      </c>
      <c r="BQ128" s="237">
        <v>0</v>
      </c>
      <c r="BR128" s="248">
        <v>1</v>
      </c>
      <c r="BS128" s="237">
        <v>5</v>
      </c>
      <c r="BT128" s="237" t="s">
        <v>1028</v>
      </c>
      <c r="BU128" s="249">
        <v>1874</v>
      </c>
      <c r="BV128" s="249">
        <v>1778</v>
      </c>
      <c r="BW128" s="249">
        <v>12100</v>
      </c>
      <c r="BX128" s="249">
        <v>4337</v>
      </c>
      <c r="BY128" s="249">
        <v>7.5327598681566039</v>
      </c>
      <c r="BZ128" s="249">
        <v>7.1468767585818798</v>
      </c>
      <c r="CA128" s="249">
        <v>48.637350269314254</v>
      </c>
      <c r="CB128" s="249">
        <v>17.433073398183133</v>
      </c>
      <c r="CC128" s="250">
        <v>85.529383390947828</v>
      </c>
      <c r="CD128" s="242">
        <v>-1201</v>
      </c>
      <c r="CE128" s="252">
        <v>95.172441514591199</v>
      </c>
      <c r="CF128" s="238">
        <v>11428</v>
      </c>
      <c r="CG128" s="238">
        <v>1664.2</v>
      </c>
      <c r="CH128" s="238">
        <v>6.6894444891068412</v>
      </c>
      <c r="CI128" s="216" t="s">
        <v>679</v>
      </c>
      <c r="CJ128" s="237">
        <v>0</v>
      </c>
      <c r="CK128" s="253">
        <v>201.33</v>
      </c>
      <c r="CL128" s="253">
        <v>189.37710000000001</v>
      </c>
      <c r="CM128" s="254">
        <v>0.11836068750000001</v>
      </c>
      <c r="CN128" s="237" t="s">
        <v>90</v>
      </c>
      <c r="CO128" s="242">
        <v>957.8</v>
      </c>
      <c r="CP128" s="255">
        <v>0.59862499999999996</v>
      </c>
      <c r="CV128" s="237">
        <v>9</v>
      </c>
      <c r="CW128" s="194">
        <v>1.0329999999999999</v>
      </c>
      <c r="CX128" s="194">
        <v>0.17299999999999999</v>
      </c>
      <c r="CY128" s="194">
        <v>1.841</v>
      </c>
      <c r="DB128" s="216"/>
      <c r="DC128" s="195" t="s">
        <v>1211</v>
      </c>
      <c r="DD128" s="256">
        <v>0.7</v>
      </c>
      <c r="DE128" s="256">
        <v>-6.5</v>
      </c>
      <c r="DF128" s="256">
        <v>0.7</v>
      </c>
      <c r="DG128" s="256">
        <v>-2.2000000000000002</v>
      </c>
      <c r="DL128" s="237" t="s">
        <v>682</v>
      </c>
      <c r="DO128" s="237">
        <v>2</v>
      </c>
      <c r="DP128" s="258" t="s">
        <v>683</v>
      </c>
      <c r="DQ128" s="258" t="s">
        <v>948</v>
      </c>
      <c r="DR128" s="258" t="s">
        <v>1212</v>
      </c>
      <c r="DS128" s="258"/>
      <c r="DT128" s="258"/>
      <c r="DU128" s="237">
        <v>1</v>
      </c>
      <c r="DV128" s="237" t="s">
        <v>1212</v>
      </c>
      <c r="DW128" s="237" t="s">
        <v>779</v>
      </c>
      <c r="DX128" s="247">
        <v>11.33</v>
      </c>
      <c r="DY128" s="247">
        <v>0.708125</v>
      </c>
      <c r="EA128" s="237">
        <v>1</v>
      </c>
      <c r="EB128" s="237" t="s">
        <v>823</v>
      </c>
      <c r="EC128" s="237">
        <v>2</v>
      </c>
      <c r="ED128" s="237" t="s">
        <v>732</v>
      </c>
      <c r="EE128" s="208">
        <v>4</v>
      </c>
      <c r="EF128" s="237" t="s">
        <v>688</v>
      </c>
      <c r="EG128" s="216" t="s">
        <v>689</v>
      </c>
      <c r="EH128" s="246" t="s">
        <v>690</v>
      </c>
      <c r="EI128" s="216" t="s">
        <v>689</v>
      </c>
      <c r="EJ128" s="216" t="s">
        <v>529</v>
      </c>
      <c r="EK128" s="222" t="s">
        <v>682</v>
      </c>
      <c r="EL128" s="259">
        <v>1976</v>
      </c>
      <c r="EM128" s="260">
        <v>6667</v>
      </c>
      <c r="EN128" s="260">
        <v>976600</v>
      </c>
      <c r="EO128" s="260">
        <v>303797</v>
      </c>
      <c r="EP128" s="237">
        <v>1</v>
      </c>
      <c r="EQ128" s="237">
        <v>42</v>
      </c>
      <c r="ER128" s="237" t="s">
        <v>705</v>
      </c>
      <c r="ES128" s="237">
        <v>24878</v>
      </c>
      <c r="ET128" s="237">
        <v>45.567271636418177</v>
      </c>
      <c r="EU128" s="661">
        <v>3</v>
      </c>
      <c r="EV128" s="661">
        <v>2</v>
      </c>
      <c r="EW128" s="661">
        <v>7</v>
      </c>
      <c r="EX128" s="661">
        <v>9</v>
      </c>
      <c r="EY128" s="660">
        <v>0.12583125000000001</v>
      </c>
      <c r="EZ128" s="256">
        <v>123.56827099786419</v>
      </c>
      <c r="FA128" s="247">
        <v>0.97613882863340562</v>
      </c>
      <c r="FB128" s="208">
        <v>5</v>
      </c>
      <c r="FC128" s="208">
        <v>5</v>
      </c>
      <c r="FD128" s="208">
        <v>6</v>
      </c>
      <c r="FE128" s="239">
        <v>0.8047722342733189</v>
      </c>
      <c r="FF128" s="208"/>
      <c r="FG128" s="241">
        <v>0</v>
      </c>
      <c r="FH128" s="209">
        <v>0</v>
      </c>
      <c r="FI128" s="237" t="s">
        <v>678</v>
      </c>
      <c r="FJ128" s="208">
        <v>41.4</v>
      </c>
      <c r="FK128" s="208">
        <v>48.6</v>
      </c>
      <c r="FL128" s="217">
        <v>90.1</v>
      </c>
      <c r="FM128" s="208">
        <v>1.86</v>
      </c>
      <c r="FN128" s="208" t="s">
        <v>1213</v>
      </c>
      <c r="FP128" s="247" t="s">
        <v>693</v>
      </c>
      <c r="FU128" s="208">
        <v>36</v>
      </c>
      <c r="FV128" s="208">
        <v>42.5</v>
      </c>
      <c r="FW128" s="237">
        <v>89.02</v>
      </c>
      <c r="FX128" s="237">
        <v>81.400000000000006</v>
      </c>
      <c r="FY128" s="208">
        <v>40.32</v>
      </c>
      <c r="FZ128" s="208">
        <v>54.7</v>
      </c>
      <c r="GA128" s="208">
        <v>50.31</v>
      </c>
      <c r="GB128" s="208">
        <v>52.6</v>
      </c>
      <c r="GC128" s="208">
        <v>0.44</v>
      </c>
      <c r="GD128" s="208">
        <v>61.1</v>
      </c>
      <c r="GE128" s="237">
        <v>35.229999999999997</v>
      </c>
      <c r="GF128" s="237">
        <v>42.8</v>
      </c>
      <c r="GG128" s="237">
        <v>2.35</v>
      </c>
      <c r="GH128" s="237">
        <v>23.8</v>
      </c>
      <c r="GJ128" s="947">
        <v>666</v>
      </c>
      <c r="GK128" s="320">
        <v>1E-3</v>
      </c>
      <c r="GL128" s="320">
        <v>0.14099999999999999</v>
      </c>
      <c r="GM128" s="320">
        <v>3.9E-2</v>
      </c>
      <c r="GN128" s="320">
        <v>0.81899999999999995</v>
      </c>
      <c r="GO128" s="662">
        <v>8123</v>
      </c>
      <c r="GP128" s="663" t="str">
        <f>VLOOKUP(GS128,'BD Comarcal'!$A$6:$AV$17,48,FALSE)</f>
        <v>11</v>
      </c>
      <c r="GQ128" s="564">
        <v>144</v>
      </c>
      <c r="GR128" s="256">
        <f t="shared" si="1"/>
        <v>0</v>
      </c>
      <c r="GS128" s="237" t="s">
        <v>90</v>
      </c>
    </row>
    <row r="129" spans="1:201" s="237" customFormat="1" ht="17.25" customHeight="1">
      <c r="A129" s="236" t="s">
        <v>1214</v>
      </c>
      <c r="C129" s="238"/>
      <c r="D129" s="238">
        <v>1072</v>
      </c>
      <c r="E129" s="238">
        <v>162</v>
      </c>
      <c r="F129" s="239">
        <v>0.15111940298507462</v>
      </c>
      <c r="G129" s="238">
        <v>61</v>
      </c>
      <c r="H129" s="240">
        <v>1.5671959553450112</v>
      </c>
      <c r="I129" s="239">
        <v>9.6740491070679696E-3</v>
      </c>
      <c r="J129" s="238">
        <v>297</v>
      </c>
      <c r="K129" s="238">
        <v>0</v>
      </c>
      <c r="L129" s="238">
        <v>11</v>
      </c>
      <c r="M129" s="241">
        <v>1.0261194029850746E-2</v>
      </c>
      <c r="N129" s="238">
        <v>73</v>
      </c>
      <c r="O129" s="239">
        <v>0.24579124579124578</v>
      </c>
      <c r="P129" s="237">
        <v>3</v>
      </c>
      <c r="Q129" s="237">
        <v>0</v>
      </c>
      <c r="R129" s="239">
        <v>0</v>
      </c>
      <c r="S129" s="238">
        <v>229</v>
      </c>
      <c r="T129" s="436">
        <v>0</v>
      </c>
      <c r="U129" s="436">
        <v>0</v>
      </c>
      <c r="V129" s="436">
        <v>635</v>
      </c>
      <c r="W129" s="436">
        <v>635</v>
      </c>
      <c r="X129" s="238">
        <v>51491</v>
      </c>
      <c r="Y129" s="237">
        <v>0.1474</v>
      </c>
      <c r="Z129" s="238">
        <v>607239</v>
      </c>
      <c r="AA129" s="238">
        <v>11757</v>
      </c>
      <c r="AB129" s="238">
        <v>71.84</v>
      </c>
      <c r="AC129" s="238">
        <v>42951</v>
      </c>
      <c r="AD129" s="238">
        <v>60807090.299999997</v>
      </c>
      <c r="AE129" s="238">
        <v>10332180.49000001</v>
      </c>
      <c r="AF129" s="238">
        <v>50576988.629999995</v>
      </c>
      <c r="AG129" s="238">
        <v>2511287.08</v>
      </c>
      <c r="AH129" s="239">
        <v>4.9652760040174028E-2</v>
      </c>
      <c r="AI129" s="247">
        <v>512.45261700000003</v>
      </c>
      <c r="AJ129" s="242">
        <v>534.60290599999996</v>
      </c>
      <c r="AK129" s="242">
        <v>49.869674067164169</v>
      </c>
      <c r="AL129" s="242" t="s">
        <v>678</v>
      </c>
      <c r="AM129" s="242" t="s">
        <v>678</v>
      </c>
      <c r="AN129" s="242">
        <v>61401.71</v>
      </c>
      <c r="AO129" s="238">
        <v>0</v>
      </c>
      <c r="AP129" s="243">
        <v>0</v>
      </c>
      <c r="AQ129" s="238"/>
      <c r="AR129" s="238">
        <v>1059.258618389792</v>
      </c>
      <c r="AS129" s="238">
        <v>1646.7832090897327</v>
      </c>
      <c r="AT129" s="238">
        <v>2951571.6666666665</v>
      </c>
      <c r="AU129" s="238">
        <v>223.76462463690422</v>
      </c>
      <c r="AV129" s="237">
        <v>1</v>
      </c>
      <c r="AW129" s="237">
        <v>0</v>
      </c>
      <c r="AX129" s="237">
        <v>0</v>
      </c>
      <c r="AY129" s="244" t="s">
        <v>695</v>
      </c>
      <c r="AZ129" s="244" t="s">
        <v>673</v>
      </c>
      <c r="BA129" s="237">
        <v>2009</v>
      </c>
      <c r="BB129" s="245" t="s">
        <v>1215</v>
      </c>
      <c r="BC129" s="215" t="s">
        <v>1216</v>
      </c>
      <c r="BD129" s="237">
        <v>1</v>
      </c>
      <c r="BE129" s="237">
        <v>2</v>
      </c>
      <c r="BF129" s="237">
        <v>39</v>
      </c>
      <c r="BG129" s="246" t="s">
        <v>676</v>
      </c>
      <c r="BI129" s="239">
        <v>0.40824534942182</v>
      </c>
      <c r="BJ129" s="239">
        <v>7.869754236536243E-2</v>
      </c>
      <c r="BK129" s="239">
        <v>0.50714222340519921</v>
      </c>
      <c r="BL129" s="239">
        <v>5.9148848076183719E-3</v>
      </c>
      <c r="BM129" s="247">
        <v>1.8892733564013842</v>
      </c>
      <c r="BN129" s="248">
        <v>0</v>
      </c>
      <c r="BO129" s="248">
        <v>2</v>
      </c>
      <c r="BP129" s="237">
        <v>1</v>
      </c>
      <c r="BQ129" s="237">
        <v>1</v>
      </c>
      <c r="BR129" s="248">
        <v>4</v>
      </c>
      <c r="BS129" s="237">
        <v>12.5</v>
      </c>
      <c r="BT129" s="237" t="s">
        <v>729</v>
      </c>
      <c r="BU129" s="249">
        <v>5098</v>
      </c>
      <c r="BV129" s="249">
        <v>6091</v>
      </c>
      <c r="BW129" s="249">
        <v>26399</v>
      </c>
      <c r="BX129" s="249">
        <v>4777</v>
      </c>
      <c r="BY129" s="249">
        <v>9.8125264657196745</v>
      </c>
      <c r="BZ129" s="249">
        <v>11.723832621164876</v>
      </c>
      <c r="CA129" s="249">
        <v>50.812256996573893</v>
      </c>
      <c r="CB129" s="249">
        <v>9.1946722100319516</v>
      </c>
      <c r="CC129" s="250">
        <v>103.69750163606267</v>
      </c>
      <c r="CD129" s="242">
        <v>-3009</v>
      </c>
      <c r="CE129" s="252">
        <v>94.208338145282369</v>
      </c>
      <c r="CF129" s="238">
        <v>22442</v>
      </c>
      <c r="CG129" s="238">
        <v>5373</v>
      </c>
      <c r="CH129" s="238">
        <v>10.34184085922162</v>
      </c>
      <c r="CI129" s="216" t="s">
        <v>700</v>
      </c>
      <c r="CJ129" s="237">
        <v>0</v>
      </c>
      <c r="CK129" s="253">
        <v>565.98</v>
      </c>
      <c r="CL129" s="253">
        <v>29.7013</v>
      </c>
      <c r="CM129" s="254">
        <v>2.7706436567164178E-2</v>
      </c>
      <c r="CN129" s="237" t="s">
        <v>24</v>
      </c>
      <c r="CO129" s="242">
        <v>426.83</v>
      </c>
      <c r="CP129" s="255">
        <v>0.39816231343283581</v>
      </c>
      <c r="CQ129" s="247">
        <v>173.92</v>
      </c>
      <c r="CR129" s="248" t="s">
        <v>762</v>
      </c>
      <c r="CT129" s="247">
        <v>173.92</v>
      </c>
      <c r="CV129" s="237">
        <v>19</v>
      </c>
      <c r="CW129" s="194">
        <v>0.78900000000000003</v>
      </c>
      <c r="CX129" s="194">
        <v>0.63500000000000001</v>
      </c>
      <c r="CY129" s="194" t="s">
        <v>680</v>
      </c>
      <c r="DB129" s="216" t="s">
        <v>681</v>
      </c>
      <c r="DC129" s="256"/>
      <c r="DD129" s="256">
        <v>0.7</v>
      </c>
      <c r="DE129" s="256">
        <v>-6.5</v>
      </c>
      <c r="DF129" s="256">
        <v>0.7</v>
      </c>
      <c r="DG129" s="256">
        <v>-2.2000000000000002</v>
      </c>
      <c r="DL129" s="237" t="s">
        <v>682</v>
      </c>
      <c r="DP129" s="258" t="s">
        <v>683</v>
      </c>
      <c r="DQ129" s="258" t="s">
        <v>1217</v>
      </c>
      <c r="DR129" s="258" t="s">
        <v>1218</v>
      </c>
      <c r="DS129" s="258"/>
      <c r="DT129" s="258"/>
      <c r="DU129" s="237">
        <v>1</v>
      </c>
      <c r="DV129" s="237" t="s">
        <v>1219</v>
      </c>
      <c r="DW129" s="237" t="s">
        <v>779</v>
      </c>
      <c r="DX129" s="247">
        <v>1.31</v>
      </c>
      <c r="DY129" s="247">
        <v>0.12220149253731344</v>
      </c>
      <c r="EA129" s="237">
        <v>0</v>
      </c>
      <c r="ED129" s="237" t="s">
        <v>678</v>
      </c>
      <c r="EE129" s="208">
        <v>2</v>
      </c>
      <c r="EF129" s="237" t="s">
        <v>678</v>
      </c>
      <c r="EG129" s="216" t="s">
        <v>689</v>
      </c>
      <c r="EH129" s="246" t="s">
        <v>690</v>
      </c>
      <c r="EI129" s="216"/>
      <c r="EJ129" s="216" t="s">
        <v>529</v>
      </c>
      <c r="EK129" s="222" t="s">
        <v>529</v>
      </c>
      <c r="EL129" s="259">
        <v>2005</v>
      </c>
      <c r="EM129" s="260">
        <v>15000</v>
      </c>
      <c r="EN129" s="260">
        <v>1814234</v>
      </c>
      <c r="EO129" s="260">
        <v>1093322</v>
      </c>
      <c r="ER129" s="237" t="s">
        <v>705</v>
      </c>
      <c r="ES129" s="237">
        <v>12988.5</v>
      </c>
      <c r="ET129" s="237">
        <v>72.888133333333329</v>
      </c>
      <c r="EU129" s="661">
        <v>1</v>
      </c>
      <c r="EV129" s="661">
        <v>5</v>
      </c>
      <c r="EW129" s="661">
        <v>6</v>
      </c>
      <c r="EX129" s="661">
        <v>8</v>
      </c>
      <c r="EY129" s="660">
        <v>0.52796641791044774</v>
      </c>
      <c r="EZ129" s="256">
        <v>91.794763065832711</v>
      </c>
      <c r="FA129" s="247">
        <v>11.728395061728396</v>
      </c>
      <c r="FB129" s="208">
        <v>6</v>
      </c>
      <c r="FC129" s="208">
        <v>3</v>
      </c>
      <c r="FD129" s="208">
        <v>6</v>
      </c>
      <c r="FE129" s="239">
        <v>0.37654320987654322</v>
      </c>
      <c r="FF129" s="208"/>
      <c r="FG129" s="241">
        <v>0</v>
      </c>
      <c r="FH129" s="209">
        <v>1.0735802469135802</v>
      </c>
      <c r="FI129" s="237" t="s">
        <v>678</v>
      </c>
      <c r="FJ129" s="208" t="s">
        <v>678</v>
      </c>
      <c r="FK129" s="208" t="s">
        <v>678</v>
      </c>
      <c r="FL129" s="217" t="s">
        <v>678</v>
      </c>
      <c r="FM129" s="208" t="s">
        <v>678</v>
      </c>
      <c r="FN129" s="208" t="s">
        <v>678</v>
      </c>
      <c r="FP129" s="247" t="s">
        <v>693</v>
      </c>
      <c r="FU129" s="208" t="s">
        <v>678</v>
      </c>
      <c r="FV129" s="208" t="s">
        <v>678</v>
      </c>
      <c r="FW129" s="208" t="s">
        <v>678</v>
      </c>
      <c r="FX129" s="208" t="s">
        <v>678</v>
      </c>
      <c r="FY129" s="208" t="s">
        <v>678</v>
      </c>
      <c r="FZ129" s="208" t="s">
        <v>678</v>
      </c>
      <c r="GA129" s="208" t="s">
        <v>678</v>
      </c>
      <c r="GB129" s="208" t="s">
        <v>678</v>
      </c>
      <c r="GC129" s="208" t="s">
        <v>678</v>
      </c>
      <c r="GD129" s="208" t="s">
        <v>678</v>
      </c>
      <c r="GE129" s="237" t="s">
        <v>678</v>
      </c>
      <c r="GF129" s="237" t="s">
        <v>678</v>
      </c>
      <c r="GG129" s="237" t="s">
        <v>678</v>
      </c>
      <c r="GH129" s="237" t="s">
        <v>678</v>
      </c>
      <c r="GJ129" s="947">
        <v>1286</v>
      </c>
      <c r="GK129" s="320">
        <v>0</v>
      </c>
      <c r="GL129" s="320">
        <v>0.29299999999999998</v>
      </c>
      <c r="GM129" s="320">
        <v>4.1000000000000002E-2</v>
      </c>
      <c r="GN129" s="320">
        <v>0.66600000000000004</v>
      </c>
      <c r="GO129" s="662">
        <v>8124</v>
      </c>
      <c r="GP129" s="663" t="str">
        <f>VLOOKUP(GS129,'BD Comarcal'!$A$6:$AV$17,48,FALSE)</f>
        <v>41</v>
      </c>
      <c r="GQ129" s="564">
        <v>306</v>
      </c>
      <c r="GR129" s="256">
        <f t="shared" si="1"/>
        <v>0</v>
      </c>
      <c r="GS129" s="237" t="s">
        <v>24</v>
      </c>
    </row>
    <row r="130" spans="1:201" s="237" customFormat="1" ht="17.25" customHeight="1">
      <c r="A130" s="236" t="s">
        <v>1220</v>
      </c>
      <c r="C130" s="238"/>
      <c r="D130" s="238">
        <v>2334</v>
      </c>
      <c r="E130" s="238">
        <v>1097</v>
      </c>
      <c r="F130" s="239">
        <v>0.47000856898029136</v>
      </c>
      <c r="G130" s="238">
        <v>342</v>
      </c>
      <c r="H130" s="240">
        <v>2.1469806611279711</v>
      </c>
      <c r="I130" s="272">
        <v>1.9571382508003382E-3</v>
      </c>
      <c r="J130" s="238">
        <v>238</v>
      </c>
      <c r="K130" s="238">
        <v>38</v>
      </c>
      <c r="L130" s="238">
        <v>33</v>
      </c>
      <c r="M130" s="241">
        <v>1.4138817480719794E-2</v>
      </c>
      <c r="N130" s="238">
        <v>0</v>
      </c>
      <c r="O130" s="239">
        <v>0</v>
      </c>
      <c r="P130" s="237">
        <v>5</v>
      </c>
      <c r="Q130" s="237">
        <v>1</v>
      </c>
      <c r="R130" s="239">
        <v>0.2</v>
      </c>
      <c r="S130" s="238">
        <v>738</v>
      </c>
      <c r="T130" s="436">
        <v>0</v>
      </c>
      <c r="U130" s="436">
        <v>0</v>
      </c>
      <c r="V130" s="436">
        <v>223</v>
      </c>
      <c r="W130" s="436">
        <v>223</v>
      </c>
      <c r="X130" s="238">
        <v>34802</v>
      </c>
      <c r="Y130" s="237">
        <v>0.1472</v>
      </c>
      <c r="Z130" s="238">
        <v>419209</v>
      </c>
      <c r="AA130" s="238">
        <v>12194</v>
      </c>
      <c r="AB130" s="238">
        <v>74.510000000000005</v>
      </c>
      <c r="AC130" s="238">
        <v>19116</v>
      </c>
      <c r="AD130" s="238">
        <v>39785128.299999997</v>
      </c>
      <c r="AE130" s="238">
        <v>3405615.400000006</v>
      </c>
      <c r="AF130" s="238">
        <v>36990844.259999998</v>
      </c>
      <c r="AG130" s="238">
        <v>4083842.85</v>
      </c>
      <c r="AH130" s="239">
        <v>0.11040145018847429</v>
      </c>
      <c r="AI130" s="247">
        <v>628.89884800000004</v>
      </c>
      <c r="AJ130" s="242">
        <v>846.74064999999996</v>
      </c>
      <c r="AK130" s="242">
        <v>36.27851970865467</v>
      </c>
      <c r="AL130" s="242">
        <v>108.911146</v>
      </c>
      <c r="AM130" s="242">
        <v>4.6662873179091688</v>
      </c>
      <c r="AN130" s="242">
        <v>83251.899999999994</v>
      </c>
      <c r="AO130" s="238">
        <v>19539.29</v>
      </c>
      <c r="AP130" s="243">
        <v>72</v>
      </c>
      <c r="AQ130" s="238">
        <v>1</v>
      </c>
      <c r="AR130" s="238">
        <v>1050.4561699025189</v>
      </c>
      <c r="AS130" s="238">
        <v>1747.752323401671</v>
      </c>
      <c r="AT130" s="238">
        <v>2253643.3333333335</v>
      </c>
      <c r="AU130" s="238">
        <v>230.15491570911155</v>
      </c>
      <c r="AV130" s="237">
        <v>1</v>
      </c>
      <c r="AW130" s="237">
        <v>0</v>
      </c>
      <c r="AX130" s="237">
        <v>1</v>
      </c>
      <c r="AY130" s="244" t="s">
        <v>717</v>
      </c>
      <c r="AZ130" s="244" t="s">
        <v>682</v>
      </c>
      <c r="BA130" s="237">
        <v>2010</v>
      </c>
      <c r="BB130" s="245" t="s">
        <v>1221</v>
      </c>
      <c r="BC130" s="215" t="s">
        <v>1222</v>
      </c>
      <c r="BE130" s="237">
        <v>39</v>
      </c>
      <c r="BF130" s="237">
        <v>37</v>
      </c>
      <c r="BG130" s="246" t="s">
        <v>676</v>
      </c>
      <c r="BI130" s="239">
        <v>0.46069743861041307</v>
      </c>
      <c r="BJ130" s="239">
        <v>8.3234140104924387E-2</v>
      </c>
      <c r="BK130" s="239">
        <v>0.42983732310540934</v>
      </c>
      <c r="BL130" s="239">
        <v>2.6231098179253187E-2</v>
      </c>
      <c r="BM130" s="247">
        <v>1.9783979191464973</v>
      </c>
      <c r="BN130" s="248">
        <v>1</v>
      </c>
      <c r="BO130" s="248">
        <v>1</v>
      </c>
      <c r="BP130" s="237">
        <v>0</v>
      </c>
      <c r="BQ130" s="237">
        <v>0</v>
      </c>
      <c r="BR130" s="248">
        <v>2</v>
      </c>
      <c r="BS130" s="237">
        <v>15</v>
      </c>
      <c r="BT130" s="237" t="s">
        <v>947</v>
      </c>
      <c r="BU130" s="249">
        <v>3451</v>
      </c>
      <c r="BV130" s="249">
        <v>3543</v>
      </c>
      <c r="BW130" s="249">
        <v>17537</v>
      </c>
      <c r="BX130" s="249">
        <v>3379</v>
      </c>
      <c r="BY130" s="249">
        <v>9.8987465221007938</v>
      </c>
      <c r="BZ130" s="249">
        <v>10.16263660614405</v>
      </c>
      <c r="CA130" s="249">
        <v>50.302613085506124</v>
      </c>
      <c r="CB130" s="249">
        <v>9.6922238476321603</v>
      </c>
      <c r="CC130" s="250">
        <v>100.3241258640966</v>
      </c>
      <c r="CD130" s="242">
        <v>22</v>
      </c>
      <c r="CE130" s="252">
        <v>100.06310415053208</v>
      </c>
      <c r="CF130" s="238">
        <v>15910</v>
      </c>
      <c r="CG130" s="238">
        <v>3177.1</v>
      </c>
      <c r="CH130" s="238">
        <v>9.1130998479763647</v>
      </c>
      <c r="CI130" s="216" t="s">
        <v>679</v>
      </c>
      <c r="CJ130" s="237">
        <v>0</v>
      </c>
      <c r="CK130" s="253">
        <v>578.65</v>
      </c>
      <c r="CL130" s="253">
        <v>578.11130000000003</v>
      </c>
      <c r="CM130" s="254">
        <v>0.2476912167952014</v>
      </c>
      <c r="CN130" s="237" t="s">
        <v>89</v>
      </c>
      <c r="CO130" s="242">
        <v>245.63</v>
      </c>
      <c r="CP130" s="255">
        <v>0.10523993144815767</v>
      </c>
      <c r="CV130" s="237">
        <v>22</v>
      </c>
      <c r="CW130" s="194">
        <v>1.867</v>
      </c>
      <c r="CX130" s="194">
        <v>0.63500000000000001</v>
      </c>
      <c r="CY130" s="194" t="s">
        <v>680</v>
      </c>
      <c r="CZ130" s="237" t="s">
        <v>529</v>
      </c>
      <c r="DA130" s="237" t="s">
        <v>1223</v>
      </c>
      <c r="DB130" s="216" t="s">
        <v>804</v>
      </c>
      <c r="DC130" s="195" t="s">
        <v>977</v>
      </c>
      <c r="DD130" s="256">
        <v>0.7</v>
      </c>
      <c r="DE130" s="256">
        <v>-6.5</v>
      </c>
      <c r="DF130" s="256">
        <v>0.7</v>
      </c>
      <c r="DG130" s="256">
        <v>-2.2000000000000002</v>
      </c>
      <c r="DH130" s="257">
        <v>7</v>
      </c>
      <c r="DI130" s="257">
        <v>3.87</v>
      </c>
      <c r="DJ130" s="257">
        <v>32.21</v>
      </c>
      <c r="DK130" s="257">
        <v>36.08</v>
      </c>
      <c r="DL130" s="237" t="s">
        <v>682</v>
      </c>
      <c r="DP130" s="258" t="s">
        <v>682</v>
      </c>
      <c r="DQ130" s="258"/>
      <c r="DR130" s="258"/>
      <c r="DS130" s="258"/>
      <c r="DT130" s="258"/>
      <c r="DU130" s="237">
        <v>1</v>
      </c>
      <c r="DV130" s="237" t="s">
        <v>1224</v>
      </c>
      <c r="DW130" s="237" t="s">
        <v>1059</v>
      </c>
      <c r="DX130" s="247">
        <v>0.65</v>
      </c>
      <c r="DY130" s="247">
        <v>2.7849185946872322E-2</v>
      </c>
      <c r="EA130" s="237">
        <v>1</v>
      </c>
      <c r="EB130" s="237" t="s">
        <v>1225</v>
      </c>
      <c r="ED130" s="237" t="s">
        <v>678</v>
      </c>
      <c r="EE130" s="208">
        <v>3</v>
      </c>
      <c r="EF130" s="237" t="s">
        <v>678</v>
      </c>
      <c r="EG130" s="216" t="s">
        <v>689</v>
      </c>
      <c r="EH130" s="246" t="s">
        <v>690</v>
      </c>
      <c r="EI130" s="216" t="s">
        <v>689</v>
      </c>
      <c r="EJ130" s="216" t="s">
        <v>529</v>
      </c>
      <c r="EK130" s="222" t="s">
        <v>682</v>
      </c>
      <c r="EL130" s="259">
        <v>1976</v>
      </c>
      <c r="EM130" s="260">
        <v>278325</v>
      </c>
      <c r="EN130" s="260">
        <v>1262265</v>
      </c>
      <c r="EO130" s="260">
        <v>1008085</v>
      </c>
      <c r="ER130" s="237" t="s">
        <v>705</v>
      </c>
      <c r="ES130" s="237">
        <v>17431.5</v>
      </c>
      <c r="ET130" s="237">
        <v>3.6219707176861582</v>
      </c>
      <c r="EU130" s="661">
        <v>3</v>
      </c>
      <c r="EV130" s="661">
        <v>1</v>
      </c>
      <c r="EW130" s="661">
        <v>4</v>
      </c>
      <c r="EX130" s="661">
        <v>5</v>
      </c>
      <c r="EY130" s="660">
        <v>0.24792202227934876</v>
      </c>
      <c r="EZ130" s="256">
        <v>60.248855093752702</v>
      </c>
      <c r="FA130" s="247">
        <v>2.0054694621695535</v>
      </c>
      <c r="FB130" s="208">
        <v>4</v>
      </c>
      <c r="FC130" s="208">
        <v>2</v>
      </c>
      <c r="FD130" s="208">
        <v>7</v>
      </c>
      <c r="FE130" s="239">
        <v>0.31175934366453967</v>
      </c>
      <c r="FF130" s="208"/>
      <c r="FG130" s="241">
        <v>3.2889699179580671E-2</v>
      </c>
      <c r="FH130" s="209">
        <v>0</v>
      </c>
      <c r="FI130" s="237" t="s">
        <v>678</v>
      </c>
      <c r="FJ130" s="208">
        <v>49.5</v>
      </c>
      <c r="FK130" s="208">
        <v>8.68</v>
      </c>
      <c r="FL130" s="217">
        <v>44.4</v>
      </c>
      <c r="FM130" s="208">
        <v>1.71</v>
      </c>
      <c r="FN130" s="208" t="s">
        <v>1226</v>
      </c>
      <c r="FP130" s="247" t="s">
        <v>693</v>
      </c>
      <c r="FU130" s="208">
        <v>39</v>
      </c>
      <c r="FV130" s="208">
        <v>50.3</v>
      </c>
      <c r="FW130" s="237">
        <v>37.94</v>
      </c>
      <c r="FX130" s="237">
        <v>17.399999999999999</v>
      </c>
      <c r="FY130" s="208">
        <v>4.5199999999999996</v>
      </c>
      <c r="FZ130" s="208">
        <v>7.8</v>
      </c>
      <c r="GA130" s="208">
        <v>20.149999999999999</v>
      </c>
      <c r="GB130" s="208">
        <v>8.3000000000000007</v>
      </c>
      <c r="GC130" s="208">
        <v>0.01</v>
      </c>
      <c r="GD130" s="208">
        <v>13.8</v>
      </c>
      <c r="GE130" s="237">
        <v>13.48</v>
      </c>
      <c r="GF130" s="237">
        <v>7</v>
      </c>
      <c r="GG130" s="237">
        <v>0</v>
      </c>
      <c r="GH130" s="237">
        <v>0.9</v>
      </c>
      <c r="GJ130" s="947">
        <v>1221</v>
      </c>
      <c r="GK130" s="320">
        <v>0</v>
      </c>
      <c r="GL130" s="320">
        <v>0.41299999999999998</v>
      </c>
      <c r="GM130" s="320">
        <v>5.1999999999999998E-2</v>
      </c>
      <c r="GN130" s="320">
        <v>0.53500000000000003</v>
      </c>
      <c r="GO130" s="662">
        <v>8125</v>
      </c>
      <c r="GP130" s="663" t="str">
        <f>VLOOKUP(GS130,'BD Comarcal'!$A$6:$AV$17,48,FALSE)</f>
        <v>40</v>
      </c>
      <c r="GQ130" s="564">
        <v>217</v>
      </c>
      <c r="GR130" s="256">
        <f t="shared" si="1"/>
        <v>1</v>
      </c>
      <c r="GS130" s="237" t="s">
        <v>89</v>
      </c>
    </row>
    <row r="131" spans="1:201" s="237" customFormat="1" ht="17.25" customHeight="1">
      <c r="A131" s="236" t="s">
        <v>346</v>
      </c>
      <c r="C131" s="238" t="s">
        <v>683</v>
      </c>
      <c r="D131" s="238">
        <v>283</v>
      </c>
      <c r="E131" s="238">
        <v>0</v>
      </c>
      <c r="F131" s="239">
        <v>0</v>
      </c>
      <c r="G131" s="238" t="s">
        <v>752</v>
      </c>
      <c r="H131" s="240">
        <v>0.36111306547503191</v>
      </c>
      <c r="I131" s="239" t="s">
        <v>1148</v>
      </c>
      <c r="J131" s="238">
        <v>8</v>
      </c>
      <c r="K131" s="238">
        <v>0</v>
      </c>
      <c r="L131" s="238" t="s">
        <v>678</v>
      </c>
      <c r="M131" s="241" t="s">
        <v>678</v>
      </c>
      <c r="N131" s="238" t="s">
        <v>678</v>
      </c>
      <c r="O131" s="239" t="s">
        <v>678</v>
      </c>
      <c r="P131" s="237" t="s">
        <v>678</v>
      </c>
      <c r="Q131" s="237" t="s">
        <v>678</v>
      </c>
      <c r="R131" s="239" t="s">
        <v>678</v>
      </c>
      <c r="S131" s="238" t="s">
        <v>678</v>
      </c>
      <c r="T131" s="436">
        <v>0</v>
      </c>
      <c r="U131" s="436">
        <v>0</v>
      </c>
      <c r="V131" s="436">
        <v>0</v>
      </c>
      <c r="W131" s="436">
        <v>0</v>
      </c>
      <c r="X131" s="238">
        <v>11621</v>
      </c>
      <c r="Y131" s="237">
        <v>0.13950000000000001</v>
      </c>
      <c r="Z131" s="238">
        <v>163838</v>
      </c>
      <c r="AA131" s="238">
        <v>14246</v>
      </c>
      <c r="AB131" s="238">
        <v>87.04</v>
      </c>
      <c r="AC131" s="238">
        <v>51</v>
      </c>
      <c r="AD131" s="238">
        <v>10616967.699999999</v>
      </c>
      <c r="AE131" s="238">
        <v>-1796441.8899999969</v>
      </c>
      <c r="AF131" s="238">
        <v>12801218.529999997</v>
      </c>
      <c r="AG131" s="238">
        <v>1964929.79</v>
      </c>
      <c r="AH131" s="239">
        <v>0.1534955274292939</v>
      </c>
      <c r="AI131" s="247">
        <v>184.684427</v>
      </c>
      <c r="AJ131" s="242">
        <v>64.137418999999994</v>
      </c>
      <c r="AK131" s="242">
        <v>22.663398939929326</v>
      </c>
      <c r="AL131" s="242" t="s">
        <v>678</v>
      </c>
      <c r="AM131" s="242" t="s">
        <v>678</v>
      </c>
      <c r="AN131" s="242">
        <v>20781.57</v>
      </c>
      <c r="AO131" s="238">
        <v>0</v>
      </c>
      <c r="AP131" s="243">
        <v>0</v>
      </c>
      <c r="AQ131" s="238"/>
      <c r="AR131" s="238">
        <v>1218.4918628057494</v>
      </c>
      <c r="AS131" s="238">
        <v>1600.1193305220731</v>
      </c>
      <c r="AT131" s="238">
        <v>510511</v>
      </c>
      <c r="AU131" s="238">
        <v>246.78778502851478</v>
      </c>
      <c r="AV131" s="237">
        <v>0</v>
      </c>
      <c r="AW131" s="237">
        <v>0</v>
      </c>
      <c r="AX131" s="237">
        <v>0</v>
      </c>
      <c r="AY131" s="244" t="s">
        <v>695</v>
      </c>
      <c r="AZ131" s="244" t="s">
        <v>682</v>
      </c>
      <c r="BA131" s="237">
        <v>2011</v>
      </c>
      <c r="BB131" s="245" t="s">
        <v>678</v>
      </c>
      <c r="BC131" s="215" t="s">
        <v>678</v>
      </c>
      <c r="BE131" s="237">
        <v>403</v>
      </c>
      <c r="BF131" s="237">
        <v>2</v>
      </c>
      <c r="BG131" s="246" t="s">
        <v>676</v>
      </c>
      <c r="BI131" s="239">
        <v>0.44846566671253613</v>
      </c>
      <c r="BJ131" s="239">
        <v>3.7429475712123295E-2</v>
      </c>
      <c r="BK131" s="239">
        <v>0.49483968625292418</v>
      </c>
      <c r="BL131" s="239">
        <v>1.9265171322416404E-2</v>
      </c>
      <c r="BM131" s="247">
        <v>1.9150956378147792</v>
      </c>
      <c r="BN131" s="248">
        <v>0</v>
      </c>
      <c r="BO131" s="248">
        <v>1</v>
      </c>
      <c r="BP131" s="237">
        <v>0</v>
      </c>
      <c r="BQ131" s="237">
        <v>0</v>
      </c>
      <c r="BR131" s="248">
        <v>1</v>
      </c>
      <c r="BS131" s="237">
        <v>5</v>
      </c>
      <c r="BT131" s="237" t="s">
        <v>335</v>
      </c>
      <c r="BU131" s="249" t="s">
        <v>678</v>
      </c>
      <c r="BV131" s="249">
        <v>1345</v>
      </c>
      <c r="BW131" s="249">
        <v>5118</v>
      </c>
      <c r="BX131" s="249">
        <v>1908</v>
      </c>
      <c r="BY131" s="249" t="s">
        <v>678</v>
      </c>
      <c r="BZ131" s="249">
        <v>12.166440524649479</v>
      </c>
      <c r="CA131" s="249">
        <v>46.295793758480329</v>
      </c>
      <c r="CB131" s="249">
        <v>17.259158751696067</v>
      </c>
      <c r="CC131" s="250" t="s">
        <v>678</v>
      </c>
      <c r="CD131" s="242">
        <v>-1097</v>
      </c>
      <c r="CE131" s="252">
        <v>90.076888285843509</v>
      </c>
      <c r="CF131" s="238">
        <v>4731</v>
      </c>
      <c r="CG131" s="238">
        <v>815.5</v>
      </c>
      <c r="CH131" s="238">
        <v>7.376752600633198</v>
      </c>
      <c r="CI131" s="216" t="s">
        <v>679</v>
      </c>
      <c r="CJ131" s="237">
        <v>0</v>
      </c>
      <c r="CK131" s="253">
        <v>83</v>
      </c>
      <c r="CL131" s="253">
        <v>93.914100000000005</v>
      </c>
      <c r="CM131" s="254">
        <v>0.33185194346289754</v>
      </c>
      <c r="CN131" s="237" t="s">
        <v>86</v>
      </c>
      <c r="CO131" s="242"/>
      <c r="CP131" s="255">
        <v>0</v>
      </c>
      <c r="CV131" s="237">
        <v>3</v>
      </c>
      <c r="CW131" s="194">
        <v>1.867</v>
      </c>
      <c r="CX131" s="194">
        <v>0.63500000000000001</v>
      </c>
      <c r="CY131" s="194">
        <v>0.111</v>
      </c>
      <c r="DB131" s="216" t="s">
        <v>804</v>
      </c>
      <c r="DC131" s="195" t="s">
        <v>977</v>
      </c>
      <c r="DD131" s="256">
        <v>0.7</v>
      </c>
      <c r="DE131" s="256">
        <v>-6.5</v>
      </c>
      <c r="DF131" s="256">
        <v>0.7</v>
      </c>
      <c r="DG131" s="256">
        <v>-2.2000000000000002</v>
      </c>
      <c r="DH131" s="257">
        <v>3</v>
      </c>
      <c r="DI131" s="257">
        <v>0</v>
      </c>
      <c r="DJ131" s="257">
        <v>6.21</v>
      </c>
      <c r="DK131" s="257">
        <v>6.21</v>
      </c>
      <c r="DL131" s="237" t="s">
        <v>529</v>
      </c>
      <c r="DM131" s="270" t="s">
        <v>764</v>
      </c>
      <c r="DN131" s="237" t="s">
        <v>713</v>
      </c>
      <c r="DP131" s="258" t="s">
        <v>682</v>
      </c>
      <c r="DQ131" s="258"/>
      <c r="DR131" s="258"/>
      <c r="DS131" s="258"/>
      <c r="DT131" s="258"/>
      <c r="DU131" s="237">
        <v>0</v>
      </c>
      <c r="DX131" s="247"/>
      <c r="DY131" s="247">
        <v>0</v>
      </c>
      <c r="EA131" s="237">
        <v>1</v>
      </c>
      <c r="EB131" s="237" t="s">
        <v>714</v>
      </c>
      <c r="ED131" s="237" t="s">
        <v>678</v>
      </c>
      <c r="EE131" s="208">
        <v>4</v>
      </c>
      <c r="EF131" s="237" t="s">
        <v>678</v>
      </c>
      <c r="EG131" s="216" t="s">
        <v>691</v>
      </c>
      <c r="EH131" s="246" t="s">
        <v>690</v>
      </c>
      <c r="EI131" s="216"/>
      <c r="EJ131" s="216" t="s">
        <v>806</v>
      </c>
      <c r="EK131" s="222" t="s">
        <v>682</v>
      </c>
      <c r="EL131" s="259">
        <v>1976</v>
      </c>
      <c r="EM131" s="260">
        <v>278325</v>
      </c>
      <c r="EN131" s="260">
        <v>452732</v>
      </c>
      <c r="EO131" s="260">
        <v>74170</v>
      </c>
      <c r="EP131" s="237">
        <v>1</v>
      </c>
      <c r="EQ131" s="237">
        <v>46</v>
      </c>
      <c r="ER131" s="237" t="s">
        <v>705</v>
      </c>
      <c r="ES131" s="237">
        <v>11055</v>
      </c>
      <c r="ET131" s="237">
        <v>0.26648702056947815</v>
      </c>
      <c r="EU131" s="661">
        <v>3</v>
      </c>
      <c r="EV131" s="661">
        <v>6</v>
      </c>
      <c r="EW131" s="661" t="s">
        <v>678</v>
      </c>
      <c r="EX131" s="661">
        <v>9</v>
      </c>
      <c r="EY131" s="660">
        <v>0.29328621908127206</v>
      </c>
      <c r="EZ131" s="256">
        <v>133.19277108433735</v>
      </c>
      <c r="FA131" s="247" t="s">
        <v>678</v>
      </c>
      <c r="FB131" s="208" t="s">
        <v>678</v>
      </c>
      <c r="FC131" s="208" t="s">
        <v>678</v>
      </c>
      <c r="FD131" s="208">
        <v>4</v>
      </c>
      <c r="FE131" s="239" t="s">
        <v>678</v>
      </c>
      <c r="FF131" s="208"/>
      <c r="FG131" s="241" t="s">
        <v>678</v>
      </c>
      <c r="FH131" s="209" t="s">
        <v>678</v>
      </c>
      <c r="FI131" s="237" t="s">
        <v>678</v>
      </c>
      <c r="FJ131" s="208" t="s">
        <v>678</v>
      </c>
      <c r="FK131" s="208" t="s">
        <v>678</v>
      </c>
      <c r="FL131" s="217" t="s">
        <v>678</v>
      </c>
      <c r="FM131" s="208" t="s">
        <v>678</v>
      </c>
      <c r="FN131" s="208" t="s">
        <v>678</v>
      </c>
      <c r="FO131" s="237">
        <v>2000</v>
      </c>
      <c r="FP131" s="247">
        <v>7.0671378091872787</v>
      </c>
      <c r="FU131" s="208" t="s">
        <v>678</v>
      </c>
      <c r="FV131" s="208" t="s">
        <v>678</v>
      </c>
      <c r="FW131" s="208" t="s">
        <v>678</v>
      </c>
      <c r="FX131" s="208" t="s">
        <v>678</v>
      </c>
      <c r="FY131" s="208" t="s">
        <v>678</v>
      </c>
      <c r="FZ131" s="208" t="s">
        <v>678</v>
      </c>
      <c r="GA131" s="208" t="s">
        <v>678</v>
      </c>
      <c r="GB131" s="208" t="s">
        <v>678</v>
      </c>
      <c r="GC131" s="208" t="s">
        <v>678</v>
      </c>
      <c r="GD131" s="208" t="s">
        <v>678</v>
      </c>
      <c r="GE131" s="237" t="s">
        <v>678</v>
      </c>
      <c r="GF131" s="237" t="s">
        <v>678</v>
      </c>
      <c r="GG131" s="237" t="s">
        <v>678</v>
      </c>
      <c r="GH131" s="237" t="s">
        <v>678</v>
      </c>
      <c r="GJ131" s="947">
        <v>146</v>
      </c>
      <c r="GK131" s="320">
        <v>3.0000000000000001E-3</v>
      </c>
      <c r="GL131" s="320">
        <v>0.126</v>
      </c>
      <c r="GM131" s="320">
        <v>7.5999999999999998E-2</v>
      </c>
      <c r="GN131" s="320">
        <v>0.79400000000000004</v>
      </c>
      <c r="GO131" s="662">
        <v>8126</v>
      </c>
      <c r="GP131" s="663" t="str">
        <f>VLOOKUP(GS131,'BD Comarcal'!$A$6:$AV$17,48,FALSE)</f>
        <v>21</v>
      </c>
      <c r="GQ131" s="564">
        <v>55</v>
      </c>
      <c r="GR131" s="256">
        <f t="shared" si="1"/>
        <v>0</v>
      </c>
      <c r="GS131" s="237" t="s">
        <v>86</v>
      </c>
    </row>
    <row r="132" spans="1:201" s="237" customFormat="1" ht="17.25" customHeight="1">
      <c r="A132" s="236" t="s">
        <v>1227</v>
      </c>
      <c r="C132" s="238"/>
      <c r="D132" s="238">
        <v>1204</v>
      </c>
      <c r="E132" s="238">
        <v>999</v>
      </c>
      <c r="F132" s="239">
        <v>0.82973421926910296</v>
      </c>
      <c r="G132" s="238">
        <v>289</v>
      </c>
      <c r="H132" s="240">
        <v>0.15345914360748614</v>
      </c>
      <c r="I132" s="239">
        <v>1.5361275636384999E-4</v>
      </c>
      <c r="J132" s="238">
        <v>61</v>
      </c>
      <c r="K132" s="238">
        <v>2</v>
      </c>
      <c r="L132" s="238">
        <v>0</v>
      </c>
      <c r="M132" s="241">
        <v>0</v>
      </c>
      <c r="N132" s="238">
        <v>1</v>
      </c>
      <c r="O132" s="239">
        <v>1.6393442622950821E-2</v>
      </c>
      <c r="P132" s="237">
        <v>3</v>
      </c>
      <c r="Q132" s="237">
        <v>0</v>
      </c>
      <c r="R132" s="239">
        <v>0</v>
      </c>
      <c r="S132" s="238">
        <v>362</v>
      </c>
      <c r="T132" s="436">
        <v>0</v>
      </c>
      <c r="U132" s="436">
        <v>14</v>
      </c>
      <c r="V132" s="436">
        <v>360</v>
      </c>
      <c r="W132" s="436">
        <v>374</v>
      </c>
      <c r="X132" s="238">
        <v>2867</v>
      </c>
      <c r="Y132" s="237">
        <v>0.1915</v>
      </c>
      <c r="Z132" s="238">
        <v>44488</v>
      </c>
      <c r="AA132" s="238">
        <v>15336</v>
      </c>
      <c r="AB132" s="238">
        <v>93.7</v>
      </c>
      <c r="AC132" s="238">
        <v>220</v>
      </c>
      <c r="AD132" s="238">
        <v>2592165.7399999998</v>
      </c>
      <c r="AE132" s="238">
        <v>404180.29999999981</v>
      </c>
      <c r="AF132" s="238">
        <v>2166389.71</v>
      </c>
      <c r="AG132" s="238">
        <v>215180.55</v>
      </c>
      <c r="AH132" s="239">
        <v>9.932679656237843E-2</v>
      </c>
      <c r="AI132" s="247">
        <v>87.15992</v>
      </c>
      <c r="AJ132" s="242">
        <v>20.580757999999999</v>
      </c>
      <c r="AK132" s="242">
        <v>1.7093652823920267</v>
      </c>
      <c r="AL132" s="242" t="s">
        <v>678</v>
      </c>
      <c r="AM132" s="242" t="s">
        <v>678</v>
      </c>
      <c r="AN132" s="242">
        <v>30352.04</v>
      </c>
      <c r="AO132" s="238">
        <v>1263.49</v>
      </c>
      <c r="AP132" s="243">
        <v>3</v>
      </c>
      <c r="AQ132" s="238">
        <v>1</v>
      </c>
      <c r="AR132" s="238">
        <v>1864.9741385172147</v>
      </c>
      <c r="AS132" s="238">
        <v>920.39097332562676</v>
      </c>
      <c r="AT132" s="238">
        <v>469934.33333333331</v>
      </c>
      <c r="AU132" s="238">
        <v>232.23847029064899</v>
      </c>
      <c r="AV132" s="237">
        <v>1</v>
      </c>
      <c r="AW132" s="237">
        <v>1</v>
      </c>
      <c r="AX132" s="237">
        <v>1</v>
      </c>
      <c r="AY132" s="244" t="s">
        <v>717</v>
      </c>
      <c r="AZ132" s="244" t="s">
        <v>673</v>
      </c>
      <c r="BA132" s="237">
        <v>0</v>
      </c>
      <c r="BB132" s="245" t="s">
        <v>1228</v>
      </c>
      <c r="BC132" s="215" t="s">
        <v>1229</v>
      </c>
      <c r="BE132" s="237">
        <v>5</v>
      </c>
      <c r="BF132" s="237">
        <v>138</v>
      </c>
      <c r="BG132" s="246" t="s">
        <v>676</v>
      </c>
      <c r="BI132" s="239">
        <v>0.45445783132530121</v>
      </c>
      <c r="BJ132" s="239">
        <v>0.16337349397590362</v>
      </c>
      <c r="BK132" s="239">
        <v>0.37397590361445782</v>
      </c>
      <c r="BL132" s="239">
        <v>8.1927710843373493E-3</v>
      </c>
      <c r="BM132" s="247">
        <v>2.0640963855421686</v>
      </c>
      <c r="BN132" s="248">
        <v>0</v>
      </c>
      <c r="BO132" s="248">
        <v>0</v>
      </c>
      <c r="BP132" s="237">
        <v>0</v>
      </c>
      <c r="BQ132" s="237">
        <v>0</v>
      </c>
      <c r="BR132" s="248">
        <v>0</v>
      </c>
      <c r="BS132" s="237">
        <v>17.5</v>
      </c>
      <c r="BT132" s="237" t="s">
        <v>699</v>
      </c>
      <c r="BU132" s="249" t="s">
        <v>678</v>
      </c>
      <c r="BV132" s="249">
        <v>278</v>
      </c>
      <c r="BW132" s="249">
        <v>1595</v>
      </c>
      <c r="BX132" s="249" t="s">
        <v>678</v>
      </c>
      <c r="BY132" s="249" t="s">
        <v>678</v>
      </c>
      <c r="BZ132" s="249">
        <v>9.2883394587370525</v>
      </c>
      <c r="CA132" s="249">
        <v>53.291012362178414</v>
      </c>
      <c r="CB132" s="249" t="s">
        <v>678</v>
      </c>
      <c r="CC132" s="250" t="s">
        <v>678</v>
      </c>
      <c r="CD132" s="242" t="s">
        <v>678</v>
      </c>
      <c r="CE132" s="252" t="s">
        <v>678</v>
      </c>
      <c r="CF132" s="238">
        <v>1621</v>
      </c>
      <c r="CG132" s="238">
        <v>245</v>
      </c>
      <c r="CH132" s="238">
        <v>8.1857667891747408</v>
      </c>
      <c r="CI132" s="216" t="s">
        <v>722</v>
      </c>
      <c r="CJ132" s="237">
        <v>1</v>
      </c>
      <c r="CK132" s="253">
        <v>80.98</v>
      </c>
      <c r="CL132" s="253">
        <v>37.221200000000003</v>
      </c>
      <c r="CM132" s="254">
        <v>3.0914617940199337E-2</v>
      </c>
      <c r="CN132" s="237" t="s">
        <v>82</v>
      </c>
      <c r="CO132" s="242">
        <v>571.98</v>
      </c>
      <c r="CP132" s="255">
        <v>0.47506644518272428</v>
      </c>
      <c r="CV132" s="237">
        <v>4</v>
      </c>
      <c r="CW132" s="261" t="s">
        <v>678</v>
      </c>
      <c r="CX132" s="261" t="s">
        <v>678</v>
      </c>
      <c r="CY132" s="261" t="s">
        <v>678</v>
      </c>
      <c r="DB132" s="216" t="s">
        <v>710</v>
      </c>
      <c r="DC132" s="195" t="s">
        <v>711</v>
      </c>
      <c r="DD132" s="256">
        <v>0.7</v>
      </c>
      <c r="DE132" s="256">
        <v>-6.5</v>
      </c>
      <c r="DF132" s="256">
        <v>0.7</v>
      </c>
      <c r="DG132" s="256">
        <v>-2.2000000000000002</v>
      </c>
      <c r="DH132" s="257">
        <v>1</v>
      </c>
      <c r="DI132" s="257">
        <v>0.3</v>
      </c>
      <c r="DJ132" s="257">
        <v>0.7</v>
      </c>
      <c r="DK132" s="257">
        <v>1</v>
      </c>
      <c r="DL132" s="237" t="s">
        <v>682</v>
      </c>
      <c r="DO132" s="237">
        <v>1</v>
      </c>
      <c r="DP132" s="258" t="s">
        <v>682</v>
      </c>
      <c r="DQ132" s="258"/>
      <c r="DR132" s="258"/>
      <c r="DS132" s="258"/>
      <c r="DT132" s="258"/>
      <c r="DU132" s="237">
        <v>0</v>
      </c>
      <c r="DX132" s="247"/>
      <c r="DY132" s="247">
        <v>0</v>
      </c>
      <c r="EA132" s="237">
        <v>0</v>
      </c>
      <c r="ED132" s="237" t="s">
        <v>678</v>
      </c>
      <c r="EE132" s="208">
        <v>3</v>
      </c>
      <c r="EF132" s="237" t="s">
        <v>678</v>
      </c>
      <c r="EG132" s="216" t="s">
        <v>691</v>
      </c>
      <c r="EH132" s="246" t="s">
        <v>690</v>
      </c>
      <c r="EI132" s="216" t="s">
        <v>691</v>
      </c>
      <c r="EJ132" s="216" t="s">
        <v>529</v>
      </c>
      <c r="EK132" s="222" t="s">
        <v>682</v>
      </c>
      <c r="EL132" s="259">
        <v>2001</v>
      </c>
      <c r="EM132" s="260">
        <v>7265</v>
      </c>
      <c r="EN132" s="260">
        <v>108273</v>
      </c>
      <c r="EO132" s="260">
        <v>358503</v>
      </c>
      <c r="ER132" s="237" t="s">
        <v>705</v>
      </c>
      <c r="ES132" s="237" t="e">
        <v>#DIV/0!</v>
      </c>
      <c r="ET132" s="237">
        <v>49.346593255333794</v>
      </c>
      <c r="EU132" s="661">
        <v>3</v>
      </c>
      <c r="EV132" s="661">
        <v>2</v>
      </c>
      <c r="EW132" s="661">
        <v>1</v>
      </c>
      <c r="EX132" s="661">
        <v>6</v>
      </c>
      <c r="EY132" s="660">
        <v>6.7259136212624582E-2</v>
      </c>
      <c r="EZ132" s="256">
        <v>36.959743146455914</v>
      </c>
      <c r="FA132" s="247">
        <v>0.40040040040040042</v>
      </c>
      <c r="FB132" s="208">
        <v>6</v>
      </c>
      <c r="FC132" s="208">
        <v>4</v>
      </c>
      <c r="FD132" s="208">
        <v>5</v>
      </c>
      <c r="FE132" s="239">
        <v>0.28928928928928926</v>
      </c>
      <c r="FF132" s="208"/>
      <c r="FG132" s="241">
        <v>1.001001001001001E-3</v>
      </c>
      <c r="FH132" s="209">
        <v>0</v>
      </c>
      <c r="FI132" s="237" t="s">
        <v>678</v>
      </c>
      <c r="FJ132" s="208" t="s">
        <v>678</v>
      </c>
      <c r="FK132" s="208" t="s">
        <v>678</v>
      </c>
      <c r="FL132" s="217" t="s">
        <v>678</v>
      </c>
      <c r="FM132" s="208" t="s">
        <v>678</v>
      </c>
      <c r="FN132" s="208" t="s">
        <v>678</v>
      </c>
      <c r="FP132" s="247" t="s">
        <v>693</v>
      </c>
      <c r="FU132" s="208" t="s">
        <v>678</v>
      </c>
      <c r="FV132" s="208" t="s">
        <v>678</v>
      </c>
      <c r="FW132" s="208" t="s">
        <v>678</v>
      </c>
      <c r="FX132" s="208" t="s">
        <v>678</v>
      </c>
      <c r="FY132" s="208" t="s">
        <v>678</v>
      </c>
      <c r="FZ132" s="208" t="s">
        <v>678</v>
      </c>
      <c r="GA132" s="208" t="s">
        <v>678</v>
      </c>
      <c r="GB132" s="208" t="s">
        <v>678</v>
      </c>
      <c r="GC132" s="208" t="s">
        <v>678</v>
      </c>
      <c r="GD132" s="208" t="s">
        <v>678</v>
      </c>
      <c r="GE132" s="237" t="s">
        <v>678</v>
      </c>
      <c r="GF132" s="237" t="s">
        <v>678</v>
      </c>
      <c r="GG132" s="237" t="s">
        <v>678</v>
      </c>
      <c r="GH132" s="237" t="s">
        <v>678</v>
      </c>
      <c r="GJ132" s="947"/>
      <c r="GK132" s="320"/>
      <c r="GL132" s="320"/>
      <c r="GM132" s="320"/>
      <c r="GN132" s="320"/>
      <c r="GO132" s="662">
        <v>8127</v>
      </c>
      <c r="GP132" s="663" t="str">
        <f>VLOOKUP(GS132,'BD Comarcal'!$A$6:$AV$17,48,FALSE)</f>
        <v>07</v>
      </c>
      <c r="GQ132" s="564">
        <v>30</v>
      </c>
      <c r="GR132" s="256">
        <f t="shared" si="1"/>
        <v>1</v>
      </c>
      <c r="GS132" s="237" t="s">
        <v>82</v>
      </c>
    </row>
    <row r="133" spans="1:201" s="237" customFormat="1" ht="17.25" customHeight="1">
      <c r="A133" s="236" t="s">
        <v>1230</v>
      </c>
      <c r="C133" s="238"/>
      <c r="D133" s="238">
        <v>2187</v>
      </c>
      <c r="E133" s="238">
        <v>1937</v>
      </c>
      <c r="F133" s="239">
        <v>0.88568815729309558</v>
      </c>
      <c r="G133" s="238" t="s">
        <v>752</v>
      </c>
      <c r="H133" s="240">
        <v>1141.5113853864671</v>
      </c>
      <c r="I133" s="239">
        <v>0.58931924903792832</v>
      </c>
      <c r="J133" s="238">
        <v>39</v>
      </c>
      <c r="K133" s="238">
        <v>43</v>
      </c>
      <c r="L133" s="238">
        <v>3</v>
      </c>
      <c r="M133" s="241">
        <v>1.3717421124828531E-3</v>
      </c>
      <c r="N133" s="238">
        <v>0</v>
      </c>
      <c r="O133" s="239">
        <v>0</v>
      </c>
      <c r="P133" s="237">
        <v>3</v>
      </c>
      <c r="Q133" s="237">
        <v>0</v>
      </c>
      <c r="R133" s="239">
        <v>0</v>
      </c>
      <c r="S133" s="238">
        <v>603</v>
      </c>
      <c r="T133" s="436">
        <v>0</v>
      </c>
      <c r="U133" s="436">
        <v>11</v>
      </c>
      <c r="V133" s="436">
        <v>16</v>
      </c>
      <c r="W133" s="436">
        <v>27</v>
      </c>
      <c r="X133" s="238">
        <v>699</v>
      </c>
      <c r="Y133" s="237">
        <v>0.19420000000000001</v>
      </c>
      <c r="Z133" s="238">
        <v>10689</v>
      </c>
      <c r="AA133" s="238">
        <v>15336</v>
      </c>
      <c r="AB133" s="238">
        <v>93.7</v>
      </c>
      <c r="AC133" s="238">
        <v>45</v>
      </c>
      <c r="AD133" s="238">
        <v>933774.96</v>
      </c>
      <c r="AE133" s="238">
        <v>32992.380000000005</v>
      </c>
      <c r="AF133" s="238">
        <v>852346.44</v>
      </c>
      <c r="AG133" s="238">
        <v>206896.2</v>
      </c>
      <c r="AH133" s="239">
        <v>0.24273721375547722</v>
      </c>
      <c r="AI133" s="247">
        <v>31.049143000000001</v>
      </c>
      <c r="AJ133" s="242">
        <v>13.556331</v>
      </c>
      <c r="AK133" s="242">
        <v>0.61985967078189297</v>
      </c>
      <c r="AL133" s="242">
        <v>46.661532000000001</v>
      </c>
      <c r="AM133" s="242">
        <v>2.1335862825788752</v>
      </c>
      <c r="AN133" s="242">
        <v>9670.09</v>
      </c>
      <c r="AO133" s="238">
        <v>2233.6999999999998</v>
      </c>
      <c r="AP133" s="243">
        <v>0</v>
      </c>
      <c r="AQ133" s="238">
        <v>1</v>
      </c>
      <c r="AR133" s="238">
        <v>1531.3519298518611</v>
      </c>
      <c r="AS133" s="238">
        <v>1333.6657318425305</v>
      </c>
      <c r="AT133" s="238">
        <v>40744.333333333336</v>
      </c>
      <c r="AU133" s="238">
        <v>314.82060037237318</v>
      </c>
      <c r="AV133" s="237">
        <v>1</v>
      </c>
      <c r="AW133" s="237">
        <v>1</v>
      </c>
      <c r="AX133" s="237">
        <v>1</v>
      </c>
      <c r="AY133" s="244" t="s">
        <v>673</v>
      </c>
      <c r="AZ133" s="244" t="s">
        <v>726</v>
      </c>
      <c r="BA133" s="237">
        <v>2012</v>
      </c>
      <c r="BB133" s="245" t="s">
        <v>768</v>
      </c>
      <c r="BC133" s="215" t="s">
        <v>769</v>
      </c>
      <c r="BE133" s="237">
        <v>2</v>
      </c>
      <c r="BF133" s="237">
        <v>143</v>
      </c>
      <c r="BG133" s="246" t="s">
        <v>698</v>
      </c>
      <c r="BI133" s="239">
        <v>0.74380165289256195</v>
      </c>
      <c r="BJ133" s="239">
        <v>7.6033057851239663E-2</v>
      </c>
      <c r="BK133" s="239">
        <v>0.17520661157024794</v>
      </c>
      <c r="BL133" s="239">
        <v>4.9586776859504135E-3</v>
      </c>
      <c r="BM133" s="247">
        <v>2.5586776859504132</v>
      </c>
      <c r="BN133" s="248">
        <v>0</v>
      </c>
      <c r="BO133" s="248">
        <v>0</v>
      </c>
      <c r="BP133" s="237">
        <v>0</v>
      </c>
      <c r="BQ133" s="237">
        <v>0</v>
      </c>
      <c r="BR133" s="248">
        <v>0</v>
      </c>
      <c r="BS133" s="262">
        <v>29.4</v>
      </c>
      <c r="BT133" s="237" t="s">
        <v>699</v>
      </c>
      <c r="BU133" s="249" t="s">
        <v>678</v>
      </c>
      <c r="BV133" s="249" t="s">
        <v>678</v>
      </c>
      <c r="BW133" s="249" t="s">
        <v>678</v>
      </c>
      <c r="BX133" s="249" t="s">
        <v>678</v>
      </c>
      <c r="BY133" s="249" t="s">
        <v>678</v>
      </c>
      <c r="BZ133" s="249" t="s">
        <v>678</v>
      </c>
      <c r="CA133" s="249" t="s">
        <v>678</v>
      </c>
      <c r="CB133" s="249" t="s">
        <v>678</v>
      </c>
      <c r="CC133" s="250" t="s">
        <v>678</v>
      </c>
      <c r="CD133" s="242" t="s">
        <v>678</v>
      </c>
      <c r="CE133" s="252" t="s">
        <v>678</v>
      </c>
      <c r="CF133" s="238">
        <v>517</v>
      </c>
      <c r="CG133" s="238">
        <v>49.8</v>
      </c>
      <c r="CH133" s="238">
        <v>7.259475218658892</v>
      </c>
      <c r="CI133" s="216" t="s">
        <v>679</v>
      </c>
      <c r="CJ133" s="237">
        <v>0</v>
      </c>
      <c r="CK133" s="253">
        <v>85.4</v>
      </c>
      <c r="CL133" s="253">
        <v>55.800899999999999</v>
      </c>
      <c r="CM133" s="254">
        <v>2.5514814814814813E-2</v>
      </c>
      <c r="CN133" s="237" t="s">
        <v>82</v>
      </c>
      <c r="CO133" s="242">
        <v>328.72</v>
      </c>
      <c r="CP133" s="255">
        <v>0.15030635573845452</v>
      </c>
      <c r="CW133" s="261" t="s">
        <v>678</v>
      </c>
      <c r="CX133" s="261" t="s">
        <v>678</v>
      </c>
      <c r="CY133" s="261" t="s">
        <v>678</v>
      </c>
      <c r="CZ133" s="237" t="s">
        <v>529</v>
      </c>
      <c r="DA133" s="237" t="s">
        <v>1231</v>
      </c>
      <c r="DB133" s="216"/>
      <c r="DC133" s="195" t="s">
        <v>866</v>
      </c>
      <c r="DD133" s="256">
        <v>0.8</v>
      </c>
      <c r="DE133" s="256">
        <v>-10</v>
      </c>
      <c r="DF133" s="256">
        <v>0.5</v>
      </c>
      <c r="DG133" s="256">
        <v>-2.2999999999999998</v>
      </c>
      <c r="DH133" s="257">
        <v>2</v>
      </c>
      <c r="DI133" s="257">
        <v>11.93</v>
      </c>
      <c r="DJ133" s="257">
        <v>2.97</v>
      </c>
      <c r="DK133" s="257">
        <v>14.9</v>
      </c>
      <c r="DL133" s="237" t="s">
        <v>682</v>
      </c>
      <c r="DP133" s="258" t="s">
        <v>682</v>
      </c>
      <c r="DQ133" s="258"/>
      <c r="DR133" s="258"/>
      <c r="DS133" s="258"/>
      <c r="DT133" s="258"/>
      <c r="DU133" s="237">
        <v>0</v>
      </c>
      <c r="DX133" s="247"/>
      <c r="DY133" s="247">
        <v>0</v>
      </c>
      <c r="EA133" s="237">
        <v>0</v>
      </c>
      <c r="ED133" s="237" t="s">
        <v>940</v>
      </c>
      <c r="EE133" s="208">
        <v>3</v>
      </c>
      <c r="EF133" s="237" t="s">
        <v>702</v>
      </c>
      <c r="EG133" s="216" t="s">
        <v>733</v>
      </c>
      <c r="EH133" s="246" t="s">
        <v>734</v>
      </c>
      <c r="EI133" s="216"/>
      <c r="EJ133" s="216" t="s">
        <v>529</v>
      </c>
      <c r="EK133" s="222" t="s">
        <v>682</v>
      </c>
      <c r="EL133" s="259">
        <v>1990</v>
      </c>
      <c r="EM133" s="260">
        <v>1200</v>
      </c>
      <c r="EN133" s="260">
        <v>32560</v>
      </c>
      <c r="EO133" s="260">
        <v>5569</v>
      </c>
      <c r="ER133" s="237" t="s">
        <v>705</v>
      </c>
      <c r="ES133" s="237" t="e">
        <v>#DIV/0!</v>
      </c>
      <c r="ET133" s="237">
        <v>4.6408333333333331</v>
      </c>
      <c r="EU133" s="661">
        <v>3</v>
      </c>
      <c r="EV133" s="661" t="s">
        <v>678</v>
      </c>
      <c r="EW133" s="661">
        <v>2</v>
      </c>
      <c r="EX133" s="661">
        <v>4</v>
      </c>
      <c r="EY133" s="660">
        <v>3.9048925468678559E-2</v>
      </c>
      <c r="EZ133" s="256">
        <v>8.0327868852459012</v>
      </c>
      <c r="FA133" s="247">
        <v>0</v>
      </c>
      <c r="FB133" s="208">
        <v>3</v>
      </c>
      <c r="FC133" s="208">
        <v>5</v>
      </c>
      <c r="FD133" s="208">
        <v>2</v>
      </c>
      <c r="FE133" s="239" t="s">
        <v>678</v>
      </c>
      <c r="FF133" s="208"/>
      <c r="FG133" s="241">
        <v>7.6923076923076927E-3</v>
      </c>
      <c r="FH133" s="209">
        <v>0</v>
      </c>
      <c r="FI133" s="237" t="s">
        <v>678</v>
      </c>
      <c r="FJ133" s="208">
        <v>57.5</v>
      </c>
      <c r="FK133" s="208">
        <v>7.37</v>
      </c>
      <c r="FL133" s="217">
        <v>41.8</v>
      </c>
      <c r="FM133" s="208">
        <v>6.4</v>
      </c>
      <c r="FN133" s="208" t="s">
        <v>1232</v>
      </c>
      <c r="FP133" s="247" t="s">
        <v>693</v>
      </c>
      <c r="FU133" s="208">
        <v>46</v>
      </c>
      <c r="FV133" s="208">
        <v>66.5</v>
      </c>
      <c r="FW133" s="237">
        <v>57.91</v>
      </c>
      <c r="FX133" s="237">
        <v>38.200000000000003</v>
      </c>
      <c r="FY133" s="208">
        <v>44.84</v>
      </c>
      <c r="FZ133" s="208">
        <v>57.8</v>
      </c>
      <c r="GA133" s="208">
        <v>57.93</v>
      </c>
      <c r="GB133" s="208">
        <v>64.2</v>
      </c>
      <c r="GC133" s="208">
        <v>0.32</v>
      </c>
      <c r="GD133" s="208">
        <v>49.7</v>
      </c>
      <c r="GE133" s="237">
        <v>50.73</v>
      </c>
      <c r="GF133" s="237">
        <v>66.7</v>
      </c>
      <c r="GG133" s="237">
        <v>2.87</v>
      </c>
      <c r="GH133" s="237">
        <v>27.3</v>
      </c>
      <c r="GJ133" s="947"/>
      <c r="GK133" s="320"/>
      <c r="GL133" s="320"/>
      <c r="GM133" s="320"/>
      <c r="GN133" s="320"/>
      <c r="GO133" s="662">
        <v>8128</v>
      </c>
      <c r="GP133" s="663" t="str">
        <f>VLOOKUP(GS133,'BD Comarcal'!$A$6:$AV$17,48,FALSE)</f>
        <v>42</v>
      </c>
      <c r="GQ133" s="564">
        <v>9</v>
      </c>
      <c r="GR133" s="256">
        <f t="shared" si="1"/>
        <v>1</v>
      </c>
      <c r="GS133" s="237" t="s">
        <v>87</v>
      </c>
    </row>
    <row r="134" spans="1:201" s="237" customFormat="1" ht="17.25" customHeight="1">
      <c r="A134" s="236" t="s">
        <v>1233</v>
      </c>
      <c r="C134" s="238"/>
      <c r="D134" s="238">
        <v>4042</v>
      </c>
      <c r="E134" s="238">
        <v>3196</v>
      </c>
      <c r="F134" s="239">
        <v>0.79069767441860461</v>
      </c>
      <c r="G134" s="238">
        <v>2991</v>
      </c>
      <c r="H134" s="240">
        <v>1559.9289784410796</v>
      </c>
      <c r="I134" s="239">
        <v>0.48808791565740917</v>
      </c>
      <c r="J134" s="238">
        <v>543</v>
      </c>
      <c r="K134" s="238">
        <v>172</v>
      </c>
      <c r="L134" s="238">
        <v>6</v>
      </c>
      <c r="M134" s="241">
        <v>1.4844136566056407E-3</v>
      </c>
      <c r="N134" s="238">
        <v>0</v>
      </c>
      <c r="O134" s="239">
        <v>0</v>
      </c>
      <c r="P134" s="237">
        <v>24</v>
      </c>
      <c r="Q134" s="237">
        <v>0</v>
      </c>
      <c r="R134" s="239">
        <v>0</v>
      </c>
      <c r="S134" s="238">
        <v>3768</v>
      </c>
      <c r="T134" s="436">
        <v>0</v>
      </c>
      <c r="U134" s="436">
        <v>61</v>
      </c>
      <c r="V134" s="436">
        <v>0</v>
      </c>
      <c r="W134" s="436">
        <v>61</v>
      </c>
      <c r="X134" s="238">
        <v>604</v>
      </c>
      <c r="Y134" s="237">
        <v>0.121</v>
      </c>
      <c r="Z134" s="238">
        <v>10703</v>
      </c>
      <c r="AA134" s="238">
        <v>17662</v>
      </c>
      <c r="AB134" s="238">
        <v>107.92</v>
      </c>
      <c r="AC134" s="238">
        <v>0</v>
      </c>
      <c r="AD134" s="238">
        <v>756825.27</v>
      </c>
      <c r="AE134" s="238">
        <v>105527</v>
      </c>
      <c r="AF134" s="238">
        <v>711084.52</v>
      </c>
      <c r="AG134" s="238">
        <v>97753.94</v>
      </c>
      <c r="AH134" s="239">
        <v>0.13747161870434194</v>
      </c>
      <c r="AI134" s="247">
        <v>142.36324400000001</v>
      </c>
      <c r="AJ134" s="242">
        <v>15.273013000000001</v>
      </c>
      <c r="AK134" s="242">
        <v>0.3778578179119248</v>
      </c>
      <c r="AL134" s="242">
        <v>213.011729</v>
      </c>
      <c r="AM134" s="242">
        <v>5.2699586590796637</v>
      </c>
      <c r="AN134" s="242">
        <v>14780.7</v>
      </c>
      <c r="AO134" s="238">
        <v>10665.9</v>
      </c>
      <c r="AP134" s="243">
        <v>34</v>
      </c>
      <c r="AQ134" s="238"/>
      <c r="AR134" s="238">
        <v>1734.6968957661529</v>
      </c>
      <c r="AS134" s="238">
        <v>1342.7531007748603</v>
      </c>
      <c r="AT134" s="238">
        <v>52013.666666666664</v>
      </c>
      <c r="AU134" s="238">
        <v>239.7402262037447</v>
      </c>
      <c r="AV134" s="237">
        <v>1</v>
      </c>
      <c r="AW134" s="237">
        <v>0</v>
      </c>
      <c r="AX134" s="237">
        <v>1</v>
      </c>
      <c r="AY134" s="244" t="s">
        <v>726</v>
      </c>
      <c r="AZ134" s="244" t="s">
        <v>726</v>
      </c>
      <c r="BA134" s="237" t="s">
        <v>1038</v>
      </c>
      <c r="BB134" s="245" t="s">
        <v>1172</v>
      </c>
      <c r="BC134" s="215" t="s">
        <v>1173</v>
      </c>
      <c r="BE134" s="237">
        <v>9</v>
      </c>
      <c r="BF134" s="237">
        <v>4</v>
      </c>
      <c r="BG134" s="246" t="s">
        <v>720</v>
      </c>
      <c r="BI134" s="239">
        <v>0.15345268542199489</v>
      </c>
      <c r="BJ134" s="239">
        <v>0.27877237851662406</v>
      </c>
      <c r="BK134" s="239">
        <v>0.51662404092071612</v>
      </c>
      <c r="BL134" s="239">
        <v>5.1150895140664961E-2</v>
      </c>
      <c r="BM134" s="247">
        <v>1.5345268542199488</v>
      </c>
      <c r="BN134" s="248">
        <v>0</v>
      </c>
      <c r="BO134" s="248">
        <v>0</v>
      </c>
      <c r="BP134" s="237">
        <v>0</v>
      </c>
      <c r="BQ134" s="237">
        <v>0</v>
      </c>
      <c r="BR134" s="248">
        <v>0</v>
      </c>
      <c r="BS134" s="237">
        <v>14</v>
      </c>
      <c r="BT134" s="237" t="s">
        <v>815</v>
      </c>
      <c r="BU134" s="249" t="s">
        <v>678</v>
      </c>
      <c r="BV134" s="249" t="s">
        <v>678</v>
      </c>
      <c r="BW134" s="249" t="s">
        <v>678</v>
      </c>
      <c r="BX134" s="249" t="s">
        <v>678</v>
      </c>
      <c r="BY134" s="249" t="s">
        <v>678</v>
      </c>
      <c r="BZ134" s="249" t="s">
        <v>678</v>
      </c>
      <c r="CA134" s="249" t="s">
        <v>678</v>
      </c>
      <c r="CB134" s="249" t="s">
        <v>678</v>
      </c>
      <c r="CC134" s="250" t="s">
        <v>678</v>
      </c>
      <c r="CD134" s="242" t="s">
        <v>678</v>
      </c>
      <c r="CE134" s="252" t="s">
        <v>678</v>
      </c>
      <c r="CF134" s="238">
        <v>314</v>
      </c>
      <c r="CG134" s="238">
        <v>44</v>
      </c>
      <c r="CH134" s="238">
        <v>7.5213675213675213</v>
      </c>
      <c r="CI134" s="216" t="s">
        <v>722</v>
      </c>
      <c r="CJ134" s="237">
        <v>1</v>
      </c>
      <c r="CK134" s="253">
        <v>174.38</v>
      </c>
      <c r="CL134" s="253">
        <v>0</v>
      </c>
      <c r="CM134" s="254">
        <v>0</v>
      </c>
      <c r="CN134" s="237" t="s">
        <v>88</v>
      </c>
      <c r="CO134" s="242"/>
      <c r="CP134" s="255">
        <v>0</v>
      </c>
      <c r="CV134" s="237">
        <v>2</v>
      </c>
      <c r="CW134" s="261" t="s">
        <v>678</v>
      </c>
      <c r="CX134" s="261" t="s">
        <v>678</v>
      </c>
      <c r="CY134" s="261" t="s">
        <v>678</v>
      </c>
      <c r="DB134" s="216" t="s">
        <v>1234</v>
      </c>
      <c r="DC134" s="195" t="s">
        <v>1235</v>
      </c>
      <c r="DD134" s="256">
        <v>0.8</v>
      </c>
      <c r="DE134" s="256">
        <v>-9</v>
      </c>
      <c r="DF134" s="256">
        <v>-0.3</v>
      </c>
      <c r="DG134" s="256">
        <v>-2.6</v>
      </c>
      <c r="DL134" s="237" t="s">
        <v>529</v>
      </c>
      <c r="DM134" s="270" t="s">
        <v>1236</v>
      </c>
      <c r="DN134" s="237" t="s">
        <v>713</v>
      </c>
      <c r="DP134" s="258" t="s">
        <v>682</v>
      </c>
      <c r="DQ134" s="258"/>
      <c r="DR134" s="258"/>
      <c r="DS134" s="258"/>
      <c r="DT134" s="258"/>
      <c r="DU134" s="237">
        <v>0</v>
      </c>
      <c r="DX134" s="247"/>
      <c r="DY134" s="247">
        <v>0</v>
      </c>
      <c r="EA134" s="237">
        <v>0</v>
      </c>
      <c r="ED134" s="237" t="s">
        <v>956</v>
      </c>
      <c r="EE134" s="208">
        <v>1</v>
      </c>
      <c r="EF134" s="237" t="s">
        <v>688</v>
      </c>
      <c r="EG134" s="216" t="s">
        <v>733</v>
      </c>
      <c r="EH134" s="246" t="s">
        <v>734</v>
      </c>
      <c r="EI134" s="216"/>
      <c r="EJ134" s="216" t="s">
        <v>529</v>
      </c>
      <c r="EK134" s="222" t="s">
        <v>682</v>
      </c>
      <c r="EL134" s="259">
        <v>1993</v>
      </c>
      <c r="EM134" s="260">
        <v>1840</v>
      </c>
      <c r="EN134" s="260">
        <v>23112</v>
      </c>
      <c r="EO134" s="260">
        <v>31223</v>
      </c>
      <c r="EP134" s="237">
        <v>2</v>
      </c>
      <c r="EQ134" s="237">
        <v>132</v>
      </c>
      <c r="ER134" s="237" t="s">
        <v>692</v>
      </c>
      <c r="ES134" s="237" t="e">
        <v>#DIV/0!</v>
      </c>
      <c r="ET134" s="237">
        <v>16.969021739130437</v>
      </c>
      <c r="EU134" s="661">
        <v>5</v>
      </c>
      <c r="EV134" s="661" t="s">
        <v>678</v>
      </c>
      <c r="EW134" s="661">
        <v>0</v>
      </c>
      <c r="EX134" s="661">
        <v>3</v>
      </c>
      <c r="EY134" s="660">
        <v>4.3142008906481941E-2</v>
      </c>
      <c r="EZ134" s="256">
        <v>3.3547425163436175</v>
      </c>
      <c r="FA134" s="247">
        <v>6.2578222778473094E-2</v>
      </c>
      <c r="FB134" s="208">
        <v>2</v>
      </c>
      <c r="FC134" s="208">
        <v>3</v>
      </c>
      <c r="FD134" s="208">
        <v>2</v>
      </c>
      <c r="FE134" s="239">
        <v>0.93585732165206503</v>
      </c>
      <c r="FF134" s="208">
        <v>1</v>
      </c>
      <c r="FG134" s="241">
        <v>0</v>
      </c>
      <c r="FH134" s="209">
        <v>0</v>
      </c>
      <c r="FI134" s="237" t="s">
        <v>678</v>
      </c>
      <c r="FJ134" s="208">
        <v>63.1</v>
      </c>
      <c r="FK134" s="208">
        <v>0</v>
      </c>
      <c r="FL134" s="217">
        <v>4.9000000000000004</v>
      </c>
      <c r="FM134" s="208">
        <v>15.28</v>
      </c>
      <c r="FN134" s="208">
        <v>92</v>
      </c>
      <c r="FP134" s="247" t="s">
        <v>693</v>
      </c>
      <c r="FU134" s="208">
        <v>51</v>
      </c>
      <c r="FV134" s="208">
        <v>76.599999999999994</v>
      </c>
      <c r="FW134" s="237">
        <v>86.41</v>
      </c>
      <c r="FX134" s="237">
        <v>76.7</v>
      </c>
      <c r="FY134" s="208">
        <v>91.75</v>
      </c>
      <c r="FZ134" s="208">
        <v>84.5</v>
      </c>
      <c r="GA134" s="208">
        <v>78.38</v>
      </c>
      <c r="GB134" s="208">
        <v>89.4</v>
      </c>
      <c r="GC134" s="208">
        <v>0.72</v>
      </c>
      <c r="GD134" s="208">
        <v>75</v>
      </c>
      <c r="GE134" s="237">
        <v>75.58</v>
      </c>
      <c r="GF134" s="237">
        <v>89.9</v>
      </c>
      <c r="GG134" s="237">
        <v>2.09</v>
      </c>
      <c r="GH134" s="237">
        <v>21.5</v>
      </c>
      <c r="GJ134" s="947"/>
      <c r="GK134" s="320"/>
      <c r="GL134" s="320"/>
      <c r="GM134" s="320"/>
      <c r="GN134" s="320"/>
      <c r="GO134" s="662">
        <v>8129</v>
      </c>
      <c r="GP134" s="663" t="str">
        <f>VLOOKUP(GS134,'BD Comarcal'!$A$6:$AV$17,48,FALSE)</f>
        <v>24</v>
      </c>
      <c r="GQ134" s="564">
        <v>11</v>
      </c>
      <c r="GR134" s="256">
        <f t="shared" si="1"/>
        <v>0</v>
      </c>
      <c r="GS134" s="237" t="s">
        <v>88</v>
      </c>
    </row>
    <row r="135" spans="1:201" s="237" customFormat="1" ht="17.25" customHeight="1">
      <c r="A135" s="236" t="s">
        <v>1237</v>
      </c>
      <c r="C135" s="238"/>
      <c r="D135" s="238">
        <v>2208</v>
      </c>
      <c r="E135" s="238">
        <v>1458</v>
      </c>
      <c r="F135" s="239">
        <v>0.66032608695652173</v>
      </c>
      <c r="G135" s="238">
        <v>1421</v>
      </c>
      <c r="H135" s="240">
        <v>1248.4625344270582</v>
      </c>
      <c r="I135" s="239">
        <v>0.85628431716533482</v>
      </c>
      <c r="J135" s="238">
        <v>1049</v>
      </c>
      <c r="K135" s="238">
        <v>313</v>
      </c>
      <c r="L135" s="238">
        <v>1</v>
      </c>
      <c r="M135" s="241">
        <v>4.5289855072463769E-4</v>
      </c>
      <c r="N135" s="238">
        <v>17</v>
      </c>
      <c r="O135" s="239">
        <v>1.6205910390848427E-2</v>
      </c>
      <c r="P135" s="237">
        <v>22</v>
      </c>
      <c r="Q135" s="237">
        <v>1</v>
      </c>
      <c r="R135" s="239">
        <v>4.5454545454545456E-2</v>
      </c>
      <c r="S135" s="238">
        <v>3024</v>
      </c>
      <c r="T135" s="436">
        <v>0</v>
      </c>
      <c r="U135" s="436">
        <v>62</v>
      </c>
      <c r="V135" s="436">
        <v>0</v>
      </c>
      <c r="W135" s="436">
        <v>62</v>
      </c>
      <c r="X135" s="238">
        <v>119</v>
      </c>
      <c r="Y135" s="237">
        <v>0.24790000000000001</v>
      </c>
      <c r="Z135" s="238">
        <v>2151</v>
      </c>
      <c r="AA135" s="238">
        <v>17928</v>
      </c>
      <c r="AB135" s="238">
        <v>109.54</v>
      </c>
      <c r="AC135" s="238">
        <v>0</v>
      </c>
      <c r="AD135" s="238">
        <v>349931.14</v>
      </c>
      <c r="AE135" s="238">
        <v>15219.750000000058</v>
      </c>
      <c r="AF135" s="238">
        <v>410928.58999999997</v>
      </c>
      <c r="AG135" s="238">
        <v>178751.98</v>
      </c>
      <c r="AH135" s="239">
        <v>0.43499523846710209</v>
      </c>
      <c r="AI135" s="247">
        <v>1.315434</v>
      </c>
      <c r="AJ135" s="242">
        <v>0.127938</v>
      </c>
      <c r="AK135" s="242">
        <v>5.7942934782608691E-3</v>
      </c>
      <c r="AL135" s="242" t="s">
        <v>678</v>
      </c>
      <c r="AM135" s="242" t="s">
        <v>678</v>
      </c>
      <c r="AN135" s="242">
        <v>8801.94</v>
      </c>
      <c r="AO135" s="238">
        <v>0</v>
      </c>
      <c r="AP135" s="243">
        <v>0</v>
      </c>
      <c r="AQ135" s="238"/>
      <c r="AR135" s="238">
        <v>2508.5156300126887</v>
      </c>
      <c r="AS135" s="238">
        <v>930.68971085070336</v>
      </c>
      <c r="AT135" s="238">
        <v>8569.6666666666661</v>
      </c>
      <c r="AU135" s="238">
        <v>351.23374075686456</v>
      </c>
      <c r="AV135" s="237">
        <v>1</v>
      </c>
      <c r="AW135" s="237">
        <v>1</v>
      </c>
      <c r="AX135" s="237">
        <v>1</v>
      </c>
      <c r="AY135" s="244" t="s">
        <v>673</v>
      </c>
      <c r="AZ135" s="244" t="s">
        <v>695</v>
      </c>
      <c r="BA135" s="237">
        <v>0</v>
      </c>
      <c r="BB135" s="245" t="s">
        <v>775</v>
      </c>
      <c r="BC135" s="215" t="s">
        <v>776</v>
      </c>
      <c r="BE135" s="237">
        <v>0</v>
      </c>
      <c r="BF135" s="237">
        <v>11</v>
      </c>
      <c r="BG135" s="246" t="s">
        <v>720</v>
      </c>
      <c r="BI135" s="239">
        <v>0.69620253164556967</v>
      </c>
      <c r="BJ135" s="239">
        <v>0.22784810126582278</v>
      </c>
      <c r="BK135" s="239">
        <v>7.5949367088607597E-2</v>
      </c>
      <c r="BL135" s="239">
        <v>0</v>
      </c>
      <c r="BM135" s="247">
        <v>2.6202531645569622</v>
      </c>
      <c r="BN135" s="248">
        <v>0</v>
      </c>
      <c r="BO135" s="248">
        <v>0</v>
      </c>
      <c r="BP135" s="237">
        <v>0</v>
      </c>
      <c r="BQ135" s="237">
        <v>0</v>
      </c>
      <c r="BR135" s="248">
        <v>0</v>
      </c>
      <c r="BS135" s="237">
        <v>16.3</v>
      </c>
      <c r="BT135" s="237" t="s">
        <v>777</v>
      </c>
      <c r="BU135" s="249" t="s">
        <v>678</v>
      </c>
      <c r="BV135" s="249" t="s">
        <v>678</v>
      </c>
      <c r="BW135" s="249" t="s">
        <v>678</v>
      </c>
      <c r="BX135" s="249" t="s">
        <v>678</v>
      </c>
      <c r="BY135" s="249" t="s">
        <v>678</v>
      </c>
      <c r="BZ135" s="249" t="s">
        <v>678</v>
      </c>
      <c r="CA135" s="249" t="s">
        <v>678</v>
      </c>
      <c r="CB135" s="249" t="s">
        <v>678</v>
      </c>
      <c r="CC135" s="250" t="s">
        <v>678</v>
      </c>
      <c r="CD135" s="242" t="s">
        <v>678</v>
      </c>
      <c r="CE135" s="252" t="s">
        <v>678</v>
      </c>
      <c r="CF135" s="238">
        <v>69</v>
      </c>
      <c r="CG135" s="238">
        <v>3.4</v>
      </c>
      <c r="CH135" s="238">
        <v>2.8333333333333335</v>
      </c>
      <c r="CI135" s="216" t="s">
        <v>756</v>
      </c>
      <c r="CJ135" s="237">
        <v>1</v>
      </c>
      <c r="CK135" s="253">
        <v>1.32</v>
      </c>
      <c r="CL135" s="253">
        <v>0</v>
      </c>
      <c r="CM135" s="254">
        <v>0</v>
      </c>
      <c r="CN135" s="237" t="s">
        <v>84</v>
      </c>
      <c r="CO135" s="242"/>
      <c r="CP135" s="255">
        <v>0</v>
      </c>
      <c r="CW135" s="261" t="s">
        <v>678</v>
      </c>
      <c r="CX135" s="261" t="s">
        <v>678</v>
      </c>
      <c r="CY135" s="261" t="s">
        <v>678</v>
      </c>
      <c r="DB135" s="216" t="s">
        <v>681</v>
      </c>
      <c r="DC135" s="256"/>
      <c r="DD135" s="256">
        <v>0.8</v>
      </c>
      <c r="DE135" s="256">
        <v>-9</v>
      </c>
      <c r="DF135" s="256">
        <v>-0.3</v>
      </c>
      <c r="DG135" s="256">
        <v>-2.6</v>
      </c>
      <c r="DH135" s="257">
        <v>3</v>
      </c>
      <c r="DI135" s="257">
        <v>2.44</v>
      </c>
      <c r="DJ135" s="257">
        <v>2.5</v>
      </c>
      <c r="DK135" s="257">
        <v>4.9400000000000004</v>
      </c>
      <c r="DL135" s="237" t="s">
        <v>529</v>
      </c>
      <c r="DN135" s="237" t="s">
        <v>770</v>
      </c>
      <c r="DP135" s="258" t="s">
        <v>682</v>
      </c>
      <c r="DQ135" s="258"/>
      <c r="DR135" s="258"/>
      <c r="DS135" s="258"/>
      <c r="DT135" s="258"/>
      <c r="DU135" s="237">
        <v>0.5</v>
      </c>
      <c r="DV135" s="237" t="s">
        <v>1238</v>
      </c>
      <c r="DW135" s="237" t="s">
        <v>1006</v>
      </c>
      <c r="DX135" s="247">
        <v>0.88</v>
      </c>
      <c r="DY135" s="247">
        <v>3.9855072463768113E-2</v>
      </c>
      <c r="EA135" s="237">
        <v>0</v>
      </c>
      <c r="ED135" s="237" t="s">
        <v>940</v>
      </c>
      <c r="EE135" s="208">
        <v>1</v>
      </c>
      <c r="EF135" s="237" t="s">
        <v>702</v>
      </c>
      <c r="EG135" s="216" t="s">
        <v>703</v>
      </c>
      <c r="EH135" s="246" t="s">
        <v>704</v>
      </c>
      <c r="EI135" s="216"/>
      <c r="EJ135" s="216" t="s">
        <v>529</v>
      </c>
      <c r="EK135" s="222" t="s">
        <v>682</v>
      </c>
      <c r="EL135" s="259">
        <v>2010</v>
      </c>
      <c r="EM135" s="260">
        <v>3000</v>
      </c>
      <c r="EN135" s="260">
        <v>6353</v>
      </c>
      <c r="EO135" s="260">
        <v>2236</v>
      </c>
      <c r="ER135" s="237" t="s">
        <v>705</v>
      </c>
      <c r="ES135" s="237" t="e">
        <v>#DIV/0!</v>
      </c>
      <c r="ET135" s="237">
        <v>0.74533333333333329</v>
      </c>
      <c r="EU135" s="661">
        <v>5</v>
      </c>
      <c r="EV135" s="661" t="s">
        <v>678</v>
      </c>
      <c r="EW135" s="661">
        <v>0</v>
      </c>
      <c r="EX135" s="661">
        <v>2</v>
      </c>
      <c r="EY135" s="660">
        <v>5.9782608695652171E-4</v>
      </c>
      <c r="EZ135" s="256">
        <v>90.909090909090907</v>
      </c>
      <c r="FA135" s="247">
        <v>0</v>
      </c>
      <c r="FB135" s="208">
        <v>1</v>
      </c>
      <c r="FC135" s="208">
        <v>1</v>
      </c>
      <c r="FD135" s="208">
        <v>2</v>
      </c>
      <c r="FE135" s="239">
        <v>0.97462277091906724</v>
      </c>
      <c r="FF135" s="208">
        <v>1</v>
      </c>
      <c r="FG135" s="241">
        <v>3.3882030178326479E-3</v>
      </c>
      <c r="FH135" s="209">
        <v>0</v>
      </c>
      <c r="FI135" s="237" t="s">
        <v>678</v>
      </c>
      <c r="FJ135" s="208">
        <v>57.1</v>
      </c>
      <c r="FK135" s="208">
        <v>0</v>
      </c>
      <c r="FL135" s="217">
        <v>5</v>
      </c>
      <c r="FM135" s="208">
        <v>2.75</v>
      </c>
      <c r="FN135" s="208" t="s">
        <v>1239</v>
      </c>
      <c r="FP135" s="247" t="s">
        <v>693</v>
      </c>
      <c r="FU135" s="208">
        <v>31</v>
      </c>
      <c r="FV135" s="208">
        <v>29.3</v>
      </c>
      <c r="FW135" s="237">
        <v>42.4</v>
      </c>
      <c r="FX135" s="237">
        <v>21.4</v>
      </c>
      <c r="FY135" s="208">
        <v>3.65</v>
      </c>
      <c r="FZ135" s="208">
        <v>4.5</v>
      </c>
      <c r="GA135" s="208">
        <v>19.86</v>
      </c>
      <c r="GB135" s="208">
        <v>7.5</v>
      </c>
      <c r="GC135" s="208">
        <v>-0.37</v>
      </c>
      <c r="GD135" s="208">
        <v>2.2999999999999998</v>
      </c>
      <c r="GE135" s="237">
        <v>12.88</v>
      </c>
      <c r="GF135" s="237">
        <v>5.9</v>
      </c>
      <c r="GG135" s="237">
        <v>10.119999999999999</v>
      </c>
      <c r="GH135" s="237">
        <v>68.2</v>
      </c>
      <c r="GJ135" s="947"/>
      <c r="GK135" s="320"/>
      <c r="GL135" s="320"/>
      <c r="GM135" s="320"/>
      <c r="GN135" s="320"/>
      <c r="GO135" s="662">
        <v>8130</v>
      </c>
      <c r="GP135" s="663" t="str">
        <f>VLOOKUP(GS135,'BD Comarcal'!$A$6:$AV$17,48,FALSE)</f>
        <v>14</v>
      </c>
      <c r="GQ135" s="564">
        <v>3</v>
      </c>
      <c r="GR135" s="256">
        <f t="shared" ref="GR135:GR198" si="2">IF(DI135&gt;0,1,0)</f>
        <v>1</v>
      </c>
      <c r="GS135" s="237" t="s">
        <v>84</v>
      </c>
    </row>
    <row r="136" spans="1:201" s="237" customFormat="1" ht="17.25" customHeight="1">
      <c r="A136" s="236" t="s">
        <v>1240</v>
      </c>
      <c r="C136" s="238"/>
      <c r="D136" s="238">
        <v>487</v>
      </c>
      <c r="E136" s="238">
        <v>368</v>
      </c>
      <c r="F136" s="239">
        <v>0.75564681724845995</v>
      </c>
      <c r="G136" s="238">
        <v>356</v>
      </c>
      <c r="H136" s="240">
        <v>31.41041508940534</v>
      </c>
      <c r="I136" s="239">
        <v>8.5354388829905814E-2</v>
      </c>
      <c r="J136" s="238">
        <v>9</v>
      </c>
      <c r="K136" s="238">
        <v>0</v>
      </c>
      <c r="L136" s="238" t="s">
        <v>678</v>
      </c>
      <c r="M136" s="241" t="s">
        <v>678</v>
      </c>
      <c r="N136" s="238" t="s">
        <v>678</v>
      </c>
      <c r="O136" s="239" t="s">
        <v>678</v>
      </c>
      <c r="P136" s="237" t="s">
        <v>678</v>
      </c>
      <c r="Q136" s="237" t="s">
        <v>678</v>
      </c>
      <c r="R136" s="239" t="s">
        <v>678</v>
      </c>
      <c r="S136" s="238" t="s">
        <v>678</v>
      </c>
      <c r="T136" s="436">
        <v>0</v>
      </c>
      <c r="U136" s="436">
        <v>0</v>
      </c>
      <c r="V136" s="436">
        <v>0</v>
      </c>
      <c r="W136" s="436">
        <v>0</v>
      </c>
      <c r="X136" s="238">
        <v>931</v>
      </c>
      <c r="Y136" s="237">
        <v>0.22009999999999999</v>
      </c>
      <c r="Z136" s="238">
        <v>16655</v>
      </c>
      <c r="AA136" s="238">
        <v>17662</v>
      </c>
      <c r="AB136" s="238">
        <v>107.92</v>
      </c>
      <c r="AC136" s="238">
        <v>257</v>
      </c>
      <c r="AD136" s="238">
        <v>975794.93</v>
      </c>
      <c r="AE136" s="238">
        <v>137915.45000000007</v>
      </c>
      <c r="AF136" s="238">
        <v>920780.91</v>
      </c>
      <c r="AG136" s="238">
        <v>51708.52</v>
      </c>
      <c r="AH136" s="239">
        <v>5.6157245918575779E-2</v>
      </c>
      <c r="AI136" s="247">
        <v>24.953579999999999</v>
      </c>
      <c r="AJ136" s="242">
        <v>2.7534529999999999</v>
      </c>
      <c r="AK136" s="242">
        <v>0.56539075975359343</v>
      </c>
      <c r="AL136" s="242" t="s">
        <v>678</v>
      </c>
      <c r="AM136" s="242" t="s">
        <v>678</v>
      </c>
      <c r="AN136" s="242">
        <v>6156.38</v>
      </c>
      <c r="AO136" s="238">
        <v>755.25</v>
      </c>
      <c r="AP136" s="243">
        <v>0</v>
      </c>
      <c r="AQ136" s="238"/>
      <c r="AR136" s="238">
        <v>1215.124254992026</v>
      </c>
      <c r="AS136" s="238">
        <v>4387.0520732349496</v>
      </c>
      <c r="AT136" s="238">
        <v>42719</v>
      </c>
      <c r="AU136" s="238">
        <v>227.64498551982683</v>
      </c>
      <c r="AV136" s="237">
        <v>1</v>
      </c>
      <c r="AW136" s="237">
        <v>1</v>
      </c>
      <c r="AX136" s="237">
        <v>0</v>
      </c>
      <c r="AY136" s="244" t="s">
        <v>726</v>
      </c>
      <c r="AZ136" s="244" t="s">
        <v>682</v>
      </c>
      <c r="BA136" s="237">
        <v>2009</v>
      </c>
      <c r="BB136" s="245" t="s">
        <v>1241</v>
      </c>
      <c r="BC136" s="215" t="s">
        <v>1242</v>
      </c>
      <c r="BE136" s="237">
        <v>0</v>
      </c>
      <c r="BF136" s="237">
        <v>53</v>
      </c>
      <c r="BG136" s="246" t="s">
        <v>720</v>
      </c>
      <c r="BI136" s="239">
        <v>0.47619047619047616</v>
      </c>
      <c r="BJ136" s="239">
        <v>5.2631578947368418E-2</v>
      </c>
      <c r="BK136" s="239">
        <v>0.46365914786967416</v>
      </c>
      <c r="BL136" s="239">
        <v>7.5187969924812026E-3</v>
      </c>
      <c r="BM136" s="247">
        <v>1.9974937343358392</v>
      </c>
      <c r="BN136" s="248">
        <v>0</v>
      </c>
      <c r="BO136" s="248">
        <v>0</v>
      </c>
      <c r="BP136" s="237">
        <v>0</v>
      </c>
      <c r="BQ136" s="237">
        <v>0</v>
      </c>
      <c r="BR136" s="248">
        <v>0</v>
      </c>
      <c r="BS136" s="256">
        <v>11</v>
      </c>
      <c r="BT136" s="237" t="s">
        <v>1243</v>
      </c>
      <c r="BU136" s="249" t="s">
        <v>678</v>
      </c>
      <c r="BV136" s="249" t="s">
        <v>678</v>
      </c>
      <c r="BW136" s="249" t="s">
        <v>678</v>
      </c>
      <c r="BX136" s="249" t="s">
        <v>678</v>
      </c>
      <c r="BY136" s="249" t="s">
        <v>678</v>
      </c>
      <c r="BZ136" s="249" t="s">
        <v>678</v>
      </c>
      <c r="CA136" s="249" t="s">
        <v>678</v>
      </c>
      <c r="CB136" s="249" t="s">
        <v>678</v>
      </c>
      <c r="CC136" s="250" t="s">
        <v>678</v>
      </c>
      <c r="CD136" s="242" t="s">
        <v>678</v>
      </c>
      <c r="CE136" s="252" t="s">
        <v>678</v>
      </c>
      <c r="CF136" s="238">
        <v>586</v>
      </c>
      <c r="CG136" s="238">
        <v>60</v>
      </c>
      <c r="CH136" s="238">
        <v>6.5789473684210522</v>
      </c>
      <c r="CI136" s="216" t="s">
        <v>722</v>
      </c>
      <c r="CJ136" s="237">
        <v>1</v>
      </c>
      <c r="CK136" s="253">
        <v>25.31</v>
      </c>
      <c r="CL136" s="253">
        <v>0</v>
      </c>
      <c r="CM136" s="254">
        <v>0</v>
      </c>
      <c r="CN136" s="237" t="s">
        <v>88</v>
      </c>
      <c r="CO136" s="242">
        <v>435.17</v>
      </c>
      <c r="CP136" s="255">
        <v>0.8935728952772074</v>
      </c>
      <c r="CQ136" s="247">
        <v>504.28</v>
      </c>
      <c r="CR136" s="248" t="s">
        <v>762</v>
      </c>
      <c r="CU136" s="247">
        <v>504.28</v>
      </c>
      <c r="CW136" s="261" t="s">
        <v>678</v>
      </c>
      <c r="CX136" s="261" t="s">
        <v>678</v>
      </c>
      <c r="CY136" s="261" t="s">
        <v>678</v>
      </c>
      <c r="DB136" s="216" t="s">
        <v>681</v>
      </c>
      <c r="DC136" s="256"/>
      <c r="DD136" s="256">
        <v>0.8</v>
      </c>
      <c r="DE136" s="256">
        <v>-9</v>
      </c>
      <c r="DF136" s="256">
        <v>-0.3</v>
      </c>
      <c r="DG136" s="256">
        <v>-2.6</v>
      </c>
      <c r="DL136" s="237" t="s">
        <v>682</v>
      </c>
      <c r="DP136" s="258" t="s">
        <v>682</v>
      </c>
      <c r="DQ136" s="258"/>
      <c r="DR136" s="258"/>
      <c r="DS136" s="258"/>
      <c r="DT136" s="258"/>
      <c r="DU136" s="237">
        <v>0</v>
      </c>
      <c r="DX136" s="247"/>
      <c r="DY136" s="247">
        <v>0</v>
      </c>
      <c r="EA136" s="237">
        <v>0</v>
      </c>
      <c r="ED136" s="237" t="s">
        <v>723</v>
      </c>
      <c r="EE136" s="208">
        <v>4</v>
      </c>
      <c r="EF136" s="237" t="s">
        <v>702</v>
      </c>
      <c r="EG136" s="216" t="s">
        <v>691</v>
      </c>
      <c r="EH136" s="246" t="s">
        <v>690</v>
      </c>
      <c r="EI136" s="216"/>
      <c r="EJ136" s="216" t="s">
        <v>529</v>
      </c>
      <c r="EK136" s="222" t="s">
        <v>682</v>
      </c>
      <c r="EL136" s="259">
        <v>1992</v>
      </c>
      <c r="EM136" s="260">
        <v>800</v>
      </c>
      <c r="EN136" s="260">
        <v>33441</v>
      </c>
      <c r="EO136" s="260">
        <v>11322</v>
      </c>
      <c r="EP136" s="237">
        <v>1</v>
      </c>
      <c r="EQ136" s="237">
        <v>46</v>
      </c>
      <c r="ER136" s="237" t="s">
        <v>705</v>
      </c>
      <c r="ES136" s="237" t="e">
        <v>#DIV/0!</v>
      </c>
      <c r="ET136" s="237">
        <v>14.1525</v>
      </c>
      <c r="EU136" s="661">
        <v>10</v>
      </c>
      <c r="EV136" s="661" t="s">
        <v>678</v>
      </c>
      <c r="EW136" s="661" t="s">
        <v>678</v>
      </c>
      <c r="EX136" s="661">
        <v>2</v>
      </c>
      <c r="EY136" s="660">
        <v>5.1971252566735113E-2</v>
      </c>
      <c r="EZ136" s="256">
        <v>36.033188463058082</v>
      </c>
      <c r="FA136" s="247">
        <v>0</v>
      </c>
      <c r="FB136" s="208" t="s">
        <v>678</v>
      </c>
      <c r="FC136" s="208" t="s">
        <v>678</v>
      </c>
      <c r="FD136" s="208">
        <v>3</v>
      </c>
      <c r="FE136" s="239">
        <v>0.96739130434782605</v>
      </c>
      <c r="FF136" s="208">
        <v>1</v>
      </c>
      <c r="FG136" s="241">
        <v>0</v>
      </c>
      <c r="FH136" s="209">
        <v>1.3703260869565217</v>
      </c>
      <c r="FI136" s="237" t="s">
        <v>678</v>
      </c>
      <c r="FJ136" s="208">
        <v>46.6</v>
      </c>
      <c r="FK136" s="208">
        <v>71.03</v>
      </c>
      <c r="FL136" s="217">
        <v>97.9</v>
      </c>
      <c r="FM136" s="208">
        <v>5.21</v>
      </c>
      <c r="FN136" s="208" t="s">
        <v>1244</v>
      </c>
      <c r="FP136" s="247" t="s">
        <v>693</v>
      </c>
      <c r="FU136" s="208">
        <v>26</v>
      </c>
      <c r="FV136" s="208">
        <v>17.7</v>
      </c>
      <c r="FW136" s="237">
        <v>91.72</v>
      </c>
      <c r="FX136" s="237">
        <v>86.3</v>
      </c>
      <c r="FY136" s="208">
        <v>99.01</v>
      </c>
      <c r="FZ136" s="208">
        <v>87.7</v>
      </c>
      <c r="GA136" s="208">
        <v>75.36</v>
      </c>
      <c r="GB136" s="208">
        <v>85.6</v>
      </c>
      <c r="GC136" s="208">
        <v>1.08</v>
      </c>
      <c r="GD136" s="208">
        <v>89</v>
      </c>
      <c r="GE136" s="237">
        <v>77.7</v>
      </c>
      <c r="GF136" s="237">
        <v>91.3</v>
      </c>
      <c r="GG136" s="237">
        <v>23.03</v>
      </c>
      <c r="GH136" s="237">
        <v>97</v>
      </c>
      <c r="GJ136" s="947"/>
      <c r="GK136" s="320"/>
      <c r="GL136" s="320"/>
      <c r="GM136" s="320"/>
      <c r="GN136" s="320"/>
      <c r="GO136" s="662">
        <v>8131</v>
      </c>
      <c r="GP136" s="663" t="str">
        <f>VLOOKUP(GS136,'BD Comarcal'!$A$6:$AV$17,48,FALSE)</f>
        <v>24</v>
      </c>
      <c r="GQ136" s="564">
        <v>16</v>
      </c>
      <c r="GR136" s="256">
        <f t="shared" si="2"/>
        <v>0</v>
      </c>
      <c r="GS136" s="237" t="s">
        <v>88</v>
      </c>
    </row>
    <row r="137" spans="1:201" s="237" customFormat="1" ht="17.25" customHeight="1">
      <c r="A137" s="236" t="s">
        <v>1245</v>
      </c>
      <c r="C137" s="238"/>
      <c r="D137" s="238">
        <v>7580</v>
      </c>
      <c r="E137" s="238">
        <v>5828</v>
      </c>
      <c r="F137" s="239">
        <v>0.76886543535620056</v>
      </c>
      <c r="G137" s="238" t="s">
        <v>752</v>
      </c>
      <c r="H137" s="240">
        <v>6247.8090290481123</v>
      </c>
      <c r="I137" s="239">
        <v>1</v>
      </c>
      <c r="J137" s="238">
        <v>1670</v>
      </c>
      <c r="K137" s="238">
        <v>964</v>
      </c>
      <c r="L137" s="238">
        <v>12</v>
      </c>
      <c r="M137" s="241">
        <v>1.5831134564643799E-3</v>
      </c>
      <c r="N137" s="238">
        <v>30</v>
      </c>
      <c r="O137" s="239">
        <v>1.7964071856287425E-2</v>
      </c>
      <c r="P137" s="237">
        <v>52</v>
      </c>
      <c r="Q137" s="237">
        <v>2</v>
      </c>
      <c r="R137" s="239">
        <v>3.8461538461538464E-2</v>
      </c>
      <c r="S137" s="238">
        <v>10543</v>
      </c>
      <c r="T137" s="436">
        <v>0</v>
      </c>
      <c r="U137" s="436">
        <v>41</v>
      </c>
      <c r="V137" s="436">
        <v>15</v>
      </c>
      <c r="W137" s="436">
        <v>56</v>
      </c>
      <c r="X137" s="238">
        <v>471</v>
      </c>
      <c r="Y137" s="237">
        <v>0.25209999999999999</v>
      </c>
      <c r="Z137" s="238">
        <v>8534</v>
      </c>
      <c r="AA137" s="238">
        <v>17928</v>
      </c>
      <c r="AB137" s="238">
        <v>109.54</v>
      </c>
      <c r="AC137" s="238">
        <v>102</v>
      </c>
      <c r="AD137" s="238">
        <v>1008611.31</v>
      </c>
      <c r="AE137" s="238">
        <v>-160867.54000000004</v>
      </c>
      <c r="AF137" s="238">
        <v>786010.92</v>
      </c>
      <c r="AG137" s="238">
        <v>220216.78</v>
      </c>
      <c r="AH137" s="239">
        <v>0.28017012791628898</v>
      </c>
      <c r="AI137" s="247">
        <v>19.448276</v>
      </c>
      <c r="AJ137" s="242">
        <v>64.137418999999994</v>
      </c>
      <c r="AK137" s="242">
        <v>0.8461400923482848</v>
      </c>
      <c r="AL137" s="242" t="s">
        <v>678</v>
      </c>
      <c r="AM137" s="242" t="s">
        <v>678</v>
      </c>
      <c r="AN137" s="242">
        <v>20781.57</v>
      </c>
      <c r="AO137" s="238">
        <v>0</v>
      </c>
      <c r="AP137" s="243">
        <v>0</v>
      </c>
      <c r="AQ137" s="238">
        <v>1</v>
      </c>
      <c r="AR137" s="238">
        <v>2379.4393432532252</v>
      </c>
      <c r="AS137" s="238">
        <v>1215.250897261448</v>
      </c>
      <c r="AT137" s="238">
        <v>24332</v>
      </c>
      <c r="AU137" s="238">
        <v>287.28369564265432</v>
      </c>
      <c r="AV137" s="237">
        <v>1</v>
      </c>
      <c r="AW137" s="237">
        <v>1</v>
      </c>
      <c r="AX137" s="237">
        <v>1</v>
      </c>
      <c r="AY137" s="244" t="s">
        <v>673</v>
      </c>
      <c r="AZ137" s="244" t="s">
        <v>726</v>
      </c>
      <c r="BA137" s="237">
        <v>2012</v>
      </c>
      <c r="BB137" s="245" t="s">
        <v>775</v>
      </c>
      <c r="BC137" s="215" t="s">
        <v>776</v>
      </c>
      <c r="BE137" s="237">
        <v>0</v>
      </c>
      <c r="BF137" s="237">
        <v>11</v>
      </c>
      <c r="BG137" s="246" t="s">
        <v>720</v>
      </c>
      <c r="BI137" s="239">
        <v>0.68600682593856654</v>
      </c>
      <c r="BJ137" s="239">
        <v>0.10921501706484642</v>
      </c>
      <c r="BK137" s="239">
        <v>0.15699658703071673</v>
      </c>
      <c r="BL137" s="239">
        <v>4.778156996587031E-2</v>
      </c>
      <c r="BM137" s="247">
        <v>2.4334470989761097</v>
      </c>
      <c r="BN137" s="248">
        <v>0</v>
      </c>
      <c r="BO137" s="248">
        <v>0</v>
      </c>
      <c r="BP137" s="237">
        <v>0</v>
      </c>
      <c r="BQ137" s="237">
        <v>0</v>
      </c>
      <c r="BR137" s="248">
        <v>0</v>
      </c>
      <c r="BS137" s="237">
        <v>17.7</v>
      </c>
      <c r="BT137" s="237" t="s">
        <v>777</v>
      </c>
      <c r="BU137" s="249" t="s">
        <v>678</v>
      </c>
      <c r="BV137" s="249" t="s">
        <v>678</v>
      </c>
      <c r="BW137" s="249" t="s">
        <v>678</v>
      </c>
      <c r="BX137" s="249" t="s">
        <v>678</v>
      </c>
      <c r="BY137" s="249" t="s">
        <v>678</v>
      </c>
      <c r="BZ137" s="249" t="s">
        <v>678</v>
      </c>
      <c r="CA137" s="249" t="s">
        <v>678</v>
      </c>
      <c r="CB137" s="249" t="s">
        <v>678</v>
      </c>
      <c r="CC137" s="250" t="s">
        <v>678</v>
      </c>
      <c r="CD137" s="242" t="s">
        <v>678</v>
      </c>
      <c r="CE137" s="252" t="s">
        <v>678</v>
      </c>
      <c r="CF137" s="238">
        <v>250</v>
      </c>
      <c r="CG137" s="238">
        <v>20.2</v>
      </c>
      <c r="CH137" s="238">
        <v>4.3628509719222466</v>
      </c>
      <c r="CI137" s="216" t="s">
        <v>722</v>
      </c>
      <c r="CJ137" s="237">
        <v>1</v>
      </c>
      <c r="CK137" s="253">
        <v>20.03</v>
      </c>
      <c r="CL137" s="253">
        <v>0</v>
      </c>
      <c r="CM137" s="254">
        <v>0</v>
      </c>
      <c r="CN137" s="237" t="s">
        <v>84</v>
      </c>
      <c r="CO137" s="242">
        <v>581.26</v>
      </c>
      <c r="CP137" s="255">
        <v>7.6683377308707126E-2</v>
      </c>
      <c r="CV137" s="237">
        <v>2</v>
      </c>
      <c r="CW137" s="261" t="s">
        <v>678</v>
      </c>
      <c r="CX137" s="261" t="s">
        <v>678</v>
      </c>
      <c r="CY137" s="261" t="s">
        <v>678</v>
      </c>
      <c r="DB137" s="216" t="s">
        <v>681</v>
      </c>
      <c r="DC137" s="256"/>
      <c r="DD137" s="256">
        <v>0.8</v>
      </c>
      <c r="DE137" s="256">
        <v>-9</v>
      </c>
      <c r="DF137" s="256">
        <v>-0.3</v>
      </c>
      <c r="DG137" s="256">
        <v>-2.6</v>
      </c>
      <c r="DL137" s="237" t="s">
        <v>529</v>
      </c>
      <c r="DN137" s="237" t="s">
        <v>770</v>
      </c>
      <c r="DO137" s="237">
        <v>1</v>
      </c>
      <c r="DP137" s="258" t="s">
        <v>682</v>
      </c>
      <c r="DQ137" s="258"/>
      <c r="DR137" s="258"/>
      <c r="DS137" s="258"/>
      <c r="DT137" s="258"/>
      <c r="DU137" s="237">
        <v>0.5</v>
      </c>
      <c r="DV137" s="237" t="s">
        <v>1246</v>
      </c>
      <c r="DW137" s="237" t="s">
        <v>918</v>
      </c>
      <c r="DX137" s="247">
        <v>0.81499999999999995</v>
      </c>
      <c r="DY137" s="247">
        <v>1.075197889182058E-2</v>
      </c>
      <c r="DZ137" s="237" t="s">
        <v>1247</v>
      </c>
      <c r="EA137" s="237">
        <v>0</v>
      </c>
      <c r="ED137" s="237" t="s">
        <v>943</v>
      </c>
      <c r="EE137" s="208">
        <v>1</v>
      </c>
      <c r="EF137" s="237" t="s">
        <v>702</v>
      </c>
      <c r="EG137" s="216" t="s">
        <v>733</v>
      </c>
      <c r="EH137" s="246" t="s">
        <v>734</v>
      </c>
      <c r="EI137" s="216"/>
      <c r="EJ137" s="216" t="s">
        <v>529</v>
      </c>
      <c r="EK137" s="222" t="s">
        <v>682</v>
      </c>
      <c r="EL137" s="259">
        <v>2001</v>
      </c>
      <c r="EM137" s="260">
        <v>2650</v>
      </c>
      <c r="EN137" s="260">
        <v>22154</v>
      </c>
      <c r="EO137" s="260">
        <v>3048</v>
      </c>
      <c r="ER137" s="237" t="s">
        <v>705</v>
      </c>
      <c r="ES137" s="237" t="e">
        <v>#DIV/0!</v>
      </c>
      <c r="ET137" s="237">
        <v>1.1501886792452831</v>
      </c>
      <c r="EU137" s="661">
        <v>5</v>
      </c>
      <c r="EV137" s="661" t="s">
        <v>678</v>
      </c>
      <c r="EW137" s="661">
        <v>0</v>
      </c>
      <c r="EX137" s="661">
        <v>3</v>
      </c>
      <c r="EY137" s="660">
        <v>2.6424802110817944E-3</v>
      </c>
      <c r="EZ137" s="256">
        <v>23.115327009485771</v>
      </c>
      <c r="FA137" s="247">
        <v>3.4317089910775568E-2</v>
      </c>
      <c r="FB137" s="208">
        <v>1</v>
      </c>
      <c r="FC137" s="208">
        <v>2</v>
      </c>
      <c r="FD137" s="208">
        <v>1</v>
      </c>
      <c r="FE137" s="239" t="s">
        <v>678</v>
      </c>
      <c r="FF137" s="208">
        <v>1</v>
      </c>
      <c r="FG137" s="241">
        <v>0</v>
      </c>
      <c r="FH137" s="209">
        <v>0</v>
      </c>
      <c r="FI137" s="237" t="s">
        <v>678</v>
      </c>
      <c r="FJ137" s="208">
        <v>74.900000000000006</v>
      </c>
      <c r="FK137" s="208">
        <v>5.22</v>
      </c>
      <c r="FL137" s="217">
        <v>38</v>
      </c>
      <c r="FM137" s="208">
        <v>6.91</v>
      </c>
      <c r="FN137" s="208" t="s">
        <v>1248</v>
      </c>
      <c r="FP137" s="247" t="s">
        <v>693</v>
      </c>
      <c r="FU137" s="208">
        <v>54</v>
      </c>
      <c r="FV137" s="208">
        <v>82.6</v>
      </c>
      <c r="FW137" s="237">
        <v>72.88</v>
      </c>
      <c r="FX137" s="237">
        <v>56.9</v>
      </c>
      <c r="FY137" s="208">
        <v>24.65</v>
      </c>
      <c r="FZ137" s="208">
        <v>38.9</v>
      </c>
      <c r="GA137" s="208">
        <v>45.8</v>
      </c>
      <c r="GB137" s="208">
        <v>45.5</v>
      </c>
      <c r="GC137" s="208">
        <v>-0.03</v>
      </c>
      <c r="GD137" s="208">
        <v>6.2</v>
      </c>
      <c r="GE137" s="237">
        <v>42.79</v>
      </c>
      <c r="GF137" s="237">
        <v>54.8</v>
      </c>
      <c r="GG137" s="237">
        <v>6.82</v>
      </c>
      <c r="GH137" s="237">
        <v>55</v>
      </c>
      <c r="GJ137" s="947"/>
      <c r="GK137" s="320"/>
      <c r="GL137" s="320"/>
      <c r="GM137" s="320"/>
      <c r="GN137" s="320"/>
      <c r="GO137" s="662">
        <v>8132</v>
      </c>
      <c r="GP137" s="663" t="str">
        <f>VLOOKUP(GS137,'BD Comarcal'!$A$6:$AV$17,48,FALSE)</f>
        <v>14</v>
      </c>
      <c r="GQ137" s="564">
        <v>3</v>
      </c>
      <c r="GR137" s="256">
        <f t="shared" si="2"/>
        <v>0</v>
      </c>
      <c r="GS137" s="237" t="s">
        <v>84</v>
      </c>
    </row>
    <row r="138" spans="1:201" s="237" customFormat="1" ht="17.25" customHeight="1">
      <c r="A138" s="236" t="s">
        <v>1249</v>
      </c>
      <c r="C138" s="238"/>
      <c r="D138" s="238">
        <v>1355</v>
      </c>
      <c r="E138" s="238">
        <v>347</v>
      </c>
      <c r="F138" s="239">
        <v>0.25608856088560883</v>
      </c>
      <c r="G138" s="238">
        <v>246</v>
      </c>
      <c r="H138" s="240">
        <v>0</v>
      </c>
      <c r="I138" s="239">
        <v>0</v>
      </c>
      <c r="J138" s="238">
        <v>635</v>
      </c>
      <c r="K138" s="238">
        <v>7</v>
      </c>
      <c r="L138" s="238">
        <v>0</v>
      </c>
      <c r="M138" s="241">
        <v>0</v>
      </c>
      <c r="N138" s="238">
        <v>0</v>
      </c>
      <c r="O138" s="239">
        <v>0</v>
      </c>
      <c r="P138" s="237">
        <v>6</v>
      </c>
      <c r="Q138" s="237">
        <v>0</v>
      </c>
      <c r="R138" s="239">
        <v>0</v>
      </c>
      <c r="S138" s="238">
        <v>1431</v>
      </c>
      <c r="T138" s="436">
        <v>0</v>
      </c>
      <c r="U138" s="436">
        <v>0</v>
      </c>
      <c r="V138" s="436">
        <v>45</v>
      </c>
      <c r="W138" s="436">
        <v>45</v>
      </c>
      <c r="X138" s="238">
        <v>151</v>
      </c>
      <c r="Y138" s="237">
        <v>0.33539999999999998</v>
      </c>
      <c r="Z138" s="238">
        <v>1934</v>
      </c>
      <c r="AA138" s="238">
        <v>12396</v>
      </c>
      <c r="AB138" s="238">
        <v>75.739999999999995</v>
      </c>
      <c r="AC138" s="238">
        <v>0</v>
      </c>
      <c r="AD138" s="238">
        <v>403806.31000000006</v>
      </c>
      <c r="AE138" s="238">
        <v>122082.02000000002</v>
      </c>
      <c r="AF138" s="238">
        <v>389359.59</v>
      </c>
      <c r="AG138" s="238">
        <v>148274.19</v>
      </c>
      <c r="AH138" s="239">
        <v>0.38081555921095972</v>
      </c>
      <c r="AI138" s="247">
        <v>18.75506</v>
      </c>
      <c r="AJ138" s="242">
        <v>1.3988419999999999</v>
      </c>
      <c r="AK138" s="242">
        <v>0.10323557195571956</v>
      </c>
      <c r="AL138" s="242">
        <v>3.8937580000000001</v>
      </c>
      <c r="AM138" s="242">
        <v>0.28736221402214024</v>
      </c>
      <c r="AN138" s="242">
        <v>24242.63</v>
      </c>
      <c r="AO138" s="238">
        <v>3340.12</v>
      </c>
      <c r="AP138" s="243">
        <v>21</v>
      </c>
      <c r="AQ138" s="238"/>
      <c r="AR138" s="238">
        <v>1345.2039851065858</v>
      </c>
      <c r="AS138" s="238">
        <v>1559.5192663216319</v>
      </c>
      <c r="AT138" s="238">
        <v>29301.666666666668</v>
      </c>
      <c r="AU138" s="238">
        <v>166.17560358865251</v>
      </c>
      <c r="AV138" s="237">
        <v>1</v>
      </c>
      <c r="AW138" s="237">
        <v>0</v>
      </c>
      <c r="AX138" s="237">
        <v>1</v>
      </c>
      <c r="AY138" s="244" t="s">
        <v>682</v>
      </c>
      <c r="AZ138" s="244" t="s">
        <v>695</v>
      </c>
      <c r="BA138" s="237">
        <v>0</v>
      </c>
      <c r="BB138" s="245" t="s">
        <v>1250</v>
      </c>
      <c r="BC138" s="215" t="s">
        <v>1251</v>
      </c>
      <c r="BE138" s="237">
        <v>2</v>
      </c>
      <c r="BF138" s="237">
        <v>77</v>
      </c>
      <c r="BG138" s="246" t="s">
        <v>720</v>
      </c>
      <c r="BI138" s="239">
        <v>0.90804597701149425</v>
      </c>
      <c r="BJ138" s="239">
        <v>6.3218390804597707E-2</v>
      </c>
      <c r="BK138" s="239">
        <v>2.8735632183908046E-2</v>
      </c>
      <c r="BL138" s="239">
        <v>0</v>
      </c>
      <c r="BM138" s="247">
        <v>2.8793103448275863</v>
      </c>
      <c r="BN138" s="248">
        <v>0</v>
      </c>
      <c r="BO138" s="248">
        <v>0</v>
      </c>
      <c r="BP138" s="237">
        <v>0</v>
      </c>
      <c r="BQ138" s="237">
        <v>0</v>
      </c>
      <c r="BR138" s="248">
        <v>0</v>
      </c>
      <c r="BS138" s="237">
        <v>22</v>
      </c>
      <c r="BT138" s="237" t="s">
        <v>755</v>
      </c>
      <c r="BU138" s="249" t="s">
        <v>678</v>
      </c>
      <c r="BV138" s="249" t="s">
        <v>678</v>
      </c>
      <c r="BW138" s="249" t="s">
        <v>678</v>
      </c>
      <c r="BX138" s="249" t="s">
        <v>678</v>
      </c>
      <c r="BY138" s="249" t="s">
        <v>678</v>
      </c>
      <c r="BZ138" s="249" t="s">
        <v>678</v>
      </c>
      <c r="CA138" s="249" t="s">
        <v>678</v>
      </c>
      <c r="CB138" s="249" t="s">
        <v>678</v>
      </c>
      <c r="CC138" s="250" t="s">
        <v>678</v>
      </c>
      <c r="CD138" s="242" t="s">
        <v>678</v>
      </c>
      <c r="CE138" s="252" t="s">
        <v>678</v>
      </c>
      <c r="CF138" s="238">
        <v>103</v>
      </c>
      <c r="CG138" s="238">
        <v>2.8</v>
      </c>
      <c r="CH138" s="238">
        <v>1.6568047337278107</v>
      </c>
      <c r="CI138" s="216" t="s">
        <v>700</v>
      </c>
      <c r="CJ138" s="237">
        <v>0</v>
      </c>
      <c r="CK138" s="253">
        <v>23</v>
      </c>
      <c r="CL138" s="253">
        <v>34.886000000000003</v>
      </c>
      <c r="CM138" s="254">
        <v>2.5746125461254616E-2</v>
      </c>
      <c r="CN138" s="237" t="s">
        <v>81</v>
      </c>
      <c r="CO138" s="242">
        <v>72.209999999999994</v>
      </c>
      <c r="CP138" s="255">
        <v>5.3291512915129145E-2</v>
      </c>
      <c r="CW138" s="261" t="s">
        <v>678</v>
      </c>
      <c r="CX138" s="261" t="s">
        <v>678</v>
      </c>
      <c r="CY138" s="261" t="s">
        <v>678</v>
      </c>
      <c r="DB138" s="216" t="s">
        <v>681</v>
      </c>
      <c r="DC138" s="256"/>
      <c r="DD138" s="256">
        <v>0.8</v>
      </c>
      <c r="DE138" s="256">
        <v>-9</v>
      </c>
      <c r="DF138" s="256">
        <v>-0.3</v>
      </c>
      <c r="DG138" s="256">
        <v>-2.6</v>
      </c>
      <c r="DL138" s="237" t="s">
        <v>529</v>
      </c>
      <c r="DN138" s="237" t="s">
        <v>730</v>
      </c>
      <c r="DP138" s="258" t="s">
        <v>682</v>
      </c>
      <c r="DQ138" s="258"/>
      <c r="DR138" s="258"/>
      <c r="DS138" s="258"/>
      <c r="DT138" s="258"/>
      <c r="DU138" s="237">
        <v>0</v>
      </c>
      <c r="DX138" s="247"/>
      <c r="DY138" s="247">
        <v>0</v>
      </c>
      <c r="EA138" s="237">
        <v>0</v>
      </c>
      <c r="ED138" s="237" t="s">
        <v>678</v>
      </c>
      <c r="EE138" s="208">
        <v>5</v>
      </c>
      <c r="EF138" s="237" t="s">
        <v>678</v>
      </c>
      <c r="EG138" s="216" t="s">
        <v>703</v>
      </c>
      <c r="EH138" s="246" t="s">
        <v>704</v>
      </c>
      <c r="EI138" s="216"/>
      <c r="EJ138" s="216" t="s">
        <v>529</v>
      </c>
      <c r="EK138" s="222" t="s">
        <v>682</v>
      </c>
      <c r="EL138" s="259">
        <v>2009</v>
      </c>
      <c r="EM138" s="260">
        <v>500</v>
      </c>
      <c r="EN138" s="260">
        <v>3046</v>
      </c>
      <c r="EO138" s="260">
        <v>22804</v>
      </c>
      <c r="ER138" s="237" t="s">
        <v>705</v>
      </c>
      <c r="ES138" s="237" t="e">
        <v>#DIV/0!</v>
      </c>
      <c r="ET138" s="237">
        <v>45.607999999999997</v>
      </c>
      <c r="EU138" s="661">
        <v>3</v>
      </c>
      <c r="EV138" s="661" t="s">
        <v>678</v>
      </c>
      <c r="EW138" s="661">
        <v>1</v>
      </c>
      <c r="EX138" s="661">
        <v>3</v>
      </c>
      <c r="EY138" s="660">
        <v>1.6974169741697416E-2</v>
      </c>
      <c r="EZ138" s="256">
        <v>7.3478260869565215</v>
      </c>
      <c r="FA138" s="247">
        <v>0</v>
      </c>
      <c r="FB138" s="208">
        <v>4</v>
      </c>
      <c r="FC138" s="208">
        <v>4</v>
      </c>
      <c r="FD138" s="208">
        <v>3</v>
      </c>
      <c r="FE138" s="239">
        <v>0.70893371757925072</v>
      </c>
      <c r="FF138" s="208">
        <v>1</v>
      </c>
      <c r="FG138" s="241">
        <v>0</v>
      </c>
      <c r="FH138" s="209">
        <v>0</v>
      </c>
      <c r="FI138" s="237" t="s">
        <v>678</v>
      </c>
      <c r="FJ138" s="208">
        <v>37.200000000000003</v>
      </c>
      <c r="FK138" s="208">
        <v>3.31</v>
      </c>
      <c r="FL138" s="217">
        <v>34.9</v>
      </c>
      <c r="FM138" s="208">
        <v>2.56</v>
      </c>
      <c r="FN138" s="208" t="s">
        <v>1252</v>
      </c>
      <c r="FP138" s="247" t="s">
        <v>693</v>
      </c>
      <c r="FU138" s="208">
        <v>25</v>
      </c>
      <c r="FV138" s="208">
        <v>15.5</v>
      </c>
      <c r="FW138" s="237">
        <v>54.55</v>
      </c>
      <c r="FX138" s="237">
        <v>34</v>
      </c>
      <c r="FY138" s="208">
        <v>5.24</v>
      </c>
      <c r="FZ138" s="208">
        <v>9.1999999999999993</v>
      </c>
      <c r="GA138" s="208">
        <v>18.88</v>
      </c>
      <c r="GB138" s="208">
        <v>6.8</v>
      </c>
      <c r="GC138" s="208">
        <v>0.55000000000000004</v>
      </c>
      <c r="GD138" s="208">
        <v>67.099999999999994</v>
      </c>
      <c r="GE138" s="237">
        <v>15.94</v>
      </c>
      <c r="GF138" s="237">
        <v>10.5</v>
      </c>
      <c r="GG138" s="237">
        <v>0.49</v>
      </c>
      <c r="GH138" s="237">
        <v>10.6</v>
      </c>
      <c r="GJ138" s="947"/>
      <c r="GK138" s="320"/>
      <c r="GL138" s="320"/>
      <c r="GM138" s="320"/>
      <c r="GN138" s="320"/>
      <c r="GO138" s="662">
        <v>8133</v>
      </c>
      <c r="GP138" s="663" t="str">
        <f>VLOOKUP(GS138,'BD Comarcal'!$A$6:$AV$17,48,FALSE)</f>
        <v>06</v>
      </c>
      <c r="GQ138" s="564">
        <v>4</v>
      </c>
      <c r="GR138" s="256">
        <f t="shared" si="2"/>
        <v>0</v>
      </c>
      <c r="GS138" s="237" t="s">
        <v>81</v>
      </c>
    </row>
    <row r="139" spans="1:201" s="237" customFormat="1" ht="17.25" customHeight="1">
      <c r="A139" s="236" t="s">
        <v>1253</v>
      </c>
      <c r="C139" s="238"/>
      <c r="D139" s="238">
        <v>1470</v>
      </c>
      <c r="E139" s="238">
        <v>1379</v>
      </c>
      <c r="F139" s="239">
        <v>0.93809523809523809</v>
      </c>
      <c r="G139" s="238">
        <v>1239</v>
      </c>
      <c r="H139" s="240">
        <v>0</v>
      </c>
      <c r="I139" s="239">
        <v>0</v>
      </c>
      <c r="J139" s="238">
        <v>7</v>
      </c>
      <c r="K139" s="238">
        <v>6</v>
      </c>
      <c r="L139" s="238" t="s">
        <v>678</v>
      </c>
      <c r="M139" s="241" t="s">
        <v>678</v>
      </c>
      <c r="N139" s="238" t="s">
        <v>678</v>
      </c>
      <c r="O139" s="239" t="s">
        <v>678</v>
      </c>
      <c r="P139" s="237" t="s">
        <v>678</v>
      </c>
      <c r="Q139" s="237" t="s">
        <v>678</v>
      </c>
      <c r="R139" s="239" t="s">
        <v>678</v>
      </c>
      <c r="S139" s="238" t="s">
        <v>678</v>
      </c>
      <c r="T139" s="436">
        <v>0</v>
      </c>
      <c r="U139" s="436">
        <v>8</v>
      </c>
      <c r="V139" s="436">
        <v>5</v>
      </c>
      <c r="W139" s="436">
        <v>13</v>
      </c>
      <c r="X139" s="238">
        <v>1092</v>
      </c>
      <c r="Y139" s="237">
        <v>0.1925</v>
      </c>
      <c r="Z139" s="238">
        <v>18335</v>
      </c>
      <c r="AA139" s="238">
        <v>16760</v>
      </c>
      <c r="AB139" s="238">
        <v>102.4</v>
      </c>
      <c r="AC139" s="238">
        <v>2624</v>
      </c>
      <c r="AD139" s="238">
        <v>1267455.0900000001</v>
      </c>
      <c r="AE139" s="238">
        <v>232007.7699999999</v>
      </c>
      <c r="AF139" s="238">
        <v>1036015.7000000001</v>
      </c>
      <c r="AG139" s="238">
        <v>49521.54</v>
      </c>
      <c r="AH139" s="239">
        <v>4.7799989903627903E-2</v>
      </c>
      <c r="AI139" s="247">
        <v>32.302007000000003</v>
      </c>
      <c r="AJ139" s="242">
        <v>1.5601389999999999</v>
      </c>
      <c r="AK139" s="242">
        <v>0.10613190476190476</v>
      </c>
      <c r="AL139" s="242" t="s">
        <v>678</v>
      </c>
      <c r="AM139" s="242" t="s">
        <v>678</v>
      </c>
      <c r="AN139" s="242">
        <v>4461.68</v>
      </c>
      <c r="AO139" s="238">
        <v>2474.58</v>
      </c>
      <c r="AP139" s="243">
        <v>4</v>
      </c>
      <c r="AQ139" s="238"/>
      <c r="AR139" s="238">
        <v>1187.188143613623</v>
      </c>
      <c r="AS139" s="238">
        <v>3021.7400945237114</v>
      </c>
      <c r="AT139" s="238">
        <v>62106.444444444445</v>
      </c>
      <c r="AU139" s="238">
        <v>292.67140301200658</v>
      </c>
      <c r="AV139" s="237">
        <v>1</v>
      </c>
      <c r="AW139" s="237">
        <v>0</v>
      </c>
      <c r="AX139" s="237">
        <v>1</v>
      </c>
      <c r="AY139" s="244" t="s">
        <v>717</v>
      </c>
      <c r="AZ139" s="244" t="s">
        <v>673</v>
      </c>
      <c r="BA139" s="237">
        <v>2009</v>
      </c>
      <c r="BB139" s="245" t="s">
        <v>727</v>
      </c>
      <c r="BC139" s="215" t="s">
        <v>728</v>
      </c>
      <c r="BD139" s="237">
        <v>1</v>
      </c>
      <c r="BE139" s="237">
        <v>8</v>
      </c>
      <c r="BF139" s="237">
        <v>42</v>
      </c>
      <c r="BG139" s="246" t="s">
        <v>698</v>
      </c>
      <c r="BI139" s="239">
        <v>0.56210191082802552</v>
      </c>
      <c r="BJ139" s="239">
        <v>5.0955414012738856E-2</v>
      </c>
      <c r="BK139" s="239">
        <v>0.38057324840764334</v>
      </c>
      <c r="BL139" s="239">
        <v>6.369426751592357E-3</v>
      </c>
      <c r="BM139" s="247">
        <v>2.1687898089171975</v>
      </c>
      <c r="BN139" s="248">
        <v>0</v>
      </c>
      <c r="BO139" s="248">
        <v>0</v>
      </c>
      <c r="BP139" s="237">
        <v>0</v>
      </c>
      <c r="BQ139" s="237">
        <v>0</v>
      </c>
      <c r="BR139" s="248">
        <v>0</v>
      </c>
      <c r="BS139" s="237">
        <v>16</v>
      </c>
      <c r="BT139" s="237" t="s">
        <v>729</v>
      </c>
      <c r="BU139" s="249" t="s">
        <v>678</v>
      </c>
      <c r="BV139" s="249">
        <v>78</v>
      </c>
      <c r="BW139" s="249">
        <v>566</v>
      </c>
      <c r="BX139" s="249" t="s">
        <v>678</v>
      </c>
      <c r="BY139" s="249" t="s">
        <v>678</v>
      </c>
      <c r="BZ139" s="249">
        <v>7.0270270270270272</v>
      </c>
      <c r="CA139" s="249">
        <v>50.990990990990994</v>
      </c>
      <c r="CB139" s="249" t="s">
        <v>678</v>
      </c>
      <c r="CC139" s="250" t="s">
        <v>678</v>
      </c>
      <c r="CD139" s="242" t="s">
        <v>678</v>
      </c>
      <c r="CE139" s="252" t="s">
        <v>678</v>
      </c>
      <c r="CF139" s="238">
        <v>535</v>
      </c>
      <c r="CG139" s="238">
        <v>111</v>
      </c>
      <c r="CH139" s="238">
        <v>10</v>
      </c>
      <c r="CI139" s="216" t="s">
        <v>700</v>
      </c>
      <c r="CJ139" s="237">
        <v>0</v>
      </c>
      <c r="CK139" s="253">
        <v>39.04</v>
      </c>
      <c r="CL139" s="253">
        <v>1.8145</v>
      </c>
      <c r="CM139" s="254">
        <v>1.2343537414965986E-3</v>
      </c>
      <c r="CN139" s="237" t="s">
        <v>24</v>
      </c>
      <c r="CO139" s="242">
        <v>1187.32</v>
      </c>
      <c r="CP139" s="255">
        <v>0.80770068027210884</v>
      </c>
      <c r="CW139" s="261" t="s">
        <v>678</v>
      </c>
      <c r="CX139" s="261" t="s">
        <v>678</v>
      </c>
      <c r="CY139" s="261" t="s">
        <v>678</v>
      </c>
      <c r="DB139" s="216"/>
      <c r="DC139" s="195" t="s">
        <v>1254</v>
      </c>
      <c r="DD139" s="256">
        <v>0.8</v>
      </c>
      <c r="DE139" s="256">
        <v>-10</v>
      </c>
      <c r="DF139" s="256">
        <v>0.5</v>
      </c>
      <c r="DG139" s="256">
        <v>-2.2999999999999998</v>
      </c>
      <c r="DL139" s="237" t="s">
        <v>682</v>
      </c>
      <c r="DP139" s="258" t="s">
        <v>682</v>
      </c>
      <c r="DQ139" s="258"/>
      <c r="DR139" s="258"/>
      <c r="DS139" s="258"/>
      <c r="DT139" s="258"/>
      <c r="DU139" s="237">
        <v>0</v>
      </c>
      <c r="DX139" s="247"/>
      <c r="DY139" s="247">
        <v>0</v>
      </c>
      <c r="EA139" s="237">
        <v>0</v>
      </c>
      <c r="ED139" s="237" t="s">
        <v>732</v>
      </c>
      <c r="EE139" s="208">
        <v>0</v>
      </c>
      <c r="EF139" s="237" t="s">
        <v>688</v>
      </c>
      <c r="EG139" s="216" t="s">
        <v>733</v>
      </c>
      <c r="EH139" s="246" t="s">
        <v>734</v>
      </c>
      <c r="EI139" s="216"/>
      <c r="EJ139" s="216" t="s">
        <v>529</v>
      </c>
      <c r="EK139" s="222" t="s">
        <v>529</v>
      </c>
      <c r="EL139" s="259"/>
      <c r="EM139" s="260">
        <v>710</v>
      </c>
      <c r="EN139" s="260">
        <v>49928.333333333336</v>
      </c>
      <c r="EO139" s="260">
        <v>16524</v>
      </c>
      <c r="ER139" s="237" t="s">
        <v>705</v>
      </c>
      <c r="ES139" s="237" t="e">
        <v>#DIV/0!</v>
      </c>
      <c r="ET139" s="237">
        <v>23.273239436619718</v>
      </c>
      <c r="EU139" s="661">
        <v>2</v>
      </c>
      <c r="EV139" s="661" t="s">
        <v>678</v>
      </c>
      <c r="EW139" s="661" t="s">
        <v>678</v>
      </c>
      <c r="EX139" s="661">
        <v>3</v>
      </c>
      <c r="EY139" s="660">
        <v>2.6557823129251701E-2</v>
      </c>
      <c r="EZ139" s="256">
        <v>28.432377049180328</v>
      </c>
      <c r="FA139" s="247">
        <v>0</v>
      </c>
      <c r="FB139" s="208" t="s">
        <v>678</v>
      </c>
      <c r="FC139" s="208" t="s">
        <v>678</v>
      </c>
      <c r="FD139" s="208">
        <v>3</v>
      </c>
      <c r="FE139" s="239">
        <v>0.89847715736040612</v>
      </c>
      <c r="FF139" s="208">
        <v>1</v>
      </c>
      <c r="FG139" s="241">
        <v>0</v>
      </c>
      <c r="FH139" s="209">
        <v>0</v>
      </c>
      <c r="FI139" s="237" t="s">
        <v>678</v>
      </c>
      <c r="FJ139" s="208">
        <v>62.5</v>
      </c>
      <c r="FK139" s="208">
        <v>66.260000000000005</v>
      </c>
      <c r="FL139" s="217">
        <v>96.7</v>
      </c>
      <c r="FM139" s="208">
        <v>9.1999999999999993</v>
      </c>
      <c r="FN139" s="208">
        <v>71</v>
      </c>
      <c r="FP139" s="247" t="s">
        <v>693</v>
      </c>
      <c r="FU139" s="208">
        <v>46</v>
      </c>
      <c r="FV139" s="208">
        <v>66.7</v>
      </c>
      <c r="FW139" s="237">
        <v>58.81</v>
      </c>
      <c r="FX139" s="237">
        <v>39.200000000000003</v>
      </c>
      <c r="FY139" s="208">
        <v>61.1</v>
      </c>
      <c r="FZ139" s="208">
        <v>69.8</v>
      </c>
      <c r="GA139" s="208">
        <v>59.49</v>
      </c>
      <c r="GB139" s="208">
        <v>66.3</v>
      </c>
      <c r="GC139" s="208">
        <v>0.82</v>
      </c>
      <c r="GD139" s="208">
        <v>80</v>
      </c>
      <c r="GE139" s="237">
        <v>49.24</v>
      </c>
      <c r="GF139" s="237">
        <v>64.599999999999994</v>
      </c>
      <c r="GG139" s="237">
        <v>10.85</v>
      </c>
      <c r="GH139" s="237">
        <v>70.3</v>
      </c>
      <c r="GJ139" s="947"/>
      <c r="GK139" s="320"/>
      <c r="GL139" s="320"/>
      <c r="GM139" s="320"/>
      <c r="GN139" s="320"/>
      <c r="GO139" s="662">
        <v>8134</v>
      </c>
      <c r="GP139" s="663" t="str">
        <f>VLOOKUP(GS139,'BD Comarcal'!$A$6:$AV$17,48,FALSE)</f>
        <v>41</v>
      </c>
      <c r="GQ139" s="564">
        <v>17</v>
      </c>
      <c r="GR139" s="256">
        <f t="shared" si="2"/>
        <v>0</v>
      </c>
      <c r="GS139" s="237" t="s">
        <v>24</v>
      </c>
    </row>
    <row r="140" spans="1:201" s="237" customFormat="1" ht="17.25" customHeight="1">
      <c r="A140" s="236" t="s">
        <v>1255</v>
      </c>
      <c r="C140" s="238"/>
      <c r="D140" s="238">
        <v>411</v>
      </c>
      <c r="E140" s="238">
        <v>0</v>
      </c>
      <c r="F140" s="239">
        <v>0</v>
      </c>
      <c r="G140" s="238" t="s">
        <v>752</v>
      </c>
      <c r="H140" s="240">
        <v>0</v>
      </c>
      <c r="I140" s="239" t="s">
        <v>1148</v>
      </c>
      <c r="J140" s="238">
        <v>6</v>
      </c>
      <c r="K140" s="238">
        <v>0</v>
      </c>
      <c r="L140" s="238" t="s">
        <v>678</v>
      </c>
      <c r="M140" s="241" t="s">
        <v>678</v>
      </c>
      <c r="N140" s="238" t="s">
        <v>678</v>
      </c>
      <c r="O140" s="239" t="s">
        <v>678</v>
      </c>
      <c r="P140" s="237" t="s">
        <v>678</v>
      </c>
      <c r="Q140" s="237" t="s">
        <v>678</v>
      </c>
      <c r="R140" s="239" t="s">
        <v>678</v>
      </c>
      <c r="S140" s="238" t="s">
        <v>678</v>
      </c>
      <c r="T140" s="436">
        <v>0</v>
      </c>
      <c r="U140" s="436">
        <v>0</v>
      </c>
      <c r="V140" s="436">
        <v>58</v>
      </c>
      <c r="W140" s="436">
        <v>58</v>
      </c>
      <c r="X140" s="238">
        <v>8784</v>
      </c>
      <c r="Y140" s="237">
        <v>0.16589999999999999</v>
      </c>
      <c r="Z140" s="238">
        <v>103545</v>
      </c>
      <c r="AA140" s="238">
        <v>11720</v>
      </c>
      <c r="AB140" s="238">
        <v>71.61</v>
      </c>
      <c r="AC140" s="238">
        <v>6527</v>
      </c>
      <c r="AD140" s="238">
        <v>14751984.91</v>
      </c>
      <c r="AE140" s="238">
        <v>635350.43999999762</v>
      </c>
      <c r="AF140" s="238">
        <v>12305540.430000002</v>
      </c>
      <c r="AG140" s="238">
        <v>760698.25</v>
      </c>
      <c r="AH140" s="239">
        <v>6.1817540995231193E-2</v>
      </c>
      <c r="AI140" s="247">
        <v>191.99767800000001</v>
      </c>
      <c r="AJ140" s="242">
        <v>56.658867000000001</v>
      </c>
      <c r="AK140" s="242">
        <v>13.785612408759125</v>
      </c>
      <c r="AL140" s="242" t="s">
        <v>678</v>
      </c>
      <c r="AM140" s="242" t="s">
        <v>678</v>
      </c>
      <c r="AN140" s="242">
        <v>55294.84</v>
      </c>
      <c r="AO140" s="238">
        <v>284.66000000000003</v>
      </c>
      <c r="AP140" s="243">
        <v>3</v>
      </c>
      <c r="AQ140" s="238"/>
      <c r="AR140" s="238">
        <v>1046.0144241917658</v>
      </c>
      <c r="AS140" s="238">
        <v>1977.9229465760579</v>
      </c>
      <c r="AT140" s="238">
        <v>996441.33333333337</v>
      </c>
      <c r="AU140" s="238">
        <v>242.19896161267658</v>
      </c>
      <c r="AV140" s="237">
        <v>0</v>
      </c>
      <c r="AW140" s="237">
        <v>0</v>
      </c>
      <c r="AX140" s="237">
        <v>0</v>
      </c>
      <c r="AY140" s="244" t="s">
        <v>695</v>
      </c>
      <c r="AZ140" s="244" t="s">
        <v>682</v>
      </c>
      <c r="BA140" s="237">
        <v>2009</v>
      </c>
      <c r="BB140" s="245" t="s">
        <v>678</v>
      </c>
      <c r="BC140" s="215" t="s">
        <v>678</v>
      </c>
      <c r="BE140" s="237">
        <v>2</v>
      </c>
      <c r="BF140" s="237">
        <v>39</v>
      </c>
      <c r="BG140" s="246" t="s">
        <v>676</v>
      </c>
      <c r="BI140" s="239">
        <v>0.40634632819582955</v>
      </c>
      <c r="BJ140" s="239">
        <v>0.15031731640979148</v>
      </c>
      <c r="BK140" s="239">
        <v>0.40580235720761559</v>
      </c>
      <c r="BL140" s="239">
        <v>3.7533998186763375E-2</v>
      </c>
      <c r="BM140" s="247">
        <v>1.9254759746146872</v>
      </c>
      <c r="BN140" s="248">
        <v>0</v>
      </c>
      <c r="BO140" s="248">
        <v>0</v>
      </c>
      <c r="BP140" s="237">
        <v>0</v>
      </c>
      <c r="BQ140" s="237">
        <v>0</v>
      </c>
      <c r="BR140" s="248">
        <v>0</v>
      </c>
      <c r="BS140" s="237">
        <v>9.5</v>
      </c>
      <c r="BT140" s="237" t="s">
        <v>729</v>
      </c>
      <c r="BU140" s="249">
        <v>920</v>
      </c>
      <c r="BV140" s="249">
        <v>1129</v>
      </c>
      <c r="BW140" s="249">
        <v>4415</v>
      </c>
      <c r="BX140" s="249" t="s">
        <v>678</v>
      </c>
      <c r="BY140" s="249">
        <v>10.383747178329571</v>
      </c>
      <c r="BZ140" s="249">
        <v>12.742663656884876</v>
      </c>
      <c r="CA140" s="249">
        <v>49.830699774266364</v>
      </c>
      <c r="CB140" s="249" t="s">
        <v>678</v>
      </c>
      <c r="CC140" s="250">
        <v>106.46726862302484</v>
      </c>
      <c r="CD140" s="242" t="s">
        <v>678</v>
      </c>
      <c r="CE140" s="252" t="s">
        <v>678</v>
      </c>
      <c r="CF140" s="238">
        <v>3592</v>
      </c>
      <c r="CG140" s="238">
        <v>729</v>
      </c>
      <c r="CH140" s="238">
        <v>8.227990970654627</v>
      </c>
      <c r="CI140" s="216" t="s">
        <v>700</v>
      </c>
      <c r="CJ140" s="237">
        <v>0</v>
      </c>
      <c r="CK140" s="253">
        <v>207.17</v>
      </c>
      <c r="CL140" s="253">
        <v>60.744799999999998</v>
      </c>
      <c r="CM140" s="254">
        <v>0.14779756690997567</v>
      </c>
      <c r="CN140" s="237" t="s">
        <v>24</v>
      </c>
      <c r="CO140" s="242"/>
      <c r="CP140" s="255">
        <v>0</v>
      </c>
      <c r="CV140" s="237">
        <v>1</v>
      </c>
      <c r="CW140" s="194">
        <v>0.53100000000000003</v>
      </c>
      <c r="CX140" s="194">
        <v>0.63500000000000001</v>
      </c>
      <c r="CY140" s="194">
        <v>0.13100000000000001</v>
      </c>
      <c r="DB140" s="216" t="s">
        <v>681</v>
      </c>
      <c r="DC140" s="256"/>
      <c r="DD140" s="256">
        <v>0.7</v>
      </c>
      <c r="DE140" s="256">
        <v>-6.5</v>
      </c>
      <c r="DF140" s="256">
        <v>0.7</v>
      </c>
      <c r="DG140" s="256">
        <v>-2.2000000000000002</v>
      </c>
      <c r="DL140" s="237" t="s">
        <v>529</v>
      </c>
      <c r="DN140" s="237" t="s">
        <v>730</v>
      </c>
      <c r="DP140" s="258" t="s">
        <v>682</v>
      </c>
      <c r="DQ140" s="258"/>
      <c r="DR140" s="258"/>
      <c r="DS140" s="258"/>
      <c r="DT140" s="258"/>
      <c r="DU140" s="237">
        <v>0</v>
      </c>
      <c r="DX140" s="247"/>
      <c r="DY140" s="247">
        <v>0</v>
      </c>
      <c r="EA140" s="237">
        <v>0</v>
      </c>
      <c r="ED140" s="237" t="s">
        <v>678</v>
      </c>
      <c r="EE140" s="208">
        <v>4</v>
      </c>
      <c r="EF140" s="237" t="s">
        <v>678</v>
      </c>
      <c r="EG140" s="216" t="s">
        <v>691</v>
      </c>
      <c r="EH140" s="246" t="s">
        <v>690</v>
      </c>
      <c r="EI140" s="216"/>
      <c r="EJ140" s="216" t="s">
        <v>806</v>
      </c>
      <c r="EK140" s="222" t="s">
        <v>682</v>
      </c>
      <c r="EL140" s="259">
        <v>2012</v>
      </c>
      <c r="EM140" s="260">
        <v>1900</v>
      </c>
      <c r="EN140" s="260">
        <v>335697</v>
      </c>
      <c r="EO140" s="260">
        <v>561412</v>
      </c>
      <c r="ER140" s="237" t="s">
        <v>705</v>
      </c>
      <c r="ES140" s="237" t="e">
        <v>#DIV/0!</v>
      </c>
      <c r="ET140" s="237">
        <v>295.48</v>
      </c>
      <c r="EU140" s="661">
        <v>3</v>
      </c>
      <c r="EV140" s="661">
        <v>3</v>
      </c>
      <c r="EW140" s="661" t="s">
        <v>678</v>
      </c>
      <c r="EX140" s="661">
        <v>9</v>
      </c>
      <c r="EY140" s="660">
        <v>0.50406326034063254</v>
      </c>
      <c r="EZ140" s="256">
        <v>42.766809866293386</v>
      </c>
      <c r="FA140" s="247" t="s">
        <v>678</v>
      </c>
      <c r="FB140" s="208" t="s">
        <v>678</v>
      </c>
      <c r="FC140" s="208" t="s">
        <v>678</v>
      </c>
      <c r="FD140" s="208">
        <v>10</v>
      </c>
      <c r="FE140" s="239" t="s">
        <v>678</v>
      </c>
      <c r="FF140" s="208"/>
      <c r="FG140" s="241" t="s">
        <v>678</v>
      </c>
      <c r="FH140" s="209" t="s">
        <v>678</v>
      </c>
      <c r="FI140" s="237" t="s">
        <v>678</v>
      </c>
      <c r="FJ140" s="208" t="s">
        <v>678</v>
      </c>
      <c r="FK140" s="208" t="s">
        <v>678</v>
      </c>
      <c r="FL140" s="217" t="s">
        <v>678</v>
      </c>
      <c r="FM140" s="208" t="s">
        <v>678</v>
      </c>
      <c r="FN140" s="208" t="s">
        <v>678</v>
      </c>
      <c r="FP140" s="247" t="s">
        <v>693</v>
      </c>
      <c r="FU140" s="208" t="s">
        <v>678</v>
      </c>
      <c r="FV140" s="208" t="s">
        <v>678</v>
      </c>
      <c r="FW140" s="208" t="s">
        <v>678</v>
      </c>
      <c r="FX140" s="208" t="s">
        <v>678</v>
      </c>
      <c r="FY140" s="208" t="s">
        <v>678</v>
      </c>
      <c r="FZ140" s="208" t="s">
        <v>678</v>
      </c>
      <c r="GA140" s="208" t="s">
        <v>678</v>
      </c>
      <c r="GB140" s="208" t="s">
        <v>678</v>
      </c>
      <c r="GC140" s="208" t="s">
        <v>678</v>
      </c>
      <c r="GD140" s="208" t="s">
        <v>678</v>
      </c>
      <c r="GE140" s="237" t="s">
        <v>678</v>
      </c>
      <c r="GF140" s="237" t="s">
        <v>678</v>
      </c>
      <c r="GG140" s="237" t="s">
        <v>678</v>
      </c>
      <c r="GH140" s="237" t="s">
        <v>678</v>
      </c>
      <c r="GJ140" s="947">
        <v>302</v>
      </c>
      <c r="GK140" s="320">
        <v>0</v>
      </c>
      <c r="GL140" s="320">
        <v>0.42</v>
      </c>
      <c r="GM140" s="320">
        <v>3.4000000000000002E-2</v>
      </c>
      <c r="GN140" s="320">
        <v>0.54600000000000004</v>
      </c>
      <c r="GO140" s="662">
        <v>8135</v>
      </c>
      <c r="GP140" s="663" t="str">
        <f>VLOOKUP(GS140,'BD Comarcal'!$A$6:$AV$17,48,FALSE)</f>
        <v>41</v>
      </c>
      <c r="GQ140" s="564">
        <v>82</v>
      </c>
      <c r="GR140" s="256">
        <f t="shared" si="2"/>
        <v>0</v>
      </c>
      <c r="GS140" s="237" t="s">
        <v>24</v>
      </c>
    </row>
    <row r="141" spans="1:201" s="237" customFormat="1" ht="17.25" customHeight="1">
      <c r="A141" s="236" t="s">
        <v>1256</v>
      </c>
      <c r="C141" s="238"/>
      <c r="D141" s="238">
        <v>960</v>
      </c>
      <c r="E141" s="238">
        <v>739</v>
      </c>
      <c r="F141" s="239">
        <v>0.76979166666666665</v>
      </c>
      <c r="G141" s="238">
        <v>225</v>
      </c>
      <c r="H141" s="240">
        <v>9.4374753378380735E-2</v>
      </c>
      <c r="I141" s="239">
        <v>1.2770602622243671E-4</v>
      </c>
      <c r="J141" s="238">
        <v>98</v>
      </c>
      <c r="K141" s="238">
        <v>1</v>
      </c>
      <c r="L141" s="238">
        <v>83</v>
      </c>
      <c r="M141" s="241">
        <v>8.6458333333333331E-2</v>
      </c>
      <c r="N141" s="238">
        <v>0</v>
      </c>
      <c r="O141" s="239">
        <v>0</v>
      </c>
      <c r="P141" s="237">
        <v>2</v>
      </c>
      <c r="Q141" s="237">
        <v>0</v>
      </c>
      <c r="R141" s="239">
        <v>0</v>
      </c>
      <c r="S141" s="238">
        <v>28</v>
      </c>
      <c r="T141" s="436">
        <v>0</v>
      </c>
      <c r="U141" s="436">
        <v>15</v>
      </c>
      <c r="V141" s="436">
        <v>24</v>
      </c>
      <c r="W141" s="436">
        <v>39</v>
      </c>
      <c r="X141" s="238">
        <v>16218</v>
      </c>
      <c r="Y141" s="237">
        <v>0.1331</v>
      </c>
      <c r="Z141" s="238">
        <v>188982</v>
      </c>
      <c r="AA141" s="238">
        <v>11686</v>
      </c>
      <c r="AB141" s="238">
        <v>71.400000000000006</v>
      </c>
      <c r="AC141" s="238">
        <v>4681</v>
      </c>
      <c r="AD141" s="238">
        <v>17514773.759999998</v>
      </c>
      <c r="AE141" s="238">
        <v>-132278.96000000089</v>
      </c>
      <c r="AF141" s="238">
        <v>18711825.260000002</v>
      </c>
      <c r="AG141" s="238">
        <v>2340568.23</v>
      </c>
      <c r="AH141" s="239">
        <v>0.12508497687841275</v>
      </c>
      <c r="AI141" s="247">
        <v>195.28112200000001</v>
      </c>
      <c r="AJ141" s="242">
        <v>62.364694</v>
      </c>
      <c r="AK141" s="242">
        <v>6.496322291666667</v>
      </c>
      <c r="AL141" s="242">
        <v>55.701815000000003</v>
      </c>
      <c r="AM141" s="242">
        <v>5.8022723958333335</v>
      </c>
      <c r="AN141" s="242">
        <v>37033.589999999997</v>
      </c>
      <c r="AO141" s="238">
        <v>9417.27</v>
      </c>
      <c r="AP141" s="243">
        <v>38</v>
      </c>
      <c r="AQ141" s="238">
        <v>1</v>
      </c>
      <c r="AR141" s="238">
        <v>1050.2810753768597</v>
      </c>
      <c r="AS141" s="238">
        <v>1813.0274353159939</v>
      </c>
      <c r="AT141" s="238">
        <v>1217854.3333333333</v>
      </c>
      <c r="AU141" s="238">
        <v>242.78837679262361</v>
      </c>
      <c r="AV141" s="237">
        <v>1</v>
      </c>
      <c r="AW141" s="237">
        <v>1</v>
      </c>
      <c r="AX141" s="237">
        <v>1</v>
      </c>
      <c r="AY141" s="244" t="s">
        <v>717</v>
      </c>
      <c r="AZ141" s="244" t="s">
        <v>717</v>
      </c>
      <c r="BA141" s="237">
        <v>2011</v>
      </c>
      <c r="BB141" s="245" t="s">
        <v>708</v>
      </c>
      <c r="BC141" s="215" t="s">
        <v>709</v>
      </c>
      <c r="BE141" s="237">
        <v>2</v>
      </c>
      <c r="BF141" s="237">
        <v>39</v>
      </c>
      <c r="BG141" s="246" t="s">
        <v>676</v>
      </c>
      <c r="BI141" s="239">
        <v>0.38941947565543072</v>
      </c>
      <c r="BJ141" s="239">
        <v>7.1816479400749061E-2</v>
      </c>
      <c r="BK141" s="239">
        <v>0.52930711610486891</v>
      </c>
      <c r="BL141" s="239">
        <v>9.4569288389513111E-3</v>
      </c>
      <c r="BM141" s="247">
        <v>1.8411985018726593</v>
      </c>
      <c r="BN141" s="248">
        <v>1</v>
      </c>
      <c r="BO141" s="248">
        <v>1</v>
      </c>
      <c r="BP141" s="237">
        <v>0</v>
      </c>
      <c r="BQ141" s="237">
        <v>0</v>
      </c>
      <c r="BR141" s="248">
        <v>2</v>
      </c>
      <c r="BS141" s="237">
        <v>11</v>
      </c>
      <c r="BT141" s="237" t="s">
        <v>729</v>
      </c>
      <c r="BU141" s="249">
        <v>2609</v>
      </c>
      <c r="BV141" s="249">
        <v>1665</v>
      </c>
      <c r="BW141" s="249">
        <v>7467</v>
      </c>
      <c r="BX141" s="249" t="s">
        <v>678</v>
      </c>
      <c r="BY141" s="249">
        <v>16.154798761609907</v>
      </c>
      <c r="BZ141" s="249">
        <v>10.309597523219814</v>
      </c>
      <c r="CA141" s="249">
        <v>46.235294117647058</v>
      </c>
      <c r="CB141" s="249" t="s">
        <v>678</v>
      </c>
      <c r="CC141" s="250">
        <v>115.3188854489164</v>
      </c>
      <c r="CD141" s="242">
        <v>-226</v>
      </c>
      <c r="CE141" s="252">
        <v>98.600619195046434</v>
      </c>
      <c r="CF141" s="238">
        <v>6645</v>
      </c>
      <c r="CG141" s="238">
        <v>1745</v>
      </c>
      <c r="CH141" s="238">
        <v>10.804953560371517</v>
      </c>
      <c r="CI141" s="216" t="s">
        <v>679</v>
      </c>
      <c r="CJ141" s="237">
        <v>0</v>
      </c>
      <c r="CK141" s="253">
        <v>202.41</v>
      </c>
      <c r="CL141" s="253">
        <v>230.60230000000001</v>
      </c>
      <c r="CM141" s="254">
        <v>0.24021072916666669</v>
      </c>
      <c r="CN141" s="237" t="s">
        <v>24</v>
      </c>
      <c r="CO141" s="242">
        <v>0.28999999999999998</v>
      </c>
      <c r="CP141" s="255">
        <v>3.0208333333333329E-4</v>
      </c>
      <c r="CV141" s="237">
        <v>2</v>
      </c>
      <c r="CW141" s="194">
        <v>0.83399999999999996</v>
      </c>
      <c r="CX141" s="194">
        <v>0.63500000000000001</v>
      </c>
      <c r="CY141" s="194" t="s">
        <v>680</v>
      </c>
      <c r="CZ141" s="237" t="s">
        <v>529</v>
      </c>
      <c r="DA141" s="237" t="s">
        <v>1257</v>
      </c>
      <c r="DB141" s="216"/>
      <c r="DC141" s="195" t="s">
        <v>1254</v>
      </c>
      <c r="DD141" s="256">
        <v>0.7</v>
      </c>
      <c r="DE141" s="256">
        <v>-6.5</v>
      </c>
      <c r="DF141" s="256">
        <v>0.7</v>
      </c>
      <c r="DG141" s="256">
        <v>-2.2000000000000002</v>
      </c>
      <c r="DH141" s="257">
        <v>2</v>
      </c>
      <c r="DI141" s="257">
        <v>2</v>
      </c>
      <c r="DJ141" s="257">
        <v>0.8</v>
      </c>
      <c r="DK141" s="257">
        <v>2.8</v>
      </c>
      <c r="DL141" s="237" t="s">
        <v>529</v>
      </c>
      <c r="DN141" s="237" t="s">
        <v>730</v>
      </c>
      <c r="DP141" s="258" t="s">
        <v>682</v>
      </c>
      <c r="DQ141" s="258"/>
      <c r="DR141" s="258"/>
      <c r="DS141" s="258"/>
      <c r="DT141" s="258"/>
      <c r="DU141" s="237">
        <v>0</v>
      </c>
      <c r="DX141" s="247"/>
      <c r="DY141" s="247">
        <v>0</v>
      </c>
      <c r="EA141" s="237">
        <v>0</v>
      </c>
      <c r="ED141" s="237" t="s">
        <v>678</v>
      </c>
      <c r="EE141" s="208">
        <v>3</v>
      </c>
      <c r="EF141" s="237" t="s">
        <v>678</v>
      </c>
      <c r="EG141" s="216" t="s">
        <v>689</v>
      </c>
      <c r="EH141" s="246" t="s">
        <v>690</v>
      </c>
      <c r="EI141" s="216"/>
      <c r="EJ141" s="216" t="s">
        <v>529</v>
      </c>
      <c r="EK141" s="222" t="s">
        <v>682</v>
      </c>
      <c r="EL141" s="259">
        <v>1984</v>
      </c>
      <c r="EM141" s="260">
        <v>12000</v>
      </c>
      <c r="EN141" s="260">
        <v>619766</v>
      </c>
      <c r="EO141" s="260">
        <v>656202</v>
      </c>
      <c r="ER141" s="237" t="s">
        <v>705</v>
      </c>
      <c r="ES141" s="237">
        <v>8075</v>
      </c>
      <c r="ET141" s="237">
        <v>54.683500000000002</v>
      </c>
      <c r="EU141" s="661">
        <v>3</v>
      </c>
      <c r="EV141" s="661">
        <v>1</v>
      </c>
      <c r="EW141" s="661">
        <v>7</v>
      </c>
      <c r="EX141" s="661">
        <v>6</v>
      </c>
      <c r="EY141" s="660">
        <v>0.21084375</v>
      </c>
      <c r="EZ141" s="256">
        <v>79.788547996640489</v>
      </c>
      <c r="FA141" s="247">
        <v>0.2706359945872801</v>
      </c>
      <c r="FB141" s="208">
        <v>4</v>
      </c>
      <c r="FC141" s="208">
        <v>2</v>
      </c>
      <c r="FD141" s="208">
        <v>3</v>
      </c>
      <c r="FE141" s="239">
        <v>0.30446549391069011</v>
      </c>
      <c r="FF141" s="208"/>
      <c r="FG141" s="241">
        <v>3.7889039242219214E-3</v>
      </c>
      <c r="FH141" s="209">
        <v>0</v>
      </c>
      <c r="FI141" s="237" t="s">
        <v>678</v>
      </c>
      <c r="FJ141" s="208" t="s">
        <v>678</v>
      </c>
      <c r="FK141" s="208" t="s">
        <v>678</v>
      </c>
      <c r="FL141" s="217" t="s">
        <v>678</v>
      </c>
      <c r="FM141" s="208" t="s">
        <v>678</v>
      </c>
      <c r="FN141" s="208" t="s">
        <v>678</v>
      </c>
      <c r="FP141" s="247" t="s">
        <v>693</v>
      </c>
      <c r="FU141" s="208" t="s">
        <v>678</v>
      </c>
      <c r="FV141" s="208" t="s">
        <v>678</v>
      </c>
      <c r="FW141" s="208" t="s">
        <v>678</v>
      </c>
      <c r="FX141" s="208" t="s">
        <v>678</v>
      </c>
      <c r="FY141" s="208" t="s">
        <v>678</v>
      </c>
      <c r="FZ141" s="208" t="s">
        <v>678</v>
      </c>
      <c r="GA141" s="208" t="s">
        <v>678</v>
      </c>
      <c r="GB141" s="208" t="s">
        <v>678</v>
      </c>
      <c r="GC141" s="208" t="s">
        <v>678</v>
      </c>
      <c r="GD141" s="208" t="s">
        <v>678</v>
      </c>
      <c r="GE141" s="237" t="s">
        <v>678</v>
      </c>
      <c r="GF141" s="237" t="s">
        <v>678</v>
      </c>
      <c r="GG141" s="237" t="s">
        <v>678</v>
      </c>
      <c r="GH141" s="237" t="s">
        <v>678</v>
      </c>
      <c r="GJ141" s="947">
        <v>663</v>
      </c>
      <c r="GK141" s="320">
        <v>1E-3</v>
      </c>
      <c r="GL141" s="320">
        <v>0.57699999999999996</v>
      </c>
      <c r="GM141" s="320">
        <v>2.7E-2</v>
      </c>
      <c r="GN141" s="320">
        <v>0.39500000000000002</v>
      </c>
      <c r="GO141" s="662">
        <v>8136</v>
      </c>
      <c r="GP141" s="663" t="str">
        <f>VLOOKUP(GS141,'BD Comarcal'!$A$6:$AV$17,48,FALSE)</f>
        <v>41</v>
      </c>
      <c r="GQ141" s="564">
        <v>71</v>
      </c>
      <c r="GR141" s="256">
        <f t="shared" si="2"/>
        <v>1</v>
      </c>
      <c r="GS141" s="237" t="s">
        <v>24</v>
      </c>
    </row>
    <row r="142" spans="1:201" s="237" customFormat="1" ht="16.5" customHeight="1">
      <c r="A142" s="236" t="s">
        <v>1258</v>
      </c>
      <c r="C142" s="238"/>
      <c r="D142" s="238">
        <v>2702</v>
      </c>
      <c r="E142" s="238">
        <v>2552</v>
      </c>
      <c r="F142" s="239">
        <v>0.94448556624722424</v>
      </c>
      <c r="G142" s="238">
        <v>2142</v>
      </c>
      <c r="H142" s="240">
        <v>812.70522933821599</v>
      </c>
      <c r="I142" s="239">
        <v>0.3184581619663856</v>
      </c>
      <c r="J142" s="238">
        <v>86</v>
      </c>
      <c r="K142" s="238">
        <v>126</v>
      </c>
      <c r="L142" s="238">
        <v>35</v>
      </c>
      <c r="M142" s="241">
        <v>1.2953367875647668E-2</v>
      </c>
      <c r="N142" s="238">
        <v>0</v>
      </c>
      <c r="O142" s="239">
        <v>0</v>
      </c>
      <c r="P142" s="237">
        <v>20</v>
      </c>
      <c r="Q142" s="237">
        <v>0</v>
      </c>
      <c r="R142" s="239">
        <v>0</v>
      </c>
      <c r="S142" s="238">
        <v>103</v>
      </c>
      <c r="T142" s="436">
        <v>429</v>
      </c>
      <c r="U142" s="436">
        <v>50</v>
      </c>
      <c r="V142" s="436">
        <v>116</v>
      </c>
      <c r="W142" s="436">
        <v>595</v>
      </c>
      <c r="X142" s="238">
        <v>320</v>
      </c>
      <c r="Y142" s="237">
        <v>0.25</v>
      </c>
      <c r="Z142" s="238">
        <v>5346</v>
      </c>
      <c r="AA142" s="238">
        <v>16760</v>
      </c>
      <c r="AB142" s="238">
        <v>102.4</v>
      </c>
      <c r="AC142" s="238">
        <v>398</v>
      </c>
      <c r="AD142" s="238">
        <v>982705.38</v>
      </c>
      <c r="AE142" s="238">
        <v>249983.84999999998</v>
      </c>
      <c r="AF142" s="238">
        <v>397201.53</v>
      </c>
      <c r="AG142" s="238">
        <v>100766.75</v>
      </c>
      <c r="AH142" s="239">
        <v>0.25369174685706775</v>
      </c>
      <c r="AI142" s="247">
        <v>3.5022829999999998</v>
      </c>
      <c r="AJ142" s="242">
        <v>0.190723</v>
      </c>
      <c r="AK142" s="242">
        <v>7.0585862324204296E-3</v>
      </c>
      <c r="AL142" s="242" t="s">
        <v>678</v>
      </c>
      <c r="AM142" s="242" t="s">
        <v>678</v>
      </c>
      <c r="AN142" s="242">
        <v>11371.94</v>
      </c>
      <c r="AO142" s="238">
        <v>4414.92</v>
      </c>
      <c r="AP142" s="243">
        <v>10</v>
      </c>
      <c r="AQ142" s="238"/>
      <c r="AR142" s="238">
        <v>1883.9016539905704</v>
      </c>
      <c r="AS142" s="238">
        <v>1258.1897161282734</v>
      </c>
      <c r="AT142" s="238">
        <v>28303</v>
      </c>
      <c r="AU142" s="238">
        <v>271.68056713932054</v>
      </c>
      <c r="AV142" s="237">
        <v>1</v>
      </c>
      <c r="AW142" s="237">
        <v>0</v>
      </c>
      <c r="AX142" s="237">
        <v>1</v>
      </c>
      <c r="AY142" s="244" t="s">
        <v>717</v>
      </c>
      <c r="AZ142" s="244" t="s">
        <v>695</v>
      </c>
      <c r="BA142" s="237">
        <v>0</v>
      </c>
      <c r="BB142" s="245" t="s">
        <v>895</v>
      </c>
      <c r="BC142" s="215" t="s">
        <v>896</v>
      </c>
      <c r="BE142" s="237">
        <v>8</v>
      </c>
      <c r="BF142" s="237">
        <v>42</v>
      </c>
      <c r="BG142" s="246" t="s">
        <v>698</v>
      </c>
      <c r="BI142" s="239">
        <v>0.71264367816091956</v>
      </c>
      <c r="BJ142" s="239">
        <v>0.12643678160919541</v>
      </c>
      <c r="BK142" s="239">
        <v>0.14942528735632185</v>
      </c>
      <c r="BL142" s="239">
        <v>1.1494252873563218E-2</v>
      </c>
      <c r="BM142" s="247">
        <v>2.5402298850574714</v>
      </c>
      <c r="BN142" s="248">
        <v>0</v>
      </c>
      <c r="BO142" s="248">
        <v>0</v>
      </c>
      <c r="BP142" s="237">
        <v>0</v>
      </c>
      <c r="BQ142" s="237">
        <v>0</v>
      </c>
      <c r="BR142" s="248">
        <v>0</v>
      </c>
      <c r="BS142" s="262">
        <v>31</v>
      </c>
      <c r="BT142" s="237" t="s">
        <v>729</v>
      </c>
      <c r="BU142" s="249" t="s">
        <v>678</v>
      </c>
      <c r="BV142" s="249" t="s">
        <v>678</v>
      </c>
      <c r="BW142" s="249" t="s">
        <v>678</v>
      </c>
      <c r="BX142" s="249" t="s">
        <v>678</v>
      </c>
      <c r="BY142" s="249" t="s">
        <v>678</v>
      </c>
      <c r="BZ142" s="249" t="s">
        <v>678</v>
      </c>
      <c r="CA142" s="249" t="s">
        <v>678</v>
      </c>
      <c r="CB142" s="249" t="s">
        <v>678</v>
      </c>
      <c r="CC142" s="250" t="s">
        <v>678</v>
      </c>
      <c r="CD142" s="242" t="s">
        <v>678</v>
      </c>
      <c r="CE142" s="252" t="s">
        <v>678</v>
      </c>
      <c r="CF142" s="238">
        <v>261</v>
      </c>
      <c r="CG142" s="238">
        <v>15</v>
      </c>
      <c r="CH142" s="238">
        <v>4.6875</v>
      </c>
      <c r="CI142" s="216" t="s">
        <v>722</v>
      </c>
      <c r="CJ142" s="237">
        <v>1</v>
      </c>
      <c r="CK142" s="253">
        <v>2.95</v>
      </c>
      <c r="CL142" s="253">
        <v>0</v>
      </c>
      <c r="CM142" s="254">
        <v>0</v>
      </c>
      <c r="CN142" s="237" t="s">
        <v>24</v>
      </c>
      <c r="CO142" s="242">
        <v>2669.8</v>
      </c>
      <c r="CP142" s="255">
        <v>0.98808290155440426</v>
      </c>
      <c r="CV142" s="237">
        <v>1</v>
      </c>
      <c r="CW142" s="261" t="s">
        <v>678</v>
      </c>
      <c r="CX142" s="261" t="s">
        <v>678</v>
      </c>
      <c r="CY142" s="261" t="s">
        <v>678</v>
      </c>
      <c r="DB142" s="216" t="s">
        <v>681</v>
      </c>
      <c r="DC142" s="256"/>
      <c r="DD142" s="256">
        <v>0.8</v>
      </c>
      <c r="DE142" s="256">
        <v>-10</v>
      </c>
      <c r="DF142" s="256">
        <v>0.5</v>
      </c>
      <c r="DG142" s="256">
        <v>-2.2999999999999998</v>
      </c>
      <c r="DL142" s="237" t="s">
        <v>682</v>
      </c>
      <c r="DP142" s="258" t="s">
        <v>682</v>
      </c>
      <c r="DQ142" s="258"/>
      <c r="DR142" s="258"/>
      <c r="DS142" s="258"/>
      <c r="DT142" s="258"/>
      <c r="DU142" s="237">
        <v>0</v>
      </c>
      <c r="DX142" s="247"/>
      <c r="DY142" s="247">
        <v>0</v>
      </c>
      <c r="EA142" s="237">
        <v>0</v>
      </c>
      <c r="ED142" s="237" t="s">
        <v>1069</v>
      </c>
      <c r="EE142" s="208">
        <v>0</v>
      </c>
      <c r="EF142" s="237" t="s">
        <v>688</v>
      </c>
      <c r="EG142" s="216" t="s">
        <v>703</v>
      </c>
      <c r="EH142" s="246" t="s">
        <v>704</v>
      </c>
      <c r="EI142" s="216"/>
      <c r="EJ142" s="216" t="s">
        <v>529</v>
      </c>
      <c r="EK142" s="222" t="s">
        <v>682</v>
      </c>
      <c r="EL142" s="259">
        <v>1983</v>
      </c>
      <c r="EM142" s="260">
        <v>1590</v>
      </c>
      <c r="EN142" s="260">
        <v>14534</v>
      </c>
      <c r="EO142" s="260">
        <v>15017</v>
      </c>
      <c r="EP142" s="237">
        <v>1</v>
      </c>
      <c r="EQ142" s="237">
        <v>60</v>
      </c>
      <c r="ER142" s="237" t="s">
        <v>705</v>
      </c>
      <c r="ES142" s="237" t="e">
        <v>#DIV/0!</v>
      </c>
      <c r="ET142" s="237">
        <v>9.4446540880503136</v>
      </c>
      <c r="EU142" s="661">
        <v>2</v>
      </c>
      <c r="EV142" s="661" t="s">
        <v>678</v>
      </c>
      <c r="EW142" s="661">
        <v>2</v>
      </c>
      <c r="EX142" s="661">
        <v>2</v>
      </c>
      <c r="EY142" s="660">
        <v>1.0917838638045893E-3</v>
      </c>
      <c r="EZ142" s="256">
        <v>108.47457627118644</v>
      </c>
      <c r="FA142" s="247">
        <v>3.918495297805643E-2</v>
      </c>
      <c r="FB142" s="208">
        <v>3</v>
      </c>
      <c r="FC142" s="208">
        <v>3</v>
      </c>
      <c r="FD142" s="208">
        <v>2</v>
      </c>
      <c r="FE142" s="239">
        <v>0.83934169278996862</v>
      </c>
      <c r="FF142" s="208">
        <v>1</v>
      </c>
      <c r="FG142" s="241">
        <v>0</v>
      </c>
      <c r="FH142" s="209">
        <v>0</v>
      </c>
      <c r="FI142" s="237" t="s">
        <v>678</v>
      </c>
      <c r="FJ142" s="208">
        <v>57.7</v>
      </c>
      <c r="FK142" s="208">
        <v>79.31</v>
      </c>
      <c r="FL142" s="217">
        <v>99.8</v>
      </c>
      <c r="FM142" s="208">
        <v>11.08</v>
      </c>
      <c r="FN142" s="208" t="s">
        <v>1259</v>
      </c>
      <c r="FP142" s="247" t="s">
        <v>693</v>
      </c>
      <c r="FU142" s="208">
        <v>34</v>
      </c>
      <c r="FV142" s="208">
        <v>37.299999999999997</v>
      </c>
      <c r="FW142" s="237">
        <v>80.849999999999994</v>
      </c>
      <c r="FX142" s="237">
        <v>67</v>
      </c>
      <c r="FY142" s="208">
        <v>105.3</v>
      </c>
      <c r="FZ142" s="208">
        <v>90.6</v>
      </c>
      <c r="GA142" s="208">
        <v>79.349999999999994</v>
      </c>
      <c r="GB142" s="208">
        <v>90.8</v>
      </c>
      <c r="GC142" s="208">
        <v>0.37</v>
      </c>
      <c r="GD142" s="208">
        <v>56</v>
      </c>
      <c r="GE142" s="237">
        <v>77.8</v>
      </c>
      <c r="GF142" s="237">
        <v>91.8</v>
      </c>
      <c r="GG142" s="237">
        <v>24.33</v>
      </c>
      <c r="GH142" s="237">
        <v>97.6</v>
      </c>
      <c r="GJ142" s="947"/>
      <c r="GK142" s="320"/>
      <c r="GL142" s="320"/>
      <c r="GM142" s="320"/>
      <c r="GN142" s="320"/>
      <c r="GO142" s="662">
        <v>8137</v>
      </c>
      <c r="GP142" s="663" t="str">
        <f>VLOOKUP(GS142,'BD Comarcal'!$A$6:$AV$17,48,FALSE)</f>
        <v>41</v>
      </c>
      <c r="GQ142" s="564">
        <v>7</v>
      </c>
      <c r="GR142" s="256">
        <f t="shared" si="2"/>
        <v>0</v>
      </c>
      <c r="GS142" s="237" t="s">
        <v>24</v>
      </c>
    </row>
    <row r="143" spans="1:201" s="237" customFormat="1" ht="17.25" customHeight="1">
      <c r="A143" s="236" t="s">
        <v>1260</v>
      </c>
      <c r="C143" s="238"/>
      <c r="D143" s="238">
        <v>7515</v>
      </c>
      <c r="E143" s="238">
        <v>5110</v>
      </c>
      <c r="F143" s="239">
        <v>0.67997338656021289</v>
      </c>
      <c r="G143" s="238">
        <v>4370</v>
      </c>
      <c r="H143" s="240">
        <v>3136.305571095168</v>
      </c>
      <c r="I143" s="239">
        <v>0.61375842878574716</v>
      </c>
      <c r="J143" s="238">
        <v>1676</v>
      </c>
      <c r="K143" s="238">
        <v>1008</v>
      </c>
      <c r="L143" s="238">
        <v>7</v>
      </c>
      <c r="M143" s="241">
        <v>9.3147039254823686E-4</v>
      </c>
      <c r="N143" s="238">
        <v>394</v>
      </c>
      <c r="O143" s="239">
        <v>0.2350835322195704</v>
      </c>
      <c r="P143" s="237">
        <v>58</v>
      </c>
      <c r="Q143" s="237">
        <v>4</v>
      </c>
      <c r="R143" s="239">
        <v>6.8965517241379309E-2</v>
      </c>
      <c r="S143" s="238">
        <v>11640</v>
      </c>
      <c r="T143" s="436">
        <v>0</v>
      </c>
      <c r="U143" s="436">
        <v>62</v>
      </c>
      <c r="V143" s="436">
        <v>0</v>
      </c>
      <c r="W143" s="436">
        <v>62</v>
      </c>
      <c r="X143" s="238">
        <v>5957</v>
      </c>
      <c r="Y143" s="237">
        <v>0.1696</v>
      </c>
      <c r="Z143" s="238">
        <v>89943</v>
      </c>
      <c r="AA143" s="238">
        <v>15336</v>
      </c>
      <c r="AB143" s="238">
        <v>93.7</v>
      </c>
      <c r="AC143" s="238">
        <v>12945</v>
      </c>
      <c r="AD143" s="238">
        <v>7348067.25</v>
      </c>
      <c r="AE143" s="238">
        <v>2816397.13</v>
      </c>
      <c r="AF143" s="238">
        <v>4746945.0600000005</v>
      </c>
      <c r="AG143" s="238">
        <v>632481.18000000005</v>
      </c>
      <c r="AH143" s="239">
        <v>0.13323962506530462</v>
      </c>
      <c r="AI143" s="247">
        <v>225.71097900000001</v>
      </c>
      <c r="AJ143" s="242">
        <v>13.710818</v>
      </c>
      <c r="AK143" s="242">
        <v>0.18244601463739188</v>
      </c>
      <c r="AL143" s="242">
        <v>96.086612000000002</v>
      </c>
      <c r="AM143" s="242">
        <v>1.278597631403859</v>
      </c>
      <c r="AN143" s="242">
        <v>42880.05</v>
      </c>
      <c r="AO143" s="238">
        <v>5915.38</v>
      </c>
      <c r="AP143" s="243">
        <v>29</v>
      </c>
      <c r="AQ143" s="238">
        <v>2</v>
      </c>
      <c r="AR143" s="238">
        <v>1483.6164043919241</v>
      </c>
      <c r="AS143" s="238">
        <v>2100.2270716503385</v>
      </c>
      <c r="AT143" s="238">
        <v>439037.33333333331</v>
      </c>
      <c r="AU143" s="238">
        <v>255.62961687641277</v>
      </c>
      <c r="AV143" s="237">
        <v>1</v>
      </c>
      <c r="AW143" s="237">
        <v>1</v>
      </c>
      <c r="AX143" s="237">
        <v>1</v>
      </c>
      <c r="AY143" s="244" t="s">
        <v>673</v>
      </c>
      <c r="AZ143" s="244" t="s">
        <v>673</v>
      </c>
      <c r="BA143" s="237">
        <v>2012</v>
      </c>
      <c r="BB143" s="245" t="s">
        <v>971</v>
      </c>
      <c r="BC143" s="215" t="s">
        <v>972</v>
      </c>
      <c r="BD143" s="237">
        <v>1</v>
      </c>
      <c r="BE143" s="237">
        <v>9</v>
      </c>
      <c r="BF143" s="237">
        <v>4</v>
      </c>
      <c r="BG143" s="246" t="s">
        <v>720</v>
      </c>
      <c r="BI143" s="239">
        <v>0.32335461149020472</v>
      </c>
      <c r="BJ143" s="239">
        <v>0.1111600264142637</v>
      </c>
      <c r="BK143" s="239">
        <v>0.49548756328417343</v>
      </c>
      <c r="BL143" s="239">
        <v>6.9997798811358133E-2</v>
      </c>
      <c r="BM143" s="247">
        <v>1.687871450583315</v>
      </c>
      <c r="BN143" s="248">
        <v>0</v>
      </c>
      <c r="BO143" s="248">
        <v>1</v>
      </c>
      <c r="BP143" s="237">
        <v>0</v>
      </c>
      <c r="BQ143" s="237">
        <v>0</v>
      </c>
      <c r="BR143" s="248">
        <v>1</v>
      </c>
      <c r="BS143" s="262">
        <v>33.299999999999997</v>
      </c>
      <c r="BT143" s="237" t="s">
        <v>699</v>
      </c>
      <c r="BU143" s="249" t="s">
        <v>678</v>
      </c>
      <c r="BV143" s="249">
        <v>565</v>
      </c>
      <c r="BW143" s="249">
        <v>2651</v>
      </c>
      <c r="BX143" s="249" t="s">
        <v>678</v>
      </c>
      <c r="BY143" s="249" t="s">
        <v>678</v>
      </c>
      <c r="BZ143" s="249">
        <v>9.7988206729101623</v>
      </c>
      <c r="CA143" s="249">
        <v>45.976413458203261</v>
      </c>
      <c r="CB143" s="249" t="s">
        <v>678</v>
      </c>
      <c r="CC143" s="250" t="s">
        <v>678</v>
      </c>
      <c r="CD143" s="242">
        <v>4</v>
      </c>
      <c r="CE143" s="252">
        <v>100.06937218175511</v>
      </c>
      <c r="CF143" s="238">
        <v>3452</v>
      </c>
      <c r="CG143" s="238">
        <v>343</v>
      </c>
      <c r="CH143" s="238">
        <v>5.9486645855012137</v>
      </c>
      <c r="CI143" s="216" t="s">
        <v>679</v>
      </c>
      <c r="CJ143" s="237">
        <v>0</v>
      </c>
      <c r="CK143" s="253">
        <v>225.15</v>
      </c>
      <c r="CL143" s="253">
        <v>70.867699999999999</v>
      </c>
      <c r="CM143" s="254">
        <v>9.4301663339986692E-3</v>
      </c>
      <c r="CN143" s="237" t="s">
        <v>82</v>
      </c>
      <c r="CO143" s="242">
        <v>1131.0899999999999</v>
      </c>
      <c r="CP143" s="255">
        <v>0.15051097804391217</v>
      </c>
      <c r="CV143" s="237">
        <v>5</v>
      </c>
      <c r="CW143" s="194">
        <v>0.97</v>
      </c>
      <c r="CX143" s="194">
        <v>6.6000000000000003E-2</v>
      </c>
      <c r="CY143" s="194">
        <v>1.671</v>
      </c>
      <c r="DB143" s="216"/>
      <c r="DC143" s="195" t="s">
        <v>1261</v>
      </c>
      <c r="DD143" s="256">
        <v>0.8</v>
      </c>
      <c r="DE143" s="256">
        <v>-9</v>
      </c>
      <c r="DF143" s="256">
        <v>-0.3</v>
      </c>
      <c r="DG143" s="256">
        <v>-2.6</v>
      </c>
      <c r="DH143" s="257">
        <v>3</v>
      </c>
      <c r="DI143" s="257">
        <v>7.5</v>
      </c>
      <c r="DJ143" s="257">
        <v>0</v>
      </c>
      <c r="DK143" s="257">
        <v>7.5</v>
      </c>
      <c r="DL143" s="237" t="s">
        <v>529</v>
      </c>
      <c r="DN143" s="237" t="s">
        <v>770</v>
      </c>
      <c r="DP143" s="258" t="s">
        <v>682</v>
      </c>
      <c r="DQ143" s="258"/>
      <c r="DR143" s="258"/>
      <c r="DS143" s="258"/>
      <c r="DT143" s="258"/>
      <c r="DU143" s="237">
        <v>0</v>
      </c>
      <c r="DX143" s="247"/>
      <c r="DY143" s="247">
        <v>0</v>
      </c>
      <c r="EA143" s="237">
        <v>0</v>
      </c>
      <c r="ED143" s="237" t="s">
        <v>956</v>
      </c>
      <c r="EE143" s="208">
        <v>1</v>
      </c>
      <c r="EF143" s="237" t="s">
        <v>688</v>
      </c>
      <c r="EG143" s="216" t="s">
        <v>715</v>
      </c>
      <c r="EH143" s="246" t="s">
        <v>690</v>
      </c>
      <c r="EI143" s="216" t="s">
        <v>689</v>
      </c>
      <c r="EJ143" s="216" t="s">
        <v>529</v>
      </c>
      <c r="EK143" s="222" t="s">
        <v>529</v>
      </c>
      <c r="EL143" s="259">
        <v>1985</v>
      </c>
      <c r="EM143" s="260">
        <v>5555</v>
      </c>
      <c r="EN143" s="260">
        <v>238046</v>
      </c>
      <c r="EO143" s="260">
        <v>189664</v>
      </c>
      <c r="ER143" s="237" t="s">
        <v>705</v>
      </c>
      <c r="ES143" s="237">
        <v>5766</v>
      </c>
      <c r="ET143" s="237">
        <v>34.142934293429342</v>
      </c>
      <c r="EU143" s="661">
        <v>5</v>
      </c>
      <c r="EV143" s="661">
        <v>1</v>
      </c>
      <c r="EW143" s="661">
        <v>0</v>
      </c>
      <c r="EX143" s="661">
        <v>2</v>
      </c>
      <c r="EY143" s="660">
        <v>2.9960079840319363E-2</v>
      </c>
      <c r="EZ143" s="256">
        <v>25.609593604263825</v>
      </c>
      <c r="FA143" s="247">
        <v>9.7847358121330719E-2</v>
      </c>
      <c r="FB143" s="208">
        <v>1</v>
      </c>
      <c r="FC143" s="208">
        <v>2</v>
      </c>
      <c r="FD143" s="208">
        <v>3</v>
      </c>
      <c r="FE143" s="239">
        <v>0.85518590998043054</v>
      </c>
      <c r="FF143" s="208">
        <v>1</v>
      </c>
      <c r="FG143" s="241">
        <v>1.4677103718199608E-3</v>
      </c>
      <c r="FH143" s="209">
        <v>0</v>
      </c>
      <c r="FI143" s="237" t="s">
        <v>678</v>
      </c>
      <c r="FJ143" s="208">
        <v>68.599999999999994</v>
      </c>
      <c r="FK143" s="208">
        <v>0</v>
      </c>
      <c r="FL143" s="217">
        <v>5.2</v>
      </c>
      <c r="FM143" s="208">
        <v>11.34</v>
      </c>
      <c r="FN143" s="208" t="s">
        <v>1262</v>
      </c>
      <c r="FP143" s="247" t="s">
        <v>693</v>
      </c>
      <c r="FU143" s="208">
        <v>56</v>
      </c>
      <c r="FV143" s="208">
        <v>84.9</v>
      </c>
      <c r="FW143" s="237">
        <v>83.1</v>
      </c>
      <c r="FX143" s="237">
        <v>71.400000000000006</v>
      </c>
      <c r="FY143" s="208">
        <v>48.16</v>
      </c>
      <c r="FZ143" s="208">
        <v>60.1</v>
      </c>
      <c r="GA143" s="208">
        <v>60.74</v>
      </c>
      <c r="GB143" s="208">
        <v>67.900000000000006</v>
      </c>
      <c r="GC143" s="208">
        <v>0.3</v>
      </c>
      <c r="GD143" s="208">
        <v>47.8</v>
      </c>
      <c r="GE143" s="237">
        <v>56.53</v>
      </c>
      <c r="GF143" s="237">
        <v>73.3</v>
      </c>
      <c r="GG143" s="237">
        <v>7.14</v>
      </c>
      <c r="GH143" s="237">
        <v>56.6</v>
      </c>
      <c r="GJ143" s="947">
        <v>140</v>
      </c>
      <c r="GK143" s="320">
        <v>1.7999999999999999E-2</v>
      </c>
      <c r="GL143" s="320">
        <v>0.47</v>
      </c>
      <c r="GM143" s="320">
        <v>7.5999999999999998E-2</v>
      </c>
      <c r="GN143" s="320">
        <v>0.436</v>
      </c>
      <c r="GO143" s="662">
        <v>8138</v>
      </c>
      <c r="GP143" s="663" t="str">
        <f>VLOOKUP(GS143,'BD Comarcal'!$A$6:$AV$17,48,FALSE)</f>
        <v>07</v>
      </c>
      <c r="GQ143" s="566">
        <v>41</v>
      </c>
      <c r="GR143" s="256">
        <f t="shared" si="2"/>
        <v>1</v>
      </c>
      <c r="GS143" s="237" t="s">
        <v>82</v>
      </c>
    </row>
    <row r="144" spans="1:201" s="237" customFormat="1" ht="17.25" customHeight="1">
      <c r="A144" s="236" t="s">
        <v>1263</v>
      </c>
      <c r="C144" s="238"/>
      <c r="D144" s="238">
        <v>5339</v>
      </c>
      <c r="E144" s="238">
        <v>5111</v>
      </c>
      <c r="F144" s="239">
        <v>0.95729537366548045</v>
      </c>
      <c r="G144" s="238">
        <v>3831</v>
      </c>
      <c r="H144" s="240">
        <v>1250.3400636811702</v>
      </c>
      <c r="I144" s="239">
        <v>0.24463706978696345</v>
      </c>
      <c r="J144" s="238">
        <v>55</v>
      </c>
      <c r="K144" s="238">
        <v>4</v>
      </c>
      <c r="L144" s="238">
        <v>7</v>
      </c>
      <c r="M144" s="241">
        <v>1.3111069488668289E-3</v>
      </c>
      <c r="N144" s="238">
        <v>9</v>
      </c>
      <c r="O144" s="239">
        <v>0.16363636363636364</v>
      </c>
      <c r="P144" s="237">
        <v>1</v>
      </c>
      <c r="Q144" s="237">
        <v>0</v>
      </c>
      <c r="R144" s="239">
        <v>0</v>
      </c>
      <c r="S144" s="238">
        <v>64</v>
      </c>
      <c r="T144" s="436">
        <v>0</v>
      </c>
      <c r="U144" s="436">
        <v>15</v>
      </c>
      <c r="V144" s="436">
        <v>0</v>
      </c>
      <c r="W144" s="436">
        <v>15</v>
      </c>
      <c r="X144" s="238">
        <v>219</v>
      </c>
      <c r="Y144" s="237">
        <v>0.1754</v>
      </c>
      <c r="Z144" s="238">
        <v>3113</v>
      </c>
      <c r="AA144" s="238">
        <v>15336</v>
      </c>
      <c r="AB144" s="238">
        <v>93.7</v>
      </c>
      <c r="AC144" s="238">
        <v>0</v>
      </c>
      <c r="AD144" s="238">
        <v>622978.66</v>
      </c>
      <c r="AE144" s="238">
        <v>82734.229999999981</v>
      </c>
      <c r="AF144" s="238">
        <v>395504.85</v>
      </c>
      <c r="AG144" s="238">
        <v>37019.81</v>
      </c>
      <c r="AH144" s="239">
        <v>9.3601405899320825E-2</v>
      </c>
      <c r="AI144" s="247">
        <v>18.788363</v>
      </c>
      <c r="AJ144" s="242">
        <v>2.610147</v>
      </c>
      <c r="AK144" s="242">
        <v>4.8888312418055815E-2</v>
      </c>
      <c r="AL144" s="242" t="s">
        <v>678</v>
      </c>
      <c r="AM144" s="242" t="s">
        <v>678</v>
      </c>
      <c r="AN144" s="242">
        <v>11435.74</v>
      </c>
      <c r="AO144" s="238">
        <v>18171.64</v>
      </c>
      <c r="AP144" s="243">
        <v>0</v>
      </c>
      <c r="AQ144" s="238"/>
      <c r="AR144" s="238">
        <v>2761.107083256089</v>
      </c>
      <c r="AS144" s="238">
        <v>1174.3371280368763</v>
      </c>
      <c r="AT144" s="238">
        <v>19320.333333333332</v>
      </c>
      <c r="AU144" s="238">
        <v>409.81208961447959</v>
      </c>
      <c r="AV144" s="237">
        <v>1</v>
      </c>
      <c r="AW144" s="237">
        <v>1</v>
      </c>
      <c r="AX144" s="237">
        <v>1</v>
      </c>
      <c r="AY144" s="244" t="s">
        <v>682</v>
      </c>
      <c r="AZ144" s="244" t="s">
        <v>682</v>
      </c>
      <c r="BA144" s="237">
        <v>0</v>
      </c>
      <c r="BB144" s="245" t="s">
        <v>1264</v>
      </c>
      <c r="BC144" s="215" t="s">
        <v>1265</v>
      </c>
      <c r="BE144" s="237">
        <v>0</v>
      </c>
      <c r="BF144" s="237">
        <v>30</v>
      </c>
      <c r="BG144" s="246" t="s">
        <v>698</v>
      </c>
      <c r="BI144" s="239">
        <v>0.70503597122302153</v>
      </c>
      <c r="BJ144" s="239">
        <v>0.13309352517985612</v>
      </c>
      <c r="BK144" s="239">
        <v>0.15467625899280577</v>
      </c>
      <c r="BL144" s="239">
        <v>7.1942446043165471E-3</v>
      </c>
      <c r="BM144" s="247">
        <v>2.5359712230215825</v>
      </c>
      <c r="BN144" s="248">
        <v>0</v>
      </c>
      <c r="BO144" s="248">
        <v>0</v>
      </c>
      <c r="BP144" s="237">
        <v>0</v>
      </c>
      <c r="BQ144" s="237">
        <v>0</v>
      </c>
      <c r="BR144" s="248">
        <v>0</v>
      </c>
      <c r="BS144" s="237">
        <v>21</v>
      </c>
      <c r="BT144" s="237" t="s">
        <v>699</v>
      </c>
      <c r="BU144" s="249" t="s">
        <v>678</v>
      </c>
      <c r="BV144" s="249" t="s">
        <v>678</v>
      </c>
      <c r="BW144" s="249" t="s">
        <v>678</v>
      </c>
      <c r="BX144" s="249" t="s">
        <v>678</v>
      </c>
      <c r="BY144" s="249" t="s">
        <v>678</v>
      </c>
      <c r="BZ144" s="249" t="s">
        <v>678</v>
      </c>
      <c r="CA144" s="249" t="s">
        <v>678</v>
      </c>
      <c r="CB144" s="249" t="s">
        <v>678</v>
      </c>
      <c r="CC144" s="250" t="s">
        <v>678</v>
      </c>
      <c r="CD144" s="242" t="s">
        <v>678</v>
      </c>
      <c r="CE144" s="252" t="s">
        <v>678</v>
      </c>
      <c r="CF144" s="238">
        <v>238</v>
      </c>
      <c r="CG144" s="238">
        <v>12</v>
      </c>
      <c r="CH144" s="238">
        <v>5.8536585365853657</v>
      </c>
      <c r="CI144" s="216" t="s">
        <v>722</v>
      </c>
      <c r="CJ144" s="237">
        <v>1</v>
      </c>
      <c r="CK144" s="253">
        <v>83</v>
      </c>
      <c r="CL144" s="253">
        <v>4.2</v>
      </c>
      <c r="CM144" s="254">
        <v>7.866641693200974E-4</v>
      </c>
      <c r="CN144" s="237" t="s">
        <v>82</v>
      </c>
      <c r="CO144" s="242">
        <v>4304.58</v>
      </c>
      <c r="CP144" s="255">
        <v>0.80625210713616779</v>
      </c>
      <c r="CV144" s="237">
        <v>2</v>
      </c>
      <c r="CW144" s="261" t="s">
        <v>678</v>
      </c>
      <c r="CX144" s="261" t="s">
        <v>678</v>
      </c>
      <c r="CY144" s="261" t="s">
        <v>678</v>
      </c>
      <c r="CZ144" s="237" t="s">
        <v>529</v>
      </c>
      <c r="DA144" s="237" t="s">
        <v>1266</v>
      </c>
      <c r="DB144" s="216" t="s">
        <v>681</v>
      </c>
      <c r="DC144" s="256"/>
      <c r="DD144" s="256">
        <v>0.8</v>
      </c>
      <c r="DE144" s="256">
        <v>-10</v>
      </c>
      <c r="DF144" s="256">
        <v>0.5</v>
      </c>
      <c r="DG144" s="256">
        <v>-2.2999999999999998</v>
      </c>
      <c r="DL144" s="237" t="s">
        <v>682</v>
      </c>
      <c r="DP144" s="258" t="s">
        <v>682</v>
      </c>
      <c r="DQ144" s="258"/>
      <c r="DR144" s="258"/>
      <c r="DS144" s="258"/>
      <c r="DT144" s="258"/>
      <c r="DU144" s="237">
        <v>0</v>
      </c>
      <c r="DX144" s="247"/>
      <c r="DY144" s="247">
        <v>0</v>
      </c>
      <c r="EA144" s="237">
        <v>0</v>
      </c>
      <c r="ED144" s="237" t="s">
        <v>851</v>
      </c>
      <c r="EE144" s="208">
        <v>0</v>
      </c>
      <c r="EF144" s="237" t="s">
        <v>852</v>
      </c>
      <c r="EG144" s="216" t="s">
        <v>715</v>
      </c>
      <c r="EH144" s="246" t="s">
        <v>690</v>
      </c>
      <c r="EI144" s="216" t="s">
        <v>691</v>
      </c>
      <c r="EJ144" s="216" t="s">
        <v>529</v>
      </c>
      <c r="EK144" s="222" t="s">
        <v>682</v>
      </c>
      <c r="EL144" s="259">
        <v>1990</v>
      </c>
      <c r="EM144" s="260">
        <v>360</v>
      </c>
      <c r="EN144" s="260">
        <v>14293</v>
      </c>
      <c r="EO144" s="260">
        <v>5529</v>
      </c>
      <c r="ER144" s="237" t="s">
        <v>705</v>
      </c>
      <c r="ES144" s="237" t="e">
        <v>#DIV/0!</v>
      </c>
      <c r="ET144" s="237">
        <v>15.358333333333333</v>
      </c>
      <c r="EU144" s="661">
        <v>1</v>
      </c>
      <c r="EV144" s="661" t="s">
        <v>678</v>
      </c>
      <c r="EW144" s="661">
        <v>1</v>
      </c>
      <c r="EX144" s="661">
        <v>4</v>
      </c>
      <c r="EY144" s="660">
        <v>1.5545982393706687E-2</v>
      </c>
      <c r="EZ144" s="256">
        <v>2.4698795180722892</v>
      </c>
      <c r="FA144" s="247">
        <v>3.9131285462727448E-2</v>
      </c>
      <c r="FB144" s="208">
        <v>2</v>
      </c>
      <c r="FC144" s="208">
        <v>3</v>
      </c>
      <c r="FD144" s="208">
        <v>1</v>
      </c>
      <c r="FE144" s="239">
        <v>0.74955977303854426</v>
      </c>
      <c r="FF144" s="208">
        <v>1</v>
      </c>
      <c r="FG144" s="241">
        <v>0</v>
      </c>
      <c r="FH144" s="209">
        <v>0</v>
      </c>
      <c r="FI144" s="237" t="s">
        <v>678</v>
      </c>
      <c r="FJ144" s="208">
        <v>64.8</v>
      </c>
      <c r="FK144" s="208">
        <v>67.34</v>
      </c>
      <c r="FL144" s="217">
        <v>97.2</v>
      </c>
      <c r="FM144" s="208">
        <v>11.76</v>
      </c>
      <c r="FN144" s="208" t="s">
        <v>1267</v>
      </c>
      <c r="FP144" s="247" t="s">
        <v>693</v>
      </c>
      <c r="FU144" s="208">
        <v>60</v>
      </c>
      <c r="FV144" s="208">
        <v>89.9</v>
      </c>
      <c r="FW144" s="237">
        <v>75.8</v>
      </c>
      <c r="FX144" s="237">
        <v>61.5</v>
      </c>
      <c r="FY144" s="208">
        <v>77.87</v>
      </c>
      <c r="FZ144" s="208">
        <v>78.3</v>
      </c>
      <c r="GA144" s="208">
        <v>73.260000000000005</v>
      </c>
      <c r="GB144" s="208">
        <v>83.3</v>
      </c>
      <c r="GC144" s="208">
        <v>0.89</v>
      </c>
      <c r="GD144" s="208">
        <v>82.8</v>
      </c>
      <c r="GE144" s="237">
        <v>58.52</v>
      </c>
      <c r="GF144" s="237">
        <v>76.400000000000006</v>
      </c>
      <c r="GG144" s="237">
        <v>0.47</v>
      </c>
      <c r="GH144" s="237">
        <v>10.4</v>
      </c>
      <c r="GJ144" s="947"/>
      <c r="GK144" s="320"/>
      <c r="GL144" s="320"/>
      <c r="GM144" s="320"/>
      <c r="GN144" s="320"/>
      <c r="GO144" s="662">
        <v>8139</v>
      </c>
      <c r="GP144" s="663" t="str">
        <f>VLOOKUP(GS144,'BD Comarcal'!$A$6:$AV$17,48,FALSE)</f>
        <v>07</v>
      </c>
      <c r="GQ144" s="564">
        <v>1</v>
      </c>
      <c r="GR144" s="256">
        <f t="shared" si="2"/>
        <v>0</v>
      </c>
      <c r="GS144" s="237" t="s">
        <v>82</v>
      </c>
    </row>
    <row r="145" spans="1:201" s="237" customFormat="1" ht="17.25" customHeight="1">
      <c r="A145" s="236" t="s">
        <v>1268</v>
      </c>
      <c r="C145" s="238"/>
      <c r="D145" s="238">
        <v>550</v>
      </c>
      <c r="E145" s="238">
        <v>234</v>
      </c>
      <c r="F145" s="239">
        <v>0.42545454545454547</v>
      </c>
      <c r="G145" s="238">
        <v>172</v>
      </c>
      <c r="H145" s="240">
        <v>146.52580635615374</v>
      </c>
      <c r="I145" s="239">
        <v>0.62617865964168262</v>
      </c>
      <c r="J145" s="238">
        <v>115</v>
      </c>
      <c r="K145" s="238">
        <v>4</v>
      </c>
      <c r="L145" s="238">
        <v>1</v>
      </c>
      <c r="M145" s="241">
        <v>1.8181818181818182E-3</v>
      </c>
      <c r="N145" s="238">
        <v>0</v>
      </c>
      <c r="O145" s="239">
        <v>0</v>
      </c>
      <c r="P145" s="237">
        <v>2</v>
      </c>
      <c r="Q145" s="237">
        <v>0</v>
      </c>
      <c r="R145" s="239">
        <v>0</v>
      </c>
      <c r="S145" s="238">
        <v>19</v>
      </c>
      <c r="T145" s="436">
        <v>0</v>
      </c>
      <c r="U145" s="436">
        <v>0</v>
      </c>
      <c r="V145" s="436">
        <v>60</v>
      </c>
      <c r="W145" s="436">
        <v>60</v>
      </c>
      <c r="X145" s="238">
        <v>5988</v>
      </c>
      <c r="Y145" s="237">
        <v>0.18790000000000001</v>
      </c>
      <c r="Z145" s="238">
        <v>90060</v>
      </c>
      <c r="AA145" s="238">
        <v>14980</v>
      </c>
      <c r="AB145" s="238">
        <v>91.53</v>
      </c>
      <c r="AC145" s="238">
        <v>1357</v>
      </c>
      <c r="AD145" s="238">
        <v>5318581.6899999985</v>
      </c>
      <c r="AE145" s="238">
        <v>263115.08999999985</v>
      </c>
      <c r="AF145" s="238">
        <v>4742470.0199999996</v>
      </c>
      <c r="AG145" s="238">
        <v>800517.89</v>
      </c>
      <c r="AH145" s="239">
        <v>0.16879767012211921</v>
      </c>
      <c r="AI145" s="247">
        <v>152.70291599999999</v>
      </c>
      <c r="AJ145" s="242">
        <v>28.435884999999999</v>
      </c>
      <c r="AK145" s="242">
        <v>5.1701609090909084</v>
      </c>
      <c r="AL145" s="242" t="s">
        <v>678</v>
      </c>
      <c r="AM145" s="242" t="s">
        <v>678</v>
      </c>
      <c r="AN145" s="242">
        <v>11324.61</v>
      </c>
      <c r="AO145" s="238">
        <v>4338.6499999999996</v>
      </c>
      <c r="AP145" s="243">
        <v>13</v>
      </c>
      <c r="AQ145" s="238">
        <v>1</v>
      </c>
      <c r="AR145" s="238">
        <v>1322.669680531629</v>
      </c>
      <c r="AS145" s="238">
        <v>2891.9924506146381</v>
      </c>
      <c r="AT145" s="238">
        <v>315254</v>
      </c>
      <c r="AU145" s="238">
        <v>248.04097433617295</v>
      </c>
      <c r="AV145" s="237">
        <v>1</v>
      </c>
      <c r="AW145" s="237">
        <v>1</v>
      </c>
      <c r="AX145" s="237">
        <v>1</v>
      </c>
      <c r="AY145" s="244" t="s">
        <v>673</v>
      </c>
      <c r="AZ145" s="244" t="s">
        <v>717</v>
      </c>
      <c r="BA145" s="237">
        <v>0</v>
      </c>
      <c r="BB145" s="245" t="s">
        <v>1264</v>
      </c>
      <c r="BC145" s="215" t="s">
        <v>1265</v>
      </c>
      <c r="BE145" s="237">
        <v>2</v>
      </c>
      <c r="BF145" s="237">
        <v>143</v>
      </c>
      <c r="BG145" s="246" t="s">
        <v>698</v>
      </c>
      <c r="BI145" s="239">
        <v>0.44169135469970372</v>
      </c>
      <c r="BJ145" s="239">
        <v>0.1120387826555346</v>
      </c>
      <c r="BK145" s="239">
        <v>0.4381901427417183</v>
      </c>
      <c r="BL145" s="239">
        <v>8.0797199030433614E-3</v>
      </c>
      <c r="BM145" s="247">
        <v>1.9873417721518987</v>
      </c>
      <c r="BN145" s="248">
        <v>0</v>
      </c>
      <c r="BO145" s="248">
        <v>1</v>
      </c>
      <c r="BP145" s="237">
        <v>0</v>
      </c>
      <c r="BQ145" s="237">
        <v>0</v>
      </c>
      <c r="BR145" s="248">
        <v>1</v>
      </c>
      <c r="BS145" s="237">
        <v>15.5</v>
      </c>
      <c r="BT145" s="237" t="s">
        <v>699</v>
      </c>
      <c r="BU145" s="249">
        <v>642</v>
      </c>
      <c r="BV145" s="249">
        <v>690</v>
      </c>
      <c r="BW145" s="249">
        <v>3039</v>
      </c>
      <c r="BX145" s="249" t="s">
        <v>678</v>
      </c>
      <c r="BY145" s="249">
        <v>10.748367654445003</v>
      </c>
      <c r="BZ145" s="249">
        <v>11.551983927674536</v>
      </c>
      <c r="CA145" s="249">
        <v>50.878955298844801</v>
      </c>
      <c r="CB145" s="249" t="s">
        <v>678</v>
      </c>
      <c r="CC145" s="250">
        <v>106.22802611752888</v>
      </c>
      <c r="CD145" s="242">
        <v>-560</v>
      </c>
      <c r="CE145" s="252">
        <v>90.624476812322115</v>
      </c>
      <c r="CF145" s="238">
        <v>3047</v>
      </c>
      <c r="CG145" s="238">
        <v>469</v>
      </c>
      <c r="CH145" s="238">
        <v>7.852000669680228</v>
      </c>
      <c r="CI145" s="216" t="s">
        <v>722</v>
      </c>
      <c r="CJ145" s="237">
        <v>1</v>
      </c>
      <c r="CK145" s="253">
        <v>136.25</v>
      </c>
      <c r="CL145" s="253">
        <v>43.464700000000001</v>
      </c>
      <c r="CM145" s="254">
        <v>7.9026727272727276E-2</v>
      </c>
      <c r="CN145" s="237" t="s">
        <v>82</v>
      </c>
      <c r="CO145" s="242"/>
      <c r="CP145" s="255">
        <v>0</v>
      </c>
      <c r="CV145" s="237">
        <v>2</v>
      </c>
      <c r="CW145" s="194">
        <v>1.0649999999999999</v>
      </c>
      <c r="CX145" s="194">
        <v>0.38900000000000001</v>
      </c>
      <c r="CY145" s="194">
        <v>2.089</v>
      </c>
      <c r="DB145" s="216"/>
      <c r="DC145" s="195" t="s">
        <v>866</v>
      </c>
      <c r="DD145" s="256">
        <v>0.8</v>
      </c>
      <c r="DE145" s="256">
        <v>-10</v>
      </c>
      <c r="DF145" s="256">
        <v>0.5</v>
      </c>
      <c r="DG145" s="256">
        <v>-2.2999999999999998</v>
      </c>
      <c r="DH145" s="257">
        <v>2</v>
      </c>
      <c r="DI145" s="257">
        <v>14.8</v>
      </c>
      <c r="DJ145" s="257">
        <v>10.199999999999999</v>
      </c>
      <c r="DK145" s="257">
        <v>25</v>
      </c>
      <c r="DL145" s="237" t="s">
        <v>682</v>
      </c>
      <c r="DO145" s="237">
        <v>1</v>
      </c>
      <c r="DP145" s="258" t="s">
        <v>682</v>
      </c>
      <c r="DQ145" s="258"/>
      <c r="DR145" s="258"/>
      <c r="DS145" s="258"/>
      <c r="DT145" s="258"/>
      <c r="DU145" s="237">
        <v>0.25</v>
      </c>
      <c r="DV145" s="237" t="s">
        <v>771</v>
      </c>
      <c r="DW145" s="237" t="s">
        <v>772</v>
      </c>
      <c r="DX145" s="247">
        <v>24.102499999999999</v>
      </c>
      <c r="DY145" s="247">
        <v>4.3822727272727269</v>
      </c>
      <c r="EA145" s="237">
        <v>0</v>
      </c>
      <c r="ED145" s="237" t="s">
        <v>678</v>
      </c>
      <c r="EE145" s="208">
        <v>3</v>
      </c>
      <c r="EF145" s="237" t="s">
        <v>678</v>
      </c>
      <c r="EG145" s="216" t="s">
        <v>733</v>
      </c>
      <c r="EH145" s="246" t="s">
        <v>734</v>
      </c>
      <c r="EI145" s="216"/>
      <c r="EJ145" s="216" t="s">
        <v>529</v>
      </c>
      <c r="EK145" s="222" t="s">
        <v>682</v>
      </c>
      <c r="EL145" s="259">
        <v>2000</v>
      </c>
      <c r="EM145" s="260">
        <v>2245</v>
      </c>
      <c r="EN145" s="260">
        <v>229329</v>
      </c>
      <c r="EO145" s="260">
        <v>76600</v>
      </c>
      <c r="ER145" s="237" t="s">
        <v>705</v>
      </c>
      <c r="ES145" s="237">
        <v>5973</v>
      </c>
      <c r="ET145" s="237">
        <v>34.120267260579062</v>
      </c>
      <c r="EU145" s="661">
        <v>3</v>
      </c>
      <c r="EV145" s="661">
        <v>4</v>
      </c>
      <c r="EW145" s="661">
        <v>1</v>
      </c>
      <c r="EX145" s="661">
        <v>6</v>
      </c>
      <c r="EY145" s="660">
        <v>0.24772727272727274</v>
      </c>
      <c r="EZ145" s="256">
        <v>43.838532110091741</v>
      </c>
      <c r="FA145" s="247">
        <v>0.85470085470085466</v>
      </c>
      <c r="FB145" s="208">
        <v>3</v>
      </c>
      <c r="FC145" s="208">
        <v>5</v>
      </c>
      <c r="FD145" s="208">
        <v>3</v>
      </c>
      <c r="FE145" s="239">
        <v>0.7350427350427351</v>
      </c>
      <c r="FF145" s="208"/>
      <c r="FG145" s="241">
        <v>0.10683760683760683</v>
      </c>
      <c r="FH145" s="209">
        <v>0</v>
      </c>
      <c r="FI145" s="237" t="s">
        <v>678</v>
      </c>
      <c r="FJ145" s="208" t="s">
        <v>678</v>
      </c>
      <c r="FK145" s="208" t="s">
        <v>678</v>
      </c>
      <c r="FL145" s="217" t="s">
        <v>678</v>
      </c>
      <c r="FM145" s="208" t="s">
        <v>678</v>
      </c>
      <c r="FN145" s="208" t="s">
        <v>678</v>
      </c>
      <c r="FP145" s="247" t="s">
        <v>693</v>
      </c>
      <c r="FU145" s="208" t="s">
        <v>678</v>
      </c>
      <c r="FV145" s="208" t="s">
        <v>678</v>
      </c>
      <c r="FW145" s="208" t="s">
        <v>678</v>
      </c>
      <c r="FX145" s="208" t="s">
        <v>678</v>
      </c>
      <c r="FY145" s="208" t="s">
        <v>678</v>
      </c>
      <c r="FZ145" s="208" t="s">
        <v>678</v>
      </c>
      <c r="GA145" s="208" t="s">
        <v>678</v>
      </c>
      <c r="GB145" s="208" t="s">
        <v>678</v>
      </c>
      <c r="GC145" s="208" t="s">
        <v>678</v>
      </c>
      <c r="GD145" s="208" t="s">
        <v>678</v>
      </c>
      <c r="GE145" s="237" t="s">
        <v>678</v>
      </c>
      <c r="GF145" s="237" t="s">
        <v>678</v>
      </c>
      <c r="GG145" s="237" t="s">
        <v>678</v>
      </c>
      <c r="GH145" s="237" t="s">
        <v>678</v>
      </c>
      <c r="GJ145" s="947">
        <v>66</v>
      </c>
      <c r="GK145" s="320">
        <v>5.0000000000000001E-3</v>
      </c>
      <c r="GL145" s="320">
        <v>0.19</v>
      </c>
      <c r="GM145" s="320">
        <v>0.109</v>
      </c>
      <c r="GN145" s="320">
        <v>0.69599999999999995</v>
      </c>
      <c r="GO145" s="662">
        <v>8140</v>
      </c>
      <c r="GP145" s="663" t="str">
        <f>VLOOKUP(GS145,'BD Comarcal'!$A$6:$AV$17,48,FALSE)</f>
        <v>07</v>
      </c>
      <c r="GQ145" s="564">
        <v>56</v>
      </c>
      <c r="GR145" s="256">
        <f t="shared" si="2"/>
        <v>1</v>
      </c>
      <c r="GS145" s="237" t="s">
        <v>82</v>
      </c>
    </row>
    <row r="146" spans="1:201" s="237" customFormat="1" ht="17.25" customHeight="1">
      <c r="A146" s="236" t="s">
        <v>1269</v>
      </c>
      <c r="C146" s="238"/>
      <c r="D146" s="238">
        <v>8170</v>
      </c>
      <c r="E146" s="238">
        <v>6462</v>
      </c>
      <c r="F146" s="239">
        <v>0.79094247246022031</v>
      </c>
      <c r="G146" s="238">
        <v>6101</v>
      </c>
      <c r="H146" s="240">
        <v>6078.4740582187715</v>
      </c>
      <c r="I146" s="239">
        <v>0.94064903407904232</v>
      </c>
      <c r="J146" s="238">
        <v>1483</v>
      </c>
      <c r="K146" s="238">
        <v>270</v>
      </c>
      <c r="L146" s="238">
        <v>0</v>
      </c>
      <c r="M146" s="241">
        <v>0</v>
      </c>
      <c r="N146" s="238">
        <v>7</v>
      </c>
      <c r="O146" s="239">
        <v>4.720161834120027E-3</v>
      </c>
      <c r="P146" s="237">
        <v>27</v>
      </c>
      <c r="Q146" s="237">
        <v>1</v>
      </c>
      <c r="R146" s="239">
        <v>3.7037037037037035E-2</v>
      </c>
      <c r="S146" s="238">
        <v>6708</v>
      </c>
      <c r="T146" s="436">
        <v>0</v>
      </c>
      <c r="U146" s="436">
        <v>0</v>
      </c>
      <c r="V146" s="436">
        <v>15</v>
      </c>
      <c r="W146" s="436">
        <v>15</v>
      </c>
      <c r="X146" s="238">
        <v>6045</v>
      </c>
      <c r="Y146" s="237">
        <v>0.2019</v>
      </c>
      <c r="Z146" s="238">
        <v>92967</v>
      </c>
      <c r="AA146" s="238">
        <v>15233</v>
      </c>
      <c r="AB146" s="238">
        <v>93.07</v>
      </c>
      <c r="AC146" s="238">
        <v>2094</v>
      </c>
      <c r="AD146" s="238">
        <v>7722359.7600000007</v>
      </c>
      <c r="AE146" s="238">
        <v>-378119.29999999981</v>
      </c>
      <c r="AF146" s="238">
        <v>7523330.9400000004</v>
      </c>
      <c r="AG146" s="238">
        <v>1616252.49</v>
      </c>
      <c r="AH146" s="239">
        <v>0.2148320342265842</v>
      </c>
      <c r="AI146" s="247">
        <v>101.333759</v>
      </c>
      <c r="AJ146" s="242">
        <v>3.9256289999999998</v>
      </c>
      <c r="AK146" s="242">
        <v>4.8049314565483468E-2</v>
      </c>
      <c r="AL146" s="242" t="s">
        <v>678</v>
      </c>
      <c r="AM146" s="242" t="s">
        <v>678</v>
      </c>
      <c r="AN146" s="242">
        <v>46826.1</v>
      </c>
      <c r="AO146" s="238">
        <v>10116.14</v>
      </c>
      <c r="AP146" s="243">
        <v>46</v>
      </c>
      <c r="AQ146" s="238">
        <v>1</v>
      </c>
      <c r="AR146" s="238">
        <v>1328.2250077096394</v>
      </c>
      <c r="AS146" s="238">
        <v>2984.6686069683496</v>
      </c>
      <c r="AT146" s="238">
        <v>355244</v>
      </c>
      <c r="AU146" s="238">
        <v>239.26491665583271</v>
      </c>
      <c r="AV146" s="237">
        <v>1</v>
      </c>
      <c r="AW146" s="237">
        <v>1</v>
      </c>
      <c r="AX146" s="237">
        <v>1</v>
      </c>
      <c r="AY146" s="244" t="s">
        <v>673</v>
      </c>
      <c r="AZ146" s="244" t="s">
        <v>726</v>
      </c>
      <c r="BA146" s="237">
        <v>2009</v>
      </c>
      <c r="BB146" s="245" t="s">
        <v>891</v>
      </c>
      <c r="BC146" s="215" t="s">
        <v>892</v>
      </c>
      <c r="BE146" s="237">
        <v>2</v>
      </c>
      <c r="BF146" s="237">
        <v>143</v>
      </c>
      <c r="BG146" s="246" t="s">
        <v>698</v>
      </c>
      <c r="BI146" s="239">
        <v>0.41778975741239893</v>
      </c>
      <c r="BJ146" s="239">
        <v>0.18598382749326145</v>
      </c>
      <c r="BK146" s="239">
        <v>0.3704974271012007</v>
      </c>
      <c r="BL146" s="239">
        <v>2.5728987993138937E-2</v>
      </c>
      <c r="BM146" s="247">
        <v>1.9958343543249204</v>
      </c>
      <c r="BN146" s="248">
        <v>0</v>
      </c>
      <c r="BO146" s="248">
        <v>1</v>
      </c>
      <c r="BP146" s="237">
        <v>0</v>
      </c>
      <c r="BQ146" s="237">
        <v>0</v>
      </c>
      <c r="BR146" s="248">
        <v>1</v>
      </c>
      <c r="BS146" s="262">
        <v>26.6</v>
      </c>
      <c r="BT146" s="237" t="s">
        <v>699</v>
      </c>
      <c r="BU146" s="249" t="s">
        <v>678</v>
      </c>
      <c r="BV146" s="249">
        <v>870</v>
      </c>
      <c r="BW146" s="249">
        <v>3100</v>
      </c>
      <c r="BX146" s="249" t="s">
        <v>678</v>
      </c>
      <c r="BY146" s="249" t="s">
        <v>678</v>
      </c>
      <c r="BZ146" s="249">
        <v>14.155548324113244</v>
      </c>
      <c r="CA146" s="249">
        <v>50.439310120403512</v>
      </c>
      <c r="CB146" s="249" t="s">
        <v>678</v>
      </c>
      <c r="CC146" s="250" t="s">
        <v>678</v>
      </c>
      <c r="CD146" s="242">
        <v>-427</v>
      </c>
      <c r="CE146" s="252">
        <v>93.052391799544424</v>
      </c>
      <c r="CF146" s="238">
        <v>3299</v>
      </c>
      <c r="CG146" s="238">
        <v>543</v>
      </c>
      <c r="CH146" s="238">
        <v>8.8350146436706805</v>
      </c>
      <c r="CI146" s="216" t="s">
        <v>722</v>
      </c>
      <c r="CJ146" s="237">
        <v>1</v>
      </c>
      <c r="CK146" s="253">
        <v>110</v>
      </c>
      <c r="CL146" s="253">
        <v>8.6268999999999991</v>
      </c>
      <c r="CM146" s="254">
        <v>1.055924112607099E-3</v>
      </c>
      <c r="CN146" s="237" t="s">
        <v>82</v>
      </c>
      <c r="CO146" s="242"/>
      <c r="CP146" s="255">
        <v>0</v>
      </c>
      <c r="CV146" s="237">
        <v>1</v>
      </c>
      <c r="CW146" s="194">
        <v>0.82299999999999995</v>
      </c>
      <c r="CX146" s="194">
        <v>0.25800000000000001</v>
      </c>
      <c r="CY146" s="194">
        <v>1.716</v>
      </c>
      <c r="DB146" s="216"/>
      <c r="DC146" s="195" t="s">
        <v>1270</v>
      </c>
      <c r="DD146" s="256">
        <v>0.8</v>
      </c>
      <c r="DE146" s="256">
        <v>-10</v>
      </c>
      <c r="DF146" s="256">
        <v>0.5</v>
      </c>
      <c r="DG146" s="256">
        <v>-2.2999999999999998</v>
      </c>
      <c r="DH146" s="257">
        <v>4</v>
      </c>
      <c r="DI146" s="257">
        <v>204.18</v>
      </c>
      <c r="DJ146" s="257">
        <v>34.33</v>
      </c>
      <c r="DK146" s="257">
        <v>238.51</v>
      </c>
      <c r="DL146" s="237" t="s">
        <v>529</v>
      </c>
      <c r="DN146" s="237" t="s">
        <v>770</v>
      </c>
      <c r="DO146" s="237">
        <v>1</v>
      </c>
      <c r="DP146" s="258" t="s">
        <v>682</v>
      </c>
      <c r="DQ146" s="258"/>
      <c r="DR146" s="258"/>
      <c r="DS146" s="258"/>
      <c r="DT146" s="258"/>
      <c r="DU146" s="237">
        <v>0</v>
      </c>
      <c r="DX146" s="247"/>
      <c r="DY146" s="247">
        <v>0</v>
      </c>
      <c r="EA146" s="237">
        <v>0</v>
      </c>
      <c r="ED146" s="237" t="s">
        <v>701</v>
      </c>
      <c r="EE146" s="208">
        <v>1</v>
      </c>
      <c r="EF146" s="237" t="s">
        <v>702</v>
      </c>
      <c r="EG146" s="216" t="s">
        <v>733</v>
      </c>
      <c r="EH146" s="246" t="s">
        <v>734</v>
      </c>
      <c r="EI146" s="216"/>
      <c r="EJ146" s="216" t="s">
        <v>529</v>
      </c>
      <c r="EK146" s="222" t="s">
        <v>682</v>
      </c>
      <c r="EL146" s="259">
        <v>1994</v>
      </c>
      <c r="EM146" s="260">
        <v>5365</v>
      </c>
      <c r="EN146" s="260">
        <v>232244</v>
      </c>
      <c r="EO146" s="260">
        <v>130512</v>
      </c>
      <c r="ER146" s="237" t="s">
        <v>705</v>
      </c>
      <c r="ES146" s="237">
        <v>6146</v>
      </c>
      <c r="ET146" s="237">
        <v>24.326561043802425</v>
      </c>
      <c r="EU146" s="661">
        <v>1</v>
      </c>
      <c r="EV146" s="661">
        <v>5</v>
      </c>
      <c r="EW146" s="661">
        <v>1</v>
      </c>
      <c r="EX146" s="661">
        <v>2</v>
      </c>
      <c r="EY146" s="660">
        <v>1.346389228886169E-2</v>
      </c>
      <c r="EZ146" s="256">
        <v>55.872727272727275</v>
      </c>
      <c r="FA146" s="247">
        <v>1.5475085112968121E-2</v>
      </c>
      <c r="FB146" s="208">
        <v>3</v>
      </c>
      <c r="FC146" s="208">
        <v>5</v>
      </c>
      <c r="FD146" s="208">
        <v>5</v>
      </c>
      <c r="FE146" s="239">
        <v>0.94413494274218512</v>
      </c>
      <c r="FF146" s="208"/>
      <c r="FG146" s="241">
        <v>3.6909625502940267E-2</v>
      </c>
      <c r="FH146" s="209">
        <v>0</v>
      </c>
      <c r="FI146" s="237" t="s">
        <v>678</v>
      </c>
      <c r="FJ146" s="208">
        <v>71</v>
      </c>
      <c r="FK146" s="208">
        <v>0</v>
      </c>
      <c r="FL146" s="217">
        <v>5.4</v>
      </c>
      <c r="FM146" s="208">
        <v>3.13</v>
      </c>
      <c r="FN146" s="208" t="s">
        <v>1271</v>
      </c>
      <c r="FP146" s="247" t="s">
        <v>693</v>
      </c>
      <c r="FU146" s="208">
        <v>62</v>
      </c>
      <c r="FV146" s="208">
        <v>91.7</v>
      </c>
      <c r="FW146" s="237">
        <v>58.68</v>
      </c>
      <c r="FX146" s="237">
        <v>39.1</v>
      </c>
      <c r="FY146" s="208">
        <v>21.9</v>
      </c>
      <c r="FZ146" s="208">
        <v>36.299999999999997</v>
      </c>
      <c r="GA146" s="208">
        <v>41.24</v>
      </c>
      <c r="GB146" s="208">
        <v>38</v>
      </c>
      <c r="GC146" s="208">
        <v>0.04</v>
      </c>
      <c r="GD146" s="208">
        <v>21.2</v>
      </c>
      <c r="GE146" s="237">
        <v>33.58</v>
      </c>
      <c r="GF146" s="237">
        <v>40.1</v>
      </c>
      <c r="GG146" s="237">
        <v>5.03</v>
      </c>
      <c r="GH146" s="237">
        <v>43.9</v>
      </c>
      <c r="GJ146" s="947">
        <v>87</v>
      </c>
      <c r="GK146" s="320">
        <v>2.4E-2</v>
      </c>
      <c r="GL146" s="320">
        <v>0.16400000000000001</v>
      </c>
      <c r="GM146" s="320">
        <v>0.128</v>
      </c>
      <c r="GN146" s="320">
        <v>0.68300000000000005</v>
      </c>
      <c r="GO146" s="662">
        <v>8141</v>
      </c>
      <c r="GP146" s="663" t="str">
        <f>VLOOKUP(GS146,'BD Comarcal'!$A$6:$AV$17,48,FALSE)</f>
        <v>07</v>
      </c>
      <c r="GQ146" s="564">
        <v>51</v>
      </c>
      <c r="GR146" s="256">
        <f t="shared" si="2"/>
        <v>1</v>
      </c>
      <c r="GS146" s="237" t="s">
        <v>82</v>
      </c>
    </row>
    <row r="147" spans="1:201" s="237" customFormat="1" ht="17.25" customHeight="1">
      <c r="A147" s="236" t="s">
        <v>1272</v>
      </c>
      <c r="C147" s="238"/>
      <c r="D147" s="238">
        <v>2500</v>
      </c>
      <c r="E147" s="238">
        <v>2233</v>
      </c>
      <c r="F147" s="239">
        <v>0.89319999999999999</v>
      </c>
      <c r="G147" s="238">
        <v>2102</v>
      </c>
      <c r="H147" s="240">
        <v>1802.2090581367947</v>
      </c>
      <c r="I147" s="239">
        <v>0.80707973942534472</v>
      </c>
      <c r="J147" s="238">
        <v>27</v>
      </c>
      <c r="K147" s="238">
        <v>256</v>
      </c>
      <c r="L147" s="238">
        <v>0</v>
      </c>
      <c r="M147" s="241">
        <v>0</v>
      </c>
      <c r="N147" s="238">
        <v>0</v>
      </c>
      <c r="O147" s="239">
        <v>0</v>
      </c>
      <c r="P147" s="237">
        <v>6</v>
      </c>
      <c r="Q147" s="237">
        <v>0</v>
      </c>
      <c r="R147" s="239">
        <v>0</v>
      </c>
      <c r="S147" s="238">
        <v>200</v>
      </c>
      <c r="T147" s="436">
        <v>0</v>
      </c>
      <c r="U147" s="436">
        <v>16</v>
      </c>
      <c r="V147" s="436">
        <v>38</v>
      </c>
      <c r="W147" s="436">
        <v>54</v>
      </c>
      <c r="X147" s="238">
        <v>151</v>
      </c>
      <c r="Y147" s="237">
        <v>0.27329999999999999</v>
      </c>
      <c r="Z147" s="238">
        <v>2743</v>
      </c>
      <c r="AA147" s="238">
        <v>17928</v>
      </c>
      <c r="AB147" s="238">
        <v>109.54</v>
      </c>
      <c r="AC147" s="238">
        <v>0</v>
      </c>
      <c r="AD147" s="238">
        <v>437205.13</v>
      </c>
      <c r="AE147" s="238">
        <v>135176.65000000002</v>
      </c>
      <c r="AF147" s="238">
        <v>221608.49</v>
      </c>
      <c r="AG147" s="238">
        <v>21440.48</v>
      </c>
      <c r="AH147" s="239">
        <v>9.6749361903959552E-2</v>
      </c>
      <c r="AI147" s="247">
        <v>9.4472120000000004</v>
      </c>
      <c r="AJ147" s="242">
        <v>0.57054899999999997</v>
      </c>
      <c r="AK147" s="242">
        <v>2.2821959999999999E-2</v>
      </c>
      <c r="AL147" s="242" t="s">
        <v>678</v>
      </c>
      <c r="AM147" s="242" t="s">
        <v>678</v>
      </c>
      <c r="AN147" s="242">
        <v>9066.19</v>
      </c>
      <c r="AO147" s="238">
        <v>4435.13</v>
      </c>
      <c r="AP147" s="243">
        <v>20</v>
      </c>
      <c r="AQ147" s="238">
        <v>1</v>
      </c>
      <c r="AR147" s="238">
        <v>1760.7220083971779</v>
      </c>
      <c r="AS147" s="238">
        <v>955.07993137659287</v>
      </c>
      <c r="AT147" s="238">
        <v>7533.666666666667</v>
      </c>
      <c r="AU147" s="238">
        <v>217.34049842638817</v>
      </c>
      <c r="AV147" s="237">
        <v>1</v>
      </c>
      <c r="AW147" s="237">
        <v>0</v>
      </c>
      <c r="AX147" s="237">
        <v>1</v>
      </c>
      <c r="AY147" s="244" t="s">
        <v>673</v>
      </c>
      <c r="AZ147" s="244" t="s">
        <v>695</v>
      </c>
      <c r="BA147" s="237">
        <v>0</v>
      </c>
      <c r="BB147" s="245" t="s">
        <v>833</v>
      </c>
      <c r="BC147" s="215" t="s">
        <v>834</v>
      </c>
      <c r="BE147" s="237">
        <v>3</v>
      </c>
      <c r="BF147" s="237">
        <v>17</v>
      </c>
      <c r="BG147" s="246" t="s">
        <v>720</v>
      </c>
      <c r="BI147" s="239">
        <v>0.65151515151515149</v>
      </c>
      <c r="BJ147" s="239">
        <v>7.575757575757576E-2</v>
      </c>
      <c r="BK147" s="239">
        <v>0.22727272727272727</v>
      </c>
      <c r="BL147" s="239">
        <v>4.5454545454545456E-2</v>
      </c>
      <c r="BM147" s="247">
        <v>2.333333333333333</v>
      </c>
      <c r="BN147" s="248">
        <v>0</v>
      </c>
      <c r="BO147" s="248">
        <v>0</v>
      </c>
      <c r="BP147" s="237">
        <v>0</v>
      </c>
      <c r="BQ147" s="237">
        <v>0</v>
      </c>
      <c r="BR147" s="248">
        <v>0</v>
      </c>
      <c r="BS147" s="237">
        <v>17.600000000000001</v>
      </c>
      <c r="BT147" s="237" t="s">
        <v>777</v>
      </c>
      <c r="BU147" s="249" t="s">
        <v>678</v>
      </c>
      <c r="BV147" s="249" t="s">
        <v>678</v>
      </c>
      <c r="BW147" s="249" t="s">
        <v>678</v>
      </c>
      <c r="BX147" s="249" t="s">
        <v>678</v>
      </c>
      <c r="BY147" s="249" t="s">
        <v>678</v>
      </c>
      <c r="BZ147" s="249" t="s">
        <v>678</v>
      </c>
      <c r="CA147" s="249" t="s">
        <v>678</v>
      </c>
      <c r="CB147" s="249" t="s">
        <v>678</v>
      </c>
      <c r="CC147" s="250" t="s">
        <v>678</v>
      </c>
      <c r="CD147" s="242" t="s">
        <v>678</v>
      </c>
      <c r="CE147" s="252" t="s">
        <v>678</v>
      </c>
      <c r="CF147" s="238">
        <v>106</v>
      </c>
      <c r="CG147" s="238">
        <v>7.8</v>
      </c>
      <c r="CH147" s="238">
        <v>5.2</v>
      </c>
      <c r="CI147" s="216" t="s">
        <v>700</v>
      </c>
      <c r="CJ147" s="237">
        <v>0</v>
      </c>
      <c r="CK147" s="253">
        <v>10.41</v>
      </c>
      <c r="CL147" s="253">
        <v>2.173</v>
      </c>
      <c r="CM147" s="254">
        <v>8.6919999999999999E-4</v>
      </c>
      <c r="CN147" s="237" t="s">
        <v>84</v>
      </c>
      <c r="CO147" s="242">
        <v>964.9</v>
      </c>
      <c r="CP147" s="255">
        <v>0.38595999999999997</v>
      </c>
      <c r="CV147" s="237">
        <v>1</v>
      </c>
      <c r="CW147" s="261" t="s">
        <v>678</v>
      </c>
      <c r="CX147" s="261" t="s">
        <v>678</v>
      </c>
      <c r="CY147" s="261" t="s">
        <v>678</v>
      </c>
      <c r="DB147" s="216" t="s">
        <v>681</v>
      </c>
      <c r="DC147" s="256"/>
      <c r="DD147" s="256">
        <v>0.8</v>
      </c>
      <c r="DE147" s="256">
        <v>-9</v>
      </c>
      <c r="DF147" s="256">
        <v>-0.3</v>
      </c>
      <c r="DG147" s="256">
        <v>-2.6</v>
      </c>
      <c r="DL147" s="237" t="s">
        <v>682</v>
      </c>
      <c r="DP147" s="258" t="s">
        <v>682</v>
      </c>
      <c r="DQ147" s="258"/>
      <c r="DR147" s="258"/>
      <c r="DS147" s="258"/>
      <c r="DT147" s="258"/>
      <c r="DU147" s="237">
        <v>0</v>
      </c>
      <c r="DX147" s="247"/>
      <c r="DY147" s="247">
        <v>0</v>
      </c>
      <c r="EA147" s="237">
        <v>0</v>
      </c>
      <c r="ED147" s="237" t="s">
        <v>723</v>
      </c>
      <c r="EE147" s="208">
        <v>2</v>
      </c>
      <c r="EF147" s="237" t="s">
        <v>702</v>
      </c>
      <c r="EG147" s="216" t="s">
        <v>703</v>
      </c>
      <c r="EH147" s="246" t="s">
        <v>704</v>
      </c>
      <c r="EI147" s="216"/>
      <c r="EJ147" s="216" t="s">
        <v>529</v>
      </c>
      <c r="EK147" s="222" t="s">
        <v>682</v>
      </c>
      <c r="EL147" s="259">
        <v>2012</v>
      </c>
      <c r="EM147" s="260">
        <v>200</v>
      </c>
      <c r="EN147" s="260">
        <v>5582</v>
      </c>
      <c r="EO147" s="260">
        <v>2788</v>
      </c>
      <c r="ER147" s="237" t="s">
        <v>705</v>
      </c>
      <c r="ES147" s="237" t="e">
        <v>#DIV/0!</v>
      </c>
      <c r="ET147" s="237">
        <v>13.94</v>
      </c>
      <c r="EU147" s="661">
        <v>8</v>
      </c>
      <c r="EV147" s="661" t="s">
        <v>678</v>
      </c>
      <c r="EW147" s="661">
        <v>0</v>
      </c>
      <c r="EX147" s="661">
        <v>0</v>
      </c>
      <c r="EY147" s="660">
        <v>4.1640000000000002E-3</v>
      </c>
      <c r="EZ147" s="256">
        <v>14.409221902017292</v>
      </c>
      <c r="FA147" s="247">
        <v>4.4782803403493061E-2</v>
      </c>
      <c r="FB147" s="208">
        <v>2</v>
      </c>
      <c r="FC147" s="208">
        <v>3</v>
      </c>
      <c r="FD147" s="208">
        <v>3</v>
      </c>
      <c r="FE147" s="239">
        <v>0.9413345275414241</v>
      </c>
      <c r="FF147" s="208">
        <v>1</v>
      </c>
      <c r="FG147" s="241">
        <v>0</v>
      </c>
      <c r="FH147" s="209">
        <v>0</v>
      </c>
      <c r="FI147" s="237" t="s">
        <v>678</v>
      </c>
      <c r="FJ147" s="208">
        <v>57.7</v>
      </c>
      <c r="FK147" s="208">
        <v>36.119999999999997</v>
      </c>
      <c r="FL147" s="217">
        <v>78.099999999999994</v>
      </c>
      <c r="FM147" s="208">
        <v>22.39</v>
      </c>
      <c r="FN147" s="208" t="s">
        <v>1273</v>
      </c>
      <c r="FP147" s="247" t="s">
        <v>693</v>
      </c>
      <c r="FU147" s="208">
        <v>38</v>
      </c>
      <c r="FV147" s="208">
        <v>47.2</v>
      </c>
      <c r="FW147" s="237">
        <v>91.33</v>
      </c>
      <c r="FX147" s="237">
        <v>85.6</v>
      </c>
      <c r="FY147" s="208">
        <v>119.38</v>
      </c>
      <c r="FZ147" s="208">
        <v>93.2</v>
      </c>
      <c r="GA147" s="208">
        <v>88.39</v>
      </c>
      <c r="GB147" s="208">
        <v>98.8</v>
      </c>
      <c r="GC147" s="208">
        <v>0.93</v>
      </c>
      <c r="GD147" s="208">
        <v>84.5</v>
      </c>
      <c r="GE147" s="237">
        <v>97.77</v>
      </c>
      <c r="GF147" s="237">
        <v>99.8</v>
      </c>
      <c r="GG147" s="237">
        <v>2.54</v>
      </c>
      <c r="GH147" s="237">
        <v>24.8</v>
      </c>
      <c r="GJ147" s="947"/>
      <c r="GK147" s="320"/>
      <c r="GL147" s="320"/>
      <c r="GM147" s="320"/>
      <c r="GN147" s="320"/>
      <c r="GO147" s="662">
        <v>8142</v>
      </c>
      <c r="GP147" s="663" t="str">
        <f>VLOOKUP(GS147,'BD Comarcal'!$A$6:$AV$17,48,FALSE)</f>
        <v>14</v>
      </c>
      <c r="GQ147" s="564">
        <v>1</v>
      </c>
      <c r="GR147" s="256">
        <f t="shared" si="2"/>
        <v>0</v>
      </c>
      <c r="GS147" s="237" t="s">
        <v>84</v>
      </c>
    </row>
    <row r="148" spans="1:201" s="237" customFormat="1" ht="17.25" customHeight="1">
      <c r="A148" s="236" t="s">
        <v>1274</v>
      </c>
      <c r="C148" s="238"/>
      <c r="D148" s="238">
        <v>5220</v>
      </c>
      <c r="E148" s="238">
        <v>2438</v>
      </c>
      <c r="F148" s="239">
        <v>0.46704980842911875</v>
      </c>
      <c r="G148" s="238">
        <v>907</v>
      </c>
      <c r="H148" s="240">
        <v>327.98024795316917</v>
      </c>
      <c r="I148" s="239">
        <v>0.13452840359030729</v>
      </c>
      <c r="J148" s="238">
        <v>2019</v>
      </c>
      <c r="K148" s="238">
        <v>47</v>
      </c>
      <c r="L148" s="238">
        <v>6</v>
      </c>
      <c r="M148" s="241">
        <v>1.1494252873563218E-3</v>
      </c>
      <c r="N148" s="238">
        <v>0</v>
      </c>
      <c r="O148" s="239">
        <v>0</v>
      </c>
      <c r="P148" s="237">
        <v>16</v>
      </c>
      <c r="Q148" s="237">
        <v>0</v>
      </c>
      <c r="R148" s="239">
        <v>0</v>
      </c>
      <c r="S148" s="238">
        <v>3735</v>
      </c>
      <c r="T148" s="436">
        <v>0</v>
      </c>
      <c r="U148" s="436">
        <v>0</v>
      </c>
      <c r="V148" s="436">
        <v>0</v>
      </c>
      <c r="W148" s="436">
        <v>0</v>
      </c>
      <c r="X148" s="238">
        <v>3607</v>
      </c>
      <c r="Y148" s="237">
        <v>0.15290000000000001</v>
      </c>
      <c r="Z148" s="238">
        <v>44912</v>
      </c>
      <c r="AA148" s="238">
        <v>12396</v>
      </c>
      <c r="AB148" s="238">
        <v>75.739999999999995</v>
      </c>
      <c r="AC148" s="238">
        <v>849</v>
      </c>
      <c r="AD148" s="238">
        <v>4161643.3200000003</v>
      </c>
      <c r="AE148" s="238">
        <v>369641.4700000002</v>
      </c>
      <c r="AF148" s="238">
        <v>3543748.13</v>
      </c>
      <c r="AG148" s="238">
        <v>438292.56</v>
      </c>
      <c r="AH148" s="239">
        <v>0.12368050547655599</v>
      </c>
      <c r="AI148" s="247">
        <v>158.81445199999999</v>
      </c>
      <c r="AJ148" s="242">
        <v>22.344311000000001</v>
      </c>
      <c r="AK148" s="242">
        <v>0.42805193486590043</v>
      </c>
      <c r="AL148" s="242">
        <v>2.0585830000000001</v>
      </c>
      <c r="AM148" s="242">
        <v>3.9436455938697323E-2</v>
      </c>
      <c r="AN148" s="242">
        <v>46167.21</v>
      </c>
      <c r="AO148" s="238">
        <v>16192.7</v>
      </c>
      <c r="AP148" s="243">
        <v>22</v>
      </c>
      <c r="AQ148" s="238"/>
      <c r="AR148" s="238">
        <v>1403.9076186018199</v>
      </c>
      <c r="AS148" s="238">
        <v>1932.7568376950665</v>
      </c>
      <c r="AT148" s="238">
        <v>231045.33333333334</v>
      </c>
      <c r="AU148" s="238">
        <v>203.48602274495647</v>
      </c>
      <c r="AV148" s="237">
        <v>1</v>
      </c>
      <c r="AW148" s="237">
        <v>1</v>
      </c>
      <c r="AX148" s="237">
        <v>1</v>
      </c>
      <c r="AY148" s="244" t="s">
        <v>673</v>
      </c>
      <c r="AZ148" s="244" t="s">
        <v>673</v>
      </c>
      <c r="BA148" s="237">
        <v>2012</v>
      </c>
      <c r="BB148" s="245" t="s">
        <v>1275</v>
      </c>
      <c r="BC148" s="215" t="s">
        <v>1276</v>
      </c>
      <c r="BE148" s="237">
        <v>2</v>
      </c>
      <c r="BF148" s="237">
        <v>77</v>
      </c>
      <c r="BG148" s="246" t="s">
        <v>698</v>
      </c>
      <c r="BI148" s="239">
        <v>0.36330935251798563</v>
      </c>
      <c r="BJ148" s="239">
        <v>8.6780575539568347E-2</v>
      </c>
      <c r="BK148" s="239">
        <v>0.51079136690647486</v>
      </c>
      <c r="BL148" s="239">
        <v>3.9118705035971223E-2</v>
      </c>
      <c r="BM148" s="247">
        <v>1.7742805755395685</v>
      </c>
      <c r="BN148" s="248">
        <v>0</v>
      </c>
      <c r="BO148" s="248">
        <v>0</v>
      </c>
      <c r="BP148" s="237">
        <v>0</v>
      </c>
      <c r="BQ148" s="237">
        <v>0</v>
      </c>
      <c r="BR148" s="248">
        <v>0</v>
      </c>
      <c r="BS148" s="237">
        <v>4</v>
      </c>
      <c r="BT148" s="237" t="s">
        <v>755</v>
      </c>
      <c r="BU148" s="249">
        <v>381</v>
      </c>
      <c r="BV148" s="249">
        <v>372</v>
      </c>
      <c r="BW148" s="249">
        <v>1887</v>
      </c>
      <c r="BX148" s="249" t="s">
        <v>678</v>
      </c>
      <c r="BY148" s="249">
        <v>10.49875998897768</v>
      </c>
      <c r="BZ148" s="249">
        <v>10.25075778451364</v>
      </c>
      <c r="CA148" s="249">
        <v>51.997795535960321</v>
      </c>
      <c r="CB148" s="249" t="s">
        <v>678</v>
      </c>
      <c r="CC148" s="250">
        <v>103.99559107192064</v>
      </c>
      <c r="CD148" s="242" t="s">
        <v>678</v>
      </c>
      <c r="CE148" s="252" t="s">
        <v>678</v>
      </c>
      <c r="CF148" s="238">
        <v>1630</v>
      </c>
      <c r="CG148" s="238">
        <v>343.9</v>
      </c>
      <c r="CH148" s="238">
        <v>9.4764397905759168</v>
      </c>
      <c r="CI148" s="216" t="s">
        <v>679</v>
      </c>
      <c r="CJ148" s="237">
        <v>0</v>
      </c>
      <c r="CK148" s="253">
        <v>155.22</v>
      </c>
      <c r="CL148" s="253">
        <v>60.1449</v>
      </c>
      <c r="CM148" s="254">
        <v>1.1522011494252873E-2</v>
      </c>
      <c r="CN148" s="237" t="s">
        <v>81</v>
      </c>
      <c r="CO148" s="242"/>
      <c r="CP148" s="255">
        <v>0</v>
      </c>
      <c r="CV148" s="237">
        <v>9</v>
      </c>
      <c r="CW148" s="261" t="s">
        <v>678</v>
      </c>
      <c r="CX148" s="261" t="s">
        <v>678</v>
      </c>
      <c r="CY148" s="261" t="s">
        <v>678</v>
      </c>
      <c r="DB148" s="216" t="s">
        <v>1017</v>
      </c>
      <c r="DC148" s="195" t="s">
        <v>1041</v>
      </c>
      <c r="DD148" s="256">
        <v>0.8</v>
      </c>
      <c r="DE148" s="256">
        <v>-10</v>
      </c>
      <c r="DF148" s="256">
        <v>0.5</v>
      </c>
      <c r="DG148" s="256">
        <v>-2.2999999999999998</v>
      </c>
      <c r="DH148" s="257">
        <v>2</v>
      </c>
      <c r="DI148" s="257">
        <v>3.55</v>
      </c>
      <c r="DJ148" s="257">
        <v>0</v>
      </c>
      <c r="DK148" s="257">
        <v>3.55</v>
      </c>
      <c r="DL148" s="237" t="s">
        <v>682</v>
      </c>
      <c r="DP148" s="258" t="s">
        <v>682</v>
      </c>
      <c r="DQ148" s="258"/>
      <c r="DR148" s="258"/>
      <c r="DS148" s="258"/>
      <c r="DT148" s="258"/>
      <c r="DU148" s="237">
        <v>0</v>
      </c>
      <c r="DX148" s="247"/>
      <c r="DY148" s="247">
        <v>0</v>
      </c>
      <c r="EA148" s="237">
        <v>0</v>
      </c>
      <c r="ED148" s="237" t="s">
        <v>687</v>
      </c>
      <c r="EE148" s="208">
        <v>1</v>
      </c>
      <c r="EF148" s="237" t="s">
        <v>688</v>
      </c>
      <c r="EG148" s="216" t="s">
        <v>733</v>
      </c>
      <c r="EH148" s="246" t="s">
        <v>734</v>
      </c>
      <c r="EI148" s="216"/>
      <c r="EJ148" s="216" t="s">
        <v>529</v>
      </c>
      <c r="EK148" s="222" t="s">
        <v>682</v>
      </c>
      <c r="EL148" s="259">
        <v>2001</v>
      </c>
      <c r="EM148" s="260">
        <v>26927</v>
      </c>
      <c r="EN148" s="260">
        <v>96994</v>
      </c>
      <c r="EO148" s="260">
        <v>113254</v>
      </c>
      <c r="ER148" s="237" t="s">
        <v>705</v>
      </c>
      <c r="ES148" s="237" t="e">
        <v>#DIV/0!</v>
      </c>
      <c r="ET148" s="237">
        <v>4.2059642737772496</v>
      </c>
      <c r="EU148" s="661">
        <v>1</v>
      </c>
      <c r="EV148" s="661">
        <v>3</v>
      </c>
      <c r="EW148" s="661">
        <v>1</v>
      </c>
      <c r="EX148" s="661">
        <v>3</v>
      </c>
      <c r="EY148" s="660">
        <v>2.9735632183908046E-2</v>
      </c>
      <c r="EZ148" s="256">
        <v>23.379719108362323</v>
      </c>
      <c r="FA148" s="247">
        <v>0.36915504511894998</v>
      </c>
      <c r="FB148" s="208">
        <v>3</v>
      </c>
      <c r="FC148" s="208">
        <v>3</v>
      </c>
      <c r="FD148" s="208">
        <v>5</v>
      </c>
      <c r="FE148" s="239">
        <v>0.37202625102543069</v>
      </c>
      <c r="FF148" s="208"/>
      <c r="FG148" s="241">
        <v>1.4561115668580804E-3</v>
      </c>
      <c r="FH148" s="209">
        <v>0</v>
      </c>
      <c r="FI148" s="237" t="s">
        <v>678</v>
      </c>
      <c r="FJ148" s="208">
        <v>51.3</v>
      </c>
      <c r="FK148" s="208">
        <v>0</v>
      </c>
      <c r="FL148" s="217">
        <v>5.6</v>
      </c>
      <c r="FM148" s="208">
        <v>1.66</v>
      </c>
      <c r="FN148" s="208" t="s">
        <v>1277</v>
      </c>
      <c r="FP148" s="247" t="s">
        <v>693</v>
      </c>
      <c r="FU148" s="208">
        <v>46</v>
      </c>
      <c r="FV148" s="208">
        <v>66.8</v>
      </c>
      <c r="FW148" s="237">
        <v>12.02</v>
      </c>
      <c r="FX148" s="237">
        <v>6.3</v>
      </c>
      <c r="FY148" s="208">
        <v>4.5199999999999996</v>
      </c>
      <c r="FZ148" s="208">
        <v>8</v>
      </c>
      <c r="GA148" s="208">
        <v>17.14</v>
      </c>
      <c r="GB148" s="208">
        <v>4.5</v>
      </c>
      <c r="GC148" s="208">
        <v>0.88</v>
      </c>
      <c r="GD148" s="208">
        <v>82.4</v>
      </c>
      <c r="GE148" s="237">
        <v>14.06</v>
      </c>
      <c r="GF148" s="237">
        <v>8.1999999999999993</v>
      </c>
      <c r="GG148" s="237">
        <v>3.39</v>
      </c>
      <c r="GH148" s="237">
        <v>31.1</v>
      </c>
      <c r="GJ148" s="947"/>
      <c r="GK148" s="320"/>
      <c r="GL148" s="320"/>
      <c r="GM148" s="320"/>
      <c r="GN148" s="320"/>
      <c r="GO148" s="662">
        <v>8143</v>
      </c>
      <c r="GP148" s="663" t="str">
        <f>VLOOKUP(GS148,'BD Comarcal'!$A$6:$AV$17,48,FALSE)</f>
        <v>06</v>
      </c>
      <c r="GQ148" s="564">
        <v>31</v>
      </c>
      <c r="GR148" s="256">
        <f t="shared" si="2"/>
        <v>1</v>
      </c>
      <c r="GS148" s="237" t="s">
        <v>81</v>
      </c>
    </row>
    <row r="149" spans="1:201" s="237" customFormat="1" ht="17.25" customHeight="1">
      <c r="A149" s="236" t="s">
        <v>1278</v>
      </c>
      <c r="C149" s="238"/>
      <c r="D149" s="238">
        <v>3560</v>
      </c>
      <c r="E149" s="238">
        <v>2619</v>
      </c>
      <c r="F149" s="239">
        <v>0.73567415730337082</v>
      </c>
      <c r="G149" s="238">
        <v>2316</v>
      </c>
      <c r="H149" s="240">
        <v>2104.3708791519139</v>
      </c>
      <c r="I149" s="239">
        <v>0.80350167207022294</v>
      </c>
      <c r="J149" s="238">
        <v>498</v>
      </c>
      <c r="K149" s="238">
        <v>1148</v>
      </c>
      <c r="L149" s="238">
        <v>0</v>
      </c>
      <c r="M149" s="241">
        <v>0</v>
      </c>
      <c r="N149" s="238">
        <v>0</v>
      </c>
      <c r="O149" s="239">
        <v>0</v>
      </c>
      <c r="P149" s="237">
        <v>22</v>
      </c>
      <c r="Q149" s="237">
        <v>0</v>
      </c>
      <c r="R149" s="239">
        <v>0</v>
      </c>
      <c r="S149" s="238">
        <v>3344</v>
      </c>
      <c r="T149" s="436">
        <v>0</v>
      </c>
      <c r="U149" s="436">
        <v>74</v>
      </c>
      <c r="V149" s="436">
        <v>0</v>
      </c>
      <c r="W149" s="436">
        <v>74</v>
      </c>
      <c r="X149" s="238">
        <v>855</v>
      </c>
      <c r="Y149" s="237">
        <v>0.25459999999999999</v>
      </c>
      <c r="Z149" s="238">
        <v>15347</v>
      </c>
      <c r="AA149" s="238">
        <v>17928</v>
      </c>
      <c r="AB149" s="238">
        <v>109.54</v>
      </c>
      <c r="AC149" s="238">
        <v>345</v>
      </c>
      <c r="AD149" s="238">
        <v>861196.55999999994</v>
      </c>
      <c r="AE149" s="238">
        <v>-1282.8100000000559</v>
      </c>
      <c r="AF149" s="238">
        <v>702074.68</v>
      </c>
      <c r="AG149" s="238">
        <v>56072.55</v>
      </c>
      <c r="AH149" s="239">
        <v>7.9866930965235783E-2</v>
      </c>
      <c r="AI149" s="247">
        <v>40.998269999999998</v>
      </c>
      <c r="AJ149" s="242">
        <v>18.956678</v>
      </c>
      <c r="AK149" s="242">
        <v>0.53249095505617972</v>
      </c>
      <c r="AL149" s="242" t="s">
        <v>678</v>
      </c>
      <c r="AM149" s="242" t="s">
        <v>678</v>
      </c>
      <c r="AN149" s="242">
        <v>27585.19</v>
      </c>
      <c r="AO149" s="238">
        <v>5897.33</v>
      </c>
      <c r="AP149" s="243">
        <v>14</v>
      </c>
      <c r="AQ149" s="238"/>
      <c r="AR149" s="238">
        <v>1558.6709278325689</v>
      </c>
      <c r="AS149" s="238">
        <v>1580.50633507733</v>
      </c>
      <c r="AT149" s="238">
        <v>38191.666666666664</v>
      </c>
      <c r="AU149" s="238">
        <v>202.24800063686845</v>
      </c>
      <c r="AV149" s="237">
        <v>1</v>
      </c>
      <c r="AW149" s="237">
        <v>1</v>
      </c>
      <c r="AX149" s="237">
        <v>1</v>
      </c>
      <c r="AY149" s="244" t="s">
        <v>682</v>
      </c>
      <c r="AZ149" s="244" t="s">
        <v>682</v>
      </c>
      <c r="BA149" s="237">
        <v>0</v>
      </c>
      <c r="BB149" s="245" t="s">
        <v>935</v>
      </c>
      <c r="BC149" s="215" t="s">
        <v>936</v>
      </c>
      <c r="BE149" s="237">
        <v>3</v>
      </c>
      <c r="BF149" s="237">
        <v>17</v>
      </c>
      <c r="BG149" s="246" t="s">
        <v>720</v>
      </c>
      <c r="BI149" s="239">
        <v>0.78680981595092025</v>
      </c>
      <c r="BJ149" s="239">
        <v>3.0674846625766871E-2</v>
      </c>
      <c r="BK149" s="239">
        <v>0.18098159509202455</v>
      </c>
      <c r="BL149" s="239">
        <v>1.5337423312883436E-3</v>
      </c>
      <c r="BM149" s="247">
        <v>2.6027607361963194</v>
      </c>
      <c r="BN149" s="248">
        <v>0</v>
      </c>
      <c r="BO149" s="248">
        <v>0</v>
      </c>
      <c r="BP149" s="237">
        <v>0</v>
      </c>
      <c r="BQ149" s="237">
        <v>0</v>
      </c>
      <c r="BR149" s="248">
        <v>0</v>
      </c>
      <c r="BS149" s="237">
        <v>10.6</v>
      </c>
      <c r="BT149" s="237" t="s">
        <v>777</v>
      </c>
      <c r="BU149" s="249" t="s">
        <v>678</v>
      </c>
      <c r="BV149" s="249" t="s">
        <v>678</v>
      </c>
      <c r="BW149" s="249" t="s">
        <v>678</v>
      </c>
      <c r="BX149" s="249" t="s">
        <v>678</v>
      </c>
      <c r="BY149" s="249" t="s">
        <v>678</v>
      </c>
      <c r="BZ149" s="249" t="s">
        <v>678</v>
      </c>
      <c r="CA149" s="249" t="s">
        <v>678</v>
      </c>
      <c r="CB149" s="249" t="s">
        <v>678</v>
      </c>
      <c r="CC149" s="250" t="s">
        <v>678</v>
      </c>
      <c r="CD149" s="242" t="s">
        <v>678</v>
      </c>
      <c r="CE149" s="252" t="s">
        <v>678</v>
      </c>
      <c r="CF149" s="238">
        <v>505</v>
      </c>
      <c r="CG149" s="238">
        <v>74.5</v>
      </c>
      <c r="CH149" s="238">
        <v>8.3802024746906643</v>
      </c>
      <c r="CI149" s="216" t="s">
        <v>722</v>
      </c>
      <c r="CJ149" s="237">
        <v>1</v>
      </c>
      <c r="CK149" s="253">
        <v>36.79</v>
      </c>
      <c r="CL149" s="253">
        <v>65.098200000000006</v>
      </c>
      <c r="CM149" s="254">
        <v>1.8286011235955059E-2</v>
      </c>
      <c r="CN149" s="237" t="s">
        <v>84</v>
      </c>
      <c r="CO149" s="242"/>
      <c r="CP149" s="255">
        <v>0</v>
      </c>
      <c r="CW149" s="261" t="s">
        <v>678</v>
      </c>
      <c r="CX149" s="261" t="s">
        <v>678</v>
      </c>
      <c r="CY149" s="261" t="s">
        <v>678</v>
      </c>
      <c r="DB149" s="216" t="s">
        <v>681</v>
      </c>
      <c r="DC149" s="256"/>
      <c r="DD149" s="256">
        <v>0.8</v>
      </c>
      <c r="DE149" s="256">
        <v>-9</v>
      </c>
      <c r="DF149" s="256">
        <v>-0.3</v>
      </c>
      <c r="DG149" s="256">
        <v>-2.6</v>
      </c>
      <c r="DL149" s="237" t="s">
        <v>529</v>
      </c>
      <c r="DN149" s="237" t="s">
        <v>770</v>
      </c>
      <c r="DO149" s="237">
        <v>1</v>
      </c>
      <c r="DP149" s="258" t="s">
        <v>683</v>
      </c>
      <c r="DQ149" s="258" t="s">
        <v>872</v>
      </c>
      <c r="DR149" s="258" t="s">
        <v>1279</v>
      </c>
      <c r="DS149" s="258"/>
      <c r="DT149" s="258"/>
      <c r="DU149" s="237">
        <v>0</v>
      </c>
      <c r="DX149" s="247"/>
      <c r="DY149" s="247">
        <v>0</v>
      </c>
      <c r="EA149" s="237">
        <v>0</v>
      </c>
      <c r="ED149" s="237" t="s">
        <v>943</v>
      </c>
      <c r="EE149" s="208">
        <v>1</v>
      </c>
      <c r="EF149" s="237" t="s">
        <v>702</v>
      </c>
      <c r="EG149" s="216" t="s">
        <v>691</v>
      </c>
      <c r="EH149" s="246" t="s">
        <v>690</v>
      </c>
      <c r="EI149" s="216"/>
      <c r="EJ149" s="216" t="s">
        <v>529</v>
      </c>
      <c r="EK149" s="222" t="s">
        <v>682</v>
      </c>
      <c r="EL149" s="259">
        <v>1992</v>
      </c>
      <c r="EM149" s="260">
        <v>740</v>
      </c>
      <c r="EN149" s="260">
        <v>26980</v>
      </c>
      <c r="EO149" s="260">
        <v>12164</v>
      </c>
      <c r="ER149" s="237" t="s">
        <v>705</v>
      </c>
      <c r="ES149" s="237" t="e">
        <v>#DIV/0!</v>
      </c>
      <c r="ET149" s="237">
        <v>16.437837837837836</v>
      </c>
      <c r="EU149" s="661">
        <v>5</v>
      </c>
      <c r="EV149" s="661" t="s">
        <v>678</v>
      </c>
      <c r="EW149" s="661">
        <v>0</v>
      </c>
      <c r="EX149" s="661">
        <v>2</v>
      </c>
      <c r="EY149" s="660">
        <v>1.0334269662921348E-2</v>
      </c>
      <c r="EZ149" s="256">
        <v>24.164175047567273</v>
      </c>
      <c r="FA149" s="247">
        <v>0</v>
      </c>
      <c r="FB149" s="208">
        <v>2</v>
      </c>
      <c r="FC149" s="208">
        <v>2</v>
      </c>
      <c r="FD149" s="208">
        <v>1</v>
      </c>
      <c r="FE149" s="239">
        <v>0.88430698739977087</v>
      </c>
      <c r="FF149" s="208">
        <v>1</v>
      </c>
      <c r="FG149" s="241">
        <v>0</v>
      </c>
      <c r="FH149" s="209">
        <v>0</v>
      </c>
      <c r="FI149" s="237" t="s">
        <v>678</v>
      </c>
      <c r="FJ149" s="208">
        <v>64.5</v>
      </c>
      <c r="FK149" s="208">
        <v>0</v>
      </c>
      <c r="FL149" s="217">
        <v>5.7</v>
      </c>
      <c r="FM149" s="208">
        <v>3.93</v>
      </c>
      <c r="FN149" s="208" t="s">
        <v>1280</v>
      </c>
      <c r="FP149" s="247" t="s">
        <v>693</v>
      </c>
      <c r="FU149" s="208">
        <v>43</v>
      </c>
      <c r="FV149" s="208">
        <v>60.6</v>
      </c>
      <c r="FW149" s="237">
        <v>36.81</v>
      </c>
      <c r="FX149" s="237">
        <v>16.5</v>
      </c>
      <c r="FY149" s="208">
        <v>9.5500000000000007</v>
      </c>
      <c r="FZ149" s="208">
        <v>18.399999999999999</v>
      </c>
      <c r="GA149" s="208">
        <v>27.53</v>
      </c>
      <c r="GB149" s="208">
        <v>17.399999999999999</v>
      </c>
      <c r="GC149" s="208">
        <v>-0.14000000000000001</v>
      </c>
      <c r="GD149" s="208">
        <v>4.3</v>
      </c>
      <c r="GE149" s="237">
        <v>24.59</v>
      </c>
      <c r="GF149" s="237">
        <v>25.5</v>
      </c>
      <c r="GG149" s="237">
        <v>9.86</v>
      </c>
      <c r="GH149" s="237">
        <v>66.7</v>
      </c>
      <c r="GJ149" s="947"/>
      <c r="GK149" s="320"/>
      <c r="GL149" s="320"/>
      <c r="GM149" s="320"/>
      <c r="GN149" s="320"/>
      <c r="GO149" s="662">
        <v>8144</v>
      </c>
      <c r="GP149" s="663" t="str">
        <f>VLOOKUP(GS149,'BD Comarcal'!$A$6:$AV$17,48,FALSE)</f>
        <v>14</v>
      </c>
      <c r="GQ149" s="564">
        <v>12</v>
      </c>
      <c r="GR149" s="256">
        <f t="shared" si="2"/>
        <v>0</v>
      </c>
      <c r="GS149" s="237" t="s">
        <v>84</v>
      </c>
    </row>
    <row r="150" spans="1:201" s="237" customFormat="1" ht="17.25" customHeight="1">
      <c r="A150" s="236" t="s">
        <v>1281</v>
      </c>
      <c r="C150" s="238"/>
      <c r="D150" s="238">
        <v>2987</v>
      </c>
      <c r="E150" s="238">
        <v>1525</v>
      </c>
      <c r="F150" s="239">
        <v>0.51054569802477401</v>
      </c>
      <c r="G150" s="238">
        <v>794</v>
      </c>
      <c r="H150" s="240">
        <v>136.11196320554066</v>
      </c>
      <c r="I150" s="239">
        <v>8.9253746364288955E-2</v>
      </c>
      <c r="J150" s="238">
        <v>770</v>
      </c>
      <c r="K150" s="238">
        <v>151</v>
      </c>
      <c r="L150" s="238">
        <v>9</v>
      </c>
      <c r="M150" s="241">
        <v>3.0130565785068631E-3</v>
      </c>
      <c r="N150" s="238">
        <v>60</v>
      </c>
      <c r="O150" s="239">
        <v>7.792207792207792E-2</v>
      </c>
      <c r="P150" s="237">
        <v>5</v>
      </c>
      <c r="Q150" s="237">
        <v>0</v>
      </c>
      <c r="R150" s="239">
        <v>0</v>
      </c>
      <c r="S150" s="238">
        <v>122</v>
      </c>
      <c r="T150" s="436">
        <v>0</v>
      </c>
      <c r="U150" s="436">
        <v>15</v>
      </c>
      <c r="V150" s="436">
        <v>112</v>
      </c>
      <c r="W150" s="436">
        <v>127</v>
      </c>
      <c r="X150" s="238">
        <v>3529</v>
      </c>
      <c r="Y150" s="237">
        <v>0.13800000000000001</v>
      </c>
      <c r="Z150" s="238">
        <v>46139</v>
      </c>
      <c r="AA150" s="238">
        <v>13115</v>
      </c>
      <c r="AB150" s="238">
        <v>80.13</v>
      </c>
      <c r="AC150" s="238">
        <v>7</v>
      </c>
      <c r="AD150" s="238">
        <v>4792542.2699999996</v>
      </c>
      <c r="AE150" s="238">
        <v>1962148.9899999998</v>
      </c>
      <c r="AF150" s="238">
        <v>3443640.0900000003</v>
      </c>
      <c r="AG150" s="238">
        <v>202622.85</v>
      </c>
      <c r="AH150" s="239">
        <v>5.8839729096079839E-2</v>
      </c>
      <c r="AI150" s="247">
        <v>304.46859799999999</v>
      </c>
      <c r="AJ150" s="242">
        <v>53.371417999999998</v>
      </c>
      <c r="AK150" s="242">
        <v>1.7867900234348844</v>
      </c>
      <c r="AL150" s="242">
        <v>107.784201</v>
      </c>
      <c r="AM150" s="242">
        <v>3.6084432875795112</v>
      </c>
      <c r="AN150" s="242">
        <v>47264.62</v>
      </c>
      <c r="AO150" s="238">
        <v>22442.85</v>
      </c>
      <c r="AP150" s="243">
        <v>65</v>
      </c>
      <c r="AQ150" s="238">
        <v>2</v>
      </c>
      <c r="AR150" s="238">
        <v>1644.5856836780902</v>
      </c>
      <c r="AS150" s="238">
        <v>1453.5833352139605</v>
      </c>
      <c r="AT150" s="238">
        <v>345616.33333333331</v>
      </c>
      <c r="AU150" s="238">
        <v>284.04532931618235</v>
      </c>
      <c r="AV150" s="237">
        <v>1</v>
      </c>
      <c r="AW150" s="237">
        <v>0</v>
      </c>
      <c r="AX150" s="237">
        <v>1</v>
      </c>
      <c r="AY150" s="244" t="s">
        <v>717</v>
      </c>
      <c r="AZ150" s="244" t="s">
        <v>726</v>
      </c>
      <c r="BA150" s="237">
        <v>2013</v>
      </c>
      <c r="BB150" s="245" t="s">
        <v>1282</v>
      </c>
      <c r="BC150" s="215" t="s">
        <v>1283</v>
      </c>
      <c r="BE150" s="237">
        <v>10</v>
      </c>
      <c r="BF150" s="237">
        <v>15</v>
      </c>
      <c r="BG150" s="246" t="s">
        <v>676</v>
      </c>
      <c r="BI150" s="239">
        <v>0.43058616130453947</v>
      </c>
      <c r="BJ150" s="239">
        <v>8.9466725429704713E-2</v>
      </c>
      <c r="BK150" s="239">
        <v>0.46364037020713972</v>
      </c>
      <c r="BL150" s="239">
        <v>1.6306743058616131E-2</v>
      </c>
      <c r="BM150" s="247">
        <v>1.9343323049801675</v>
      </c>
      <c r="BN150" s="248">
        <v>0</v>
      </c>
      <c r="BO150" s="248">
        <v>0</v>
      </c>
      <c r="BP150" s="237">
        <v>0</v>
      </c>
      <c r="BQ150" s="237">
        <v>0</v>
      </c>
      <c r="BR150" s="248">
        <v>0</v>
      </c>
      <c r="BS150" s="237">
        <v>12</v>
      </c>
      <c r="BT150" s="237" t="s">
        <v>790</v>
      </c>
      <c r="BU150" s="249" t="s">
        <v>678</v>
      </c>
      <c r="BV150" s="249">
        <v>453</v>
      </c>
      <c r="BW150" s="249">
        <v>1774</v>
      </c>
      <c r="BX150" s="249" t="s">
        <v>678</v>
      </c>
      <c r="BY150" s="249" t="s">
        <v>678</v>
      </c>
      <c r="BZ150" s="249">
        <v>12.493105350248207</v>
      </c>
      <c r="CA150" s="249">
        <v>48.924434638720356</v>
      </c>
      <c r="CB150" s="249" t="s">
        <v>678</v>
      </c>
      <c r="CC150" s="250" t="s">
        <v>678</v>
      </c>
      <c r="CD150" s="242" t="s">
        <v>678</v>
      </c>
      <c r="CE150" s="252" t="s">
        <v>678</v>
      </c>
      <c r="CF150" s="238">
        <v>1701</v>
      </c>
      <c r="CG150" s="238">
        <v>249</v>
      </c>
      <c r="CH150" s="238">
        <v>6.8670711527854387</v>
      </c>
      <c r="CI150" s="216" t="s">
        <v>700</v>
      </c>
      <c r="CJ150" s="237">
        <v>0</v>
      </c>
      <c r="CK150" s="253">
        <v>276.32</v>
      </c>
      <c r="CL150" s="253">
        <v>37.730800000000002</v>
      </c>
      <c r="CM150" s="254">
        <v>1.2631670572480751E-2</v>
      </c>
      <c r="CN150" s="237" t="s">
        <v>791</v>
      </c>
      <c r="CO150" s="242">
        <v>346.13</v>
      </c>
      <c r="CP150" s="255">
        <v>0.11587880816873117</v>
      </c>
      <c r="CV150" s="237">
        <v>1</v>
      </c>
      <c r="CW150" s="261" t="s">
        <v>678</v>
      </c>
      <c r="CX150" s="261" t="s">
        <v>678</v>
      </c>
      <c r="CY150" s="261" t="s">
        <v>678</v>
      </c>
      <c r="CZ150" s="237" t="s">
        <v>529</v>
      </c>
      <c r="DA150" s="237" t="s">
        <v>910</v>
      </c>
      <c r="DB150" s="216" t="s">
        <v>746</v>
      </c>
      <c r="DC150" s="195" t="s">
        <v>1284</v>
      </c>
      <c r="DD150" s="256">
        <v>0.7</v>
      </c>
      <c r="DE150" s="256">
        <v>-6.5</v>
      </c>
      <c r="DF150" s="256">
        <v>0.7</v>
      </c>
      <c r="DG150" s="256">
        <v>-2.2000000000000002</v>
      </c>
      <c r="DH150" s="257">
        <v>5</v>
      </c>
      <c r="DI150" s="257">
        <v>77.849999999999994</v>
      </c>
      <c r="DJ150" s="257">
        <v>147.56</v>
      </c>
      <c r="DK150" s="257">
        <v>225.41</v>
      </c>
      <c r="DL150" s="237" t="s">
        <v>682</v>
      </c>
      <c r="DP150" s="258" t="s">
        <v>682</v>
      </c>
      <c r="DQ150" s="258"/>
      <c r="DR150" s="258"/>
      <c r="DS150" s="258"/>
      <c r="DT150" s="258"/>
      <c r="DU150" s="237">
        <v>0</v>
      </c>
      <c r="DX150" s="247"/>
      <c r="DY150" s="247">
        <v>0</v>
      </c>
      <c r="EA150" s="237">
        <v>0</v>
      </c>
      <c r="ED150" s="237" t="s">
        <v>678</v>
      </c>
      <c r="EE150" s="208">
        <v>3</v>
      </c>
      <c r="EF150" s="237" t="s">
        <v>678</v>
      </c>
      <c r="EG150" s="216" t="s">
        <v>733</v>
      </c>
      <c r="EH150" s="246" t="s">
        <v>734</v>
      </c>
      <c r="EI150" s="216" t="s">
        <v>691</v>
      </c>
      <c r="EJ150" s="216" t="s">
        <v>529</v>
      </c>
      <c r="EK150" s="222" t="s">
        <v>682</v>
      </c>
      <c r="EL150" s="259">
        <v>2008</v>
      </c>
      <c r="EM150" s="260">
        <v>16648</v>
      </c>
      <c r="EN150" s="260">
        <v>157937</v>
      </c>
      <c r="EO150" s="260">
        <v>176653</v>
      </c>
      <c r="ER150" s="237" t="s">
        <v>705</v>
      </c>
      <c r="ES150" s="237" t="e">
        <v>#DIV/0!</v>
      </c>
      <c r="ET150" s="237">
        <v>10.611064392119173</v>
      </c>
      <c r="EU150" s="661">
        <v>3</v>
      </c>
      <c r="EV150" s="661">
        <v>1</v>
      </c>
      <c r="EW150" s="661">
        <v>1</v>
      </c>
      <c r="EX150" s="661">
        <v>6</v>
      </c>
      <c r="EY150" s="660">
        <v>9.2507532641446261E-2</v>
      </c>
      <c r="EZ150" s="256">
        <v>13.122466705269254</v>
      </c>
      <c r="FA150" s="247">
        <v>6.5573770491803282E-2</v>
      </c>
      <c r="FB150" s="208">
        <v>4</v>
      </c>
      <c r="FC150" s="208">
        <v>4</v>
      </c>
      <c r="FD150" s="208">
        <v>5</v>
      </c>
      <c r="FE150" s="239">
        <v>0.52065573770491802</v>
      </c>
      <c r="FF150" s="208"/>
      <c r="FG150" s="241">
        <v>0.14780983606557377</v>
      </c>
      <c r="FH150" s="209">
        <v>0</v>
      </c>
      <c r="FI150" s="237" t="s">
        <v>678</v>
      </c>
      <c r="FJ150" s="208">
        <v>38.9</v>
      </c>
      <c r="FK150" s="208">
        <v>2.94</v>
      </c>
      <c r="FL150" s="217">
        <v>34.5</v>
      </c>
      <c r="FM150" s="208">
        <v>0.56000000000000005</v>
      </c>
      <c r="FN150" s="208" t="s">
        <v>1285</v>
      </c>
      <c r="FP150" s="247" t="s">
        <v>693</v>
      </c>
      <c r="FU150" s="208">
        <v>36</v>
      </c>
      <c r="FV150" s="208">
        <v>42.7</v>
      </c>
      <c r="FW150" s="237">
        <v>10</v>
      </c>
      <c r="FX150" s="237">
        <v>5.9</v>
      </c>
      <c r="FY150" s="208">
        <v>5.36</v>
      </c>
      <c r="FZ150" s="208">
        <v>9.4</v>
      </c>
      <c r="GA150" s="208">
        <v>18.54</v>
      </c>
      <c r="GB150" s="208">
        <v>6.4</v>
      </c>
      <c r="GC150" s="208">
        <v>-0.53</v>
      </c>
      <c r="GD150" s="208">
        <v>1.1000000000000001</v>
      </c>
      <c r="GE150" s="237">
        <v>13.62</v>
      </c>
      <c r="GF150" s="237">
        <v>7.2</v>
      </c>
      <c r="GG150" s="237">
        <v>2.76</v>
      </c>
      <c r="GH150" s="237">
        <v>26.7</v>
      </c>
      <c r="GJ150" s="947"/>
      <c r="GK150" s="320"/>
      <c r="GL150" s="320"/>
      <c r="GM150" s="320"/>
      <c r="GN150" s="320"/>
      <c r="GO150" s="662">
        <v>8145</v>
      </c>
      <c r="GP150" s="663" t="str">
        <f>VLOOKUP(GS150,'BD Comarcal'!$A$6:$AV$17,48,FALSE)</f>
        <v>03</v>
      </c>
      <c r="GQ150" s="564">
        <v>20</v>
      </c>
      <c r="GR150" s="256">
        <f t="shared" si="2"/>
        <v>1</v>
      </c>
      <c r="GS150" s="237" t="s">
        <v>791</v>
      </c>
    </row>
    <row r="151" spans="1:201" s="237" customFormat="1" ht="17.25" customHeight="1">
      <c r="A151" s="236" t="s">
        <v>1286</v>
      </c>
      <c r="C151" s="238"/>
      <c r="D151" s="238">
        <v>3057</v>
      </c>
      <c r="E151" s="238">
        <v>2694</v>
      </c>
      <c r="F151" s="239">
        <v>0.88125613346418052</v>
      </c>
      <c r="G151" s="238">
        <v>1569</v>
      </c>
      <c r="H151" s="240">
        <v>5.2014161433562442</v>
      </c>
      <c r="I151" s="239">
        <v>1.9307409589295636E-3</v>
      </c>
      <c r="J151" s="238">
        <v>88</v>
      </c>
      <c r="K151" s="238">
        <v>0</v>
      </c>
      <c r="L151" s="238">
        <v>0</v>
      </c>
      <c r="M151" s="241">
        <v>0</v>
      </c>
      <c r="N151" s="238">
        <v>9</v>
      </c>
      <c r="O151" s="239">
        <v>0.10227272727272728</v>
      </c>
      <c r="P151" s="237">
        <v>0</v>
      </c>
      <c r="Q151" s="237">
        <v>0</v>
      </c>
      <c r="R151" s="239">
        <v>0</v>
      </c>
      <c r="S151" s="238">
        <v>0</v>
      </c>
      <c r="T151" s="436">
        <v>0</v>
      </c>
      <c r="U151" s="436">
        <v>22</v>
      </c>
      <c r="V151" s="436">
        <v>0</v>
      </c>
      <c r="W151" s="436">
        <v>22</v>
      </c>
      <c r="X151" s="238">
        <v>1723</v>
      </c>
      <c r="Y151" s="237">
        <v>0.1527</v>
      </c>
      <c r="Z151" s="238">
        <v>22492</v>
      </c>
      <c r="AA151" s="238">
        <v>13115</v>
      </c>
      <c r="AB151" s="238">
        <v>80.13</v>
      </c>
      <c r="AC151" s="238">
        <v>0</v>
      </c>
      <c r="AD151" s="238">
        <v>2195567.0499999998</v>
      </c>
      <c r="AE151" s="238">
        <v>-656584.19999999972</v>
      </c>
      <c r="AF151" s="238">
        <v>2701126.87</v>
      </c>
      <c r="AG151" s="238">
        <v>871759.66</v>
      </c>
      <c r="AH151" s="239">
        <v>0.32273924993386188</v>
      </c>
      <c r="AI151" s="247">
        <v>46.114272999999997</v>
      </c>
      <c r="AJ151" s="242">
        <v>75.815036000000006</v>
      </c>
      <c r="AK151" s="242">
        <v>2.4800469741576712</v>
      </c>
      <c r="AL151" s="242">
        <v>253.77803</v>
      </c>
      <c r="AM151" s="242">
        <v>8.301538436375532</v>
      </c>
      <c r="AN151" s="242">
        <v>15738.21</v>
      </c>
      <c r="AO151" s="238">
        <v>35337.5</v>
      </c>
      <c r="AP151" s="243">
        <v>67</v>
      </c>
      <c r="AQ151" s="238">
        <v>1</v>
      </c>
      <c r="AR151" s="238">
        <v>1557.4522670293106</v>
      </c>
      <c r="AS151" s="238">
        <v>1690.0808383807662</v>
      </c>
      <c r="AT151" s="238">
        <v>123082.66666666667</v>
      </c>
      <c r="AU151" s="238">
        <v>351.07684902890816</v>
      </c>
      <c r="AV151" s="237">
        <v>1</v>
      </c>
      <c r="AW151" s="237">
        <v>0</v>
      </c>
      <c r="AX151" s="237">
        <v>1</v>
      </c>
      <c r="AY151" s="244" t="s">
        <v>673</v>
      </c>
      <c r="AZ151" s="244" t="s">
        <v>682</v>
      </c>
      <c r="BA151" s="237">
        <v>0</v>
      </c>
      <c r="BB151" s="245" t="s">
        <v>1287</v>
      </c>
      <c r="BC151" s="215" t="s">
        <v>1288</v>
      </c>
      <c r="BE151" s="237">
        <v>10</v>
      </c>
      <c r="BF151" s="237">
        <v>15</v>
      </c>
      <c r="BG151" s="246" t="s">
        <v>698</v>
      </c>
      <c r="BI151" s="239">
        <v>0.36407766990291263</v>
      </c>
      <c r="BJ151" s="239">
        <v>0.220873786407767</v>
      </c>
      <c r="BK151" s="239">
        <v>0.40210355987055019</v>
      </c>
      <c r="BL151" s="239">
        <v>1.2944983818770227E-2</v>
      </c>
      <c r="BM151" s="247">
        <v>1.9360841423948221</v>
      </c>
      <c r="BN151" s="248">
        <v>1</v>
      </c>
      <c r="BO151" s="248">
        <v>0</v>
      </c>
      <c r="BP151" s="237">
        <v>0</v>
      </c>
      <c r="BQ151" s="237">
        <v>0</v>
      </c>
      <c r="BR151" s="248">
        <v>1</v>
      </c>
      <c r="BS151" s="237">
        <v>16</v>
      </c>
      <c r="BT151" s="237" t="s">
        <v>790</v>
      </c>
      <c r="BU151" s="249" t="s">
        <v>678</v>
      </c>
      <c r="BV151" s="249">
        <v>194</v>
      </c>
      <c r="BW151" s="249">
        <v>919</v>
      </c>
      <c r="BX151" s="249" t="s">
        <v>678</v>
      </c>
      <c r="BY151" s="249" t="s">
        <v>678</v>
      </c>
      <c r="BZ151" s="249">
        <v>11.279069767441861</v>
      </c>
      <c r="CA151" s="249">
        <v>53.430232558139537</v>
      </c>
      <c r="CB151" s="249" t="s">
        <v>678</v>
      </c>
      <c r="CC151" s="250" t="s">
        <v>678</v>
      </c>
      <c r="CD151" s="242" t="s">
        <v>678</v>
      </c>
      <c r="CE151" s="252" t="s">
        <v>678</v>
      </c>
      <c r="CF151" s="238">
        <v>917</v>
      </c>
      <c r="CG151" s="238">
        <v>125</v>
      </c>
      <c r="CH151" s="238">
        <v>7.2674418604651159</v>
      </c>
      <c r="CI151" s="216" t="s">
        <v>679</v>
      </c>
      <c r="CJ151" s="237">
        <v>0</v>
      </c>
      <c r="CK151" s="253">
        <v>310.35000000000002</v>
      </c>
      <c r="CL151" s="253">
        <v>25.680800000000001</v>
      </c>
      <c r="CM151" s="254">
        <v>8.4006542361792606E-3</v>
      </c>
      <c r="CN151" s="237" t="s">
        <v>791</v>
      </c>
      <c r="CO151" s="242">
        <v>2363.9499999999998</v>
      </c>
      <c r="CP151" s="255">
        <v>0.77329080798168137</v>
      </c>
      <c r="CV151" s="237">
        <v>1</v>
      </c>
      <c r="CW151" s="261" t="s">
        <v>678</v>
      </c>
      <c r="CX151" s="261" t="s">
        <v>678</v>
      </c>
      <c r="CY151" s="261" t="s">
        <v>678</v>
      </c>
      <c r="CZ151" s="237" t="s">
        <v>529</v>
      </c>
      <c r="DA151" s="237" t="s">
        <v>1289</v>
      </c>
      <c r="DB151" s="216"/>
      <c r="DC151" s="195" t="s">
        <v>1211</v>
      </c>
      <c r="DD151" s="256">
        <v>0.8</v>
      </c>
      <c r="DE151" s="256">
        <v>-10</v>
      </c>
      <c r="DF151" s="256">
        <v>0.5</v>
      </c>
      <c r="DG151" s="256">
        <v>-2.2999999999999998</v>
      </c>
      <c r="DH151" s="257">
        <v>2</v>
      </c>
      <c r="DI151" s="257">
        <v>9.5</v>
      </c>
      <c r="DJ151" s="257">
        <v>1.5</v>
      </c>
      <c r="DK151" s="257">
        <v>11</v>
      </c>
      <c r="DL151" s="237" t="s">
        <v>682</v>
      </c>
      <c r="DP151" s="258" t="s">
        <v>682</v>
      </c>
      <c r="DQ151" s="258"/>
      <c r="DR151" s="258"/>
      <c r="DS151" s="258"/>
      <c r="DT151" s="258"/>
      <c r="DU151" s="237">
        <v>0</v>
      </c>
      <c r="DX151" s="247"/>
      <c r="DY151" s="247">
        <v>0</v>
      </c>
      <c r="EA151" s="237">
        <v>0</v>
      </c>
      <c r="ED151" s="237" t="s">
        <v>687</v>
      </c>
      <c r="EE151" s="208">
        <v>3</v>
      </c>
      <c r="EF151" s="237" t="s">
        <v>688</v>
      </c>
      <c r="EG151" s="216" t="s">
        <v>715</v>
      </c>
      <c r="EH151" s="246" t="s">
        <v>690</v>
      </c>
      <c r="EI151" s="216" t="s">
        <v>689</v>
      </c>
      <c r="EJ151" s="216" t="s">
        <v>529</v>
      </c>
      <c r="EK151" s="222" t="s">
        <v>682</v>
      </c>
      <c r="EL151" s="259">
        <v>1990</v>
      </c>
      <c r="EM151" s="260">
        <v>3870</v>
      </c>
      <c r="EN151" s="260">
        <v>92203</v>
      </c>
      <c r="EO151" s="260">
        <v>32647</v>
      </c>
      <c r="ER151" s="237" t="s">
        <v>705</v>
      </c>
      <c r="ES151" s="237">
        <v>1720</v>
      </c>
      <c r="ET151" s="237">
        <v>8.4359173126614984</v>
      </c>
      <c r="EU151" s="661">
        <v>3</v>
      </c>
      <c r="EV151" s="661" t="s">
        <v>678</v>
      </c>
      <c r="EW151" s="661">
        <v>1</v>
      </c>
      <c r="EX151" s="661">
        <v>7</v>
      </c>
      <c r="EY151" s="660">
        <v>0.10152109911678117</v>
      </c>
      <c r="EZ151" s="256">
        <v>5.5421298533913319</v>
      </c>
      <c r="FA151" s="247">
        <v>3.711952487008166E-2</v>
      </c>
      <c r="FB151" s="208">
        <v>3</v>
      </c>
      <c r="FC151" s="208">
        <v>5</v>
      </c>
      <c r="FD151" s="208">
        <v>5</v>
      </c>
      <c r="FE151" s="239">
        <v>0.58240534521158127</v>
      </c>
      <c r="FF151" s="208"/>
      <c r="FG151" s="241">
        <v>4.083147735708983E-3</v>
      </c>
      <c r="FH151" s="209">
        <v>0</v>
      </c>
      <c r="FI151" s="237" t="s">
        <v>678</v>
      </c>
      <c r="FJ151" s="208">
        <v>43.3</v>
      </c>
      <c r="FK151" s="208">
        <v>52.6</v>
      </c>
      <c r="FL151" s="217">
        <v>91.5</v>
      </c>
      <c r="FM151" s="208">
        <v>6.18</v>
      </c>
      <c r="FN151" s="208" t="s">
        <v>1290</v>
      </c>
      <c r="FP151" s="247" t="s">
        <v>693</v>
      </c>
      <c r="FU151" s="208">
        <v>39</v>
      </c>
      <c r="FV151" s="208">
        <v>50.5</v>
      </c>
      <c r="FW151" s="237">
        <v>63.33</v>
      </c>
      <c r="FX151" s="237">
        <v>45</v>
      </c>
      <c r="FY151" s="208">
        <v>51.12</v>
      </c>
      <c r="FZ151" s="208">
        <v>62.8</v>
      </c>
      <c r="GA151" s="208">
        <v>55.87</v>
      </c>
      <c r="GB151" s="208">
        <v>60.4</v>
      </c>
      <c r="GC151" s="208">
        <v>0.12</v>
      </c>
      <c r="GD151" s="208">
        <v>30.8</v>
      </c>
      <c r="GE151" s="237">
        <v>44.07</v>
      </c>
      <c r="GF151" s="237">
        <v>57.6</v>
      </c>
      <c r="GG151" s="237">
        <v>0.24</v>
      </c>
      <c r="GH151" s="237">
        <v>8.9</v>
      </c>
      <c r="GJ151" s="947"/>
      <c r="GK151" s="320"/>
      <c r="GL151" s="320"/>
      <c r="GM151" s="320"/>
      <c r="GN151" s="320"/>
      <c r="GO151" s="662">
        <v>8146</v>
      </c>
      <c r="GP151" s="663" t="str">
        <f>VLOOKUP(GS151,'BD Comarcal'!$A$6:$AV$17,48,FALSE)</f>
        <v>03</v>
      </c>
      <c r="GQ151" s="564">
        <v>12</v>
      </c>
      <c r="GR151" s="256">
        <f t="shared" si="2"/>
        <v>1</v>
      </c>
      <c r="GS151" s="237" t="s">
        <v>791</v>
      </c>
    </row>
    <row r="152" spans="1:201" s="237" customFormat="1" ht="17.25" customHeight="1">
      <c r="A152" s="236" t="s">
        <v>1291</v>
      </c>
      <c r="C152" s="238"/>
      <c r="D152" s="238">
        <v>1675</v>
      </c>
      <c r="E152" s="238">
        <v>918</v>
      </c>
      <c r="F152" s="239">
        <v>0.54805970149253735</v>
      </c>
      <c r="G152" s="238">
        <v>353</v>
      </c>
      <c r="H152" s="240">
        <v>127.27486218974944</v>
      </c>
      <c r="I152" s="239">
        <v>0.13864364072957455</v>
      </c>
      <c r="J152" s="238">
        <v>134</v>
      </c>
      <c r="K152" s="238">
        <v>0</v>
      </c>
      <c r="L152" s="238">
        <v>37</v>
      </c>
      <c r="M152" s="241">
        <v>2.208955223880597E-2</v>
      </c>
      <c r="N152" s="238">
        <v>0</v>
      </c>
      <c r="O152" s="239">
        <v>0</v>
      </c>
      <c r="P152" s="237">
        <v>3</v>
      </c>
      <c r="Q152" s="237">
        <v>0</v>
      </c>
      <c r="R152" s="239">
        <v>0</v>
      </c>
      <c r="S152" s="238">
        <v>3</v>
      </c>
      <c r="T152" s="436">
        <v>0</v>
      </c>
      <c r="U152" s="436">
        <v>0</v>
      </c>
      <c r="V152" s="436">
        <v>0</v>
      </c>
      <c r="W152" s="436">
        <v>0</v>
      </c>
      <c r="X152" s="238">
        <v>23645</v>
      </c>
      <c r="Y152" s="237">
        <v>0.1474</v>
      </c>
      <c r="Z152" s="238">
        <v>349435</v>
      </c>
      <c r="AA152" s="238">
        <v>14847</v>
      </c>
      <c r="AB152" s="238">
        <v>90.72</v>
      </c>
      <c r="AC152" s="238">
        <v>6496</v>
      </c>
      <c r="AD152" s="238">
        <v>18984968.059999999</v>
      </c>
      <c r="AE152" s="238">
        <v>2386972.1800000034</v>
      </c>
      <c r="AF152" s="238">
        <v>17444385.989999998</v>
      </c>
      <c r="AG152" s="238">
        <v>1538684.6</v>
      </c>
      <c r="AH152" s="239">
        <v>8.8205145247419528E-2</v>
      </c>
      <c r="AI152" s="247">
        <v>190.95316500000001</v>
      </c>
      <c r="AJ152" s="242">
        <v>24.359556000000001</v>
      </c>
      <c r="AK152" s="242">
        <v>1.4543018507462688</v>
      </c>
      <c r="AL152" s="242">
        <v>98.308833000000007</v>
      </c>
      <c r="AM152" s="242">
        <v>5.8691840597014933</v>
      </c>
      <c r="AN152" s="242">
        <v>32669.85</v>
      </c>
      <c r="AO152" s="238">
        <v>0</v>
      </c>
      <c r="AP152" s="243">
        <v>0</v>
      </c>
      <c r="AQ152" s="238">
        <v>1</v>
      </c>
      <c r="AR152" s="238">
        <v>1193.6683419401736</v>
      </c>
      <c r="AS152" s="238">
        <v>1848.3359048486898</v>
      </c>
      <c r="AT152" s="238">
        <v>2261826.3333333335</v>
      </c>
      <c r="AU152" s="238">
        <v>251.13828216278378</v>
      </c>
      <c r="AV152" s="237">
        <v>1</v>
      </c>
      <c r="AW152" s="237">
        <v>1</v>
      </c>
      <c r="AX152" s="237">
        <v>1</v>
      </c>
      <c r="AY152" s="244" t="s">
        <v>717</v>
      </c>
      <c r="AZ152" s="244" t="s">
        <v>682</v>
      </c>
      <c r="BA152" s="237">
        <v>2014</v>
      </c>
      <c r="BB152" s="245" t="s">
        <v>1054</v>
      </c>
      <c r="BC152" s="215" t="s">
        <v>1055</v>
      </c>
      <c r="BE152" s="237">
        <v>3</v>
      </c>
      <c r="BF152" s="237">
        <v>39</v>
      </c>
      <c r="BG152" s="246" t="s">
        <v>676</v>
      </c>
      <c r="BI152" s="239">
        <v>0.36065682314771902</v>
      </c>
      <c r="BJ152" s="239">
        <v>9.6272263788651266E-2</v>
      </c>
      <c r="BK152" s="239">
        <v>0.53810501224922203</v>
      </c>
      <c r="BL152" s="239">
        <v>4.9659008144077336E-3</v>
      </c>
      <c r="BM152" s="247">
        <v>1.8126200092696818</v>
      </c>
      <c r="BN152" s="248">
        <v>0</v>
      </c>
      <c r="BO152" s="248">
        <v>1</v>
      </c>
      <c r="BP152" s="237">
        <v>0</v>
      </c>
      <c r="BQ152" s="237">
        <v>0</v>
      </c>
      <c r="BR152" s="248">
        <v>1</v>
      </c>
      <c r="BS152" s="237">
        <v>10</v>
      </c>
      <c r="BT152" s="237" t="s">
        <v>677</v>
      </c>
      <c r="BU152" s="249">
        <v>2091</v>
      </c>
      <c r="BV152" s="249">
        <v>2599</v>
      </c>
      <c r="BW152" s="249">
        <v>11319</v>
      </c>
      <c r="BX152" s="249">
        <v>2968</v>
      </c>
      <c r="BY152" s="249">
        <v>8.8071771544099064</v>
      </c>
      <c r="BZ152" s="249">
        <v>10.9468452531379</v>
      </c>
      <c r="CA152" s="249">
        <v>47.675006317917614</v>
      </c>
      <c r="CB152" s="249">
        <v>12.501052986269059</v>
      </c>
      <c r="CC152" s="250">
        <v>95.990228287423122</v>
      </c>
      <c r="CD152" s="242">
        <v>-1915</v>
      </c>
      <c r="CE152" s="252">
        <v>91.934125179007665</v>
      </c>
      <c r="CF152" s="238">
        <v>10312</v>
      </c>
      <c r="CG152" s="238">
        <v>2154.4</v>
      </c>
      <c r="CH152" s="238">
        <v>9.0742144722432823</v>
      </c>
      <c r="CI152" s="216" t="s">
        <v>679</v>
      </c>
      <c r="CJ152" s="237">
        <v>0</v>
      </c>
      <c r="CK152" s="253">
        <v>275.3</v>
      </c>
      <c r="CL152" s="253">
        <v>148.54839999999999</v>
      </c>
      <c r="CM152" s="254">
        <v>8.8685611940298503E-2</v>
      </c>
      <c r="CN152" s="237" t="s">
        <v>90</v>
      </c>
      <c r="CO152" s="242">
        <v>572.73</v>
      </c>
      <c r="CP152" s="255">
        <v>0.34192835820895523</v>
      </c>
      <c r="CV152" s="237">
        <v>18</v>
      </c>
      <c r="CW152" s="194">
        <v>0.71799999999999997</v>
      </c>
      <c r="CX152" s="194" t="s">
        <v>680</v>
      </c>
      <c r="CY152" s="194">
        <v>1.353</v>
      </c>
      <c r="DB152" s="216"/>
      <c r="DC152" s="195" t="s">
        <v>1292</v>
      </c>
      <c r="DD152" s="256">
        <v>0.7</v>
      </c>
      <c r="DE152" s="256">
        <v>-6.5</v>
      </c>
      <c r="DF152" s="256">
        <v>0.7</v>
      </c>
      <c r="DG152" s="256">
        <v>-2.2000000000000002</v>
      </c>
      <c r="DH152" s="257">
        <v>2</v>
      </c>
      <c r="DI152" s="257">
        <v>0.22</v>
      </c>
      <c r="DJ152" s="257">
        <v>3.1</v>
      </c>
      <c r="DK152" s="257">
        <v>3.32</v>
      </c>
      <c r="DL152" s="237" t="s">
        <v>682</v>
      </c>
      <c r="DO152" s="237">
        <v>1</v>
      </c>
      <c r="DP152" s="258" t="s">
        <v>683</v>
      </c>
      <c r="DQ152" s="258" t="s">
        <v>948</v>
      </c>
      <c r="DR152" s="258" t="s">
        <v>1293</v>
      </c>
      <c r="DS152" s="258"/>
      <c r="DT152" s="258"/>
      <c r="DU152" s="237">
        <v>0</v>
      </c>
      <c r="DX152" s="247"/>
      <c r="DY152" s="247">
        <v>0</v>
      </c>
      <c r="EA152" s="237">
        <v>1</v>
      </c>
      <c r="EB152" s="237" t="s">
        <v>686</v>
      </c>
      <c r="ED152" s="237" t="s">
        <v>678</v>
      </c>
      <c r="EE152" s="208">
        <v>4</v>
      </c>
      <c r="EF152" s="237" t="s">
        <v>678</v>
      </c>
      <c r="EG152" s="216" t="s">
        <v>689</v>
      </c>
      <c r="EH152" s="246" t="s">
        <v>690</v>
      </c>
      <c r="EI152" s="216" t="s">
        <v>691</v>
      </c>
      <c r="EJ152" s="216" t="s">
        <v>529</v>
      </c>
      <c r="EK152" s="222" t="s">
        <v>682</v>
      </c>
      <c r="EL152" s="259">
        <v>1993</v>
      </c>
      <c r="EM152" s="260">
        <v>9065</v>
      </c>
      <c r="EN152" s="260">
        <v>983083</v>
      </c>
      <c r="EO152" s="260">
        <v>1308649</v>
      </c>
      <c r="ER152" s="237" t="s">
        <v>692</v>
      </c>
      <c r="ES152" s="237">
        <v>23742</v>
      </c>
      <c r="ET152" s="237">
        <v>144.36282404853833</v>
      </c>
      <c r="EU152" s="661">
        <v>3</v>
      </c>
      <c r="EV152" s="661">
        <v>8</v>
      </c>
      <c r="EW152" s="661">
        <v>6</v>
      </c>
      <c r="EX152" s="661">
        <v>9</v>
      </c>
      <c r="EY152" s="660">
        <v>0.16435820895522388</v>
      </c>
      <c r="EZ152" s="256">
        <v>86.240464947330182</v>
      </c>
      <c r="FA152" s="247">
        <v>1.9607843137254901</v>
      </c>
      <c r="FB152" s="208">
        <v>6</v>
      </c>
      <c r="FC152" s="208">
        <v>6</v>
      </c>
      <c r="FD152" s="208">
        <v>3</v>
      </c>
      <c r="FE152" s="239">
        <v>0.38453159041394336</v>
      </c>
      <c r="FF152" s="208"/>
      <c r="FG152" s="241">
        <v>3.6165577342047927E-3</v>
      </c>
      <c r="FH152" s="209">
        <v>0</v>
      </c>
      <c r="FI152" s="237" t="s">
        <v>678</v>
      </c>
      <c r="FJ152" s="208">
        <v>46.5</v>
      </c>
      <c r="FK152" s="208">
        <v>14.9</v>
      </c>
      <c r="FL152" s="217">
        <v>54.7</v>
      </c>
      <c r="FM152" s="208">
        <v>0.78</v>
      </c>
      <c r="FN152" s="208">
        <v>8</v>
      </c>
      <c r="FP152" s="247" t="s">
        <v>693</v>
      </c>
      <c r="FU152" s="208">
        <v>32</v>
      </c>
      <c r="FV152" s="208">
        <v>31.6</v>
      </c>
      <c r="FW152" s="237">
        <v>19.53</v>
      </c>
      <c r="FX152" s="237">
        <v>7.8</v>
      </c>
      <c r="FY152" s="208">
        <v>6.44</v>
      </c>
      <c r="FZ152" s="208">
        <v>11.8</v>
      </c>
      <c r="GA152" s="208">
        <v>20.46</v>
      </c>
      <c r="GB152" s="208">
        <v>8.9</v>
      </c>
      <c r="GC152" s="208">
        <v>0.88</v>
      </c>
      <c r="GD152" s="208">
        <v>82.6</v>
      </c>
      <c r="GE152" s="237">
        <v>13.72</v>
      </c>
      <c r="GF152" s="237">
        <v>7.3</v>
      </c>
      <c r="GG152" s="237">
        <v>12.4</v>
      </c>
      <c r="GH152" s="237">
        <v>76.7</v>
      </c>
      <c r="GJ152" s="947">
        <v>377</v>
      </c>
      <c r="GK152" s="320">
        <v>0</v>
      </c>
      <c r="GL152" s="320">
        <v>0.307</v>
      </c>
      <c r="GM152" s="320">
        <v>6.6000000000000003E-2</v>
      </c>
      <c r="GN152" s="320">
        <v>0.627</v>
      </c>
      <c r="GO152" s="662">
        <v>8147</v>
      </c>
      <c r="GP152" s="663" t="str">
        <f>VLOOKUP(GS152,'BD Comarcal'!$A$6:$AV$17,48,FALSE)</f>
        <v>11</v>
      </c>
      <c r="GQ152" s="564">
        <v>202</v>
      </c>
      <c r="GR152" s="256">
        <f t="shared" si="2"/>
        <v>1</v>
      </c>
      <c r="GS152" s="237" t="s">
        <v>90</v>
      </c>
    </row>
    <row r="153" spans="1:201" s="237" customFormat="1" ht="17.25" customHeight="1">
      <c r="A153" s="236" t="s">
        <v>1294</v>
      </c>
      <c r="C153" s="238"/>
      <c r="D153" s="238">
        <v>3876</v>
      </c>
      <c r="E153" s="238">
        <v>3480</v>
      </c>
      <c r="F153" s="239">
        <v>0.89783281733746134</v>
      </c>
      <c r="G153" s="238">
        <v>879</v>
      </c>
      <c r="H153" s="240">
        <v>263.0862562533955</v>
      </c>
      <c r="I153" s="239">
        <v>7.5599498923389519E-2</v>
      </c>
      <c r="J153" s="238">
        <v>125</v>
      </c>
      <c r="K153" s="238">
        <v>205</v>
      </c>
      <c r="L153" s="238">
        <v>0</v>
      </c>
      <c r="M153" s="241">
        <v>0</v>
      </c>
      <c r="N153" s="238">
        <v>0</v>
      </c>
      <c r="O153" s="239">
        <v>0</v>
      </c>
      <c r="P153" s="237">
        <v>1</v>
      </c>
      <c r="Q153" s="237">
        <v>1</v>
      </c>
      <c r="R153" s="239">
        <v>1</v>
      </c>
      <c r="S153" s="238">
        <v>3</v>
      </c>
      <c r="T153" s="436">
        <v>0</v>
      </c>
      <c r="U153" s="436">
        <v>0</v>
      </c>
      <c r="V153" s="436">
        <v>0</v>
      </c>
      <c r="W153" s="436">
        <v>0</v>
      </c>
      <c r="X153" s="238">
        <v>3569</v>
      </c>
      <c r="Y153" s="237">
        <v>0.10249999999999999</v>
      </c>
      <c r="Z153" s="238">
        <v>44761</v>
      </c>
      <c r="AA153" s="238">
        <v>12542</v>
      </c>
      <c r="AB153" s="238">
        <v>76.63</v>
      </c>
      <c r="AC153" s="238">
        <v>875</v>
      </c>
      <c r="AD153" s="238">
        <v>4270122.2300000004</v>
      </c>
      <c r="AE153" s="238">
        <v>733563.48999999929</v>
      </c>
      <c r="AF153" s="238">
        <v>3562243.6500000004</v>
      </c>
      <c r="AG153" s="238">
        <v>242051.27</v>
      </c>
      <c r="AH153" s="239">
        <v>6.7949105614940164E-2</v>
      </c>
      <c r="AI153" s="247">
        <v>393.046313</v>
      </c>
      <c r="AJ153" s="242">
        <v>80.344541000000007</v>
      </c>
      <c r="AK153" s="242">
        <v>2.0728725748194017</v>
      </c>
      <c r="AL153" s="242">
        <v>492.979714</v>
      </c>
      <c r="AM153" s="242">
        <v>12.718774871001033</v>
      </c>
      <c r="AN153" s="242">
        <v>22369.37</v>
      </c>
      <c r="AO153" s="238">
        <v>9211.69</v>
      </c>
      <c r="AP153" s="243">
        <v>19</v>
      </c>
      <c r="AQ153" s="238">
        <v>1</v>
      </c>
      <c r="AR153" s="238">
        <v>1823.3589228520595</v>
      </c>
      <c r="AS153" s="238">
        <v>1141.1444459549696</v>
      </c>
      <c r="AT153" s="238">
        <v>256947</v>
      </c>
      <c r="AU153" s="238">
        <v>410.41270321273362</v>
      </c>
      <c r="AV153" s="237">
        <v>1</v>
      </c>
      <c r="AW153" s="237">
        <v>0</v>
      </c>
      <c r="AX153" s="237">
        <v>1</v>
      </c>
      <c r="AY153" s="244" t="s">
        <v>682</v>
      </c>
      <c r="AZ153" s="244" t="s">
        <v>695</v>
      </c>
      <c r="BA153" s="237">
        <v>0</v>
      </c>
      <c r="BB153" s="245" t="s">
        <v>1295</v>
      </c>
      <c r="BC153" s="215" t="s">
        <v>1296</v>
      </c>
      <c r="BE153" s="237">
        <v>137</v>
      </c>
      <c r="BF153" s="237">
        <v>19</v>
      </c>
      <c r="BG153" s="246" t="s">
        <v>676</v>
      </c>
      <c r="BI153" s="239">
        <v>0.20058626465661641</v>
      </c>
      <c r="BJ153" s="239">
        <v>0.17252931323283083</v>
      </c>
      <c r="BK153" s="239">
        <v>0.56448911222780573</v>
      </c>
      <c r="BL153" s="239">
        <v>6.2395309882747066E-2</v>
      </c>
      <c r="BM153" s="247">
        <v>1.5113065326633166</v>
      </c>
      <c r="BN153" s="248">
        <v>1</v>
      </c>
      <c r="BO153" s="248">
        <v>0</v>
      </c>
      <c r="BP153" s="237">
        <v>0</v>
      </c>
      <c r="BQ153" s="237">
        <v>0</v>
      </c>
      <c r="BR153" s="248">
        <v>1</v>
      </c>
      <c r="BS153" s="237">
        <v>12</v>
      </c>
      <c r="BT153" s="237" t="s">
        <v>909</v>
      </c>
      <c r="BU153" s="249" t="s">
        <v>678</v>
      </c>
      <c r="BV153" s="249" t="s">
        <v>678</v>
      </c>
      <c r="BW153" s="249">
        <v>1898</v>
      </c>
      <c r="BX153" s="249" t="s">
        <v>678</v>
      </c>
      <c r="BY153" s="249" t="s">
        <v>678</v>
      </c>
      <c r="BZ153" s="249" t="s">
        <v>678</v>
      </c>
      <c r="CA153" s="249">
        <v>52.474426320154826</v>
      </c>
      <c r="CB153" s="249" t="s">
        <v>678</v>
      </c>
      <c r="CC153" s="250" t="s">
        <v>678</v>
      </c>
      <c r="CD153" s="242" t="s">
        <v>678</v>
      </c>
      <c r="CE153" s="252" t="s">
        <v>678</v>
      </c>
      <c r="CF153" s="238">
        <v>1967</v>
      </c>
      <c r="CG153" s="238">
        <v>282.60000000000002</v>
      </c>
      <c r="CH153" s="238">
        <v>7.8131047829693125</v>
      </c>
      <c r="CI153" s="216" t="s">
        <v>722</v>
      </c>
      <c r="CJ153" s="237">
        <v>1</v>
      </c>
      <c r="CK153" s="253">
        <v>388.05</v>
      </c>
      <c r="CL153" s="253">
        <v>139.4</v>
      </c>
      <c r="CM153" s="254">
        <v>3.5964912280701755E-2</v>
      </c>
      <c r="CN153" s="237" t="s">
        <v>85</v>
      </c>
      <c r="CO153" s="242">
        <v>2593.11</v>
      </c>
      <c r="CP153" s="255">
        <v>0.66901702786377715</v>
      </c>
      <c r="CV153" s="237">
        <v>3</v>
      </c>
      <c r="CW153" s="261" t="s">
        <v>678</v>
      </c>
      <c r="CX153" s="261" t="s">
        <v>678</v>
      </c>
      <c r="CY153" s="261" t="s">
        <v>678</v>
      </c>
      <c r="DB153" s="216" t="s">
        <v>710</v>
      </c>
      <c r="DC153" s="195" t="s">
        <v>711</v>
      </c>
      <c r="DD153" s="256">
        <v>0.7</v>
      </c>
      <c r="DE153" s="256">
        <v>-6.5</v>
      </c>
      <c r="DF153" s="256">
        <v>0.7</v>
      </c>
      <c r="DG153" s="256">
        <v>-2.2000000000000002</v>
      </c>
      <c r="DH153" s="257">
        <v>3</v>
      </c>
      <c r="DI153" s="257">
        <v>113.18</v>
      </c>
      <c r="DJ153" s="257">
        <v>228.61</v>
      </c>
      <c r="DK153" s="257">
        <v>341.79</v>
      </c>
      <c r="DL153" s="237" t="s">
        <v>682</v>
      </c>
      <c r="DP153" s="258" t="s">
        <v>682</v>
      </c>
      <c r="DQ153" s="258"/>
      <c r="DR153" s="258"/>
      <c r="DS153" s="258"/>
      <c r="DT153" s="258"/>
      <c r="DU153" s="237">
        <v>0</v>
      </c>
      <c r="DX153" s="247"/>
      <c r="DY153" s="247">
        <v>0</v>
      </c>
      <c r="EA153" s="237">
        <v>0</v>
      </c>
      <c r="ED153" s="237" t="s">
        <v>687</v>
      </c>
      <c r="EE153" s="208">
        <v>3</v>
      </c>
      <c r="EF153" s="237" t="s">
        <v>688</v>
      </c>
      <c r="EG153" s="216" t="s">
        <v>703</v>
      </c>
      <c r="EH153" s="246" t="s">
        <v>704</v>
      </c>
      <c r="EI153" s="216" t="s">
        <v>689</v>
      </c>
      <c r="EJ153" s="216" t="s">
        <v>529</v>
      </c>
      <c r="EK153" s="222" t="s">
        <v>682</v>
      </c>
      <c r="EL153" s="259">
        <v>1992</v>
      </c>
      <c r="EM153" s="260">
        <v>6953</v>
      </c>
      <c r="EN153" s="260">
        <v>242740</v>
      </c>
      <c r="EO153" s="260">
        <v>24847</v>
      </c>
      <c r="ER153" s="237" t="s">
        <v>692</v>
      </c>
      <c r="ES153" s="237">
        <v>3617</v>
      </c>
      <c r="ET153" s="237">
        <v>3.5735653674672805</v>
      </c>
      <c r="EU153" s="661">
        <v>3</v>
      </c>
      <c r="EV153" s="661">
        <v>1</v>
      </c>
      <c r="EW153" s="661">
        <v>1</v>
      </c>
      <c r="EX153" s="661">
        <v>7</v>
      </c>
      <c r="EY153" s="660">
        <v>0.10011609907120743</v>
      </c>
      <c r="EZ153" s="256">
        <v>9.3209637933256015</v>
      </c>
      <c r="FA153" s="247">
        <v>8.6206896551724144E-2</v>
      </c>
      <c r="FB153" s="208">
        <v>4</v>
      </c>
      <c r="FC153" s="208">
        <v>6</v>
      </c>
      <c r="FD153" s="208">
        <v>7</v>
      </c>
      <c r="FE153" s="239">
        <v>0.2525862068965517</v>
      </c>
      <c r="FF153" s="208"/>
      <c r="FG153" s="241">
        <v>9.8215517241379321E-2</v>
      </c>
      <c r="FH153" s="209">
        <v>0</v>
      </c>
      <c r="FI153" s="237" t="s">
        <v>678</v>
      </c>
      <c r="FJ153" s="208">
        <v>42</v>
      </c>
      <c r="FK153" s="208">
        <v>20.420000000000002</v>
      </c>
      <c r="FL153" s="217">
        <v>62</v>
      </c>
      <c r="FM153" s="208">
        <v>0.61</v>
      </c>
      <c r="FN153" s="208" t="s">
        <v>1297</v>
      </c>
      <c r="FP153" s="247" t="s">
        <v>693</v>
      </c>
      <c r="FU153" s="208">
        <v>39</v>
      </c>
      <c r="FV153" s="208">
        <v>50.7</v>
      </c>
      <c r="FW153" s="237">
        <v>23.6</v>
      </c>
      <c r="FX153" s="237">
        <v>9.4</v>
      </c>
      <c r="FY153" s="208">
        <v>11.73</v>
      </c>
      <c r="FZ153" s="208">
        <v>21.5</v>
      </c>
      <c r="GA153" s="208">
        <v>24.2</v>
      </c>
      <c r="GB153" s="208">
        <v>12.5</v>
      </c>
      <c r="GC153" s="208">
        <v>-0.44</v>
      </c>
      <c r="GD153" s="208">
        <v>1.7</v>
      </c>
      <c r="GE153" s="237">
        <v>17.850000000000001</v>
      </c>
      <c r="GF153" s="237">
        <v>13.1</v>
      </c>
      <c r="GG153" s="237">
        <v>0.23</v>
      </c>
      <c r="GH153" s="237">
        <v>8.6999999999999993</v>
      </c>
      <c r="GJ153" s="947"/>
      <c r="GK153" s="320"/>
      <c r="GL153" s="320"/>
      <c r="GM153" s="320"/>
      <c r="GN153" s="320"/>
      <c r="GO153" s="662">
        <v>8148</v>
      </c>
      <c r="GP153" s="663" t="str">
        <f>VLOOKUP(GS153,'BD Comarcal'!$A$6:$AV$17,48,FALSE)</f>
        <v>17</v>
      </c>
      <c r="GQ153" s="564">
        <v>17</v>
      </c>
      <c r="GR153" s="256">
        <f t="shared" si="2"/>
        <v>1</v>
      </c>
      <c r="GS153" s="237" t="s">
        <v>85</v>
      </c>
    </row>
    <row r="154" spans="1:201" s="237" customFormat="1" ht="17.25" customHeight="1">
      <c r="A154" s="236" t="s">
        <v>1298</v>
      </c>
      <c r="C154" s="238"/>
      <c r="D154" s="238">
        <v>2624</v>
      </c>
      <c r="E154" s="238">
        <v>1346</v>
      </c>
      <c r="F154" s="239">
        <v>0.51295731707317072</v>
      </c>
      <c r="G154" s="238">
        <v>1189</v>
      </c>
      <c r="H154" s="240">
        <v>1930.1182846716981</v>
      </c>
      <c r="I154" s="239">
        <v>1</v>
      </c>
      <c r="J154" s="238">
        <v>1415</v>
      </c>
      <c r="K154" s="238">
        <v>482</v>
      </c>
      <c r="L154" s="238">
        <v>3</v>
      </c>
      <c r="M154" s="241">
        <v>1.1432926829268292E-3</v>
      </c>
      <c r="N154" s="238">
        <v>0</v>
      </c>
      <c r="O154" s="239">
        <v>0</v>
      </c>
      <c r="P154" s="237">
        <v>33</v>
      </c>
      <c r="Q154" s="237">
        <v>0</v>
      </c>
      <c r="R154" s="239">
        <v>0</v>
      </c>
      <c r="S154" s="238">
        <v>6062</v>
      </c>
      <c r="T154" s="436">
        <v>324</v>
      </c>
      <c r="U154" s="436">
        <v>64</v>
      </c>
      <c r="V154" s="436">
        <v>23</v>
      </c>
      <c r="W154" s="436">
        <v>411</v>
      </c>
      <c r="X154" s="238">
        <v>1185</v>
      </c>
      <c r="Y154" s="237">
        <v>0.2344</v>
      </c>
      <c r="Z154" s="238">
        <v>20876</v>
      </c>
      <c r="AA154" s="238">
        <v>17662</v>
      </c>
      <c r="AB154" s="238">
        <v>107.92</v>
      </c>
      <c r="AC154" s="238">
        <v>120</v>
      </c>
      <c r="AD154" s="238">
        <v>1457740.48</v>
      </c>
      <c r="AE154" s="238">
        <v>58589.949999999721</v>
      </c>
      <c r="AF154" s="238">
        <v>1402473.04</v>
      </c>
      <c r="AG154" s="238">
        <v>348335.26</v>
      </c>
      <c r="AH154" s="239">
        <v>0.24837216122172301</v>
      </c>
      <c r="AI154" s="247">
        <v>64.727971999999994</v>
      </c>
      <c r="AJ154" s="242">
        <v>5.6439649999999997</v>
      </c>
      <c r="AK154" s="242">
        <v>0.21509012957317072</v>
      </c>
      <c r="AL154" s="242" t="s">
        <v>678</v>
      </c>
      <c r="AM154" s="242" t="s">
        <v>678</v>
      </c>
      <c r="AN154" s="242">
        <v>28242.68</v>
      </c>
      <c r="AO154" s="238">
        <v>4758.3</v>
      </c>
      <c r="AP154" s="243">
        <v>27</v>
      </c>
      <c r="AQ154" s="238">
        <v>1</v>
      </c>
      <c r="AR154" s="238">
        <v>1595.7716498443751</v>
      </c>
      <c r="AS154" s="238">
        <v>1849.6821295507477</v>
      </c>
      <c r="AT154" s="238">
        <v>180004.33333333334</v>
      </c>
      <c r="AU154" s="238">
        <v>230.02332351919347</v>
      </c>
      <c r="AV154" s="237">
        <v>1</v>
      </c>
      <c r="AW154" s="237">
        <v>1</v>
      </c>
      <c r="AX154" s="237">
        <v>1</v>
      </c>
      <c r="AY154" s="244" t="s">
        <v>682</v>
      </c>
      <c r="AZ154" s="244" t="s">
        <v>695</v>
      </c>
      <c r="BA154" s="237">
        <v>2011</v>
      </c>
      <c r="BB154" s="245" t="s">
        <v>718</v>
      </c>
      <c r="BC154" s="215" t="s">
        <v>719</v>
      </c>
      <c r="BE154" s="237">
        <v>0</v>
      </c>
      <c r="BF154" s="237">
        <v>83</v>
      </c>
      <c r="BG154" s="246" t="s">
        <v>720</v>
      </c>
      <c r="BI154" s="239">
        <v>0.60212201591511938</v>
      </c>
      <c r="BJ154" s="239">
        <v>0.11007957559681697</v>
      </c>
      <c r="BK154" s="239">
        <v>0.24535809018567639</v>
      </c>
      <c r="BL154" s="239">
        <v>4.2440318302387266E-2</v>
      </c>
      <c r="BM154" s="247">
        <v>2.2718832891246681</v>
      </c>
      <c r="BN154" s="248">
        <v>0</v>
      </c>
      <c r="BO154" s="248">
        <v>0</v>
      </c>
      <c r="BP154" s="237">
        <v>0</v>
      </c>
      <c r="BQ154" s="237">
        <v>0</v>
      </c>
      <c r="BR154" s="248">
        <v>0</v>
      </c>
      <c r="BS154" s="237">
        <v>20</v>
      </c>
      <c r="BT154" s="237" t="s">
        <v>815</v>
      </c>
      <c r="BU154" s="249" t="s">
        <v>678</v>
      </c>
      <c r="BV154" s="249" t="s">
        <v>678</v>
      </c>
      <c r="BW154" s="249" t="s">
        <v>678</v>
      </c>
      <c r="BX154" s="249" t="s">
        <v>678</v>
      </c>
      <c r="BY154" s="249" t="s">
        <v>678</v>
      </c>
      <c r="BZ154" s="249" t="s">
        <v>678</v>
      </c>
      <c r="CA154" s="249" t="s">
        <v>678</v>
      </c>
      <c r="CB154" s="249" t="s">
        <v>678</v>
      </c>
      <c r="CC154" s="250" t="s">
        <v>678</v>
      </c>
      <c r="CD154" s="242" t="s">
        <v>678</v>
      </c>
      <c r="CE154" s="252" t="s">
        <v>678</v>
      </c>
      <c r="CF154" s="238">
        <v>605</v>
      </c>
      <c r="CG154" s="238">
        <v>75</v>
      </c>
      <c r="CH154" s="238">
        <v>6.3344594594594597</v>
      </c>
      <c r="CI154" s="216" t="s">
        <v>700</v>
      </c>
      <c r="CJ154" s="237">
        <v>0</v>
      </c>
      <c r="CK154" s="253">
        <v>19.579999999999998</v>
      </c>
      <c r="CL154" s="253">
        <v>12.725</v>
      </c>
      <c r="CM154" s="254">
        <v>4.8494664634146341E-3</v>
      </c>
      <c r="CN154" s="237" t="s">
        <v>88</v>
      </c>
      <c r="CO154" s="242"/>
      <c r="CP154" s="255">
        <v>0</v>
      </c>
      <c r="CV154" s="237">
        <v>2</v>
      </c>
      <c r="CW154" s="261" t="s">
        <v>678</v>
      </c>
      <c r="CX154" s="261" t="s">
        <v>678</v>
      </c>
      <c r="CY154" s="261" t="s">
        <v>678</v>
      </c>
      <c r="DB154" s="216" t="s">
        <v>710</v>
      </c>
      <c r="DC154" s="195" t="s">
        <v>711</v>
      </c>
      <c r="DD154" s="256">
        <v>0.8</v>
      </c>
      <c r="DE154" s="256">
        <v>-9</v>
      </c>
      <c r="DF154" s="256">
        <v>-0.3</v>
      </c>
      <c r="DG154" s="256">
        <v>-2.6</v>
      </c>
      <c r="DL154" s="237" t="s">
        <v>529</v>
      </c>
      <c r="DN154" s="237" t="s">
        <v>770</v>
      </c>
      <c r="DO154" s="237">
        <v>1</v>
      </c>
      <c r="DP154" s="258" t="s">
        <v>682</v>
      </c>
      <c r="DQ154" s="258"/>
      <c r="DR154" s="258"/>
      <c r="DS154" s="258"/>
      <c r="DT154" s="258"/>
      <c r="DU154" s="237">
        <v>1</v>
      </c>
      <c r="DV154" s="237" t="s">
        <v>1299</v>
      </c>
      <c r="DW154" s="237" t="s">
        <v>918</v>
      </c>
      <c r="DX154" s="247">
        <v>7.77</v>
      </c>
      <c r="DY154" s="247">
        <v>0.29611280487804881</v>
      </c>
      <c r="EA154" s="237">
        <v>0</v>
      </c>
      <c r="ED154" s="237" t="s">
        <v>943</v>
      </c>
      <c r="EE154" s="208">
        <v>1</v>
      </c>
      <c r="EF154" s="237" t="s">
        <v>702</v>
      </c>
      <c r="EG154" s="216" t="s">
        <v>703</v>
      </c>
      <c r="EH154" s="246" t="s">
        <v>704</v>
      </c>
      <c r="EI154" s="216"/>
      <c r="EJ154" s="216" t="s">
        <v>529</v>
      </c>
      <c r="EK154" s="222" t="s">
        <v>682</v>
      </c>
      <c r="EL154" s="259">
        <v>2001</v>
      </c>
      <c r="EM154" s="260">
        <v>671</v>
      </c>
      <c r="EN154" s="260">
        <v>44451</v>
      </c>
      <c r="EO154" s="260">
        <v>156573</v>
      </c>
      <c r="ER154" s="237" t="s">
        <v>705</v>
      </c>
      <c r="ES154" s="237" t="e">
        <v>#DIV/0!</v>
      </c>
      <c r="ET154" s="237">
        <v>233.34277198211623</v>
      </c>
      <c r="EU154" s="661">
        <v>5</v>
      </c>
      <c r="EV154" s="661" t="s">
        <v>678</v>
      </c>
      <c r="EW154" s="661">
        <v>0</v>
      </c>
      <c r="EX154" s="661">
        <v>2</v>
      </c>
      <c r="EY154" s="660">
        <v>7.4618902439024387E-3</v>
      </c>
      <c r="EZ154" s="256">
        <v>60.469867211440253</v>
      </c>
      <c r="FA154" s="247">
        <v>0.14858841010401189</v>
      </c>
      <c r="FB154" s="208">
        <v>2</v>
      </c>
      <c r="FC154" s="208">
        <v>3</v>
      </c>
      <c r="FD154" s="208">
        <v>3</v>
      </c>
      <c r="FE154" s="239">
        <v>0.88335809806835064</v>
      </c>
      <c r="FF154" s="208">
        <v>1</v>
      </c>
      <c r="FG154" s="241">
        <v>0</v>
      </c>
      <c r="FH154" s="209">
        <v>0</v>
      </c>
      <c r="FI154" s="237" t="s">
        <v>678</v>
      </c>
      <c r="FJ154" s="208">
        <v>55.1</v>
      </c>
      <c r="FK154" s="208">
        <v>0</v>
      </c>
      <c r="FL154" s="217">
        <v>5.9</v>
      </c>
      <c r="FM154" s="208">
        <v>7.62</v>
      </c>
      <c r="FN154" s="208" t="s">
        <v>1300</v>
      </c>
      <c r="FP154" s="247" t="s">
        <v>693</v>
      </c>
      <c r="FR154" s="237">
        <v>16</v>
      </c>
      <c r="FS154" s="237">
        <v>3</v>
      </c>
      <c r="FT154" s="237">
        <v>1</v>
      </c>
      <c r="FU154" s="208">
        <v>42</v>
      </c>
      <c r="FV154" s="208">
        <v>57.5</v>
      </c>
      <c r="FW154" s="237">
        <v>70</v>
      </c>
      <c r="FX154" s="237">
        <v>52.4</v>
      </c>
      <c r="FY154" s="208">
        <v>28.09</v>
      </c>
      <c r="FZ154" s="208">
        <v>44.3</v>
      </c>
      <c r="GA154" s="208">
        <v>45.58</v>
      </c>
      <c r="GB154" s="208">
        <v>45</v>
      </c>
      <c r="GC154" s="208">
        <v>0.24</v>
      </c>
      <c r="GD154" s="208">
        <v>42.7</v>
      </c>
      <c r="GE154" s="237">
        <v>40.6</v>
      </c>
      <c r="GF154" s="237">
        <v>51.5</v>
      </c>
      <c r="GG154" s="237">
        <v>8.1199999999999992</v>
      </c>
      <c r="GH154" s="237">
        <v>61.3</v>
      </c>
      <c r="GJ154" s="947"/>
      <c r="GK154" s="320"/>
      <c r="GL154" s="320"/>
      <c r="GM154" s="320"/>
      <c r="GN154" s="320"/>
      <c r="GO154" s="662">
        <v>8149</v>
      </c>
      <c r="GP154" s="663" t="str">
        <f>VLOOKUP(GS154,'BD Comarcal'!$A$6:$AV$17,48,FALSE)</f>
        <v>24</v>
      </c>
      <c r="GQ154" s="564">
        <v>8</v>
      </c>
      <c r="GR154" s="256">
        <f t="shared" si="2"/>
        <v>0</v>
      </c>
      <c r="GS154" s="237" t="s">
        <v>88</v>
      </c>
    </row>
    <row r="155" spans="1:201" s="237" customFormat="1" ht="17.25" customHeight="1">
      <c r="A155" s="236" t="s">
        <v>1301</v>
      </c>
      <c r="C155" s="238"/>
      <c r="D155" s="238">
        <v>2733</v>
      </c>
      <c r="E155" s="238">
        <v>1838</v>
      </c>
      <c r="F155" s="239">
        <v>0.67252103915111594</v>
      </c>
      <c r="G155" s="238">
        <v>1720</v>
      </c>
      <c r="H155" s="240">
        <v>1465.1892893685967</v>
      </c>
      <c r="I155" s="239">
        <v>0.79716501053786548</v>
      </c>
      <c r="J155" s="238">
        <v>527</v>
      </c>
      <c r="K155" s="238">
        <v>404</v>
      </c>
      <c r="L155" s="238">
        <v>25</v>
      </c>
      <c r="M155" s="241">
        <v>9.1474570069520669E-3</v>
      </c>
      <c r="N155" s="238">
        <v>0</v>
      </c>
      <c r="O155" s="239">
        <v>0</v>
      </c>
      <c r="P155" s="237">
        <v>26</v>
      </c>
      <c r="Q155" s="237">
        <v>0</v>
      </c>
      <c r="R155" s="239">
        <v>0</v>
      </c>
      <c r="S155" s="238">
        <v>5110</v>
      </c>
      <c r="T155" s="436">
        <v>0</v>
      </c>
      <c r="U155" s="436">
        <v>0</v>
      </c>
      <c r="V155" s="436">
        <v>0</v>
      </c>
      <c r="W155" s="436">
        <v>0</v>
      </c>
      <c r="X155" s="238">
        <v>310</v>
      </c>
      <c r="Y155" s="237">
        <v>0.1419</v>
      </c>
      <c r="Z155" s="238">
        <v>5440</v>
      </c>
      <c r="AA155" s="238">
        <v>17662</v>
      </c>
      <c r="AB155" s="238">
        <v>107.92</v>
      </c>
      <c r="AC155" s="238">
        <v>0</v>
      </c>
      <c r="AD155" s="238">
        <v>814614.78</v>
      </c>
      <c r="AE155" s="238">
        <v>194867.08999999997</v>
      </c>
      <c r="AF155" s="238">
        <v>499473.55000000005</v>
      </c>
      <c r="AG155" s="238">
        <v>90198.95</v>
      </c>
      <c r="AH155" s="239">
        <v>0.18058804114852525</v>
      </c>
      <c r="AI155" s="247">
        <v>22.798853000000001</v>
      </c>
      <c r="AJ155" s="242">
        <v>11.185288</v>
      </c>
      <c r="AK155" s="242">
        <v>0.40926776436150752</v>
      </c>
      <c r="AL155" s="242" t="s">
        <v>678</v>
      </c>
      <c r="AM155" s="242" t="s">
        <v>678</v>
      </c>
      <c r="AN155" s="242">
        <v>30891.14</v>
      </c>
      <c r="AO155" s="238">
        <v>4623.6099999999997</v>
      </c>
      <c r="AP155" s="243">
        <v>13</v>
      </c>
      <c r="AQ155" s="238">
        <v>1</v>
      </c>
      <c r="AR155" s="238">
        <v>1442.1444408035275</v>
      </c>
      <c r="AS155" s="238">
        <v>1380.510426609959</v>
      </c>
      <c r="AT155" s="238">
        <v>63111.666666666664</v>
      </c>
      <c r="AU155" s="238">
        <v>171.63143757791443</v>
      </c>
      <c r="AV155" s="237">
        <v>1</v>
      </c>
      <c r="AW155" s="237">
        <v>1</v>
      </c>
      <c r="AX155" s="237">
        <v>1</v>
      </c>
      <c r="AY155" s="244" t="s">
        <v>682</v>
      </c>
      <c r="AZ155" s="244" t="s">
        <v>673</v>
      </c>
      <c r="BA155" s="237">
        <v>2009</v>
      </c>
      <c r="BB155" s="245" t="s">
        <v>1188</v>
      </c>
      <c r="BC155" s="215" t="s">
        <v>1189</v>
      </c>
      <c r="BE155" s="237">
        <v>0</v>
      </c>
      <c r="BF155" s="237">
        <v>46</v>
      </c>
      <c r="BG155" s="246" t="s">
        <v>720</v>
      </c>
      <c r="BI155" s="239">
        <v>0.52317880794701987</v>
      </c>
      <c r="BJ155" s="239">
        <v>1.9867549668874173E-2</v>
      </c>
      <c r="BK155" s="239">
        <v>0.45033112582781459</v>
      </c>
      <c r="BL155" s="239">
        <v>6.6225165562913907E-3</v>
      </c>
      <c r="BM155" s="247">
        <v>2.0596026490066226</v>
      </c>
      <c r="BN155" s="248">
        <v>0</v>
      </c>
      <c r="BO155" s="248">
        <v>0</v>
      </c>
      <c r="BP155" s="237">
        <v>0</v>
      </c>
      <c r="BQ155" s="237">
        <v>0</v>
      </c>
      <c r="BR155" s="248">
        <v>0</v>
      </c>
      <c r="BS155" s="237">
        <v>11</v>
      </c>
      <c r="BT155" s="237" t="s">
        <v>721</v>
      </c>
      <c r="BU155" s="249" t="s">
        <v>678</v>
      </c>
      <c r="BV155" s="249" t="s">
        <v>678</v>
      </c>
      <c r="BW155" s="249" t="s">
        <v>678</v>
      </c>
      <c r="BX155" s="249" t="s">
        <v>678</v>
      </c>
      <c r="BY155" s="249" t="s">
        <v>678</v>
      </c>
      <c r="BZ155" s="249" t="s">
        <v>678</v>
      </c>
      <c r="CA155" s="249" t="s">
        <v>678</v>
      </c>
      <c r="CB155" s="249" t="s">
        <v>678</v>
      </c>
      <c r="CC155" s="250" t="s">
        <v>678</v>
      </c>
      <c r="CD155" s="242" t="s">
        <v>678</v>
      </c>
      <c r="CE155" s="252" t="s">
        <v>678</v>
      </c>
      <c r="CF155" s="238">
        <v>173</v>
      </c>
      <c r="CG155" s="238">
        <v>16</v>
      </c>
      <c r="CH155" s="238">
        <v>5.6338028169014081</v>
      </c>
      <c r="CI155" s="216" t="s">
        <v>700</v>
      </c>
      <c r="CJ155" s="237">
        <v>0</v>
      </c>
      <c r="CK155" s="253">
        <v>24.65</v>
      </c>
      <c r="CL155" s="253">
        <v>0</v>
      </c>
      <c r="CM155" s="254">
        <v>0</v>
      </c>
      <c r="CN155" s="237" t="s">
        <v>88</v>
      </c>
      <c r="CO155" s="242">
        <v>342.43</v>
      </c>
      <c r="CP155" s="255">
        <v>0.12529454811562385</v>
      </c>
      <c r="CW155" s="261" t="s">
        <v>678</v>
      </c>
      <c r="CX155" s="261" t="s">
        <v>678</v>
      </c>
      <c r="CY155" s="261" t="s">
        <v>678</v>
      </c>
      <c r="DB155" s="216" t="s">
        <v>681</v>
      </c>
      <c r="DC155" s="256"/>
      <c r="DD155" s="256">
        <v>0.8</v>
      </c>
      <c r="DE155" s="256">
        <v>-9</v>
      </c>
      <c r="DF155" s="256">
        <v>-0.3</v>
      </c>
      <c r="DG155" s="256">
        <v>-2.6</v>
      </c>
      <c r="DH155" s="257">
        <v>1</v>
      </c>
      <c r="DI155" s="257">
        <v>0.3</v>
      </c>
      <c r="DJ155" s="257">
        <v>1</v>
      </c>
      <c r="DK155" s="257">
        <v>1.3</v>
      </c>
      <c r="DL155" s="237" t="s">
        <v>529</v>
      </c>
      <c r="DM155" s="270" t="s">
        <v>1302</v>
      </c>
      <c r="DN155" s="237" t="s">
        <v>713</v>
      </c>
      <c r="DP155" s="258" t="s">
        <v>682</v>
      </c>
      <c r="DQ155" s="258"/>
      <c r="DR155" s="258"/>
      <c r="DS155" s="258"/>
      <c r="DT155" s="258"/>
      <c r="DU155" s="237">
        <v>0</v>
      </c>
      <c r="DX155" s="247"/>
      <c r="DY155" s="247">
        <v>0</v>
      </c>
      <c r="EA155" s="237">
        <v>0</v>
      </c>
      <c r="ED155" s="237" t="s">
        <v>723</v>
      </c>
      <c r="EE155" s="208">
        <v>1</v>
      </c>
      <c r="EF155" s="237" t="s">
        <v>702</v>
      </c>
      <c r="EG155" s="216" t="s">
        <v>715</v>
      </c>
      <c r="EH155" s="246" t="s">
        <v>690</v>
      </c>
      <c r="EI155" s="216"/>
      <c r="EJ155" s="216" t="s">
        <v>529</v>
      </c>
      <c r="EK155" s="222" t="s">
        <v>682</v>
      </c>
      <c r="EL155" s="259"/>
      <c r="EM155" s="260">
        <v>610</v>
      </c>
      <c r="EN155" s="260">
        <v>10164</v>
      </c>
      <c r="EO155" s="260">
        <v>63446</v>
      </c>
      <c r="ER155" s="237" t="s">
        <v>705</v>
      </c>
      <c r="ES155" s="237" t="e">
        <v>#DIV/0!</v>
      </c>
      <c r="ET155" s="237">
        <v>104.00983606557377</v>
      </c>
      <c r="EU155" s="661">
        <v>5</v>
      </c>
      <c r="EV155" s="661" t="s">
        <v>678</v>
      </c>
      <c r="EW155" s="661">
        <v>2</v>
      </c>
      <c r="EX155" s="661">
        <v>1</v>
      </c>
      <c r="EY155" s="660">
        <v>9.0193926088547385E-3</v>
      </c>
      <c r="EZ155" s="256">
        <v>11.521298174442192</v>
      </c>
      <c r="FA155" s="247">
        <v>0</v>
      </c>
      <c r="FB155" s="208">
        <v>2</v>
      </c>
      <c r="FC155" s="208">
        <v>2</v>
      </c>
      <c r="FD155" s="208">
        <v>1</v>
      </c>
      <c r="FE155" s="239">
        <v>0.93579978237214367</v>
      </c>
      <c r="FF155" s="208">
        <v>1</v>
      </c>
      <c r="FG155" s="241">
        <v>7.0729053318824807E-4</v>
      </c>
      <c r="FH155" s="209">
        <v>0</v>
      </c>
      <c r="FI155" s="237" t="s">
        <v>678</v>
      </c>
      <c r="FJ155" s="208">
        <v>68.099999999999994</v>
      </c>
      <c r="FK155" s="208">
        <v>11.18</v>
      </c>
      <c r="FL155" s="217">
        <v>47.9</v>
      </c>
      <c r="FM155" s="208">
        <v>11.96</v>
      </c>
      <c r="FN155" s="208" t="s">
        <v>1303</v>
      </c>
      <c r="FP155" s="247" t="s">
        <v>693</v>
      </c>
      <c r="FU155" s="208">
        <v>49</v>
      </c>
      <c r="FV155" s="208">
        <v>73.599999999999994</v>
      </c>
      <c r="FW155" s="237">
        <v>83.3</v>
      </c>
      <c r="FX155" s="237">
        <v>71.7</v>
      </c>
      <c r="FY155" s="208">
        <v>50.89</v>
      </c>
      <c r="FZ155" s="208">
        <v>62.5</v>
      </c>
      <c r="GA155" s="208">
        <v>61.86</v>
      </c>
      <c r="GB155" s="208">
        <v>69.400000000000006</v>
      </c>
      <c r="GC155" s="208">
        <v>0.36</v>
      </c>
      <c r="GD155" s="208">
        <v>54.6</v>
      </c>
      <c r="GE155" s="237">
        <v>55.36</v>
      </c>
      <c r="GF155" s="237">
        <v>71.599999999999994</v>
      </c>
      <c r="GG155" s="237">
        <v>14.46</v>
      </c>
      <c r="GH155" s="237">
        <v>84.4</v>
      </c>
      <c r="GJ155" s="947"/>
      <c r="GK155" s="320"/>
      <c r="GL155" s="320"/>
      <c r="GM155" s="320"/>
      <c r="GN155" s="320"/>
      <c r="GO155" s="662">
        <v>8150</v>
      </c>
      <c r="GP155" s="663" t="str">
        <f>VLOOKUP(GS155,'BD Comarcal'!$A$6:$AV$17,48,FALSE)</f>
        <v>24</v>
      </c>
      <c r="GQ155" s="564">
        <v>2</v>
      </c>
      <c r="GR155" s="256">
        <f t="shared" si="2"/>
        <v>1</v>
      </c>
      <c r="GS155" s="237" t="s">
        <v>88</v>
      </c>
    </row>
    <row r="156" spans="1:201" s="237" customFormat="1" ht="17.25" customHeight="1">
      <c r="A156" s="236" t="s">
        <v>1304</v>
      </c>
      <c r="C156" s="238"/>
      <c r="D156" s="238">
        <v>7135</v>
      </c>
      <c r="E156" s="238">
        <v>4565</v>
      </c>
      <c r="F156" s="239">
        <v>0.63980378416257888</v>
      </c>
      <c r="G156" s="238">
        <v>4125</v>
      </c>
      <c r="H156" s="240">
        <v>3889.4110093009276</v>
      </c>
      <c r="I156" s="239">
        <v>0.85200679283700498</v>
      </c>
      <c r="J156" s="238">
        <v>1883</v>
      </c>
      <c r="K156" s="238">
        <v>534</v>
      </c>
      <c r="L156" s="238">
        <v>26</v>
      </c>
      <c r="M156" s="241">
        <v>3.6440084092501752E-3</v>
      </c>
      <c r="N156" s="238">
        <v>0</v>
      </c>
      <c r="O156" s="239">
        <v>0</v>
      </c>
      <c r="P156" s="237">
        <v>61</v>
      </c>
      <c r="Q156" s="237">
        <v>0</v>
      </c>
      <c r="R156" s="239">
        <v>0</v>
      </c>
      <c r="S156" s="238">
        <v>16738</v>
      </c>
      <c r="T156" s="436">
        <v>0</v>
      </c>
      <c r="U156" s="436">
        <v>83</v>
      </c>
      <c r="V156" s="436">
        <v>0</v>
      </c>
      <c r="W156" s="436">
        <v>83</v>
      </c>
      <c r="X156" s="238">
        <v>547</v>
      </c>
      <c r="Y156" s="237">
        <v>0.24959999999999999</v>
      </c>
      <c r="Z156" s="238">
        <v>9873</v>
      </c>
      <c r="AA156" s="238">
        <v>17662</v>
      </c>
      <c r="AB156" s="238">
        <v>107.92</v>
      </c>
      <c r="AC156" s="238">
        <v>0</v>
      </c>
      <c r="AD156" s="238">
        <v>869078.03</v>
      </c>
      <c r="AE156" s="238">
        <v>115060.68000000011</v>
      </c>
      <c r="AF156" s="238">
        <v>447693.55</v>
      </c>
      <c r="AG156" s="238">
        <v>79858.44</v>
      </c>
      <c r="AH156" s="239">
        <v>0.17837746378074915</v>
      </c>
      <c r="AI156" s="247">
        <v>25.061992</v>
      </c>
      <c r="AJ156" s="242">
        <v>2.9758079999999998</v>
      </c>
      <c r="AK156" s="242">
        <v>4.1707189908899781E-2</v>
      </c>
      <c r="AL156" s="242" t="s">
        <v>678</v>
      </c>
      <c r="AM156" s="242" t="s">
        <v>678</v>
      </c>
      <c r="AN156" s="242">
        <v>30507.57</v>
      </c>
      <c r="AO156" s="238">
        <v>8783.41</v>
      </c>
      <c r="AP156" s="243">
        <v>22</v>
      </c>
      <c r="AQ156" s="238"/>
      <c r="AR156" s="238">
        <v>1428.9452990029488</v>
      </c>
      <c r="AS156" s="238">
        <v>1122.6041729401772</v>
      </c>
      <c r="AT156" s="238">
        <v>70315</v>
      </c>
      <c r="AU156" s="238">
        <v>169.92567580295747</v>
      </c>
      <c r="AV156" s="237">
        <v>1</v>
      </c>
      <c r="AW156" s="237">
        <v>1</v>
      </c>
      <c r="AX156" s="237">
        <v>1</v>
      </c>
      <c r="AY156" s="244" t="s">
        <v>717</v>
      </c>
      <c r="AZ156" s="244" t="s">
        <v>726</v>
      </c>
      <c r="BA156" s="237" t="s">
        <v>1038</v>
      </c>
      <c r="BB156" s="245" t="s">
        <v>718</v>
      </c>
      <c r="BC156" s="215" t="s">
        <v>719</v>
      </c>
      <c r="BE156" s="237">
        <v>0</v>
      </c>
      <c r="BF156" s="237">
        <v>83</v>
      </c>
      <c r="BG156" s="246" t="s">
        <v>698</v>
      </c>
      <c r="BI156" s="239">
        <v>0.745</v>
      </c>
      <c r="BJ156" s="239">
        <v>0.08</v>
      </c>
      <c r="BK156" s="239">
        <v>0.14249999999999999</v>
      </c>
      <c r="BL156" s="239">
        <v>3.2500000000000001E-2</v>
      </c>
      <c r="BM156" s="247">
        <v>2.5375000000000001</v>
      </c>
      <c r="BN156" s="248">
        <v>0</v>
      </c>
      <c r="BO156" s="248">
        <v>0</v>
      </c>
      <c r="BP156" s="237">
        <v>0</v>
      </c>
      <c r="BQ156" s="237">
        <v>0</v>
      </c>
      <c r="BR156" s="248">
        <v>0</v>
      </c>
      <c r="BS156" s="237">
        <v>22.5</v>
      </c>
      <c r="BT156" s="237" t="s">
        <v>815</v>
      </c>
      <c r="BU156" s="249" t="s">
        <v>678</v>
      </c>
      <c r="BV156" s="249" t="s">
        <v>678</v>
      </c>
      <c r="BW156" s="249" t="s">
        <v>678</v>
      </c>
      <c r="BX156" s="249" t="s">
        <v>678</v>
      </c>
      <c r="BY156" s="249" t="s">
        <v>678</v>
      </c>
      <c r="BZ156" s="249" t="s">
        <v>678</v>
      </c>
      <c r="CA156" s="249" t="s">
        <v>678</v>
      </c>
      <c r="CB156" s="249" t="s">
        <v>678</v>
      </c>
      <c r="CC156" s="250" t="s">
        <v>678</v>
      </c>
      <c r="CD156" s="242" t="s">
        <v>678</v>
      </c>
      <c r="CE156" s="252" t="s">
        <v>678</v>
      </c>
      <c r="CF156" s="238">
        <v>241</v>
      </c>
      <c r="CG156" s="238">
        <v>32</v>
      </c>
      <c r="CH156" s="238">
        <v>5.7657657657657655</v>
      </c>
      <c r="CI156" s="216" t="s">
        <v>700</v>
      </c>
      <c r="CJ156" s="237">
        <v>0</v>
      </c>
      <c r="CK156" s="253">
        <v>26.46</v>
      </c>
      <c r="CL156" s="253">
        <v>2.6634000000000002</v>
      </c>
      <c r="CM156" s="254">
        <v>3.7328661527680451E-4</v>
      </c>
      <c r="CN156" s="237" t="s">
        <v>88</v>
      </c>
      <c r="CO156" s="242">
        <v>28.41</v>
      </c>
      <c r="CP156" s="255">
        <v>3.9817799579537488E-3</v>
      </c>
      <c r="CQ156" s="247">
        <v>160.77000000000001</v>
      </c>
      <c r="CR156" s="248" t="s">
        <v>762</v>
      </c>
      <c r="CT156" s="247">
        <v>160.77000000000001</v>
      </c>
      <c r="CV156" s="237">
        <v>4</v>
      </c>
      <c r="CW156" s="261" t="s">
        <v>678</v>
      </c>
      <c r="CX156" s="261" t="s">
        <v>678</v>
      </c>
      <c r="CY156" s="261" t="s">
        <v>678</v>
      </c>
      <c r="DB156" s="216" t="s">
        <v>710</v>
      </c>
      <c r="DC156" s="195" t="s">
        <v>711</v>
      </c>
      <c r="DD156" s="256">
        <v>0.8</v>
      </c>
      <c r="DE156" s="256">
        <v>-10</v>
      </c>
      <c r="DF156" s="256">
        <v>0.5</v>
      </c>
      <c r="DG156" s="256">
        <v>-2.2999999999999998</v>
      </c>
      <c r="DH156" s="257">
        <v>1</v>
      </c>
      <c r="DI156" s="257">
        <v>2.4</v>
      </c>
      <c r="DJ156" s="257">
        <v>1.2</v>
      </c>
      <c r="DK156" s="257">
        <v>3.6</v>
      </c>
      <c r="DL156" s="237" t="s">
        <v>529</v>
      </c>
      <c r="DN156" s="237" t="s">
        <v>770</v>
      </c>
      <c r="DP156" s="258" t="s">
        <v>682</v>
      </c>
      <c r="DQ156" s="258"/>
      <c r="DR156" s="258"/>
      <c r="DS156" s="258"/>
      <c r="DT156" s="258"/>
      <c r="DU156" s="237">
        <v>0</v>
      </c>
      <c r="DX156" s="247"/>
      <c r="DY156" s="247">
        <v>0</v>
      </c>
      <c r="EA156" s="237">
        <v>0</v>
      </c>
      <c r="ED156" s="237" t="s">
        <v>943</v>
      </c>
      <c r="EE156" s="208">
        <v>3</v>
      </c>
      <c r="EF156" s="237" t="s">
        <v>702</v>
      </c>
      <c r="EG156" s="216" t="s">
        <v>733</v>
      </c>
      <c r="EH156" s="246" t="s">
        <v>734</v>
      </c>
      <c r="EI156" s="216"/>
      <c r="EJ156" s="216" t="s">
        <v>529</v>
      </c>
      <c r="EK156" s="222" t="s">
        <v>682</v>
      </c>
      <c r="EL156" s="259">
        <v>2011</v>
      </c>
      <c r="EM156" s="260">
        <v>1800</v>
      </c>
      <c r="EN156" s="260">
        <v>19412</v>
      </c>
      <c r="EO156" s="260">
        <v>55121</v>
      </c>
      <c r="ER156" s="237" t="s">
        <v>705</v>
      </c>
      <c r="ES156" s="237" t="e">
        <v>#DIV/0!</v>
      </c>
      <c r="ET156" s="237">
        <v>30.622777777777777</v>
      </c>
      <c r="EU156" s="661">
        <v>5</v>
      </c>
      <c r="EV156" s="661" t="s">
        <v>678</v>
      </c>
      <c r="EW156" s="661">
        <v>3</v>
      </c>
      <c r="EX156" s="661">
        <v>3</v>
      </c>
      <c r="EY156" s="660">
        <v>3.7084793272599862E-3</v>
      </c>
      <c r="EZ156" s="256">
        <v>20.975056689342402</v>
      </c>
      <c r="FA156" s="247">
        <v>8.7623220153340634E-2</v>
      </c>
      <c r="FB156" s="208">
        <v>2</v>
      </c>
      <c r="FC156" s="208">
        <v>4</v>
      </c>
      <c r="FD156" s="208">
        <v>2</v>
      </c>
      <c r="FE156" s="239">
        <v>0.90361445783132532</v>
      </c>
      <c r="FF156" s="208">
        <v>1</v>
      </c>
      <c r="FG156" s="241">
        <v>7.8860898138006575E-4</v>
      </c>
      <c r="FH156" s="209">
        <v>3.5217962760131435E-2</v>
      </c>
      <c r="FI156" s="237" t="s">
        <v>678</v>
      </c>
      <c r="FJ156" s="208">
        <v>61.9</v>
      </c>
      <c r="FK156" s="208">
        <v>0.37</v>
      </c>
      <c r="FL156" s="217">
        <v>24.3</v>
      </c>
      <c r="FM156" s="208">
        <v>5.92</v>
      </c>
      <c r="FN156" s="208" t="s">
        <v>1305</v>
      </c>
      <c r="FP156" s="247" t="s">
        <v>693</v>
      </c>
      <c r="FR156" s="237">
        <v>23</v>
      </c>
      <c r="FS156" s="237">
        <v>6</v>
      </c>
      <c r="FT156" s="237">
        <v>2</v>
      </c>
      <c r="FU156" s="208">
        <v>47</v>
      </c>
      <c r="FV156" s="208">
        <v>69.599999999999994</v>
      </c>
      <c r="FW156" s="237">
        <v>83.22</v>
      </c>
      <c r="FX156" s="237">
        <v>71.5</v>
      </c>
      <c r="FY156" s="208">
        <v>52.27</v>
      </c>
      <c r="FZ156" s="208">
        <v>64.2</v>
      </c>
      <c r="GA156" s="208">
        <v>59.81</v>
      </c>
      <c r="GB156" s="208">
        <v>66.7</v>
      </c>
      <c r="GC156" s="208">
        <v>0.43</v>
      </c>
      <c r="GD156" s="208">
        <v>59.9</v>
      </c>
      <c r="GE156" s="237">
        <v>53</v>
      </c>
      <c r="GF156" s="237">
        <v>69.099999999999994</v>
      </c>
      <c r="GG156" s="237">
        <v>14.9</v>
      </c>
      <c r="GH156" s="237">
        <v>84.9</v>
      </c>
      <c r="GJ156" s="947"/>
      <c r="GK156" s="320"/>
      <c r="GL156" s="320"/>
      <c r="GM156" s="320"/>
      <c r="GN156" s="320"/>
      <c r="GO156" s="662">
        <v>8151</v>
      </c>
      <c r="GP156" s="663" t="str">
        <f>VLOOKUP(GS156,'BD Comarcal'!$A$6:$AV$17,48,FALSE)</f>
        <v>24</v>
      </c>
      <c r="GQ156" s="564">
        <v>6</v>
      </c>
      <c r="GR156" s="256">
        <f t="shared" si="2"/>
        <v>1</v>
      </c>
      <c r="GS156" s="237" t="s">
        <v>88</v>
      </c>
    </row>
    <row r="157" spans="1:201" s="237" customFormat="1" ht="17.25" customHeight="1">
      <c r="A157" s="236" t="s">
        <v>1306</v>
      </c>
      <c r="C157" s="238"/>
      <c r="D157" s="238">
        <v>1542</v>
      </c>
      <c r="E157" s="238">
        <v>1090</v>
      </c>
      <c r="F157" s="239">
        <v>0.70687418936446178</v>
      </c>
      <c r="G157" s="238">
        <v>858</v>
      </c>
      <c r="H157" s="240">
        <v>117.64634667412983</v>
      </c>
      <c r="I157" s="239">
        <v>0.10793242814140351</v>
      </c>
      <c r="J157" s="238">
        <v>390</v>
      </c>
      <c r="K157" s="238">
        <v>0</v>
      </c>
      <c r="L157" s="238">
        <v>0</v>
      </c>
      <c r="M157" s="241">
        <v>0</v>
      </c>
      <c r="N157" s="238">
        <v>0</v>
      </c>
      <c r="O157" s="239">
        <v>0</v>
      </c>
      <c r="P157" s="237">
        <v>3</v>
      </c>
      <c r="Q157" s="237">
        <v>0</v>
      </c>
      <c r="R157" s="239">
        <v>0</v>
      </c>
      <c r="S157" s="238">
        <v>771</v>
      </c>
      <c r="T157" s="436">
        <v>0</v>
      </c>
      <c r="U157" s="436">
        <v>0</v>
      </c>
      <c r="V157" s="436">
        <v>0</v>
      </c>
      <c r="W157" s="436">
        <v>0</v>
      </c>
      <c r="X157" s="238">
        <v>139</v>
      </c>
      <c r="Y157" s="237">
        <v>0.22140000000000001</v>
      </c>
      <c r="Z157" s="238">
        <v>1723</v>
      </c>
      <c r="AA157" s="238">
        <v>12396</v>
      </c>
      <c r="AB157" s="238">
        <v>75.739999999999995</v>
      </c>
      <c r="AC157" s="238">
        <v>0</v>
      </c>
      <c r="AD157" s="238">
        <v>394676</v>
      </c>
      <c r="AE157" s="238">
        <v>145767.38</v>
      </c>
      <c r="AF157" s="238">
        <v>237387.70999999996</v>
      </c>
      <c r="AG157" s="238">
        <v>47002.7</v>
      </c>
      <c r="AH157" s="239">
        <v>0.19799971953055195</v>
      </c>
      <c r="AI157" s="247">
        <v>8.6557870000000001</v>
      </c>
      <c r="AJ157" s="242">
        <v>1.071779</v>
      </c>
      <c r="AK157" s="242">
        <v>6.9505771725032431E-2</v>
      </c>
      <c r="AL157" s="242" t="s">
        <v>678</v>
      </c>
      <c r="AM157" s="242" t="s">
        <v>678</v>
      </c>
      <c r="AN157" s="242">
        <v>8727.3799999999992</v>
      </c>
      <c r="AO157" s="238">
        <v>72.88</v>
      </c>
      <c r="AP157" s="243">
        <v>0</v>
      </c>
      <c r="AQ157" s="238"/>
      <c r="AR157" s="238">
        <v>1379.4928149083787</v>
      </c>
      <c r="AS157" s="238">
        <v>1655.7762855154658</v>
      </c>
      <c r="AT157" s="238">
        <v>8902.6666666666661</v>
      </c>
      <c r="AU157" s="238">
        <v>316.25385644688453</v>
      </c>
      <c r="AV157" s="237">
        <v>1</v>
      </c>
      <c r="AW157" s="237">
        <v>1</v>
      </c>
      <c r="AX157" s="237">
        <v>1</v>
      </c>
      <c r="AY157" s="244" t="s">
        <v>682</v>
      </c>
      <c r="AZ157" s="244" t="s">
        <v>695</v>
      </c>
      <c r="BA157" s="237">
        <v>0</v>
      </c>
      <c r="BB157" s="245" t="s">
        <v>930</v>
      </c>
      <c r="BC157" s="215" t="s">
        <v>931</v>
      </c>
      <c r="BE157" s="237">
        <v>2</v>
      </c>
      <c r="BF157" s="237">
        <v>77</v>
      </c>
      <c r="BG157" s="246" t="s">
        <v>698</v>
      </c>
      <c r="BI157" s="239">
        <v>0.8125</v>
      </c>
      <c r="BJ157" s="239">
        <v>7.4999999999999997E-2</v>
      </c>
      <c r="BK157" s="239">
        <v>0.1125</v>
      </c>
      <c r="BL157" s="239">
        <v>0</v>
      </c>
      <c r="BM157" s="247">
        <v>2.6999999999999997</v>
      </c>
      <c r="BN157" s="248">
        <v>0</v>
      </c>
      <c r="BO157" s="248">
        <v>0</v>
      </c>
      <c r="BP157" s="237">
        <v>0</v>
      </c>
      <c r="BQ157" s="237">
        <v>0</v>
      </c>
      <c r="BR157" s="248">
        <v>0</v>
      </c>
      <c r="BS157" s="237">
        <v>18.3</v>
      </c>
      <c r="BT157" s="237" t="s">
        <v>755</v>
      </c>
      <c r="BU157" s="249" t="s">
        <v>678</v>
      </c>
      <c r="BV157" s="249" t="s">
        <v>678</v>
      </c>
      <c r="BW157" s="249" t="s">
        <v>678</v>
      </c>
      <c r="BX157" s="249" t="s">
        <v>678</v>
      </c>
      <c r="BY157" s="249" t="s">
        <v>678</v>
      </c>
      <c r="BZ157" s="249" t="s">
        <v>678</v>
      </c>
      <c r="CA157" s="249" t="s">
        <v>678</v>
      </c>
      <c r="CB157" s="249" t="s">
        <v>678</v>
      </c>
      <c r="CC157" s="250" t="s">
        <v>678</v>
      </c>
      <c r="CD157" s="242" t="s">
        <v>678</v>
      </c>
      <c r="CE157" s="252" t="s">
        <v>678</v>
      </c>
      <c r="CF157" s="238">
        <v>106</v>
      </c>
      <c r="CG157" s="238">
        <v>8</v>
      </c>
      <c r="CH157" s="238">
        <v>5.9259259259259256</v>
      </c>
      <c r="CI157" s="216" t="s">
        <v>722</v>
      </c>
      <c r="CJ157" s="237">
        <v>1</v>
      </c>
      <c r="CK157" s="253">
        <v>8.68</v>
      </c>
      <c r="CL157" s="253">
        <v>0</v>
      </c>
      <c r="CM157" s="254">
        <v>0</v>
      </c>
      <c r="CN157" s="237" t="s">
        <v>81</v>
      </c>
      <c r="CO157" s="242">
        <v>35.1</v>
      </c>
      <c r="CP157" s="255">
        <v>2.276264591439689E-2</v>
      </c>
      <c r="CW157" s="261" t="s">
        <v>678</v>
      </c>
      <c r="CX157" s="261" t="s">
        <v>678</v>
      </c>
      <c r="CY157" s="261" t="s">
        <v>678</v>
      </c>
      <c r="DB157" s="216" t="s">
        <v>681</v>
      </c>
      <c r="DC157" s="256"/>
      <c r="DD157" s="256">
        <v>0.8</v>
      </c>
      <c r="DE157" s="256">
        <v>-10</v>
      </c>
      <c r="DF157" s="256">
        <v>0.5</v>
      </c>
      <c r="DG157" s="256">
        <v>-2.2999999999999998</v>
      </c>
      <c r="DL157" s="237" t="s">
        <v>682</v>
      </c>
      <c r="DP157" s="258" t="s">
        <v>683</v>
      </c>
      <c r="DQ157" s="258" t="s">
        <v>758</v>
      </c>
      <c r="DR157" s="258" t="s">
        <v>1307</v>
      </c>
      <c r="DS157" s="258"/>
      <c r="DT157" s="258"/>
      <c r="DU157" s="237">
        <v>0</v>
      </c>
      <c r="DX157" s="247"/>
      <c r="DY157" s="247">
        <v>0</v>
      </c>
      <c r="EA157" s="237">
        <v>0</v>
      </c>
      <c r="ED157" s="237" t="s">
        <v>687</v>
      </c>
      <c r="EE157" s="208">
        <v>1</v>
      </c>
      <c r="EF157" s="237" t="s">
        <v>688</v>
      </c>
      <c r="EG157" s="216" t="s">
        <v>703</v>
      </c>
      <c r="EH157" s="246" t="s">
        <v>704</v>
      </c>
      <c r="EI157" s="216"/>
      <c r="EJ157" s="216" t="s">
        <v>529</v>
      </c>
      <c r="EK157" s="222" t="s">
        <v>682</v>
      </c>
      <c r="EL157" s="259">
        <v>1996</v>
      </c>
      <c r="EM157" s="260">
        <v>2010</v>
      </c>
      <c r="EN157" s="260">
        <v>6678</v>
      </c>
      <c r="EO157" s="260">
        <v>2056</v>
      </c>
      <c r="ER157" s="237" t="s">
        <v>705</v>
      </c>
      <c r="ES157" s="237" t="e">
        <v>#DIV/0!</v>
      </c>
      <c r="ET157" s="237">
        <v>1.0228855721393035</v>
      </c>
      <c r="EU157" s="661">
        <v>1</v>
      </c>
      <c r="EV157" s="661" t="s">
        <v>678</v>
      </c>
      <c r="EW157" s="661">
        <v>1</v>
      </c>
      <c r="EX157" s="661">
        <v>5</v>
      </c>
      <c r="EY157" s="660">
        <v>5.6290531776913098E-3</v>
      </c>
      <c r="EZ157" s="256">
        <v>15.552995391705069</v>
      </c>
      <c r="FA157" s="247">
        <v>0</v>
      </c>
      <c r="FB157" s="208">
        <v>4</v>
      </c>
      <c r="FC157" s="208">
        <v>6</v>
      </c>
      <c r="FD157" s="208">
        <v>5</v>
      </c>
      <c r="FE157" s="239">
        <v>0.78715596330275228</v>
      </c>
      <c r="FF157" s="208"/>
      <c r="FG157" s="241">
        <v>0</v>
      </c>
      <c r="FH157" s="209">
        <v>0</v>
      </c>
      <c r="FI157" s="237" t="s">
        <v>678</v>
      </c>
      <c r="FJ157" s="208">
        <v>50.1</v>
      </c>
      <c r="FK157" s="208">
        <v>1.4</v>
      </c>
      <c r="FL157" s="217">
        <v>29.2</v>
      </c>
      <c r="FM157" s="208">
        <v>8.24</v>
      </c>
      <c r="FN157" s="208" t="s">
        <v>1308</v>
      </c>
      <c r="FP157" s="247" t="s">
        <v>693</v>
      </c>
      <c r="FU157" s="208">
        <v>42</v>
      </c>
      <c r="FV157" s="208">
        <v>57.6</v>
      </c>
      <c r="FW157" s="237">
        <v>82.08</v>
      </c>
      <c r="FX157" s="237">
        <v>68.8</v>
      </c>
      <c r="FY157" s="208">
        <v>51.41</v>
      </c>
      <c r="FZ157" s="208">
        <v>63.2</v>
      </c>
      <c r="GA157" s="208">
        <v>60.42</v>
      </c>
      <c r="GB157" s="208">
        <v>67.400000000000006</v>
      </c>
      <c r="GC157" s="208">
        <v>0.33</v>
      </c>
      <c r="GD157" s="208">
        <v>51.2</v>
      </c>
      <c r="GE157" s="237">
        <v>49.83</v>
      </c>
      <c r="GF157" s="237">
        <v>65.3</v>
      </c>
      <c r="GG157" s="237">
        <v>15.42</v>
      </c>
      <c r="GH157" s="237">
        <v>86.1</v>
      </c>
      <c r="GJ157" s="947"/>
      <c r="GK157" s="320"/>
      <c r="GL157" s="320"/>
      <c r="GM157" s="320"/>
      <c r="GN157" s="320"/>
      <c r="GO157" s="662">
        <v>8152</v>
      </c>
      <c r="GP157" s="663" t="str">
        <f>VLOOKUP(GS157,'BD Comarcal'!$A$6:$AV$17,48,FALSE)</f>
        <v>06</v>
      </c>
      <c r="GQ157" s="564">
        <v>1</v>
      </c>
      <c r="GR157" s="256">
        <f t="shared" si="2"/>
        <v>0</v>
      </c>
      <c r="GS157" s="237" t="s">
        <v>81</v>
      </c>
    </row>
    <row r="158" spans="1:201" s="237" customFormat="1" ht="17.25" customHeight="1">
      <c r="A158" s="236" t="s">
        <v>1309</v>
      </c>
      <c r="C158" s="238"/>
      <c r="D158" s="238">
        <v>557</v>
      </c>
      <c r="E158" s="238">
        <v>480</v>
      </c>
      <c r="F158" s="239">
        <v>0.86175942549371631</v>
      </c>
      <c r="G158" s="238">
        <v>453</v>
      </c>
      <c r="H158" s="240">
        <v>173.67911121522042</v>
      </c>
      <c r="I158" s="239">
        <v>0.36183148169837587</v>
      </c>
      <c r="J158" s="238">
        <v>0</v>
      </c>
      <c r="K158" s="238">
        <v>0</v>
      </c>
      <c r="L158" s="238" t="s">
        <v>678</v>
      </c>
      <c r="M158" s="241" t="s">
        <v>678</v>
      </c>
      <c r="N158" s="238" t="s">
        <v>678</v>
      </c>
      <c r="O158" s="239" t="s">
        <v>678</v>
      </c>
      <c r="P158" s="237" t="s">
        <v>678</v>
      </c>
      <c r="Q158" s="237" t="s">
        <v>678</v>
      </c>
      <c r="R158" s="239" t="s">
        <v>678</v>
      </c>
      <c r="S158" s="238" t="s">
        <v>678</v>
      </c>
      <c r="T158" s="436">
        <v>0</v>
      </c>
      <c r="U158" s="436">
        <v>0</v>
      </c>
      <c r="V158" s="436">
        <v>0</v>
      </c>
      <c r="W158" s="436">
        <v>0</v>
      </c>
      <c r="X158" s="238">
        <v>702</v>
      </c>
      <c r="Y158" s="237">
        <v>0.13619999999999999</v>
      </c>
      <c r="Z158" s="238">
        <v>13558</v>
      </c>
      <c r="AA158" s="238">
        <v>19707</v>
      </c>
      <c r="AB158" s="238">
        <v>120.41</v>
      </c>
      <c r="AC158" s="238">
        <v>354</v>
      </c>
      <c r="AD158" s="238">
        <v>1158821.3500000001</v>
      </c>
      <c r="AE158" s="238">
        <v>134217.08000000007</v>
      </c>
      <c r="AF158" s="238">
        <v>844260.21</v>
      </c>
      <c r="AG158" s="238">
        <v>65897.77</v>
      </c>
      <c r="AH158" s="239">
        <v>7.8053862090693593E-2</v>
      </c>
      <c r="AI158" s="247">
        <v>43.238030999999999</v>
      </c>
      <c r="AJ158" s="242">
        <v>5.0634690000000004</v>
      </c>
      <c r="AK158" s="242">
        <v>0.90906086175942558</v>
      </c>
      <c r="AL158" s="242" t="s">
        <v>678</v>
      </c>
      <c r="AM158" s="242" t="s">
        <v>678</v>
      </c>
      <c r="AN158" s="242">
        <v>6618.23</v>
      </c>
      <c r="AO158" s="238">
        <v>0</v>
      </c>
      <c r="AP158" s="243">
        <v>0</v>
      </c>
      <c r="AQ158" s="238">
        <v>1</v>
      </c>
      <c r="AR158" s="238">
        <v>1704.1846435913758</v>
      </c>
      <c r="AS158" s="238">
        <v>1800.3004523467446</v>
      </c>
      <c r="AT158" s="238">
        <v>38859.666666666664</v>
      </c>
      <c r="AU158" s="238">
        <v>316.79300338298168</v>
      </c>
      <c r="AV158" s="237">
        <v>1</v>
      </c>
      <c r="AW158" s="237">
        <v>1</v>
      </c>
      <c r="AX158" s="237">
        <v>1</v>
      </c>
      <c r="AY158" s="244" t="s">
        <v>682</v>
      </c>
      <c r="AZ158" s="244" t="s">
        <v>695</v>
      </c>
      <c r="BA158" s="237">
        <v>0</v>
      </c>
      <c r="BB158" s="245" t="s">
        <v>743</v>
      </c>
      <c r="BC158" s="215" t="s">
        <v>744</v>
      </c>
      <c r="BE158" s="237">
        <v>264</v>
      </c>
      <c r="BF158" s="237">
        <v>2</v>
      </c>
      <c r="BG158" s="246" t="s">
        <v>698</v>
      </c>
      <c r="BI158" s="239">
        <v>0.5490196078431373</v>
      </c>
      <c r="BJ158" s="239">
        <v>0.18487394957983194</v>
      </c>
      <c r="BK158" s="239">
        <v>0.23809523809523808</v>
      </c>
      <c r="BL158" s="239">
        <v>2.8011204481792718E-2</v>
      </c>
      <c r="BM158" s="247">
        <v>2.2549019607843137</v>
      </c>
      <c r="BN158" s="248">
        <v>1</v>
      </c>
      <c r="BO158" s="248">
        <v>0</v>
      </c>
      <c r="BP158" s="237">
        <v>0</v>
      </c>
      <c r="BQ158" s="237">
        <v>0</v>
      </c>
      <c r="BR158" s="248">
        <v>1</v>
      </c>
      <c r="BU158" s="249" t="s">
        <v>678</v>
      </c>
      <c r="BV158" s="249" t="s">
        <v>678</v>
      </c>
      <c r="BW158" s="249" t="s">
        <v>678</v>
      </c>
      <c r="BX158" s="249" t="s">
        <v>678</v>
      </c>
      <c r="BY158" s="249" t="s">
        <v>678</v>
      </c>
      <c r="BZ158" s="249" t="s">
        <v>678</v>
      </c>
      <c r="CA158" s="249" t="s">
        <v>678</v>
      </c>
      <c r="CB158" s="249" t="s">
        <v>678</v>
      </c>
      <c r="CC158" s="250" t="s">
        <v>678</v>
      </c>
      <c r="CD158" s="242" t="s">
        <v>678</v>
      </c>
      <c r="CE158" s="252" t="s">
        <v>678</v>
      </c>
      <c r="CF158" s="238">
        <v>358</v>
      </c>
      <c r="CG158" s="238">
        <v>36.1</v>
      </c>
      <c r="CH158" s="238">
        <v>5.453172205438066</v>
      </c>
      <c r="CI158" s="216" t="s">
        <v>722</v>
      </c>
      <c r="CJ158" s="237">
        <v>1</v>
      </c>
      <c r="CK158" s="253">
        <v>14.83</v>
      </c>
      <c r="CL158" s="253">
        <v>8.2963000000000005</v>
      </c>
      <c r="CM158" s="254">
        <v>1.4894614003590665E-2</v>
      </c>
      <c r="CN158" s="237" t="s">
        <v>86</v>
      </c>
      <c r="CO158" s="242">
        <v>259.99</v>
      </c>
      <c r="CP158" s="255">
        <v>0.46676840215439858</v>
      </c>
      <c r="CV158" s="237">
        <v>2</v>
      </c>
      <c r="CW158" s="261" t="s">
        <v>678</v>
      </c>
      <c r="CX158" s="261" t="s">
        <v>678</v>
      </c>
      <c r="CY158" s="261" t="s">
        <v>678</v>
      </c>
      <c r="DB158" s="216" t="s">
        <v>710</v>
      </c>
      <c r="DC158" s="195" t="s">
        <v>711</v>
      </c>
      <c r="DD158" s="256">
        <v>0.8</v>
      </c>
      <c r="DE158" s="256">
        <v>-10</v>
      </c>
      <c r="DF158" s="256">
        <v>0.5</v>
      </c>
      <c r="DG158" s="256">
        <v>-2.2999999999999998</v>
      </c>
      <c r="DL158" s="237" t="s">
        <v>682</v>
      </c>
      <c r="DP158" s="258" t="s">
        <v>682</v>
      </c>
      <c r="DQ158" s="258"/>
      <c r="DR158" s="258"/>
      <c r="DS158" s="258"/>
      <c r="DT158" s="258"/>
      <c r="DU158" s="237">
        <v>0</v>
      </c>
      <c r="DX158" s="247"/>
      <c r="DY158" s="247">
        <v>0</v>
      </c>
      <c r="EA158" s="237">
        <v>0</v>
      </c>
      <c r="EB158" s="237" t="s">
        <v>765</v>
      </c>
      <c r="ED158" s="237" t="s">
        <v>678</v>
      </c>
      <c r="EE158" s="208">
        <v>1</v>
      </c>
      <c r="EF158" s="237" t="s">
        <v>678</v>
      </c>
      <c r="EG158" s="216" t="s">
        <v>703</v>
      </c>
      <c r="EH158" s="246" t="s">
        <v>704</v>
      </c>
      <c r="EI158" s="216"/>
      <c r="EJ158" s="216" t="s">
        <v>529</v>
      </c>
      <c r="EK158" s="222" t="s">
        <v>682</v>
      </c>
      <c r="EL158" s="259">
        <v>2003</v>
      </c>
      <c r="EM158" s="260">
        <v>1600</v>
      </c>
      <c r="EN158" s="260">
        <v>35459</v>
      </c>
      <c r="EO158" s="260">
        <v>3994</v>
      </c>
      <c r="ER158" s="237" t="s">
        <v>705</v>
      </c>
      <c r="ES158" s="237">
        <v>662</v>
      </c>
      <c r="ET158" s="237">
        <v>2.4962499999999999</v>
      </c>
      <c r="EU158" s="661">
        <v>1</v>
      </c>
      <c r="EV158" s="661" t="s">
        <v>678</v>
      </c>
      <c r="EW158" s="661" t="s">
        <v>678</v>
      </c>
      <c r="EX158" s="661">
        <v>4</v>
      </c>
      <c r="EY158" s="660">
        <v>2.6624775583482946E-2</v>
      </c>
      <c r="EZ158" s="256">
        <v>44.639244774106544</v>
      </c>
      <c r="FA158" s="247">
        <v>0.41666666666666669</v>
      </c>
      <c r="FB158" s="208" t="s">
        <v>678</v>
      </c>
      <c r="FC158" s="208" t="s">
        <v>678</v>
      </c>
      <c r="FD158" s="208">
        <v>5</v>
      </c>
      <c r="FE158" s="239">
        <v>0.94374999999999998</v>
      </c>
      <c r="FF158" s="208"/>
      <c r="FG158" s="241">
        <v>0</v>
      </c>
      <c r="FH158" s="209">
        <v>0</v>
      </c>
      <c r="FI158" s="237" t="s">
        <v>678</v>
      </c>
      <c r="FJ158" s="208" t="s">
        <v>678</v>
      </c>
      <c r="FK158" s="208" t="s">
        <v>678</v>
      </c>
      <c r="FL158" s="217" t="s">
        <v>678</v>
      </c>
      <c r="FM158" s="208" t="s">
        <v>678</v>
      </c>
      <c r="FN158" s="208" t="s">
        <v>678</v>
      </c>
      <c r="FP158" s="247" t="s">
        <v>693</v>
      </c>
      <c r="FU158" s="208" t="s">
        <v>678</v>
      </c>
      <c r="FV158" s="208" t="s">
        <v>678</v>
      </c>
      <c r="FW158" s="208" t="s">
        <v>678</v>
      </c>
      <c r="FX158" s="208" t="s">
        <v>678</v>
      </c>
      <c r="FY158" s="208" t="s">
        <v>678</v>
      </c>
      <c r="FZ158" s="208" t="s">
        <v>678</v>
      </c>
      <c r="GA158" s="208" t="s">
        <v>678</v>
      </c>
      <c r="GB158" s="208" t="s">
        <v>678</v>
      </c>
      <c r="GC158" s="208" t="s">
        <v>678</v>
      </c>
      <c r="GD158" s="208" t="s">
        <v>678</v>
      </c>
      <c r="GE158" s="237" t="s">
        <v>678</v>
      </c>
      <c r="GF158" s="237" t="s">
        <v>678</v>
      </c>
      <c r="GG158" s="237" t="s">
        <v>678</v>
      </c>
      <c r="GH158" s="237" t="s">
        <v>678</v>
      </c>
      <c r="GJ158" s="947"/>
      <c r="GK158" s="320"/>
      <c r="GL158" s="320"/>
      <c r="GM158" s="320"/>
      <c r="GN158" s="320"/>
      <c r="GO158" s="662">
        <v>8153</v>
      </c>
      <c r="GP158" s="663" t="str">
        <f>VLOOKUP(GS158,'BD Comarcal'!$A$6:$AV$17,48,FALSE)</f>
        <v>21</v>
      </c>
      <c r="GQ158" s="564">
        <v>4</v>
      </c>
      <c r="GR158" s="256">
        <f t="shared" si="2"/>
        <v>0</v>
      </c>
      <c r="GS158" s="237" t="s">
        <v>86</v>
      </c>
    </row>
    <row r="159" spans="1:201" s="237" customFormat="1" ht="17.25" customHeight="1">
      <c r="A159" s="236" t="s">
        <v>1310</v>
      </c>
      <c r="C159" s="238"/>
      <c r="D159" s="238">
        <v>614</v>
      </c>
      <c r="E159" s="238">
        <v>96</v>
      </c>
      <c r="F159" s="239">
        <v>0.15635179153094461</v>
      </c>
      <c r="G159" s="238">
        <v>57</v>
      </c>
      <c r="H159" s="240">
        <v>110.89423932703612</v>
      </c>
      <c r="I159" s="239">
        <v>1</v>
      </c>
      <c r="J159" s="238">
        <v>536</v>
      </c>
      <c r="K159" s="238">
        <v>23</v>
      </c>
      <c r="L159" s="238">
        <v>5</v>
      </c>
      <c r="M159" s="241">
        <v>8.1433224755700327E-3</v>
      </c>
      <c r="N159" s="238">
        <v>189</v>
      </c>
      <c r="O159" s="239">
        <v>0.35261194029850745</v>
      </c>
      <c r="P159" s="237">
        <v>4</v>
      </c>
      <c r="Q159" s="237">
        <v>0</v>
      </c>
      <c r="R159" s="239">
        <v>0</v>
      </c>
      <c r="S159" s="238">
        <v>229</v>
      </c>
      <c r="T159" s="436">
        <v>0</v>
      </c>
      <c r="U159" s="436">
        <v>17</v>
      </c>
      <c r="V159" s="436">
        <v>0</v>
      </c>
      <c r="W159" s="436">
        <v>17</v>
      </c>
      <c r="X159" s="238">
        <v>894</v>
      </c>
      <c r="Y159" s="237">
        <v>0.14460000000000001</v>
      </c>
      <c r="Z159" s="238">
        <v>11712</v>
      </c>
      <c r="AA159" s="238">
        <v>13115</v>
      </c>
      <c r="AB159" s="238">
        <v>80.13</v>
      </c>
      <c r="AC159" s="238">
        <v>0</v>
      </c>
      <c r="AD159" s="238">
        <v>1335062.3</v>
      </c>
      <c r="AE159" s="238">
        <v>340728.6</v>
      </c>
      <c r="AF159" s="238">
        <v>833367.67</v>
      </c>
      <c r="AG159" s="238">
        <v>10596.8</v>
      </c>
      <c r="AH159" s="239">
        <v>1.271563606493158E-2</v>
      </c>
      <c r="AI159" s="247">
        <v>57.677425999999997</v>
      </c>
      <c r="AJ159" s="242">
        <v>8.3012730000000001</v>
      </c>
      <c r="AK159" s="242">
        <v>1.3519988599348534</v>
      </c>
      <c r="AL159" s="242">
        <v>21.357806</v>
      </c>
      <c r="AM159" s="242">
        <v>3.47847003257329</v>
      </c>
      <c r="AN159" s="242">
        <v>13674.76</v>
      </c>
      <c r="AO159" s="238">
        <v>1610.5</v>
      </c>
      <c r="AP159" s="243">
        <v>7</v>
      </c>
      <c r="AQ159" s="238"/>
      <c r="AR159" s="238">
        <v>1921.0924384293548</v>
      </c>
      <c r="AS159" s="238">
        <v>1372.6329719568173</v>
      </c>
      <c r="AT159" s="238">
        <v>239076.66666666666</v>
      </c>
      <c r="AU159" s="238">
        <v>289.40021267624985</v>
      </c>
      <c r="AV159" s="237">
        <v>1</v>
      </c>
      <c r="AW159" s="237">
        <v>0</v>
      </c>
      <c r="AX159" s="237">
        <v>0</v>
      </c>
      <c r="AY159" s="244" t="s">
        <v>673</v>
      </c>
      <c r="AZ159" s="244" t="s">
        <v>673</v>
      </c>
      <c r="BA159" s="237">
        <v>2013</v>
      </c>
      <c r="BB159" s="245" t="s">
        <v>678</v>
      </c>
      <c r="BC159" s="215" t="s">
        <v>678</v>
      </c>
      <c r="BE159" s="237">
        <v>10</v>
      </c>
      <c r="BF159" s="237">
        <v>15</v>
      </c>
      <c r="BG159" s="246" t="s">
        <v>676</v>
      </c>
      <c r="BI159" s="239">
        <v>0.46943231441048033</v>
      </c>
      <c r="BJ159" s="239">
        <v>8.5152838427947602E-2</v>
      </c>
      <c r="BK159" s="239">
        <v>0.42576419213973798</v>
      </c>
      <c r="BL159" s="239">
        <v>1.9650655021834062E-2</v>
      </c>
      <c r="BM159" s="247">
        <v>2.0043668122270741</v>
      </c>
      <c r="BN159" s="248">
        <v>1</v>
      </c>
      <c r="BO159" s="248">
        <v>0</v>
      </c>
      <c r="BP159" s="237">
        <v>0</v>
      </c>
      <c r="BQ159" s="237">
        <v>0</v>
      </c>
      <c r="BR159" s="248">
        <v>1</v>
      </c>
      <c r="BS159" s="237">
        <v>4.5</v>
      </c>
      <c r="BT159" s="237" t="s">
        <v>790</v>
      </c>
      <c r="BU159" s="249" t="s">
        <v>678</v>
      </c>
      <c r="BV159" s="249" t="s">
        <v>678</v>
      </c>
      <c r="BW159" s="249" t="s">
        <v>678</v>
      </c>
      <c r="BX159" s="249" t="s">
        <v>678</v>
      </c>
      <c r="BY159" s="249" t="s">
        <v>678</v>
      </c>
      <c r="BZ159" s="249" t="s">
        <v>678</v>
      </c>
      <c r="CA159" s="249" t="s">
        <v>678</v>
      </c>
      <c r="CB159" s="249" t="s">
        <v>678</v>
      </c>
      <c r="CC159" s="250" t="s">
        <v>678</v>
      </c>
      <c r="CD159" s="242" t="s">
        <v>678</v>
      </c>
      <c r="CE159" s="252" t="s">
        <v>678</v>
      </c>
      <c r="CF159" s="238">
        <v>362</v>
      </c>
      <c r="CG159" s="238">
        <v>63</v>
      </c>
      <c r="CH159" s="238">
        <v>7.0627802690582957</v>
      </c>
      <c r="CI159" s="216" t="s">
        <v>722</v>
      </c>
      <c r="CJ159" s="237">
        <v>1</v>
      </c>
      <c r="CK159" s="253">
        <v>36.729999999999997</v>
      </c>
      <c r="CL159" s="253">
        <v>15.134499999999999</v>
      </c>
      <c r="CM159" s="254">
        <v>2.464902280130293E-2</v>
      </c>
      <c r="CN159" s="237" t="s">
        <v>791</v>
      </c>
      <c r="CO159" s="242"/>
      <c r="CP159" s="255">
        <v>0</v>
      </c>
      <c r="CW159" s="261" t="s">
        <v>678</v>
      </c>
      <c r="CX159" s="261" t="s">
        <v>678</v>
      </c>
      <c r="CY159" s="261" t="s">
        <v>678</v>
      </c>
      <c r="DB159" s="216" t="s">
        <v>746</v>
      </c>
      <c r="DC159" s="195" t="s">
        <v>1284</v>
      </c>
      <c r="DD159" s="256">
        <v>0.7</v>
      </c>
      <c r="DE159" s="256">
        <v>-6.5</v>
      </c>
      <c r="DF159" s="256">
        <v>0.7</v>
      </c>
      <c r="DG159" s="256">
        <v>-2.2000000000000002</v>
      </c>
      <c r="DL159" s="237" t="s">
        <v>682</v>
      </c>
      <c r="DP159" s="258" t="s">
        <v>682</v>
      </c>
      <c r="DQ159" s="258"/>
      <c r="DR159" s="258"/>
      <c r="DS159" s="258"/>
      <c r="DT159" s="258"/>
      <c r="DU159" s="237">
        <v>0</v>
      </c>
      <c r="DX159" s="247"/>
      <c r="DY159" s="247">
        <v>0</v>
      </c>
      <c r="EA159" s="237">
        <v>1</v>
      </c>
      <c r="EB159" s="237" t="s">
        <v>1019</v>
      </c>
      <c r="ED159" s="237" t="s">
        <v>678</v>
      </c>
      <c r="EE159" s="208">
        <v>1</v>
      </c>
      <c r="EF159" s="237" t="s">
        <v>678</v>
      </c>
      <c r="EG159" s="216" t="s">
        <v>691</v>
      </c>
      <c r="EH159" s="246" t="s">
        <v>690</v>
      </c>
      <c r="EI159" s="216"/>
      <c r="EJ159" s="216" t="s">
        <v>806</v>
      </c>
      <c r="EK159" s="222" t="s">
        <v>682</v>
      </c>
      <c r="EL159" s="259">
        <v>1999</v>
      </c>
      <c r="EM159" s="260">
        <v>16048</v>
      </c>
      <c r="EN159" s="260">
        <v>39577</v>
      </c>
      <c r="EO159" s="260">
        <v>211939</v>
      </c>
      <c r="ER159" s="237" t="s">
        <v>705</v>
      </c>
      <c r="ES159" s="237">
        <v>892</v>
      </c>
      <c r="ET159" s="237">
        <v>13.20656779661017</v>
      </c>
      <c r="EU159" s="661">
        <v>1</v>
      </c>
      <c r="EV159" s="661" t="s">
        <v>678</v>
      </c>
      <c r="EW159" s="661">
        <v>3</v>
      </c>
      <c r="EX159" s="661">
        <v>4</v>
      </c>
      <c r="EY159" s="660">
        <v>5.9820846905537454E-2</v>
      </c>
      <c r="EZ159" s="256">
        <v>24.285325347127692</v>
      </c>
      <c r="FA159" s="247">
        <v>0</v>
      </c>
      <c r="FB159" s="208">
        <v>5</v>
      </c>
      <c r="FC159" s="208">
        <v>5</v>
      </c>
      <c r="FD159" s="208">
        <v>6</v>
      </c>
      <c r="FE159" s="239">
        <v>0.59375</v>
      </c>
      <c r="FF159" s="208"/>
      <c r="FG159" s="241">
        <v>0</v>
      </c>
      <c r="FH159" s="209">
        <v>0</v>
      </c>
      <c r="FI159" s="237" t="s">
        <v>678</v>
      </c>
      <c r="FJ159" s="208" t="s">
        <v>678</v>
      </c>
      <c r="FK159" s="208" t="s">
        <v>678</v>
      </c>
      <c r="FL159" s="217" t="s">
        <v>678</v>
      </c>
      <c r="FM159" s="208" t="s">
        <v>678</v>
      </c>
      <c r="FN159" s="208" t="s">
        <v>678</v>
      </c>
      <c r="FP159" s="247" t="s">
        <v>693</v>
      </c>
      <c r="FU159" s="208" t="s">
        <v>678</v>
      </c>
      <c r="FV159" s="208" t="s">
        <v>678</v>
      </c>
      <c r="FW159" s="208" t="s">
        <v>678</v>
      </c>
      <c r="FX159" s="208" t="s">
        <v>678</v>
      </c>
      <c r="FY159" s="208" t="s">
        <v>678</v>
      </c>
      <c r="FZ159" s="208" t="s">
        <v>678</v>
      </c>
      <c r="GA159" s="208" t="s">
        <v>678</v>
      </c>
      <c r="GB159" s="208" t="s">
        <v>678</v>
      </c>
      <c r="GC159" s="208" t="s">
        <v>678</v>
      </c>
      <c r="GD159" s="208" t="s">
        <v>678</v>
      </c>
      <c r="GE159" s="237" t="s">
        <v>678</v>
      </c>
      <c r="GF159" s="237" t="s">
        <v>678</v>
      </c>
      <c r="GG159" s="237" t="s">
        <v>678</v>
      </c>
      <c r="GH159" s="237" t="s">
        <v>678</v>
      </c>
      <c r="GJ159" s="947"/>
      <c r="GK159" s="320"/>
      <c r="GL159" s="320"/>
      <c r="GM159" s="320"/>
      <c r="GN159" s="320"/>
      <c r="GO159" s="662">
        <v>8154</v>
      </c>
      <c r="GP159" s="663" t="str">
        <f>VLOOKUP(GS159,'BD Comarcal'!$A$6:$AV$17,48,FALSE)</f>
        <v>03</v>
      </c>
      <c r="GQ159" s="564">
        <v>8</v>
      </c>
      <c r="GR159" s="256">
        <f t="shared" si="2"/>
        <v>0</v>
      </c>
      <c r="GS159" s="237" t="s">
        <v>791</v>
      </c>
    </row>
    <row r="160" spans="1:201" s="237" customFormat="1" ht="17.25" customHeight="1">
      <c r="A160" s="236" t="s">
        <v>1311</v>
      </c>
      <c r="C160" s="238"/>
      <c r="D160" s="238">
        <v>1630</v>
      </c>
      <c r="E160" s="238">
        <v>752</v>
      </c>
      <c r="F160" s="239">
        <v>0.46134969325153374</v>
      </c>
      <c r="G160" s="238">
        <v>693</v>
      </c>
      <c r="H160" s="240">
        <v>85.804980713277502</v>
      </c>
      <c r="I160" s="239">
        <v>0.11410236796978392</v>
      </c>
      <c r="J160" s="238">
        <v>303</v>
      </c>
      <c r="K160" s="238">
        <v>5</v>
      </c>
      <c r="L160" s="238">
        <v>250</v>
      </c>
      <c r="M160" s="241">
        <v>0.15337423312883436</v>
      </c>
      <c r="N160" s="238">
        <v>10</v>
      </c>
      <c r="O160" s="239">
        <v>3.3003300330033E-2</v>
      </c>
      <c r="P160" s="237">
        <v>9</v>
      </c>
      <c r="Q160" s="237">
        <v>0</v>
      </c>
      <c r="R160" s="239">
        <v>0</v>
      </c>
      <c r="S160" s="238">
        <v>246</v>
      </c>
      <c r="T160" s="436">
        <v>0</v>
      </c>
      <c r="U160" s="436">
        <v>34</v>
      </c>
      <c r="V160" s="436">
        <v>163</v>
      </c>
      <c r="W160" s="436">
        <v>197</v>
      </c>
      <c r="X160" s="238">
        <v>9133</v>
      </c>
      <c r="Y160" s="237">
        <v>0.12379999999999999</v>
      </c>
      <c r="Z160" s="238">
        <v>114698</v>
      </c>
      <c r="AA160" s="238">
        <v>12560</v>
      </c>
      <c r="AB160" s="238">
        <v>76.739999999999995</v>
      </c>
      <c r="AC160" s="238">
        <v>1931</v>
      </c>
      <c r="AD160" s="238">
        <v>11815030.77</v>
      </c>
      <c r="AE160" s="238">
        <v>672649.75999999978</v>
      </c>
      <c r="AF160" s="238">
        <v>8962449.7400000002</v>
      </c>
      <c r="AG160" s="238">
        <v>1117571.3</v>
      </c>
      <c r="AH160" s="239">
        <v>0.12469484710326532</v>
      </c>
      <c r="AI160" s="247">
        <v>280.35615799999999</v>
      </c>
      <c r="AJ160" s="242">
        <v>67.744619</v>
      </c>
      <c r="AK160" s="242">
        <v>4.1561115950920247</v>
      </c>
      <c r="AL160" s="242">
        <v>136.25820400000001</v>
      </c>
      <c r="AM160" s="242">
        <v>8.3593990184049076</v>
      </c>
      <c r="AN160" s="242">
        <v>30006.26</v>
      </c>
      <c r="AO160" s="238">
        <v>4578.53</v>
      </c>
      <c r="AP160" s="243">
        <v>16</v>
      </c>
      <c r="AQ160" s="238">
        <v>1</v>
      </c>
      <c r="AR160" s="238">
        <v>1239.0426388951778</v>
      </c>
      <c r="AS160" s="238">
        <v>1688.1881755702973</v>
      </c>
      <c r="AT160" s="238">
        <v>1163453</v>
      </c>
      <c r="AU160" s="238">
        <v>268.17367621199497</v>
      </c>
      <c r="AV160" s="237">
        <v>1</v>
      </c>
      <c r="AW160" s="237">
        <v>1</v>
      </c>
      <c r="AX160" s="237">
        <v>1</v>
      </c>
      <c r="AY160" s="244" t="s">
        <v>717</v>
      </c>
      <c r="AZ160" s="244" t="s">
        <v>682</v>
      </c>
      <c r="BA160" s="237">
        <v>2013</v>
      </c>
      <c r="BB160" s="245" t="s">
        <v>877</v>
      </c>
      <c r="BC160" s="215" t="s">
        <v>878</v>
      </c>
      <c r="BE160" s="237">
        <v>62</v>
      </c>
      <c r="BF160" s="237">
        <v>0</v>
      </c>
      <c r="BG160" s="246" t="s">
        <v>676</v>
      </c>
      <c r="BI160" s="239">
        <v>0.17480537862703469</v>
      </c>
      <c r="BJ160" s="239">
        <v>0.12774239207360227</v>
      </c>
      <c r="BK160" s="239">
        <v>0.68736730360934184</v>
      </c>
      <c r="BL160" s="239">
        <v>1.0084925690021231E-2</v>
      </c>
      <c r="BM160" s="247">
        <v>1.4672682236376504</v>
      </c>
      <c r="BN160" s="248">
        <v>0</v>
      </c>
      <c r="BO160" s="248">
        <v>0</v>
      </c>
      <c r="BP160" s="237">
        <v>0</v>
      </c>
      <c r="BQ160" s="237">
        <v>0</v>
      </c>
      <c r="BR160" s="248">
        <v>0</v>
      </c>
      <c r="BU160" s="249">
        <v>680</v>
      </c>
      <c r="BV160" s="249">
        <v>711</v>
      </c>
      <c r="BW160" s="249">
        <v>4803</v>
      </c>
      <c r="BX160" s="249" t="s">
        <v>678</v>
      </c>
      <c r="BY160" s="249">
        <v>7.4881620966853868</v>
      </c>
      <c r="BZ160" s="249">
        <v>7.8295341922695743</v>
      </c>
      <c r="CA160" s="249">
        <v>52.89065080938223</v>
      </c>
      <c r="CB160" s="249" t="s">
        <v>678</v>
      </c>
      <c r="CC160" s="250">
        <v>91.014205483977548</v>
      </c>
      <c r="CD160" s="242">
        <v>-266</v>
      </c>
      <c r="CE160" s="252">
        <v>97.070807179826005</v>
      </c>
      <c r="CF160" s="238">
        <v>4238</v>
      </c>
      <c r="CG160" s="238">
        <v>758</v>
      </c>
      <c r="CH160" s="238">
        <v>8.3470983371875338</v>
      </c>
      <c r="CI160" s="216" t="s">
        <v>679</v>
      </c>
      <c r="CJ160" s="237">
        <v>0</v>
      </c>
      <c r="CK160" s="253">
        <v>167.1</v>
      </c>
      <c r="CL160" s="253">
        <v>112.3399</v>
      </c>
      <c r="CM160" s="254">
        <v>6.892018404907975E-2</v>
      </c>
      <c r="CN160" s="237" t="s">
        <v>86</v>
      </c>
      <c r="CO160" s="242">
        <v>0.17</v>
      </c>
      <c r="CP160" s="255">
        <v>1.0429447852760737E-4</v>
      </c>
      <c r="CV160" s="237">
        <v>5</v>
      </c>
      <c r="CW160" s="194">
        <v>2.573</v>
      </c>
      <c r="CX160" s="194">
        <v>0.63500000000000001</v>
      </c>
      <c r="CY160" s="194">
        <v>0.10199999999999999</v>
      </c>
      <c r="DB160" s="216" t="s">
        <v>710</v>
      </c>
      <c r="DC160" s="195" t="s">
        <v>711</v>
      </c>
      <c r="DD160" s="256">
        <v>0.7</v>
      </c>
      <c r="DE160" s="256">
        <v>-6.5</v>
      </c>
      <c r="DF160" s="256">
        <v>0.7</v>
      </c>
      <c r="DG160" s="256">
        <v>-2.2000000000000002</v>
      </c>
      <c r="DH160" s="257">
        <v>1</v>
      </c>
      <c r="DI160" s="257">
        <v>0.65</v>
      </c>
      <c r="DJ160" s="257">
        <v>0.5</v>
      </c>
      <c r="DK160" s="257">
        <v>1.1499999999999999</v>
      </c>
      <c r="DL160" s="237" t="s">
        <v>529</v>
      </c>
      <c r="DM160" s="270" t="s">
        <v>1312</v>
      </c>
      <c r="DN160" s="237" t="s">
        <v>713</v>
      </c>
      <c r="DO160" s="237">
        <v>1</v>
      </c>
      <c r="DP160" s="258" t="s">
        <v>682</v>
      </c>
      <c r="DQ160" s="258"/>
      <c r="DR160" s="258"/>
      <c r="DS160" s="258"/>
      <c r="DT160" s="258"/>
      <c r="DU160" s="237">
        <v>1</v>
      </c>
      <c r="DV160" s="237" t="s">
        <v>1313</v>
      </c>
      <c r="DW160" s="237" t="s">
        <v>1314</v>
      </c>
      <c r="DX160" s="247">
        <v>4.53</v>
      </c>
      <c r="DY160" s="247">
        <v>0.27791411042944786</v>
      </c>
      <c r="DZ160" s="237" t="s">
        <v>1169</v>
      </c>
      <c r="EA160" s="237">
        <v>2</v>
      </c>
      <c r="EB160" s="237" t="s">
        <v>1170</v>
      </c>
      <c r="ED160" s="237" t="s">
        <v>678</v>
      </c>
      <c r="EE160" s="208">
        <v>1</v>
      </c>
      <c r="EF160" s="237" t="s">
        <v>678</v>
      </c>
      <c r="EG160" s="216" t="s">
        <v>689</v>
      </c>
      <c r="EH160" s="246" t="s">
        <v>690</v>
      </c>
      <c r="EI160" s="216" t="s">
        <v>691</v>
      </c>
      <c r="EJ160" s="216" t="s">
        <v>529</v>
      </c>
      <c r="EK160" s="222" t="s">
        <v>682</v>
      </c>
      <c r="EL160" s="259">
        <v>2006</v>
      </c>
      <c r="EM160" s="260">
        <v>4225</v>
      </c>
      <c r="EN160" s="260">
        <v>379340</v>
      </c>
      <c r="EO160" s="260">
        <v>781868</v>
      </c>
      <c r="ER160" s="237" t="s">
        <v>705</v>
      </c>
      <c r="ES160" s="237" t="e">
        <v>#DIV/0!</v>
      </c>
      <c r="ET160" s="237">
        <v>185.05751479289941</v>
      </c>
      <c r="EU160" s="661">
        <v>1</v>
      </c>
      <c r="EV160" s="661">
        <v>1</v>
      </c>
      <c r="EW160" s="661">
        <v>7</v>
      </c>
      <c r="EX160" s="661">
        <v>6</v>
      </c>
      <c r="EY160" s="660">
        <v>0.10251533742331288</v>
      </c>
      <c r="EZ160" s="256">
        <v>54.344703770197491</v>
      </c>
      <c r="FA160" s="247">
        <v>0.66489361702127658</v>
      </c>
      <c r="FB160" s="208">
        <v>4</v>
      </c>
      <c r="FC160" s="208">
        <v>4</v>
      </c>
      <c r="FD160" s="208">
        <v>5</v>
      </c>
      <c r="FE160" s="239">
        <v>0.92154255319148937</v>
      </c>
      <c r="FF160" s="208"/>
      <c r="FG160" s="241">
        <v>1.529255319148936E-3</v>
      </c>
      <c r="FH160" s="209">
        <v>0</v>
      </c>
      <c r="FI160" s="237" t="s">
        <v>678</v>
      </c>
      <c r="FJ160" s="208">
        <v>40.4</v>
      </c>
      <c r="FK160" s="208">
        <v>5.5</v>
      </c>
      <c r="FL160" s="217">
        <v>39.1</v>
      </c>
      <c r="FM160" s="208">
        <v>4.33</v>
      </c>
      <c r="FN160" s="208" t="s">
        <v>1315</v>
      </c>
      <c r="FP160" s="247" t="s">
        <v>693</v>
      </c>
      <c r="FU160" s="208">
        <v>24</v>
      </c>
      <c r="FV160" s="208">
        <v>12.7</v>
      </c>
      <c r="FW160" s="237">
        <v>77.78</v>
      </c>
      <c r="FX160" s="237">
        <v>63.5</v>
      </c>
      <c r="FY160" s="208">
        <v>28.97</v>
      </c>
      <c r="FZ160" s="208">
        <v>45.3</v>
      </c>
      <c r="GA160" s="208">
        <v>39.89</v>
      </c>
      <c r="GB160" s="208">
        <v>36.6</v>
      </c>
      <c r="GC160" s="208" t="s">
        <v>678</v>
      </c>
      <c r="GD160" s="208" t="s">
        <v>678</v>
      </c>
      <c r="GE160" s="237">
        <v>20.2</v>
      </c>
      <c r="GF160" s="237">
        <v>16.399999999999999</v>
      </c>
      <c r="GG160" s="237">
        <v>0.67</v>
      </c>
      <c r="GH160" s="237">
        <v>13</v>
      </c>
      <c r="GJ160" s="947">
        <v>275</v>
      </c>
      <c r="GK160" s="320">
        <v>1.4E-2</v>
      </c>
      <c r="GL160" s="320">
        <v>0.34200000000000003</v>
      </c>
      <c r="GM160" s="320">
        <v>4.3999999999999997E-2</v>
      </c>
      <c r="GN160" s="320">
        <v>0.60099999999999998</v>
      </c>
      <c r="GO160" s="662">
        <v>8155</v>
      </c>
      <c r="GP160" s="663" t="str">
        <f>VLOOKUP(GS160,'BD Comarcal'!$A$6:$AV$17,48,FALSE)</f>
        <v>21</v>
      </c>
      <c r="GQ160" s="564">
        <v>58</v>
      </c>
      <c r="GR160" s="256">
        <f t="shared" si="2"/>
        <v>1</v>
      </c>
      <c r="GS160" s="237" t="s">
        <v>86</v>
      </c>
    </row>
    <row r="161" spans="1:201" s="237" customFormat="1" ht="17.25" customHeight="1">
      <c r="A161" s="236" t="s">
        <v>1316</v>
      </c>
      <c r="C161" s="238"/>
      <c r="D161" s="238">
        <v>1493</v>
      </c>
      <c r="E161" s="238">
        <v>424</v>
      </c>
      <c r="F161" s="239">
        <v>0.28399196249162761</v>
      </c>
      <c r="G161" s="238">
        <v>304</v>
      </c>
      <c r="H161" s="240">
        <v>194.22688734989447</v>
      </c>
      <c r="I161" s="239">
        <v>0.45808228148560015</v>
      </c>
      <c r="J161" s="238">
        <v>466</v>
      </c>
      <c r="K161" s="238">
        <v>12</v>
      </c>
      <c r="L161" s="238">
        <v>66</v>
      </c>
      <c r="M161" s="241">
        <v>4.4206296048225048E-2</v>
      </c>
      <c r="N161" s="238">
        <v>0</v>
      </c>
      <c r="O161" s="239">
        <v>0</v>
      </c>
      <c r="P161" s="237">
        <v>13</v>
      </c>
      <c r="Q161" s="237">
        <v>1</v>
      </c>
      <c r="R161" s="239">
        <v>7.6923076923076927E-2</v>
      </c>
      <c r="S161" s="238">
        <v>1469</v>
      </c>
      <c r="T161" s="436">
        <v>0</v>
      </c>
      <c r="U161" s="436">
        <v>0</v>
      </c>
      <c r="V161" s="436">
        <v>16</v>
      </c>
      <c r="W161" s="436">
        <v>16</v>
      </c>
      <c r="X161" s="238">
        <v>14494</v>
      </c>
      <c r="Y161" s="237">
        <v>0.1358</v>
      </c>
      <c r="Z161" s="238">
        <v>220132</v>
      </c>
      <c r="AA161" s="238">
        <v>15227</v>
      </c>
      <c r="AB161" s="238">
        <v>93.04</v>
      </c>
      <c r="AC161" s="238">
        <v>4606</v>
      </c>
      <c r="AD161" s="238">
        <v>20626494.77</v>
      </c>
      <c r="AE161" s="238">
        <v>2484643.0799999945</v>
      </c>
      <c r="AF161" s="238">
        <v>14161777.260000004</v>
      </c>
      <c r="AG161" s="238">
        <v>920943.81</v>
      </c>
      <c r="AH161" s="239">
        <v>6.5030242538922672E-2</v>
      </c>
      <c r="AI161" s="247">
        <v>169.59077500000001</v>
      </c>
      <c r="AJ161" s="242">
        <v>141.485163</v>
      </c>
      <c r="AK161" s="242">
        <v>9.4765681848626926</v>
      </c>
      <c r="AL161" s="242">
        <v>185.70192399999999</v>
      </c>
      <c r="AM161" s="242">
        <v>12.438173074346953</v>
      </c>
      <c r="AN161" s="242">
        <v>97515.53</v>
      </c>
      <c r="AO161" s="238">
        <v>8130.41</v>
      </c>
      <c r="AP161" s="243">
        <v>34</v>
      </c>
      <c r="AQ161" s="238"/>
      <c r="AR161" s="238">
        <v>1297.7261868905173</v>
      </c>
      <c r="AS161" s="238">
        <v>2171.7064939009038</v>
      </c>
      <c r="AT161" s="238">
        <v>1100905</v>
      </c>
      <c r="AU161" s="238">
        <v>256.9724113447889</v>
      </c>
      <c r="AV161" s="237">
        <v>1</v>
      </c>
      <c r="AW161" s="237">
        <v>0</v>
      </c>
      <c r="AX161" s="237">
        <v>1</v>
      </c>
      <c r="AY161" s="244" t="s">
        <v>673</v>
      </c>
      <c r="AZ161" s="244" t="s">
        <v>673</v>
      </c>
      <c r="BA161" s="237">
        <v>2010</v>
      </c>
      <c r="BB161" s="245" t="s">
        <v>1317</v>
      </c>
      <c r="BC161" s="215" t="s">
        <v>1318</v>
      </c>
      <c r="BE161" s="237">
        <v>8</v>
      </c>
      <c r="BF161" s="237">
        <v>42</v>
      </c>
      <c r="BG161" s="246" t="s">
        <v>676</v>
      </c>
      <c r="BI161" s="239">
        <v>0.36884338682899837</v>
      </c>
      <c r="BJ161" s="239">
        <v>0.16242390702822357</v>
      </c>
      <c r="BK161" s="239">
        <v>0.46195351411178748</v>
      </c>
      <c r="BL161" s="239">
        <v>6.7791920309905919E-3</v>
      </c>
      <c r="BM161" s="247">
        <v>1.8933314886552297</v>
      </c>
      <c r="BN161" s="248">
        <v>0</v>
      </c>
      <c r="BO161" s="248">
        <v>0</v>
      </c>
      <c r="BP161" s="237">
        <v>0</v>
      </c>
      <c r="BQ161" s="237">
        <v>0</v>
      </c>
      <c r="BR161" s="248">
        <v>0</v>
      </c>
      <c r="BS161" s="237">
        <v>27</v>
      </c>
      <c r="BT161" s="237" t="s">
        <v>947</v>
      </c>
      <c r="BU161" s="249" t="s">
        <v>678</v>
      </c>
      <c r="BV161" s="249">
        <v>1613</v>
      </c>
      <c r="BW161" s="249">
        <v>6870</v>
      </c>
      <c r="BX161" s="249">
        <v>1819</v>
      </c>
      <c r="BY161" s="249" t="s">
        <v>678</v>
      </c>
      <c r="BZ161" s="249">
        <v>11.159540611595407</v>
      </c>
      <c r="CA161" s="249">
        <v>47.530095475300953</v>
      </c>
      <c r="CB161" s="249">
        <v>12.584751625847517</v>
      </c>
      <c r="CC161" s="250" t="s">
        <v>678</v>
      </c>
      <c r="CD161" s="242">
        <v>1341</v>
      </c>
      <c r="CE161" s="252">
        <v>109.27770859277709</v>
      </c>
      <c r="CF161" s="238">
        <v>5797</v>
      </c>
      <c r="CG161" s="238">
        <v>1132.3</v>
      </c>
      <c r="CH161" s="238">
        <v>7.833817628338176</v>
      </c>
      <c r="CI161" s="216" t="s">
        <v>679</v>
      </c>
      <c r="CJ161" s="237">
        <v>0</v>
      </c>
      <c r="CK161" s="253">
        <v>158.22999999999999</v>
      </c>
      <c r="CL161" s="253">
        <v>527.54150000000004</v>
      </c>
      <c r="CM161" s="254">
        <v>0.35334326858673815</v>
      </c>
      <c r="CN161" s="237" t="s">
        <v>89</v>
      </c>
      <c r="CO161" s="242">
        <v>11.95</v>
      </c>
      <c r="CP161" s="255">
        <v>8.0040187541862012E-3</v>
      </c>
      <c r="CV161" s="237">
        <v>4</v>
      </c>
      <c r="CW161" s="194">
        <v>1.1639999999999999</v>
      </c>
      <c r="CX161" s="194">
        <v>0.63500000000000001</v>
      </c>
      <c r="CY161" s="194" t="s">
        <v>680</v>
      </c>
      <c r="DB161" s="216" t="s">
        <v>1017</v>
      </c>
      <c r="DC161" s="195" t="s">
        <v>1018</v>
      </c>
      <c r="DD161" s="256">
        <v>0.7</v>
      </c>
      <c r="DE161" s="256">
        <v>-6.5</v>
      </c>
      <c r="DF161" s="256">
        <v>0.7</v>
      </c>
      <c r="DG161" s="256">
        <v>-2.2000000000000002</v>
      </c>
      <c r="DL161" s="237" t="s">
        <v>529</v>
      </c>
      <c r="DN161" s="237" t="s">
        <v>730</v>
      </c>
      <c r="DP161" s="258" t="s">
        <v>682</v>
      </c>
      <c r="DQ161" s="258"/>
      <c r="DR161" s="258"/>
      <c r="DS161" s="258"/>
      <c r="DT161" s="258"/>
      <c r="DU161" s="237">
        <v>0</v>
      </c>
      <c r="DX161" s="247"/>
      <c r="DY161" s="247">
        <v>0</v>
      </c>
      <c r="EA161" s="237">
        <v>0</v>
      </c>
      <c r="ED161" s="237" t="s">
        <v>678</v>
      </c>
      <c r="EE161" s="208">
        <v>1</v>
      </c>
      <c r="EF161" s="237" t="s">
        <v>678</v>
      </c>
      <c r="EG161" s="216" t="s">
        <v>691</v>
      </c>
      <c r="EH161" s="246" t="s">
        <v>690</v>
      </c>
      <c r="EI161" s="216"/>
      <c r="EJ161" s="216" t="s">
        <v>529</v>
      </c>
      <c r="EK161" s="222" t="s">
        <v>682</v>
      </c>
      <c r="EL161" s="259">
        <v>1978</v>
      </c>
      <c r="EM161" s="260">
        <v>120</v>
      </c>
      <c r="EN161" s="260">
        <v>593581</v>
      </c>
      <c r="EO161" s="260">
        <v>560656</v>
      </c>
      <c r="ER161" s="237" t="s">
        <v>705</v>
      </c>
      <c r="ES161" s="237" t="e">
        <v>#DIV/0!</v>
      </c>
      <c r="ET161" s="237">
        <v>4672.1333333333332</v>
      </c>
      <c r="EU161" s="661">
        <v>1</v>
      </c>
      <c r="EV161" s="661">
        <v>3</v>
      </c>
      <c r="EW161" s="661">
        <v>4</v>
      </c>
      <c r="EX161" s="661">
        <v>6</v>
      </c>
      <c r="EY161" s="660">
        <v>0.10598124581379771</v>
      </c>
      <c r="EZ161" s="256">
        <v>91.348037666687745</v>
      </c>
      <c r="FA161" s="247">
        <v>0.94339622641509435</v>
      </c>
      <c r="FB161" s="208">
        <v>3</v>
      </c>
      <c r="FC161" s="208">
        <v>3</v>
      </c>
      <c r="FD161" s="208">
        <v>4</v>
      </c>
      <c r="FE161" s="239">
        <v>0.71698113207547165</v>
      </c>
      <c r="FF161" s="208"/>
      <c r="FG161" s="241">
        <v>0</v>
      </c>
      <c r="FH161" s="209">
        <v>0</v>
      </c>
      <c r="FI161" s="237" t="s">
        <v>678</v>
      </c>
      <c r="FJ161" s="208">
        <v>29.2</v>
      </c>
      <c r="FK161" s="208">
        <v>0</v>
      </c>
      <c r="FL161" s="217">
        <v>6.1</v>
      </c>
      <c r="FM161" s="208">
        <v>1.18</v>
      </c>
      <c r="FN161" s="208" t="s">
        <v>1319</v>
      </c>
      <c r="FP161" s="247" t="s">
        <v>693</v>
      </c>
      <c r="FU161" s="208">
        <v>18</v>
      </c>
      <c r="FV161" s="208">
        <v>2.8</v>
      </c>
      <c r="FW161" s="237">
        <v>0</v>
      </c>
      <c r="FX161" s="237">
        <v>0.5</v>
      </c>
      <c r="FY161" s="208">
        <v>6.13</v>
      </c>
      <c r="FZ161" s="208">
        <v>10.9</v>
      </c>
      <c r="GA161" s="208">
        <v>19.39</v>
      </c>
      <c r="GB161" s="208">
        <v>7.1</v>
      </c>
      <c r="GC161" s="208" t="s">
        <v>678</v>
      </c>
      <c r="GD161" s="208" t="s">
        <v>678</v>
      </c>
      <c r="GE161" s="237">
        <v>14.18</v>
      </c>
      <c r="GF161" s="237">
        <v>8.6</v>
      </c>
      <c r="GG161" s="237">
        <v>5.98</v>
      </c>
      <c r="GH161" s="237">
        <v>50.7</v>
      </c>
      <c r="GJ161" s="947">
        <v>749</v>
      </c>
      <c r="GK161" s="320">
        <v>1E-3</v>
      </c>
      <c r="GL161" s="320">
        <v>0.42699999999999999</v>
      </c>
      <c r="GM161" s="320">
        <v>2.7E-2</v>
      </c>
      <c r="GN161" s="320">
        <v>0.54500000000000004</v>
      </c>
      <c r="GO161" s="662">
        <v>8156</v>
      </c>
      <c r="GP161" s="663" t="str">
        <f>VLOOKUP(GS161,'BD Comarcal'!$A$6:$AV$17,48,FALSE)</f>
        <v>40</v>
      </c>
      <c r="GQ161" s="564">
        <v>105</v>
      </c>
      <c r="GR161" s="256">
        <f t="shared" si="2"/>
        <v>0</v>
      </c>
      <c r="GS161" s="237" t="s">
        <v>89</v>
      </c>
    </row>
    <row r="162" spans="1:201" s="237" customFormat="1" ht="17.25" customHeight="1">
      <c r="A162" s="236" t="s">
        <v>1320</v>
      </c>
      <c r="C162" s="238"/>
      <c r="D162" s="238">
        <v>841</v>
      </c>
      <c r="E162" s="238">
        <v>492</v>
      </c>
      <c r="F162" s="239">
        <v>0.58501783590963141</v>
      </c>
      <c r="G162" s="238">
        <v>265</v>
      </c>
      <c r="H162" s="240">
        <v>0</v>
      </c>
      <c r="I162" s="239">
        <v>0</v>
      </c>
      <c r="J162" s="238">
        <v>19</v>
      </c>
      <c r="K162" s="238">
        <v>0</v>
      </c>
      <c r="L162" s="238" t="s">
        <v>678</v>
      </c>
      <c r="M162" s="241" t="s">
        <v>678</v>
      </c>
      <c r="N162" s="238" t="s">
        <v>678</v>
      </c>
      <c r="O162" s="239" t="s">
        <v>678</v>
      </c>
      <c r="P162" s="237" t="s">
        <v>678</v>
      </c>
      <c r="Q162" s="237" t="s">
        <v>678</v>
      </c>
      <c r="R162" s="239" t="s">
        <v>678</v>
      </c>
      <c r="S162" s="238" t="s">
        <v>678</v>
      </c>
      <c r="T162" s="436">
        <v>0</v>
      </c>
      <c r="U162" s="436">
        <v>0</v>
      </c>
      <c r="V162" s="436">
        <v>0</v>
      </c>
      <c r="W162" s="436">
        <v>0</v>
      </c>
      <c r="X162" s="238">
        <v>11348</v>
      </c>
      <c r="Y162" s="237">
        <v>0.1391</v>
      </c>
      <c r="Z162" s="238">
        <v>203155</v>
      </c>
      <c r="AA162" s="238">
        <v>17982</v>
      </c>
      <c r="AB162" s="238">
        <v>109.87</v>
      </c>
      <c r="AC162" s="238">
        <v>7763</v>
      </c>
      <c r="AD162" s="238">
        <v>11390351.939999999</v>
      </c>
      <c r="AE162" s="238">
        <v>2198551.41</v>
      </c>
      <c r="AF162" s="238">
        <v>10735260.799999999</v>
      </c>
      <c r="AG162" s="238">
        <v>1297860.79</v>
      </c>
      <c r="AH162" s="239">
        <v>0.12089699674552855</v>
      </c>
      <c r="AI162" s="247">
        <v>300.47455100000002</v>
      </c>
      <c r="AJ162" s="242">
        <v>220.48838799999999</v>
      </c>
      <c r="AK162" s="242">
        <v>26.217406420927464</v>
      </c>
      <c r="AL162" s="242">
        <v>165.66886199999999</v>
      </c>
      <c r="AM162" s="242">
        <v>19.699032342449467</v>
      </c>
      <c r="AN162" s="242">
        <v>30500.11</v>
      </c>
      <c r="AO162" s="238">
        <v>2726.44</v>
      </c>
      <c r="AP162" s="243">
        <v>9</v>
      </c>
      <c r="AQ162" s="238"/>
      <c r="AR162" s="238">
        <v>1304.8097315233206</v>
      </c>
      <c r="AS162" s="238">
        <v>1977.5970775858689</v>
      </c>
      <c r="AT162" s="238">
        <v>620227.66666666663</v>
      </c>
      <c r="AU162" s="238">
        <v>270.18736323001906</v>
      </c>
      <c r="AV162" s="237">
        <v>1</v>
      </c>
      <c r="AW162" s="237">
        <v>1</v>
      </c>
      <c r="AX162" s="237">
        <v>1</v>
      </c>
      <c r="AY162" s="244" t="s">
        <v>673</v>
      </c>
      <c r="AZ162" s="244" t="s">
        <v>673</v>
      </c>
      <c r="BA162" s="237">
        <v>2009</v>
      </c>
      <c r="BB162" s="245" t="s">
        <v>1321</v>
      </c>
      <c r="BC162" s="215" t="s">
        <v>1322</v>
      </c>
      <c r="BE162" s="237">
        <v>246</v>
      </c>
      <c r="BF162" s="237">
        <v>2</v>
      </c>
      <c r="BG162" s="246" t="s">
        <v>676</v>
      </c>
      <c r="BI162" s="239">
        <v>0.29753752003497014</v>
      </c>
      <c r="BJ162" s="239">
        <v>0.10928165525280489</v>
      </c>
      <c r="BK162" s="239">
        <v>0.58356403904997811</v>
      </c>
      <c r="BL162" s="239">
        <v>9.6167856622468312E-3</v>
      </c>
      <c r="BM162" s="247">
        <v>1.6947399096604983</v>
      </c>
      <c r="BN162" s="248">
        <v>0</v>
      </c>
      <c r="BO162" s="248">
        <v>1</v>
      </c>
      <c r="BP162" s="237">
        <v>0</v>
      </c>
      <c r="BQ162" s="237">
        <v>0</v>
      </c>
      <c r="BR162" s="248">
        <v>1</v>
      </c>
      <c r="BS162" s="237">
        <v>12</v>
      </c>
      <c r="BT162" s="237" t="s">
        <v>677</v>
      </c>
      <c r="BU162" s="249">
        <v>828</v>
      </c>
      <c r="BV162" s="249">
        <v>925</v>
      </c>
      <c r="BW162" s="249">
        <v>5391</v>
      </c>
      <c r="BX162" s="249">
        <v>1636</v>
      </c>
      <c r="BY162" s="249">
        <v>7.3875802997858671</v>
      </c>
      <c r="BZ162" s="249">
        <v>8.2530335474660959</v>
      </c>
      <c r="CA162" s="249">
        <v>48.099571734475376</v>
      </c>
      <c r="CB162" s="249">
        <v>14.596716630977873</v>
      </c>
      <c r="CC162" s="250">
        <v>86.768379728765169</v>
      </c>
      <c r="CD162" s="242">
        <v>-831</v>
      </c>
      <c r="CE162" s="252">
        <v>92.585653104925058</v>
      </c>
      <c r="CF162" s="238">
        <v>4794</v>
      </c>
      <c r="CG162" s="238">
        <v>781.9</v>
      </c>
      <c r="CH162" s="238">
        <v>6.9762669521770162</v>
      </c>
      <c r="CI162" s="216" t="s">
        <v>679</v>
      </c>
      <c r="CJ162" s="237">
        <v>0</v>
      </c>
      <c r="CK162" s="253">
        <v>254.31</v>
      </c>
      <c r="CL162" s="253">
        <v>145.7878</v>
      </c>
      <c r="CM162" s="254">
        <v>0.17335053507728895</v>
      </c>
      <c r="CN162" s="237" t="s">
        <v>90</v>
      </c>
      <c r="CO162" s="242"/>
      <c r="CP162" s="255">
        <v>0</v>
      </c>
      <c r="CV162" s="237">
        <v>2</v>
      </c>
      <c r="CW162" s="194">
        <v>1.867</v>
      </c>
      <c r="CX162" s="194" t="s">
        <v>680</v>
      </c>
      <c r="CY162" s="194">
        <v>2.5019999999999998</v>
      </c>
      <c r="DB162" s="216" t="s">
        <v>804</v>
      </c>
      <c r="DC162" s="195" t="s">
        <v>977</v>
      </c>
      <c r="DD162" s="256">
        <v>0.7</v>
      </c>
      <c r="DE162" s="256">
        <v>-6.5</v>
      </c>
      <c r="DF162" s="256">
        <v>0.7</v>
      </c>
      <c r="DG162" s="256">
        <v>-2.2000000000000002</v>
      </c>
      <c r="DL162" s="237" t="s">
        <v>682</v>
      </c>
      <c r="DP162" s="258" t="s">
        <v>682</v>
      </c>
      <c r="DQ162" s="258"/>
      <c r="DR162" s="258"/>
      <c r="DS162" s="258"/>
      <c r="DT162" s="258"/>
      <c r="DU162" s="237">
        <v>0</v>
      </c>
      <c r="DX162" s="247"/>
      <c r="DY162" s="247">
        <v>0</v>
      </c>
      <c r="EA162" s="237">
        <v>2</v>
      </c>
      <c r="EB162" s="237" t="s">
        <v>1323</v>
      </c>
      <c r="ED162" s="237" t="s">
        <v>678</v>
      </c>
      <c r="EE162" s="208">
        <v>4</v>
      </c>
      <c r="EF162" s="237" t="s">
        <v>678</v>
      </c>
      <c r="EG162" s="216" t="s">
        <v>691</v>
      </c>
      <c r="EH162" s="246" t="s">
        <v>690</v>
      </c>
      <c r="EI162" s="216" t="s">
        <v>689</v>
      </c>
      <c r="EJ162" s="216" t="s">
        <v>529</v>
      </c>
      <c r="EK162" s="222" t="s">
        <v>682</v>
      </c>
      <c r="EL162" s="259">
        <v>1976</v>
      </c>
      <c r="EM162" s="260">
        <v>4000</v>
      </c>
      <c r="EN162" s="260">
        <v>490851</v>
      </c>
      <c r="EO162" s="260">
        <v>156729</v>
      </c>
      <c r="ER162" s="237" t="s">
        <v>705</v>
      </c>
      <c r="ES162" s="237">
        <v>11208</v>
      </c>
      <c r="ET162" s="237">
        <v>39.182250000000003</v>
      </c>
      <c r="EU162" s="661">
        <v>3</v>
      </c>
      <c r="EV162" s="661">
        <v>2</v>
      </c>
      <c r="EW162" s="661" t="s">
        <v>678</v>
      </c>
      <c r="EX162" s="661">
        <v>9</v>
      </c>
      <c r="EY162" s="660">
        <v>0.30239001189060644</v>
      </c>
      <c r="EZ162" s="256">
        <v>44.072195352129292</v>
      </c>
      <c r="FA162" s="247">
        <v>0.4065040650406504</v>
      </c>
      <c r="FB162" s="208" t="s">
        <v>678</v>
      </c>
      <c r="FC162" s="208" t="s">
        <v>678</v>
      </c>
      <c r="FD162" s="208">
        <v>7</v>
      </c>
      <c r="FE162" s="239">
        <v>0.53861788617886175</v>
      </c>
      <c r="FF162" s="208"/>
      <c r="FG162" s="241">
        <v>0</v>
      </c>
      <c r="FH162" s="209">
        <v>0</v>
      </c>
      <c r="FI162" s="237" t="s">
        <v>678</v>
      </c>
      <c r="FJ162" s="208" t="s">
        <v>678</v>
      </c>
      <c r="FK162" s="208" t="s">
        <v>678</v>
      </c>
      <c r="FL162" s="217" t="s">
        <v>678</v>
      </c>
      <c r="FM162" s="208" t="s">
        <v>678</v>
      </c>
      <c r="FN162" s="208" t="s">
        <v>678</v>
      </c>
      <c r="FP162" s="247" t="s">
        <v>693</v>
      </c>
      <c r="FU162" s="208" t="s">
        <v>678</v>
      </c>
      <c r="FV162" s="208" t="s">
        <v>678</v>
      </c>
      <c r="FW162" s="208" t="s">
        <v>678</v>
      </c>
      <c r="FX162" s="208" t="s">
        <v>678</v>
      </c>
      <c r="FY162" s="208" t="s">
        <v>678</v>
      </c>
      <c r="FZ162" s="208" t="s">
        <v>678</v>
      </c>
      <c r="GA162" s="208" t="s">
        <v>678</v>
      </c>
      <c r="GB162" s="208" t="s">
        <v>678</v>
      </c>
      <c r="GC162" s="208" t="s">
        <v>678</v>
      </c>
      <c r="GD162" s="208" t="s">
        <v>678</v>
      </c>
      <c r="GE162" s="237" t="s">
        <v>678</v>
      </c>
      <c r="GF162" s="237" t="s">
        <v>678</v>
      </c>
      <c r="GG162" s="237" t="s">
        <v>678</v>
      </c>
      <c r="GH162" s="237" t="s">
        <v>678</v>
      </c>
      <c r="GJ162" s="947">
        <v>231</v>
      </c>
      <c r="GK162" s="320">
        <v>0</v>
      </c>
      <c r="GL162" s="320">
        <v>0.16600000000000001</v>
      </c>
      <c r="GM162" s="320">
        <v>5.8999999999999997E-2</v>
      </c>
      <c r="GN162" s="320">
        <v>0.77500000000000002</v>
      </c>
      <c r="GO162" s="662">
        <v>8157</v>
      </c>
      <c r="GP162" s="663" t="str">
        <f>VLOOKUP(GS162,'BD Comarcal'!$A$6:$AV$17,48,FALSE)</f>
        <v>11</v>
      </c>
      <c r="GQ162" s="564">
        <v>106</v>
      </c>
      <c r="GR162" s="256">
        <f t="shared" si="2"/>
        <v>0</v>
      </c>
      <c r="GS162" s="237" t="s">
        <v>90</v>
      </c>
    </row>
    <row r="163" spans="1:201" s="237" customFormat="1" ht="17.25" customHeight="1">
      <c r="A163" s="236" t="s">
        <v>1324</v>
      </c>
      <c r="C163" s="238"/>
      <c r="D163" s="238">
        <v>883</v>
      </c>
      <c r="E163" s="238">
        <v>405</v>
      </c>
      <c r="F163" s="239">
        <v>0.45866364665911663</v>
      </c>
      <c r="G163" s="238">
        <v>289</v>
      </c>
      <c r="H163" s="240">
        <v>24.672804796339815</v>
      </c>
      <c r="I163" s="239">
        <v>6.0920505669974853E-2</v>
      </c>
      <c r="J163" s="238">
        <v>42</v>
      </c>
      <c r="K163" s="238">
        <v>0</v>
      </c>
      <c r="L163" s="238">
        <v>16</v>
      </c>
      <c r="M163" s="241">
        <v>1.8120045300113252E-2</v>
      </c>
      <c r="N163" s="238">
        <v>0</v>
      </c>
      <c r="O163" s="239">
        <v>0</v>
      </c>
      <c r="P163" s="237">
        <v>2</v>
      </c>
      <c r="Q163" s="237">
        <v>0</v>
      </c>
      <c r="R163" s="239">
        <v>0</v>
      </c>
      <c r="S163" s="238">
        <v>20</v>
      </c>
      <c r="T163" s="436">
        <v>0</v>
      </c>
      <c r="U163" s="436">
        <v>0</v>
      </c>
      <c r="V163" s="436">
        <v>20</v>
      </c>
      <c r="W163" s="436">
        <v>20</v>
      </c>
      <c r="X163" s="238">
        <v>4075</v>
      </c>
      <c r="Y163" s="237">
        <v>0.15090000000000001</v>
      </c>
      <c r="Z163" s="238">
        <v>70970</v>
      </c>
      <c r="AA163" s="238">
        <v>17433</v>
      </c>
      <c r="AB163" s="238">
        <v>106.52</v>
      </c>
      <c r="AC163" s="238">
        <v>578</v>
      </c>
      <c r="AD163" s="238">
        <v>5666183.9900000002</v>
      </c>
      <c r="AE163" s="238">
        <v>1074980.9899999993</v>
      </c>
      <c r="AF163" s="238">
        <v>4985330.4800000004</v>
      </c>
      <c r="AG163" s="238">
        <v>436012.51</v>
      </c>
      <c r="AH163" s="239">
        <v>8.7459098599216634E-2</v>
      </c>
      <c r="AI163" s="247">
        <v>123.261067</v>
      </c>
      <c r="AJ163" s="242">
        <v>389.741941</v>
      </c>
      <c r="AK163" s="242">
        <v>44.138385164212913</v>
      </c>
      <c r="AL163" s="242" t="s">
        <v>678</v>
      </c>
      <c r="AM163" s="242" t="s">
        <v>678</v>
      </c>
      <c r="AN163" s="242">
        <v>26720.11</v>
      </c>
      <c r="AO163" s="238">
        <v>11776.82</v>
      </c>
      <c r="AP163" s="243">
        <v>26</v>
      </c>
      <c r="AQ163" s="238"/>
      <c r="AR163" s="238">
        <v>1273.7251772042048</v>
      </c>
      <c r="AS163" s="238">
        <v>2150.9681015730921</v>
      </c>
      <c r="AT163" s="238">
        <v>306190.66666666669</v>
      </c>
      <c r="AU163" s="238">
        <v>262.10838219064243</v>
      </c>
      <c r="AV163" s="237">
        <v>1</v>
      </c>
      <c r="AW163" s="237">
        <v>1</v>
      </c>
      <c r="AX163" s="237">
        <v>0</v>
      </c>
      <c r="AY163" s="244" t="s">
        <v>673</v>
      </c>
      <c r="AZ163" s="244" t="s">
        <v>682</v>
      </c>
      <c r="BA163" s="237">
        <v>2009</v>
      </c>
      <c r="BB163" s="245" t="s">
        <v>1209</v>
      </c>
      <c r="BC163" s="215" t="s">
        <v>1210</v>
      </c>
      <c r="BE163" s="237">
        <v>246</v>
      </c>
      <c r="BF163" s="237">
        <v>2</v>
      </c>
      <c r="BG163" s="246" t="s">
        <v>676</v>
      </c>
      <c r="BI163" s="239">
        <v>0.50351675630947457</v>
      </c>
      <c r="BJ163" s="239">
        <v>0.13777410012412081</v>
      </c>
      <c r="BK163" s="239">
        <v>0.32271410839884151</v>
      </c>
      <c r="BL163" s="239">
        <v>3.5995035167563097E-2</v>
      </c>
      <c r="BM163" s="247">
        <v>2.1088125775755069</v>
      </c>
      <c r="BN163" s="248">
        <v>1</v>
      </c>
      <c r="BO163" s="248">
        <v>0</v>
      </c>
      <c r="BP163" s="237">
        <v>0</v>
      </c>
      <c r="BQ163" s="237">
        <v>0</v>
      </c>
      <c r="BR163" s="248">
        <v>1</v>
      </c>
      <c r="BS163" s="237">
        <v>13</v>
      </c>
      <c r="BT163" s="237" t="s">
        <v>677</v>
      </c>
      <c r="BU163" s="249" t="s">
        <v>678</v>
      </c>
      <c r="BV163" s="249">
        <v>326</v>
      </c>
      <c r="BW163" s="249">
        <v>2067</v>
      </c>
      <c r="BX163" s="249" t="s">
        <v>678</v>
      </c>
      <c r="BY163" s="249" t="s">
        <v>678</v>
      </c>
      <c r="BZ163" s="249">
        <v>8.0673100717644139</v>
      </c>
      <c r="CA163" s="249">
        <v>51.15070527097253</v>
      </c>
      <c r="CB163" s="249" t="s">
        <v>678</v>
      </c>
      <c r="CC163" s="250" t="s">
        <v>678</v>
      </c>
      <c r="CD163" s="242" t="s">
        <v>678</v>
      </c>
      <c r="CE163" s="252" t="s">
        <v>678</v>
      </c>
      <c r="CF163" s="238">
        <v>1828</v>
      </c>
      <c r="CG163" s="238">
        <v>306.8</v>
      </c>
      <c r="CH163" s="238">
        <v>7.5921801534273694</v>
      </c>
      <c r="CI163" s="216" t="s">
        <v>679</v>
      </c>
      <c r="CJ163" s="237">
        <v>0</v>
      </c>
      <c r="CK163" s="253">
        <v>107.9</v>
      </c>
      <c r="CL163" s="253">
        <v>157.7739</v>
      </c>
      <c r="CM163" s="254">
        <v>0.17867938844847112</v>
      </c>
      <c r="CN163" s="237" t="s">
        <v>90</v>
      </c>
      <c r="CO163" s="242">
        <v>457.15</v>
      </c>
      <c r="CP163" s="255">
        <v>0.51772366930917324</v>
      </c>
      <c r="CV163" s="237">
        <v>8</v>
      </c>
      <c r="CW163" s="261" t="s">
        <v>678</v>
      </c>
      <c r="CX163" s="261" t="s">
        <v>678</v>
      </c>
      <c r="CY163" s="261" t="s">
        <v>678</v>
      </c>
      <c r="DB163" s="216" t="s">
        <v>804</v>
      </c>
      <c r="DC163" s="195" t="s">
        <v>977</v>
      </c>
      <c r="DD163" s="256">
        <v>0.7</v>
      </c>
      <c r="DE163" s="256">
        <v>-6.5</v>
      </c>
      <c r="DF163" s="256">
        <v>0.7</v>
      </c>
      <c r="DG163" s="256">
        <v>-2.2000000000000002</v>
      </c>
      <c r="DL163" s="237" t="s">
        <v>682</v>
      </c>
      <c r="DO163" s="237">
        <v>1</v>
      </c>
      <c r="DP163" s="258" t="s">
        <v>682</v>
      </c>
      <c r="DQ163" s="258"/>
      <c r="DR163" s="258"/>
      <c r="DS163" s="258"/>
      <c r="DT163" s="258"/>
      <c r="DU163" s="237">
        <v>0</v>
      </c>
      <c r="DX163" s="247"/>
      <c r="DY163" s="247">
        <v>0</v>
      </c>
      <c r="EA163" s="237">
        <v>1</v>
      </c>
      <c r="EB163" s="237" t="s">
        <v>823</v>
      </c>
      <c r="EC163" s="237">
        <v>1</v>
      </c>
      <c r="ED163" s="237" t="s">
        <v>678</v>
      </c>
      <c r="EE163" s="208">
        <v>2</v>
      </c>
      <c r="EF163" s="237" t="s">
        <v>678</v>
      </c>
      <c r="EG163" s="216" t="s">
        <v>689</v>
      </c>
      <c r="EH163" s="246" t="s">
        <v>690</v>
      </c>
      <c r="EI163" s="216"/>
      <c r="EJ163" s="216" t="s">
        <v>529</v>
      </c>
      <c r="EK163" s="222" t="s">
        <v>682</v>
      </c>
      <c r="EL163" s="259">
        <v>1976</v>
      </c>
      <c r="EM163" s="260">
        <v>3350</v>
      </c>
      <c r="EN163" s="260">
        <v>168605</v>
      </c>
      <c r="EO163" s="260">
        <v>168849</v>
      </c>
      <c r="ER163" s="237" t="s">
        <v>705</v>
      </c>
      <c r="ES163" s="237">
        <v>4041</v>
      </c>
      <c r="ET163" s="237">
        <v>50.402686567164181</v>
      </c>
      <c r="EU163" s="661">
        <v>1</v>
      </c>
      <c r="EV163" s="661">
        <v>2</v>
      </c>
      <c r="EW163" s="661">
        <v>7</v>
      </c>
      <c r="EX163" s="661">
        <v>9</v>
      </c>
      <c r="EY163" s="660">
        <v>0.12219705549263873</v>
      </c>
      <c r="EZ163" s="256">
        <v>37.451343836886004</v>
      </c>
      <c r="FA163" s="247">
        <v>1.9753086419753085</v>
      </c>
      <c r="FB163" s="208" t="s">
        <v>678</v>
      </c>
      <c r="FC163" s="208" t="s">
        <v>678</v>
      </c>
      <c r="FD163" s="208">
        <v>9</v>
      </c>
      <c r="FE163" s="239">
        <v>0.71358024691358024</v>
      </c>
      <c r="FF163" s="208"/>
      <c r="FG163" s="241">
        <v>0</v>
      </c>
      <c r="FH163" s="209">
        <v>0</v>
      </c>
      <c r="FI163" s="237" t="s">
        <v>678</v>
      </c>
      <c r="FJ163" s="208" t="s">
        <v>678</v>
      </c>
      <c r="FK163" s="208" t="s">
        <v>678</v>
      </c>
      <c r="FL163" s="217" t="s">
        <v>678</v>
      </c>
      <c r="FM163" s="208" t="s">
        <v>678</v>
      </c>
      <c r="FN163" s="208" t="s">
        <v>678</v>
      </c>
      <c r="FP163" s="247" t="s">
        <v>693</v>
      </c>
      <c r="FU163" s="208" t="s">
        <v>678</v>
      </c>
      <c r="FV163" s="208" t="s">
        <v>678</v>
      </c>
      <c r="FW163" s="208" t="s">
        <v>678</v>
      </c>
      <c r="FX163" s="208" t="s">
        <v>678</v>
      </c>
      <c r="FY163" s="208" t="s">
        <v>678</v>
      </c>
      <c r="FZ163" s="208" t="s">
        <v>678</v>
      </c>
      <c r="GA163" s="208" t="s">
        <v>678</v>
      </c>
      <c r="GB163" s="208" t="s">
        <v>678</v>
      </c>
      <c r="GC163" s="208" t="s">
        <v>678</v>
      </c>
      <c r="GD163" s="208" t="s">
        <v>678</v>
      </c>
      <c r="GE163" s="237" t="s">
        <v>678</v>
      </c>
      <c r="GF163" s="237" t="s">
        <v>678</v>
      </c>
      <c r="GG163" s="237" t="s">
        <v>678</v>
      </c>
      <c r="GH163" s="237" t="s">
        <v>678</v>
      </c>
      <c r="GJ163" s="947"/>
      <c r="GK163" s="320"/>
      <c r="GL163" s="320"/>
      <c r="GM163" s="320"/>
      <c r="GN163" s="320"/>
      <c r="GO163" s="662">
        <v>8158</v>
      </c>
      <c r="GP163" s="663" t="str">
        <f>VLOOKUP(GS163,'BD Comarcal'!$A$6:$AV$17,48,FALSE)</f>
        <v>11</v>
      </c>
      <c r="GQ163" s="564">
        <v>23</v>
      </c>
      <c r="GR163" s="256">
        <f t="shared" si="2"/>
        <v>0</v>
      </c>
      <c r="GS163" s="237" t="s">
        <v>90</v>
      </c>
    </row>
    <row r="164" spans="1:201" s="237" customFormat="1" ht="17.25" customHeight="1">
      <c r="A164" s="236" t="s">
        <v>1325</v>
      </c>
      <c r="C164" s="238"/>
      <c r="D164" s="238">
        <v>898</v>
      </c>
      <c r="E164" s="238">
        <v>105</v>
      </c>
      <c r="F164" s="239">
        <v>0.11692650334075724</v>
      </c>
      <c r="G164" s="238">
        <v>26</v>
      </c>
      <c r="H164" s="240">
        <v>1.1824785142165788</v>
      </c>
      <c r="I164" s="239">
        <v>1.1261700135395989E-2</v>
      </c>
      <c r="J164" s="238">
        <v>281</v>
      </c>
      <c r="K164" s="238">
        <v>0</v>
      </c>
      <c r="L164" s="238">
        <v>58</v>
      </c>
      <c r="M164" s="241">
        <v>6.4587973273942098E-2</v>
      </c>
      <c r="N164" s="238">
        <v>105</v>
      </c>
      <c r="O164" s="239">
        <v>0.37366548042704628</v>
      </c>
      <c r="P164" s="237">
        <v>4</v>
      </c>
      <c r="Q164" s="237">
        <v>0</v>
      </c>
      <c r="R164" s="239">
        <v>0</v>
      </c>
      <c r="S164" s="238">
        <v>17</v>
      </c>
      <c r="T164" s="436">
        <v>0</v>
      </c>
      <c r="U164" s="436">
        <v>0</v>
      </c>
      <c r="V164" s="436">
        <v>41</v>
      </c>
      <c r="W164" s="436">
        <v>41</v>
      </c>
      <c r="X164" s="238">
        <v>18837</v>
      </c>
      <c r="Y164" s="237">
        <v>0.13159999999999999</v>
      </c>
      <c r="Z164" s="238">
        <v>245364</v>
      </c>
      <c r="AA164" s="238">
        <v>12982</v>
      </c>
      <c r="AB164" s="238">
        <v>79.319999999999993</v>
      </c>
      <c r="AC164" s="238">
        <v>6986</v>
      </c>
      <c r="AD164" s="238">
        <v>26423027.960000001</v>
      </c>
      <c r="AE164" s="238">
        <v>2418545.8100000024</v>
      </c>
      <c r="AF164" s="238">
        <v>21406686.43</v>
      </c>
      <c r="AG164" s="238">
        <v>1755663.47</v>
      </c>
      <c r="AH164" s="239">
        <v>8.2014723565042663E-2</v>
      </c>
      <c r="AI164" s="247">
        <v>399.545436</v>
      </c>
      <c r="AJ164" s="242">
        <v>122.824703</v>
      </c>
      <c r="AK164" s="242">
        <v>13.677583853006682</v>
      </c>
      <c r="AL164" s="242" t="s">
        <v>678</v>
      </c>
      <c r="AM164" s="242" t="s">
        <v>678</v>
      </c>
      <c r="AN164" s="242">
        <v>54150.83</v>
      </c>
      <c r="AO164" s="238">
        <v>0</v>
      </c>
      <c r="AP164" s="243">
        <v>0</v>
      </c>
      <c r="AQ164" s="238"/>
      <c r="AR164" s="238">
        <v>1189.6359815067624</v>
      </c>
      <c r="AS164" s="238">
        <v>2074.1098251917829</v>
      </c>
      <c r="AT164" s="238">
        <v>2580131.6666666665</v>
      </c>
      <c r="AU164" s="238">
        <v>248.81602926298316</v>
      </c>
      <c r="AV164" s="237">
        <v>1</v>
      </c>
      <c r="AW164" s="237">
        <v>0</v>
      </c>
      <c r="AX164" s="237">
        <v>0</v>
      </c>
      <c r="AY164" s="244" t="s">
        <v>695</v>
      </c>
      <c r="AZ164" s="244" t="s">
        <v>717</v>
      </c>
      <c r="BA164" s="237">
        <v>2009</v>
      </c>
      <c r="BB164" s="245" t="s">
        <v>678</v>
      </c>
      <c r="BC164" s="215" t="s">
        <v>678</v>
      </c>
      <c r="BE164" s="237">
        <v>2</v>
      </c>
      <c r="BF164" s="237">
        <v>39</v>
      </c>
      <c r="BG164" s="246" t="s">
        <v>676</v>
      </c>
      <c r="BI164" s="239">
        <v>0.30158315935977731</v>
      </c>
      <c r="BJ164" s="239">
        <v>9.0727209464161448E-2</v>
      </c>
      <c r="BK164" s="239">
        <v>0.57446068197633959</v>
      </c>
      <c r="BL164" s="239">
        <v>3.3228949199721643E-2</v>
      </c>
      <c r="BM164" s="247">
        <v>1.6606645789839944</v>
      </c>
      <c r="BN164" s="248">
        <v>0</v>
      </c>
      <c r="BO164" s="248">
        <v>1</v>
      </c>
      <c r="BP164" s="237">
        <v>0</v>
      </c>
      <c r="BQ164" s="237">
        <v>0</v>
      </c>
      <c r="BR164" s="248">
        <v>1</v>
      </c>
      <c r="BS164" s="237">
        <v>10</v>
      </c>
      <c r="BT164" s="237" t="s">
        <v>729</v>
      </c>
      <c r="BU164" s="249" t="s">
        <v>678</v>
      </c>
      <c r="BV164" s="249" t="s">
        <v>678</v>
      </c>
      <c r="BW164" s="249" t="s">
        <v>678</v>
      </c>
      <c r="BX164" s="249" t="s">
        <v>678</v>
      </c>
      <c r="BY164" s="249" t="s">
        <v>678</v>
      </c>
      <c r="BZ164" s="249" t="s">
        <v>678</v>
      </c>
      <c r="CA164" s="249" t="s">
        <v>678</v>
      </c>
      <c r="CB164" s="249" t="s">
        <v>678</v>
      </c>
      <c r="CC164" s="250" t="s">
        <v>678</v>
      </c>
      <c r="CD164" s="242">
        <v>649</v>
      </c>
      <c r="CE164" s="252">
        <v>103.4930032292788</v>
      </c>
      <c r="CF164" s="238">
        <v>7549</v>
      </c>
      <c r="CG164" s="238">
        <v>1450</v>
      </c>
      <c r="CH164" s="238">
        <v>7.8040904198062435</v>
      </c>
      <c r="CI164" s="216" t="s">
        <v>679</v>
      </c>
      <c r="CJ164" s="237">
        <v>0</v>
      </c>
      <c r="CK164" s="253">
        <v>435.18</v>
      </c>
      <c r="CL164" s="253">
        <v>175.12049999999999</v>
      </c>
      <c r="CM164" s="254">
        <v>0.19501169265033408</v>
      </c>
      <c r="CN164" s="237" t="s">
        <v>24</v>
      </c>
      <c r="CO164" s="242">
        <v>70.11</v>
      </c>
      <c r="CP164" s="255">
        <v>7.8073496659242764E-2</v>
      </c>
      <c r="CV164" s="237">
        <v>10</v>
      </c>
      <c r="CW164" s="194">
        <v>0.78700000000000003</v>
      </c>
      <c r="CX164" s="194">
        <v>0.63500000000000001</v>
      </c>
      <c r="CY164" s="194" t="s">
        <v>680</v>
      </c>
      <c r="DB164" s="216" t="s">
        <v>1017</v>
      </c>
      <c r="DC164" s="195" t="s">
        <v>1018</v>
      </c>
      <c r="DD164" s="256">
        <v>0.7</v>
      </c>
      <c r="DE164" s="256">
        <v>-6.5</v>
      </c>
      <c r="DF164" s="256">
        <v>0.7</v>
      </c>
      <c r="DG164" s="256">
        <v>-2.2000000000000002</v>
      </c>
      <c r="DL164" s="237" t="s">
        <v>529</v>
      </c>
      <c r="DN164" s="237" t="s">
        <v>730</v>
      </c>
      <c r="DP164" s="258" t="s">
        <v>682</v>
      </c>
      <c r="DQ164" s="258"/>
      <c r="DR164" s="258"/>
      <c r="DS164" s="258"/>
      <c r="DT164" s="258"/>
      <c r="DU164" s="237">
        <v>0</v>
      </c>
      <c r="DX164" s="247"/>
      <c r="DY164" s="247">
        <v>0</v>
      </c>
      <c r="EA164" s="237">
        <v>0</v>
      </c>
      <c r="ED164" s="237" t="s">
        <v>678</v>
      </c>
      <c r="EE164" s="208">
        <v>3</v>
      </c>
      <c r="EF164" s="237" t="s">
        <v>678</v>
      </c>
      <c r="EG164" s="216" t="s">
        <v>715</v>
      </c>
      <c r="EH164" s="246" t="s">
        <v>690</v>
      </c>
      <c r="EI164" s="216"/>
      <c r="EJ164" s="216" t="s">
        <v>806</v>
      </c>
      <c r="EK164" s="222" t="s">
        <v>682</v>
      </c>
      <c r="EL164" s="259">
        <v>2007</v>
      </c>
      <c r="EM164" s="260">
        <v>3200</v>
      </c>
      <c r="EN164" s="260">
        <v>731723</v>
      </c>
      <c r="EO164" s="260">
        <v>1795921</v>
      </c>
      <c r="ER164" s="237" t="s">
        <v>705</v>
      </c>
      <c r="ES164" s="237">
        <v>18580</v>
      </c>
      <c r="ET164" s="237">
        <v>561.22531249999997</v>
      </c>
      <c r="EU164" s="661">
        <v>3</v>
      </c>
      <c r="EV164" s="661">
        <v>1</v>
      </c>
      <c r="EW164" s="661">
        <v>4</v>
      </c>
      <c r="EX164" s="661">
        <v>6</v>
      </c>
      <c r="EY164" s="660">
        <v>0.48461024498886413</v>
      </c>
      <c r="EZ164" s="256">
        <v>42.694976791212831</v>
      </c>
      <c r="FA164" s="247">
        <v>9.5238095238095237</v>
      </c>
      <c r="FB164" s="208" t="s">
        <v>678</v>
      </c>
      <c r="FC164" s="208" t="s">
        <v>678</v>
      </c>
      <c r="FD164" s="208">
        <v>6</v>
      </c>
      <c r="FE164" s="239">
        <v>0.24761904761904763</v>
      </c>
      <c r="FF164" s="208"/>
      <c r="FG164" s="241">
        <v>0</v>
      </c>
      <c r="FH164" s="209">
        <v>0</v>
      </c>
      <c r="FI164" s="237" t="s">
        <v>678</v>
      </c>
      <c r="FJ164" s="208" t="s">
        <v>678</v>
      </c>
      <c r="FK164" s="208" t="s">
        <v>678</v>
      </c>
      <c r="FL164" s="217" t="s">
        <v>678</v>
      </c>
      <c r="FM164" s="208" t="s">
        <v>678</v>
      </c>
      <c r="FN164" s="208" t="s">
        <v>678</v>
      </c>
      <c r="FP164" s="247" t="s">
        <v>693</v>
      </c>
      <c r="FU164" s="208" t="s">
        <v>678</v>
      </c>
      <c r="FV164" s="208" t="s">
        <v>678</v>
      </c>
      <c r="FW164" s="208" t="s">
        <v>678</v>
      </c>
      <c r="FX164" s="208" t="s">
        <v>678</v>
      </c>
      <c r="FY164" s="208" t="s">
        <v>678</v>
      </c>
      <c r="FZ164" s="208" t="s">
        <v>678</v>
      </c>
      <c r="GA164" s="208" t="s">
        <v>678</v>
      </c>
      <c r="GB164" s="208" t="s">
        <v>678</v>
      </c>
      <c r="GC164" s="208" t="s">
        <v>678</v>
      </c>
      <c r="GD164" s="208" t="s">
        <v>678</v>
      </c>
      <c r="GE164" s="237" t="s">
        <v>678</v>
      </c>
      <c r="GF164" s="237" t="s">
        <v>678</v>
      </c>
      <c r="GG164" s="237" t="s">
        <v>678</v>
      </c>
      <c r="GH164" s="237" t="s">
        <v>678</v>
      </c>
      <c r="GJ164" s="947">
        <v>1224</v>
      </c>
      <c r="GK164" s="320">
        <v>0</v>
      </c>
      <c r="GL164" s="320">
        <v>0.59199999999999997</v>
      </c>
      <c r="GM164" s="320">
        <v>1.9E-2</v>
      </c>
      <c r="GN164" s="320">
        <v>0.38800000000000001</v>
      </c>
      <c r="GO164" s="662">
        <v>8159</v>
      </c>
      <c r="GP164" s="663" t="str">
        <f>VLOOKUP(GS164,'BD Comarcal'!$A$6:$AV$17,48,FALSE)</f>
        <v>41</v>
      </c>
      <c r="GQ164" s="564">
        <v>107</v>
      </c>
      <c r="GR164" s="256">
        <f t="shared" si="2"/>
        <v>0</v>
      </c>
      <c r="GS164" s="237" t="s">
        <v>24</v>
      </c>
    </row>
    <row r="165" spans="1:201" s="237" customFormat="1" ht="17.25" customHeight="1">
      <c r="A165" s="236" t="s">
        <v>1326</v>
      </c>
      <c r="C165" s="238"/>
      <c r="D165" s="238">
        <v>1849</v>
      </c>
      <c r="E165" s="238">
        <v>1085</v>
      </c>
      <c r="F165" s="239">
        <v>0.58680367766360197</v>
      </c>
      <c r="G165" s="238">
        <v>976</v>
      </c>
      <c r="H165" s="240">
        <v>1035.585469900341</v>
      </c>
      <c r="I165" s="239">
        <v>0.95445665428602855</v>
      </c>
      <c r="J165" s="238">
        <v>416</v>
      </c>
      <c r="K165" s="238">
        <v>1047</v>
      </c>
      <c r="L165" s="238">
        <v>2</v>
      </c>
      <c r="M165" s="241">
        <v>1.081665765278529E-3</v>
      </c>
      <c r="N165" s="238">
        <v>0</v>
      </c>
      <c r="O165" s="239">
        <v>0</v>
      </c>
      <c r="P165" s="237">
        <v>17</v>
      </c>
      <c r="Q165" s="237">
        <v>0</v>
      </c>
      <c r="R165" s="239">
        <v>0</v>
      </c>
      <c r="S165" s="238">
        <v>4560</v>
      </c>
      <c r="T165" s="436">
        <v>0</v>
      </c>
      <c r="U165" s="436">
        <v>50</v>
      </c>
      <c r="V165" s="436">
        <v>0</v>
      </c>
      <c r="W165" s="436">
        <v>50</v>
      </c>
      <c r="X165" s="238">
        <v>411</v>
      </c>
      <c r="Y165" s="237">
        <v>0.25309999999999999</v>
      </c>
      <c r="Z165" s="238">
        <v>7400</v>
      </c>
      <c r="AA165" s="238">
        <v>17662</v>
      </c>
      <c r="AB165" s="238">
        <v>107.92</v>
      </c>
      <c r="AC165" s="238">
        <v>78</v>
      </c>
      <c r="AD165" s="238">
        <v>855193.42999999993</v>
      </c>
      <c r="AE165" s="238">
        <v>127354.59999999998</v>
      </c>
      <c r="AF165" s="238">
        <v>451160.08000000007</v>
      </c>
      <c r="AG165" s="238">
        <v>35869.410000000003</v>
      </c>
      <c r="AH165" s="239">
        <v>7.9504840055884374E-2</v>
      </c>
      <c r="AI165" s="247">
        <v>31.335965000000002</v>
      </c>
      <c r="AJ165" s="242">
        <v>4.5350250000000001</v>
      </c>
      <c r="AK165" s="242">
        <v>0.24526906435911303</v>
      </c>
      <c r="AL165" s="242" t="s">
        <v>678</v>
      </c>
      <c r="AM165" s="242" t="s">
        <v>678</v>
      </c>
      <c r="AN165" s="242">
        <v>13111.07</v>
      </c>
      <c r="AO165" s="238">
        <v>0</v>
      </c>
      <c r="AP165" s="243">
        <v>0</v>
      </c>
      <c r="AQ165" s="238"/>
      <c r="AR165" s="238">
        <v>1730.2558479107265</v>
      </c>
      <c r="AS165" s="238">
        <v>1796.7401707906799</v>
      </c>
      <c r="AT165" s="238">
        <v>30035.333333333332</v>
      </c>
      <c r="AU165" s="238">
        <v>225.93413510437892</v>
      </c>
      <c r="AV165" s="237">
        <v>1</v>
      </c>
      <c r="AW165" s="237">
        <v>1</v>
      </c>
      <c r="AX165" s="237">
        <v>1</v>
      </c>
      <c r="AY165" s="244" t="s">
        <v>726</v>
      </c>
      <c r="AZ165" s="244" t="s">
        <v>695</v>
      </c>
      <c r="BA165" s="237" t="s">
        <v>1038</v>
      </c>
      <c r="BB165" s="245" t="s">
        <v>718</v>
      </c>
      <c r="BC165" s="215" t="s">
        <v>719</v>
      </c>
      <c r="BE165" s="237">
        <v>0</v>
      </c>
      <c r="BF165" s="237">
        <v>10</v>
      </c>
      <c r="BG165" s="246" t="s">
        <v>720</v>
      </c>
      <c r="BI165" s="239">
        <v>0.58139534883720934</v>
      </c>
      <c r="BJ165" s="239">
        <v>0.13953488372093023</v>
      </c>
      <c r="BK165" s="239">
        <v>0.25913621262458469</v>
      </c>
      <c r="BL165" s="239">
        <v>1.9933554817275746E-2</v>
      </c>
      <c r="BM165" s="247">
        <v>2.2823920265780733</v>
      </c>
      <c r="BN165" s="248">
        <v>0</v>
      </c>
      <c r="BO165" s="248">
        <v>0</v>
      </c>
      <c r="BP165" s="237">
        <v>0</v>
      </c>
      <c r="BQ165" s="237">
        <v>0</v>
      </c>
      <c r="BR165" s="248">
        <v>0</v>
      </c>
      <c r="BS165" s="237">
        <v>27</v>
      </c>
      <c r="BT165" s="237" t="s">
        <v>815</v>
      </c>
      <c r="BU165" s="249" t="s">
        <v>678</v>
      </c>
      <c r="BV165" s="249" t="s">
        <v>678</v>
      </c>
      <c r="BW165" s="249" t="s">
        <v>678</v>
      </c>
      <c r="BX165" s="249" t="s">
        <v>678</v>
      </c>
      <c r="BY165" s="249" t="s">
        <v>678</v>
      </c>
      <c r="BZ165" s="249" t="s">
        <v>678</v>
      </c>
      <c r="CA165" s="249" t="s">
        <v>678</v>
      </c>
      <c r="CB165" s="249" t="s">
        <v>678</v>
      </c>
      <c r="CC165" s="250" t="s">
        <v>678</v>
      </c>
      <c r="CD165" s="242" t="s">
        <v>678</v>
      </c>
      <c r="CE165" s="252" t="s">
        <v>678</v>
      </c>
      <c r="CF165" s="238">
        <v>240</v>
      </c>
      <c r="CG165" s="238">
        <v>27</v>
      </c>
      <c r="CH165" s="238">
        <v>6.3981042654028437</v>
      </c>
      <c r="CI165" s="216" t="s">
        <v>722</v>
      </c>
      <c r="CJ165" s="237">
        <v>1</v>
      </c>
      <c r="CK165" s="253">
        <v>43.18</v>
      </c>
      <c r="CL165" s="253">
        <v>9.1531000000000002</v>
      </c>
      <c r="CM165" s="254">
        <v>4.9502974580854517E-3</v>
      </c>
      <c r="CN165" s="237" t="s">
        <v>88</v>
      </c>
      <c r="CO165" s="242"/>
      <c r="CP165" s="255">
        <v>0</v>
      </c>
      <c r="CW165" s="261" t="s">
        <v>678</v>
      </c>
      <c r="CX165" s="261" t="s">
        <v>678</v>
      </c>
      <c r="CY165" s="261" t="s">
        <v>678</v>
      </c>
      <c r="DB165" s="216" t="s">
        <v>1017</v>
      </c>
      <c r="DC165" s="195" t="s">
        <v>1018</v>
      </c>
      <c r="DD165" s="256">
        <v>0.8</v>
      </c>
      <c r="DE165" s="256">
        <v>-9</v>
      </c>
      <c r="DF165" s="256">
        <v>-0.3</v>
      </c>
      <c r="DG165" s="256">
        <v>-2.6</v>
      </c>
      <c r="DL165" s="237" t="s">
        <v>529</v>
      </c>
      <c r="DM165" s="270" t="s">
        <v>1327</v>
      </c>
      <c r="DN165" s="237" t="s">
        <v>713</v>
      </c>
      <c r="DP165" s="258" t="s">
        <v>682</v>
      </c>
      <c r="DQ165" s="258"/>
      <c r="DR165" s="258"/>
      <c r="DS165" s="258"/>
      <c r="DT165" s="258"/>
      <c r="DU165" s="237">
        <v>1</v>
      </c>
      <c r="DV165" s="237" t="s">
        <v>1328</v>
      </c>
      <c r="DW165" s="237" t="s">
        <v>1006</v>
      </c>
      <c r="DX165" s="247">
        <v>1.82</v>
      </c>
      <c r="DY165" s="247">
        <v>9.843158464034614E-2</v>
      </c>
      <c r="EA165" s="237">
        <v>0</v>
      </c>
      <c r="ED165" s="237" t="s">
        <v>723</v>
      </c>
      <c r="EE165" s="208">
        <v>2</v>
      </c>
      <c r="EF165" s="237" t="s">
        <v>702</v>
      </c>
      <c r="EG165" s="216" t="s">
        <v>703</v>
      </c>
      <c r="EH165" s="246" t="s">
        <v>704</v>
      </c>
      <c r="EI165" s="216"/>
      <c r="EJ165" s="216" t="s">
        <v>529</v>
      </c>
      <c r="EK165" s="222" t="s">
        <v>682</v>
      </c>
      <c r="EL165" s="259">
        <v>1991</v>
      </c>
      <c r="EM165" s="260">
        <v>1000</v>
      </c>
      <c r="EN165" s="260">
        <v>14687</v>
      </c>
      <c r="EO165" s="260">
        <v>18472</v>
      </c>
      <c r="ER165" s="237" t="s">
        <v>705</v>
      </c>
      <c r="ES165" s="237" t="e">
        <v>#DIV/0!</v>
      </c>
      <c r="ET165" s="237">
        <v>18.472000000000001</v>
      </c>
      <c r="EU165" s="661">
        <v>8</v>
      </c>
      <c r="EV165" s="661" t="s">
        <v>678</v>
      </c>
      <c r="EW165" s="661">
        <v>0</v>
      </c>
      <c r="EX165" s="661">
        <v>3</v>
      </c>
      <c r="EY165" s="660">
        <v>2.3353163872363438E-2</v>
      </c>
      <c r="EZ165" s="256">
        <v>9.773043075497915</v>
      </c>
      <c r="FA165" s="247">
        <v>0</v>
      </c>
      <c r="FB165" s="208">
        <v>2</v>
      </c>
      <c r="FC165" s="208">
        <v>2</v>
      </c>
      <c r="FD165" s="208">
        <v>3</v>
      </c>
      <c r="FE165" s="239">
        <v>0.89953917050691246</v>
      </c>
      <c r="FF165" s="208">
        <v>1</v>
      </c>
      <c r="FG165" s="241">
        <v>0</v>
      </c>
      <c r="FH165" s="209">
        <v>0</v>
      </c>
      <c r="FI165" s="237" t="s">
        <v>678</v>
      </c>
      <c r="FJ165" s="208">
        <v>47.2</v>
      </c>
      <c r="FK165" s="208">
        <v>0</v>
      </c>
      <c r="FL165" s="217">
        <v>6.3</v>
      </c>
      <c r="FM165" s="208">
        <v>8.81</v>
      </c>
      <c r="FN165" s="208" t="s">
        <v>1329</v>
      </c>
      <c r="FP165" s="247" t="s">
        <v>693</v>
      </c>
      <c r="FR165" s="237">
        <v>12</v>
      </c>
      <c r="FS165" s="237">
        <v>3</v>
      </c>
      <c r="FT165" s="237">
        <v>6</v>
      </c>
      <c r="FU165" s="208">
        <v>29</v>
      </c>
      <c r="FV165" s="208">
        <v>24.3</v>
      </c>
      <c r="FW165" s="237">
        <v>85.07</v>
      </c>
      <c r="FX165" s="237">
        <v>74.3</v>
      </c>
      <c r="FY165" s="208">
        <v>46.46</v>
      </c>
      <c r="FZ165" s="208">
        <v>59</v>
      </c>
      <c r="GA165" s="208">
        <v>56.01</v>
      </c>
      <c r="GB165" s="208">
        <v>60.8</v>
      </c>
      <c r="GC165" s="208">
        <v>0.57999999999999996</v>
      </c>
      <c r="GD165" s="208">
        <v>68.400000000000006</v>
      </c>
      <c r="GE165" s="237">
        <v>54.09</v>
      </c>
      <c r="GF165" s="237">
        <v>70.3</v>
      </c>
      <c r="GG165" s="237">
        <v>7.28</v>
      </c>
      <c r="GH165" s="237">
        <v>56.9</v>
      </c>
      <c r="GJ165" s="947"/>
      <c r="GK165" s="320"/>
      <c r="GL165" s="320"/>
      <c r="GM165" s="320"/>
      <c r="GN165" s="320"/>
      <c r="GO165" s="662">
        <v>8160</v>
      </c>
      <c r="GP165" s="663" t="str">
        <f>VLOOKUP(GS165,'BD Comarcal'!$A$6:$AV$17,48,FALSE)</f>
        <v>24</v>
      </c>
      <c r="GQ165" s="564">
        <v>0</v>
      </c>
      <c r="GR165" s="256">
        <f t="shared" si="2"/>
        <v>0</v>
      </c>
      <c r="GS165" s="237" t="s">
        <v>88</v>
      </c>
    </row>
    <row r="166" spans="1:201" s="237" customFormat="1" ht="17.25" customHeight="1">
      <c r="A166" s="236" t="s">
        <v>1330</v>
      </c>
      <c r="C166" s="238"/>
      <c r="D166" s="238">
        <v>5730</v>
      </c>
      <c r="E166" s="238">
        <v>2388</v>
      </c>
      <c r="F166" s="239">
        <v>0.41675392670157069</v>
      </c>
      <c r="G166" s="238">
        <v>1792</v>
      </c>
      <c r="H166" s="240">
        <v>289.97575466309439</v>
      </c>
      <c r="I166" s="239">
        <v>0.1214303830247464</v>
      </c>
      <c r="J166" s="238">
        <v>2339</v>
      </c>
      <c r="K166" s="238">
        <v>49</v>
      </c>
      <c r="L166" s="238">
        <v>67</v>
      </c>
      <c r="M166" s="241">
        <v>1.1692844677137871E-2</v>
      </c>
      <c r="N166" s="238">
        <v>211</v>
      </c>
      <c r="O166" s="239">
        <v>9.020949123557076E-2</v>
      </c>
      <c r="P166" s="237">
        <v>12</v>
      </c>
      <c r="Q166" s="237">
        <v>0</v>
      </c>
      <c r="R166" s="239">
        <v>0</v>
      </c>
      <c r="S166" s="238">
        <v>889</v>
      </c>
      <c r="T166" s="436">
        <v>0</v>
      </c>
      <c r="U166" s="436">
        <v>0</v>
      </c>
      <c r="V166" s="436">
        <v>0</v>
      </c>
      <c r="W166" s="436">
        <v>0</v>
      </c>
      <c r="X166" s="238">
        <v>15001</v>
      </c>
      <c r="Y166" s="237">
        <v>0.1605</v>
      </c>
      <c r="Z166" s="238">
        <v>162933</v>
      </c>
      <c r="AA166" s="238">
        <v>10869</v>
      </c>
      <c r="AB166" s="238">
        <v>66.41</v>
      </c>
      <c r="AC166" s="238">
        <v>403</v>
      </c>
      <c r="AD166" s="238">
        <v>13994610.16</v>
      </c>
      <c r="AE166" s="238">
        <v>2071389.1200000029</v>
      </c>
      <c r="AF166" s="238">
        <v>10998111.379999997</v>
      </c>
      <c r="AG166" s="238">
        <v>1626357.67</v>
      </c>
      <c r="AH166" s="239">
        <v>0.14787608652132056</v>
      </c>
      <c r="AI166" s="247">
        <v>794.81276300000002</v>
      </c>
      <c r="AJ166" s="242">
        <v>138.15533099999999</v>
      </c>
      <c r="AK166" s="242">
        <v>2.4110878010471204</v>
      </c>
      <c r="AL166" s="242">
        <v>694.09537899999998</v>
      </c>
      <c r="AM166" s="242">
        <v>12.113357399650958</v>
      </c>
      <c r="AN166" s="242">
        <v>64168.1</v>
      </c>
      <c r="AO166" s="238">
        <v>13092.54</v>
      </c>
      <c r="AP166" s="243">
        <v>31</v>
      </c>
      <c r="AQ166" s="238">
        <v>1</v>
      </c>
      <c r="AR166" s="238">
        <v>1472.6612343967684</v>
      </c>
      <c r="AS166" s="238">
        <v>1524.329495775203</v>
      </c>
      <c r="AT166" s="238">
        <v>887966.33333333337</v>
      </c>
      <c r="AU166" s="238">
        <v>344.65626347827566</v>
      </c>
      <c r="AV166" s="237">
        <v>1</v>
      </c>
      <c r="AW166" s="237">
        <v>0</v>
      </c>
      <c r="AX166" s="237">
        <v>1</v>
      </c>
      <c r="AY166" s="244" t="s">
        <v>717</v>
      </c>
      <c r="AZ166" s="244" t="s">
        <v>682</v>
      </c>
      <c r="BA166" s="237">
        <v>2012</v>
      </c>
      <c r="BB166" s="245" t="s">
        <v>1331</v>
      </c>
      <c r="BC166" s="215" t="s">
        <v>1332</v>
      </c>
      <c r="BD166" s="237">
        <v>1</v>
      </c>
      <c r="BE166" s="237">
        <v>2</v>
      </c>
      <c r="BF166" s="237">
        <v>77</v>
      </c>
      <c r="BG166" s="246" t="s">
        <v>698</v>
      </c>
      <c r="BI166" s="239">
        <v>0.4205055034651447</v>
      </c>
      <c r="BJ166" s="239">
        <v>0.15746025275173256</v>
      </c>
      <c r="BK166" s="239">
        <v>0.39614757439869547</v>
      </c>
      <c r="BL166" s="239">
        <v>2.5886669384427231E-2</v>
      </c>
      <c r="BM166" s="247">
        <v>1.9725845902975949</v>
      </c>
      <c r="BN166" s="248">
        <v>0</v>
      </c>
      <c r="BO166" s="248">
        <v>1</v>
      </c>
      <c r="BP166" s="237">
        <v>0</v>
      </c>
      <c r="BQ166" s="237">
        <v>0</v>
      </c>
      <c r="BR166" s="248">
        <v>1</v>
      </c>
      <c r="BS166" s="237">
        <v>19.5</v>
      </c>
      <c r="BT166" s="237" t="s">
        <v>755</v>
      </c>
      <c r="BU166" s="249">
        <v>1409</v>
      </c>
      <c r="BV166" s="249">
        <v>1524</v>
      </c>
      <c r="BW166" s="249">
        <v>7781</v>
      </c>
      <c r="BX166" s="249">
        <v>1160</v>
      </c>
      <c r="BY166" s="249">
        <v>9.357773792920236</v>
      </c>
      <c r="BZ166" s="249">
        <v>10.121538155010958</v>
      </c>
      <c r="CA166" s="249">
        <v>51.676960881981799</v>
      </c>
      <c r="CB166" s="249">
        <v>7.7040579132629343</v>
      </c>
      <c r="CC166" s="250">
        <v>99.993358570764428</v>
      </c>
      <c r="CD166" s="242">
        <v>-235</v>
      </c>
      <c r="CE166" s="252">
        <v>98.439264129640705</v>
      </c>
      <c r="CF166" s="238">
        <v>10124</v>
      </c>
      <c r="CG166" s="238">
        <v>1603.9</v>
      </c>
      <c r="CH166" s="238">
        <v>10.652188350933121</v>
      </c>
      <c r="CI166" s="216" t="s">
        <v>722</v>
      </c>
      <c r="CJ166" s="237">
        <v>1</v>
      </c>
      <c r="CK166" s="253">
        <v>793.58</v>
      </c>
      <c r="CL166" s="253">
        <v>110.336</v>
      </c>
      <c r="CM166" s="254">
        <v>1.9255846422338567E-2</v>
      </c>
      <c r="CN166" s="237" t="s">
        <v>81</v>
      </c>
      <c r="CO166" s="242">
        <v>2226.4699999999998</v>
      </c>
      <c r="CP166" s="255">
        <v>0.38856369982547989</v>
      </c>
      <c r="CV166" s="262">
        <v>25</v>
      </c>
      <c r="CW166" s="261">
        <v>2.5390000000000001</v>
      </c>
      <c r="CX166" s="261">
        <v>0.17</v>
      </c>
      <c r="CY166" s="261">
        <v>3.3439999999999999</v>
      </c>
      <c r="DB166" s="216"/>
      <c r="DC166" s="195" t="s">
        <v>1000</v>
      </c>
      <c r="DD166" s="256">
        <v>0.8</v>
      </c>
      <c r="DE166" s="256">
        <v>-10</v>
      </c>
      <c r="DF166" s="256">
        <v>0.5</v>
      </c>
      <c r="DG166" s="256">
        <v>-2.2999999999999998</v>
      </c>
      <c r="DH166" s="257">
        <v>2</v>
      </c>
      <c r="DI166" s="257">
        <v>2.4700000000000002</v>
      </c>
      <c r="DJ166" s="257">
        <v>0</v>
      </c>
      <c r="DK166" s="257">
        <v>2.4700000000000002</v>
      </c>
      <c r="DL166" s="237" t="s">
        <v>682</v>
      </c>
      <c r="DP166" s="258" t="s">
        <v>682</v>
      </c>
      <c r="DQ166" s="258"/>
      <c r="DR166" s="258"/>
      <c r="DS166" s="258"/>
      <c r="DT166" s="258"/>
      <c r="DU166" s="237">
        <v>0</v>
      </c>
      <c r="DX166" s="247"/>
      <c r="DY166" s="247">
        <v>0</v>
      </c>
      <c r="EA166" s="237">
        <v>0</v>
      </c>
      <c r="ED166" s="237" t="s">
        <v>932</v>
      </c>
      <c r="EE166" s="208">
        <v>1</v>
      </c>
      <c r="EF166" s="237" t="s">
        <v>702</v>
      </c>
      <c r="EG166" s="216" t="s">
        <v>691</v>
      </c>
      <c r="EH166" s="246" t="s">
        <v>690</v>
      </c>
      <c r="EI166" s="216" t="s">
        <v>689</v>
      </c>
      <c r="EJ166" s="216" t="s">
        <v>529</v>
      </c>
      <c r="EK166" s="222" t="s">
        <v>529</v>
      </c>
      <c r="EL166" s="259">
        <v>1983</v>
      </c>
      <c r="EM166" s="260">
        <v>4939.5</v>
      </c>
      <c r="EN166" s="260">
        <v>812298</v>
      </c>
      <c r="EO166" s="260">
        <v>78823</v>
      </c>
      <c r="ER166" s="237" t="s">
        <v>705</v>
      </c>
      <c r="ES166" s="237">
        <v>15057</v>
      </c>
      <c r="ET166" s="237">
        <v>15.957688025103755</v>
      </c>
      <c r="EU166" s="661">
        <v>1</v>
      </c>
      <c r="EV166" s="661">
        <v>1</v>
      </c>
      <c r="EW166" s="661">
        <v>4</v>
      </c>
      <c r="EX166" s="661">
        <v>7</v>
      </c>
      <c r="EY166" s="660">
        <v>0.13849563699825482</v>
      </c>
      <c r="EZ166" s="256">
        <v>18.973512437309406</v>
      </c>
      <c r="FA166" s="247">
        <v>1.0469011725293131</v>
      </c>
      <c r="FB166" s="208">
        <v>4</v>
      </c>
      <c r="FC166" s="208">
        <v>4</v>
      </c>
      <c r="FD166" s="208">
        <v>4</v>
      </c>
      <c r="FE166" s="239">
        <v>0.75041876046901168</v>
      </c>
      <c r="FF166" s="208"/>
      <c r="FG166" s="241">
        <v>1.0343383584589616E-3</v>
      </c>
      <c r="FH166" s="209">
        <v>0</v>
      </c>
      <c r="FI166" s="237" t="s">
        <v>678</v>
      </c>
      <c r="FJ166" s="208">
        <v>53.8</v>
      </c>
      <c r="FK166" s="208">
        <v>17.8</v>
      </c>
      <c r="FL166" s="217">
        <v>59</v>
      </c>
      <c r="FM166" s="208">
        <v>1.86</v>
      </c>
      <c r="FN166" s="208" t="s">
        <v>1333</v>
      </c>
      <c r="FP166" s="247" t="s">
        <v>693</v>
      </c>
      <c r="FU166" s="208">
        <v>42</v>
      </c>
      <c r="FV166" s="208">
        <v>57.8</v>
      </c>
      <c r="FW166" s="237">
        <v>72.239999999999995</v>
      </c>
      <c r="FX166" s="237">
        <v>56.8</v>
      </c>
      <c r="FY166" s="208">
        <v>16.64</v>
      </c>
      <c r="FZ166" s="208">
        <v>29</v>
      </c>
      <c r="GA166" s="208">
        <v>36.25</v>
      </c>
      <c r="GB166" s="208">
        <v>30.7</v>
      </c>
      <c r="GC166" s="208">
        <v>0.24</v>
      </c>
      <c r="GD166" s="208">
        <v>42.9</v>
      </c>
      <c r="GE166" s="237">
        <v>27.38</v>
      </c>
      <c r="GF166" s="237">
        <v>29.3</v>
      </c>
      <c r="GG166" s="237">
        <v>13.67</v>
      </c>
      <c r="GH166" s="237">
        <v>81.8</v>
      </c>
      <c r="GJ166" s="947">
        <v>185</v>
      </c>
      <c r="GK166" s="320">
        <v>1.2E-2</v>
      </c>
      <c r="GL166" s="320">
        <v>0.22600000000000001</v>
      </c>
      <c r="GM166" s="320">
        <v>7.6999999999999999E-2</v>
      </c>
      <c r="GN166" s="320">
        <v>0.68500000000000005</v>
      </c>
      <c r="GO166" s="662">
        <v>8161</v>
      </c>
      <c r="GP166" s="663" t="str">
        <f>VLOOKUP(GS166,'BD Comarcal'!$A$6:$AV$17,48,FALSE)</f>
        <v>06</v>
      </c>
      <c r="GQ166" s="564">
        <v>140</v>
      </c>
      <c r="GR166" s="256">
        <f t="shared" si="2"/>
        <v>1</v>
      </c>
      <c r="GS166" s="237" t="s">
        <v>81</v>
      </c>
    </row>
    <row r="167" spans="1:201" s="237" customFormat="1" ht="17.25" customHeight="1">
      <c r="A167" s="236" t="s">
        <v>1334</v>
      </c>
      <c r="C167" s="238"/>
      <c r="D167" s="238">
        <v>3333</v>
      </c>
      <c r="E167" s="238">
        <v>2086</v>
      </c>
      <c r="F167" s="239">
        <v>0.6258625862586259</v>
      </c>
      <c r="G167" s="238">
        <v>1633</v>
      </c>
      <c r="H167" s="240">
        <v>388.55154139781513</v>
      </c>
      <c r="I167" s="239">
        <v>0.18626631898265347</v>
      </c>
      <c r="J167" s="238">
        <v>812</v>
      </c>
      <c r="K167" s="238">
        <v>11</v>
      </c>
      <c r="L167" s="238">
        <v>1</v>
      </c>
      <c r="M167" s="241">
        <v>3.0003000300030005E-4</v>
      </c>
      <c r="N167" s="238"/>
      <c r="O167" s="239">
        <v>0</v>
      </c>
      <c r="P167" s="237">
        <v>3</v>
      </c>
      <c r="Q167" s="237">
        <v>0</v>
      </c>
      <c r="R167" s="239">
        <v>0</v>
      </c>
      <c r="S167" s="238">
        <v>7</v>
      </c>
      <c r="T167" s="436">
        <v>0</v>
      </c>
      <c r="U167" s="436">
        <v>11</v>
      </c>
      <c r="V167" s="436">
        <v>0</v>
      </c>
      <c r="W167" s="436">
        <v>11</v>
      </c>
      <c r="X167" s="238">
        <v>2891</v>
      </c>
      <c r="Y167" s="237">
        <v>0.1162</v>
      </c>
      <c r="Z167" s="238">
        <v>35788</v>
      </c>
      <c r="AA167" s="238">
        <v>12396</v>
      </c>
      <c r="AB167" s="238">
        <v>75.739999999999995</v>
      </c>
      <c r="AC167" s="238">
        <v>2653</v>
      </c>
      <c r="AD167" s="238">
        <v>5059872.3599999994</v>
      </c>
      <c r="AE167" s="238">
        <v>508108.04999999888</v>
      </c>
      <c r="AF167" s="238">
        <v>5283655.4800000004</v>
      </c>
      <c r="AG167" s="238">
        <v>973549.31</v>
      </c>
      <c r="AH167" s="239">
        <v>0.18425677330498466</v>
      </c>
      <c r="AI167" s="247">
        <v>62.411445000000001</v>
      </c>
      <c r="AJ167" s="242">
        <v>4.9977809999999998</v>
      </c>
      <c r="AK167" s="242">
        <v>0.14994842484248425</v>
      </c>
      <c r="AL167" s="242">
        <v>378.93165099999999</v>
      </c>
      <c r="AM167" s="242">
        <v>11.369086438643864</v>
      </c>
      <c r="AN167" s="242">
        <v>29871.07</v>
      </c>
      <c r="AO167" s="238">
        <v>29248.400000000001</v>
      </c>
      <c r="AP167" s="243">
        <v>56</v>
      </c>
      <c r="AQ167" s="238">
        <v>1</v>
      </c>
      <c r="AR167" s="238">
        <v>1667.0089218760834</v>
      </c>
      <c r="AS167" s="238">
        <v>1764.035510987117</v>
      </c>
      <c r="AT167" s="238">
        <v>285041</v>
      </c>
      <c r="AU167" s="238">
        <v>274.01370785361712</v>
      </c>
      <c r="AV167" s="237">
        <v>1</v>
      </c>
      <c r="AW167" s="237">
        <v>0</v>
      </c>
      <c r="AX167" s="237">
        <v>1</v>
      </c>
      <c r="AY167" s="244" t="s">
        <v>673</v>
      </c>
      <c r="AZ167" s="244" t="s">
        <v>726</v>
      </c>
      <c r="BA167" s="237">
        <v>0</v>
      </c>
      <c r="BB167" s="245" t="s">
        <v>1335</v>
      </c>
      <c r="BC167" s="215" t="s">
        <v>1336</v>
      </c>
      <c r="BE167" s="237">
        <v>45</v>
      </c>
      <c r="BF167" s="237">
        <v>35</v>
      </c>
      <c r="BG167" s="246" t="s">
        <v>698</v>
      </c>
      <c r="BI167" s="239">
        <v>0.33841131664853102</v>
      </c>
      <c r="BJ167" s="239">
        <v>0.17029379760609359</v>
      </c>
      <c r="BK167" s="239">
        <v>0.47170837867247006</v>
      </c>
      <c r="BL167" s="239">
        <v>1.9586507072905331E-2</v>
      </c>
      <c r="BM167" s="247">
        <v>1.8275299238302505</v>
      </c>
      <c r="BN167" s="248">
        <v>0</v>
      </c>
      <c r="BO167" s="248">
        <v>0</v>
      </c>
      <c r="BP167" s="237">
        <v>0</v>
      </c>
      <c r="BQ167" s="237">
        <v>0</v>
      </c>
      <c r="BR167" s="248">
        <v>0</v>
      </c>
      <c r="BS167" s="237">
        <v>21.5</v>
      </c>
      <c r="BT167" s="237" t="s">
        <v>755</v>
      </c>
      <c r="BU167" s="249" t="s">
        <v>678</v>
      </c>
      <c r="BV167" s="249">
        <v>277</v>
      </c>
      <c r="BW167" s="249">
        <v>1501</v>
      </c>
      <c r="BX167" s="249" t="s">
        <v>678</v>
      </c>
      <c r="BY167" s="249" t="s">
        <v>678</v>
      </c>
      <c r="BZ167" s="249">
        <v>9.4378194207836454</v>
      </c>
      <c r="CA167" s="249">
        <v>51.141396933560479</v>
      </c>
      <c r="CB167" s="249" t="s">
        <v>678</v>
      </c>
      <c r="CC167" s="250" t="s">
        <v>678</v>
      </c>
      <c r="CD167" s="242" t="s">
        <v>678</v>
      </c>
      <c r="CE167" s="252" t="s">
        <v>678</v>
      </c>
      <c r="CF167" s="238">
        <v>1492</v>
      </c>
      <c r="CG167" s="238">
        <v>227.6</v>
      </c>
      <c r="CH167" s="238">
        <v>7.7546848381601361</v>
      </c>
      <c r="CI167" s="216" t="s">
        <v>722</v>
      </c>
      <c r="CJ167" s="237">
        <v>1</v>
      </c>
      <c r="CK167" s="253">
        <v>125.65</v>
      </c>
      <c r="CL167" s="253">
        <v>107.85129999999999</v>
      </c>
      <c r="CM167" s="254">
        <v>3.2358625862586254E-2</v>
      </c>
      <c r="CN167" s="237" t="s">
        <v>81</v>
      </c>
      <c r="CO167" s="242">
        <v>185.07</v>
      </c>
      <c r="CP167" s="255">
        <v>5.5526552655265522E-2</v>
      </c>
      <c r="CV167" s="237">
        <v>3</v>
      </c>
      <c r="CW167" s="261" t="s">
        <v>678</v>
      </c>
      <c r="CX167" s="261" t="s">
        <v>678</v>
      </c>
      <c r="CY167" s="261" t="s">
        <v>678</v>
      </c>
      <c r="DB167" s="216"/>
      <c r="DC167" s="195" t="s">
        <v>1337</v>
      </c>
      <c r="DD167" s="256">
        <v>0.8</v>
      </c>
      <c r="DE167" s="256">
        <v>-10</v>
      </c>
      <c r="DF167" s="256">
        <v>0.5</v>
      </c>
      <c r="DG167" s="256">
        <v>-2.2999999999999998</v>
      </c>
      <c r="DH167" s="257">
        <v>4</v>
      </c>
      <c r="DI167" s="257">
        <v>48.02</v>
      </c>
      <c r="DJ167" s="257">
        <v>17.73</v>
      </c>
      <c r="DK167" s="257">
        <v>65.75</v>
      </c>
      <c r="DL167" s="237" t="s">
        <v>682</v>
      </c>
      <c r="DP167" s="258" t="s">
        <v>682</v>
      </c>
      <c r="DQ167" s="258"/>
      <c r="DR167" s="258"/>
      <c r="DS167" s="258"/>
      <c r="DT167" s="258"/>
      <c r="DU167" s="237">
        <v>0</v>
      </c>
      <c r="DX167" s="247"/>
      <c r="DY167" s="247">
        <v>0</v>
      </c>
      <c r="EA167" s="237">
        <v>0</v>
      </c>
      <c r="ED167" s="237" t="s">
        <v>687</v>
      </c>
      <c r="EE167" s="208">
        <v>1</v>
      </c>
      <c r="EF167" s="237" t="s">
        <v>688</v>
      </c>
      <c r="EG167" s="216" t="s">
        <v>733</v>
      </c>
      <c r="EH167" s="246" t="s">
        <v>734</v>
      </c>
      <c r="EI167" s="216" t="s">
        <v>689</v>
      </c>
      <c r="EJ167" s="216" t="s">
        <v>529</v>
      </c>
      <c r="EK167" s="222" t="s">
        <v>682</v>
      </c>
      <c r="EL167" s="259">
        <v>1994</v>
      </c>
      <c r="EM167" s="260">
        <v>5410</v>
      </c>
      <c r="EN167" s="260">
        <v>126470</v>
      </c>
      <c r="EO167" s="260">
        <v>158261</v>
      </c>
      <c r="ER167" s="237" t="s">
        <v>705</v>
      </c>
      <c r="ES167" s="237" t="e">
        <v>#DIV/0!</v>
      </c>
      <c r="ET167" s="237">
        <v>29.253419593345654</v>
      </c>
      <c r="EU167" s="661">
        <v>1</v>
      </c>
      <c r="EV167" s="661">
        <v>2</v>
      </c>
      <c r="EW167" s="661">
        <v>1</v>
      </c>
      <c r="EX167" s="661">
        <v>4</v>
      </c>
      <c r="EY167" s="660">
        <v>3.7698769876987698E-2</v>
      </c>
      <c r="EZ167" s="256">
        <v>23.358535614803024</v>
      </c>
      <c r="FA167" s="247">
        <v>0.14381591562799617</v>
      </c>
      <c r="FB167" s="208">
        <v>3</v>
      </c>
      <c r="FC167" s="208">
        <v>3</v>
      </c>
      <c r="FD167" s="208">
        <v>6</v>
      </c>
      <c r="FE167" s="239">
        <v>0.78283796740172584</v>
      </c>
      <c r="FF167" s="208"/>
      <c r="FG167" s="241">
        <v>3.151965484180249E-2</v>
      </c>
      <c r="FH167" s="209">
        <v>0</v>
      </c>
      <c r="FI167" s="237" t="s">
        <v>678</v>
      </c>
      <c r="FJ167" s="208">
        <v>47</v>
      </c>
      <c r="FK167" s="208" t="s">
        <v>678</v>
      </c>
      <c r="FL167" s="217" t="s">
        <v>678</v>
      </c>
      <c r="FM167" s="208" t="s">
        <v>678</v>
      </c>
      <c r="FN167" s="208" t="s">
        <v>678</v>
      </c>
      <c r="FP167" s="247" t="s">
        <v>693</v>
      </c>
      <c r="FU167" s="208" t="s">
        <v>678</v>
      </c>
      <c r="FV167" s="208" t="s">
        <v>678</v>
      </c>
      <c r="FW167" s="208" t="s">
        <v>678</v>
      </c>
      <c r="FX167" s="208" t="s">
        <v>678</v>
      </c>
      <c r="FY167" s="208" t="s">
        <v>678</v>
      </c>
      <c r="FZ167" s="208" t="s">
        <v>678</v>
      </c>
      <c r="GA167" s="208" t="s">
        <v>678</v>
      </c>
      <c r="GB167" s="208" t="s">
        <v>678</v>
      </c>
      <c r="GC167" s="208" t="s">
        <v>678</v>
      </c>
      <c r="GD167" s="208" t="s">
        <v>678</v>
      </c>
      <c r="GE167" s="237" t="s">
        <v>678</v>
      </c>
      <c r="GF167" s="237" t="s">
        <v>678</v>
      </c>
      <c r="GG167" s="237" t="s">
        <v>678</v>
      </c>
      <c r="GH167" s="237" t="s">
        <v>678</v>
      </c>
      <c r="GJ167" s="947"/>
      <c r="GK167" s="320"/>
      <c r="GL167" s="320"/>
      <c r="GM167" s="320"/>
      <c r="GN167" s="320"/>
      <c r="GO167" s="662">
        <v>8162</v>
      </c>
      <c r="GP167" s="663" t="str">
        <f>VLOOKUP(GS167,'BD Comarcal'!$A$6:$AV$17,48,FALSE)</f>
        <v>06</v>
      </c>
      <c r="GQ167" s="564">
        <v>16</v>
      </c>
      <c r="GR167" s="256">
        <f t="shared" si="2"/>
        <v>1</v>
      </c>
      <c r="GS167" s="237" t="s">
        <v>81</v>
      </c>
    </row>
    <row r="168" spans="1:201" s="237" customFormat="1" ht="17.25" customHeight="1">
      <c r="A168" s="236" t="s">
        <v>347</v>
      </c>
      <c r="C168" s="238" t="s">
        <v>683</v>
      </c>
      <c r="D168" s="238">
        <v>1035</v>
      </c>
      <c r="E168" s="238">
        <v>615</v>
      </c>
      <c r="F168" s="239">
        <v>0.59420289855072461</v>
      </c>
      <c r="G168" s="238">
        <v>259</v>
      </c>
      <c r="H168" s="240">
        <v>37.025583426309723</v>
      </c>
      <c r="I168" s="239">
        <v>6.0204200693186542E-2</v>
      </c>
      <c r="J168" s="238">
        <v>56</v>
      </c>
      <c r="K168" s="238">
        <v>0</v>
      </c>
      <c r="L168" s="238">
        <v>52</v>
      </c>
      <c r="M168" s="241">
        <v>5.0241545893719805E-2</v>
      </c>
      <c r="N168" s="238">
        <v>0</v>
      </c>
      <c r="O168" s="239">
        <v>0</v>
      </c>
      <c r="P168" s="237">
        <v>1</v>
      </c>
      <c r="Q168" s="237">
        <v>0</v>
      </c>
      <c r="R168" s="239">
        <v>0</v>
      </c>
      <c r="S168" s="238">
        <v>0</v>
      </c>
      <c r="T168" s="436">
        <v>3348</v>
      </c>
      <c r="U168" s="436">
        <v>0</v>
      </c>
      <c r="V168" s="436">
        <v>3685</v>
      </c>
      <c r="W168" s="436">
        <v>7033</v>
      </c>
      <c r="X168" s="238">
        <v>26240</v>
      </c>
      <c r="Y168" s="237">
        <v>0.1893</v>
      </c>
      <c r="Z168" s="238">
        <v>322402</v>
      </c>
      <c r="AA168" s="238">
        <v>12415</v>
      </c>
      <c r="AB168" s="238">
        <v>75.86</v>
      </c>
      <c r="AC168" s="238">
        <v>11466</v>
      </c>
      <c r="AD168" s="238">
        <v>30707892.219999999</v>
      </c>
      <c r="AE168" s="238">
        <v>2520349.4299999997</v>
      </c>
      <c r="AF168" s="238">
        <v>27832140</v>
      </c>
      <c r="AG168" s="238">
        <v>3236627.99</v>
      </c>
      <c r="AH168" s="239">
        <v>0.11629102145936318</v>
      </c>
      <c r="AI168" s="247">
        <v>312.35872000000001</v>
      </c>
      <c r="AJ168" s="242">
        <v>31.564943</v>
      </c>
      <c r="AK168" s="242">
        <v>3.0497529468599032</v>
      </c>
      <c r="AL168" s="242">
        <v>120.257637</v>
      </c>
      <c r="AM168" s="242">
        <v>11.61909536231884</v>
      </c>
      <c r="AN168" s="242">
        <v>28164.400000000001</v>
      </c>
      <c r="AO168" s="238">
        <v>3271.95</v>
      </c>
      <c r="AP168" s="243">
        <v>13</v>
      </c>
      <c r="AQ168" s="238"/>
      <c r="AR168" s="238">
        <v>1264.6501316092488</v>
      </c>
      <c r="AS168" s="238">
        <v>1441.0771678407962</v>
      </c>
      <c r="AT168" s="238">
        <v>1644327.4054982818</v>
      </c>
      <c r="AU168" s="238">
        <v>295.77286100841093</v>
      </c>
      <c r="AV168" s="237">
        <v>1</v>
      </c>
      <c r="AW168" s="237">
        <v>1</v>
      </c>
      <c r="AX168" s="237">
        <v>1</v>
      </c>
      <c r="AY168" s="244" t="s">
        <v>717</v>
      </c>
      <c r="AZ168" s="244" t="s">
        <v>717</v>
      </c>
      <c r="BA168" s="237">
        <v>2009</v>
      </c>
      <c r="BB168" s="245" t="s">
        <v>877</v>
      </c>
      <c r="BC168" s="215" t="s">
        <v>878</v>
      </c>
      <c r="BD168" s="237">
        <v>1</v>
      </c>
      <c r="BE168" s="237">
        <v>62</v>
      </c>
      <c r="BF168" s="237">
        <v>0</v>
      </c>
      <c r="BG168" s="246" t="s">
        <v>676</v>
      </c>
      <c r="BI168" s="239">
        <v>0.3794250618442378</v>
      </c>
      <c r="BJ168" s="239">
        <v>0.21389576047086922</v>
      </c>
      <c r="BK168" s="239">
        <v>0.39584577326622877</v>
      </c>
      <c r="BL168" s="239">
        <v>1.0833404418664164E-2</v>
      </c>
      <c r="BM168" s="247">
        <v>1.9619124797406806</v>
      </c>
      <c r="BN168" s="248">
        <v>0</v>
      </c>
      <c r="BO168" s="248">
        <v>0</v>
      </c>
      <c r="BP168" s="237">
        <v>0</v>
      </c>
      <c r="BQ168" s="237">
        <v>0</v>
      </c>
      <c r="BR168" s="248">
        <v>0</v>
      </c>
      <c r="BU168" s="249">
        <v>2754</v>
      </c>
      <c r="BV168" s="249">
        <v>3389</v>
      </c>
      <c r="BW168" s="249">
        <v>13116</v>
      </c>
      <c r="BX168" s="249">
        <v>2332</v>
      </c>
      <c r="BY168" s="249">
        <v>10.528730358986122</v>
      </c>
      <c r="BZ168" s="249">
        <v>12.956378789616545</v>
      </c>
      <c r="CA168" s="249">
        <v>50.14336506480101</v>
      </c>
      <c r="CB168" s="249">
        <v>8.9153954964254307</v>
      </c>
      <c r="CC168" s="250">
        <v>107.64231372099246</v>
      </c>
      <c r="CD168" s="242">
        <v>2117</v>
      </c>
      <c r="CE168" s="252">
        <v>108.09343579156631</v>
      </c>
      <c r="CF168" s="238">
        <v>16355</v>
      </c>
      <c r="CG168" s="238">
        <v>2849.5</v>
      </c>
      <c r="CH168" s="238">
        <v>10.89383339067936</v>
      </c>
      <c r="CI168" s="216" t="s">
        <v>679</v>
      </c>
      <c r="CJ168" s="237">
        <v>0</v>
      </c>
      <c r="CK168" s="253">
        <v>416.6</v>
      </c>
      <c r="CL168" s="253">
        <v>111.69240000000001</v>
      </c>
      <c r="CM168" s="254">
        <v>0.10791536231884058</v>
      </c>
      <c r="CN168" s="237" t="s">
        <v>86</v>
      </c>
      <c r="CO168" s="242">
        <v>108.67</v>
      </c>
      <c r="CP168" s="255">
        <v>0.10499516908212561</v>
      </c>
      <c r="CV168" s="237">
        <v>16</v>
      </c>
      <c r="CW168" s="194">
        <v>1.236</v>
      </c>
      <c r="CX168" s="194">
        <v>0.63500000000000001</v>
      </c>
      <c r="CY168" s="194">
        <v>0.97699999999999998</v>
      </c>
      <c r="CZ168" s="237" t="s">
        <v>529</v>
      </c>
      <c r="DA168" s="237" t="s">
        <v>1338</v>
      </c>
      <c r="DB168" s="216" t="s">
        <v>710</v>
      </c>
      <c r="DC168" s="195" t="s">
        <v>711</v>
      </c>
      <c r="DD168" s="256">
        <v>0.7</v>
      </c>
      <c r="DE168" s="256">
        <v>-6.5</v>
      </c>
      <c r="DF168" s="256">
        <v>0.7</v>
      </c>
      <c r="DG168" s="256">
        <v>-2.2000000000000002</v>
      </c>
      <c r="DH168" s="257">
        <v>2</v>
      </c>
      <c r="DI168" s="257">
        <v>0</v>
      </c>
      <c r="DJ168" s="257">
        <v>5.0999999999999996</v>
      </c>
      <c r="DK168" s="257">
        <v>5.0999999999999996</v>
      </c>
      <c r="DL168" s="237" t="s">
        <v>529</v>
      </c>
      <c r="DM168" s="270" t="s">
        <v>738</v>
      </c>
      <c r="DN168" s="237" t="s">
        <v>713</v>
      </c>
      <c r="DP168" s="258" t="s">
        <v>682</v>
      </c>
      <c r="DQ168" s="258"/>
      <c r="DR168" s="258"/>
      <c r="DS168" s="258"/>
      <c r="DT168" s="258"/>
      <c r="DU168" s="237">
        <v>0</v>
      </c>
      <c r="DX168" s="247"/>
      <c r="DY168" s="247">
        <v>0</v>
      </c>
      <c r="EA168" s="237">
        <v>1</v>
      </c>
      <c r="EB168" s="237" t="s">
        <v>741</v>
      </c>
      <c r="ED168" s="237" t="s">
        <v>678</v>
      </c>
      <c r="EE168" s="208">
        <v>3</v>
      </c>
      <c r="EF168" s="237" t="s">
        <v>678</v>
      </c>
      <c r="EG168" s="216" t="s">
        <v>689</v>
      </c>
      <c r="EH168" s="246" t="s">
        <v>690</v>
      </c>
      <c r="EI168" s="216"/>
      <c r="EJ168" s="216" t="s">
        <v>529</v>
      </c>
      <c r="EK168" s="222" t="s">
        <v>529</v>
      </c>
      <c r="EL168" s="259">
        <v>1992</v>
      </c>
      <c r="EM168" s="260">
        <v>2600</v>
      </c>
      <c r="EN168" s="260">
        <v>1215155</v>
      </c>
      <c r="EO168" s="260">
        <v>449721</v>
      </c>
      <c r="ER168" s="237" t="s">
        <v>705</v>
      </c>
      <c r="ES168" s="237" t="e">
        <v>#DIV/0!</v>
      </c>
      <c r="ET168" s="237">
        <v>172.96961538461539</v>
      </c>
      <c r="EU168" s="661">
        <v>3</v>
      </c>
      <c r="EV168" s="661">
        <v>6</v>
      </c>
      <c r="EW168" s="661">
        <v>5</v>
      </c>
      <c r="EX168" s="661">
        <v>4</v>
      </c>
      <c r="EY168" s="660">
        <v>0.40251207729468602</v>
      </c>
      <c r="EZ168" s="256">
        <v>62.786845895343248</v>
      </c>
      <c r="FA168" s="247">
        <v>2.6016260162601625</v>
      </c>
      <c r="FB168" s="208">
        <v>6</v>
      </c>
      <c r="FC168" s="208">
        <v>4</v>
      </c>
      <c r="FD168" s="208">
        <v>6</v>
      </c>
      <c r="FE168" s="239">
        <v>0.42113821138211383</v>
      </c>
      <c r="FF168" s="208"/>
      <c r="FG168" s="241">
        <v>8.292682926829267E-3</v>
      </c>
      <c r="FH168" s="209">
        <v>0</v>
      </c>
      <c r="FI168" s="237" t="s">
        <v>678</v>
      </c>
      <c r="FJ168" s="208" t="s">
        <v>678</v>
      </c>
      <c r="FK168" s="208" t="s">
        <v>678</v>
      </c>
      <c r="FL168" s="217" t="s">
        <v>678</v>
      </c>
      <c r="FM168" s="208" t="s">
        <v>678</v>
      </c>
      <c r="FN168" s="208" t="s">
        <v>678</v>
      </c>
      <c r="FO168" s="237">
        <v>2910</v>
      </c>
      <c r="FP168" s="247">
        <v>2.8115942028985508</v>
      </c>
      <c r="FU168" s="208" t="s">
        <v>678</v>
      </c>
      <c r="FV168" s="208" t="s">
        <v>678</v>
      </c>
      <c r="FW168" s="208" t="s">
        <v>678</v>
      </c>
      <c r="FX168" s="208" t="s">
        <v>678</v>
      </c>
      <c r="FY168" s="208" t="s">
        <v>678</v>
      </c>
      <c r="FZ168" s="208" t="s">
        <v>678</v>
      </c>
      <c r="GA168" s="208" t="s">
        <v>678</v>
      </c>
      <c r="GB168" s="208" t="s">
        <v>678</v>
      </c>
      <c r="GC168" s="208" t="s">
        <v>678</v>
      </c>
      <c r="GD168" s="208" t="s">
        <v>678</v>
      </c>
      <c r="GE168" s="237" t="s">
        <v>678</v>
      </c>
      <c r="GF168" s="237" t="s">
        <v>678</v>
      </c>
      <c r="GG168" s="237" t="s">
        <v>678</v>
      </c>
      <c r="GH168" s="237" t="s">
        <v>678</v>
      </c>
      <c r="GJ168" s="947">
        <v>459</v>
      </c>
      <c r="GK168" s="320">
        <v>4.0000000000000001E-3</v>
      </c>
      <c r="GL168" s="320">
        <v>9.6000000000000002E-2</v>
      </c>
      <c r="GM168" s="320">
        <v>7.5999999999999998E-2</v>
      </c>
      <c r="GN168" s="320">
        <v>0.82499999999999996</v>
      </c>
      <c r="GO168" s="662">
        <v>8163</v>
      </c>
      <c r="GP168" s="663" t="str">
        <f>VLOOKUP(GS168,'BD Comarcal'!$A$6:$AV$17,48,FALSE)</f>
        <v>21</v>
      </c>
      <c r="GQ168" s="564">
        <v>193</v>
      </c>
      <c r="GR168" s="256">
        <f t="shared" si="2"/>
        <v>0</v>
      </c>
      <c r="GS168" s="237" t="s">
        <v>86</v>
      </c>
    </row>
    <row r="169" spans="1:201" s="237" customFormat="1" ht="17.25" customHeight="1">
      <c r="A169" s="236" t="s">
        <v>1339</v>
      </c>
      <c r="C169" s="238"/>
      <c r="D169" s="238">
        <v>945</v>
      </c>
      <c r="E169" s="238">
        <v>134</v>
      </c>
      <c r="F169" s="239">
        <v>0.14179894179894179</v>
      </c>
      <c r="G169" s="238">
        <v>118</v>
      </c>
      <c r="H169" s="240">
        <v>1.1654605821365063</v>
      </c>
      <c r="I169" s="239">
        <v>8.6974670308694498E-3</v>
      </c>
      <c r="J169" s="238">
        <v>708</v>
      </c>
      <c r="K169" s="238">
        <v>0</v>
      </c>
      <c r="L169" s="238">
        <v>22</v>
      </c>
      <c r="M169" s="241">
        <v>2.328042328042328E-2</v>
      </c>
      <c r="N169" s="238">
        <v>36</v>
      </c>
      <c r="O169" s="239">
        <v>5.0847457627118647E-2</v>
      </c>
      <c r="P169" s="237">
        <v>4</v>
      </c>
      <c r="Q169" s="237">
        <v>0</v>
      </c>
      <c r="R169" s="239">
        <v>0</v>
      </c>
      <c r="S169" s="238">
        <v>410</v>
      </c>
      <c r="T169" s="436">
        <v>0</v>
      </c>
      <c r="U169" s="436">
        <v>49</v>
      </c>
      <c r="V169" s="436">
        <v>0</v>
      </c>
      <c r="W169" s="436">
        <v>49</v>
      </c>
      <c r="X169" s="238">
        <v>1253</v>
      </c>
      <c r="Y169" s="237">
        <v>0.16600000000000001</v>
      </c>
      <c r="Z169" s="238">
        <v>16132</v>
      </c>
      <c r="AA169" s="238">
        <v>13115</v>
      </c>
      <c r="AB169" s="238">
        <v>80.13</v>
      </c>
      <c r="AC169" s="238">
        <v>245</v>
      </c>
      <c r="AD169" s="238">
        <v>1529361</v>
      </c>
      <c r="AE169" s="238">
        <v>62505.510000000242</v>
      </c>
      <c r="AF169" s="238">
        <v>1168473.5699999998</v>
      </c>
      <c r="AG169" s="238">
        <v>180596.26</v>
      </c>
      <c r="AH169" s="239">
        <v>0.15455741972837267</v>
      </c>
      <c r="AI169" s="247">
        <v>41.262354999999999</v>
      </c>
      <c r="AJ169" s="242">
        <v>3.754489</v>
      </c>
      <c r="AK169" s="242">
        <v>0.39730042328042325</v>
      </c>
      <c r="AL169" s="242" t="s">
        <v>678</v>
      </c>
      <c r="AM169" s="242" t="s">
        <v>678</v>
      </c>
      <c r="AN169" s="242">
        <v>12360.38</v>
      </c>
      <c r="AO169" s="238">
        <v>1383.75</v>
      </c>
      <c r="AP169" s="243">
        <v>0</v>
      </c>
      <c r="AQ169" s="238">
        <v>1</v>
      </c>
      <c r="AR169" s="238">
        <v>1891.9232712684163</v>
      </c>
      <c r="AS169" s="238">
        <v>1324.174282753178</v>
      </c>
      <c r="AT169" s="238">
        <v>49489.666666666664</v>
      </c>
      <c r="AU169" s="238">
        <v>207.65228258434536</v>
      </c>
      <c r="AV169" s="237">
        <v>0</v>
      </c>
      <c r="AW169" s="237">
        <v>0</v>
      </c>
      <c r="AX169" s="237">
        <v>0</v>
      </c>
      <c r="AY169" s="244" t="s">
        <v>695</v>
      </c>
      <c r="AZ169" s="244" t="s">
        <v>695</v>
      </c>
      <c r="BA169" s="237">
        <v>2013</v>
      </c>
      <c r="BB169" s="245" t="s">
        <v>678</v>
      </c>
      <c r="BC169" s="215" t="s">
        <v>678</v>
      </c>
      <c r="BE169" s="237">
        <v>10</v>
      </c>
      <c r="BF169" s="237">
        <v>15</v>
      </c>
      <c r="BG169" s="246" t="s">
        <v>698</v>
      </c>
      <c r="BI169" s="239">
        <v>0.58397751229796202</v>
      </c>
      <c r="BJ169" s="239">
        <v>3.1623330990864368E-2</v>
      </c>
      <c r="BK169" s="239">
        <v>0.3338018271257906</v>
      </c>
      <c r="BL169" s="239">
        <v>5.0597329585382995E-2</v>
      </c>
      <c r="BM169" s="247">
        <v>2.1489810260014055</v>
      </c>
      <c r="BN169" s="248">
        <v>1</v>
      </c>
      <c r="BO169" s="248">
        <v>0</v>
      </c>
      <c r="BP169" s="237">
        <v>0</v>
      </c>
      <c r="BQ169" s="237">
        <v>0</v>
      </c>
      <c r="BR169" s="248">
        <v>1</v>
      </c>
      <c r="BS169" s="237">
        <v>11</v>
      </c>
      <c r="BT169" s="237" t="s">
        <v>790</v>
      </c>
      <c r="BU169" s="249" t="s">
        <v>678</v>
      </c>
      <c r="BV169" s="249">
        <v>166</v>
      </c>
      <c r="BW169" s="249">
        <v>586</v>
      </c>
      <c r="BX169" s="249" t="s">
        <v>678</v>
      </c>
      <c r="BY169" s="249" t="s">
        <v>678</v>
      </c>
      <c r="BZ169" s="249">
        <v>13.891213389121338</v>
      </c>
      <c r="CA169" s="249">
        <v>49.037656903765694</v>
      </c>
      <c r="CB169" s="249" t="s">
        <v>678</v>
      </c>
      <c r="CC169" s="250" t="s">
        <v>678</v>
      </c>
      <c r="CD169" s="242" t="s">
        <v>678</v>
      </c>
      <c r="CE169" s="252" t="s">
        <v>678</v>
      </c>
      <c r="CF169" s="238">
        <v>753</v>
      </c>
      <c r="CG169" s="238">
        <v>71.900000000000006</v>
      </c>
      <c r="CH169" s="238">
        <v>6.0167364016736409</v>
      </c>
      <c r="CI169" s="216" t="s">
        <v>722</v>
      </c>
      <c r="CJ169" s="237">
        <v>1</v>
      </c>
      <c r="CK169" s="253">
        <v>44.98</v>
      </c>
      <c r="CL169" s="253">
        <v>4.0247000000000002</v>
      </c>
      <c r="CM169" s="254">
        <v>4.2589417989417995E-3</v>
      </c>
      <c r="CN169" s="237" t="s">
        <v>791</v>
      </c>
      <c r="CO169" s="242"/>
      <c r="CP169" s="255">
        <v>0</v>
      </c>
      <c r="CV169" s="237">
        <v>1</v>
      </c>
      <c r="CW169" s="261" t="s">
        <v>678</v>
      </c>
      <c r="CX169" s="261" t="s">
        <v>678</v>
      </c>
      <c r="CY169" s="261" t="s">
        <v>678</v>
      </c>
      <c r="DB169" s="216" t="s">
        <v>1017</v>
      </c>
      <c r="DC169" s="195" t="s">
        <v>1018</v>
      </c>
      <c r="DD169" s="256">
        <v>0.8</v>
      </c>
      <c r="DE169" s="256">
        <v>-10</v>
      </c>
      <c r="DF169" s="256">
        <v>0.5</v>
      </c>
      <c r="DG169" s="256">
        <v>-2.2999999999999998</v>
      </c>
      <c r="DL169" s="237" t="s">
        <v>682</v>
      </c>
      <c r="DP169" s="258" t="s">
        <v>682</v>
      </c>
      <c r="DQ169" s="258"/>
      <c r="DR169" s="258"/>
      <c r="DS169" s="258"/>
      <c r="DT169" s="258"/>
      <c r="DU169" s="237">
        <v>0</v>
      </c>
      <c r="DX169" s="247"/>
      <c r="DY169" s="247">
        <v>0</v>
      </c>
      <c r="EA169" s="237">
        <v>0</v>
      </c>
      <c r="ED169" s="237" t="s">
        <v>678</v>
      </c>
      <c r="EE169" s="208">
        <v>4</v>
      </c>
      <c r="EF169" s="237" t="s">
        <v>678</v>
      </c>
      <c r="EG169" s="216" t="s">
        <v>703</v>
      </c>
      <c r="EH169" s="246" t="s">
        <v>704</v>
      </c>
      <c r="EI169" s="216"/>
      <c r="EJ169" s="216" t="s">
        <v>806</v>
      </c>
      <c r="EK169" s="222" t="s">
        <v>682</v>
      </c>
      <c r="EL169" s="259">
        <v>1993</v>
      </c>
      <c r="EM169" s="260">
        <v>1150</v>
      </c>
      <c r="EN169" s="260">
        <v>41060</v>
      </c>
      <c r="EO169" s="260">
        <v>9499</v>
      </c>
      <c r="ER169" s="237" t="s">
        <v>705</v>
      </c>
      <c r="ES169" s="237">
        <v>1195</v>
      </c>
      <c r="ET169" s="237">
        <v>8.26</v>
      </c>
      <c r="EU169" s="661">
        <v>3</v>
      </c>
      <c r="EV169" s="661" t="s">
        <v>678</v>
      </c>
      <c r="EW169" s="661">
        <v>6</v>
      </c>
      <c r="EX169" s="661">
        <v>5</v>
      </c>
      <c r="EY169" s="660">
        <v>4.7597883597883597E-2</v>
      </c>
      <c r="EZ169" s="256">
        <v>26.567363272565586</v>
      </c>
      <c r="FA169" s="247">
        <v>0.74626865671641796</v>
      </c>
      <c r="FB169" s="208">
        <v>7</v>
      </c>
      <c r="FC169" s="208">
        <v>7</v>
      </c>
      <c r="FD169" s="208">
        <v>7</v>
      </c>
      <c r="FE169" s="239">
        <v>0.88059701492537312</v>
      </c>
      <c r="FF169" s="208"/>
      <c r="FG169" s="241">
        <v>0</v>
      </c>
      <c r="FH169" s="209">
        <v>0</v>
      </c>
      <c r="FI169" s="237" t="s">
        <v>678</v>
      </c>
      <c r="FJ169" s="208" t="s">
        <v>678</v>
      </c>
      <c r="FK169" s="208" t="s">
        <v>678</v>
      </c>
      <c r="FL169" s="217" t="s">
        <v>678</v>
      </c>
      <c r="FM169" s="208" t="s">
        <v>678</v>
      </c>
      <c r="FN169" s="208" t="s">
        <v>678</v>
      </c>
      <c r="FP169" s="247" t="s">
        <v>693</v>
      </c>
      <c r="FU169" s="208" t="s">
        <v>678</v>
      </c>
      <c r="FV169" s="208" t="s">
        <v>678</v>
      </c>
      <c r="FW169" s="208" t="s">
        <v>678</v>
      </c>
      <c r="FX169" s="208" t="s">
        <v>678</v>
      </c>
      <c r="FY169" s="208" t="s">
        <v>678</v>
      </c>
      <c r="FZ169" s="208" t="s">
        <v>678</v>
      </c>
      <c r="GA169" s="208" t="s">
        <v>678</v>
      </c>
      <c r="GB169" s="208" t="s">
        <v>678</v>
      </c>
      <c r="GC169" s="208" t="s">
        <v>678</v>
      </c>
      <c r="GD169" s="208" t="s">
        <v>678</v>
      </c>
      <c r="GE169" s="237" t="s">
        <v>678</v>
      </c>
      <c r="GF169" s="237" t="s">
        <v>678</v>
      </c>
      <c r="GG169" s="237" t="s">
        <v>678</v>
      </c>
      <c r="GH169" s="237" t="s">
        <v>678</v>
      </c>
      <c r="GJ169" s="947"/>
      <c r="GK169" s="320"/>
      <c r="GL169" s="320"/>
      <c r="GM169" s="320"/>
      <c r="GN169" s="320"/>
      <c r="GO169" s="662">
        <v>8164</v>
      </c>
      <c r="GP169" s="663" t="str">
        <f>VLOOKUP(GS169,'BD Comarcal'!$A$6:$AV$17,48,FALSE)</f>
        <v>03</v>
      </c>
      <c r="GQ169" s="564">
        <v>10</v>
      </c>
      <c r="GR169" s="256">
        <f t="shared" si="2"/>
        <v>0</v>
      </c>
      <c r="GS169" s="237" t="s">
        <v>791</v>
      </c>
    </row>
    <row r="170" spans="1:201" s="237" customFormat="1" ht="17.25" customHeight="1">
      <c r="A170" s="236" t="s">
        <v>1340</v>
      </c>
      <c r="C170" s="238"/>
      <c r="D170" s="238">
        <v>1837</v>
      </c>
      <c r="E170" s="238">
        <v>1227</v>
      </c>
      <c r="F170" s="239">
        <v>0.66793685356559607</v>
      </c>
      <c r="G170" s="238">
        <v>883</v>
      </c>
      <c r="H170" s="240">
        <v>0</v>
      </c>
      <c r="I170" s="239">
        <v>0</v>
      </c>
      <c r="J170" s="238">
        <v>154</v>
      </c>
      <c r="K170" s="238">
        <v>1</v>
      </c>
      <c r="L170" s="238">
        <v>10</v>
      </c>
      <c r="M170" s="241">
        <v>5.4436581382689168E-3</v>
      </c>
      <c r="N170" s="238">
        <v>0</v>
      </c>
      <c r="O170" s="239">
        <v>0</v>
      </c>
      <c r="P170" s="237">
        <v>2</v>
      </c>
      <c r="Q170" s="237">
        <v>0</v>
      </c>
      <c r="R170" s="239">
        <v>0</v>
      </c>
      <c r="S170" s="238">
        <v>6</v>
      </c>
      <c r="T170" s="436">
        <v>0</v>
      </c>
      <c r="U170" s="436">
        <v>0</v>
      </c>
      <c r="V170" s="436">
        <v>64</v>
      </c>
      <c r="W170" s="436">
        <v>64</v>
      </c>
      <c r="X170" s="238">
        <v>2159</v>
      </c>
      <c r="Y170" s="237">
        <v>0.17430000000000001</v>
      </c>
      <c r="Z170" s="238">
        <v>26652</v>
      </c>
      <c r="AA170" s="238">
        <v>12396</v>
      </c>
      <c r="AB170" s="238">
        <v>75.739999999999995</v>
      </c>
      <c r="AC170" s="238">
        <v>354</v>
      </c>
      <c r="AD170" s="238">
        <v>3994562.5</v>
      </c>
      <c r="AE170" s="238">
        <v>0</v>
      </c>
      <c r="AF170" s="238">
        <v>0</v>
      </c>
      <c r="AG170" s="238">
        <v>0</v>
      </c>
      <c r="AH170" s="239" t="s">
        <v>678</v>
      </c>
      <c r="AI170" s="247">
        <v>66.810052999999996</v>
      </c>
      <c r="AJ170" s="242">
        <v>6.7277959999999997</v>
      </c>
      <c r="AK170" s="242">
        <v>0.36623821448013061</v>
      </c>
      <c r="AL170" s="242">
        <v>71.012091999999996</v>
      </c>
      <c r="AM170" s="242">
        <v>3.8656555253130098</v>
      </c>
      <c r="AN170" s="242">
        <v>22849.82</v>
      </c>
      <c r="AO170" s="238">
        <v>6858.51</v>
      </c>
      <c r="AP170" s="243">
        <v>0</v>
      </c>
      <c r="AQ170" s="238"/>
      <c r="AR170" s="238">
        <v>1413.5913572901202</v>
      </c>
      <c r="AS170" s="238">
        <v>2166.4472635424795</v>
      </c>
      <c r="AT170" s="238">
        <v>2340078.3333333335</v>
      </c>
      <c r="AU170" s="238">
        <v>262.94798801408507</v>
      </c>
      <c r="AV170" s="237">
        <v>1</v>
      </c>
      <c r="AW170" s="237">
        <v>1</v>
      </c>
      <c r="AX170" s="237">
        <v>1</v>
      </c>
      <c r="AY170" s="244" t="s">
        <v>682</v>
      </c>
      <c r="AZ170" s="244" t="s">
        <v>673</v>
      </c>
      <c r="BA170" s="237">
        <v>0</v>
      </c>
      <c r="BB170" s="245" t="s">
        <v>1341</v>
      </c>
      <c r="BC170" s="215" t="s">
        <v>1342</v>
      </c>
      <c r="BE170" s="237">
        <v>2</v>
      </c>
      <c r="BF170" s="237">
        <v>77</v>
      </c>
      <c r="BG170" s="246" t="s">
        <v>698</v>
      </c>
      <c r="BI170" s="239">
        <v>0.42993848257006151</v>
      </c>
      <c r="BJ170" s="239">
        <v>0.1038961038961039</v>
      </c>
      <c r="BK170" s="239">
        <v>0.45727956254272045</v>
      </c>
      <c r="BL170" s="239">
        <v>8.8858509911141498E-3</v>
      </c>
      <c r="BM170" s="247">
        <v>1.9548872180451127</v>
      </c>
      <c r="BN170" s="248">
        <v>0</v>
      </c>
      <c r="BO170" s="248">
        <v>0</v>
      </c>
      <c r="BP170" s="237">
        <v>0</v>
      </c>
      <c r="BQ170" s="237">
        <v>0</v>
      </c>
      <c r="BR170" s="248">
        <v>0</v>
      </c>
      <c r="BS170" s="237">
        <v>6.7</v>
      </c>
      <c r="BT170" s="237" t="s">
        <v>755</v>
      </c>
      <c r="BU170" s="249" t="s">
        <v>678</v>
      </c>
      <c r="BV170" s="249">
        <v>269</v>
      </c>
      <c r="BW170" s="249">
        <v>1180</v>
      </c>
      <c r="BX170" s="249" t="s">
        <v>678</v>
      </c>
      <c r="BY170" s="249" t="s">
        <v>678</v>
      </c>
      <c r="BZ170" s="249">
        <v>12.122577737719693</v>
      </c>
      <c r="CA170" s="249">
        <v>53.177106804867059</v>
      </c>
      <c r="CB170" s="249" t="s">
        <v>678</v>
      </c>
      <c r="CC170" s="250" t="s">
        <v>678</v>
      </c>
      <c r="CD170" s="242" t="s">
        <v>678</v>
      </c>
      <c r="CE170" s="252" t="s">
        <v>678</v>
      </c>
      <c r="CF170" s="238">
        <v>1104</v>
      </c>
      <c r="CG170" s="238">
        <v>183.3</v>
      </c>
      <c r="CH170" s="238">
        <v>8.2604776926543479</v>
      </c>
      <c r="CI170" s="216" t="s">
        <v>722</v>
      </c>
      <c r="CJ170" s="237">
        <v>1</v>
      </c>
      <c r="CK170" s="253">
        <v>77.23</v>
      </c>
      <c r="CL170" s="253">
        <v>164.90559999999999</v>
      </c>
      <c r="CM170" s="254">
        <v>8.9768971148611862E-2</v>
      </c>
      <c r="CN170" s="237" t="s">
        <v>81</v>
      </c>
      <c r="CO170" s="242">
        <v>31.42</v>
      </c>
      <c r="CP170" s="255">
        <v>1.7103973870440936E-2</v>
      </c>
      <c r="CV170" s="237">
        <v>6</v>
      </c>
      <c r="CW170" s="261" t="s">
        <v>678</v>
      </c>
      <c r="CX170" s="261" t="s">
        <v>678</v>
      </c>
      <c r="CY170" s="261" t="s">
        <v>678</v>
      </c>
      <c r="DB170" s="216" t="s">
        <v>1017</v>
      </c>
      <c r="DC170" s="195" t="s">
        <v>1041</v>
      </c>
      <c r="DD170" s="256">
        <v>0.8</v>
      </c>
      <c r="DE170" s="256">
        <v>-10</v>
      </c>
      <c r="DF170" s="256">
        <v>0.5</v>
      </c>
      <c r="DG170" s="256">
        <v>-2.2999999999999998</v>
      </c>
      <c r="DL170" s="237" t="s">
        <v>682</v>
      </c>
      <c r="DP170" s="258" t="s">
        <v>682</v>
      </c>
      <c r="DQ170" s="258"/>
      <c r="DR170" s="258"/>
      <c r="DS170" s="258"/>
      <c r="DT170" s="258"/>
      <c r="DU170" s="237">
        <v>0</v>
      </c>
      <c r="DX170" s="247"/>
      <c r="DY170" s="247">
        <v>0</v>
      </c>
      <c r="EA170" s="237">
        <v>1</v>
      </c>
      <c r="EB170" s="237" t="s">
        <v>859</v>
      </c>
      <c r="ED170" s="237" t="s">
        <v>932</v>
      </c>
      <c r="EE170" s="208">
        <v>3</v>
      </c>
      <c r="EF170" s="237" t="s">
        <v>702</v>
      </c>
      <c r="EG170" s="216" t="s">
        <v>691</v>
      </c>
      <c r="EH170" s="246" t="s">
        <v>690</v>
      </c>
      <c r="EI170" s="216" t="s">
        <v>691</v>
      </c>
      <c r="EJ170" s="216" t="s">
        <v>529</v>
      </c>
      <c r="EK170" s="222" t="s">
        <v>682</v>
      </c>
      <c r="EL170" s="259">
        <v>1981</v>
      </c>
      <c r="EM170" s="260">
        <v>24800</v>
      </c>
      <c r="EN170" s="260">
        <v>92977</v>
      </c>
      <c r="EO170" s="260">
        <v>2189763</v>
      </c>
      <c r="EP170" s="237">
        <v>1</v>
      </c>
      <c r="EQ170" s="237">
        <v>44</v>
      </c>
      <c r="ER170" s="237" t="s">
        <v>705</v>
      </c>
      <c r="ES170" s="237" t="e">
        <v>#DIV/0!</v>
      </c>
      <c r="ET170" s="237">
        <v>88.296895161290323</v>
      </c>
      <c r="EU170" s="661">
        <v>3</v>
      </c>
      <c r="EV170" s="661">
        <v>2</v>
      </c>
      <c r="EW170" s="661">
        <v>4</v>
      </c>
      <c r="EX170" s="661">
        <v>4</v>
      </c>
      <c r="EY170" s="660">
        <v>4.2041371801850844E-2</v>
      </c>
      <c r="EZ170" s="256">
        <v>28.732357892010874</v>
      </c>
      <c r="FA170" s="247">
        <v>0.48899755501222492</v>
      </c>
      <c r="FB170" s="208">
        <v>4</v>
      </c>
      <c r="FC170" s="208">
        <v>6</v>
      </c>
      <c r="FD170" s="208">
        <v>4</v>
      </c>
      <c r="FE170" s="239">
        <v>0.71964140179299108</v>
      </c>
      <c r="FF170" s="208"/>
      <c r="FG170" s="241">
        <v>0</v>
      </c>
      <c r="FH170" s="209">
        <v>0</v>
      </c>
      <c r="FI170" s="237" t="s">
        <v>678</v>
      </c>
      <c r="FJ170" s="208">
        <v>51.9</v>
      </c>
      <c r="FK170" s="208">
        <v>1.57</v>
      </c>
      <c r="FL170" s="217">
        <v>30</v>
      </c>
      <c r="FM170" s="208">
        <v>1.78</v>
      </c>
      <c r="FN170" s="208">
        <v>17</v>
      </c>
      <c r="FP170" s="247" t="s">
        <v>693</v>
      </c>
      <c r="FU170" s="208">
        <v>47</v>
      </c>
      <c r="FV170" s="208">
        <v>69.8</v>
      </c>
      <c r="FW170" s="237">
        <v>72.19</v>
      </c>
      <c r="FX170" s="237">
        <v>56.6</v>
      </c>
      <c r="FY170" s="208">
        <v>35.99</v>
      </c>
      <c r="FZ170" s="208">
        <v>52.3</v>
      </c>
      <c r="GA170" s="208">
        <v>53.34</v>
      </c>
      <c r="GB170" s="208">
        <v>56.9</v>
      </c>
      <c r="GC170" s="208">
        <v>0.19</v>
      </c>
      <c r="GD170" s="208">
        <v>38.4</v>
      </c>
      <c r="GE170" s="237">
        <v>41.86</v>
      </c>
      <c r="GF170" s="237">
        <v>53.4</v>
      </c>
      <c r="GG170" s="237">
        <v>14.97</v>
      </c>
      <c r="GH170" s="237">
        <v>85.6</v>
      </c>
      <c r="GJ170" s="947"/>
      <c r="GK170" s="320"/>
      <c r="GL170" s="320"/>
      <c r="GM170" s="320"/>
      <c r="GN170" s="320"/>
      <c r="GO170" s="662">
        <v>8165</v>
      </c>
      <c r="GP170" s="663" t="str">
        <f>VLOOKUP(GS170,'BD Comarcal'!$A$6:$AV$17,48,FALSE)</f>
        <v>06</v>
      </c>
      <c r="GQ170" s="564">
        <v>19</v>
      </c>
      <c r="GR170" s="256">
        <f t="shared" si="2"/>
        <v>0</v>
      </c>
      <c r="GS170" s="237" t="s">
        <v>81</v>
      </c>
    </row>
    <row r="171" spans="1:201" s="237" customFormat="1" ht="17.25" customHeight="1">
      <c r="A171" s="236" t="s">
        <v>1343</v>
      </c>
      <c r="C171" s="238"/>
      <c r="D171" s="238">
        <v>5132</v>
      </c>
      <c r="E171" s="238">
        <v>4248</v>
      </c>
      <c r="F171" s="239">
        <v>0.82774746687451284</v>
      </c>
      <c r="G171" s="238">
        <v>3821</v>
      </c>
      <c r="H171" s="240">
        <v>1382.6636070346917</v>
      </c>
      <c r="I171" s="239">
        <v>0.32548578320025701</v>
      </c>
      <c r="J171" s="238">
        <v>85</v>
      </c>
      <c r="K171" s="238">
        <v>599</v>
      </c>
      <c r="L171" s="238">
        <v>5</v>
      </c>
      <c r="M171" s="241">
        <v>9.7427903351519874E-4</v>
      </c>
      <c r="N171" s="238">
        <v>0</v>
      </c>
      <c r="O171" s="239">
        <v>0</v>
      </c>
      <c r="P171" s="237">
        <v>11</v>
      </c>
      <c r="Q171" s="237">
        <v>0</v>
      </c>
      <c r="R171" s="239">
        <v>0</v>
      </c>
      <c r="S171" s="238">
        <v>777</v>
      </c>
      <c r="T171" s="436">
        <v>411</v>
      </c>
      <c r="U171" s="436">
        <v>18</v>
      </c>
      <c r="V171" s="436">
        <v>88</v>
      </c>
      <c r="W171" s="436">
        <v>517</v>
      </c>
      <c r="X171" s="238">
        <v>1110</v>
      </c>
      <c r="Y171" s="237">
        <v>0.31</v>
      </c>
      <c r="Z171" s="238">
        <v>20420</v>
      </c>
      <c r="AA171" s="238">
        <v>17928</v>
      </c>
      <c r="AB171" s="238">
        <v>109.54</v>
      </c>
      <c r="AC171" s="238">
        <v>1837</v>
      </c>
      <c r="AD171" s="238">
        <v>3153347.82</v>
      </c>
      <c r="AE171" s="238">
        <v>374969.39999999991</v>
      </c>
      <c r="AF171" s="238">
        <v>2630963.08</v>
      </c>
      <c r="AG171" s="238">
        <v>39373.870000000003</v>
      </c>
      <c r="AH171" s="239">
        <v>1.4965572987059934E-2</v>
      </c>
      <c r="AI171" s="247">
        <v>27.137442</v>
      </c>
      <c r="AJ171" s="242">
        <v>5.1160699999999997</v>
      </c>
      <c r="AK171" s="242">
        <v>9.9689594699922057E-2</v>
      </c>
      <c r="AL171" s="242" t="s">
        <v>678</v>
      </c>
      <c r="AM171" s="242" t="s">
        <v>678</v>
      </c>
      <c r="AN171" s="242">
        <v>19829.900000000001</v>
      </c>
      <c r="AO171" s="238">
        <v>0</v>
      </c>
      <c r="AP171" s="243">
        <v>0</v>
      </c>
      <c r="AQ171" s="238">
        <v>1</v>
      </c>
      <c r="AR171" s="238">
        <v>1295.8919499913354</v>
      </c>
      <c r="AS171" s="238">
        <v>1971.0444445880682</v>
      </c>
      <c r="AT171" s="238">
        <v>68405.333333333328</v>
      </c>
      <c r="AU171" s="238">
        <v>260.6676500313821</v>
      </c>
      <c r="AV171" s="237">
        <v>1</v>
      </c>
      <c r="AW171" s="237">
        <v>0</v>
      </c>
      <c r="AX171" s="237">
        <v>1</v>
      </c>
      <c r="AY171" s="244" t="s">
        <v>717</v>
      </c>
      <c r="AZ171" s="244" t="s">
        <v>682</v>
      </c>
      <c r="BA171" s="237">
        <v>2012</v>
      </c>
      <c r="BB171" s="245" t="s">
        <v>952</v>
      </c>
      <c r="BC171" s="215" t="s">
        <v>953</v>
      </c>
      <c r="BE171" s="237">
        <v>3</v>
      </c>
      <c r="BF171" s="237">
        <v>17</v>
      </c>
      <c r="BG171" s="246" t="s">
        <v>720</v>
      </c>
      <c r="BI171" s="239">
        <v>0.77492877492877488</v>
      </c>
      <c r="BJ171" s="239">
        <v>8.7369420702754039E-2</v>
      </c>
      <c r="BK171" s="239">
        <v>0.13200379867046533</v>
      </c>
      <c r="BL171" s="239">
        <v>5.6980056980056983E-3</v>
      </c>
      <c r="BM171" s="247">
        <v>2.6315289648622979</v>
      </c>
      <c r="BN171" s="248">
        <v>0</v>
      </c>
      <c r="BO171" s="248">
        <v>0</v>
      </c>
      <c r="BP171" s="237">
        <v>0</v>
      </c>
      <c r="BQ171" s="237">
        <v>0</v>
      </c>
      <c r="BR171" s="248">
        <v>0</v>
      </c>
      <c r="BS171" s="237">
        <v>28.2</v>
      </c>
      <c r="BT171" s="237" t="s">
        <v>777</v>
      </c>
      <c r="BU171" s="249" t="s">
        <v>678</v>
      </c>
      <c r="BV171" s="249" t="s">
        <v>678</v>
      </c>
      <c r="BW171" s="249" t="s">
        <v>678</v>
      </c>
      <c r="BX171" s="249" t="s">
        <v>678</v>
      </c>
      <c r="BY171" s="249" t="s">
        <v>678</v>
      </c>
      <c r="BZ171" s="249" t="s">
        <v>678</v>
      </c>
      <c r="CA171" s="249" t="s">
        <v>678</v>
      </c>
      <c r="CB171" s="249" t="s">
        <v>678</v>
      </c>
      <c r="CC171" s="250" t="s">
        <v>678</v>
      </c>
      <c r="CD171" s="242" t="s">
        <v>678</v>
      </c>
      <c r="CE171" s="252" t="s">
        <v>678</v>
      </c>
      <c r="CF171" s="238">
        <v>1100</v>
      </c>
      <c r="CG171" s="238">
        <v>96.6</v>
      </c>
      <c r="CH171" s="238">
        <v>8.1040268456375841</v>
      </c>
      <c r="CI171" s="216" t="s">
        <v>722</v>
      </c>
      <c r="CJ171" s="237">
        <v>1</v>
      </c>
      <c r="CK171" s="253">
        <v>29.15</v>
      </c>
      <c r="CL171" s="253">
        <v>4.16</v>
      </c>
      <c r="CM171" s="254">
        <v>8.1060015588464544E-4</v>
      </c>
      <c r="CN171" s="237" t="s">
        <v>84</v>
      </c>
      <c r="CO171" s="242">
        <v>2580.4299999999998</v>
      </c>
      <c r="CP171" s="255">
        <v>0.5028117692907248</v>
      </c>
      <c r="CQ171" s="237">
        <v>2121.3199999999997</v>
      </c>
      <c r="CR171" s="237" t="s">
        <v>1344</v>
      </c>
      <c r="CS171" s="237">
        <v>1306.05</v>
      </c>
      <c r="CT171" s="237">
        <v>815.27</v>
      </c>
      <c r="CV171" s="237">
        <v>3</v>
      </c>
      <c r="CW171" s="261" t="s">
        <v>678</v>
      </c>
      <c r="CX171" s="261" t="s">
        <v>678</v>
      </c>
      <c r="CY171" s="261" t="s">
        <v>678</v>
      </c>
      <c r="DB171" s="216"/>
      <c r="DC171" s="195" t="s">
        <v>1345</v>
      </c>
      <c r="DD171" s="256">
        <v>0.8</v>
      </c>
      <c r="DE171" s="256">
        <v>-9</v>
      </c>
      <c r="DF171" s="256">
        <v>-0.3</v>
      </c>
      <c r="DG171" s="256">
        <v>-2.6</v>
      </c>
      <c r="DL171" s="237" t="s">
        <v>682</v>
      </c>
      <c r="DP171" s="258" t="s">
        <v>683</v>
      </c>
      <c r="DQ171" s="258" t="s">
        <v>1346</v>
      </c>
      <c r="DR171" s="258" t="s">
        <v>1347</v>
      </c>
      <c r="DS171" s="258"/>
      <c r="DT171" s="258"/>
      <c r="DU171" s="237">
        <v>0</v>
      </c>
      <c r="DX171" s="247"/>
      <c r="DY171" s="247">
        <v>0</v>
      </c>
      <c r="EA171" s="237">
        <v>0</v>
      </c>
      <c r="ED171" s="237" t="s">
        <v>723</v>
      </c>
      <c r="EE171" s="208">
        <v>2</v>
      </c>
      <c r="EF171" s="237" t="s">
        <v>702</v>
      </c>
      <c r="EG171" s="216" t="s">
        <v>689</v>
      </c>
      <c r="EH171" s="246" t="s">
        <v>690</v>
      </c>
      <c r="EI171" s="216"/>
      <c r="EJ171" s="216" t="s">
        <v>529</v>
      </c>
      <c r="EK171" s="222" t="s">
        <v>682</v>
      </c>
      <c r="EL171" s="259">
        <v>1988</v>
      </c>
      <c r="EM171" s="260">
        <v>1540</v>
      </c>
      <c r="EN171" s="260">
        <v>37020</v>
      </c>
      <c r="EO171" s="260">
        <v>25964</v>
      </c>
      <c r="ER171" s="237" t="s">
        <v>705</v>
      </c>
      <c r="ES171" s="237" t="e">
        <v>#DIV/0!</v>
      </c>
      <c r="ET171" s="237">
        <v>16.85974025974026</v>
      </c>
      <c r="EU171" s="661">
        <v>8</v>
      </c>
      <c r="EV171" s="661" t="s">
        <v>678</v>
      </c>
      <c r="EW171" s="661">
        <v>0</v>
      </c>
      <c r="EX171" s="661">
        <v>3</v>
      </c>
      <c r="EY171" s="660">
        <v>5.6800467653936081E-3</v>
      </c>
      <c r="EZ171" s="256">
        <v>40.891938250428815</v>
      </c>
      <c r="FA171" s="247">
        <v>7.0621468926553674E-2</v>
      </c>
      <c r="FB171" s="208">
        <v>1</v>
      </c>
      <c r="FC171" s="208">
        <v>3</v>
      </c>
      <c r="FD171" s="208">
        <v>3</v>
      </c>
      <c r="FE171" s="239">
        <v>0.89948210922787197</v>
      </c>
      <c r="FF171" s="208">
        <v>1</v>
      </c>
      <c r="FG171" s="241">
        <v>0</v>
      </c>
      <c r="FH171" s="209">
        <v>0.49936911487758939</v>
      </c>
      <c r="FI171" s="237" t="s">
        <v>678</v>
      </c>
      <c r="FJ171" s="208">
        <v>57.7</v>
      </c>
      <c r="FK171" s="208">
        <v>46.29</v>
      </c>
      <c r="FL171" s="217">
        <v>88.7</v>
      </c>
      <c r="FM171" s="208">
        <v>16.79</v>
      </c>
      <c r="FN171" s="208" t="s">
        <v>1348</v>
      </c>
      <c r="FP171" s="247" t="s">
        <v>693</v>
      </c>
      <c r="FU171" s="208">
        <v>38</v>
      </c>
      <c r="FV171" s="208">
        <v>47.4</v>
      </c>
      <c r="FW171" s="237">
        <v>85.28</v>
      </c>
      <c r="FX171" s="237">
        <v>75</v>
      </c>
      <c r="FY171" s="208">
        <v>90.66</v>
      </c>
      <c r="FZ171" s="208">
        <v>84</v>
      </c>
      <c r="GA171" s="208">
        <v>81.13</v>
      </c>
      <c r="GB171" s="208">
        <v>93.1</v>
      </c>
      <c r="GC171" s="208">
        <v>0.69</v>
      </c>
      <c r="GD171" s="208">
        <v>73.2</v>
      </c>
      <c r="GE171" s="237">
        <v>93.37</v>
      </c>
      <c r="GF171" s="237">
        <v>98.4</v>
      </c>
      <c r="GG171" s="237">
        <v>6.29</v>
      </c>
      <c r="GH171" s="237">
        <v>52.4</v>
      </c>
      <c r="GJ171" s="947"/>
      <c r="GK171" s="320"/>
      <c r="GL171" s="320"/>
      <c r="GM171" s="320"/>
      <c r="GN171" s="320"/>
      <c r="GO171" s="662">
        <v>8166</v>
      </c>
      <c r="GP171" s="663" t="str">
        <f>VLOOKUP(GS171,'BD Comarcal'!$A$6:$AV$17,48,FALSE)</f>
        <v>14</v>
      </c>
      <c r="GQ171" s="564">
        <v>20</v>
      </c>
      <c r="GR171" s="256">
        <f t="shared" si="2"/>
        <v>0</v>
      </c>
      <c r="GS171" s="237" t="s">
        <v>84</v>
      </c>
    </row>
    <row r="172" spans="1:201" s="237" customFormat="1" ht="17.25" customHeight="1">
      <c r="A172" s="236" t="s">
        <v>1349</v>
      </c>
      <c r="C172" s="238"/>
      <c r="D172" s="238">
        <v>893</v>
      </c>
      <c r="E172" s="238">
        <v>234</v>
      </c>
      <c r="F172" s="239">
        <v>0.26203807390817468</v>
      </c>
      <c r="G172" s="238">
        <v>191</v>
      </c>
      <c r="H172" s="240">
        <v>88.707137667763263</v>
      </c>
      <c r="I172" s="239">
        <v>0.37909033191351821</v>
      </c>
      <c r="J172" s="238">
        <v>154</v>
      </c>
      <c r="K172" s="238">
        <v>134</v>
      </c>
      <c r="L172" s="238">
        <v>6</v>
      </c>
      <c r="M172" s="241">
        <v>6.7189249720044789E-3</v>
      </c>
      <c r="N172" s="238">
        <v>0</v>
      </c>
      <c r="O172" s="239">
        <v>0</v>
      </c>
      <c r="P172" s="237">
        <v>8</v>
      </c>
      <c r="Q172" s="237">
        <v>0</v>
      </c>
      <c r="R172" s="239">
        <v>0</v>
      </c>
      <c r="S172" s="238">
        <v>284</v>
      </c>
      <c r="T172" s="436">
        <v>0</v>
      </c>
      <c r="U172" s="436">
        <v>0</v>
      </c>
      <c r="V172" s="436">
        <v>0</v>
      </c>
      <c r="W172" s="436">
        <v>0</v>
      </c>
      <c r="X172" s="238">
        <v>8300</v>
      </c>
      <c r="Y172" s="237">
        <v>8.6199999999999999E-2</v>
      </c>
      <c r="Z172" s="238">
        <v>107965</v>
      </c>
      <c r="AA172" s="238">
        <v>13125</v>
      </c>
      <c r="AB172" s="238">
        <v>80.19</v>
      </c>
      <c r="AC172" s="238">
        <v>4363</v>
      </c>
      <c r="AD172" s="238">
        <v>14934838.59</v>
      </c>
      <c r="AE172" s="238">
        <v>-171007.58000000007</v>
      </c>
      <c r="AF172" s="238">
        <v>11578417.98</v>
      </c>
      <c r="AG172" s="238">
        <v>1876114.64</v>
      </c>
      <c r="AH172" s="239">
        <v>0.1620354907933631</v>
      </c>
      <c r="AI172" s="247">
        <v>273.062476</v>
      </c>
      <c r="AJ172" s="242">
        <v>34.837564999999998</v>
      </c>
      <c r="AK172" s="242">
        <v>3.9011830907054872</v>
      </c>
      <c r="AL172" s="242">
        <v>2.7031900000000002</v>
      </c>
      <c r="AM172" s="242">
        <v>0.3027088465845465</v>
      </c>
      <c r="AN172" s="242">
        <v>40229.160000000003</v>
      </c>
      <c r="AO172" s="238">
        <v>6002.36</v>
      </c>
      <c r="AP172" s="243">
        <v>27</v>
      </c>
      <c r="AQ172" s="238"/>
      <c r="AR172" s="238">
        <v>1187.9747207762196</v>
      </c>
      <c r="AS172" s="238">
        <v>1911.8698686117443</v>
      </c>
      <c r="AT172" s="238">
        <v>582918.33333333337</v>
      </c>
      <c r="AU172" s="238">
        <v>253.64389501881905</v>
      </c>
      <c r="AV172" s="237">
        <v>1</v>
      </c>
      <c r="AW172" s="237">
        <v>0</v>
      </c>
      <c r="AX172" s="237">
        <v>1</v>
      </c>
      <c r="AY172" s="244" t="s">
        <v>717</v>
      </c>
      <c r="AZ172" s="244" t="s">
        <v>717</v>
      </c>
      <c r="BA172" s="237">
        <v>2011</v>
      </c>
      <c r="BB172" s="245" t="s">
        <v>1350</v>
      </c>
      <c r="BC172" s="215" t="s">
        <v>1351</v>
      </c>
      <c r="BE172" s="237">
        <v>8</v>
      </c>
      <c r="BF172" s="237">
        <v>42</v>
      </c>
      <c r="BG172" s="246" t="s">
        <v>676</v>
      </c>
      <c r="BI172" s="239">
        <v>0.19416730621642364</v>
      </c>
      <c r="BJ172" s="239">
        <v>0.13277052954719878</v>
      </c>
      <c r="BK172" s="239">
        <v>0.65771297006907137</v>
      </c>
      <c r="BL172" s="239">
        <v>1.5349194167306216E-2</v>
      </c>
      <c r="BM172" s="247">
        <v>1.5057559478127398</v>
      </c>
      <c r="BN172" s="248">
        <v>0</v>
      </c>
      <c r="BO172" s="248">
        <v>0</v>
      </c>
      <c r="BP172" s="237">
        <v>0</v>
      </c>
      <c r="BQ172" s="237">
        <v>0</v>
      </c>
      <c r="BR172" s="248">
        <v>0</v>
      </c>
      <c r="BS172" s="237">
        <v>9</v>
      </c>
      <c r="BT172" s="237" t="s">
        <v>947</v>
      </c>
      <c r="BU172" s="249" t="s">
        <v>678</v>
      </c>
      <c r="BV172" s="249">
        <v>850</v>
      </c>
      <c r="BW172" s="249">
        <v>4297</v>
      </c>
      <c r="BX172" s="249" t="s">
        <v>678</v>
      </c>
      <c r="BY172" s="249" t="s">
        <v>678</v>
      </c>
      <c r="BZ172" s="249">
        <v>10.419220397156165</v>
      </c>
      <c r="CA172" s="249">
        <v>52.672223584211814</v>
      </c>
      <c r="CB172" s="249" t="s">
        <v>678</v>
      </c>
      <c r="CC172" s="250" t="s">
        <v>678</v>
      </c>
      <c r="CD172" s="242">
        <v>887</v>
      </c>
      <c r="CE172" s="252">
        <v>110.87276293209121</v>
      </c>
      <c r="CF172" s="238">
        <v>3212</v>
      </c>
      <c r="CG172" s="238">
        <v>698.8</v>
      </c>
      <c r="CH172" s="238">
        <v>8.5658249570973286</v>
      </c>
      <c r="CI172" s="216" t="s">
        <v>679</v>
      </c>
      <c r="CJ172" s="237">
        <v>0</v>
      </c>
      <c r="CK172" s="253">
        <v>273.73</v>
      </c>
      <c r="CL172" s="253">
        <v>94.533100000000005</v>
      </c>
      <c r="CM172" s="254">
        <v>0.10586013437849945</v>
      </c>
      <c r="CN172" s="237" t="s">
        <v>89</v>
      </c>
      <c r="CO172" s="242"/>
      <c r="CP172" s="255">
        <v>0</v>
      </c>
      <c r="CV172" s="237">
        <v>6</v>
      </c>
      <c r="CW172" s="194">
        <v>0.74</v>
      </c>
      <c r="CX172" s="194">
        <v>0.63500000000000001</v>
      </c>
      <c r="CY172" s="194">
        <v>4.4999999999999998E-2</v>
      </c>
      <c r="DB172" s="216" t="s">
        <v>710</v>
      </c>
      <c r="DC172" s="195" t="s">
        <v>711</v>
      </c>
      <c r="DD172" s="256">
        <v>0.7</v>
      </c>
      <c r="DE172" s="256">
        <v>-6.5</v>
      </c>
      <c r="DF172" s="256">
        <v>0.7</v>
      </c>
      <c r="DG172" s="256">
        <v>-2.2000000000000002</v>
      </c>
      <c r="DL172" s="237" t="s">
        <v>682</v>
      </c>
      <c r="DP172" s="258" t="s">
        <v>682</v>
      </c>
      <c r="DQ172" s="258"/>
      <c r="DR172" s="258"/>
      <c r="DS172" s="258"/>
      <c r="DT172" s="258"/>
      <c r="DU172" s="237">
        <v>0</v>
      </c>
      <c r="DX172" s="247"/>
      <c r="DY172" s="247">
        <v>0</v>
      </c>
      <c r="EA172" s="237">
        <v>0</v>
      </c>
      <c r="ED172" s="237" t="s">
        <v>678</v>
      </c>
      <c r="EE172" s="208">
        <v>3</v>
      </c>
      <c r="EF172" s="237" t="s">
        <v>678</v>
      </c>
      <c r="EG172" s="216" t="s">
        <v>691</v>
      </c>
      <c r="EH172" s="246" t="s">
        <v>690</v>
      </c>
      <c r="EI172" s="216"/>
      <c r="EJ172" s="216" t="s">
        <v>529</v>
      </c>
      <c r="EK172" s="222" t="s">
        <v>682</v>
      </c>
      <c r="EL172" s="259">
        <v>2003</v>
      </c>
      <c r="EM172" s="260">
        <v>72670</v>
      </c>
      <c r="EN172" s="260">
        <v>335466</v>
      </c>
      <c r="EO172" s="260">
        <v>282562</v>
      </c>
      <c r="ER172" s="237" t="s">
        <v>705</v>
      </c>
      <c r="ES172" s="237" t="e">
        <v>#DIV/0!</v>
      </c>
      <c r="ET172" s="237">
        <v>3.8882895280033027</v>
      </c>
      <c r="EU172" s="661">
        <v>3</v>
      </c>
      <c r="EV172" s="661">
        <v>4</v>
      </c>
      <c r="EW172" s="661">
        <v>4</v>
      </c>
      <c r="EX172" s="661">
        <v>6</v>
      </c>
      <c r="EY172" s="660">
        <v>0.30652855543113106</v>
      </c>
      <c r="EZ172" s="256">
        <v>29.803090636758849</v>
      </c>
      <c r="FA172" s="247">
        <v>2.5641025641025643</v>
      </c>
      <c r="FB172" s="208">
        <v>4</v>
      </c>
      <c r="FC172" s="208">
        <v>4</v>
      </c>
      <c r="FD172" s="208">
        <v>7</v>
      </c>
      <c r="FE172" s="239">
        <v>0.81623931623931623</v>
      </c>
      <c r="FF172" s="208"/>
      <c r="FG172" s="241">
        <v>0</v>
      </c>
      <c r="FH172" s="209">
        <v>0</v>
      </c>
      <c r="FI172" s="237" t="s">
        <v>678</v>
      </c>
      <c r="FJ172" s="208" t="s">
        <v>678</v>
      </c>
      <c r="FK172" s="208" t="s">
        <v>678</v>
      </c>
      <c r="FL172" s="217" t="s">
        <v>678</v>
      </c>
      <c r="FM172" s="208" t="s">
        <v>678</v>
      </c>
      <c r="FN172" s="208" t="s">
        <v>678</v>
      </c>
      <c r="FP172" s="247" t="s">
        <v>693</v>
      </c>
      <c r="FU172" s="208" t="s">
        <v>678</v>
      </c>
      <c r="FV172" s="208" t="s">
        <v>678</v>
      </c>
      <c r="FW172" s="208" t="s">
        <v>678</v>
      </c>
      <c r="FX172" s="208" t="s">
        <v>678</v>
      </c>
      <c r="FY172" s="208" t="s">
        <v>678</v>
      </c>
      <c r="FZ172" s="208" t="s">
        <v>678</v>
      </c>
      <c r="GA172" s="208" t="s">
        <v>678</v>
      </c>
      <c r="GB172" s="208" t="s">
        <v>678</v>
      </c>
      <c r="GC172" s="208" t="s">
        <v>678</v>
      </c>
      <c r="GD172" s="208" t="s">
        <v>678</v>
      </c>
      <c r="GE172" s="237" t="s">
        <v>678</v>
      </c>
      <c r="GF172" s="237" t="s">
        <v>678</v>
      </c>
      <c r="GG172" s="237" t="s">
        <v>678</v>
      </c>
      <c r="GH172" s="237" t="s">
        <v>678</v>
      </c>
      <c r="GJ172" s="947">
        <v>505</v>
      </c>
      <c r="GK172" s="320">
        <v>0</v>
      </c>
      <c r="GL172" s="320">
        <v>0.60199999999999998</v>
      </c>
      <c r="GM172" s="320">
        <v>2.4E-2</v>
      </c>
      <c r="GN172" s="320">
        <v>0.373</v>
      </c>
      <c r="GO172" s="662">
        <v>8167</v>
      </c>
      <c r="GP172" s="663" t="str">
        <f>VLOOKUP(GS172,'BD Comarcal'!$A$6:$AV$17,48,FALSE)</f>
        <v>40</v>
      </c>
      <c r="GQ172" s="564">
        <v>34</v>
      </c>
      <c r="GR172" s="256">
        <f t="shared" si="2"/>
        <v>0</v>
      </c>
      <c r="GS172" s="237" t="s">
        <v>89</v>
      </c>
    </row>
    <row r="173" spans="1:201" s="237" customFormat="1" ht="17.25" customHeight="1">
      <c r="A173" s="236" t="s">
        <v>1352</v>
      </c>
      <c r="C173" s="238"/>
      <c r="D173" s="238">
        <v>2586</v>
      </c>
      <c r="E173" s="238">
        <v>1959</v>
      </c>
      <c r="F173" s="239">
        <v>0.75754060324825989</v>
      </c>
      <c r="G173" s="238">
        <v>786</v>
      </c>
      <c r="H173" s="240">
        <v>770.67815230122415</v>
      </c>
      <c r="I173" s="239">
        <v>0.39340385518183979</v>
      </c>
      <c r="J173" s="238">
        <v>373</v>
      </c>
      <c r="K173" s="238">
        <v>25</v>
      </c>
      <c r="L173" s="238">
        <v>6</v>
      </c>
      <c r="M173" s="241">
        <v>2.3201856148491878E-3</v>
      </c>
      <c r="N173" s="238">
        <v>29</v>
      </c>
      <c r="O173" s="239">
        <v>7.7747989276139406E-2</v>
      </c>
      <c r="P173" s="237">
        <v>3</v>
      </c>
      <c r="Q173" s="237">
        <v>0</v>
      </c>
      <c r="R173" s="239">
        <v>0</v>
      </c>
      <c r="S173" s="238">
        <v>43</v>
      </c>
      <c r="T173" s="436">
        <v>0</v>
      </c>
      <c r="U173" s="436">
        <v>48</v>
      </c>
      <c r="V173" s="436">
        <v>0</v>
      </c>
      <c r="W173" s="436">
        <v>48</v>
      </c>
      <c r="X173" s="238">
        <v>453</v>
      </c>
      <c r="Y173" s="237">
        <v>0.19500000000000001</v>
      </c>
      <c r="Z173" s="238">
        <v>6335</v>
      </c>
      <c r="AA173" s="238">
        <v>13115</v>
      </c>
      <c r="AB173" s="238">
        <v>80.13</v>
      </c>
      <c r="AC173" s="238">
        <v>84</v>
      </c>
      <c r="AD173" s="238">
        <v>884229.92</v>
      </c>
      <c r="AE173" s="238">
        <v>155265.47999999998</v>
      </c>
      <c r="AF173" s="238">
        <v>620598.34000000008</v>
      </c>
      <c r="AG173" s="238">
        <v>7441.5</v>
      </c>
      <c r="AH173" s="239">
        <v>1.1990847413481638E-2</v>
      </c>
      <c r="AI173" s="247">
        <v>58.873660999999998</v>
      </c>
      <c r="AJ173" s="242">
        <v>23.594856</v>
      </c>
      <c r="AK173" s="242">
        <v>0.91240742459396751</v>
      </c>
      <c r="AL173" s="242">
        <v>155.75223199999999</v>
      </c>
      <c r="AM173" s="242">
        <v>6.0229014694508889</v>
      </c>
      <c r="AN173" s="242">
        <v>26446.85</v>
      </c>
      <c r="AO173" s="238">
        <v>0</v>
      </c>
      <c r="AP173" s="243">
        <v>0</v>
      </c>
      <c r="AQ173" s="238"/>
      <c r="AR173" s="238">
        <v>1637.0746332156725</v>
      </c>
      <c r="AS173" s="238">
        <v>1639.5036452053721</v>
      </c>
      <c r="AT173" s="238">
        <v>30147</v>
      </c>
      <c r="AU173" s="238">
        <v>305.63084712388144</v>
      </c>
      <c r="AV173" s="237">
        <v>1</v>
      </c>
      <c r="AW173" s="237">
        <v>1</v>
      </c>
      <c r="AX173" s="237">
        <v>1</v>
      </c>
      <c r="AY173" s="244" t="s">
        <v>682</v>
      </c>
      <c r="AZ173" s="244" t="s">
        <v>682</v>
      </c>
      <c r="BA173" s="237">
        <v>0</v>
      </c>
      <c r="BB173" s="245" t="s">
        <v>1353</v>
      </c>
      <c r="BC173" s="215" t="s">
        <v>1354</v>
      </c>
      <c r="BE173" s="237">
        <v>49</v>
      </c>
      <c r="BF173" s="237">
        <v>8</v>
      </c>
      <c r="BG173" s="246" t="s">
        <v>698</v>
      </c>
      <c r="BI173" s="239">
        <v>0.72815533980582525</v>
      </c>
      <c r="BJ173" s="239">
        <v>0.13398058252427184</v>
      </c>
      <c r="BK173" s="239">
        <v>0.12233009708737864</v>
      </c>
      <c r="BL173" s="239">
        <v>1.5533980582524271E-2</v>
      </c>
      <c r="BM173" s="247">
        <v>2.5747572815533983</v>
      </c>
      <c r="BN173" s="248">
        <v>1</v>
      </c>
      <c r="BO173" s="248">
        <v>0</v>
      </c>
      <c r="BP173" s="237">
        <v>0</v>
      </c>
      <c r="BQ173" s="237">
        <v>0</v>
      </c>
      <c r="BR173" s="248">
        <v>1</v>
      </c>
      <c r="BS173" s="237">
        <v>20</v>
      </c>
      <c r="BT173" s="237" t="s">
        <v>790</v>
      </c>
      <c r="BU173" s="249" t="s">
        <v>678</v>
      </c>
      <c r="BV173" s="249" t="s">
        <v>678</v>
      </c>
      <c r="BW173" s="249" t="s">
        <v>678</v>
      </c>
      <c r="BX173" s="249" t="s">
        <v>678</v>
      </c>
      <c r="BY173" s="249" t="s">
        <v>678</v>
      </c>
      <c r="BZ173" s="249" t="s">
        <v>678</v>
      </c>
      <c r="CA173" s="249" t="s">
        <v>678</v>
      </c>
      <c r="CB173" s="249" t="s">
        <v>678</v>
      </c>
      <c r="CC173" s="250" t="s">
        <v>678</v>
      </c>
      <c r="CD173" s="242" t="s">
        <v>678</v>
      </c>
      <c r="CE173" s="252" t="s">
        <v>678</v>
      </c>
      <c r="CF173" s="238">
        <v>542</v>
      </c>
      <c r="CG173" s="238">
        <v>49</v>
      </c>
      <c r="CH173" s="238">
        <v>9.7222222222222214</v>
      </c>
      <c r="CI173" s="216" t="s">
        <v>722</v>
      </c>
      <c r="CJ173" s="237">
        <v>1</v>
      </c>
      <c r="CK173" s="253">
        <v>54.63</v>
      </c>
      <c r="CL173" s="253">
        <v>70.921400000000006</v>
      </c>
      <c r="CM173" s="254">
        <v>2.742513534416087E-2</v>
      </c>
      <c r="CN173" s="237" t="s">
        <v>791</v>
      </c>
      <c r="CO173" s="242">
        <v>382.3</v>
      </c>
      <c r="CP173" s="255">
        <v>0.14783449342614077</v>
      </c>
      <c r="CV173" s="237">
        <v>1</v>
      </c>
      <c r="CW173" s="261" t="s">
        <v>678</v>
      </c>
      <c r="CX173" s="261" t="s">
        <v>678</v>
      </c>
      <c r="CY173" s="261" t="s">
        <v>678</v>
      </c>
      <c r="DB173" s="216" t="s">
        <v>681</v>
      </c>
      <c r="DC173" s="256"/>
      <c r="DD173" s="256">
        <v>0.8</v>
      </c>
      <c r="DE173" s="256">
        <v>-10</v>
      </c>
      <c r="DF173" s="256">
        <v>0.5</v>
      </c>
      <c r="DG173" s="256">
        <v>-2.2999999999999998</v>
      </c>
      <c r="DL173" s="237" t="s">
        <v>682</v>
      </c>
      <c r="DP173" s="258" t="s">
        <v>682</v>
      </c>
      <c r="DQ173" s="258"/>
      <c r="DR173" s="258"/>
      <c r="DS173" s="258"/>
      <c r="DT173" s="258"/>
      <c r="DU173" s="237">
        <v>0</v>
      </c>
      <c r="DX173" s="247"/>
      <c r="DY173" s="247">
        <v>0</v>
      </c>
      <c r="EA173" s="237">
        <v>0</v>
      </c>
      <c r="EB173" s="237" t="s">
        <v>1019</v>
      </c>
      <c r="ED173" s="237" t="s">
        <v>678</v>
      </c>
      <c r="EE173" s="208">
        <v>0</v>
      </c>
      <c r="EF173" s="237" t="s">
        <v>678</v>
      </c>
      <c r="EG173" s="216" t="s">
        <v>715</v>
      </c>
      <c r="EH173" s="246" t="s">
        <v>690</v>
      </c>
      <c r="EI173" s="216"/>
      <c r="EJ173" s="216" t="s">
        <v>529</v>
      </c>
      <c r="EK173" s="222" t="s">
        <v>682</v>
      </c>
      <c r="EL173" s="259">
        <v>1997</v>
      </c>
      <c r="EM173" s="260">
        <v>480</v>
      </c>
      <c r="EN173" s="260">
        <v>24018</v>
      </c>
      <c r="EO173" s="260">
        <v>7658</v>
      </c>
      <c r="EP173" s="237">
        <v>2</v>
      </c>
      <c r="EQ173" s="237">
        <v>214</v>
      </c>
      <c r="ER173" s="237" t="s">
        <v>705</v>
      </c>
      <c r="ES173" s="237">
        <v>504</v>
      </c>
      <c r="ET173" s="237">
        <v>15.954166666666667</v>
      </c>
      <c r="EU173" s="661">
        <v>1</v>
      </c>
      <c r="EV173" s="661" t="s">
        <v>678</v>
      </c>
      <c r="EW173" s="661">
        <v>0</v>
      </c>
      <c r="EX173" s="661">
        <v>3</v>
      </c>
      <c r="EY173" s="660">
        <v>2.1125290023201859E-2</v>
      </c>
      <c r="EZ173" s="256">
        <v>9.2257001647446462</v>
      </c>
      <c r="FA173" s="247">
        <v>5.1046452271567129E-2</v>
      </c>
      <c r="FB173" s="208">
        <v>2</v>
      </c>
      <c r="FC173" s="208">
        <v>3</v>
      </c>
      <c r="FD173" s="208">
        <v>2</v>
      </c>
      <c r="FE173" s="239">
        <v>0.40122511485451762</v>
      </c>
      <c r="FF173" s="208"/>
      <c r="FG173" s="241">
        <v>0</v>
      </c>
      <c r="FH173" s="209">
        <v>0</v>
      </c>
      <c r="FI173" s="237" t="s">
        <v>678</v>
      </c>
      <c r="FJ173" s="208">
        <v>45.2</v>
      </c>
      <c r="FK173" s="208">
        <v>10.5</v>
      </c>
      <c r="FL173" s="217">
        <v>47</v>
      </c>
      <c r="FM173" s="208">
        <v>1.2</v>
      </c>
      <c r="FN173" s="208" t="s">
        <v>1355</v>
      </c>
      <c r="FP173" s="247" t="s">
        <v>693</v>
      </c>
      <c r="FU173" s="208">
        <v>32</v>
      </c>
      <c r="FV173" s="208">
        <v>31.8</v>
      </c>
      <c r="FW173" s="237">
        <v>44.22</v>
      </c>
      <c r="FX173" s="237">
        <v>23.1</v>
      </c>
      <c r="FY173" s="208">
        <v>29.51</v>
      </c>
      <c r="FZ173" s="208">
        <v>46.2</v>
      </c>
      <c r="GA173" s="208">
        <v>40.14</v>
      </c>
      <c r="GB173" s="208">
        <v>36.799999999999997</v>
      </c>
      <c r="GC173" s="208" t="s">
        <v>678</v>
      </c>
      <c r="GD173" s="208" t="s">
        <v>678</v>
      </c>
      <c r="GE173" s="237">
        <v>34.78</v>
      </c>
      <c r="GF173" s="237">
        <v>41.4</v>
      </c>
      <c r="GG173" s="237">
        <v>6.51</v>
      </c>
      <c r="GH173" s="237">
        <v>53.5</v>
      </c>
      <c r="GJ173" s="947"/>
      <c r="GK173" s="320"/>
      <c r="GL173" s="320"/>
      <c r="GM173" s="320"/>
      <c r="GN173" s="320"/>
      <c r="GO173" s="662">
        <v>8168</v>
      </c>
      <c r="GP173" s="663" t="str">
        <f>VLOOKUP(GS173,'BD Comarcal'!$A$6:$AV$17,48,FALSE)</f>
        <v>03</v>
      </c>
      <c r="GQ173" s="564">
        <v>4</v>
      </c>
      <c r="GR173" s="256">
        <f t="shared" si="2"/>
        <v>0</v>
      </c>
      <c r="GS173" s="237" t="s">
        <v>791</v>
      </c>
    </row>
    <row r="174" spans="1:201" s="237" customFormat="1" ht="17.25" customHeight="1">
      <c r="A174" s="236" t="s">
        <v>348</v>
      </c>
      <c r="C174" s="238" t="s">
        <v>683</v>
      </c>
      <c r="D174" s="238">
        <v>3223</v>
      </c>
      <c r="E174" s="238">
        <v>893</v>
      </c>
      <c r="F174" s="239">
        <v>0.27707105181507913</v>
      </c>
      <c r="G174" s="238">
        <v>124</v>
      </c>
      <c r="H174" s="240">
        <v>0</v>
      </c>
      <c r="I174" s="239">
        <v>0</v>
      </c>
      <c r="J174" s="238">
        <v>102</v>
      </c>
      <c r="K174" s="238">
        <v>30</v>
      </c>
      <c r="L174" s="238">
        <v>119</v>
      </c>
      <c r="M174" s="241">
        <v>3.6922122246354327E-2</v>
      </c>
      <c r="N174" s="238">
        <v>0</v>
      </c>
      <c r="O174" s="239">
        <v>0</v>
      </c>
      <c r="P174" s="237">
        <v>4</v>
      </c>
      <c r="Q174" s="237">
        <v>0</v>
      </c>
      <c r="R174" s="239">
        <v>0</v>
      </c>
      <c r="S174" s="238">
        <v>278</v>
      </c>
      <c r="T174" s="436">
        <v>0</v>
      </c>
      <c r="U174" s="436">
        <v>0</v>
      </c>
      <c r="V174" s="436">
        <v>1262</v>
      </c>
      <c r="W174" s="436">
        <v>1262</v>
      </c>
      <c r="X174" s="238">
        <v>63457</v>
      </c>
      <c r="Y174" s="237">
        <v>0.17269999999999999</v>
      </c>
      <c r="Z174" s="238">
        <v>831989</v>
      </c>
      <c r="AA174" s="238">
        <v>13203</v>
      </c>
      <c r="AB174" s="238">
        <v>80.67</v>
      </c>
      <c r="AC174" s="238">
        <v>7555</v>
      </c>
      <c r="AD174" s="238">
        <v>101827395.22</v>
      </c>
      <c r="AE174" s="238">
        <v>19258749.079999998</v>
      </c>
      <c r="AF174" s="238">
        <v>83409964.650000006</v>
      </c>
      <c r="AG174" s="238">
        <v>12337878.26</v>
      </c>
      <c r="AH174" s="239">
        <v>0.1479185168315498</v>
      </c>
      <c r="AI174" s="247">
        <v>674.30113400000005</v>
      </c>
      <c r="AJ174" s="242">
        <v>5.2575320000000003</v>
      </c>
      <c r="AK174" s="242">
        <v>0.16312541110766365</v>
      </c>
      <c r="AL174" s="242" t="s">
        <v>678</v>
      </c>
      <c r="AM174" s="242" t="s">
        <v>678</v>
      </c>
      <c r="AN174" s="242">
        <v>15412.67</v>
      </c>
      <c r="AO174" s="238">
        <v>4764.6899999999996</v>
      </c>
      <c r="AP174" s="243">
        <v>17</v>
      </c>
      <c r="AQ174" s="238">
        <v>1</v>
      </c>
      <c r="AR174" s="238">
        <v>1060.0582559296729</v>
      </c>
      <c r="AS174" s="238">
        <v>1125.1166737142555</v>
      </c>
      <c r="AT174" s="238">
        <v>7624164</v>
      </c>
      <c r="AU174" s="238">
        <v>229.05299286598012</v>
      </c>
      <c r="AV174" s="237">
        <v>0</v>
      </c>
      <c r="AW174" s="237">
        <v>0</v>
      </c>
      <c r="AX174" s="237">
        <v>0</v>
      </c>
      <c r="AY174" s="244" t="s">
        <v>673</v>
      </c>
      <c r="AZ174" s="244" t="s">
        <v>673</v>
      </c>
      <c r="BA174" s="237">
        <v>2010</v>
      </c>
      <c r="BB174" s="245" t="s">
        <v>678</v>
      </c>
      <c r="BC174" s="215" t="s">
        <v>678</v>
      </c>
      <c r="BD174" s="237">
        <v>1</v>
      </c>
      <c r="BE174" s="237">
        <v>246</v>
      </c>
      <c r="BF174" s="237">
        <v>2</v>
      </c>
      <c r="BG174" s="246" t="s">
        <v>676</v>
      </c>
      <c r="BI174" s="239">
        <v>0.50373279848459529</v>
      </c>
      <c r="BJ174" s="239">
        <v>0.1695359072928854</v>
      </c>
      <c r="BK174" s="239">
        <v>0.30461307036603713</v>
      </c>
      <c r="BL174" s="239">
        <v>2.2118223856482256E-2</v>
      </c>
      <c r="BM174" s="247">
        <v>2.1548832804055937</v>
      </c>
      <c r="BN174" s="248">
        <v>0</v>
      </c>
      <c r="BO174" s="248">
        <v>3</v>
      </c>
      <c r="BP174" s="237">
        <v>0</v>
      </c>
      <c r="BQ174" s="237">
        <v>0</v>
      </c>
      <c r="BR174" s="248">
        <v>3</v>
      </c>
      <c r="BS174" s="237">
        <v>8</v>
      </c>
      <c r="BT174" s="237" t="s">
        <v>1094</v>
      </c>
      <c r="BU174" s="249">
        <v>7036</v>
      </c>
      <c r="BV174" s="249">
        <v>7232</v>
      </c>
      <c r="BW174" s="249">
        <v>32124</v>
      </c>
      <c r="BX174" s="249">
        <v>5975</v>
      </c>
      <c r="BY174" s="249">
        <v>11.094466957851749</v>
      </c>
      <c r="BZ174" s="249">
        <v>11.403522603636134</v>
      </c>
      <c r="CA174" s="249">
        <v>50.653589618253207</v>
      </c>
      <c r="CB174" s="249">
        <v>9.4214667528658609</v>
      </c>
      <c r="CC174" s="250">
        <v>106.74403569908071</v>
      </c>
      <c r="CD174" s="242">
        <v>3990</v>
      </c>
      <c r="CE174" s="252">
        <v>106.2914899320393</v>
      </c>
      <c r="CF174" s="238">
        <v>27081</v>
      </c>
      <c r="CG174" s="238">
        <v>5554.7</v>
      </c>
      <c r="CH174" s="238">
        <v>8.7587316104006678</v>
      </c>
      <c r="CI174" s="216" t="s">
        <v>679</v>
      </c>
      <c r="CJ174" s="237">
        <v>0</v>
      </c>
      <c r="CK174" s="253">
        <v>459.3</v>
      </c>
      <c r="CL174" s="253">
        <v>890.44370000000004</v>
      </c>
      <c r="CM174" s="254">
        <v>0.27627790878063918</v>
      </c>
      <c r="CN174" s="237" t="s">
        <v>90</v>
      </c>
      <c r="CO174" s="242">
        <v>435.71</v>
      </c>
      <c r="CP174" s="255">
        <v>0.13518771331058019</v>
      </c>
      <c r="CV174" s="262">
        <v>23</v>
      </c>
      <c r="CW174" s="194">
        <v>1.1679999999999999</v>
      </c>
      <c r="CX174" s="194" t="s">
        <v>680</v>
      </c>
      <c r="CY174" s="194">
        <v>1.8029999999999999</v>
      </c>
      <c r="DB174" s="216"/>
      <c r="DC174" s="195" t="s">
        <v>1356</v>
      </c>
      <c r="DD174" s="256">
        <v>0.7</v>
      </c>
      <c r="DE174" s="256">
        <v>-6.5</v>
      </c>
      <c r="DF174" s="256">
        <v>0.7</v>
      </c>
      <c r="DG174" s="256">
        <v>-2.2000000000000002</v>
      </c>
      <c r="DH174" s="257">
        <v>2</v>
      </c>
      <c r="DI174" s="257">
        <v>0.7</v>
      </c>
      <c r="DJ174" s="257">
        <v>2.2999999999999998</v>
      </c>
      <c r="DK174" s="257">
        <v>3</v>
      </c>
      <c r="DL174" s="237" t="s">
        <v>682</v>
      </c>
      <c r="DO174" s="237">
        <v>1</v>
      </c>
      <c r="DP174" s="258" t="s">
        <v>682</v>
      </c>
      <c r="DQ174" s="258"/>
      <c r="DR174" s="258"/>
      <c r="DS174" s="258"/>
      <c r="DT174" s="258"/>
      <c r="DU174" s="237">
        <v>5.83</v>
      </c>
      <c r="DV174" s="237" t="s">
        <v>1357</v>
      </c>
      <c r="DX174" s="247">
        <v>264.56333333333333</v>
      </c>
      <c r="DY174" s="247">
        <v>8.2086048195263217</v>
      </c>
      <c r="DZ174" s="273" t="s">
        <v>1358</v>
      </c>
      <c r="EA174" s="237">
        <v>1</v>
      </c>
      <c r="EB174" s="237" t="s">
        <v>979</v>
      </c>
      <c r="EC174" s="237">
        <v>7</v>
      </c>
      <c r="ED174" s="237" t="s">
        <v>678</v>
      </c>
      <c r="EE174" s="208">
        <v>4</v>
      </c>
      <c r="EF174" s="237" t="s">
        <v>678</v>
      </c>
      <c r="EG174" s="216" t="s">
        <v>689</v>
      </c>
      <c r="EH174" s="246" t="s">
        <v>690</v>
      </c>
      <c r="EI174" s="216"/>
      <c r="EJ174" s="216" t="s">
        <v>806</v>
      </c>
      <c r="EK174" s="222" t="s">
        <v>529</v>
      </c>
      <c r="EL174" s="259">
        <v>1976</v>
      </c>
      <c r="EM174" s="260">
        <v>2500</v>
      </c>
      <c r="EN174" s="260">
        <v>2275488</v>
      </c>
      <c r="EO174" s="260">
        <v>5348409</v>
      </c>
      <c r="ER174" s="237" t="s">
        <v>705</v>
      </c>
      <c r="ES174" s="237">
        <v>21139.666666666668</v>
      </c>
      <c r="ET174" s="237">
        <v>2139.3636000000001</v>
      </c>
      <c r="EU174" s="661">
        <v>3</v>
      </c>
      <c r="EV174" s="661">
        <v>2</v>
      </c>
      <c r="EW174" s="661">
        <v>7</v>
      </c>
      <c r="EX174" s="661">
        <v>8</v>
      </c>
      <c r="EY174" s="660">
        <v>0.14250698107353399</v>
      </c>
      <c r="EZ174" s="256">
        <v>138.07750925321142</v>
      </c>
      <c r="FA174" s="247">
        <v>2.5755879059350506</v>
      </c>
      <c r="FB174" s="208" t="s">
        <v>678</v>
      </c>
      <c r="FC174" s="208" t="s">
        <v>678</v>
      </c>
      <c r="FD174" s="208">
        <v>6</v>
      </c>
      <c r="FE174" s="239">
        <v>0.13885778275475924</v>
      </c>
      <c r="FF174" s="208"/>
      <c r="FG174" s="241">
        <v>3.3594624860022394E-3</v>
      </c>
      <c r="FH174" s="209">
        <v>0</v>
      </c>
      <c r="FI174" s="237" t="s">
        <v>678</v>
      </c>
      <c r="FJ174" s="208" t="s">
        <v>678</v>
      </c>
      <c r="FK174" s="208" t="s">
        <v>678</v>
      </c>
      <c r="FL174" s="217" t="s">
        <v>678</v>
      </c>
      <c r="FM174" s="208" t="s">
        <v>678</v>
      </c>
      <c r="FN174" s="208" t="s">
        <v>678</v>
      </c>
      <c r="FO174" s="237">
        <v>7985</v>
      </c>
      <c r="FP174" s="247">
        <v>2.4775054297238599</v>
      </c>
      <c r="FU174" s="208" t="s">
        <v>678</v>
      </c>
      <c r="FV174" s="208" t="s">
        <v>678</v>
      </c>
      <c r="FW174" s="208" t="s">
        <v>678</v>
      </c>
      <c r="FX174" s="208" t="s">
        <v>678</v>
      </c>
      <c r="FY174" s="208" t="s">
        <v>678</v>
      </c>
      <c r="FZ174" s="208" t="s">
        <v>678</v>
      </c>
      <c r="GA174" s="208" t="s">
        <v>678</v>
      </c>
      <c r="GB174" s="208" t="s">
        <v>678</v>
      </c>
      <c r="GC174" s="208" t="s">
        <v>678</v>
      </c>
      <c r="GD174" s="208" t="s">
        <v>678</v>
      </c>
      <c r="GE174" s="237" t="s">
        <v>678</v>
      </c>
      <c r="GF174" s="237" t="s">
        <v>678</v>
      </c>
      <c r="GG174" s="237" t="s">
        <v>678</v>
      </c>
      <c r="GH174" s="237" t="s">
        <v>678</v>
      </c>
      <c r="GJ174" s="947">
        <v>3801</v>
      </c>
      <c r="GK174" s="320">
        <v>0</v>
      </c>
      <c r="GL174" s="320">
        <v>0.12</v>
      </c>
      <c r="GM174" s="320">
        <v>1.4999999999999999E-2</v>
      </c>
      <c r="GN174" s="320">
        <v>0.86399999999999999</v>
      </c>
      <c r="GO174" s="662">
        <v>8169</v>
      </c>
      <c r="GP174" s="663" t="str">
        <f>VLOOKUP(GS174,'BD Comarcal'!$A$6:$AV$17,48,FALSE)</f>
        <v>11</v>
      </c>
      <c r="GQ174" s="564">
        <v>477</v>
      </c>
      <c r="GR174" s="256">
        <f t="shared" si="2"/>
        <v>1</v>
      </c>
      <c r="GS174" s="237" t="s">
        <v>90</v>
      </c>
    </row>
    <row r="175" spans="1:201" s="237" customFormat="1" ht="17.25" customHeight="1">
      <c r="A175" s="236" t="s">
        <v>1359</v>
      </c>
      <c r="C175" s="238"/>
      <c r="D175" s="238">
        <v>2606</v>
      </c>
      <c r="E175" s="238">
        <v>781</v>
      </c>
      <c r="F175" s="239">
        <v>0.29969301611665389</v>
      </c>
      <c r="G175" s="238">
        <v>299</v>
      </c>
      <c r="H175" s="240">
        <v>115.70418842014081</v>
      </c>
      <c r="I175" s="239">
        <v>0.14814876878379105</v>
      </c>
      <c r="J175" s="238">
        <v>2224</v>
      </c>
      <c r="K175" s="238">
        <v>30</v>
      </c>
      <c r="L175" s="238">
        <v>1</v>
      </c>
      <c r="M175" s="241">
        <v>3.8372985418265541E-4</v>
      </c>
      <c r="N175" s="238">
        <v>0</v>
      </c>
      <c r="O175" s="239">
        <v>0</v>
      </c>
      <c r="P175" s="237">
        <v>11</v>
      </c>
      <c r="Q175" s="237">
        <v>0</v>
      </c>
      <c r="R175" s="239">
        <v>0</v>
      </c>
      <c r="S175" s="238">
        <v>6138</v>
      </c>
      <c r="T175" s="436">
        <v>0</v>
      </c>
      <c r="U175" s="436">
        <v>25</v>
      </c>
      <c r="V175" s="436">
        <v>10</v>
      </c>
      <c r="W175" s="436">
        <v>35</v>
      </c>
      <c r="X175" s="238">
        <v>535</v>
      </c>
      <c r="Y175" s="237">
        <v>0.23280000000000001</v>
      </c>
      <c r="Z175" s="238">
        <v>6644</v>
      </c>
      <c r="AA175" s="238">
        <v>12396</v>
      </c>
      <c r="AB175" s="238">
        <v>75.739999999999995</v>
      </c>
      <c r="AC175" s="238">
        <v>74</v>
      </c>
      <c r="AD175" s="238">
        <v>664593.63</v>
      </c>
      <c r="AE175" s="238">
        <v>215125.57</v>
      </c>
      <c r="AF175" s="238">
        <v>468952.2</v>
      </c>
      <c r="AG175" s="238">
        <v>27356.080000000002</v>
      </c>
      <c r="AH175" s="239">
        <v>5.8334474174553397E-2</v>
      </c>
      <c r="AI175" s="247">
        <v>18.587855999999999</v>
      </c>
      <c r="AJ175" s="242">
        <v>1.18689</v>
      </c>
      <c r="AK175" s="242">
        <v>4.5544512663085186E-2</v>
      </c>
      <c r="AL175" s="242" t="s">
        <v>678</v>
      </c>
      <c r="AM175" s="242" t="s">
        <v>678</v>
      </c>
      <c r="AN175" s="242">
        <v>10752.66</v>
      </c>
      <c r="AO175" s="238">
        <v>2314.33</v>
      </c>
      <c r="AP175" s="243">
        <v>8</v>
      </c>
      <c r="AQ175" s="238">
        <v>1</v>
      </c>
      <c r="AR175" s="238">
        <v>1611.5165587658048</v>
      </c>
      <c r="AS175" s="238">
        <v>2038.5395616280887</v>
      </c>
      <c r="AT175" s="238">
        <v>23126.666666666668</v>
      </c>
      <c r="AU175" s="238">
        <v>265.24257417705581</v>
      </c>
      <c r="AV175" s="237">
        <v>1</v>
      </c>
      <c r="AW175" s="237">
        <v>1</v>
      </c>
      <c r="AX175" s="237">
        <v>1</v>
      </c>
      <c r="AY175" s="244" t="s">
        <v>682</v>
      </c>
      <c r="AZ175" s="244" t="s">
        <v>726</v>
      </c>
      <c r="BA175" s="237">
        <v>0</v>
      </c>
      <c r="BB175" s="245" t="s">
        <v>1360</v>
      </c>
      <c r="BC175" s="215" t="s">
        <v>1361</v>
      </c>
      <c r="BE175" s="237">
        <v>2</v>
      </c>
      <c r="BF175" s="237">
        <v>77</v>
      </c>
      <c r="BG175" s="246" t="s">
        <v>720</v>
      </c>
      <c r="BI175" s="239">
        <v>0.8</v>
      </c>
      <c r="BJ175" s="239">
        <v>6.3888888888888884E-2</v>
      </c>
      <c r="BK175" s="239">
        <v>0.13333333333333333</v>
      </c>
      <c r="BL175" s="239">
        <v>2.7777777777777779E-3</v>
      </c>
      <c r="BM175" s="247">
        <v>2.6611111111111114</v>
      </c>
      <c r="BN175" s="248">
        <v>0</v>
      </c>
      <c r="BO175" s="248">
        <v>0</v>
      </c>
      <c r="BP175" s="237">
        <v>0</v>
      </c>
      <c r="BQ175" s="237">
        <v>0</v>
      </c>
      <c r="BR175" s="248">
        <v>0</v>
      </c>
      <c r="BS175" s="237">
        <v>20.5</v>
      </c>
      <c r="BT175" s="237" t="s">
        <v>755</v>
      </c>
      <c r="BU175" s="249" t="s">
        <v>678</v>
      </c>
      <c r="BV175" s="249" t="s">
        <v>678</v>
      </c>
      <c r="BW175" s="249" t="s">
        <v>678</v>
      </c>
      <c r="BX175" s="249" t="s">
        <v>678</v>
      </c>
      <c r="BY175" s="249" t="s">
        <v>678</v>
      </c>
      <c r="BZ175" s="249" t="s">
        <v>678</v>
      </c>
      <c r="CA175" s="249" t="s">
        <v>678</v>
      </c>
      <c r="CB175" s="249" t="s">
        <v>678</v>
      </c>
      <c r="CC175" s="250" t="s">
        <v>678</v>
      </c>
      <c r="CD175" s="242" t="s">
        <v>678</v>
      </c>
      <c r="CE175" s="252" t="s">
        <v>678</v>
      </c>
      <c r="CF175" s="238">
        <v>346</v>
      </c>
      <c r="CG175" s="238">
        <v>25.3</v>
      </c>
      <c r="CH175" s="238">
        <v>4.5916515426497275</v>
      </c>
      <c r="CI175" s="216" t="s">
        <v>722</v>
      </c>
      <c r="CJ175" s="237">
        <v>1</v>
      </c>
      <c r="CK175" s="253">
        <v>18</v>
      </c>
      <c r="CL175" s="253">
        <v>6.2831999999999999</v>
      </c>
      <c r="CM175" s="254">
        <v>2.4110514198004604E-3</v>
      </c>
      <c r="CN175" s="237" t="s">
        <v>81</v>
      </c>
      <c r="CO175" s="242"/>
      <c r="CP175" s="255">
        <v>0</v>
      </c>
      <c r="CW175" s="261" t="s">
        <v>678</v>
      </c>
      <c r="CX175" s="261" t="s">
        <v>678</v>
      </c>
      <c r="CY175" s="261" t="s">
        <v>678</v>
      </c>
      <c r="DB175" s="216" t="s">
        <v>681</v>
      </c>
      <c r="DC175" s="256"/>
      <c r="DD175" s="256">
        <v>0.8</v>
      </c>
      <c r="DE175" s="256">
        <v>-9</v>
      </c>
      <c r="DF175" s="256">
        <v>-0.3</v>
      </c>
      <c r="DG175" s="256">
        <v>-2.6</v>
      </c>
      <c r="DH175" s="257">
        <v>1</v>
      </c>
      <c r="DI175" s="257">
        <v>109.2</v>
      </c>
      <c r="DJ175" s="257">
        <v>72.400000000000006</v>
      </c>
      <c r="DK175" s="257">
        <v>181.6</v>
      </c>
      <c r="DL175" s="237" t="s">
        <v>529</v>
      </c>
      <c r="DN175" s="237" t="s">
        <v>770</v>
      </c>
      <c r="DP175" s="258" t="s">
        <v>682</v>
      </c>
      <c r="DQ175" s="258"/>
      <c r="DR175" s="258"/>
      <c r="DS175" s="258"/>
      <c r="DT175" s="258"/>
      <c r="DU175" s="237">
        <v>0</v>
      </c>
      <c r="DX175" s="247"/>
      <c r="DY175" s="247">
        <v>0</v>
      </c>
      <c r="DZ175" s="273" t="s">
        <v>1362</v>
      </c>
      <c r="EA175" s="237">
        <v>0</v>
      </c>
      <c r="ED175" s="237" t="s">
        <v>701</v>
      </c>
      <c r="EE175" s="208">
        <v>3</v>
      </c>
      <c r="EF175" s="237" t="s">
        <v>702</v>
      </c>
      <c r="EG175" s="216" t="s">
        <v>733</v>
      </c>
      <c r="EH175" s="246" t="s">
        <v>734</v>
      </c>
      <c r="EI175" s="216"/>
      <c r="EJ175" s="216" t="s">
        <v>529</v>
      </c>
      <c r="EK175" s="222" t="s">
        <v>682</v>
      </c>
      <c r="EL175" s="259">
        <v>1990</v>
      </c>
      <c r="EM175" s="260">
        <v>2990</v>
      </c>
      <c r="EN175" s="260">
        <v>19956</v>
      </c>
      <c r="EO175" s="260">
        <v>3680</v>
      </c>
      <c r="ER175" s="237" t="s">
        <v>692</v>
      </c>
      <c r="ES175" s="237" t="e">
        <v>#DIV/0!</v>
      </c>
      <c r="ET175" s="237">
        <v>1.2307692307692308</v>
      </c>
      <c r="EU175" s="661">
        <v>3</v>
      </c>
      <c r="EV175" s="661" t="s">
        <v>678</v>
      </c>
      <c r="EW175" s="661">
        <v>1</v>
      </c>
      <c r="EX175" s="661">
        <v>4</v>
      </c>
      <c r="EY175" s="660">
        <v>6.9071373752877972E-3</v>
      </c>
      <c r="EZ175" s="256">
        <v>30.611111111111111</v>
      </c>
      <c r="FA175" s="247">
        <v>0</v>
      </c>
      <c r="FB175" s="208">
        <v>4</v>
      </c>
      <c r="FC175" s="208">
        <v>4</v>
      </c>
      <c r="FD175" s="208">
        <v>4</v>
      </c>
      <c r="FE175" s="239">
        <v>0.38284250960307298</v>
      </c>
      <c r="FF175" s="208"/>
      <c r="FG175" s="241">
        <v>0.23252240717029449</v>
      </c>
      <c r="FH175" s="209">
        <v>0</v>
      </c>
      <c r="FI175" s="237" t="s">
        <v>678</v>
      </c>
      <c r="FJ175" s="208" t="s">
        <v>678</v>
      </c>
      <c r="FK175" s="208" t="s">
        <v>678</v>
      </c>
      <c r="FL175" s="217" t="s">
        <v>678</v>
      </c>
      <c r="FM175" s="208" t="s">
        <v>678</v>
      </c>
      <c r="FN175" s="208" t="s">
        <v>678</v>
      </c>
      <c r="FP175" s="247" t="s">
        <v>693</v>
      </c>
      <c r="FU175" s="208" t="s">
        <v>678</v>
      </c>
      <c r="FV175" s="208" t="s">
        <v>678</v>
      </c>
      <c r="FW175" s="208" t="s">
        <v>678</v>
      </c>
      <c r="FX175" s="208" t="s">
        <v>678</v>
      </c>
      <c r="FY175" s="208" t="s">
        <v>678</v>
      </c>
      <c r="FZ175" s="208" t="s">
        <v>678</v>
      </c>
      <c r="GA175" s="208" t="s">
        <v>678</v>
      </c>
      <c r="GB175" s="208" t="s">
        <v>678</v>
      </c>
      <c r="GC175" s="208" t="s">
        <v>678</v>
      </c>
      <c r="GD175" s="208" t="s">
        <v>678</v>
      </c>
      <c r="GE175" s="237" t="s">
        <v>678</v>
      </c>
      <c r="GF175" s="237" t="s">
        <v>678</v>
      </c>
      <c r="GG175" s="237" t="s">
        <v>678</v>
      </c>
      <c r="GH175" s="237" t="s">
        <v>678</v>
      </c>
      <c r="GJ175" s="947"/>
      <c r="GK175" s="320"/>
      <c r="GL175" s="320"/>
      <c r="GM175" s="320"/>
      <c r="GN175" s="320"/>
      <c r="GO175" s="662">
        <v>8170</v>
      </c>
      <c r="GP175" s="663" t="str">
        <f>VLOOKUP(GS175,'BD Comarcal'!$A$6:$AV$17,48,FALSE)</f>
        <v>06</v>
      </c>
      <c r="GQ175" s="564">
        <v>2</v>
      </c>
      <c r="GR175" s="256">
        <f t="shared" si="2"/>
        <v>1</v>
      </c>
      <c r="GS175" s="237" t="s">
        <v>81</v>
      </c>
    </row>
    <row r="176" spans="1:201" s="237" customFormat="1" ht="17.25" customHeight="1">
      <c r="A176" s="236" t="s">
        <v>1363</v>
      </c>
      <c r="C176" s="238"/>
      <c r="D176" s="238">
        <v>1329</v>
      </c>
      <c r="E176" s="238">
        <v>573</v>
      </c>
      <c r="F176" s="239">
        <v>0.43115124153498874</v>
      </c>
      <c r="G176" s="238" t="s">
        <v>752</v>
      </c>
      <c r="H176" s="240">
        <v>250.05788626379763</v>
      </c>
      <c r="I176" s="239">
        <v>0.43640119766805868</v>
      </c>
      <c r="J176" s="238">
        <v>624</v>
      </c>
      <c r="K176" s="238">
        <v>276</v>
      </c>
      <c r="L176" s="238">
        <v>0</v>
      </c>
      <c r="M176" s="241">
        <v>0</v>
      </c>
      <c r="N176" s="238">
        <v>8</v>
      </c>
      <c r="O176" s="239">
        <v>1.282051282051282E-2</v>
      </c>
      <c r="P176" s="237">
        <v>16</v>
      </c>
      <c r="Q176" s="237">
        <v>1</v>
      </c>
      <c r="R176" s="239">
        <v>6.25E-2</v>
      </c>
      <c r="S176" s="238">
        <v>1893</v>
      </c>
      <c r="T176" s="436">
        <v>0</v>
      </c>
      <c r="U176" s="436">
        <v>15</v>
      </c>
      <c r="V176" s="436">
        <v>27</v>
      </c>
      <c r="W176" s="436">
        <v>42</v>
      </c>
      <c r="X176" s="238">
        <v>2565</v>
      </c>
      <c r="Y176" s="237">
        <v>0.21990000000000001</v>
      </c>
      <c r="Z176" s="238">
        <v>45568</v>
      </c>
      <c r="AA176" s="238">
        <v>17662</v>
      </c>
      <c r="AB176" s="238">
        <v>107.92</v>
      </c>
      <c r="AC176" s="238">
        <v>101</v>
      </c>
      <c r="AD176" s="238">
        <v>2416781.31</v>
      </c>
      <c r="AE176" s="238">
        <v>66416.560000000056</v>
      </c>
      <c r="AF176" s="238">
        <v>2242956.7399999998</v>
      </c>
      <c r="AG176" s="238">
        <v>259015.65</v>
      </c>
      <c r="AH176" s="239">
        <v>0.11547955668552039</v>
      </c>
      <c r="AI176" s="247">
        <v>66.793458000000001</v>
      </c>
      <c r="AJ176" s="242">
        <v>5.2575320000000003</v>
      </c>
      <c r="AK176" s="242">
        <v>0.39560060195635816</v>
      </c>
      <c r="AL176" s="242" t="s">
        <v>678</v>
      </c>
      <c r="AM176" s="242" t="s">
        <v>678</v>
      </c>
      <c r="AN176" s="242">
        <v>15412.67</v>
      </c>
      <c r="AO176" s="238">
        <v>2785.03</v>
      </c>
      <c r="AP176" s="243">
        <v>7</v>
      </c>
      <c r="AQ176" s="238">
        <v>1</v>
      </c>
      <c r="AR176" s="238">
        <v>1662.1632332953532</v>
      </c>
      <c r="AS176" s="238">
        <v>1806.6942367815911</v>
      </c>
      <c r="AT176" s="238">
        <v>153890.33333333334</v>
      </c>
      <c r="AU176" s="238">
        <v>205.38867103638998</v>
      </c>
      <c r="AV176" s="237">
        <v>1</v>
      </c>
      <c r="AW176" s="237">
        <v>1</v>
      </c>
      <c r="AX176" s="237">
        <v>1</v>
      </c>
      <c r="AY176" s="244" t="s">
        <v>726</v>
      </c>
      <c r="AZ176" s="244" t="s">
        <v>726</v>
      </c>
      <c r="BA176" s="237">
        <v>2011</v>
      </c>
      <c r="BB176" s="245" t="s">
        <v>718</v>
      </c>
      <c r="BC176" s="215" t="s">
        <v>719</v>
      </c>
      <c r="BD176" s="237">
        <v>1</v>
      </c>
      <c r="BE176" s="237">
        <v>0</v>
      </c>
      <c r="BF176" s="237">
        <v>10</v>
      </c>
      <c r="BG176" s="246" t="s">
        <v>720</v>
      </c>
      <c r="BI176" s="239">
        <v>0.4844559585492228</v>
      </c>
      <c r="BJ176" s="239">
        <v>0.23963730569948186</v>
      </c>
      <c r="BK176" s="239">
        <v>0.26943005181347152</v>
      </c>
      <c r="BL176" s="239">
        <v>6.4766839378238338E-3</v>
      </c>
      <c r="BM176" s="247">
        <v>2.2020725388601035</v>
      </c>
      <c r="BN176" s="248">
        <v>0</v>
      </c>
      <c r="BO176" s="248">
        <v>1</v>
      </c>
      <c r="BP176" s="237">
        <v>0</v>
      </c>
      <c r="BQ176" s="237">
        <v>0</v>
      </c>
      <c r="BR176" s="248">
        <v>1</v>
      </c>
      <c r="BS176" s="237">
        <v>28</v>
      </c>
      <c r="BT176" s="237" t="s">
        <v>815</v>
      </c>
      <c r="BU176" s="249" t="s">
        <v>678</v>
      </c>
      <c r="BV176" s="249">
        <v>473</v>
      </c>
      <c r="BW176" s="249">
        <v>1349</v>
      </c>
      <c r="BX176" s="249" t="s">
        <v>678</v>
      </c>
      <c r="BY176" s="249" t="s">
        <v>678</v>
      </c>
      <c r="BZ176" s="249">
        <v>17.655841731989547</v>
      </c>
      <c r="CA176" s="249">
        <v>50.354609929078016</v>
      </c>
      <c r="CB176" s="249" t="s">
        <v>678</v>
      </c>
      <c r="CC176" s="250" t="s">
        <v>678</v>
      </c>
      <c r="CD176" s="242" t="s">
        <v>678</v>
      </c>
      <c r="CE176" s="252" t="s">
        <v>678</v>
      </c>
      <c r="CF176" s="238">
        <v>1372</v>
      </c>
      <c r="CG176" s="238">
        <v>172</v>
      </c>
      <c r="CH176" s="238">
        <v>6.4203060843598356</v>
      </c>
      <c r="CI176" s="216" t="s">
        <v>722</v>
      </c>
      <c r="CJ176" s="237">
        <v>1</v>
      </c>
      <c r="CK176" s="253">
        <v>71.239999999999995</v>
      </c>
      <c r="CL176" s="253">
        <v>15.9825</v>
      </c>
      <c r="CM176" s="254">
        <v>1.2025959367945824E-2</v>
      </c>
      <c r="CN176" s="237" t="s">
        <v>88</v>
      </c>
      <c r="CO176" s="242">
        <v>46.23</v>
      </c>
      <c r="CP176" s="255">
        <v>3.4785553047404064E-2</v>
      </c>
      <c r="CV176" s="237">
        <v>1</v>
      </c>
      <c r="CW176" s="261" t="s">
        <v>678</v>
      </c>
      <c r="CX176" s="261" t="s">
        <v>678</v>
      </c>
      <c r="CY176" s="261" t="s">
        <v>678</v>
      </c>
      <c r="DB176" s="216" t="s">
        <v>710</v>
      </c>
      <c r="DC176" s="195" t="s">
        <v>711</v>
      </c>
      <c r="DD176" s="256">
        <v>0.8</v>
      </c>
      <c r="DE176" s="256">
        <v>-9</v>
      </c>
      <c r="DF176" s="256">
        <v>-0.3</v>
      </c>
      <c r="DG176" s="256">
        <v>-2.6</v>
      </c>
      <c r="DL176" s="237" t="s">
        <v>529</v>
      </c>
      <c r="DN176" s="237" t="s">
        <v>770</v>
      </c>
      <c r="DP176" s="258" t="s">
        <v>682</v>
      </c>
      <c r="DQ176" s="258"/>
      <c r="DR176" s="258"/>
      <c r="DS176" s="258"/>
      <c r="DT176" s="258"/>
      <c r="DU176" s="237">
        <v>0</v>
      </c>
      <c r="DX176" s="247"/>
      <c r="DY176" s="247">
        <v>0</v>
      </c>
      <c r="EA176" s="237">
        <v>0</v>
      </c>
      <c r="ED176" s="237" t="s">
        <v>943</v>
      </c>
      <c r="EE176" s="208">
        <v>3</v>
      </c>
      <c r="EF176" s="237" t="s">
        <v>702</v>
      </c>
      <c r="EG176" s="216" t="s">
        <v>733</v>
      </c>
      <c r="EH176" s="246" t="s">
        <v>734</v>
      </c>
      <c r="EI176" s="216"/>
      <c r="EJ176" s="216" t="s">
        <v>529</v>
      </c>
      <c r="EK176" s="222" t="s">
        <v>529</v>
      </c>
      <c r="EL176" s="259">
        <v>1992</v>
      </c>
      <c r="EM176" s="263">
        <v>980</v>
      </c>
      <c r="EN176" s="260">
        <v>86629</v>
      </c>
      <c r="EO176" s="260">
        <v>85198</v>
      </c>
      <c r="ER176" s="237" t="s">
        <v>705</v>
      </c>
      <c r="ES176" s="237">
        <v>2679</v>
      </c>
      <c r="ET176" s="237">
        <v>86.936734693877554</v>
      </c>
      <c r="EU176" s="661">
        <v>5</v>
      </c>
      <c r="EV176" s="661">
        <v>3</v>
      </c>
      <c r="EW176" s="661">
        <v>1</v>
      </c>
      <c r="EX176" s="661">
        <v>3</v>
      </c>
      <c r="EY176" s="660">
        <v>5.3604213694507144E-2</v>
      </c>
      <c r="EZ176" s="256">
        <v>37.605277933745093</v>
      </c>
      <c r="FA176" s="247">
        <v>0.17452006980802792</v>
      </c>
      <c r="FB176" s="208">
        <v>4</v>
      </c>
      <c r="FC176" s="208">
        <v>4</v>
      </c>
      <c r="FD176" s="208">
        <v>2</v>
      </c>
      <c r="FE176" s="239" t="s">
        <v>678</v>
      </c>
      <c r="FF176" s="208">
        <v>1</v>
      </c>
      <c r="FG176" s="241">
        <v>0</v>
      </c>
      <c r="FH176" s="209">
        <v>0</v>
      </c>
      <c r="FI176" s="237" t="s">
        <v>678</v>
      </c>
      <c r="FJ176" s="208">
        <v>47.9</v>
      </c>
      <c r="FK176" s="208">
        <v>2.1800000000000002</v>
      </c>
      <c r="FL176" s="217">
        <v>32.1</v>
      </c>
      <c r="FM176" s="208">
        <v>6.24</v>
      </c>
      <c r="FN176" s="208" t="s">
        <v>1364</v>
      </c>
      <c r="FP176" s="247" t="s">
        <v>693</v>
      </c>
      <c r="FR176" s="237">
        <v>8</v>
      </c>
      <c r="FS176" s="237">
        <v>2</v>
      </c>
      <c r="FT176" s="237">
        <v>1</v>
      </c>
      <c r="FU176" s="208">
        <v>22</v>
      </c>
      <c r="FV176" s="208">
        <v>8.1999999999999993</v>
      </c>
      <c r="FW176" s="237">
        <v>66.67</v>
      </c>
      <c r="FX176" s="237">
        <v>48.1</v>
      </c>
      <c r="FY176" s="208">
        <v>16.93</v>
      </c>
      <c r="FZ176" s="208">
        <v>29.7</v>
      </c>
      <c r="GA176" s="208">
        <v>36.04</v>
      </c>
      <c r="GB176" s="208">
        <v>30.2</v>
      </c>
      <c r="GC176" s="208" t="s">
        <v>678</v>
      </c>
      <c r="GD176" s="208" t="s">
        <v>678</v>
      </c>
      <c r="GE176" s="237">
        <v>33.090000000000003</v>
      </c>
      <c r="GF176" s="237">
        <v>39.4</v>
      </c>
      <c r="GG176" s="237">
        <v>10.94</v>
      </c>
      <c r="GH176" s="237">
        <v>70.7</v>
      </c>
      <c r="GJ176" s="947"/>
      <c r="GO176" s="662">
        <v>8171</v>
      </c>
      <c r="GP176" s="663" t="str">
        <f>VLOOKUP(GS176,'BD Comarcal'!$A$6:$AV$17,48,FALSE)</f>
        <v>24</v>
      </c>
      <c r="GQ176" s="564">
        <v>34</v>
      </c>
      <c r="GR176" s="256">
        <f t="shared" si="2"/>
        <v>0</v>
      </c>
      <c r="GS176" s="237" t="s">
        <v>88</v>
      </c>
    </row>
    <row r="177" spans="1:201" s="237" customFormat="1" ht="17.25" customHeight="1">
      <c r="A177" s="236" t="s">
        <v>349</v>
      </c>
      <c r="C177" s="238" t="s">
        <v>683</v>
      </c>
      <c r="D177" s="238">
        <v>192</v>
      </c>
      <c r="E177" s="238">
        <v>0</v>
      </c>
      <c r="F177" s="239">
        <v>0</v>
      </c>
      <c r="G177" s="238">
        <v>0</v>
      </c>
      <c r="H177" s="240">
        <v>0</v>
      </c>
      <c r="I177" s="239" t="s">
        <v>1148</v>
      </c>
      <c r="J177" s="238">
        <v>12</v>
      </c>
      <c r="K177" s="238">
        <v>0</v>
      </c>
      <c r="L177" s="238">
        <v>12</v>
      </c>
      <c r="M177" s="241">
        <v>6.25E-2</v>
      </c>
      <c r="N177" s="238">
        <v>0</v>
      </c>
      <c r="O177" s="239">
        <v>0</v>
      </c>
      <c r="P177" s="237">
        <v>0</v>
      </c>
      <c r="Q177" s="237">
        <v>0</v>
      </c>
      <c r="R177" s="239">
        <v>0</v>
      </c>
      <c r="S177" s="238">
        <v>0</v>
      </c>
      <c r="T177" s="436">
        <v>0</v>
      </c>
      <c r="U177" s="436">
        <v>0</v>
      </c>
      <c r="V177" s="436">
        <v>36</v>
      </c>
      <c r="W177" s="436">
        <v>36</v>
      </c>
      <c r="X177" s="238">
        <v>27866</v>
      </c>
      <c r="Y177" s="237">
        <v>0.17460000000000001</v>
      </c>
      <c r="Z177" s="238">
        <v>388035</v>
      </c>
      <c r="AA177" s="238">
        <v>13886</v>
      </c>
      <c r="AB177" s="238">
        <v>84.85</v>
      </c>
      <c r="AC177" s="238">
        <v>4823</v>
      </c>
      <c r="AD177" s="238">
        <v>22919752.039999999</v>
      </c>
      <c r="AE177" s="238">
        <v>5310523.5600000061</v>
      </c>
      <c r="AF177" s="238">
        <v>19497134.459999997</v>
      </c>
      <c r="AG177" s="238">
        <v>1427999.9</v>
      </c>
      <c r="AH177" s="239">
        <v>7.3241527001296589E-2</v>
      </c>
      <c r="AI177" s="247">
        <v>154.916087</v>
      </c>
      <c r="AJ177" s="242">
        <v>16.181729000000001</v>
      </c>
      <c r="AK177" s="242">
        <v>8.4279838541666674</v>
      </c>
      <c r="AL177" s="242" t="s">
        <v>678</v>
      </c>
      <c r="AM177" s="242" t="s">
        <v>678</v>
      </c>
      <c r="AN177" s="242">
        <v>13585.21</v>
      </c>
      <c r="AO177" s="238">
        <v>0</v>
      </c>
      <c r="AP177" s="243">
        <v>0</v>
      </c>
      <c r="AQ177" s="238"/>
      <c r="AR177" s="238">
        <v>1079.5688428546562</v>
      </c>
      <c r="AS177" s="238">
        <v>1635.5025000305102</v>
      </c>
      <c r="AT177" s="238">
        <v>1369033</v>
      </c>
      <c r="AU177" s="238">
        <v>272.69863925913671</v>
      </c>
      <c r="AV177" s="237">
        <v>0</v>
      </c>
      <c r="AW177" s="237">
        <v>0</v>
      </c>
      <c r="AX177" s="237">
        <v>0</v>
      </c>
      <c r="AY177" s="244" t="s">
        <v>695</v>
      </c>
      <c r="AZ177" s="244" t="s">
        <v>717</v>
      </c>
      <c r="BA177" s="237">
        <v>2011</v>
      </c>
      <c r="BB177" s="245" t="s">
        <v>678</v>
      </c>
      <c r="BC177" s="215" t="s">
        <v>678</v>
      </c>
      <c r="BE177" s="237">
        <v>403</v>
      </c>
      <c r="BF177" s="237">
        <v>2</v>
      </c>
      <c r="BG177" s="246" t="s">
        <v>676</v>
      </c>
      <c r="BI177" s="239">
        <v>0.62497267759562847</v>
      </c>
      <c r="BJ177" s="239">
        <v>0.11327868852459017</v>
      </c>
      <c r="BK177" s="239">
        <v>0.24213114754098361</v>
      </c>
      <c r="BL177" s="239">
        <v>1.9617486338797813E-2</v>
      </c>
      <c r="BM177" s="247">
        <v>2.3436065573770493</v>
      </c>
      <c r="BN177" s="248">
        <v>0</v>
      </c>
      <c r="BO177" s="248">
        <v>1</v>
      </c>
      <c r="BP177" s="237">
        <v>0</v>
      </c>
      <c r="BQ177" s="237">
        <v>0</v>
      </c>
      <c r="BR177" s="248">
        <v>1</v>
      </c>
      <c r="BU177" s="249">
        <v>2612</v>
      </c>
      <c r="BV177" s="249">
        <v>2585</v>
      </c>
      <c r="BW177" s="249">
        <v>12807</v>
      </c>
      <c r="BX177" s="249">
        <v>4975</v>
      </c>
      <c r="BY177" s="249">
        <v>9.2834802388399211</v>
      </c>
      <c r="BZ177" s="249">
        <v>9.1875177708274105</v>
      </c>
      <c r="CA177" s="249">
        <v>45.518197327267558</v>
      </c>
      <c r="CB177" s="249">
        <v>17.681973272675577</v>
      </c>
      <c r="CC177" s="250">
        <v>91.743673585442139</v>
      </c>
      <c r="CD177" s="242">
        <v>-2612</v>
      </c>
      <c r="CE177" s="252">
        <v>90.716519761160086</v>
      </c>
      <c r="CF177" s="238">
        <v>13088</v>
      </c>
      <c r="CG177" s="238">
        <v>2598.3000000000002</v>
      </c>
      <c r="CH177" s="238">
        <v>9.2347881717372768</v>
      </c>
      <c r="CI177" s="216" t="s">
        <v>700</v>
      </c>
      <c r="CJ177" s="237">
        <v>0</v>
      </c>
      <c r="CK177" s="253">
        <v>164.37</v>
      </c>
      <c r="CL177" s="253">
        <v>17.817699999999999</v>
      </c>
      <c r="CM177" s="254">
        <v>9.280052083333333E-2</v>
      </c>
      <c r="CN177" s="237" t="s">
        <v>86</v>
      </c>
      <c r="CO177" s="242"/>
      <c r="CP177" s="255">
        <v>0</v>
      </c>
      <c r="CW177" s="194">
        <v>1.1040000000000001</v>
      </c>
      <c r="CX177" s="194">
        <v>0.63500000000000001</v>
      </c>
      <c r="CY177" s="194" t="s">
        <v>680</v>
      </c>
      <c r="DB177" s="216" t="s">
        <v>710</v>
      </c>
      <c r="DC177" s="195" t="s">
        <v>711</v>
      </c>
      <c r="DD177" s="256">
        <v>0.7</v>
      </c>
      <c r="DE177" s="256">
        <v>-6.5</v>
      </c>
      <c r="DF177" s="256">
        <v>0.7</v>
      </c>
      <c r="DG177" s="256">
        <v>-2.2000000000000002</v>
      </c>
      <c r="DL177" s="237" t="s">
        <v>682</v>
      </c>
      <c r="DP177" s="258" t="s">
        <v>683</v>
      </c>
      <c r="DQ177" s="258" t="s">
        <v>1193</v>
      </c>
      <c r="DR177" s="258" t="s">
        <v>740</v>
      </c>
      <c r="DS177" s="258"/>
      <c r="DT177" s="258"/>
      <c r="DU177" s="237">
        <v>0</v>
      </c>
      <c r="DX177" s="247"/>
      <c r="DY177" s="247">
        <v>0</v>
      </c>
      <c r="EA177" s="237">
        <v>1</v>
      </c>
      <c r="EB177" s="237" t="s">
        <v>714</v>
      </c>
      <c r="ED177" s="237" t="s">
        <v>678</v>
      </c>
      <c r="EE177" s="208" t="s">
        <v>678</v>
      </c>
      <c r="EF177" s="237" t="s">
        <v>678</v>
      </c>
      <c r="EG177" s="216" t="s">
        <v>689</v>
      </c>
      <c r="EH177" s="246" t="s">
        <v>690</v>
      </c>
      <c r="EI177" s="216"/>
      <c r="EJ177" s="216" t="s">
        <v>806</v>
      </c>
      <c r="EK177" s="222" t="s">
        <v>682</v>
      </c>
      <c r="EL177" s="259">
        <v>2010</v>
      </c>
      <c r="EM177" s="260">
        <v>2300</v>
      </c>
      <c r="EN177" s="260">
        <v>1234085</v>
      </c>
      <c r="EO177" s="260">
        <v>164084</v>
      </c>
      <c r="ER177" s="237" t="s">
        <v>705</v>
      </c>
      <c r="ES177" s="237">
        <v>28136</v>
      </c>
      <c r="ET177" s="237">
        <v>71.340869565217389</v>
      </c>
      <c r="EU177" s="661" t="s">
        <v>678</v>
      </c>
      <c r="EV177" s="661" t="s">
        <v>678</v>
      </c>
      <c r="EW177" s="661">
        <v>7</v>
      </c>
      <c r="EX177" s="661" t="s">
        <v>678</v>
      </c>
      <c r="EY177" s="660">
        <v>0.85609374999999999</v>
      </c>
      <c r="EZ177" s="256">
        <v>171.17478858672507</v>
      </c>
      <c r="FA177" s="247" t="s">
        <v>678</v>
      </c>
      <c r="FB177" s="208" t="s">
        <v>678</v>
      </c>
      <c r="FC177" s="208" t="s">
        <v>678</v>
      </c>
      <c r="FD177" s="208">
        <v>5</v>
      </c>
      <c r="FE177" s="239" t="s">
        <v>678</v>
      </c>
      <c r="FF177" s="208"/>
      <c r="FG177" s="241" t="s">
        <v>678</v>
      </c>
      <c r="FH177" s="209" t="s">
        <v>678</v>
      </c>
      <c r="FI177" s="237" t="s">
        <v>678</v>
      </c>
      <c r="FJ177" s="208" t="s">
        <v>678</v>
      </c>
      <c r="FK177" s="208" t="s">
        <v>678</v>
      </c>
      <c r="FL177" s="217" t="s">
        <v>678</v>
      </c>
      <c r="FM177" s="208" t="s">
        <v>678</v>
      </c>
      <c r="FN177" s="208" t="s">
        <v>678</v>
      </c>
      <c r="FO177" s="237">
        <v>2650</v>
      </c>
      <c r="FP177" s="247">
        <v>13.802083333333334</v>
      </c>
      <c r="FQ177" s="237">
        <v>1</v>
      </c>
      <c r="FU177" s="208" t="s">
        <v>678</v>
      </c>
      <c r="FV177" s="208" t="s">
        <v>678</v>
      </c>
      <c r="FW177" s="208" t="s">
        <v>678</v>
      </c>
      <c r="FX177" s="208" t="s">
        <v>678</v>
      </c>
      <c r="FY177" s="208" t="s">
        <v>678</v>
      </c>
      <c r="FZ177" s="208" t="s">
        <v>678</v>
      </c>
      <c r="GA177" s="208" t="s">
        <v>678</v>
      </c>
      <c r="GB177" s="208" t="s">
        <v>678</v>
      </c>
      <c r="GC177" s="208" t="s">
        <v>678</v>
      </c>
      <c r="GD177" s="208" t="s">
        <v>678</v>
      </c>
      <c r="GE177" s="237" t="s">
        <v>678</v>
      </c>
      <c r="GF177" s="237" t="s">
        <v>678</v>
      </c>
      <c r="GG177" s="237" t="s">
        <v>678</v>
      </c>
      <c r="GH177" s="237" t="s">
        <v>678</v>
      </c>
      <c r="GJ177" s="947">
        <v>358</v>
      </c>
      <c r="GK177" s="320">
        <v>2E-3</v>
      </c>
      <c r="GL177" s="320">
        <v>9.2999999999999999E-2</v>
      </c>
      <c r="GM177" s="320">
        <v>8.3000000000000004E-2</v>
      </c>
      <c r="GN177" s="320">
        <v>0.82199999999999995</v>
      </c>
      <c r="GO177" s="662">
        <v>8172</v>
      </c>
      <c r="GP177" s="663" t="str">
        <f>VLOOKUP(GS177,'BD Comarcal'!$A$6:$AV$17,48,FALSE)</f>
        <v>21</v>
      </c>
      <c r="GQ177" s="564">
        <v>246</v>
      </c>
      <c r="GR177" s="256">
        <f t="shared" si="2"/>
        <v>0</v>
      </c>
      <c r="GS177" s="237" t="s">
        <v>86</v>
      </c>
    </row>
    <row r="178" spans="1:201" s="237" customFormat="1" ht="17.25" customHeight="1">
      <c r="A178" s="236" t="s">
        <v>1365</v>
      </c>
      <c r="C178" s="238"/>
      <c r="D178" s="238">
        <v>40</v>
      </c>
      <c r="E178" s="238">
        <v>1</v>
      </c>
      <c r="F178" s="239">
        <v>2.5000000000000001E-2</v>
      </c>
      <c r="G178" s="238">
        <v>0</v>
      </c>
      <c r="H178" s="240">
        <v>0</v>
      </c>
      <c r="I178" s="239">
        <v>0</v>
      </c>
      <c r="J178" s="238">
        <v>41</v>
      </c>
      <c r="K178" s="238">
        <v>0</v>
      </c>
      <c r="L178" s="238">
        <v>0</v>
      </c>
      <c r="M178" s="241">
        <v>0</v>
      </c>
      <c r="N178" s="238">
        <v>0</v>
      </c>
      <c r="O178" s="239">
        <v>0</v>
      </c>
      <c r="P178" s="237">
        <v>0</v>
      </c>
      <c r="Q178" s="237">
        <v>0</v>
      </c>
      <c r="R178" s="239">
        <v>0</v>
      </c>
      <c r="S178" s="238">
        <v>0</v>
      </c>
      <c r="T178" s="436">
        <v>0</v>
      </c>
      <c r="U178" s="436">
        <v>5</v>
      </c>
      <c r="V178" s="436">
        <v>0</v>
      </c>
      <c r="W178" s="436">
        <v>5</v>
      </c>
      <c r="X178" s="238">
        <v>512</v>
      </c>
      <c r="Y178" s="237">
        <v>0.17860000000000001</v>
      </c>
      <c r="Z178" s="238">
        <v>7069</v>
      </c>
      <c r="AA178" s="238">
        <v>13115</v>
      </c>
      <c r="AB178" s="238">
        <v>80.13</v>
      </c>
      <c r="AC178" s="238">
        <v>84</v>
      </c>
      <c r="AD178" s="238">
        <v>721244.91999999993</v>
      </c>
      <c r="AE178" s="238">
        <v>235956.03000000009</v>
      </c>
      <c r="AF178" s="238">
        <v>366486.61999999994</v>
      </c>
      <c r="AG178" s="238">
        <v>1663.32</v>
      </c>
      <c r="AH178" s="239">
        <v>4.5385558686971989E-3</v>
      </c>
      <c r="AI178" s="247">
        <v>13.055688999999999</v>
      </c>
      <c r="AJ178" s="242">
        <v>1.519752</v>
      </c>
      <c r="AK178" s="242">
        <v>3.7993800000000002</v>
      </c>
      <c r="AL178" s="242" t="s">
        <v>678</v>
      </c>
      <c r="AM178" s="242" t="s">
        <v>678</v>
      </c>
      <c r="AN178" s="242">
        <v>749.84</v>
      </c>
      <c r="AO178" s="238">
        <v>0</v>
      </c>
      <c r="AP178" s="243">
        <v>0</v>
      </c>
      <c r="AQ178" s="238"/>
      <c r="AR178" s="238">
        <v>1653.5383587570795</v>
      </c>
      <c r="AS178" s="238">
        <v>879.40419935243244</v>
      </c>
      <c r="AT178" s="238">
        <v>26035.333333333332</v>
      </c>
      <c r="AU178" s="238">
        <v>296.01350505640499</v>
      </c>
      <c r="AV178" s="237">
        <v>0</v>
      </c>
      <c r="AW178" s="237">
        <v>0</v>
      </c>
      <c r="AX178" s="237">
        <v>0</v>
      </c>
      <c r="AY178" s="244" t="s">
        <v>695</v>
      </c>
      <c r="AZ178" s="244" t="s">
        <v>695</v>
      </c>
      <c r="BA178" s="237">
        <v>0</v>
      </c>
      <c r="BB178" s="245" t="s">
        <v>678</v>
      </c>
      <c r="BC178" s="215" t="s">
        <v>678</v>
      </c>
      <c r="BE178" s="237">
        <v>10</v>
      </c>
      <c r="BF178" s="237">
        <v>15</v>
      </c>
      <c r="BG178" s="246" t="s">
        <v>676</v>
      </c>
      <c r="BI178" s="239">
        <v>0.58576051779935279</v>
      </c>
      <c r="BJ178" s="239">
        <v>3.5598705501618123E-2</v>
      </c>
      <c r="BK178" s="239">
        <v>0.37216828478964403</v>
      </c>
      <c r="BL178" s="239">
        <v>6.4724919093851136E-3</v>
      </c>
      <c r="BM178" s="247">
        <v>2.2006472491909386</v>
      </c>
      <c r="BN178" s="248">
        <v>1</v>
      </c>
      <c r="BO178" s="248">
        <v>0</v>
      </c>
      <c r="BP178" s="237">
        <v>0</v>
      </c>
      <c r="BQ178" s="237">
        <v>0</v>
      </c>
      <c r="BR178" s="248">
        <v>1</v>
      </c>
      <c r="BS178" s="237">
        <v>8</v>
      </c>
      <c r="BT178" s="237" t="s">
        <v>790</v>
      </c>
      <c r="BU178" s="249" t="s">
        <v>678</v>
      </c>
      <c r="BV178" s="249" t="s">
        <v>678</v>
      </c>
      <c r="BW178" s="249" t="s">
        <v>678</v>
      </c>
      <c r="BX178" s="249" t="s">
        <v>678</v>
      </c>
      <c r="BY178" s="249" t="s">
        <v>678</v>
      </c>
      <c r="BZ178" s="249" t="s">
        <v>678</v>
      </c>
      <c r="CA178" s="249" t="s">
        <v>678</v>
      </c>
      <c r="CB178" s="249" t="s">
        <v>678</v>
      </c>
      <c r="CC178" s="250" t="s">
        <v>678</v>
      </c>
      <c r="CD178" s="242" t="s">
        <v>678</v>
      </c>
      <c r="CE178" s="252" t="s">
        <v>678</v>
      </c>
      <c r="CF178" s="238">
        <v>239</v>
      </c>
      <c r="CG178" s="238">
        <v>35</v>
      </c>
      <c r="CH178" s="238">
        <v>6.5666041275797378</v>
      </c>
      <c r="CI178" s="216" t="s">
        <v>722</v>
      </c>
      <c r="CJ178" s="237">
        <v>1</v>
      </c>
      <c r="CK178" s="253">
        <v>13.14</v>
      </c>
      <c r="CL178" s="253">
        <v>1.2155</v>
      </c>
      <c r="CM178" s="254">
        <v>3.0387500000000001E-2</v>
      </c>
      <c r="CN178" s="237" t="s">
        <v>791</v>
      </c>
      <c r="CO178" s="242"/>
      <c r="CP178" s="255">
        <v>0</v>
      </c>
      <c r="CV178" s="237">
        <v>2</v>
      </c>
      <c r="CW178" s="261" t="s">
        <v>678</v>
      </c>
      <c r="CX178" s="261" t="s">
        <v>678</v>
      </c>
      <c r="CY178" s="261" t="s">
        <v>678</v>
      </c>
      <c r="DB178" s="216" t="s">
        <v>1017</v>
      </c>
      <c r="DC178" s="195" t="s">
        <v>1018</v>
      </c>
      <c r="DD178" s="256">
        <v>0.7</v>
      </c>
      <c r="DE178" s="256">
        <v>-6.5</v>
      </c>
      <c r="DF178" s="256">
        <v>0.7</v>
      </c>
      <c r="DG178" s="256">
        <v>-2.2000000000000002</v>
      </c>
      <c r="DL178" s="237" t="s">
        <v>682</v>
      </c>
      <c r="DP178" s="258" t="s">
        <v>682</v>
      </c>
      <c r="DQ178" s="258"/>
      <c r="DR178" s="258"/>
      <c r="DS178" s="258"/>
      <c r="DT178" s="258"/>
      <c r="DU178" s="237">
        <v>0</v>
      </c>
      <c r="DX178" s="247"/>
      <c r="DY178" s="247">
        <v>0</v>
      </c>
      <c r="EA178" s="237">
        <v>0</v>
      </c>
      <c r="ED178" s="237" t="s">
        <v>678</v>
      </c>
      <c r="EE178" s="208" t="s">
        <v>678</v>
      </c>
      <c r="EF178" s="237" t="s">
        <v>678</v>
      </c>
      <c r="EG178" s="216" t="s">
        <v>703</v>
      </c>
      <c r="EH178" s="246" t="s">
        <v>704</v>
      </c>
      <c r="EI178" s="216"/>
      <c r="EJ178" s="216" t="s">
        <v>806</v>
      </c>
      <c r="EK178" s="222" t="s">
        <v>682</v>
      </c>
      <c r="EL178" s="259">
        <v>1984</v>
      </c>
      <c r="EM178" s="260">
        <v>250</v>
      </c>
      <c r="EN178" s="260">
        <v>24392</v>
      </c>
      <c r="EO178" s="260">
        <v>1425</v>
      </c>
      <c r="ER178" s="237" t="s">
        <v>705</v>
      </c>
      <c r="ES178" s="237">
        <v>533</v>
      </c>
      <c r="ET178" s="237">
        <v>5.7</v>
      </c>
      <c r="EU178" s="661" t="s">
        <v>678</v>
      </c>
      <c r="EV178" s="661" t="s">
        <v>678</v>
      </c>
      <c r="EW178" s="661">
        <v>2</v>
      </c>
      <c r="EX178" s="661">
        <v>9</v>
      </c>
      <c r="EY178" s="660">
        <v>0.32850000000000001</v>
      </c>
      <c r="EZ178" s="256">
        <v>40.563165905631656</v>
      </c>
      <c r="FA178" s="247">
        <v>200</v>
      </c>
      <c r="FB178" s="208" t="s">
        <v>678</v>
      </c>
      <c r="FC178" s="208" t="s">
        <v>678</v>
      </c>
      <c r="FD178" s="208">
        <v>7</v>
      </c>
      <c r="FE178" s="239">
        <v>0</v>
      </c>
      <c r="FF178" s="208"/>
      <c r="FG178" s="241">
        <v>0</v>
      </c>
      <c r="FH178" s="209">
        <v>0</v>
      </c>
      <c r="FI178" s="237" t="s">
        <v>678</v>
      </c>
      <c r="FJ178" s="208" t="s">
        <v>678</v>
      </c>
      <c r="FK178" s="208" t="s">
        <v>678</v>
      </c>
      <c r="FL178" s="217" t="s">
        <v>678</v>
      </c>
      <c r="FM178" s="208" t="s">
        <v>678</v>
      </c>
      <c r="FN178" s="208" t="s">
        <v>678</v>
      </c>
      <c r="FP178" s="247" t="s">
        <v>693</v>
      </c>
      <c r="FU178" s="208" t="s">
        <v>678</v>
      </c>
      <c r="FV178" s="208" t="s">
        <v>678</v>
      </c>
      <c r="FW178" s="208" t="s">
        <v>678</v>
      </c>
      <c r="FX178" s="208" t="s">
        <v>678</v>
      </c>
      <c r="FY178" s="208" t="s">
        <v>678</v>
      </c>
      <c r="FZ178" s="208" t="s">
        <v>678</v>
      </c>
      <c r="GA178" s="208" t="s">
        <v>678</v>
      </c>
      <c r="GB178" s="208" t="s">
        <v>678</v>
      </c>
      <c r="GC178" s="208" t="s">
        <v>678</v>
      </c>
      <c r="GD178" s="208" t="s">
        <v>678</v>
      </c>
      <c r="GE178" s="237" t="s">
        <v>678</v>
      </c>
      <c r="GF178" s="237" t="s">
        <v>678</v>
      </c>
      <c r="GG178" s="237" t="s">
        <v>678</v>
      </c>
      <c r="GH178" s="237" t="s">
        <v>678</v>
      </c>
      <c r="GJ178" s="947"/>
      <c r="GK178" s="320"/>
      <c r="GL178" s="320"/>
      <c r="GM178" s="320"/>
      <c r="GN178" s="320"/>
      <c r="GO178" s="662">
        <v>8174</v>
      </c>
      <c r="GP178" s="663" t="str">
        <f>VLOOKUP(GS178,'BD Comarcal'!$A$6:$AV$17,48,FALSE)</f>
        <v>03</v>
      </c>
      <c r="GQ178" s="564">
        <v>5</v>
      </c>
      <c r="GR178" s="256">
        <f t="shared" si="2"/>
        <v>0</v>
      </c>
      <c r="GS178" s="237" t="s">
        <v>791</v>
      </c>
    </row>
    <row r="179" spans="1:201" s="237" customFormat="1" ht="17.25" customHeight="1">
      <c r="A179" s="236" t="s">
        <v>1366</v>
      </c>
      <c r="C179" s="238"/>
      <c r="D179" s="238">
        <v>4623</v>
      </c>
      <c r="E179" s="238">
        <v>3739</v>
      </c>
      <c r="F179" s="239">
        <v>0.808782176076141</v>
      </c>
      <c r="G179" s="238">
        <v>1370</v>
      </c>
      <c r="H179" s="240">
        <v>2528.4717146187509</v>
      </c>
      <c r="I179" s="239">
        <v>0.67624276935510852</v>
      </c>
      <c r="J179" s="238">
        <v>755</v>
      </c>
      <c r="K179" s="238">
        <v>638</v>
      </c>
      <c r="L179" s="238">
        <v>1</v>
      </c>
      <c r="M179" s="241">
        <v>2.1630975556997619E-4</v>
      </c>
      <c r="N179" s="238">
        <v>77</v>
      </c>
      <c r="O179" s="239">
        <v>0.10198675496688742</v>
      </c>
      <c r="P179" s="237">
        <v>30</v>
      </c>
      <c r="Q179" s="237">
        <v>2</v>
      </c>
      <c r="R179" s="239">
        <v>6.6666666666666666E-2</v>
      </c>
      <c r="S179" s="238">
        <v>6337</v>
      </c>
      <c r="T179" s="436">
        <v>231</v>
      </c>
      <c r="U179" s="436">
        <v>87</v>
      </c>
      <c r="V179" s="436">
        <v>36</v>
      </c>
      <c r="W179" s="436">
        <v>354</v>
      </c>
      <c r="X179" s="238">
        <v>4123</v>
      </c>
      <c r="Y179" s="237">
        <v>0.25929999999999997</v>
      </c>
      <c r="Z179" s="238">
        <v>74707</v>
      </c>
      <c r="AA179" s="238">
        <v>17928</v>
      </c>
      <c r="AB179" s="238">
        <v>109.54</v>
      </c>
      <c r="AC179" s="238">
        <v>1167</v>
      </c>
      <c r="AD179" s="238">
        <v>4627069.6499999994</v>
      </c>
      <c r="AE179" s="238">
        <v>486651.4299999997</v>
      </c>
      <c r="AF179" s="238">
        <v>3552382.83</v>
      </c>
      <c r="AG179" s="238">
        <v>232222.24</v>
      </c>
      <c r="AH179" s="239">
        <v>6.5370837297960921E-2</v>
      </c>
      <c r="AI179" s="247">
        <v>126.55681800000001</v>
      </c>
      <c r="AJ179" s="242">
        <v>42.019559999999998</v>
      </c>
      <c r="AK179" s="242">
        <v>0.908924075275795</v>
      </c>
      <c r="AL179" s="242" t="s">
        <v>678</v>
      </c>
      <c r="AM179" s="242" t="s">
        <v>678</v>
      </c>
      <c r="AN179" s="242">
        <v>43558.05</v>
      </c>
      <c r="AO179" s="238">
        <v>0</v>
      </c>
      <c r="AP179" s="243">
        <v>0</v>
      </c>
      <c r="AQ179" s="238">
        <v>1</v>
      </c>
      <c r="AR179" s="238">
        <v>1200.0388157175066</v>
      </c>
      <c r="AS179" s="238">
        <v>3361.4196030002363</v>
      </c>
      <c r="AT179" s="238">
        <v>252596.33333333334</v>
      </c>
      <c r="AU179" s="238">
        <v>211.1055093112515</v>
      </c>
      <c r="AV179" s="237">
        <v>1</v>
      </c>
      <c r="AW179" s="237">
        <v>1</v>
      </c>
      <c r="AX179" s="237">
        <v>1</v>
      </c>
      <c r="AY179" s="244" t="s">
        <v>717</v>
      </c>
      <c r="AZ179" s="244" t="s">
        <v>682</v>
      </c>
      <c r="BA179" s="237">
        <v>2012</v>
      </c>
      <c r="BB179" s="245" t="s">
        <v>935</v>
      </c>
      <c r="BC179" s="215" t="s">
        <v>936</v>
      </c>
      <c r="BD179" s="237">
        <v>1</v>
      </c>
      <c r="BE179" s="237">
        <v>0</v>
      </c>
      <c r="BF179" s="237">
        <v>11</v>
      </c>
      <c r="BG179" s="246" t="s">
        <v>698</v>
      </c>
      <c r="BI179" s="239">
        <v>0.53363499245852186</v>
      </c>
      <c r="BJ179" s="239">
        <v>0.14600301659125189</v>
      </c>
      <c r="BK179" s="239">
        <v>0.30527903469079942</v>
      </c>
      <c r="BL179" s="239">
        <v>1.5082956259426848E-2</v>
      </c>
      <c r="BM179" s="247">
        <v>2.198190045248869</v>
      </c>
      <c r="BN179" s="248">
        <v>0</v>
      </c>
      <c r="BO179" s="248">
        <v>0</v>
      </c>
      <c r="BP179" s="237">
        <v>0</v>
      </c>
      <c r="BQ179" s="237">
        <v>0</v>
      </c>
      <c r="BR179" s="248">
        <v>0</v>
      </c>
      <c r="BS179" s="237">
        <v>16</v>
      </c>
      <c r="BT179" s="237" t="s">
        <v>777</v>
      </c>
      <c r="BU179" s="249" t="s">
        <v>678</v>
      </c>
      <c r="BV179" s="249" t="s">
        <v>678</v>
      </c>
      <c r="BW179" s="249" t="s">
        <v>678</v>
      </c>
      <c r="BX179" s="249" t="s">
        <v>678</v>
      </c>
      <c r="BY179" s="249" t="s">
        <v>678</v>
      </c>
      <c r="BZ179" s="249" t="s">
        <v>678</v>
      </c>
      <c r="CA179" s="249" t="s">
        <v>678</v>
      </c>
      <c r="CB179" s="249" t="s">
        <v>678</v>
      </c>
      <c r="CC179" s="250" t="s">
        <v>678</v>
      </c>
      <c r="CD179" s="242" t="s">
        <v>678</v>
      </c>
      <c r="CE179" s="252" t="s">
        <v>678</v>
      </c>
      <c r="CF179" s="238">
        <v>2421</v>
      </c>
      <c r="CG179" s="238">
        <v>291.39999999999998</v>
      </c>
      <c r="CH179" s="238">
        <v>6.8339587242026258</v>
      </c>
      <c r="CI179" s="216" t="s">
        <v>679</v>
      </c>
      <c r="CJ179" s="237">
        <v>0</v>
      </c>
      <c r="CK179" s="253">
        <v>99.92</v>
      </c>
      <c r="CL179" s="253">
        <v>64.974599999999995</v>
      </c>
      <c r="CM179" s="254">
        <v>1.4054639844256976E-2</v>
      </c>
      <c r="CN179" s="237" t="s">
        <v>84</v>
      </c>
      <c r="CO179" s="242"/>
      <c r="CP179" s="255">
        <v>0</v>
      </c>
      <c r="CV179" s="237">
        <v>3</v>
      </c>
      <c r="CW179" s="261" t="s">
        <v>678</v>
      </c>
      <c r="CX179" s="261" t="s">
        <v>678</v>
      </c>
      <c r="CY179" s="261" t="s">
        <v>678</v>
      </c>
      <c r="DB179" s="216" t="s">
        <v>681</v>
      </c>
      <c r="DC179" s="256"/>
      <c r="DD179" s="256">
        <v>0.8</v>
      </c>
      <c r="DE179" s="256">
        <v>-10</v>
      </c>
      <c r="DF179" s="256">
        <v>0.5</v>
      </c>
      <c r="DG179" s="256">
        <v>-2.2999999999999998</v>
      </c>
      <c r="DH179" s="257">
        <v>5</v>
      </c>
      <c r="DI179" s="257">
        <v>1</v>
      </c>
      <c r="DJ179" s="257">
        <v>11.91</v>
      </c>
      <c r="DK179" s="257">
        <v>12.91</v>
      </c>
      <c r="DL179" s="237" t="s">
        <v>529</v>
      </c>
      <c r="DN179" s="237" t="s">
        <v>770</v>
      </c>
      <c r="DO179" s="237">
        <v>2</v>
      </c>
      <c r="DP179" s="258" t="s">
        <v>682</v>
      </c>
      <c r="DQ179" s="258"/>
      <c r="DR179" s="258"/>
      <c r="DS179" s="258"/>
      <c r="DT179" s="258"/>
      <c r="DU179" s="237">
        <v>0</v>
      </c>
      <c r="DX179" s="247"/>
      <c r="DY179" s="247">
        <v>0</v>
      </c>
      <c r="EA179" s="237">
        <v>0</v>
      </c>
      <c r="ED179" s="237" t="s">
        <v>940</v>
      </c>
      <c r="EE179" s="208">
        <v>3</v>
      </c>
      <c r="EF179" s="237" t="s">
        <v>702</v>
      </c>
      <c r="EG179" s="216" t="s">
        <v>689</v>
      </c>
      <c r="EH179" s="246" t="s">
        <v>690</v>
      </c>
      <c r="EI179" s="216" t="s">
        <v>691</v>
      </c>
      <c r="EJ179" s="216" t="s">
        <v>529</v>
      </c>
      <c r="EK179" s="222" t="s">
        <v>529</v>
      </c>
      <c r="EL179" s="259">
        <v>1988</v>
      </c>
      <c r="EM179" s="260">
        <v>6750</v>
      </c>
      <c r="EN179" s="260">
        <v>137601</v>
      </c>
      <c r="EO179" s="260">
        <v>110855</v>
      </c>
      <c r="ER179" s="237" t="s">
        <v>692</v>
      </c>
      <c r="ES179" s="237" t="e">
        <v>#DIV/0!</v>
      </c>
      <c r="ET179" s="237">
        <v>16.422962962962963</v>
      </c>
      <c r="EU179" s="661">
        <v>3</v>
      </c>
      <c r="EV179" s="661">
        <v>1</v>
      </c>
      <c r="EW179" s="661">
        <v>1</v>
      </c>
      <c r="EX179" s="661">
        <v>5</v>
      </c>
      <c r="EY179" s="660">
        <v>2.1613670776552022E-2</v>
      </c>
      <c r="EZ179" s="256">
        <v>42.67413931144916</v>
      </c>
      <c r="FA179" s="247">
        <v>8.0235357047338862E-2</v>
      </c>
      <c r="FB179" s="208">
        <v>4</v>
      </c>
      <c r="FC179" s="208">
        <v>6</v>
      </c>
      <c r="FD179" s="208">
        <v>4</v>
      </c>
      <c r="FE179" s="239">
        <v>0.36640813051618082</v>
      </c>
      <c r="FF179" s="208">
        <v>1</v>
      </c>
      <c r="FG179" s="241">
        <v>3.4527948649371492E-3</v>
      </c>
      <c r="FH179" s="209">
        <v>0</v>
      </c>
      <c r="FI179" s="237" t="s">
        <v>678</v>
      </c>
      <c r="FJ179" s="208">
        <v>63.2</v>
      </c>
      <c r="FK179" s="208">
        <v>0</v>
      </c>
      <c r="FL179" s="217">
        <v>6.4</v>
      </c>
      <c r="FM179" s="208">
        <v>2.1</v>
      </c>
      <c r="FN179" s="208" t="s">
        <v>1367</v>
      </c>
      <c r="FP179" s="247" t="s">
        <v>693</v>
      </c>
      <c r="FU179" s="208">
        <v>41</v>
      </c>
      <c r="FV179" s="208">
        <v>55.7</v>
      </c>
      <c r="FW179" s="237">
        <v>27.05</v>
      </c>
      <c r="FX179" s="237">
        <v>11.1</v>
      </c>
      <c r="FY179" s="208">
        <v>8.82</v>
      </c>
      <c r="FZ179" s="208">
        <v>15.6</v>
      </c>
      <c r="GA179" s="208">
        <v>32.46</v>
      </c>
      <c r="GB179" s="208">
        <v>25.2</v>
      </c>
      <c r="GC179" s="208">
        <v>-0.31</v>
      </c>
      <c r="GD179" s="208">
        <v>2.8</v>
      </c>
      <c r="GE179" s="237">
        <v>24.14</v>
      </c>
      <c r="GF179" s="237">
        <v>24.3</v>
      </c>
      <c r="GG179" s="237">
        <v>19.649999999999999</v>
      </c>
      <c r="GH179" s="237">
        <v>92.9</v>
      </c>
      <c r="GJ179" s="947"/>
      <c r="GK179" s="320"/>
      <c r="GL179" s="320"/>
      <c r="GM179" s="320"/>
      <c r="GN179" s="320"/>
      <c r="GO179" s="662">
        <v>8175</v>
      </c>
      <c r="GP179" s="663" t="str">
        <f>VLOOKUP(GS179,'BD Comarcal'!$A$6:$AV$17,48,FALSE)</f>
        <v>14</v>
      </c>
      <c r="GQ179" s="564">
        <v>75</v>
      </c>
      <c r="GR179" s="256">
        <f t="shared" si="2"/>
        <v>1</v>
      </c>
      <c r="GS179" s="237" t="s">
        <v>84</v>
      </c>
    </row>
    <row r="180" spans="1:201" s="237" customFormat="1" ht="17.25" customHeight="1">
      <c r="A180" s="236" t="s">
        <v>1368</v>
      </c>
      <c r="C180" s="238"/>
      <c r="D180" s="238">
        <v>3143</v>
      </c>
      <c r="E180" s="238">
        <v>895</v>
      </c>
      <c r="F180" s="239">
        <v>0.28475978364619792</v>
      </c>
      <c r="G180" s="238">
        <v>593</v>
      </c>
      <c r="H180" s="240">
        <v>364.46875484867724</v>
      </c>
      <c r="I180" s="239">
        <v>0.40722765904880137</v>
      </c>
      <c r="J180" s="238">
        <v>2034</v>
      </c>
      <c r="K180" s="238">
        <v>90</v>
      </c>
      <c r="L180" s="238">
        <v>65</v>
      </c>
      <c r="M180" s="241">
        <v>2.0680878141902642E-2</v>
      </c>
      <c r="N180" s="238">
        <v>0</v>
      </c>
      <c r="O180" s="239">
        <v>0</v>
      </c>
      <c r="P180" s="237">
        <v>20</v>
      </c>
      <c r="Q180" s="237">
        <v>0</v>
      </c>
      <c r="R180" s="239">
        <v>0</v>
      </c>
      <c r="S180" s="238">
        <v>5305</v>
      </c>
      <c r="T180" s="436">
        <v>0</v>
      </c>
      <c r="U180" s="436">
        <v>72</v>
      </c>
      <c r="V180" s="436">
        <v>12</v>
      </c>
      <c r="W180" s="436">
        <v>84</v>
      </c>
      <c r="X180" s="238">
        <v>198</v>
      </c>
      <c r="Y180" s="237">
        <v>0.2475</v>
      </c>
      <c r="Z180" s="238">
        <v>2454</v>
      </c>
      <c r="AA180" s="238">
        <v>12396</v>
      </c>
      <c r="AB180" s="238">
        <v>75.739999999999995</v>
      </c>
      <c r="AC180" s="238">
        <v>817</v>
      </c>
      <c r="AD180" s="238">
        <v>1046381.97</v>
      </c>
      <c r="AE180" s="238">
        <v>118612.33000000007</v>
      </c>
      <c r="AF180" s="238">
        <v>1295308.5499999998</v>
      </c>
      <c r="AG180" s="238">
        <v>638020.42000000004</v>
      </c>
      <c r="AH180" s="239">
        <v>0.49256250180700201</v>
      </c>
      <c r="AI180" s="247">
        <v>13.199745999999999</v>
      </c>
      <c r="AJ180" s="242">
        <v>4.3622319999999997</v>
      </c>
      <c r="AK180" s="242">
        <v>0.13879198218262806</v>
      </c>
      <c r="AL180" s="242" t="s">
        <v>678</v>
      </c>
      <c r="AM180" s="242" t="s">
        <v>678</v>
      </c>
      <c r="AN180" s="242">
        <v>21523.34</v>
      </c>
      <c r="AO180" s="238">
        <v>3629.94</v>
      </c>
      <c r="AP180" s="243">
        <v>1</v>
      </c>
      <c r="AQ180" s="238"/>
      <c r="AR180" s="238">
        <v>2479.1649831649834</v>
      </c>
      <c r="AS180" s="238">
        <v>1178.8371280864239</v>
      </c>
      <c r="AT180" s="238">
        <v>7767</v>
      </c>
      <c r="AU180" s="238">
        <v>201.0047829645105</v>
      </c>
      <c r="AV180" s="237">
        <v>1</v>
      </c>
      <c r="AW180" s="237">
        <v>1</v>
      </c>
      <c r="AX180" s="237">
        <v>1</v>
      </c>
      <c r="AY180" s="244" t="s">
        <v>673</v>
      </c>
      <c r="AZ180" s="244" t="s">
        <v>695</v>
      </c>
      <c r="BA180" s="237">
        <v>2012</v>
      </c>
      <c r="BB180" s="245" t="s">
        <v>1369</v>
      </c>
      <c r="BC180" s="215" t="s">
        <v>1370</v>
      </c>
      <c r="BE180" s="237">
        <v>2</v>
      </c>
      <c r="BF180" s="237">
        <v>77</v>
      </c>
      <c r="BG180" s="246" t="s">
        <v>720</v>
      </c>
      <c r="BI180" s="239">
        <v>0.80487804878048785</v>
      </c>
      <c r="BJ180" s="239">
        <v>5.8536585365853662E-2</v>
      </c>
      <c r="BK180" s="239">
        <v>0.13658536585365855</v>
      </c>
      <c r="BL180" s="239">
        <v>0</v>
      </c>
      <c r="BM180" s="247">
        <v>2.6682926829268299</v>
      </c>
      <c r="BN180" s="248">
        <v>0</v>
      </c>
      <c r="BO180" s="248">
        <v>0</v>
      </c>
      <c r="BP180" s="237">
        <v>0</v>
      </c>
      <c r="BQ180" s="237">
        <v>0</v>
      </c>
      <c r="BR180" s="248">
        <v>0</v>
      </c>
      <c r="BS180" s="237">
        <v>40</v>
      </c>
      <c r="BT180" s="237" t="s">
        <v>755</v>
      </c>
      <c r="BU180" s="249" t="s">
        <v>678</v>
      </c>
      <c r="BV180" s="249" t="s">
        <v>678</v>
      </c>
      <c r="BW180" s="249" t="s">
        <v>678</v>
      </c>
      <c r="BX180" s="249" t="s">
        <v>678</v>
      </c>
      <c r="BY180" s="249" t="s">
        <v>678</v>
      </c>
      <c r="BZ180" s="249" t="s">
        <v>678</v>
      </c>
      <c r="CA180" s="249" t="s">
        <v>678</v>
      </c>
      <c r="CB180" s="249" t="s">
        <v>678</v>
      </c>
      <c r="CC180" s="250" t="s">
        <v>678</v>
      </c>
      <c r="CD180" s="242" t="s">
        <v>678</v>
      </c>
      <c r="CE180" s="252" t="s">
        <v>678</v>
      </c>
      <c r="CF180" s="238">
        <v>128</v>
      </c>
      <c r="CG180" s="238">
        <v>4.5999999999999996</v>
      </c>
      <c r="CH180" s="238">
        <v>2.3232323232323231</v>
      </c>
      <c r="CI180" s="216" t="s">
        <v>700</v>
      </c>
      <c r="CJ180" s="237">
        <v>0</v>
      </c>
      <c r="CK180" s="253">
        <v>16.420000000000002</v>
      </c>
      <c r="CL180" s="253">
        <v>12.196199999999999</v>
      </c>
      <c r="CM180" s="254">
        <v>3.8804327076041997E-3</v>
      </c>
      <c r="CN180" s="237" t="s">
        <v>81</v>
      </c>
      <c r="CO180" s="242"/>
      <c r="CP180" s="255">
        <v>0</v>
      </c>
      <c r="CW180" s="261" t="s">
        <v>678</v>
      </c>
      <c r="CX180" s="261" t="s">
        <v>678</v>
      </c>
      <c r="CY180" s="261" t="s">
        <v>678</v>
      </c>
      <c r="DB180" s="216" t="s">
        <v>681</v>
      </c>
      <c r="DC180" s="256"/>
      <c r="DD180" s="256">
        <v>0.8</v>
      </c>
      <c r="DE180" s="256">
        <v>-9</v>
      </c>
      <c r="DF180" s="256">
        <v>-0.3</v>
      </c>
      <c r="DG180" s="256">
        <v>-2.6</v>
      </c>
      <c r="DH180" s="257">
        <v>3</v>
      </c>
      <c r="DI180" s="257">
        <v>30.53</v>
      </c>
      <c r="DJ180" s="257">
        <v>6.96</v>
      </c>
      <c r="DK180" s="257">
        <v>37.49</v>
      </c>
      <c r="DL180" s="237" t="s">
        <v>529</v>
      </c>
      <c r="DN180" s="237" t="s">
        <v>730</v>
      </c>
      <c r="DP180" s="258" t="s">
        <v>682</v>
      </c>
      <c r="DQ180" s="258"/>
      <c r="DR180" s="258"/>
      <c r="DS180" s="258"/>
      <c r="DT180" s="258"/>
      <c r="DU180" s="237">
        <v>0</v>
      </c>
      <c r="DX180" s="247"/>
      <c r="DY180" s="247">
        <v>0</v>
      </c>
      <c r="EA180" s="237">
        <v>0</v>
      </c>
      <c r="ED180" s="237" t="s">
        <v>940</v>
      </c>
      <c r="EE180" s="208">
        <v>3</v>
      </c>
      <c r="EF180" s="237" t="s">
        <v>702</v>
      </c>
      <c r="EG180" s="216" t="s">
        <v>703</v>
      </c>
      <c r="EH180" s="246" t="s">
        <v>704</v>
      </c>
      <c r="EI180" s="216"/>
      <c r="EJ180" s="216" t="s">
        <v>529</v>
      </c>
      <c r="EK180" s="222" t="s">
        <v>682</v>
      </c>
      <c r="EL180" s="259">
        <v>2007</v>
      </c>
      <c r="EM180" s="260">
        <v>500</v>
      </c>
      <c r="EN180" s="260">
        <v>5546</v>
      </c>
      <c r="EO180" s="260">
        <v>1534</v>
      </c>
      <c r="ER180" s="237" t="s">
        <v>705</v>
      </c>
      <c r="ES180" s="237" t="e">
        <v>#DIV/0!</v>
      </c>
      <c r="ET180" s="237">
        <v>3.0680000000000001</v>
      </c>
      <c r="EU180" s="661">
        <v>1</v>
      </c>
      <c r="EV180" s="661" t="s">
        <v>678</v>
      </c>
      <c r="EW180" s="661">
        <v>4</v>
      </c>
      <c r="EX180" s="661">
        <v>4</v>
      </c>
      <c r="EY180" s="660">
        <v>5.2243079860006371E-3</v>
      </c>
      <c r="EZ180" s="256">
        <v>12.058465286236295</v>
      </c>
      <c r="FA180" s="247">
        <v>0</v>
      </c>
      <c r="FB180" s="208">
        <v>4</v>
      </c>
      <c r="FC180" s="208">
        <v>4</v>
      </c>
      <c r="FD180" s="208">
        <v>2</v>
      </c>
      <c r="FE180" s="239">
        <v>0.66256983240223466</v>
      </c>
      <c r="FF180" s="208"/>
      <c r="FG180" s="241">
        <v>4.1888268156424581E-2</v>
      </c>
      <c r="FH180" s="209">
        <v>0</v>
      </c>
      <c r="FI180" s="237" t="s">
        <v>678</v>
      </c>
      <c r="FJ180" s="208">
        <v>35.9</v>
      </c>
      <c r="FK180" s="208">
        <v>0</v>
      </c>
      <c r="FL180" s="217">
        <v>6.6</v>
      </c>
      <c r="FM180" s="208">
        <v>2</v>
      </c>
      <c r="FN180" s="208" t="s">
        <v>1371</v>
      </c>
      <c r="FP180" s="247" t="s">
        <v>693</v>
      </c>
      <c r="FU180" s="208">
        <v>27</v>
      </c>
      <c r="FV180" s="208">
        <v>19.399999999999999</v>
      </c>
      <c r="FW180" s="237">
        <v>29.63</v>
      </c>
      <c r="FX180" s="237">
        <v>13</v>
      </c>
      <c r="FY180" s="208">
        <v>5.79</v>
      </c>
      <c r="FZ180" s="208">
        <v>10.4</v>
      </c>
      <c r="GA180" s="208">
        <v>22.05</v>
      </c>
      <c r="GB180" s="208">
        <v>9.9</v>
      </c>
      <c r="GC180" s="208">
        <v>0.01</v>
      </c>
      <c r="GD180" s="208">
        <v>14.2</v>
      </c>
      <c r="GE180" s="237">
        <v>19.05</v>
      </c>
      <c r="GF180" s="237">
        <v>14.5</v>
      </c>
      <c r="GG180" s="237">
        <v>0</v>
      </c>
      <c r="GH180" s="237">
        <v>1</v>
      </c>
      <c r="GJ180" s="947"/>
      <c r="GK180" s="320"/>
      <c r="GL180" s="320"/>
      <c r="GM180" s="320"/>
      <c r="GN180" s="320"/>
      <c r="GO180" s="662">
        <v>8176</v>
      </c>
      <c r="GP180" s="663" t="str">
        <f>VLOOKUP(GS180,'BD Comarcal'!$A$6:$AV$17,48,FALSE)</f>
        <v>06</v>
      </c>
      <c r="GQ180" s="564">
        <v>3</v>
      </c>
      <c r="GR180" s="256">
        <f t="shared" si="2"/>
        <v>1</v>
      </c>
      <c r="GS180" s="237" t="s">
        <v>81</v>
      </c>
    </row>
    <row r="181" spans="1:201" s="237" customFormat="1" ht="17.25" customHeight="1">
      <c r="A181" s="236" t="s">
        <v>1372</v>
      </c>
      <c r="C181" s="238"/>
      <c r="D181" s="238">
        <v>3790</v>
      </c>
      <c r="E181" s="238">
        <v>3364</v>
      </c>
      <c r="F181" s="239">
        <v>0.88759894459102906</v>
      </c>
      <c r="G181" s="238">
        <v>3276</v>
      </c>
      <c r="H181" s="240">
        <v>3135.8098199294591</v>
      </c>
      <c r="I181" s="239">
        <v>0.93216700949151576</v>
      </c>
      <c r="J181" s="238">
        <v>108</v>
      </c>
      <c r="K181" s="238">
        <v>239</v>
      </c>
      <c r="L181" s="238">
        <v>0</v>
      </c>
      <c r="M181" s="241">
        <v>0</v>
      </c>
      <c r="N181" s="238">
        <v>0</v>
      </c>
      <c r="O181" s="239">
        <v>0</v>
      </c>
      <c r="P181" s="237">
        <v>11</v>
      </c>
      <c r="Q181" s="237">
        <v>0</v>
      </c>
      <c r="R181" s="239">
        <v>0</v>
      </c>
      <c r="S181" s="238">
        <v>2542</v>
      </c>
      <c r="T181" s="436">
        <v>0</v>
      </c>
      <c r="U181" s="436">
        <v>7</v>
      </c>
      <c r="V181" s="436">
        <v>0</v>
      </c>
      <c r="W181" s="436">
        <v>7</v>
      </c>
      <c r="X181" s="238">
        <v>54</v>
      </c>
      <c r="Y181" s="237">
        <v>0.24560000000000001</v>
      </c>
      <c r="Z181" s="238">
        <v>932</v>
      </c>
      <c r="AA181" s="238">
        <v>17928</v>
      </c>
      <c r="AB181" s="238">
        <v>109.54</v>
      </c>
      <c r="AC181" s="238">
        <v>0</v>
      </c>
      <c r="AD181" s="238">
        <v>222759.21</v>
      </c>
      <c r="AE181" s="238">
        <v>49213.23000000001</v>
      </c>
      <c r="AF181" s="238">
        <v>44606.869999999995</v>
      </c>
      <c r="AG181" s="238">
        <v>4490.7</v>
      </c>
      <c r="AH181" s="239">
        <v>0.10067283357922222</v>
      </c>
      <c r="AI181" s="247">
        <v>0.98973100000000003</v>
      </c>
      <c r="AJ181" s="242">
        <v>6.5283999999999995E-2</v>
      </c>
      <c r="AK181" s="242">
        <v>1.7225329815303428E-3</v>
      </c>
      <c r="AL181" s="242" t="s">
        <v>678</v>
      </c>
      <c r="AM181" s="242" t="s">
        <v>678</v>
      </c>
      <c r="AN181" s="242">
        <v>10158.02</v>
      </c>
      <c r="AO181" s="238">
        <v>6634.67</v>
      </c>
      <c r="AP181" s="243">
        <v>28</v>
      </c>
      <c r="AQ181" s="238"/>
      <c r="AR181" s="238">
        <v>1189.8363072924476</v>
      </c>
      <c r="AS181" s="238">
        <v>321.80824753072284</v>
      </c>
      <c r="AT181" s="238">
        <v>864.33333333333337</v>
      </c>
      <c r="AU181" s="238">
        <v>58.781597075053227</v>
      </c>
      <c r="AV181" s="237">
        <v>1</v>
      </c>
      <c r="AW181" s="237">
        <v>1</v>
      </c>
      <c r="AX181" s="237">
        <v>1</v>
      </c>
      <c r="AY181" s="244" t="s">
        <v>682</v>
      </c>
      <c r="AZ181" s="244" t="s">
        <v>695</v>
      </c>
      <c r="BA181" s="237">
        <v>0</v>
      </c>
      <c r="BB181" s="245" t="s">
        <v>935</v>
      </c>
      <c r="BC181" s="215" t="s">
        <v>936</v>
      </c>
      <c r="BE181" s="237">
        <v>3</v>
      </c>
      <c r="BF181" s="237">
        <v>17</v>
      </c>
      <c r="BG181" s="246" t="s">
        <v>720</v>
      </c>
      <c r="BI181" s="239">
        <v>0.95652173913043481</v>
      </c>
      <c r="BJ181" s="239">
        <v>0</v>
      </c>
      <c r="BK181" s="239">
        <v>4.3478260869565216E-2</v>
      </c>
      <c r="BL181" s="239">
        <v>0</v>
      </c>
      <c r="BM181" s="247">
        <v>2.9130434782608701</v>
      </c>
      <c r="BN181" s="248">
        <v>0</v>
      </c>
      <c r="BO181" s="248">
        <v>0</v>
      </c>
      <c r="BP181" s="237">
        <v>0</v>
      </c>
      <c r="BQ181" s="237">
        <v>0</v>
      </c>
      <c r="BR181" s="248">
        <v>0</v>
      </c>
      <c r="BS181" s="237">
        <v>24</v>
      </c>
      <c r="BT181" s="237" t="s">
        <v>777</v>
      </c>
      <c r="BU181" s="249" t="s">
        <v>678</v>
      </c>
      <c r="BV181" s="249" t="s">
        <v>678</v>
      </c>
      <c r="BW181" s="249" t="s">
        <v>678</v>
      </c>
      <c r="BX181" s="249" t="s">
        <v>678</v>
      </c>
      <c r="BY181" s="249" t="s">
        <v>678</v>
      </c>
      <c r="BZ181" s="249" t="s">
        <v>678</v>
      </c>
      <c r="CA181" s="249" t="s">
        <v>678</v>
      </c>
      <c r="CB181" s="249" t="s">
        <v>678</v>
      </c>
      <c r="CC181" s="250" t="s">
        <v>678</v>
      </c>
      <c r="CD181" s="242" t="s">
        <v>678</v>
      </c>
      <c r="CE181" s="252" t="s">
        <v>678</v>
      </c>
      <c r="CF181" s="238">
        <v>27</v>
      </c>
      <c r="CG181" s="238">
        <v>3.1</v>
      </c>
      <c r="CH181" s="238">
        <v>5.081967213114754</v>
      </c>
      <c r="CI181" s="216" t="s">
        <v>700</v>
      </c>
      <c r="CJ181" s="237">
        <v>0</v>
      </c>
      <c r="CK181" s="253">
        <v>0.98</v>
      </c>
      <c r="CL181" s="253">
        <v>0</v>
      </c>
      <c r="CM181" s="254">
        <v>0</v>
      </c>
      <c r="CN181" s="237" t="s">
        <v>84</v>
      </c>
      <c r="CO181" s="242">
        <v>1321.92</v>
      </c>
      <c r="CP181" s="255">
        <v>0.3487915567282322</v>
      </c>
      <c r="CW181" s="261" t="s">
        <v>678</v>
      </c>
      <c r="CX181" s="261" t="s">
        <v>678</v>
      </c>
      <c r="CY181" s="261" t="s">
        <v>678</v>
      </c>
      <c r="DB181" s="216" t="s">
        <v>681</v>
      </c>
      <c r="DC181" s="256"/>
      <c r="DD181" s="256">
        <v>0.8</v>
      </c>
      <c r="DE181" s="256">
        <v>-9</v>
      </c>
      <c r="DF181" s="256">
        <v>-0.3</v>
      </c>
      <c r="DG181" s="256">
        <v>-2.6</v>
      </c>
      <c r="DL181" s="237" t="s">
        <v>682</v>
      </c>
      <c r="DP181" s="258" t="s">
        <v>682</v>
      </c>
      <c r="DQ181" s="258"/>
      <c r="DR181" s="258"/>
      <c r="DS181" s="258"/>
      <c r="DT181" s="258"/>
      <c r="DU181" s="237">
        <v>0</v>
      </c>
      <c r="DX181" s="247"/>
      <c r="DY181" s="247">
        <v>0</v>
      </c>
      <c r="EA181" s="237">
        <v>0</v>
      </c>
      <c r="ED181" s="237" t="s">
        <v>836</v>
      </c>
      <c r="EE181" s="208">
        <v>1</v>
      </c>
      <c r="EF181" s="237" t="s">
        <v>688</v>
      </c>
      <c r="EG181" s="216" t="s">
        <v>703</v>
      </c>
      <c r="EH181" s="246" t="s">
        <v>704</v>
      </c>
      <c r="EI181" s="216"/>
      <c r="EJ181" s="216" t="s">
        <v>529</v>
      </c>
      <c r="EK181" s="222" t="s">
        <v>682</v>
      </c>
      <c r="EL181" s="259">
        <v>1994</v>
      </c>
      <c r="EM181" s="260">
        <v>140</v>
      </c>
      <c r="EN181" s="260">
        <v>485</v>
      </c>
      <c r="EO181" s="260">
        <v>378</v>
      </c>
      <c r="ER181" s="237" t="s">
        <v>705</v>
      </c>
      <c r="ES181" s="237" t="e">
        <v>#DIV/0!</v>
      </c>
      <c r="ET181" s="237">
        <v>2.7</v>
      </c>
      <c r="EU181" s="661">
        <v>5</v>
      </c>
      <c r="EV181" s="661" t="s">
        <v>678</v>
      </c>
      <c r="EW181" s="661">
        <v>0</v>
      </c>
      <c r="EX181" s="661">
        <v>0</v>
      </c>
      <c r="EY181" s="660">
        <v>2.5857519788918207E-4</v>
      </c>
      <c r="EZ181" s="256">
        <v>62.244897959183675</v>
      </c>
      <c r="FA181" s="247">
        <v>0</v>
      </c>
      <c r="FB181" s="208">
        <v>2</v>
      </c>
      <c r="FC181" s="208">
        <v>3</v>
      </c>
      <c r="FD181" s="208">
        <v>2</v>
      </c>
      <c r="FE181" s="239">
        <v>0.97384066587395957</v>
      </c>
      <c r="FF181" s="208">
        <v>1</v>
      </c>
      <c r="FG181" s="241">
        <v>0</v>
      </c>
      <c r="FH181" s="209">
        <v>0</v>
      </c>
      <c r="FI181" s="237" t="s">
        <v>678</v>
      </c>
      <c r="FJ181" s="208">
        <v>68.099999999999994</v>
      </c>
      <c r="FK181" s="208">
        <v>0.16</v>
      </c>
      <c r="FL181" s="217">
        <v>22.7</v>
      </c>
      <c r="FM181" s="208" t="s">
        <v>1373</v>
      </c>
      <c r="FN181" s="208" t="s">
        <v>1374</v>
      </c>
      <c r="FP181" s="247" t="s">
        <v>693</v>
      </c>
      <c r="FU181" s="208">
        <v>51</v>
      </c>
      <c r="FV181" s="208">
        <v>76.7</v>
      </c>
      <c r="FW181" s="208">
        <v>82.4</v>
      </c>
      <c r="FX181" s="208">
        <v>69.599999999999994</v>
      </c>
      <c r="FY181" s="208">
        <v>90.49</v>
      </c>
      <c r="FZ181" s="208">
        <v>83.7</v>
      </c>
      <c r="GA181" s="208">
        <v>76.72</v>
      </c>
      <c r="GB181" s="208">
        <v>87.5</v>
      </c>
      <c r="GC181" s="208">
        <v>0.04</v>
      </c>
      <c r="GD181" s="208">
        <v>21.6</v>
      </c>
      <c r="GE181" s="237">
        <v>74.37</v>
      </c>
      <c r="GF181" s="237">
        <v>89.2</v>
      </c>
      <c r="GG181" s="237">
        <v>6.31</v>
      </c>
      <c r="GH181" s="237">
        <v>52.8</v>
      </c>
      <c r="GJ181" s="947"/>
      <c r="GK181" s="320"/>
      <c r="GL181" s="320"/>
      <c r="GM181" s="320"/>
      <c r="GN181" s="320"/>
      <c r="GO181" s="662">
        <v>8177</v>
      </c>
      <c r="GP181" s="663" t="str">
        <f>VLOOKUP(GS181,'BD Comarcal'!$A$6:$AV$17,48,FALSE)</f>
        <v>14</v>
      </c>
      <c r="GQ181" s="564">
        <v>1</v>
      </c>
      <c r="GR181" s="256">
        <f t="shared" si="2"/>
        <v>0</v>
      </c>
      <c r="GS181" s="237" t="s">
        <v>84</v>
      </c>
    </row>
    <row r="182" spans="1:201" s="237" customFormat="1" ht="17.25" customHeight="1">
      <c r="A182" s="236" t="s">
        <v>1375</v>
      </c>
      <c r="C182" s="238"/>
      <c r="D182" s="238">
        <v>4530</v>
      </c>
      <c r="E182" s="238">
        <v>3216</v>
      </c>
      <c r="F182" s="239">
        <v>0.70993377483443709</v>
      </c>
      <c r="G182" s="238">
        <v>1007</v>
      </c>
      <c r="H182" s="240">
        <v>2494.0124778787422</v>
      </c>
      <c r="I182" s="239">
        <v>0.77550139237523075</v>
      </c>
      <c r="J182" s="238">
        <v>735</v>
      </c>
      <c r="K182" s="238">
        <v>58</v>
      </c>
      <c r="L182" s="238">
        <v>10</v>
      </c>
      <c r="M182" s="241">
        <v>2.2075055187637969E-3</v>
      </c>
      <c r="N182" s="238">
        <v>0</v>
      </c>
      <c r="O182" s="239">
        <v>0</v>
      </c>
      <c r="P182" s="237">
        <v>14</v>
      </c>
      <c r="Q182" s="237">
        <v>0</v>
      </c>
      <c r="R182" s="239">
        <v>0</v>
      </c>
      <c r="S182" s="238">
        <v>1878</v>
      </c>
      <c r="T182" s="436">
        <v>0</v>
      </c>
      <c r="U182" s="436">
        <v>9</v>
      </c>
      <c r="V182" s="436">
        <v>0</v>
      </c>
      <c r="W182" s="436">
        <v>9</v>
      </c>
      <c r="X182" s="238">
        <v>533</v>
      </c>
      <c r="Y182" s="237">
        <v>0.2064</v>
      </c>
      <c r="Z182" s="238">
        <v>8036</v>
      </c>
      <c r="AA182" s="238">
        <v>15335</v>
      </c>
      <c r="AB182" s="238">
        <v>93.7</v>
      </c>
      <c r="AC182" s="238">
        <v>300</v>
      </c>
      <c r="AD182" s="238">
        <v>1193169.93</v>
      </c>
      <c r="AE182" s="238">
        <v>416499.20999999996</v>
      </c>
      <c r="AF182" s="238">
        <v>1031330.8300000001</v>
      </c>
      <c r="AG182" s="238">
        <v>174076.63</v>
      </c>
      <c r="AH182" s="239">
        <v>0.16878835087282321</v>
      </c>
      <c r="AI182" s="247">
        <v>19.551003999999999</v>
      </c>
      <c r="AJ182" s="242">
        <v>5.0686600000000004</v>
      </c>
      <c r="AK182" s="242">
        <v>0.11189094922737308</v>
      </c>
      <c r="AL182" s="242">
        <v>89.146263000000005</v>
      </c>
      <c r="AM182" s="242">
        <v>1.9679086754966888</v>
      </c>
      <c r="AN182" s="242">
        <v>31311.599999999999</v>
      </c>
      <c r="AO182" s="238">
        <v>19043.59</v>
      </c>
      <c r="AP182" s="243">
        <v>122</v>
      </c>
      <c r="AQ182" s="238"/>
      <c r="AR182" s="238">
        <v>2488.5792703360894</v>
      </c>
      <c r="AS182" s="238">
        <v>1104.6016407290692</v>
      </c>
      <c r="AT182" s="238">
        <v>49221.333333333336</v>
      </c>
      <c r="AU182" s="238">
        <v>271.75679224510952</v>
      </c>
      <c r="AV182" s="237">
        <v>1</v>
      </c>
      <c r="AW182" s="237">
        <v>1</v>
      </c>
      <c r="AX182" s="237">
        <v>1</v>
      </c>
      <c r="AY182" s="244" t="s">
        <v>673</v>
      </c>
      <c r="AZ182" s="244" t="s">
        <v>673</v>
      </c>
      <c r="BA182" s="237">
        <v>0</v>
      </c>
      <c r="BB182" s="245" t="s">
        <v>696</v>
      </c>
      <c r="BC182" s="215" t="s">
        <v>697</v>
      </c>
      <c r="BE182" s="237">
        <v>1</v>
      </c>
      <c r="BF182" s="237">
        <v>90</v>
      </c>
      <c r="BG182" s="246" t="s">
        <v>698</v>
      </c>
      <c r="BI182" s="239">
        <v>0.69753086419753085</v>
      </c>
      <c r="BJ182" s="239">
        <v>8.6419753086419748E-2</v>
      </c>
      <c r="BK182" s="239">
        <v>0.20987654320987653</v>
      </c>
      <c r="BL182" s="239">
        <v>6.1728395061728392E-3</v>
      </c>
      <c r="BM182" s="247">
        <v>2.4753086419753085</v>
      </c>
      <c r="BN182" s="248">
        <v>0</v>
      </c>
      <c r="BO182" s="248">
        <v>0</v>
      </c>
      <c r="BP182" s="237">
        <v>0</v>
      </c>
      <c r="BQ182" s="237">
        <v>0</v>
      </c>
      <c r="BR182" s="248">
        <v>0</v>
      </c>
      <c r="BS182" s="237">
        <v>13</v>
      </c>
      <c r="BT182" s="237" t="s">
        <v>699</v>
      </c>
      <c r="BU182" s="249" t="s">
        <v>678</v>
      </c>
      <c r="BV182" s="249" t="s">
        <v>678</v>
      </c>
      <c r="BW182" s="249" t="s">
        <v>678</v>
      </c>
      <c r="BX182" s="249" t="s">
        <v>678</v>
      </c>
      <c r="BY182" s="249" t="s">
        <v>678</v>
      </c>
      <c r="BZ182" s="249" t="s">
        <v>678</v>
      </c>
      <c r="CA182" s="249" t="s">
        <v>678</v>
      </c>
      <c r="CB182" s="249" t="s">
        <v>678</v>
      </c>
      <c r="CC182" s="250" t="s">
        <v>678</v>
      </c>
      <c r="CD182" s="242" t="s">
        <v>678</v>
      </c>
      <c r="CE182" s="252" t="s">
        <v>678</v>
      </c>
      <c r="CF182" s="238">
        <v>259</v>
      </c>
      <c r="CG182" s="238">
        <v>23</v>
      </c>
      <c r="CH182" s="238">
        <v>4.2830540037243949</v>
      </c>
      <c r="CI182" s="216" t="s">
        <v>722</v>
      </c>
      <c r="CJ182" s="237">
        <v>1</v>
      </c>
      <c r="CK182" s="253">
        <v>17.04</v>
      </c>
      <c r="CL182" s="253">
        <v>32.680599999999998</v>
      </c>
      <c r="CM182" s="254">
        <v>7.2142604856512138E-3</v>
      </c>
      <c r="CN182" s="237" t="s">
        <v>82</v>
      </c>
      <c r="CO182" s="242"/>
      <c r="CP182" s="255">
        <v>0</v>
      </c>
      <c r="CW182" s="261" t="s">
        <v>678</v>
      </c>
      <c r="CX182" s="261" t="s">
        <v>678</v>
      </c>
      <c r="CY182" s="261" t="s">
        <v>678</v>
      </c>
      <c r="DB182" s="216"/>
      <c r="DC182" s="195" t="s">
        <v>866</v>
      </c>
      <c r="DD182" s="256">
        <v>0.8</v>
      </c>
      <c r="DE182" s="256">
        <v>-10</v>
      </c>
      <c r="DF182" s="256">
        <v>0.5</v>
      </c>
      <c r="DG182" s="256">
        <v>-2.2999999999999998</v>
      </c>
      <c r="DH182" s="257">
        <v>4</v>
      </c>
      <c r="DI182" s="257">
        <v>5.74</v>
      </c>
      <c r="DJ182" s="257">
        <v>2.15</v>
      </c>
      <c r="DK182" s="257">
        <v>7.89</v>
      </c>
      <c r="DL182" s="237" t="s">
        <v>682</v>
      </c>
      <c r="DP182" s="258" t="s">
        <v>682</v>
      </c>
      <c r="DQ182" s="258"/>
      <c r="DR182" s="258"/>
      <c r="DS182" s="258"/>
      <c r="DT182" s="258"/>
      <c r="DU182" s="237">
        <v>0</v>
      </c>
      <c r="DX182" s="247"/>
      <c r="DY182" s="247">
        <v>0</v>
      </c>
      <c r="EA182" s="237">
        <v>0</v>
      </c>
      <c r="ED182" s="237" t="s">
        <v>687</v>
      </c>
      <c r="EE182" s="208">
        <v>1</v>
      </c>
      <c r="EF182" s="237" t="s">
        <v>688</v>
      </c>
      <c r="EG182" s="216" t="s">
        <v>733</v>
      </c>
      <c r="EH182" s="246" t="s">
        <v>734</v>
      </c>
      <c r="EI182" s="216" t="s">
        <v>691</v>
      </c>
      <c r="EJ182" s="216" t="s">
        <v>529</v>
      </c>
      <c r="EK182" s="222" t="s">
        <v>682</v>
      </c>
      <c r="EL182" s="259">
        <v>2001</v>
      </c>
      <c r="EM182" s="260">
        <v>5875</v>
      </c>
      <c r="EN182" s="260">
        <v>23349</v>
      </c>
      <c r="EO182" s="260">
        <v>24156</v>
      </c>
      <c r="ER182" s="237" t="s">
        <v>705</v>
      </c>
      <c r="ES182" s="237" t="e">
        <v>#DIV/0!</v>
      </c>
      <c r="ET182" s="237">
        <v>4.1116595744680851</v>
      </c>
      <c r="EU182" s="661">
        <v>1</v>
      </c>
      <c r="EV182" s="661" t="s">
        <v>678</v>
      </c>
      <c r="EW182" s="661">
        <v>1</v>
      </c>
      <c r="EX182" s="661">
        <v>6</v>
      </c>
      <c r="EY182" s="660">
        <v>3.7615894039735097E-3</v>
      </c>
      <c r="EZ182" s="256">
        <v>31.514084507042256</v>
      </c>
      <c r="FA182" s="247">
        <v>0</v>
      </c>
      <c r="FB182" s="208">
        <v>3</v>
      </c>
      <c r="FC182" s="208">
        <v>5</v>
      </c>
      <c r="FD182" s="208">
        <v>5</v>
      </c>
      <c r="FE182" s="239">
        <v>0.31312189054726369</v>
      </c>
      <c r="FF182" s="208"/>
      <c r="FG182" s="241">
        <v>2.4533582089552239E-3</v>
      </c>
      <c r="FH182" s="209">
        <v>0</v>
      </c>
      <c r="FI182" s="237" t="s">
        <v>678</v>
      </c>
      <c r="FJ182" s="208">
        <v>58.6</v>
      </c>
      <c r="FK182" s="208">
        <v>0</v>
      </c>
      <c r="FL182" s="217">
        <v>6.8</v>
      </c>
      <c r="FM182" s="208">
        <v>4.8</v>
      </c>
      <c r="FN182" s="208" t="s">
        <v>1376</v>
      </c>
      <c r="FP182" s="247" t="s">
        <v>693</v>
      </c>
      <c r="FU182" s="208">
        <v>56</v>
      </c>
      <c r="FV182" s="208">
        <v>85.1</v>
      </c>
      <c r="FW182" s="237">
        <v>74.11</v>
      </c>
      <c r="FX182" s="237">
        <v>59</v>
      </c>
      <c r="FY182" s="208">
        <v>58.48</v>
      </c>
      <c r="FZ182" s="208">
        <v>67.900000000000006</v>
      </c>
      <c r="GA182" s="208">
        <v>53.37</v>
      </c>
      <c r="GB182" s="208">
        <v>57.1</v>
      </c>
      <c r="GC182" s="208">
        <v>0.02</v>
      </c>
      <c r="GD182" s="208">
        <v>16.8</v>
      </c>
      <c r="GE182" s="237">
        <v>43.96</v>
      </c>
      <c r="GF182" s="237">
        <v>57.2</v>
      </c>
      <c r="GG182" s="237">
        <v>18.27</v>
      </c>
      <c r="GH182" s="237">
        <v>91</v>
      </c>
      <c r="GJ182" s="947"/>
      <c r="GK182" s="320"/>
      <c r="GL182" s="320"/>
      <c r="GM182" s="320"/>
      <c r="GN182" s="320"/>
      <c r="GO182" s="662">
        <v>8178</v>
      </c>
      <c r="GP182" s="663" t="str">
        <f>VLOOKUP(GS182,'BD Comarcal'!$A$6:$AV$17,48,FALSE)</f>
        <v>07</v>
      </c>
      <c r="GQ182" s="564">
        <v>2</v>
      </c>
      <c r="GR182" s="256">
        <f t="shared" si="2"/>
        <v>1</v>
      </c>
      <c r="GS182" s="237" t="s">
        <v>82</v>
      </c>
    </row>
    <row r="183" spans="1:201" s="237" customFormat="1" ht="17.25" customHeight="1">
      <c r="A183" s="236" t="s">
        <v>1377</v>
      </c>
      <c r="C183" s="238"/>
      <c r="D183" s="238">
        <v>1804</v>
      </c>
      <c r="E183" s="238">
        <v>1580</v>
      </c>
      <c r="F183" s="239">
        <v>0.87583148558758317</v>
      </c>
      <c r="G183" s="238">
        <v>1069</v>
      </c>
      <c r="H183" s="240">
        <v>261.20336137447975</v>
      </c>
      <c r="I183" s="239">
        <v>0.16531858314840492</v>
      </c>
      <c r="J183" s="238">
        <v>6</v>
      </c>
      <c r="K183" s="238">
        <v>20</v>
      </c>
      <c r="L183" s="238" t="s">
        <v>678</v>
      </c>
      <c r="M183" s="241" t="s">
        <v>678</v>
      </c>
      <c r="N183" s="238" t="s">
        <v>678</v>
      </c>
      <c r="O183" s="239" t="s">
        <v>678</v>
      </c>
      <c r="P183" s="237" t="s">
        <v>678</v>
      </c>
      <c r="Q183" s="237" t="s">
        <v>678</v>
      </c>
      <c r="R183" s="239" t="s">
        <v>678</v>
      </c>
      <c r="S183" s="238" t="s">
        <v>678</v>
      </c>
      <c r="T183" s="436">
        <v>0</v>
      </c>
      <c r="U183" s="436">
        <v>14</v>
      </c>
      <c r="V183" s="436">
        <v>0</v>
      </c>
      <c r="W183" s="436">
        <v>14</v>
      </c>
      <c r="X183" s="238">
        <v>723</v>
      </c>
      <c r="Y183" s="237">
        <v>0.13500000000000001</v>
      </c>
      <c r="Z183" s="238">
        <v>8719</v>
      </c>
      <c r="AA183" s="238">
        <v>11656</v>
      </c>
      <c r="AB183" s="238">
        <v>71.22</v>
      </c>
      <c r="AC183" s="238">
        <v>0</v>
      </c>
      <c r="AD183" s="238">
        <v>895352.46</v>
      </c>
      <c r="AE183" s="238">
        <v>49123.669999999925</v>
      </c>
      <c r="AF183" s="238">
        <v>689064.28</v>
      </c>
      <c r="AG183" s="238">
        <v>48084.59</v>
      </c>
      <c r="AH183" s="239">
        <v>6.9782444679907074E-2</v>
      </c>
      <c r="AI183" s="247">
        <v>108.01491300000001</v>
      </c>
      <c r="AJ183" s="242">
        <v>19.54813</v>
      </c>
      <c r="AK183" s="242">
        <v>1.0835992239467849</v>
      </c>
      <c r="AL183" s="242">
        <v>65.184072</v>
      </c>
      <c r="AM183" s="242">
        <v>3.6133077605321504</v>
      </c>
      <c r="AN183" s="242">
        <v>4109.46</v>
      </c>
      <c r="AO183" s="238">
        <v>20809.75</v>
      </c>
      <c r="AP183" s="243">
        <v>76</v>
      </c>
      <c r="AQ183" s="238"/>
      <c r="AR183" s="238">
        <v>1677.8676830321992</v>
      </c>
      <c r="AS183" s="238">
        <v>1562.7737629483956</v>
      </c>
      <c r="AT183" s="238">
        <v>56859.333333333336</v>
      </c>
      <c r="AU183" s="238">
        <v>463.4009933322929</v>
      </c>
      <c r="AV183" s="237">
        <v>1</v>
      </c>
      <c r="AW183" s="237">
        <v>1</v>
      </c>
      <c r="AX183" s="237">
        <v>1</v>
      </c>
      <c r="AY183" s="244" t="s">
        <v>673</v>
      </c>
      <c r="AZ183" s="244" t="s">
        <v>695</v>
      </c>
      <c r="BA183" s="237">
        <v>2014</v>
      </c>
      <c r="BB183" s="245" t="s">
        <v>1378</v>
      </c>
      <c r="BC183" s="215" t="s">
        <v>1379</v>
      </c>
      <c r="BE183" s="237">
        <v>4</v>
      </c>
      <c r="BF183" s="237">
        <v>26</v>
      </c>
      <c r="BG183" s="246" t="s">
        <v>698</v>
      </c>
      <c r="BI183" s="239">
        <v>0.61964285714285716</v>
      </c>
      <c r="BJ183" s="239">
        <v>0.14285714285714285</v>
      </c>
      <c r="BK183" s="239">
        <v>0.22321428571428573</v>
      </c>
      <c r="BL183" s="239">
        <v>1.4285714285714285E-2</v>
      </c>
      <c r="BM183" s="247">
        <v>2.3678571428571429</v>
      </c>
      <c r="BN183" s="248">
        <v>0</v>
      </c>
      <c r="BO183" s="248">
        <v>0</v>
      </c>
      <c r="BP183" s="237">
        <v>0</v>
      </c>
      <c r="BQ183" s="237">
        <v>0</v>
      </c>
      <c r="BR183" s="248">
        <v>0</v>
      </c>
      <c r="BS183" s="237">
        <v>23</v>
      </c>
      <c r="BT183" s="237" t="s">
        <v>967</v>
      </c>
      <c r="BU183" s="249" t="s">
        <v>678</v>
      </c>
      <c r="BV183" s="249" t="s">
        <v>678</v>
      </c>
      <c r="BW183" s="249" t="s">
        <v>678</v>
      </c>
      <c r="BX183" s="249" t="s">
        <v>678</v>
      </c>
      <c r="BY183" s="249" t="s">
        <v>678</v>
      </c>
      <c r="BZ183" s="249" t="s">
        <v>678</v>
      </c>
      <c r="CA183" s="249" t="s">
        <v>678</v>
      </c>
      <c r="CB183" s="249" t="s">
        <v>678</v>
      </c>
      <c r="CC183" s="250" t="s">
        <v>678</v>
      </c>
      <c r="CD183" s="242" t="s">
        <v>678</v>
      </c>
      <c r="CE183" s="252" t="s">
        <v>678</v>
      </c>
      <c r="CF183" s="238">
        <v>564</v>
      </c>
      <c r="CG183" s="238">
        <v>68.7</v>
      </c>
      <c r="CH183" s="238">
        <v>9.1967871485943782</v>
      </c>
      <c r="CI183" s="216" t="s">
        <v>700</v>
      </c>
      <c r="CJ183" s="237">
        <v>0</v>
      </c>
      <c r="CK183" s="253">
        <v>113.75</v>
      </c>
      <c r="CL183" s="253">
        <v>7.1401000000000003</v>
      </c>
      <c r="CM183" s="254">
        <v>3.9579268292682926E-3</v>
      </c>
      <c r="CN183" s="237" t="s">
        <v>89</v>
      </c>
      <c r="CO183" s="242">
        <v>1416.06</v>
      </c>
      <c r="CP183" s="255">
        <v>0.78495565410199553</v>
      </c>
      <c r="CW183" s="261" t="s">
        <v>678</v>
      </c>
      <c r="CX183" s="261" t="s">
        <v>678</v>
      </c>
      <c r="CY183" s="261" t="s">
        <v>678</v>
      </c>
      <c r="DB183" s="216" t="s">
        <v>746</v>
      </c>
      <c r="DC183" s="195" t="s">
        <v>1380</v>
      </c>
      <c r="DD183" s="256">
        <v>0.8</v>
      </c>
      <c r="DE183" s="256">
        <v>-10</v>
      </c>
      <c r="DF183" s="256">
        <v>0.5</v>
      </c>
      <c r="DG183" s="256">
        <v>-2.2999999999999998</v>
      </c>
      <c r="DL183" s="237" t="s">
        <v>682</v>
      </c>
      <c r="DP183" s="258" t="s">
        <v>682</v>
      </c>
      <c r="DQ183" s="258"/>
      <c r="DR183" s="258"/>
      <c r="DS183" s="258"/>
      <c r="DT183" s="258"/>
      <c r="DU183" s="237">
        <v>0</v>
      </c>
      <c r="DX183" s="247"/>
      <c r="DY183" s="247">
        <v>0</v>
      </c>
      <c r="EA183" s="237">
        <v>0</v>
      </c>
      <c r="ED183" s="237" t="s">
        <v>687</v>
      </c>
      <c r="EE183" s="208">
        <v>3</v>
      </c>
      <c r="EF183" s="237" t="s">
        <v>688</v>
      </c>
      <c r="EG183" s="216" t="s">
        <v>703</v>
      </c>
      <c r="EH183" s="246" t="s">
        <v>704</v>
      </c>
      <c r="EI183" s="216" t="s">
        <v>1381</v>
      </c>
      <c r="EJ183" s="216" t="s">
        <v>529</v>
      </c>
      <c r="EK183" s="222" t="s">
        <v>682</v>
      </c>
      <c r="EL183" s="259">
        <v>2014</v>
      </c>
      <c r="EM183" s="260">
        <v>55057</v>
      </c>
      <c r="EN183" s="260">
        <v>57413</v>
      </c>
      <c r="EO183" s="260">
        <v>2891</v>
      </c>
      <c r="ER183" s="237" t="s">
        <v>973</v>
      </c>
      <c r="ES183" s="237" t="e">
        <v>#DIV/0!</v>
      </c>
      <c r="ET183" s="237">
        <v>5.2509217719817647E-2</v>
      </c>
      <c r="EU183" s="661">
        <v>3</v>
      </c>
      <c r="EV183" s="661" t="s">
        <v>678</v>
      </c>
      <c r="EW183" s="661" t="s">
        <v>678</v>
      </c>
      <c r="EX183" s="661">
        <v>7</v>
      </c>
      <c r="EY183" s="660">
        <v>6.3054323725055428E-2</v>
      </c>
      <c r="EZ183" s="256">
        <v>6.5670329670329668</v>
      </c>
      <c r="FA183" s="247">
        <v>0</v>
      </c>
      <c r="FB183" s="208">
        <v>3</v>
      </c>
      <c r="FC183" s="208">
        <v>5</v>
      </c>
      <c r="FD183" s="208">
        <v>5</v>
      </c>
      <c r="FE183" s="239">
        <v>0.67658227848101271</v>
      </c>
      <c r="FF183" s="208"/>
      <c r="FG183" s="241">
        <v>0</v>
      </c>
      <c r="FH183" s="209">
        <v>0</v>
      </c>
      <c r="FI183" s="237" t="s">
        <v>678</v>
      </c>
      <c r="FJ183" s="208">
        <v>58.1</v>
      </c>
      <c r="FK183" s="208">
        <v>55.65</v>
      </c>
      <c r="FL183" s="217">
        <v>93.2</v>
      </c>
      <c r="FM183" s="208">
        <v>6.78</v>
      </c>
      <c r="FN183" s="208" t="s">
        <v>1382</v>
      </c>
      <c r="FP183" s="247" t="s">
        <v>693</v>
      </c>
      <c r="FU183" s="208">
        <v>51</v>
      </c>
      <c r="FV183" s="208">
        <v>76.900000000000006</v>
      </c>
      <c r="FW183" s="237">
        <v>61.52</v>
      </c>
      <c r="FX183" s="237">
        <v>42.9</v>
      </c>
      <c r="FY183" s="208">
        <v>48.83</v>
      </c>
      <c r="FZ183" s="208">
        <v>60.8</v>
      </c>
      <c r="GA183" s="208">
        <v>56.43</v>
      </c>
      <c r="GB183" s="208">
        <v>62</v>
      </c>
      <c r="GC183" s="208">
        <v>0.42</v>
      </c>
      <c r="GD183" s="208">
        <v>59.5</v>
      </c>
      <c r="GE183" s="237">
        <v>45.48</v>
      </c>
      <c r="GF183" s="237">
        <v>59.7</v>
      </c>
      <c r="GG183" s="237">
        <v>1.81</v>
      </c>
      <c r="GH183" s="237">
        <v>20.7</v>
      </c>
      <c r="GJ183" s="947"/>
      <c r="GK183" s="320"/>
      <c r="GL183" s="320"/>
      <c r="GM183" s="320"/>
      <c r="GN183" s="320"/>
      <c r="GO183" s="662">
        <v>8179</v>
      </c>
      <c r="GP183" s="663" t="str">
        <f>VLOOKUP(GS183,'BD Comarcal'!$A$6:$AV$17,48,FALSE)</f>
        <v>40</v>
      </c>
      <c r="GQ183" s="564">
        <v>6</v>
      </c>
      <c r="GR183" s="256">
        <f t="shared" si="2"/>
        <v>0</v>
      </c>
      <c r="GS183" s="237" t="s">
        <v>89</v>
      </c>
    </row>
    <row r="184" spans="1:201" s="237" customFormat="1" ht="17.25" customHeight="1">
      <c r="A184" s="236" t="s">
        <v>1383</v>
      </c>
      <c r="C184" s="238"/>
      <c r="D184" s="238">
        <v>439</v>
      </c>
      <c r="E184" s="238">
        <v>69</v>
      </c>
      <c r="F184" s="239">
        <v>0.15717539863325741</v>
      </c>
      <c r="G184" s="238">
        <v>4</v>
      </c>
      <c r="H184" s="240">
        <v>0</v>
      </c>
      <c r="I184" s="239">
        <v>0</v>
      </c>
      <c r="J184" s="238">
        <v>0</v>
      </c>
      <c r="K184" s="238">
        <v>0</v>
      </c>
      <c r="L184" s="238" t="s">
        <v>678</v>
      </c>
      <c r="M184" s="241" t="s">
        <v>678</v>
      </c>
      <c r="N184" s="238" t="s">
        <v>678</v>
      </c>
      <c r="O184" s="239" t="s">
        <v>678</v>
      </c>
      <c r="P184" s="237" t="s">
        <v>678</v>
      </c>
      <c r="Q184" s="237" t="s">
        <v>678</v>
      </c>
      <c r="R184" s="239" t="s">
        <v>678</v>
      </c>
      <c r="S184" s="238" t="s">
        <v>678</v>
      </c>
      <c r="T184" s="436">
        <v>0</v>
      </c>
      <c r="U184" s="436">
        <v>0</v>
      </c>
      <c r="V184" s="436">
        <v>200</v>
      </c>
      <c r="W184" s="436">
        <v>200</v>
      </c>
      <c r="X184" s="238">
        <v>37648</v>
      </c>
      <c r="Y184" s="237">
        <v>0.13869999999999999</v>
      </c>
      <c r="Z184" s="238">
        <v>444152</v>
      </c>
      <c r="AA184" s="238">
        <v>11861</v>
      </c>
      <c r="AB184" s="238">
        <v>72.47</v>
      </c>
      <c r="AC184" s="238">
        <v>4924</v>
      </c>
      <c r="AD184" s="238">
        <v>35061349.299999997</v>
      </c>
      <c r="AE184" s="238">
        <v>6007095.1199999936</v>
      </c>
      <c r="AF184" s="238">
        <v>28629195.400000002</v>
      </c>
      <c r="AG184" s="238">
        <v>422380.52</v>
      </c>
      <c r="AH184" s="239">
        <v>1.4753489020512257E-2</v>
      </c>
      <c r="AI184" s="247">
        <v>321.13422500000001</v>
      </c>
      <c r="AJ184" s="242">
        <v>89.200778</v>
      </c>
      <c r="AK184" s="242">
        <v>20.319083826879268</v>
      </c>
      <c r="AL184" s="242" t="s">
        <v>678</v>
      </c>
      <c r="AM184" s="242" t="s">
        <v>678</v>
      </c>
      <c r="AN184" s="242">
        <v>30843.040000000001</v>
      </c>
      <c r="AO184" s="238">
        <v>889.58</v>
      </c>
      <c r="AP184" s="243">
        <v>3</v>
      </c>
      <c r="AQ184" s="238"/>
      <c r="AR184" s="238">
        <v>1025.9018546130683</v>
      </c>
      <c r="AS184" s="238">
        <v>1567.5119028960719</v>
      </c>
      <c r="AT184" s="238">
        <v>1789452</v>
      </c>
      <c r="AU184" s="238">
        <v>235.83503117205845</v>
      </c>
      <c r="AV184" s="237">
        <v>0</v>
      </c>
      <c r="AW184" s="237">
        <v>0</v>
      </c>
      <c r="AX184" s="237">
        <v>0</v>
      </c>
      <c r="AY184" s="244" t="s">
        <v>695</v>
      </c>
      <c r="AZ184" s="244" t="s">
        <v>682</v>
      </c>
      <c r="BA184" s="237">
        <v>2010</v>
      </c>
      <c r="BB184" s="245" t="s">
        <v>678</v>
      </c>
      <c r="BC184" s="215" t="s">
        <v>678</v>
      </c>
      <c r="BE184" s="237">
        <v>39</v>
      </c>
      <c r="BF184" s="237">
        <v>37</v>
      </c>
      <c r="BG184" s="246" t="s">
        <v>676</v>
      </c>
      <c r="BI184" s="239">
        <v>0.39052710717567457</v>
      </c>
      <c r="BJ184" s="239">
        <v>6.8958315930164563E-2</v>
      </c>
      <c r="BK184" s="239">
        <v>0.50008353521009108</v>
      </c>
      <c r="BL184" s="239">
        <v>4.0431041684069836E-2</v>
      </c>
      <c r="BM184" s="247">
        <v>1.8095814885974439</v>
      </c>
      <c r="BN184" s="248">
        <v>0</v>
      </c>
      <c r="BO184" s="248">
        <v>1</v>
      </c>
      <c r="BP184" s="237">
        <v>0</v>
      </c>
      <c r="BQ184" s="237">
        <v>0</v>
      </c>
      <c r="BR184" s="248">
        <v>1</v>
      </c>
      <c r="BS184" s="237">
        <v>13</v>
      </c>
      <c r="BT184" s="237" t="s">
        <v>947</v>
      </c>
      <c r="BU184" s="249">
        <v>4069</v>
      </c>
      <c r="BV184" s="249">
        <v>3942</v>
      </c>
      <c r="BW184" s="249">
        <v>18460</v>
      </c>
      <c r="BX184" s="249">
        <v>3412</v>
      </c>
      <c r="BY184" s="249">
        <v>10.928183917924478</v>
      </c>
      <c r="BZ184" s="249">
        <v>10.587097813826073</v>
      </c>
      <c r="CA184" s="249">
        <v>49.578342375248425</v>
      </c>
      <c r="CB184" s="249">
        <v>9.1636676156201329</v>
      </c>
      <c r="CC184" s="250">
        <v>103.53708975667401</v>
      </c>
      <c r="CD184" s="242">
        <v>-3337</v>
      </c>
      <c r="CE184" s="252">
        <v>91.037761186012787</v>
      </c>
      <c r="CF184" s="238">
        <v>15049</v>
      </c>
      <c r="CG184" s="238">
        <v>3713.9</v>
      </c>
      <c r="CH184" s="238">
        <v>9.9744856851264974</v>
      </c>
      <c r="CI184" s="216" t="s">
        <v>679</v>
      </c>
      <c r="CJ184" s="237">
        <v>0</v>
      </c>
      <c r="CK184" s="253">
        <v>270.75</v>
      </c>
      <c r="CL184" s="253">
        <v>92.372900000000001</v>
      </c>
      <c r="CM184" s="254">
        <v>0.21041662870159453</v>
      </c>
      <c r="CN184" s="237" t="s">
        <v>89</v>
      </c>
      <c r="CO184" s="242"/>
      <c r="CP184" s="255">
        <v>0</v>
      </c>
      <c r="CV184" s="237">
        <v>6</v>
      </c>
      <c r="CW184" s="194">
        <v>0.91600000000000004</v>
      </c>
      <c r="CX184" s="194">
        <v>0.63500000000000001</v>
      </c>
      <c r="CY184" s="194" t="s">
        <v>680</v>
      </c>
      <c r="DB184" s="216" t="s">
        <v>681</v>
      </c>
      <c r="DC184" s="256"/>
      <c r="DD184" s="256">
        <v>0.7</v>
      </c>
      <c r="DE184" s="256">
        <v>-6.5</v>
      </c>
      <c r="DF184" s="256">
        <v>0.7</v>
      </c>
      <c r="DG184" s="256">
        <v>-2.2000000000000002</v>
      </c>
      <c r="DL184" s="237" t="s">
        <v>682</v>
      </c>
      <c r="DP184" s="258" t="s">
        <v>682</v>
      </c>
      <c r="DQ184" s="258"/>
      <c r="DR184" s="258"/>
      <c r="DS184" s="258"/>
      <c r="DT184" s="258"/>
      <c r="DU184" s="237">
        <v>0</v>
      </c>
      <c r="DX184" s="247"/>
      <c r="DY184" s="247">
        <v>0</v>
      </c>
      <c r="EA184" s="237">
        <v>0</v>
      </c>
      <c r="ED184" s="237" t="s">
        <v>678</v>
      </c>
      <c r="EE184" s="208">
        <v>4</v>
      </c>
      <c r="EF184" s="237" t="s">
        <v>678</v>
      </c>
      <c r="EG184" s="216" t="s">
        <v>691</v>
      </c>
      <c r="EH184" s="246" t="s">
        <v>690</v>
      </c>
      <c r="EI184" s="216"/>
      <c r="EJ184" s="216" t="s">
        <v>806</v>
      </c>
      <c r="EK184" s="222" t="s">
        <v>682</v>
      </c>
      <c r="EL184" s="259">
        <v>1976</v>
      </c>
      <c r="EM184" s="260">
        <v>8400</v>
      </c>
      <c r="EN184" s="260">
        <v>1397575</v>
      </c>
      <c r="EO184" s="260">
        <v>385631</v>
      </c>
      <c r="ER184" s="237" t="s">
        <v>705</v>
      </c>
      <c r="ES184" s="237">
        <v>37234</v>
      </c>
      <c r="ET184" s="237">
        <v>45.908452380952383</v>
      </c>
      <c r="EU184" s="661">
        <v>3</v>
      </c>
      <c r="EV184" s="661">
        <v>8</v>
      </c>
      <c r="EW184" s="661" t="s">
        <v>678</v>
      </c>
      <c r="EX184" s="661">
        <v>9</v>
      </c>
      <c r="EY184" s="660">
        <v>0.61674259681093391</v>
      </c>
      <c r="EZ184" s="256">
        <v>137.52169898430287</v>
      </c>
      <c r="FA184" s="247">
        <v>8.695652173913043</v>
      </c>
      <c r="FB184" s="208" t="s">
        <v>678</v>
      </c>
      <c r="FC184" s="208" t="s">
        <v>678</v>
      </c>
      <c r="FD184" s="208">
        <v>7</v>
      </c>
      <c r="FE184" s="239">
        <v>5.7971014492753624E-2</v>
      </c>
      <c r="FF184" s="208"/>
      <c r="FG184" s="241">
        <v>0</v>
      </c>
      <c r="FH184" s="209">
        <v>0</v>
      </c>
      <c r="FI184" s="237" t="s">
        <v>678</v>
      </c>
      <c r="FJ184" s="208" t="s">
        <v>678</v>
      </c>
      <c r="FK184" s="208" t="s">
        <v>678</v>
      </c>
      <c r="FL184" s="217" t="s">
        <v>678</v>
      </c>
      <c r="FM184" s="208" t="s">
        <v>678</v>
      </c>
      <c r="FN184" s="208" t="s">
        <v>678</v>
      </c>
      <c r="FP184" s="247" t="s">
        <v>693</v>
      </c>
      <c r="FU184" s="208" t="s">
        <v>678</v>
      </c>
      <c r="FV184" s="208" t="s">
        <v>678</v>
      </c>
      <c r="FW184" s="208" t="s">
        <v>678</v>
      </c>
      <c r="FX184" s="208" t="s">
        <v>678</v>
      </c>
      <c r="FY184" s="208" t="s">
        <v>678</v>
      </c>
      <c r="FZ184" s="208" t="s">
        <v>678</v>
      </c>
      <c r="GA184" s="208" t="s">
        <v>678</v>
      </c>
      <c r="GB184" s="208" t="s">
        <v>678</v>
      </c>
      <c r="GC184" s="208" t="s">
        <v>678</v>
      </c>
      <c r="GD184" s="208" t="s">
        <v>678</v>
      </c>
      <c r="GE184" s="237" t="s">
        <v>678</v>
      </c>
      <c r="GF184" s="237" t="s">
        <v>678</v>
      </c>
      <c r="GG184" s="237" t="s">
        <v>678</v>
      </c>
      <c r="GH184" s="237" t="s">
        <v>678</v>
      </c>
      <c r="GJ184" s="947">
        <v>596</v>
      </c>
      <c r="GK184" s="320">
        <v>0</v>
      </c>
      <c r="GL184" s="320">
        <v>0.22700000000000001</v>
      </c>
      <c r="GM184" s="320">
        <v>6.6000000000000003E-2</v>
      </c>
      <c r="GN184" s="320">
        <v>0.70799999999999996</v>
      </c>
      <c r="GO184" s="662">
        <v>8180</v>
      </c>
      <c r="GP184" s="663" t="str">
        <f>VLOOKUP(GS184,'BD Comarcal'!$A$6:$AV$17,48,FALSE)</f>
        <v>40</v>
      </c>
      <c r="GQ184" s="564">
        <v>191</v>
      </c>
      <c r="GR184" s="256">
        <f t="shared" si="2"/>
        <v>0</v>
      </c>
      <c r="GS184" s="237" t="s">
        <v>89</v>
      </c>
    </row>
    <row r="185" spans="1:201" s="237" customFormat="1" ht="17.25" customHeight="1">
      <c r="A185" s="236" t="s">
        <v>1384</v>
      </c>
      <c r="C185" s="238"/>
      <c r="D185" s="238">
        <v>3635</v>
      </c>
      <c r="E185" s="238">
        <v>1747</v>
      </c>
      <c r="F185" s="239">
        <v>0.48060522696011004</v>
      </c>
      <c r="G185" s="238">
        <v>1574</v>
      </c>
      <c r="H185" s="240">
        <v>358.0051380332535</v>
      </c>
      <c r="I185" s="239">
        <v>0.20492566573168489</v>
      </c>
      <c r="J185" s="238">
        <v>867</v>
      </c>
      <c r="K185" s="238">
        <v>161</v>
      </c>
      <c r="L185" s="238">
        <v>272</v>
      </c>
      <c r="M185" s="241">
        <v>7.4828060522696013E-2</v>
      </c>
      <c r="N185" s="238">
        <v>0</v>
      </c>
      <c r="O185" s="239">
        <v>0</v>
      </c>
      <c r="P185" s="237">
        <v>27</v>
      </c>
      <c r="Q185" s="237">
        <v>1</v>
      </c>
      <c r="R185" s="239">
        <v>3.7037037037037035E-2</v>
      </c>
      <c r="S185" s="238">
        <v>2024</v>
      </c>
      <c r="T185" s="436">
        <v>0</v>
      </c>
      <c r="U185" s="436">
        <v>0</v>
      </c>
      <c r="V185" s="436">
        <v>0</v>
      </c>
      <c r="W185" s="436">
        <v>0</v>
      </c>
      <c r="X185" s="238">
        <v>10599</v>
      </c>
      <c r="Y185" s="237">
        <v>0.1371</v>
      </c>
      <c r="Z185" s="238">
        <v>145163</v>
      </c>
      <c r="AA185" s="238">
        <v>13820</v>
      </c>
      <c r="AB185" s="238">
        <v>84.44</v>
      </c>
      <c r="AC185" s="238">
        <v>6178</v>
      </c>
      <c r="AD185" s="238">
        <v>14356024.880000001</v>
      </c>
      <c r="AE185" s="238">
        <v>2140642.8900000006</v>
      </c>
      <c r="AF185" s="238">
        <v>9995172.0099999998</v>
      </c>
      <c r="AG185" s="238">
        <v>1231061.8600000001</v>
      </c>
      <c r="AH185" s="239">
        <v>0.1231656502527764</v>
      </c>
      <c r="AI185" s="247">
        <v>262.15528</v>
      </c>
      <c r="AJ185" s="242">
        <v>43.898135000000003</v>
      </c>
      <c r="AK185" s="242">
        <v>1.2076515818431912</v>
      </c>
      <c r="AL185" s="242">
        <v>78.095259999999996</v>
      </c>
      <c r="AM185" s="242">
        <v>2.148425309491059</v>
      </c>
      <c r="AN185" s="242">
        <v>72370.25</v>
      </c>
      <c r="AO185" s="238">
        <v>16116.01</v>
      </c>
      <c r="AP185" s="243">
        <v>57</v>
      </c>
      <c r="AQ185" s="238">
        <v>1</v>
      </c>
      <c r="AR185" s="238">
        <v>1579.274683099952</v>
      </c>
      <c r="AS185" s="238">
        <v>2405.7717750593329</v>
      </c>
      <c r="AT185" s="238">
        <v>1051971.6666666667</v>
      </c>
      <c r="AU185" s="238">
        <v>306.00734331982699</v>
      </c>
      <c r="AV185" s="237">
        <v>1</v>
      </c>
      <c r="AW185" s="237">
        <v>0</v>
      </c>
      <c r="AX185" s="237">
        <v>1</v>
      </c>
      <c r="AY185" s="244" t="s">
        <v>717</v>
      </c>
      <c r="AZ185" s="244" t="s">
        <v>682</v>
      </c>
      <c r="BA185" s="237">
        <v>0</v>
      </c>
      <c r="BB185" s="245" t="s">
        <v>743</v>
      </c>
      <c r="BC185" s="215" t="s">
        <v>744</v>
      </c>
      <c r="BE185" s="237">
        <v>2</v>
      </c>
      <c r="BF185" s="237">
        <v>39</v>
      </c>
      <c r="BG185" s="246" t="s">
        <v>698</v>
      </c>
      <c r="BI185" s="239">
        <v>0.3032451165721487</v>
      </c>
      <c r="BJ185" s="239">
        <v>0.10207939508506617</v>
      </c>
      <c r="BK185" s="239">
        <v>0.56679269061121618</v>
      </c>
      <c r="BL185" s="239">
        <v>2.7882797731568997E-2</v>
      </c>
      <c r="BM185" s="247">
        <v>1.6806868304977947</v>
      </c>
      <c r="BN185" s="248">
        <v>0</v>
      </c>
      <c r="BO185" s="248">
        <v>1</v>
      </c>
      <c r="BP185" s="237">
        <v>0</v>
      </c>
      <c r="BQ185" s="237">
        <v>0</v>
      </c>
      <c r="BR185" s="248">
        <v>1</v>
      </c>
      <c r="BS185" s="237">
        <v>12</v>
      </c>
      <c r="BT185" s="237" t="s">
        <v>729</v>
      </c>
      <c r="BU185" s="249" t="s">
        <v>678</v>
      </c>
      <c r="BV185" s="249">
        <v>911</v>
      </c>
      <c r="BW185" s="249">
        <v>4786</v>
      </c>
      <c r="BX185" s="249" t="s">
        <v>678</v>
      </c>
      <c r="BY185" s="249" t="s">
        <v>678</v>
      </c>
      <c r="BZ185" s="249">
        <v>8.7629857637552906</v>
      </c>
      <c r="CA185" s="249">
        <v>46.036937283570602</v>
      </c>
      <c r="CB185" s="249" t="s">
        <v>678</v>
      </c>
      <c r="CC185" s="250" t="s">
        <v>678</v>
      </c>
      <c r="CD185" s="242">
        <v>29</v>
      </c>
      <c r="CE185" s="252">
        <v>100.27895344363216</v>
      </c>
      <c r="CF185" s="238">
        <v>4200</v>
      </c>
      <c r="CG185" s="238">
        <v>734</v>
      </c>
      <c r="CH185" s="238">
        <v>7.0604078491727584</v>
      </c>
      <c r="CI185" s="216" t="s">
        <v>679</v>
      </c>
      <c r="CJ185" s="237">
        <v>0</v>
      </c>
      <c r="CK185" s="253">
        <v>221.07</v>
      </c>
      <c r="CL185" s="253">
        <v>448.66160000000002</v>
      </c>
      <c r="CM185" s="254">
        <v>0.12342822558459422</v>
      </c>
      <c r="CN185" s="237" t="s">
        <v>24</v>
      </c>
      <c r="CO185" s="242">
        <v>711.31</v>
      </c>
      <c r="CP185" s="255">
        <v>0.19568363136176065</v>
      </c>
      <c r="CV185" s="237">
        <v>12</v>
      </c>
      <c r="CW185" s="194">
        <v>0.33700000000000002</v>
      </c>
      <c r="CX185" s="194">
        <v>0.63500000000000001</v>
      </c>
      <c r="CY185" s="194" t="s">
        <v>680</v>
      </c>
      <c r="DB185" s="216" t="s">
        <v>710</v>
      </c>
      <c r="DC185" s="195" t="s">
        <v>711</v>
      </c>
      <c r="DD185" s="256">
        <v>0.8</v>
      </c>
      <c r="DE185" s="256">
        <v>-10</v>
      </c>
      <c r="DF185" s="256">
        <v>0.5</v>
      </c>
      <c r="DG185" s="256">
        <v>-2.2999999999999998</v>
      </c>
      <c r="DH185" s="257">
        <v>1</v>
      </c>
      <c r="DI185" s="257">
        <v>1.3</v>
      </c>
      <c r="DJ185" s="257">
        <v>0</v>
      </c>
      <c r="DK185" s="257">
        <v>1.3</v>
      </c>
      <c r="DL185" s="237" t="s">
        <v>529</v>
      </c>
      <c r="DN185" s="237" t="s">
        <v>730</v>
      </c>
      <c r="DO185" s="237">
        <v>1</v>
      </c>
      <c r="DP185" s="258" t="s">
        <v>682</v>
      </c>
      <c r="DQ185" s="258"/>
      <c r="DR185" s="258"/>
      <c r="DS185" s="258"/>
      <c r="DT185" s="258"/>
      <c r="DU185" s="237">
        <v>2</v>
      </c>
      <c r="DV185" s="237" t="s">
        <v>1385</v>
      </c>
      <c r="DW185" s="237" t="s">
        <v>1059</v>
      </c>
      <c r="DX185" s="247">
        <v>7.34</v>
      </c>
      <c r="DY185" s="247">
        <v>0.20192572214580468</v>
      </c>
      <c r="EA185" s="237">
        <v>0</v>
      </c>
      <c r="ED185" s="237" t="s">
        <v>1153</v>
      </c>
      <c r="EE185" s="208">
        <v>1</v>
      </c>
      <c r="EF185" s="237" t="s">
        <v>688</v>
      </c>
      <c r="EG185" s="216" t="s">
        <v>691</v>
      </c>
      <c r="EH185" s="246" t="s">
        <v>690</v>
      </c>
      <c r="EI185" s="216" t="s">
        <v>689</v>
      </c>
      <c r="EJ185" s="216" t="s">
        <v>529</v>
      </c>
      <c r="EK185" s="222" t="s">
        <v>682</v>
      </c>
      <c r="EL185" s="259">
        <v>1991</v>
      </c>
      <c r="EM185" s="260">
        <v>8232</v>
      </c>
      <c r="EN185" s="260">
        <v>511827</v>
      </c>
      <c r="EO185" s="260">
        <v>609214</v>
      </c>
      <c r="ER185" s="237" t="s">
        <v>705</v>
      </c>
      <c r="ES185" s="237">
        <v>10396</v>
      </c>
      <c r="ET185" s="237">
        <v>74.005587949465507</v>
      </c>
      <c r="EU185" s="661">
        <v>1</v>
      </c>
      <c r="EV185" s="661">
        <v>2</v>
      </c>
      <c r="EW185" s="661">
        <v>4</v>
      </c>
      <c r="EX185" s="661">
        <v>4</v>
      </c>
      <c r="EY185" s="660">
        <v>6.0817056396148553E-2</v>
      </c>
      <c r="EZ185" s="256">
        <v>47.02582892296558</v>
      </c>
      <c r="FA185" s="247">
        <v>0.68689181453921011</v>
      </c>
      <c r="FB185" s="208">
        <v>4</v>
      </c>
      <c r="FC185" s="208">
        <v>4</v>
      </c>
      <c r="FD185" s="208">
        <v>3</v>
      </c>
      <c r="FE185" s="239">
        <v>0.90097309673726389</v>
      </c>
      <c r="FF185" s="208"/>
      <c r="FG185" s="241">
        <v>7.4413279908414423E-4</v>
      </c>
      <c r="FH185" s="209">
        <v>0</v>
      </c>
      <c r="FI185" s="237" t="s">
        <v>678</v>
      </c>
      <c r="FJ185" s="208">
        <v>44.5</v>
      </c>
      <c r="FK185" s="208">
        <v>28.75</v>
      </c>
      <c r="FL185" s="217">
        <v>70.7</v>
      </c>
      <c r="FM185" s="208">
        <v>2.99</v>
      </c>
      <c r="FN185" s="208" t="s">
        <v>1386</v>
      </c>
      <c r="FP185" s="247" t="s">
        <v>693</v>
      </c>
      <c r="FU185" s="208">
        <v>39</v>
      </c>
      <c r="FV185" s="208">
        <v>50.9</v>
      </c>
      <c r="FW185" s="237">
        <v>90.15</v>
      </c>
      <c r="FX185" s="237">
        <v>82.8</v>
      </c>
      <c r="FY185" s="208">
        <v>33.14</v>
      </c>
      <c r="FZ185" s="208">
        <v>49.8</v>
      </c>
      <c r="GA185" s="208">
        <v>43.09</v>
      </c>
      <c r="GB185" s="208">
        <v>41.3</v>
      </c>
      <c r="GC185" s="208">
        <v>0.02</v>
      </c>
      <c r="GD185" s="208">
        <v>17.2</v>
      </c>
      <c r="GE185" s="237">
        <v>32.619999999999997</v>
      </c>
      <c r="GF185" s="237">
        <v>39.1</v>
      </c>
      <c r="GG185" s="237">
        <v>4.99</v>
      </c>
      <c r="GH185" s="237">
        <v>43.6</v>
      </c>
      <c r="GJ185" s="947">
        <v>398</v>
      </c>
      <c r="GK185" s="320">
        <v>2.1999999999999999E-2</v>
      </c>
      <c r="GL185" s="320">
        <v>0.191</v>
      </c>
      <c r="GM185" s="320">
        <v>4.2999999999999997E-2</v>
      </c>
      <c r="GN185" s="320">
        <v>0.74399999999999999</v>
      </c>
      <c r="GO185" s="662">
        <v>8181</v>
      </c>
      <c r="GP185" s="663" t="str">
        <f>VLOOKUP(GS185,'BD Comarcal'!$A$6:$AV$17,48,FALSE)</f>
        <v>41</v>
      </c>
      <c r="GQ185" s="564">
        <v>64</v>
      </c>
      <c r="GR185" s="256">
        <f t="shared" si="2"/>
        <v>1</v>
      </c>
      <c r="GS185" s="237" t="s">
        <v>24</v>
      </c>
    </row>
    <row r="186" spans="1:201" s="237" customFormat="1" ht="17.25" customHeight="1">
      <c r="A186" s="236" t="s">
        <v>1387</v>
      </c>
      <c r="C186" s="238"/>
      <c r="D186" s="238">
        <v>2741</v>
      </c>
      <c r="E186" s="238">
        <v>2417</v>
      </c>
      <c r="F186" s="239">
        <v>0.88179496534111634</v>
      </c>
      <c r="G186" s="238">
        <v>673</v>
      </c>
      <c r="H186" s="240">
        <v>1099.2080945461837</v>
      </c>
      <c r="I186" s="239">
        <v>0.45478200022597587</v>
      </c>
      <c r="J186" s="238">
        <v>49</v>
      </c>
      <c r="K186" s="238">
        <v>11</v>
      </c>
      <c r="L186" s="238">
        <v>3</v>
      </c>
      <c r="M186" s="241">
        <v>1.0944910616563297E-3</v>
      </c>
      <c r="N186" s="238">
        <v>0</v>
      </c>
      <c r="O186" s="239">
        <v>0</v>
      </c>
      <c r="P186" s="237">
        <v>3</v>
      </c>
      <c r="Q186" s="237">
        <v>0</v>
      </c>
      <c r="R186" s="239">
        <v>0</v>
      </c>
      <c r="S186" s="238">
        <v>31</v>
      </c>
      <c r="T186" s="436">
        <v>0</v>
      </c>
      <c r="U186" s="436">
        <v>0</v>
      </c>
      <c r="V186" s="436">
        <v>0</v>
      </c>
      <c r="W186" s="436">
        <v>0</v>
      </c>
      <c r="X186" s="238">
        <v>3724</v>
      </c>
      <c r="Y186" s="237">
        <v>0.1648</v>
      </c>
      <c r="Z186" s="238">
        <v>56971</v>
      </c>
      <c r="AA186" s="238">
        <v>15336</v>
      </c>
      <c r="AB186" s="238">
        <v>93.7</v>
      </c>
      <c r="AC186" s="238">
        <v>904</v>
      </c>
      <c r="AD186" s="238">
        <v>3864357.2399999998</v>
      </c>
      <c r="AE186" s="238">
        <v>361705.83999999985</v>
      </c>
      <c r="AF186" s="238">
        <v>3181933.74</v>
      </c>
      <c r="AG186" s="238">
        <v>263549.01</v>
      </c>
      <c r="AH186" s="239">
        <v>8.2826680734087194E-2</v>
      </c>
      <c r="AI186" s="247">
        <v>188.048304</v>
      </c>
      <c r="AJ186" s="242">
        <v>60.483317999999997</v>
      </c>
      <c r="AK186" s="242">
        <v>2.2066150310105801</v>
      </c>
      <c r="AL186" s="242">
        <v>89.328535000000002</v>
      </c>
      <c r="AM186" s="242">
        <v>3.258976103611821</v>
      </c>
      <c r="AN186" s="242">
        <v>12857.71</v>
      </c>
      <c r="AO186" s="238">
        <v>0</v>
      </c>
      <c r="AP186" s="243">
        <v>0</v>
      </c>
      <c r="AQ186" s="238">
        <v>1</v>
      </c>
      <c r="AR186" s="238">
        <v>1177.9524179599875</v>
      </c>
      <c r="AS186" s="238">
        <v>2991.9513171310159</v>
      </c>
      <c r="AT186" s="238">
        <v>202339</v>
      </c>
      <c r="AU186" s="238">
        <v>281.15837824199696</v>
      </c>
      <c r="AV186" s="237">
        <v>1</v>
      </c>
      <c r="AW186" s="237">
        <v>1</v>
      </c>
      <c r="AX186" s="237">
        <v>1</v>
      </c>
      <c r="AY186" s="244" t="s">
        <v>673</v>
      </c>
      <c r="AZ186" s="244" t="s">
        <v>673</v>
      </c>
      <c r="BA186" s="237">
        <v>0</v>
      </c>
      <c r="BB186" s="245" t="s">
        <v>1264</v>
      </c>
      <c r="BC186" s="215" t="s">
        <v>1265</v>
      </c>
      <c r="BE186" s="237">
        <v>5</v>
      </c>
      <c r="BF186" s="237">
        <v>138</v>
      </c>
      <c r="BG186" s="246" t="s">
        <v>698</v>
      </c>
      <c r="BI186" s="239">
        <v>0.31932773109243695</v>
      </c>
      <c r="BJ186" s="239">
        <v>0.1815126050420168</v>
      </c>
      <c r="BK186" s="239">
        <v>0.45966386554621846</v>
      </c>
      <c r="BL186" s="239">
        <v>3.949579831932773E-2</v>
      </c>
      <c r="BM186" s="247">
        <v>1.7806722689075629</v>
      </c>
      <c r="BN186" s="248">
        <v>0</v>
      </c>
      <c r="BO186" s="248">
        <v>0</v>
      </c>
      <c r="BP186" s="237">
        <v>0</v>
      </c>
      <c r="BQ186" s="237">
        <v>0</v>
      </c>
      <c r="BR186" s="248">
        <v>0</v>
      </c>
      <c r="BS186" s="237">
        <v>14.3</v>
      </c>
      <c r="BT186" s="237" t="s">
        <v>699</v>
      </c>
      <c r="BU186" s="249" t="s">
        <v>678</v>
      </c>
      <c r="BV186" s="249">
        <v>453</v>
      </c>
      <c r="BW186" s="249">
        <v>1988</v>
      </c>
      <c r="BX186" s="249" t="s">
        <v>678</v>
      </c>
      <c r="BY186" s="249" t="s">
        <v>678</v>
      </c>
      <c r="BZ186" s="249">
        <v>12.019103210400637</v>
      </c>
      <c r="CA186" s="249">
        <v>52.746086495091539</v>
      </c>
      <c r="CB186" s="249" t="s">
        <v>678</v>
      </c>
      <c r="CC186" s="250" t="s">
        <v>678</v>
      </c>
      <c r="CD186" s="242" t="s">
        <v>678</v>
      </c>
      <c r="CE186" s="252" t="s">
        <v>678</v>
      </c>
      <c r="CF186" s="238">
        <v>1899</v>
      </c>
      <c r="CG186" s="238">
        <v>356</v>
      </c>
      <c r="CH186" s="238">
        <v>9.4454762536481827</v>
      </c>
      <c r="CI186" s="216" t="s">
        <v>679</v>
      </c>
      <c r="CJ186" s="237">
        <v>0</v>
      </c>
      <c r="CK186" s="253">
        <v>108.06</v>
      </c>
      <c r="CL186" s="253">
        <v>135.17599999999999</v>
      </c>
      <c r="CM186" s="254">
        <v>4.9316307916818673E-2</v>
      </c>
      <c r="CN186" s="237" t="s">
        <v>82</v>
      </c>
      <c r="CO186" s="242">
        <v>1138.1199999999999</v>
      </c>
      <c r="CP186" s="255">
        <v>0.41522072236410068</v>
      </c>
      <c r="CV186" s="237">
        <v>6</v>
      </c>
      <c r="CW186" s="261" t="s">
        <v>678</v>
      </c>
      <c r="CX186" s="261" t="s">
        <v>678</v>
      </c>
      <c r="CY186" s="261" t="s">
        <v>678</v>
      </c>
      <c r="CZ186" s="237" t="s">
        <v>529</v>
      </c>
      <c r="DA186" s="237" t="s">
        <v>1388</v>
      </c>
      <c r="DB186" s="216"/>
      <c r="DC186" s="195" t="s">
        <v>866</v>
      </c>
      <c r="DD186" s="256">
        <v>0.8</v>
      </c>
      <c r="DE186" s="256">
        <v>-10</v>
      </c>
      <c r="DF186" s="256">
        <v>0.5</v>
      </c>
      <c r="DG186" s="256">
        <v>-2.2999999999999998</v>
      </c>
      <c r="DH186" s="257">
        <v>2</v>
      </c>
      <c r="DI186" s="257">
        <v>7.3</v>
      </c>
      <c r="DJ186" s="257">
        <v>1</v>
      </c>
      <c r="DK186" s="257">
        <v>8.3000000000000007</v>
      </c>
      <c r="DL186" s="237" t="s">
        <v>682</v>
      </c>
      <c r="DO186" s="237">
        <v>1</v>
      </c>
      <c r="DP186" s="258" t="s">
        <v>682</v>
      </c>
      <c r="DQ186" s="258"/>
      <c r="DR186" s="258"/>
      <c r="DS186" s="258"/>
      <c r="DT186" s="258"/>
      <c r="DU186" s="237">
        <v>0</v>
      </c>
      <c r="DX186" s="247"/>
      <c r="DY186" s="247">
        <v>0</v>
      </c>
      <c r="EA186" s="237">
        <v>0</v>
      </c>
      <c r="ED186" s="237" t="s">
        <v>701</v>
      </c>
      <c r="EE186" s="208">
        <v>1</v>
      </c>
      <c r="EF186" s="237" t="s">
        <v>702</v>
      </c>
      <c r="EG186" s="216" t="s">
        <v>715</v>
      </c>
      <c r="EH186" s="246" t="s">
        <v>690</v>
      </c>
      <c r="EI186" s="216" t="s">
        <v>689</v>
      </c>
      <c r="EJ186" s="216" t="s">
        <v>529</v>
      </c>
      <c r="EK186" s="222" t="s">
        <v>682</v>
      </c>
      <c r="EL186" s="259">
        <v>1998</v>
      </c>
      <c r="EM186" s="260">
        <v>2630</v>
      </c>
      <c r="EN186" s="260">
        <v>167396</v>
      </c>
      <c r="EO186" s="260">
        <v>42489</v>
      </c>
      <c r="ER186" s="237" t="s">
        <v>692</v>
      </c>
      <c r="ES186" s="237" t="e">
        <v>#DIV/0!</v>
      </c>
      <c r="ET186" s="237">
        <v>16.155513307984791</v>
      </c>
      <c r="EU186" s="661">
        <v>1</v>
      </c>
      <c r="EV186" s="661">
        <v>2</v>
      </c>
      <c r="EW186" s="661">
        <v>2</v>
      </c>
      <c r="EX186" s="661">
        <v>6</v>
      </c>
      <c r="EY186" s="660">
        <v>3.9423568040861001E-2</v>
      </c>
      <c r="EZ186" s="256">
        <v>34.878771053118641</v>
      </c>
      <c r="FA186" s="247">
        <v>0.24824162184526272</v>
      </c>
      <c r="FB186" s="208">
        <v>3</v>
      </c>
      <c r="FC186" s="208">
        <v>5</v>
      </c>
      <c r="FD186" s="208">
        <v>5</v>
      </c>
      <c r="FE186" s="239">
        <v>0.27844435250310301</v>
      </c>
      <c r="FF186" s="208"/>
      <c r="FG186" s="241">
        <v>3.4340091021928011E-3</v>
      </c>
      <c r="FH186" s="209">
        <v>0</v>
      </c>
      <c r="FI186" s="237" t="s">
        <v>678</v>
      </c>
      <c r="FJ186" s="208">
        <v>56.3</v>
      </c>
      <c r="FK186" s="208">
        <v>32.75</v>
      </c>
      <c r="FL186" s="217">
        <v>75.3</v>
      </c>
      <c r="FM186" s="208">
        <v>1.17</v>
      </c>
      <c r="FN186" s="208" t="s">
        <v>1389</v>
      </c>
      <c r="FP186" s="247" t="s">
        <v>693</v>
      </c>
      <c r="FU186" s="208">
        <v>42</v>
      </c>
      <c r="FV186" s="208">
        <v>58</v>
      </c>
      <c r="FW186" s="237">
        <v>46.3</v>
      </c>
      <c r="FX186" s="237">
        <v>24.3</v>
      </c>
      <c r="FY186" s="208">
        <v>48.61</v>
      </c>
      <c r="FZ186" s="208">
        <v>60.6</v>
      </c>
      <c r="GA186" s="208">
        <v>40.32</v>
      </c>
      <c r="GB186" s="208">
        <v>37.200000000000003</v>
      </c>
      <c r="GC186" s="208">
        <v>0.3</v>
      </c>
      <c r="GD186" s="208">
        <v>48.2</v>
      </c>
      <c r="GE186" s="237">
        <v>32.35</v>
      </c>
      <c r="GF186" s="237">
        <v>38.700000000000003</v>
      </c>
      <c r="GG186" s="237">
        <v>1.6</v>
      </c>
      <c r="GH186" s="237">
        <v>19.3</v>
      </c>
      <c r="GJ186" s="947"/>
      <c r="GK186" s="320"/>
      <c r="GL186" s="320"/>
      <c r="GM186" s="320"/>
      <c r="GN186" s="320"/>
      <c r="GO186" s="662">
        <v>8182</v>
      </c>
      <c r="GP186" s="663" t="str">
        <f>VLOOKUP(GS186,'BD Comarcal'!$A$6:$AV$17,48,FALSE)</f>
        <v>07</v>
      </c>
      <c r="GQ186" s="256">
        <v>26</v>
      </c>
      <c r="GR186" s="256">
        <f t="shared" si="2"/>
        <v>1</v>
      </c>
      <c r="GS186" s="237" t="s">
        <v>82</v>
      </c>
    </row>
    <row r="187" spans="1:201" s="237" customFormat="1" ht="17.25" customHeight="1">
      <c r="A187" s="236" t="s">
        <v>1390</v>
      </c>
      <c r="C187" s="238"/>
      <c r="D187" s="238">
        <v>218</v>
      </c>
      <c r="E187" s="238">
        <v>15</v>
      </c>
      <c r="F187" s="239">
        <v>6.8807339449541288E-2</v>
      </c>
      <c r="G187" s="238">
        <v>7</v>
      </c>
      <c r="H187" s="240">
        <v>0.22233113921620506</v>
      </c>
      <c r="I187" s="239">
        <v>1.4822075947747005E-2</v>
      </c>
      <c r="J187" s="238">
        <v>67</v>
      </c>
      <c r="K187" s="238">
        <v>0</v>
      </c>
      <c r="L187" s="238">
        <v>1</v>
      </c>
      <c r="M187" s="241">
        <v>4.5871559633027525E-3</v>
      </c>
      <c r="N187" s="238">
        <v>0</v>
      </c>
      <c r="O187" s="239">
        <v>0</v>
      </c>
      <c r="P187" s="237">
        <v>5</v>
      </c>
      <c r="Q187" s="237">
        <v>0</v>
      </c>
      <c r="R187" s="239">
        <v>0</v>
      </c>
      <c r="S187" s="238">
        <v>469</v>
      </c>
      <c r="T187" s="436">
        <v>0</v>
      </c>
      <c r="U187" s="436">
        <v>0</v>
      </c>
      <c r="V187" s="436">
        <v>34</v>
      </c>
      <c r="W187" s="436">
        <v>34</v>
      </c>
      <c r="X187" s="238">
        <v>6116</v>
      </c>
      <c r="Y187" s="237">
        <v>0.18010000000000001</v>
      </c>
      <c r="Z187" s="238">
        <v>91624</v>
      </c>
      <c r="AA187" s="238">
        <v>14966</v>
      </c>
      <c r="AB187" s="238">
        <v>91.45</v>
      </c>
      <c r="AC187" s="238">
        <v>1573</v>
      </c>
      <c r="AD187" s="238">
        <v>5457572.8300000001</v>
      </c>
      <c r="AE187" s="238">
        <v>976065.96000000089</v>
      </c>
      <c r="AF187" s="238">
        <v>3853786.4699999997</v>
      </c>
      <c r="AG187" s="238">
        <v>63926.65</v>
      </c>
      <c r="AH187" s="239">
        <v>1.658801038865031E-2</v>
      </c>
      <c r="AI187" s="247">
        <v>102.815105</v>
      </c>
      <c r="AJ187" s="242">
        <v>19.075061000000002</v>
      </c>
      <c r="AK187" s="242">
        <v>8.7500279816513764</v>
      </c>
      <c r="AL187" s="242" t="s">
        <v>678</v>
      </c>
      <c r="AM187" s="242" t="s">
        <v>678</v>
      </c>
      <c r="AN187" s="242">
        <v>9576.75</v>
      </c>
      <c r="AO187" s="238">
        <v>0</v>
      </c>
      <c r="AP187" s="243">
        <v>0</v>
      </c>
      <c r="AQ187" s="238">
        <v>1</v>
      </c>
      <c r="AR187" s="238">
        <v>1158.0882694829322</v>
      </c>
      <c r="AS187" s="238">
        <v>2573.6216124118923</v>
      </c>
      <c r="AT187" s="238">
        <v>247824.92307692309</v>
      </c>
      <c r="AU187" s="238">
        <v>217.00777686247324</v>
      </c>
      <c r="AV187" s="237">
        <v>0</v>
      </c>
      <c r="AW187" s="237">
        <v>0</v>
      </c>
      <c r="AX187" s="237">
        <v>0</v>
      </c>
      <c r="AY187" s="244" t="s">
        <v>682</v>
      </c>
      <c r="AZ187" s="244" t="s">
        <v>717</v>
      </c>
      <c r="BA187" s="237">
        <v>2013</v>
      </c>
      <c r="BB187" s="245" t="s">
        <v>887</v>
      </c>
      <c r="BC187" s="215" t="s">
        <v>888</v>
      </c>
      <c r="BE187" s="237">
        <v>0</v>
      </c>
      <c r="BF187" s="237">
        <v>83</v>
      </c>
      <c r="BG187" s="246" t="s">
        <v>698</v>
      </c>
      <c r="BI187" s="239">
        <v>0.39265909691048323</v>
      </c>
      <c r="BJ187" s="239">
        <v>0.1328228148930552</v>
      </c>
      <c r="BK187" s="239">
        <v>0.41880116186955374</v>
      </c>
      <c r="BL187" s="239">
        <v>5.5716926326907841E-2</v>
      </c>
      <c r="BM187" s="247">
        <v>1.8624240823871137</v>
      </c>
      <c r="BN187" s="248">
        <v>0</v>
      </c>
      <c r="BO187" s="248">
        <v>1</v>
      </c>
      <c r="BP187" s="237">
        <v>0</v>
      </c>
      <c r="BQ187" s="237">
        <v>0</v>
      </c>
      <c r="BR187" s="248">
        <v>1</v>
      </c>
      <c r="BS187" s="237">
        <v>9</v>
      </c>
      <c r="BT187" s="237" t="s">
        <v>815</v>
      </c>
      <c r="BU187" s="249" t="s">
        <v>678</v>
      </c>
      <c r="BV187" s="249">
        <v>798</v>
      </c>
      <c r="BW187" s="249">
        <v>3276</v>
      </c>
      <c r="BX187" s="249" t="s">
        <v>678</v>
      </c>
      <c r="BY187" s="249" t="s">
        <v>678</v>
      </c>
      <c r="BZ187" s="249">
        <v>13.011576716125877</v>
      </c>
      <c r="CA187" s="249">
        <v>53.415946518832548</v>
      </c>
      <c r="CB187" s="249" t="s">
        <v>678</v>
      </c>
      <c r="CC187" s="250" t="s">
        <v>678</v>
      </c>
      <c r="CD187" s="242">
        <v>-536</v>
      </c>
      <c r="CE187" s="252">
        <v>91.260394586662315</v>
      </c>
      <c r="CF187" s="238">
        <v>2569</v>
      </c>
      <c r="CG187" s="238">
        <v>471</v>
      </c>
      <c r="CH187" s="238">
        <v>7.6797652046306863</v>
      </c>
      <c r="CI187" s="216" t="s">
        <v>722</v>
      </c>
      <c r="CJ187" s="237">
        <v>1</v>
      </c>
      <c r="CK187" s="253">
        <v>120.12</v>
      </c>
      <c r="CL187" s="253">
        <v>49.770099999999999</v>
      </c>
      <c r="CM187" s="254">
        <v>0.22830321100917431</v>
      </c>
      <c r="CN187" s="237" t="s">
        <v>88</v>
      </c>
      <c r="CO187" s="242"/>
      <c r="CP187" s="255">
        <v>0</v>
      </c>
      <c r="CV187" s="237">
        <v>4</v>
      </c>
      <c r="CW187" s="194">
        <v>0.95599999999999996</v>
      </c>
      <c r="CX187" s="194">
        <v>0.63500000000000001</v>
      </c>
      <c r="CY187" s="194" t="s">
        <v>680</v>
      </c>
      <c r="DB187" s="216"/>
      <c r="DC187" s="195" t="s">
        <v>1211</v>
      </c>
      <c r="DD187" s="256">
        <v>0.8</v>
      </c>
      <c r="DE187" s="256">
        <v>-10</v>
      </c>
      <c r="DF187" s="256">
        <v>0.5</v>
      </c>
      <c r="DG187" s="256">
        <v>-2.2999999999999998</v>
      </c>
      <c r="DL187" s="237" t="s">
        <v>529</v>
      </c>
      <c r="DM187" s="270" t="s">
        <v>1391</v>
      </c>
      <c r="DN187" s="237" t="s">
        <v>713</v>
      </c>
      <c r="DP187" s="258" t="s">
        <v>683</v>
      </c>
      <c r="DQ187" s="258" t="s">
        <v>1392</v>
      </c>
      <c r="DR187" s="258" t="s">
        <v>1393</v>
      </c>
      <c r="DS187" s="258"/>
      <c r="DT187" s="258"/>
      <c r="DU187" s="237">
        <v>0</v>
      </c>
      <c r="DX187" s="247"/>
      <c r="DY187" s="247">
        <v>0</v>
      </c>
      <c r="EA187" s="237">
        <v>0</v>
      </c>
      <c r="ED187" s="237" t="s">
        <v>678</v>
      </c>
      <c r="EE187" s="208">
        <v>5</v>
      </c>
      <c r="EF187" s="237" t="s">
        <v>678</v>
      </c>
      <c r="EG187" s="216" t="s">
        <v>691</v>
      </c>
      <c r="EH187" s="246" t="s">
        <v>690</v>
      </c>
      <c r="EI187" s="216"/>
      <c r="EJ187" s="216" t="s">
        <v>529</v>
      </c>
      <c r="EK187" s="222" t="s">
        <v>682</v>
      </c>
      <c r="EL187" s="259">
        <v>1999</v>
      </c>
      <c r="EM187" s="260">
        <v>1350</v>
      </c>
      <c r="EN187" s="260">
        <v>223910</v>
      </c>
      <c r="EO187" s="260">
        <v>34076</v>
      </c>
      <c r="ER187" s="237" t="s">
        <v>705</v>
      </c>
      <c r="ES187" s="237">
        <v>6133</v>
      </c>
      <c r="ET187" s="237">
        <v>25.241481481481483</v>
      </c>
      <c r="EU187" s="661">
        <v>7</v>
      </c>
      <c r="EV187" s="661">
        <v>4</v>
      </c>
      <c r="EW187" s="661">
        <v>4</v>
      </c>
      <c r="EX187" s="661">
        <v>5</v>
      </c>
      <c r="EY187" s="660">
        <v>0.55100917431192664</v>
      </c>
      <c r="EZ187" s="256">
        <v>51.057276057276056</v>
      </c>
      <c r="FA187" s="247">
        <v>26.666666666666668</v>
      </c>
      <c r="FB187" s="208" t="s">
        <v>678</v>
      </c>
      <c r="FC187" s="208" t="s">
        <v>678</v>
      </c>
      <c r="FD187" s="208">
        <v>4</v>
      </c>
      <c r="FE187" s="239">
        <v>0.46666666666666667</v>
      </c>
      <c r="FF187" s="208"/>
      <c r="FG187" s="241">
        <v>0</v>
      </c>
      <c r="FH187" s="209">
        <v>0</v>
      </c>
      <c r="FI187" s="237" t="s">
        <v>678</v>
      </c>
      <c r="FJ187" s="208" t="s">
        <v>678</v>
      </c>
      <c r="FK187" s="208" t="s">
        <v>678</v>
      </c>
      <c r="FL187" s="217" t="s">
        <v>678</v>
      </c>
      <c r="FM187" s="208" t="s">
        <v>678</v>
      </c>
      <c r="FN187" s="208" t="s">
        <v>678</v>
      </c>
      <c r="FP187" s="247" t="s">
        <v>693</v>
      </c>
      <c r="FU187" s="208" t="s">
        <v>678</v>
      </c>
      <c r="FV187" s="208" t="s">
        <v>678</v>
      </c>
      <c r="FW187" s="208" t="s">
        <v>678</v>
      </c>
      <c r="FX187" s="208" t="s">
        <v>678</v>
      </c>
      <c r="FY187" s="208" t="s">
        <v>678</v>
      </c>
      <c r="FZ187" s="208" t="s">
        <v>678</v>
      </c>
      <c r="GA187" s="208" t="s">
        <v>678</v>
      </c>
      <c r="GB187" s="208" t="s">
        <v>678</v>
      </c>
      <c r="GC187" s="208" t="s">
        <v>678</v>
      </c>
      <c r="GD187" s="208" t="s">
        <v>678</v>
      </c>
      <c r="GE187" s="237" t="s">
        <v>678</v>
      </c>
      <c r="GF187" s="237" t="s">
        <v>678</v>
      </c>
      <c r="GG187" s="237" t="s">
        <v>678</v>
      </c>
      <c r="GH187" s="237" t="s">
        <v>678</v>
      </c>
      <c r="GJ187" s="947">
        <v>62</v>
      </c>
      <c r="GK187" s="320">
        <v>3.0000000000000001E-3</v>
      </c>
      <c r="GL187" s="320">
        <v>0.129</v>
      </c>
      <c r="GM187" s="320">
        <v>0.17299999999999999</v>
      </c>
      <c r="GN187" s="320">
        <v>0.69499999999999995</v>
      </c>
      <c r="GO187" s="662">
        <v>8183</v>
      </c>
      <c r="GP187" s="663" t="str">
        <f>VLOOKUP(GS187,'BD Comarcal'!$A$6:$AV$17,48,FALSE)</f>
        <v>24</v>
      </c>
      <c r="GQ187" s="564">
        <v>54</v>
      </c>
      <c r="GR187" s="256">
        <f t="shared" si="2"/>
        <v>0</v>
      </c>
      <c r="GS187" s="237" t="s">
        <v>88</v>
      </c>
    </row>
    <row r="188" spans="1:201" s="237" customFormat="1" ht="17.25" customHeight="1">
      <c r="A188" s="236" t="s">
        <v>1394</v>
      </c>
      <c r="C188" s="238"/>
      <c r="D188" s="238">
        <v>3344</v>
      </c>
      <c r="E188" s="238">
        <v>1233</v>
      </c>
      <c r="F188" s="239">
        <v>0.36872009569377989</v>
      </c>
      <c r="G188" s="238">
        <v>849</v>
      </c>
      <c r="H188" s="240">
        <v>200.465427017683</v>
      </c>
      <c r="I188" s="239">
        <v>0.1625834768999862</v>
      </c>
      <c r="J188" s="238">
        <v>496</v>
      </c>
      <c r="K188" s="238">
        <v>120</v>
      </c>
      <c r="L188" s="238">
        <v>9</v>
      </c>
      <c r="M188" s="241">
        <v>2.6913875598086126E-3</v>
      </c>
      <c r="N188" s="238">
        <v>25</v>
      </c>
      <c r="O188" s="239">
        <v>5.040322580645161E-2</v>
      </c>
      <c r="P188" s="237">
        <v>8</v>
      </c>
      <c r="Q188" s="237">
        <v>0</v>
      </c>
      <c r="R188" s="239">
        <v>0</v>
      </c>
      <c r="S188" s="238">
        <v>241</v>
      </c>
      <c r="T188" s="436">
        <v>0</v>
      </c>
      <c r="U188" s="436">
        <v>0</v>
      </c>
      <c r="V188" s="436">
        <v>374</v>
      </c>
      <c r="W188" s="436">
        <v>374</v>
      </c>
      <c r="X188" s="238">
        <v>75167</v>
      </c>
      <c r="Y188" s="237">
        <v>0.13869999999999999</v>
      </c>
      <c r="Z188" s="238">
        <v>877574</v>
      </c>
      <c r="AA188" s="238">
        <v>11774</v>
      </c>
      <c r="AB188" s="238">
        <v>71.94</v>
      </c>
      <c r="AC188" s="238">
        <v>31568</v>
      </c>
      <c r="AD188" s="238">
        <v>79141626.200000003</v>
      </c>
      <c r="AE188" s="238">
        <v>16368355.43999999</v>
      </c>
      <c r="AF188" s="238">
        <v>64548253.039999999</v>
      </c>
      <c r="AG188" s="238">
        <v>6488988.0800000001</v>
      </c>
      <c r="AH188" s="239">
        <v>0.10052925949798873</v>
      </c>
      <c r="AI188" s="247">
        <v>726.48843999999997</v>
      </c>
      <c r="AJ188" s="242">
        <v>322.56662999999998</v>
      </c>
      <c r="AK188" s="242">
        <v>9.6461312799043046</v>
      </c>
      <c r="AL188" s="242">
        <v>618.27160700000002</v>
      </c>
      <c r="AM188" s="242">
        <v>18.488983462918661</v>
      </c>
      <c r="AN188" s="242">
        <v>138222.57</v>
      </c>
      <c r="AO188" s="238">
        <v>40247.19</v>
      </c>
      <c r="AP188" s="243">
        <v>184</v>
      </c>
      <c r="AQ188" s="238">
        <v>1</v>
      </c>
      <c r="AR188" s="238">
        <v>1130.0903221643894</v>
      </c>
      <c r="AS188" s="238">
        <v>1581.1689700941477</v>
      </c>
      <c r="AT188" s="238">
        <v>5015179.333333333</v>
      </c>
      <c r="AU188" s="238">
        <v>239.22777089458131</v>
      </c>
      <c r="AV188" s="237">
        <v>1</v>
      </c>
      <c r="AW188" s="237">
        <v>0</v>
      </c>
      <c r="AX188" s="237">
        <v>1</v>
      </c>
      <c r="AY188" s="244" t="s">
        <v>717</v>
      </c>
      <c r="AZ188" s="244" t="s">
        <v>682</v>
      </c>
      <c r="BA188" s="237">
        <v>2010</v>
      </c>
      <c r="BB188" s="245" t="s">
        <v>1395</v>
      </c>
      <c r="BC188" s="215" t="s">
        <v>1396</v>
      </c>
      <c r="BD188" s="237">
        <v>1</v>
      </c>
      <c r="BE188" s="237">
        <v>39</v>
      </c>
      <c r="BF188" s="237">
        <v>37</v>
      </c>
      <c r="BG188" s="246" t="s">
        <v>676</v>
      </c>
      <c r="BI188" s="239">
        <v>0.37858169921020274</v>
      </c>
      <c r="BJ188" s="239">
        <v>0.10261112384604164</v>
      </c>
      <c r="BK188" s="239">
        <v>0.495321649613437</v>
      </c>
      <c r="BL188" s="239">
        <v>2.3485527330318629E-2</v>
      </c>
      <c r="BM188" s="247">
        <v>1.8362889949361285</v>
      </c>
      <c r="BN188" s="248">
        <v>0</v>
      </c>
      <c r="BO188" s="248">
        <v>3</v>
      </c>
      <c r="BP188" s="237">
        <v>0</v>
      </c>
      <c r="BQ188" s="237">
        <v>0</v>
      </c>
      <c r="BR188" s="248">
        <v>3</v>
      </c>
      <c r="BS188" s="237">
        <v>9.5</v>
      </c>
      <c r="BT188" s="237" t="s">
        <v>967</v>
      </c>
      <c r="BU188" s="249">
        <v>6827</v>
      </c>
      <c r="BV188" s="249">
        <v>7021</v>
      </c>
      <c r="BW188" s="249">
        <v>38160</v>
      </c>
      <c r="BX188" s="249">
        <v>8333</v>
      </c>
      <c r="BY188" s="249">
        <v>9.1676961916527908</v>
      </c>
      <c r="BZ188" s="249">
        <v>9.4282107750980284</v>
      </c>
      <c r="CA188" s="249">
        <v>51.243487135413872</v>
      </c>
      <c r="CB188" s="249">
        <v>11.190041360047269</v>
      </c>
      <c r="CC188" s="250">
        <v>97.602997260568301</v>
      </c>
      <c r="CD188" s="242">
        <v>-4104</v>
      </c>
      <c r="CE188" s="252">
        <v>94.488907987323415</v>
      </c>
      <c r="CF188" s="238">
        <v>33039</v>
      </c>
      <c r="CG188" s="238">
        <v>7364.5</v>
      </c>
      <c r="CH188" s="238">
        <v>9.8894827308374058</v>
      </c>
      <c r="CI188" s="216" t="s">
        <v>679</v>
      </c>
      <c r="CJ188" s="237">
        <v>0</v>
      </c>
      <c r="CK188" s="253">
        <v>786.5</v>
      </c>
      <c r="CL188" s="253">
        <v>872.77239999999995</v>
      </c>
      <c r="CM188" s="254">
        <v>0.26099653110047843</v>
      </c>
      <c r="CN188" s="237" t="s">
        <v>89</v>
      </c>
      <c r="CO188" s="242"/>
      <c r="CP188" s="255">
        <v>0</v>
      </c>
      <c r="CV188" s="262">
        <v>35</v>
      </c>
      <c r="CW188" s="194">
        <v>1.3109999999999999</v>
      </c>
      <c r="CX188" s="194">
        <v>0.63500000000000001</v>
      </c>
      <c r="CY188" s="194">
        <v>0.24299999999999999</v>
      </c>
      <c r="DB188" s="216" t="s">
        <v>710</v>
      </c>
      <c r="DC188" s="195" t="s">
        <v>711</v>
      </c>
      <c r="DD188" s="256">
        <v>0.7</v>
      </c>
      <c r="DE188" s="256">
        <v>-6.5</v>
      </c>
      <c r="DF188" s="256">
        <v>0.7</v>
      </c>
      <c r="DG188" s="256">
        <v>-2.2000000000000002</v>
      </c>
      <c r="DH188" s="257">
        <v>5</v>
      </c>
      <c r="DI188" s="257">
        <v>3.53</v>
      </c>
      <c r="DJ188" s="257">
        <v>4.1340000000000003</v>
      </c>
      <c r="DK188" s="257">
        <v>7.6639999999999997</v>
      </c>
      <c r="DL188" s="237" t="s">
        <v>682</v>
      </c>
      <c r="DM188" s="274"/>
      <c r="DP188" s="258" t="s">
        <v>682</v>
      </c>
      <c r="DQ188" s="258"/>
      <c r="DR188" s="258"/>
      <c r="DS188" s="258"/>
      <c r="DT188" s="258"/>
      <c r="DU188" s="237">
        <v>0.5</v>
      </c>
      <c r="DV188" s="237" t="s">
        <v>1397</v>
      </c>
      <c r="DW188" s="237" t="s">
        <v>1059</v>
      </c>
      <c r="DX188" s="247">
        <v>5.4050000000000002</v>
      </c>
      <c r="DY188" s="247">
        <v>0.16163277511961721</v>
      </c>
      <c r="EA188" s="237">
        <v>0</v>
      </c>
      <c r="ED188" s="237" t="s">
        <v>687</v>
      </c>
      <c r="EE188" s="208">
        <v>3</v>
      </c>
      <c r="EF188" s="237" t="s">
        <v>688</v>
      </c>
      <c r="EG188" s="216" t="s">
        <v>689</v>
      </c>
      <c r="EH188" s="246" t="s">
        <v>690</v>
      </c>
      <c r="EI188" s="216" t="s">
        <v>689</v>
      </c>
      <c r="EJ188" s="216" t="s">
        <v>529</v>
      </c>
      <c r="EK188" s="222" t="s">
        <v>529</v>
      </c>
      <c r="EL188" s="259">
        <v>1981</v>
      </c>
      <c r="EM188" s="263">
        <v>16350</v>
      </c>
      <c r="EN188" s="260">
        <v>2816024</v>
      </c>
      <c r="EO188" s="260">
        <v>2491364</v>
      </c>
      <c r="ER188" s="237" t="s">
        <v>705</v>
      </c>
      <c r="ES188" s="237">
        <v>24822.666666666668</v>
      </c>
      <c r="ET188" s="237">
        <v>152.37700305810398</v>
      </c>
      <c r="EU188" s="661">
        <v>3</v>
      </c>
      <c r="EV188" s="661">
        <v>6</v>
      </c>
      <c r="EW188" s="661">
        <v>2</v>
      </c>
      <c r="EX188" s="661">
        <v>4</v>
      </c>
      <c r="EY188" s="660">
        <v>0.23519736842105263</v>
      </c>
      <c r="EZ188" s="256">
        <v>94.682771773680869</v>
      </c>
      <c r="FA188" s="247">
        <v>2.8386050283860502</v>
      </c>
      <c r="FB188" s="208">
        <v>4</v>
      </c>
      <c r="FC188" s="208">
        <v>2</v>
      </c>
      <c r="FD188" s="208">
        <v>4</v>
      </c>
      <c r="FE188" s="239">
        <v>0.68856447688564482</v>
      </c>
      <c r="FF188" s="208"/>
      <c r="FG188" s="241">
        <v>6.2157339821573392E-3</v>
      </c>
      <c r="FH188" s="209">
        <v>0</v>
      </c>
      <c r="FI188" s="237" t="s">
        <v>678</v>
      </c>
      <c r="FJ188" s="208">
        <v>44.5</v>
      </c>
      <c r="FK188" s="208">
        <v>0</v>
      </c>
      <c r="FL188" s="217">
        <v>6.9</v>
      </c>
      <c r="FM188" s="208">
        <v>0.63</v>
      </c>
      <c r="FN188" s="208" t="s">
        <v>1398</v>
      </c>
      <c r="FP188" s="247" t="s">
        <v>693</v>
      </c>
      <c r="FU188" s="208">
        <v>39</v>
      </c>
      <c r="FV188" s="208">
        <v>51</v>
      </c>
      <c r="FW188" s="237">
        <v>0</v>
      </c>
      <c r="FX188" s="237">
        <v>0.7</v>
      </c>
      <c r="FY188" s="208">
        <v>7.95</v>
      </c>
      <c r="FZ188" s="208">
        <v>14.4</v>
      </c>
      <c r="GA188" s="208">
        <v>21.7</v>
      </c>
      <c r="GB188" s="208">
        <v>9.4</v>
      </c>
      <c r="GC188" s="208">
        <v>0.04</v>
      </c>
      <c r="GD188" s="208">
        <v>21.7</v>
      </c>
      <c r="GE188" s="237">
        <v>15.85</v>
      </c>
      <c r="GF188" s="237">
        <v>10.3</v>
      </c>
      <c r="GG188" s="237">
        <v>3.24</v>
      </c>
      <c r="GH188" s="237">
        <v>29.9</v>
      </c>
      <c r="GJ188" s="947">
        <v>2084</v>
      </c>
      <c r="GK188" s="320">
        <v>0</v>
      </c>
      <c r="GL188" s="320">
        <v>0.47199999999999998</v>
      </c>
      <c r="GM188" s="320">
        <v>4.4999999999999998E-2</v>
      </c>
      <c r="GN188" s="320">
        <v>0.48299999999999998</v>
      </c>
      <c r="GO188" s="662">
        <v>8184</v>
      </c>
      <c r="GP188" s="663" t="str">
        <f>VLOOKUP(GS188,'BD Comarcal'!$A$6:$AV$17,48,FALSE)</f>
        <v>40</v>
      </c>
      <c r="GQ188" s="564">
        <v>489</v>
      </c>
      <c r="GR188" s="256">
        <f t="shared" si="2"/>
        <v>1</v>
      </c>
      <c r="GS188" s="237" t="s">
        <v>89</v>
      </c>
    </row>
    <row r="189" spans="1:201" s="237" customFormat="1" ht="17.25" customHeight="1">
      <c r="A189" s="236" t="s">
        <v>1399</v>
      </c>
      <c r="C189" s="238"/>
      <c r="D189" s="238">
        <v>4780</v>
      </c>
      <c r="E189" s="238">
        <v>3649</v>
      </c>
      <c r="F189" s="239">
        <v>0.76338912133891212</v>
      </c>
      <c r="G189" s="238">
        <v>191</v>
      </c>
      <c r="H189" s="240">
        <v>1055.7648176961393</v>
      </c>
      <c r="I189" s="239">
        <v>0.28932990345194282</v>
      </c>
      <c r="J189" s="238">
        <v>886</v>
      </c>
      <c r="K189" s="238">
        <v>234</v>
      </c>
      <c r="L189" s="238">
        <v>25</v>
      </c>
      <c r="M189" s="241">
        <v>5.2301255230125521E-3</v>
      </c>
      <c r="N189" s="238">
        <v>0</v>
      </c>
      <c r="O189" s="239">
        <v>0</v>
      </c>
      <c r="P189" s="237">
        <v>9</v>
      </c>
      <c r="Q189" s="237">
        <v>0</v>
      </c>
      <c r="R189" s="239">
        <v>0</v>
      </c>
      <c r="S189" s="238">
        <v>682</v>
      </c>
      <c r="T189" s="436">
        <v>0</v>
      </c>
      <c r="U189" s="436">
        <v>15</v>
      </c>
      <c r="V189" s="436">
        <v>0</v>
      </c>
      <c r="W189" s="436">
        <v>15</v>
      </c>
      <c r="X189" s="238">
        <v>231</v>
      </c>
      <c r="Y189" s="237">
        <v>0.21929999999999999</v>
      </c>
      <c r="Z189" s="238">
        <v>2839</v>
      </c>
      <c r="AA189" s="238">
        <v>12396</v>
      </c>
      <c r="AB189" s="238">
        <v>75.739999999999995</v>
      </c>
      <c r="AC189" s="238">
        <v>0</v>
      </c>
      <c r="AD189" s="238">
        <v>736701.52</v>
      </c>
      <c r="AE189" s="238">
        <v>49262.369999999995</v>
      </c>
      <c r="AF189" s="238">
        <v>705242.19</v>
      </c>
      <c r="AG189" s="238">
        <v>193115.88</v>
      </c>
      <c r="AH189" s="239">
        <v>0.27382916498515214</v>
      </c>
      <c r="AI189" s="247">
        <v>6.8924380000000003</v>
      </c>
      <c r="AJ189" s="242">
        <v>0.77628699999999995</v>
      </c>
      <c r="AK189" s="242">
        <v>1.6240313807531381E-2</v>
      </c>
      <c r="AL189" s="242" t="s">
        <v>678</v>
      </c>
      <c r="AM189" s="242" t="s">
        <v>678</v>
      </c>
      <c r="AN189" s="242">
        <v>17313.27</v>
      </c>
      <c r="AO189" s="238">
        <v>11767.34</v>
      </c>
      <c r="AP189" s="243">
        <v>16</v>
      </c>
      <c r="AQ189" s="238"/>
      <c r="AR189" s="238">
        <v>1241.9429388443984</v>
      </c>
      <c r="AS189" s="238">
        <v>696.49841347056963</v>
      </c>
      <c r="AT189" s="238">
        <v>9986.3333333333339</v>
      </c>
      <c r="AU189" s="238">
        <v>270.22779210325712</v>
      </c>
      <c r="AV189" s="237">
        <v>1</v>
      </c>
      <c r="AW189" s="237">
        <v>1</v>
      </c>
      <c r="AX189" s="237">
        <v>1</v>
      </c>
      <c r="AY189" s="244" t="s">
        <v>673</v>
      </c>
      <c r="AZ189" s="244" t="s">
        <v>695</v>
      </c>
      <c r="BA189" s="237">
        <v>0</v>
      </c>
      <c r="BB189" s="245" t="s">
        <v>1400</v>
      </c>
      <c r="BC189" s="215" t="s">
        <v>1401</v>
      </c>
      <c r="BE189" s="237">
        <v>2</v>
      </c>
      <c r="BF189" s="237">
        <v>77</v>
      </c>
      <c r="BG189" s="246" t="s">
        <v>698</v>
      </c>
      <c r="BI189" s="239">
        <v>0.85436893203883491</v>
      </c>
      <c r="BJ189" s="239">
        <v>7.7669902912621352E-2</v>
      </c>
      <c r="BK189" s="239">
        <v>6.7961165048543687E-2</v>
      </c>
      <c r="BL189" s="239">
        <v>0</v>
      </c>
      <c r="BM189" s="247">
        <v>2.7864077669902909</v>
      </c>
      <c r="BN189" s="248">
        <v>0</v>
      </c>
      <c r="BO189" s="248">
        <v>0</v>
      </c>
      <c r="BP189" s="237">
        <v>0</v>
      </c>
      <c r="BQ189" s="237">
        <v>0</v>
      </c>
      <c r="BR189" s="248">
        <v>0</v>
      </c>
      <c r="BS189" s="237">
        <v>16</v>
      </c>
      <c r="BT189" s="237" t="s">
        <v>755</v>
      </c>
      <c r="BU189" s="249" t="s">
        <v>678</v>
      </c>
      <c r="BV189" s="249" t="s">
        <v>678</v>
      </c>
      <c r="BW189" s="249" t="s">
        <v>678</v>
      </c>
      <c r="BX189" s="249" t="s">
        <v>678</v>
      </c>
      <c r="BY189" s="249" t="s">
        <v>678</v>
      </c>
      <c r="BZ189" s="249" t="s">
        <v>678</v>
      </c>
      <c r="CA189" s="249" t="s">
        <v>678</v>
      </c>
      <c r="CB189" s="249" t="s">
        <v>678</v>
      </c>
      <c r="CC189" s="250" t="s">
        <v>678</v>
      </c>
      <c r="CD189" s="242" t="s">
        <v>678</v>
      </c>
      <c r="CE189" s="252" t="s">
        <v>678</v>
      </c>
      <c r="CF189" s="238">
        <v>104</v>
      </c>
      <c r="CG189" s="238">
        <v>9.1</v>
      </c>
      <c r="CH189" s="238">
        <v>4.2924528301886795</v>
      </c>
      <c r="CI189" s="216" t="s">
        <v>722</v>
      </c>
      <c r="CJ189" s="237">
        <v>1</v>
      </c>
      <c r="CK189" s="253">
        <v>4.32</v>
      </c>
      <c r="CL189" s="253">
        <v>0</v>
      </c>
      <c r="CM189" s="254">
        <v>0</v>
      </c>
      <c r="CN189" s="237" t="s">
        <v>81</v>
      </c>
      <c r="CO189" s="242"/>
      <c r="CP189" s="255">
        <v>0</v>
      </c>
      <c r="CV189" s="237">
        <v>1</v>
      </c>
      <c r="CW189" s="261" t="s">
        <v>678</v>
      </c>
      <c r="CX189" s="261" t="s">
        <v>678</v>
      </c>
      <c r="CY189" s="261" t="s">
        <v>678</v>
      </c>
      <c r="DB189" s="216" t="s">
        <v>681</v>
      </c>
      <c r="DC189" s="256"/>
      <c r="DD189" s="256">
        <v>0.8</v>
      </c>
      <c r="DE189" s="256">
        <v>-10</v>
      </c>
      <c r="DF189" s="256">
        <v>0.5</v>
      </c>
      <c r="DG189" s="256">
        <v>-2.2999999999999998</v>
      </c>
      <c r="DH189" s="257">
        <v>1</v>
      </c>
      <c r="DI189" s="257">
        <v>0</v>
      </c>
      <c r="DJ189" s="257">
        <v>1.5</v>
      </c>
      <c r="DK189" s="257">
        <v>1.5</v>
      </c>
      <c r="DL189" s="237" t="s">
        <v>682</v>
      </c>
      <c r="DP189" s="258" t="s">
        <v>682</v>
      </c>
      <c r="DQ189" s="258"/>
      <c r="DR189" s="258"/>
      <c r="DS189" s="258"/>
      <c r="DT189" s="258"/>
      <c r="DU189" s="237">
        <v>0</v>
      </c>
      <c r="DX189" s="247"/>
      <c r="DY189" s="247">
        <v>0</v>
      </c>
      <c r="EA189" s="237">
        <v>0</v>
      </c>
      <c r="ED189" s="237" t="s">
        <v>678</v>
      </c>
      <c r="EE189" s="208">
        <v>1</v>
      </c>
      <c r="EF189" s="237" t="s">
        <v>678</v>
      </c>
      <c r="EG189" s="216" t="s">
        <v>703</v>
      </c>
      <c r="EH189" s="246" t="s">
        <v>704</v>
      </c>
      <c r="EI189" s="216"/>
      <c r="EJ189" s="216" t="s">
        <v>529</v>
      </c>
      <c r="EK189" s="222" t="s">
        <v>682</v>
      </c>
      <c r="EL189" s="259">
        <v>1999</v>
      </c>
      <c r="EM189" s="263">
        <v>2990</v>
      </c>
      <c r="EN189" s="260">
        <v>9738</v>
      </c>
      <c r="EO189" s="260">
        <v>0</v>
      </c>
      <c r="ER189" s="237" t="s">
        <v>705</v>
      </c>
      <c r="ES189" s="237" t="e">
        <v>#DIV/0!</v>
      </c>
      <c r="EU189" s="661">
        <v>1</v>
      </c>
      <c r="EV189" s="661" t="s">
        <v>678</v>
      </c>
      <c r="EW189" s="661">
        <v>4</v>
      </c>
      <c r="EX189" s="661" t="s">
        <v>678</v>
      </c>
      <c r="EY189" s="660">
        <v>9.0376569037656912E-4</v>
      </c>
      <c r="EZ189" s="256">
        <v>49.074074074074069</v>
      </c>
      <c r="FA189" s="247">
        <v>2.740476842970677E-2</v>
      </c>
      <c r="FB189" s="208">
        <v>3</v>
      </c>
      <c r="FC189" s="208">
        <v>5</v>
      </c>
      <c r="FD189" s="208">
        <v>5</v>
      </c>
      <c r="FE189" s="239">
        <v>5.2343107700739931E-2</v>
      </c>
      <c r="FF189" s="208">
        <v>1</v>
      </c>
      <c r="FG189" s="241">
        <v>4.1107152644560152E-4</v>
      </c>
      <c r="FH189" s="209">
        <v>0</v>
      </c>
      <c r="FI189" s="237" t="s">
        <v>678</v>
      </c>
      <c r="FJ189" s="208">
        <v>41.4</v>
      </c>
      <c r="FK189" s="208">
        <v>0</v>
      </c>
      <c r="FL189" s="217">
        <v>7.1</v>
      </c>
      <c r="FM189" s="208">
        <v>1.45</v>
      </c>
      <c r="FN189" s="208" t="s">
        <v>1402</v>
      </c>
      <c r="FP189" s="247" t="s">
        <v>693</v>
      </c>
      <c r="FU189" s="208">
        <v>38</v>
      </c>
      <c r="FV189" s="208">
        <v>47.6</v>
      </c>
      <c r="FW189" s="237">
        <v>9.52</v>
      </c>
      <c r="FX189" s="237">
        <v>5.7</v>
      </c>
      <c r="FY189" s="208">
        <v>1.9</v>
      </c>
      <c r="FZ189" s="208">
        <v>2.8</v>
      </c>
      <c r="GA189" s="208">
        <v>10.75</v>
      </c>
      <c r="GB189" s="208">
        <v>1</v>
      </c>
      <c r="GC189" s="208">
        <v>0.09</v>
      </c>
      <c r="GD189" s="208">
        <v>28</v>
      </c>
      <c r="GE189" s="237">
        <v>9.26</v>
      </c>
      <c r="GF189" s="237">
        <v>2.2999999999999998</v>
      </c>
      <c r="GG189" s="237">
        <v>8.34</v>
      </c>
      <c r="GH189" s="237">
        <v>62</v>
      </c>
      <c r="GJ189" s="947"/>
      <c r="GK189" s="320"/>
      <c r="GL189" s="320"/>
      <c r="GM189" s="320"/>
      <c r="GN189" s="320"/>
      <c r="GO189" s="662">
        <v>8185</v>
      </c>
      <c r="GP189" s="663" t="str">
        <f>VLOOKUP(GS189,'BD Comarcal'!$A$6:$AV$17,48,FALSE)</f>
        <v>06</v>
      </c>
      <c r="GQ189" s="564">
        <v>2</v>
      </c>
      <c r="GR189" s="256">
        <f t="shared" si="2"/>
        <v>0</v>
      </c>
      <c r="GS189" s="237" t="s">
        <v>81</v>
      </c>
    </row>
    <row r="190" spans="1:201" s="237" customFormat="1" ht="17.25" customHeight="1">
      <c r="A190" s="236" t="s">
        <v>947</v>
      </c>
      <c r="C190" s="238"/>
      <c r="D190" s="238">
        <v>3648</v>
      </c>
      <c r="E190" s="238">
        <v>908</v>
      </c>
      <c r="F190" s="239">
        <v>0.24890350877192982</v>
      </c>
      <c r="G190" s="238">
        <v>608</v>
      </c>
      <c r="H190" s="240">
        <v>416.8649900958485</v>
      </c>
      <c r="I190" s="239">
        <v>0.45910241199983315</v>
      </c>
      <c r="J190" s="238">
        <v>618</v>
      </c>
      <c r="K190" s="238">
        <v>41</v>
      </c>
      <c r="L190" s="238">
        <v>110</v>
      </c>
      <c r="M190" s="241">
        <v>3.0153508771929825E-2</v>
      </c>
      <c r="N190" s="238">
        <v>4</v>
      </c>
      <c r="O190" s="239">
        <v>6.4724919093851136E-3</v>
      </c>
      <c r="P190" s="237">
        <v>19</v>
      </c>
      <c r="Q190" s="237">
        <v>0</v>
      </c>
      <c r="R190" s="239">
        <v>0</v>
      </c>
      <c r="S190" s="238">
        <v>1053</v>
      </c>
      <c r="T190" s="436">
        <v>0</v>
      </c>
      <c r="U190" s="436">
        <v>0</v>
      </c>
      <c r="V190" s="436">
        <v>1265</v>
      </c>
      <c r="W190" s="436">
        <v>1265</v>
      </c>
      <c r="X190" s="238">
        <v>208246</v>
      </c>
      <c r="Y190" s="237">
        <v>0.1797</v>
      </c>
      <c r="Z190" s="238">
        <v>2789756</v>
      </c>
      <c r="AA190" s="238">
        <v>13424</v>
      </c>
      <c r="AB190" s="238">
        <v>82.02</v>
      </c>
      <c r="AC190" s="238">
        <v>93742</v>
      </c>
      <c r="AD190" s="238">
        <v>191794625.77000001</v>
      </c>
      <c r="AE190" s="238">
        <v>28895381.789999962</v>
      </c>
      <c r="AF190" s="238">
        <v>167152476.44000003</v>
      </c>
      <c r="AG190" s="238">
        <v>15702424.24</v>
      </c>
      <c r="AH190" s="239">
        <v>9.3940721516240541E-2</v>
      </c>
      <c r="AI190" s="247">
        <v>1673.73362</v>
      </c>
      <c r="AJ190" s="242">
        <v>1075.39462</v>
      </c>
      <c r="AK190" s="242">
        <v>29.479019188596492</v>
      </c>
      <c r="AL190" s="242">
        <v>43.472892000000002</v>
      </c>
      <c r="AM190" s="242">
        <v>1.1916911184210526</v>
      </c>
      <c r="AN190" s="242">
        <v>272004.96000000002</v>
      </c>
      <c r="AO190" s="238">
        <v>19233.2</v>
      </c>
      <c r="AP190" s="243">
        <v>89</v>
      </c>
      <c r="AQ190" s="238">
        <v>1</v>
      </c>
      <c r="AR190" s="238">
        <v>1112.042127074461</v>
      </c>
      <c r="AS190" s="238">
        <v>1949.401301907171</v>
      </c>
      <c r="AT190" s="238">
        <v>9919155</v>
      </c>
      <c r="AU190" s="238">
        <v>226.75631657514427</v>
      </c>
      <c r="AV190" s="237">
        <v>1</v>
      </c>
      <c r="AW190" s="237">
        <v>0</v>
      </c>
      <c r="AX190" s="237">
        <v>1</v>
      </c>
      <c r="AY190" s="244" t="s">
        <v>673</v>
      </c>
      <c r="AZ190" s="244" t="s">
        <v>673</v>
      </c>
      <c r="BA190" s="237">
        <v>2015</v>
      </c>
      <c r="BB190" s="245" t="s">
        <v>1403</v>
      </c>
      <c r="BC190" s="215" t="s">
        <v>1404</v>
      </c>
      <c r="BD190" s="237">
        <v>1</v>
      </c>
      <c r="BE190" s="237">
        <v>39</v>
      </c>
      <c r="BF190" s="237">
        <v>37</v>
      </c>
      <c r="BG190" s="246" t="s">
        <v>676</v>
      </c>
      <c r="BI190" s="239">
        <v>0.51051948468145114</v>
      </c>
      <c r="BJ190" s="239">
        <v>6.8540892193308556E-2</v>
      </c>
      <c r="BK190" s="239">
        <v>0.38755448019484684</v>
      </c>
      <c r="BL190" s="239">
        <v>3.338514293039354E-2</v>
      </c>
      <c r="BM190" s="247">
        <v>2.0561947186258172</v>
      </c>
      <c r="BN190" s="248">
        <v>1</v>
      </c>
      <c r="BO190" s="248">
        <v>10</v>
      </c>
      <c r="BP190" s="237">
        <v>2</v>
      </c>
      <c r="BQ190" s="237">
        <v>1</v>
      </c>
      <c r="BR190" s="248">
        <v>14</v>
      </c>
      <c r="BS190" s="237">
        <v>0</v>
      </c>
      <c r="BT190" s="237" t="s">
        <v>947</v>
      </c>
      <c r="BU190" s="249">
        <v>20399</v>
      </c>
      <c r="BV190" s="249">
        <v>23419</v>
      </c>
      <c r="BW190" s="249">
        <v>95345</v>
      </c>
      <c r="BX190" s="249">
        <v>31315</v>
      </c>
      <c r="BY190" s="249">
        <v>9.8237891827073565</v>
      </c>
      <c r="BZ190" s="249">
        <v>11.27816652138946</v>
      </c>
      <c r="CA190" s="249">
        <v>45.916426277034802</v>
      </c>
      <c r="CB190" s="249">
        <v>15.080737205572866</v>
      </c>
      <c r="CC190" s="250">
        <v>97.944126867935793</v>
      </c>
      <c r="CD190" s="242">
        <v>-11797</v>
      </c>
      <c r="CE190" s="252">
        <v>94.318778323035502</v>
      </c>
      <c r="CF190" s="238">
        <v>93203</v>
      </c>
      <c r="CG190" s="238">
        <v>18884.7</v>
      </c>
      <c r="CH190" s="238">
        <v>9.0945297111953352</v>
      </c>
      <c r="CI190" s="216" t="s">
        <v>679</v>
      </c>
      <c r="CJ190" s="237">
        <v>0</v>
      </c>
      <c r="CK190" s="253">
        <v>1757.63</v>
      </c>
      <c r="CL190" s="253">
        <v>422.55560000000003</v>
      </c>
      <c r="CM190" s="254">
        <v>0.11583212719298247</v>
      </c>
      <c r="CN190" s="237" t="s">
        <v>89</v>
      </c>
      <c r="CO190" s="242"/>
      <c r="CP190" s="255">
        <v>0</v>
      </c>
      <c r="CQ190" s="247">
        <v>26.21</v>
      </c>
      <c r="CR190" s="248" t="s">
        <v>762</v>
      </c>
      <c r="CS190" s="247">
        <v>26.21</v>
      </c>
      <c r="CV190" s="262">
        <v>44</v>
      </c>
      <c r="CW190" s="194">
        <v>1.272</v>
      </c>
      <c r="CX190" s="194">
        <v>0.63500000000000001</v>
      </c>
      <c r="CY190" s="194" t="s">
        <v>680</v>
      </c>
      <c r="DB190" s="216"/>
      <c r="DC190" s="195" t="s">
        <v>1405</v>
      </c>
      <c r="DD190" s="256">
        <v>0.7</v>
      </c>
      <c r="DE190" s="256">
        <v>-6.5</v>
      </c>
      <c r="DF190" s="256">
        <v>0.7</v>
      </c>
      <c r="DG190" s="256">
        <v>-2.2000000000000002</v>
      </c>
      <c r="DH190" s="257">
        <v>2</v>
      </c>
      <c r="DI190" s="257">
        <v>0.99</v>
      </c>
      <c r="DJ190" s="257">
        <v>1.58</v>
      </c>
      <c r="DK190" s="257">
        <v>2.57</v>
      </c>
      <c r="DL190" s="237" t="s">
        <v>682</v>
      </c>
      <c r="DP190" s="258" t="s">
        <v>683</v>
      </c>
      <c r="DQ190" s="258" t="s">
        <v>1406</v>
      </c>
      <c r="DR190" s="258" t="s">
        <v>1407</v>
      </c>
      <c r="DS190" s="258"/>
      <c r="DT190" s="258"/>
      <c r="DU190" s="237">
        <v>0</v>
      </c>
      <c r="DX190" s="247"/>
      <c r="DY190" s="247">
        <v>0</v>
      </c>
      <c r="EA190" s="237">
        <v>0</v>
      </c>
      <c r="ED190" s="237" t="s">
        <v>687</v>
      </c>
      <c r="EE190" s="208">
        <v>1</v>
      </c>
      <c r="EF190" s="237" t="s">
        <v>688</v>
      </c>
      <c r="EG190" s="216" t="s">
        <v>689</v>
      </c>
      <c r="EH190" s="246" t="s">
        <v>690</v>
      </c>
      <c r="EI190" s="216"/>
      <c r="EJ190" s="216" t="s">
        <v>529</v>
      </c>
      <c r="EK190" s="222" t="s">
        <v>529</v>
      </c>
      <c r="EL190" s="259">
        <v>1994</v>
      </c>
      <c r="EM190" s="260">
        <v>67700</v>
      </c>
      <c r="EN190" s="260">
        <v>7419570</v>
      </c>
      <c r="EO190" s="260">
        <v>2588733</v>
      </c>
      <c r="ER190" s="237" t="s">
        <v>705</v>
      </c>
      <c r="ES190" s="237">
        <v>14832.071428571429</v>
      </c>
      <c r="ET190" s="237">
        <v>38.238301329394389</v>
      </c>
      <c r="EU190" s="661">
        <v>1</v>
      </c>
      <c r="EV190" s="661" t="s">
        <v>678</v>
      </c>
      <c r="EW190" s="661">
        <v>4</v>
      </c>
      <c r="EX190" s="661" t="s">
        <v>678</v>
      </c>
      <c r="EY190" s="660">
        <v>0.48180646929824567</v>
      </c>
      <c r="EZ190" s="256">
        <v>118.1414745993184</v>
      </c>
      <c r="FA190" s="247">
        <v>4.8458149779735686</v>
      </c>
      <c r="FB190" s="208">
        <v>3</v>
      </c>
      <c r="FC190" s="208">
        <v>3</v>
      </c>
      <c r="FD190" s="208">
        <v>4</v>
      </c>
      <c r="FE190" s="239">
        <v>0.66960352422907488</v>
      </c>
      <c r="FF190" s="208"/>
      <c r="FG190" s="241">
        <v>2.830396475770925E-3</v>
      </c>
      <c r="FH190" s="209">
        <v>2.8865638766519826E-2</v>
      </c>
      <c r="FI190" s="237" t="s">
        <v>678</v>
      </c>
      <c r="FJ190" s="208">
        <v>52.6</v>
      </c>
      <c r="FK190" s="208">
        <v>0</v>
      </c>
      <c r="FL190" s="217">
        <v>7.3</v>
      </c>
      <c r="FM190" s="208">
        <v>0.9</v>
      </c>
      <c r="FN190" s="208" t="s">
        <v>1408</v>
      </c>
      <c r="FP190" s="247" t="s">
        <v>693</v>
      </c>
      <c r="FU190" s="208">
        <v>44</v>
      </c>
      <c r="FV190" s="208">
        <v>63</v>
      </c>
      <c r="FW190" s="237">
        <v>72</v>
      </c>
      <c r="FX190" s="237">
        <v>56.4</v>
      </c>
      <c r="FY190" s="208">
        <v>4.0599999999999996</v>
      </c>
      <c r="FZ190" s="208">
        <v>6.1</v>
      </c>
      <c r="GA190" s="208">
        <v>16.36</v>
      </c>
      <c r="GB190" s="208">
        <v>3.6</v>
      </c>
      <c r="GC190" s="208">
        <v>1.05</v>
      </c>
      <c r="GD190" s="208">
        <v>88.3</v>
      </c>
      <c r="GE190" s="237">
        <v>12.31</v>
      </c>
      <c r="GF190" s="237">
        <v>5.0999999999999996</v>
      </c>
      <c r="GG190" s="237">
        <v>3.38</v>
      </c>
      <c r="GH190" s="237">
        <v>30.9</v>
      </c>
      <c r="GJ190" s="947">
        <v>4449</v>
      </c>
      <c r="GK190" s="320">
        <v>0</v>
      </c>
      <c r="GL190" s="320">
        <v>9.8000000000000004E-2</v>
      </c>
      <c r="GM190" s="320">
        <v>5.3999999999999999E-2</v>
      </c>
      <c r="GN190" s="320">
        <v>0.84699999999999998</v>
      </c>
      <c r="GO190" s="662">
        <v>8187</v>
      </c>
      <c r="GP190" s="663" t="str">
        <f>VLOOKUP(GS190,'BD Comarcal'!$A$6:$AV$17,48,FALSE)</f>
        <v>40</v>
      </c>
      <c r="GQ190" s="564">
        <v>1697</v>
      </c>
      <c r="GR190" s="256">
        <f t="shared" si="2"/>
        <v>1</v>
      </c>
      <c r="GS190" s="237" t="s">
        <v>89</v>
      </c>
    </row>
    <row r="191" spans="1:201" s="237" customFormat="1" ht="17.25" customHeight="1">
      <c r="A191" s="236" t="s">
        <v>1409</v>
      </c>
      <c r="C191" s="238"/>
      <c r="D191" s="238">
        <v>4494</v>
      </c>
      <c r="E191" s="238">
        <v>3309</v>
      </c>
      <c r="F191" s="239">
        <v>0.73631508678237645</v>
      </c>
      <c r="G191" s="238">
        <v>2980</v>
      </c>
      <c r="H191" s="240">
        <v>4349.6724872406139</v>
      </c>
      <c r="I191" s="239">
        <v>1</v>
      </c>
      <c r="J191" s="238">
        <v>995</v>
      </c>
      <c r="K191" s="238">
        <v>681</v>
      </c>
      <c r="L191" s="238">
        <v>0</v>
      </c>
      <c r="M191" s="241">
        <v>0</v>
      </c>
      <c r="N191" s="238">
        <v>0</v>
      </c>
      <c r="O191" s="239">
        <v>0</v>
      </c>
      <c r="P191" s="237">
        <v>15</v>
      </c>
      <c r="Q191" s="237">
        <v>0</v>
      </c>
      <c r="R191" s="239">
        <v>0</v>
      </c>
      <c r="S191" s="238">
        <v>4647</v>
      </c>
      <c r="T191" s="436">
        <v>0</v>
      </c>
      <c r="U191" s="436">
        <v>149</v>
      </c>
      <c r="V191" s="436">
        <v>18</v>
      </c>
      <c r="W191" s="436">
        <v>167</v>
      </c>
      <c r="X191" s="238">
        <v>152</v>
      </c>
      <c r="Y191" s="237">
        <v>0.1946</v>
      </c>
      <c r="Z191" s="238">
        <v>2815</v>
      </c>
      <c r="AA191" s="238">
        <v>17928</v>
      </c>
      <c r="AB191" s="238">
        <v>109.54</v>
      </c>
      <c r="AC191" s="238">
        <v>0</v>
      </c>
      <c r="AD191" s="238">
        <v>257257.14</v>
      </c>
      <c r="AE191" s="238">
        <v>57080.889999999985</v>
      </c>
      <c r="AF191" s="238">
        <v>119769.16</v>
      </c>
      <c r="AG191" s="238">
        <v>0</v>
      </c>
      <c r="AH191" s="239">
        <v>0</v>
      </c>
      <c r="AI191" s="269" t="s">
        <v>678</v>
      </c>
      <c r="AJ191" s="242" t="s">
        <v>678</v>
      </c>
      <c r="AK191" s="242" t="s">
        <v>678</v>
      </c>
      <c r="AL191" s="242" t="s">
        <v>678</v>
      </c>
      <c r="AM191" s="242" t="s">
        <v>678</v>
      </c>
      <c r="AN191" s="242">
        <v>19110.52</v>
      </c>
      <c r="AO191" s="238">
        <v>7187.03</v>
      </c>
      <c r="AP191" s="243">
        <v>21</v>
      </c>
      <c r="AQ191" s="238"/>
      <c r="AR191" s="238">
        <v>3653.873344833999</v>
      </c>
      <c r="AS191" s="238">
        <v>1157.1724687547705</v>
      </c>
      <c r="AT191" s="238">
        <v>37803.333333333336</v>
      </c>
      <c r="AU191" s="238">
        <v>152.34759760445303</v>
      </c>
      <c r="AV191" s="237">
        <v>1</v>
      </c>
      <c r="AW191" s="237">
        <v>1</v>
      </c>
      <c r="AX191" s="237">
        <v>1</v>
      </c>
      <c r="AY191" s="244" t="s">
        <v>673</v>
      </c>
      <c r="AZ191" s="244" t="s">
        <v>695</v>
      </c>
      <c r="BA191" s="237">
        <v>0</v>
      </c>
      <c r="BB191" s="245" t="s">
        <v>935</v>
      </c>
      <c r="BC191" s="215" t="s">
        <v>936</v>
      </c>
      <c r="BE191" s="237">
        <v>0</v>
      </c>
      <c r="BF191" s="237">
        <v>11</v>
      </c>
      <c r="BG191" s="246" t="s">
        <v>720</v>
      </c>
      <c r="BI191" s="239">
        <v>0.93548387096774188</v>
      </c>
      <c r="BJ191" s="239">
        <v>0</v>
      </c>
      <c r="BK191" s="239">
        <v>6.4516129032258063E-2</v>
      </c>
      <c r="BL191" s="239">
        <v>0</v>
      </c>
      <c r="BM191" s="247">
        <v>2.8709677419354835</v>
      </c>
      <c r="BN191" s="248">
        <v>0</v>
      </c>
      <c r="BO191" s="248">
        <v>0</v>
      </c>
      <c r="BP191" s="237">
        <v>0</v>
      </c>
      <c r="BQ191" s="237">
        <v>0</v>
      </c>
      <c r="BR191" s="248">
        <v>0</v>
      </c>
      <c r="BS191" s="237">
        <v>16.600000000000001</v>
      </c>
      <c r="BT191" s="237" t="s">
        <v>777</v>
      </c>
      <c r="BU191" s="249" t="s">
        <v>678</v>
      </c>
      <c r="BV191" s="249" t="s">
        <v>678</v>
      </c>
      <c r="BW191" s="249" t="s">
        <v>678</v>
      </c>
      <c r="BX191" s="249" t="s">
        <v>678</v>
      </c>
      <c r="BY191" s="249" t="s">
        <v>678</v>
      </c>
      <c r="BZ191" s="249" t="s">
        <v>678</v>
      </c>
      <c r="CA191" s="249" t="s">
        <v>678</v>
      </c>
      <c r="CB191" s="249" t="s">
        <v>678</v>
      </c>
      <c r="CC191" s="250" t="s">
        <v>678</v>
      </c>
      <c r="CD191" s="242" t="s">
        <v>678</v>
      </c>
      <c r="CE191" s="252" t="s">
        <v>678</v>
      </c>
      <c r="CF191" s="238">
        <v>84</v>
      </c>
      <c r="CG191" s="238">
        <v>7.8</v>
      </c>
      <c r="CH191" s="238">
        <v>5.032258064516129</v>
      </c>
      <c r="CI191" s="216" t="s">
        <v>756</v>
      </c>
      <c r="CJ191" s="237">
        <v>1</v>
      </c>
      <c r="CK191" s="253">
        <v>0</v>
      </c>
      <c r="CL191" s="253">
        <v>0</v>
      </c>
      <c r="CM191" s="254">
        <v>0</v>
      </c>
      <c r="CN191" s="237" t="s">
        <v>84</v>
      </c>
      <c r="CO191" s="242">
        <v>4.87</v>
      </c>
      <c r="CP191" s="255">
        <v>1.083667111704495E-3</v>
      </c>
      <c r="CW191" s="261" t="s">
        <v>678</v>
      </c>
      <c r="CX191" s="261" t="s">
        <v>678</v>
      </c>
      <c r="CY191" s="261" t="s">
        <v>678</v>
      </c>
      <c r="DB191" s="216" t="s">
        <v>710</v>
      </c>
      <c r="DC191" s="195" t="s">
        <v>711</v>
      </c>
      <c r="DD191" s="256">
        <v>0.8</v>
      </c>
      <c r="DE191" s="256">
        <v>-9</v>
      </c>
      <c r="DF191" s="256">
        <v>-0.3</v>
      </c>
      <c r="DG191" s="256">
        <v>-2.6</v>
      </c>
      <c r="DH191" s="257">
        <v>1</v>
      </c>
      <c r="DI191" s="257">
        <v>0.5</v>
      </c>
      <c r="DJ191" s="257">
        <v>2.15</v>
      </c>
      <c r="DK191" s="257">
        <v>2.65</v>
      </c>
      <c r="DL191" s="237" t="s">
        <v>529</v>
      </c>
      <c r="DN191" s="237" t="s">
        <v>770</v>
      </c>
      <c r="DP191" s="258" t="s">
        <v>682</v>
      </c>
      <c r="DQ191" s="258"/>
      <c r="DR191" s="258"/>
      <c r="DS191" s="258"/>
      <c r="DT191" s="258"/>
      <c r="DU191" s="237">
        <v>0</v>
      </c>
      <c r="DX191" s="247"/>
      <c r="DY191" s="247">
        <v>0</v>
      </c>
      <c r="EA191" s="237">
        <v>0</v>
      </c>
      <c r="ED191" s="237" t="s">
        <v>943</v>
      </c>
      <c r="EE191" s="208">
        <v>1</v>
      </c>
      <c r="EF191" s="237" t="s">
        <v>702</v>
      </c>
      <c r="EG191" s="216" t="s">
        <v>703</v>
      </c>
      <c r="EH191" s="246" t="s">
        <v>704</v>
      </c>
      <c r="EI191" s="216"/>
      <c r="EJ191" s="216" t="s">
        <v>529</v>
      </c>
      <c r="EK191" s="222" t="s">
        <v>682</v>
      </c>
      <c r="EL191" s="259">
        <v>2010</v>
      </c>
      <c r="EM191" s="263">
        <v>5999</v>
      </c>
      <c r="EN191" s="260">
        <v>3741</v>
      </c>
      <c r="EO191" s="260">
        <v>33563</v>
      </c>
      <c r="ER191" s="237" t="s">
        <v>705</v>
      </c>
      <c r="ES191" s="237" t="e">
        <v>#DIV/0!</v>
      </c>
      <c r="ET191" s="237">
        <v>5.5947657942990494</v>
      </c>
      <c r="EU191" s="661">
        <v>5</v>
      </c>
      <c r="EV191" s="661" t="s">
        <v>678</v>
      </c>
      <c r="EW191" s="661">
        <v>0</v>
      </c>
      <c r="EX191" s="661" t="s">
        <v>678</v>
      </c>
      <c r="EY191" s="660">
        <v>0</v>
      </c>
      <c r="EZ191" s="256">
        <v>10</v>
      </c>
      <c r="FA191" s="247">
        <v>0</v>
      </c>
      <c r="FB191" s="208">
        <v>2</v>
      </c>
      <c r="FC191" s="208">
        <v>1</v>
      </c>
      <c r="FD191" s="208">
        <v>2</v>
      </c>
      <c r="FE191" s="239">
        <v>0.90057419159867025</v>
      </c>
      <c r="FF191" s="208">
        <v>1</v>
      </c>
      <c r="FG191" s="241">
        <v>8.0084617709277721E-4</v>
      </c>
      <c r="FH191" s="209">
        <v>0</v>
      </c>
      <c r="FI191" s="237" t="s">
        <v>678</v>
      </c>
      <c r="FJ191" s="208">
        <v>64.5</v>
      </c>
      <c r="FK191" s="208">
        <v>0.08</v>
      </c>
      <c r="FL191" s="217">
        <v>21.2</v>
      </c>
      <c r="FM191" s="208">
        <v>2.96</v>
      </c>
      <c r="FN191" s="208" t="s">
        <v>1410</v>
      </c>
      <c r="FP191" s="247" t="s">
        <v>693</v>
      </c>
      <c r="FU191" s="208">
        <v>43</v>
      </c>
      <c r="FV191" s="208">
        <v>60.8</v>
      </c>
      <c r="FW191" s="237">
        <v>24.59</v>
      </c>
      <c r="FX191" s="237">
        <v>10.199999999999999</v>
      </c>
      <c r="FY191" s="208">
        <v>1.7</v>
      </c>
      <c r="FZ191" s="208">
        <v>2.2999999999999998</v>
      </c>
      <c r="GA191" s="208">
        <v>16.47</v>
      </c>
      <c r="GB191" s="208">
        <v>3.8</v>
      </c>
      <c r="GC191" s="208">
        <v>-0.38</v>
      </c>
      <c r="GD191" s="208">
        <v>2.1</v>
      </c>
      <c r="GE191" s="237">
        <v>14.03</v>
      </c>
      <c r="GF191" s="237">
        <v>8</v>
      </c>
      <c r="GG191" s="237">
        <v>9.35</v>
      </c>
      <c r="GH191" s="237">
        <v>64.8</v>
      </c>
      <c r="GJ191" s="947"/>
      <c r="GK191" s="320"/>
      <c r="GL191" s="320"/>
      <c r="GM191" s="320"/>
      <c r="GN191" s="320"/>
      <c r="GO191" s="662">
        <v>8188</v>
      </c>
      <c r="GP191" s="663" t="str">
        <f>VLOOKUP(GS191,'BD Comarcal'!$A$6:$AV$17,48,FALSE)</f>
        <v>14</v>
      </c>
      <c r="GQ191" s="564">
        <v>1</v>
      </c>
      <c r="GR191" s="256">
        <f t="shared" si="2"/>
        <v>1</v>
      </c>
      <c r="GS191" s="237" t="s">
        <v>84</v>
      </c>
    </row>
    <row r="192" spans="1:201" s="237" customFormat="1" ht="16.5" customHeight="1">
      <c r="A192" s="236" t="s">
        <v>1411</v>
      </c>
      <c r="C192" s="238"/>
      <c r="D192" s="238">
        <v>2195</v>
      </c>
      <c r="E192" s="238">
        <v>963</v>
      </c>
      <c r="F192" s="239">
        <v>0.43872437357630978</v>
      </c>
      <c r="G192" s="238">
        <v>818</v>
      </c>
      <c r="H192" s="240">
        <v>620.11864815551439</v>
      </c>
      <c r="I192" s="239">
        <v>0.64394459829233064</v>
      </c>
      <c r="J192" s="238">
        <v>1037</v>
      </c>
      <c r="K192" s="238">
        <v>71</v>
      </c>
      <c r="L192" s="238">
        <v>3</v>
      </c>
      <c r="M192" s="241">
        <v>1.366742596810934E-3</v>
      </c>
      <c r="N192" s="238">
        <v>0</v>
      </c>
      <c r="O192" s="239">
        <v>0</v>
      </c>
      <c r="P192" s="237">
        <v>9</v>
      </c>
      <c r="Q192" s="237">
        <v>0</v>
      </c>
      <c r="R192" s="239">
        <v>0</v>
      </c>
      <c r="S192" s="238">
        <v>1219</v>
      </c>
      <c r="T192" s="436">
        <v>0</v>
      </c>
      <c r="U192" s="436">
        <v>27</v>
      </c>
      <c r="V192" s="436">
        <v>0</v>
      </c>
      <c r="W192" s="436">
        <v>27</v>
      </c>
      <c r="X192" s="238">
        <v>158</v>
      </c>
      <c r="Y192" s="237">
        <v>0.25929999999999997</v>
      </c>
      <c r="Z192" s="238">
        <v>2070</v>
      </c>
      <c r="AA192" s="238">
        <v>12396</v>
      </c>
      <c r="AB192" s="238">
        <v>75.739999999999995</v>
      </c>
      <c r="AC192" s="238">
        <v>0</v>
      </c>
      <c r="AD192" s="238">
        <v>455596.89</v>
      </c>
      <c r="AE192" s="238">
        <v>61268.899999999907</v>
      </c>
      <c r="AF192" s="238">
        <v>592968.01</v>
      </c>
      <c r="AG192" s="238">
        <v>352426.99</v>
      </c>
      <c r="AH192" s="239">
        <v>0.59434401865962383</v>
      </c>
      <c r="AI192" s="247">
        <v>10.914111999999999</v>
      </c>
      <c r="AJ192" s="242">
        <v>7.9070299999999998</v>
      </c>
      <c r="AK192" s="242">
        <v>0.36022915717539861</v>
      </c>
      <c r="AL192" s="242" t="s">
        <v>678</v>
      </c>
      <c r="AM192" s="242" t="s">
        <v>678</v>
      </c>
      <c r="AN192" s="242">
        <v>15621.92</v>
      </c>
      <c r="AO192" s="238">
        <v>13483.93</v>
      </c>
      <c r="AP192" s="243">
        <v>97</v>
      </c>
      <c r="AQ192" s="238">
        <v>1</v>
      </c>
      <c r="AR192" s="238">
        <v>1729.5226100385571</v>
      </c>
      <c r="AS192" s="238">
        <v>1025.6194718531785</v>
      </c>
      <c r="AT192" s="238">
        <v>24096.666666666668</v>
      </c>
      <c r="AU192" s="238">
        <v>288.42268340948493</v>
      </c>
      <c r="AV192" s="237">
        <v>1</v>
      </c>
      <c r="AW192" s="237">
        <v>1</v>
      </c>
      <c r="AX192" s="237">
        <v>1</v>
      </c>
      <c r="AY192" s="244" t="s">
        <v>682</v>
      </c>
      <c r="AZ192" s="244" t="s">
        <v>695</v>
      </c>
      <c r="BA192" s="237">
        <v>0</v>
      </c>
      <c r="BB192" s="245" t="s">
        <v>696</v>
      </c>
      <c r="BC192" s="215" t="s">
        <v>697</v>
      </c>
      <c r="BE192" s="237">
        <v>2</v>
      </c>
      <c r="BF192" s="237">
        <v>77</v>
      </c>
      <c r="BG192" s="246" t="s">
        <v>720</v>
      </c>
      <c r="BI192" s="239">
        <v>0.89565217391304353</v>
      </c>
      <c r="BJ192" s="239">
        <v>3.4782608695652174E-2</v>
      </c>
      <c r="BK192" s="239">
        <v>6.9565217391304349E-2</v>
      </c>
      <c r="BL192" s="239">
        <v>0</v>
      </c>
      <c r="BM192" s="247">
        <v>2.8260869565217392</v>
      </c>
      <c r="BN192" s="248">
        <v>0</v>
      </c>
      <c r="BO192" s="248">
        <v>0</v>
      </c>
      <c r="BP192" s="237">
        <v>0</v>
      </c>
      <c r="BQ192" s="237">
        <v>0</v>
      </c>
      <c r="BR192" s="248">
        <v>0</v>
      </c>
      <c r="BS192" s="237">
        <v>32</v>
      </c>
      <c r="BT192" s="237" t="s">
        <v>755</v>
      </c>
      <c r="BU192" s="249" t="s">
        <v>678</v>
      </c>
      <c r="BV192" s="249" t="s">
        <v>678</v>
      </c>
      <c r="BW192" s="249" t="s">
        <v>678</v>
      </c>
      <c r="BX192" s="249" t="s">
        <v>678</v>
      </c>
      <c r="BY192" s="249" t="s">
        <v>678</v>
      </c>
      <c r="BZ192" s="249" t="s">
        <v>678</v>
      </c>
      <c r="CA192" s="249" t="s">
        <v>678</v>
      </c>
      <c r="CB192" s="249" t="s">
        <v>678</v>
      </c>
      <c r="CC192" s="250" t="s">
        <v>678</v>
      </c>
      <c r="CD192" s="242" t="s">
        <v>678</v>
      </c>
      <c r="CE192" s="252" t="s">
        <v>678</v>
      </c>
      <c r="CF192" s="238">
        <v>101</v>
      </c>
      <c r="CG192" s="238">
        <v>5.6</v>
      </c>
      <c r="CH192" s="238">
        <v>3.2748538011695905</v>
      </c>
      <c r="CI192" s="216" t="s">
        <v>722</v>
      </c>
      <c r="CJ192" s="237">
        <v>1</v>
      </c>
      <c r="CK192" s="253">
        <v>10.81</v>
      </c>
      <c r="CL192" s="253">
        <v>96.352199999999996</v>
      </c>
      <c r="CM192" s="254">
        <v>4.3896218678815491E-2</v>
      </c>
      <c r="CN192" s="237" t="s">
        <v>81</v>
      </c>
      <c r="CO192" s="242"/>
      <c r="CP192" s="255">
        <v>0</v>
      </c>
      <c r="CW192" s="261" t="s">
        <v>678</v>
      </c>
      <c r="CX192" s="261" t="s">
        <v>678</v>
      </c>
      <c r="CY192" s="261" t="s">
        <v>678</v>
      </c>
      <c r="DB192" s="216" t="s">
        <v>681</v>
      </c>
      <c r="DC192" s="256"/>
      <c r="DD192" s="256">
        <v>0.8</v>
      </c>
      <c r="DE192" s="256">
        <v>-9</v>
      </c>
      <c r="DF192" s="256">
        <v>-0.3</v>
      </c>
      <c r="DG192" s="256">
        <v>-2.6</v>
      </c>
      <c r="DL192" s="237" t="s">
        <v>682</v>
      </c>
      <c r="DP192" s="258" t="s">
        <v>682</v>
      </c>
      <c r="DQ192" s="258"/>
      <c r="DR192" s="258"/>
      <c r="DS192" s="258"/>
      <c r="DT192" s="258"/>
      <c r="DU192" s="237">
        <v>0</v>
      </c>
      <c r="DX192" s="247"/>
      <c r="DY192" s="247">
        <v>0</v>
      </c>
      <c r="EA192" s="237">
        <v>0</v>
      </c>
      <c r="ED192" s="237" t="s">
        <v>701</v>
      </c>
      <c r="EE192" s="208">
        <v>3</v>
      </c>
      <c r="EF192" s="237" t="s">
        <v>702</v>
      </c>
      <c r="EG192" s="216" t="s">
        <v>703</v>
      </c>
      <c r="EH192" s="246" t="s">
        <v>704</v>
      </c>
      <c r="EI192" s="216"/>
      <c r="EJ192" s="216" t="s">
        <v>529</v>
      </c>
      <c r="EK192" s="222" t="s">
        <v>682</v>
      </c>
      <c r="EL192" s="259">
        <v>1992</v>
      </c>
      <c r="EM192" s="260">
        <v>700</v>
      </c>
      <c r="EN192" s="260">
        <v>8696</v>
      </c>
      <c r="EO192" s="260">
        <v>15034</v>
      </c>
      <c r="ER192" s="237" t="s">
        <v>705</v>
      </c>
      <c r="ES192" s="237" t="e">
        <v>#DIV/0!</v>
      </c>
      <c r="ET192" s="237">
        <v>21.477142857142859</v>
      </c>
      <c r="EU192" s="661">
        <v>3</v>
      </c>
      <c r="EV192" s="661" t="s">
        <v>678</v>
      </c>
      <c r="EW192" s="661">
        <v>1</v>
      </c>
      <c r="EX192" s="661">
        <v>2</v>
      </c>
      <c r="EY192" s="660">
        <v>4.9248291571753989E-3</v>
      </c>
      <c r="EZ192" s="256">
        <v>15.818686401480111</v>
      </c>
      <c r="FA192" s="247">
        <v>0</v>
      </c>
      <c r="FB192" s="208">
        <v>4</v>
      </c>
      <c r="FC192" s="208">
        <v>6</v>
      </c>
      <c r="FD192" s="208">
        <v>3</v>
      </c>
      <c r="FE192" s="239">
        <v>0.84942886812045693</v>
      </c>
      <c r="FF192" s="208">
        <v>1</v>
      </c>
      <c r="FG192" s="241">
        <v>0</v>
      </c>
      <c r="FH192" s="209">
        <v>0</v>
      </c>
      <c r="FI192" s="237" t="s">
        <v>678</v>
      </c>
      <c r="FJ192" s="208">
        <v>45.2</v>
      </c>
      <c r="FK192" s="208">
        <v>0</v>
      </c>
      <c r="FL192" s="217">
        <v>7.5</v>
      </c>
      <c r="FM192" s="208">
        <v>5.54</v>
      </c>
      <c r="FN192" s="208" t="s">
        <v>1412</v>
      </c>
      <c r="FP192" s="247" t="s">
        <v>693</v>
      </c>
      <c r="FU192" s="208">
        <v>32</v>
      </c>
      <c r="FV192" s="208">
        <v>31.9</v>
      </c>
      <c r="FW192" s="237">
        <v>79.37</v>
      </c>
      <c r="FX192" s="237">
        <v>65.5</v>
      </c>
      <c r="FY192" s="208">
        <v>24.88</v>
      </c>
      <c r="FZ192" s="208">
        <v>39.6</v>
      </c>
      <c r="GA192" s="208">
        <v>40.840000000000003</v>
      </c>
      <c r="GB192" s="208">
        <v>37.5</v>
      </c>
      <c r="GC192" s="208">
        <v>0.03</v>
      </c>
      <c r="GD192" s="208">
        <v>19.7</v>
      </c>
      <c r="GE192" s="237">
        <v>35.08</v>
      </c>
      <c r="GF192" s="237">
        <v>42.2</v>
      </c>
      <c r="GG192" s="237">
        <v>4.51</v>
      </c>
      <c r="GH192" s="237">
        <v>39.9</v>
      </c>
      <c r="GJ192" s="947"/>
      <c r="GK192" s="320"/>
      <c r="GL192" s="320"/>
      <c r="GM192" s="320"/>
      <c r="GN192" s="320"/>
      <c r="GO192" s="662">
        <v>8189</v>
      </c>
      <c r="GP192" s="663" t="str">
        <f>VLOOKUP(GS192,'BD Comarcal'!$A$6:$AV$17,48,FALSE)</f>
        <v>06</v>
      </c>
      <c r="GQ192" s="564">
        <v>0</v>
      </c>
      <c r="GR192" s="256">
        <f t="shared" si="2"/>
        <v>0</v>
      </c>
      <c r="GS192" s="237" t="s">
        <v>81</v>
      </c>
    </row>
    <row r="193" spans="1:201" s="237" customFormat="1" ht="17.25" customHeight="1">
      <c r="A193" s="236" t="s">
        <v>1413</v>
      </c>
      <c r="C193" s="238"/>
      <c r="D193" s="238">
        <v>6656</v>
      </c>
      <c r="E193" s="238">
        <v>5540</v>
      </c>
      <c r="F193" s="239">
        <v>0.83233173076923073</v>
      </c>
      <c r="G193" s="238">
        <v>4197</v>
      </c>
      <c r="H193" s="240">
        <v>1922.1477931427933</v>
      </c>
      <c r="I193" s="239">
        <v>0.3469580854048363</v>
      </c>
      <c r="J193" s="238">
        <v>184</v>
      </c>
      <c r="K193" s="238">
        <v>896</v>
      </c>
      <c r="L193" s="238">
        <v>0</v>
      </c>
      <c r="M193" s="241">
        <v>0</v>
      </c>
      <c r="N193" s="238">
        <v>168</v>
      </c>
      <c r="O193" s="239">
        <v>0.91304347826086951</v>
      </c>
      <c r="P193" s="237">
        <v>12</v>
      </c>
      <c r="Q193" s="237">
        <v>3</v>
      </c>
      <c r="R193" s="239">
        <v>0.25</v>
      </c>
      <c r="S193" s="238">
        <v>485</v>
      </c>
      <c r="T193" s="436">
        <v>876</v>
      </c>
      <c r="U193" s="436">
        <v>38</v>
      </c>
      <c r="V193" s="436">
        <v>73</v>
      </c>
      <c r="W193" s="436">
        <v>987</v>
      </c>
      <c r="X193" s="238">
        <v>276</v>
      </c>
      <c r="Y193" s="237">
        <v>0.25090000000000001</v>
      </c>
      <c r="Z193" s="238">
        <v>5163</v>
      </c>
      <c r="AA193" s="238">
        <v>17928</v>
      </c>
      <c r="AB193" s="238">
        <v>109.54</v>
      </c>
      <c r="AC193" s="238">
        <v>297</v>
      </c>
      <c r="AD193" s="238">
        <v>732798.08000000007</v>
      </c>
      <c r="AE193" s="238">
        <v>-69784.530000000028</v>
      </c>
      <c r="AF193" s="238">
        <v>556494.27</v>
      </c>
      <c r="AG193" s="238">
        <v>166837.62</v>
      </c>
      <c r="AH193" s="239">
        <v>0.29980114620048109</v>
      </c>
      <c r="AI193" s="247">
        <v>15.889450999999999</v>
      </c>
      <c r="AJ193" s="242">
        <v>1.128663</v>
      </c>
      <c r="AK193" s="242">
        <v>1.6957076322115384E-2</v>
      </c>
      <c r="AL193" s="242" t="s">
        <v>678</v>
      </c>
      <c r="AM193" s="242" t="s">
        <v>678</v>
      </c>
      <c r="AN193" s="242">
        <v>14240.64</v>
      </c>
      <c r="AO193" s="238">
        <v>8976.7199999999993</v>
      </c>
      <c r="AP193" s="243">
        <v>39</v>
      </c>
      <c r="AQ193" s="238"/>
      <c r="AR193" s="238">
        <v>2067.5783518049084</v>
      </c>
      <c r="AS193" s="238">
        <v>1263.1862267853992</v>
      </c>
      <c r="AT193" s="238">
        <v>39586</v>
      </c>
      <c r="AU193" s="238">
        <v>483.22044222831823</v>
      </c>
      <c r="AV193" s="237">
        <v>1</v>
      </c>
      <c r="AW193" s="237">
        <v>0</v>
      </c>
      <c r="AX193" s="237">
        <v>1</v>
      </c>
      <c r="AY193" s="244" t="s">
        <v>682</v>
      </c>
      <c r="AZ193" s="244" t="s">
        <v>682</v>
      </c>
      <c r="BA193" s="237">
        <v>2012</v>
      </c>
      <c r="BB193" s="245" t="s">
        <v>808</v>
      </c>
      <c r="BC193" s="215" t="s">
        <v>809</v>
      </c>
      <c r="BE193" s="237">
        <v>0</v>
      </c>
      <c r="BF193" s="237">
        <v>0</v>
      </c>
      <c r="BG193" s="246" t="s">
        <v>720</v>
      </c>
      <c r="BI193" s="239">
        <v>0.25984251968503935</v>
      </c>
      <c r="BJ193" s="239">
        <v>7.874015748031496E-2</v>
      </c>
      <c r="BK193" s="239">
        <v>0.61417322834645671</v>
      </c>
      <c r="BL193" s="239">
        <v>4.7244094488188976E-2</v>
      </c>
      <c r="BM193" s="247">
        <v>1.5511811023622046</v>
      </c>
      <c r="BN193" s="248">
        <v>0</v>
      </c>
      <c r="BO193" s="248">
        <v>0</v>
      </c>
      <c r="BP193" s="237">
        <v>0</v>
      </c>
      <c r="BQ193" s="237">
        <v>0</v>
      </c>
      <c r="BR193" s="248">
        <v>0</v>
      </c>
      <c r="BS193" s="262">
        <v>33.4</v>
      </c>
      <c r="BT193" s="237" t="s">
        <v>777</v>
      </c>
      <c r="BU193" s="249" t="s">
        <v>678</v>
      </c>
      <c r="BV193" s="249" t="s">
        <v>678</v>
      </c>
      <c r="BW193" s="249" t="s">
        <v>678</v>
      </c>
      <c r="BX193" s="249" t="s">
        <v>678</v>
      </c>
      <c r="BY193" s="249" t="s">
        <v>678</v>
      </c>
      <c r="BZ193" s="249" t="s">
        <v>678</v>
      </c>
      <c r="CA193" s="249" t="s">
        <v>678</v>
      </c>
      <c r="CB193" s="249" t="s">
        <v>678</v>
      </c>
      <c r="CC193" s="250" t="s">
        <v>678</v>
      </c>
      <c r="CD193" s="242" t="s">
        <v>678</v>
      </c>
      <c r="CE193" s="252" t="s">
        <v>678</v>
      </c>
      <c r="CF193" s="238">
        <v>349</v>
      </c>
      <c r="CG193" s="238">
        <v>11</v>
      </c>
      <c r="CH193" s="238">
        <v>3.6912751677852347</v>
      </c>
      <c r="CI193" s="216" t="s">
        <v>722</v>
      </c>
      <c r="CJ193" s="237">
        <v>1</v>
      </c>
      <c r="CK193" s="253">
        <v>5.91</v>
      </c>
      <c r="CL193" s="253">
        <v>0</v>
      </c>
      <c r="CM193" s="254">
        <v>0</v>
      </c>
      <c r="CN193" s="237" t="s">
        <v>84</v>
      </c>
      <c r="CO193" s="242">
        <v>4537.03</v>
      </c>
      <c r="CP193" s="255">
        <v>0.68164513221153844</v>
      </c>
      <c r="CQ193" s="237">
        <v>3206.56</v>
      </c>
      <c r="CR193" s="248" t="s">
        <v>1106</v>
      </c>
      <c r="CS193" s="237">
        <v>3206.56</v>
      </c>
      <c r="CW193" s="261" t="s">
        <v>678</v>
      </c>
      <c r="CX193" s="261" t="s">
        <v>678</v>
      </c>
      <c r="CY193" s="261" t="s">
        <v>678</v>
      </c>
      <c r="DB193" s="216" t="s">
        <v>710</v>
      </c>
      <c r="DC193" s="195" t="s">
        <v>711</v>
      </c>
      <c r="DD193" s="256">
        <v>0.8</v>
      </c>
      <c r="DE193" s="256">
        <v>-9</v>
      </c>
      <c r="DF193" s="256">
        <v>-0.3</v>
      </c>
      <c r="DG193" s="256">
        <v>-2.6</v>
      </c>
      <c r="DH193" s="257">
        <v>1</v>
      </c>
      <c r="DI193" s="257">
        <v>4</v>
      </c>
      <c r="DJ193" s="257">
        <v>0</v>
      </c>
      <c r="DK193" s="257">
        <v>4</v>
      </c>
      <c r="DL193" s="237" t="s">
        <v>682</v>
      </c>
      <c r="DP193" s="258" t="s">
        <v>683</v>
      </c>
      <c r="DQ193" s="258" t="s">
        <v>758</v>
      </c>
      <c r="DR193" s="258" t="s">
        <v>1414</v>
      </c>
      <c r="DS193" s="258"/>
      <c r="DT193" s="258"/>
      <c r="DU193" s="237">
        <v>0</v>
      </c>
      <c r="DX193" s="247"/>
      <c r="DY193" s="247">
        <v>0</v>
      </c>
      <c r="EA193" s="237">
        <v>0</v>
      </c>
      <c r="ED193" s="237" t="s">
        <v>943</v>
      </c>
      <c r="EE193" s="208">
        <v>2</v>
      </c>
      <c r="EF193" s="237" t="s">
        <v>702</v>
      </c>
      <c r="EG193" s="216" t="s">
        <v>703</v>
      </c>
      <c r="EH193" s="246" t="s">
        <v>704</v>
      </c>
      <c r="EI193" s="216" t="s">
        <v>691</v>
      </c>
      <c r="EJ193" s="216" t="s">
        <v>529</v>
      </c>
      <c r="EK193" s="222" t="s">
        <v>682</v>
      </c>
      <c r="EL193" s="259">
        <v>1997</v>
      </c>
      <c r="EM193" s="263">
        <v>800</v>
      </c>
      <c r="EN193" s="260">
        <v>13300</v>
      </c>
      <c r="EO193" s="260">
        <v>22753</v>
      </c>
      <c r="EP193" s="237">
        <v>1</v>
      </c>
      <c r="EQ193" s="237">
        <v>73</v>
      </c>
      <c r="ER193" s="237" t="s">
        <v>705</v>
      </c>
      <c r="ES193" s="237" t="e">
        <v>#DIV/0!</v>
      </c>
      <c r="ET193" s="237">
        <v>28.44125</v>
      </c>
      <c r="EU193" s="661">
        <v>8</v>
      </c>
      <c r="EV193" s="661" t="s">
        <v>678</v>
      </c>
      <c r="EW193" s="661">
        <v>0</v>
      </c>
      <c r="EX193" s="661">
        <v>2</v>
      </c>
      <c r="EY193" s="660">
        <v>8.8792067307692313E-4</v>
      </c>
      <c r="EZ193" s="256">
        <v>50.42301184433164</v>
      </c>
      <c r="FA193" s="247">
        <v>0</v>
      </c>
      <c r="FB193" s="208">
        <v>1</v>
      </c>
      <c r="FC193" s="208">
        <v>3</v>
      </c>
      <c r="FD193" s="208">
        <v>2</v>
      </c>
      <c r="FE193" s="239">
        <v>0.7575812274368231</v>
      </c>
      <c r="FF193" s="208">
        <v>1</v>
      </c>
      <c r="FG193" s="241">
        <v>7.2202166064981946E-4</v>
      </c>
      <c r="FH193" s="209">
        <v>0.57880144404332134</v>
      </c>
      <c r="FI193" s="237" t="s">
        <v>678</v>
      </c>
      <c r="FJ193" s="208">
        <v>70.599999999999994</v>
      </c>
      <c r="FK193" s="208">
        <v>48.41</v>
      </c>
      <c r="FL193" s="217">
        <v>89.8</v>
      </c>
      <c r="FM193" s="208">
        <v>19.02</v>
      </c>
      <c r="FN193" s="208" t="s">
        <v>1415</v>
      </c>
      <c r="FP193" s="247" t="s">
        <v>693</v>
      </c>
      <c r="FU193" s="208">
        <v>47</v>
      </c>
      <c r="FV193" s="208">
        <v>70</v>
      </c>
      <c r="FW193" s="237">
        <v>73.569999999999993</v>
      </c>
      <c r="FX193" s="237">
        <v>58.3</v>
      </c>
      <c r="FY193" s="208">
        <v>88.77</v>
      </c>
      <c r="FZ193" s="208">
        <v>83</v>
      </c>
      <c r="GA193" s="208">
        <v>70.7</v>
      </c>
      <c r="GB193" s="208">
        <v>80.7</v>
      </c>
      <c r="GC193" s="208">
        <v>0.56000000000000005</v>
      </c>
      <c r="GD193" s="208">
        <v>67.7</v>
      </c>
      <c r="GE193" s="237">
        <v>86.4</v>
      </c>
      <c r="GF193" s="237">
        <v>96.9</v>
      </c>
      <c r="GG193" s="237">
        <v>0.6</v>
      </c>
      <c r="GH193" s="237">
        <v>12.2</v>
      </c>
      <c r="GJ193" s="947"/>
      <c r="GK193" s="320"/>
      <c r="GL193" s="320"/>
      <c r="GM193" s="320"/>
      <c r="GN193" s="320"/>
      <c r="GO193" s="662">
        <v>8190</v>
      </c>
      <c r="GP193" s="663" t="str">
        <f>VLOOKUP(GS193,'BD Comarcal'!$A$6:$AV$17,48,FALSE)</f>
        <v>14</v>
      </c>
      <c r="GQ193" s="564">
        <v>1</v>
      </c>
      <c r="GR193" s="256">
        <f t="shared" si="2"/>
        <v>1</v>
      </c>
      <c r="GS193" s="237" t="s">
        <v>84</v>
      </c>
    </row>
    <row r="194" spans="1:201" s="237" customFormat="1" ht="17.25" customHeight="1">
      <c r="A194" s="236" t="s">
        <v>1416</v>
      </c>
      <c r="C194" s="238"/>
      <c r="D194" s="238">
        <v>6580</v>
      </c>
      <c r="E194" s="238">
        <v>3980</v>
      </c>
      <c r="F194" s="239">
        <v>0.60486322188449848</v>
      </c>
      <c r="G194" s="238">
        <v>2897</v>
      </c>
      <c r="H194" s="240">
        <v>3324.8481641000885</v>
      </c>
      <c r="I194" s="239">
        <v>0.83538898595479616</v>
      </c>
      <c r="J194" s="238">
        <v>1894</v>
      </c>
      <c r="K194" s="238">
        <v>580</v>
      </c>
      <c r="L194" s="238">
        <v>7</v>
      </c>
      <c r="M194" s="241">
        <v>1.0638297872340426E-3</v>
      </c>
      <c r="N194" s="238">
        <v>202</v>
      </c>
      <c r="O194" s="239">
        <v>0.10665258711721225</v>
      </c>
      <c r="P194" s="237">
        <v>29</v>
      </c>
      <c r="Q194" s="237">
        <v>1</v>
      </c>
      <c r="R194" s="239">
        <v>3.4482758620689655E-2</v>
      </c>
      <c r="S194" s="238">
        <v>6046</v>
      </c>
      <c r="T194" s="436">
        <v>0</v>
      </c>
      <c r="U194" s="436">
        <v>17</v>
      </c>
      <c r="V194" s="436">
        <v>46</v>
      </c>
      <c r="W194" s="436">
        <v>63</v>
      </c>
      <c r="X194" s="238">
        <v>6592</v>
      </c>
      <c r="Y194" s="237">
        <v>0.24690000000000001</v>
      </c>
      <c r="Z194" s="238">
        <v>94425</v>
      </c>
      <c r="AA194" s="238">
        <v>14159</v>
      </c>
      <c r="AB194" s="238">
        <v>86.51</v>
      </c>
      <c r="AC194" s="238">
        <v>3315</v>
      </c>
      <c r="AD194" s="238">
        <v>9564204.8300000001</v>
      </c>
      <c r="AE194" s="238">
        <v>1023842.4799999986</v>
      </c>
      <c r="AF194" s="238">
        <v>8767783.6100000013</v>
      </c>
      <c r="AG194" s="238">
        <v>1670470.43</v>
      </c>
      <c r="AH194" s="239">
        <v>0.19052368355609994</v>
      </c>
      <c r="AI194" s="247">
        <v>310.78061700000001</v>
      </c>
      <c r="AJ194" s="242">
        <v>75.724457999999998</v>
      </c>
      <c r="AK194" s="242">
        <v>1.1508276291793311</v>
      </c>
      <c r="AL194" s="242" t="s">
        <v>678</v>
      </c>
      <c r="AM194" s="242" t="s">
        <v>678</v>
      </c>
      <c r="AN194" s="242">
        <v>75480.509999999995</v>
      </c>
      <c r="AO194" s="238">
        <v>5472.14</v>
      </c>
      <c r="AP194" s="243">
        <v>20</v>
      </c>
      <c r="AQ194" s="238">
        <v>1</v>
      </c>
      <c r="AR194" s="238">
        <v>1259.5862362584369</v>
      </c>
      <c r="AS194" s="238">
        <v>3335.3053911175416</v>
      </c>
      <c r="AT194" s="238">
        <v>1408278</v>
      </c>
      <c r="AU194" s="238">
        <v>235.14261349697074</v>
      </c>
      <c r="AV194" s="237">
        <v>1</v>
      </c>
      <c r="AW194" s="237">
        <v>1</v>
      </c>
      <c r="AX194" s="237">
        <v>1</v>
      </c>
      <c r="AY194" s="244" t="s">
        <v>673</v>
      </c>
      <c r="AZ194" s="244" t="s">
        <v>717</v>
      </c>
      <c r="BA194" s="237">
        <v>2011</v>
      </c>
      <c r="BB194" s="245" t="s">
        <v>818</v>
      </c>
      <c r="BC194" s="215" t="s">
        <v>819</v>
      </c>
      <c r="BD194" s="237">
        <v>1</v>
      </c>
      <c r="BE194" s="237">
        <v>2</v>
      </c>
      <c r="BF194" s="237">
        <v>143</v>
      </c>
      <c r="BG194" s="246" t="s">
        <v>698</v>
      </c>
      <c r="BI194" s="239">
        <v>0.43543141381289457</v>
      </c>
      <c r="BJ194" s="239">
        <v>0.14080734647025062</v>
      </c>
      <c r="BK194" s="239">
        <v>0.37210637076717046</v>
      </c>
      <c r="BL194" s="239">
        <v>5.1654868949684331E-2</v>
      </c>
      <c r="BM194" s="247">
        <v>1.9600153051463556</v>
      </c>
      <c r="BN194" s="248">
        <v>0</v>
      </c>
      <c r="BO194" s="248">
        <v>1</v>
      </c>
      <c r="BP194" s="237">
        <v>0</v>
      </c>
      <c r="BQ194" s="237">
        <v>0</v>
      </c>
      <c r="BR194" s="248">
        <v>1</v>
      </c>
      <c r="BS194" s="237">
        <v>17</v>
      </c>
      <c r="BT194" s="237" t="s">
        <v>699</v>
      </c>
      <c r="BU194" s="249">
        <v>660</v>
      </c>
      <c r="BV194" s="249">
        <v>867</v>
      </c>
      <c r="BW194" s="249">
        <v>3657</v>
      </c>
      <c r="BX194" s="249" t="s">
        <v>678</v>
      </c>
      <c r="BY194" s="249">
        <v>9.6930533117932143</v>
      </c>
      <c r="BZ194" s="249">
        <v>12.73314730503745</v>
      </c>
      <c r="CA194" s="249">
        <v>53.708327213981498</v>
      </c>
      <c r="CB194" s="249" t="s">
        <v>678</v>
      </c>
      <c r="CC194" s="250">
        <v>108.25378175943604</v>
      </c>
      <c r="CD194" s="242">
        <v>461</v>
      </c>
      <c r="CE194" s="252">
        <v>106.77045087384344</v>
      </c>
      <c r="CF194" s="238">
        <v>3841</v>
      </c>
      <c r="CG194" s="238">
        <v>485</v>
      </c>
      <c r="CH194" s="238">
        <v>7.1229255397268325</v>
      </c>
      <c r="CI194" s="216" t="s">
        <v>700</v>
      </c>
      <c r="CJ194" s="237">
        <v>0</v>
      </c>
      <c r="CK194" s="253">
        <v>328.62</v>
      </c>
      <c r="CL194" s="253">
        <v>91.198800000000006</v>
      </c>
      <c r="CM194" s="254">
        <v>1.3860000000000001E-2</v>
      </c>
      <c r="CN194" s="237" t="s">
        <v>82</v>
      </c>
      <c r="CO194" s="242"/>
      <c r="CP194" s="255">
        <v>0</v>
      </c>
      <c r="CV194" s="237">
        <v>6</v>
      </c>
      <c r="CW194" s="194">
        <v>1.0209999999999999</v>
      </c>
      <c r="CX194" s="194" t="s">
        <v>680</v>
      </c>
      <c r="CY194" s="194">
        <v>1.6559999999999999</v>
      </c>
      <c r="DB194" s="216" t="s">
        <v>710</v>
      </c>
      <c r="DC194" s="195" t="s">
        <v>711</v>
      </c>
      <c r="DD194" s="256">
        <v>0.8</v>
      </c>
      <c r="DE194" s="256">
        <v>-10</v>
      </c>
      <c r="DF194" s="256">
        <v>0.5</v>
      </c>
      <c r="DG194" s="256">
        <v>-2.2999999999999998</v>
      </c>
      <c r="DH194" s="257">
        <v>5</v>
      </c>
      <c r="DI194" s="257">
        <v>87.82</v>
      </c>
      <c r="DJ194" s="257">
        <v>1.85</v>
      </c>
      <c r="DK194" s="257">
        <v>89.67</v>
      </c>
      <c r="DL194" s="237" t="s">
        <v>529</v>
      </c>
      <c r="DN194" s="237" t="s">
        <v>770</v>
      </c>
      <c r="DO194" s="237">
        <v>1</v>
      </c>
      <c r="DP194" s="258" t="s">
        <v>682</v>
      </c>
      <c r="DQ194" s="258"/>
      <c r="DR194" s="258"/>
      <c r="DS194" s="258"/>
      <c r="DT194" s="258"/>
      <c r="DU194" s="237">
        <v>0.25</v>
      </c>
      <c r="DV194" s="237" t="s">
        <v>771</v>
      </c>
      <c r="DW194" s="237" t="s">
        <v>772</v>
      </c>
      <c r="DX194" s="247">
        <v>24.102499999999999</v>
      </c>
      <c r="DY194" s="247">
        <v>0.36629939209726442</v>
      </c>
      <c r="EA194" s="237">
        <v>0</v>
      </c>
      <c r="ED194" s="237" t="s">
        <v>687</v>
      </c>
      <c r="EE194" s="208">
        <v>1</v>
      </c>
      <c r="EF194" s="237" t="s">
        <v>688</v>
      </c>
      <c r="EG194" s="216" t="s">
        <v>689</v>
      </c>
      <c r="EH194" s="246" t="s">
        <v>690</v>
      </c>
      <c r="EI194" s="216" t="s">
        <v>689</v>
      </c>
      <c r="EJ194" s="216" t="s">
        <v>529</v>
      </c>
      <c r="EK194" s="222" t="s">
        <v>529</v>
      </c>
      <c r="EL194" s="259">
        <v>2010</v>
      </c>
      <c r="EM194" s="260">
        <v>4460</v>
      </c>
      <c r="EN194" s="260">
        <v>252584</v>
      </c>
      <c r="EO194" s="260">
        <v>1221105</v>
      </c>
      <c r="EP194" s="237">
        <v>1</v>
      </c>
      <c r="EQ194" s="237">
        <v>83</v>
      </c>
      <c r="ER194" s="237" t="s">
        <v>705</v>
      </c>
      <c r="ES194" s="237">
        <v>6809</v>
      </c>
      <c r="ET194" s="237">
        <v>273.79035874439461</v>
      </c>
      <c r="EU194" s="661">
        <v>1</v>
      </c>
      <c r="EV194" s="661">
        <v>1</v>
      </c>
      <c r="EW194" s="661">
        <v>1</v>
      </c>
      <c r="EX194" s="661">
        <v>6</v>
      </c>
      <c r="EY194" s="660">
        <v>4.9942249240121583E-2</v>
      </c>
      <c r="EZ194" s="256">
        <v>20.719980524618098</v>
      </c>
      <c r="FA194" s="247">
        <v>0.15075376884422109</v>
      </c>
      <c r="FB194" s="208">
        <v>3</v>
      </c>
      <c r="FC194" s="208">
        <v>5</v>
      </c>
      <c r="FD194" s="208">
        <v>3</v>
      </c>
      <c r="FE194" s="239">
        <v>0.72788944723618088</v>
      </c>
      <c r="FF194" s="208"/>
      <c r="FG194" s="241">
        <v>2.2530150753768845E-2</v>
      </c>
      <c r="FH194" s="209">
        <v>0</v>
      </c>
      <c r="FI194" s="237" t="s">
        <v>678</v>
      </c>
      <c r="FJ194" s="208">
        <v>50.8</v>
      </c>
      <c r="FK194" s="208">
        <v>0</v>
      </c>
      <c r="FL194" s="217">
        <v>7.6</v>
      </c>
      <c r="FM194" s="208">
        <v>3.36</v>
      </c>
      <c r="FN194" s="208" t="s">
        <v>1417</v>
      </c>
      <c r="FP194" s="247" t="s">
        <v>693</v>
      </c>
      <c r="FU194" s="208">
        <v>37</v>
      </c>
      <c r="FV194" s="208">
        <v>45.1</v>
      </c>
      <c r="FW194" s="237">
        <v>63.42</v>
      </c>
      <c r="FX194" s="237">
        <v>45.1</v>
      </c>
      <c r="FY194" s="208">
        <v>25.66</v>
      </c>
      <c r="FZ194" s="208">
        <v>41.5</v>
      </c>
      <c r="GA194" s="208">
        <v>43.17</v>
      </c>
      <c r="GB194" s="208">
        <v>42</v>
      </c>
      <c r="GC194" s="208">
        <v>1.23</v>
      </c>
      <c r="GD194" s="208">
        <v>92.6</v>
      </c>
      <c r="GE194" s="237">
        <v>34.82</v>
      </c>
      <c r="GF194" s="237">
        <v>41.5</v>
      </c>
      <c r="GG194" s="237">
        <v>7.35</v>
      </c>
      <c r="GH194" s="237">
        <v>57.3</v>
      </c>
      <c r="GJ194" s="947">
        <v>269</v>
      </c>
      <c r="GK194" s="320">
        <v>1.0999999999999999E-2</v>
      </c>
      <c r="GL194" s="320">
        <v>0.44700000000000001</v>
      </c>
      <c r="GM194" s="320">
        <v>2.7E-2</v>
      </c>
      <c r="GN194" s="320">
        <v>0.51500000000000001</v>
      </c>
      <c r="GO194" s="662">
        <v>8191</v>
      </c>
      <c r="GP194" s="663" t="str">
        <f>VLOOKUP(GS194,'BD Comarcal'!$A$6:$AV$17,48,FALSE)</f>
        <v>07</v>
      </c>
      <c r="GQ194" s="564">
        <v>83</v>
      </c>
      <c r="GR194" s="256">
        <f t="shared" si="2"/>
        <v>1</v>
      </c>
      <c r="GS194" s="237" t="s">
        <v>82</v>
      </c>
    </row>
    <row r="195" spans="1:201" s="237" customFormat="1" ht="17.25" customHeight="1">
      <c r="A195" s="236" t="s">
        <v>1418</v>
      </c>
      <c r="C195" s="238"/>
      <c r="D195" s="238">
        <v>1675</v>
      </c>
      <c r="E195" s="238">
        <v>372</v>
      </c>
      <c r="F195" s="239">
        <v>0.22208955223880597</v>
      </c>
      <c r="G195" s="238">
        <v>326</v>
      </c>
      <c r="H195" s="240">
        <v>301.16804201104213</v>
      </c>
      <c r="I195" s="239">
        <v>0.80959151078237135</v>
      </c>
      <c r="J195" s="238">
        <v>896</v>
      </c>
      <c r="K195" s="238">
        <v>195</v>
      </c>
      <c r="L195" s="238">
        <v>4</v>
      </c>
      <c r="M195" s="241">
        <v>2.3880597014925373E-3</v>
      </c>
      <c r="N195" s="238">
        <v>0</v>
      </c>
      <c r="O195" s="239">
        <v>0</v>
      </c>
      <c r="P195" s="237">
        <v>24</v>
      </c>
      <c r="Q195" s="237">
        <v>0</v>
      </c>
      <c r="R195" s="239">
        <v>0</v>
      </c>
      <c r="S195" s="238">
        <v>5101</v>
      </c>
      <c r="T195" s="436">
        <v>0</v>
      </c>
      <c r="U195" s="436">
        <v>7</v>
      </c>
      <c r="V195" s="436">
        <v>68</v>
      </c>
      <c r="W195" s="436">
        <v>75</v>
      </c>
      <c r="X195" s="238">
        <v>7520</v>
      </c>
      <c r="Y195" s="237">
        <v>0.15340000000000001</v>
      </c>
      <c r="Z195" s="238">
        <v>123244</v>
      </c>
      <c r="AA195" s="238">
        <v>16523</v>
      </c>
      <c r="AB195" s="238">
        <v>100.96</v>
      </c>
      <c r="AC195" s="238">
        <v>1286</v>
      </c>
      <c r="AD195" s="238">
        <v>7878256.6699999999</v>
      </c>
      <c r="AE195" s="238">
        <v>963448.54999999981</v>
      </c>
      <c r="AF195" s="238">
        <v>6659682.5099999998</v>
      </c>
      <c r="AG195" s="238">
        <v>493372.48</v>
      </c>
      <c r="AH195" s="239">
        <v>7.4083483598379532E-2</v>
      </c>
      <c r="AI195" s="247">
        <v>211.46116000000001</v>
      </c>
      <c r="AJ195" s="242">
        <v>26.578742999999999</v>
      </c>
      <c r="AK195" s="242">
        <v>1.5867906268656715</v>
      </c>
      <c r="AL195" s="242">
        <v>41.722738</v>
      </c>
      <c r="AM195" s="242">
        <v>2.4909097313432835</v>
      </c>
      <c r="AN195" s="242">
        <v>26120.23</v>
      </c>
      <c r="AO195" s="238">
        <v>4347.2700000000004</v>
      </c>
      <c r="AP195" s="243">
        <v>0</v>
      </c>
      <c r="AQ195" s="238">
        <v>1</v>
      </c>
      <c r="AR195" s="238">
        <v>1268.7235842821085</v>
      </c>
      <c r="AS195" s="238">
        <v>3372.1535868929873</v>
      </c>
      <c r="AT195" s="238">
        <v>531919.33333333337</v>
      </c>
      <c r="AU195" s="238">
        <v>263.1086683255071</v>
      </c>
      <c r="AV195" s="237">
        <v>1</v>
      </c>
      <c r="AW195" s="237">
        <v>1</v>
      </c>
      <c r="AX195" s="237">
        <v>1</v>
      </c>
      <c r="AY195" s="244" t="s">
        <v>673</v>
      </c>
      <c r="AZ195" s="244" t="s">
        <v>695</v>
      </c>
      <c r="BA195" s="237">
        <v>0</v>
      </c>
      <c r="BB195" s="245" t="s">
        <v>891</v>
      </c>
      <c r="BC195" s="215" t="s">
        <v>892</v>
      </c>
      <c r="BE195" s="237">
        <v>2</v>
      </c>
      <c r="BF195" s="237">
        <v>143</v>
      </c>
      <c r="BG195" s="246" t="s">
        <v>698</v>
      </c>
      <c r="BI195" s="239">
        <v>0.34242152466367715</v>
      </c>
      <c r="BJ195" s="239">
        <v>0.10726457399103138</v>
      </c>
      <c r="BK195" s="239">
        <v>0.53022421524663677</v>
      </c>
      <c r="BL195" s="239">
        <v>2.0089686098654708E-2</v>
      </c>
      <c r="BM195" s="247">
        <v>1.7720179372197309</v>
      </c>
      <c r="BN195" s="248">
        <v>0</v>
      </c>
      <c r="BO195" s="248">
        <v>0</v>
      </c>
      <c r="BP195" s="237">
        <v>0</v>
      </c>
      <c r="BQ195" s="237">
        <v>0</v>
      </c>
      <c r="BR195" s="248">
        <v>0</v>
      </c>
      <c r="BS195" s="237">
        <v>9.4</v>
      </c>
      <c r="BT195" s="237" t="s">
        <v>699</v>
      </c>
      <c r="BU195" s="249" t="s">
        <v>678</v>
      </c>
      <c r="BV195" s="249">
        <v>744</v>
      </c>
      <c r="BW195" s="249">
        <v>3432</v>
      </c>
      <c r="BX195" s="249" t="s">
        <v>678</v>
      </c>
      <c r="BY195" s="249" t="s">
        <v>678</v>
      </c>
      <c r="BZ195" s="249">
        <v>10.127960794990472</v>
      </c>
      <c r="CA195" s="249">
        <v>46.71930302205282</v>
      </c>
      <c r="CB195" s="249" t="s">
        <v>678</v>
      </c>
      <c r="CC195" s="250" t="s">
        <v>678</v>
      </c>
      <c r="CD195" s="242">
        <v>69</v>
      </c>
      <c r="CE195" s="252">
        <v>100.93928668663219</v>
      </c>
      <c r="CF195" s="238">
        <v>3161</v>
      </c>
      <c r="CG195" s="238">
        <v>471</v>
      </c>
      <c r="CH195" s="238">
        <v>6.4116526000544516</v>
      </c>
      <c r="CI195" s="216" t="s">
        <v>700</v>
      </c>
      <c r="CJ195" s="237">
        <v>0</v>
      </c>
      <c r="CK195" s="253">
        <v>217.06</v>
      </c>
      <c r="CL195" s="253">
        <v>37.344999999999999</v>
      </c>
      <c r="CM195" s="254">
        <v>2.2295522388059701E-2</v>
      </c>
      <c r="CN195" s="237" t="s">
        <v>82</v>
      </c>
      <c r="CO195" s="242"/>
      <c r="CP195" s="255">
        <v>0</v>
      </c>
      <c r="CV195" s="237">
        <v>3</v>
      </c>
      <c r="CW195" s="194">
        <v>0.96599999999999997</v>
      </c>
      <c r="CX195" s="194">
        <v>8.5999999999999993E-2</v>
      </c>
      <c r="CY195" s="194">
        <v>1.6870000000000001</v>
      </c>
      <c r="DB195" s="216"/>
      <c r="DC195" s="195" t="s">
        <v>866</v>
      </c>
      <c r="DD195" s="256">
        <v>0.8</v>
      </c>
      <c r="DE195" s="256">
        <v>-10</v>
      </c>
      <c r="DF195" s="256">
        <v>0.5</v>
      </c>
      <c r="DG195" s="256">
        <v>-2.2999999999999998</v>
      </c>
      <c r="DL195" s="237" t="s">
        <v>529</v>
      </c>
      <c r="DN195" s="237" t="s">
        <v>770</v>
      </c>
      <c r="DO195" s="237">
        <v>1</v>
      </c>
      <c r="DP195" s="258" t="s">
        <v>682</v>
      </c>
      <c r="DQ195" s="258"/>
      <c r="DR195" s="258"/>
      <c r="DS195" s="258"/>
      <c r="DT195" s="258"/>
      <c r="DU195" s="237">
        <v>1</v>
      </c>
      <c r="DV195" s="237" t="s">
        <v>1419</v>
      </c>
      <c r="DW195" s="237" t="s">
        <v>1059</v>
      </c>
      <c r="DX195" s="247">
        <v>7.47</v>
      </c>
      <c r="DY195" s="247">
        <v>0.44597014925373135</v>
      </c>
      <c r="EA195" s="237">
        <v>0</v>
      </c>
      <c r="ED195" s="237" t="s">
        <v>678</v>
      </c>
      <c r="EE195" s="208">
        <v>1</v>
      </c>
      <c r="EF195" s="237" t="s">
        <v>678</v>
      </c>
      <c r="EG195" s="216" t="s">
        <v>703</v>
      </c>
      <c r="EH195" s="246" t="s">
        <v>704</v>
      </c>
      <c r="EI195" s="216"/>
      <c r="EJ195" s="216" t="s">
        <v>529</v>
      </c>
      <c r="EK195" s="222" t="s">
        <v>682</v>
      </c>
      <c r="EL195" s="259">
        <v>2013</v>
      </c>
      <c r="EM195" s="263">
        <v>3765</v>
      </c>
      <c r="EN195" s="260">
        <v>306781</v>
      </c>
      <c r="EO195" s="260">
        <v>220808</v>
      </c>
      <c r="ER195" s="237" t="s">
        <v>705</v>
      </c>
      <c r="ES195" s="237" t="e">
        <v>#DIV/0!</v>
      </c>
      <c r="ET195" s="237">
        <v>58.647543160690574</v>
      </c>
      <c r="EU195" s="661">
        <v>1</v>
      </c>
      <c r="EV195" s="661">
        <v>3</v>
      </c>
      <c r="EW195" s="661">
        <v>1</v>
      </c>
      <c r="EX195" s="661">
        <v>6</v>
      </c>
      <c r="EY195" s="660">
        <v>0.12958805970149254</v>
      </c>
      <c r="EZ195" s="256">
        <v>33.843177001750668</v>
      </c>
      <c r="FA195" s="247">
        <v>0.80645161290322576</v>
      </c>
      <c r="FB195" s="208">
        <v>3</v>
      </c>
      <c r="FC195" s="208">
        <v>3</v>
      </c>
      <c r="FD195" s="208">
        <v>7</v>
      </c>
      <c r="FE195" s="239">
        <v>0.87634408602150538</v>
      </c>
      <c r="FF195" s="208"/>
      <c r="FG195" s="241">
        <v>0</v>
      </c>
      <c r="FH195" s="209">
        <v>0</v>
      </c>
      <c r="FI195" s="237" t="s">
        <v>678</v>
      </c>
      <c r="FJ195" s="208">
        <v>26.8</v>
      </c>
      <c r="FK195" s="208">
        <v>0</v>
      </c>
      <c r="FL195" s="217">
        <v>7.8</v>
      </c>
      <c r="FM195" s="208">
        <v>1.19</v>
      </c>
      <c r="FN195" s="208" t="s">
        <v>1420</v>
      </c>
      <c r="FP195" s="247" t="s">
        <v>693</v>
      </c>
      <c r="FU195" s="208">
        <v>10</v>
      </c>
      <c r="FV195" s="208">
        <v>0.7</v>
      </c>
      <c r="FW195" s="237">
        <v>53.85</v>
      </c>
      <c r="FX195" s="237">
        <v>33</v>
      </c>
      <c r="FY195" s="208">
        <v>3.51</v>
      </c>
      <c r="FZ195" s="208">
        <v>4.3</v>
      </c>
      <c r="GA195" s="208">
        <v>18.41</v>
      </c>
      <c r="GB195" s="208">
        <v>6.3</v>
      </c>
      <c r="GC195" s="208">
        <v>0.6</v>
      </c>
      <c r="GD195" s="208">
        <v>69.2</v>
      </c>
      <c r="GE195" s="237">
        <v>14.17</v>
      </c>
      <c r="GF195" s="237">
        <v>8.4</v>
      </c>
      <c r="GG195" s="237">
        <v>2.21</v>
      </c>
      <c r="GH195" s="237">
        <v>22</v>
      </c>
      <c r="GJ195" s="947">
        <v>228</v>
      </c>
      <c r="GK195" s="320"/>
      <c r="GL195" s="320"/>
      <c r="GM195" s="320"/>
      <c r="GN195" s="320"/>
      <c r="GO195" s="662">
        <v>8192</v>
      </c>
      <c r="GP195" s="663" t="str">
        <f>VLOOKUP(GS195,'BD Comarcal'!$A$6:$AV$17,48,FALSE)</f>
        <v>07</v>
      </c>
      <c r="GQ195" s="564">
        <v>5</v>
      </c>
      <c r="GR195" s="256">
        <f t="shared" si="2"/>
        <v>0</v>
      </c>
      <c r="GS195" s="237" t="s">
        <v>82</v>
      </c>
    </row>
    <row r="196" spans="1:201" s="237" customFormat="1" ht="17.25" customHeight="1">
      <c r="A196" s="236" t="s">
        <v>1421</v>
      </c>
      <c r="C196" s="238"/>
      <c r="D196" s="238">
        <v>1770</v>
      </c>
      <c r="E196" s="238">
        <v>1292</v>
      </c>
      <c r="F196" s="239">
        <v>0.72994350282485876</v>
      </c>
      <c r="G196" s="238">
        <v>1292</v>
      </c>
      <c r="H196" s="240">
        <v>258.7602267835623</v>
      </c>
      <c r="I196" s="239">
        <v>0.20027881329997083</v>
      </c>
      <c r="J196" s="238">
        <v>25</v>
      </c>
      <c r="K196" s="238">
        <v>80</v>
      </c>
      <c r="L196" s="238">
        <v>16</v>
      </c>
      <c r="M196" s="241">
        <v>9.0395480225988704E-3</v>
      </c>
      <c r="N196" s="238">
        <v>4</v>
      </c>
      <c r="O196" s="239">
        <v>0.16</v>
      </c>
      <c r="P196" s="237">
        <v>6</v>
      </c>
      <c r="Q196" s="237">
        <v>0</v>
      </c>
      <c r="R196" s="239">
        <v>0</v>
      </c>
      <c r="S196" s="238">
        <v>79</v>
      </c>
      <c r="T196" s="436">
        <v>0</v>
      </c>
      <c r="U196" s="436">
        <v>10</v>
      </c>
      <c r="V196" s="436">
        <v>0</v>
      </c>
      <c r="W196" s="436">
        <v>10</v>
      </c>
      <c r="X196" s="238">
        <v>1292</v>
      </c>
      <c r="Y196" s="237">
        <v>0.15179999999999999</v>
      </c>
      <c r="Z196" s="238">
        <v>25777</v>
      </c>
      <c r="AA196" s="238">
        <v>19707</v>
      </c>
      <c r="AB196" s="238">
        <v>120.41</v>
      </c>
      <c r="AC196" s="238">
        <v>0</v>
      </c>
      <c r="AD196" s="238">
        <v>2030395.7599999998</v>
      </c>
      <c r="AE196" s="238">
        <v>409970.45999999973</v>
      </c>
      <c r="AF196" s="238">
        <v>1643423.0400000003</v>
      </c>
      <c r="AG196" s="238">
        <v>113591.29</v>
      </c>
      <c r="AH196" s="239">
        <v>6.9118715775093417E-2</v>
      </c>
      <c r="AI196" s="247">
        <v>36.506449000000003</v>
      </c>
      <c r="AJ196" s="242">
        <v>6.7803769999999997</v>
      </c>
      <c r="AK196" s="242">
        <v>0.38307214689265534</v>
      </c>
      <c r="AL196" s="242">
        <v>48.548380999999999</v>
      </c>
      <c r="AM196" s="242">
        <v>2.7428463841807909</v>
      </c>
      <c r="AN196" s="242">
        <v>12387.3</v>
      </c>
      <c r="AO196" s="238">
        <v>3199.97</v>
      </c>
      <c r="AP196" s="243">
        <v>10</v>
      </c>
      <c r="AQ196" s="238"/>
      <c r="AR196" s="238">
        <v>1547.013571371026</v>
      </c>
      <c r="AS196" s="238">
        <v>1303.8856776343482</v>
      </c>
      <c r="AT196" s="238">
        <v>62101.666666666664</v>
      </c>
      <c r="AU196" s="238">
        <v>270.10916402820544</v>
      </c>
      <c r="AV196" s="237">
        <v>1</v>
      </c>
      <c r="AW196" s="237">
        <v>1</v>
      </c>
      <c r="AX196" s="237">
        <v>1</v>
      </c>
      <c r="AY196" s="244" t="s">
        <v>673</v>
      </c>
      <c r="AZ196" s="244" t="s">
        <v>673</v>
      </c>
      <c r="BA196" s="237">
        <v>2012</v>
      </c>
      <c r="BB196" s="245" t="s">
        <v>898</v>
      </c>
      <c r="BC196" s="215" t="s">
        <v>899</v>
      </c>
      <c r="BE196" s="237">
        <v>264</v>
      </c>
      <c r="BF196" s="237">
        <v>2</v>
      </c>
      <c r="BG196" s="246" t="s">
        <v>676</v>
      </c>
      <c r="BI196" s="239">
        <v>0.45146198830409356</v>
      </c>
      <c r="BJ196" s="239">
        <v>6.6666666666666666E-2</v>
      </c>
      <c r="BK196" s="239">
        <v>0.46198830409356723</v>
      </c>
      <c r="BL196" s="239">
        <v>1.9883040935672516E-2</v>
      </c>
      <c r="BM196" s="247">
        <v>1.9497076023391813</v>
      </c>
      <c r="BN196" s="248">
        <v>0</v>
      </c>
      <c r="BO196" s="248">
        <v>0</v>
      </c>
      <c r="BP196" s="237">
        <v>0</v>
      </c>
      <c r="BQ196" s="237">
        <v>0</v>
      </c>
      <c r="BR196" s="248">
        <v>0</v>
      </c>
      <c r="BU196" s="249" t="s">
        <v>678</v>
      </c>
      <c r="BV196" s="249">
        <v>116</v>
      </c>
      <c r="BW196" s="249">
        <v>678</v>
      </c>
      <c r="BX196" s="249" t="s">
        <v>678</v>
      </c>
      <c r="BY196" s="249" t="s">
        <v>678</v>
      </c>
      <c r="BZ196" s="249">
        <v>8.7679516250944829</v>
      </c>
      <c r="CA196" s="249">
        <v>51.247165532879819</v>
      </c>
      <c r="CB196" s="249" t="s">
        <v>678</v>
      </c>
      <c r="CC196" s="250" t="s">
        <v>678</v>
      </c>
      <c r="CD196" s="242" t="s">
        <v>678</v>
      </c>
      <c r="CE196" s="252" t="s">
        <v>678</v>
      </c>
      <c r="CF196" s="238">
        <v>619</v>
      </c>
      <c r="CG196" s="238">
        <v>115.9</v>
      </c>
      <c r="CH196" s="238">
        <v>8.7603930461073318</v>
      </c>
      <c r="CI196" s="216" t="s">
        <v>679</v>
      </c>
      <c r="CJ196" s="237">
        <v>0</v>
      </c>
      <c r="CK196" s="253">
        <v>36.909999999999997</v>
      </c>
      <c r="CL196" s="253">
        <v>53.358899999999998</v>
      </c>
      <c r="CM196" s="254">
        <v>3.0146271186440678E-2</v>
      </c>
      <c r="CN196" s="237" t="s">
        <v>86</v>
      </c>
      <c r="CO196" s="242">
        <v>386.13</v>
      </c>
      <c r="CP196" s="255">
        <v>0.21815254237288134</v>
      </c>
      <c r="CV196" s="237">
        <v>1</v>
      </c>
      <c r="CW196" s="261" t="s">
        <v>678</v>
      </c>
      <c r="CX196" s="261" t="s">
        <v>678</v>
      </c>
      <c r="CY196" s="261" t="s">
        <v>678</v>
      </c>
      <c r="DB196" s="216" t="s">
        <v>710</v>
      </c>
      <c r="DC196" s="195" t="s">
        <v>711</v>
      </c>
      <c r="DD196" s="256">
        <v>0.7</v>
      </c>
      <c r="DE196" s="256">
        <v>-6.5</v>
      </c>
      <c r="DF196" s="256">
        <v>0.7</v>
      </c>
      <c r="DG196" s="256">
        <v>-2.2000000000000002</v>
      </c>
      <c r="DL196" s="237" t="s">
        <v>529</v>
      </c>
      <c r="DM196" s="270" t="s">
        <v>1422</v>
      </c>
      <c r="DN196" s="237" t="s">
        <v>713</v>
      </c>
      <c r="DP196" s="258" t="s">
        <v>682</v>
      </c>
      <c r="DQ196" s="258"/>
      <c r="DR196" s="258"/>
      <c r="DS196" s="258"/>
      <c r="DT196" s="258"/>
      <c r="DU196" s="237">
        <v>0</v>
      </c>
      <c r="DX196" s="247"/>
      <c r="DY196" s="247">
        <v>0</v>
      </c>
      <c r="EA196" s="237">
        <v>0</v>
      </c>
      <c r="ED196" s="237" t="s">
        <v>880</v>
      </c>
      <c r="EE196" s="208">
        <v>1</v>
      </c>
      <c r="EF196" s="237" t="s">
        <v>852</v>
      </c>
      <c r="EG196" s="216" t="s">
        <v>715</v>
      </c>
      <c r="EH196" s="246" t="s">
        <v>690</v>
      </c>
      <c r="EI196" s="216"/>
      <c r="EJ196" s="216" t="s">
        <v>529</v>
      </c>
      <c r="EK196" s="222" t="s">
        <v>682</v>
      </c>
      <c r="EL196" s="259">
        <v>1984</v>
      </c>
      <c r="EM196" s="260">
        <v>1335</v>
      </c>
      <c r="EN196" s="260">
        <v>58073</v>
      </c>
      <c r="EO196" s="260">
        <v>7092</v>
      </c>
      <c r="EP196" s="237">
        <v>1</v>
      </c>
      <c r="EQ196" s="237">
        <v>130</v>
      </c>
      <c r="ER196" s="237" t="s">
        <v>692</v>
      </c>
      <c r="ES196" s="237" t="e">
        <v>#DIV/0!</v>
      </c>
      <c r="ET196" s="237">
        <v>5.3123595505617978</v>
      </c>
      <c r="EU196" s="661">
        <v>1</v>
      </c>
      <c r="EV196" s="661" t="s">
        <v>678</v>
      </c>
      <c r="EW196" s="661">
        <v>4</v>
      </c>
      <c r="EX196" s="661">
        <v>6</v>
      </c>
      <c r="EY196" s="660">
        <v>2.0853107344632766E-2</v>
      </c>
      <c r="EZ196" s="256">
        <v>35.843944730425363</v>
      </c>
      <c r="FA196" s="247">
        <v>7.7399380804953566E-2</v>
      </c>
      <c r="FB196" s="208">
        <v>3</v>
      </c>
      <c r="FC196" s="208">
        <v>3</v>
      </c>
      <c r="FD196" s="208">
        <v>3</v>
      </c>
      <c r="FE196" s="239">
        <v>1</v>
      </c>
      <c r="FF196" s="208"/>
      <c r="FG196" s="241">
        <v>0</v>
      </c>
      <c r="FH196" s="209">
        <v>0</v>
      </c>
      <c r="FI196" s="237" t="s">
        <v>678</v>
      </c>
      <c r="FJ196" s="208">
        <v>50.2</v>
      </c>
      <c r="FK196" s="208">
        <v>43.2</v>
      </c>
      <c r="FL196" s="217">
        <v>85.9</v>
      </c>
      <c r="FM196" s="208">
        <v>12.87</v>
      </c>
      <c r="FN196" s="208" t="s">
        <v>1423</v>
      </c>
      <c r="FP196" s="247" t="s">
        <v>693</v>
      </c>
      <c r="FU196" s="208">
        <v>36</v>
      </c>
      <c r="FV196" s="208">
        <v>42.9</v>
      </c>
      <c r="FW196" s="237">
        <v>95.27</v>
      </c>
      <c r="FX196" s="237">
        <v>93.4</v>
      </c>
      <c r="FY196" s="208">
        <v>144.55000000000001</v>
      </c>
      <c r="FZ196" s="208">
        <v>97</v>
      </c>
      <c r="GA196" s="208">
        <v>84.66</v>
      </c>
      <c r="GB196" s="208">
        <v>97.2</v>
      </c>
      <c r="GC196" s="208">
        <v>0.09</v>
      </c>
      <c r="GD196" s="208">
        <v>28.2</v>
      </c>
      <c r="GE196" s="237">
        <v>47.2</v>
      </c>
      <c r="GF196" s="237">
        <v>62.3</v>
      </c>
      <c r="GG196" s="237">
        <v>1.92</v>
      </c>
      <c r="GH196" s="237">
        <v>21.4</v>
      </c>
      <c r="GJ196" s="947"/>
      <c r="GK196" s="320"/>
      <c r="GL196" s="320"/>
      <c r="GM196" s="320"/>
      <c r="GN196" s="320"/>
      <c r="GO196" s="662">
        <v>8193</v>
      </c>
      <c r="GP196" s="663" t="str">
        <f>VLOOKUP(GS196,'BD Comarcal'!$A$6:$AV$17,48,FALSE)</f>
        <v>21</v>
      </c>
      <c r="GQ196" s="564">
        <v>131</v>
      </c>
      <c r="GR196" s="256">
        <f t="shared" si="2"/>
        <v>0</v>
      </c>
      <c r="GS196" s="237" t="s">
        <v>86</v>
      </c>
    </row>
    <row r="197" spans="1:201" s="237" customFormat="1" ht="17.25" customHeight="1">
      <c r="A197" s="236" t="s">
        <v>350</v>
      </c>
      <c r="C197" s="238" t="s">
        <v>683</v>
      </c>
      <c r="D197" s="238">
        <v>387</v>
      </c>
      <c r="E197" s="238">
        <v>37</v>
      </c>
      <c r="F197" s="239">
        <v>9.5607235142118857E-2</v>
      </c>
      <c r="G197" s="238">
        <v>0</v>
      </c>
      <c r="H197" s="240">
        <v>0</v>
      </c>
      <c r="I197" s="239">
        <v>0</v>
      </c>
      <c r="J197" s="238">
        <v>0</v>
      </c>
      <c r="K197" s="238">
        <v>0</v>
      </c>
      <c r="L197" s="238">
        <v>0</v>
      </c>
      <c r="M197" s="241">
        <v>0</v>
      </c>
      <c r="N197" s="238">
        <v>0</v>
      </c>
      <c r="O197" s="239">
        <v>0</v>
      </c>
      <c r="P197" s="237">
        <v>0</v>
      </c>
      <c r="Q197" s="237">
        <v>0</v>
      </c>
      <c r="R197" s="239">
        <v>0</v>
      </c>
      <c r="S197" s="238">
        <v>0</v>
      </c>
      <c r="T197" s="436">
        <v>0</v>
      </c>
      <c r="U197" s="436">
        <v>0</v>
      </c>
      <c r="V197" s="436">
        <v>65</v>
      </c>
      <c r="W197" s="436">
        <v>65</v>
      </c>
      <c r="X197" s="238">
        <v>36496</v>
      </c>
      <c r="Y197" s="237">
        <v>0.17399999999999999</v>
      </c>
      <c r="Z197" s="238">
        <v>493800</v>
      </c>
      <c r="AA197" s="238">
        <v>13788</v>
      </c>
      <c r="AB197" s="238">
        <v>84.25</v>
      </c>
      <c r="AC197" s="238">
        <v>5689</v>
      </c>
      <c r="AD197" s="238">
        <v>35440073.989999995</v>
      </c>
      <c r="AE197" s="238">
        <v>9484202.6600000001</v>
      </c>
      <c r="AF197" s="238">
        <v>32220971.98</v>
      </c>
      <c r="AG197" s="238">
        <v>1606149.27</v>
      </c>
      <c r="AH197" s="239">
        <v>4.9847945958829513E-2</v>
      </c>
      <c r="AI197" s="247">
        <v>352.59664900000001</v>
      </c>
      <c r="AJ197" s="242">
        <v>64.871234000000001</v>
      </c>
      <c r="AK197" s="242">
        <v>16.762592764857882</v>
      </c>
      <c r="AL197" s="242" t="s">
        <v>678</v>
      </c>
      <c r="AM197" s="242" t="s">
        <v>678</v>
      </c>
      <c r="AN197" s="242">
        <v>86457.39</v>
      </c>
      <c r="AO197" s="238">
        <v>10997.03</v>
      </c>
      <c r="AP197" s="243">
        <v>4</v>
      </c>
      <c r="AQ197" s="238"/>
      <c r="AR197" s="238">
        <v>924.37455899310191</v>
      </c>
      <c r="AS197" s="238">
        <v>1050.9818911210511</v>
      </c>
      <c r="AT197" s="238">
        <v>1936059</v>
      </c>
      <c r="AU197" s="238">
        <v>216.65219043552614</v>
      </c>
      <c r="AV197" s="237">
        <v>0</v>
      </c>
      <c r="AW197" s="237">
        <v>0</v>
      </c>
      <c r="AX197" s="237">
        <v>0</v>
      </c>
      <c r="AY197" s="244" t="s">
        <v>695</v>
      </c>
      <c r="AZ197" s="244" t="s">
        <v>717</v>
      </c>
      <c r="BA197" s="237">
        <v>2011</v>
      </c>
      <c r="BB197" s="245" t="s">
        <v>678</v>
      </c>
      <c r="BC197" s="215" t="s">
        <v>678</v>
      </c>
      <c r="BE197" s="237">
        <v>199</v>
      </c>
      <c r="BF197" s="237">
        <v>33</v>
      </c>
      <c r="BG197" s="246" t="s">
        <v>676</v>
      </c>
      <c r="BI197" s="239">
        <v>0.53014632286354324</v>
      </c>
      <c r="BJ197" s="239">
        <v>6.6488727896668418E-2</v>
      </c>
      <c r="BK197" s="239">
        <v>0.32986988227443875</v>
      </c>
      <c r="BL197" s="239">
        <v>7.3495066965349604E-2</v>
      </c>
      <c r="BM197" s="247">
        <v>2.0532863066584053</v>
      </c>
      <c r="BN197" s="248">
        <v>0</v>
      </c>
      <c r="BO197" s="248">
        <v>2</v>
      </c>
      <c r="BP197" s="237">
        <v>0</v>
      </c>
      <c r="BQ197" s="237">
        <v>0</v>
      </c>
      <c r="BR197" s="248">
        <v>2</v>
      </c>
      <c r="BS197" s="237">
        <v>0</v>
      </c>
      <c r="BU197" s="249">
        <v>3709</v>
      </c>
      <c r="BV197" s="249">
        <v>4758</v>
      </c>
      <c r="BW197" s="249">
        <v>15412</v>
      </c>
      <c r="BX197" s="249">
        <v>3990</v>
      </c>
      <c r="BY197" s="249">
        <v>10.651312388719775</v>
      </c>
      <c r="BZ197" s="249">
        <v>13.663775773936017</v>
      </c>
      <c r="CA197" s="249">
        <v>44.259376256389636</v>
      </c>
      <c r="CB197" s="249">
        <v>11.458273505255299</v>
      </c>
      <c r="CC197" s="250">
        <v>103.540864970421</v>
      </c>
      <c r="CD197" s="242">
        <v>-2182</v>
      </c>
      <c r="CE197" s="252">
        <v>93.733846418930568</v>
      </c>
      <c r="CF197" s="238">
        <v>14692</v>
      </c>
      <c r="CG197" s="238">
        <v>3820.3</v>
      </c>
      <c r="CH197" s="238">
        <v>10.970937912813739</v>
      </c>
      <c r="CI197" s="216" t="s">
        <v>679</v>
      </c>
      <c r="CJ197" s="237">
        <v>0</v>
      </c>
      <c r="CK197" s="253">
        <v>281.39999999999998</v>
      </c>
      <c r="CL197" s="253">
        <v>0</v>
      </c>
      <c r="CM197" s="254">
        <v>0</v>
      </c>
      <c r="CN197" s="237" t="s">
        <v>83</v>
      </c>
      <c r="CO197" s="242"/>
      <c r="CP197" s="255">
        <v>0</v>
      </c>
      <c r="CV197" s="237">
        <v>11</v>
      </c>
      <c r="CW197" s="194">
        <v>1.867</v>
      </c>
      <c r="CX197" s="194" t="s">
        <v>680</v>
      </c>
      <c r="CY197" s="194">
        <v>2.5019999999999998</v>
      </c>
      <c r="DB197" s="216" t="s">
        <v>804</v>
      </c>
      <c r="DC197" s="195" t="s">
        <v>977</v>
      </c>
      <c r="DD197" s="256">
        <v>0.7</v>
      </c>
      <c r="DE197" s="256">
        <v>-6.5</v>
      </c>
      <c r="DF197" s="256">
        <v>0.7</v>
      </c>
      <c r="DG197" s="256">
        <v>-2.2000000000000002</v>
      </c>
      <c r="DL197" s="237" t="s">
        <v>682</v>
      </c>
      <c r="DP197" s="258" t="s">
        <v>682</v>
      </c>
      <c r="DQ197" s="258"/>
      <c r="DR197" s="258"/>
      <c r="DS197" s="258"/>
      <c r="DT197" s="258"/>
      <c r="DU197" s="237">
        <v>0</v>
      </c>
      <c r="DX197" s="247"/>
      <c r="DY197" s="247">
        <v>0</v>
      </c>
      <c r="EA197" s="237">
        <v>1</v>
      </c>
      <c r="EB197" s="237" t="s">
        <v>1225</v>
      </c>
      <c r="ED197" s="237" t="s">
        <v>678</v>
      </c>
      <c r="EE197" s="208" t="s">
        <v>678</v>
      </c>
      <c r="EF197" s="237" t="s">
        <v>678</v>
      </c>
      <c r="EG197" s="216" t="s">
        <v>689</v>
      </c>
      <c r="EH197" s="246" t="s">
        <v>690</v>
      </c>
      <c r="EI197" s="216"/>
      <c r="EJ197" s="216" t="s">
        <v>806</v>
      </c>
      <c r="EK197" s="222" t="s">
        <v>682</v>
      </c>
      <c r="EL197" s="259">
        <v>1976</v>
      </c>
      <c r="EM197" s="263">
        <v>278325</v>
      </c>
      <c r="EN197" s="260">
        <v>1249699</v>
      </c>
      <c r="EO197" s="260">
        <v>741273</v>
      </c>
      <c r="ER197" s="237" t="s">
        <v>705</v>
      </c>
      <c r="ES197" s="237">
        <v>17411</v>
      </c>
      <c r="ET197" s="237">
        <v>2.6633360280247911</v>
      </c>
      <c r="EU197" s="661" t="s">
        <v>678</v>
      </c>
      <c r="EV197" s="661">
        <v>9</v>
      </c>
      <c r="EW197" s="661" t="s">
        <v>678</v>
      </c>
      <c r="EX197" s="661">
        <v>8</v>
      </c>
      <c r="EY197" s="660">
        <v>0.72713178294573633</v>
      </c>
      <c r="EZ197" s="256">
        <v>123.74555792466241</v>
      </c>
      <c r="FA197" s="247">
        <v>29.72972972972973</v>
      </c>
      <c r="FB197" s="208" t="s">
        <v>678</v>
      </c>
      <c r="FC197" s="208" t="s">
        <v>678</v>
      </c>
      <c r="FD197" s="208">
        <v>7</v>
      </c>
      <c r="FE197" s="239">
        <v>0</v>
      </c>
      <c r="FF197" s="208"/>
      <c r="FG197" s="241">
        <v>0</v>
      </c>
      <c r="FH197" s="209">
        <v>0</v>
      </c>
      <c r="FI197" s="237" t="s">
        <v>678</v>
      </c>
      <c r="FJ197" s="208" t="s">
        <v>678</v>
      </c>
      <c r="FK197" s="208" t="s">
        <v>678</v>
      </c>
      <c r="FL197" s="217" t="s">
        <v>678</v>
      </c>
      <c r="FM197" s="208" t="s">
        <v>678</v>
      </c>
      <c r="FN197" s="208" t="s">
        <v>678</v>
      </c>
      <c r="FO197" s="237">
        <v>700</v>
      </c>
      <c r="FP197" s="247">
        <v>1.8087855297157622</v>
      </c>
      <c r="FU197" s="208" t="s">
        <v>678</v>
      </c>
      <c r="FV197" s="208" t="s">
        <v>678</v>
      </c>
      <c r="FW197" s="208" t="s">
        <v>678</v>
      </c>
      <c r="FX197" s="208" t="s">
        <v>678</v>
      </c>
      <c r="FY197" s="208" t="s">
        <v>678</v>
      </c>
      <c r="FZ197" s="208" t="s">
        <v>678</v>
      </c>
      <c r="GA197" s="208" t="s">
        <v>678</v>
      </c>
      <c r="GB197" s="208" t="s">
        <v>678</v>
      </c>
      <c r="GC197" s="208" t="s">
        <v>678</v>
      </c>
      <c r="GD197" s="208" t="s">
        <v>678</v>
      </c>
      <c r="GE197" s="237" t="s">
        <v>678</v>
      </c>
      <c r="GF197" s="237" t="s">
        <v>678</v>
      </c>
      <c r="GG197" s="237" t="s">
        <v>678</v>
      </c>
      <c r="GH197" s="237" t="s">
        <v>678</v>
      </c>
      <c r="GJ197" s="947">
        <v>869</v>
      </c>
      <c r="GK197" s="320">
        <v>0</v>
      </c>
      <c r="GL197" s="320">
        <v>0.313</v>
      </c>
      <c r="GM197" s="320">
        <v>4.2999999999999997E-2</v>
      </c>
      <c r="GN197" s="320">
        <v>0.64400000000000002</v>
      </c>
      <c r="GO197" s="662">
        <v>8194</v>
      </c>
      <c r="GP197" s="663" t="str">
        <f>VLOOKUP(GS197,'BD Comarcal'!$A$6:$AV$17,48,FALSE)</f>
        <v>13</v>
      </c>
      <c r="GQ197" s="564">
        <v>311</v>
      </c>
      <c r="GR197" s="256">
        <f t="shared" si="2"/>
        <v>0</v>
      </c>
      <c r="GS197" s="237" t="s">
        <v>83</v>
      </c>
    </row>
    <row r="198" spans="1:201" s="237" customFormat="1" ht="17.25" customHeight="1">
      <c r="A198" s="236" t="s">
        <v>1424</v>
      </c>
      <c r="C198" s="238"/>
      <c r="D198" s="238">
        <v>1338</v>
      </c>
      <c r="E198" s="238">
        <v>815</v>
      </c>
      <c r="F198" s="239">
        <v>0.60911808669656198</v>
      </c>
      <c r="G198" s="238">
        <v>797</v>
      </c>
      <c r="H198" s="240">
        <v>1293.3520409459882</v>
      </c>
      <c r="I198" s="239">
        <v>1</v>
      </c>
      <c r="J198" s="238">
        <v>511</v>
      </c>
      <c r="K198" s="238">
        <v>497</v>
      </c>
      <c r="L198" s="238">
        <v>0</v>
      </c>
      <c r="M198" s="241">
        <v>0</v>
      </c>
      <c r="N198" s="238">
        <v>0</v>
      </c>
      <c r="O198" s="239">
        <v>0</v>
      </c>
      <c r="P198" s="237">
        <v>15</v>
      </c>
      <c r="Q198" s="237">
        <v>0</v>
      </c>
      <c r="R198" s="239">
        <v>0</v>
      </c>
      <c r="S198" s="238">
        <v>2864</v>
      </c>
      <c r="T198" s="436">
        <v>0</v>
      </c>
      <c r="U198" s="436">
        <v>101</v>
      </c>
      <c r="V198" s="436">
        <v>0</v>
      </c>
      <c r="W198" s="436">
        <v>101</v>
      </c>
      <c r="X198" s="238">
        <v>92</v>
      </c>
      <c r="Y198" s="237">
        <v>0.23080000000000001</v>
      </c>
      <c r="Z198" s="238">
        <v>1590</v>
      </c>
      <c r="AA198" s="238">
        <v>17662</v>
      </c>
      <c r="AB198" s="238">
        <v>107.92</v>
      </c>
      <c r="AC198" s="238">
        <v>0</v>
      </c>
      <c r="AD198" s="238">
        <v>483759.23</v>
      </c>
      <c r="AE198" s="238">
        <v>169775.65</v>
      </c>
      <c r="AF198" s="238">
        <v>184780.63999999998</v>
      </c>
      <c r="AG198" s="238">
        <v>13874.24</v>
      </c>
      <c r="AH198" s="239">
        <v>7.5084922316537059E-2</v>
      </c>
      <c r="AI198" s="247">
        <v>4.6070880000000001</v>
      </c>
      <c r="AJ198" s="242" t="s">
        <v>678</v>
      </c>
      <c r="AK198" s="242" t="s">
        <v>678</v>
      </c>
      <c r="AL198" s="242" t="s">
        <v>678</v>
      </c>
      <c r="AM198" s="242" t="s">
        <v>678</v>
      </c>
      <c r="AN198" s="242">
        <v>7915.16</v>
      </c>
      <c r="AO198" s="238">
        <v>0</v>
      </c>
      <c r="AP198" s="243">
        <v>0</v>
      </c>
      <c r="AQ198" s="238"/>
      <c r="AR198" s="238">
        <v>1671.8765151917323</v>
      </c>
      <c r="AS198" s="238">
        <v>592.01102789507115</v>
      </c>
      <c r="AT198" s="238">
        <v>8370.6666666666661</v>
      </c>
      <c r="AU198" s="238">
        <v>368.32863984798684</v>
      </c>
      <c r="AV198" s="237">
        <v>1</v>
      </c>
      <c r="AW198" s="237">
        <v>1</v>
      </c>
      <c r="AX198" s="237">
        <v>1</v>
      </c>
      <c r="AY198" s="244" t="s">
        <v>717</v>
      </c>
      <c r="AZ198" s="244" t="s">
        <v>695</v>
      </c>
      <c r="BA198" s="237">
        <v>0</v>
      </c>
      <c r="BB198" s="245" t="s">
        <v>718</v>
      </c>
      <c r="BC198" s="215" t="s">
        <v>719</v>
      </c>
      <c r="BE198" s="237">
        <v>0</v>
      </c>
      <c r="BF198" s="237">
        <v>10</v>
      </c>
      <c r="BG198" s="246" t="s">
        <v>720</v>
      </c>
      <c r="BI198" s="239">
        <v>0.71951219512195119</v>
      </c>
      <c r="BJ198" s="239">
        <v>0.10975609756097561</v>
      </c>
      <c r="BK198" s="239">
        <v>0.17073170731707318</v>
      </c>
      <c r="BL198" s="239">
        <v>0</v>
      </c>
      <c r="BM198" s="247">
        <v>2.5487804878048781</v>
      </c>
      <c r="BN198" s="248">
        <v>0</v>
      </c>
      <c r="BO198" s="248">
        <v>0</v>
      </c>
      <c r="BP198" s="237">
        <v>0</v>
      </c>
      <c r="BQ198" s="237">
        <v>0</v>
      </c>
      <c r="BR198" s="248">
        <v>0</v>
      </c>
      <c r="BS198" s="237">
        <v>25</v>
      </c>
      <c r="BT198" s="237" t="s">
        <v>721</v>
      </c>
      <c r="BU198" s="249" t="s">
        <v>678</v>
      </c>
      <c r="BV198" s="249" t="s">
        <v>678</v>
      </c>
      <c r="BW198" s="249" t="s">
        <v>678</v>
      </c>
      <c r="BX198" s="249" t="s">
        <v>678</v>
      </c>
      <c r="BY198" s="249" t="s">
        <v>678</v>
      </c>
      <c r="BZ198" s="249" t="s">
        <v>678</v>
      </c>
      <c r="CA198" s="249" t="s">
        <v>678</v>
      </c>
      <c r="CB198" s="249" t="s">
        <v>678</v>
      </c>
      <c r="CC198" s="250" t="s">
        <v>678</v>
      </c>
      <c r="CD198" s="242" t="s">
        <v>678</v>
      </c>
      <c r="CE198" s="252" t="s">
        <v>678</v>
      </c>
      <c r="CF198" s="238">
        <v>74</v>
      </c>
      <c r="CG198" s="238">
        <v>1.8</v>
      </c>
      <c r="CH198" s="238">
        <v>1.9565217391304348</v>
      </c>
      <c r="CI198" s="216" t="s">
        <v>756</v>
      </c>
      <c r="CJ198" s="237">
        <v>1</v>
      </c>
      <c r="CK198" s="253">
        <v>4.6100000000000003</v>
      </c>
      <c r="CL198" s="253">
        <v>0</v>
      </c>
      <c r="CM198" s="254">
        <v>0</v>
      </c>
      <c r="CN198" s="237" t="s">
        <v>88</v>
      </c>
      <c r="CO198" s="242"/>
      <c r="CP198" s="255">
        <v>0</v>
      </c>
      <c r="CV198" s="237">
        <v>1</v>
      </c>
      <c r="CW198" s="261" t="s">
        <v>678</v>
      </c>
      <c r="CX198" s="261" t="s">
        <v>678</v>
      </c>
      <c r="CY198" s="261" t="s">
        <v>678</v>
      </c>
      <c r="DB198" s="216" t="s">
        <v>681</v>
      </c>
      <c r="DC198" s="256"/>
      <c r="DD198" s="256">
        <v>0.8</v>
      </c>
      <c r="DE198" s="256">
        <v>-9</v>
      </c>
      <c r="DF198" s="256">
        <v>-0.3</v>
      </c>
      <c r="DG198" s="256">
        <v>-2.6</v>
      </c>
      <c r="DL198" s="237" t="s">
        <v>529</v>
      </c>
      <c r="DN198" s="237" t="s">
        <v>730</v>
      </c>
      <c r="DO198" s="237">
        <v>1</v>
      </c>
      <c r="DP198" s="258" t="s">
        <v>682</v>
      </c>
      <c r="DQ198" s="258"/>
      <c r="DR198" s="258"/>
      <c r="DS198" s="258"/>
      <c r="DT198" s="258"/>
      <c r="DU198" s="237">
        <v>0</v>
      </c>
      <c r="DX198" s="247"/>
      <c r="DY198" s="247">
        <v>0</v>
      </c>
      <c r="EA198" s="237">
        <v>0</v>
      </c>
      <c r="ED198" s="237" t="s">
        <v>723</v>
      </c>
      <c r="EE198" s="208">
        <v>2</v>
      </c>
      <c r="EF198" s="237" t="s">
        <v>702</v>
      </c>
      <c r="EG198" s="216" t="s">
        <v>703</v>
      </c>
      <c r="EH198" s="246" t="s">
        <v>704</v>
      </c>
      <c r="EI198" s="216"/>
      <c r="EJ198" s="216" t="s">
        <v>529</v>
      </c>
      <c r="EK198" s="222" t="s">
        <v>682</v>
      </c>
      <c r="EL198" s="259">
        <v>2010</v>
      </c>
      <c r="EM198" s="263">
        <v>260</v>
      </c>
      <c r="EN198" s="260">
        <v>6056</v>
      </c>
      <c r="EO198" s="260">
        <v>2447</v>
      </c>
      <c r="ER198" s="237" t="s">
        <v>705</v>
      </c>
      <c r="ES198" s="237" t="e">
        <v>#DIV/0!</v>
      </c>
      <c r="ET198" s="237">
        <v>9.411538461538461</v>
      </c>
      <c r="EU198" s="661">
        <v>8</v>
      </c>
      <c r="EV198" s="661" t="s">
        <v>678</v>
      </c>
      <c r="EW198" s="661">
        <v>0</v>
      </c>
      <c r="EX198" s="661">
        <v>4</v>
      </c>
      <c r="EY198" s="660">
        <v>3.4454409566517193E-3</v>
      </c>
      <c r="EZ198" s="256">
        <v>19.956616052060735</v>
      </c>
      <c r="FA198" s="247">
        <v>0.12269938650306748</v>
      </c>
      <c r="FB198" s="208">
        <v>1</v>
      </c>
      <c r="FC198" s="208">
        <v>2</v>
      </c>
      <c r="FD198" s="208">
        <v>1</v>
      </c>
      <c r="FE198" s="239">
        <v>0.97791411042944787</v>
      </c>
      <c r="FF198" s="208">
        <v>1</v>
      </c>
      <c r="FG198" s="241">
        <v>0</v>
      </c>
      <c r="FH198" s="209">
        <v>0</v>
      </c>
      <c r="FI198" s="237" t="s">
        <v>678</v>
      </c>
      <c r="FJ198" s="208">
        <v>45.9</v>
      </c>
      <c r="FK198" s="208">
        <v>0</v>
      </c>
      <c r="FL198" s="217">
        <v>8</v>
      </c>
      <c r="FM198" s="208">
        <v>11.37</v>
      </c>
      <c r="FN198" s="208" t="s">
        <v>1425</v>
      </c>
      <c r="FP198" s="247" t="s">
        <v>693</v>
      </c>
      <c r="FR198" s="237">
        <v>18</v>
      </c>
      <c r="FS198" s="237">
        <v>6</v>
      </c>
      <c r="FT198" s="237">
        <v>2</v>
      </c>
      <c r="FU198" s="208">
        <v>27</v>
      </c>
      <c r="FV198" s="208">
        <v>19.600000000000001</v>
      </c>
      <c r="FW198" s="237">
        <v>87.38</v>
      </c>
      <c r="FX198" s="237">
        <v>78</v>
      </c>
      <c r="FY198" s="208">
        <v>51.38</v>
      </c>
      <c r="FZ198" s="208">
        <v>63</v>
      </c>
      <c r="GA198" s="208">
        <v>60.98</v>
      </c>
      <c r="GB198" s="208">
        <v>68.2</v>
      </c>
      <c r="GC198" s="208">
        <v>0</v>
      </c>
      <c r="GD198" s="208">
        <v>11.3</v>
      </c>
      <c r="GE198" s="237">
        <v>63.03</v>
      </c>
      <c r="GF198" s="237">
        <v>81.3</v>
      </c>
      <c r="GG198" s="237">
        <v>3.52</v>
      </c>
      <c r="GH198" s="237">
        <v>32.1</v>
      </c>
      <c r="GJ198" s="947"/>
      <c r="GK198" s="320"/>
      <c r="GL198" s="320"/>
      <c r="GM198" s="320"/>
      <c r="GN198" s="320"/>
      <c r="GO198" s="662">
        <v>8195</v>
      </c>
      <c r="GP198" s="663" t="str">
        <f>VLOOKUP(GS198,'BD Comarcal'!$A$6:$AV$17,48,FALSE)</f>
        <v>24</v>
      </c>
      <c r="GQ198" s="564">
        <v>2</v>
      </c>
      <c r="GR198" s="256">
        <f t="shared" si="2"/>
        <v>0</v>
      </c>
      <c r="GS198" s="237" t="s">
        <v>88</v>
      </c>
    </row>
    <row r="199" spans="1:201" s="237" customFormat="1" ht="17.25" customHeight="1">
      <c r="A199" s="236" t="s">
        <v>1426</v>
      </c>
      <c r="C199" s="238"/>
      <c r="D199" s="238">
        <v>552</v>
      </c>
      <c r="E199" s="238">
        <v>199</v>
      </c>
      <c r="F199" s="239">
        <v>0.36050724637681159</v>
      </c>
      <c r="G199" s="238">
        <v>132</v>
      </c>
      <c r="H199" s="240">
        <v>67.971479081275945</v>
      </c>
      <c r="I199" s="239">
        <v>0.34156522151394947</v>
      </c>
      <c r="J199" s="238">
        <v>25</v>
      </c>
      <c r="K199" s="238">
        <v>47</v>
      </c>
      <c r="L199" s="238" t="s">
        <v>678</v>
      </c>
      <c r="M199" s="241" t="s">
        <v>678</v>
      </c>
      <c r="N199" s="238" t="s">
        <v>678</v>
      </c>
      <c r="O199" s="239" t="s">
        <v>678</v>
      </c>
      <c r="P199" s="237" t="s">
        <v>678</v>
      </c>
      <c r="Q199" s="237" t="s">
        <v>678</v>
      </c>
      <c r="R199" s="239" t="s">
        <v>678</v>
      </c>
      <c r="S199" s="238" t="s">
        <v>678</v>
      </c>
      <c r="T199" s="436">
        <v>0</v>
      </c>
      <c r="U199" s="436">
        <v>0</v>
      </c>
      <c r="V199" s="436">
        <v>238</v>
      </c>
      <c r="W199" s="436">
        <v>238</v>
      </c>
      <c r="X199" s="238">
        <v>27434</v>
      </c>
      <c r="Y199" s="237">
        <v>0.12820000000000001</v>
      </c>
      <c r="Z199" s="238">
        <v>365144</v>
      </c>
      <c r="AA199" s="238">
        <v>13356</v>
      </c>
      <c r="AB199" s="238">
        <v>81.599999999999994</v>
      </c>
      <c r="AC199" s="238">
        <v>5136</v>
      </c>
      <c r="AD199" s="238">
        <v>24393076.249999996</v>
      </c>
      <c r="AE199" s="238">
        <v>2843372.2400000021</v>
      </c>
      <c r="AF199" s="238">
        <v>21849206.650000002</v>
      </c>
      <c r="AG199" s="238">
        <v>861181.34</v>
      </c>
      <c r="AH199" s="239">
        <v>3.9414764746160701E-2</v>
      </c>
      <c r="AI199" s="247">
        <v>388.40369399999997</v>
      </c>
      <c r="AJ199" s="242">
        <v>64.049347999999995</v>
      </c>
      <c r="AK199" s="242">
        <v>11.603142753623187</v>
      </c>
      <c r="AL199" s="242" t="s">
        <v>678</v>
      </c>
      <c r="AM199" s="242" t="s">
        <v>678</v>
      </c>
      <c r="AN199" s="242">
        <v>35842.120000000003</v>
      </c>
      <c r="AO199" s="238">
        <v>367.39</v>
      </c>
      <c r="AP199" s="243">
        <v>2</v>
      </c>
      <c r="AQ199" s="238"/>
      <c r="AR199" s="238">
        <v>1078.109675084225</v>
      </c>
      <c r="AS199" s="238">
        <v>1885.409071758578</v>
      </c>
      <c r="AT199" s="238">
        <v>1653798.6666666667</v>
      </c>
      <c r="AU199" s="238">
        <v>235.87100910196241</v>
      </c>
      <c r="AV199" s="237">
        <v>1</v>
      </c>
      <c r="AW199" s="237">
        <v>1</v>
      </c>
      <c r="AX199" s="237">
        <v>1</v>
      </c>
      <c r="AY199" s="244" t="s">
        <v>717</v>
      </c>
      <c r="AZ199" s="244" t="s">
        <v>682</v>
      </c>
      <c r="BA199" s="237">
        <v>2011</v>
      </c>
      <c r="BB199" s="245" t="s">
        <v>1022</v>
      </c>
      <c r="BC199" s="215" t="s">
        <v>1023</v>
      </c>
      <c r="BE199" s="237">
        <v>125</v>
      </c>
      <c r="BF199" s="237">
        <v>102</v>
      </c>
      <c r="BG199" s="246" t="s">
        <v>676</v>
      </c>
      <c r="BI199" s="239">
        <v>0.32586184296762355</v>
      </c>
      <c r="BJ199" s="239">
        <v>0.12242757897496395</v>
      </c>
      <c r="BK199" s="239">
        <v>0.54528771791846897</v>
      </c>
      <c r="BL199" s="239">
        <v>6.422860138943505E-3</v>
      </c>
      <c r="BM199" s="247">
        <v>1.7677284047712676</v>
      </c>
      <c r="BN199" s="248">
        <v>1</v>
      </c>
      <c r="BO199" s="248">
        <v>1</v>
      </c>
      <c r="BP199" s="237">
        <v>0</v>
      </c>
      <c r="BQ199" s="237">
        <v>0</v>
      </c>
      <c r="BR199" s="248">
        <v>2</v>
      </c>
      <c r="BS199" s="237">
        <v>7</v>
      </c>
      <c r="BT199" s="237" t="s">
        <v>677</v>
      </c>
      <c r="BU199" s="249">
        <v>2665</v>
      </c>
      <c r="BV199" s="249">
        <v>2539</v>
      </c>
      <c r="BW199" s="249">
        <v>13651</v>
      </c>
      <c r="BX199" s="249">
        <v>2349</v>
      </c>
      <c r="BY199" s="249">
        <v>9.7515459768012001</v>
      </c>
      <c r="BZ199" s="249">
        <v>9.2904972739580671</v>
      </c>
      <c r="CA199" s="249">
        <v>49.950601924695377</v>
      </c>
      <c r="CB199" s="249">
        <v>8.5952651030041345</v>
      </c>
      <c r="CC199" s="250">
        <v>97.786234403015115</v>
      </c>
      <c r="CD199" s="242">
        <v>-565</v>
      </c>
      <c r="CE199" s="252">
        <v>97.932599070584359</v>
      </c>
      <c r="CF199" s="238">
        <v>10301</v>
      </c>
      <c r="CG199" s="238">
        <v>2301.8000000000002</v>
      </c>
      <c r="CH199" s="238">
        <v>8.422554795272422</v>
      </c>
      <c r="CI199" s="216" t="s">
        <v>679</v>
      </c>
      <c r="CJ199" s="237">
        <v>0</v>
      </c>
      <c r="CK199" s="253">
        <v>307.36</v>
      </c>
      <c r="CL199" s="253">
        <v>80.479799999999997</v>
      </c>
      <c r="CM199" s="254">
        <v>0.14579673913043478</v>
      </c>
      <c r="CN199" s="237" t="s">
        <v>90</v>
      </c>
      <c r="CO199" s="242"/>
      <c r="CP199" s="255">
        <v>0</v>
      </c>
      <c r="CV199" s="237">
        <v>11</v>
      </c>
      <c r="CW199" s="194">
        <v>1.038</v>
      </c>
      <c r="CX199" s="194" t="s">
        <v>680</v>
      </c>
      <c r="CY199" s="194">
        <v>1.673</v>
      </c>
      <c r="DB199" s="216"/>
      <c r="DC199" s="195" t="s">
        <v>1211</v>
      </c>
      <c r="DD199" s="256">
        <v>0.7</v>
      </c>
      <c r="DE199" s="256">
        <v>-6.5</v>
      </c>
      <c r="DF199" s="256">
        <v>0.7</v>
      </c>
      <c r="DG199" s="256">
        <v>-2.2000000000000002</v>
      </c>
      <c r="DL199" s="237" t="s">
        <v>682</v>
      </c>
      <c r="DP199" s="258" t="s">
        <v>682</v>
      </c>
      <c r="DQ199" s="258"/>
      <c r="DR199" s="258"/>
      <c r="DS199" s="258"/>
      <c r="DT199" s="258"/>
      <c r="DU199" s="237">
        <v>0</v>
      </c>
      <c r="DX199" s="247"/>
      <c r="DY199" s="247">
        <v>0</v>
      </c>
      <c r="EA199" s="237">
        <v>1</v>
      </c>
      <c r="EB199" s="237" t="s">
        <v>1044</v>
      </c>
      <c r="ED199" s="237" t="s">
        <v>678</v>
      </c>
      <c r="EE199" s="208">
        <v>2</v>
      </c>
      <c r="EF199" s="237" t="s">
        <v>678</v>
      </c>
      <c r="EG199" s="216" t="s">
        <v>689</v>
      </c>
      <c r="EH199" s="246" t="s">
        <v>690</v>
      </c>
      <c r="EI199" s="216" t="s">
        <v>691</v>
      </c>
      <c r="EJ199" s="216" t="s">
        <v>529</v>
      </c>
      <c r="EK199" s="222" t="s">
        <v>682</v>
      </c>
      <c r="EL199" s="259">
        <v>1981</v>
      </c>
      <c r="EM199" s="263">
        <v>5500</v>
      </c>
      <c r="EN199" s="260">
        <v>1029891</v>
      </c>
      <c r="EO199" s="260">
        <v>611135</v>
      </c>
      <c r="ER199" s="237" t="s">
        <v>705</v>
      </c>
      <c r="ES199" s="237">
        <v>13664.5</v>
      </c>
      <c r="ET199" s="237">
        <v>111.11545454545454</v>
      </c>
      <c r="EU199" s="661">
        <v>1</v>
      </c>
      <c r="EV199" s="661">
        <v>9</v>
      </c>
      <c r="EW199" s="661" t="s">
        <v>678</v>
      </c>
      <c r="EX199" s="661">
        <v>9</v>
      </c>
      <c r="EY199" s="660">
        <v>0.55681159420289861</v>
      </c>
      <c r="EZ199" s="256">
        <v>88.915278500780843</v>
      </c>
      <c r="FA199" s="247">
        <v>5.5276381909547743</v>
      </c>
      <c r="FB199" s="208" t="s">
        <v>678</v>
      </c>
      <c r="FC199" s="208" t="s">
        <v>678</v>
      </c>
      <c r="FD199" s="208">
        <v>4</v>
      </c>
      <c r="FE199" s="239">
        <v>0.66331658291457285</v>
      </c>
      <c r="FF199" s="208"/>
      <c r="FG199" s="241">
        <v>0</v>
      </c>
      <c r="FH199" s="209">
        <v>0</v>
      </c>
      <c r="FI199" s="237" t="s">
        <v>678</v>
      </c>
      <c r="FJ199" s="208" t="s">
        <v>678</v>
      </c>
      <c r="FK199" s="208" t="s">
        <v>678</v>
      </c>
      <c r="FL199" s="217" t="s">
        <v>678</v>
      </c>
      <c r="FM199" s="208" t="s">
        <v>678</v>
      </c>
      <c r="FN199" s="208" t="s">
        <v>678</v>
      </c>
      <c r="FP199" s="247" t="s">
        <v>693</v>
      </c>
      <c r="FU199" s="208" t="s">
        <v>678</v>
      </c>
      <c r="FV199" s="208" t="s">
        <v>678</v>
      </c>
      <c r="FW199" s="208" t="s">
        <v>678</v>
      </c>
      <c r="FX199" s="208" t="s">
        <v>678</v>
      </c>
      <c r="FY199" s="208" t="s">
        <v>678</v>
      </c>
      <c r="FZ199" s="208" t="s">
        <v>678</v>
      </c>
      <c r="GA199" s="208" t="s">
        <v>678</v>
      </c>
      <c r="GB199" s="208" t="s">
        <v>678</v>
      </c>
      <c r="GC199" s="208" t="s">
        <v>678</v>
      </c>
      <c r="GD199" s="208" t="s">
        <v>678</v>
      </c>
      <c r="GE199" s="237" t="s">
        <v>678</v>
      </c>
      <c r="GF199" s="237" t="s">
        <v>678</v>
      </c>
      <c r="GG199" s="237" t="s">
        <v>678</v>
      </c>
      <c r="GH199" s="237" t="s">
        <v>678</v>
      </c>
      <c r="GJ199" s="947">
        <v>698</v>
      </c>
      <c r="GK199" s="320">
        <v>0</v>
      </c>
      <c r="GL199" s="320">
        <v>0.33900000000000002</v>
      </c>
      <c r="GM199" s="320">
        <v>4.1000000000000002E-2</v>
      </c>
      <c r="GN199" s="320">
        <v>0.62</v>
      </c>
      <c r="GO199" s="662">
        <v>8196</v>
      </c>
      <c r="GP199" s="663" t="str">
        <f>VLOOKUP(GS199,'BD Comarcal'!$A$6:$AV$17,48,FALSE)</f>
        <v>11</v>
      </c>
      <c r="GQ199" s="564">
        <v>180</v>
      </c>
      <c r="GR199" s="256">
        <f t="shared" ref="GR199:GR262" si="3">IF(DI199&gt;0,1,0)</f>
        <v>0</v>
      </c>
      <c r="GS199" s="237" t="s">
        <v>90</v>
      </c>
    </row>
    <row r="200" spans="1:201" s="237" customFormat="1" ht="17.25" customHeight="1">
      <c r="A200" s="236" t="s">
        <v>351</v>
      </c>
      <c r="C200" s="238" t="s">
        <v>683</v>
      </c>
      <c r="D200" s="238">
        <v>1190</v>
      </c>
      <c r="E200" s="238">
        <v>957</v>
      </c>
      <c r="F200" s="239">
        <v>0.80420168067226894</v>
      </c>
      <c r="G200" s="238">
        <v>607</v>
      </c>
      <c r="H200" s="240">
        <v>61.886133687375221</v>
      </c>
      <c r="I200" s="239">
        <v>6.4666806360893642E-2</v>
      </c>
      <c r="J200" s="238">
        <v>100</v>
      </c>
      <c r="K200" s="238">
        <v>1</v>
      </c>
      <c r="L200" s="238">
        <v>73</v>
      </c>
      <c r="M200" s="241">
        <v>6.1344537815126048E-2</v>
      </c>
      <c r="N200" s="238">
        <v>2</v>
      </c>
      <c r="O200" s="239">
        <v>0.02</v>
      </c>
      <c r="P200" s="237">
        <v>1</v>
      </c>
      <c r="Q200" s="237">
        <v>0</v>
      </c>
      <c r="R200" s="239">
        <v>0</v>
      </c>
      <c r="S200" s="238">
        <v>6</v>
      </c>
      <c r="T200" s="436">
        <v>0</v>
      </c>
      <c r="U200" s="436">
        <v>0</v>
      </c>
      <c r="V200" s="436">
        <v>53</v>
      </c>
      <c r="W200" s="436">
        <v>53</v>
      </c>
      <c r="X200" s="238">
        <v>10663</v>
      </c>
      <c r="Y200" s="237">
        <v>0.15279999999999999</v>
      </c>
      <c r="Z200" s="238">
        <v>230991</v>
      </c>
      <c r="AA200" s="238">
        <v>22014</v>
      </c>
      <c r="AB200" s="238">
        <v>134.51</v>
      </c>
      <c r="AC200" s="238">
        <v>2355</v>
      </c>
      <c r="AD200" s="238">
        <v>14461233.919999998</v>
      </c>
      <c r="AE200" s="238">
        <v>1913999.7299999986</v>
      </c>
      <c r="AF200" s="238">
        <v>13449130.41</v>
      </c>
      <c r="AG200" s="238">
        <v>1500890.07</v>
      </c>
      <c r="AH200" s="239">
        <v>0.11159755495299714</v>
      </c>
      <c r="AI200" s="247">
        <v>369.34012899999999</v>
      </c>
      <c r="AJ200" s="242">
        <v>91.065725</v>
      </c>
      <c r="AK200" s="242">
        <v>7.6525819327731091</v>
      </c>
      <c r="AL200" s="242">
        <v>227.36067800000001</v>
      </c>
      <c r="AM200" s="242">
        <v>19.105939327731093</v>
      </c>
      <c r="AN200" s="242">
        <v>28112.639999999999</v>
      </c>
      <c r="AO200" s="238">
        <v>4135.97</v>
      </c>
      <c r="AP200" s="243">
        <v>13</v>
      </c>
      <c r="AQ200" s="238">
        <v>1</v>
      </c>
      <c r="AR200" s="238">
        <v>1824.891512061927</v>
      </c>
      <c r="AS200" s="238">
        <v>2171.0680818416258</v>
      </c>
      <c r="AT200" s="238">
        <v>1067902.3333333333</v>
      </c>
      <c r="AU200" s="238">
        <v>476.68522480468147</v>
      </c>
      <c r="AV200" s="237">
        <v>1</v>
      </c>
      <c r="AW200" s="237">
        <v>0</v>
      </c>
      <c r="AX200" s="237">
        <v>1</v>
      </c>
      <c r="AY200" s="244" t="s">
        <v>682</v>
      </c>
      <c r="AZ200" s="244" t="s">
        <v>682</v>
      </c>
      <c r="BA200" s="237">
        <v>2011</v>
      </c>
      <c r="BB200" s="245" t="s">
        <v>736</v>
      </c>
      <c r="BC200" s="215" t="s">
        <v>737</v>
      </c>
      <c r="BE200" s="237">
        <v>403</v>
      </c>
      <c r="BF200" s="237">
        <v>2</v>
      </c>
      <c r="BG200" s="246" t="s">
        <v>676</v>
      </c>
      <c r="BI200" s="239">
        <v>0.36373507057546145</v>
      </c>
      <c r="BJ200" s="239">
        <v>0.16327361563517914</v>
      </c>
      <c r="BK200" s="239">
        <v>0.39576547231270359</v>
      </c>
      <c r="BL200" s="239">
        <v>7.7225841476655815E-2</v>
      </c>
      <c r="BM200" s="247">
        <v>1.8135179153094463</v>
      </c>
      <c r="BN200" s="248">
        <v>0</v>
      </c>
      <c r="BO200" s="248">
        <v>1</v>
      </c>
      <c r="BP200" s="237">
        <v>0</v>
      </c>
      <c r="BQ200" s="237">
        <v>0</v>
      </c>
      <c r="BR200" s="248">
        <v>1</v>
      </c>
      <c r="BS200" s="237">
        <v>8</v>
      </c>
      <c r="BT200" s="237" t="s">
        <v>345</v>
      </c>
      <c r="BU200" s="249" t="s">
        <v>678</v>
      </c>
      <c r="BV200" s="249">
        <v>662</v>
      </c>
      <c r="BW200" s="249">
        <v>4512</v>
      </c>
      <c r="BX200" s="249">
        <v>2695</v>
      </c>
      <c r="BY200" s="249" t="s">
        <v>678</v>
      </c>
      <c r="BZ200" s="249">
        <v>6.2701269179768895</v>
      </c>
      <c r="CA200" s="249">
        <v>42.735366546694451</v>
      </c>
      <c r="CB200" s="249">
        <v>25.525667740102293</v>
      </c>
      <c r="CC200" s="250" t="s">
        <v>678</v>
      </c>
      <c r="CD200" s="242">
        <v>-545</v>
      </c>
      <c r="CE200" s="252">
        <v>94.838037507103621</v>
      </c>
      <c r="CF200" s="238">
        <v>5796</v>
      </c>
      <c r="CG200" s="238">
        <v>561.79999999999995</v>
      </c>
      <c r="CH200" s="238">
        <v>5.321083538548967</v>
      </c>
      <c r="CI200" s="216" t="s">
        <v>700</v>
      </c>
      <c r="CJ200" s="237">
        <v>0</v>
      </c>
      <c r="CK200" s="253">
        <v>374.86</v>
      </c>
      <c r="CL200" s="253">
        <v>92.545900000000003</v>
      </c>
      <c r="CM200" s="254">
        <v>7.7769663865546221E-2</v>
      </c>
      <c r="CN200" s="237" t="s">
        <v>86</v>
      </c>
      <c r="CO200" s="242"/>
      <c r="CP200" s="255">
        <v>0</v>
      </c>
      <c r="CV200" s="237">
        <v>2</v>
      </c>
      <c r="CW200" s="194">
        <v>0.91200000000000003</v>
      </c>
      <c r="CX200" s="194">
        <v>0.63500000000000001</v>
      </c>
      <c r="CY200" s="194">
        <v>0.15</v>
      </c>
      <c r="DB200" s="216" t="s">
        <v>681</v>
      </c>
      <c r="DC200" s="256"/>
      <c r="DD200" s="256">
        <v>0.7</v>
      </c>
      <c r="DE200" s="256">
        <v>-6.5</v>
      </c>
      <c r="DF200" s="256">
        <v>0.7</v>
      </c>
      <c r="DG200" s="256">
        <v>-2.2000000000000002</v>
      </c>
      <c r="DL200" s="237" t="s">
        <v>529</v>
      </c>
      <c r="DM200" s="270" t="s">
        <v>764</v>
      </c>
      <c r="DN200" s="237" t="s">
        <v>713</v>
      </c>
      <c r="DP200" s="258" t="s">
        <v>683</v>
      </c>
      <c r="DQ200" s="258" t="s">
        <v>1193</v>
      </c>
      <c r="DR200" s="258" t="s">
        <v>1427</v>
      </c>
      <c r="DS200" s="258"/>
      <c r="DT200" s="258"/>
      <c r="DU200" s="237">
        <v>0</v>
      </c>
      <c r="DX200" s="247"/>
      <c r="DY200" s="247">
        <v>0</v>
      </c>
      <c r="EA200" s="237">
        <v>1</v>
      </c>
      <c r="EB200" s="237" t="s">
        <v>741</v>
      </c>
      <c r="ED200" s="237" t="s">
        <v>940</v>
      </c>
      <c r="EE200" s="208">
        <v>1</v>
      </c>
      <c r="EF200" s="237" t="s">
        <v>702</v>
      </c>
      <c r="EG200" s="216" t="s">
        <v>689</v>
      </c>
      <c r="EH200" s="246" t="s">
        <v>690</v>
      </c>
      <c r="EI200" s="216" t="s">
        <v>691</v>
      </c>
      <c r="EJ200" s="216" t="s">
        <v>529</v>
      </c>
      <c r="EK200" s="222" t="s">
        <v>682</v>
      </c>
      <c r="EL200" s="259">
        <v>2013</v>
      </c>
      <c r="EM200" s="263">
        <v>14000</v>
      </c>
      <c r="EN200" s="260">
        <v>743846</v>
      </c>
      <c r="EO200" s="260">
        <v>326002</v>
      </c>
      <c r="ER200" s="237" t="s">
        <v>705</v>
      </c>
      <c r="ES200" s="237">
        <v>10558</v>
      </c>
      <c r="ET200" s="237">
        <v>23.285857142857143</v>
      </c>
      <c r="EU200" s="661">
        <v>1</v>
      </c>
      <c r="EV200" s="661">
        <v>2</v>
      </c>
      <c r="EW200" s="661">
        <v>5</v>
      </c>
      <c r="EX200" s="661">
        <v>5</v>
      </c>
      <c r="EY200" s="660">
        <v>0.31500840336134456</v>
      </c>
      <c r="EZ200" s="256">
        <v>28.165181667822655</v>
      </c>
      <c r="FA200" s="247">
        <v>0.2089864158829676</v>
      </c>
      <c r="FB200" s="208">
        <v>4</v>
      </c>
      <c r="FC200" s="208">
        <v>4</v>
      </c>
      <c r="FD200" s="208">
        <v>3</v>
      </c>
      <c r="FE200" s="239">
        <v>0.63427377220480674</v>
      </c>
      <c r="FF200" s="208"/>
      <c r="FG200" s="241">
        <v>0</v>
      </c>
      <c r="FH200" s="209">
        <v>0</v>
      </c>
      <c r="FI200" s="237" t="s">
        <v>678</v>
      </c>
      <c r="FJ200" s="208">
        <v>37.799999999999997</v>
      </c>
      <c r="FK200" s="208">
        <v>0.28999999999999998</v>
      </c>
      <c r="FL200" s="217">
        <v>23.3</v>
      </c>
      <c r="FM200" s="208">
        <v>3.78</v>
      </c>
      <c r="FN200" s="208" t="s">
        <v>1428</v>
      </c>
      <c r="FO200" s="237">
        <v>310</v>
      </c>
      <c r="FP200" s="247">
        <v>0.26050420168067229</v>
      </c>
      <c r="FU200" s="208">
        <v>28</v>
      </c>
      <c r="FV200" s="208">
        <v>22.6</v>
      </c>
      <c r="FW200" s="237">
        <v>85.81</v>
      </c>
      <c r="FX200" s="237">
        <v>76.2</v>
      </c>
      <c r="FY200" s="208">
        <v>40.93</v>
      </c>
      <c r="FZ200" s="208">
        <v>55</v>
      </c>
      <c r="GA200" s="208">
        <v>50.59</v>
      </c>
      <c r="GB200" s="208">
        <v>52.8</v>
      </c>
      <c r="GC200" s="208">
        <v>0.01</v>
      </c>
      <c r="GD200" s="208">
        <v>14.6</v>
      </c>
      <c r="GE200" s="237">
        <v>39.130000000000003</v>
      </c>
      <c r="GF200" s="237">
        <v>48.5</v>
      </c>
      <c r="GG200" s="237">
        <v>0</v>
      </c>
      <c r="GH200" s="237">
        <v>1.2</v>
      </c>
      <c r="GJ200" s="947">
        <v>143</v>
      </c>
      <c r="GK200" s="320">
        <v>3.5999999999999997E-2</v>
      </c>
      <c r="GL200" s="320">
        <v>3.9E-2</v>
      </c>
      <c r="GM200" s="320">
        <v>8.3000000000000004E-2</v>
      </c>
      <c r="GN200" s="320">
        <v>0.84099999999999997</v>
      </c>
      <c r="GO200" s="662">
        <v>8197</v>
      </c>
      <c r="GP200" s="663" t="str">
        <f>VLOOKUP(GS200,'BD Comarcal'!$A$6:$AV$17,48,FALSE)</f>
        <v>21</v>
      </c>
      <c r="GQ200" s="564">
        <v>89</v>
      </c>
      <c r="GR200" s="256">
        <f t="shared" si="3"/>
        <v>0</v>
      </c>
      <c r="GS200" s="237" t="s">
        <v>86</v>
      </c>
    </row>
    <row r="201" spans="1:201" s="237" customFormat="1" ht="17.25" customHeight="1">
      <c r="A201" s="236" t="s">
        <v>1429</v>
      </c>
      <c r="C201" s="238"/>
      <c r="D201" s="238">
        <v>1392</v>
      </c>
      <c r="E201" s="238">
        <v>437</v>
      </c>
      <c r="F201" s="239">
        <v>0.31393678160919541</v>
      </c>
      <c r="G201" s="238">
        <v>425</v>
      </c>
      <c r="H201" s="240">
        <v>306.97202968495054</v>
      </c>
      <c r="I201" s="239">
        <v>0.70245315717379986</v>
      </c>
      <c r="J201" s="238">
        <v>739</v>
      </c>
      <c r="K201" s="238">
        <v>171</v>
      </c>
      <c r="L201" s="238">
        <v>183</v>
      </c>
      <c r="M201" s="241">
        <v>0.13146551724137931</v>
      </c>
      <c r="N201" s="238">
        <v>12</v>
      </c>
      <c r="O201" s="239">
        <v>1.6238159675236806E-2</v>
      </c>
      <c r="P201" s="237">
        <v>24</v>
      </c>
      <c r="Q201" s="237">
        <v>0</v>
      </c>
      <c r="R201" s="239">
        <v>0</v>
      </c>
      <c r="S201" s="238">
        <v>3917</v>
      </c>
      <c r="T201" s="436">
        <v>0</v>
      </c>
      <c r="U201" s="436">
        <v>16</v>
      </c>
      <c r="V201" s="436">
        <v>16</v>
      </c>
      <c r="W201" s="436">
        <v>32</v>
      </c>
      <c r="X201" s="238">
        <v>5862</v>
      </c>
      <c r="Y201" s="237">
        <v>0.1361</v>
      </c>
      <c r="Z201" s="238">
        <v>97022</v>
      </c>
      <c r="AA201" s="238">
        <v>16760</v>
      </c>
      <c r="AB201" s="238">
        <v>102.4</v>
      </c>
      <c r="AC201" s="238">
        <v>436</v>
      </c>
      <c r="AD201" s="238">
        <v>5821845.3200000012</v>
      </c>
      <c r="AE201" s="238">
        <v>947455.31999999937</v>
      </c>
      <c r="AF201" s="238">
        <v>4923581.8</v>
      </c>
      <c r="AG201" s="238">
        <v>330329.34999999998</v>
      </c>
      <c r="AH201" s="239">
        <v>6.7091268799474399E-2</v>
      </c>
      <c r="AI201" s="247">
        <v>276.40773300000001</v>
      </c>
      <c r="AJ201" s="242">
        <v>22.689641999999999</v>
      </c>
      <c r="AK201" s="242">
        <v>1.6300030172413793</v>
      </c>
      <c r="AL201" s="242">
        <v>185.609872</v>
      </c>
      <c r="AM201" s="242">
        <v>13.334042528735631</v>
      </c>
      <c r="AN201" s="242">
        <v>26090.39</v>
      </c>
      <c r="AO201" s="238">
        <v>2114.77</v>
      </c>
      <c r="AP201" s="243">
        <v>7</v>
      </c>
      <c r="AQ201" s="238">
        <v>1</v>
      </c>
      <c r="AR201" s="238">
        <v>1804.2446779387828</v>
      </c>
      <c r="AS201" s="238">
        <v>2018.767180669598</v>
      </c>
      <c r="AT201" s="238">
        <v>363438</v>
      </c>
      <c r="AU201" s="238">
        <v>331.08322891741227</v>
      </c>
      <c r="AV201" s="237">
        <v>1</v>
      </c>
      <c r="AW201" s="237">
        <v>0</v>
      </c>
      <c r="AX201" s="237">
        <v>1</v>
      </c>
      <c r="AY201" s="244" t="s">
        <v>682</v>
      </c>
      <c r="AZ201" s="244" t="s">
        <v>682</v>
      </c>
      <c r="BA201" s="237">
        <v>2009</v>
      </c>
      <c r="BB201" s="245" t="s">
        <v>921</v>
      </c>
      <c r="BC201" s="215" t="s">
        <v>922</v>
      </c>
      <c r="BD201" s="237">
        <v>1</v>
      </c>
      <c r="BE201" s="237">
        <v>2</v>
      </c>
      <c r="BF201" s="237">
        <v>39</v>
      </c>
      <c r="BG201" s="246" t="s">
        <v>698</v>
      </c>
      <c r="BI201" s="239">
        <v>0.35344336937962434</v>
      </c>
      <c r="BJ201" s="239">
        <v>0.13431986340352875</v>
      </c>
      <c r="BK201" s="239">
        <v>0.47865680136596472</v>
      </c>
      <c r="BL201" s="239">
        <v>3.3579965850882187E-2</v>
      </c>
      <c r="BM201" s="247">
        <v>1.8076266363118951</v>
      </c>
      <c r="BN201" s="248">
        <v>0</v>
      </c>
      <c r="BO201" s="248">
        <v>0</v>
      </c>
      <c r="BP201" s="237">
        <v>0</v>
      </c>
      <c r="BQ201" s="237">
        <v>0</v>
      </c>
      <c r="BR201" s="248">
        <v>0</v>
      </c>
      <c r="BS201" s="237">
        <v>14</v>
      </c>
      <c r="BT201" s="237" t="s">
        <v>729</v>
      </c>
      <c r="BU201" s="249" t="s">
        <v>678</v>
      </c>
      <c r="BV201" s="249">
        <v>536</v>
      </c>
      <c r="BW201" s="249">
        <v>2733</v>
      </c>
      <c r="BX201" s="249">
        <v>921</v>
      </c>
      <c r="BY201" s="249" t="s">
        <v>678</v>
      </c>
      <c r="BZ201" s="249">
        <v>9.3755466153577043</v>
      </c>
      <c r="CA201" s="249">
        <v>47.804792723456359</v>
      </c>
      <c r="CB201" s="249">
        <v>16.109847822284415</v>
      </c>
      <c r="CC201" s="250" t="s">
        <v>678</v>
      </c>
      <c r="CD201" s="242">
        <v>-343</v>
      </c>
      <c r="CE201" s="252">
        <v>94.000349833828935</v>
      </c>
      <c r="CF201" s="238">
        <v>2772</v>
      </c>
      <c r="CG201" s="238">
        <v>419</v>
      </c>
      <c r="CH201" s="238">
        <v>7.3290187161098475</v>
      </c>
      <c r="CI201" s="216" t="s">
        <v>700</v>
      </c>
      <c r="CJ201" s="237">
        <v>0</v>
      </c>
      <c r="CK201" s="253">
        <v>286.47000000000003</v>
      </c>
      <c r="CL201" s="253">
        <v>47.6633</v>
      </c>
      <c r="CM201" s="254">
        <v>3.4240876436781607E-2</v>
      </c>
      <c r="CN201" s="237" t="s">
        <v>24</v>
      </c>
      <c r="CO201" s="242"/>
      <c r="CP201" s="255">
        <v>0</v>
      </c>
      <c r="CV201" s="237">
        <v>5</v>
      </c>
      <c r="CW201" s="194">
        <v>1.42</v>
      </c>
      <c r="CX201" s="194">
        <v>0.63500000000000001</v>
      </c>
      <c r="CY201" s="194" t="s">
        <v>680</v>
      </c>
      <c r="DB201" s="216"/>
      <c r="DC201" s="195" t="s">
        <v>903</v>
      </c>
      <c r="DD201" s="256">
        <v>0.8</v>
      </c>
      <c r="DE201" s="256">
        <v>-10</v>
      </c>
      <c r="DF201" s="256">
        <v>0.5</v>
      </c>
      <c r="DG201" s="256">
        <v>-2.2999999999999998</v>
      </c>
      <c r="DH201" s="257">
        <v>1</v>
      </c>
      <c r="DI201" s="257">
        <v>12.64</v>
      </c>
      <c r="DJ201" s="257">
        <v>0.15</v>
      </c>
      <c r="DK201" s="257">
        <v>12.79</v>
      </c>
      <c r="DL201" s="237" t="s">
        <v>529</v>
      </c>
      <c r="DN201" s="237" t="s">
        <v>730</v>
      </c>
      <c r="DP201" s="258" t="s">
        <v>682</v>
      </c>
      <c r="DQ201" s="258"/>
      <c r="DR201" s="258"/>
      <c r="DS201" s="258"/>
      <c r="DT201" s="258"/>
      <c r="DU201" s="237">
        <v>0</v>
      </c>
      <c r="DX201" s="247"/>
      <c r="DY201" s="247">
        <v>0</v>
      </c>
      <c r="EA201" s="237">
        <v>0</v>
      </c>
      <c r="ED201" s="237" t="s">
        <v>749</v>
      </c>
      <c r="EE201" s="208">
        <v>1</v>
      </c>
      <c r="EF201" s="237" t="s">
        <v>688</v>
      </c>
      <c r="EG201" s="216" t="s">
        <v>715</v>
      </c>
      <c r="EH201" s="246" t="s">
        <v>690</v>
      </c>
      <c r="EI201" s="216"/>
      <c r="EJ201" s="216" t="s">
        <v>529</v>
      </c>
      <c r="EK201" s="222" t="s">
        <v>529</v>
      </c>
      <c r="EL201" s="259">
        <v>2013</v>
      </c>
      <c r="EM201" s="260">
        <v>3850</v>
      </c>
      <c r="EN201" s="260">
        <v>309696</v>
      </c>
      <c r="EO201" s="260">
        <v>53857</v>
      </c>
      <c r="ER201" s="237" t="s">
        <v>692</v>
      </c>
      <c r="ES201" s="237" t="e">
        <v>#DIV/0!</v>
      </c>
      <c r="ET201" s="237">
        <v>13.988831168831169</v>
      </c>
      <c r="EU201" s="661">
        <v>1</v>
      </c>
      <c r="EV201" s="661">
        <v>2</v>
      </c>
      <c r="EW201" s="661">
        <v>6</v>
      </c>
      <c r="EX201" s="661">
        <v>4</v>
      </c>
      <c r="EY201" s="660">
        <v>0.20579741379310346</v>
      </c>
      <c r="EZ201" s="256">
        <v>19.956714490173489</v>
      </c>
      <c r="FA201" s="247">
        <v>1.1441647597254005</v>
      </c>
      <c r="FB201" s="208">
        <v>6</v>
      </c>
      <c r="FC201" s="208">
        <v>4</v>
      </c>
      <c r="FD201" s="208">
        <v>4</v>
      </c>
      <c r="FE201" s="239">
        <v>0.97254004576659037</v>
      </c>
      <c r="FF201" s="208"/>
      <c r="FG201" s="241">
        <v>2.9267734553775741E-2</v>
      </c>
      <c r="FH201" s="209">
        <v>0</v>
      </c>
      <c r="FI201" s="237" t="s">
        <v>678</v>
      </c>
      <c r="FJ201" s="208">
        <v>40.299999999999997</v>
      </c>
      <c r="FK201" s="208">
        <v>0</v>
      </c>
      <c r="FL201" s="217">
        <v>8.1999999999999993</v>
      </c>
      <c r="FM201" s="208">
        <v>4.4800000000000004</v>
      </c>
      <c r="FN201" s="208" t="s">
        <v>1430</v>
      </c>
      <c r="FP201" s="247" t="s">
        <v>693</v>
      </c>
      <c r="FU201" s="208">
        <v>26</v>
      </c>
      <c r="FV201" s="208">
        <v>17.899999999999999</v>
      </c>
      <c r="FW201" s="237">
        <v>0</v>
      </c>
      <c r="FX201" s="237">
        <v>0.9</v>
      </c>
      <c r="FY201" s="208">
        <v>17.48</v>
      </c>
      <c r="FZ201" s="208">
        <v>31.3</v>
      </c>
      <c r="GA201" s="208">
        <v>29.33</v>
      </c>
      <c r="GB201" s="208">
        <v>20.5</v>
      </c>
      <c r="GC201" s="208">
        <v>1.34</v>
      </c>
      <c r="GD201" s="208">
        <v>94.7</v>
      </c>
      <c r="GE201" s="237">
        <v>21.76</v>
      </c>
      <c r="GF201" s="237">
        <v>19.899999999999999</v>
      </c>
      <c r="GG201" s="237">
        <v>0.52</v>
      </c>
      <c r="GH201" s="237">
        <v>11.6</v>
      </c>
      <c r="GJ201" s="947">
        <v>79</v>
      </c>
      <c r="GK201" s="320">
        <v>1.7999999999999999E-2</v>
      </c>
      <c r="GL201" s="320">
        <v>0.124</v>
      </c>
      <c r="GM201" s="320">
        <v>0.11899999999999999</v>
      </c>
      <c r="GN201" s="320">
        <v>0.73799999999999999</v>
      </c>
      <c r="GO201" s="662">
        <v>8198</v>
      </c>
      <c r="GP201" s="663" t="str">
        <f>VLOOKUP(GS201,'BD Comarcal'!$A$6:$AV$17,48,FALSE)</f>
        <v>41</v>
      </c>
      <c r="GQ201" s="564">
        <v>39</v>
      </c>
      <c r="GR201" s="256">
        <f t="shared" si="3"/>
        <v>1</v>
      </c>
      <c r="GS201" s="237" t="s">
        <v>24</v>
      </c>
    </row>
    <row r="202" spans="1:201" s="237" customFormat="1" ht="17.25" customHeight="1">
      <c r="A202" s="236" t="s">
        <v>1431</v>
      </c>
      <c r="C202" s="238"/>
      <c r="D202" s="238">
        <v>3467</v>
      </c>
      <c r="E202" s="238">
        <v>2310</v>
      </c>
      <c r="F202" s="239">
        <v>0.6662820882607442</v>
      </c>
      <c r="G202" s="238">
        <v>2220</v>
      </c>
      <c r="H202" s="240">
        <v>1596.8876231645902</v>
      </c>
      <c r="I202" s="239">
        <v>0.69129334336129444</v>
      </c>
      <c r="J202" s="238">
        <v>828</v>
      </c>
      <c r="K202" s="238">
        <v>358</v>
      </c>
      <c r="L202" s="238">
        <v>22</v>
      </c>
      <c r="M202" s="241">
        <v>6.3455436977213732E-3</v>
      </c>
      <c r="N202" s="238">
        <v>0</v>
      </c>
      <c r="O202" s="239">
        <v>0</v>
      </c>
      <c r="P202" s="237">
        <v>31</v>
      </c>
      <c r="Q202" s="237">
        <v>0</v>
      </c>
      <c r="R202" s="239">
        <v>0</v>
      </c>
      <c r="S202" s="238">
        <v>15135</v>
      </c>
      <c r="T202" s="436">
        <v>0</v>
      </c>
      <c r="U202" s="436">
        <v>0</v>
      </c>
      <c r="V202" s="436">
        <v>24</v>
      </c>
      <c r="W202" s="436">
        <v>24</v>
      </c>
      <c r="X202" s="238">
        <v>850</v>
      </c>
      <c r="Y202" s="237">
        <v>0.16339999999999999</v>
      </c>
      <c r="Z202" s="238">
        <v>15242</v>
      </c>
      <c r="AA202" s="238">
        <v>17662</v>
      </c>
      <c r="AB202" s="238">
        <v>107.92</v>
      </c>
      <c r="AC202" s="238">
        <v>160</v>
      </c>
      <c r="AD202" s="238">
        <v>1417373.17</v>
      </c>
      <c r="AE202" s="238">
        <v>218755.24</v>
      </c>
      <c r="AF202" s="238">
        <v>895723.25</v>
      </c>
      <c r="AG202" s="238">
        <v>82977.990000000005</v>
      </c>
      <c r="AH202" s="239">
        <v>9.2637977187708373E-2</v>
      </c>
      <c r="AI202" s="247">
        <v>27.149633000000001</v>
      </c>
      <c r="AJ202" s="242">
        <v>4.0732400000000002</v>
      </c>
      <c r="AK202" s="242">
        <v>0.11748601096048457</v>
      </c>
      <c r="AL202" s="242">
        <v>14.369845</v>
      </c>
      <c r="AM202" s="242">
        <v>0.41447490625901356</v>
      </c>
      <c r="AN202" s="242">
        <v>27298.77</v>
      </c>
      <c r="AO202" s="238">
        <v>7079.76</v>
      </c>
      <c r="AP202" s="243">
        <v>27</v>
      </c>
      <c r="AQ202" s="238">
        <v>1</v>
      </c>
      <c r="AR202" s="238">
        <v>1449.8677366622198</v>
      </c>
      <c r="AS202" s="238">
        <v>1300.1811475474024</v>
      </c>
      <c r="AT202" s="238">
        <v>55020.333333333336</v>
      </c>
      <c r="AU202" s="238">
        <v>191.01875737700988</v>
      </c>
      <c r="AV202" s="237">
        <v>1</v>
      </c>
      <c r="AW202" s="237">
        <v>1</v>
      </c>
      <c r="AX202" s="237">
        <v>1</v>
      </c>
      <c r="AY202" s="244" t="s">
        <v>673</v>
      </c>
      <c r="AZ202" s="244" t="s">
        <v>695</v>
      </c>
      <c r="BA202" s="237">
        <v>2010</v>
      </c>
      <c r="BB202" s="245" t="s">
        <v>718</v>
      </c>
      <c r="BC202" s="215" t="s">
        <v>719</v>
      </c>
      <c r="BE202" s="237">
        <v>0</v>
      </c>
      <c r="BF202" s="237">
        <v>83</v>
      </c>
      <c r="BG202" s="246" t="s">
        <v>720</v>
      </c>
      <c r="BI202" s="239">
        <v>0.46171171171171171</v>
      </c>
      <c r="BJ202" s="239">
        <v>0.23648648648648649</v>
      </c>
      <c r="BK202" s="239">
        <v>0.28603603603603606</v>
      </c>
      <c r="BL202" s="239">
        <v>1.5765765765765764E-2</v>
      </c>
      <c r="BM202" s="247">
        <v>2.144144144144144</v>
      </c>
      <c r="BN202" s="248">
        <v>0</v>
      </c>
      <c r="BO202" s="248">
        <v>0</v>
      </c>
      <c r="BP202" s="237">
        <v>0</v>
      </c>
      <c r="BQ202" s="237">
        <v>0</v>
      </c>
      <c r="BR202" s="248">
        <v>0</v>
      </c>
      <c r="BS202" s="237">
        <v>15</v>
      </c>
      <c r="BT202" s="237" t="s">
        <v>815</v>
      </c>
      <c r="BU202" s="249" t="s">
        <v>678</v>
      </c>
      <c r="BV202" s="249" t="s">
        <v>678</v>
      </c>
      <c r="BW202" s="249" t="s">
        <v>678</v>
      </c>
      <c r="BX202" s="249" t="s">
        <v>678</v>
      </c>
      <c r="BY202" s="249" t="s">
        <v>678</v>
      </c>
      <c r="BZ202" s="249" t="s">
        <v>678</v>
      </c>
      <c r="CA202" s="249" t="s">
        <v>678</v>
      </c>
      <c r="CB202" s="249" t="s">
        <v>678</v>
      </c>
      <c r="CC202" s="250" t="s">
        <v>678</v>
      </c>
      <c r="CD202" s="242" t="s">
        <v>678</v>
      </c>
      <c r="CE202" s="252" t="s">
        <v>678</v>
      </c>
      <c r="CF202" s="238">
        <v>420</v>
      </c>
      <c r="CG202" s="238">
        <v>77.3</v>
      </c>
      <c r="CH202" s="238">
        <v>8.704954954954955</v>
      </c>
      <c r="CI202" s="216" t="s">
        <v>700</v>
      </c>
      <c r="CJ202" s="237">
        <v>0</v>
      </c>
      <c r="CK202" s="253">
        <v>39.869999999999997</v>
      </c>
      <c r="CL202" s="253">
        <v>14.3668</v>
      </c>
      <c r="CM202" s="254">
        <v>4.14387078165561E-3</v>
      </c>
      <c r="CN202" s="237" t="s">
        <v>88</v>
      </c>
      <c r="CO202" s="242">
        <v>35.1</v>
      </c>
      <c r="CP202" s="255">
        <v>1.0124026535910009E-2</v>
      </c>
      <c r="CV202" s="237">
        <v>2</v>
      </c>
      <c r="CW202" s="261" t="s">
        <v>678</v>
      </c>
      <c r="CX202" s="261" t="s">
        <v>678</v>
      </c>
      <c r="CY202" s="261" t="s">
        <v>678</v>
      </c>
      <c r="DB202" s="216"/>
      <c r="DC202" s="195" t="s">
        <v>1254</v>
      </c>
      <c r="DD202" s="256">
        <v>0.8</v>
      </c>
      <c r="DE202" s="256">
        <v>-9</v>
      </c>
      <c r="DF202" s="256">
        <v>-0.3</v>
      </c>
      <c r="DG202" s="256">
        <v>-2.6</v>
      </c>
      <c r="DL202" s="237" t="s">
        <v>529</v>
      </c>
      <c r="DN202" s="237" t="s">
        <v>730</v>
      </c>
      <c r="DP202" s="258" t="s">
        <v>682</v>
      </c>
      <c r="DQ202" s="258"/>
      <c r="DR202" s="258"/>
      <c r="DS202" s="258"/>
      <c r="DT202" s="258"/>
      <c r="DU202" s="237">
        <v>0</v>
      </c>
      <c r="DX202" s="247"/>
      <c r="DY202" s="247">
        <v>0</v>
      </c>
      <c r="EA202" s="237">
        <v>0</v>
      </c>
      <c r="ED202" s="237" t="s">
        <v>723</v>
      </c>
      <c r="EE202" s="208">
        <v>2</v>
      </c>
      <c r="EF202" s="237" t="s">
        <v>702</v>
      </c>
      <c r="EG202" s="216" t="s">
        <v>703</v>
      </c>
      <c r="EH202" s="246" t="s">
        <v>704</v>
      </c>
      <c r="EI202" s="216"/>
      <c r="EJ202" s="216" t="s">
        <v>529</v>
      </c>
      <c r="EK202" s="222" t="s">
        <v>682</v>
      </c>
      <c r="EL202" s="259">
        <v>2011</v>
      </c>
      <c r="EM202" s="260">
        <v>2500</v>
      </c>
      <c r="EN202" s="260">
        <v>28252</v>
      </c>
      <c r="EO202" s="260">
        <v>28734</v>
      </c>
      <c r="ER202" s="237" t="s">
        <v>705</v>
      </c>
      <c r="ES202" s="237" t="e">
        <v>#DIV/0!</v>
      </c>
      <c r="ET202" s="237">
        <v>11.493600000000001</v>
      </c>
      <c r="EU202" s="661">
        <v>8</v>
      </c>
      <c r="EV202" s="661" t="s">
        <v>678</v>
      </c>
      <c r="EW202" s="661">
        <v>2</v>
      </c>
      <c r="EX202" s="661">
        <v>2</v>
      </c>
      <c r="EY202" s="660">
        <v>1.1499855783097779E-2</v>
      </c>
      <c r="EZ202" s="256">
        <v>22.272385252069228</v>
      </c>
      <c r="FA202" s="247">
        <v>8.6580086580086577E-2</v>
      </c>
      <c r="FB202" s="208">
        <v>1</v>
      </c>
      <c r="FC202" s="208">
        <v>2</v>
      </c>
      <c r="FD202" s="208">
        <v>1</v>
      </c>
      <c r="FE202" s="239">
        <v>0.96103896103896103</v>
      </c>
      <c r="FF202" s="208">
        <v>1</v>
      </c>
      <c r="FG202" s="241">
        <v>0</v>
      </c>
      <c r="FH202" s="209">
        <v>0</v>
      </c>
      <c r="FI202" s="237" t="s">
        <v>678</v>
      </c>
      <c r="FJ202" s="208">
        <v>60.1</v>
      </c>
      <c r="FK202" s="208">
        <v>1</v>
      </c>
      <c r="FL202" s="217">
        <v>28.3</v>
      </c>
      <c r="FM202" s="208">
        <v>10.82</v>
      </c>
      <c r="FN202" s="208" t="s">
        <v>1432</v>
      </c>
      <c r="FP202" s="247" t="s">
        <v>693</v>
      </c>
      <c r="FR202" s="237">
        <v>11</v>
      </c>
      <c r="FS202" s="237">
        <v>14</v>
      </c>
      <c r="FT202" s="237">
        <v>9</v>
      </c>
      <c r="FU202" s="208">
        <v>44</v>
      </c>
      <c r="FV202" s="208">
        <v>63.2</v>
      </c>
      <c r="FW202" s="237">
        <v>86.28</v>
      </c>
      <c r="FX202" s="237">
        <v>76.599999999999994</v>
      </c>
      <c r="FY202" s="208">
        <v>60.5</v>
      </c>
      <c r="FZ202" s="208">
        <v>68.900000000000006</v>
      </c>
      <c r="GA202" s="208">
        <v>64.22</v>
      </c>
      <c r="GB202" s="208">
        <v>72</v>
      </c>
      <c r="GC202" s="208">
        <v>0.32</v>
      </c>
      <c r="GD202" s="208">
        <v>49.9</v>
      </c>
      <c r="GE202" s="237">
        <v>61.67</v>
      </c>
      <c r="GF202" s="237">
        <v>80.599999999999994</v>
      </c>
      <c r="GG202" s="237">
        <v>4.38</v>
      </c>
      <c r="GH202" s="237">
        <v>37.799999999999997</v>
      </c>
      <c r="GJ202" s="947"/>
      <c r="GK202" s="320"/>
      <c r="GL202" s="320"/>
      <c r="GM202" s="320"/>
      <c r="GN202" s="320"/>
      <c r="GO202" s="662">
        <v>8199</v>
      </c>
      <c r="GP202" s="663" t="str">
        <f>VLOOKUP(GS202,'BD Comarcal'!$A$6:$AV$17,48,FALSE)</f>
        <v>24</v>
      </c>
      <c r="GQ202" s="564">
        <v>3</v>
      </c>
      <c r="GR202" s="256">
        <f t="shared" si="3"/>
        <v>0</v>
      </c>
      <c r="GS202" s="237" t="s">
        <v>88</v>
      </c>
    </row>
    <row r="203" spans="1:201" s="237" customFormat="1" ht="17.25" customHeight="1">
      <c r="A203" s="236" t="s">
        <v>1094</v>
      </c>
      <c r="C203" s="238"/>
      <c r="D203" s="238">
        <v>2194</v>
      </c>
      <c r="E203" s="238">
        <v>458</v>
      </c>
      <c r="F203" s="239">
        <v>0.20875113947128532</v>
      </c>
      <c r="G203" s="238">
        <v>154</v>
      </c>
      <c r="H203" s="240">
        <v>0</v>
      </c>
      <c r="I203" s="239">
        <v>0</v>
      </c>
      <c r="J203" s="238">
        <v>423</v>
      </c>
      <c r="K203" s="238">
        <v>4</v>
      </c>
      <c r="L203" s="238">
        <v>376</v>
      </c>
      <c r="M203" s="241">
        <v>0.17137648131267091</v>
      </c>
      <c r="N203" s="238">
        <v>5</v>
      </c>
      <c r="O203" s="239">
        <v>1.1820330969267139E-2</v>
      </c>
      <c r="P203" s="237">
        <v>6</v>
      </c>
      <c r="Q203" s="237">
        <v>0</v>
      </c>
      <c r="R203" s="239">
        <v>0</v>
      </c>
      <c r="S203" s="238">
        <v>184</v>
      </c>
      <c r="T203" s="436">
        <v>0</v>
      </c>
      <c r="U203" s="436">
        <v>0</v>
      </c>
      <c r="V203" s="436">
        <v>830</v>
      </c>
      <c r="W203" s="436">
        <v>830</v>
      </c>
      <c r="X203" s="238">
        <v>82402</v>
      </c>
      <c r="Y203" s="237">
        <v>0.1734</v>
      </c>
      <c r="Z203" s="238">
        <v>1066311</v>
      </c>
      <c r="AA203" s="238">
        <v>12973</v>
      </c>
      <c r="AB203" s="238">
        <v>79.27</v>
      </c>
      <c r="AC203" s="238">
        <v>29045</v>
      </c>
      <c r="AD203" s="238">
        <v>85561642.629999995</v>
      </c>
      <c r="AE203" s="238">
        <v>6295060.6599999964</v>
      </c>
      <c r="AF203" s="238">
        <v>82059082.930000007</v>
      </c>
      <c r="AG203" s="238">
        <v>10022295.99</v>
      </c>
      <c r="AH203" s="239">
        <v>0.12213512060023213</v>
      </c>
      <c r="AI203" s="247">
        <v>801.08475299999998</v>
      </c>
      <c r="AJ203" s="242">
        <v>375.43298399999998</v>
      </c>
      <c r="AK203" s="242">
        <v>17.111804193254329</v>
      </c>
      <c r="AL203" s="242">
        <v>55.123244999999997</v>
      </c>
      <c r="AM203" s="242">
        <v>2.5124541932543298</v>
      </c>
      <c r="AN203" s="242">
        <v>99732</v>
      </c>
      <c r="AO203" s="238">
        <v>18574</v>
      </c>
      <c r="AP203" s="243">
        <v>83</v>
      </c>
      <c r="AQ203" s="238"/>
      <c r="AR203" s="238">
        <v>1046.8358512901304</v>
      </c>
      <c r="AS203" s="238">
        <v>1241.1056982253053</v>
      </c>
      <c r="AT203" s="238">
        <v>4120352.6666666665</v>
      </c>
      <c r="AU203" s="238">
        <v>222.71972327966799</v>
      </c>
      <c r="AV203" s="237">
        <v>1</v>
      </c>
      <c r="AW203" s="237">
        <v>1</v>
      </c>
      <c r="AX203" s="237">
        <v>1</v>
      </c>
      <c r="AY203" s="244" t="s">
        <v>717</v>
      </c>
      <c r="AZ203" s="244" t="s">
        <v>717</v>
      </c>
      <c r="BA203" s="237">
        <v>2009</v>
      </c>
      <c r="BB203" s="245" t="s">
        <v>826</v>
      </c>
      <c r="BC203" s="215" t="s">
        <v>827</v>
      </c>
      <c r="BD203" s="237">
        <v>1</v>
      </c>
      <c r="BE203" s="237">
        <v>246</v>
      </c>
      <c r="BF203" s="237">
        <v>2</v>
      </c>
      <c r="BG203" s="246" t="s">
        <v>676</v>
      </c>
      <c r="BI203" s="239">
        <v>0.51192039506538189</v>
      </c>
      <c r="BJ203" s="239">
        <v>0.10364917602234265</v>
      </c>
      <c r="BK203" s="239">
        <v>0.36715556624188506</v>
      </c>
      <c r="BL203" s="239">
        <v>1.7274862670390443E-2</v>
      </c>
      <c r="BM203" s="247">
        <v>2.1102151034827159</v>
      </c>
      <c r="BN203" s="248">
        <v>0</v>
      </c>
      <c r="BO203" s="248">
        <v>4</v>
      </c>
      <c r="BP203" s="237">
        <v>1</v>
      </c>
      <c r="BQ203" s="237">
        <v>1</v>
      </c>
      <c r="BR203" s="248">
        <v>6</v>
      </c>
      <c r="BS203" s="237">
        <v>0</v>
      </c>
      <c r="BT203" s="237" t="s">
        <v>1094</v>
      </c>
      <c r="BU203" s="249">
        <v>9070</v>
      </c>
      <c r="BV203" s="249">
        <v>8454</v>
      </c>
      <c r="BW203" s="249">
        <v>42226</v>
      </c>
      <c r="BX203" s="249">
        <v>8008</v>
      </c>
      <c r="BY203" s="249">
        <v>10.87425666602724</v>
      </c>
      <c r="BZ203" s="249">
        <v>10.1357183963169</v>
      </c>
      <c r="CA203" s="249">
        <v>50.625839248033763</v>
      </c>
      <c r="CB203" s="249">
        <v>9.6009975062344139</v>
      </c>
      <c r="CC203" s="250">
        <v>103.52004603874929</v>
      </c>
      <c r="CD203" s="242">
        <v>-4711</v>
      </c>
      <c r="CE203" s="252">
        <v>94.351860732783422</v>
      </c>
      <c r="CF203" s="238">
        <v>34508</v>
      </c>
      <c r="CG203" s="238">
        <v>7653.8</v>
      </c>
      <c r="CH203" s="238">
        <v>9.1763380011509685</v>
      </c>
      <c r="CI203" s="216" t="s">
        <v>679</v>
      </c>
      <c r="CJ203" s="237">
        <v>0</v>
      </c>
      <c r="CK203" s="253">
        <v>565.36</v>
      </c>
      <c r="CL203" s="253">
        <v>342.30869999999999</v>
      </c>
      <c r="CM203" s="254">
        <v>0.15602037374658159</v>
      </c>
      <c r="CN203" s="237" t="s">
        <v>90</v>
      </c>
      <c r="CO203" s="242">
        <v>29.11</v>
      </c>
      <c r="CP203" s="255">
        <v>1.3268003646308113E-2</v>
      </c>
      <c r="CV203" s="237">
        <v>37</v>
      </c>
      <c r="CW203" s="194">
        <v>1.867</v>
      </c>
      <c r="CX203" s="194" t="s">
        <v>680</v>
      </c>
      <c r="CY203" s="194">
        <v>2.5019999999999998</v>
      </c>
      <c r="DB203" s="216" t="s">
        <v>804</v>
      </c>
      <c r="DC203" s="195" t="s">
        <v>977</v>
      </c>
      <c r="DD203" s="256">
        <v>0.7</v>
      </c>
      <c r="DE203" s="256">
        <v>-6.5</v>
      </c>
      <c r="DF203" s="256">
        <v>0.7</v>
      </c>
      <c r="DG203" s="256">
        <v>-2.2000000000000002</v>
      </c>
      <c r="DH203" s="257">
        <v>2</v>
      </c>
      <c r="DI203" s="257">
        <v>0.25</v>
      </c>
      <c r="DJ203" s="257">
        <v>2.48</v>
      </c>
      <c r="DK203" s="257">
        <v>2.73</v>
      </c>
      <c r="DL203" s="237" t="s">
        <v>682</v>
      </c>
      <c r="DP203" s="258" t="s">
        <v>682</v>
      </c>
      <c r="DQ203" s="258"/>
      <c r="DR203" s="258"/>
      <c r="DS203" s="258"/>
      <c r="DT203" s="258"/>
      <c r="DU203" s="237">
        <v>0.83000000000000007</v>
      </c>
      <c r="DV203" s="237" t="s">
        <v>1433</v>
      </c>
      <c r="DX203" s="247">
        <v>43.733333333333334</v>
      </c>
      <c r="DY203" s="247">
        <v>1.9933151017927679</v>
      </c>
      <c r="DZ203" s="273" t="s">
        <v>1434</v>
      </c>
      <c r="EA203" s="237">
        <v>1</v>
      </c>
      <c r="EB203" s="237" t="s">
        <v>979</v>
      </c>
      <c r="ED203" s="237" t="s">
        <v>678</v>
      </c>
      <c r="EE203" s="208">
        <v>3</v>
      </c>
      <c r="EF203" s="237" t="s">
        <v>678</v>
      </c>
      <c r="EG203" s="216" t="s">
        <v>689</v>
      </c>
      <c r="EH203" s="246" t="s">
        <v>690</v>
      </c>
      <c r="EI203" s="216" t="s">
        <v>691</v>
      </c>
      <c r="EJ203" s="216" t="s">
        <v>529</v>
      </c>
      <c r="EK203" s="222" t="s">
        <v>529</v>
      </c>
      <c r="EL203" s="259">
        <v>1976</v>
      </c>
      <c r="EM203" s="260">
        <v>278325</v>
      </c>
      <c r="EN203" s="260">
        <v>2922875</v>
      </c>
      <c r="EO203" s="260">
        <v>1249596</v>
      </c>
      <c r="ER203" s="237" t="s">
        <v>705</v>
      </c>
      <c r="ES203" s="237">
        <v>13901.333333333334</v>
      </c>
      <c r="ET203" s="237">
        <v>4.4897008892481809</v>
      </c>
      <c r="EU203" s="661">
        <v>3</v>
      </c>
      <c r="EV203" s="661">
        <v>7</v>
      </c>
      <c r="EW203" s="661">
        <v>7</v>
      </c>
      <c r="EX203" s="661">
        <v>3</v>
      </c>
      <c r="EY203" s="660">
        <v>0.25768459434822244</v>
      </c>
      <c r="EZ203" s="256">
        <v>147.53077685014858</v>
      </c>
      <c r="FA203" s="247">
        <v>8.0786026200873362</v>
      </c>
      <c r="FB203" s="208">
        <v>4</v>
      </c>
      <c r="FC203" s="208">
        <v>2</v>
      </c>
      <c r="FD203" s="208">
        <v>9</v>
      </c>
      <c r="FE203" s="239">
        <v>0.33624454148471616</v>
      </c>
      <c r="FF203" s="208"/>
      <c r="FG203" s="241">
        <v>5.960698689956332E-3</v>
      </c>
      <c r="FH203" s="209">
        <v>0</v>
      </c>
      <c r="FI203" s="237" t="s">
        <v>678</v>
      </c>
      <c r="FJ203" s="208" t="s">
        <v>678</v>
      </c>
      <c r="FK203" s="208" t="s">
        <v>678</v>
      </c>
      <c r="FL203" s="217" t="s">
        <v>678</v>
      </c>
      <c r="FM203" s="208" t="s">
        <v>678</v>
      </c>
      <c r="FN203" s="208" t="s">
        <v>678</v>
      </c>
      <c r="FP203" s="247" t="s">
        <v>693</v>
      </c>
      <c r="FU203" s="208" t="s">
        <v>678</v>
      </c>
      <c r="FV203" s="208" t="s">
        <v>678</v>
      </c>
      <c r="FW203" s="208" t="s">
        <v>678</v>
      </c>
      <c r="FX203" s="208" t="s">
        <v>678</v>
      </c>
      <c r="FY203" s="208" t="s">
        <v>678</v>
      </c>
      <c r="FZ203" s="208" t="s">
        <v>678</v>
      </c>
      <c r="GA203" s="208" t="s">
        <v>678</v>
      </c>
      <c r="GB203" s="208" t="s">
        <v>678</v>
      </c>
      <c r="GC203" s="208" t="s">
        <v>678</v>
      </c>
      <c r="GD203" s="208" t="s">
        <v>678</v>
      </c>
      <c r="GE203" s="237" t="s">
        <v>678</v>
      </c>
      <c r="GF203" s="237" t="s">
        <v>678</v>
      </c>
      <c r="GG203" s="237" t="s">
        <v>678</v>
      </c>
      <c r="GH203" s="237" t="s">
        <v>678</v>
      </c>
      <c r="GJ203" s="947">
        <v>1798</v>
      </c>
      <c r="GK203" s="320">
        <v>1E-3</v>
      </c>
      <c r="GL203" s="320">
        <v>0.16400000000000001</v>
      </c>
      <c r="GM203" s="320">
        <v>6.2E-2</v>
      </c>
      <c r="GN203" s="320">
        <v>0.77200000000000002</v>
      </c>
      <c r="GO203" s="662">
        <v>8200</v>
      </c>
      <c r="GP203" s="663" t="str">
        <f>VLOOKUP(GS203,'BD Comarcal'!$A$6:$AV$17,48,FALSE)</f>
        <v>11</v>
      </c>
      <c r="GQ203" s="564">
        <v>649</v>
      </c>
      <c r="GR203" s="256">
        <f t="shared" si="3"/>
        <v>1</v>
      </c>
      <c r="GS203" s="237" t="s">
        <v>90</v>
      </c>
    </row>
    <row r="204" spans="1:201" s="237" customFormat="1" ht="17.25" customHeight="1">
      <c r="A204" s="236" t="s">
        <v>1435</v>
      </c>
      <c r="C204" s="238"/>
      <c r="D204" s="238">
        <v>2117</v>
      </c>
      <c r="E204" s="238">
        <v>1236</v>
      </c>
      <c r="F204" s="239">
        <v>0.58384506376948508</v>
      </c>
      <c r="G204" s="238">
        <v>1162</v>
      </c>
      <c r="H204" s="240">
        <v>1212.5272189213317</v>
      </c>
      <c r="I204" s="239">
        <v>0.98100907679719396</v>
      </c>
      <c r="J204" s="238">
        <v>462</v>
      </c>
      <c r="K204" s="238">
        <v>252</v>
      </c>
      <c r="L204" s="238">
        <v>8</v>
      </c>
      <c r="M204" s="241">
        <v>3.7789324515824282E-3</v>
      </c>
      <c r="N204" s="238">
        <v>0</v>
      </c>
      <c r="O204" s="239">
        <v>0</v>
      </c>
      <c r="P204" s="237">
        <v>21</v>
      </c>
      <c r="Q204" s="237">
        <v>0</v>
      </c>
      <c r="R204" s="239">
        <v>0</v>
      </c>
      <c r="S204" s="238">
        <v>4983</v>
      </c>
      <c r="T204" s="436">
        <v>0</v>
      </c>
      <c r="U204" s="436">
        <v>22</v>
      </c>
      <c r="V204" s="436">
        <v>58</v>
      </c>
      <c r="W204" s="436">
        <v>80</v>
      </c>
      <c r="X204" s="238">
        <v>527</v>
      </c>
      <c r="Y204" s="237">
        <v>0.27339999999999998</v>
      </c>
      <c r="Z204" s="238">
        <v>9608</v>
      </c>
      <c r="AA204" s="238">
        <v>17662</v>
      </c>
      <c r="AB204" s="238">
        <v>107.92</v>
      </c>
      <c r="AC204" s="238">
        <v>355</v>
      </c>
      <c r="AD204" s="238">
        <v>807064.45000000007</v>
      </c>
      <c r="AE204" s="238">
        <v>133028.39000000001</v>
      </c>
      <c r="AF204" s="238">
        <v>597237.75</v>
      </c>
      <c r="AG204" s="238">
        <v>52212.09</v>
      </c>
      <c r="AH204" s="239">
        <v>8.7422621895551639E-2</v>
      </c>
      <c r="AI204" s="247">
        <v>29.696963</v>
      </c>
      <c r="AJ204" s="242">
        <v>5.0889680000000004</v>
      </c>
      <c r="AK204" s="242">
        <v>0.24038582900330657</v>
      </c>
      <c r="AL204" s="242" t="s">
        <v>678</v>
      </c>
      <c r="AM204" s="242" t="s">
        <v>678</v>
      </c>
      <c r="AN204" s="242">
        <v>16426.599999999999</v>
      </c>
      <c r="AO204" s="238">
        <v>0</v>
      </c>
      <c r="AP204" s="243">
        <v>0</v>
      </c>
      <c r="AQ204" s="238">
        <v>1</v>
      </c>
      <c r="AR204" s="238">
        <v>1295.3651322300793</v>
      </c>
      <c r="AS204" s="238">
        <v>1569.8649816063898</v>
      </c>
      <c r="AT204" s="238">
        <v>61005.333333333336</v>
      </c>
      <c r="AU204" s="238">
        <v>230.13095889165282</v>
      </c>
      <c r="AV204" s="237">
        <v>1</v>
      </c>
      <c r="AW204" s="237">
        <v>1</v>
      </c>
      <c r="AX204" s="237">
        <v>1</v>
      </c>
      <c r="AY204" s="244" t="s">
        <v>726</v>
      </c>
      <c r="AZ204" s="244" t="s">
        <v>695</v>
      </c>
      <c r="BA204" s="237">
        <v>2014</v>
      </c>
      <c r="BB204" s="245" t="s">
        <v>718</v>
      </c>
      <c r="BC204" s="215" t="s">
        <v>719</v>
      </c>
      <c r="BE204" s="237">
        <v>0</v>
      </c>
      <c r="BF204" s="237">
        <v>10</v>
      </c>
      <c r="BG204" s="246" t="s">
        <v>720</v>
      </c>
      <c r="BI204" s="239">
        <v>0.61363636363636365</v>
      </c>
      <c r="BJ204" s="239">
        <v>0.17424242424242425</v>
      </c>
      <c r="BK204" s="239">
        <v>0.19191919191919191</v>
      </c>
      <c r="BL204" s="239">
        <v>2.0202020202020204E-2</v>
      </c>
      <c r="BM204" s="247">
        <v>2.3813131313131315</v>
      </c>
      <c r="BN204" s="248">
        <v>0</v>
      </c>
      <c r="BO204" s="248">
        <v>0</v>
      </c>
      <c r="BP204" s="237">
        <v>0</v>
      </c>
      <c r="BQ204" s="237">
        <v>0</v>
      </c>
      <c r="BR204" s="248">
        <v>0</v>
      </c>
      <c r="BS204" s="237">
        <v>29</v>
      </c>
      <c r="BT204" s="237" t="s">
        <v>721</v>
      </c>
      <c r="BU204" s="249" t="s">
        <v>678</v>
      </c>
      <c r="BV204" s="249" t="s">
        <v>678</v>
      </c>
      <c r="BW204" s="249" t="s">
        <v>678</v>
      </c>
      <c r="BX204" s="249" t="s">
        <v>678</v>
      </c>
      <c r="BY204" s="249" t="s">
        <v>678</v>
      </c>
      <c r="BZ204" s="249" t="s">
        <v>678</v>
      </c>
      <c r="CA204" s="249" t="s">
        <v>678</v>
      </c>
      <c r="CB204" s="249" t="s">
        <v>678</v>
      </c>
      <c r="CC204" s="250" t="s">
        <v>678</v>
      </c>
      <c r="CD204" s="242" t="s">
        <v>678</v>
      </c>
      <c r="CE204" s="252" t="s">
        <v>678</v>
      </c>
      <c r="CF204" s="238">
        <v>324</v>
      </c>
      <c r="CG204" s="238">
        <v>20</v>
      </c>
      <c r="CH204" s="238">
        <v>3.6231884057971016</v>
      </c>
      <c r="CI204" s="216" t="s">
        <v>722</v>
      </c>
      <c r="CJ204" s="237">
        <v>1</v>
      </c>
      <c r="CK204" s="253">
        <v>25.6</v>
      </c>
      <c r="CL204" s="253">
        <v>21.2684</v>
      </c>
      <c r="CM204" s="254">
        <v>1.0046480869154464E-2</v>
      </c>
      <c r="CN204" s="237" t="s">
        <v>88</v>
      </c>
      <c r="CO204" s="242"/>
      <c r="CP204" s="255">
        <v>0</v>
      </c>
      <c r="CV204" s="237">
        <v>2</v>
      </c>
      <c r="CW204" s="261" t="s">
        <v>678</v>
      </c>
      <c r="CX204" s="261" t="s">
        <v>678</v>
      </c>
      <c r="CY204" s="261" t="s">
        <v>678</v>
      </c>
      <c r="DB204" s="216" t="s">
        <v>710</v>
      </c>
      <c r="DC204" s="195" t="s">
        <v>711</v>
      </c>
      <c r="DD204" s="256">
        <v>0.8</v>
      </c>
      <c r="DE204" s="256">
        <v>-9</v>
      </c>
      <c r="DF204" s="256">
        <v>-0.3</v>
      </c>
      <c r="DG204" s="256">
        <v>-2.6</v>
      </c>
      <c r="DL204" s="237" t="s">
        <v>529</v>
      </c>
      <c r="DM204" s="270" t="s">
        <v>1436</v>
      </c>
      <c r="DN204" s="237" t="s">
        <v>713</v>
      </c>
      <c r="DP204" s="258" t="s">
        <v>682</v>
      </c>
      <c r="DQ204" s="258"/>
      <c r="DR204" s="258"/>
      <c r="DS204" s="258"/>
      <c r="DT204" s="258"/>
      <c r="DU204" s="237">
        <v>0</v>
      </c>
      <c r="DX204" s="247"/>
      <c r="DY204" s="247">
        <v>0</v>
      </c>
      <c r="EA204" s="237">
        <v>0</v>
      </c>
      <c r="ED204" s="237" t="s">
        <v>723</v>
      </c>
      <c r="EE204" s="208">
        <v>2</v>
      </c>
      <c r="EF204" s="237" t="s">
        <v>702</v>
      </c>
      <c r="EG204" s="216" t="s">
        <v>703</v>
      </c>
      <c r="EH204" s="246" t="s">
        <v>704</v>
      </c>
      <c r="EI204" s="216"/>
      <c r="EJ204" s="216" t="s">
        <v>529</v>
      </c>
      <c r="EK204" s="222" t="s">
        <v>682</v>
      </c>
      <c r="EL204" s="259">
        <v>1993</v>
      </c>
      <c r="EM204" s="260">
        <v>1500</v>
      </c>
      <c r="EN204" s="260">
        <v>19686</v>
      </c>
      <c r="EO204" s="260">
        <v>45332</v>
      </c>
      <c r="ER204" s="237" t="s">
        <v>705</v>
      </c>
      <c r="ES204" s="237" t="e">
        <v>#DIV/0!</v>
      </c>
      <c r="ET204" s="237">
        <v>30.221333333333334</v>
      </c>
      <c r="EU204" s="661">
        <v>8</v>
      </c>
      <c r="EV204" s="661" t="s">
        <v>678</v>
      </c>
      <c r="EW204" s="661">
        <v>1</v>
      </c>
      <c r="EX204" s="661">
        <v>2</v>
      </c>
      <c r="EY204" s="660">
        <v>1.2092583845063769E-2</v>
      </c>
      <c r="EZ204" s="256">
        <v>21.5625</v>
      </c>
      <c r="FA204" s="247">
        <v>0.16181229773462782</v>
      </c>
      <c r="FB204" s="208">
        <v>2</v>
      </c>
      <c r="FC204" s="208">
        <v>2</v>
      </c>
      <c r="FD204" s="208">
        <v>1</v>
      </c>
      <c r="FE204" s="239">
        <v>0.94012944983818769</v>
      </c>
      <c r="FF204" s="208">
        <v>1</v>
      </c>
      <c r="FG204" s="241">
        <v>0</v>
      </c>
      <c r="FH204" s="209">
        <v>0</v>
      </c>
      <c r="FI204" s="237" t="s">
        <v>678</v>
      </c>
      <c r="FJ204" s="208">
        <v>50.2</v>
      </c>
      <c r="FK204" s="208">
        <v>0</v>
      </c>
      <c r="FL204" s="217">
        <v>8.3000000000000007</v>
      </c>
      <c r="FM204" s="208">
        <v>12.14</v>
      </c>
      <c r="FN204" s="208">
        <v>84</v>
      </c>
      <c r="FP204" s="247" t="s">
        <v>693</v>
      </c>
      <c r="FR204" s="237">
        <v>11</v>
      </c>
      <c r="FS204" s="237">
        <v>3</v>
      </c>
      <c r="FT204" s="237">
        <v>3</v>
      </c>
      <c r="FU204" s="208">
        <v>32</v>
      </c>
      <c r="FV204" s="208">
        <v>32.1</v>
      </c>
      <c r="FW204" s="237">
        <v>87.96</v>
      </c>
      <c r="FX204" s="237">
        <v>79.3</v>
      </c>
      <c r="FY204" s="208">
        <v>56.92</v>
      </c>
      <c r="FZ204" s="208">
        <v>67.2</v>
      </c>
      <c r="GA204" s="208">
        <v>58</v>
      </c>
      <c r="GB204" s="208">
        <v>64.400000000000006</v>
      </c>
      <c r="GC204" s="208">
        <v>0.01</v>
      </c>
      <c r="GD204" s="208">
        <v>14.7</v>
      </c>
      <c r="GE204" s="237">
        <v>58.7</v>
      </c>
      <c r="GF204" s="237">
        <v>77</v>
      </c>
      <c r="GG204" s="237">
        <v>5.65</v>
      </c>
      <c r="GH204" s="237">
        <v>47.9</v>
      </c>
      <c r="GJ204" s="947"/>
      <c r="GK204" s="320"/>
      <c r="GL204" s="320"/>
      <c r="GM204" s="320"/>
      <c r="GN204" s="320"/>
      <c r="GO204" s="662">
        <v>8201</v>
      </c>
      <c r="GP204" s="663" t="str">
        <f>VLOOKUP(GS204,'BD Comarcal'!$A$6:$AV$17,48,FALSE)</f>
        <v>24</v>
      </c>
      <c r="GQ204" s="564">
        <v>17</v>
      </c>
      <c r="GR204" s="256">
        <f t="shared" si="3"/>
        <v>0</v>
      </c>
      <c r="GS204" s="237" t="s">
        <v>88</v>
      </c>
    </row>
    <row r="205" spans="1:201" s="237" customFormat="1" ht="17.25" customHeight="1">
      <c r="A205" s="236" t="s">
        <v>1437</v>
      </c>
      <c r="C205" s="238"/>
      <c r="D205" s="238">
        <v>6544</v>
      </c>
      <c r="E205" s="238">
        <v>5539</v>
      </c>
      <c r="F205" s="239">
        <v>0.84642420537897312</v>
      </c>
      <c r="G205" s="238">
        <v>5360</v>
      </c>
      <c r="H205" s="240">
        <v>3336.2813297571543</v>
      </c>
      <c r="I205" s="239">
        <v>0.60232556955355732</v>
      </c>
      <c r="J205" s="238">
        <v>268</v>
      </c>
      <c r="K205" s="238">
        <v>619</v>
      </c>
      <c r="L205" s="238">
        <v>163</v>
      </c>
      <c r="M205" s="241">
        <v>2.4908312958435208E-2</v>
      </c>
      <c r="N205" s="238">
        <v>4</v>
      </c>
      <c r="O205" s="239">
        <v>1.4925373134328358E-2</v>
      </c>
      <c r="P205" s="237">
        <v>9</v>
      </c>
      <c r="Q205" s="237">
        <v>0</v>
      </c>
      <c r="R205" s="239">
        <v>0</v>
      </c>
      <c r="S205" s="238">
        <v>571</v>
      </c>
      <c r="T205" s="436">
        <v>0</v>
      </c>
      <c r="U205" s="436">
        <v>35</v>
      </c>
      <c r="V205" s="436">
        <v>185</v>
      </c>
      <c r="W205" s="436">
        <v>220</v>
      </c>
      <c r="X205" s="238">
        <v>17540</v>
      </c>
      <c r="Y205" s="237">
        <v>0.1651</v>
      </c>
      <c r="Z205" s="238">
        <v>224801</v>
      </c>
      <c r="AA205" s="238">
        <v>12982</v>
      </c>
      <c r="AB205" s="238">
        <v>79.319999999999993</v>
      </c>
      <c r="AC205" s="238">
        <v>8149</v>
      </c>
      <c r="AD205" s="238">
        <v>18772496.960000001</v>
      </c>
      <c r="AE205" s="238">
        <v>1145283.5899999999</v>
      </c>
      <c r="AF205" s="238">
        <v>17958461.25</v>
      </c>
      <c r="AG205" s="238">
        <v>1361496</v>
      </c>
      <c r="AH205" s="239">
        <v>7.5813622394847444E-2</v>
      </c>
      <c r="AI205" s="247">
        <v>297.86588499999999</v>
      </c>
      <c r="AJ205" s="242">
        <v>25.5</v>
      </c>
      <c r="AK205" s="242">
        <v>0.38966992665036676</v>
      </c>
      <c r="AL205" s="242">
        <v>222.18161599999999</v>
      </c>
      <c r="AM205" s="242">
        <v>3.3951958435207823</v>
      </c>
      <c r="AN205" s="242">
        <v>52876.24</v>
      </c>
      <c r="AO205" s="238">
        <v>13619.51</v>
      </c>
      <c r="AP205" s="243">
        <v>45</v>
      </c>
      <c r="AQ205" s="238">
        <v>1</v>
      </c>
      <c r="AR205" s="238">
        <v>1223.8664857077135</v>
      </c>
      <c r="AS205" s="238">
        <v>2255.3145764301403</v>
      </c>
      <c r="AT205" s="238">
        <v>1574959.3333333333</v>
      </c>
      <c r="AU205" s="238">
        <v>245.74441076958979</v>
      </c>
      <c r="AV205" s="237">
        <v>1</v>
      </c>
      <c r="AW205" s="237">
        <v>1</v>
      </c>
      <c r="AX205" s="237">
        <v>1</v>
      </c>
      <c r="AY205" s="244" t="s">
        <v>673</v>
      </c>
      <c r="AZ205" s="244" t="s">
        <v>673</v>
      </c>
      <c r="BA205" s="237">
        <v>2010</v>
      </c>
      <c r="BB205" s="245" t="s">
        <v>1438</v>
      </c>
      <c r="BC205" s="215" t="s">
        <v>1439</v>
      </c>
      <c r="BD205" s="237">
        <v>1</v>
      </c>
      <c r="BE205" s="237">
        <v>2</v>
      </c>
      <c r="BF205" s="237">
        <v>39</v>
      </c>
      <c r="BG205" s="246" t="s">
        <v>698</v>
      </c>
      <c r="BI205" s="239">
        <v>0.41172127365020766</v>
      </c>
      <c r="BJ205" s="239">
        <v>9.5339178587909551E-2</v>
      </c>
      <c r="BK205" s="239">
        <v>0.47752653437932624</v>
      </c>
      <c r="BL205" s="239">
        <v>1.541301338255653E-2</v>
      </c>
      <c r="BM205" s="247">
        <v>1.9033687125057683</v>
      </c>
      <c r="BN205" s="248">
        <v>0</v>
      </c>
      <c r="BO205" s="248">
        <v>1</v>
      </c>
      <c r="BP205" s="237">
        <v>1</v>
      </c>
      <c r="BQ205" s="237">
        <v>1</v>
      </c>
      <c r="BR205" s="248">
        <v>3</v>
      </c>
      <c r="BS205" s="262">
        <v>24</v>
      </c>
      <c r="BT205" s="237" t="s">
        <v>729</v>
      </c>
      <c r="BU205" s="249">
        <v>1635</v>
      </c>
      <c r="BV205" s="249">
        <v>2106</v>
      </c>
      <c r="BW205" s="249">
        <v>7811</v>
      </c>
      <c r="BX205" s="249">
        <v>2344</v>
      </c>
      <c r="BY205" s="249">
        <v>9.4585213467545994</v>
      </c>
      <c r="BZ205" s="249">
        <v>12.183269698021521</v>
      </c>
      <c r="CA205" s="249">
        <v>45.186856415596438</v>
      </c>
      <c r="CB205" s="249">
        <v>13.560106444521578</v>
      </c>
      <c r="CC205" s="250">
        <v>97.928959851903272</v>
      </c>
      <c r="CD205" s="242">
        <v>-372</v>
      </c>
      <c r="CE205" s="252">
        <v>97.847969455050332</v>
      </c>
      <c r="CF205" s="238">
        <v>7594</v>
      </c>
      <c r="CG205" s="238">
        <v>1487</v>
      </c>
      <c r="CH205" s="238">
        <v>8.6023371514520424</v>
      </c>
      <c r="CI205" s="216" t="s">
        <v>679</v>
      </c>
      <c r="CJ205" s="237">
        <v>0</v>
      </c>
      <c r="CK205" s="253">
        <v>431.7</v>
      </c>
      <c r="CL205" s="253">
        <v>195.3997</v>
      </c>
      <c r="CM205" s="254">
        <v>2.9859367359413202E-2</v>
      </c>
      <c r="CN205" s="237" t="s">
        <v>24</v>
      </c>
      <c r="CO205" s="242">
        <v>4068.6</v>
      </c>
      <c r="CP205" s="255">
        <v>0.6217298288508557</v>
      </c>
      <c r="CV205" s="237">
        <v>12</v>
      </c>
      <c r="CW205" s="194">
        <v>0.52800000000000002</v>
      </c>
      <c r="CX205" s="194">
        <v>0.63500000000000001</v>
      </c>
      <c r="CY205" s="194">
        <v>4.2999999999999997E-2</v>
      </c>
      <c r="CZ205" s="237" t="s">
        <v>529</v>
      </c>
      <c r="DA205" s="237" t="s">
        <v>1440</v>
      </c>
      <c r="DB205" s="216" t="s">
        <v>1234</v>
      </c>
      <c r="DC205" s="195" t="s">
        <v>711</v>
      </c>
      <c r="DD205" s="256">
        <v>0.8</v>
      </c>
      <c r="DE205" s="256">
        <v>-10</v>
      </c>
      <c r="DF205" s="256">
        <v>0.5</v>
      </c>
      <c r="DG205" s="256">
        <v>-2.2999999999999998</v>
      </c>
      <c r="DH205" s="257">
        <v>2</v>
      </c>
      <c r="DI205" s="257">
        <v>13.32</v>
      </c>
      <c r="DJ205" s="257">
        <v>0</v>
      </c>
      <c r="DK205" s="257">
        <v>13.32</v>
      </c>
      <c r="DL205" s="237" t="s">
        <v>682</v>
      </c>
      <c r="DM205" s="270"/>
      <c r="DO205" s="237">
        <v>1</v>
      </c>
      <c r="DP205" s="258" t="s">
        <v>683</v>
      </c>
      <c r="DQ205" s="258"/>
      <c r="DR205" s="258"/>
      <c r="DS205" s="258"/>
      <c r="DT205" s="258"/>
      <c r="DU205" s="237">
        <v>1</v>
      </c>
      <c r="DV205" s="237" t="s">
        <v>1441</v>
      </c>
      <c r="DW205" s="237" t="s">
        <v>1059</v>
      </c>
      <c r="DX205" s="247">
        <v>8.2100000000000009</v>
      </c>
      <c r="DY205" s="247">
        <v>0.12545843520782399</v>
      </c>
      <c r="EA205" s="237">
        <v>1</v>
      </c>
      <c r="EB205" s="237" t="s">
        <v>1119</v>
      </c>
      <c r="ED205" s="237" t="s">
        <v>880</v>
      </c>
      <c r="EE205" s="208">
        <v>1</v>
      </c>
      <c r="EF205" s="237" t="s">
        <v>852</v>
      </c>
      <c r="EG205" s="216" t="s">
        <v>689</v>
      </c>
      <c r="EH205" s="246" t="s">
        <v>690</v>
      </c>
      <c r="EI205" s="216"/>
      <c r="EJ205" s="216" t="s">
        <v>529</v>
      </c>
      <c r="EK205" s="222" t="s">
        <v>529</v>
      </c>
      <c r="EL205" s="259">
        <v>1997</v>
      </c>
      <c r="EM205" s="263">
        <v>10194</v>
      </c>
      <c r="EN205" s="260">
        <v>697759</v>
      </c>
      <c r="EO205" s="260">
        <v>931989</v>
      </c>
      <c r="EP205" s="237">
        <v>1</v>
      </c>
      <c r="EQ205" s="237">
        <v>80</v>
      </c>
      <c r="ER205" s="237" t="s">
        <v>705</v>
      </c>
      <c r="ES205" s="237">
        <v>5762</v>
      </c>
      <c r="ET205" s="237">
        <v>91.425250147145377</v>
      </c>
      <c r="EU205" s="661">
        <v>1</v>
      </c>
      <c r="EV205" s="661">
        <v>2</v>
      </c>
      <c r="EW205" s="661">
        <v>4</v>
      </c>
      <c r="EX205" s="661">
        <v>6</v>
      </c>
      <c r="EY205" s="660">
        <v>6.5968826405867972E-2</v>
      </c>
      <c r="EZ205" s="256">
        <v>40.041695621959697</v>
      </c>
      <c r="FA205" s="247">
        <v>0.21664560389962087</v>
      </c>
      <c r="FB205" s="208">
        <v>5</v>
      </c>
      <c r="FC205" s="208">
        <v>5</v>
      </c>
      <c r="FD205" s="208">
        <v>4</v>
      </c>
      <c r="FE205" s="239">
        <v>0.96768369741830651</v>
      </c>
      <c r="FF205" s="208"/>
      <c r="FG205" s="241">
        <v>2.4047662032857919E-3</v>
      </c>
      <c r="FH205" s="209">
        <v>0</v>
      </c>
      <c r="FI205" s="237" t="s">
        <v>678</v>
      </c>
      <c r="FJ205" s="208">
        <v>76.599999999999994</v>
      </c>
      <c r="FK205" s="208">
        <v>61.18</v>
      </c>
      <c r="FL205" s="217">
        <v>95.3</v>
      </c>
      <c r="FM205" s="208">
        <v>12.52</v>
      </c>
      <c r="FN205" s="208" t="s">
        <v>1442</v>
      </c>
      <c r="FP205" s="247" t="s">
        <v>693</v>
      </c>
      <c r="FR205" s="237">
        <v>6</v>
      </c>
      <c r="FS205" s="237">
        <v>4</v>
      </c>
      <c r="FT205" s="237">
        <v>22</v>
      </c>
      <c r="FU205" s="208">
        <v>63</v>
      </c>
      <c r="FV205" s="208">
        <v>92.5</v>
      </c>
      <c r="FW205" s="237">
        <v>98.23</v>
      </c>
      <c r="FX205" s="237">
        <v>97.4</v>
      </c>
      <c r="FY205" s="208">
        <v>115.61</v>
      </c>
      <c r="FZ205" s="208">
        <v>92.4</v>
      </c>
      <c r="GA205" s="208">
        <v>81.760000000000005</v>
      </c>
      <c r="GB205" s="208">
        <v>93.9</v>
      </c>
      <c r="GC205" s="208">
        <v>0.78</v>
      </c>
      <c r="GD205" s="208">
        <v>77.7</v>
      </c>
      <c r="GE205" s="237">
        <v>50.69</v>
      </c>
      <c r="GF205" s="237">
        <v>66.5</v>
      </c>
      <c r="GG205" s="237">
        <v>11.36</v>
      </c>
      <c r="GH205" s="237">
        <v>72.900000000000006</v>
      </c>
      <c r="GJ205" s="947">
        <v>426</v>
      </c>
      <c r="GK205" s="320">
        <v>6.0000000000000001E-3</v>
      </c>
      <c r="GL205" s="320">
        <v>0.41899999999999998</v>
      </c>
      <c r="GM205" s="320">
        <v>5.8999999999999997E-2</v>
      </c>
      <c r="GN205" s="320">
        <v>0.51700000000000002</v>
      </c>
      <c r="GO205" s="662">
        <v>8202</v>
      </c>
      <c r="GP205" s="663" t="str">
        <f>VLOOKUP(GS205,'BD Comarcal'!$A$6:$AV$17,48,FALSE)</f>
        <v>41</v>
      </c>
      <c r="GQ205" s="564">
        <v>136</v>
      </c>
      <c r="GR205" s="256">
        <f t="shared" si="3"/>
        <v>1</v>
      </c>
      <c r="GS205" s="237" t="s">
        <v>24</v>
      </c>
    </row>
    <row r="206" spans="1:201" s="237" customFormat="1" ht="17.25" customHeight="1">
      <c r="A206" s="236" t="s">
        <v>1443</v>
      </c>
      <c r="C206" s="238"/>
      <c r="D206" s="238">
        <v>1579</v>
      </c>
      <c r="E206" s="238">
        <v>1126</v>
      </c>
      <c r="F206" s="239">
        <v>0.71310956301456618</v>
      </c>
      <c r="G206" s="238">
        <v>1085</v>
      </c>
      <c r="H206" s="240">
        <v>171.43489407117917</v>
      </c>
      <c r="I206" s="239">
        <v>0.15225123807387139</v>
      </c>
      <c r="J206" s="238">
        <v>52</v>
      </c>
      <c r="K206" s="238">
        <v>3</v>
      </c>
      <c r="L206" s="238">
        <v>32</v>
      </c>
      <c r="M206" s="241">
        <v>2.0265991133628879E-2</v>
      </c>
      <c r="N206" s="238">
        <v>4</v>
      </c>
      <c r="O206" s="239">
        <v>7.6923076923076927E-2</v>
      </c>
      <c r="P206" s="237">
        <v>4</v>
      </c>
      <c r="Q206" s="237">
        <v>0</v>
      </c>
      <c r="R206" s="239">
        <v>0</v>
      </c>
      <c r="S206" s="238">
        <v>14</v>
      </c>
      <c r="T206" s="436">
        <v>450</v>
      </c>
      <c r="U206" s="436">
        <v>12</v>
      </c>
      <c r="V206" s="436">
        <v>42</v>
      </c>
      <c r="W206" s="436">
        <v>504</v>
      </c>
      <c r="X206" s="238">
        <v>3329</v>
      </c>
      <c r="Y206" s="237">
        <v>0.12379999999999999</v>
      </c>
      <c r="Z206" s="238">
        <v>65545</v>
      </c>
      <c r="AA206" s="238">
        <v>19707</v>
      </c>
      <c r="AB206" s="238">
        <v>120.41</v>
      </c>
      <c r="AC206" s="238">
        <v>628</v>
      </c>
      <c r="AD206" s="238">
        <v>5189965.8900000006</v>
      </c>
      <c r="AE206" s="238">
        <v>958896.21</v>
      </c>
      <c r="AF206" s="238">
        <v>4067036.04</v>
      </c>
      <c r="AG206" s="238">
        <v>310436.02</v>
      </c>
      <c r="AH206" s="239">
        <v>7.6329793231928192E-2</v>
      </c>
      <c r="AI206" s="247">
        <v>276.07635299999998</v>
      </c>
      <c r="AJ206" s="242">
        <v>62.278185000000001</v>
      </c>
      <c r="AK206" s="242">
        <v>3.9441535782140598</v>
      </c>
      <c r="AL206" s="242">
        <v>256.59903400000002</v>
      </c>
      <c r="AM206" s="242">
        <v>16.250730462317925</v>
      </c>
      <c r="AN206" s="242">
        <v>16934.89</v>
      </c>
      <c r="AO206" s="238">
        <v>3448.73</v>
      </c>
      <c r="AP206" s="243">
        <v>10</v>
      </c>
      <c r="AQ206" s="238"/>
      <c r="AR206" s="238">
        <v>1827.3374859393641</v>
      </c>
      <c r="AS206" s="238">
        <v>1337.2518647333975</v>
      </c>
      <c r="AT206" s="238">
        <v>237829.33333333334</v>
      </c>
      <c r="AU206" s="238">
        <v>394.70210748632195</v>
      </c>
      <c r="AV206" s="237">
        <v>1</v>
      </c>
      <c r="AW206" s="237">
        <v>1</v>
      </c>
      <c r="AX206" s="237">
        <v>1</v>
      </c>
      <c r="AY206" s="244" t="s">
        <v>717</v>
      </c>
      <c r="AZ206" s="244" t="s">
        <v>682</v>
      </c>
      <c r="BA206" s="237">
        <v>2013</v>
      </c>
      <c r="BB206" s="245" t="s">
        <v>898</v>
      </c>
      <c r="BC206" s="215" t="s">
        <v>899</v>
      </c>
      <c r="BE206" s="237">
        <v>264</v>
      </c>
      <c r="BF206" s="237">
        <v>2</v>
      </c>
      <c r="BG206" s="246" t="s">
        <v>676</v>
      </c>
      <c r="BI206" s="239">
        <v>0.27103145574250181</v>
      </c>
      <c r="BJ206" s="239">
        <v>0.15654718361375275</v>
      </c>
      <c r="BK206" s="239">
        <v>0.54242867593269939</v>
      </c>
      <c r="BL206" s="239">
        <v>2.9992684711046085E-2</v>
      </c>
      <c r="BM206" s="247">
        <v>1.6686174103877103</v>
      </c>
      <c r="BN206" s="248">
        <v>0</v>
      </c>
      <c r="BO206" s="248">
        <v>0</v>
      </c>
      <c r="BP206" s="237">
        <v>0</v>
      </c>
      <c r="BQ206" s="237">
        <v>0</v>
      </c>
      <c r="BR206" s="248">
        <v>0</v>
      </c>
      <c r="BU206" s="249" t="s">
        <v>678</v>
      </c>
      <c r="BV206" s="249">
        <v>299</v>
      </c>
      <c r="BW206" s="249">
        <v>1645</v>
      </c>
      <c r="BX206" s="249" t="s">
        <v>678</v>
      </c>
      <c r="BY206" s="249" t="s">
        <v>678</v>
      </c>
      <c r="BZ206" s="249">
        <v>8.8776722090261284</v>
      </c>
      <c r="CA206" s="249">
        <v>48.842042755344416</v>
      </c>
      <c r="CB206" s="249" t="s">
        <v>678</v>
      </c>
      <c r="CC206" s="250" t="s">
        <v>678</v>
      </c>
      <c r="CD206" s="242" t="s">
        <v>678</v>
      </c>
      <c r="CE206" s="252" t="s">
        <v>678</v>
      </c>
      <c r="CF206" s="238">
        <v>382</v>
      </c>
      <c r="CG206" s="238">
        <v>291.8</v>
      </c>
      <c r="CH206" s="238">
        <v>8.6638954869358678</v>
      </c>
      <c r="CI206" s="216" t="s">
        <v>679</v>
      </c>
      <c r="CJ206" s="237">
        <v>0</v>
      </c>
      <c r="CK206" s="253">
        <v>149.62</v>
      </c>
      <c r="CL206" s="253">
        <v>119.232</v>
      </c>
      <c r="CM206" s="254">
        <v>7.5511082963901202E-2</v>
      </c>
      <c r="CN206" s="237" t="s">
        <v>86</v>
      </c>
      <c r="CO206" s="242">
        <v>77.12</v>
      </c>
      <c r="CP206" s="255">
        <v>4.88410386320456E-2</v>
      </c>
      <c r="CV206" s="237">
        <v>1</v>
      </c>
      <c r="CW206" s="261" t="s">
        <v>678</v>
      </c>
      <c r="CX206" s="261" t="s">
        <v>678</v>
      </c>
      <c r="CY206" s="261" t="s">
        <v>678</v>
      </c>
      <c r="DB206" s="216" t="s">
        <v>710</v>
      </c>
      <c r="DC206" s="195" t="s">
        <v>711</v>
      </c>
      <c r="DD206" s="256">
        <v>0.7</v>
      </c>
      <c r="DE206" s="256">
        <v>-6.5</v>
      </c>
      <c r="DF206" s="256">
        <v>0.7</v>
      </c>
      <c r="DG206" s="256">
        <v>-2.2000000000000002</v>
      </c>
      <c r="DH206" s="257">
        <v>2</v>
      </c>
      <c r="DI206" s="257">
        <v>1.9</v>
      </c>
      <c r="DJ206" s="257">
        <v>1.6</v>
      </c>
      <c r="DK206" s="257">
        <v>3.5</v>
      </c>
      <c r="DL206" s="237" t="s">
        <v>529</v>
      </c>
      <c r="DM206" s="270" t="s">
        <v>748</v>
      </c>
      <c r="DN206" s="237" t="s">
        <v>713</v>
      </c>
      <c r="DP206" s="258" t="s">
        <v>682</v>
      </c>
      <c r="DQ206" s="258"/>
      <c r="DR206" s="258"/>
      <c r="DS206" s="258"/>
      <c r="DT206" s="258"/>
      <c r="DU206" s="237">
        <v>0</v>
      </c>
      <c r="DX206" s="247"/>
      <c r="DY206" s="247">
        <v>0</v>
      </c>
      <c r="EA206" s="237">
        <v>1</v>
      </c>
      <c r="EB206" s="237" t="s">
        <v>741</v>
      </c>
      <c r="ED206" s="237" t="s">
        <v>1444</v>
      </c>
      <c r="EE206" s="208">
        <v>1</v>
      </c>
      <c r="EF206" s="237" t="s">
        <v>688</v>
      </c>
      <c r="EG206" s="216" t="s">
        <v>691</v>
      </c>
      <c r="EH206" s="246" t="s">
        <v>690</v>
      </c>
      <c r="EI206" s="216" t="s">
        <v>691</v>
      </c>
      <c r="EJ206" s="216" t="s">
        <v>529</v>
      </c>
      <c r="EK206" s="222" t="s">
        <v>682</v>
      </c>
      <c r="EL206" s="259">
        <v>1983</v>
      </c>
      <c r="EM206" s="263">
        <v>710</v>
      </c>
      <c r="EN206" s="260">
        <v>215892</v>
      </c>
      <c r="EO206" s="260">
        <v>21572</v>
      </c>
      <c r="ER206" s="237" t="s">
        <v>692</v>
      </c>
      <c r="ES206" s="237" t="e">
        <v>#DIV/0!</v>
      </c>
      <c r="ET206" s="237">
        <v>30.383098591549295</v>
      </c>
      <c r="EU206" s="661">
        <v>1</v>
      </c>
      <c r="EV206" s="661">
        <v>1</v>
      </c>
      <c r="EW206" s="661">
        <v>5</v>
      </c>
      <c r="EX206" s="661">
        <v>7</v>
      </c>
      <c r="EY206" s="660">
        <v>9.4756174794173531E-2</v>
      </c>
      <c r="EZ206" s="256">
        <v>22.510359577596578</v>
      </c>
      <c r="FA206" s="247">
        <v>8.8809946714031973E-2</v>
      </c>
      <c r="FB206" s="208">
        <v>4</v>
      </c>
      <c r="FC206" s="208">
        <v>6</v>
      </c>
      <c r="FD206" s="208">
        <v>9</v>
      </c>
      <c r="FE206" s="239">
        <v>0.96358792184724684</v>
      </c>
      <c r="FF206" s="208"/>
      <c r="FG206" s="241">
        <v>3.1083481349911189E-3</v>
      </c>
      <c r="FH206" s="209">
        <v>0</v>
      </c>
      <c r="FI206" s="237" t="s">
        <v>678</v>
      </c>
      <c r="FJ206" s="208">
        <v>54.5</v>
      </c>
      <c r="FK206" s="208">
        <v>11.23</v>
      </c>
      <c r="FL206" s="217">
        <v>48.1</v>
      </c>
      <c r="FM206" s="208">
        <v>9.84</v>
      </c>
      <c r="FN206" s="208" t="s">
        <v>1445</v>
      </c>
      <c r="FP206" s="247" t="s">
        <v>693</v>
      </c>
      <c r="FU206" s="208">
        <v>41</v>
      </c>
      <c r="FV206" s="208">
        <v>55.9</v>
      </c>
      <c r="FW206" s="237">
        <v>78.709999999999994</v>
      </c>
      <c r="FX206" s="237">
        <v>64.599999999999994</v>
      </c>
      <c r="FY206" s="208">
        <v>71.75</v>
      </c>
      <c r="FZ206" s="208">
        <v>75</v>
      </c>
      <c r="GA206" s="208">
        <v>68.48</v>
      </c>
      <c r="GB206" s="208">
        <v>77.400000000000006</v>
      </c>
      <c r="GC206" s="208">
        <v>0.01</v>
      </c>
      <c r="GD206" s="208">
        <v>14.9</v>
      </c>
      <c r="GE206" s="237">
        <v>36.369999999999997</v>
      </c>
      <c r="GF206" s="237">
        <v>45.2</v>
      </c>
      <c r="GG206" s="237">
        <v>4.42</v>
      </c>
      <c r="GH206" s="237">
        <v>38.4</v>
      </c>
      <c r="GJ206" s="947"/>
      <c r="GK206" s="320"/>
      <c r="GL206" s="320"/>
      <c r="GM206" s="320"/>
      <c r="GN206" s="320"/>
      <c r="GO206" s="662">
        <v>8203</v>
      </c>
      <c r="GP206" s="663" t="str">
        <f>VLOOKUP(GS206,'BD Comarcal'!$A$6:$AV$17,48,FALSE)</f>
        <v>21</v>
      </c>
      <c r="GQ206" s="564">
        <v>11</v>
      </c>
      <c r="GR206" s="256">
        <f t="shared" si="3"/>
        <v>1</v>
      </c>
      <c r="GS206" s="237" t="s">
        <v>86</v>
      </c>
    </row>
    <row r="207" spans="1:201" s="237" customFormat="1" ht="17.25" customHeight="1">
      <c r="A207" s="236" t="s">
        <v>1446</v>
      </c>
      <c r="C207" s="238"/>
      <c r="D207" s="238">
        <v>1073</v>
      </c>
      <c r="E207" s="238">
        <v>803</v>
      </c>
      <c r="F207" s="239">
        <v>0.74836905871388626</v>
      </c>
      <c r="G207" s="238">
        <v>389</v>
      </c>
      <c r="H207" s="240">
        <v>63.486406306548488</v>
      </c>
      <c r="I207" s="239">
        <v>7.9061527156349301E-2</v>
      </c>
      <c r="J207" s="238">
        <v>82</v>
      </c>
      <c r="K207" s="238">
        <v>1</v>
      </c>
      <c r="L207" s="238">
        <v>24</v>
      </c>
      <c r="M207" s="241">
        <v>2.2367194780987885E-2</v>
      </c>
      <c r="N207" s="238">
        <v>0</v>
      </c>
      <c r="O207" s="239">
        <v>0</v>
      </c>
      <c r="P207" s="237">
        <v>1</v>
      </c>
      <c r="Q207" s="237">
        <v>0</v>
      </c>
      <c r="R207" s="239">
        <v>0</v>
      </c>
      <c r="S207" s="238">
        <v>42</v>
      </c>
      <c r="T207" s="436">
        <v>0</v>
      </c>
      <c r="U207" s="436">
        <v>0</v>
      </c>
      <c r="V207" s="436">
        <v>0</v>
      </c>
      <c r="W207" s="436">
        <v>0</v>
      </c>
      <c r="X207" s="238">
        <v>4024</v>
      </c>
      <c r="Y207" s="237">
        <v>0.12470000000000001</v>
      </c>
      <c r="Z207" s="238">
        <v>69958</v>
      </c>
      <c r="AA207" s="238">
        <v>17433</v>
      </c>
      <c r="AB207" s="238">
        <v>106.52</v>
      </c>
      <c r="AC207" s="238">
        <v>2555</v>
      </c>
      <c r="AD207" s="238">
        <v>5122090.49</v>
      </c>
      <c r="AE207" s="238">
        <v>682561.40999999922</v>
      </c>
      <c r="AF207" s="238">
        <v>3585302.1000000006</v>
      </c>
      <c r="AG207" s="238">
        <v>378819.6</v>
      </c>
      <c r="AH207" s="239">
        <v>0.10565904613728364</v>
      </c>
      <c r="AI207" s="247">
        <v>63.308349999999997</v>
      </c>
      <c r="AJ207" s="242">
        <v>671.87215300000003</v>
      </c>
      <c r="AK207" s="242">
        <v>62.616230475302885</v>
      </c>
      <c r="AL207" s="242" t="s">
        <v>678</v>
      </c>
      <c r="AM207" s="242" t="s">
        <v>678</v>
      </c>
      <c r="AN207" s="242">
        <v>6781.05</v>
      </c>
      <c r="AO207" s="238">
        <v>18380.490000000002</v>
      </c>
      <c r="AP207" s="243">
        <v>44</v>
      </c>
      <c r="AQ207" s="238"/>
      <c r="AR207" s="238">
        <v>1362.6271557255707</v>
      </c>
      <c r="AS207" s="238">
        <v>909.70915965794177</v>
      </c>
      <c r="AT207" s="238">
        <v>164779</v>
      </c>
      <c r="AU207" s="238">
        <v>227.5483467445595</v>
      </c>
      <c r="AV207" s="237">
        <v>1</v>
      </c>
      <c r="AW207" s="237">
        <v>0</v>
      </c>
      <c r="AX207" s="237">
        <v>1</v>
      </c>
      <c r="AY207" s="244" t="s">
        <v>673</v>
      </c>
      <c r="AZ207" s="244" t="s">
        <v>726</v>
      </c>
      <c r="BA207" s="237">
        <v>2015</v>
      </c>
      <c r="BB207" s="245" t="s">
        <v>1447</v>
      </c>
      <c r="BC207" s="215" t="s">
        <v>1448</v>
      </c>
      <c r="BD207" s="237">
        <v>1</v>
      </c>
      <c r="BE207" s="237">
        <v>246</v>
      </c>
      <c r="BF207" s="237">
        <v>2</v>
      </c>
      <c r="BG207" s="246" t="s">
        <v>676</v>
      </c>
      <c r="BI207" s="239">
        <v>0.28299492385786801</v>
      </c>
      <c r="BJ207" s="239">
        <v>0.10871404399323181</v>
      </c>
      <c r="BK207" s="239">
        <v>0.5875634517766497</v>
      </c>
      <c r="BL207" s="239">
        <v>2.0727580372250424E-2</v>
      </c>
      <c r="BM207" s="247">
        <v>1.6539763113367174</v>
      </c>
      <c r="BN207" s="248">
        <v>1</v>
      </c>
      <c r="BO207" s="248">
        <v>0</v>
      </c>
      <c r="BP207" s="237">
        <v>0</v>
      </c>
      <c r="BQ207" s="237">
        <v>0</v>
      </c>
      <c r="BR207" s="248">
        <v>1</v>
      </c>
      <c r="BS207" s="237">
        <v>16</v>
      </c>
      <c r="BT207" s="237" t="s">
        <v>1094</v>
      </c>
      <c r="BU207" s="249" t="s">
        <v>678</v>
      </c>
      <c r="BV207" s="249">
        <v>266</v>
      </c>
      <c r="BW207" s="249">
        <v>2048</v>
      </c>
      <c r="BX207" s="249">
        <v>592</v>
      </c>
      <c r="BY207" s="249" t="s">
        <v>678</v>
      </c>
      <c r="BZ207" s="249">
        <v>6.7857142857142856</v>
      </c>
      <c r="CA207" s="249">
        <v>52.244897959183675</v>
      </c>
      <c r="CB207" s="249">
        <v>15.102040816326531</v>
      </c>
      <c r="CC207" s="250" t="s">
        <v>678</v>
      </c>
      <c r="CD207" s="242" t="s">
        <v>678</v>
      </c>
      <c r="CE207" s="252" t="s">
        <v>678</v>
      </c>
      <c r="CF207" s="238">
        <v>1632</v>
      </c>
      <c r="CG207" s="238">
        <v>261</v>
      </c>
      <c r="CH207" s="238">
        <v>6.658163265306122</v>
      </c>
      <c r="CI207" s="216" t="s">
        <v>679</v>
      </c>
      <c r="CJ207" s="237">
        <v>0</v>
      </c>
      <c r="CK207" s="253">
        <v>43.98</v>
      </c>
      <c r="CL207" s="253">
        <v>33.759399999999999</v>
      </c>
      <c r="CM207" s="254">
        <v>3.1462628145386765E-2</v>
      </c>
      <c r="CN207" s="237" t="s">
        <v>90</v>
      </c>
      <c r="CO207" s="242"/>
      <c r="CP207" s="255">
        <v>0</v>
      </c>
      <c r="CV207" s="237">
        <v>1</v>
      </c>
      <c r="CW207" s="261" t="s">
        <v>678</v>
      </c>
      <c r="CX207" s="261" t="s">
        <v>678</v>
      </c>
      <c r="CY207" s="261" t="s">
        <v>678</v>
      </c>
      <c r="DB207" s="216" t="s">
        <v>804</v>
      </c>
      <c r="DC207" s="195" t="s">
        <v>977</v>
      </c>
      <c r="DD207" s="256">
        <v>0.7</v>
      </c>
      <c r="DE207" s="256">
        <v>-6.5</v>
      </c>
      <c r="DF207" s="256">
        <v>0.7</v>
      </c>
      <c r="DG207" s="256">
        <v>-2.2000000000000002</v>
      </c>
      <c r="DH207" s="257">
        <v>1</v>
      </c>
      <c r="DI207" s="257">
        <v>3.5</v>
      </c>
      <c r="DJ207" s="257">
        <v>0</v>
      </c>
      <c r="DK207" s="257">
        <v>3.5</v>
      </c>
      <c r="DL207" s="237" t="s">
        <v>682</v>
      </c>
      <c r="DP207" s="258" t="s">
        <v>682</v>
      </c>
      <c r="DQ207" s="258"/>
      <c r="DR207" s="258"/>
      <c r="DS207" s="258"/>
      <c r="DT207" s="258"/>
      <c r="DU207" s="237">
        <v>0</v>
      </c>
      <c r="DX207" s="247"/>
      <c r="DY207" s="247">
        <v>0</v>
      </c>
      <c r="EA207" s="237">
        <v>0</v>
      </c>
      <c r="ED207" s="237" t="s">
        <v>678</v>
      </c>
      <c r="EE207" s="208">
        <v>3</v>
      </c>
      <c r="EF207" s="237" t="s">
        <v>678</v>
      </c>
      <c r="EG207" s="216" t="s">
        <v>733</v>
      </c>
      <c r="EH207" s="246" t="s">
        <v>734</v>
      </c>
      <c r="EI207" s="216"/>
      <c r="EJ207" s="216" t="s">
        <v>529</v>
      </c>
      <c r="EK207" s="222" t="s">
        <v>529</v>
      </c>
      <c r="EL207" s="259">
        <v>1976</v>
      </c>
      <c r="EM207" s="263">
        <v>278325</v>
      </c>
      <c r="EN207" s="260">
        <v>152045</v>
      </c>
      <c r="EO207" s="260">
        <v>24893</v>
      </c>
      <c r="ER207" s="237" t="s">
        <v>705</v>
      </c>
      <c r="ES207" s="237">
        <v>3920</v>
      </c>
      <c r="ET207" s="237">
        <v>8.9438605946285818E-2</v>
      </c>
      <c r="EU207" s="661">
        <v>3</v>
      </c>
      <c r="EV207" s="661">
        <v>1</v>
      </c>
      <c r="EW207" s="661">
        <v>4</v>
      </c>
      <c r="EX207" s="661">
        <v>5</v>
      </c>
      <c r="EY207" s="660">
        <v>4.0987884436160298E-2</v>
      </c>
      <c r="EZ207" s="256">
        <v>89.131423374261033</v>
      </c>
      <c r="FA207" s="247">
        <v>0.12453300124533001</v>
      </c>
      <c r="FB207" s="208">
        <v>3</v>
      </c>
      <c r="FC207" s="208">
        <v>3</v>
      </c>
      <c r="FD207" s="208">
        <v>3</v>
      </c>
      <c r="FE207" s="239">
        <v>0.48443337484433374</v>
      </c>
      <c r="FF207" s="208"/>
      <c r="FG207" s="241">
        <v>4.3586550435865505E-3</v>
      </c>
      <c r="FH207" s="209">
        <v>0</v>
      </c>
      <c r="FI207" s="237" t="s">
        <v>678</v>
      </c>
      <c r="FJ207" s="208">
        <v>26.7</v>
      </c>
      <c r="FK207" s="208">
        <v>0</v>
      </c>
      <c r="FL207" s="217">
        <v>8.5</v>
      </c>
      <c r="FM207" s="208">
        <v>2.78</v>
      </c>
      <c r="FN207" s="208" t="s">
        <v>1449</v>
      </c>
      <c r="FP207" s="247" t="s">
        <v>693</v>
      </c>
      <c r="FU207" s="208">
        <v>16</v>
      </c>
      <c r="FV207" s="208">
        <v>2.1</v>
      </c>
      <c r="FW207" s="237">
        <v>60.13</v>
      </c>
      <c r="FX207" s="237">
        <v>41.7</v>
      </c>
      <c r="FY207" s="208">
        <v>34.08</v>
      </c>
      <c r="FZ207" s="208">
        <v>50.5</v>
      </c>
      <c r="GA207" s="208">
        <v>49.64</v>
      </c>
      <c r="GB207" s="208">
        <v>52.1</v>
      </c>
      <c r="GC207" s="208">
        <v>1.28</v>
      </c>
      <c r="GD207" s="208">
        <v>93.8</v>
      </c>
      <c r="GE207" s="237">
        <v>35.96</v>
      </c>
      <c r="GF207" s="237">
        <v>44.5</v>
      </c>
      <c r="GG207" s="237">
        <v>0.59</v>
      </c>
      <c r="GH207" s="237">
        <v>12</v>
      </c>
      <c r="GJ207" s="947"/>
      <c r="GK207" s="320"/>
      <c r="GL207" s="320"/>
      <c r="GM207" s="320"/>
      <c r="GN207" s="320"/>
      <c r="GO207" s="662">
        <v>8204</v>
      </c>
      <c r="GP207" s="663" t="str">
        <f>VLOOKUP(GS207,'BD Comarcal'!$A$6:$AV$17,48,FALSE)</f>
        <v>11</v>
      </c>
      <c r="GQ207" s="564">
        <v>24</v>
      </c>
      <c r="GR207" s="256">
        <f t="shared" si="3"/>
        <v>1</v>
      </c>
      <c r="GS207" s="237" t="s">
        <v>90</v>
      </c>
    </row>
    <row r="208" spans="1:201" s="237" customFormat="1" ht="17.25" customHeight="1">
      <c r="A208" s="236" t="s">
        <v>1450</v>
      </c>
      <c r="C208" s="238"/>
      <c r="D208" s="238">
        <v>4832</v>
      </c>
      <c r="E208" s="238">
        <v>2578</v>
      </c>
      <c r="F208" s="239">
        <v>0.53352649006622521</v>
      </c>
      <c r="G208" s="238">
        <v>2201</v>
      </c>
      <c r="H208" s="240">
        <v>154.94588963920486</v>
      </c>
      <c r="I208" s="239">
        <v>6.0103137951592264E-2</v>
      </c>
      <c r="J208" s="238">
        <v>17</v>
      </c>
      <c r="K208" s="238">
        <v>32</v>
      </c>
      <c r="L208" s="238">
        <v>0</v>
      </c>
      <c r="M208" s="241">
        <v>0</v>
      </c>
      <c r="N208" s="238">
        <v>5</v>
      </c>
      <c r="O208" s="239">
        <v>0.29411764705882354</v>
      </c>
      <c r="P208" s="237">
        <v>6</v>
      </c>
      <c r="Q208" s="237">
        <v>0</v>
      </c>
      <c r="R208" s="239">
        <v>0</v>
      </c>
      <c r="S208" s="238">
        <v>191</v>
      </c>
      <c r="T208" s="436">
        <v>0</v>
      </c>
      <c r="U208" s="436">
        <v>0</v>
      </c>
      <c r="V208" s="436">
        <v>1014</v>
      </c>
      <c r="W208" s="436">
        <v>1014</v>
      </c>
      <c r="X208" s="238">
        <v>88921</v>
      </c>
      <c r="Y208" s="237">
        <v>0.1212</v>
      </c>
      <c r="Z208" s="238">
        <v>1866143</v>
      </c>
      <c r="AA208" s="238">
        <v>21247</v>
      </c>
      <c r="AB208" s="238">
        <v>129.82</v>
      </c>
      <c r="AC208" s="238">
        <v>61345</v>
      </c>
      <c r="AD208" s="238">
        <v>137948011.22</v>
      </c>
      <c r="AE208" s="238">
        <v>-4300955.9499999974</v>
      </c>
      <c r="AF208" s="238">
        <v>137945110.08000001</v>
      </c>
      <c r="AG208" s="238">
        <v>25409663.460000001</v>
      </c>
      <c r="AH208" s="239">
        <v>0.18420126269980791</v>
      </c>
      <c r="AI208" s="269">
        <v>2186.7697800000001</v>
      </c>
      <c r="AJ208" s="242">
        <v>2424.6709300000002</v>
      </c>
      <c r="AK208" s="242">
        <v>50.179448054635763</v>
      </c>
      <c r="AL208" s="242">
        <v>90.705537000000007</v>
      </c>
      <c r="AM208" s="242">
        <v>1.8771841266556293</v>
      </c>
      <c r="AN208" s="242">
        <v>144788.35</v>
      </c>
      <c r="AO208" s="238">
        <v>33584.57</v>
      </c>
      <c r="AP208" s="243">
        <v>143</v>
      </c>
      <c r="AQ208" s="238"/>
      <c r="AR208" s="238">
        <v>1517.7921703015284</v>
      </c>
      <c r="AS208" s="238">
        <v>2750.492708740232</v>
      </c>
      <c r="AT208" s="238">
        <v>6624989.333333333</v>
      </c>
      <c r="AU208" s="238">
        <v>318.68473860327828</v>
      </c>
      <c r="AV208" s="237">
        <v>1</v>
      </c>
      <c r="AW208" s="237">
        <v>0</v>
      </c>
      <c r="AX208" s="237">
        <v>0</v>
      </c>
      <c r="AY208" s="244" t="s">
        <v>673</v>
      </c>
      <c r="AZ208" s="244" t="s">
        <v>673</v>
      </c>
      <c r="BA208" s="237">
        <v>2009</v>
      </c>
      <c r="BB208" s="245" t="s">
        <v>1451</v>
      </c>
      <c r="BC208" s="215" t="s">
        <v>1452</v>
      </c>
      <c r="BE208" s="237">
        <v>39</v>
      </c>
      <c r="BF208" s="237">
        <v>37</v>
      </c>
      <c r="BG208" s="246" t="s">
        <v>676</v>
      </c>
      <c r="BI208" s="239">
        <v>0.26327471993895885</v>
      </c>
      <c r="BJ208" s="239">
        <v>8.5787118926230366E-2</v>
      </c>
      <c r="BK208" s="239">
        <v>0.61609960808795472</v>
      </c>
      <c r="BL208" s="239">
        <v>3.4838553046856034E-2</v>
      </c>
      <c r="BM208" s="247">
        <v>1.5774980057572918</v>
      </c>
      <c r="BN208" s="248">
        <v>1</v>
      </c>
      <c r="BO208" s="248">
        <v>1</v>
      </c>
      <c r="BP208" s="237">
        <v>0</v>
      </c>
      <c r="BQ208" s="237">
        <v>0</v>
      </c>
      <c r="BR208" s="248">
        <v>2</v>
      </c>
      <c r="BS208" s="237">
        <v>15</v>
      </c>
      <c r="BT208" s="237" t="s">
        <v>967</v>
      </c>
      <c r="BU208" s="249">
        <v>2658</v>
      </c>
      <c r="BV208" s="249">
        <v>3695</v>
      </c>
      <c r="BW208" s="249">
        <v>28722</v>
      </c>
      <c r="BX208" s="249">
        <v>30268</v>
      </c>
      <c r="BY208" s="249">
        <v>3.086821201282111</v>
      </c>
      <c r="BZ208" s="249">
        <v>4.2911227760486828</v>
      </c>
      <c r="CA208" s="249">
        <v>33.355785757420911</v>
      </c>
      <c r="CB208" s="249">
        <v>35.151205462907051</v>
      </c>
      <c r="CC208" s="250">
        <v>51.198494913364613</v>
      </c>
      <c r="CD208" s="242">
        <v>2008</v>
      </c>
      <c r="CE208" s="252">
        <v>102.33195521902726</v>
      </c>
      <c r="CF208" s="238">
        <v>33336</v>
      </c>
      <c r="CG208" s="238">
        <v>3936.9</v>
      </c>
      <c r="CH208" s="238">
        <v>4.5720490546755235</v>
      </c>
      <c r="CI208" s="216" t="s">
        <v>679</v>
      </c>
      <c r="CJ208" s="237">
        <v>0</v>
      </c>
      <c r="CK208" s="253">
        <v>1240.7</v>
      </c>
      <c r="CL208" s="253">
        <v>979.37940000000003</v>
      </c>
      <c r="CM208" s="254">
        <v>0.20268613410596026</v>
      </c>
      <c r="CN208" s="237" t="s">
        <v>89</v>
      </c>
      <c r="CO208" s="242">
        <v>1873.25</v>
      </c>
      <c r="CP208" s="255">
        <v>0.38767591059602646</v>
      </c>
      <c r="CV208" s="237">
        <v>23</v>
      </c>
      <c r="CW208" s="194">
        <v>1.4350000000000001</v>
      </c>
      <c r="CX208" s="194">
        <v>0.63500000000000001</v>
      </c>
      <c r="CY208" s="194">
        <v>0.38300000000000001</v>
      </c>
      <c r="DB208" s="216" t="s">
        <v>710</v>
      </c>
      <c r="DC208" s="195" t="s">
        <v>711</v>
      </c>
      <c r="DD208" s="256">
        <v>0.7</v>
      </c>
      <c r="DE208" s="256">
        <v>-6.5</v>
      </c>
      <c r="DF208" s="256">
        <v>0.7</v>
      </c>
      <c r="DG208" s="256">
        <v>-2.2000000000000002</v>
      </c>
      <c r="DH208" s="257">
        <v>3</v>
      </c>
      <c r="DI208" s="257">
        <v>2.4</v>
      </c>
      <c r="DJ208" s="257">
        <v>3</v>
      </c>
      <c r="DK208" s="257">
        <v>5.4</v>
      </c>
      <c r="DL208" s="237" t="s">
        <v>682</v>
      </c>
      <c r="DP208" s="258" t="s">
        <v>683</v>
      </c>
      <c r="DQ208" s="258" t="s">
        <v>948</v>
      </c>
      <c r="DR208" s="258" t="s">
        <v>1453</v>
      </c>
      <c r="DS208" s="258"/>
      <c r="DT208" s="258"/>
      <c r="DU208" s="237">
        <v>1.5</v>
      </c>
      <c r="DV208" s="237" t="s">
        <v>1454</v>
      </c>
      <c r="DX208" s="247">
        <v>5.6450000000000005</v>
      </c>
      <c r="DY208" s="247">
        <v>0.11682533112582781</v>
      </c>
      <c r="DZ208" s="237" t="s">
        <v>1455</v>
      </c>
      <c r="EA208" s="237">
        <v>0</v>
      </c>
      <c r="EC208" s="237">
        <v>1</v>
      </c>
      <c r="ED208" s="237" t="s">
        <v>732</v>
      </c>
      <c r="EE208" s="208">
        <v>3</v>
      </c>
      <c r="EF208" s="237" t="s">
        <v>688</v>
      </c>
      <c r="EG208" s="216" t="s">
        <v>689</v>
      </c>
      <c r="EH208" s="246" t="s">
        <v>690</v>
      </c>
      <c r="EI208" s="216" t="s">
        <v>689</v>
      </c>
      <c r="EJ208" s="216" t="s">
        <v>529</v>
      </c>
      <c r="EK208" s="222" t="s">
        <v>682</v>
      </c>
      <c r="EL208" s="259">
        <v>1976</v>
      </c>
      <c r="EM208" s="260">
        <v>12850</v>
      </c>
      <c r="EN208" s="260">
        <v>4494469</v>
      </c>
      <c r="EO208" s="260">
        <v>2402777</v>
      </c>
      <c r="EP208" s="237">
        <v>1</v>
      </c>
      <c r="EQ208" s="237">
        <v>30</v>
      </c>
      <c r="ER208" s="237" t="s">
        <v>705</v>
      </c>
      <c r="ES208" s="237">
        <v>43054</v>
      </c>
      <c r="ET208" s="237">
        <v>186.98653696498056</v>
      </c>
      <c r="EU208" s="661">
        <v>3</v>
      </c>
      <c r="EV208" s="661">
        <v>1</v>
      </c>
      <c r="EW208" s="661">
        <v>2</v>
      </c>
      <c r="EX208" s="661">
        <v>6</v>
      </c>
      <c r="EY208" s="660">
        <v>0.25676738410596028</v>
      </c>
      <c r="EZ208" s="256">
        <v>69.402756508422655</v>
      </c>
      <c r="FA208" s="247">
        <v>0.89216446858029486</v>
      </c>
      <c r="FB208" s="208">
        <v>3</v>
      </c>
      <c r="FC208" s="208">
        <v>3</v>
      </c>
      <c r="FD208" s="208">
        <v>9</v>
      </c>
      <c r="FE208" s="239">
        <v>0.85376260667183868</v>
      </c>
      <c r="FF208" s="208"/>
      <c r="FG208" s="241">
        <v>2.0946470131885182E-3</v>
      </c>
      <c r="FH208" s="209">
        <v>0</v>
      </c>
      <c r="FI208" s="237" t="s">
        <v>678</v>
      </c>
      <c r="FJ208" s="208">
        <v>54.3</v>
      </c>
      <c r="FK208" s="208">
        <v>35.79</v>
      </c>
      <c r="FL208" s="217">
        <v>78</v>
      </c>
      <c r="FM208" s="208">
        <v>2.2999999999999998</v>
      </c>
      <c r="FN208" s="208" t="s">
        <v>1456</v>
      </c>
      <c r="FP208" s="247" t="s">
        <v>693</v>
      </c>
      <c r="FU208" s="208">
        <v>51</v>
      </c>
      <c r="FV208" s="208">
        <v>77.099999999999994</v>
      </c>
      <c r="FW208" s="237">
        <v>82.62</v>
      </c>
      <c r="FX208" s="237">
        <v>70.3</v>
      </c>
      <c r="FY208" s="208">
        <v>29.88</v>
      </c>
      <c r="FZ208" s="208">
        <v>46.7</v>
      </c>
      <c r="GA208" s="208">
        <v>43.14</v>
      </c>
      <c r="GB208" s="208">
        <v>41.7</v>
      </c>
      <c r="GC208" s="208">
        <v>0.2</v>
      </c>
      <c r="GD208" s="208">
        <v>39.1</v>
      </c>
      <c r="GE208" s="237">
        <v>31.02</v>
      </c>
      <c r="GF208" s="237">
        <v>36.6</v>
      </c>
      <c r="GG208" s="237">
        <v>1.81</v>
      </c>
      <c r="GH208" s="237">
        <v>20.8</v>
      </c>
      <c r="GJ208" s="947">
        <v>3993</v>
      </c>
      <c r="GK208" s="320">
        <v>0</v>
      </c>
      <c r="GL208" s="320">
        <v>0.187</v>
      </c>
      <c r="GM208" s="320">
        <v>2.4E-2</v>
      </c>
      <c r="GN208" s="320">
        <v>0.78900000000000003</v>
      </c>
      <c r="GO208" s="662">
        <v>8205</v>
      </c>
      <c r="GP208" s="663" t="str">
        <f>VLOOKUP(GS208,'BD Comarcal'!$A$6:$AV$17,48,FALSE)</f>
        <v>40</v>
      </c>
      <c r="GQ208" s="564">
        <v>493</v>
      </c>
      <c r="GR208" s="256">
        <f t="shared" si="3"/>
        <v>1</v>
      </c>
      <c r="GS208" s="237" t="s">
        <v>89</v>
      </c>
    </row>
    <row r="209" spans="1:201" s="237" customFormat="1" ht="17.25" customHeight="1">
      <c r="A209" s="236" t="s">
        <v>1457</v>
      </c>
      <c r="C209" s="238"/>
      <c r="D209" s="238">
        <v>629</v>
      </c>
      <c r="E209" s="238">
        <v>72</v>
      </c>
      <c r="F209" s="239">
        <v>0.11446740858505565</v>
      </c>
      <c r="G209" s="238">
        <v>55</v>
      </c>
      <c r="H209" s="240">
        <v>0</v>
      </c>
      <c r="I209" s="239">
        <v>0</v>
      </c>
      <c r="J209" s="238">
        <v>393</v>
      </c>
      <c r="K209" s="238">
        <v>6</v>
      </c>
      <c r="L209" s="238">
        <v>1</v>
      </c>
      <c r="M209" s="241">
        <v>1.589825119236884E-3</v>
      </c>
      <c r="N209" s="238">
        <v>3</v>
      </c>
      <c r="O209" s="239">
        <v>7.6335877862595417E-3</v>
      </c>
      <c r="P209" s="237">
        <v>1</v>
      </c>
      <c r="Q209" s="237">
        <v>0</v>
      </c>
      <c r="R209" s="239">
        <v>0</v>
      </c>
      <c r="S209" s="238">
        <v>3</v>
      </c>
      <c r="T209" s="436">
        <v>0</v>
      </c>
      <c r="U209" s="436">
        <v>0</v>
      </c>
      <c r="V209" s="436">
        <v>0</v>
      </c>
      <c r="W209" s="436">
        <v>0</v>
      </c>
      <c r="X209" s="238">
        <v>973</v>
      </c>
      <c r="Y209" s="237">
        <v>0.20580000000000001</v>
      </c>
      <c r="Z209" s="238">
        <v>12827</v>
      </c>
      <c r="AA209" s="238">
        <v>13115</v>
      </c>
      <c r="AB209" s="238">
        <v>80.13</v>
      </c>
      <c r="AC209" s="238">
        <v>0</v>
      </c>
      <c r="AD209" s="238">
        <v>1573145.3599999999</v>
      </c>
      <c r="AE209" s="238">
        <v>105456.09999999986</v>
      </c>
      <c r="AF209" s="238">
        <v>9192357.6300000008</v>
      </c>
      <c r="AG209" s="238">
        <v>105207.98</v>
      </c>
      <c r="AH209" s="239">
        <v>1.1445157405173757E-2</v>
      </c>
      <c r="AI209" s="247">
        <v>51.003568000000001</v>
      </c>
      <c r="AJ209" s="242">
        <v>20.308146000000001</v>
      </c>
      <c r="AK209" s="242">
        <v>3.228640063593005</v>
      </c>
      <c r="AL209" s="242" t="s">
        <v>678</v>
      </c>
      <c r="AM209" s="242" t="s">
        <v>678</v>
      </c>
      <c r="AN209" s="242">
        <v>7627.91</v>
      </c>
      <c r="AO209" s="238">
        <v>4218.6000000000004</v>
      </c>
      <c r="AP209" s="243">
        <v>16</v>
      </c>
      <c r="AQ209" s="238"/>
      <c r="AR209" s="238">
        <v>1488.1716556489393</v>
      </c>
      <c r="AS209" s="238">
        <v>2343.7950849183071</v>
      </c>
      <c r="AT209" s="238">
        <v>63152.666666666664</v>
      </c>
      <c r="AU209" s="238">
        <v>175.18086498751452</v>
      </c>
      <c r="AV209" s="237">
        <v>0</v>
      </c>
      <c r="AW209" s="237">
        <v>0</v>
      </c>
      <c r="AX209" s="237">
        <v>0</v>
      </c>
      <c r="AY209" s="244" t="s">
        <v>682</v>
      </c>
      <c r="AZ209" s="244" t="s">
        <v>695</v>
      </c>
      <c r="BA209" s="237">
        <v>2010</v>
      </c>
      <c r="BB209" s="245" t="s">
        <v>678</v>
      </c>
      <c r="BC209" s="215" t="s">
        <v>678</v>
      </c>
      <c r="BE209" s="237">
        <v>10</v>
      </c>
      <c r="BF209" s="237">
        <v>15</v>
      </c>
      <c r="BG209" s="246" t="s">
        <v>698</v>
      </c>
      <c r="BI209" s="239">
        <v>0.48269581056466304</v>
      </c>
      <c r="BJ209" s="239">
        <v>8.3788706739526417E-2</v>
      </c>
      <c r="BK209" s="239">
        <v>0.41530054644808745</v>
      </c>
      <c r="BL209" s="239">
        <v>1.8214936247723135E-2</v>
      </c>
      <c r="BM209" s="247">
        <v>2.0309653916211294</v>
      </c>
      <c r="BN209" s="248">
        <v>1</v>
      </c>
      <c r="BO209" s="248">
        <v>0</v>
      </c>
      <c r="BP209" s="237">
        <v>0</v>
      </c>
      <c r="BQ209" s="237">
        <v>0</v>
      </c>
      <c r="BR209" s="248">
        <v>1</v>
      </c>
      <c r="BS209" s="237">
        <v>6</v>
      </c>
      <c r="BT209" s="237" t="s">
        <v>790</v>
      </c>
      <c r="BU209" s="249" t="s">
        <v>678</v>
      </c>
      <c r="BV209" s="249" t="s">
        <v>678</v>
      </c>
      <c r="BW209" s="249" t="s">
        <v>678</v>
      </c>
      <c r="BX209" s="249" t="s">
        <v>678</v>
      </c>
      <c r="BY209" s="249" t="s">
        <v>678</v>
      </c>
      <c r="BZ209" s="249" t="s">
        <v>678</v>
      </c>
      <c r="CA209" s="249" t="s">
        <v>678</v>
      </c>
      <c r="CB209" s="249" t="s">
        <v>678</v>
      </c>
      <c r="CC209" s="250" t="s">
        <v>678</v>
      </c>
      <c r="CD209" s="242" t="s">
        <v>678</v>
      </c>
      <c r="CE209" s="252" t="s">
        <v>678</v>
      </c>
      <c r="CF209" s="238">
        <v>405</v>
      </c>
      <c r="CG209" s="238">
        <v>61</v>
      </c>
      <c r="CH209" s="238">
        <v>6.2628336755646821</v>
      </c>
      <c r="CI209" s="216" t="s">
        <v>700</v>
      </c>
      <c r="CJ209" s="237">
        <v>0</v>
      </c>
      <c r="CK209" s="253">
        <v>51.1</v>
      </c>
      <c r="CL209" s="253">
        <v>64.704400000000007</v>
      </c>
      <c r="CM209" s="254">
        <v>0.10286868044515105</v>
      </c>
      <c r="CN209" s="237" t="s">
        <v>791</v>
      </c>
      <c r="CO209" s="242">
        <v>24.65</v>
      </c>
      <c r="CP209" s="255">
        <v>3.9189189189189184E-2</v>
      </c>
      <c r="CV209" s="237">
        <v>2</v>
      </c>
      <c r="CW209" s="261" t="s">
        <v>678</v>
      </c>
      <c r="CX209" s="261" t="s">
        <v>678</v>
      </c>
      <c r="CY209" s="261" t="s">
        <v>678</v>
      </c>
      <c r="DB209" s="216" t="s">
        <v>710</v>
      </c>
      <c r="DC209" s="195" t="s">
        <v>711</v>
      </c>
      <c r="DD209" s="256">
        <v>0.8</v>
      </c>
      <c r="DE209" s="256">
        <v>-10</v>
      </c>
      <c r="DF209" s="256">
        <v>0.5</v>
      </c>
      <c r="DG209" s="256">
        <v>-2.2999999999999998</v>
      </c>
      <c r="DH209" s="257">
        <v>1</v>
      </c>
      <c r="DI209" s="257">
        <v>6.5</v>
      </c>
      <c r="DJ209" s="257">
        <v>0</v>
      </c>
      <c r="DK209" s="257">
        <v>6.5</v>
      </c>
      <c r="DL209" s="237" t="s">
        <v>682</v>
      </c>
      <c r="DP209" s="258" t="s">
        <v>682</v>
      </c>
      <c r="DQ209" s="258"/>
      <c r="DR209" s="258"/>
      <c r="DS209" s="258"/>
      <c r="DT209" s="258"/>
      <c r="DU209" s="237">
        <v>0</v>
      </c>
      <c r="DX209" s="247"/>
      <c r="DY209" s="247">
        <v>0</v>
      </c>
      <c r="EA209" s="237">
        <v>0</v>
      </c>
      <c r="ED209" s="237" t="s">
        <v>678</v>
      </c>
      <c r="EE209" s="208">
        <v>3</v>
      </c>
      <c r="EF209" s="237" t="s">
        <v>678</v>
      </c>
      <c r="EG209" s="216" t="s">
        <v>703</v>
      </c>
      <c r="EH209" s="246" t="s">
        <v>704</v>
      </c>
      <c r="EI209" s="216"/>
      <c r="EJ209" s="216" t="s">
        <v>806</v>
      </c>
      <c r="EK209" s="222" t="s">
        <v>682</v>
      </c>
      <c r="EL209" s="259">
        <v>2007</v>
      </c>
      <c r="EM209" s="263">
        <v>1710</v>
      </c>
      <c r="EN209" s="260">
        <v>25820</v>
      </c>
      <c r="EO209" s="260">
        <v>38230</v>
      </c>
      <c r="ER209" s="237" t="s">
        <v>705</v>
      </c>
      <c r="ES209" s="237">
        <v>974</v>
      </c>
      <c r="ET209" s="237">
        <v>22.35672514619883</v>
      </c>
      <c r="EU209" s="661">
        <v>3</v>
      </c>
      <c r="EV209" s="661" t="s">
        <v>678</v>
      </c>
      <c r="EW209" s="661">
        <v>1</v>
      </c>
      <c r="EX209" s="661">
        <v>3</v>
      </c>
      <c r="EY209" s="660">
        <v>8.1240063593004772E-2</v>
      </c>
      <c r="EZ209" s="256">
        <v>19.060665362035223</v>
      </c>
      <c r="FA209" s="247">
        <v>2.7777777777777777</v>
      </c>
      <c r="FB209" s="208">
        <v>5</v>
      </c>
      <c r="FC209" s="208">
        <v>5</v>
      </c>
      <c r="FD209" s="208">
        <v>3</v>
      </c>
      <c r="FE209" s="239">
        <v>0.76388888888888884</v>
      </c>
      <c r="FF209" s="208"/>
      <c r="FG209" s="241">
        <v>9.0277777777777776E-2</v>
      </c>
      <c r="FH209" s="209">
        <v>0</v>
      </c>
      <c r="FI209" s="237" t="s">
        <v>678</v>
      </c>
      <c r="FJ209" s="208" t="s">
        <v>678</v>
      </c>
      <c r="FK209" s="208" t="s">
        <v>678</v>
      </c>
      <c r="FL209" s="217" t="s">
        <v>678</v>
      </c>
      <c r="FM209" s="208" t="s">
        <v>678</v>
      </c>
      <c r="FN209" s="208" t="s">
        <v>678</v>
      </c>
      <c r="FP209" s="247" t="s">
        <v>693</v>
      </c>
      <c r="FU209" s="208" t="s">
        <v>678</v>
      </c>
      <c r="FV209" s="208" t="s">
        <v>678</v>
      </c>
      <c r="FW209" s="237" t="s">
        <v>678</v>
      </c>
      <c r="FX209" s="237" t="s">
        <v>678</v>
      </c>
      <c r="FY209" s="208" t="s">
        <v>678</v>
      </c>
      <c r="FZ209" s="208" t="s">
        <v>678</v>
      </c>
      <c r="GA209" s="208" t="s">
        <v>678</v>
      </c>
      <c r="GB209" s="208" t="s">
        <v>678</v>
      </c>
      <c r="GC209" s="208" t="s">
        <v>678</v>
      </c>
      <c r="GD209" s="208" t="s">
        <v>678</v>
      </c>
      <c r="GE209" s="237" t="s">
        <v>678</v>
      </c>
      <c r="GF209" s="237" t="s">
        <v>678</v>
      </c>
      <c r="GG209" s="237" t="s">
        <v>678</v>
      </c>
      <c r="GH209" s="237" t="s">
        <v>678</v>
      </c>
      <c r="GJ209" s="947"/>
      <c r="GK209" s="320"/>
      <c r="GL209" s="320"/>
      <c r="GM209" s="320"/>
      <c r="GN209" s="320"/>
      <c r="GO209" s="662">
        <v>8206</v>
      </c>
      <c r="GP209" s="663" t="str">
        <f>VLOOKUP(GS209,'BD Comarcal'!$A$6:$AV$17,48,FALSE)</f>
        <v>03</v>
      </c>
      <c r="GQ209" s="564">
        <v>11</v>
      </c>
      <c r="GR209" s="256">
        <f t="shared" si="3"/>
        <v>1</v>
      </c>
      <c r="GS209" s="237" t="s">
        <v>791</v>
      </c>
    </row>
    <row r="210" spans="1:201" s="237" customFormat="1" ht="17.25" customHeight="1">
      <c r="A210" s="236" t="s">
        <v>1458</v>
      </c>
      <c r="C210" s="238"/>
      <c r="D210" s="238">
        <v>1073</v>
      </c>
      <c r="E210" s="238">
        <v>736</v>
      </c>
      <c r="F210" s="239">
        <v>0.68592730661696177</v>
      </c>
      <c r="G210" s="238">
        <v>723</v>
      </c>
      <c r="H210" s="240">
        <v>148.84719437874239</v>
      </c>
      <c r="I210" s="239">
        <v>0.20223803584068259</v>
      </c>
      <c r="J210" s="238">
        <v>159</v>
      </c>
      <c r="K210" s="238">
        <v>15</v>
      </c>
      <c r="L210" s="238">
        <v>76</v>
      </c>
      <c r="M210" s="241">
        <v>7.0829450139794969E-2</v>
      </c>
      <c r="N210" s="238">
        <v>0</v>
      </c>
      <c r="O210" s="239">
        <v>0</v>
      </c>
      <c r="P210" s="237">
        <v>10</v>
      </c>
      <c r="Q210" s="237">
        <v>1</v>
      </c>
      <c r="R210" s="239">
        <v>0.1</v>
      </c>
      <c r="S210" s="238">
        <v>413</v>
      </c>
      <c r="T210" s="436">
        <v>0</v>
      </c>
      <c r="U210" s="436">
        <v>33</v>
      </c>
      <c r="V210" s="436">
        <v>32</v>
      </c>
      <c r="W210" s="436">
        <v>65</v>
      </c>
      <c r="X210" s="238">
        <v>2599</v>
      </c>
      <c r="Y210" s="237">
        <v>0.1244</v>
      </c>
      <c r="Z210" s="238">
        <v>43039</v>
      </c>
      <c r="AA210" s="238">
        <v>16760</v>
      </c>
      <c r="AB210" s="238">
        <v>102.4</v>
      </c>
      <c r="AC210" s="238">
        <v>458</v>
      </c>
      <c r="AD210" s="238">
        <v>2735742.32</v>
      </c>
      <c r="AE210" s="238">
        <v>39696.959999999963</v>
      </c>
      <c r="AF210" s="238">
        <v>1368195.29</v>
      </c>
      <c r="AG210" s="238">
        <v>635305.01</v>
      </c>
      <c r="AH210" s="239">
        <v>0.46433796011679007</v>
      </c>
      <c r="AI210" s="247">
        <v>33.468992999999998</v>
      </c>
      <c r="AJ210" s="242">
        <v>6.0453619999999999</v>
      </c>
      <c r="AK210" s="242">
        <v>0.56340745573159368</v>
      </c>
      <c r="AL210" s="242">
        <v>24.658470000000001</v>
      </c>
      <c r="AM210" s="242">
        <v>2.2980866728797764</v>
      </c>
      <c r="AN210" s="242">
        <v>10642.67</v>
      </c>
      <c r="AO210" s="238">
        <v>1028.49</v>
      </c>
      <c r="AP210" s="243">
        <v>2</v>
      </c>
      <c r="AQ210" s="238"/>
      <c r="AR210" s="238">
        <v>1647.3669843591824</v>
      </c>
      <c r="AS210" s="238">
        <v>2688.4331680734795</v>
      </c>
      <c r="AT210" s="238">
        <v>198615</v>
      </c>
      <c r="AU210" s="238">
        <v>300.4842856644064</v>
      </c>
      <c r="AV210" s="237">
        <v>1</v>
      </c>
      <c r="AW210" s="237">
        <v>0</v>
      </c>
      <c r="AX210" s="237">
        <v>1</v>
      </c>
      <c r="AY210" s="244" t="s">
        <v>717</v>
      </c>
      <c r="AZ210" s="244" t="s">
        <v>682</v>
      </c>
      <c r="BA210" s="237">
        <v>0</v>
      </c>
      <c r="BB210" s="245" t="s">
        <v>1459</v>
      </c>
      <c r="BC210" s="215" t="s">
        <v>1460</v>
      </c>
      <c r="BE210" s="237">
        <v>2</v>
      </c>
      <c r="BF210" s="237">
        <v>39</v>
      </c>
      <c r="BG210" s="246" t="s">
        <v>698</v>
      </c>
      <c r="BI210" s="239">
        <v>0.2838392124692371</v>
      </c>
      <c r="BJ210" s="239">
        <v>0.11320754716981132</v>
      </c>
      <c r="BK210" s="239">
        <v>0.5914684167350287</v>
      </c>
      <c r="BL210" s="239">
        <v>1.1484823625922888E-2</v>
      </c>
      <c r="BM210" s="247">
        <v>1.6694011484823625</v>
      </c>
      <c r="BN210" s="248">
        <v>1</v>
      </c>
      <c r="BO210" s="248">
        <v>0</v>
      </c>
      <c r="BP210" s="237">
        <v>0</v>
      </c>
      <c r="BQ210" s="237">
        <v>0</v>
      </c>
      <c r="BR210" s="248">
        <v>1</v>
      </c>
      <c r="BS210" s="262">
        <v>26</v>
      </c>
      <c r="BT210" s="237" t="s">
        <v>729</v>
      </c>
      <c r="BU210" s="249" t="s">
        <v>678</v>
      </c>
      <c r="BV210" s="249">
        <v>156</v>
      </c>
      <c r="BW210" s="249">
        <v>1135</v>
      </c>
      <c r="BX210" s="249" t="s">
        <v>678</v>
      </c>
      <c r="BY210" s="249" t="s">
        <v>678</v>
      </c>
      <c r="BZ210" s="249">
        <v>6.132075471698113</v>
      </c>
      <c r="CA210" s="249">
        <v>44.614779874213838</v>
      </c>
      <c r="CB210" s="249" t="s">
        <v>678</v>
      </c>
      <c r="CC210" s="250" t="s">
        <v>678</v>
      </c>
      <c r="CD210" s="242" t="s">
        <v>678</v>
      </c>
      <c r="CE210" s="252" t="s">
        <v>678</v>
      </c>
      <c r="CF210" s="238">
        <v>1392</v>
      </c>
      <c r="CG210" s="238">
        <v>125</v>
      </c>
      <c r="CH210" s="238">
        <v>4.9135220125786168</v>
      </c>
      <c r="CI210" s="216" t="s">
        <v>722</v>
      </c>
      <c r="CJ210" s="237">
        <v>1</v>
      </c>
      <c r="CK210" s="253">
        <v>63.25</v>
      </c>
      <c r="CL210" s="253">
        <v>65.866</v>
      </c>
      <c r="CM210" s="254">
        <v>6.1384902143522831E-2</v>
      </c>
      <c r="CN210" s="237" t="s">
        <v>24</v>
      </c>
      <c r="CO210" s="242">
        <v>314.24</v>
      </c>
      <c r="CP210" s="255">
        <v>0.29286113699906802</v>
      </c>
      <c r="CV210" s="237">
        <v>1</v>
      </c>
      <c r="CW210" s="261" t="s">
        <v>678</v>
      </c>
      <c r="CX210" s="261" t="s">
        <v>678</v>
      </c>
      <c r="CY210" s="261" t="s">
        <v>678</v>
      </c>
      <c r="DB210" s="216"/>
      <c r="DC210" s="195" t="s">
        <v>1461</v>
      </c>
      <c r="DD210" s="256">
        <v>0.8</v>
      </c>
      <c r="DE210" s="256">
        <v>-10</v>
      </c>
      <c r="DF210" s="256">
        <v>0.5</v>
      </c>
      <c r="DG210" s="256">
        <v>-2.2999999999999998</v>
      </c>
      <c r="DL210" s="237" t="s">
        <v>682</v>
      </c>
      <c r="DO210" s="237">
        <v>3</v>
      </c>
      <c r="DP210" s="258" t="s">
        <v>682</v>
      </c>
      <c r="DQ210" s="258"/>
      <c r="DR210" s="258"/>
      <c r="DS210" s="258"/>
      <c r="DT210" s="258"/>
      <c r="DU210" s="237">
        <v>0</v>
      </c>
      <c r="DX210" s="247"/>
      <c r="DY210" s="247">
        <v>0</v>
      </c>
      <c r="EA210" s="237">
        <v>0</v>
      </c>
      <c r="ED210" s="237" t="s">
        <v>732</v>
      </c>
      <c r="EE210" s="208">
        <v>1</v>
      </c>
      <c r="EF210" s="237" t="s">
        <v>688</v>
      </c>
      <c r="EG210" s="216" t="s">
        <v>691</v>
      </c>
      <c r="EH210" s="246" t="s">
        <v>690</v>
      </c>
      <c r="EI210" s="216"/>
      <c r="EJ210" s="216" t="s">
        <v>529</v>
      </c>
      <c r="EK210" s="222" t="s">
        <v>682</v>
      </c>
      <c r="EL210" s="259">
        <v>1983</v>
      </c>
      <c r="EM210" s="263">
        <v>400</v>
      </c>
      <c r="EN210" s="260">
        <v>123940</v>
      </c>
      <c r="EO210" s="260">
        <v>93500</v>
      </c>
      <c r="EP210" s="237">
        <v>3</v>
      </c>
      <c r="EQ210" s="237">
        <v>126</v>
      </c>
      <c r="ER210" s="237" t="s">
        <v>705</v>
      </c>
      <c r="ES210" s="237">
        <v>2544</v>
      </c>
      <c r="ET210" s="237">
        <v>233.75</v>
      </c>
      <c r="EU210" s="661">
        <v>1</v>
      </c>
      <c r="EV210" s="661">
        <v>2</v>
      </c>
      <c r="EW210" s="661">
        <v>5</v>
      </c>
      <c r="EX210" s="661">
        <v>4</v>
      </c>
      <c r="EY210" s="660">
        <v>5.8946877912395154E-2</v>
      </c>
      <c r="EZ210" s="256">
        <v>40.221343873517789</v>
      </c>
      <c r="FA210" s="247">
        <v>0.1358695652173913</v>
      </c>
      <c r="FB210" s="208">
        <v>4</v>
      </c>
      <c r="FC210" s="208">
        <v>4</v>
      </c>
      <c r="FD210" s="208">
        <v>6</v>
      </c>
      <c r="FE210" s="239">
        <v>0.98233695652173914</v>
      </c>
      <c r="FF210" s="208"/>
      <c r="FG210" s="241">
        <v>0</v>
      </c>
      <c r="FH210" s="209">
        <v>0</v>
      </c>
      <c r="FI210" s="237" t="s">
        <v>678</v>
      </c>
      <c r="FJ210" s="208">
        <v>50.8</v>
      </c>
      <c r="FK210" s="208">
        <v>26.81</v>
      </c>
      <c r="FL210" s="217">
        <v>69.3</v>
      </c>
      <c r="FM210" s="208">
        <v>6.22</v>
      </c>
      <c r="FN210" s="208" t="s">
        <v>1462</v>
      </c>
      <c r="FP210" s="247" t="s">
        <v>693</v>
      </c>
      <c r="FU210" s="208">
        <v>35</v>
      </c>
      <c r="FV210" s="208">
        <v>38.9</v>
      </c>
      <c r="FW210" s="237">
        <v>99.29</v>
      </c>
      <c r="FX210" s="237">
        <v>98.1</v>
      </c>
      <c r="FY210" s="208">
        <v>79.489999999999995</v>
      </c>
      <c r="FZ210" s="208">
        <v>79.7</v>
      </c>
      <c r="GA210" s="208">
        <v>65.36</v>
      </c>
      <c r="GB210" s="208">
        <v>74.3</v>
      </c>
      <c r="GC210" s="208">
        <v>0.74</v>
      </c>
      <c r="GD210" s="208">
        <v>75.8</v>
      </c>
      <c r="GE210" s="237">
        <v>51.62</v>
      </c>
      <c r="GF210" s="237">
        <v>68.2</v>
      </c>
      <c r="GG210" s="237">
        <v>21.41</v>
      </c>
      <c r="GH210" s="237">
        <v>95</v>
      </c>
      <c r="GJ210" s="947"/>
      <c r="GK210" s="320"/>
      <c r="GL210" s="320"/>
      <c r="GM210" s="320"/>
      <c r="GN210" s="320"/>
      <c r="GO210" s="662">
        <v>8207</v>
      </c>
      <c r="GP210" s="663" t="str">
        <f>VLOOKUP(GS210,'BD Comarcal'!$A$6:$AV$17,48,FALSE)</f>
        <v>41</v>
      </c>
      <c r="GQ210" s="564">
        <v>10</v>
      </c>
      <c r="GR210" s="256">
        <f t="shared" si="3"/>
        <v>0</v>
      </c>
      <c r="GS210" s="237" t="s">
        <v>24</v>
      </c>
    </row>
    <row r="211" spans="1:201" s="237" customFormat="1" ht="17.25" customHeight="1">
      <c r="A211" s="236" t="s">
        <v>1463</v>
      </c>
      <c r="C211" s="238"/>
      <c r="D211" s="238">
        <v>1864</v>
      </c>
      <c r="E211" s="238">
        <v>718</v>
      </c>
      <c r="F211" s="239">
        <v>0.38519313304721031</v>
      </c>
      <c r="G211" s="238">
        <v>529</v>
      </c>
      <c r="H211" s="240">
        <v>19.455592921421033</v>
      </c>
      <c r="I211" s="239">
        <v>2.7096926074402554E-2</v>
      </c>
      <c r="J211" s="238">
        <v>268</v>
      </c>
      <c r="K211" s="238">
        <v>3</v>
      </c>
      <c r="L211" s="238">
        <v>31</v>
      </c>
      <c r="M211" s="241">
        <v>1.6630901287553648E-2</v>
      </c>
      <c r="N211" s="238">
        <v>0</v>
      </c>
      <c r="O211" s="239">
        <v>0</v>
      </c>
      <c r="P211" s="237">
        <v>2</v>
      </c>
      <c r="Q211" s="237">
        <v>0</v>
      </c>
      <c r="R211" s="239">
        <v>0</v>
      </c>
      <c r="S211" s="238">
        <v>45</v>
      </c>
      <c r="T211" s="436">
        <v>0</v>
      </c>
      <c r="U211" s="436">
        <v>0</v>
      </c>
      <c r="V211" s="436">
        <v>424</v>
      </c>
      <c r="W211" s="436">
        <v>424</v>
      </c>
      <c r="X211" s="238">
        <v>7644</v>
      </c>
      <c r="Y211" s="237">
        <v>0.14549999999999999</v>
      </c>
      <c r="Z211" s="238">
        <v>103670</v>
      </c>
      <c r="AA211" s="238">
        <v>13617</v>
      </c>
      <c r="AB211" s="238">
        <v>83.2</v>
      </c>
      <c r="AC211" s="238">
        <v>14535</v>
      </c>
      <c r="AD211" s="238">
        <v>12787491.440000001</v>
      </c>
      <c r="AE211" s="238">
        <v>3148441.51</v>
      </c>
      <c r="AF211" s="238">
        <v>2432846.4299999997</v>
      </c>
      <c r="AG211" s="238">
        <v>536148.1</v>
      </c>
      <c r="AH211" s="239">
        <v>0.22037893283712118</v>
      </c>
      <c r="AI211" s="247">
        <v>288.621578</v>
      </c>
      <c r="AJ211" s="242">
        <v>90.117170999999999</v>
      </c>
      <c r="AK211" s="242">
        <v>4.8346121781115876</v>
      </c>
      <c r="AL211" s="242">
        <v>262.53902299999999</v>
      </c>
      <c r="AM211" s="242">
        <v>14.084711534334764</v>
      </c>
      <c r="AN211" s="242">
        <v>49528.09</v>
      </c>
      <c r="AO211" s="238">
        <v>9951.4599999999991</v>
      </c>
      <c r="AP211" s="243">
        <v>33</v>
      </c>
      <c r="AQ211" s="238"/>
      <c r="AR211" s="238">
        <v>1452.9606990138952</v>
      </c>
      <c r="AS211" s="238">
        <v>2194.0846369575079</v>
      </c>
      <c r="AT211" s="238">
        <v>1284063</v>
      </c>
      <c r="AU211" s="238">
        <v>272.78557539187437</v>
      </c>
      <c r="AV211" s="237">
        <v>1</v>
      </c>
      <c r="AW211" s="237">
        <v>0</v>
      </c>
      <c r="AX211" s="237">
        <v>1</v>
      </c>
      <c r="AY211" s="244" t="s">
        <v>673</v>
      </c>
      <c r="AZ211" s="244" t="s">
        <v>682</v>
      </c>
      <c r="BA211" s="237">
        <v>2009</v>
      </c>
      <c r="BB211" s="245" t="s">
        <v>674</v>
      </c>
      <c r="BC211" s="215" t="s">
        <v>675</v>
      </c>
      <c r="BE211" s="237">
        <v>125</v>
      </c>
      <c r="BF211" s="237">
        <v>102</v>
      </c>
      <c r="BG211" s="246" t="s">
        <v>676</v>
      </c>
      <c r="BI211" s="239">
        <v>0.22495066871300154</v>
      </c>
      <c r="BJ211" s="239">
        <v>0.19885989914492436</v>
      </c>
      <c r="BK211" s="239">
        <v>0.55864941898706422</v>
      </c>
      <c r="BL211" s="239">
        <v>1.7540013155009866E-2</v>
      </c>
      <c r="BM211" s="247">
        <v>1.6312212234159174</v>
      </c>
      <c r="BN211" s="248">
        <v>0</v>
      </c>
      <c r="BO211" s="248">
        <v>1</v>
      </c>
      <c r="BP211" s="237">
        <v>0</v>
      </c>
      <c r="BQ211" s="237">
        <v>0</v>
      </c>
      <c r="BR211" s="248">
        <v>1</v>
      </c>
      <c r="BS211" s="237">
        <v>7</v>
      </c>
      <c r="BT211" s="237" t="s">
        <v>677</v>
      </c>
      <c r="BU211" s="249" t="s">
        <v>678</v>
      </c>
      <c r="BV211" s="249">
        <v>483</v>
      </c>
      <c r="BW211" s="249">
        <v>2263</v>
      </c>
      <c r="BX211" s="249">
        <v>797</v>
      </c>
      <c r="BY211" s="249" t="s">
        <v>678</v>
      </c>
      <c r="BZ211" s="249">
        <v>6.4007421150278292</v>
      </c>
      <c r="CA211" s="249">
        <v>29.989398356745294</v>
      </c>
      <c r="CB211" s="249">
        <v>10.561887092499337</v>
      </c>
      <c r="CC211" s="250" t="s">
        <v>678</v>
      </c>
      <c r="CD211" s="242">
        <v>1044</v>
      </c>
      <c r="CE211" s="252">
        <v>113.83514444738934</v>
      </c>
      <c r="CF211" s="238">
        <v>3386</v>
      </c>
      <c r="CG211" s="238">
        <v>429.3</v>
      </c>
      <c r="CH211" s="238">
        <v>5.6891068115557912</v>
      </c>
      <c r="CI211" s="216" t="s">
        <v>679</v>
      </c>
      <c r="CJ211" s="237">
        <v>0</v>
      </c>
      <c r="CK211" s="253">
        <v>348.34</v>
      </c>
      <c r="CL211" s="253">
        <v>503.51080000000002</v>
      </c>
      <c r="CM211" s="254">
        <v>0.27012381974248928</v>
      </c>
      <c r="CN211" s="237" t="s">
        <v>90</v>
      </c>
      <c r="CO211" s="242"/>
      <c r="CP211" s="255">
        <v>0</v>
      </c>
      <c r="CV211" s="237">
        <v>2</v>
      </c>
      <c r="CW211" s="194">
        <v>1.484</v>
      </c>
      <c r="CX211" s="194" t="s">
        <v>680</v>
      </c>
      <c r="CY211" s="194">
        <v>2.1189999999999998</v>
      </c>
      <c r="DB211" s="216"/>
      <c r="DC211" s="195" t="s">
        <v>903</v>
      </c>
      <c r="DD211" s="256">
        <v>0.7</v>
      </c>
      <c r="DE211" s="256">
        <v>-6.5</v>
      </c>
      <c r="DF211" s="256">
        <v>0.7</v>
      </c>
      <c r="DG211" s="256">
        <v>-2.2000000000000002</v>
      </c>
      <c r="DH211" s="257">
        <v>1</v>
      </c>
      <c r="DI211" s="257">
        <v>2.5</v>
      </c>
      <c r="DJ211" s="257">
        <v>0.5</v>
      </c>
      <c r="DK211" s="257">
        <v>3</v>
      </c>
      <c r="DL211" s="237" t="s">
        <v>682</v>
      </c>
      <c r="DP211" s="258" t="s">
        <v>682</v>
      </c>
      <c r="DQ211" s="258"/>
      <c r="DR211" s="258"/>
      <c r="DS211" s="258"/>
      <c r="DT211" s="258"/>
      <c r="DU211" s="237">
        <v>0</v>
      </c>
      <c r="DX211" s="247"/>
      <c r="DY211" s="247">
        <v>0</v>
      </c>
      <c r="EA211" s="237">
        <v>0</v>
      </c>
      <c r="ED211" s="237" t="s">
        <v>678</v>
      </c>
      <c r="EE211" s="208">
        <v>2</v>
      </c>
      <c r="EF211" s="237" t="s">
        <v>678</v>
      </c>
      <c r="EG211" s="216" t="s">
        <v>691</v>
      </c>
      <c r="EH211" s="246" t="s">
        <v>690</v>
      </c>
      <c r="EI211" s="216" t="s">
        <v>689</v>
      </c>
      <c r="EJ211" s="216" t="s">
        <v>529</v>
      </c>
      <c r="EK211" s="222" t="s">
        <v>682</v>
      </c>
      <c r="EL211" s="259">
        <v>1991</v>
      </c>
      <c r="EM211" s="263">
        <v>765</v>
      </c>
      <c r="EN211" s="260">
        <v>448038</v>
      </c>
      <c r="EO211" s="260">
        <v>822143</v>
      </c>
      <c r="ER211" s="237" t="s">
        <v>692</v>
      </c>
      <c r="ES211" s="237">
        <v>7546</v>
      </c>
      <c r="ET211" s="237">
        <v>1074.6967320261438</v>
      </c>
      <c r="EU211" s="661">
        <v>1</v>
      </c>
      <c r="EV211" s="661">
        <v>3</v>
      </c>
      <c r="EW211" s="661">
        <v>6</v>
      </c>
      <c r="EX211" s="661">
        <v>9</v>
      </c>
      <c r="EY211" s="660">
        <v>0.18687768240343347</v>
      </c>
      <c r="EZ211" s="256">
        <v>21.662743296779009</v>
      </c>
      <c r="FA211" s="247">
        <v>0.2785515320334262</v>
      </c>
      <c r="FB211" s="208">
        <v>5</v>
      </c>
      <c r="FC211" s="208">
        <v>5</v>
      </c>
      <c r="FD211" s="208">
        <v>8</v>
      </c>
      <c r="FE211" s="239">
        <v>0.73676880222841223</v>
      </c>
      <c r="FF211" s="208"/>
      <c r="FG211" s="241">
        <v>4.178272980501393E-3</v>
      </c>
      <c r="FH211" s="209">
        <v>0</v>
      </c>
      <c r="FI211" s="237" t="s">
        <v>678</v>
      </c>
      <c r="FJ211" s="208" t="s">
        <v>678</v>
      </c>
      <c r="FK211" s="208" t="s">
        <v>678</v>
      </c>
      <c r="FL211" s="217" t="s">
        <v>678</v>
      </c>
      <c r="FM211" s="208" t="s">
        <v>678</v>
      </c>
      <c r="FN211" s="208" t="s">
        <v>678</v>
      </c>
      <c r="FP211" s="247" t="s">
        <v>693</v>
      </c>
      <c r="FU211" s="208" t="s">
        <v>678</v>
      </c>
      <c r="FV211" s="208" t="s">
        <v>678</v>
      </c>
      <c r="FW211" s="237" t="s">
        <v>678</v>
      </c>
      <c r="FX211" s="237" t="s">
        <v>678</v>
      </c>
      <c r="FY211" s="208" t="s">
        <v>678</v>
      </c>
      <c r="FZ211" s="208" t="s">
        <v>678</v>
      </c>
      <c r="GA211" s="208" t="s">
        <v>678</v>
      </c>
      <c r="GB211" s="208" t="s">
        <v>678</v>
      </c>
      <c r="GC211" s="208" t="s">
        <v>678</v>
      </c>
      <c r="GD211" s="208" t="s">
        <v>678</v>
      </c>
      <c r="GE211" s="237" t="s">
        <v>678</v>
      </c>
      <c r="GF211" s="237" t="s">
        <v>678</v>
      </c>
      <c r="GG211" s="237" t="s">
        <v>678</v>
      </c>
      <c r="GH211" s="237" t="s">
        <v>678</v>
      </c>
      <c r="GJ211" s="947">
        <v>487</v>
      </c>
      <c r="GK211" s="320">
        <v>1E-3</v>
      </c>
      <c r="GL211" s="320">
        <v>0.375</v>
      </c>
      <c r="GM211" s="320">
        <v>0.02</v>
      </c>
      <c r="GN211" s="320">
        <v>0.60399999999999998</v>
      </c>
      <c r="GO211" s="662">
        <v>8208</v>
      </c>
      <c r="GP211" s="663" t="str">
        <f>VLOOKUP(GS211,'BD Comarcal'!$A$6:$AV$17,48,FALSE)</f>
        <v>11</v>
      </c>
      <c r="GQ211" s="564">
        <v>49</v>
      </c>
      <c r="GR211" s="256">
        <f t="shared" si="3"/>
        <v>1</v>
      </c>
      <c r="GS211" s="237" t="s">
        <v>90</v>
      </c>
    </row>
    <row r="212" spans="1:201" s="237" customFormat="1" ht="17.25" customHeight="1">
      <c r="A212" s="236" t="s">
        <v>1464</v>
      </c>
      <c r="C212" s="238"/>
      <c r="D212" s="238">
        <v>1316</v>
      </c>
      <c r="E212" s="238">
        <v>902</v>
      </c>
      <c r="F212" s="239">
        <v>0.68541033434650456</v>
      </c>
      <c r="G212" s="238">
        <v>916</v>
      </c>
      <c r="H212" s="240">
        <v>21.798165993953809</v>
      </c>
      <c r="I212" s="239">
        <v>2.4166481146290254E-2</v>
      </c>
      <c r="J212" s="238">
        <v>19</v>
      </c>
      <c r="K212" s="238">
        <v>0</v>
      </c>
      <c r="L212" s="238" t="s">
        <v>678</v>
      </c>
      <c r="M212" s="241" t="s">
        <v>678</v>
      </c>
      <c r="N212" s="238" t="s">
        <v>678</v>
      </c>
      <c r="O212" s="239" t="s">
        <v>678</v>
      </c>
      <c r="P212" s="237" t="s">
        <v>678</v>
      </c>
      <c r="Q212" s="237" t="s">
        <v>678</v>
      </c>
      <c r="R212" s="239" t="s">
        <v>678</v>
      </c>
      <c r="S212" s="238" t="s">
        <v>678</v>
      </c>
      <c r="T212" s="436">
        <v>0</v>
      </c>
      <c r="U212" s="436">
        <v>0</v>
      </c>
      <c r="V212" s="436">
        <v>0</v>
      </c>
      <c r="W212" s="436">
        <v>0</v>
      </c>
      <c r="X212" s="238">
        <v>8650</v>
      </c>
      <c r="Y212" s="237">
        <v>0.17249999999999999</v>
      </c>
      <c r="Z212" s="238">
        <v>136822</v>
      </c>
      <c r="AA212" s="238">
        <v>15904</v>
      </c>
      <c r="AB212" s="238">
        <v>97.17</v>
      </c>
      <c r="AC212" s="238">
        <v>7685</v>
      </c>
      <c r="AD212" s="238">
        <v>9047120.4200000018</v>
      </c>
      <c r="AE212" s="238">
        <v>2387445.3099999987</v>
      </c>
      <c r="AF212" s="238">
        <v>9634928.6500000004</v>
      </c>
      <c r="AG212" s="238">
        <v>160074.85</v>
      </c>
      <c r="AH212" s="239">
        <v>1.6614015091850214E-2</v>
      </c>
      <c r="AI212" s="247">
        <v>382.27068500000001</v>
      </c>
      <c r="AJ212" s="242">
        <v>56.624524000000001</v>
      </c>
      <c r="AK212" s="242">
        <v>4.3027753799392094</v>
      </c>
      <c r="AL212" s="242">
        <v>138.81849399999999</v>
      </c>
      <c r="AM212" s="242">
        <v>10.548517781155015</v>
      </c>
      <c r="AN212" s="242">
        <v>26089.29</v>
      </c>
      <c r="AO212" s="238">
        <v>17017.490000000002</v>
      </c>
      <c r="AP212" s="243">
        <v>55</v>
      </c>
      <c r="AQ212" s="238"/>
      <c r="AR212" s="238">
        <v>1326.7628504006025</v>
      </c>
      <c r="AS212" s="238">
        <v>1911.5962282696171</v>
      </c>
      <c r="AT212" s="238">
        <v>533059.33333333337</v>
      </c>
      <c r="AU212" s="238">
        <v>266.62416567103992</v>
      </c>
      <c r="AV212" s="237">
        <v>1</v>
      </c>
      <c r="AW212" s="237">
        <v>0</v>
      </c>
      <c r="AX212" s="237">
        <v>1</v>
      </c>
      <c r="AY212" s="244" t="s">
        <v>717</v>
      </c>
      <c r="AZ212" s="244" t="s">
        <v>682</v>
      </c>
      <c r="BA212" s="237">
        <v>2015</v>
      </c>
      <c r="BB212" s="245" t="s">
        <v>708</v>
      </c>
      <c r="BC212" s="215" t="s">
        <v>709</v>
      </c>
      <c r="BE212" s="237">
        <v>2</v>
      </c>
      <c r="BF212" s="237">
        <v>39</v>
      </c>
      <c r="BG212" s="246" t="s">
        <v>676</v>
      </c>
      <c r="BI212" s="239">
        <v>0.38754325259515571</v>
      </c>
      <c r="BJ212" s="239">
        <v>0.18339100346020762</v>
      </c>
      <c r="BK212" s="239">
        <v>0.42028214000532338</v>
      </c>
      <c r="BL212" s="239">
        <v>8.7836039393132826E-3</v>
      </c>
      <c r="BM212" s="247">
        <v>1.9496939047112058</v>
      </c>
      <c r="BN212" s="248">
        <v>0</v>
      </c>
      <c r="BO212" s="248">
        <v>1</v>
      </c>
      <c r="BP212" s="237">
        <v>0</v>
      </c>
      <c r="BQ212" s="237">
        <v>0</v>
      </c>
      <c r="BR212" s="248">
        <v>1</v>
      </c>
      <c r="BS212" s="237">
        <v>16</v>
      </c>
      <c r="BT212" s="237" t="s">
        <v>729</v>
      </c>
      <c r="BU212" s="249" t="s">
        <v>678</v>
      </c>
      <c r="BV212" s="249">
        <v>817</v>
      </c>
      <c r="BW212" s="249">
        <v>4141</v>
      </c>
      <c r="BX212" s="249">
        <v>1208</v>
      </c>
      <c r="BY212" s="249" t="s">
        <v>678</v>
      </c>
      <c r="BZ212" s="249">
        <v>9.5678650895889454</v>
      </c>
      <c r="CA212" s="249">
        <v>48.495139946129527</v>
      </c>
      <c r="CB212" s="249">
        <v>14.146855603700667</v>
      </c>
      <c r="CC212" s="250" t="s">
        <v>678</v>
      </c>
      <c r="CD212" s="242">
        <v>-590</v>
      </c>
      <c r="CE212" s="252">
        <v>93.090525822695867</v>
      </c>
      <c r="CF212" s="238">
        <v>3302</v>
      </c>
      <c r="CG212" s="238">
        <v>560</v>
      </c>
      <c r="CH212" s="238">
        <v>6.5581449818479918</v>
      </c>
      <c r="CI212" s="216" t="s">
        <v>700</v>
      </c>
      <c r="CJ212" s="237">
        <v>0</v>
      </c>
      <c r="CK212" s="253">
        <v>381.04</v>
      </c>
      <c r="CL212" s="253">
        <v>36.718800000000002</v>
      </c>
      <c r="CM212" s="254">
        <v>2.7901823708206687E-2</v>
      </c>
      <c r="CN212" s="237" t="s">
        <v>24</v>
      </c>
      <c r="CO212" s="242">
        <v>3.14</v>
      </c>
      <c r="CP212" s="255">
        <v>2.3860182370820668E-3</v>
      </c>
      <c r="CV212" s="237">
        <v>3</v>
      </c>
      <c r="CW212" s="194">
        <v>1.36</v>
      </c>
      <c r="CX212" s="194">
        <v>0.63500000000000001</v>
      </c>
      <c r="CY212" s="194">
        <v>0.70799999999999996</v>
      </c>
      <c r="DB212" s="216"/>
      <c r="DC212" s="195" t="s">
        <v>1211</v>
      </c>
      <c r="DD212" s="256">
        <v>0.7</v>
      </c>
      <c r="DE212" s="256">
        <v>-6.5</v>
      </c>
      <c r="DF212" s="256">
        <v>0.7</v>
      </c>
      <c r="DG212" s="256">
        <v>-2.2000000000000002</v>
      </c>
      <c r="DH212" s="257">
        <v>1</v>
      </c>
      <c r="DI212" s="257">
        <v>0.7</v>
      </c>
      <c r="DJ212" s="257">
        <v>0.3</v>
      </c>
      <c r="DK212" s="257">
        <v>1</v>
      </c>
      <c r="DL212" s="237" t="s">
        <v>682</v>
      </c>
      <c r="DP212" s="258" t="s">
        <v>682</v>
      </c>
      <c r="DQ212" s="258"/>
      <c r="DR212" s="258"/>
      <c r="DS212" s="258"/>
      <c r="DT212" s="258"/>
      <c r="DU212" s="237">
        <v>0</v>
      </c>
      <c r="DX212" s="247"/>
      <c r="DY212" s="247">
        <v>0</v>
      </c>
      <c r="EA212" s="237">
        <v>0</v>
      </c>
      <c r="ED212" s="237" t="s">
        <v>678</v>
      </c>
      <c r="EE212" s="208">
        <v>3</v>
      </c>
      <c r="EF212" s="237" t="s">
        <v>678</v>
      </c>
      <c r="EG212" s="216" t="s">
        <v>689</v>
      </c>
      <c r="EH212" s="246" t="s">
        <v>690</v>
      </c>
      <c r="EI212" s="216"/>
      <c r="EJ212" s="216" t="s">
        <v>529</v>
      </c>
      <c r="EK212" s="222" t="s">
        <v>682</v>
      </c>
      <c r="EL212" s="259">
        <v>2013</v>
      </c>
      <c r="EM212" s="260">
        <v>3900</v>
      </c>
      <c r="EN212" s="260">
        <v>362604</v>
      </c>
      <c r="EO212" s="260">
        <v>163848</v>
      </c>
      <c r="EP212" s="237">
        <v>1</v>
      </c>
      <c r="EQ212" s="237">
        <v>44</v>
      </c>
      <c r="ER212" s="237" t="s">
        <v>705</v>
      </c>
      <c r="ES212" s="237">
        <v>8539</v>
      </c>
      <c r="ET212" s="237">
        <v>42.012307692307694</v>
      </c>
      <c r="EU212" s="661">
        <v>3</v>
      </c>
      <c r="EV212" s="661">
        <v>1</v>
      </c>
      <c r="EW212" s="661" t="s">
        <v>678</v>
      </c>
      <c r="EX212" s="661">
        <v>6</v>
      </c>
      <c r="EY212" s="660">
        <v>0.28954407294832829</v>
      </c>
      <c r="EZ212" s="256">
        <v>22.409720764224229</v>
      </c>
      <c r="FA212" s="247">
        <v>0.33259423503325941</v>
      </c>
      <c r="FB212" s="208" t="s">
        <v>678</v>
      </c>
      <c r="FC212" s="208" t="s">
        <v>678</v>
      </c>
      <c r="FD212" s="208">
        <v>5</v>
      </c>
      <c r="FE212" s="239">
        <v>1.0155210643015522</v>
      </c>
      <c r="FF212" s="208"/>
      <c r="FG212" s="241">
        <v>1.1086474501108647E-3</v>
      </c>
      <c r="FH212" s="209">
        <v>0</v>
      </c>
      <c r="FI212" s="237" t="s">
        <v>678</v>
      </c>
      <c r="FJ212" s="208">
        <v>38.5</v>
      </c>
      <c r="FK212" s="208">
        <v>7.0000000000000007E-2</v>
      </c>
      <c r="FL212" s="217">
        <v>21</v>
      </c>
      <c r="FM212" s="208">
        <v>3.65</v>
      </c>
      <c r="FN212" s="208" t="s">
        <v>1465</v>
      </c>
      <c r="FP212" s="247" t="s">
        <v>693</v>
      </c>
      <c r="FU212" s="208">
        <v>25</v>
      </c>
      <c r="FV212" s="208">
        <v>15.6</v>
      </c>
      <c r="FW212" s="237">
        <v>34.33</v>
      </c>
      <c r="FX212" s="237">
        <v>14.8</v>
      </c>
      <c r="FY212" s="208">
        <v>17.72</v>
      </c>
      <c r="FZ212" s="208">
        <v>31.6</v>
      </c>
      <c r="GA212" s="208">
        <v>38.49</v>
      </c>
      <c r="GB212" s="208">
        <v>35.1</v>
      </c>
      <c r="GC212" s="208">
        <v>-0.19</v>
      </c>
      <c r="GD212" s="208">
        <v>3.6</v>
      </c>
      <c r="GE212" s="237">
        <v>25.18</v>
      </c>
      <c r="GF212" s="237">
        <v>26.4</v>
      </c>
      <c r="GG212" s="237">
        <v>6.74</v>
      </c>
      <c r="GH212" s="237">
        <v>54.9</v>
      </c>
      <c r="GJ212" s="947">
        <v>159</v>
      </c>
      <c r="GK212" s="320">
        <v>0</v>
      </c>
      <c r="GL212" s="320">
        <v>0.39200000000000002</v>
      </c>
      <c r="GM212" s="320">
        <v>6.5000000000000002E-2</v>
      </c>
      <c r="GN212" s="320">
        <v>0.54300000000000004</v>
      </c>
      <c r="GO212" s="662">
        <v>8209</v>
      </c>
      <c r="GP212" s="663" t="str">
        <f>VLOOKUP(GS212,'BD Comarcal'!$A$6:$AV$17,48,FALSE)</f>
        <v>41</v>
      </c>
      <c r="GQ212" s="564">
        <v>96</v>
      </c>
      <c r="GR212" s="256">
        <f t="shared" si="3"/>
        <v>1</v>
      </c>
      <c r="GS212" s="237" t="s">
        <v>24</v>
      </c>
    </row>
    <row r="213" spans="1:201" s="237" customFormat="1" ht="17.25" customHeight="1">
      <c r="A213" s="236" t="s">
        <v>1466</v>
      </c>
      <c r="C213" s="238"/>
      <c r="D213" s="238">
        <v>1073</v>
      </c>
      <c r="E213" s="238">
        <v>762</v>
      </c>
      <c r="F213" s="239">
        <v>0.71015843429636538</v>
      </c>
      <c r="G213" s="238">
        <v>562</v>
      </c>
      <c r="H213" s="240">
        <v>598.12993243162896</v>
      </c>
      <c r="I213" s="239">
        <v>0.7849474178892768</v>
      </c>
      <c r="J213" s="238">
        <v>98</v>
      </c>
      <c r="K213" s="238">
        <v>0</v>
      </c>
      <c r="L213" s="238">
        <v>8</v>
      </c>
      <c r="M213" s="241">
        <v>7.4557315936626279E-3</v>
      </c>
      <c r="N213" s="238">
        <v>0</v>
      </c>
      <c r="O213" s="239">
        <v>0</v>
      </c>
      <c r="P213" s="237">
        <v>9</v>
      </c>
      <c r="Q213" s="237">
        <v>0</v>
      </c>
      <c r="R213" s="239">
        <v>0</v>
      </c>
      <c r="S213" s="238">
        <v>1077</v>
      </c>
      <c r="T213" s="436">
        <v>0</v>
      </c>
      <c r="U213" s="436">
        <v>0</v>
      </c>
      <c r="V213" s="436">
        <v>0</v>
      </c>
      <c r="W213" s="436">
        <v>0</v>
      </c>
      <c r="X213" s="238">
        <v>5968</v>
      </c>
      <c r="Y213" s="237">
        <v>0.159</v>
      </c>
      <c r="Z213" s="238">
        <v>99017</v>
      </c>
      <c r="AA213" s="238">
        <v>16760</v>
      </c>
      <c r="AB213" s="238">
        <v>102.4</v>
      </c>
      <c r="AC213" s="238">
        <v>3467</v>
      </c>
      <c r="AD213" s="238">
        <v>4651190.9700000007</v>
      </c>
      <c r="AE213" s="238">
        <v>722172.05999999959</v>
      </c>
      <c r="AF213" s="238">
        <v>6665436.9199999999</v>
      </c>
      <c r="AG213" s="238">
        <v>489723.36</v>
      </c>
      <c r="AH213" s="239">
        <v>7.3472056802541916E-2</v>
      </c>
      <c r="AI213" s="247">
        <v>138.29232999999999</v>
      </c>
      <c r="AJ213" s="242">
        <v>12.937129000000001</v>
      </c>
      <c r="AK213" s="242">
        <v>1.2056970177073625</v>
      </c>
      <c r="AL213" s="242">
        <v>25.415534999999998</v>
      </c>
      <c r="AM213" s="242">
        <v>2.3686425908667288</v>
      </c>
      <c r="AN213" s="242">
        <v>18243.560000000001</v>
      </c>
      <c r="AO213" s="238">
        <v>0</v>
      </c>
      <c r="AP213" s="243">
        <v>0</v>
      </c>
      <c r="AQ213" s="238">
        <v>1</v>
      </c>
      <c r="AR213" s="238">
        <v>1651.3092108568437</v>
      </c>
      <c r="AS213" s="238">
        <v>1605.354594215876</v>
      </c>
      <c r="AT213" s="238">
        <v>292796.33333333331</v>
      </c>
      <c r="AU213" s="238">
        <v>253.56508779356014</v>
      </c>
      <c r="AV213" s="237">
        <v>1</v>
      </c>
      <c r="AW213" s="237">
        <v>0</v>
      </c>
      <c r="AX213" s="237">
        <v>1</v>
      </c>
      <c r="AY213" s="244" t="s">
        <v>717</v>
      </c>
      <c r="AZ213" s="244" t="s">
        <v>695</v>
      </c>
      <c r="BA213" s="237">
        <v>0</v>
      </c>
      <c r="BB213" s="245" t="s">
        <v>839</v>
      </c>
      <c r="BC213" s="215" t="s">
        <v>840</v>
      </c>
      <c r="BE213" s="237">
        <v>8</v>
      </c>
      <c r="BF213" s="237">
        <v>42</v>
      </c>
      <c r="BG213" s="246" t="s">
        <v>698</v>
      </c>
      <c r="BI213" s="239">
        <v>0.52145922746781115</v>
      </c>
      <c r="BJ213" s="239">
        <v>8.9860515021459225E-2</v>
      </c>
      <c r="BK213" s="239">
        <v>0.36373390557939916</v>
      </c>
      <c r="BL213" s="239">
        <v>2.4946351931330473E-2</v>
      </c>
      <c r="BM213" s="247">
        <v>2.1078326180257512</v>
      </c>
      <c r="BN213" s="248">
        <v>0</v>
      </c>
      <c r="BO213" s="248">
        <v>0</v>
      </c>
      <c r="BP213" s="237">
        <v>0</v>
      </c>
      <c r="BQ213" s="237">
        <v>0</v>
      </c>
      <c r="BR213" s="248">
        <v>0</v>
      </c>
      <c r="BS213" s="237">
        <v>23</v>
      </c>
      <c r="BT213" s="237" t="s">
        <v>729</v>
      </c>
      <c r="BU213" s="249" t="s">
        <v>678</v>
      </c>
      <c r="BV213" s="249">
        <v>761</v>
      </c>
      <c r="BW213" s="249">
        <v>2976</v>
      </c>
      <c r="BX213" s="249">
        <v>844</v>
      </c>
      <c r="BY213" s="249" t="s">
        <v>678</v>
      </c>
      <c r="BZ213" s="249">
        <v>12.630705394190871</v>
      </c>
      <c r="CA213" s="249">
        <v>49.394190871369297</v>
      </c>
      <c r="CB213" s="249">
        <v>14.008298755186722</v>
      </c>
      <c r="CC213" s="250" t="s">
        <v>678</v>
      </c>
      <c r="CD213" s="242">
        <v>-410</v>
      </c>
      <c r="CE213" s="252">
        <v>93.195020746887963</v>
      </c>
      <c r="CF213" s="238">
        <v>3185</v>
      </c>
      <c r="CG213" s="238">
        <v>468</v>
      </c>
      <c r="CH213" s="238">
        <v>7.7676348547717842</v>
      </c>
      <c r="CI213" s="216" t="s">
        <v>722</v>
      </c>
      <c r="CJ213" s="237">
        <v>1</v>
      </c>
      <c r="CK213" s="253">
        <v>132.11000000000001</v>
      </c>
      <c r="CL213" s="253">
        <v>127.81950000000001</v>
      </c>
      <c r="CM213" s="254">
        <v>0.11912348555452004</v>
      </c>
      <c r="CN213" s="237" t="s">
        <v>24</v>
      </c>
      <c r="CO213" s="242">
        <v>386.63</v>
      </c>
      <c r="CP213" s="255">
        <v>0.36032618825722273</v>
      </c>
      <c r="CV213" s="237">
        <v>4</v>
      </c>
      <c r="CW213" s="194">
        <v>1.351</v>
      </c>
      <c r="CX213" s="194">
        <v>0.63500000000000001</v>
      </c>
      <c r="CY213" s="194" t="s">
        <v>680</v>
      </c>
      <c r="DB213" s="216" t="s">
        <v>1017</v>
      </c>
      <c r="DC213" s="195" t="s">
        <v>1018</v>
      </c>
      <c r="DD213" s="256">
        <v>0.8</v>
      </c>
      <c r="DE213" s="256">
        <v>-10</v>
      </c>
      <c r="DF213" s="256">
        <v>0.5</v>
      </c>
      <c r="DG213" s="256">
        <v>-2.2999999999999998</v>
      </c>
      <c r="DH213" s="257">
        <v>1</v>
      </c>
      <c r="DI213" s="257">
        <v>1</v>
      </c>
      <c r="DJ213" s="257">
        <v>0</v>
      </c>
      <c r="DK213" s="257">
        <v>1</v>
      </c>
      <c r="DL213" s="237" t="s">
        <v>682</v>
      </c>
      <c r="DP213" s="258" t="s">
        <v>682</v>
      </c>
      <c r="DQ213" s="258"/>
      <c r="DR213" s="258"/>
      <c r="DS213" s="258"/>
      <c r="DT213" s="258"/>
      <c r="DU213" s="237">
        <v>0</v>
      </c>
      <c r="DX213" s="247"/>
      <c r="DY213" s="247">
        <v>0</v>
      </c>
      <c r="EA213" s="237">
        <v>0</v>
      </c>
      <c r="ED213" s="237" t="s">
        <v>749</v>
      </c>
      <c r="EE213" s="208">
        <v>0</v>
      </c>
      <c r="EF213" s="237" t="s">
        <v>688</v>
      </c>
      <c r="EG213" s="216" t="s">
        <v>703</v>
      </c>
      <c r="EH213" s="246" t="s">
        <v>704</v>
      </c>
      <c r="EI213" s="216"/>
      <c r="EJ213" s="216" t="s">
        <v>529</v>
      </c>
      <c r="EK213" s="222" t="s">
        <v>682</v>
      </c>
      <c r="EL213" s="259">
        <v>1987</v>
      </c>
      <c r="EM213" s="260">
        <v>3468</v>
      </c>
      <c r="EN213" s="260">
        <v>241098</v>
      </c>
      <c r="EO213" s="260">
        <v>47976</v>
      </c>
      <c r="ER213" s="237" t="s">
        <v>705</v>
      </c>
      <c r="ES213" s="237" t="e">
        <v>#DIV/0!</v>
      </c>
      <c r="ET213" s="237">
        <v>13.833910034602075</v>
      </c>
      <c r="EU213" s="661">
        <v>2</v>
      </c>
      <c r="EV213" s="661">
        <v>0</v>
      </c>
      <c r="EW213" s="661">
        <v>2</v>
      </c>
      <c r="EX213" s="661">
        <v>3</v>
      </c>
      <c r="EY213" s="660">
        <v>0.12312208760484623</v>
      </c>
      <c r="EZ213" s="256">
        <v>45.605934448565584</v>
      </c>
      <c r="FA213" s="247">
        <v>0.52493438320209973</v>
      </c>
      <c r="FB213" s="208">
        <v>2</v>
      </c>
      <c r="FC213" s="208">
        <v>3</v>
      </c>
      <c r="FD213" s="208">
        <v>4</v>
      </c>
      <c r="FE213" s="239">
        <v>0.73753280839895008</v>
      </c>
      <c r="FF213" s="208">
        <v>1</v>
      </c>
      <c r="FG213" s="241">
        <v>1.3123359580052493E-3</v>
      </c>
      <c r="FH213" s="209">
        <v>0</v>
      </c>
      <c r="FI213" s="237" t="s">
        <v>678</v>
      </c>
      <c r="FJ213" s="208">
        <v>55.2</v>
      </c>
      <c r="FK213" s="208">
        <v>21.29</v>
      </c>
      <c r="FL213" s="217">
        <v>62.7</v>
      </c>
      <c r="FM213" s="208">
        <v>7.34</v>
      </c>
      <c r="FN213" s="208" t="s">
        <v>1467</v>
      </c>
      <c r="FP213" s="247" t="s">
        <v>693</v>
      </c>
      <c r="FU213" s="208">
        <v>36</v>
      </c>
      <c r="FV213" s="208">
        <v>43.1</v>
      </c>
      <c r="FW213" s="237">
        <v>60.06</v>
      </c>
      <c r="FX213" s="237">
        <v>41.5</v>
      </c>
      <c r="FY213" s="208">
        <v>46.1</v>
      </c>
      <c r="FZ213" s="208">
        <v>58.7</v>
      </c>
      <c r="GA213" s="208">
        <v>51.15</v>
      </c>
      <c r="GB213" s="208">
        <v>54</v>
      </c>
      <c r="GC213" s="208">
        <v>0.52</v>
      </c>
      <c r="GD213" s="208">
        <v>65.599999999999994</v>
      </c>
      <c r="GE213" s="237">
        <v>43.23</v>
      </c>
      <c r="GF213" s="237">
        <v>56</v>
      </c>
      <c r="GG213" s="237">
        <v>7.79</v>
      </c>
      <c r="GH213" s="237">
        <v>59.5</v>
      </c>
      <c r="GJ213" s="947">
        <v>75</v>
      </c>
      <c r="GK213" s="320">
        <v>4.0000000000000001E-3</v>
      </c>
      <c r="GL213" s="320">
        <v>5.7000000000000002E-2</v>
      </c>
      <c r="GM213" s="320">
        <v>0.129</v>
      </c>
      <c r="GN213" s="320">
        <v>0.81</v>
      </c>
      <c r="GO213" s="662">
        <v>8210</v>
      </c>
      <c r="GP213" s="663" t="str">
        <f>VLOOKUP(GS213,'BD Comarcal'!$A$6:$AV$17,48,FALSE)</f>
        <v>41</v>
      </c>
      <c r="GQ213" s="564">
        <v>42</v>
      </c>
      <c r="GR213" s="256">
        <f t="shared" si="3"/>
        <v>1</v>
      </c>
      <c r="GS213" s="237" t="s">
        <v>24</v>
      </c>
    </row>
    <row r="214" spans="1:201" s="237" customFormat="1" ht="17.25" customHeight="1">
      <c r="A214" s="236" t="s">
        <v>1028</v>
      </c>
      <c r="C214" s="238"/>
      <c r="D214" s="238">
        <v>1179</v>
      </c>
      <c r="E214" s="238">
        <v>473</v>
      </c>
      <c r="F214" s="239">
        <v>0.40118744698897368</v>
      </c>
      <c r="G214" s="238">
        <v>181</v>
      </c>
      <c r="H214" s="240">
        <v>0</v>
      </c>
      <c r="I214" s="239">
        <v>0</v>
      </c>
      <c r="J214" s="238">
        <v>44</v>
      </c>
      <c r="K214" s="238">
        <v>0</v>
      </c>
      <c r="L214" s="238">
        <v>35</v>
      </c>
      <c r="M214" s="241">
        <v>2.9686174724342665E-2</v>
      </c>
      <c r="N214" s="238">
        <v>2</v>
      </c>
      <c r="O214" s="239">
        <v>4.5454545454545456E-2</v>
      </c>
      <c r="P214" s="237">
        <v>6</v>
      </c>
      <c r="Q214" s="237">
        <v>0</v>
      </c>
      <c r="R214" s="239">
        <v>0</v>
      </c>
      <c r="S214" s="238">
        <v>85</v>
      </c>
      <c r="T214" s="436">
        <v>0</v>
      </c>
      <c r="U214" s="436">
        <v>0</v>
      </c>
      <c r="V214" s="436">
        <v>49</v>
      </c>
      <c r="W214" s="436">
        <v>49</v>
      </c>
      <c r="X214" s="238">
        <v>44086</v>
      </c>
      <c r="Y214" s="237">
        <v>0.1686</v>
      </c>
      <c r="Z214" s="238">
        <v>668070</v>
      </c>
      <c r="AA214" s="238">
        <v>15253</v>
      </c>
      <c r="AB214" s="238">
        <v>93.2</v>
      </c>
      <c r="AC214" s="238">
        <v>18794</v>
      </c>
      <c r="AD214" s="238">
        <v>44871493.730000004</v>
      </c>
      <c r="AE214" s="238">
        <v>-619017.53999999911</v>
      </c>
      <c r="AF214" s="238">
        <v>4435478.07</v>
      </c>
      <c r="AG214" s="238">
        <v>6553211.25</v>
      </c>
      <c r="AH214" s="239">
        <v>1.4774531959302415</v>
      </c>
      <c r="AI214" s="247">
        <v>355.77528699999999</v>
      </c>
      <c r="AJ214" s="242">
        <v>605.98073599999998</v>
      </c>
      <c r="AK214" s="242">
        <v>51.397857167090748</v>
      </c>
      <c r="AL214" s="242" t="s">
        <v>678</v>
      </c>
      <c r="AM214" s="242" t="s">
        <v>678</v>
      </c>
      <c r="AN214" s="242">
        <v>48063.199999999997</v>
      </c>
      <c r="AO214" s="238">
        <v>19584.45</v>
      </c>
      <c r="AP214" s="243">
        <v>70</v>
      </c>
      <c r="AQ214" s="238">
        <v>1</v>
      </c>
      <c r="AR214" s="238">
        <v>1084.8140550444234</v>
      </c>
      <c r="AS214" s="238">
        <v>1372.103036250375</v>
      </c>
      <c r="AT214" s="238">
        <v>2083863</v>
      </c>
      <c r="AU214" s="238">
        <v>220.97220268307757</v>
      </c>
      <c r="AV214" s="237">
        <v>1</v>
      </c>
      <c r="AW214" s="237">
        <v>1</v>
      </c>
      <c r="AX214" s="237">
        <v>0</v>
      </c>
      <c r="AY214" s="244" t="s">
        <v>673</v>
      </c>
      <c r="AZ214" s="244" t="s">
        <v>682</v>
      </c>
      <c r="BA214" s="237">
        <v>2010</v>
      </c>
      <c r="BB214" s="245" t="s">
        <v>1468</v>
      </c>
      <c r="BC214" s="215" t="s">
        <v>1469</v>
      </c>
      <c r="BD214" s="237">
        <v>1</v>
      </c>
      <c r="BE214" s="237">
        <v>246</v>
      </c>
      <c r="BF214" s="237">
        <v>2</v>
      </c>
      <c r="BG214" s="246" t="s">
        <v>676</v>
      </c>
      <c r="BI214" s="239">
        <v>0.42752787389465591</v>
      </c>
      <c r="BJ214" s="239">
        <v>9.9929514289375881E-2</v>
      </c>
      <c r="BK214" s="239">
        <v>0.41000256311674999</v>
      </c>
      <c r="BL214" s="239">
        <v>6.2540048699218254E-2</v>
      </c>
      <c r="BM214" s="247">
        <v>1.8924452133794696</v>
      </c>
      <c r="BN214" s="248">
        <v>0</v>
      </c>
      <c r="BO214" s="248">
        <v>2</v>
      </c>
      <c r="BP214" s="237">
        <v>0</v>
      </c>
      <c r="BQ214" s="237">
        <v>0</v>
      </c>
      <c r="BR214" s="248">
        <v>2</v>
      </c>
      <c r="BS214" s="237">
        <v>0</v>
      </c>
      <c r="BT214" s="237" t="s">
        <v>1028</v>
      </c>
      <c r="BU214" s="249">
        <v>3345</v>
      </c>
      <c r="BV214" s="249">
        <v>4076</v>
      </c>
      <c r="BW214" s="249">
        <v>20613</v>
      </c>
      <c r="BX214" s="249">
        <v>7112</v>
      </c>
      <c r="BY214" s="249">
        <v>7.6423953026114377</v>
      </c>
      <c r="BZ214" s="249">
        <v>9.3125271310745052</v>
      </c>
      <c r="CA214" s="249">
        <v>47.094975896182227</v>
      </c>
      <c r="CB214" s="249">
        <v>16.248943316045604</v>
      </c>
      <c r="CC214" s="250">
        <v>88.647216066165555</v>
      </c>
      <c r="CD214" s="242">
        <v>-4253</v>
      </c>
      <c r="CE214" s="252">
        <v>90.283077063675208</v>
      </c>
      <c r="CF214" s="238">
        <v>18458</v>
      </c>
      <c r="CG214" s="238">
        <v>3411.4</v>
      </c>
      <c r="CH214" s="238">
        <v>7.7941008476318858</v>
      </c>
      <c r="CI214" s="216" t="s">
        <v>679</v>
      </c>
      <c r="CJ214" s="237">
        <v>0</v>
      </c>
      <c r="CK214" s="253">
        <v>206.44</v>
      </c>
      <c r="CL214" s="253">
        <v>200.07210000000001</v>
      </c>
      <c r="CM214" s="254">
        <v>0.16969643765903308</v>
      </c>
      <c r="CN214" s="237" t="s">
        <v>90</v>
      </c>
      <c r="CO214" s="242">
        <v>564.91999999999996</v>
      </c>
      <c r="CP214" s="255">
        <v>0.47915182357930447</v>
      </c>
      <c r="CV214" s="237">
        <v>10</v>
      </c>
      <c r="CW214" s="194">
        <v>1.867</v>
      </c>
      <c r="CX214" s="194" t="s">
        <v>680</v>
      </c>
      <c r="CY214" s="194">
        <v>2.5019999999999998</v>
      </c>
      <c r="DB214" s="216" t="s">
        <v>804</v>
      </c>
      <c r="DC214" s="195" t="s">
        <v>977</v>
      </c>
      <c r="DD214" s="256">
        <v>0.7</v>
      </c>
      <c r="DE214" s="256">
        <v>-6.5</v>
      </c>
      <c r="DF214" s="256">
        <v>0.7</v>
      </c>
      <c r="DG214" s="256">
        <v>-2.2000000000000002</v>
      </c>
      <c r="DH214" s="257">
        <v>1</v>
      </c>
      <c r="DI214" s="257">
        <v>0</v>
      </c>
      <c r="DJ214" s="257">
        <v>1</v>
      </c>
      <c r="DK214" s="257">
        <v>1</v>
      </c>
      <c r="DL214" s="237" t="s">
        <v>682</v>
      </c>
      <c r="DO214" s="237">
        <v>2</v>
      </c>
      <c r="DP214" s="258" t="s">
        <v>682</v>
      </c>
      <c r="DQ214" s="258"/>
      <c r="DR214" s="258"/>
      <c r="DS214" s="258"/>
      <c r="DT214" s="258"/>
      <c r="DU214" s="237">
        <v>0</v>
      </c>
      <c r="DX214" s="247"/>
      <c r="DY214" s="247">
        <v>0</v>
      </c>
      <c r="EA214" s="237">
        <v>1</v>
      </c>
      <c r="EB214" s="237" t="s">
        <v>823</v>
      </c>
      <c r="EC214" s="237">
        <v>2</v>
      </c>
      <c r="ED214" s="237" t="s">
        <v>678</v>
      </c>
      <c r="EE214" s="208">
        <v>3</v>
      </c>
      <c r="EF214" s="237" t="s">
        <v>678</v>
      </c>
      <c r="EG214" s="216" t="s">
        <v>689</v>
      </c>
      <c r="EH214" s="246" t="s">
        <v>690</v>
      </c>
      <c r="EI214" s="216"/>
      <c r="EJ214" s="216" t="s">
        <v>529</v>
      </c>
      <c r="EK214" s="222" t="s">
        <v>529</v>
      </c>
      <c r="EL214" s="259">
        <v>1976</v>
      </c>
      <c r="EM214" s="263">
        <v>278325</v>
      </c>
      <c r="EN214" s="260">
        <v>1552235</v>
      </c>
      <c r="EO214" s="260">
        <v>558789</v>
      </c>
      <c r="ER214" s="237" t="s">
        <v>705</v>
      </c>
      <c r="ES214" s="237">
        <v>21884.5</v>
      </c>
      <c r="ET214" s="237">
        <v>2.0076852600377255</v>
      </c>
      <c r="EU214" s="661">
        <v>3</v>
      </c>
      <c r="EV214" s="661">
        <v>3</v>
      </c>
      <c r="EW214" s="661">
        <v>5</v>
      </c>
      <c r="EX214" s="661">
        <v>5</v>
      </c>
      <c r="EY214" s="660">
        <v>0.17509754028837998</v>
      </c>
      <c r="EZ214" s="256">
        <v>212.0180197636117</v>
      </c>
      <c r="FA214" s="247">
        <v>2.1141649048625792</v>
      </c>
      <c r="FB214" s="208">
        <v>3</v>
      </c>
      <c r="FC214" s="208">
        <v>3</v>
      </c>
      <c r="FD214" s="208">
        <v>5</v>
      </c>
      <c r="FE214" s="239">
        <v>0.38266384778012685</v>
      </c>
      <c r="FF214" s="208"/>
      <c r="FG214" s="241">
        <v>2.1141649048625794E-3</v>
      </c>
      <c r="FH214" s="209">
        <v>0</v>
      </c>
      <c r="FI214" s="237" t="s">
        <v>678</v>
      </c>
      <c r="FJ214" s="208" t="s">
        <v>678</v>
      </c>
      <c r="FK214" s="208" t="s">
        <v>678</v>
      </c>
      <c r="FL214" s="217" t="s">
        <v>678</v>
      </c>
      <c r="FM214" s="208" t="s">
        <v>678</v>
      </c>
      <c r="FN214" s="208" t="s">
        <v>678</v>
      </c>
      <c r="FP214" s="247" t="s">
        <v>693</v>
      </c>
      <c r="FU214" s="208" t="s">
        <v>678</v>
      </c>
      <c r="FV214" s="208" t="s">
        <v>678</v>
      </c>
      <c r="FW214" s="237" t="s">
        <v>678</v>
      </c>
      <c r="FX214" s="237" t="s">
        <v>678</v>
      </c>
      <c r="FY214" s="208" t="s">
        <v>678</v>
      </c>
      <c r="FZ214" s="208" t="s">
        <v>678</v>
      </c>
      <c r="GA214" s="208" t="s">
        <v>678</v>
      </c>
      <c r="GB214" s="208" t="s">
        <v>678</v>
      </c>
      <c r="GC214" s="208" t="s">
        <v>678</v>
      </c>
      <c r="GD214" s="208" t="s">
        <v>678</v>
      </c>
      <c r="GE214" s="237" t="s">
        <v>678</v>
      </c>
      <c r="GF214" s="237" t="s">
        <v>678</v>
      </c>
      <c r="GG214" s="237" t="s">
        <v>678</v>
      </c>
      <c r="GH214" s="237" t="s">
        <v>678</v>
      </c>
      <c r="GJ214" s="947">
        <v>881</v>
      </c>
      <c r="GK214" s="320">
        <v>1E-3</v>
      </c>
      <c r="GL214" s="320">
        <v>0.20499999999999999</v>
      </c>
      <c r="GM214" s="320">
        <v>4.7E-2</v>
      </c>
      <c r="GN214" s="320">
        <v>0.747</v>
      </c>
      <c r="GO214" s="662">
        <v>8211</v>
      </c>
      <c r="GP214" s="663" t="str">
        <f>VLOOKUP(GS214,'BD Comarcal'!$A$6:$AV$17,48,FALSE)</f>
        <v>11</v>
      </c>
      <c r="GQ214" s="564">
        <v>307</v>
      </c>
      <c r="GR214" s="256">
        <f t="shared" si="3"/>
        <v>0</v>
      </c>
      <c r="GS214" s="237" t="s">
        <v>90</v>
      </c>
    </row>
    <row r="215" spans="1:201" s="237" customFormat="1" ht="17.25" customHeight="1">
      <c r="A215" s="236" t="s">
        <v>1470</v>
      </c>
      <c r="C215" s="238"/>
      <c r="D215" s="238">
        <v>2310</v>
      </c>
      <c r="E215" s="238">
        <v>1563</v>
      </c>
      <c r="F215" s="239">
        <v>0.67662337662337657</v>
      </c>
      <c r="G215" s="238">
        <v>1467</v>
      </c>
      <c r="H215" s="240">
        <v>1515.3329016282414</v>
      </c>
      <c r="I215" s="239">
        <v>0.96950281614090938</v>
      </c>
      <c r="J215" s="238">
        <v>690</v>
      </c>
      <c r="K215" s="238">
        <v>231</v>
      </c>
      <c r="L215" s="238">
        <v>0</v>
      </c>
      <c r="M215" s="241">
        <v>0</v>
      </c>
      <c r="N215" s="238">
        <v>0</v>
      </c>
      <c r="O215" s="239">
        <v>0</v>
      </c>
      <c r="P215" s="237">
        <v>17</v>
      </c>
      <c r="Q215" s="237">
        <v>0</v>
      </c>
      <c r="R215" s="239">
        <v>0</v>
      </c>
      <c r="S215" s="238">
        <v>3144</v>
      </c>
      <c r="T215" s="436">
        <v>0</v>
      </c>
      <c r="U215" s="436">
        <v>0</v>
      </c>
      <c r="V215" s="436">
        <v>0</v>
      </c>
      <c r="W215" s="436">
        <v>0</v>
      </c>
      <c r="X215" s="238">
        <v>612</v>
      </c>
      <c r="Y215" s="237">
        <v>0.222</v>
      </c>
      <c r="Z215" s="238">
        <v>9631</v>
      </c>
      <c r="AA215" s="238">
        <v>15336</v>
      </c>
      <c r="AB215" s="238">
        <v>93.7</v>
      </c>
      <c r="AC215" s="238">
        <v>109</v>
      </c>
      <c r="AD215" s="238">
        <v>1065973.29</v>
      </c>
      <c r="AE215" s="238">
        <v>121154.27000000014</v>
      </c>
      <c r="AF215" s="238">
        <v>42579283.899999999</v>
      </c>
      <c r="AG215" s="238">
        <v>11345.61</v>
      </c>
      <c r="AH215" s="239">
        <v>2.6645845023241457E-4</v>
      </c>
      <c r="AI215" s="247">
        <v>33.077094000000002</v>
      </c>
      <c r="AJ215" s="242">
        <v>3.79433</v>
      </c>
      <c r="AK215" s="242">
        <v>0.16425670995670996</v>
      </c>
      <c r="AL215" s="242" t="s">
        <v>678</v>
      </c>
      <c r="AM215" s="242" t="s">
        <v>678</v>
      </c>
      <c r="AN215" s="242">
        <v>10214.15</v>
      </c>
      <c r="AO215" s="238">
        <v>0</v>
      </c>
      <c r="AP215" s="243">
        <v>0</v>
      </c>
      <c r="AQ215" s="238">
        <v>1</v>
      </c>
      <c r="AR215" s="238">
        <v>1641.4264843430617</v>
      </c>
      <c r="AS215" s="238">
        <v>1892.3148293445793</v>
      </c>
      <c r="AT215" s="238">
        <v>73880.666666666672</v>
      </c>
      <c r="AU215" s="238">
        <v>243.79236713426567</v>
      </c>
      <c r="AV215" s="237">
        <v>1</v>
      </c>
      <c r="AW215" s="237">
        <v>1</v>
      </c>
      <c r="AX215" s="237">
        <v>1</v>
      </c>
      <c r="AY215" s="244" t="s">
        <v>717</v>
      </c>
      <c r="AZ215" s="244" t="s">
        <v>695</v>
      </c>
      <c r="BA215" s="237">
        <v>0</v>
      </c>
      <c r="BB215" s="245" t="s">
        <v>782</v>
      </c>
      <c r="BC215" s="215" t="s">
        <v>783</v>
      </c>
      <c r="BE215" s="237">
        <v>3</v>
      </c>
      <c r="BF215" s="237">
        <v>70</v>
      </c>
      <c r="BG215" s="246" t="s">
        <v>720</v>
      </c>
      <c r="BI215" s="239">
        <v>0.64317180616740088</v>
      </c>
      <c r="BJ215" s="239">
        <v>0.10572687224669604</v>
      </c>
      <c r="BK215" s="239">
        <v>0.23127753303964757</v>
      </c>
      <c r="BL215" s="239">
        <v>1.9823788546255508E-2</v>
      </c>
      <c r="BM215" s="247">
        <v>2.372246696035242</v>
      </c>
      <c r="BN215" s="248">
        <v>0</v>
      </c>
      <c r="BO215" s="248">
        <v>0</v>
      </c>
      <c r="BP215" s="237">
        <v>0</v>
      </c>
      <c r="BQ215" s="237">
        <v>0</v>
      </c>
      <c r="BR215" s="248">
        <v>0</v>
      </c>
      <c r="BS215" s="262">
        <v>35.6</v>
      </c>
      <c r="BT215" s="237" t="s">
        <v>699</v>
      </c>
      <c r="BU215" s="249" t="s">
        <v>678</v>
      </c>
      <c r="BV215" s="249" t="s">
        <v>678</v>
      </c>
      <c r="BW215" s="249" t="s">
        <v>678</v>
      </c>
      <c r="BX215" s="249" t="s">
        <v>678</v>
      </c>
      <c r="BY215" s="249" t="s">
        <v>678</v>
      </c>
      <c r="BZ215" s="249" t="s">
        <v>678</v>
      </c>
      <c r="CA215" s="249" t="s">
        <v>678</v>
      </c>
      <c r="CB215" s="249" t="s">
        <v>678</v>
      </c>
      <c r="CC215" s="250" t="s">
        <v>678</v>
      </c>
      <c r="CD215" s="242" t="s">
        <v>678</v>
      </c>
      <c r="CE215" s="252" t="s">
        <v>678</v>
      </c>
      <c r="CF215" s="238">
        <v>381</v>
      </c>
      <c r="CG215" s="238">
        <v>46</v>
      </c>
      <c r="CH215" s="238">
        <v>7.1317829457364343</v>
      </c>
      <c r="CI215" s="216" t="s">
        <v>700</v>
      </c>
      <c r="CJ215" s="237">
        <v>0</v>
      </c>
      <c r="CK215" s="253">
        <v>33.35</v>
      </c>
      <c r="CL215" s="253">
        <v>7.8013000000000003</v>
      </c>
      <c r="CM215" s="254">
        <v>3.3771861471861473E-3</v>
      </c>
      <c r="CN215" s="237" t="s">
        <v>82</v>
      </c>
      <c r="CO215" s="242">
        <v>64.040000000000006</v>
      </c>
      <c r="CP215" s="255">
        <v>2.7722943722943726E-2</v>
      </c>
      <c r="CV215" s="237">
        <v>1</v>
      </c>
      <c r="CW215" s="261" t="s">
        <v>678</v>
      </c>
      <c r="CX215" s="261" t="s">
        <v>678</v>
      </c>
      <c r="CY215" s="261" t="s">
        <v>678</v>
      </c>
      <c r="DB215" s="216" t="s">
        <v>710</v>
      </c>
      <c r="DC215" s="195" t="s">
        <v>711</v>
      </c>
      <c r="DD215" s="256">
        <v>0.8</v>
      </c>
      <c r="DE215" s="256">
        <v>-9</v>
      </c>
      <c r="DF215" s="256">
        <v>-0.3</v>
      </c>
      <c r="DG215" s="256">
        <v>-2.6</v>
      </c>
      <c r="DH215" s="257">
        <v>2</v>
      </c>
      <c r="DI215" s="257">
        <v>207.75</v>
      </c>
      <c r="DJ215" s="257">
        <v>26.52</v>
      </c>
      <c r="DK215" s="257">
        <v>234.27</v>
      </c>
      <c r="DL215" s="237" t="s">
        <v>529</v>
      </c>
      <c r="DN215" s="237" t="s">
        <v>770</v>
      </c>
      <c r="DP215" s="258" t="s">
        <v>682</v>
      </c>
      <c r="DQ215" s="258"/>
      <c r="DR215" s="258"/>
      <c r="DS215" s="258"/>
      <c r="DT215" s="258"/>
      <c r="DU215" s="237">
        <v>0</v>
      </c>
      <c r="DX215" s="247"/>
      <c r="DY215" s="247">
        <v>0</v>
      </c>
      <c r="EA215" s="237">
        <v>0</v>
      </c>
      <c r="ED215" s="237" t="s">
        <v>1471</v>
      </c>
      <c r="EE215" s="208">
        <v>3</v>
      </c>
      <c r="EF215" s="237" t="s">
        <v>702</v>
      </c>
      <c r="EG215" s="216" t="s">
        <v>703</v>
      </c>
      <c r="EH215" s="246" t="s">
        <v>704</v>
      </c>
      <c r="EI215" s="216"/>
      <c r="EJ215" s="216" t="s">
        <v>529</v>
      </c>
      <c r="EK215" s="222" t="s">
        <v>682</v>
      </c>
      <c r="EL215" s="259">
        <v>2011</v>
      </c>
      <c r="EM215" s="263">
        <v>600</v>
      </c>
      <c r="EN215" s="260">
        <v>25035</v>
      </c>
      <c r="EO215" s="260">
        <v>50161</v>
      </c>
      <c r="ER215" s="237" t="s">
        <v>705</v>
      </c>
      <c r="ES215" s="237" t="e">
        <v>#DIV/0!</v>
      </c>
      <c r="ET215" s="237">
        <v>83.601666666666674</v>
      </c>
      <c r="EU215" s="661">
        <v>3</v>
      </c>
      <c r="EV215" s="661" t="s">
        <v>678</v>
      </c>
      <c r="EW215" s="661">
        <v>1</v>
      </c>
      <c r="EX215" s="661">
        <v>6</v>
      </c>
      <c r="EY215" s="660">
        <v>1.4437229437229438E-2</v>
      </c>
      <c r="EZ215" s="256">
        <v>19.340329835082457</v>
      </c>
      <c r="FA215" s="247">
        <v>6.3979526551503518E-2</v>
      </c>
      <c r="FB215" s="208">
        <v>4</v>
      </c>
      <c r="FC215" s="208">
        <v>4</v>
      </c>
      <c r="FD215" s="208">
        <v>2</v>
      </c>
      <c r="FE215" s="239">
        <v>0.93857965451055658</v>
      </c>
      <c r="FF215" s="208">
        <v>1</v>
      </c>
      <c r="FG215" s="241">
        <v>0.1498848368522073</v>
      </c>
      <c r="FH215" s="209">
        <v>0</v>
      </c>
      <c r="FI215" s="237" t="s">
        <v>678</v>
      </c>
      <c r="FJ215" s="208">
        <v>44.6</v>
      </c>
      <c r="FK215" s="208">
        <v>2.4500000000000002</v>
      </c>
      <c r="FL215" s="217">
        <v>33</v>
      </c>
      <c r="FM215" s="208">
        <v>4.21</v>
      </c>
      <c r="FN215" s="208" t="s">
        <v>1472</v>
      </c>
      <c r="FP215" s="247" t="s">
        <v>693</v>
      </c>
      <c r="FR215" s="237">
        <v>11</v>
      </c>
      <c r="FS215" s="237">
        <v>8</v>
      </c>
      <c r="FU215" s="208">
        <v>31</v>
      </c>
      <c r="FV215" s="208">
        <v>29.5</v>
      </c>
      <c r="FW215" s="237">
        <v>81.819999999999993</v>
      </c>
      <c r="FX215" s="237">
        <v>68.400000000000006</v>
      </c>
      <c r="FY215" s="208">
        <v>68.17</v>
      </c>
      <c r="FZ215" s="208">
        <v>73.599999999999994</v>
      </c>
      <c r="GA215" s="208">
        <v>63.7</v>
      </c>
      <c r="GB215" s="208">
        <v>71</v>
      </c>
      <c r="GC215" s="208">
        <v>1.23</v>
      </c>
      <c r="GD215" s="208">
        <v>92.8</v>
      </c>
      <c r="GE215" s="237">
        <v>55.54</v>
      </c>
      <c r="GF215" s="237">
        <v>72.400000000000006</v>
      </c>
      <c r="GG215" s="237">
        <v>4.6900000000000004</v>
      </c>
      <c r="GH215" s="237">
        <v>41.5</v>
      </c>
      <c r="GJ215" s="947"/>
      <c r="GO215" s="662">
        <v>8212</v>
      </c>
      <c r="GP215" s="663" t="str">
        <f>VLOOKUP(GS215,'BD Comarcal'!$A$6:$AV$17,48,FALSE)</f>
        <v>07</v>
      </c>
      <c r="GQ215" s="564">
        <v>4</v>
      </c>
      <c r="GR215" s="256">
        <f t="shared" si="3"/>
        <v>1</v>
      </c>
      <c r="GS215" s="237" t="s">
        <v>82</v>
      </c>
    </row>
    <row r="216" spans="1:201" s="237" customFormat="1" ht="17.25" customHeight="1">
      <c r="A216" s="236" t="s">
        <v>1473</v>
      </c>
      <c r="C216" s="238"/>
      <c r="D216" s="238">
        <v>2214</v>
      </c>
      <c r="E216" s="238">
        <v>426</v>
      </c>
      <c r="F216" s="239">
        <v>0.19241192411924118</v>
      </c>
      <c r="G216" s="238">
        <v>279</v>
      </c>
      <c r="H216" s="240">
        <v>90.013811082648829</v>
      </c>
      <c r="I216" s="239">
        <v>0.21130002601560757</v>
      </c>
      <c r="J216" s="238">
        <v>1257</v>
      </c>
      <c r="K216" s="238">
        <v>70</v>
      </c>
      <c r="L216" s="238">
        <v>57</v>
      </c>
      <c r="M216" s="241">
        <v>2.5745257452574527E-2</v>
      </c>
      <c r="N216" s="238">
        <v>0</v>
      </c>
      <c r="O216" s="239">
        <v>0</v>
      </c>
      <c r="P216" s="237">
        <v>20</v>
      </c>
      <c r="Q216" s="237">
        <v>0</v>
      </c>
      <c r="R216" s="239">
        <v>0</v>
      </c>
      <c r="S216" s="238">
        <v>4598</v>
      </c>
      <c r="T216" s="436">
        <v>0</v>
      </c>
      <c r="U216" s="436">
        <v>0</v>
      </c>
      <c r="V216" s="436">
        <v>190</v>
      </c>
      <c r="W216" s="436">
        <v>190</v>
      </c>
      <c r="X216" s="238">
        <v>8387</v>
      </c>
      <c r="Y216" s="237">
        <v>0.1396</v>
      </c>
      <c r="Z216" s="238">
        <v>139986</v>
      </c>
      <c r="AA216" s="238">
        <v>16763</v>
      </c>
      <c r="AB216" s="238">
        <v>102.42</v>
      </c>
      <c r="AC216" s="238">
        <v>1581</v>
      </c>
      <c r="AD216" s="238">
        <v>10956255.279999997</v>
      </c>
      <c r="AE216" s="238">
        <v>4760153.9699999988</v>
      </c>
      <c r="AF216" s="238">
        <v>580145.65999999992</v>
      </c>
      <c r="AG216" s="238">
        <v>1347476.09</v>
      </c>
      <c r="AH216" s="239">
        <v>2.3226513320809818</v>
      </c>
      <c r="AI216" s="247">
        <v>315.57928199999998</v>
      </c>
      <c r="AJ216" s="242">
        <v>93.611706999999996</v>
      </c>
      <c r="AK216" s="242">
        <v>4.2281710478771446</v>
      </c>
      <c r="AL216" s="242">
        <v>138.670861</v>
      </c>
      <c r="AM216" s="242">
        <v>6.2633631887985546</v>
      </c>
      <c r="AN216" s="242">
        <v>43290.31</v>
      </c>
      <c r="AO216" s="238">
        <v>7180.96</v>
      </c>
      <c r="AP216" s="243">
        <v>12</v>
      </c>
      <c r="AQ216" s="238">
        <v>1</v>
      </c>
      <c r="AR216" s="238">
        <v>1630.7891852026921</v>
      </c>
      <c r="AS216" s="238">
        <v>3039.2580504723969</v>
      </c>
      <c r="AT216" s="238">
        <v>744781.66666666663</v>
      </c>
      <c r="AU216" s="238">
        <v>313.49804525703314</v>
      </c>
      <c r="AV216" s="237">
        <v>1</v>
      </c>
      <c r="AW216" s="237">
        <v>1</v>
      </c>
      <c r="AX216" s="237">
        <v>1</v>
      </c>
      <c r="AY216" s="244" t="s">
        <v>682</v>
      </c>
      <c r="AZ216" s="244" t="s">
        <v>673</v>
      </c>
      <c r="BA216" s="237">
        <v>2013</v>
      </c>
      <c r="BB216" s="245" t="s">
        <v>1180</v>
      </c>
      <c r="BC216" s="215" t="s">
        <v>1181</v>
      </c>
      <c r="BE216" s="237">
        <v>2</v>
      </c>
      <c r="BF216" s="237">
        <v>143</v>
      </c>
      <c r="BG216" s="246" t="s">
        <v>698</v>
      </c>
      <c r="BI216" s="239">
        <v>0.24492296918767506</v>
      </c>
      <c r="BJ216" s="239">
        <v>0.11467086834733893</v>
      </c>
      <c r="BK216" s="239">
        <v>0.62885154061624648</v>
      </c>
      <c r="BL216" s="239">
        <v>1.1554621848739496E-2</v>
      </c>
      <c r="BM216" s="247">
        <v>1.5929621848739495</v>
      </c>
      <c r="BN216" s="248">
        <v>0</v>
      </c>
      <c r="BO216" s="248">
        <v>0</v>
      </c>
      <c r="BP216" s="237">
        <v>0</v>
      </c>
      <c r="BQ216" s="237">
        <v>0</v>
      </c>
      <c r="BR216" s="248">
        <v>0</v>
      </c>
      <c r="BS216" s="237">
        <v>8.8000000000000007</v>
      </c>
      <c r="BT216" s="237" t="s">
        <v>699</v>
      </c>
      <c r="BU216" s="249" t="s">
        <v>678</v>
      </c>
      <c r="BV216" s="249">
        <v>847</v>
      </c>
      <c r="BW216" s="249">
        <v>4207</v>
      </c>
      <c r="BX216" s="249" t="s">
        <v>678</v>
      </c>
      <c r="BY216" s="249" t="s">
        <v>678</v>
      </c>
      <c r="BZ216" s="249">
        <v>10.225763612217795</v>
      </c>
      <c r="CA216" s="249">
        <v>50.790776288784258</v>
      </c>
      <c r="CB216" s="249" t="s">
        <v>678</v>
      </c>
      <c r="CC216" s="250" t="s">
        <v>678</v>
      </c>
      <c r="CD216" s="242">
        <v>857</v>
      </c>
      <c r="CE216" s="252">
        <v>110.34649281661234</v>
      </c>
      <c r="CF216" s="238">
        <v>3960</v>
      </c>
      <c r="CG216" s="238">
        <v>633</v>
      </c>
      <c r="CH216" s="238">
        <v>7.6421586381745747</v>
      </c>
      <c r="CI216" s="216" t="s">
        <v>679</v>
      </c>
      <c r="CJ216" s="237">
        <v>0</v>
      </c>
      <c r="CK216" s="253">
        <v>245.96</v>
      </c>
      <c r="CL216" s="253">
        <v>263.44400000000002</v>
      </c>
      <c r="CM216" s="254">
        <v>0.11899006323396569</v>
      </c>
      <c r="CN216" s="237" t="s">
        <v>82</v>
      </c>
      <c r="CO216" s="242"/>
      <c r="CP216" s="255">
        <v>0</v>
      </c>
      <c r="CV216" s="237">
        <v>10</v>
      </c>
      <c r="CW216" s="194">
        <v>0.66800000000000004</v>
      </c>
      <c r="CX216" s="194">
        <v>0.188</v>
      </c>
      <c r="CY216" s="194">
        <v>1.4909999999999999</v>
      </c>
      <c r="DB216" s="216"/>
      <c r="DC216" s="195" t="s">
        <v>866</v>
      </c>
      <c r="DD216" s="256">
        <v>0.8</v>
      </c>
      <c r="DE216" s="256">
        <v>-10</v>
      </c>
      <c r="DF216" s="256">
        <v>0.5</v>
      </c>
      <c r="DG216" s="256">
        <v>-2.2999999999999998</v>
      </c>
      <c r="DH216" s="257">
        <v>4</v>
      </c>
      <c r="DI216" s="257">
        <v>6.09</v>
      </c>
      <c r="DJ216" s="257">
        <v>27.76</v>
      </c>
      <c r="DK216" s="257">
        <v>33.85</v>
      </c>
      <c r="DL216" s="237" t="s">
        <v>529</v>
      </c>
      <c r="DN216" s="237" t="s">
        <v>770</v>
      </c>
      <c r="DO216" s="237">
        <v>2</v>
      </c>
      <c r="DP216" s="258" t="s">
        <v>682</v>
      </c>
      <c r="DQ216" s="258"/>
      <c r="DR216" s="258"/>
      <c r="DS216" s="258"/>
      <c r="DT216" s="258"/>
      <c r="DU216" s="237">
        <v>0</v>
      </c>
      <c r="DX216" s="247"/>
      <c r="DY216" s="247">
        <v>0</v>
      </c>
      <c r="EA216" s="237">
        <v>0</v>
      </c>
      <c r="ED216" s="237" t="s">
        <v>678</v>
      </c>
      <c r="EE216" s="208">
        <v>3</v>
      </c>
      <c r="EF216" s="237" t="s">
        <v>678</v>
      </c>
      <c r="EG216" s="216" t="s">
        <v>691</v>
      </c>
      <c r="EH216" s="246" t="s">
        <v>690</v>
      </c>
      <c r="EI216" s="216"/>
      <c r="EJ216" s="216" t="s">
        <v>529</v>
      </c>
      <c r="EK216" s="222" t="s">
        <v>682</v>
      </c>
      <c r="EL216" s="259">
        <v>1996</v>
      </c>
      <c r="EM216" s="260">
        <v>5205</v>
      </c>
      <c r="EN216" s="260">
        <v>411630</v>
      </c>
      <c r="EO216" s="260">
        <v>349746</v>
      </c>
      <c r="ER216" s="237" t="s">
        <v>705</v>
      </c>
      <c r="ES216" s="237" t="e">
        <v>#DIV/0!</v>
      </c>
      <c r="ET216" s="237">
        <v>67.194236311239194</v>
      </c>
      <c r="EU216" s="661">
        <v>3</v>
      </c>
      <c r="EV216" s="661">
        <v>2</v>
      </c>
      <c r="EW216" s="661">
        <v>4</v>
      </c>
      <c r="EX216" s="661">
        <v>4</v>
      </c>
      <c r="EY216" s="660">
        <v>0.11109304426377598</v>
      </c>
      <c r="EZ216" s="256">
        <v>33.676207513416813</v>
      </c>
      <c r="FA216" s="247">
        <v>2.347417840375587</v>
      </c>
      <c r="FB216" s="208">
        <v>4</v>
      </c>
      <c r="FC216" s="208">
        <v>2</v>
      </c>
      <c r="FD216" s="208">
        <v>5</v>
      </c>
      <c r="FE216" s="239">
        <v>0.65492957746478875</v>
      </c>
      <c r="FF216" s="208"/>
      <c r="FG216" s="241">
        <v>7.9460093896713616E-2</v>
      </c>
      <c r="FH216" s="209">
        <v>0</v>
      </c>
      <c r="FI216" s="237" t="s">
        <v>678</v>
      </c>
      <c r="FJ216" s="208" t="s">
        <v>678</v>
      </c>
      <c r="FK216" s="208" t="s">
        <v>678</v>
      </c>
      <c r="FL216" s="217" t="s">
        <v>678</v>
      </c>
      <c r="FM216" s="208" t="s">
        <v>678</v>
      </c>
      <c r="FN216" s="208" t="s">
        <v>678</v>
      </c>
      <c r="FP216" s="247" t="s">
        <v>693</v>
      </c>
      <c r="FU216" s="208" t="s">
        <v>678</v>
      </c>
      <c r="FV216" s="208" t="s">
        <v>678</v>
      </c>
      <c r="FW216" s="237" t="s">
        <v>678</v>
      </c>
      <c r="FX216" s="237" t="s">
        <v>678</v>
      </c>
      <c r="FY216" s="208" t="s">
        <v>678</v>
      </c>
      <c r="FZ216" s="208" t="s">
        <v>678</v>
      </c>
      <c r="GA216" s="208" t="s">
        <v>678</v>
      </c>
      <c r="GB216" s="208" t="s">
        <v>678</v>
      </c>
      <c r="GC216" s="208" t="s">
        <v>678</v>
      </c>
      <c r="GD216" s="208" t="s">
        <v>678</v>
      </c>
      <c r="GE216" s="237" t="s">
        <v>678</v>
      </c>
      <c r="GF216" s="237" t="s">
        <v>678</v>
      </c>
      <c r="GG216" s="237" t="s">
        <v>678</v>
      </c>
      <c r="GH216" s="237" t="s">
        <v>678</v>
      </c>
      <c r="GJ216" s="947">
        <v>428</v>
      </c>
      <c r="GK216" s="320">
        <v>5.0000000000000001E-3</v>
      </c>
      <c r="GL216" s="320">
        <v>0.49</v>
      </c>
      <c r="GM216" s="320">
        <v>3.5000000000000003E-2</v>
      </c>
      <c r="GN216" s="320">
        <v>0.47099999999999997</v>
      </c>
      <c r="GO216" s="662">
        <v>8213</v>
      </c>
      <c r="GP216" s="663" t="str">
        <f>VLOOKUP(GS216,'BD Comarcal'!$A$6:$AV$17,48,FALSE)</f>
        <v>07</v>
      </c>
      <c r="GQ216" s="564">
        <v>48</v>
      </c>
      <c r="GR216" s="256">
        <f t="shared" si="3"/>
        <v>1</v>
      </c>
      <c r="GS216" s="237" t="s">
        <v>82</v>
      </c>
    </row>
    <row r="217" spans="1:201" s="237" customFormat="1" ht="17.25" customHeight="1">
      <c r="A217" s="236" t="s">
        <v>1474</v>
      </c>
      <c r="C217" s="238"/>
      <c r="D217" s="238">
        <v>908</v>
      </c>
      <c r="E217" s="238">
        <v>516</v>
      </c>
      <c r="F217" s="239">
        <v>0.56828193832599116</v>
      </c>
      <c r="G217" s="238">
        <v>493</v>
      </c>
      <c r="H217" s="240">
        <v>201.25264109018488</v>
      </c>
      <c r="I217" s="239">
        <v>0.39002449823679242</v>
      </c>
      <c r="J217" s="238">
        <v>66</v>
      </c>
      <c r="K217" s="238">
        <v>35</v>
      </c>
      <c r="L217" s="238">
        <v>30</v>
      </c>
      <c r="M217" s="241">
        <v>3.3039647577092511E-2</v>
      </c>
      <c r="N217" s="238">
        <v>0</v>
      </c>
      <c r="O217" s="239">
        <v>0</v>
      </c>
      <c r="P217" s="237">
        <v>3</v>
      </c>
      <c r="Q217" s="237">
        <v>0</v>
      </c>
      <c r="R217" s="239">
        <v>0</v>
      </c>
      <c r="S217" s="238">
        <v>107</v>
      </c>
      <c r="T217" s="436">
        <v>0</v>
      </c>
      <c r="U217" s="436">
        <v>0</v>
      </c>
      <c r="V217" s="436">
        <v>60</v>
      </c>
      <c r="W217" s="436">
        <v>60</v>
      </c>
      <c r="X217" s="238">
        <v>8953</v>
      </c>
      <c r="Y217" s="237">
        <v>0.17680000000000001</v>
      </c>
      <c r="Z217" s="238">
        <v>163142</v>
      </c>
      <c r="AA217" s="238">
        <v>18200</v>
      </c>
      <c r="AB217" s="238">
        <v>111.2</v>
      </c>
      <c r="AC217" s="238">
        <v>24563</v>
      </c>
      <c r="AD217" s="238">
        <v>11778427.620000001</v>
      </c>
      <c r="AE217" s="238">
        <v>622876.55999999866</v>
      </c>
      <c r="AF217" s="238">
        <v>8833692.2200000007</v>
      </c>
      <c r="AG217" s="238">
        <v>1743817.23</v>
      </c>
      <c r="AH217" s="239">
        <v>0.19740525100613024</v>
      </c>
      <c r="AI217" s="247">
        <v>175.53473700000001</v>
      </c>
      <c r="AJ217" s="242">
        <v>16.795997</v>
      </c>
      <c r="AK217" s="242">
        <v>1.8497794052863437</v>
      </c>
      <c r="AL217" s="242" t="s">
        <v>678</v>
      </c>
      <c r="AM217" s="242" t="s">
        <v>678</v>
      </c>
      <c r="AN217" s="242">
        <v>23467.61</v>
      </c>
      <c r="AO217" s="238">
        <v>0</v>
      </c>
      <c r="AP217" s="243">
        <v>0</v>
      </c>
      <c r="AQ217" s="238"/>
      <c r="AR217" s="238">
        <v>1334.8562142799531</v>
      </c>
      <c r="AS217" s="238">
        <v>2448.0798613290949</v>
      </c>
      <c r="AT217" s="238">
        <v>644650.66666666663</v>
      </c>
      <c r="AU217" s="238">
        <v>322.45065182275664</v>
      </c>
      <c r="AV217" s="237">
        <v>1</v>
      </c>
      <c r="AW217" s="237">
        <v>1</v>
      </c>
      <c r="AX217" s="237">
        <v>1</v>
      </c>
      <c r="AY217" s="244" t="s">
        <v>717</v>
      </c>
      <c r="AZ217" s="244" t="s">
        <v>682</v>
      </c>
      <c r="BA217" s="237">
        <v>2011</v>
      </c>
      <c r="BB217" s="245" t="s">
        <v>1475</v>
      </c>
      <c r="BC217" s="215" t="s">
        <v>1476</v>
      </c>
      <c r="BE217" s="237">
        <v>403</v>
      </c>
      <c r="BF217" s="237">
        <v>2</v>
      </c>
      <c r="BG217" s="246" t="s">
        <v>676</v>
      </c>
      <c r="BI217" s="239">
        <v>0.4410091047040971</v>
      </c>
      <c r="BJ217" s="239">
        <v>0.17166160849772383</v>
      </c>
      <c r="BK217" s="239">
        <v>0.38031107738998482</v>
      </c>
      <c r="BL217" s="239">
        <v>7.0182094081942337E-3</v>
      </c>
      <c r="BM217" s="247">
        <v>2.0466616084977236</v>
      </c>
      <c r="BN217" s="248">
        <v>0</v>
      </c>
      <c r="BO217" s="248">
        <v>1</v>
      </c>
      <c r="BP217" s="237">
        <v>0</v>
      </c>
      <c r="BQ217" s="237">
        <v>0</v>
      </c>
      <c r="BR217" s="248">
        <v>1</v>
      </c>
      <c r="BU217" s="249" t="s">
        <v>678</v>
      </c>
      <c r="BV217" s="249">
        <v>899</v>
      </c>
      <c r="BW217" s="249">
        <v>4246</v>
      </c>
      <c r="BX217" s="249">
        <v>1591</v>
      </c>
      <c r="BY217" s="249" t="s">
        <v>678</v>
      </c>
      <c r="BZ217" s="249">
        <v>10.125014078161955</v>
      </c>
      <c r="CA217" s="249">
        <v>47.820700529338886</v>
      </c>
      <c r="CB217" s="249">
        <v>17.918684536546909</v>
      </c>
      <c r="CC217" s="250" t="s">
        <v>678</v>
      </c>
      <c r="CD217" s="242">
        <v>-125</v>
      </c>
      <c r="CE217" s="252">
        <v>98.592183804482488</v>
      </c>
      <c r="CF217" s="238">
        <v>4044</v>
      </c>
      <c r="CG217" s="238">
        <v>575.6</v>
      </c>
      <c r="CH217" s="238">
        <v>6.4827120171190451</v>
      </c>
      <c r="CI217" s="216" t="s">
        <v>700</v>
      </c>
      <c r="CJ217" s="237">
        <v>0</v>
      </c>
      <c r="CK217" s="253">
        <v>185.39</v>
      </c>
      <c r="CL217" s="253">
        <v>39.121699999999997</v>
      </c>
      <c r="CM217" s="254">
        <v>4.3085572687224669E-2</v>
      </c>
      <c r="CN217" s="237" t="s">
        <v>86</v>
      </c>
      <c r="CO217" s="242">
        <v>449.99</v>
      </c>
      <c r="CP217" s="255">
        <v>0.49558370044052863</v>
      </c>
      <c r="CV217" s="237">
        <v>4</v>
      </c>
      <c r="CW217" s="194">
        <v>0.97899999999999998</v>
      </c>
      <c r="CX217" s="194">
        <v>0.63500000000000001</v>
      </c>
      <c r="CY217" s="194">
        <v>0.222</v>
      </c>
      <c r="DB217" s="216" t="s">
        <v>710</v>
      </c>
      <c r="DC217" s="195" t="s">
        <v>711</v>
      </c>
      <c r="DD217" s="256">
        <v>0.7</v>
      </c>
      <c r="DE217" s="256">
        <v>-6.5</v>
      </c>
      <c r="DF217" s="256">
        <v>0.7</v>
      </c>
      <c r="DG217" s="256">
        <v>-2.2000000000000002</v>
      </c>
      <c r="DL217" s="237" t="s">
        <v>529</v>
      </c>
      <c r="DM217" s="270" t="s">
        <v>764</v>
      </c>
      <c r="DN217" s="237" t="s">
        <v>713</v>
      </c>
      <c r="DP217" s="258" t="s">
        <v>682</v>
      </c>
      <c r="DQ217" s="258"/>
      <c r="DR217" s="258"/>
      <c r="DS217" s="258"/>
      <c r="DT217" s="258"/>
      <c r="DU217" s="237">
        <v>0</v>
      </c>
      <c r="DX217" s="247"/>
      <c r="DY217" s="247">
        <v>0</v>
      </c>
      <c r="EA217" s="237">
        <v>0</v>
      </c>
      <c r="ED217" s="237" t="s">
        <v>749</v>
      </c>
      <c r="EE217" s="208">
        <v>1</v>
      </c>
      <c r="EF217" s="237" t="s">
        <v>688</v>
      </c>
      <c r="EG217" s="216" t="s">
        <v>715</v>
      </c>
      <c r="EH217" s="246" t="s">
        <v>690</v>
      </c>
      <c r="EI217" s="216"/>
      <c r="EJ217" s="216" t="s">
        <v>529</v>
      </c>
      <c r="EK217" s="222" t="s">
        <v>682</v>
      </c>
      <c r="EL217" s="259">
        <v>2013</v>
      </c>
      <c r="EM217" s="263">
        <v>2500</v>
      </c>
      <c r="EN217" s="260">
        <v>466007</v>
      </c>
      <c r="EO217" s="260">
        <v>192114</v>
      </c>
      <c r="ER217" s="237" t="s">
        <v>705</v>
      </c>
      <c r="ES217" s="237">
        <v>8879</v>
      </c>
      <c r="ET217" s="237">
        <v>76.845600000000005</v>
      </c>
      <c r="EU217" s="661">
        <v>1</v>
      </c>
      <c r="EV217" s="661">
        <v>4</v>
      </c>
      <c r="EW217" s="661">
        <v>4</v>
      </c>
      <c r="EX217" s="661">
        <v>4</v>
      </c>
      <c r="EY217" s="660">
        <v>0.20417400881057268</v>
      </c>
      <c r="EZ217" s="256">
        <v>47.893629645611959</v>
      </c>
      <c r="FA217" s="247">
        <v>0.77519379844961245</v>
      </c>
      <c r="FB217" s="208">
        <v>4</v>
      </c>
      <c r="FC217" s="208">
        <v>6</v>
      </c>
      <c r="FD217" s="208">
        <v>6</v>
      </c>
      <c r="FE217" s="239">
        <v>0.95542635658914732</v>
      </c>
      <c r="FF217" s="208"/>
      <c r="FG217" s="241">
        <v>0</v>
      </c>
      <c r="FH217" s="209">
        <v>0</v>
      </c>
      <c r="FI217" s="237" t="s">
        <v>678</v>
      </c>
      <c r="FJ217" s="208">
        <v>37.200000000000003</v>
      </c>
      <c r="FK217" s="208">
        <v>50.71</v>
      </c>
      <c r="FL217" s="217">
        <v>91</v>
      </c>
      <c r="FM217" s="208">
        <v>4.53</v>
      </c>
      <c r="FN217" s="208">
        <v>41</v>
      </c>
      <c r="FP217" s="247" t="s">
        <v>693</v>
      </c>
      <c r="FU217" s="208">
        <v>29</v>
      </c>
      <c r="FV217" s="208">
        <v>24.5</v>
      </c>
      <c r="FW217" s="237">
        <v>84.35</v>
      </c>
      <c r="FX217" s="237">
        <v>73.599999999999994</v>
      </c>
      <c r="FY217" s="208">
        <v>50.12</v>
      </c>
      <c r="FZ217" s="208">
        <v>62</v>
      </c>
      <c r="GA217" s="208">
        <v>52.13</v>
      </c>
      <c r="GB217" s="208">
        <v>55.9</v>
      </c>
      <c r="GC217" s="208">
        <v>1.43</v>
      </c>
      <c r="GD217" s="208">
        <v>95.7</v>
      </c>
      <c r="GE217" s="237">
        <v>94.18</v>
      </c>
      <c r="GF217" s="237">
        <v>99</v>
      </c>
      <c r="GG217" s="237">
        <v>0.42</v>
      </c>
      <c r="GH217" s="237">
        <v>9.9</v>
      </c>
      <c r="GJ217" s="947">
        <v>280</v>
      </c>
      <c r="GK217" s="320">
        <v>2.4E-2</v>
      </c>
      <c r="GL217" s="320">
        <v>0.29199999999999998</v>
      </c>
      <c r="GM217" s="320">
        <v>5.0999999999999997E-2</v>
      </c>
      <c r="GN217" s="320">
        <v>0.63300000000000001</v>
      </c>
      <c r="GO217" s="662">
        <v>8214</v>
      </c>
      <c r="GP217" s="663" t="str">
        <f>VLOOKUP(GS217,'BD Comarcal'!$A$6:$AV$17,48,FALSE)</f>
        <v>21</v>
      </c>
      <c r="GQ217" s="565">
        <v>75</v>
      </c>
      <c r="GR217" s="256">
        <f t="shared" si="3"/>
        <v>0</v>
      </c>
      <c r="GS217" s="237" t="s">
        <v>86</v>
      </c>
    </row>
    <row r="218" spans="1:201" s="237" customFormat="1" ht="17.25" customHeight="1">
      <c r="A218" s="236" t="s">
        <v>1477</v>
      </c>
      <c r="C218" s="238"/>
      <c r="D218" s="238">
        <v>97</v>
      </c>
      <c r="E218" s="238">
        <v>0</v>
      </c>
      <c r="F218" s="239">
        <v>0</v>
      </c>
      <c r="G218" s="238" t="s">
        <v>752</v>
      </c>
      <c r="H218" s="240">
        <v>0</v>
      </c>
      <c r="I218" s="239" t="s">
        <v>1148</v>
      </c>
      <c r="J218" s="238">
        <v>0</v>
      </c>
      <c r="K218" s="238">
        <v>0</v>
      </c>
      <c r="L218" s="238" t="s">
        <v>678</v>
      </c>
      <c r="M218" s="241" t="s">
        <v>678</v>
      </c>
      <c r="N218" s="238" t="s">
        <v>678</v>
      </c>
      <c r="O218" s="239" t="s">
        <v>678</v>
      </c>
      <c r="P218" s="237" t="s">
        <v>678</v>
      </c>
      <c r="Q218" s="237" t="s">
        <v>678</v>
      </c>
      <c r="R218" s="239" t="s">
        <v>678</v>
      </c>
      <c r="S218" s="238" t="s">
        <v>678</v>
      </c>
      <c r="T218" s="436">
        <v>0</v>
      </c>
      <c r="U218" s="436">
        <v>0</v>
      </c>
      <c r="V218" s="436">
        <v>0</v>
      </c>
      <c r="W218" s="436">
        <v>0</v>
      </c>
      <c r="X218" s="238">
        <v>3462</v>
      </c>
      <c r="Y218" s="237">
        <v>0.18690000000000001</v>
      </c>
      <c r="Z218" s="238">
        <v>60563</v>
      </c>
      <c r="AA218" s="238">
        <v>17662</v>
      </c>
      <c r="AB218" s="238">
        <v>107.92</v>
      </c>
      <c r="AC218" s="238">
        <v>650</v>
      </c>
      <c r="AD218" s="238">
        <v>4214260.88</v>
      </c>
      <c r="AE218" s="238">
        <v>181041.8900000006</v>
      </c>
      <c r="AF218" s="238">
        <v>10683431.199999999</v>
      </c>
      <c r="AG218" s="238">
        <v>161251.9</v>
      </c>
      <c r="AH218" s="239">
        <v>1.509364332313012E-2</v>
      </c>
      <c r="AI218" s="247">
        <v>68.501682000000002</v>
      </c>
      <c r="AJ218" s="242">
        <v>20.610206000000002</v>
      </c>
      <c r="AK218" s="242">
        <v>21.247635051546396</v>
      </c>
      <c r="AL218" s="242" t="s">
        <v>678</v>
      </c>
      <c r="AM218" s="242" t="s">
        <v>678</v>
      </c>
      <c r="AN218" s="242">
        <v>5335.28</v>
      </c>
      <c r="AO218" s="238">
        <v>0</v>
      </c>
      <c r="AP218" s="243">
        <v>0</v>
      </c>
      <c r="AQ218" s="238"/>
      <c r="AR218" s="238">
        <v>1167.9891043330379</v>
      </c>
      <c r="AS218" s="238">
        <v>3031.4171583753014</v>
      </c>
      <c r="AT218" s="238">
        <v>160260</v>
      </c>
      <c r="AU218" s="238">
        <v>229.67932520751157</v>
      </c>
      <c r="AV218" s="237">
        <v>0</v>
      </c>
      <c r="AW218" s="237">
        <v>0</v>
      </c>
      <c r="AX218" s="237">
        <v>0</v>
      </c>
      <c r="AY218" s="244" t="s">
        <v>695</v>
      </c>
      <c r="AZ218" s="244" t="s">
        <v>695</v>
      </c>
      <c r="BA218" s="237">
        <v>2011</v>
      </c>
      <c r="BB218" s="245" t="s">
        <v>1188</v>
      </c>
      <c r="BC218" s="215" t="s">
        <v>1189</v>
      </c>
      <c r="BE218" s="237">
        <v>0</v>
      </c>
      <c r="BF218" s="237">
        <v>83</v>
      </c>
      <c r="BG218" s="246" t="s">
        <v>698</v>
      </c>
      <c r="BI218" s="239">
        <v>0.51075050709939152</v>
      </c>
      <c r="BJ218" s="239">
        <v>8.1135902636916835E-2</v>
      </c>
      <c r="BK218" s="239">
        <v>0.36470588235294116</v>
      </c>
      <c r="BL218" s="239">
        <v>4.3407707910750506E-2</v>
      </c>
      <c r="BM218" s="247">
        <v>2.0592292089249491</v>
      </c>
      <c r="BN218" s="248">
        <v>0</v>
      </c>
      <c r="BO218" s="248">
        <v>1</v>
      </c>
      <c r="BP218" s="237">
        <v>0</v>
      </c>
      <c r="BQ218" s="237">
        <v>0</v>
      </c>
      <c r="BR218" s="248">
        <v>1</v>
      </c>
      <c r="BS218" s="237">
        <v>13</v>
      </c>
      <c r="BT218" s="237" t="s">
        <v>815</v>
      </c>
      <c r="BU218" s="249">
        <v>371</v>
      </c>
      <c r="BV218" s="249">
        <v>483</v>
      </c>
      <c r="BW218" s="249">
        <v>1803</v>
      </c>
      <c r="BX218" s="249" t="s">
        <v>678</v>
      </c>
      <c r="BY218" s="249">
        <v>10.536779324055667</v>
      </c>
      <c r="BZ218" s="249">
        <v>13.717693836978132</v>
      </c>
      <c r="CA218" s="249">
        <v>51.207043453564332</v>
      </c>
      <c r="CB218" s="249" t="s">
        <v>678</v>
      </c>
      <c r="CC218" s="250">
        <v>110.2527690996876</v>
      </c>
      <c r="CD218" s="242" t="s">
        <v>678</v>
      </c>
      <c r="CE218" s="252" t="s">
        <v>678</v>
      </c>
      <c r="CF218" s="238">
        <v>1607</v>
      </c>
      <c r="CG218" s="238">
        <v>225.5</v>
      </c>
      <c r="CH218" s="238">
        <v>6.4044305595001418</v>
      </c>
      <c r="CI218" s="216" t="s">
        <v>722</v>
      </c>
      <c r="CJ218" s="237">
        <v>1</v>
      </c>
      <c r="CK218" s="253">
        <v>63.24</v>
      </c>
      <c r="CL218" s="253">
        <v>17.2605</v>
      </c>
      <c r="CM218" s="254">
        <v>0.17794329896907216</v>
      </c>
      <c r="CN218" s="237" t="s">
        <v>88</v>
      </c>
      <c r="CO218" s="242"/>
      <c r="CP218" s="255">
        <v>0</v>
      </c>
      <c r="CV218" s="237">
        <v>1</v>
      </c>
      <c r="CW218" s="261" t="s">
        <v>678</v>
      </c>
      <c r="CX218" s="261" t="s">
        <v>678</v>
      </c>
      <c r="CY218" s="261" t="s">
        <v>678</v>
      </c>
      <c r="DB218" s="216" t="s">
        <v>681</v>
      </c>
      <c r="DC218" s="256"/>
      <c r="DD218" s="256">
        <v>0.8</v>
      </c>
      <c r="DE218" s="256">
        <v>-10</v>
      </c>
      <c r="DF218" s="256">
        <v>0.5</v>
      </c>
      <c r="DG218" s="256">
        <v>-2.2999999999999998</v>
      </c>
      <c r="DL218" s="237" t="s">
        <v>529</v>
      </c>
      <c r="DM218" s="270" t="s">
        <v>1478</v>
      </c>
      <c r="DN218" s="237" t="s">
        <v>713</v>
      </c>
      <c r="DP218" s="258" t="s">
        <v>682</v>
      </c>
      <c r="DQ218" s="258"/>
      <c r="DR218" s="258"/>
      <c r="DS218" s="258"/>
      <c r="DT218" s="258"/>
      <c r="DU218" s="237">
        <v>0</v>
      </c>
      <c r="DX218" s="247"/>
      <c r="DY218" s="247">
        <v>0</v>
      </c>
      <c r="EA218" s="237">
        <v>0</v>
      </c>
      <c r="ED218" s="237" t="s">
        <v>678</v>
      </c>
      <c r="EE218" s="208">
        <v>7</v>
      </c>
      <c r="EF218" s="237" t="s">
        <v>678</v>
      </c>
      <c r="EG218" s="216" t="s">
        <v>703</v>
      </c>
      <c r="EH218" s="246" t="s">
        <v>704</v>
      </c>
      <c r="EI218" s="216"/>
      <c r="EJ218" s="216" t="s">
        <v>529</v>
      </c>
      <c r="EK218" s="222" t="s">
        <v>682</v>
      </c>
      <c r="EL218" s="259">
        <v>2001</v>
      </c>
      <c r="EM218" s="263">
        <v>1150</v>
      </c>
      <c r="EN218" s="260">
        <v>128696</v>
      </c>
      <c r="EO218" s="260">
        <v>36528</v>
      </c>
      <c r="ER218" s="237" t="s">
        <v>705</v>
      </c>
      <c r="ES218" s="237">
        <v>3521</v>
      </c>
      <c r="ET218" s="237">
        <v>31.763478260869565</v>
      </c>
      <c r="EU218" s="661">
        <v>10</v>
      </c>
      <c r="EV218" s="661">
        <v>1</v>
      </c>
      <c r="EW218" s="661" t="s">
        <v>678</v>
      </c>
      <c r="EX218" s="661">
        <v>5</v>
      </c>
      <c r="EY218" s="660">
        <v>0.65195876288659793</v>
      </c>
      <c r="EZ218" s="256">
        <v>55.676786843769762</v>
      </c>
      <c r="FA218" s="247" t="s">
        <v>678</v>
      </c>
      <c r="FB218" s="208" t="s">
        <v>678</v>
      </c>
      <c r="FC218" s="208" t="s">
        <v>678</v>
      </c>
      <c r="FD218" s="208">
        <v>7</v>
      </c>
      <c r="FE218" s="239" t="s">
        <v>678</v>
      </c>
      <c r="FF218" s="208"/>
      <c r="FG218" s="241" t="s">
        <v>678</v>
      </c>
      <c r="FH218" s="209" t="s">
        <v>678</v>
      </c>
      <c r="FI218" s="237" t="s">
        <v>678</v>
      </c>
      <c r="FJ218" s="208" t="s">
        <v>678</v>
      </c>
      <c r="FK218" s="208" t="s">
        <v>678</v>
      </c>
      <c r="FL218" s="217" t="s">
        <v>678</v>
      </c>
      <c r="FM218" s="208" t="s">
        <v>678</v>
      </c>
      <c r="FN218" s="208" t="s">
        <v>678</v>
      </c>
      <c r="FP218" s="247" t="s">
        <v>693</v>
      </c>
      <c r="FU218" s="208" t="s">
        <v>678</v>
      </c>
      <c r="FV218" s="208" t="s">
        <v>678</v>
      </c>
      <c r="FW218" s="237" t="s">
        <v>678</v>
      </c>
      <c r="FX218" s="237" t="s">
        <v>678</v>
      </c>
      <c r="FY218" s="208" t="s">
        <v>678</v>
      </c>
      <c r="FZ218" s="208" t="s">
        <v>678</v>
      </c>
      <c r="GA218" s="208" t="s">
        <v>678</v>
      </c>
      <c r="GB218" s="208" t="s">
        <v>678</v>
      </c>
      <c r="GC218" s="208" t="s">
        <v>678</v>
      </c>
      <c r="GD218" s="208" t="s">
        <v>678</v>
      </c>
      <c r="GE218" s="237" t="s">
        <v>678</v>
      </c>
      <c r="GF218" s="237" t="s">
        <v>678</v>
      </c>
      <c r="GG218" s="237" t="s">
        <v>678</v>
      </c>
      <c r="GH218" s="237" t="s">
        <v>678</v>
      </c>
      <c r="GJ218" s="947"/>
      <c r="GK218" s="320"/>
      <c r="GL218" s="320"/>
      <c r="GM218" s="320"/>
      <c r="GN218" s="320"/>
      <c r="GO218" s="662">
        <v>8215</v>
      </c>
      <c r="GP218" s="663" t="str">
        <f>VLOOKUP(GS218,'BD Comarcal'!$A$6:$AV$17,48,FALSE)</f>
        <v>24</v>
      </c>
      <c r="GQ218" s="564">
        <v>34</v>
      </c>
      <c r="GR218" s="256">
        <f t="shared" si="3"/>
        <v>0</v>
      </c>
      <c r="GS218" s="237" t="s">
        <v>88</v>
      </c>
    </row>
    <row r="219" spans="1:201" s="237" customFormat="1" ht="17.25" customHeight="1">
      <c r="A219" s="236" t="s">
        <v>1479</v>
      </c>
      <c r="C219" s="238"/>
      <c r="D219" s="238">
        <v>2115</v>
      </c>
      <c r="E219" s="238">
        <v>1928</v>
      </c>
      <c r="F219" s="239">
        <v>0.91158392434988178</v>
      </c>
      <c r="G219" s="238">
        <v>1741</v>
      </c>
      <c r="H219" s="240">
        <v>2101.0033567714504</v>
      </c>
      <c r="I219" s="239">
        <v>1</v>
      </c>
      <c r="J219" s="238">
        <v>66</v>
      </c>
      <c r="K219" s="238">
        <v>171</v>
      </c>
      <c r="L219" s="238">
        <v>0</v>
      </c>
      <c r="M219" s="241">
        <v>0</v>
      </c>
      <c r="N219" s="238">
        <v>0</v>
      </c>
      <c r="O219" s="239">
        <v>0</v>
      </c>
      <c r="P219" s="237">
        <v>4</v>
      </c>
      <c r="Q219" s="237">
        <v>0</v>
      </c>
      <c r="R219" s="239">
        <v>0</v>
      </c>
      <c r="S219" s="238">
        <v>499</v>
      </c>
      <c r="T219" s="436">
        <v>0</v>
      </c>
      <c r="U219" s="436">
        <v>9</v>
      </c>
      <c r="V219" s="436">
        <v>8</v>
      </c>
      <c r="W219" s="436">
        <v>17</v>
      </c>
      <c r="X219" s="238">
        <v>27</v>
      </c>
      <c r="Y219" s="237">
        <v>0.29170000000000001</v>
      </c>
      <c r="Z219" s="238">
        <v>466</v>
      </c>
      <c r="AA219" s="238">
        <v>17928</v>
      </c>
      <c r="AB219" s="238">
        <v>109.54</v>
      </c>
      <c r="AC219" s="238">
        <v>0</v>
      </c>
      <c r="AD219" s="238">
        <v>177190</v>
      </c>
      <c r="AE219" s="238">
        <v>0</v>
      </c>
      <c r="AF219" s="238">
        <v>3600379.9599999995</v>
      </c>
      <c r="AG219" s="238">
        <v>0</v>
      </c>
      <c r="AH219" s="239">
        <v>0</v>
      </c>
      <c r="AI219" s="247">
        <v>2.1055769999999998</v>
      </c>
      <c r="AJ219" s="242">
        <v>0.55981499999999995</v>
      </c>
      <c r="AK219" s="242">
        <v>2.6468794326241132E-2</v>
      </c>
      <c r="AL219" s="242" t="s">
        <v>678</v>
      </c>
      <c r="AM219" s="242" t="s">
        <v>678</v>
      </c>
      <c r="AN219" s="242">
        <v>18753.36</v>
      </c>
      <c r="AO219" s="238">
        <v>0</v>
      </c>
      <c r="AP219" s="243">
        <v>0</v>
      </c>
      <c r="AQ219" s="238"/>
      <c r="AR219" s="238">
        <v>2912.3631291547958</v>
      </c>
      <c r="AS219" s="238">
        <v>1207.075224565664</v>
      </c>
      <c r="AT219" s="238">
        <v>1910.6666666666667</v>
      </c>
      <c r="AU219" s="238">
        <v>320.8846030508081</v>
      </c>
      <c r="AV219" s="237">
        <v>1</v>
      </c>
      <c r="AW219" s="237">
        <v>0</v>
      </c>
      <c r="AX219" s="237">
        <v>1</v>
      </c>
      <c r="AY219" s="244" t="s">
        <v>726</v>
      </c>
      <c r="AZ219" s="244" t="s">
        <v>695</v>
      </c>
      <c r="BA219" s="237">
        <v>0</v>
      </c>
      <c r="BB219" s="245" t="s">
        <v>833</v>
      </c>
      <c r="BC219" s="215" t="s">
        <v>834</v>
      </c>
      <c r="BE219" s="237">
        <v>0</v>
      </c>
      <c r="BF219" s="237">
        <v>0</v>
      </c>
      <c r="BG219" s="246" t="s">
        <v>720</v>
      </c>
      <c r="BI219" s="239">
        <v>0.75</v>
      </c>
      <c r="BJ219" s="239">
        <v>0</v>
      </c>
      <c r="BK219" s="239">
        <v>0.25</v>
      </c>
      <c r="BL219" s="239">
        <v>0</v>
      </c>
      <c r="BM219" s="247">
        <v>2.5</v>
      </c>
      <c r="BN219" s="248">
        <v>0</v>
      </c>
      <c r="BO219" s="248">
        <v>0</v>
      </c>
      <c r="BP219" s="237">
        <v>0</v>
      </c>
      <c r="BQ219" s="237">
        <v>0</v>
      </c>
      <c r="BR219" s="248">
        <v>0</v>
      </c>
      <c r="BS219" s="237">
        <v>29.6</v>
      </c>
      <c r="BT219" s="237" t="s">
        <v>777</v>
      </c>
      <c r="BU219" s="249" t="s">
        <v>678</v>
      </c>
      <c r="BV219" s="249" t="s">
        <v>678</v>
      </c>
      <c r="BW219" s="249" t="s">
        <v>678</v>
      </c>
      <c r="BX219" s="249" t="s">
        <v>678</v>
      </c>
      <c r="BY219" s="249" t="s">
        <v>678</v>
      </c>
      <c r="BZ219" s="249" t="s">
        <v>678</v>
      </c>
      <c r="CA219" s="249" t="s">
        <v>678</v>
      </c>
      <c r="CB219" s="249" t="s">
        <v>678</v>
      </c>
      <c r="CC219" s="250" t="s">
        <v>678</v>
      </c>
      <c r="CD219" s="242" t="s">
        <v>678</v>
      </c>
      <c r="CE219" s="252" t="s">
        <v>678</v>
      </c>
      <c r="CF219" s="238">
        <v>41</v>
      </c>
      <c r="CG219" s="238">
        <v>0</v>
      </c>
      <c r="CH219" s="238">
        <v>0</v>
      </c>
      <c r="CI219" s="216" t="s">
        <v>700</v>
      </c>
      <c r="CJ219" s="237">
        <v>0</v>
      </c>
      <c r="CK219" s="253">
        <v>2.0499999999999998</v>
      </c>
      <c r="CL219" s="253">
        <v>0</v>
      </c>
      <c r="CM219" s="254">
        <v>0</v>
      </c>
      <c r="CN219" s="237" t="s">
        <v>84</v>
      </c>
      <c r="CO219" s="242">
        <v>238.3</v>
      </c>
      <c r="CP219" s="255">
        <v>0.11267139479905437</v>
      </c>
      <c r="CW219" s="261" t="s">
        <v>678</v>
      </c>
      <c r="CX219" s="261" t="s">
        <v>678</v>
      </c>
      <c r="CY219" s="261" t="s">
        <v>678</v>
      </c>
      <c r="DB219" s="216" t="s">
        <v>681</v>
      </c>
      <c r="DC219" s="256"/>
      <c r="DD219" s="256">
        <v>0.8</v>
      </c>
      <c r="DE219" s="256">
        <v>-9</v>
      </c>
      <c r="DF219" s="256">
        <v>-0.3</v>
      </c>
      <c r="DG219" s="256">
        <v>-2.6</v>
      </c>
      <c r="DH219" s="257">
        <v>1</v>
      </c>
      <c r="DI219" s="257">
        <v>1</v>
      </c>
      <c r="DJ219" s="257">
        <v>0</v>
      </c>
      <c r="DK219" s="257">
        <v>1</v>
      </c>
      <c r="DL219" s="237" t="s">
        <v>682</v>
      </c>
      <c r="DP219" s="258" t="s">
        <v>682</v>
      </c>
      <c r="DQ219" s="258"/>
      <c r="DR219" s="258"/>
      <c r="DS219" s="258"/>
      <c r="DT219" s="258"/>
      <c r="DU219" s="237">
        <v>0</v>
      </c>
      <c r="DX219" s="247"/>
      <c r="DY219" s="247">
        <v>0</v>
      </c>
      <c r="EA219" s="237">
        <v>0</v>
      </c>
      <c r="ED219" s="237" t="s">
        <v>723</v>
      </c>
      <c r="EE219" s="208">
        <v>2</v>
      </c>
      <c r="EF219" s="237" t="s">
        <v>702</v>
      </c>
      <c r="EG219" s="216" t="s">
        <v>703</v>
      </c>
      <c r="EH219" s="246" t="s">
        <v>704</v>
      </c>
      <c r="EI219" s="216"/>
      <c r="EJ219" s="216" t="s">
        <v>529</v>
      </c>
      <c r="EK219" s="222" t="s">
        <v>682</v>
      </c>
      <c r="EL219" s="259">
        <v>2008</v>
      </c>
      <c r="EM219" s="263">
        <v>1100</v>
      </c>
      <c r="EN219" s="260">
        <v>1189</v>
      </c>
      <c r="EO219" s="260">
        <v>761</v>
      </c>
      <c r="EP219" s="237">
        <v>1</v>
      </c>
      <c r="EQ219" s="237">
        <v>96</v>
      </c>
      <c r="ER219" s="237" t="s">
        <v>692</v>
      </c>
      <c r="ES219" s="237" t="e">
        <v>#DIV/0!</v>
      </c>
      <c r="ET219" s="237">
        <v>0.69181818181818178</v>
      </c>
      <c r="EU219" s="661">
        <v>8</v>
      </c>
      <c r="EV219" s="661" t="s">
        <v>678</v>
      </c>
      <c r="EW219" s="661">
        <v>0</v>
      </c>
      <c r="EX219" s="661">
        <v>3</v>
      </c>
      <c r="EY219" s="660">
        <v>9.6926713947990538E-4</v>
      </c>
      <c r="EZ219" s="256">
        <v>12.195121951219512</v>
      </c>
      <c r="FA219" s="247">
        <v>0</v>
      </c>
      <c r="FB219" s="208">
        <v>1</v>
      </c>
      <c r="FC219" s="208">
        <v>3</v>
      </c>
      <c r="FD219" s="208">
        <v>3</v>
      </c>
      <c r="FE219" s="239">
        <v>0.90300829875518673</v>
      </c>
      <c r="FF219" s="208">
        <v>1</v>
      </c>
      <c r="FG219" s="241">
        <v>5.1867219917012448E-4</v>
      </c>
      <c r="FH219" s="209">
        <v>0</v>
      </c>
      <c r="FI219" s="237" t="s">
        <v>678</v>
      </c>
      <c r="FJ219" s="208">
        <v>42.9</v>
      </c>
      <c r="FK219" s="208">
        <v>8.1300000000000008</v>
      </c>
      <c r="FL219" s="217">
        <v>43.6</v>
      </c>
      <c r="FM219" s="208">
        <v>24.73</v>
      </c>
      <c r="FN219" s="208" t="s">
        <v>1480</v>
      </c>
      <c r="FP219" s="247" t="s">
        <v>693</v>
      </c>
      <c r="FU219" s="208">
        <v>24</v>
      </c>
      <c r="FV219" s="208">
        <v>12.8</v>
      </c>
      <c r="FW219" s="237">
        <v>84.13</v>
      </c>
      <c r="FX219" s="237">
        <v>73.400000000000006</v>
      </c>
      <c r="FY219" s="208">
        <v>100.85</v>
      </c>
      <c r="FZ219" s="208">
        <v>88.9</v>
      </c>
      <c r="GA219" s="208">
        <v>83.54</v>
      </c>
      <c r="GB219" s="208">
        <v>95.8</v>
      </c>
      <c r="GC219" s="208">
        <v>0</v>
      </c>
      <c r="GD219" s="208">
        <v>11.5</v>
      </c>
      <c r="GE219" s="237">
        <v>19.260000000000002</v>
      </c>
      <c r="GF219" s="237">
        <v>15</v>
      </c>
      <c r="GG219" s="237">
        <v>3.52</v>
      </c>
      <c r="GH219" s="237">
        <v>32.299999999999997</v>
      </c>
      <c r="GJ219" s="947"/>
      <c r="GK219" s="320"/>
      <c r="GL219" s="320"/>
      <c r="GM219" s="320"/>
      <c r="GN219" s="320"/>
      <c r="GO219" s="662">
        <v>8216</v>
      </c>
      <c r="GP219" s="663" t="str">
        <f>VLOOKUP(GS219,'BD Comarcal'!$A$6:$AV$17,48,FALSE)</f>
        <v>14</v>
      </c>
      <c r="GQ219" s="564">
        <v>0</v>
      </c>
      <c r="GR219" s="256">
        <f t="shared" si="3"/>
        <v>1</v>
      </c>
      <c r="GS219" s="237" t="s">
        <v>84</v>
      </c>
    </row>
    <row r="220" spans="1:201" s="237" customFormat="1" ht="17.25" customHeight="1">
      <c r="A220" s="236" t="s">
        <v>1481</v>
      </c>
      <c r="C220" s="238"/>
      <c r="D220" s="238">
        <v>563</v>
      </c>
      <c r="E220" s="238">
        <v>62</v>
      </c>
      <c r="F220" s="239">
        <v>0.11012433392539965</v>
      </c>
      <c r="G220" s="238">
        <v>0</v>
      </c>
      <c r="H220" s="240">
        <v>0</v>
      </c>
      <c r="I220" s="239">
        <v>0</v>
      </c>
      <c r="J220" s="238">
        <v>45</v>
      </c>
      <c r="K220" s="238">
        <v>0</v>
      </c>
      <c r="L220" s="238">
        <v>41</v>
      </c>
      <c r="M220" s="241">
        <v>7.2824156305506219E-2</v>
      </c>
      <c r="N220" s="238">
        <v>4</v>
      </c>
      <c r="O220" s="239">
        <v>8.8888888888888892E-2</v>
      </c>
      <c r="P220" s="237">
        <v>0</v>
      </c>
      <c r="Q220" s="237">
        <v>0</v>
      </c>
      <c r="R220" s="239">
        <v>0</v>
      </c>
      <c r="S220" s="238">
        <v>0</v>
      </c>
      <c r="T220" s="436">
        <v>0</v>
      </c>
      <c r="U220" s="436">
        <v>0</v>
      </c>
      <c r="V220" s="436">
        <v>785</v>
      </c>
      <c r="W220" s="436">
        <v>785</v>
      </c>
      <c r="X220" s="238">
        <v>33502</v>
      </c>
      <c r="Y220" s="237">
        <v>0.1565</v>
      </c>
      <c r="Z220" s="238">
        <v>520208</v>
      </c>
      <c r="AA220" s="238">
        <v>15639</v>
      </c>
      <c r="AB220" s="238">
        <v>95.55</v>
      </c>
      <c r="AC220" s="238">
        <v>8732</v>
      </c>
      <c r="AD220" s="238">
        <v>39090082.109999999</v>
      </c>
      <c r="AE220" s="238">
        <v>6310073.909999989</v>
      </c>
      <c r="AF220" s="238">
        <v>35417181.780000001</v>
      </c>
      <c r="AG220" s="238">
        <v>1597598.46</v>
      </c>
      <c r="AH220" s="239">
        <v>4.5108006332174065E-2</v>
      </c>
      <c r="AI220" s="247">
        <v>314.72797400000002</v>
      </c>
      <c r="AJ220" s="242">
        <v>58.044037000000003</v>
      </c>
      <c r="AK220" s="242">
        <v>10.309775666074602</v>
      </c>
      <c r="AL220" s="242" t="s">
        <v>678</v>
      </c>
      <c r="AM220" s="242" t="s">
        <v>678</v>
      </c>
      <c r="AN220" s="242">
        <v>54355.6</v>
      </c>
      <c r="AO220" s="238">
        <v>3287.22</v>
      </c>
      <c r="AP220" s="243">
        <v>18</v>
      </c>
      <c r="AQ220" s="238"/>
      <c r="AR220" s="238">
        <v>1130.6952574779705</v>
      </c>
      <c r="AS220" s="238">
        <v>1473.0538917020287</v>
      </c>
      <c r="AT220" s="238">
        <v>1872377</v>
      </c>
      <c r="AU220" s="238">
        <v>232.86676888189561</v>
      </c>
      <c r="AV220" s="237">
        <v>0</v>
      </c>
      <c r="AW220" s="237">
        <v>0</v>
      </c>
      <c r="AX220" s="237">
        <v>0</v>
      </c>
      <c r="AY220" s="244" t="s">
        <v>695</v>
      </c>
      <c r="AZ220" s="244" t="s">
        <v>673</v>
      </c>
      <c r="BA220" s="237">
        <v>2010</v>
      </c>
      <c r="BB220" s="245" t="s">
        <v>678</v>
      </c>
      <c r="BC220" s="215" t="s">
        <v>678</v>
      </c>
      <c r="BE220" s="237">
        <v>246</v>
      </c>
      <c r="BF220" s="237">
        <v>2</v>
      </c>
      <c r="BG220" s="246" t="s">
        <v>676</v>
      </c>
      <c r="BI220" s="239">
        <v>0.40864253393665156</v>
      </c>
      <c r="BJ220" s="239">
        <v>7.5610859728506785E-2</v>
      </c>
      <c r="BK220" s="239">
        <v>0.46438914027149319</v>
      </c>
      <c r="BL220" s="239">
        <v>5.1357466063348414E-2</v>
      </c>
      <c r="BM220" s="247">
        <v>1.8415384615384616</v>
      </c>
      <c r="BN220" s="248">
        <v>0</v>
      </c>
      <c r="BO220" s="248">
        <v>2</v>
      </c>
      <c r="BP220" s="237">
        <v>1</v>
      </c>
      <c r="BQ220" s="237">
        <v>1</v>
      </c>
      <c r="BR220" s="248">
        <v>4</v>
      </c>
      <c r="BS220" s="237">
        <v>3</v>
      </c>
      <c r="BT220" s="237" t="s">
        <v>1028</v>
      </c>
      <c r="BU220" s="249">
        <v>3035</v>
      </c>
      <c r="BV220" s="249">
        <v>2799</v>
      </c>
      <c r="BW220" s="249">
        <v>15368</v>
      </c>
      <c r="BX220" s="249">
        <v>5190</v>
      </c>
      <c r="BY220" s="249">
        <v>9.2496647567962942</v>
      </c>
      <c r="BZ220" s="249">
        <v>8.5304157015725952</v>
      </c>
      <c r="CA220" s="249">
        <v>46.836523223211017</v>
      </c>
      <c r="CB220" s="249">
        <v>15.817383883944899</v>
      </c>
      <c r="CC220" s="250">
        <v>91.646348896745096</v>
      </c>
      <c r="CD220" s="242">
        <v>-1385</v>
      </c>
      <c r="CE220" s="252">
        <v>95.778983298793122</v>
      </c>
      <c r="CF220" s="238">
        <v>13518</v>
      </c>
      <c r="CG220" s="238">
        <v>2249.1999999999998</v>
      </c>
      <c r="CH220" s="238">
        <v>6.8548092161404357</v>
      </c>
      <c r="CI220" s="216" t="s">
        <v>679</v>
      </c>
      <c r="CJ220" s="237">
        <v>0</v>
      </c>
      <c r="CK220" s="253">
        <v>212</v>
      </c>
      <c r="CL220" s="253">
        <v>175.85759999999999</v>
      </c>
      <c r="CM220" s="254">
        <v>0.31235808170515095</v>
      </c>
      <c r="CN220" s="237" t="s">
        <v>90</v>
      </c>
      <c r="CO220" s="242"/>
      <c r="CP220" s="255">
        <v>0</v>
      </c>
      <c r="CV220" s="237">
        <v>12</v>
      </c>
      <c r="CW220" s="194">
        <v>1.867</v>
      </c>
      <c r="CX220" s="194" t="s">
        <v>680</v>
      </c>
      <c r="CY220" s="194">
        <v>2.5019999999999998</v>
      </c>
      <c r="DB220" s="216" t="s">
        <v>804</v>
      </c>
      <c r="DC220" s="195" t="s">
        <v>977</v>
      </c>
      <c r="DD220" s="256">
        <v>0.7</v>
      </c>
      <c r="DE220" s="256">
        <v>-6.5</v>
      </c>
      <c r="DF220" s="256">
        <v>0.7</v>
      </c>
      <c r="DG220" s="256">
        <v>-2.2000000000000002</v>
      </c>
      <c r="DL220" s="237" t="s">
        <v>682</v>
      </c>
      <c r="DO220" s="237">
        <v>1</v>
      </c>
      <c r="DP220" s="258" t="s">
        <v>682</v>
      </c>
      <c r="DQ220" s="258"/>
      <c r="DR220" s="258"/>
      <c r="DS220" s="258"/>
      <c r="DT220" s="258"/>
      <c r="DU220" s="237">
        <v>0</v>
      </c>
      <c r="DX220" s="247"/>
      <c r="DY220" s="247">
        <v>0</v>
      </c>
      <c r="EA220" s="237">
        <v>1</v>
      </c>
      <c r="EB220" s="237" t="s">
        <v>823</v>
      </c>
      <c r="ED220" s="237" t="s">
        <v>678</v>
      </c>
      <c r="EE220" s="208">
        <v>4</v>
      </c>
      <c r="EF220" s="237" t="s">
        <v>678</v>
      </c>
      <c r="EG220" s="216" t="s">
        <v>689</v>
      </c>
      <c r="EH220" s="246" t="s">
        <v>690</v>
      </c>
      <c r="EI220" s="216"/>
      <c r="EJ220" s="216" t="s">
        <v>806</v>
      </c>
      <c r="EK220" s="222" t="s">
        <v>682</v>
      </c>
      <c r="EL220" s="259">
        <v>1976</v>
      </c>
      <c r="EM220" s="263">
        <v>278325</v>
      </c>
      <c r="EN220" s="260">
        <v>1235905</v>
      </c>
      <c r="EO220" s="260">
        <v>718733</v>
      </c>
      <c r="ER220" s="237" t="s">
        <v>705</v>
      </c>
      <c r="ES220" s="237">
        <v>8203</v>
      </c>
      <c r="ET220" s="237">
        <v>2.5823515674121982</v>
      </c>
      <c r="EU220" s="661">
        <v>3</v>
      </c>
      <c r="EV220" s="661">
        <v>9</v>
      </c>
      <c r="EW220" s="661">
        <v>7</v>
      </c>
      <c r="EX220" s="661">
        <v>8</v>
      </c>
      <c r="EY220" s="660">
        <v>0.37655417406749558</v>
      </c>
      <c r="EZ220" s="256">
        <v>154.77358490566039</v>
      </c>
      <c r="FA220" s="247">
        <v>19.35483870967742</v>
      </c>
      <c r="FB220" s="208">
        <v>7</v>
      </c>
      <c r="FC220" s="208">
        <v>4</v>
      </c>
      <c r="FD220" s="208">
        <v>5</v>
      </c>
      <c r="FE220" s="239">
        <v>0</v>
      </c>
      <c r="FF220" s="208"/>
      <c r="FG220" s="241">
        <v>0</v>
      </c>
      <c r="FH220" s="209">
        <v>0</v>
      </c>
      <c r="FI220" s="237" t="s">
        <v>678</v>
      </c>
      <c r="FJ220" s="208" t="s">
        <v>678</v>
      </c>
      <c r="FK220" s="208" t="s">
        <v>678</v>
      </c>
      <c r="FL220" s="217" t="s">
        <v>678</v>
      </c>
      <c r="FM220" s="208" t="s">
        <v>678</v>
      </c>
      <c r="FN220" s="208" t="s">
        <v>678</v>
      </c>
      <c r="FP220" s="247" t="s">
        <v>693</v>
      </c>
      <c r="FU220" s="208" t="s">
        <v>678</v>
      </c>
      <c r="FV220" s="208" t="s">
        <v>678</v>
      </c>
      <c r="FW220" s="237" t="s">
        <v>678</v>
      </c>
      <c r="FX220" s="237" t="s">
        <v>678</v>
      </c>
      <c r="FY220" s="208" t="s">
        <v>678</v>
      </c>
      <c r="FZ220" s="208" t="s">
        <v>678</v>
      </c>
      <c r="GA220" s="208" t="s">
        <v>678</v>
      </c>
      <c r="GB220" s="208" t="s">
        <v>678</v>
      </c>
      <c r="GC220" s="208" t="s">
        <v>678</v>
      </c>
      <c r="GD220" s="208" t="s">
        <v>678</v>
      </c>
      <c r="GE220" s="237" t="s">
        <v>678</v>
      </c>
      <c r="GF220" s="237" t="s">
        <v>678</v>
      </c>
      <c r="GG220" s="237" t="s">
        <v>678</v>
      </c>
      <c r="GH220" s="237" t="s">
        <v>678</v>
      </c>
      <c r="GJ220" s="947">
        <v>1180</v>
      </c>
      <c r="GK220" s="320">
        <v>0</v>
      </c>
      <c r="GL220" s="320">
        <v>0.218</v>
      </c>
      <c r="GM220" s="320">
        <v>2.9000000000000001E-2</v>
      </c>
      <c r="GN220" s="320">
        <v>0.753</v>
      </c>
      <c r="GO220" s="662">
        <v>8217</v>
      </c>
      <c r="GP220" s="663" t="str">
        <f>VLOOKUP(GS220,'BD Comarcal'!$A$6:$AV$17,48,FALSE)</f>
        <v>11</v>
      </c>
      <c r="GQ220" s="564">
        <v>178</v>
      </c>
      <c r="GR220" s="256">
        <f t="shared" si="3"/>
        <v>0</v>
      </c>
      <c r="GS220" s="237" t="s">
        <v>90</v>
      </c>
    </row>
    <row r="221" spans="1:201" s="237" customFormat="1" ht="17.25" customHeight="1">
      <c r="A221" s="236" t="s">
        <v>1482</v>
      </c>
      <c r="C221" s="238"/>
      <c r="D221" s="238">
        <v>1625</v>
      </c>
      <c r="E221" s="238">
        <v>565</v>
      </c>
      <c r="F221" s="239">
        <v>0.34769230769230769</v>
      </c>
      <c r="G221" s="238">
        <v>391</v>
      </c>
      <c r="H221" s="240">
        <v>320.37160219553607</v>
      </c>
      <c r="I221" s="239">
        <v>0.567029384416878</v>
      </c>
      <c r="J221" s="238">
        <v>763</v>
      </c>
      <c r="K221" s="238">
        <v>32</v>
      </c>
      <c r="L221" s="238">
        <v>1</v>
      </c>
      <c r="M221" s="241">
        <v>6.1538461538461541E-4</v>
      </c>
      <c r="N221" s="238">
        <v>0</v>
      </c>
      <c r="O221" s="239">
        <v>0</v>
      </c>
      <c r="P221" s="237">
        <v>12</v>
      </c>
      <c r="Q221" s="237">
        <v>0</v>
      </c>
      <c r="R221" s="239">
        <v>0</v>
      </c>
      <c r="S221" s="238">
        <v>957</v>
      </c>
      <c r="T221" s="436">
        <v>0</v>
      </c>
      <c r="U221" s="436">
        <v>4</v>
      </c>
      <c r="V221" s="436">
        <v>20</v>
      </c>
      <c r="W221" s="436">
        <v>24</v>
      </c>
      <c r="X221" s="238">
        <v>10759</v>
      </c>
      <c r="Y221" s="237">
        <v>0.17549999999999999</v>
      </c>
      <c r="Z221" s="238">
        <v>154248</v>
      </c>
      <c r="AA221" s="238">
        <v>14325</v>
      </c>
      <c r="AB221" s="238">
        <v>87.52</v>
      </c>
      <c r="AC221" s="238">
        <v>1812</v>
      </c>
      <c r="AD221" s="238">
        <v>11310752.02</v>
      </c>
      <c r="AE221" s="238">
        <v>1531707.9299999997</v>
      </c>
      <c r="AF221" s="238">
        <v>9605568.9100000001</v>
      </c>
      <c r="AG221" s="238">
        <v>534516.22</v>
      </c>
      <c r="AH221" s="239">
        <v>5.5646492676090745E-2</v>
      </c>
      <c r="AI221" s="247">
        <v>114.91777</v>
      </c>
      <c r="AJ221" s="242">
        <v>32.589776999999998</v>
      </c>
      <c r="AK221" s="242">
        <v>2.0055247384615384</v>
      </c>
      <c r="AL221" s="242" t="s">
        <v>678</v>
      </c>
      <c r="AM221" s="242" t="s">
        <v>678</v>
      </c>
      <c r="AN221" s="242">
        <v>29689.99</v>
      </c>
      <c r="AO221" s="238">
        <v>12295.23</v>
      </c>
      <c r="AP221" s="243">
        <v>55</v>
      </c>
      <c r="AQ221" s="238"/>
      <c r="AR221" s="238">
        <v>1165.275236651785</v>
      </c>
      <c r="AS221" s="238">
        <v>3003.4592709420799</v>
      </c>
      <c r="AT221" s="238">
        <v>856977.33333333337</v>
      </c>
      <c r="AU221" s="238">
        <v>244.56379863899866</v>
      </c>
      <c r="AV221" s="237">
        <v>1</v>
      </c>
      <c r="AW221" s="237">
        <v>1</v>
      </c>
      <c r="AX221" s="237">
        <v>1</v>
      </c>
      <c r="AY221" s="244" t="s">
        <v>717</v>
      </c>
      <c r="AZ221" s="244" t="s">
        <v>673</v>
      </c>
      <c r="BA221" s="237">
        <v>2011</v>
      </c>
      <c r="BB221" s="245" t="s">
        <v>1180</v>
      </c>
      <c r="BC221" s="215" t="s">
        <v>1181</v>
      </c>
      <c r="BE221" s="237">
        <v>5</v>
      </c>
      <c r="BF221" s="237">
        <v>138</v>
      </c>
      <c r="BG221" s="246" t="s">
        <v>698</v>
      </c>
      <c r="BI221" s="239">
        <v>0.36639492753623187</v>
      </c>
      <c r="BJ221" s="239">
        <v>0.10794082125603864</v>
      </c>
      <c r="BK221" s="239">
        <v>0.50981280193236711</v>
      </c>
      <c r="BL221" s="239">
        <v>1.585144927536232E-2</v>
      </c>
      <c r="BM221" s="247">
        <v>1.82487922705314</v>
      </c>
      <c r="BN221" s="248">
        <v>0</v>
      </c>
      <c r="BO221" s="248">
        <v>1</v>
      </c>
      <c r="BP221" s="237">
        <v>0</v>
      </c>
      <c r="BQ221" s="237">
        <v>0</v>
      </c>
      <c r="BR221" s="248">
        <v>1</v>
      </c>
      <c r="BS221" s="237">
        <v>5</v>
      </c>
      <c r="BT221" s="237" t="s">
        <v>699</v>
      </c>
      <c r="BU221" s="249">
        <v>1042</v>
      </c>
      <c r="BV221" s="249">
        <v>1095</v>
      </c>
      <c r="BW221" s="249">
        <v>5621</v>
      </c>
      <c r="BX221" s="249">
        <v>1044</v>
      </c>
      <c r="BY221" s="249">
        <v>9.654405633280831</v>
      </c>
      <c r="BZ221" s="249">
        <v>10.145464653015843</v>
      </c>
      <c r="CA221" s="249">
        <v>52.080051885481332</v>
      </c>
      <c r="CB221" s="249">
        <v>9.672936162327435</v>
      </c>
      <c r="CC221" s="250">
        <v>101.33419809135552</v>
      </c>
      <c r="CD221" s="242">
        <v>-362</v>
      </c>
      <c r="CE221" s="252">
        <v>96.64597424256462</v>
      </c>
      <c r="CF221" s="238">
        <v>4804</v>
      </c>
      <c r="CG221" s="238">
        <v>862</v>
      </c>
      <c r="CH221" s="238">
        <v>7.9866580190864447</v>
      </c>
      <c r="CI221" s="216" t="s">
        <v>700</v>
      </c>
      <c r="CJ221" s="237">
        <v>0</v>
      </c>
      <c r="CK221" s="253">
        <v>102.08</v>
      </c>
      <c r="CL221" s="253">
        <v>87.281400000000005</v>
      </c>
      <c r="CM221" s="254">
        <v>5.3711630769230773E-2</v>
      </c>
      <c r="CN221" s="237" t="s">
        <v>82</v>
      </c>
      <c r="CO221" s="242"/>
      <c r="CP221" s="255">
        <v>0</v>
      </c>
      <c r="CV221" s="237">
        <v>6</v>
      </c>
      <c r="CW221" s="194">
        <v>0.81200000000000006</v>
      </c>
      <c r="CX221" s="194">
        <v>8.7999999999999995E-2</v>
      </c>
      <c r="CY221" s="194">
        <v>1.5350000000000001</v>
      </c>
      <c r="DB221" s="216"/>
      <c r="DC221" s="195" t="s">
        <v>866</v>
      </c>
      <c r="DD221" s="256">
        <v>0.8</v>
      </c>
      <c r="DE221" s="256">
        <v>-10</v>
      </c>
      <c r="DF221" s="256">
        <v>0.5</v>
      </c>
      <c r="DG221" s="256">
        <v>-2.2999999999999998</v>
      </c>
      <c r="DH221" s="257">
        <v>1</v>
      </c>
      <c r="DI221" s="257">
        <v>41.06</v>
      </c>
      <c r="DJ221" s="257">
        <v>2.89</v>
      </c>
      <c r="DK221" s="257">
        <v>43.95</v>
      </c>
      <c r="DL221" s="237" t="s">
        <v>529</v>
      </c>
      <c r="DN221" s="237" t="s">
        <v>770</v>
      </c>
      <c r="DP221" s="258" t="s">
        <v>682</v>
      </c>
      <c r="DQ221" s="258"/>
      <c r="DR221" s="258"/>
      <c r="DS221" s="258"/>
      <c r="DT221" s="258"/>
      <c r="DU221" s="237">
        <v>0</v>
      </c>
      <c r="DX221" s="247"/>
      <c r="DY221" s="247">
        <v>0</v>
      </c>
      <c r="EA221" s="237">
        <v>0</v>
      </c>
      <c r="ED221" s="237" t="s">
        <v>678</v>
      </c>
      <c r="EE221" s="208">
        <v>3</v>
      </c>
      <c r="EF221" s="237" t="s">
        <v>678</v>
      </c>
      <c r="EG221" s="216" t="s">
        <v>689</v>
      </c>
      <c r="EH221" s="246" t="s">
        <v>690</v>
      </c>
      <c r="EI221" s="216"/>
      <c r="EJ221" s="216" t="s">
        <v>529</v>
      </c>
      <c r="EK221" s="222" t="s">
        <v>682</v>
      </c>
      <c r="EL221" s="259">
        <v>2003</v>
      </c>
      <c r="EM221" s="263">
        <v>2500</v>
      </c>
      <c r="EN221" s="260">
        <v>416422</v>
      </c>
      <c r="EO221" s="260">
        <v>433359</v>
      </c>
      <c r="ER221" s="237" t="s">
        <v>973</v>
      </c>
      <c r="ES221" s="237">
        <v>10793</v>
      </c>
      <c r="ET221" s="237">
        <v>173.34360000000001</v>
      </c>
      <c r="EU221" s="661">
        <v>3</v>
      </c>
      <c r="EV221" s="661">
        <v>4</v>
      </c>
      <c r="EW221" s="661">
        <v>1</v>
      </c>
      <c r="EX221" s="661">
        <v>4</v>
      </c>
      <c r="EY221" s="660">
        <v>6.2818461538461531E-2</v>
      </c>
      <c r="EZ221" s="256">
        <v>105.73079937304075</v>
      </c>
      <c r="FA221" s="247">
        <v>1.0619469026548674</v>
      </c>
      <c r="FB221" s="208">
        <v>4</v>
      </c>
      <c r="FC221" s="208">
        <v>4</v>
      </c>
      <c r="FD221" s="208">
        <v>4</v>
      </c>
      <c r="FE221" s="239">
        <v>0.69203539823008853</v>
      </c>
      <c r="FF221" s="208"/>
      <c r="FG221" s="241">
        <v>7.7787610619469025E-2</v>
      </c>
      <c r="FH221" s="209">
        <v>0</v>
      </c>
      <c r="FI221" s="237" t="s">
        <v>678</v>
      </c>
      <c r="FJ221" s="208">
        <v>37.200000000000003</v>
      </c>
      <c r="FK221" s="208">
        <v>0</v>
      </c>
      <c r="FL221" s="217">
        <v>8.6999999999999993</v>
      </c>
      <c r="FM221" s="208">
        <v>0.99</v>
      </c>
      <c r="FN221" s="208" t="s">
        <v>1483</v>
      </c>
      <c r="FP221" s="247" t="s">
        <v>693</v>
      </c>
      <c r="FU221" s="208">
        <v>27</v>
      </c>
      <c r="FV221" s="208">
        <v>19.8</v>
      </c>
      <c r="FW221" s="237">
        <v>79.22</v>
      </c>
      <c r="FX221" s="237">
        <v>65.099999999999994</v>
      </c>
      <c r="FY221" s="208">
        <v>7.46</v>
      </c>
      <c r="FZ221" s="208">
        <v>13.2</v>
      </c>
      <c r="GA221" s="208">
        <v>25.31</v>
      </c>
      <c r="GB221" s="208">
        <v>13.7</v>
      </c>
      <c r="GC221" s="208">
        <v>0.52</v>
      </c>
      <c r="GD221" s="208">
        <v>65.8</v>
      </c>
      <c r="GE221" s="237" t="s">
        <v>678</v>
      </c>
      <c r="GF221" s="237" t="s">
        <v>678</v>
      </c>
      <c r="GG221" s="237" t="s">
        <v>678</v>
      </c>
      <c r="GH221" s="237" t="s">
        <v>678</v>
      </c>
      <c r="GJ221" s="947">
        <v>186</v>
      </c>
      <c r="GK221" s="320">
        <v>6.0000000000000001E-3</v>
      </c>
      <c r="GL221" s="320">
        <v>0.28899999999999998</v>
      </c>
      <c r="GM221" s="320">
        <v>5.5E-2</v>
      </c>
      <c r="GN221" s="320">
        <v>0.64900000000000002</v>
      </c>
      <c r="GO221" s="662">
        <v>8218</v>
      </c>
      <c r="GP221" s="663" t="str">
        <f>VLOOKUP(GS221,'BD Comarcal'!$A$6:$AV$17,48,FALSE)</f>
        <v>07</v>
      </c>
      <c r="GQ221" s="564">
        <v>86</v>
      </c>
      <c r="GR221" s="256">
        <f t="shared" si="3"/>
        <v>1</v>
      </c>
      <c r="GS221" s="237" t="s">
        <v>82</v>
      </c>
    </row>
    <row r="222" spans="1:201" s="237" customFormat="1" ht="17.25" customHeight="1">
      <c r="A222" s="236" t="s">
        <v>352</v>
      </c>
      <c r="C222" s="238" t="s">
        <v>683</v>
      </c>
      <c r="D222" s="238">
        <v>392</v>
      </c>
      <c r="E222" s="238">
        <v>0</v>
      </c>
      <c r="F222" s="239">
        <v>0</v>
      </c>
      <c r="G222" s="238" t="s">
        <v>752</v>
      </c>
      <c r="H222" s="240">
        <v>0</v>
      </c>
      <c r="I222" s="239" t="s">
        <v>1148</v>
      </c>
      <c r="J222" s="238">
        <v>115</v>
      </c>
      <c r="K222" s="238">
        <v>0</v>
      </c>
      <c r="L222" s="238">
        <v>92</v>
      </c>
      <c r="M222" s="241">
        <v>0.23469387755102042</v>
      </c>
      <c r="N222" s="238">
        <v>0</v>
      </c>
      <c r="O222" s="239">
        <v>0</v>
      </c>
      <c r="P222" s="237">
        <v>3</v>
      </c>
      <c r="Q222" s="237">
        <v>0</v>
      </c>
      <c r="R222" s="239">
        <v>0</v>
      </c>
      <c r="S222" s="238">
        <v>74</v>
      </c>
      <c r="T222" s="436">
        <v>0</v>
      </c>
      <c r="U222" s="436">
        <v>0</v>
      </c>
      <c r="V222" s="436">
        <v>80</v>
      </c>
      <c r="W222" s="436">
        <v>80</v>
      </c>
      <c r="X222" s="238">
        <v>20678</v>
      </c>
      <c r="Y222" s="237">
        <v>0.16830000000000001</v>
      </c>
      <c r="Z222" s="238">
        <v>363631</v>
      </c>
      <c r="AA222" s="238">
        <v>17784</v>
      </c>
      <c r="AB222" s="238">
        <v>108.66</v>
      </c>
      <c r="AC222" s="238">
        <v>20964</v>
      </c>
      <c r="AD222" s="238">
        <v>23242387.229999997</v>
      </c>
      <c r="AE222" s="238">
        <v>1764459.2900000028</v>
      </c>
      <c r="AF222" s="238">
        <v>17996696.559999999</v>
      </c>
      <c r="AG222" s="238">
        <v>514452.8</v>
      </c>
      <c r="AH222" s="239">
        <v>2.8585957333049573E-2</v>
      </c>
      <c r="AJ222" s="242">
        <v>12.773056</v>
      </c>
      <c r="AK222" s="242">
        <v>3.2584326530612246</v>
      </c>
      <c r="AL222" s="242" t="s">
        <v>678</v>
      </c>
      <c r="AM222" s="242" t="s">
        <v>678</v>
      </c>
      <c r="AN222" s="242">
        <v>22272.87</v>
      </c>
      <c r="AO222" s="238">
        <v>0</v>
      </c>
      <c r="AP222" s="243">
        <v>0</v>
      </c>
      <c r="AQ222" s="238"/>
      <c r="AR222" s="238">
        <v>1324.640061625975</v>
      </c>
      <c r="AS222" s="238">
        <v>2083.767207361213</v>
      </c>
      <c r="AT222" s="238">
        <v>1160273</v>
      </c>
      <c r="AU222" s="238">
        <v>308.47687265467528</v>
      </c>
      <c r="AV222" s="237">
        <v>0</v>
      </c>
      <c r="AW222" s="237">
        <v>0</v>
      </c>
      <c r="AX222" s="237">
        <v>0</v>
      </c>
      <c r="AY222" s="244" t="s">
        <v>695</v>
      </c>
      <c r="AZ222" s="244" t="s">
        <v>682</v>
      </c>
      <c r="BA222" s="237">
        <v>2011</v>
      </c>
      <c r="BB222" s="245" t="s">
        <v>861</v>
      </c>
      <c r="BC222" s="215" t="s">
        <v>862</v>
      </c>
      <c r="BE222" s="237">
        <v>403</v>
      </c>
      <c r="BF222" s="237">
        <v>2</v>
      </c>
      <c r="BG222" s="246" t="s">
        <v>676</v>
      </c>
      <c r="BI222" s="239">
        <v>0.53266365996993303</v>
      </c>
      <c r="BJ222" s="239">
        <v>0.14309143091430915</v>
      </c>
      <c r="BK222" s="239">
        <v>0.2987563208965423</v>
      </c>
      <c r="BL222" s="239">
        <v>2.5488588219215527E-2</v>
      </c>
      <c r="BM222" s="247">
        <v>2.1829301626349595</v>
      </c>
      <c r="BN222" s="248">
        <v>0</v>
      </c>
      <c r="BO222" s="248">
        <v>1</v>
      </c>
      <c r="BP222" s="237">
        <v>0</v>
      </c>
      <c r="BQ222" s="237">
        <v>0</v>
      </c>
      <c r="BR222" s="248">
        <v>1</v>
      </c>
      <c r="BU222" s="249" t="s">
        <v>678</v>
      </c>
      <c r="BV222" s="249">
        <v>1649</v>
      </c>
      <c r="BW222" s="249">
        <v>9335</v>
      </c>
      <c r="BX222" s="249">
        <v>4085</v>
      </c>
      <c r="BY222" s="249" t="s">
        <v>678</v>
      </c>
      <c r="BZ222" s="249">
        <v>8.2326510234648023</v>
      </c>
      <c r="CA222" s="249">
        <v>46.605092361457814</v>
      </c>
      <c r="CB222" s="249">
        <v>20.394408387418871</v>
      </c>
      <c r="CC222" s="250" t="s">
        <v>678</v>
      </c>
      <c r="CD222" s="242">
        <v>-883</v>
      </c>
      <c r="CE222" s="252">
        <v>95.591612581128302</v>
      </c>
      <c r="CF222" s="238">
        <v>9895</v>
      </c>
      <c r="CG222" s="238">
        <v>1189</v>
      </c>
      <c r="CH222" s="238">
        <v>5.9360958562156769</v>
      </c>
      <c r="CI222" s="216" t="s">
        <v>679</v>
      </c>
      <c r="CJ222" s="237">
        <v>0</v>
      </c>
      <c r="CK222" s="253">
        <v>94.8</v>
      </c>
      <c r="CL222" s="253">
        <v>60.544400000000003</v>
      </c>
      <c r="CM222" s="254">
        <v>0.15445</v>
      </c>
      <c r="CN222" s="237" t="s">
        <v>86</v>
      </c>
      <c r="CO222" s="242"/>
      <c r="CP222" s="255">
        <v>0</v>
      </c>
      <c r="CV222" s="237">
        <v>3</v>
      </c>
      <c r="CW222" s="194">
        <v>0.95799999999999996</v>
      </c>
      <c r="CX222" s="194">
        <v>0.63500000000000001</v>
      </c>
      <c r="CY222" s="194">
        <v>0.29299999999999998</v>
      </c>
      <c r="DB222" s="216"/>
      <c r="DC222" s="195" t="s">
        <v>1484</v>
      </c>
      <c r="DD222" s="256">
        <v>0.7</v>
      </c>
      <c r="DE222" s="256">
        <v>-6.5</v>
      </c>
      <c r="DF222" s="256">
        <v>0.7</v>
      </c>
      <c r="DG222" s="256">
        <v>-2.2000000000000002</v>
      </c>
      <c r="DL222" s="237" t="s">
        <v>529</v>
      </c>
      <c r="DM222" s="270" t="s">
        <v>764</v>
      </c>
      <c r="DN222" s="237" t="s">
        <v>713</v>
      </c>
      <c r="DP222" s="258" t="s">
        <v>682</v>
      </c>
      <c r="DQ222" s="258"/>
      <c r="DR222" s="258"/>
      <c r="DS222" s="258"/>
      <c r="DT222" s="258"/>
      <c r="DU222" s="237">
        <v>0</v>
      </c>
      <c r="DX222" s="247"/>
      <c r="DY222" s="247">
        <v>0</v>
      </c>
      <c r="EA222" s="237">
        <v>0</v>
      </c>
      <c r="EB222" s="237" t="s">
        <v>714</v>
      </c>
      <c r="ED222" s="237" t="s">
        <v>678</v>
      </c>
      <c r="EE222" s="208" t="s">
        <v>678</v>
      </c>
      <c r="EF222" s="237" t="s">
        <v>678</v>
      </c>
      <c r="EG222" s="216" t="s">
        <v>689</v>
      </c>
      <c r="EH222" s="246" t="s">
        <v>690</v>
      </c>
      <c r="EI222" s="216"/>
      <c r="EJ222" s="216" t="s">
        <v>529</v>
      </c>
      <c r="EK222" s="222" t="s">
        <v>682</v>
      </c>
      <c r="EL222" s="259">
        <v>1999</v>
      </c>
      <c r="EM222" s="263">
        <v>9000</v>
      </c>
      <c r="EN222" s="260">
        <v>953243</v>
      </c>
      <c r="EO222" s="260">
        <v>193048</v>
      </c>
      <c r="ER222" s="237" t="s">
        <v>705</v>
      </c>
      <c r="ES222" s="237">
        <v>20030</v>
      </c>
      <c r="ET222" s="237">
        <v>21.449777777777779</v>
      </c>
      <c r="EU222" s="661" t="s">
        <v>678</v>
      </c>
      <c r="EV222" s="661">
        <v>9</v>
      </c>
      <c r="EW222" s="661">
        <v>10</v>
      </c>
      <c r="EX222" s="661">
        <v>6</v>
      </c>
      <c r="EY222" s="660">
        <v>0.24183673469387754</v>
      </c>
      <c r="EZ222" s="256">
        <v>211.28691983122363</v>
      </c>
      <c r="FA222" s="247" t="s">
        <v>678</v>
      </c>
      <c r="FB222" s="208" t="s">
        <v>678</v>
      </c>
      <c r="FC222" s="208" t="s">
        <v>678</v>
      </c>
      <c r="FD222" s="208">
        <v>3</v>
      </c>
      <c r="FE222" s="239" t="s">
        <v>678</v>
      </c>
      <c r="FF222" s="208"/>
      <c r="FG222" s="241" t="s">
        <v>678</v>
      </c>
      <c r="FH222" s="209" t="s">
        <v>678</v>
      </c>
      <c r="FI222" s="237" t="s">
        <v>678</v>
      </c>
      <c r="FJ222" s="208" t="s">
        <v>678</v>
      </c>
      <c r="FK222" s="208" t="s">
        <v>678</v>
      </c>
      <c r="FL222" s="217" t="s">
        <v>678</v>
      </c>
      <c r="FM222" s="208" t="s">
        <v>678</v>
      </c>
      <c r="FN222" s="208" t="s">
        <v>678</v>
      </c>
      <c r="FO222" s="237">
        <v>2360</v>
      </c>
      <c r="FP222" s="247">
        <v>6.0204081632653059</v>
      </c>
      <c r="FU222" s="208" t="s">
        <v>678</v>
      </c>
      <c r="FV222" s="208" t="s">
        <v>678</v>
      </c>
      <c r="FW222" s="237" t="s">
        <v>678</v>
      </c>
      <c r="FX222" s="237" t="s">
        <v>678</v>
      </c>
      <c r="FY222" s="208" t="s">
        <v>678</v>
      </c>
      <c r="FZ222" s="208" t="s">
        <v>678</v>
      </c>
      <c r="GA222" s="208" t="s">
        <v>678</v>
      </c>
      <c r="GB222" s="208" t="s">
        <v>678</v>
      </c>
      <c r="GC222" s="208" t="s">
        <v>678</v>
      </c>
      <c r="GD222" s="208" t="s">
        <v>678</v>
      </c>
      <c r="GE222" s="237" t="s">
        <v>678</v>
      </c>
      <c r="GF222" s="237" t="s">
        <v>678</v>
      </c>
      <c r="GG222" s="237" t="s">
        <v>678</v>
      </c>
      <c r="GH222" s="237" t="s">
        <v>678</v>
      </c>
      <c r="GJ222" s="947">
        <v>399</v>
      </c>
      <c r="GK222" s="320">
        <v>4.3999999999999997E-2</v>
      </c>
      <c r="GL222" s="320">
        <v>8.3000000000000004E-2</v>
      </c>
      <c r="GM222" s="320">
        <v>3.9E-2</v>
      </c>
      <c r="GN222" s="320">
        <v>0.83399999999999996</v>
      </c>
      <c r="GO222" s="662">
        <v>8219</v>
      </c>
      <c r="GP222" s="663" t="str">
        <f>VLOOKUP(GS222,'BD Comarcal'!$A$6:$AV$17,48,FALSE)</f>
        <v>21</v>
      </c>
      <c r="GQ222" s="565">
        <v>148</v>
      </c>
      <c r="GR222" s="256">
        <f t="shared" si="3"/>
        <v>0</v>
      </c>
      <c r="GS222" s="237" t="s">
        <v>86</v>
      </c>
    </row>
    <row r="223" spans="1:201" s="237" customFormat="1" ht="17.25" customHeight="1">
      <c r="A223" s="236" t="s">
        <v>1485</v>
      </c>
      <c r="C223" s="238"/>
      <c r="D223" s="238">
        <v>1584</v>
      </c>
      <c r="E223" s="238">
        <v>1122</v>
      </c>
      <c r="F223" s="239">
        <v>0.70833333333333337</v>
      </c>
      <c r="G223" s="238">
        <v>912</v>
      </c>
      <c r="H223" s="240">
        <v>463.31027927873748</v>
      </c>
      <c r="I223" s="239">
        <v>0.4129325127261475</v>
      </c>
      <c r="J223" s="238">
        <v>646</v>
      </c>
      <c r="K223" s="238">
        <v>55</v>
      </c>
      <c r="L223" s="238">
        <v>31</v>
      </c>
      <c r="M223" s="241">
        <v>1.9570707070707072E-2</v>
      </c>
      <c r="N223" s="238">
        <v>0</v>
      </c>
      <c r="O223" s="239">
        <v>0</v>
      </c>
      <c r="P223" s="237">
        <v>16</v>
      </c>
      <c r="Q223" s="237">
        <v>0</v>
      </c>
      <c r="R223" s="239">
        <v>0</v>
      </c>
      <c r="S223" s="238">
        <v>5389</v>
      </c>
      <c r="T223" s="436">
        <v>0</v>
      </c>
      <c r="U223" s="436">
        <v>32</v>
      </c>
      <c r="V223" s="436">
        <v>91</v>
      </c>
      <c r="W223" s="436">
        <v>123</v>
      </c>
      <c r="X223" s="238">
        <v>3113</v>
      </c>
      <c r="Y223" s="237">
        <v>0.15240000000000001</v>
      </c>
      <c r="Z223" s="238">
        <v>54823</v>
      </c>
      <c r="AA223" s="238">
        <v>17662</v>
      </c>
      <c r="AB223" s="238">
        <v>107.92</v>
      </c>
      <c r="AC223" s="238">
        <v>115</v>
      </c>
      <c r="AD223" s="238">
        <v>3305629.4299999997</v>
      </c>
      <c r="AE223" s="238">
        <v>-137479.35000000009</v>
      </c>
      <c r="AF223" s="238">
        <v>3227847.9899999998</v>
      </c>
      <c r="AG223" s="238">
        <v>489445.44</v>
      </c>
      <c r="AH223" s="239">
        <v>0.15163212193273079</v>
      </c>
      <c r="AI223" s="247">
        <v>133.93678199999999</v>
      </c>
      <c r="AJ223" s="242">
        <v>15.734657</v>
      </c>
      <c r="AK223" s="242">
        <v>0.99334955808080805</v>
      </c>
      <c r="AL223" s="242" t="s">
        <v>678</v>
      </c>
      <c r="AM223" s="242" t="s">
        <v>678</v>
      </c>
      <c r="AN223" s="242">
        <v>25150.33</v>
      </c>
      <c r="AO223" s="238">
        <v>2004.13</v>
      </c>
      <c r="AP223" s="243">
        <v>9</v>
      </c>
      <c r="AQ223" s="238"/>
      <c r="AR223" s="238">
        <v>1636.1517177284341</v>
      </c>
      <c r="AS223" s="238">
        <v>2253.882340423278</v>
      </c>
      <c r="AT223" s="238">
        <v>138654.66666666666</v>
      </c>
      <c r="AU223" s="238">
        <v>164.11537282102529</v>
      </c>
      <c r="AV223" s="237">
        <v>1</v>
      </c>
      <c r="AW223" s="237">
        <v>0</v>
      </c>
      <c r="AX223" s="237">
        <v>1</v>
      </c>
      <c r="AY223" s="244" t="s">
        <v>717</v>
      </c>
      <c r="AZ223" s="244" t="s">
        <v>726</v>
      </c>
      <c r="BA223" s="237">
        <v>2015</v>
      </c>
      <c r="BB223" s="245" t="s">
        <v>887</v>
      </c>
      <c r="BC223" s="215" t="s">
        <v>888</v>
      </c>
      <c r="BE223" s="237">
        <v>0</v>
      </c>
      <c r="BF223" s="237">
        <v>83</v>
      </c>
      <c r="BG223" s="246" t="s">
        <v>720</v>
      </c>
      <c r="BI223" s="239">
        <v>0.55046774987690794</v>
      </c>
      <c r="BJ223" s="239">
        <v>0.11866075824716889</v>
      </c>
      <c r="BK223" s="239">
        <v>0.29935992122107336</v>
      </c>
      <c r="BL223" s="239">
        <v>3.151157065484983E-2</v>
      </c>
      <c r="BM223" s="247">
        <v>2.188084687346135</v>
      </c>
      <c r="BN223" s="248">
        <v>0</v>
      </c>
      <c r="BO223" s="248">
        <v>0</v>
      </c>
      <c r="BP223" s="237">
        <v>0</v>
      </c>
      <c r="BQ223" s="237">
        <v>0</v>
      </c>
      <c r="BR223" s="248">
        <v>0</v>
      </c>
      <c r="BS223" s="237">
        <v>6</v>
      </c>
      <c r="BT223" s="237" t="s">
        <v>815</v>
      </c>
      <c r="BU223" s="249" t="s">
        <v>678</v>
      </c>
      <c r="BV223" s="249">
        <v>256</v>
      </c>
      <c r="BW223" s="249">
        <v>1427</v>
      </c>
      <c r="BX223" s="249" t="s">
        <v>678</v>
      </c>
      <c r="BY223" s="249" t="s">
        <v>678</v>
      </c>
      <c r="BZ223" s="249">
        <v>8.3224967490247082</v>
      </c>
      <c r="CA223" s="249">
        <v>46.391417425227566</v>
      </c>
      <c r="CB223" s="249" t="s">
        <v>678</v>
      </c>
      <c r="CC223" s="250" t="s">
        <v>678</v>
      </c>
      <c r="CD223" s="242" t="s">
        <v>678</v>
      </c>
      <c r="CE223" s="252" t="s">
        <v>678</v>
      </c>
      <c r="CF223" s="238">
        <v>1406</v>
      </c>
      <c r="CG223" s="238">
        <v>138.5</v>
      </c>
      <c r="CH223" s="238">
        <v>4.5026007802340704</v>
      </c>
      <c r="CI223" s="216" t="s">
        <v>700</v>
      </c>
      <c r="CJ223" s="237">
        <v>0</v>
      </c>
      <c r="CK223" s="253">
        <v>143.76</v>
      </c>
      <c r="CL223" s="253">
        <v>29.4861</v>
      </c>
      <c r="CM223" s="254">
        <v>1.8614962121212122E-2</v>
      </c>
      <c r="CN223" s="237" t="s">
        <v>88</v>
      </c>
      <c r="CO223" s="242">
        <v>253.18</v>
      </c>
      <c r="CP223" s="255">
        <v>0.15983585858585858</v>
      </c>
      <c r="CW223" s="261" t="s">
        <v>678</v>
      </c>
      <c r="CX223" s="261" t="s">
        <v>678</v>
      </c>
      <c r="CY223" s="261" t="s">
        <v>678</v>
      </c>
      <c r="DB223" s="216" t="s">
        <v>681</v>
      </c>
      <c r="DC223" s="256"/>
      <c r="DD223" s="256">
        <v>0.8</v>
      </c>
      <c r="DE223" s="256">
        <v>-9</v>
      </c>
      <c r="DF223" s="256">
        <v>-0.3</v>
      </c>
      <c r="DG223" s="256">
        <v>-2.6</v>
      </c>
      <c r="DL223" s="237" t="s">
        <v>529</v>
      </c>
      <c r="DM223" s="270" t="s">
        <v>1486</v>
      </c>
      <c r="DN223" s="237" t="s">
        <v>713</v>
      </c>
      <c r="DP223" s="258" t="s">
        <v>683</v>
      </c>
      <c r="DQ223" s="258" t="s">
        <v>1132</v>
      </c>
      <c r="DR223" s="258" t="s">
        <v>1487</v>
      </c>
      <c r="DS223" s="258"/>
      <c r="DT223" s="258"/>
      <c r="DU223" s="237">
        <v>0</v>
      </c>
      <c r="DX223" s="247"/>
      <c r="DY223" s="247">
        <v>0</v>
      </c>
      <c r="EA223" s="237">
        <v>0</v>
      </c>
      <c r="ED223" s="237" t="s">
        <v>956</v>
      </c>
      <c r="EE223" s="208">
        <v>1</v>
      </c>
      <c r="EF223" s="237" t="s">
        <v>688</v>
      </c>
      <c r="EG223" s="216" t="s">
        <v>733</v>
      </c>
      <c r="EH223" s="246" t="s">
        <v>734</v>
      </c>
      <c r="EI223" s="216"/>
      <c r="EJ223" s="216" t="s">
        <v>529</v>
      </c>
      <c r="EK223" s="222" t="s">
        <v>682</v>
      </c>
      <c r="EL223" s="259">
        <v>2011</v>
      </c>
      <c r="EM223" s="260">
        <v>5480</v>
      </c>
      <c r="EN223" s="260">
        <v>140958</v>
      </c>
      <c r="EO223" s="260">
        <v>71684</v>
      </c>
      <c r="EP223" s="237">
        <v>1</v>
      </c>
      <c r="EQ223" s="237">
        <v>87</v>
      </c>
      <c r="ER223" s="237" t="s">
        <v>705</v>
      </c>
      <c r="ES223" s="237" t="e">
        <v>#DIV/0!</v>
      </c>
      <c r="ET223" s="237">
        <v>13.081021897810219</v>
      </c>
      <c r="EU223" s="661">
        <v>5</v>
      </c>
      <c r="EV223" s="661">
        <v>0</v>
      </c>
      <c r="EW223" s="661">
        <v>2</v>
      </c>
      <c r="EX223" s="661">
        <v>3</v>
      </c>
      <c r="EY223" s="660">
        <v>9.0757575757575745E-2</v>
      </c>
      <c r="EZ223" s="256">
        <v>21.396772398441851</v>
      </c>
      <c r="FA223" s="247">
        <v>0</v>
      </c>
      <c r="FB223" s="208">
        <v>2</v>
      </c>
      <c r="FC223" s="208">
        <v>2</v>
      </c>
      <c r="FD223" s="208">
        <v>1</v>
      </c>
      <c r="FE223" s="239">
        <v>0.81283422459893051</v>
      </c>
      <c r="FF223" s="208">
        <v>1</v>
      </c>
      <c r="FG223" s="241">
        <v>0</v>
      </c>
      <c r="FH223" s="209">
        <v>0</v>
      </c>
      <c r="FI223" s="237" t="s">
        <v>678</v>
      </c>
      <c r="FJ223" s="208">
        <v>57.1</v>
      </c>
      <c r="FK223" s="208">
        <v>15.02</v>
      </c>
      <c r="FL223" s="217">
        <v>54.9</v>
      </c>
      <c r="FM223" s="208">
        <v>9.76</v>
      </c>
      <c r="FN223" s="208" t="s">
        <v>1488</v>
      </c>
      <c r="FP223" s="247" t="s">
        <v>693</v>
      </c>
      <c r="FU223" s="208">
        <v>33</v>
      </c>
      <c r="FV223" s="208">
        <v>34.700000000000003</v>
      </c>
      <c r="FW223" s="237">
        <v>91.86</v>
      </c>
      <c r="FX223" s="237">
        <v>86.6</v>
      </c>
      <c r="FY223" s="208">
        <v>67.27</v>
      </c>
      <c r="FZ223" s="208">
        <v>72.900000000000006</v>
      </c>
      <c r="GA223" s="208">
        <v>62.3</v>
      </c>
      <c r="GB223" s="208">
        <v>70</v>
      </c>
      <c r="GC223" s="208">
        <v>0.3</v>
      </c>
      <c r="GD223" s="208">
        <v>48.6</v>
      </c>
      <c r="GE223" s="237">
        <v>56.86</v>
      </c>
      <c r="GF223" s="237">
        <v>73.8</v>
      </c>
      <c r="GG223" s="237">
        <v>7.43</v>
      </c>
      <c r="GH223" s="237">
        <v>57.8</v>
      </c>
      <c r="GJ223" s="947"/>
      <c r="GO223" s="662">
        <v>8220</v>
      </c>
      <c r="GP223" s="663" t="str">
        <f>VLOOKUP(GS223,'BD Comarcal'!$A$6:$AV$17,48,FALSE)</f>
        <v>24</v>
      </c>
      <c r="GQ223" s="564">
        <v>23</v>
      </c>
      <c r="GR223" s="256">
        <f t="shared" si="3"/>
        <v>0</v>
      </c>
      <c r="GS223" s="237" t="s">
        <v>88</v>
      </c>
    </row>
    <row r="224" spans="1:201" s="237" customFormat="1" ht="17.25" customHeight="1">
      <c r="A224" s="236" t="s">
        <v>1489</v>
      </c>
      <c r="C224" s="238"/>
      <c r="D224" s="238">
        <v>785</v>
      </c>
      <c r="E224" s="238">
        <v>381</v>
      </c>
      <c r="F224" s="239">
        <v>0.48535031847133758</v>
      </c>
      <c r="G224" s="238">
        <v>135</v>
      </c>
      <c r="H224" s="240">
        <v>0</v>
      </c>
      <c r="I224" s="239">
        <v>0</v>
      </c>
      <c r="J224" s="238">
        <v>14</v>
      </c>
      <c r="K224" s="238">
        <v>0</v>
      </c>
      <c r="L224" s="238" t="s">
        <v>678</v>
      </c>
      <c r="M224" s="241" t="s">
        <v>678</v>
      </c>
      <c r="N224" s="238" t="s">
        <v>678</v>
      </c>
      <c r="O224" s="239" t="s">
        <v>678</v>
      </c>
      <c r="P224" s="237" t="s">
        <v>678</v>
      </c>
      <c r="Q224" s="237" t="s">
        <v>678</v>
      </c>
      <c r="R224" s="239" t="s">
        <v>678</v>
      </c>
      <c r="S224" s="238" t="s">
        <v>678</v>
      </c>
      <c r="T224" s="436">
        <v>0</v>
      </c>
      <c r="U224" s="436">
        <v>0</v>
      </c>
      <c r="V224" s="436">
        <v>712</v>
      </c>
      <c r="W224" s="436">
        <v>712</v>
      </c>
      <c r="X224" s="238">
        <v>16927</v>
      </c>
      <c r="Y224" s="237">
        <v>0.18029999999999999</v>
      </c>
      <c r="Z224" s="238">
        <v>404558</v>
      </c>
      <c r="AA224" s="238">
        <v>24326</v>
      </c>
      <c r="AB224" s="238">
        <v>148.63</v>
      </c>
      <c r="AC224" s="238">
        <v>5713</v>
      </c>
      <c r="AD224" s="238">
        <v>24441915.119999997</v>
      </c>
      <c r="AE224" s="238">
        <v>6593930.0600000024</v>
      </c>
      <c r="AF224" s="238">
        <v>22387207.949999999</v>
      </c>
      <c r="AG224" s="238">
        <v>2298463.5099999998</v>
      </c>
      <c r="AH224" s="239">
        <v>0.10266860946364684</v>
      </c>
      <c r="AI224" s="247">
        <v>333.23863299999999</v>
      </c>
      <c r="AJ224" s="242">
        <v>412.23065000000003</v>
      </c>
      <c r="AK224" s="242">
        <v>52.513458598726118</v>
      </c>
      <c r="AL224" s="242">
        <v>26.139603999999999</v>
      </c>
      <c r="AM224" s="242">
        <v>3.3298858598726113</v>
      </c>
      <c r="AN224" s="242">
        <v>49454.86</v>
      </c>
      <c r="AO224" s="238">
        <v>12225.51</v>
      </c>
      <c r="AP224" s="243">
        <v>66</v>
      </c>
      <c r="AQ224" s="238"/>
      <c r="AR224" s="238">
        <v>1481.1319650567648</v>
      </c>
      <c r="AS224" s="238">
        <v>2743.9050900111092</v>
      </c>
      <c r="AT224" s="238">
        <v>1202590</v>
      </c>
      <c r="AU224" s="238">
        <v>295.3621750249211</v>
      </c>
      <c r="AV224" s="237">
        <v>1</v>
      </c>
      <c r="AW224" s="237">
        <v>0</v>
      </c>
      <c r="AX224" s="237">
        <v>0</v>
      </c>
      <c r="AY224" s="244" t="s">
        <v>717</v>
      </c>
      <c r="AZ224" s="244" t="s">
        <v>682</v>
      </c>
      <c r="BA224" s="237">
        <v>2009</v>
      </c>
      <c r="BB224" s="245" t="s">
        <v>678</v>
      </c>
      <c r="BC224" s="215" t="s">
        <v>678</v>
      </c>
      <c r="BE224" s="237">
        <v>246</v>
      </c>
      <c r="BF224" s="237">
        <v>2</v>
      </c>
      <c r="BG224" s="246" t="s">
        <v>676</v>
      </c>
      <c r="BI224" s="239">
        <v>0.38099910793933989</v>
      </c>
      <c r="BJ224" s="239">
        <v>0.12444246208742195</v>
      </c>
      <c r="BK224" s="239">
        <v>0.40561998215878681</v>
      </c>
      <c r="BL224" s="239">
        <v>8.8938447814451385E-2</v>
      </c>
      <c r="BM224" s="247">
        <v>1.7975022301516503</v>
      </c>
      <c r="BN224" s="248">
        <v>0</v>
      </c>
      <c r="BO224" s="248">
        <v>1</v>
      </c>
      <c r="BP224" s="237">
        <v>0</v>
      </c>
      <c r="BQ224" s="237">
        <v>0</v>
      </c>
      <c r="BR224" s="248">
        <v>1</v>
      </c>
      <c r="BS224" s="237">
        <v>2</v>
      </c>
      <c r="BT224" s="237" t="s">
        <v>1028</v>
      </c>
      <c r="BU224" s="249" t="s">
        <v>678</v>
      </c>
      <c r="BV224" s="249">
        <v>861</v>
      </c>
      <c r="BW224" s="249">
        <v>5665</v>
      </c>
      <c r="BX224" s="249">
        <v>5297</v>
      </c>
      <c r="BY224" s="249" t="s">
        <v>678</v>
      </c>
      <c r="BZ224" s="249">
        <v>5.1070644759475652</v>
      </c>
      <c r="CA224" s="249">
        <v>33.602230262767662</v>
      </c>
      <c r="CB224" s="249">
        <v>31.419419894418411</v>
      </c>
      <c r="CC224" s="250" t="s">
        <v>678</v>
      </c>
      <c r="CD224" s="242">
        <v>397</v>
      </c>
      <c r="CE224" s="252">
        <v>102.35482531585504</v>
      </c>
      <c r="CF224" s="238">
        <v>7502</v>
      </c>
      <c r="CG224" s="238">
        <v>739.1</v>
      </c>
      <c r="CH224" s="238">
        <v>4.3840085414318759</v>
      </c>
      <c r="CI224" s="216" t="s">
        <v>679</v>
      </c>
      <c r="CJ224" s="237">
        <v>0</v>
      </c>
      <c r="CK224" s="253">
        <v>310.62</v>
      </c>
      <c r="CL224" s="253">
        <v>87.630899999999997</v>
      </c>
      <c r="CM224" s="254">
        <v>0.11163171974522293</v>
      </c>
      <c r="CN224" s="237" t="s">
        <v>90</v>
      </c>
      <c r="CO224" s="242">
        <v>385.1</v>
      </c>
      <c r="CP224" s="255">
        <v>0.49057324840764333</v>
      </c>
      <c r="CV224" s="237">
        <v>4</v>
      </c>
      <c r="CW224" s="194">
        <v>1.867</v>
      </c>
      <c r="CX224" s="194">
        <v>0.13300000000000001</v>
      </c>
      <c r="CY224" s="194">
        <v>2.6349999999999998</v>
      </c>
      <c r="DB224" s="216" t="s">
        <v>804</v>
      </c>
      <c r="DC224" s="195" t="s">
        <v>977</v>
      </c>
      <c r="DD224" s="256">
        <v>0.7</v>
      </c>
      <c r="DE224" s="256">
        <v>-6.5</v>
      </c>
      <c r="DF224" s="256">
        <v>0.7</v>
      </c>
      <c r="DG224" s="256">
        <v>-2.2000000000000002</v>
      </c>
      <c r="DH224" s="257">
        <v>1</v>
      </c>
      <c r="DI224" s="257">
        <v>0.12</v>
      </c>
      <c r="DJ224" s="257">
        <v>1.9</v>
      </c>
      <c r="DK224" s="257">
        <v>2.02</v>
      </c>
      <c r="DL224" s="237" t="s">
        <v>682</v>
      </c>
      <c r="DP224" s="258" t="s">
        <v>682</v>
      </c>
      <c r="DQ224" s="258"/>
      <c r="DR224" s="258"/>
      <c r="DS224" s="258"/>
      <c r="DT224" s="258"/>
      <c r="DU224" s="237">
        <v>0</v>
      </c>
      <c r="DX224" s="247"/>
      <c r="DY224" s="247">
        <v>0</v>
      </c>
      <c r="EA224" s="237">
        <v>0</v>
      </c>
      <c r="ED224" s="237" t="s">
        <v>678</v>
      </c>
      <c r="EE224" s="208">
        <v>3</v>
      </c>
      <c r="EF224" s="237" t="s">
        <v>678</v>
      </c>
      <c r="EG224" s="216" t="s">
        <v>691</v>
      </c>
      <c r="EH224" s="246" t="s">
        <v>690</v>
      </c>
      <c r="EI224" s="216" t="s">
        <v>691</v>
      </c>
      <c r="EJ224" s="216" t="s">
        <v>806</v>
      </c>
      <c r="EK224" s="222" t="s">
        <v>682</v>
      </c>
      <c r="EL224" s="259">
        <v>1976</v>
      </c>
      <c r="EM224" s="263">
        <v>278325</v>
      </c>
      <c r="EN224" s="260">
        <v>787579</v>
      </c>
      <c r="EO224" s="260">
        <v>450760</v>
      </c>
      <c r="ER224" s="237" t="s">
        <v>705</v>
      </c>
      <c r="ES224" s="237">
        <v>16859</v>
      </c>
      <c r="ET224" s="237">
        <v>1.6195454953741131</v>
      </c>
      <c r="EU224" s="661">
        <v>3</v>
      </c>
      <c r="EV224" s="661">
        <v>1</v>
      </c>
      <c r="EW224" s="661" t="s">
        <v>678</v>
      </c>
      <c r="EX224" s="661">
        <v>6</v>
      </c>
      <c r="EY224" s="660">
        <v>0.39569426751592357</v>
      </c>
      <c r="EZ224" s="256">
        <v>54.275320327087762</v>
      </c>
      <c r="FA224" s="247">
        <v>1.0498687664041995</v>
      </c>
      <c r="FB224" s="208">
        <v>4</v>
      </c>
      <c r="FC224" s="208">
        <v>4</v>
      </c>
      <c r="FD224" s="208">
        <v>7</v>
      </c>
      <c r="FE224" s="239">
        <v>0.3543307086614173</v>
      </c>
      <c r="FF224" s="208"/>
      <c r="FG224" s="241">
        <v>5.3018372703412071E-3</v>
      </c>
      <c r="FH224" s="209">
        <v>0</v>
      </c>
      <c r="FI224" s="237" t="s">
        <v>678</v>
      </c>
      <c r="FJ224" s="208" t="s">
        <v>678</v>
      </c>
      <c r="FK224" s="208" t="s">
        <v>678</v>
      </c>
      <c r="FL224" s="217" t="s">
        <v>678</v>
      </c>
      <c r="FM224" s="208" t="s">
        <v>678</v>
      </c>
      <c r="FN224" s="208" t="s">
        <v>678</v>
      </c>
      <c r="FP224" s="247" t="s">
        <v>693</v>
      </c>
      <c r="FU224" s="208" t="s">
        <v>678</v>
      </c>
      <c r="FV224" s="208" t="s">
        <v>678</v>
      </c>
      <c r="FW224" s="237" t="s">
        <v>678</v>
      </c>
      <c r="FX224" s="237" t="s">
        <v>678</v>
      </c>
      <c r="FY224" s="208" t="s">
        <v>678</v>
      </c>
      <c r="FZ224" s="208" t="s">
        <v>678</v>
      </c>
      <c r="GA224" s="208" t="s">
        <v>678</v>
      </c>
      <c r="GB224" s="208" t="s">
        <v>678</v>
      </c>
      <c r="GC224" s="208" t="s">
        <v>678</v>
      </c>
      <c r="GD224" s="208" t="s">
        <v>678</v>
      </c>
      <c r="GE224" s="237" t="s">
        <v>678</v>
      </c>
      <c r="GF224" s="237" t="s">
        <v>678</v>
      </c>
      <c r="GG224" s="237" t="s">
        <v>678</v>
      </c>
      <c r="GH224" s="237" t="s">
        <v>678</v>
      </c>
      <c r="GJ224" s="947">
        <v>902</v>
      </c>
      <c r="GK224" s="320">
        <v>0</v>
      </c>
      <c r="GL224" s="320">
        <v>0.14499999999999999</v>
      </c>
      <c r="GM224" s="320">
        <v>2.3E-2</v>
      </c>
      <c r="GN224" s="320">
        <v>0.83099999999999996</v>
      </c>
      <c r="GO224" s="662">
        <v>8221</v>
      </c>
      <c r="GP224" s="663" t="str">
        <f>VLOOKUP(GS224,'BD Comarcal'!$A$6:$AV$17,48,FALSE)</f>
        <v>11</v>
      </c>
      <c r="GQ224" s="564">
        <v>120</v>
      </c>
      <c r="GR224" s="256">
        <f t="shared" si="3"/>
        <v>1</v>
      </c>
      <c r="GS224" s="237" t="s">
        <v>90</v>
      </c>
    </row>
    <row r="225" spans="1:201" s="237" customFormat="1" ht="17.25" customHeight="1">
      <c r="A225" s="236" t="s">
        <v>1490</v>
      </c>
      <c r="C225" s="238"/>
      <c r="D225" s="238">
        <v>1975</v>
      </c>
      <c r="E225" s="238">
        <v>554</v>
      </c>
      <c r="F225" s="239">
        <v>0.28050632911392404</v>
      </c>
      <c r="G225" s="238">
        <v>437</v>
      </c>
      <c r="H225" s="240">
        <v>12.98856325948995</v>
      </c>
      <c r="I225" s="239">
        <v>2.3445060035180414E-2</v>
      </c>
      <c r="J225" s="238">
        <v>793</v>
      </c>
      <c r="K225" s="238">
        <v>48</v>
      </c>
      <c r="L225" s="238">
        <v>42</v>
      </c>
      <c r="M225" s="241">
        <v>2.1265822784810127E-2</v>
      </c>
      <c r="N225" s="238">
        <v>84</v>
      </c>
      <c r="O225" s="239">
        <v>0.10592686002522068</v>
      </c>
      <c r="P225" s="237">
        <v>5</v>
      </c>
      <c r="Q225" s="237">
        <v>0</v>
      </c>
      <c r="R225" s="239">
        <v>0</v>
      </c>
      <c r="S225" s="238">
        <v>503</v>
      </c>
      <c r="T225" s="436">
        <v>0</v>
      </c>
      <c r="U225" s="436">
        <v>0</v>
      </c>
      <c r="V225" s="436">
        <v>0</v>
      </c>
      <c r="W225" s="436">
        <v>0</v>
      </c>
      <c r="X225" s="238">
        <v>2562</v>
      </c>
      <c r="Y225" s="237">
        <v>0.1351</v>
      </c>
      <c r="Z225" s="238">
        <v>33535</v>
      </c>
      <c r="AA225" s="238">
        <v>13115</v>
      </c>
      <c r="AB225" s="238">
        <v>80.13</v>
      </c>
      <c r="AC225" s="238">
        <v>87</v>
      </c>
      <c r="AD225" s="238">
        <v>3655329.5</v>
      </c>
      <c r="AE225" s="238">
        <v>147390.49999999907</v>
      </c>
      <c r="AF225" s="238">
        <v>2677441.8200000008</v>
      </c>
      <c r="AG225" s="238">
        <v>125205.97</v>
      </c>
      <c r="AH225" s="239">
        <v>4.6763283170052211E-2</v>
      </c>
      <c r="AI225" s="247">
        <v>79.919400999999993</v>
      </c>
      <c r="AJ225" s="242">
        <v>42.953622000000003</v>
      </c>
      <c r="AK225" s="242">
        <v>2.1748669367088609</v>
      </c>
      <c r="AL225" s="242">
        <v>22.030272</v>
      </c>
      <c r="AM225" s="242">
        <v>1.1154568101265823</v>
      </c>
      <c r="AN225" s="242">
        <v>16738.259999999998</v>
      </c>
      <c r="AO225" s="238">
        <v>3361.79</v>
      </c>
      <c r="AP225" s="243">
        <v>0</v>
      </c>
      <c r="AQ225" s="238">
        <v>1</v>
      </c>
      <c r="AR225" s="238">
        <v>1798.4617334995648</v>
      </c>
      <c r="AS225" s="238">
        <v>596.51792539686812</v>
      </c>
      <c r="AT225" s="238">
        <v>198501.66666666666</v>
      </c>
      <c r="AU225" s="238">
        <v>274.04796163228082</v>
      </c>
      <c r="AV225" s="237">
        <v>1</v>
      </c>
      <c r="AW225" s="237">
        <v>0</v>
      </c>
      <c r="AX225" s="237">
        <v>0</v>
      </c>
      <c r="AY225" s="244" t="s">
        <v>673</v>
      </c>
      <c r="AZ225" s="244" t="s">
        <v>717</v>
      </c>
      <c r="BA225" s="237">
        <v>2013</v>
      </c>
      <c r="BB225" s="245" t="s">
        <v>1491</v>
      </c>
      <c r="BC225" s="215" t="s">
        <v>1492</v>
      </c>
      <c r="BE225" s="237">
        <v>7</v>
      </c>
      <c r="BF225" s="237">
        <v>37</v>
      </c>
      <c r="BG225" s="246" t="s">
        <v>676</v>
      </c>
      <c r="BI225" s="239">
        <v>0.29955947136563876</v>
      </c>
      <c r="BJ225" s="239">
        <v>0.11784140969162996</v>
      </c>
      <c r="BK225" s="239">
        <v>0.56883259911894268</v>
      </c>
      <c r="BL225" s="239">
        <v>1.3766519823788546E-2</v>
      </c>
      <c r="BM225" s="247">
        <v>1.7031938325991189</v>
      </c>
      <c r="BN225" s="248">
        <v>1</v>
      </c>
      <c r="BO225" s="248">
        <v>0</v>
      </c>
      <c r="BP225" s="237">
        <v>0</v>
      </c>
      <c r="BQ225" s="237">
        <v>0</v>
      </c>
      <c r="BR225" s="248">
        <v>1</v>
      </c>
      <c r="BS225" s="237">
        <v>25</v>
      </c>
      <c r="BT225" s="237" t="s">
        <v>790</v>
      </c>
      <c r="BU225" s="249" t="s">
        <v>678</v>
      </c>
      <c r="BV225" s="249">
        <v>259</v>
      </c>
      <c r="BW225" s="249">
        <v>1239</v>
      </c>
      <c r="BX225" s="249" t="s">
        <v>678</v>
      </c>
      <c r="BY225" s="249" t="s">
        <v>678</v>
      </c>
      <c r="BZ225" s="249">
        <v>10.216962524654832</v>
      </c>
      <c r="CA225" s="249">
        <v>48.875739644970416</v>
      </c>
      <c r="CB225" s="249" t="s">
        <v>678</v>
      </c>
      <c r="CC225" s="250" t="s">
        <v>678</v>
      </c>
      <c r="CD225" s="242" t="s">
        <v>678</v>
      </c>
      <c r="CE225" s="252" t="s">
        <v>678</v>
      </c>
      <c r="CF225" s="238">
        <v>1248</v>
      </c>
      <c r="CG225" s="238">
        <v>157</v>
      </c>
      <c r="CH225" s="238">
        <v>6.1932938856015776</v>
      </c>
      <c r="CI225" s="216" t="s">
        <v>700</v>
      </c>
      <c r="CJ225" s="237">
        <v>0</v>
      </c>
      <c r="CK225" s="253">
        <v>96.21</v>
      </c>
      <c r="CL225" s="253">
        <v>201.37880000000001</v>
      </c>
      <c r="CM225" s="254">
        <v>0.10196394936708861</v>
      </c>
      <c r="CN225" s="237" t="s">
        <v>791</v>
      </c>
      <c r="CO225" s="242"/>
      <c r="CP225" s="255">
        <v>0</v>
      </c>
      <c r="CV225" s="237">
        <v>5</v>
      </c>
      <c r="CW225" s="261" t="s">
        <v>678</v>
      </c>
      <c r="CX225" s="261" t="s">
        <v>678</v>
      </c>
      <c r="CY225" s="261" t="s">
        <v>678</v>
      </c>
      <c r="DB225" s="216" t="s">
        <v>710</v>
      </c>
      <c r="DC225" s="195" t="s">
        <v>711</v>
      </c>
      <c r="DD225" s="256">
        <v>0.7</v>
      </c>
      <c r="DE225" s="256">
        <v>-6.5</v>
      </c>
      <c r="DF225" s="256">
        <v>0.7</v>
      </c>
      <c r="DG225" s="256">
        <v>-2.2000000000000002</v>
      </c>
      <c r="DH225" s="257">
        <v>4</v>
      </c>
      <c r="DI225" s="257">
        <v>5.8</v>
      </c>
      <c r="DJ225" s="257">
        <v>3.7</v>
      </c>
      <c r="DK225" s="257">
        <v>9.5</v>
      </c>
      <c r="DL225" s="237" t="s">
        <v>682</v>
      </c>
      <c r="DP225" s="258" t="s">
        <v>682</v>
      </c>
      <c r="DQ225" s="258"/>
      <c r="DR225" s="258"/>
      <c r="DS225" s="258"/>
      <c r="DT225" s="258"/>
      <c r="DU225" s="237">
        <v>0</v>
      </c>
      <c r="DX225" s="247"/>
      <c r="DY225" s="247">
        <v>0</v>
      </c>
      <c r="EA225" s="237">
        <v>0</v>
      </c>
      <c r="ED225" s="237" t="s">
        <v>678</v>
      </c>
      <c r="EE225" s="208">
        <v>4</v>
      </c>
      <c r="EF225" s="237" t="s">
        <v>678</v>
      </c>
      <c r="EG225" s="216" t="s">
        <v>733</v>
      </c>
      <c r="EH225" s="246" t="s">
        <v>734</v>
      </c>
      <c r="EI225" s="216"/>
      <c r="EJ225" s="216" t="s">
        <v>529</v>
      </c>
      <c r="EK225" s="222" t="s">
        <v>682</v>
      </c>
      <c r="EL225" s="259">
        <v>2005</v>
      </c>
      <c r="EM225" s="260">
        <v>5863.1</v>
      </c>
      <c r="EN225" s="260">
        <v>109027</v>
      </c>
      <c r="EO225" s="260">
        <v>93639</v>
      </c>
      <c r="ER225" s="237" t="s">
        <v>705</v>
      </c>
      <c r="ES225" s="237">
        <v>2535</v>
      </c>
      <c r="ET225" s="237">
        <v>15.970902764749022</v>
      </c>
      <c r="EU225" s="661">
        <v>3</v>
      </c>
      <c r="EV225" s="661">
        <v>3</v>
      </c>
      <c r="EW225" s="661">
        <v>6</v>
      </c>
      <c r="EX225" s="661">
        <v>9</v>
      </c>
      <c r="EY225" s="660">
        <v>4.8713924050632906E-2</v>
      </c>
      <c r="EZ225" s="256">
        <v>26.348612410352356</v>
      </c>
      <c r="FA225" s="247">
        <v>0.90252707581227432</v>
      </c>
      <c r="FB225" s="208">
        <v>5</v>
      </c>
      <c r="FC225" s="208">
        <v>5</v>
      </c>
      <c r="FD225" s="208">
        <v>3</v>
      </c>
      <c r="FE225" s="239">
        <v>0.78880866425992779</v>
      </c>
      <c r="FF225" s="208"/>
      <c r="FG225" s="241">
        <v>1.7148014440433214E-2</v>
      </c>
      <c r="FH225" s="209">
        <v>0</v>
      </c>
      <c r="FI225" s="237" t="s">
        <v>678</v>
      </c>
      <c r="FJ225" s="208">
        <v>31.6</v>
      </c>
      <c r="FK225" s="208">
        <v>0</v>
      </c>
      <c r="FL225" s="217">
        <v>8.9</v>
      </c>
      <c r="FM225" s="208">
        <v>0.32</v>
      </c>
      <c r="FN225" s="208" t="s">
        <v>1493</v>
      </c>
      <c r="FP225" s="247" t="s">
        <v>693</v>
      </c>
      <c r="FU225" s="208">
        <v>24</v>
      </c>
      <c r="FV225" s="208">
        <v>13</v>
      </c>
      <c r="FW225" s="237">
        <v>0</v>
      </c>
      <c r="FX225" s="237">
        <v>1</v>
      </c>
      <c r="FY225" s="208">
        <v>4.37</v>
      </c>
      <c r="FZ225" s="208">
        <v>7.3</v>
      </c>
      <c r="GA225" s="208">
        <v>17.25</v>
      </c>
      <c r="GB225" s="208">
        <v>4.7</v>
      </c>
      <c r="GC225" s="208" t="s">
        <v>678</v>
      </c>
      <c r="GD225" s="208" t="s">
        <v>678</v>
      </c>
      <c r="GE225" s="237">
        <v>12.07</v>
      </c>
      <c r="GF225" s="237">
        <v>4.4000000000000004</v>
      </c>
      <c r="GG225" s="237">
        <v>2.4300000000000002</v>
      </c>
      <c r="GH225" s="237">
        <v>24.1</v>
      </c>
      <c r="GJ225" s="947"/>
      <c r="GK225" s="320"/>
      <c r="GL225" s="320"/>
      <c r="GM225" s="320"/>
      <c r="GN225" s="320"/>
      <c r="GO225" s="662">
        <v>8222</v>
      </c>
      <c r="GP225" s="663" t="str">
        <f>VLOOKUP(GS225,'BD Comarcal'!$A$6:$AV$17,48,FALSE)</f>
        <v>03</v>
      </c>
      <c r="GQ225" s="564">
        <v>14</v>
      </c>
      <c r="GR225" s="256">
        <f t="shared" si="3"/>
        <v>1</v>
      </c>
      <c r="GS225" s="237" t="s">
        <v>791</v>
      </c>
    </row>
    <row r="226" spans="1:201" s="237" customFormat="1" ht="17.25" customHeight="1">
      <c r="A226" s="236" t="s">
        <v>1494</v>
      </c>
      <c r="C226" s="238"/>
      <c r="D226" s="238">
        <v>4096</v>
      </c>
      <c r="E226" s="238">
        <v>3732</v>
      </c>
      <c r="F226" s="239">
        <v>0.9111328125</v>
      </c>
      <c r="G226" s="238" t="s">
        <v>752</v>
      </c>
      <c r="H226" s="240">
        <v>1992.4627186843331</v>
      </c>
      <c r="I226" s="239">
        <v>0.5338860446635405</v>
      </c>
      <c r="J226" s="238">
        <v>70</v>
      </c>
      <c r="K226" s="238">
        <v>47</v>
      </c>
      <c r="L226" s="238">
        <v>2</v>
      </c>
      <c r="M226" s="241">
        <v>4.8828125E-4</v>
      </c>
      <c r="N226" s="238">
        <v>1</v>
      </c>
      <c r="O226" s="239">
        <v>1.4285714285714285E-2</v>
      </c>
      <c r="P226" s="237">
        <v>5</v>
      </c>
      <c r="Q226" s="237">
        <v>1</v>
      </c>
      <c r="R226" s="239">
        <v>0.2</v>
      </c>
      <c r="S226" s="238">
        <v>116</v>
      </c>
      <c r="T226" s="436">
        <v>0</v>
      </c>
      <c r="U226" s="436">
        <v>4</v>
      </c>
      <c r="V226" s="436">
        <v>11</v>
      </c>
      <c r="W226" s="436">
        <v>15</v>
      </c>
      <c r="X226" s="238">
        <v>2375</v>
      </c>
      <c r="Y226" s="237">
        <v>0.2147</v>
      </c>
      <c r="Z226" s="238">
        <v>27742</v>
      </c>
      <c r="AA226" s="238">
        <v>11656</v>
      </c>
      <c r="AB226" s="238">
        <v>71.22</v>
      </c>
      <c r="AC226" s="238">
        <v>820</v>
      </c>
      <c r="AD226" s="238">
        <v>2840620.87</v>
      </c>
      <c r="AE226" s="238">
        <v>173498.00999999978</v>
      </c>
      <c r="AF226" s="238">
        <v>2547677.35</v>
      </c>
      <c r="AG226" s="238">
        <v>286396.33</v>
      </c>
      <c r="AH226" s="239">
        <v>0.11241467841286888</v>
      </c>
      <c r="AI226" s="247">
        <v>45.120367000000002</v>
      </c>
      <c r="AJ226" s="242">
        <v>19.653403000000001</v>
      </c>
      <c r="AK226" s="242">
        <v>0.47981940917968752</v>
      </c>
      <c r="AL226" s="242">
        <v>81.026910000000001</v>
      </c>
      <c r="AM226" s="242">
        <v>1.978196044921875</v>
      </c>
      <c r="AN226" s="242">
        <v>31459.74</v>
      </c>
      <c r="AO226" s="238">
        <v>23306.21</v>
      </c>
      <c r="AP226" s="243">
        <v>0</v>
      </c>
      <c r="AQ226" s="238">
        <v>1</v>
      </c>
      <c r="AR226" s="238">
        <v>1424.6095801608815</v>
      </c>
      <c r="AS226" s="238">
        <v>1498.0900875920454</v>
      </c>
      <c r="AT226" s="238">
        <v>130299</v>
      </c>
      <c r="AU226" s="238">
        <v>271.76121281503208</v>
      </c>
      <c r="AV226" s="237">
        <v>1</v>
      </c>
      <c r="AW226" s="237">
        <v>1</v>
      </c>
      <c r="AX226" s="237">
        <v>1</v>
      </c>
      <c r="AY226" s="244" t="s">
        <v>717</v>
      </c>
      <c r="AZ226" s="244" t="s">
        <v>673</v>
      </c>
      <c r="BA226" s="237">
        <v>0</v>
      </c>
      <c r="BB226" s="245" t="s">
        <v>839</v>
      </c>
      <c r="BC226" s="215" t="s">
        <v>840</v>
      </c>
      <c r="BD226" s="237">
        <v>1</v>
      </c>
      <c r="BE226" s="237">
        <v>0</v>
      </c>
      <c r="BF226" s="237">
        <v>30</v>
      </c>
      <c r="BG226" s="246" t="s">
        <v>698</v>
      </c>
      <c r="BI226" s="239">
        <v>0.54614932392710169</v>
      </c>
      <c r="BJ226" s="239">
        <v>0.2257495590828924</v>
      </c>
      <c r="BK226" s="239">
        <v>0.21810699588477367</v>
      </c>
      <c r="BL226" s="239">
        <v>9.9941211052322169E-3</v>
      </c>
      <c r="BM226" s="247">
        <v>2.3080540858318637</v>
      </c>
      <c r="BN226" s="248">
        <v>1</v>
      </c>
      <c r="BO226" s="248">
        <v>0</v>
      </c>
      <c r="BP226" s="237">
        <v>0</v>
      </c>
      <c r="BQ226" s="237">
        <v>0</v>
      </c>
      <c r="BR226" s="248">
        <v>1</v>
      </c>
      <c r="BS226" s="237">
        <v>21</v>
      </c>
      <c r="BT226" s="237" t="s">
        <v>947</v>
      </c>
      <c r="BU226" s="249" t="s">
        <v>678</v>
      </c>
      <c r="BV226" s="249">
        <v>360</v>
      </c>
      <c r="BW226" s="249">
        <v>1219</v>
      </c>
      <c r="BX226" s="249" t="s">
        <v>678</v>
      </c>
      <c r="BY226" s="249" t="s">
        <v>678</v>
      </c>
      <c r="BZ226" s="249">
        <v>14.993752603082049</v>
      </c>
      <c r="CA226" s="249">
        <v>50.770512286547273</v>
      </c>
      <c r="CB226" s="249" t="s">
        <v>678</v>
      </c>
      <c r="CC226" s="250" t="s">
        <v>678</v>
      </c>
      <c r="CD226" s="242" t="s">
        <v>678</v>
      </c>
      <c r="CE226" s="252" t="s">
        <v>678</v>
      </c>
      <c r="CF226" s="238">
        <v>1344</v>
      </c>
      <c r="CG226" s="238">
        <v>161</v>
      </c>
      <c r="CH226" s="238">
        <v>6.7055393586005829</v>
      </c>
      <c r="CI226" s="216" t="s">
        <v>679</v>
      </c>
      <c r="CJ226" s="237">
        <v>0</v>
      </c>
      <c r="CK226" s="253">
        <v>56.35</v>
      </c>
      <c r="CL226" s="253">
        <v>90.466899999999995</v>
      </c>
      <c r="CM226" s="254">
        <v>2.2086645507812499E-2</v>
      </c>
      <c r="CN226" s="237" t="s">
        <v>89</v>
      </c>
      <c r="CO226" s="242">
        <v>2448.9</v>
      </c>
      <c r="CP226" s="255">
        <v>0.59787597656250002</v>
      </c>
      <c r="CV226" s="237">
        <v>3</v>
      </c>
      <c r="CW226" s="261" t="s">
        <v>678</v>
      </c>
      <c r="CX226" s="261" t="s">
        <v>678</v>
      </c>
      <c r="CY226" s="261" t="s">
        <v>678</v>
      </c>
      <c r="DB226" s="216" t="s">
        <v>681</v>
      </c>
      <c r="DC226" s="256"/>
      <c r="DD226" s="256">
        <v>0.8</v>
      </c>
      <c r="DE226" s="256">
        <v>-10</v>
      </c>
      <c r="DF226" s="256">
        <v>0.5</v>
      </c>
      <c r="DG226" s="256">
        <v>-2.2999999999999998</v>
      </c>
      <c r="DH226" s="257">
        <v>7</v>
      </c>
      <c r="DI226" s="257">
        <v>2519.42</v>
      </c>
      <c r="DJ226" s="257">
        <v>516.72</v>
      </c>
      <c r="DK226" s="257">
        <v>3036.14</v>
      </c>
      <c r="DL226" s="237" t="s">
        <v>682</v>
      </c>
      <c r="DO226" s="237">
        <v>1</v>
      </c>
      <c r="DP226" s="258" t="s">
        <v>682</v>
      </c>
      <c r="DQ226" s="258"/>
      <c r="DR226" s="258"/>
      <c r="DS226" s="258"/>
      <c r="DT226" s="258"/>
      <c r="DU226" s="237">
        <v>0</v>
      </c>
      <c r="DX226" s="247"/>
      <c r="DY226" s="247">
        <v>0</v>
      </c>
      <c r="EA226" s="237">
        <v>0</v>
      </c>
      <c r="ED226" s="237" t="s">
        <v>687</v>
      </c>
      <c r="EE226" s="208">
        <v>0</v>
      </c>
      <c r="EF226" s="237" t="s">
        <v>688</v>
      </c>
      <c r="EG226" s="216" t="s">
        <v>715</v>
      </c>
      <c r="EH226" s="246" t="s">
        <v>690</v>
      </c>
      <c r="EI226" s="216" t="s">
        <v>689</v>
      </c>
      <c r="EJ226" s="216" t="s">
        <v>529</v>
      </c>
      <c r="EK226" s="222" t="s">
        <v>529</v>
      </c>
      <c r="EL226" s="259">
        <v>1997</v>
      </c>
      <c r="EM226" s="260">
        <v>2110</v>
      </c>
      <c r="EN226" s="260">
        <v>102702</v>
      </c>
      <c r="EO226" s="260">
        <v>28217</v>
      </c>
      <c r="ER226" s="237" t="s">
        <v>705</v>
      </c>
      <c r="ES226" s="237">
        <v>2401</v>
      </c>
      <c r="ET226" s="237">
        <v>13.372985781990522</v>
      </c>
      <c r="EU226" s="661">
        <v>2</v>
      </c>
      <c r="EV226" s="661">
        <v>1</v>
      </c>
      <c r="EW226" s="661">
        <v>1</v>
      </c>
      <c r="EX226" s="661">
        <v>3</v>
      </c>
      <c r="EY226" s="660">
        <v>1.375732421875E-2</v>
      </c>
      <c r="EZ226" s="256">
        <v>42.608695652173914</v>
      </c>
      <c r="FA226" s="247">
        <v>8.0385852090032156E-2</v>
      </c>
      <c r="FB226" s="208">
        <v>2</v>
      </c>
      <c r="FC226" s="208">
        <v>3</v>
      </c>
      <c r="FD226" s="208">
        <v>2</v>
      </c>
      <c r="FE226" s="239" t="s">
        <v>678</v>
      </c>
      <c r="FF226" s="208"/>
      <c r="FG226" s="241">
        <v>0.8135423365487674</v>
      </c>
      <c r="FH226" s="209">
        <v>0</v>
      </c>
      <c r="FI226" s="237" t="s">
        <v>678</v>
      </c>
      <c r="FJ226" s="208">
        <v>63.7</v>
      </c>
      <c r="FK226" s="208">
        <v>29.21</v>
      </c>
      <c r="FL226" s="217">
        <v>71</v>
      </c>
      <c r="FM226" s="208">
        <v>5.93</v>
      </c>
      <c r="FN226" s="208" t="s">
        <v>1495</v>
      </c>
      <c r="FP226" s="247" t="s">
        <v>693</v>
      </c>
      <c r="FU226" s="208">
        <v>52</v>
      </c>
      <c r="FV226" s="208">
        <v>78.8</v>
      </c>
      <c r="FW226" s="237">
        <v>45.36</v>
      </c>
      <c r="FX226" s="237">
        <v>23.4</v>
      </c>
      <c r="FY226" s="208">
        <v>32.72</v>
      </c>
      <c r="FZ226" s="208">
        <v>49.5</v>
      </c>
      <c r="GA226" s="208">
        <v>46.19</v>
      </c>
      <c r="GB226" s="208">
        <v>46.7</v>
      </c>
      <c r="GC226" s="208">
        <v>0.32</v>
      </c>
      <c r="GD226" s="208">
        <v>50.1</v>
      </c>
      <c r="GE226" s="237">
        <v>39.950000000000003</v>
      </c>
      <c r="GF226" s="237">
        <v>50.3</v>
      </c>
      <c r="GG226" s="237">
        <v>2.4500000000000002</v>
      </c>
      <c r="GH226" s="237">
        <v>24.5</v>
      </c>
      <c r="GJ226" s="947"/>
      <c r="GK226" s="320"/>
      <c r="GL226" s="320"/>
      <c r="GM226" s="320"/>
      <c r="GN226" s="320"/>
      <c r="GO226" s="662">
        <v>8223</v>
      </c>
      <c r="GP226" s="663" t="str">
        <f>VLOOKUP(GS226,'BD Comarcal'!$A$6:$AV$17,48,FALSE)</f>
        <v>40</v>
      </c>
      <c r="GQ226" s="564">
        <v>25</v>
      </c>
      <c r="GR226" s="256">
        <f t="shared" si="3"/>
        <v>1</v>
      </c>
      <c r="GS226" s="237" t="s">
        <v>89</v>
      </c>
    </row>
    <row r="227" spans="1:201" s="237" customFormat="1" ht="17.25" customHeight="1">
      <c r="A227" s="236" t="s">
        <v>1496</v>
      </c>
      <c r="C227" s="238"/>
      <c r="D227" s="238">
        <v>2570</v>
      </c>
      <c r="E227" s="238">
        <v>1970</v>
      </c>
      <c r="F227" s="239">
        <v>0.7665369649805448</v>
      </c>
      <c r="G227" s="238">
        <v>1970</v>
      </c>
      <c r="H227" s="240">
        <v>1488.3697604029371</v>
      </c>
      <c r="I227" s="239">
        <v>0.75551764487458739</v>
      </c>
      <c r="J227" s="238">
        <v>488</v>
      </c>
      <c r="K227" s="238">
        <v>337</v>
      </c>
      <c r="L227" s="238">
        <v>27</v>
      </c>
      <c r="M227" s="241">
        <v>1.0505836575875487E-2</v>
      </c>
      <c r="N227" s="238">
        <v>0</v>
      </c>
      <c r="O227" s="239">
        <v>0</v>
      </c>
      <c r="P227" s="237">
        <v>13</v>
      </c>
      <c r="Q227" s="237">
        <v>0</v>
      </c>
      <c r="R227" s="239">
        <v>0</v>
      </c>
      <c r="S227" s="238">
        <v>1131</v>
      </c>
      <c r="T227" s="436">
        <v>0</v>
      </c>
      <c r="U227" s="436">
        <v>0</v>
      </c>
      <c r="V227" s="436">
        <v>0</v>
      </c>
      <c r="W227" s="436">
        <v>0</v>
      </c>
      <c r="X227" s="238">
        <v>1122</v>
      </c>
      <c r="Y227" s="237">
        <v>0.13819999999999999</v>
      </c>
      <c r="Z227" s="238">
        <v>19481</v>
      </c>
      <c r="AA227" s="238">
        <v>17662</v>
      </c>
      <c r="AB227" s="238">
        <v>107.92</v>
      </c>
      <c r="AC227" s="238">
        <v>75</v>
      </c>
      <c r="AD227" s="238">
        <v>1283697.82</v>
      </c>
      <c r="AE227" s="238">
        <v>225697.83999999997</v>
      </c>
      <c r="AF227" s="238">
        <v>952503.02999999991</v>
      </c>
      <c r="AG227" s="238">
        <v>189323.24</v>
      </c>
      <c r="AH227" s="239">
        <v>0.1987639241420576</v>
      </c>
      <c r="AI227" s="247">
        <v>58.089858</v>
      </c>
      <c r="AJ227" s="242">
        <v>9.5040680000000002</v>
      </c>
      <c r="AK227" s="242">
        <v>0.36980809338521398</v>
      </c>
      <c r="AL227" s="242">
        <v>23.978619999999999</v>
      </c>
      <c r="AM227" s="242">
        <v>0.93302023346303509</v>
      </c>
      <c r="AN227" s="242">
        <v>11920.35</v>
      </c>
      <c r="AO227" s="238">
        <v>0</v>
      </c>
      <c r="AP227" s="243">
        <v>0</v>
      </c>
      <c r="AQ227" s="238"/>
      <c r="AR227" s="238">
        <v>1203.9247486819247</v>
      </c>
      <c r="AS227" s="238">
        <v>2398.0589548476423</v>
      </c>
      <c r="AT227" s="238">
        <v>69693</v>
      </c>
      <c r="AU227" s="238">
        <v>292.71618552979305</v>
      </c>
      <c r="AV227" s="237">
        <v>1</v>
      </c>
      <c r="AW227" s="237">
        <v>0</v>
      </c>
      <c r="AX227" s="237">
        <v>1</v>
      </c>
      <c r="AY227" s="244" t="s">
        <v>682</v>
      </c>
      <c r="AZ227" s="244" t="s">
        <v>726</v>
      </c>
      <c r="BA227" s="237">
        <v>2014</v>
      </c>
      <c r="BB227" s="245" t="s">
        <v>813</v>
      </c>
      <c r="BC227" s="215" t="s">
        <v>814</v>
      </c>
      <c r="BE227" s="237">
        <v>0</v>
      </c>
      <c r="BF227" s="237">
        <v>83</v>
      </c>
      <c r="BG227" s="246" t="s">
        <v>698</v>
      </c>
      <c r="BI227" s="239">
        <v>0.38377723970944311</v>
      </c>
      <c r="BJ227" s="239">
        <v>3.026634382566586E-2</v>
      </c>
      <c r="BK227" s="239">
        <v>0.54600484261501214</v>
      </c>
      <c r="BL227" s="239">
        <v>3.9951573849878935E-2</v>
      </c>
      <c r="BM227" s="247">
        <v>1.757869249394673</v>
      </c>
      <c r="BN227" s="248">
        <v>0</v>
      </c>
      <c r="BO227" s="248">
        <v>0</v>
      </c>
      <c r="BP227" s="237">
        <v>0</v>
      </c>
      <c r="BQ227" s="237">
        <v>0</v>
      </c>
      <c r="BR227" s="248">
        <v>0</v>
      </c>
      <c r="BS227" s="237">
        <v>21</v>
      </c>
      <c r="BT227" s="237" t="s">
        <v>815</v>
      </c>
      <c r="BU227" s="249" t="s">
        <v>678</v>
      </c>
      <c r="BV227" s="249">
        <v>117</v>
      </c>
      <c r="BW227" s="249">
        <v>531</v>
      </c>
      <c r="BX227" s="249" t="s">
        <v>678</v>
      </c>
      <c r="BY227" s="249" t="s">
        <v>678</v>
      </c>
      <c r="BZ227" s="249">
        <v>10.550045085662759</v>
      </c>
      <c r="CA227" s="249">
        <v>47.880973850315598</v>
      </c>
      <c r="CB227" s="249" t="s">
        <v>678</v>
      </c>
      <c r="CC227" s="250" t="s">
        <v>678</v>
      </c>
      <c r="CD227" s="242" t="s">
        <v>678</v>
      </c>
      <c r="CE227" s="252" t="s">
        <v>678</v>
      </c>
      <c r="CF227" s="238">
        <v>557</v>
      </c>
      <c r="CG227" s="238">
        <v>111.1</v>
      </c>
      <c r="CH227" s="238">
        <v>10.018034265103697</v>
      </c>
      <c r="CI227" s="216" t="s">
        <v>722</v>
      </c>
      <c r="CJ227" s="237">
        <v>1</v>
      </c>
      <c r="CK227" s="253">
        <v>68.69</v>
      </c>
      <c r="CL227" s="253">
        <v>13.0167</v>
      </c>
      <c r="CM227" s="254">
        <v>5.0648638132295724E-3</v>
      </c>
      <c r="CN227" s="237" t="s">
        <v>88</v>
      </c>
      <c r="CO227" s="242">
        <v>769.44</v>
      </c>
      <c r="CP227" s="255">
        <v>0.29939299610894943</v>
      </c>
      <c r="CV227" s="237">
        <v>1</v>
      </c>
      <c r="CW227" s="261" t="s">
        <v>678</v>
      </c>
      <c r="CX227" s="261" t="s">
        <v>678</v>
      </c>
      <c r="CY227" s="261" t="s">
        <v>678</v>
      </c>
      <c r="DB227" s="216" t="s">
        <v>710</v>
      </c>
      <c r="DC227" s="195" t="s">
        <v>711</v>
      </c>
      <c r="DD227" s="256">
        <v>0.8</v>
      </c>
      <c r="DE227" s="256">
        <v>-10</v>
      </c>
      <c r="DF227" s="256">
        <v>0.5</v>
      </c>
      <c r="DG227" s="256">
        <v>-2.2999999999999998</v>
      </c>
      <c r="DH227" s="257">
        <v>3</v>
      </c>
      <c r="DI227" s="257">
        <v>5</v>
      </c>
      <c r="DJ227" s="257">
        <v>2.08</v>
      </c>
      <c r="DK227" s="257">
        <v>7.08</v>
      </c>
      <c r="DL227" s="237" t="s">
        <v>682</v>
      </c>
      <c r="DP227" s="258" t="s">
        <v>682</v>
      </c>
      <c r="DQ227" s="258"/>
      <c r="DR227" s="258"/>
      <c r="DS227" s="258"/>
      <c r="DT227" s="258"/>
      <c r="DU227" s="237">
        <v>0</v>
      </c>
      <c r="DX227" s="247"/>
      <c r="DY227" s="247">
        <v>0</v>
      </c>
      <c r="EA227" s="237">
        <v>0</v>
      </c>
      <c r="ED227" s="237" t="s">
        <v>1497</v>
      </c>
      <c r="EE227" s="208">
        <v>1</v>
      </c>
      <c r="EF227" s="237" t="s">
        <v>688</v>
      </c>
      <c r="EG227" s="216" t="s">
        <v>733</v>
      </c>
      <c r="EH227" s="246" t="s">
        <v>734</v>
      </c>
      <c r="EI227" s="216"/>
      <c r="EJ227" s="216" t="s">
        <v>529</v>
      </c>
      <c r="EK227" s="222" t="s">
        <v>682</v>
      </c>
      <c r="EL227" s="259">
        <v>2003</v>
      </c>
      <c r="EM227" s="260">
        <v>2050</v>
      </c>
      <c r="EN227" s="260">
        <v>51346</v>
      </c>
      <c r="EO227" s="260">
        <v>21782</v>
      </c>
      <c r="EP227" s="237">
        <v>1</v>
      </c>
      <c r="EQ227" s="237">
        <v>63</v>
      </c>
      <c r="ER227" s="237" t="s">
        <v>705</v>
      </c>
      <c r="ES227" s="237" t="e">
        <v>#DIV/0!</v>
      </c>
      <c r="ET227" s="237">
        <v>10.625365853658536</v>
      </c>
      <c r="EU227" s="661">
        <v>5</v>
      </c>
      <c r="EV227" s="661" t="s">
        <v>678</v>
      </c>
      <c r="EW227" s="661">
        <v>2</v>
      </c>
      <c r="EX227" s="661">
        <v>1</v>
      </c>
      <c r="EY227" s="660">
        <v>2.6727626459143967E-2</v>
      </c>
      <c r="EZ227" s="256">
        <v>16.144999272092008</v>
      </c>
      <c r="FA227" s="247">
        <v>5.0761421319796954E-2</v>
      </c>
      <c r="FB227" s="208">
        <v>2</v>
      </c>
      <c r="FC227" s="208">
        <v>2</v>
      </c>
      <c r="FD227" s="208">
        <v>3</v>
      </c>
      <c r="FE227" s="239">
        <v>1</v>
      </c>
      <c r="FF227" s="208">
        <v>1</v>
      </c>
      <c r="FG227" s="241">
        <v>3.5939086294416245E-3</v>
      </c>
      <c r="FH227" s="209">
        <v>0</v>
      </c>
      <c r="FI227" s="237" t="s">
        <v>678</v>
      </c>
      <c r="FJ227" s="208">
        <v>66.8</v>
      </c>
      <c r="FK227" s="208">
        <v>25.49</v>
      </c>
      <c r="FL227" s="217">
        <v>67</v>
      </c>
      <c r="FM227" s="208">
        <v>13.88</v>
      </c>
      <c r="FN227" s="208" t="s">
        <v>1498</v>
      </c>
      <c r="FP227" s="247" t="s">
        <v>693</v>
      </c>
      <c r="FU227" s="208">
        <v>51</v>
      </c>
      <c r="FV227" s="208">
        <v>77.3</v>
      </c>
      <c r="FW227" s="237">
        <v>82.22</v>
      </c>
      <c r="FX227" s="237">
        <v>69.099999999999994</v>
      </c>
      <c r="FY227" s="208">
        <v>87.3</v>
      </c>
      <c r="FZ227" s="208">
        <v>82.3</v>
      </c>
      <c r="GA227" s="208">
        <v>73.349999999999994</v>
      </c>
      <c r="GB227" s="208">
        <v>83.7</v>
      </c>
      <c r="GC227" s="208">
        <v>0.44</v>
      </c>
      <c r="GD227" s="208">
        <v>61.2</v>
      </c>
      <c r="GE227" s="237">
        <v>69.709999999999994</v>
      </c>
      <c r="GF227" s="237">
        <v>85.7</v>
      </c>
      <c r="GG227" s="237">
        <v>2.2799999999999998</v>
      </c>
      <c r="GH227" s="237">
        <v>22.7</v>
      </c>
      <c r="GJ227" s="947"/>
      <c r="GK227" s="320"/>
      <c r="GL227" s="320"/>
      <c r="GM227" s="320"/>
      <c r="GN227" s="320"/>
      <c r="GO227" s="662">
        <v>8224</v>
      </c>
      <c r="GP227" s="663" t="str">
        <f>VLOOKUP(GS227,'BD Comarcal'!$A$6:$AV$17,48,FALSE)</f>
        <v>24</v>
      </c>
      <c r="GQ227" s="564">
        <v>12</v>
      </c>
      <c r="GR227" s="256">
        <f t="shared" si="3"/>
        <v>1</v>
      </c>
      <c r="GS227" s="237" t="s">
        <v>88</v>
      </c>
    </row>
    <row r="228" spans="1:201" s="237" customFormat="1" ht="17.25" customHeight="1">
      <c r="A228" s="236" t="s">
        <v>1499</v>
      </c>
      <c r="C228" s="238"/>
      <c r="D228" s="238">
        <v>1480</v>
      </c>
      <c r="E228" s="238">
        <v>711</v>
      </c>
      <c r="F228" s="239">
        <v>0.48040540540540538</v>
      </c>
      <c r="G228" s="238">
        <v>615</v>
      </c>
      <c r="H228" s="240">
        <v>564.77122283439883</v>
      </c>
      <c r="I228" s="239">
        <v>0.79433364674317697</v>
      </c>
      <c r="J228" s="238">
        <v>379</v>
      </c>
      <c r="K228" s="238">
        <v>142</v>
      </c>
      <c r="L228" s="238">
        <v>6</v>
      </c>
      <c r="M228" s="241">
        <v>4.0540540540540543E-3</v>
      </c>
      <c r="N228" s="238">
        <v>0</v>
      </c>
      <c r="O228" s="239">
        <v>0</v>
      </c>
      <c r="P228" s="237">
        <v>19</v>
      </c>
      <c r="Q228" s="237">
        <v>0</v>
      </c>
      <c r="R228" s="239">
        <v>0</v>
      </c>
      <c r="S228" s="238">
        <v>4049</v>
      </c>
      <c r="T228" s="436">
        <v>0</v>
      </c>
      <c r="U228" s="436">
        <v>0</v>
      </c>
      <c r="V228" s="436">
        <v>0</v>
      </c>
      <c r="W228" s="436">
        <v>0</v>
      </c>
      <c r="X228" s="238">
        <v>108</v>
      </c>
      <c r="Y228" s="237">
        <v>0.28299999999999997</v>
      </c>
      <c r="Z228" s="238">
        <v>1943</v>
      </c>
      <c r="AA228" s="238">
        <v>17662</v>
      </c>
      <c r="AB228" s="238">
        <v>107.92</v>
      </c>
      <c r="AC228" s="238">
        <v>21</v>
      </c>
      <c r="AD228" s="238">
        <v>336726.18</v>
      </c>
      <c r="AE228" s="238">
        <v>216348.41</v>
      </c>
      <c r="AF228" s="238">
        <v>159592.61000000002</v>
      </c>
      <c r="AG228" s="238">
        <v>1000</v>
      </c>
      <c r="AH228" s="239">
        <v>6.265954294500227E-3</v>
      </c>
      <c r="AI228" s="247">
        <v>3.6920709999999999</v>
      </c>
      <c r="AJ228" s="242">
        <v>532.77</v>
      </c>
      <c r="AK228" s="242">
        <v>35.997972972972974</v>
      </c>
      <c r="AL228" s="242" t="s">
        <v>678</v>
      </c>
      <c r="AM228" s="242" t="s">
        <v>678</v>
      </c>
      <c r="AN228" s="242">
        <v>8867.74</v>
      </c>
      <c r="AO228" s="238">
        <v>2772.79</v>
      </c>
      <c r="AP228" s="243">
        <v>15</v>
      </c>
      <c r="AQ228" s="238"/>
      <c r="AR228" s="238">
        <v>1162.6554126167337</v>
      </c>
      <c r="AS228" s="238">
        <v>926.93765787440896</v>
      </c>
      <c r="AT228" s="238">
        <v>37316</v>
      </c>
      <c r="AU228" s="238">
        <v>266.91575181786243</v>
      </c>
      <c r="AV228" s="237">
        <v>1</v>
      </c>
      <c r="AW228" s="237">
        <v>1</v>
      </c>
      <c r="AX228" s="237">
        <v>1</v>
      </c>
      <c r="AY228" s="244" t="s">
        <v>726</v>
      </c>
      <c r="AZ228" s="244" t="s">
        <v>695</v>
      </c>
      <c r="BA228" s="237">
        <v>0</v>
      </c>
      <c r="BB228" s="245" t="s">
        <v>718</v>
      </c>
      <c r="BC228" s="215" t="s">
        <v>719</v>
      </c>
      <c r="BE228" s="237">
        <v>0</v>
      </c>
      <c r="BF228" s="237">
        <v>10</v>
      </c>
      <c r="BG228" s="246" t="s">
        <v>720</v>
      </c>
      <c r="BI228" s="239">
        <v>0.81052631578947365</v>
      </c>
      <c r="BJ228" s="239">
        <v>3.1578947368421054E-2</v>
      </c>
      <c r="BK228" s="239">
        <v>0.14736842105263157</v>
      </c>
      <c r="BL228" s="239">
        <v>1.0526315789473684E-2</v>
      </c>
      <c r="BM228" s="247">
        <v>2.642105263157895</v>
      </c>
      <c r="BN228" s="248">
        <v>0</v>
      </c>
      <c r="BO228" s="248">
        <v>0</v>
      </c>
      <c r="BP228" s="237">
        <v>0</v>
      </c>
      <c r="BQ228" s="237">
        <v>0</v>
      </c>
      <c r="BR228" s="248">
        <v>0</v>
      </c>
      <c r="BS228" s="237">
        <v>27.4</v>
      </c>
      <c r="BT228" s="237" t="s">
        <v>815</v>
      </c>
      <c r="BU228" s="249" t="s">
        <v>678</v>
      </c>
      <c r="BV228" s="249" t="s">
        <v>678</v>
      </c>
      <c r="BW228" s="249" t="s">
        <v>678</v>
      </c>
      <c r="BX228" s="249" t="s">
        <v>678</v>
      </c>
      <c r="BY228" s="249" t="s">
        <v>678</v>
      </c>
      <c r="BZ228" s="249" t="s">
        <v>678</v>
      </c>
      <c r="CA228" s="249" t="s">
        <v>678</v>
      </c>
      <c r="CB228" s="249" t="s">
        <v>678</v>
      </c>
      <c r="CC228" s="250" t="s">
        <v>678</v>
      </c>
      <c r="CD228" s="242" t="s">
        <v>678</v>
      </c>
      <c r="CE228" s="252" t="s">
        <v>678</v>
      </c>
      <c r="CF228" s="238">
        <v>83</v>
      </c>
      <c r="CG228" s="238">
        <v>4.5</v>
      </c>
      <c r="CH228" s="238">
        <v>4.2857142857142856</v>
      </c>
      <c r="CI228" s="216" t="s">
        <v>756</v>
      </c>
      <c r="CJ228" s="237">
        <v>1</v>
      </c>
      <c r="CK228" s="253">
        <v>5.17</v>
      </c>
      <c r="CL228" s="253">
        <v>0</v>
      </c>
      <c r="CM228" s="254">
        <v>0</v>
      </c>
      <c r="CN228" s="237" t="s">
        <v>88</v>
      </c>
      <c r="CO228" s="242"/>
      <c r="CP228" s="255">
        <v>0</v>
      </c>
      <c r="CV228" s="237">
        <v>1</v>
      </c>
      <c r="CW228" s="261" t="s">
        <v>678</v>
      </c>
      <c r="CX228" s="261" t="s">
        <v>678</v>
      </c>
      <c r="CY228" s="261" t="s">
        <v>678</v>
      </c>
      <c r="DB228" s="216" t="s">
        <v>1017</v>
      </c>
      <c r="DC228" s="195" t="s">
        <v>1018</v>
      </c>
      <c r="DD228" s="256">
        <v>0.8</v>
      </c>
      <c r="DE228" s="256">
        <v>-9</v>
      </c>
      <c r="DF228" s="256">
        <v>-0.3</v>
      </c>
      <c r="DG228" s="256">
        <v>-2.6</v>
      </c>
      <c r="DH228" s="257">
        <v>1</v>
      </c>
      <c r="DI228" s="257">
        <v>3.8</v>
      </c>
      <c r="DJ228" s="257">
        <v>0</v>
      </c>
      <c r="DK228" s="257">
        <v>3.8</v>
      </c>
      <c r="DL228" s="237" t="s">
        <v>529</v>
      </c>
      <c r="DN228" s="237" t="s">
        <v>770</v>
      </c>
      <c r="DO228" s="237">
        <v>1</v>
      </c>
      <c r="DP228" s="258" t="s">
        <v>682</v>
      </c>
      <c r="DQ228" s="258"/>
      <c r="DR228" s="258"/>
      <c r="DS228" s="258"/>
      <c r="DT228" s="258"/>
      <c r="DU228" s="237">
        <v>0</v>
      </c>
      <c r="DX228" s="247"/>
      <c r="DY228" s="247">
        <v>0</v>
      </c>
      <c r="EA228" s="237">
        <v>0</v>
      </c>
      <c r="ED228" s="237" t="s">
        <v>678</v>
      </c>
      <c r="EE228" s="208">
        <v>1</v>
      </c>
      <c r="EF228" s="237" t="s">
        <v>678</v>
      </c>
      <c r="EG228" s="216" t="s">
        <v>703</v>
      </c>
      <c r="EH228" s="246" t="s">
        <v>704</v>
      </c>
      <c r="EI228" s="216"/>
      <c r="EJ228" s="216" t="s">
        <v>529</v>
      </c>
      <c r="EK228" s="222" t="s">
        <v>682</v>
      </c>
      <c r="EL228" s="259">
        <v>2010</v>
      </c>
      <c r="EM228" s="263">
        <v>420</v>
      </c>
      <c r="EN228" s="260">
        <v>4240</v>
      </c>
      <c r="EO228" s="260">
        <v>40883</v>
      </c>
      <c r="ER228" s="237" t="s">
        <v>705</v>
      </c>
      <c r="ES228" s="237" t="e">
        <v>#DIV/0!</v>
      </c>
      <c r="ET228" s="237">
        <v>97.340476190476195</v>
      </c>
      <c r="EU228" s="661">
        <v>5</v>
      </c>
      <c r="EV228" s="661" t="s">
        <v>678</v>
      </c>
      <c r="EW228" s="661">
        <v>2</v>
      </c>
      <c r="EX228" s="661">
        <v>2</v>
      </c>
      <c r="EY228" s="660">
        <v>3.4932432432432433E-3</v>
      </c>
      <c r="EZ228" s="256">
        <v>20.309477756286267</v>
      </c>
      <c r="FA228" s="247">
        <v>0.14064697609001406</v>
      </c>
      <c r="FB228" s="208">
        <v>2</v>
      </c>
      <c r="FC228" s="208">
        <v>2</v>
      </c>
      <c r="FD228" s="208">
        <v>2</v>
      </c>
      <c r="FE228" s="239">
        <v>0.86497890295358648</v>
      </c>
      <c r="FF228" s="208">
        <v>1</v>
      </c>
      <c r="FG228" s="241">
        <v>5.3445850914205341E-3</v>
      </c>
      <c r="FH228" s="209">
        <v>0</v>
      </c>
      <c r="FI228" s="237" t="s">
        <v>678</v>
      </c>
      <c r="FJ228" s="208">
        <v>49.6</v>
      </c>
      <c r="FK228" s="208">
        <v>0</v>
      </c>
      <c r="FL228" s="217">
        <v>9</v>
      </c>
      <c r="FM228" s="208">
        <v>8.1</v>
      </c>
      <c r="FN228" s="208" t="s">
        <v>1500</v>
      </c>
      <c r="FP228" s="247" t="s">
        <v>693</v>
      </c>
      <c r="FR228" s="237">
        <v>12</v>
      </c>
      <c r="FS228" s="237">
        <v>3</v>
      </c>
      <c r="FT228" s="237">
        <v>1</v>
      </c>
      <c r="FU228" s="208">
        <v>33</v>
      </c>
      <c r="FV228" s="208">
        <v>34.9</v>
      </c>
      <c r="FW228" s="237">
        <v>50</v>
      </c>
      <c r="FX228" s="237">
        <v>27.4</v>
      </c>
      <c r="FY228" s="208">
        <v>26.71</v>
      </c>
      <c r="FZ228" s="208">
        <v>42.9</v>
      </c>
      <c r="GA228" s="208">
        <v>44.5</v>
      </c>
      <c r="GB228" s="208">
        <v>43.8</v>
      </c>
      <c r="GC228" s="208">
        <v>0.46</v>
      </c>
      <c r="GD228" s="208">
        <v>62.8</v>
      </c>
      <c r="GE228" s="237">
        <v>38.369999999999997</v>
      </c>
      <c r="GF228" s="237">
        <v>47.6</v>
      </c>
      <c r="GG228" s="237">
        <v>22.66</v>
      </c>
      <c r="GH228" s="237">
        <v>96.9</v>
      </c>
      <c r="GJ228" s="947"/>
      <c r="GK228" s="320"/>
      <c r="GL228" s="320"/>
      <c r="GM228" s="320"/>
      <c r="GN228" s="320"/>
      <c r="GO228" s="662">
        <v>8225</v>
      </c>
      <c r="GP228" s="663" t="str">
        <f>VLOOKUP(GS228,'BD Comarcal'!$A$6:$AV$17,48,FALSE)</f>
        <v>24</v>
      </c>
      <c r="GQ228" s="564">
        <v>1</v>
      </c>
      <c r="GR228" s="256">
        <f t="shared" si="3"/>
        <v>1</v>
      </c>
      <c r="GS228" s="237" t="s">
        <v>88</v>
      </c>
    </row>
    <row r="229" spans="1:201" s="237" customFormat="1" ht="17.25" customHeight="1">
      <c r="A229" s="236" t="s">
        <v>1501</v>
      </c>
      <c r="C229" s="238"/>
      <c r="D229" s="238">
        <v>3884</v>
      </c>
      <c r="E229" s="238">
        <v>2152</v>
      </c>
      <c r="F229" s="239">
        <v>0.55406797116374873</v>
      </c>
      <c r="G229" s="238">
        <v>1687</v>
      </c>
      <c r="H229" s="240">
        <v>1778.3865355681073</v>
      </c>
      <c r="I229" s="239">
        <v>0.82638779533833984</v>
      </c>
      <c r="J229" s="238">
        <v>1685</v>
      </c>
      <c r="K229" s="238">
        <v>108</v>
      </c>
      <c r="L229" s="238">
        <v>7</v>
      </c>
      <c r="M229" s="241">
        <v>1.8022657054582905E-3</v>
      </c>
      <c r="N229" s="238">
        <v>29</v>
      </c>
      <c r="O229" s="239">
        <v>1.7210682492581602E-2</v>
      </c>
      <c r="P229" s="237">
        <v>2</v>
      </c>
      <c r="Q229" s="237">
        <v>0</v>
      </c>
      <c r="R229" s="239">
        <v>0</v>
      </c>
      <c r="S229" s="238">
        <v>34</v>
      </c>
      <c r="T229" s="436">
        <v>0</v>
      </c>
      <c r="U229" s="436">
        <v>15</v>
      </c>
      <c r="V229" s="436">
        <v>0</v>
      </c>
      <c r="W229" s="436">
        <v>15</v>
      </c>
      <c r="X229" s="238">
        <v>1190</v>
      </c>
      <c r="Y229" s="237">
        <v>0.19570000000000001</v>
      </c>
      <c r="Z229" s="238">
        <v>14702</v>
      </c>
      <c r="AA229" s="238">
        <v>12396</v>
      </c>
      <c r="AB229" s="238">
        <v>75.739999999999995</v>
      </c>
      <c r="AC229" s="238">
        <v>260</v>
      </c>
      <c r="AD229" s="238">
        <v>1589423.5499999998</v>
      </c>
      <c r="AE229" s="238">
        <v>42225.339999999851</v>
      </c>
      <c r="AF229" s="238">
        <v>1817985.45</v>
      </c>
      <c r="AG229" s="238">
        <v>690568.22</v>
      </c>
      <c r="AH229" s="239">
        <v>0.37985354613261618</v>
      </c>
      <c r="AI229" s="247">
        <v>36.042822999999999</v>
      </c>
      <c r="AJ229" s="242">
        <v>4.6371409999999997</v>
      </c>
      <c r="AK229" s="242">
        <v>0.11939085993820803</v>
      </c>
      <c r="AL229" s="242" t="s">
        <v>678</v>
      </c>
      <c r="AM229" s="242" t="s">
        <v>678</v>
      </c>
      <c r="AN229" s="242">
        <v>22677.8</v>
      </c>
      <c r="AO229" s="238">
        <v>2421.31</v>
      </c>
      <c r="AP229" s="243">
        <v>13</v>
      </c>
      <c r="AQ229" s="238">
        <v>1</v>
      </c>
      <c r="AR229" s="238">
        <v>1301.0122935529205</v>
      </c>
      <c r="AS229" s="238">
        <v>1554.1536541241755</v>
      </c>
      <c r="AT229" s="238">
        <v>42904</v>
      </c>
      <c r="AU229" s="238">
        <v>218.98477825353726</v>
      </c>
      <c r="AV229" s="237">
        <v>1</v>
      </c>
      <c r="AW229" s="237">
        <v>1</v>
      </c>
      <c r="AX229" s="237">
        <v>0</v>
      </c>
      <c r="AY229" s="244" t="s">
        <v>673</v>
      </c>
      <c r="AZ229" s="244" t="s">
        <v>695</v>
      </c>
      <c r="BA229" s="237">
        <v>2009</v>
      </c>
      <c r="BB229" s="245" t="s">
        <v>1502</v>
      </c>
      <c r="BC229" s="215" t="s">
        <v>1503</v>
      </c>
      <c r="BE229" s="237">
        <v>2</v>
      </c>
      <c r="BF229" s="237">
        <v>77</v>
      </c>
      <c r="BG229" s="246" t="s">
        <v>698</v>
      </c>
      <c r="BI229" s="239">
        <v>0.63521126760563384</v>
      </c>
      <c r="BJ229" s="239">
        <v>9.7183098591549291E-2</v>
      </c>
      <c r="BK229" s="239">
        <v>0.24929577464788732</v>
      </c>
      <c r="BL229" s="239">
        <v>1.8309859154929577E-2</v>
      </c>
      <c r="BM229" s="247">
        <v>2.3492957746478873</v>
      </c>
      <c r="BN229" s="248">
        <v>0</v>
      </c>
      <c r="BO229" s="248">
        <v>0</v>
      </c>
      <c r="BP229" s="237">
        <v>0</v>
      </c>
      <c r="BQ229" s="237">
        <v>0</v>
      </c>
      <c r="BR229" s="248">
        <v>0</v>
      </c>
      <c r="BS229" s="237">
        <v>10.6</v>
      </c>
      <c r="BT229" s="237" t="s">
        <v>755</v>
      </c>
      <c r="BU229" s="249" t="s">
        <v>678</v>
      </c>
      <c r="BV229" s="249">
        <v>121</v>
      </c>
      <c r="BW229" s="249">
        <v>534</v>
      </c>
      <c r="BX229" s="249" t="s">
        <v>678</v>
      </c>
      <c r="BY229" s="249" t="s">
        <v>678</v>
      </c>
      <c r="BZ229" s="249">
        <v>10.219594594594595</v>
      </c>
      <c r="CA229" s="249">
        <v>45.101351351351354</v>
      </c>
      <c r="CB229" s="249" t="s">
        <v>678</v>
      </c>
      <c r="CC229" s="250" t="s">
        <v>678</v>
      </c>
      <c r="CD229" s="242" t="s">
        <v>678</v>
      </c>
      <c r="CE229" s="252" t="s">
        <v>678</v>
      </c>
      <c r="CF229" s="238">
        <v>632</v>
      </c>
      <c r="CG229" s="238">
        <v>57.6</v>
      </c>
      <c r="CH229" s="238">
        <v>4.8648648648648649</v>
      </c>
      <c r="CI229" s="216" t="s">
        <v>700</v>
      </c>
      <c r="CJ229" s="237">
        <v>0</v>
      </c>
      <c r="CK229" s="253">
        <v>36.76</v>
      </c>
      <c r="CL229" s="253">
        <v>17.113199999999999</v>
      </c>
      <c r="CM229" s="254">
        <v>4.4060762100926881E-3</v>
      </c>
      <c r="CN229" s="237" t="s">
        <v>81</v>
      </c>
      <c r="CO229" s="242">
        <v>592.26</v>
      </c>
      <c r="CP229" s="255">
        <v>0.15248712667353242</v>
      </c>
      <c r="CV229" s="237">
        <v>3</v>
      </c>
      <c r="CW229" s="261" t="s">
        <v>678</v>
      </c>
      <c r="CX229" s="261" t="s">
        <v>678</v>
      </c>
      <c r="CY229" s="261" t="s">
        <v>678</v>
      </c>
      <c r="DB229" s="216" t="s">
        <v>681</v>
      </c>
      <c r="DC229" s="256"/>
      <c r="DD229" s="256">
        <v>0.8</v>
      </c>
      <c r="DE229" s="256">
        <v>-10</v>
      </c>
      <c r="DF229" s="256">
        <v>0.5</v>
      </c>
      <c r="DG229" s="256">
        <v>-2.2999999999999998</v>
      </c>
      <c r="DH229" s="257">
        <v>1</v>
      </c>
      <c r="DI229" s="257">
        <v>1</v>
      </c>
      <c r="DJ229" s="257">
        <v>0.3</v>
      </c>
      <c r="DK229" s="257">
        <v>1.3</v>
      </c>
      <c r="DL229" s="237" t="s">
        <v>682</v>
      </c>
      <c r="DP229" s="258" t="s">
        <v>683</v>
      </c>
      <c r="DQ229" s="258" t="s">
        <v>758</v>
      </c>
      <c r="DR229" s="258" t="s">
        <v>1504</v>
      </c>
      <c r="DS229" s="258"/>
      <c r="DT229" s="258"/>
      <c r="DU229" s="237">
        <v>0</v>
      </c>
      <c r="DX229" s="247"/>
      <c r="DY229" s="247">
        <v>0</v>
      </c>
      <c r="EA229" s="237">
        <v>0</v>
      </c>
      <c r="ED229" s="237" t="s">
        <v>687</v>
      </c>
      <c r="EE229" s="208">
        <v>1</v>
      </c>
      <c r="EF229" s="237" t="s">
        <v>688</v>
      </c>
      <c r="EG229" s="216" t="s">
        <v>703</v>
      </c>
      <c r="EH229" s="246" t="s">
        <v>704</v>
      </c>
      <c r="EI229" s="216"/>
      <c r="EJ229" s="216" t="s">
        <v>529</v>
      </c>
      <c r="EK229" s="222" t="s">
        <v>682</v>
      </c>
      <c r="EL229" s="259">
        <v>2013</v>
      </c>
      <c r="EM229" s="263">
        <v>1194</v>
      </c>
      <c r="EN229" s="260">
        <v>40562</v>
      </c>
      <c r="EO229" s="260">
        <v>2605</v>
      </c>
      <c r="ER229" s="237" t="s">
        <v>705</v>
      </c>
      <c r="ES229" s="237" t="e">
        <v>#DIV/0!</v>
      </c>
      <c r="ET229" s="237">
        <v>2.1817420435510888</v>
      </c>
      <c r="EU229" s="661">
        <v>1</v>
      </c>
      <c r="EV229" s="661" t="s">
        <v>678</v>
      </c>
      <c r="EW229" s="661">
        <v>1</v>
      </c>
      <c r="EX229" s="661">
        <v>3</v>
      </c>
      <c r="EY229" s="660">
        <v>9.4644696189495354E-3</v>
      </c>
      <c r="EZ229" s="256">
        <v>32.208922742110992</v>
      </c>
      <c r="FA229" s="247">
        <v>0.13940520446096655</v>
      </c>
      <c r="FB229" s="208">
        <v>3</v>
      </c>
      <c r="FC229" s="208">
        <v>5</v>
      </c>
      <c r="FD229" s="208">
        <v>6</v>
      </c>
      <c r="FE229" s="239">
        <v>0.78392193308550184</v>
      </c>
      <c r="FF229" s="208"/>
      <c r="FG229" s="241">
        <v>6.0408921933085506E-4</v>
      </c>
      <c r="FH229" s="209">
        <v>0</v>
      </c>
      <c r="FI229" s="237" t="s">
        <v>678</v>
      </c>
      <c r="FJ229" s="208">
        <v>50.7</v>
      </c>
      <c r="FK229" s="208">
        <v>11.36</v>
      </c>
      <c r="FL229" s="217">
        <v>48.8</v>
      </c>
      <c r="FM229" s="208">
        <v>6.86</v>
      </c>
      <c r="FN229" s="208" t="s">
        <v>1505</v>
      </c>
      <c r="FP229" s="247" t="s">
        <v>693</v>
      </c>
      <c r="FU229" s="208">
        <v>43</v>
      </c>
      <c r="FV229" s="208">
        <v>60.9</v>
      </c>
      <c r="FW229" s="237">
        <v>76.92</v>
      </c>
      <c r="FX229" s="237">
        <v>62.8</v>
      </c>
      <c r="FY229" s="208">
        <v>21.84</v>
      </c>
      <c r="FZ229" s="208">
        <v>36.1</v>
      </c>
      <c r="GA229" s="208">
        <v>48.58</v>
      </c>
      <c r="GB229" s="208">
        <v>50.7</v>
      </c>
      <c r="GC229" s="208">
        <v>0.05</v>
      </c>
      <c r="GD229" s="208">
        <v>24.2</v>
      </c>
      <c r="GE229" s="237">
        <v>40.44</v>
      </c>
      <c r="GF229" s="237">
        <v>51.3</v>
      </c>
      <c r="GG229" s="237">
        <v>8.74</v>
      </c>
      <c r="GH229" s="237">
        <v>62.7</v>
      </c>
      <c r="GJ229" s="947"/>
      <c r="GK229" s="320"/>
      <c r="GL229" s="320"/>
      <c r="GM229" s="320"/>
      <c r="GN229" s="320"/>
      <c r="GO229" s="662">
        <v>8226</v>
      </c>
      <c r="GP229" s="663" t="str">
        <f>VLOOKUP(GS229,'BD Comarcal'!$A$6:$AV$17,48,FALSE)</f>
        <v>06</v>
      </c>
      <c r="GQ229" s="564">
        <v>8</v>
      </c>
      <c r="GR229" s="256">
        <f t="shared" si="3"/>
        <v>1</v>
      </c>
      <c r="GS229" s="237" t="s">
        <v>81</v>
      </c>
    </row>
    <row r="230" spans="1:201" s="237" customFormat="1" ht="17.25" customHeight="1">
      <c r="A230" s="236" t="s">
        <v>1506</v>
      </c>
      <c r="C230" s="238"/>
      <c r="D230" s="238">
        <v>3559</v>
      </c>
      <c r="E230" s="238">
        <v>1031</v>
      </c>
      <c r="F230" s="239">
        <v>0.28968811463894351</v>
      </c>
      <c r="G230" s="238">
        <v>738</v>
      </c>
      <c r="H230" s="240">
        <v>39.537812862513967</v>
      </c>
      <c r="I230" s="239">
        <v>3.8348994047055253E-2</v>
      </c>
      <c r="J230" s="238">
        <v>2065</v>
      </c>
      <c r="K230" s="238">
        <v>7</v>
      </c>
      <c r="L230" s="238">
        <v>56</v>
      </c>
      <c r="M230" s="241">
        <v>1.5734756954200617E-2</v>
      </c>
      <c r="N230" s="238">
        <v>81</v>
      </c>
      <c r="O230" s="239">
        <v>3.9225181598062951E-2</v>
      </c>
      <c r="P230" s="237">
        <v>20</v>
      </c>
      <c r="Q230" s="237">
        <v>0</v>
      </c>
      <c r="R230" s="239">
        <v>0</v>
      </c>
      <c r="S230" s="238">
        <v>3382</v>
      </c>
      <c r="T230" s="436">
        <v>0</v>
      </c>
      <c r="U230" s="436">
        <v>62</v>
      </c>
      <c r="V230" s="436">
        <v>5</v>
      </c>
      <c r="W230" s="436">
        <v>67</v>
      </c>
      <c r="X230" s="238">
        <v>3099</v>
      </c>
      <c r="Y230" s="237">
        <v>0.18240000000000001</v>
      </c>
      <c r="Z230" s="238">
        <v>40552</v>
      </c>
      <c r="AA230" s="238">
        <v>13115</v>
      </c>
      <c r="AB230" s="238">
        <v>80.13</v>
      </c>
      <c r="AC230" s="238">
        <v>0</v>
      </c>
      <c r="AD230" s="238">
        <v>3143327.97</v>
      </c>
      <c r="AE230" s="238">
        <v>663303.60999999987</v>
      </c>
      <c r="AF230" s="238">
        <v>2159775.0699999998</v>
      </c>
      <c r="AG230" s="238">
        <v>65469.29</v>
      </c>
      <c r="AH230" s="239">
        <v>3.0313013104647051E-2</v>
      </c>
      <c r="AI230" s="247">
        <v>71.625771</v>
      </c>
      <c r="AJ230" s="242">
        <v>11.536519999999999</v>
      </c>
      <c r="AK230" s="242">
        <v>0.32415060410227592</v>
      </c>
      <c r="AL230" s="242" t="s">
        <v>678</v>
      </c>
      <c r="AM230" s="242" t="s">
        <v>678</v>
      </c>
      <c r="AN230" s="242">
        <v>30852.38</v>
      </c>
      <c r="AO230" s="238">
        <v>13660.16</v>
      </c>
      <c r="AP230" s="243">
        <v>31</v>
      </c>
      <c r="AQ230" s="238">
        <v>1</v>
      </c>
      <c r="AR230" s="238">
        <v>1860.6306024584992</v>
      </c>
      <c r="AS230" s="238">
        <v>803.7211061799527</v>
      </c>
      <c r="AT230" s="238">
        <v>164772.33333333334</v>
      </c>
      <c r="AU230" s="238">
        <v>246.97124209444621</v>
      </c>
      <c r="AV230" s="237">
        <v>1</v>
      </c>
      <c r="AW230" s="237">
        <v>1</v>
      </c>
      <c r="AX230" s="237">
        <v>1</v>
      </c>
      <c r="AY230" s="244" t="s">
        <v>673</v>
      </c>
      <c r="AZ230" s="244" t="s">
        <v>682</v>
      </c>
      <c r="BA230" s="237">
        <v>2012</v>
      </c>
      <c r="BB230" s="245" t="s">
        <v>1507</v>
      </c>
      <c r="BC230" s="215" t="s">
        <v>1508</v>
      </c>
      <c r="BE230" s="237">
        <v>10</v>
      </c>
      <c r="BF230" s="237">
        <v>25</v>
      </c>
      <c r="BG230" s="246" t="s">
        <v>676</v>
      </c>
      <c r="BI230" s="239">
        <v>0.42014446227929375</v>
      </c>
      <c r="BJ230" s="239">
        <v>9.2295345104333862E-2</v>
      </c>
      <c r="BK230" s="239">
        <v>0.4458266452648475</v>
      </c>
      <c r="BL230" s="239">
        <v>4.1733547351524881E-2</v>
      </c>
      <c r="BM230" s="247">
        <v>1.8908507223113964</v>
      </c>
      <c r="BN230" s="248">
        <v>1</v>
      </c>
      <c r="BO230" s="248">
        <v>0</v>
      </c>
      <c r="BP230" s="237">
        <v>0</v>
      </c>
      <c r="BQ230" s="237">
        <v>0</v>
      </c>
      <c r="BR230" s="248">
        <v>1</v>
      </c>
      <c r="BS230" s="237">
        <v>10</v>
      </c>
      <c r="BT230" s="237" t="s">
        <v>790</v>
      </c>
      <c r="BU230" s="249" t="s">
        <v>678</v>
      </c>
      <c r="BV230" s="249">
        <v>450</v>
      </c>
      <c r="BW230" s="249">
        <v>1570</v>
      </c>
      <c r="BX230" s="249" t="s">
        <v>678</v>
      </c>
      <c r="BY230" s="249" t="s">
        <v>678</v>
      </c>
      <c r="BZ230" s="249">
        <v>14.204545454545455</v>
      </c>
      <c r="CA230" s="249">
        <v>49.55808080808081</v>
      </c>
      <c r="CB230" s="249" t="s">
        <v>678</v>
      </c>
      <c r="CC230" s="250" t="s">
        <v>678</v>
      </c>
      <c r="CD230" s="242" t="s">
        <v>678</v>
      </c>
      <c r="CE230" s="252" t="s">
        <v>678</v>
      </c>
      <c r="CF230" s="238">
        <v>1280</v>
      </c>
      <c r="CG230" s="238">
        <v>213</v>
      </c>
      <c r="CH230" s="238">
        <v>6.7234848484848486</v>
      </c>
      <c r="CI230" s="216" t="s">
        <v>700</v>
      </c>
      <c r="CJ230" s="237">
        <v>0</v>
      </c>
      <c r="CK230" s="253">
        <v>79.03</v>
      </c>
      <c r="CL230" s="253">
        <v>62.374400000000001</v>
      </c>
      <c r="CM230" s="254">
        <v>1.7525821860073055E-2</v>
      </c>
      <c r="CN230" s="237" t="s">
        <v>791</v>
      </c>
      <c r="CO230" s="242">
        <v>258.02</v>
      </c>
      <c r="CP230" s="255">
        <v>7.2497892666479338E-2</v>
      </c>
      <c r="CV230" s="237">
        <v>4</v>
      </c>
      <c r="CW230" s="261" t="s">
        <v>678</v>
      </c>
      <c r="CX230" s="261" t="s">
        <v>678</v>
      </c>
      <c r="CY230" s="261" t="s">
        <v>678</v>
      </c>
      <c r="DB230" s="216" t="s">
        <v>1017</v>
      </c>
      <c r="DC230" s="195" t="s">
        <v>1018</v>
      </c>
      <c r="DD230" s="256">
        <v>0.7</v>
      </c>
      <c r="DE230" s="256">
        <v>-6.5</v>
      </c>
      <c r="DF230" s="256">
        <v>0.7</v>
      </c>
      <c r="DG230" s="256">
        <v>-2.2000000000000002</v>
      </c>
      <c r="DL230" s="237" t="s">
        <v>682</v>
      </c>
      <c r="DP230" s="258" t="s">
        <v>682</v>
      </c>
      <c r="DQ230" s="258"/>
      <c r="DR230" s="258"/>
      <c r="DS230" s="258"/>
      <c r="DT230" s="258"/>
      <c r="DU230" s="237">
        <v>0</v>
      </c>
      <c r="DX230" s="247"/>
      <c r="DY230" s="247">
        <v>0</v>
      </c>
      <c r="EA230" s="237">
        <v>1</v>
      </c>
      <c r="EB230" s="237" t="s">
        <v>1019</v>
      </c>
      <c r="ED230" s="237" t="s">
        <v>687</v>
      </c>
      <c r="EE230" s="208">
        <v>1</v>
      </c>
      <c r="EF230" s="237" t="s">
        <v>688</v>
      </c>
      <c r="EG230" s="216" t="s">
        <v>691</v>
      </c>
      <c r="EH230" s="246" t="s">
        <v>690</v>
      </c>
      <c r="EI230" s="216"/>
      <c r="EJ230" s="216" t="s">
        <v>529</v>
      </c>
      <c r="EK230" s="222" t="s">
        <v>682</v>
      </c>
      <c r="EL230" s="259">
        <v>2009</v>
      </c>
      <c r="EM230" s="260">
        <v>16948</v>
      </c>
      <c r="EN230" s="260">
        <v>128127</v>
      </c>
      <c r="EO230" s="260">
        <v>45372</v>
      </c>
      <c r="EP230" s="237">
        <v>1</v>
      </c>
      <c r="EQ230" s="237">
        <v>49</v>
      </c>
      <c r="ER230" s="237" t="s">
        <v>705</v>
      </c>
      <c r="ES230" s="237">
        <v>3168</v>
      </c>
      <c r="ET230" s="237">
        <v>2.6771300448430493</v>
      </c>
      <c r="EU230" s="661">
        <v>1</v>
      </c>
      <c r="EV230" s="661">
        <v>2</v>
      </c>
      <c r="EW230" s="661">
        <v>4</v>
      </c>
      <c r="EX230" s="661">
        <v>3</v>
      </c>
      <c r="EY230" s="660">
        <v>2.2205675751615622E-2</v>
      </c>
      <c r="EZ230" s="256">
        <v>40.086043274705808</v>
      </c>
      <c r="FA230" s="247">
        <v>0.3879728419010669</v>
      </c>
      <c r="FB230" s="208">
        <v>3</v>
      </c>
      <c r="FC230" s="208">
        <v>3</v>
      </c>
      <c r="FD230" s="208">
        <v>7</v>
      </c>
      <c r="FE230" s="239">
        <v>0.71580989330746847</v>
      </c>
      <c r="FF230" s="208"/>
      <c r="FG230" s="241">
        <v>0</v>
      </c>
      <c r="FH230" s="209">
        <v>0</v>
      </c>
      <c r="FI230" s="237" t="s">
        <v>678</v>
      </c>
      <c r="FJ230" s="208">
        <v>43.9</v>
      </c>
      <c r="FK230" s="208">
        <v>4.2699999999999996</v>
      </c>
      <c r="FL230" s="217">
        <v>37</v>
      </c>
      <c r="FM230" s="208">
        <v>0.98</v>
      </c>
      <c r="FN230" s="208" t="s">
        <v>1509</v>
      </c>
      <c r="FP230" s="247" t="s">
        <v>693</v>
      </c>
      <c r="FU230" s="208">
        <v>36</v>
      </c>
      <c r="FV230" s="208">
        <v>43.2</v>
      </c>
      <c r="FW230" s="237">
        <v>51.75</v>
      </c>
      <c r="FX230" s="237">
        <v>30.2</v>
      </c>
      <c r="FY230" s="208">
        <v>4.24</v>
      </c>
      <c r="FZ230" s="208">
        <v>6.6</v>
      </c>
      <c r="GA230" s="208">
        <v>16.62</v>
      </c>
      <c r="GB230" s="208">
        <v>4.2</v>
      </c>
      <c r="GC230" s="208">
        <v>0.74</v>
      </c>
      <c r="GD230" s="208">
        <v>76</v>
      </c>
      <c r="GE230" s="237">
        <v>12.75</v>
      </c>
      <c r="GF230" s="237">
        <v>5.8</v>
      </c>
      <c r="GG230" s="237">
        <v>15.44</v>
      </c>
      <c r="GH230" s="237">
        <v>86.3</v>
      </c>
      <c r="GJ230" s="947"/>
      <c r="GK230" s="320"/>
      <c r="GL230" s="320"/>
      <c r="GM230" s="320"/>
      <c r="GN230" s="320"/>
      <c r="GO230" s="662">
        <v>8227</v>
      </c>
      <c r="GP230" s="663" t="str">
        <f>VLOOKUP(GS230,'BD Comarcal'!$A$6:$AV$17,48,FALSE)</f>
        <v>03</v>
      </c>
      <c r="GQ230" s="564">
        <v>32</v>
      </c>
      <c r="GR230" s="256">
        <f t="shared" si="3"/>
        <v>0</v>
      </c>
      <c r="GS230" s="237" t="s">
        <v>791</v>
      </c>
    </row>
    <row r="231" spans="1:201" s="237" customFormat="1" ht="17.25" customHeight="1">
      <c r="A231" s="236" t="s">
        <v>1510</v>
      </c>
      <c r="C231" s="238"/>
      <c r="D231" s="238">
        <v>390</v>
      </c>
      <c r="E231" s="238">
        <v>16</v>
      </c>
      <c r="F231" s="239">
        <v>4.1025641025641026E-2</v>
      </c>
      <c r="G231" s="238">
        <v>8</v>
      </c>
      <c r="H231" s="240">
        <v>0</v>
      </c>
      <c r="I231" s="239">
        <v>0</v>
      </c>
      <c r="J231" s="238">
        <v>265</v>
      </c>
      <c r="K231" s="238">
        <v>1</v>
      </c>
      <c r="L231" s="238">
        <v>0</v>
      </c>
      <c r="M231" s="241">
        <v>0</v>
      </c>
      <c r="N231" s="238">
        <v>0</v>
      </c>
      <c r="O231" s="239">
        <v>0</v>
      </c>
      <c r="P231" s="237">
        <v>6</v>
      </c>
      <c r="Q231" s="237">
        <v>0</v>
      </c>
      <c r="R231" s="239">
        <v>0</v>
      </c>
      <c r="S231" s="238">
        <v>771</v>
      </c>
      <c r="T231" s="436">
        <v>0</v>
      </c>
      <c r="U231" s="436">
        <v>0</v>
      </c>
      <c r="V231" s="436">
        <v>0</v>
      </c>
      <c r="W231" s="436">
        <v>0</v>
      </c>
      <c r="X231" s="238">
        <v>371</v>
      </c>
      <c r="Y231" s="237">
        <v>0.19239999999999999</v>
      </c>
      <c r="Z231" s="238">
        <v>4686</v>
      </c>
      <c r="AA231" s="238">
        <v>12396</v>
      </c>
      <c r="AB231" s="238">
        <v>75.739999999999995</v>
      </c>
      <c r="AC231" s="238">
        <v>150</v>
      </c>
      <c r="AD231" s="238">
        <v>835331.25</v>
      </c>
      <c r="AE231" s="238">
        <v>-122043.21000000008</v>
      </c>
      <c r="AF231" s="238">
        <v>934579.62</v>
      </c>
      <c r="AG231" s="238">
        <v>574351</v>
      </c>
      <c r="AH231" s="239">
        <v>0.61455545114497578</v>
      </c>
      <c r="AI231" s="247">
        <v>10.910788999999999</v>
      </c>
      <c r="AJ231" s="242">
        <v>0.21151</v>
      </c>
      <c r="AK231" s="242">
        <v>5.4233333333333335E-2</v>
      </c>
      <c r="AL231" s="242" t="s">
        <v>678</v>
      </c>
      <c r="AM231" s="242" t="s">
        <v>678</v>
      </c>
      <c r="AN231" s="242">
        <v>3050.58</v>
      </c>
      <c r="AO231" s="238">
        <v>1196.0999999999999</v>
      </c>
      <c r="AP231" s="243">
        <v>3</v>
      </c>
      <c r="AQ231" s="238">
        <v>1</v>
      </c>
      <c r="AR231" s="238">
        <v>1336.0683718269659</v>
      </c>
      <c r="AS231" s="238">
        <v>2800.1334480447235</v>
      </c>
      <c r="AT231" s="238">
        <v>14142.333333333334</v>
      </c>
      <c r="AU231" s="238">
        <v>188.92414319501387</v>
      </c>
      <c r="AV231" s="237">
        <v>1</v>
      </c>
      <c r="AW231" s="237">
        <v>0</v>
      </c>
      <c r="AX231" s="237">
        <v>1</v>
      </c>
      <c r="AY231" s="244" t="s">
        <v>717</v>
      </c>
      <c r="AZ231" s="244" t="s">
        <v>695</v>
      </c>
      <c r="BA231" s="237">
        <v>2009</v>
      </c>
      <c r="BB231" s="245" t="s">
        <v>678</v>
      </c>
      <c r="BC231" s="215" t="s">
        <v>678</v>
      </c>
      <c r="BE231" s="237">
        <v>2</v>
      </c>
      <c r="BF231" s="237">
        <v>77</v>
      </c>
      <c r="BG231" s="246" t="s">
        <v>720</v>
      </c>
      <c r="BI231" s="239">
        <v>0.7167630057803468</v>
      </c>
      <c r="BJ231" s="239">
        <v>5.7803468208092484E-2</v>
      </c>
      <c r="BK231" s="239">
        <v>0.21098265895953758</v>
      </c>
      <c r="BL231" s="239">
        <v>1.4450867052023121E-2</v>
      </c>
      <c r="BM231" s="247">
        <v>2.4768786127167632</v>
      </c>
      <c r="BN231" s="248">
        <v>0</v>
      </c>
      <c r="BO231" s="248">
        <v>0</v>
      </c>
      <c r="BP231" s="237">
        <v>0</v>
      </c>
      <c r="BQ231" s="237">
        <v>0</v>
      </c>
      <c r="BR231" s="248">
        <v>0</v>
      </c>
      <c r="BS231" s="237">
        <v>28</v>
      </c>
      <c r="BT231" s="237" t="s">
        <v>755</v>
      </c>
      <c r="BU231" s="249" t="s">
        <v>678</v>
      </c>
      <c r="BV231" s="249" t="s">
        <v>678</v>
      </c>
      <c r="BW231" s="249" t="s">
        <v>678</v>
      </c>
      <c r="BX231" s="249" t="s">
        <v>678</v>
      </c>
      <c r="BY231" s="249" t="s">
        <v>678</v>
      </c>
      <c r="BZ231" s="249" t="s">
        <v>678</v>
      </c>
      <c r="CA231" s="249" t="s">
        <v>678</v>
      </c>
      <c r="CB231" s="249" t="s">
        <v>678</v>
      </c>
      <c r="CC231" s="250" t="s">
        <v>678</v>
      </c>
      <c r="CD231" s="242" t="s">
        <v>678</v>
      </c>
      <c r="CE231" s="252" t="s">
        <v>678</v>
      </c>
      <c r="CF231" s="238">
        <v>207</v>
      </c>
      <c r="CG231" s="238">
        <v>26.2</v>
      </c>
      <c r="CH231" s="238">
        <v>6.8586387434554972</v>
      </c>
      <c r="CI231" s="216" t="s">
        <v>700</v>
      </c>
      <c r="CJ231" s="237">
        <v>0</v>
      </c>
      <c r="CK231" s="253">
        <v>19.16</v>
      </c>
      <c r="CL231" s="253">
        <v>6.6013000000000002</v>
      </c>
      <c r="CM231" s="254">
        <v>1.6926410256410257E-2</v>
      </c>
      <c r="CN231" s="237" t="s">
        <v>81</v>
      </c>
      <c r="CO231" s="242"/>
      <c r="CP231" s="255">
        <v>0</v>
      </c>
      <c r="CW231" s="261" t="s">
        <v>678</v>
      </c>
      <c r="CX231" s="261" t="s">
        <v>678</v>
      </c>
      <c r="CY231" s="261" t="s">
        <v>678</v>
      </c>
      <c r="DB231" s="216" t="s">
        <v>681</v>
      </c>
      <c r="DC231" s="256"/>
      <c r="DD231" s="256">
        <v>0.8</v>
      </c>
      <c r="DE231" s="256">
        <v>-9</v>
      </c>
      <c r="DF231" s="256">
        <v>-0.3</v>
      </c>
      <c r="DG231" s="256">
        <v>-2.6</v>
      </c>
      <c r="DH231" s="257">
        <v>1</v>
      </c>
      <c r="DI231" s="257">
        <v>0.5</v>
      </c>
      <c r="DJ231" s="257">
        <v>1</v>
      </c>
      <c r="DK231" s="257">
        <v>1.5</v>
      </c>
      <c r="DL231" s="237" t="s">
        <v>529</v>
      </c>
      <c r="DN231" s="237" t="s">
        <v>770</v>
      </c>
      <c r="DP231" s="258" t="s">
        <v>682</v>
      </c>
      <c r="DQ231" s="258"/>
      <c r="DR231" s="258"/>
      <c r="DS231" s="258"/>
      <c r="DT231" s="258"/>
      <c r="DU231" s="237">
        <v>0</v>
      </c>
      <c r="DX231" s="247"/>
      <c r="DY231" s="247">
        <v>0</v>
      </c>
      <c r="EA231" s="237">
        <v>0</v>
      </c>
      <c r="ED231" s="237" t="s">
        <v>678</v>
      </c>
      <c r="EE231" s="208">
        <v>5</v>
      </c>
      <c r="EF231" s="237" t="s">
        <v>678</v>
      </c>
      <c r="EG231" s="216" t="s">
        <v>703</v>
      </c>
      <c r="EH231" s="246" t="s">
        <v>704</v>
      </c>
      <c r="EI231" s="216"/>
      <c r="EJ231" s="216" t="s">
        <v>806</v>
      </c>
      <c r="EK231" s="222" t="s">
        <v>682</v>
      </c>
      <c r="EL231" s="259">
        <v>2014</v>
      </c>
      <c r="EM231" s="263">
        <v>750</v>
      </c>
      <c r="EN231" s="260">
        <v>11117</v>
      </c>
      <c r="EO231" s="260">
        <v>3397</v>
      </c>
      <c r="ER231" s="237" t="s">
        <v>692</v>
      </c>
      <c r="ES231" s="237" t="e">
        <v>#DIV/0!</v>
      </c>
      <c r="ET231" s="237">
        <v>4.5293333333333337</v>
      </c>
      <c r="EU231" s="661">
        <v>3</v>
      </c>
      <c r="EV231" s="661" t="s">
        <v>678</v>
      </c>
      <c r="EW231" s="661">
        <v>1</v>
      </c>
      <c r="EX231" s="661">
        <v>2</v>
      </c>
      <c r="EY231" s="660">
        <v>4.9128205128205128E-2</v>
      </c>
      <c r="EZ231" s="256">
        <v>19.937369519832984</v>
      </c>
      <c r="FA231" s="247">
        <v>0</v>
      </c>
      <c r="FB231" s="208">
        <v>7</v>
      </c>
      <c r="FC231" s="208">
        <v>3</v>
      </c>
      <c r="FD231" s="208">
        <v>3</v>
      </c>
      <c r="FE231" s="239">
        <v>0.5</v>
      </c>
      <c r="FF231" s="208"/>
      <c r="FG231" s="241">
        <v>9.375E-2</v>
      </c>
      <c r="FH231" s="209">
        <v>0</v>
      </c>
      <c r="FI231" s="237" t="s">
        <v>678</v>
      </c>
      <c r="FJ231" s="208" t="s">
        <v>678</v>
      </c>
      <c r="FK231" s="208" t="s">
        <v>678</v>
      </c>
      <c r="FL231" s="217" t="s">
        <v>678</v>
      </c>
      <c r="FM231" s="208" t="s">
        <v>678</v>
      </c>
      <c r="FN231" s="208" t="s">
        <v>678</v>
      </c>
      <c r="FP231" s="247" t="s">
        <v>693</v>
      </c>
      <c r="FU231" s="208" t="s">
        <v>678</v>
      </c>
      <c r="FV231" s="208" t="s">
        <v>678</v>
      </c>
      <c r="FW231" s="237" t="s">
        <v>678</v>
      </c>
      <c r="FX231" s="237" t="s">
        <v>678</v>
      </c>
      <c r="FY231" s="208" t="s">
        <v>678</v>
      </c>
      <c r="FZ231" s="208" t="s">
        <v>678</v>
      </c>
      <c r="GA231" s="208" t="s">
        <v>678</v>
      </c>
      <c r="GB231" s="208" t="s">
        <v>678</v>
      </c>
      <c r="GC231" s="208" t="s">
        <v>678</v>
      </c>
      <c r="GD231" s="208" t="s">
        <v>678</v>
      </c>
      <c r="GE231" s="237" t="s">
        <v>678</v>
      </c>
      <c r="GF231" s="237" t="s">
        <v>678</v>
      </c>
      <c r="GG231" s="237" t="s">
        <v>678</v>
      </c>
      <c r="GH231" s="237" t="s">
        <v>678</v>
      </c>
      <c r="GJ231" s="947"/>
      <c r="GK231" s="320"/>
      <c r="GL231" s="320"/>
      <c r="GM231" s="320"/>
      <c r="GN231" s="320"/>
      <c r="GO231" s="662">
        <v>8228</v>
      </c>
      <c r="GP231" s="663" t="str">
        <f>VLOOKUP(GS231,'BD Comarcal'!$A$6:$AV$17,48,FALSE)</f>
        <v>06</v>
      </c>
      <c r="GQ231" s="564">
        <v>4</v>
      </c>
      <c r="GR231" s="256">
        <f t="shared" si="3"/>
        <v>1</v>
      </c>
      <c r="GS231" s="237" t="s">
        <v>81</v>
      </c>
    </row>
    <row r="232" spans="1:201" s="237" customFormat="1" ht="17.25" customHeight="1">
      <c r="A232" s="236" t="s">
        <v>1511</v>
      </c>
      <c r="C232" s="238"/>
      <c r="D232" s="238">
        <v>10292</v>
      </c>
      <c r="E232" s="238">
        <v>8518</v>
      </c>
      <c r="F232" s="239">
        <v>0.8276331130975515</v>
      </c>
      <c r="G232" s="238">
        <v>7776</v>
      </c>
      <c r="H232" s="240">
        <v>8749.8404424070286</v>
      </c>
      <c r="I232" s="239">
        <v>1</v>
      </c>
      <c r="J232" s="238">
        <v>1497</v>
      </c>
      <c r="K232" s="238">
        <v>1557</v>
      </c>
      <c r="L232" s="238">
        <v>6</v>
      </c>
      <c r="M232" s="241">
        <v>5.8297706956859702E-4</v>
      </c>
      <c r="N232" s="238">
        <v>0</v>
      </c>
      <c r="O232" s="239">
        <v>0</v>
      </c>
      <c r="P232" s="237">
        <v>48</v>
      </c>
      <c r="Q232" s="237">
        <v>0</v>
      </c>
      <c r="R232" s="239">
        <v>0</v>
      </c>
      <c r="S232" s="238">
        <v>7444</v>
      </c>
      <c r="T232" s="436">
        <v>132</v>
      </c>
      <c r="U232" s="436">
        <v>96</v>
      </c>
      <c r="V232" s="436">
        <v>0</v>
      </c>
      <c r="W232" s="436">
        <v>228</v>
      </c>
      <c r="X232" s="238">
        <v>618</v>
      </c>
      <c r="Y232" s="237">
        <v>0.31209999999999999</v>
      </c>
      <c r="Z232" s="238">
        <v>9508</v>
      </c>
      <c r="AA232" s="238">
        <v>15336</v>
      </c>
      <c r="AB232" s="238">
        <v>93.7</v>
      </c>
      <c r="AC232" s="238">
        <v>312</v>
      </c>
      <c r="AD232" s="238">
        <v>987998.83000000007</v>
      </c>
      <c r="AE232" s="238">
        <v>260251.10000000009</v>
      </c>
      <c r="AF232" s="238">
        <v>663421.76</v>
      </c>
      <c r="AG232" s="238">
        <v>149529.95000000001</v>
      </c>
      <c r="AH232" s="239">
        <v>0.22539198895134221</v>
      </c>
      <c r="AI232" s="247">
        <v>12.716276000000001</v>
      </c>
      <c r="AJ232" s="242">
        <v>1.730785</v>
      </c>
      <c r="AK232" s="242">
        <v>1.6816799455888067E-2</v>
      </c>
      <c r="AL232" s="242" t="s">
        <v>678</v>
      </c>
      <c r="AM232" s="242" t="s">
        <v>678</v>
      </c>
      <c r="AN232" s="242">
        <v>40097.53</v>
      </c>
      <c r="AO232" s="238">
        <v>21376.33</v>
      </c>
      <c r="AP232" s="243">
        <v>74</v>
      </c>
      <c r="AQ232" s="238"/>
      <c r="AR232" s="238">
        <v>2238.3094145297564</v>
      </c>
      <c r="AS232" s="238">
        <v>1467.9182833118332</v>
      </c>
      <c r="AT232" s="238">
        <v>78304</v>
      </c>
      <c r="AU232" s="238">
        <v>208.67257018775828</v>
      </c>
      <c r="AV232" s="237">
        <v>1</v>
      </c>
      <c r="AW232" s="237">
        <v>1</v>
      </c>
      <c r="AX232" s="237">
        <v>1</v>
      </c>
      <c r="AY232" s="244" t="s">
        <v>673</v>
      </c>
      <c r="AZ232" s="244" t="s">
        <v>673</v>
      </c>
      <c r="BA232" s="237">
        <v>0</v>
      </c>
      <c r="BB232" s="245" t="s">
        <v>696</v>
      </c>
      <c r="BC232" s="215" t="s">
        <v>697</v>
      </c>
      <c r="BE232" s="237">
        <v>3</v>
      </c>
      <c r="BF232" s="237">
        <v>70</v>
      </c>
      <c r="BG232" s="246" t="s">
        <v>698</v>
      </c>
      <c r="BI232" s="239">
        <v>0.84974958263772959</v>
      </c>
      <c r="BJ232" s="239">
        <v>4.006677796327212E-2</v>
      </c>
      <c r="BK232" s="239">
        <v>0.11018363939899833</v>
      </c>
      <c r="BL232" s="239">
        <v>0</v>
      </c>
      <c r="BM232" s="247">
        <v>2.7395659432387314</v>
      </c>
      <c r="BN232" s="248">
        <v>0</v>
      </c>
      <c r="BO232" s="248">
        <v>0</v>
      </c>
      <c r="BP232" s="237">
        <v>0</v>
      </c>
      <c r="BQ232" s="237">
        <v>0</v>
      </c>
      <c r="BR232" s="248">
        <v>0</v>
      </c>
      <c r="BS232" s="237">
        <v>15</v>
      </c>
      <c r="BT232" s="237" t="s">
        <v>699</v>
      </c>
      <c r="BU232" s="249" t="s">
        <v>678</v>
      </c>
      <c r="BV232" s="249" t="s">
        <v>678</v>
      </c>
      <c r="BW232" s="249" t="s">
        <v>678</v>
      </c>
      <c r="BX232" s="249" t="s">
        <v>678</v>
      </c>
      <c r="BY232" s="249" t="s">
        <v>678</v>
      </c>
      <c r="BZ232" s="249" t="s">
        <v>678</v>
      </c>
      <c r="CA232" s="249" t="s">
        <v>678</v>
      </c>
      <c r="CB232" s="249" t="s">
        <v>678</v>
      </c>
      <c r="CC232" s="250" t="s">
        <v>678</v>
      </c>
      <c r="CD232" s="242" t="s">
        <v>678</v>
      </c>
      <c r="CE232" s="252" t="s">
        <v>678</v>
      </c>
      <c r="CF232" s="238">
        <v>344</v>
      </c>
      <c r="CG232" s="238">
        <v>26</v>
      </c>
      <c r="CH232" s="238">
        <v>4.0816326530612246</v>
      </c>
      <c r="CI232" s="216" t="s">
        <v>722</v>
      </c>
      <c r="CJ232" s="237">
        <v>1</v>
      </c>
      <c r="CK232" s="253">
        <v>1.06</v>
      </c>
      <c r="CL232" s="253">
        <v>0</v>
      </c>
      <c r="CM232" s="254">
        <v>0</v>
      </c>
      <c r="CN232" s="237" t="s">
        <v>82</v>
      </c>
      <c r="CO232" s="242">
        <v>4796.3100000000004</v>
      </c>
      <c r="CP232" s="255">
        <v>0.4660231247570929</v>
      </c>
      <c r="CW232" s="261" t="s">
        <v>678</v>
      </c>
      <c r="CX232" s="261" t="s">
        <v>678</v>
      </c>
      <c r="CY232" s="261" t="s">
        <v>678</v>
      </c>
      <c r="DB232" s="216" t="s">
        <v>681</v>
      </c>
      <c r="DC232" s="256"/>
      <c r="DD232" s="256">
        <v>0.8</v>
      </c>
      <c r="DE232" s="256">
        <v>-10</v>
      </c>
      <c r="DF232" s="256">
        <v>0.5</v>
      </c>
      <c r="DG232" s="256">
        <v>-2.2999999999999998</v>
      </c>
      <c r="DH232" s="257">
        <v>7</v>
      </c>
      <c r="DI232" s="257">
        <v>162.68</v>
      </c>
      <c r="DJ232" s="257">
        <v>7.89</v>
      </c>
      <c r="DK232" s="257">
        <v>170.57</v>
      </c>
      <c r="DL232" s="237" t="s">
        <v>529</v>
      </c>
      <c r="DN232" s="237" t="s">
        <v>770</v>
      </c>
      <c r="DP232" s="258" t="s">
        <v>683</v>
      </c>
      <c r="DQ232" s="258" t="s">
        <v>758</v>
      </c>
      <c r="DR232" s="258" t="s">
        <v>1512</v>
      </c>
      <c r="DS232" s="258"/>
      <c r="DT232" s="258"/>
      <c r="DU232" s="237">
        <v>0</v>
      </c>
      <c r="DX232" s="247"/>
      <c r="DY232" s="247">
        <v>0</v>
      </c>
      <c r="EA232" s="237">
        <v>0</v>
      </c>
      <c r="ED232" s="237" t="s">
        <v>701</v>
      </c>
      <c r="EE232" s="208">
        <v>3</v>
      </c>
      <c r="EF232" s="237" t="s">
        <v>702</v>
      </c>
      <c r="EG232" s="216" t="s">
        <v>691</v>
      </c>
      <c r="EH232" s="246" t="s">
        <v>690</v>
      </c>
      <c r="EI232" s="216" t="s">
        <v>691</v>
      </c>
      <c r="EJ232" s="216" t="s">
        <v>529</v>
      </c>
      <c r="EK232" s="222" t="s">
        <v>682</v>
      </c>
      <c r="EL232" s="259">
        <v>1989</v>
      </c>
      <c r="EM232" s="260">
        <v>3405</v>
      </c>
      <c r="EN232" s="260">
        <v>22705</v>
      </c>
      <c r="EO232" s="260">
        <v>55626</v>
      </c>
      <c r="ER232" s="237" t="s">
        <v>692</v>
      </c>
      <c r="ES232" s="237" t="e">
        <v>#DIV/0!</v>
      </c>
      <c r="ET232" s="237">
        <v>16.336563876651983</v>
      </c>
      <c r="EU232" s="661">
        <v>3</v>
      </c>
      <c r="EV232" s="661" t="s">
        <v>678</v>
      </c>
      <c r="EW232" s="661">
        <v>1</v>
      </c>
      <c r="EX232" s="661">
        <v>3</v>
      </c>
      <c r="EY232" s="660">
        <v>1.0299261562378548E-4</v>
      </c>
      <c r="EZ232" s="256">
        <v>600.94339622641508</v>
      </c>
      <c r="FA232" s="247">
        <v>0</v>
      </c>
      <c r="FB232" s="208">
        <v>3</v>
      </c>
      <c r="FC232" s="208">
        <v>5</v>
      </c>
      <c r="FD232" s="208">
        <v>5</v>
      </c>
      <c r="FE232" s="239">
        <v>0.91289034984738204</v>
      </c>
      <c r="FF232" s="208">
        <v>1</v>
      </c>
      <c r="FG232" s="241">
        <v>2.0024653674571496E-2</v>
      </c>
      <c r="FH232" s="209">
        <v>0</v>
      </c>
      <c r="FI232" s="237" t="s">
        <v>678</v>
      </c>
      <c r="FJ232" s="208">
        <v>69.099999999999994</v>
      </c>
      <c r="FK232" s="208">
        <v>31.94</v>
      </c>
      <c r="FL232" s="217">
        <v>74.3</v>
      </c>
      <c r="FM232" s="208">
        <v>3.95</v>
      </c>
      <c r="FN232" s="208">
        <v>37</v>
      </c>
      <c r="FP232" s="247" t="s">
        <v>693</v>
      </c>
      <c r="FU232" s="208">
        <v>63</v>
      </c>
      <c r="FV232" s="208">
        <v>92.7</v>
      </c>
      <c r="FW232" s="237">
        <v>49.27</v>
      </c>
      <c r="FX232" s="237">
        <v>26.9</v>
      </c>
      <c r="FY232" s="208">
        <v>23.77</v>
      </c>
      <c r="FZ232" s="208">
        <v>37.5</v>
      </c>
      <c r="GA232" s="208">
        <v>41.7</v>
      </c>
      <c r="GB232" s="208">
        <v>38.4</v>
      </c>
      <c r="GC232" s="208">
        <v>-0.26</v>
      </c>
      <c r="GD232" s="208">
        <v>3</v>
      </c>
      <c r="GE232" s="237">
        <v>33.74</v>
      </c>
      <c r="GF232" s="237">
        <v>40.700000000000003</v>
      </c>
      <c r="GG232" s="237">
        <v>8.42</v>
      </c>
      <c r="GH232" s="237">
        <v>62.3</v>
      </c>
      <c r="GJ232" s="947"/>
      <c r="GK232" s="320"/>
      <c r="GL232" s="320"/>
      <c r="GM232" s="320"/>
      <c r="GN232" s="320"/>
      <c r="GO232" s="662">
        <v>8229</v>
      </c>
      <c r="GP232" s="663" t="str">
        <f>VLOOKUP(GS232,'BD Comarcal'!$A$6:$AV$17,48,FALSE)</f>
        <v>07</v>
      </c>
      <c r="GQ232" s="564">
        <v>11</v>
      </c>
      <c r="GR232" s="256">
        <f t="shared" si="3"/>
        <v>1</v>
      </c>
      <c r="GS232" s="237" t="s">
        <v>82</v>
      </c>
    </row>
    <row r="233" spans="1:201" s="237" customFormat="1" ht="17.25" customHeight="1">
      <c r="A233" s="236" t="s">
        <v>1513</v>
      </c>
      <c r="C233" s="238"/>
      <c r="D233" s="238">
        <v>650</v>
      </c>
      <c r="E233" s="238">
        <v>315</v>
      </c>
      <c r="F233" s="239">
        <v>0.48461538461538461</v>
      </c>
      <c r="G233" s="238">
        <v>265</v>
      </c>
      <c r="H233" s="240">
        <v>8.5088975330478078</v>
      </c>
      <c r="I233" s="239">
        <v>2.7012373120786692E-2</v>
      </c>
      <c r="J233" s="238">
        <v>40</v>
      </c>
      <c r="K233" s="238">
        <v>0</v>
      </c>
      <c r="L233" s="238">
        <v>40</v>
      </c>
      <c r="M233" s="241">
        <v>6.1538461538461542E-2</v>
      </c>
      <c r="N233" s="238">
        <v>0</v>
      </c>
      <c r="O233" s="239">
        <v>0</v>
      </c>
      <c r="Q233" s="237">
        <v>0</v>
      </c>
      <c r="R233" s="239">
        <v>0</v>
      </c>
      <c r="S233" s="238">
        <v>0</v>
      </c>
      <c r="T233" s="436">
        <v>0</v>
      </c>
      <c r="U233" s="436">
        <v>0</v>
      </c>
      <c r="V233" s="436">
        <v>20</v>
      </c>
      <c r="W233" s="436">
        <v>20</v>
      </c>
      <c r="X233" s="238">
        <v>10446</v>
      </c>
      <c r="Y233" s="237">
        <v>0.15459999999999999</v>
      </c>
      <c r="Z233" s="238">
        <v>210793</v>
      </c>
      <c r="AA233" s="238">
        <v>20284</v>
      </c>
      <c r="AB233" s="238">
        <v>123.94</v>
      </c>
      <c r="AC233" s="238">
        <v>1046</v>
      </c>
      <c r="AD233" s="238">
        <v>12348456.579999998</v>
      </c>
      <c r="AE233" s="238">
        <v>767300.8900000006</v>
      </c>
      <c r="AF233" s="238">
        <v>10487315.1</v>
      </c>
      <c r="AG233" s="238">
        <v>1431645.67</v>
      </c>
      <c r="AH233" s="239">
        <v>0.13651212501472373</v>
      </c>
      <c r="AI233" s="247">
        <v>248.82606200000001</v>
      </c>
      <c r="AJ233" s="242">
        <v>22.861229000000002</v>
      </c>
      <c r="AK233" s="242">
        <v>3.5171121538461545</v>
      </c>
      <c r="AL233" s="242">
        <v>92.706721000000002</v>
      </c>
      <c r="AM233" s="242">
        <v>14.262572461538461</v>
      </c>
      <c r="AN233" s="242">
        <v>30130.3</v>
      </c>
      <c r="AO233" s="238">
        <v>956.68</v>
      </c>
      <c r="AP233" s="243">
        <v>5</v>
      </c>
      <c r="AQ233" s="238"/>
      <c r="AR233" s="238">
        <v>1389.867525863724</v>
      </c>
      <c r="AS233" s="238">
        <v>2469.1786964577727</v>
      </c>
      <c r="AT233" s="238">
        <v>696421.66666666663</v>
      </c>
      <c r="AU233" s="238">
        <v>375.08616909966167</v>
      </c>
      <c r="AV233" s="237">
        <v>1</v>
      </c>
      <c r="AW233" s="237">
        <v>1</v>
      </c>
      <c r="AX233" s="237">
        <v>1</v>
      </c>
      <c r="AY233" s="244" t="s">
        <v>717</v>
      </c>
      <c r="AZ233" s="244" t="s">
        <v>726</v>
      </c>
      <c r="BA233" s="237">
        <v>2011</v>
      </c>
      <c r="BB233" s="245" t="s">
        <v>1514</v>
      </c>
      <c r="BC233" s="215" t="s">
        <v>1515</v>
      </c>
      <c r="BE233" s="237">
        <v>264</v>
      </c>
      <c r="BF233" s="237">
        <v>2</v>
      </c>
      <c r="BG233" s="246" t="s">
        <v>676</v>
      </c>
      <c r="BI233" s="239">
        <v>0.47970268724985704</v>
      </c>
      <c r="BJ233" s="239">
        <v>0.12826376977320372</v>
      </c>
      <c r="BK233" s="239">
        <v>0.36077758719268155</v>
      </c>
      <c r="BL233" s="239">
        <v>3.1255955784257668E-2</v>
      </c>
      <c r="BM233" s="247">
        <v>2.0564131884886603</v>
      </c>
      <c r="BN233" s="248">
        <v>3</v>
      </c>
      <c r="BO233" s="248">
        <v>0</v>
      </c>
      <c r="BP233" s="237">
        <v>0</v>
      </c>
      <c r="BQ233" s="237">
        <v>0</v>
      </c>
      <c r="BR233" s="248">
        <v>3</v>
      </c>
      <c r="BU233" s="249" t="s">
        <v>678</v>
      </c>
      <c r="BV233" s="249">
        <v>880</v>
      </c>
      <c r="BW233" s="249">
        <v>4548</v>
      </c>
      <c r="BX233" s="249">
        <v>2368</v>
      </c>
      <c r="BY233" s="249" t="s">
        <v>678</v>
      </c>
      <c r="BZ233" s="249">
        <v>8.5279581354782437</v>
      </c>
      <c r="CA233" s="249">
        <v>44.074038181994382</v>
      </c>
      <c r="CB233" s="249">
        <v>22.947960073650549</v>
      </c>
      <c r="CC233" s="250" t="s">
        <v>678</v>
      </c>
      <c r="CD233" s="242">
        <v>-796</v>
      </c>
      <c r="CE233" s="252">
        <v>92.286074231999223</v>
      </c>
      <c r="CF233" s="238">
        <v>4162</v>
      </c>
      <c r="CG233" s="238">
        <v>742.7</v>
      </c>
      <c r="CH233" s="238">
        <v>7.1974028491132858</v>
      </c>
      <c r="CI233" s="216" t="s">
        <v>700</v>
      </c>
      <c r="CJ233" s="237">
        <v>0</v>
      </c>
      <c r="CK233" s="253">
        <v>299.77999999999997</v>
      </c>
      <c r="CL233" s="253">
        <v>40.836799999999997</v>
      </c>
      <c r="CM233" s="254">
        <v>6.2825846153846149E-2</v>
      </c>
      <c r="CN233" s="237" t="s">
        <v>86</v>
      </c>
      <c r="CO233" s="242">
        <v>249.84</v>
      </c>
      <c r="CP233" s="255">
        <v>0.3843692307692308</v>
      </c>
      <c r="CV233" s="237">
        <v>8</v>
      </c>
      <c r="CW233" s="194">
        <v>1.1579999999999999</v>
      </c>
      <c r="CX233" s="194">
        <v>0.63500000000000001</v>
      </c>
      <c r="CY233" s="194">
        <v>7.8E-2</v>
      </c>
      <c r="CZ233" s="237" t="s">
        <v>529</v>
      </c>
      <c r="DA233" s="237" t="s">
        <v>1516</v>
      </c>
      <c r="DB233" s="216" t="s">
        <v>710</v>
      </c>
      <c r="DC233" s="195" t="s">
        <v>711</v>
      </c>
      <c r="DD233" s="256">
        <v>0.7</v>
      </c>
      <c r="DE233" s="256">
        <v>-6.5</v>
      </c>
      <c r="DF233" s="256">
        <v>0.7</v>
      </c>
      <c r="DG233" s="256">
        <v>-2.2000000000000002</v>
      </c>
      <c r="DL233" s="237" t="s">
        <v>682</v>
      </c>
      <c r="DP233" s="258" t="s">
        <v>682</v>
      </c>
      <c r="DQ233" s="258"/>
      <c r="DR233" s="258"/>
      <c r="DS233" s="258"/>
      <c r="DT233" s="258"/>
      <c r="DU233" s="237">
        <v>0</v>
      </c>
      <c r="DX233" s="247"/>
      <c r="DY233" s="247">
        <v>0</v>
      </c>
      <c r="EA233" s="237">
        <v>1</v>
      </c>
      <c r="EB233" s="237" t="s">
        <v>714</v>
      </c>
      <c r="ED233" s="237" t="s">
        <v>678</v>
      </c>
      <c r="EE233" s="208">
        <v>3</v>
      </c>
      <c r="EF233" s="237" t="s">
        <v>678</v>
      </c>
      <c r="EG233" s="216" t="s">
        <v>733</v>
      </c>
      <c r="EH233" s="246" t="s">
        <v>734</v>
      </c>
      <c r="EI233" s="216"/>
      <c r="EJ233" s="216" t="s">
        <v>529</v>
      </c>
      <c r="EK233" s="222" t="s">
        <v>682</v>
      </c>
      <c r="EL233" s="259"/>
      <c r="EM233" s="260">
        <v>0</v>
      </c>
      <c r="EN233" s="260">
        <v>638319</v>
      </c>
      <c r="EO233" s="260">
        <v>77550</v>
      </c>
      <c r="ER233" s="237" t="s">
        <v>705</v>
      </c>
      <c r="ES233" s="237">
        <v>3439.6666666666665</v>
      </c>
      <c r="EU233" s="661">
        <v>3</v>
      </c>
      <c r="EV233" s="661">
        <v>4</v>
      </c>
      <c r="EW233" s="661">
        <v>5</v>
      </c>
      <c r="EX233" s="661">
        <v>5</v>
      </c>
      <c r="EY233" s="660">
        <v>0.46119999999999994</v>
      </c>
      <c r="EZ233" s="256">
        <v>34.421909400226838</v>
      </c>
      <c r="FA233" s="247">
        <v>2.5396825396825395</v>
      </c>
      <c r="FB233" s="208">
        <v>2</v>
      </c>
      <c r="FC233" s="208">
        <v>2</v>
      </c>
      <c r="FD233" s="208">
        <v>2</v>
      </c>
      <c r="FE233" s="239">
        <v>0.84126984126984128</v>
      </c>
      <c r="FF233" s="208"/>
      <c r="FG233" s="241">
        <v>0</v>
      </c>
      <c r="FH233" s="209">
        <v>0</v>
      </c>
      <c r="FI233" s="237" t="s">
        <v>678</v>
      </c>
      <c r="FJ233" s="208">
        <v>37.799999999999997</v>
      </c>
      <c r="FK233" s="208">
        <v>32.35</v>
      </c>
      <c r="FL233" s="217">
        <v>74.5</v>
      </c>
      <c r="FM233" s="208">
        <v>1.19</v>
      </c>
      <c r="FN233" s="208" t="s">
        <v>1517</v>
      </c>
      <c r="FP233" s="247" t="s">
        <v>693</v>
      </c>
      <c r="FU233" s="208">
        <v>30</v>
      </c>
      <c r="FV233" s="208">
        <v>26.6</v>
      </c>
      <c r="FW233" s="237">
        <v>79</v>
      </c>
      <c r="FX233" s="237">
        <v>64.900000000000006</v>
      </c>
      <c r="FY233" s="208">
        <v>27.34</v>
      </c>
      <c r="FZ233" s="208">
        <v>43.4</v>
      </c>
      <c r="GA233" s="208">
        <v>38.03</v>
      </c>
      <c r="GB233" s="208">
        <v>34.200000000000003</v>
      </c>
      <c r="GC233" s="208">
        <v>0.13</v>
      </c>
      <c r="GD233" s="208">
        <v>31.8</v>
      </c>
      <c r="GE233" s="237">
        <v>29.37</v>
      </c>
      <c r="GF233" s="237">
        <v>32.5</v>
      </c>
      <c r="GG233" s="237">
        <v>0</v>
      </c>
      <c r="GH233" s="237">
        <v>1.4</v>
      </c>
      <c r="GJ233" s="947">
        <v>154</v>
      </c>
      <c r="GK233" s="320">
        <v>2.8000000000000001E-2</v>
      </c>
      <c r="GL233" s="320">
        <v>0.156</v>
      </c>
      <c r="GM233" s="320">
        <v>8.7999999999999995E-2</v>
      </c>
      <c r="GN233" s="320">
        <v>0.72899999999999998</v>
      </c>
      <c r="GO233" s="662">
        <v>8230</v>
      </c>
      <c r="GP233" s="663" t="str">
        <f>VLOOKUP(GS233,'BD Comarcal'!$A$6:$AV$17,48,FALSE)</f>
        <v>21</v>
      </c>
      <c r="GQ233" s="567">
        <v>246</v>
      </c>
      <c r="GR233" s="256">
        <f t="shared" si="3"/>
        <v>0</v>
      </c>
      <c r="GS233" s="237" t="s">
        <v>86</v>
      </c>
    </row>
    <row r="234" spans="1:201" s="237" customFormat="1" ht="17.25" customHeight="1">
      <c r="A234" s="236" t="s">
        <v>1518</v>
      </c>
      <c r="C234" s="238"/>
      <c r="D234" s="238">
        <v>4071</v>
      </c>
      <c r="E234" s="238">
        <v>2416</v>
      </c>
      <c r="F234" s="239">
        <v>0.59346597887496932</v>
      </c>
      <c r="G234" s="238">
        <v>1316</v>
      </c>
      <c r="H234" s="240">
        <v>25.232600238546016</v>
      </c>
      <c r="I234" s="239">
        <v>1.0443957052378317E-2</v>
      </c>
      <c r="J234" s="238">
        <v>925</v>
      </c>
      <c r="K234" s="238">
        <v>22</v>
      </c>
      <c r="L234" s="238">
        <v>15</v>
      </c>
      <c r="M234" s="241">
        <v>3.6845983787767134E-3</v>
      </c>
      <c r="N234" s="238">
        <v>64</v>
      </c>
      <c r="O234" s="239">
        <v>6.918918918918919E-2</v>
      </c>
      <c r="P234" s="237">
        <v>8</v>
      </c>
      <c r="Q234" s="237">
        <v>0</v>
      </c>
      <c r="R234" s="239">
        <v>0</v>
      </c>
      <c r="S234" s="238">
        <v>172</v>
      </c>
      <c r="T234" s="436">
        <v>0</v>
      </c>
      <c r="U234" s="436">
        <v>25</v>
      </c>
      <c r="V234" s="436">
        <v>148</v>
      </c>
      <c r="W234" s="436">
        <v>173</v>
      </c>
      <c r="X234" s="238">
        <v>29842</v>
      </c>
      <c r="Y234" s="237">
        <v>0.13039999999999999</v>
      </c>
      <c r="Z234" s="238">
        <v>341168</v>
      </c>
      <c r="AA234" s="238">
        <v>11500</v>
      </c>
      <c r="AB234" s="238">
        <v>70.27</v>
      </c>
      <c r="AC234" s="238">
        <v>128</v>
      </c>
      <c r="AD234" s="238">
        <v>27329707.68</v>
      </c>
      <c r="AE234" s="238">
        <v>6072410.1099999957</v>
      </c>
      <c r="AF234" s="238">
        <v>21272972.690000001</v>
      </c>
      <c r="AG234" s="238">
        <v>2025106.02</v>
      </c>
      <c r="AH234" s="239">
        <v>9.5196193287643421E-2</v>
      </c>
      <c r="AI234" s="247">
        <v>322.15835499999997</v>
      </c>
      <c r="AJ234" s="242">
        <v>436.22571900000003</v>
      </c>
      <c r="AK234" s="242">
        <v>10.715443846720708</v>
      </c>
      <c r="AL234" s="242">
        <v>559.27857600000004</v>
      </c>
      <c r="AM234" s="242">
        <v>13.738112896094327</v>
      </c>
      <c r="AN234" s="242">
        <v>64317.919999999998</v>
      </c>
      <c r="AO234" s="238">
        <v>14980.35</v>
      </c>
      <c r="AP234" s="243">
        <v>39</v>
      </c>
      <c r="AQ234" s="238">
        <v>2</v>
      </c>
      <c r="AR234" s="238">
        <v>1347.9693937041027</v>
      </c>
      <c r="AS234" s="238">
        <v>1863.2402113906865</v>
      </c>
      <c r="AT234" s="238">
        <v>1607231.6666666667</v>
      </c>
      <c r="AU234" s="238">
        <v>287.73694691662615</v>
      </c>
      <c r="AV234" s="237">
        <v>1</v>
      </c>
      <c r="AW234" s="237">
        <v>0</v>
      </c>
      <c r="AX234" s="237">
        <v>1</v>
      </c>
      <c r="AY234" s="244" t="s">
        <v>717</v>
      </c>
      <c r="AZ234" s="244" t="s">
        <v>682</v>
      </c>
      <c r="BA234" s="237">
        <v>2011</v>
      </c>
      <c r="BB234" s="245" t="s">
        <v>1519</v>
      </c>
      <c r="BC234" s="215" t="s">
        <v>1518</v>
      </c>
      <c r="BE234" s="237">
        <v>137</v>
      </c>
      <c r="BF234" s="237">
        <v>19</v>
      </c>
      <c r="BG234" s="246" t="s">
        <v>676</v>
      </c>
      <c r="BI234" s="239">
        <v>0.30877305877305877</v>
      </c>
      <c r="BJ234" s="239">
        <v>0.13728013728013727</v>
      </c>
      <c r="BK234" s="239">
        <v>0.52552552552552556</v>
      </c>
      <c r="BL234" s="239">
        <v>2.842127842127842E-2</v>
      </c>
      <c r="BM234" s="247">
        <v>1.7264049764049763</v>
      </c>
      <c r="BN234" s="248">
        <v>0</v>
      </c>
      <c r="BO234" s="248">
        <v>1</v>
      </c>
      <c r="BP234" s="237">
        <v>1</v>
      </c>
      <c r="BQ234" s="237">
        <v>1</v>
      </c>
      <c r="BR234" s="248">
        <v>3</v>
      </c>
      <c r="BS234" s="237">
        <v>1.5</v>
      </c>
      <c r="BT234" s="237" t="s">
        <v>909</v>
      </c>
      <c r="BU234" s="249">
        <v>2079</v>
      </c>
      <c r="BV234" s="249">
        <v>3306</v>
      </c>
      <c r="BW234" s="249">
        <v>14066</v>
      </c>
      <c r="BX234" s="249">
        <v>4196</v>
      </c>
      <c r="BY234" s="249">
        <v>7.2363383223111732</v>
      </c>
      <c r="BZ234" s="249">
        <v>11.507135398538113</v>
      </c>
      <c r="CA234" s="249">
        <v>48.959276018099544</v>
      </c>
      <c r="CB234" s="249">
        <v>14.604942568743473</v>
      </c>
      <c r="CC234" s="250">
        <v>93.682561782109289</v>
      </c>
      <c r="CD234" s="242">
        <v>-2195</v>
      </c>
      <c r="CE234" s="252">
        <v>92.35990254089802</v>
      </c>
      <c r="CF234" s="238">
        <v>13700</v>
      </c>
      <c r="CG234" s="238">
        <v>2857.8</v>
      </c>
      <c r="CH234" s="238">
        <v>9.9470936303515494</v>
      </c>
      <c r="CI234" s="216" t="s">
        <v>679</v>
      </c>
      <c r="CJ234" s="237">
        <v>0</v>
      </c>
      <c r="CK234" s="253">
        <v>403.16</v>
      </c>
      <c r="CL234" s="253">
        <v>639.30190000000005</v>
      </c>
      <c r="CM234" s="254">
        <v>0.15703804961925819</v>
      </c>
      <c r="CN234" s="237" t="s">
        <v>85</v>
      </c>
      <c r="CO234" s="242">
        <v>1708.83</v>
      </c>
      <c r="CP234" s="255">
        <v>0.4197568165070007</v>
      </c>
      <c r="CV234" s="256">
        <v>25</v>
      </c>
      <c r="CW234" s="194">
        <v>1.5629999999999999</v>
      </c>
      <c r="CX234" s="194">
        <v>0.63500000000000001</v>
      </c>
      <c r="CY234" s="194">
        <v>0.17599999999999999</v>
      </c>
      <c r="CZ234" s="237" t="s">
        <v>529</v>
      </c>
      <c r="DA234" s="237" t="s">
        <v>1520</v>
      </c>
      <c r="DB234" s="216"/>
      <c r="DC234" s="195" t="s">
        <v>1521</v>
      </c>
      <c r="DD234" s="256">
        <v>0.7</v>
      </c>
      <c r="DE234" s="256">
        <v>-6.5</v>
      </c>
      <c r="DF234" s="256">
        <v>0.7</v>
      </c>
      <c r="DG234" s="256">
        <v>-2.2000000000000002</v>
      </c>
      <c r="DH234" s="257">
        <v>2</v>
      </c>
      <c r="DI234" s="257">
        <v>3.26</v>
      </c>
      <c r="DJ234" s="257">
        <v>130.24</v>
      </c>
      <c r="DK234" s="257">
        <v>133.5</v>
      </c>
      <c r="DL234" s="237" t="s">
        <v>682</v>
      </c>
      <c r="DP234" s="258" t="s">
        <v>682</v>
      </c>
      <c r="DQ234" s="258"/>
      <c r="DR234" s="258"/>
      <c r="DS234" s="258"/>
      <c r="DT234" s="258"/>
      <c r="DU234" s="237">
        <v>0</v>
      </c>
      <c r="DX234" s="247"/>
      <c r="DY234" s="247">
        <v>0</v>
      </c>
      <c r="EA234" s="237">
        <v>0</v>
      </c>
      <c r="ED234" s="237" t="s">
        <v>687</v>
      </c>
      <c r="EE234" s="208">
        <v>4</v>
      </c>
      <c r="EF234" s="237" t="s">
        <v>688</v>
      </c>
      <c r="EG234" s="216" t="s">
        <v>691</v>
      </c>
      <c r="EH234" s="246" t="s">
        <v>690</v>
      </c>
      <c r="EI234" s="216" t="s">
        <v>689</v>
      </c>
      <c r="EJ234" s="216" t="s">
        <v>529</v>
      </c>
      <c r="EK234" s="222" t="s">
        <v>682</v>
      </c>
      <c r="EL234" s="259">
        <v>2001</v>
      </c>
      <c r="EM234" s="260">
        <v>2485</v>
      </c>
      <c r="EN234" s="260">
        <v>1429060</v>
      </c>
      <c r="EO234" s="260">
        <v>280562</v>
      </c>
      <c r="ER234" s="237" t="s">
        <v>705</v>
      </c>
      <c r="ES234" s="237">
        <v>9576.6666666666661</v>
      </c>
      <c r="ET234" s="237">
        <v>112.90221327967807</v>
      </c>
      <c r="EU234" s="661">
        <v>3</v>
      </c>
      <c r="EV234" s="661">
        <v>5</v>
      </c>
      <c r="EW234" s="661">
        <v>6</v>
      </c>
      <c r="EX234" s="661">
        <v>9</v>
      </c>
      <c r="EY234" s="660">
        <v>9.9032178825841324E-2</v>
      </c>
      <c r="EZ234" s="256">
        <v>71.262029963290004</v>
      </c>
      <c r="FA234" s="247">
        <v>1.0347682119205297</v>
      </c>
      <c r="FB234" s="208">
        <v>6</v>
      </c>
      <c r="FC234" s="208">
        <v>6</v>
      </c>
      <c r="FD234" s="208">
        <v>9</v>
      </c>
      <c r="FE234" s="239">
        <v>0.54470198675496684</v>
      </c>
      <c r="FF234" s="208"/>
      <c r="FG234" s="241">
        <v>5.5256622516556289E-2</v>
      </c>
      <c r="FH234" s="209">
        <v>0</v>
      </c>
      <c r="FI234" s="237" t="s">
        <v>678</v>
      </c>
      <c r="FJ234" s="208">
        <v>40.700000000000003</v>
      </c>
      <c r="FK234" s="208">
        <v>26.06</v>
      </c>
      <c r="FL234" s="217">
        <v>68.400000000000006</v>
      </c>
      <c r="FM234" s="208">
        <v>0.42</v>
      </c>
      <c r="FN234" s="208" t="s">
        <v>1522</v>
      </c>
      <c r="FP234" s="247" t="s">
        <v>693</v>
      </c>
      <c r="FU234" s="208">
        <v>43</v>
      </c>
      <c r="FV234" s="208">
        <v>61.1</v>
      </c>
      <c r="FW234" s="237">
        <v>61.73</v>
      </c>
      <c r="FX234" s="237">
        <v>43.2</v>
      </c>
      <c r="FY234" s="208">
        <v>18.170000000000002</v>
      </c>
      <c r="FZ234" s="208">
        <v>32.299999999999997</v>
      </c>
      <c r="GA234" s="208">
        <v>34.75</v>
      </c>
      <c r="GB234" s="208">
        <v>28.1</v>
      </c>
      <c r="GC234" s="208">
        <v>0.32</v>
      </c>
      <c r="GD234" s="208">
        <v>50.3</v>
      </c>
      <c r="GE234" s="237">
        <v>24.32</v>
      </c>
      <c r="GF234" s="237">
        <v>24.8</v>
      </c>
      <c r="GG234" s="237">
        <v>1.2</v>
      </c>
      <c r="GH234" s="237">
        <v>16.5</v>
      </c>
      <c r="GJ234" s="947">
        <v>394</v>
      </c>
      <c r="GK234" s="320">
        <v>2E-3</v>
      </c>
      <c r="GL234" s="320">
        <v>0.08</v>
      </c>
      <c r="GM234" s="320">
        <v>8.6999999999999994E-2</v>
      </c>
      <c r="GN234" s="320">
        <v>0.83099999999999996</v>
      </c>
      <c r="GO234" s="662">
        <v>8231</v>
      </c>
      <c r="GP234" s="663" t="str">
        <f>VLOOKUP(GS234,'BD Comarcal'!$A$6:$AV$17,48,FALSE)</f>
        <v>17</v>
      </c>
      <c r="GQ234" s="564">
        <v>174</v>
      </c>
      <c r="GR234" s="256">
        <f t="shared" si="3"/>
        <v>1</v>
      </c>
      <c r="GS234" s="237" t="s">
        <v>85</v>
      </c>
    </row>
    <row r="235" spans="1:201" s="237" customFormat="1" ht="17.25" customHeight="1">
      <c r="A235" s="236" t="s">
        <v>1523</v>
      </c>
      <c r="C235" s="238"/>
      <c r="D235" s="238">
        <v>535</v>
      </c>
      <c r="E235" s="238">
        <v>123</v>
      </c>
      <c r="F235" s="239">
        <v>0.22990654205607478</v>
      </c>
      <c r="G235" s="238">
        <v>85</v>
      </c>
      <c r="H235" s="240">
        <v>20.685172032703981</v>
      </c>
      <c r="I235" s="239">
        <v>0.16817213034718684</v>
      </c>
      <c r="J235" s="238">
        <v>132</v>
      </c>
      <c r="K235" s="238">
        <v>0</v>
      </c>
      <c r="L235" s="238">
        <v>9</v>
      </c>
      <c r="M235" s="241">
        <v>1.6822429906542057E-2</v>
      </c>
      <c r="N235" s="238">
        <v>0</v>
      </c>
      <c r="O235" s="239">
        <v>0</v>
      </c>
      <c r="P235" s="237">
        <v>3</v>
      </c>
      <c r="Q235" s="237">
        <v>0</v>
      </c>
      <c r="R235" s="239">
        <v>0</v>
      </c>
      <c r="S235" s="238">
        <v>212</v>
      </c>
      <c r="T235" s="436">
        <v>0</v>
      </c>
      <c r="U235" s="436">
        <v>0</v>
      </c>
      <c r="V235" s="436">
        <v>29</v>
      </c>
      <c r="W235" s="436">
        <v>29</v>
      </c>
      <c r="X235" s="238">
        <v>2369</v>
      </c>
      <c r="Y235" s="237">
        <v>0.2077</v>
      </c>
      <c r="Z235" s="238">
        <v>31135</v>
      </c>
      <c r="AA235" s="238">
        <v>13115</v>
      </c>
      <c r="AB235" s="238">
        <v>80.13</v>
      </c>
      <c r="AC235" s="238">
        <v>656</v>
      </c>
      <c r="AD235" s="238">
        <v>2782731.94</v>
      </c>
      <c r="AE235" s="238">
        <v>66573.010000000242</v>
      </c>
      <c r="AF235" s="238">
        <v>2691057.64</v>
      </c>
      <c r="AG235" s="238">
        <v>600329.79</v>
      </c>
      <c r="AH235" s="239">
        <v>0.22308321496970984</v>
      </c>
      <c r="AI235" s="247">
        <v>58.350484999999999</v>
      </c>
      <c r="AJ235" s="242">
        <v>27.833379000000001</v>
      </c>
      <c r="AK235" s="242">
        <v>5.2025007476635512</v>
      </c>
      <c r="AL235" s="242" t="s">
        <v>678</v>
      </c>
      <c r="AM235" s="242" t="s">
        <v>678</v>
      </c>
      <c r="AN235" s="242">
        <v>12090.08</v>
      </c>
      <c r="AO235" s="238">
        <v>0</v>
      </c>
      <c r="AP235" s="243">
        <v>0</v>
      </c>
      <c r="AQ235" s="238">
        <v>1</v>
      </c>
      <c r="AR235" s="238">
        <v>1318.0569021378119</v>
      </c>
      <c r="AS235" s="238">
        <v>2326.2702803952866</v>
      </c>
      <c r="AT235" s="238">
        <v>138781.66666666666</v>
      </c>
      <c r="AU235" s="238">
        <v>246.56416989396067</v>
      </c>
      <c r="AV235" s="237">
        <v>1</v>
      </c>
      <c r="AW235" s="237">
        <v>0</v>
      </c>
      <c r="AX235" s="237">
        <v>1</v>
      </c>
      <c r="AY235" s="244" t="s">
        <v>673</v>
      </c>
      <c r="AZ235" s="244" t="s">
        <v>726</v>
      </c>
      <c r="BA235" s="237">
        <v>2013</v>
      </c>
      <c r="BB235" s="245" t="s">
        <v>678</v>
      </c>
      <c r="BC235" s="215" t="s">
        <v>678</v>
      </c>
      <c r="BE235" s="237">
        <v>8</v>
      </c>
      <c r="BF235" s="237">
        <v>20</v>
      </c>
      <c r="BG235" s="246" t="s">
        <v>698</v>
      </c>
      <c r="BI235" s="239">
        <v>0.61509194673430567</v>
      </c>
      <c r="BJ235" s="239">
        <v>9.6385542168674704E-2</v>
      </c>
      <c r="BK235" s="239">
        <v>0.26252377932783766</v>
      </c>
      <c r="BL235" s="239">
        <v>2.599873176918199E-2</v>
      </c>
      <c r="BM235" s="247">
        <v>2.3005707038681042</v>
      </c>
      <c r="BN235" s="248">
        <v>1</v>
      </c>
      <c r="BO235" s="248">
        <v>0</v>
      </c>
      <c r="BP235" s="237">
        <v>0</v>
      </c>
      <c r="BQ235" s="237">
        <v>0</v>
      </c>
      <c r="BR235" s="248">
        <v>1</v>
      </c>
      <c r="BS235" s="237">
        <v>16</v>
      </c>
      <c r="BT235" s="237" t="s">
        <v>790</v>
      </c>
      <c r="BU235" s="249" t="s">
        <v>678</v>
      </c>
      <c r="BV235" s="249">
        <v>359</v>
      </c>
      <c r="BW235" s="249">
        <v>1151</v>
      </c>
      <c r="BX235" s="249" t="s">
        <v>678</v>
      </c>
      <c r="BY235" s="249" t="s">
        <v>678</v>
      </c>
      <c r="BZ235" s="249">
        <v>15.302642796248934</v>
      </c>
      <c r="CA235" s="249">
        <v>49.062233589087811</v>
      </c>
      <c r="CB235" s="249" t="s">
        <v>678</v>
      </c>
      <c r="CC235" s="250" t="s">
        <v>678</v>
      </c>
      <c r="CD235" s="242" t="s">
        <v>678</v>
      </c>
      <c r="CE235" s="252" t="s">
        <v>678</v>
      </c>
      <c r="CF235" s="238">
        <v>1153</v>
      </c>
      <c r="CG235" s="238">
        <v>151</v>
      </c>
      <c r="CH235" s="238">
        <v>6.4364876385336744</v>
      </c>
      <c r="CI235" s="216" t="s">
        <v>700</v>
      </c>
      <c r="CJ235" s="237">
        <v>0</v>
      </c>
      <c r="CK235" s="253">
        <v>71.17</v>
      </c>
      <c r="CL235" s="253">
        <v>25.256</v>
      </c>
      <c r="CM235" s="254">
        <v>4.7207476635514022E-2</v>
      </c>
      <c r="CN235" s="237" t="s">
        <v>791</v>
      </c>
      <c r="CO235" s="242"/>
      <c r="CP235" s="255">
        <v>0</v>
      </c>
      <c r="CV235" s="237">
        <v>5</v>
      </c>
      <c r="CW235" s="261" t="s">
        <v>678</v>
      </c>
      <c r="CX235" s="261" t="s">
        <v>678</v>
      </c>
      <c r="CY235" s="261" t="s">
        <v>678</v>
      </c>
      <c r="DB235" s="216" t="s">
        <v>681</v>
      </c>
      <c r="DC235" s="256"/>
      <c r="DD235" s="256">
        <v>0.8</v>
      </c>
      <c r="DE235" s="256">
        <v>-10</v>
      </c>
      <c r="DF235" s="256">
        <v>0.5</v>
      </c>
      <c r="DG235" s="256">
        <v>-2.2999999999999998</v>
      </c>
      <c r="DH235" s="257">
        <v>1</v>
      </c>
      <c r="DI235" s="257">
        <v>0</v>
      </c>
      <c r="DJ235" s="257">
        <v>2.7</v>
      </c>
      <c r="DK235" s="257">
        <v>2.7</v>
      </c>
      <c r="DL235" s="237" t="s">
        <v>682</v>
      </c>
      <c r="DP235" s="258" t="s">
        <v>682</v>
      </c>
      <c r="DQ235" s="258"/>
      <c r="DR235" s="258"/>
      <c r="DS235" s="258"/>
      <c r="DT235" s="258"/>
      <c r="DU235" s="237">
        <v>0</v>
      </c>
      <c r="DX235" s="247"/>
      <c r="DY235" s="247">
        <v>0</v>
      </c>
      <c r="EA235" s="237">
        <v>0</v>
      </c>
      <c r="ED235" s="237" t="s">
        <v>678</v>
      </c>
      <c r="EE235" s="208">
        <v>1</v>
      </c>
      <c r="EF235" s="237" t="s">
        <v>678</v>
      </c>
      <c r="EG235" s="216" t="s">
        <v>733</v>
      </c>
      <c r="EH235" s="246" t="s">
        <v>734</v>
      </c>
      <c r="EI235" s="216"/>
      <c r="EJ235" s="216" t="s">
        <v>806</v>
      </c>
      <c r="EK235" s="222" t="s">
        <v>682</v>
      </c>
      <c r="EL235" s="259">
        <v>2012</v>
      </c>
      <c r="EM235" s="263">
        <v>1250</v>
      </c>
      <c r="EN235" s="260">
        <v>99434</v>
      </c>
      <c r="EO235" s="260">
        <v>43227</v>
      </c>
      <c r="ER235" s="237" t="s">
        <v>705</v>
      </c>
      <c r="ES235" s="237">
        <v>2346</v>
      </c>
      <c r="ET235" s="237">
        <v>34.581600000000002</v>
      </c>
      <c r="EU235" s="661">
        <v>1</v>
      </c>
      <c r="EV235" s="661">
        <v>2</v>
      </c>
      <c r="EW235" s="661">
        <v>4</v>
      </c>
      <c r="EX235" s="661">
        <v>4</v>
      </c>
      <c r="EY235" s="660">
        <v>0.13302803738317756</v>
      </c>
      <c r="EZ235" s="256">
        <v>32.963327244625546</v>
      </c>
      <c r="FA235" s="247">
        <v>4.0650406504065044</v>
      </c>
      <c r="FB235" s="208">
        <v>4</v>
      </c>
      <c r="FC235" s="208">
        <v>4</v>
      </c>
      <c r="FD235" s="208">
        <v>5</v>
      </c>
      <c r="FE235" s="239">
        <v>0.69105691056910568</v>
      </c>
      <c r="FF235" s="208"/>
      <c r="FG235" s="241">
        <v>2.1951219512195124E-2</v>
      </c>
      <c r="FH235" s="209">
        <v>0</v>
      </c>
      <c r="FI235" s="237" t="s">
        <v>678</v>
      </c>
      <c r="FJ235" s="208" t="s">
        <v>678</v>
      </c>
      <c r="FK235" s="208" t="s">
        <v>678</v>
      </c>
      <c r="FL235" s="217" t="s">
        <v>678</v>
      </c>
      <c r="FM235" s="208" t="s">
        <v>678</v>
      </c>
      <c r="FN235" s="208" t="s">
        <v>678</v>
      </c>
      <c r="FP235" s="247" t="s">
        <v>693</v>
      </c>
      <c r="FU235" s="208" t="s">
        <v>678</v>
      </c>
      <c r="FV235" s="208" t="s">
        <v>678</v>
      </c>
      <c r="FW235" s="237" t="s">
        <v>678</v>
      </c>
      <c r="FX235" s="237" t="s">
        <v>678</v>
      </c>
      <c r="FY235" s="208" t="s">
        <v>678</v>
      </c>
      <c r="FZ235" s="208" t="s">
        <v>678</v>
      </c>
      <c r="GA235" s="208" t="s">
        <v>678</v>
      </c>
      <c r="GB235" s="208" t="s">
        <v>678</v>
      </c>
      <c r="GC235" s="208" t="s">
        <v>678</v>
      </c>
      <c r="GD235" s="208" t="s">
        <v>678</v>
      </c>
      <c r="GE235" s="237" t="s">
        <v>678</v>
      </c>
      <c r="GF235" s="237" t="s">
        <v>678</v>
      </c>
      <c r="GG235" s="237" t="s">
        <v>678</v>
      </c>
      <c r="GH235" s="237" t="s">
        <v>678</v>
      </c>
      <c r="GJ235" s="947"/>
      <c r="GK235" s="320"/>
      <c r="GL235" s="320"/>
      <c r="GM235" s="320"/>
      <c r="GN235" s="320"/>
      <c r="GO235" s="662">
        <v>8232</v>
      </c>
      <c r="GP235" s="663" t="str">
        <f>VLOOKUP(GS235,'BD Comarcal'!$A$6:$AV$17,48,FALSE)</f>
        <v>03</v>
      </c>
      <c r="GQ235" s="564">
        <v>20</v>
      </c>
      <c r="GR235" s="256">
        <f t="shared" si="3"/>
        <v>0</v>
      </c>
      <c r="GS235" s="237" t="s">
        <v>791</v>
      </c>
    </row>
    <row r="236" spans="1:201" s="237" customFormat="1" ht="17.25" customHeight="1">
      <c r="A236" s="236" t="s">
        <v>1524</v>
      </c>
      <c r="C236" s="238"/>
      <c r="D236" s="238">
        <v>5747</v>
      </c>
      <c r="E236" s="238">
        <v>4530</v>
      </c>
      <c r="F236" s="239">
        <v>0.7882373412215069</v>
      </c>
      <c r="G236" s="238">
        <v>2061</v>
      </c>
      <c r="H236" s="240">
        <v>4276.903099616874</v>
      </c>
      <c r="I236" s="239">
        <v>0.94412871956222388</v>
      </c>
      <c r="J236" s="238">
        <v>346</v>
      </c>
      <c r="K236" s="238">
        <v>615</v>
      </c>
      <c r="L236" s="238">
        <v>12</v>
      </c>
      <c r="M236" s="241">
        <v>2.0880459370106142E-3</v>
      </c>
      <c r="N236" s="238">
        <v>6</v>
      </c>
      <c r="O236" s="239">
        <v>1.7341040462427744E-2</v>
      </c>
      <c r="P236" s="237">
        <v>33</v>
      </c>
      <c r="Q236" s="237">
        <v>1</v>
      </c>
      <c r="R236" s="239">
        <v>3.0303030303030304E-2</v>
      </c>
      <c r="S236" s="238">
        <v>4202</v>
      </c>
      <c r="T236" s="436">
        <v>0</v>
      </c>
      <c r="U236" s="436">
        <v>65</v>
      </c>
      <c r="V236" s="436">
        <v>0</v>
      </c>
      <c r="W236" s="436">
        <v>65</v>
      </c>
      <c r="X236" s="238">
        <v>2427</v>
      </c>
      <c r="Y236" s="237">
        <v>0.19789999999999999</v>
      </c>
      <c r="Z236" s="238">
        <v>42971</v>
      </c>
      <c r="AA236" s="238">
        <v>17662</v>
      </c>
      <c r="AB236" s="238">
        <v>107.92</v>
      </c>
      <c r="AC236" s="238">
        <v>725</v>
      </c>
      <c r="AD236" s="238">
        <v>3391224.5100000002</v>
      </c>
      <c r="AE236" s="238">
        <v>529116.77</v>
      </c>
      <c r="AF236" s="238">
        <v>2976895.9</v>
      </c>
      <c r="AG236" s="238">
        <v>405207.88</v>
      </c>
      <c r="AH236" s="239">
        <v>0.13611758476337718</v>
      </c>
      <c r="AI236" s="247">
        <v>70.313259000000002</v>
      </c>
      <c r="AJ236" s="242">
        <v>15.453099999999999</v>
      </c>
      <c r="AK236" s="242">
        <v>0.26888985557682266</v>
      </c>
      <c r="AL236" s="242">
        <v>9.9037710000000008</v>
      </c>
      <c r="AM236" s="242">
        <v>0.17232940664694624</v>
      </c>
      <c r="AN236" s="242" t="s">
        <v>678</v>
      </c>
      <c r="AO236" s="238">
        <v>6301.94</v>
      </c>
      <c r="AP236" s="243">
        <v>0</v>
      </c>
      <c r="AQ236" s="238"/>
      <c r="AR236" s="238">
        <v>1060.094777980089</v>
      </c>
      <c r="AS236" s="238">
        <v>975.20888992515393</v>
      </c>
      <c r="AT236" s="238">
        <v>170105.33333333334</v>
      </c>
      <c r="AU236" s="238">
        <v>199.30603335546212</v>
      </c>
      <c r="AV236" s="237">
        <v>1</v>
      </c>
      <c r="AW236" s="237">
        <v>1</v>
      </c>
      <c r="AX236" s="237">
        <v>1</v>
      </c>
      <c r="AY236" s="244" t="s">
        <v>726</v>
      </c>
      <c r="AZ236" s="244" t="s">
        <v>726</v>
      </c>
      <c r="BA236" s="237">
        <v>2009</v>
      </c>
      <c r="BB236" s="245" t="s">
        <v>1188</v>
      </c>
      <c r="BC236" s="215" t="s">
        <v>1189</v>
      </c>
      <c r="BE236" s="237">
        <v>0</v>
      </c>
      <c r="BF236" s="237">
        <v>46</v>
      </c>
      <c r="BG236" s="246" t="s">
        <v>720</v>
      </c>
      <c r="BI236" s="239">
        <v>0.57041800643086815</v>
      </c>
      <c r="BJ236" s="239">
        <v>7.6527331189710612E-2</v>
      </c>
      <c r="BK236" s="239">
        <v>0.2919614147909968</v>
      </c>
      <c r="BL236" s="239">
        <v>6.1093247588424437E-2</v>
      </c>
      <c r="BM236" s="247">
        <v>2.1562700964630226</v>
      </c>
      <c r="BN236" s="248">
        <v>0</v>
      </c>
      <c r="BO236" s="248">
        <v>0</v>
      </c>
      <c r="BP236" s="237">
        <v>0</v>
      </c>
      <c r="BQ236" s="237">
        <v>0</v>
      </c>
      <c r="BR236" s="248">
        <v>0</v>
      </c>
      <c r="BS236" s="237">
        <v>10</v>
      </c>
      <c r="BT236" s="237" t="s">
        <v>721</v>
      </c>
      <c r="BU236" s="249" t="s">
        <v>678</v>
      </c>
      <c r="BV236" s="249">
        <v>369</v>
      </c>
      <c r="BW236" s="249">
        <v>1176</v>
      </c>
      <c r="BX236" s="249" t="s">
        <v>678</v>
      </c>
      <c r="BY236" s="249" t="s">
        <v>678</v>
      </c>
      <c r="BZ236" s="249">
        <v>15.092024539877301</v>
      </c>
      <c r="CA236" s="249">
        <v>48.098159509202453</v>
      </c>
      <c r="CB236" s="249" t="s">
        <v>678</v>
      </c>
      <c r="CC236" s="250" t="s">
        <v>678</v>
      </c>
      <c r="CD236" s="242" t="s">
        <v>678</v>
      </c>
      <c r="CE236" s="252" t="s">
        <v>678</v>
      </c>
      <c r="CF236" s="238">
        <v>1141</v>
      </c>
      <c r="CG236" s="238">
        <v>151</v>
      </c>
      <c r="CH236" s="238">
        <v>6.1758691206543963</v>
      </c>
      <c r="CI236" s="216" t="s">
        <v>700</v>
      </c>
      <c r="CJ236" s="237">
        <v>0</v>
      </c>
      <c r="CK236" s="253">
        <v>70.67</v>
      </c>
      <c r="CL236" s="253">
        <v>31.279299999999999</v>
      </c>
      <c r="CM236" s="254">
        <v>5.4427179397946749E-3</v>
      </c>
      <c r="CN236" s="237" t="s">
        <v>88</v>
      </c>
      <c r="CO236" s="242">
        <v>2589.5</v>
      </c>
      <c r="CP236" s="255">
        <v>0.45058291282408214</v>
      </c>
      <c r="CQ236" s="247">
        <v>294.48</v>
      </c>
      <c r="CR236" s="248" t="s">
        <v>810</v>
      </c>
      <c r="CT236" s="247">
        <v>294.48</v>
      </c>
      <c r="CW236" s="261" t="s">
        <v>678</v>
      </c>
      <c r="CX236" s="261" t="s">
        <v>678</v>
      </c>
      <c r="CY236" s="261" t="s">
        <v>678</v>
      </c>
      <c r="DB236" s="216" t="s">
        <v>681</v>
      </c>
      <c r="DC236" s="256"/>
      <c r="DD236" s="256">
        <v>0.8</v>
      </c>
      <c r="DE236" s="256">
        <v>-9</v>
      </c>
      <c r="DF236" s="256">
        <v>-0.3</v>
      </c>
      <c r="DG236" s="256">
        <v>-2.6</v>
      </c>
      <c r="DH236" s="257">
        <v>1</v>
      </c>
      <c r="DI236" s="257">
        <v>0</v>
      </c>
      <c r="DJ236" s="257">
        <v>1.6</v>
      </c>
      <c r="DK236" s="257">
        <v>1.6</v>
      </c>
      <c r="DL236" s="237" t="s">
        <v>529</v>
      </c>
      <c r="DM236" s="270" t="s">
        <v>1525</v>
      </c>
      <c r="DN236" s="237" t="s">
        <v>713</v>
      </c>
      <c r="DO236" s="237">
        <v>1</v>
      </c>
      <c r="DP236" s="258" t="s">
        <v>683</v>
      </c>
      <c r="DQ236" s="258" t="s">
        <v>758</v>
      </c>
      <c r="DR236" s="258" t="s">
        <v>1526</v>
      </c>
      <c r="DS236" s="258"/>
      <c r="DT236" s="258"/>
      <c r="DU236" s="237">
        <v>1</v>
      </c>
      <c r="DV236" s="237" t="s">
        <v>1527</v>
      </c>
      <c r="DW236" s="237" t="s">
        <v>794</v>
      </c>
      <c r="DX236" s="247">
        <v>0.28000000000000003</v>
      </c>
      <c r="DY236" s="247">
        <v>4.8721071863581005E-3</v>
      </c>
      <c r="EA236" s="237">
        <v>0</v>
      </c>
      <c r="ED236" s="237" t="s">
        <v>1528</v>
      </c>
      <c r="EE236" s="208">
        <v>1</v>
      </c>
      <c r="EF236" s="237" t="s">
        <v>852</v>
      </c>
      <c r="EG236" s="216" t="s">
        <v>733</v>
      </c>
      <c r="EH236" s="246" t="s">
        <v>734</v>
      </c>
      <c r="EI236" s="216"/>
      <c r="EJ236" s="216" t="s">
        <v>529</v>
      </c>
      <c r="EK236" s="222" t="s">
        <v>682</v>
      </c>
      <c r="EL236" s="259">
        <v>2008</v>
      </c>
      <c r="EM236" s="263">
        <v>1500</v>
      </c>
      <c r="EN236" s="260">
        <v>77340</v>
      </c>
      <c r="EO236" s="260">
        <v>99093</v>
      </c>
      <c r="EP236" s="237">
        <v>1</v>
      </c>
      <c r="EQ236" s="237">
        <v>84</v>
      </c>
      <c r="ER236" s="237" t="s">
        <v>692</v>
      </c>
      <c r="ES236" s="237" t="e">
        <v>#DIV/0!</v>
      </c>
      <c r="ET236" s="237">
        <v>66.061999999999998</v>
      </c>
      <c r="EU236" s="661">
        <v>5</v>
      </c>
      <c r="EV236" s="661">
        <v>1</v>
      </c>
      <c r="EW236" s="661">
        <v>0</v>
      </c>
      <c r="EX236" s="661">
        <v>1</v>
      </c>
      <c r="EY236" s="660">
        <v>1.2296850530711676E-2</v>
      </c>
      <c r="EZ236" s="256">
        <v>34.59742464978067</v>
      </c>
      <c r="FA236" s="247">
        <v>0</v>
      </c>
      <c r="FB236" s="208">
        <v>3</v>
      </c>
      <c r="FC236" s="208">
        <v>3</v>
      </c>
      <c r="FD236" s="208">
        <v>3</v>
      </c>
      <c r="FE236" s="239">
        <v>0.45496688741721852</v>
      </c>
      <c r="FF236" s="208">
        <v>1</v>
      </c>
      <c r="FG236" s="241">
        <v>3.5320088300220751E-4</v>
      </c>
      <c r="FH236" s="209">
        <v>6.5006622516556298E-2</v>
      </c>
      <c r="FI236" s="237" t="s">
        <v>678</v>
      </c>
      <c r="FJ236" s="208">
        <v>65</v>
      </c>
      <c r="FK236" s="208">
        <v>43.92</v>
      </c>
      <c r="FL236" s="217">
        <v>87</v>
      </c>
      <c r="FM236" s="208">
        <v>11.12</v>
      </c>
      <c r="FN236" s="208" t="s">
        <v>1529</v>
      </c>
      <c r="FP236" s="247" t="s">
        <v>693</v>
      </c>
      <c r="FU236" s="208">
        <v>46</v>
      </c>
      <c r="FV236" s="208">
        <v>67</v>
      </c>
      <c r="FW236" s="237">
        <v>92.53</v>
      </c>
      <c r="FX236" s="237">
        <v>88.9</v>
      </c>
      <c r="FY236" s="208">
        <v>80.209999999999994</v>
      </c>
      <c r="FZ236" s="208">
        <v>79.900000000000006</v>
      </c>
      <c r="GA236" s="208">
        <v>75.290000000000006</v>
      </c>
      <c r="GB236" s="208">
        <v>85.4</v>
      </c>
      <c r="GC236" s="208">
        <v>0.44</v>
      </c>
      <c r="GD236" s="208">
        <v>61.4</v>
      </c>
      <c r="GE236" s="237">
        <v>60.23</v>
      </c>
      <c r="GF236" s="237">
        <v>78.400000000000006</v>
      </c>
      <c r="GG236" s="237">
        <v>9.9</v>
      </c>
      <c r="GH236" s="237">
        <v>67</v>
      </c>
      <c r="GJ236" s="947"/>
      <c r="GK236" s="320"/>
      <c r="GL236" s="320"/>
      <c r="GM236" s="320"/>
      <c r="GN236" s="320"/>
      <c r="GO236" s="662">
        <v>8233</v>
      </c>
      <c r="GP236" s="663" t="str">
        <f>VLOOKUP(GS236,'BD Comarcal'!$A$6:$AV$17,48,FALSE)</f>
        <v>24</v>
      </c>
      <c r="GQ236" s="564">
        <v>25</v>
      </c>
      <c r="GR236" s="256">
        <f t="shared" si="3"/>
        <v>0</v>
      </c>
      <c r="GS236" s="237" t="s">
        <v>88</v>
      </c>
    </row>
    <row r="237" spans="1:201" s="237" customFormat="1" ht="17.25" customHeight="1">
      <c r="A237" s="236" t="s">
        <v>1530</v>
      </c>
      <c r="C237" s="238"/>
      <c r="D237" s="238">
        <v>3474</v>
      </c>
      <c r="E237" s="238">
        <v>2689</v>
      </c>
      <c r="F237" s="239">
        <v>0.77403569372481285</v>
      </c>
      <c r="G237" s="238">
        <v>2505</v>
      </c>
      <c r="H237" s="240">
        <v>1177.9071797918818</v>
      </c>
      <c r="I237" s="239">
        <v>0.43804655254439639</v>
      </c>
      <c r="J237" s="238">
        <v>482</v>
      </c>
      <c r="K237" s="238">
        <v>140</v>
      </c>
      <c r="L237" s="238">
        <v>209</v>
      </c>
      <c r="M237" s="241">
        <v>6.0161197466896951E-2</v>
      </c>
      <c r="N237" s="238">
        <v>0</v>
      </c>
      <c r="O237" s="239">
        <v>0</v>
      </c>
      <c r="P237" s="237">
        <v>25</v>
      </c>
      <c r="Q237" s="237">
        <v>0</v>
      </c>
      <c r="R237" s="239">
        <v>0</v>
      </c>
      <c r="S237" s="238">
        <v>5740</v>
      </c>
      <c r="T237" s="436">
        <v>0</v>
      </c>
      <c r="U237" s="436">
        <v>11</v>
      </c>
      <c r="V237" s="436">
        <v>0</v>
      </c>
      <c r="W237" s="436">
        <v>11</v>
      </c>
      <c r="X237" s="238">
        <v>4257</v>
      </c>
      <c r="Y237" s="237">
        <v>0.13769999999999999</v>
      </c>
      <c r="Z237" s="238">
        <v>71748</v>
      </c>
      <c r="AA237" s="238">
        <v>16760</v>
      </c>
      <c r="AB237" s="238">
        <v>102.4</v>
      </c>
      <c r="AC237" s="238">
        <v>1019</v>
      </c>
      <c r="AD237" s="238">
        <v>3932400.38</v>
      </c>
      <c r="AE237" s="238">
        <v>275911.41999999993</v>
      </c>
      <c r="AF237" s="238">
        <v>3843867.89</v>
      </c>
      <c r="AG237" s="238">
        <v>440432.18</v>
      </c>
      <c r="AH237" s="239">
        <v>0.11458046754047002</v>
      </c>
      <c r="AI237" s="247">
        <v>347.58365600000002</v>
      </c>
      <c r="AJ237" s="242">
        <v>67.292220999999998</v>
      </c>
      <c r="AK237" s="242">
        <v>1.9370242084052964</v>
      </c>
      <c r="AL237" s="242">
        <v>413.84862900000002</v>
      </c>
      <c r="AM237" s="242">
        <v>11.912741191709845</v>
      </c>
      <c r="AN237" s="242">
        <v>27240.43</v>
      </c>
      <c r="AO237" s="238">
        <v>4495.75</v>
      </c>
      <c r="AP237" s="243">
        <v>13</v>
      </c>
      <c r="AQ237" s="238">
        <v>1</v>
      </c>
      <c r="AR237" s="238">
        <v>1646.8669157558832</v>
      </c>
      <c r="AS237" s="238">
        <v>1455.732908542838</v>
      </c>
      <c r="AT237" s="238">
        <v>331247.33333333331</v>
      </c>
      <c r="AU237" s="238">
        <v>319.81837655959339</v>
      </c>
      <c r="AV237" s="237">
        <v>1</v>
      </c>
      <c r="AW237" s="237">
        <v>0</v>
      </c>
      <c r="AX237" s="237">
        <v>1</v>
      </c>
      <c r="AY237" s="244" t="s">
        <v>717</v>
      </c>
      <c r="AZ237" s="244" t="s">
        <v>682</v>
      </c>
      <c r="BA237" s="237">
        <v>2013</v>
      </c>
      <c r="BB237" s="245" t="s">
        <v>921</v>
      </c>
      <c r="BC237" s="215" t="s">
        <v>922</v>
      </c>
      <c r="BE237" s="237">
        <v>2</v>
      </c>
      <c r="BF237" s="237">
        <v>39</v>
      </c>
      <c r="BG237" s="246" t="s">
        <v>698</v>
      </c>
      <c r="BI237" s="239">
        <v>0.43702820818434646</v>
      </c>
      <c r="BJ237" s="239">
        <v>0.17719507350019864</v>
      </c>
      <c r="BK237" s="239">
        <v>0.36591179976162097</v>
      </c>
      <c r="BL237" s="239">
        <v>1.9864918553833929E-2</v>
      </c>
      <c r="BM237" s="247">
        <v>2.0313865713150578</v>
      </c>
      <c r="BN237" s="248">
        <v>0</v>
      </c>
      <c r="BO237" s="248">
        <v>0</v>
      </c>
      <c r="BP237" s="237">
        <v>0</v>
      </c>
      <c r="BQ237" s="237">
        <v>0</v>
      </c>
      <c r="BR237" s="248">
        <v>0</v>
      </c>
      <c r="BS237" s="237">
        <v>17.5</v>
      </c>
      <c r="BT237" s="237" t="s">
        <v>729</v>
      </c>
      <c r="BU237" s="249" t="s">
        <v>678</v>
      </c>
      <c r="BV237" s="249">
        <v>337</v>
      </c>
      <c r="BW237" s="249">
        <v>2170</v>
      </c>
      <c r="BX237" s="249" t="s">
        <v>678</v>
      </c>
      <c r="BY237" s="249" t="s">
        <v>678</v>
      </c>
      <c r="BZ237" s="249">
        <v>7.849988353133007</v>
      </c>
      <c r="CA237" s="249">
        <v>50.547402748660609</v>
      </c>
      <c r="CB237" s="249" t="s">
        <v>678</v>
      </c>
      <c r="CC237" s="250" t="s">
        <v>678</v>
      </c>
      <c r="CD237" s="242" t="s">
        <v>678</v>
      </c>
      <c r="CE237" s="252" t="s">
        <v>678</v>
      </c>
      <c r="CF237" s="238">
        <v>2227</v>
      </c>
      <c r="CG237" s="238">
        <v>329</v>
      </c>
      <c r="CH237" s="238">
        <v>7.6636384812485439</v>
      </c>
      <c r="CI237" s="216" t="s">
        <v>700</v>
      </c>
      <c r="CJ237" s="237">
        <v>0</v>
      </c>
      <c r="CK237" s="253">
        <v>351.32</v>
      </c>
      <c r="CL237" s="253">
        <v>19.598600000000001</v>
      </c>
      <c r="CM237" s="254">
        <v>5.6415083477259643E-3</v>
      </c>
      <c r="CN237" s="237" t="s">
        <v>24</v>
      </c>
      <c r="CO237" s="242">
        <v>1627.77</v>
      </c>
      <c r="CP237" s="255">
        <v>0.4685578583765112</v>
      </c>
      <c r="CV237" s="237">
        <v>6</v>
      </c>
      <c r="CW237" s="261" t="s">
        <v>678</v>
      </c>
      <c r="CX237" s="261" t="s">
        <v>678</v>
      </c>
      <c r="CY237" s="261" t="s">
        <v>678</v>
      </c>
      <c r="CZ237" s="237" t="s">
        <v>529</v>
      </c>
      <c r="DA237" s="237" t="s">
        <v>1531</v>
      </c>
      <c r="DB237" s="216"/>
      <c r="DC237" s="195" t="s">
        <v>903</v>
      </c>
      <c r="DD237" s="256">
        <v>0.8</v>
      </c>
      <c r="DE237" s="256">
        <v>-10</v>
      </c>
      <c r="DF237" s="256">
        <v>0.5</v>
      </c>
      <c r="DG237" s="256">
        <v>-2.2999999999999998</v>
      </c>
      <c r="DL237" s="237" t="s">
        <v>529</v>
      </c>
      <c r="DN237" s="237" t="s">
        <v>730</v>
      </c>
      <c r="DO237" s="237">
        <v>1</v>
      </c>
      <c r="DP237" s="258" t="s">
        <v>682</v>
      </c>
      <c r="DQ237" s="258"/>
      <c r="DR237" s="258"/>
      <c r="DS237" s="258"/>
      <c r="DT237" s="258"/>
      <c r="DU237" s="237">
        <v>0</v>
      </c>
      <c r="DX237" s="247"/>
      <c r="DY237" s="247">
        <v>0</v>
      </c>
      <c r="EA237" s="237">
        <v>0</v>
      </c>
      <c r="ED237" s="237" t="s">
        <v>749</v>
      </c>
      <c r="EE237" s="208">
        <v>0</v>
      </c>
      <c r="EF237" s="237" t="s">
        <v>688</v>
      </c>
      <c r="EG237" s="216" t="s">
        <v>715</v>
      </c>
      <c r="EH237" s="246" t="s">
        <v>690</v>
      </c>
      <c r="EI237" s="216"/>
      <c r="EJ237" s="216" t="s">
        <v>529</v>
      </c>
      <c r="EK237" s="222" t="s">
        <v>682</v>
      </c>
      <c r="EL237" s="259">
        <v>2012</v>
      </c>
      <c r="EM237" s="263">
        <v>8010</v>
      </c>
      <c r="EN237" s="260">
        <v>212001</v>
      </c>
      <c r="EO237" s="260">
        <v>102747</v>
      </c>
      <c r="ER237" s="237" t="s">
        <v>692</v>
      </c>
      <c r="ES237" s="237" t="e">
        <v>#DIV/0!</v>
      </c>
      <c r="ET237" s="237">
        <v>12.827340823970037</v>
      </c>
      <c r="EU237" s="661">
        <v>2</v>
      </c>
      <c r="EV237" s="661">
        <v>1</v>
      </c>
      <c r="EW237" s="661">
        <v>3</v>
      </c>
      <c r="EX237" s="661">
        <v>2</v>
      </c>
      <c r="EY237" s="660">
        <v>0.10112838226827864</v>
      </c>
      <c r="EZ237" s="256">
        <v>12.219628828418536</v>
      </c>
      <c r="FA237" s="247">
        <v>0.22313127556712534</v>
      </c>
      <c r="FB237" s="208">
        <v>3</v>
      </c>
      <c r="FC237" s="208">
        <v>3</v>
      </c>
      <c r="FD237" s="208">
        <v>3</v>
      </c>
      <c r="FE237" s="239">
        <v>0.93157307549274826</v>
      </c>
      <c r="FF237" s="208"/>
      <c r="FG237" s="241">
        <v>0</v>
      </c>
      <c r="FH237" s="209">
        <v>0</v>
      </c>
      <c r="FI237" s="237" t="s">
        <v>678</v>
      </c>
      <c r="FJ237" s="208">
        <v>58.8</v>
      </c>
      <c r="FK237" s="208">
        <v>40.78</v>
      </c>
      <c r="FL237" s="217">
        <v>83.2</v>
      </c>
      <c r="FM237" s="208">
        <v>10.82</v>
      </c>
      <c r="FN237" s="208">
        <v>79</v>
      </c>
      <c r="FP237" s="247" t="s">
        <v>693</v>
      </c>
      <c r="FU237" s="208">
        <v>42</v>
      </c>
      <c r="FV237" s="208">
        <v>58.2</v>
      </c>
      <c r="FW237" s="237">
        <v>88.34</v>
      </c>
      <c r="FX237" s="237">
        <v>80.2</v>
      </c>
      <c r="FY237" s="208">
        <v>102.29</v>
      </c>
      <c r="FZ237" s="208">
        <v>89.8</v>
      </c>
      <c r="GA237" s="208">
        <v>72.16</v>
      </c>
      <c r="GB237" s="208">
        <v>81.599999999999994</v>
      </c>
      <c r="GC237" s="208">
        <v>0.7</v>
      </c>
      <c r="GD237" s="208">
        <v>73.900000000000006</v>
      </c>
      <c r="GE237" s="237">
        <v>56.73</v>
      </c>
      <c r="GF237" s="237">
        <v>73.599999999999994</v>
      </c>
      <c r="GG237" s="237">
        <v>17.8</v>
      </c>
      <c r="GH237" s="237">
        <v>90.1</v>
      </c>
      <c r="GJ237" s="947"/>
      <c r="GK237" s="320"/>
      <c r="GL237" s="320"/>
      <c r="GM237" s="320"/>
      <c r="GN237" s="320"/>
      <c r="GO237" s="662">
        <v>8234</v>
      </c>
      <c r="GP237" s="663" t="str">
        <f>VLOOKUP(GS237,'BD Comarcal'!$A$6:$AV$17,48,FALSE)</f>
        <v>41</v>
      </c>
      <c r="GQ237" s="564">
        <v>27</v>
      </c>
      <c r="GR237" s="256">
        <f t="shared" si="3"/>
        <v>0</v>
      </c>
      <c r="GS237" s="237" t="s">
        <v>24</v>
      </c>
    </row>
    <row r="238" spans="1:201" s="237" customFormat="1" ht="17.25" customHeight="1">
      <c r="A238" s="236" t="s">
        <v>353</v>
      </c>
      <c r="C238" s="238" t="s">
        <v>683</v>
      </c>
      <c r="D238" s="238">
        <v>749</v>
      </c>
      <c r="E238" s="238">
        <v>681</v>
      </c>
      <c r="F238" s="239">
        <v>0.90921228304405877</v>
      </c>
      <c r="G238" s="238">
        <v>271</v>
      </c>
      <c r="H238" s="240">
        <v>40.92515627189001</v>
      </c>
      <c r="I238" s="239">
        <v>6.0095677344919253E-2</v>
      </c>
      <c r="J238" s="238">
        <v>25</v>
      </c>
      <c r="K238" s="238">
        <v>0</v>
      </c>
      <c r="L238" s="238">
        <v>19</v>
      </c>
      <c r="M238" s="241">
        <v>2.5367156208277702E-2</v>
      </c>
      <c r="N238" s="238">
        <v>0</v>
      </c>
      <c r="O238" s="239">
        <v>0</v>
      </c>
      <c r="P238" s="237">
        <v>5</v>
      </c>
      <c r="Q238" s="237">
        <v>0</v>
      </c>
      <c r="R238" s="239">
        <v>0</v>
      </c>
      <c r="S238" s="238">
        <v>759</v>
      </c>
      <c r="T238" s="436">
        <v>1170</v>
      </c>
      <c r="U238" s="436">
        <v>0</v>
      </c>
      <c r="V238" s="436">
        <v>258</v>
      </c>
      <c r="W238" s="436">
        <v>1428</v>
      </c>
      <c r="X238" s="238">
        <v>4951</v>
      </c>
      <c r="Y238" s="237">
        <v>0.19550000000000001</v>
      </c>
      <c r="Z238" s="238">
        <v>98771</v>
      </c>
      <c r="AA238" s="238">
        <v>19707</v>
      </c>
      <c r="AB238" s="238">
        <v>120.41</v>
      </c>
      <c r="AC238" s="238">
        <v>1961</v>
      </c>
      <c r="AD238" s="238">
        <v>7439211.8999999994</v>
      </c>
      <c r="AE238" s="238">
        <v>1299121.8899999997</v>
      </c>
      <c r="AF238" s="238">
        <v>6538922.6699999999</v>
      </c>
      <c r="AG238" s="238">
        <v>439251.82</v>
      </c>
      <c r="AH238" s="239">
        <v>6.7174952536944443E-2</v>
      </c>
      <c r="AI238" s="247">
        <v>57.204078000000003</v>
      </c>
      <c r="AJ238" s="242">
        <v>16.642804000000002</v>
      </c>
      <c r="AK238" s="242">
        <v>2.2220032042723634</v>
      </c>
      <c r="AL238" s="242">
        <v>83.403447999999997</v>
      </c>
      <c r="AM238" s="242">
        <v>11.13530680907877</v>
      </c>
      <c r="AN238" s="242">
        <v>16166.3</v>
      </c>
      <c r="AO238" s="238">
        <v>0</v>
      </c>
      <c r="AP238" s="243">
        <v>0</v>
      </c>
      <c r="AQ238" s="238">
        <v>1</v>
      </c>
      <c r="AR238" s="238">
        <v>1918.8373083902432</v>
      </c>
      <c r="AS238" s="238">
        <v>2076.6091173894106</v>
      </c>
      <c r="AT238" s="238">
        <v>454242</v>
      </c>
      <c r="AU238" s="238">
        <v>439.52660442831996</v>
      </c>
      <c r="AV238" s="237">
        <v>1</v>
      </c>
      <c r="AW238" s="237">
        <v>1</v>
      </c>
      <c r="AX238" s="237">
        <v>1</v>
      </c>
      <c r="AY238" s="244" t="s">
        <v>673</v>
      </c>
      <c r="AZ238" s="244" t="s">
        <v>673</v>
      </c>
      <c r="BA238" s="237">
        <v>2013</v>
      </c>
      <c r="BB238" s="245" t="s">
        <v>898</v>
      </c>
      <c r="BC238" s="215" t="s">
        <v>899</v>
      </c>
      <c r="BE238" s="237">
        <v>403</v>
      </c>
      <c r="BF238" s="237">
        <v>2</v>
      </c>
      <c r="BG238" s="246" t="s">
        <v>676</v>
      </c>
      <c r="BI238" s="239">
        <v>0.55697293570074125</v>
      </c>
      <c r="BJ238" s="239">
        <v>0.11842785726598862</v>
      </c>
      <c r="BK238" s="239">
        <v>0.30529219100155147</v>
      </c>
      <c r="BL238" s="239">
        <v>1.9307016031718669E-2</v>
      </c>
      <c r="BM238" s="247">
        <v>2.2130667126357522</v>
      </c>
      <c r="BN238" s="248">
        <v>0</v>
      </c>
      <c r="BO238" s="248">
        <v>0</v>
      </c>
      <c r="BP238" s="237">
        <v>0</v>
      </c>
      <c r="BQ238" s="237">
        <v>0</v>
      </c>
      <c r="BR238" s="248">
        <v>0</v>
      </c>
      <c r="BU238" s="249" t="s">
        <v>678</v>
      </c>
      <c r="BV238" s="249">
        <v>580</v>
      </c>
      <c r="BW238" s="249">
        <v>2240</v>
      </c>
      <c r="BX238" s="249">
        <v>1156</v>
      </c>
      <c r="BY238" s="249" t="s">
        <v>678</v>
      </c>
      <c r="BZ238" s="249">
        <v>11.448874851954205</v>
      </c>
      <c r="CA238" s="249">
        <v>44.216344255823138</v>
      </c>
      <c r="CB238" s="249">
        <v>22.818791946308725</v>
      </c>
      <c r="CC238" s="250" t="s">
        <v>678</v>
      </c>
      <c r="CD238" s="242">
        <v>576</v>
      </c>
      <c r="CE238" s="252">
        <v>111.36991709435452</v>
      </c>
      <c r="CF238" s="238">
        <v>3697</v>
      </c>
      <c r="CG238" s="238">
        <v>278.3</v>
      </c>
      <c r="CH238" s="238">
        <v>5.493485984998026</v>
      </c>
      <c r="CI238" s="216" t="s">
        <v>679</v>
      </c>
      <c r="CJ238" s="237">
        <v>0</v>
      </c>
      <c r="CK238" s="253">
        <v>99.87</v>
      </c>
      <c r="CL238" s="253">
        <v>76.873099999999994</v>
      </c>
      <c r="CM238" s="254">
        <v>0.10263431241655539</v>
      </c>
      <c r="CN238" s="237" t="s">
        <v>86</v>
      </c>
      <c r="CO238" s="242"/>
      <c r="CP238" s="255">
        <v>0</v>
      </c>
      <c r="CV238" s="237">
        <v>6</v>
      </c>
      <c r="CW238" s="261" t="s">
        <v>678</v>
      </c>
      <c r="CX238" s="261" t="s">
        <v>678</v>
      </c>
      <c r="CY238" s="261" t="s">
        <v>678</v>
      </c>
      <c r="DB238" s="216" t="s">
        <v>710</v>
      </c>
      <c r="DC238" s="195" t="s">
        <v>711</v>
      </c>
      <c r="DD238" s="256">
        <v>0.7</v>
      </c>
      <c r="DE238" s="256">
        <v>-6.5</v>
      </c>
      <c r="DF238" s="256">
        <v>0.7</v>
      </c>
      <c r="DG238" s="256">
        <v>-2.2000000000000002</v>
      </c>
      <c r="DH238" s="257">
        <v>2</v>
      </c>
      <c r="DI238" s="257">
        <v>29.2</v>
      </c>
      <c r="DJ238" s="257">
        <v>9.1999999999999993</v>
      </c>
      <c r="DK238" s="257">
        <v>38.4</v>
      </c>
      <c r="DL238" s="237" t="s">
        <v>529</v>
      </c>
      <c r="DM238" s="270" t="s">
        <v>764</v>
      </c>
      <c r="DN238" s="237" t="s">
        <v>713</v>
      </c>
      <c r="DP238" s="258" t="s">
        <v>682</v>
      </c>
      <c r="DQ238" s="258"/>
      <c r="DR238" s="258"/>
      <c r="DS238" s="258"/>
      <c r="DT238" s="258"/>
      <c r="DU238" s="237">
        <v>0</v>
      </c>
      <c r="DX238" s="247"/>
      <c r="DY238" s="247">
        <v>0</v>
      </c>
      <c r="EA238" s="237">
        <v>1</v>
      </c>
      <c r="EB238" s="237" t="s">
        <v>741</v>
      </c>
      <c r="ED238" s="237" t="s">
        <v>678</v>
      </c>
      <c r="EE238" s="208">
        <v>3</v>
      </c>
      <c r="EF238" s="237" t="s">
        <v>678</v>
      </c>
      <c r="EG238" s="216" t="s">
        <v>691</v>
      </c>
      <c r="EH238" s="246" t="s">
        <v>690</v>
      </c>
      <c r="EI238" s="216"/>
      <c r="EJ238" s="216" t="s">
        <v>529</v>
      </c>
      <c r="EK238" s="222" t="s">
        <v>682</v>
      </c>
      <c r="EL238" s="259">
        <v>1992</v>
      </c>
      <c r="EM238" s="263">
        <v>2950</v>
      </c>
      <c r="EN238" s="260">
        <v>366506</v>
      </c>
      <c r="EO238" s="260">
        <v>107342</v>
      </c>
      <c r="ER238" s="237" t="s">
        <v>705</v>
      </c>
      <c r="ES238" s="237" t="e">
        <v>#DIV/0!</v>
      </c>
      <c r="ET238" s="237">
        <v>36.387118644067797</v>
      </c>
      <c r="EU238" s="661">
        <v>3</v>
      </c>
      <c r="EV238" s="661">
        <v>3</v>
      </c>
      <c r="EW238" s="661">
        <v>5</v>
      </c>
      <c r="EX238" s="661">
        <v>5</v>
      </c>
      <c r="EY238" s="660">
        <v>0.1333377837116155</v>
      </c>
      <c r="EZ238" s="256">
        <v>50.725943726844896</v>
      </c>
      <c r="FA238" s="247">
        <v>0.88105726872246692</v>
      </c>
      <c r="FB238" s="208">
        <v>1</v>
      </c>
      <c r="FC238" s="208">
        <v>3</v>
      </c>
      <c r="FD238" s="208">
        <v>6</v>
      </c>
      <c r="FE238" s="239">
        <v>0.39794419970631423</v>
      </c>
      <c r="FF238" s="208"/>
      <c r="FG238" s="241">
        <v>5.6387665198237881E-2</v>
      </c>
      <c r="FH238" s="209">
        <v>0</v>
      </c>
      <c r="FI238" s="237" t="s">
        <v>678</v>
      </c>
      <c r="FJ238" s="208" t="s">
        <v>678</v>
      </c>
      <c r="FK238" s="208" t="s">
        <v>678</v>
      </c>
      <c r="FL238" s="217" t="s">
        <v>678</v>
      </c>
      <c r="FM238" s="208" t="s">
        <v>678</v>
      </c>
      <c r="FN238" s="208" t="s">
        <v>678</v>
      </c>
      <c r="FO238" s="237">
        <v>3910</v>
      </c>
      <c r="FP238" s="247">
        <v>5.2202937249666226</v>
      </c>
      <c r="FU238" s="208" t="s">
        <v>678</v>
      </c>
      <c r="FV238" s="208" t="s">
        <v>678</v>
      </c>
      <c r="FW238" s="237" t="s">
        <v>678</v>
      </c>
      <c r="FX238" s="237" t="s">
        <v>678</v>
      </c>
      <c r="FY238" s="208" t="s">
        <v>678</v>
      </c>
      <c r="FZ238" s="208" t="s">
        <v>678</v>
      </c>
      <c r="GA238" s="208" t="s">
        <v>678</v>
      </c>
      <c r="GB238" s="208" t="s">
        <v>678</v>
      </c>
      <c r="GC238" s="208" t="s">
        <v>678</v>
      </c>
      <c r="GD238" s="208" t="s">
        <v>678</v>
      </c>
      <c r="GE238" s="237" t="s">
        <v>678</v>
      </c>
      <c r="GF238" s="237" t="s">
        <v>678</v>
      </c>
      <c r="GG238" s="237" t="s">
        <v>678</v>
      </c>
      <c r="GH238" s="237" t="s">
        <v>678</v>
      </c>
      <c r="GJ238" s="947">
        <v>99</v>
      </c>
      <c r="GK238" s="320">
        <v>1.0999999999999999E-2</v>
      </c>
      <c r="GL238" s="320">
        <v>0.26800000000000002</v>
      </c>
      <c r="GM238" s="320">
        <v>5.2999999999999999E-2</v>
      </c>
      <c r="GN238" s="320">
        <v>0.66800000000000004</v>
      </c>
      <c r="GO238" s="662">
        <v>8235</v>
      </c>
      <c r="GP238" s="663" t="str">
        <f>VLOOKUP(GS238,'BD Comarcal'!$A$6:$AV$17,48,FALSE)</f>
        <v>21</v>
      </c>
      <c r="GQ238" s="564">
        <v>35</v>
      </c>
      <c r="GR238" s="256">
        <f t="shared" si="3"/>
        <v>1</v>
      </c>
      <c r="GS238" s="237" t="s">
        <v>86</v>
      </c>
    </row>
    <row r="239" spans="1:201" s="237" customFormat="1" ht="17.25" customHeight="1">
      <c r="A239" s="236" t="s">
        <v>1532</v>
      </c>
      <c r="C239" s="238"/>
      <c r="D239" s="238">
        <v>1389</v>
      </c>
      <c r="E239" s="238">
        <v>584</v>
      </c>
      <c r="F239" s="239">
        <v>0.42044636429085674</v>
      </c>
      <c r="G239" s="238">
        <v>428</v>
      </c>
      <c r="H239" s="240">
        <v>0</v>
      </c>
      <c r="I239" s="239">
        <v>0</v>
      </c>
      <c r="J239" s="238">
        <v>366</v>
      </c>
      <c r="K239" s="238">
        <v>74</v>
      </c>
      <c r="L239" s="238">
        <v>22</v>
      </c>
      <c r="M239" s="241">
        <v>1.5838732901367891E-2</v>
      </c>
      <c r="N239" s="238">
        <v>4</v>
      </c>
      <c r="O239" s="239">
        <v>1.092896174863388E-2</v>
      </c>
      <c r="P239" s="237">
        <v>4</v>
      </c>
      <c r="Q239" s="237">
        <v>0</v>
      </c>
      <c r="R239" s="239">
        <v>0</v>
      </c>
      <c r="S239" s="238">
        <v>290</v>
      </c>
      <c r="T239" s="436">
        <v>0</v>
      </c>
      <c r="U239" s="436">
        <v>8</v>
      </c>
      <c r="V239" s="436">
        <v>0</v>
      </c>
      <c r="W239" s="436">
        <v>8</v>
      </c>
      <c r="X239" s="238">
        <v>2121</v>
      </c>
      <c r="Y239" s="237">
        <v>0.20419999999999999</v>
      </c>
      <c r="Z239" s="238">
        <v>27752</v>
      </c>
      <c r="AA239" s="238">
        <v>13115</v>
      </c>
      <c r="AB239" s="238">
        <v>80.13</v>
      </c>
      <c r="AC239" s="238">
        <v>151</v>
      </c>
      <c r="AD239" s="238">
        <v>2564507.3500000006</v>
      </c>
      <c r="AE239" s="238">
        <v>479950.35000000009</v>
      </c>
      <c r="AF239" s="238">
        <v>2172886.75</v>
      </c>
      <c r="AG239" s="238">
        <v>168501.11</v>
      </c>
      <c r="AH239" s="239">
        <v>7.7547120207714454E-2</v>
      </c>
      <c r="AI239" s="247">
        <v>57.353107000000001</v>
      </c>
      <c r="AJ239" s="242">
        <v>6.2171459999999996</v>
      </c>
      <c r="AK239" s="242">
        <v>0.4475987041036717</v>
      </c>
      <c r="AL239" s="242">
        <v>11.474154</v>
      </c>
      <c r="AM239" s="242">
        <v>0.82607300215982726</v>
      </c>
      <c r="AN239" s="242">
        <v>14727.77</v>
      </c>
      <c r="AO239" s="238">
        <v>3743.78</v>
      </c>
      <c r="AP239" s="243">
        <v>0</v>
      </c>
      <c r="AQ239" s="238"/>
      <c r="AR239" s="238">
        <v>1411.1700258116264</v>
      </c>
      <c r="AS239" s="238">
        <v>1106.9018849892166</v>
      </c>
      <c r="AT239" s="238">
        <v>122504.66666666667</v>
      </c>
      <c r="AU239" s="238">
        <v>249.38822582282486</v>
      </c>
      <c r="AV239" s="237">
        <v>1</v>
      </c>
      <c r="AW239" s="237">
        <v>0</v>
      </c>
      <c r="AX239" s="237">
        <v>1</v>
      </c>
      <c r="AY239" s="244" t="s">
        <v>673</v>
      </c>
      <c r="AZ239" s="244" t="s">
        <v>695</v>
      </c>
      <c r="BA239" s="237">
        <v>2010</v>
      </c>
      <c r="BB239" s="245" t="s">
        <v>1533</v>
      </c>
      <c r="BC239" s="215" t="s">
        <v>1534</v>
      </c>
      <c r="BE239" s="237">
        <v>8</v>
      </c>
      <c r="BF239" s="237">
        <v>20</v>
      </c>
      <c r="BG239" s="246" t="s">
        <v>698</v>
      </c>
      <c r="BI239" s="239">
        <v>0.56466069142125486</v>
      </c>
      <c r="BJ239" s="239">
        <v>6.978233034571063E-2</v>
      </c>
      <c r="BK239" s="239">
        <v>0.35979513444302175</v>
      </c>
      <c r="BL239" s="239">
        <v>5.7618437900128043E-3</v>
      </c>
      <c r="BM239" s="247">
        <v>2.1933418693982074</v>
      </c>
      <c r="BN239" s="248">
        <v>1</v>
      </c>
      <c r="BO239" s="248">
        <v>0</v>
      </c>
      <c r="BP239" s="237">
        <v>0</v>
      </c>
      <c r="BQ239" s="237">
        <v>0</v>
      </c>
      <c r="BR239" s="248">
        <v>1</v>
      </c>
      <c r="BS239" s="237">
        <v>16</v>
      </c>
      <c r="BT239" s="237" t="s">
        <v>790</v>
      </c>
      <c r="BU239" s="249" t="s">
        <v>678</v>
      </c>
      <c r="BV239" s="249">
        <v>264</v>
      </c>
      <c r="BW239" s="249">
        <v>1098</v>
      </c>
      <c r="BX239" s="249" t="s">
        <v>678</v>
      </c>
      <c r="BY239" s="249" t="s">
        <v>678</v>
      </c>
      <c r="BZ239" s="249">
        <v>12.193995381062356</v>
      </c>
      <c r="CA239" s="249">
        <v>50.715935334872981</v>
      </c>
      <c r="CB239" s="249" t="s">
        <v>678</v>
      </c>
      <c r="CC239" s="250" t="s">
        <v>678</v>
      </c>
      <c r="CD239" s="242" t="s">
        <v>678</v>
      </c>
      <c r="CE239" s="252" t="s">
        <v>678</v>
      </c>
      <c r="CF239" s="238">
        <v>1307</v>
      </c>
      <c r="CG239" s="238">
        <v>180</v>
      </c>
      <c r="CH239" s="238">
        <v>8.3140877598152425</v>
      </c>
      <c r="CI239" s="216" t="s">
        <v>722</v>
      </c>
      <c r="CJ239" s="237">
        <v>1</v>
      </c>
      <c r="CK239" s="253">
        <v>57.28</v>
      </c>
      <c r="CL239" s="253">
        <v>46.276200000000003</v>
      </c>
      <c r="CM239" s="254">
        <v>3.3316198704103676E-2</v>
      </c>
      <c r="CN239" s="237" t="s">
        <v>791</v>
      </c>
      <c r="CO239" s="242"/>
      <c r="CP239" s="255">
        <v>0</v>
      </c>
      <c r="CV239" s="237">
        <v>1</v>
      </c>
      <c r="CW239" s="261" t="s">
        <v>678</v>
      </c>
      <c r="CX239" s="261" t="s">
        <v>678</v>
      </c>
      <c r="CY239" s="261" t="s">
        <v>678</v>
      </c>
      <c r="DB239" s="216"/>
      <c r="DC239" s="195" t="s">
        <v>1535</v>
      </c>
      <c r="DD239" s="256">
        <v>0.8</v>
      </c>
      <c r="DE239" s="256">
        <v>-10</v>
      </c>
      <c r="DF239" s="256">
        <v>0.5</v>
      </c>
      <c r="DG239" s="256">
        <v>-2.2999999999999998</v>
      </c>
      <c r="DH239" s="257">
        <v>2</v>
      </c>
      <c r="DI239" s="257">
        <v>3.95</v>
      </c>
      <c r="DJ239" s="257">
        <v>1.6</v>
      </c>
      <c r="DK239" s="257">
        <v>5.55</v>
      </c>
      <c r="DL239" s="237" t="s">
        <v>682</v>
      </c>
      <c r="DP239" s="258" t="s">
        <v>682</v>
      </c>
      <c r="DQ239" s="258"/>
      <c r="DR239" s="258"/>
      <c r="DS239" s="258"/>
      <c r="DT239" s="258"/>
      <c r="DU239" s="237">
        <v>0</v>
      </c>
      <c r="DX239" s="247"/>
      <c r="DY239" s="247">
        <v>0</v>
      </c>
      <c r="EA239" s="237">
        <v>0</v>
      </c>
      <c r="ED239" s="237" t="s">
        <v>678</v>
      </c>
      <c r="EE239" s="208">
        <v>3</v>
      </c>
      <c r="EF239" s="237" t="s">
        <v>678</v>
      </c>
      <c r="EG239" s="216" t="s">
        <v>703</v>
      </c>
      <c r="EH239" s="246" t="s">
        <v>704</v>
      </c>
      <c r="EI239" s="216"/>
      <c r="EJ239" s="216" t="s">
        <v>529</v>
      </c>
      <c r="EK239" s="222" t="s">
        <v>682</v>
      </c>
      <c r="EL239" s="259">
        <v>1984</v>
      </c>
      <c r="EM239" s="263">
        <v>1625</v>
      </c>
      <c r="EN239" s="260">
        <v>84015</v>
      </c>
      <c r="EO239" s="260">
        <v>40883</v>
      </c>
      <c r="ER239" s="237" t="s">
        <v>705</v>
      </c>
      <c r="ES239" s="237">
        <v>2165</v>
      </c>
      <c r="ET239" s="237">
        <v>25.158769230769231</v>
      </c>
      <c r="EU239" s="661">
        <v>3</v>
      </c>
      <c r="EV239" s="661">
        <v>3</v>
      </c>
      <c r="EW239" s="661">
        <v>4</v>
      </c>
      <c r="EX239" s="661">
        <v>4</v>
      </c>
      <c r="EY239" s="660">
        <v>4.1238300935925128E-2</v>
      </c>
      <c r="EZ239" s="256">
        <v>37.796787709497202</v>
      </c>
      <c r="FA239" s="247">
        <v>0.17123287671232876</v>
      </c>
      <c r="FB239" s="208">
        <v>3</v>
      </c>
      <c r="FC239" s="208">
        <v>3</v>
      </c>
      <c r="FD239" s="208">
        <v>6</v>
      </c>
      <c r="FE239" s="239">
        <v>0.73287671232876717</v>
      </c>
      <c r="FF239" s="208"/>
      <c r="FG239" s="241">
        <v>9.5034246575342457E-3</v>
      </c>
      <c r="FH239" s="209">
        <v>0</v>
      </c>
      <c r="FI239" s="237" t="s">
        <v>678</v>
      </c>
      <c r="FJ239" s="208" t="s">
        <v>678</v>
      </c>
      <c r="FK239" s="208" t="s">
        <v>678</v>
      </c>
      <c r="FL239" s="217" t="s">
        <v>678</v>
      </c>
      <c r="FM239" s="208" t="s">
        <v>678</v>
      </c>
      <c r="FN239" s="208" t="s">
        <v>678</v>
      </c>
      <c r="FP239" s="247" t="s">
        <v>693</v>
      </c>
      <c r="FU239" s="208" t="s">
        <v>678</v>
      </c>
      <c r="FV239" s="208" t="s">
        <v>678</v>
      </c>
      <c r="FW239" s="237" t="s">
        <v>678</v>
      </c>
      <c r="FX239" s="237" t="s">
        <v>678</v>
      </c>
      <c r="FY239" s="208" t="s">
        <v>678</v>
      </c>
      <c r="FZ239" s="208" t="s">
        <v>678</v>
      </c>
      <c r="GA239" s="208" t="s">
        <v>678</v>
      </c>
      <c r="GB239" s="208" t="s">
        <v>678</v>
      </c>
      <c r="GC239" s="208" t="s">
        <v>678</v>
      </c>
      <c r="GD239" s="208" t="s">
        <v>678</v>
      </c>
      <c r="GE239" s="237" t="s">
        <v>678</v>
      </c>
      <c r="GF239" s="237" t="s">
        <v>678</v>
      </c>
      <c r="GG239" s="237" t="s">
        <v>678</v>
      </c>
      <c r="GH239" s="237" t="s">
        <v>678</v>
      </c>
      <c r="GJ239" s="947"/>
      <c r="GK239" s="320"/>
      <c r="GL239" s="320"/>
      <c r="GM239" s="320"/>
      <c r="GN239" s="320"/>
      <c r="GO239" s="662">
        <v>8236</v>
      </c>
      <c r="GP239" s="663" t="str">
        <f>VLOOKUP(GS239,'BD Comarcal'!$A$6:$AV$17,48,FALSE)</f>
        <v>03</v>
      </c>
      <c r="GQ239" s="564">
        <v>22</v>
      </c>
      <c r="GR239" s="256">
        <f t="shared" si="3"/>
        <v>1</v>
      </c>
      <c r="GS239" s="237" t="s">
        <v>791</v>
      </c>
    </row>
    <row r="240" spans="1:201" s="237" customFormat="1" ht="17.25" customHeight="1">
      <c r="A240" s="236" t="s">
        <v>1536</v>
      </c>
      <c r="C240" s="238"/>
      <c r="D240" s="238">
        <v>801</v>
      </c>
      <c r="E240" s="238">
        <v>488</v>
      </c>
      <c r="F240" s="239">
        <v>0.60923845193508119</v>
      </c>
      <c r="G240" s="238">
        <v>431</v>
      </c>
      <c r="H240" s="240">
        <v>479.0800607266072</v>
      </c>
      <c r="I240" s="239">
        <v>0.98172143591517869</v>
      </c>
      <c r="J240" s="238">
        <v>28</v>
      </c>
      <c r="K240" s="238">
        <v>74</v>
      </c>
      <c r="L240" s="238">
        <v>12</v>
      </c>
      <c r="M240" s="241">
        <v>1.4981273408239701E-2</v>
      </c>
      <c r="N240" s="238">
        <v>0</v>
      </c>
      <c r="O240" s="239">
        <v>0</v>
      </c>
      <c r="P240" s="237">
        <v>7</v>
      </c>
      <c r="Q240" s="237">
        <v>0</v>
      </c>
      <c r="R240" s="239">
        <v>0</v>
      </c>
      <c r="S240" s="238">
        <v>1060</v>
      </c>
      <c r="T240" s="436">
        <v>0</v>
      </c>
      <c r="U240" s="436">
        <v>0</v>
      </c>
      <c r="V240" s="436">
        <v>28</v>
      </c>
      <c r="W240" s="436">
        <v>28</v>
      </c>
      <c r="X240" s="238">
        <v>2125</v>
      </c>
      <c r="Y240" s="237">
        <v>0.26490000000000002</v>
      </c>
      <c r="Z240" s="238">
        <v>37655</v>
      </c>
      <c r="AA240" s="238">
        <v>17662</v>
      </c>
      <c r="AB240" s="238">
        <v>107.92</v>
      </c>
      <c r="AC240" s="238">
        <v>284</v>
      </c>
      <c r="AD240" s="238">
        <v>3471467.3299999996</v>
      </c>
      <c r="AE240" s="238">
        <v>406607.54000000004</v>
      </c>
      <c r="AF240" s="238">
        <v>3012544.37</v>
      </c>
      <c r="AG240" s="238">
        <v>318883.14</v>
      </c>
      <c r="AH240" s="239">
        <v>0.10585176542976528</v>
      </c>
      <c r="AI240" s="247">
        <v>49.909463000000002</v>
      </c>
      <c r="AJ240" s="242">
        <v>5.2120069999999998</v>
      </c>
      <c r="AK240" s="242">
        <v>0.65068751560549309</v>
      </c>
      <c r="AL240" s="242" t="s">
        <v>678</v>
      </c>
      <c r="AM240" s="242" t="s">
        <v>678</v>
      </c>
      <c r="AN240" s="242">
        <v>12929.5</v>
      </c>
      <c r="AO240" s="238">
        <v>0</v>
      </c>
      <c r="AP240" s="243">
        <v>0</v>
      </c>
      <c r="AQ240" s="238"/>
      <c r="AR240" s="238">
        <v>1208.8199585418399</v>
      </c>
      <c r="AS240" s="238">
        <v>3339.6674101300637</v>
      </c>
      <c r="AT240" s="238">
        <v>102064.33333333333</v>
      </c>
      <c r="AU240" s="238">
        <v>247.34815232062292</v>
      </c>
      <c r="AV240" s="237">
        <v>1</v>
      </c>
      <c r="AW240" s="237">
        <v>1</v>
      </c>
      <c r="AX240" s="237">
        <v>1</v>
      </c>
      <c r="AY240" s="244" t="s">
        <v>726</v>
      </c>
      <c r="AZ240" s="244" t="s">
        <v>673</v>
      </c>
      <c r="BA240" s="237">
        <v>2009</v>
      </c>
      <c r="BB240" s="245" t="s">
        <v>1241</v>
      </c>
      <c r="BC240" s="215" t="s">
        <v>1242</v>
      </c>
      <c r="BE240" s="237">
        <v>0</v>
      </c>
      <c r="BF240" s="237">
        <v>53</v>
      </c>
      <c r="BG240" s="246" t="s">
        <v>720</v>
      </c>
      <c r="BI240" s="239">
        <v>0.58548850574712641</v>
      </c>
      <c r="BJ240" s="239">
        <v>0.10057471264367816</v>
      </c>
      <c r="BK240" s="239">
        <v>0.30962643678160917</v>
      </c>
      <c r="BL240" s="239">
        <v>4.3103448275862068E-3</v>
      </c>
      <c r="BM240" s="247">
        <v>2.2672413793103448</v>
      </c>
      <c r="BN240" s="248">
        <v>0</v>
      </c>
      <c r="BO240" s="248">
        <v>1</v>
      </c>
      <c r="BP240" s="237">
        <v>0</v>
      </c>
      <c r="BQ240" s="237">
        <v>0</v>
      </c>
      <c r="BR240" s="248">
        <v>1</v>
      </c>
      <c r="BS240" s="237">
        <v>17</v>
      </c>
      <c r="BT240" s="237" t="s">
        <v>721</v>
      </c>
      <c r="BU240" s="249" t="s">
        <v>678</v>
      </c>
      <c r="BV240" s="249">
        <v>341</v>
      </c>
      <c r="BW240" s="249">
        <v>1044</v>
      </c>
      <c r="BX240" s="249" t="s">
        <v>678</v>
      </c>
      <c r="BY240" s="249" t="s">
        <v>678</v>
      </c>
      <c r="BZ240" s="249">
        <v>15.736040609137056</v>
      </c>
      <c r="CA240" s="249">
        <v>48.177203507152747</v>
      </c>
      <c r="CB240" s="249" t="s">
        <v>678</v>
      </c>
      <c r="CC240" s="250" t="s">
        <v>678</v>
      </c>
      <c r="CD240" s="242" t="s">
        <v>678</v>
      </c>
      <c r="CE240" s="252" t="s">
        <v>678</v>
      </c>
      <c r="CF240" s="238">
        <v>1214</v>
      </c>
      <c r="CG240" s="238">
        <v>114</v>
      </c>
      <c r="CH240" s="238">
        <v>5.2607291185971388</v>
      </c>
      <c r="CI240" s="216" t="s">
        <v>722</v>
      </c>
      <c r="CJ240" s="237">
        <v>1</v>
      </c>
      <c r="CK240" s="253">
        <v>54.66</v>
      </c>
      <c r="CL240" s="253">
        <v>14.085000000000001</v>
      </c>
      <c r="CM240" s="254">
        <v>1.7584269662921349E-2</v>
      </c>
      <c r="CN240" s="237" t="s">
        <v>88</v>
      </c>
      <c r="CO240" s="242">
        <v>289.18</v>
      </c>
      <c r="CP240" s="255">
        <v>0.36102372034956304</v>
      </c>
      <c r="CV240" s="237">
        <v>1</v>
      </c>
      <c r="CW240" s="261" t="s">
        <v>678</v>
      </c>
      <c r="CX240" s="261" t="s">
        <v>678</v>
      </c>
      <c r="CY240" s="261" t="s">
        <v>678</v>
      </c>
      <c r="DB240" s="216" t="s">
        <v>681</v>
      </c>
      <c r="DC240" s="256"/>
      <c r="DD240" s="256">
        <v>0.8</v>
      </c>
      <c r="DE240" s="256">
        <v>-9</v>
      </c>
      <c r="DF240" s="256">
        <v>-0.3</v>
      </c>
      <c r="DG240" s="256">
        <v>-2.6</v>
      </c>
      <c r="DH240" s="257">
        <v>1</v>
      </c>
      <c r="DI240" s="257">
        <v>2</v>
      </c>
      <c r="DJ240" s="257">
        <v>0</v>
      </c>
      <c r="DK240" s="257">
        <v>2</v>
      </c>
      <c r="DL240" s="237" t="s">
        <v>682</v>
      </c>
      <c r="DP240" s="258" t="s">
        <v>682</v>
      </c>
      <c r="DQ240" s="258"/>
      <c r="DR240" s="258"/>
      <c r="DS240" s="258"/>
      <c r="DT240" s="258"/>
      <c r="DU240" s="237">
        <v>0</v>
      </c>
      <c r="DX240" s="247"/>
      <c r="DY240" s="247">
        <v>0</v>
      </c>
      <c r="EA240" s="237">
        <v>0</v>
      </c>
      <c r="ED240" s="237" t="s">
        <v>678</v>
      </c>
      <c r="EE240" s="208">
        <v>1</v>
      </c>
      <c r="EF240" s="237" t="s">
        <v>678</v>
      </c>
      <c r="EG240" s="216" t="s">
        <v>691</v>
      </c>
      <c r="EH240" s="246" t="s">
        <v>690</v>
      </c>
      <c r="EI240" s="216"/>
      <c r="EJ240" s="216" t="s">
        <v>529</v>
      </c>
      <c r="EK240" s="222" t="s">
        <v>682</v>
      </c>
      <c r="EL240" s="259">
        <v>1990</v>
      </c>
      <c r="EM240" s="263">
        <v>2560</v>
      </c>
      <c r="EN240" s="260">
        <v>76096</v>
      </c>
      <c r="EO240" s="260">
        <v>17824</v>
      </c>
      <c r="ER240" s="237" t="s">
        <v>705</v>
      </c>
      <c r="ES240" s="237">
        <v>2167</v>
      </c>
      <c r="ET240" s="237">
        <v>6.9625000000000004</v>
      </c>
      <c r="EU240" s="661">
        <v>5</v>
      </c>
      <c r="EV240" s="661">
        <v>0</v>
      </c>
      <c r="EW240" s="661">
        <v>2</v>
      </c>
      <c r="EX240" s="661">
        <v>3</v>
      </c>
      <c r="EY240" s="660">
        <v>6.8239700374531836E-2</v>
      </c>
      <c r="EZ240" s="256">
        <v>39.64507866813026</v>
      </c>
      <c r="FA240" s="247">
        <v>0.20491803278688525</v>
      </c>
      <c r="FB240" s="208">
        <v>2</v>
      </c>
      <c r="FC240" s="208">
        <v>3</v>
      </c>
      <c r="FD240" s="208">
        <v>3</v>
      </c>
      <c r="FE240" s="239">
        <v>0.88319672131147542</v>
      </c>
      <c r="FF240" s="208">
        <v>1</v>
      </c>
      <c r="FG240" s="241">
        <v>4.0983606557377051E-3</v>
      </c>
      <c r="FH240" s="209">
        <v>0</v>
      </c>
      <c r="FI240" s="237" t="s">
        <v>678</v>
      </c>
      <c r="FJ240" s="208">
        <v>52.8</v>
      </c>
      <c r="FK240" s="208">
        <v>29.66</v>
      </c>
      <c r="FL240" s="217">
        <v>71.7</v>
      </c>
      <c r="FM240" s="208">
        <v>8.07</v>
      </c>
      <c r="FN240" s="208" t="s">
        <v>1537</v>
      </c>
      <c r="FP240" s="247" t="s">
        <v>693</v>
      </c>
      <c r="FU240" s="208">
        <v>30</v>
      </c>
      <c r="FV240" s="208">
        <v>26.7</v>
      </c>
      <c r="FW240" s="237">
        <v>84.51</v>
      </c>
      <c r="FX240" s="237">
        <v>74</v>
      </c>
      <c r="FY240" s="208">
        <v>65.86</v>
      </c>
      <c r="FZ240" s="208">
        <v>72.599999999999994</v>
      </c>
      <c r="GA240" s="208">
        <v>55.44</v>
      </c>
      <c r="GB240" s="208">
        <v>59.2</v>
      </c>
      <c r="GC240" s="208">
        <v>0.34</v>
      </c>
      <c r="GD240" s="208">
        <v>52.6</v>
      </c>
      <c r="GE240" s="237">
        <v>52.52</v>
      </c>
      <c r="GF240" s="237">
        <v>68.900000000000006</v>
      </c>
      <c r="GG240" s="237">
        <v>13.05</v>
      </c>
      <c r="GH240" s="237">
        <v>79.900000000000006</v>
      </c>
      <c r="GJ240" s="947"/>
      <c r="GK240" s="320"/>
      <c r="GL240" s="320"/>
      <c r="GM240" s="320"/>
      <c r="GN240" s="320"/>
      <c r="GO240" s="662">
        <v>8237</v>
      </c>
      <c r="GP240" s="663" t="str">
        <f>VLOOKUP(GS240,'BD Comarcal'!$A$6:$AV$17,48,FALSE)</f>
        <v>24</v>
      </c>
      <c r="GQ240" s="564">
        <v>23</v>
      </c>
      <c r="GR240" s="256">
        <f t="shared" si="3"/>
        <v>1</v>
      </c>
      <c r="GS240" s="237" t="s">
        <v>88</v>
      </c>
    </row>
    <row r="241" spans="1:201" s="237" customFormat="1" ht="16.5" customHeight="1">
      <c r="A241" s="236" t="s">
        <v>1538</v>
      </c>
      <c r="C241" s="238"/>
      <c r="D241" s="238">
        <v>1427</v>
      </c>
      <c r="E241" s="238">
        <v>767</v>
      </c>
      <c r="F241" s="239">
        <v>0.53749124036440088</v>
      </c>
      <c r="G241" s="238">
        <v>574</v>
      </c>
      <c r="H241" s="240">
        <v>572.86710392896862</v>
      </c>
      <c r="I241" s="239">
        <v>0.7468932254614975</v>
      </c>
      <c r="J241" s="238">
        <v>81</v>
      </c>
      <c r="K241" s="238">
        <v>101</v>
      </c>
      <c r="L241" s="238">
        <v>0</v>
      </c>
      <c r="M241" s="241">
        <v>0</v>
      </c>
      <c r="N241" s="238">
        <v>0</v>
      </c>
      <c r="O241" s="239">
        <v>0</v>
      </c>
      <c r="P241" s="237">
        <v>3</v>
      </c>
      <c r="Q241" s="237">
        <v>0</v>
      </c>
      <c r="R241" s="239">
        <v>0</v>
      </c>
      <c r="S241" s="238">
        <v>46</v>
      </c>
      <c r="T241" s="436">
        <v>0</v>
      </c>
      <c r="U241" s="436">
        <v>0</v>
      </c>
      <c r="V241" s="436">
        <v>0</v>
      </c>
      <c r="W241" s="436">
        <v>0</v>
      </c>
      <c r="X241" s="238">
        <v>19664</v>
      </c>
      <c r="Y241" s="237">
        <v>0.1143</v>
      </c>
      <c r="Z241" s="238">
        <v>360659</v>
      </c>
      <c r="AA241" s="238">
        <v>18399</v>
      </c>
      <c r="AB241" s="238">
        <v>112.42</v>
      </c>
      <c r="AC241" s="238">
        <v>3626</v>
      </c>
      <c r="AD241" s="238">
        <v>19880199.399999999</v>
      </c>
      <c r="AE241" s="238">
        <v>2612430.2599999979</v>
      </c>
      <c r="AF241" s="238">
        <v>17320178.210000001</v>
      </c>
      <c r="AG241" s="238">
        <v>1440547.99</v>
      </c>
      <c r="AH241" s="239">
        <v>8.3171660968723943E-2</v>
      </c>
      <c r="AI241" s="247">
        <v>377.61017900000002</v>
      </c>
      <c r="AJ241" s="242">
        <v>100.424789</v>
      </c>
      <c r="AK241" s="242">
        <v>7.0374764540995098</v>
      </c>
      <c r="AL241" s="242">
        <v>134.26344900000001</v>
      </c>
      <c r="AM241" s="242">
        <v>9.408791100210232</v>
      </c>
      <c r="AN241" s="242">
        <v>47650.59</v>
      </c>
      <c r="AO241" s="238">
        <v>13772.5</v>
      </c>
      <c r="AP241" s="243">
        <v>96</v>
      </c>
      <c r="AQ241" s="238"/>
      <c r="AR241" s="238">
        <v>1400.896199800761</v>
      </c>
      <c r="AS241" s="238">
        <v>2705.2936453918887</v>
      </c>
      <c r="AT241" s="238">
        <v>1447291</v>
      </c>
      <c r="AU241" s="238">
        <v>311.9087173100279</v>
      </c>
      <c r="AV241" s="237">
        <v>1</v>
      </c>
      <c r="AW241" s="237">
        <v>0</v>
      </c>
      <c r="AX241" s="237">
        <v>1</v>
      </c>
      <c r="AY241" s="244" t="s">
        <v>673</v>
      </c>
      <c r="AZ241" s="244" t="s">
        <v>673</v>
      </c>
      <c r="BA241" s="237">
        <v>2010</v>
      </c>
      <c r="BB241" s="245" t="s">
        <v>1539</v>
      </c>
      <c r="BC241" s="215" t="s">
        <v>1540</v>
      </c>
      <c r="BE241" s="237">
        <v>39</v>
      </c>
      <c r="BF241" s="237">
        <v>37</v>
      </c>
      <c r="BG241" s="246" t="s">
        <v>676</v>
      </c>
      <c r="BI241" s="239">
        <v>0.14040341759887254</v>
      </c>
      <c r="BJ241" s="239">
        <v>0.14656918876068001</v>
      </c>
      <c r="BK241" s="239">
        <v>0.68272703250242228</v>
      </c>
      <c r="BL241" s="239">
        <v>3.030036113802519E-2</v>
      </c>
      <c r="BM241" s="247">
        <v>1.3970756628204</v>
      </c>
      <c r="BN241" s="248">
        <v>0</v>
      </c>
      <c r="BO241" s="248">
        <v>0</v>
      </c>
      <c r="BP241" s="237">
        <v>0</v>
      </c>
      <c r="BQ241" s="237">
        <v>0</v>
      </c>
      <c r="BR241" s="248">
        <v>0</v>
      </c>
      <c r="BS241" s="237">
        <v>9</v>
      </c>
      <c r="BT241" s="237" t="s">
        <v>967</v>
      </c>
      <c r="BU241" s="249" t="s">
        <v>678</v>
      </c>
      <c r="BV241" s="249">
        <v>1024</v>
      </c>
      <c r="BW241" s="249">
        <v>8362</v>
      </c>
      <c r="BX241" s="249">
        <v>4661</v>
      </c>
      <c r="BY241" s="249" t="s">
        <v>678</v>
      </c>
      <c r="BZ241" s="249">
        <v>5.2761747732893651</v>
      </c>
      <c r="CA241" s="249">
        <v>43.08532563891179</v>
      </c>
      <c r="CB241" s="249">
        <v>24.015869744435285</v>
      </c>
      <c r="CC241" s="250" t="s">
        <v>678</v>
      </c>
      <c r="CD241" s="242">
        <v>-1694</v>
      </c>
      <c r="CE241" s="252">
        <v>91.271640560593568</v>
      </c>
      <c r="CF241" s="238">
        <v>7479</v>
      </c>
      <c r="CG241" s="238">
        <v>1041.3</v>
      </c>
      <c r="CH241" s="238">
        <v>5.365313272877164</v>
      </c>
      <c r="CI241" s="216" t="s">
        <v>679</v>
      </c>
      <c r="CJ241" s="237">
        <v>0</v>
      </c>
      <c r="CK241" s="253">
        <v>373.66</v>
      </c>
      <c r="CL241" s="253">
        <v>287.90280000000001</v>
      </c>
      <c r="CM241" s="254">
        <v>0.20175388927820603</v>
      </c>
      <c r="CN241" s="237" t="s">
        <v>89</v>
      </c>
      <c r="CO241" s="242"/>
      <c r="CP241" s="255">
        <v>0</v>
      </c>
      <c r="CV241" s="237">
        <v>6</v>
      </c>
      <c r="CW241" s="194">
        <v>0.8</v>
      </c>
      <c r="CX241" s="194">
        <v>0.63500000000000001</v>
      </c>
      <c r="CY241" s="194" t="s">
        <v>680</v>
      </c>
      <c r="DB241" s="216" t="s">
        <v>1017</v>
      </c>
      <c r="DC241" s="195" t="s">
        <v>1018</v>
      </c>
      <c r="DD241" s="256">
        <v>0.7</v>
      </c>
      <c r="DE241" s="256">
        <v>-6.5</v>
      </c>
      <c r="DF241" s="256">
        <v>0.7</v>
      </c>
      <c r="DG241" s="256">
        <v>-2.2000000000000002</v>
      </c>
      <c r="DH241" s="257">
        <v>4</v>
      </c>
      <c r="DI241" s="257">
        <v>4</v>
      </c>
      <c r="DJ241" s="257">
        <v>3.5</v>
      </c>
      <c r="DK241" s="257">
        <v>7.5</v>
      </c>
      <c r="DL241" s="237" t="s">
        <v>682</v>
      </c>
      <c r="DP241" s="258" t="s">
        <v>682</v>
      </c>
      <c r="DQ241" s="258"/>
      <c r="DR241" s="258"/>
      <c r="DS241" s="258"/>
      <c r="DT241" s="258"/>
      <c r="DU241" s="237">
        <v>0</v>
      </c>
      <c r="DX241" s="247"/>
      <c r="DY241" s="247">
        <v>0</v>
      </c>
      <c r="EA241" s="237">
        <v>0</v>
      </c>
      <c r="ED241" s="237" t="s">
        <v>678</v>
      </c>
      <c r="EE241" s="208">
        <v>1</v>
      </c>
      <c r="EF241" s="237" t="s">
        <v>678</v>
      </c>
      <c r="EG241" s="216" t="s">
        <v>691</v>
      </c>
      <c r="EH241" s="246" t="s">
        <v>690</v>
      </c>
      <c r="EI241" s="216" t="s">
        <v>904</v>
      </c>
      <c r="EJ241" s="216" t="s">
        <v>529</v>
      </c>
      <c r="EK241" s="222" t="s">
        <v>682</v>
      </c>
      <c r="EL241" s="259">
        <v>2000</v>
      </c>
      <c r="EM241" s="260">
        <v>8220</v>
      </c>
      <c r="EN241" s="260">
        <v>971896</v>
      </c>
      <c r="EO241" s="260">
        <v>448007</v>
      </c>
      <c r="ER241" s="237" t="s">
        <v>705</v>
      </c>
      <c r="ES241" s="237" t="e">
        <v>#DIV/0!</v>
      </c>
      <c r="ET241" s="237">
        <v>54.502068126520683</v>
      </c>
      <c r="EU241" s="661">
        <v>1</v>
      </c>
      <c r="EV241" s="661">
        <v>3</v>
      </c>
      <c r="EW241" s="661">
        <v>1</v>
      </c>
      <c r="EX241" s="661">
        <v>6</v>
      </c>
      <c r="EY241" s="660">
        <v>0.26185003503854243</v>
      </c>
      <c r="EZ241" s="256">
        <v>51.940266552480864</v>
      </c>
      <c r="FA241" s="247">
        <v>0.78226857887874834</v>
      </c>
      <c r="FB241" s="208">
        <v>3</v>
      </c>
      <c r="FC241" s="208">
        <v>5</v>
      </c>
      <c r="FD241" s="208">
        <v>6</v>
      </c>
      <c r="FE241" s="239">
        <v>0.74837027379400256</v>
      </c>
      <c r="FF241" s="208"/>
      <c r="FG241" s="241">
        <v>9.778357235984355E-3</v>
      </c>
      <c r="FH241" s="209">
        <v>0</v>
      </c>
      <c r="FI241" s="237" t="s">
        <v>678</v>
      </c>
      <c r="FJ241" s="208">
        <v>41.6</v>
      </c>
      <c r="FK241" s="208">
        <v>0</v>
      </c>
      <c r="FL241" s="217">
        <v>9.1999999999999993</v>
      </c>
      <c r="FM241" s="208">
        <v>1.5</v>
      </c>
      <c r="FN241" s="208" t="s">
        <v>1541</v>
      </c>
      <c r="FP241" s="247" t="s">
        <v>693</v>
      </c>
      <c r="FU241" s="208">
        <v>28</v>
      </c>
      <c r="FV241" s="208">
        <v>22.7</v>
      </c>
      <c r="FW241" s="237">
        <v>0</v>
      </c>
      <c r="FX241" s="237">
        <v>1.2</v>
      </c>
      <c r="FY241" s="208">
        <v>8.98</v>
      </c>
      <c r="FZ241" s="208">
        <v>16</v>
      </c>
      <c r="GA241" s="208">
        <v>29.5</v>
      </c>
      <c r="GB241" s="208">
        <v>21</v>
      </c>
      <c r="GC241" s="208">
        <v>-0.76</v>
      </c>
      <c r="GD241" s="208">
        <v>0.4</v>
      </c>
      <c r="GE241" s="237">
        <v>22.13</v>
      </c>
      <c r="GF241" s="237">
        <v>20.8</v>
      </c>
      <c r="GG241" s="237">
        <v>11.77</v>
      </c>
      <c r="GH241" s="237">
        <v>75</v>
      </c>
      <c r="GJ241" s="947">
        <v>637</v>
      </c>
      <c r="GK241" s="320">
        <v>0</v>
      </c>
      <c r="GL241" s="320">
        <v>0.377</v>
      </c>
      <c r="GM241" s="320">
        <v>3.3000000000000002E-2</v>
      </c>
      <c r="GN241" s="320">
        <v>0.59</v>
      </c>
      <c r="GO241" s="662">
        <v>8238</v>
      </c>
      <c r="GP241" s="663" t="str">
        <f>VLOOKUP(GS241,'BD Comarcal'!$A$6:$AV$17,48,FALSE)</f>
        <v>40</v>
      </c>
      <c r="GQ241" s="564">
        <v>124</v>
      </c>
      <c r="GR241" s="256">
        <f t="shared" si="3"/>
        <v>1</v>
      </c>
      <c r="GS241" s="237" t="s">
        <v>89</v>
      </c>
    </row>
    <row r="242" spans="1:201" s="237" customFormat="1" ht="17.25" customHeight="1">
      <c r="A242" s="236" t="s">
        <v>1542</v>
      </c>
      <c r="C242" s="238"/>
      <c r="D242" s="238">
        <v>2589</v>
      </c>
      <c r="E242" s="238">
        <v>2292</v>
      </c>
      <c r="F242" s="239">
        <v>0.88528389339513325</v>
      </c>
      <c r="G242" s="238">
        <v>990</v>
      </c>
      <c r="H242" s="240">
        <v>921.32568977248002</v>
      </c>
      <c r="I242" s="239">
        <v>0.40197455923755671</v>
      </c>
      <c r="J242" s="238">
        <v>98</v>
      </c>
      <c r="K242" s="238">
        <v>70</v>
      </c>
      <c r="L242" s="238">
        <v>0</v>
      </c>
      <c r="M242" s="241">
        <v>0</v>
      </c>
      <c r="N242" s="238">
        <v>7</v>
      </c>
      <c r="O242" s="239">
        <v>7.1428571428571425E-2</v>
      </c>
      <c r="P242" s="237">
        <v>4</v>
      </c>
      <c r="Q242" s="237">
        <v>1</v>
      </c>
      <c r="R242" s="239">
        <v>0.25</v>
      </c>
      <c r="S242" s="238">
        <v>128</v>
      </c>
      <c r="T242" s="436">
        <v>390</v>
      </c>
      <c r="U242" s="436">
        <v>6</v>
      </c>
      <c r="V242" s="436">
        <v>10</v>
      </c>
      <c r="W242" s="436">
        <v>406</v>
      </c>
      <c r="X242" s="238">
        <v>637</v>
      </c>
      <c r="Y242" s="237">
        <v>0.11020000000000001</v>
      </c>
      <c r="Z242" s="238">
        <v>10425</v>
      </c>
      <c r="AA242" s="238">
        <v>16760</v>
      </c>
      <c r="AB242" s="238">
        <v>102.4</v>
      </c>
      <c r="AC242" s="238">
        <v>107</v>
      </c>
      <c r="AD242" s="238">
        <v>1005521.92</v>
      </c>
      <c r="AE242" s="238">
        <v>223727.06000000006</v>
      </c>
      <c r="AF242" s="238">
        <v>1029483.49</v>
      </c>
      <c r="AG242" s="238">
        <v>268666.25</v>
      </c>
      <c r="AH242" s="239">
        <v>0.26097188795130655</v>
      </c>
      <c r="AI242" s="247">
        <v>149.72998799999999</v>
      </c>
      <c r="AJ242" s="242">
        <v>27.760802000000002</v>
      </c>
      <c r="AK242" s="242">
        <v>1.072259636925454</v>
      </c>
      <c r="AL242" s="242">
        <v>1426440.62</v>
      </c>
      <c r="AM242" s="242">
        <v>55096.200077249901</v>
      </c>
      <c r="AN242" s="242">
        <v>16446.080000000002</v>
      </c>
      <c r="AO242" s="238">
        <v>0</v>
      </c>
      <c r="AP242" s="243">
        <v>0</v>
      </c>
      <c r="AQ242" s="238">
        <v>1</v>
      </c>
      <c r="AR242" s="238">
        <v>2398.3385329827979</v>
      </c>
      <c r="AS242" s="238">
        <v>1771.3773275444771</v>
      </c>
      <c r="AT242" s="238">
        <v>55015.666666666664</v>
      </c>
      <c r="AU242" s="238">
        <v>406.86733416568751</v>
      </c>
      <c r="AV242" s="237">
        <v>1</v>
      </c>
      <c r="AW242" s="237">
        <v>1</v>
      </c>
      <c r="AX242" s="237">
        <v>1</v>
      </c>
      <c r="AY242" s="244" t="s">
        <v>682</v>
      </c>
      <c r="AZ242" s="244" t="s">
        <v>726</v>
      </c>
      <c r="BA242" s="237">
        <v>0</v>
      </c>
      <c r="BB242" s="245" t="s">
        <v>971</v>
      </c>
      <c r="BC242" s="215" t="s">
        <v>972</v>
      </c>
      <c r="BE242" s="237">
        <v>0</v>
      </c>
      <c r="BF242" s="237">
        <v>30</v>
      </c>
      <c r="BG242" s="246" t="s">
        <v>698</v>
      </c>
      <c r="BI242" s="239">
        <v>0.50609756097560976</v>
      </c>
      <c r="BJ242" s="239">
        <v>0.18292682926829268</v>
      </c>
      <c r="BK242" s="239">
        <v>0.29878048780487804</v>
      </c>
      <c r="BL242" s="239">
        <v>1.2195121951219513E-2</v>
      </c>
      <c r="BM242" s="247">
        <v>2.1829268292682928</v>
      </c>
      <c r="BN242" s="248">
        <v>0</v>
      </c>
      <c r="BO242" s="248">
        <v>0</v>
      </c>
      <c r="BP242" s="237">
        <v>0</v>
      </c>
      <c r="BQ242" s="237">
        <v>0</v>
      </c>
      <c r="BR242" s="248">
        <v>0</v>
      </c>
      <c r="BS242" s="262">
        <v>30</v>
      </c>
      <c r="BT242" s="237" t="s">
        <v>729</v>
      </c>
      <c r="BU242" s="249" t="s">
        <v>678</v>
      </c>
      <c r="BV242" s="249" t="s">
        <v>678</v>
      </c>
      <c r="BW242" s="249" t="s">
        <v>678</v>
      </c>
      <c r="BX242" s="249" t="s">
        <v>678</v>
      </c>
      <c r="BY242" s="249" t="s">
        <v>678</v>
      </c>
      <c r="BZ242" s="249" t="s">
        <v>678</v>
      </c>
      <c r="CA242" s="249" t="s">
        <v>678</v>
      </c>
      <c r="CB242" s="249" t="s">
        <v>678</v>
      </c>
      <c r="CC242" s="250" t="s">
        <v>678</v>
      </c>
      <c r="CD242" s="242" t="s">
        <v>678</v>
      </c>
      <c r="CE242" s="252" t="s">
        <v>678</v>
      </c>
      <c r="CF242" s="238">
        <v>398</v>
      </c>
      <c r="CG242" s="238">
        <v>30.6</v>
      </c>
      <c r="CH242" s="238">
        <v>4.6433990895295905</v>
      </c>
      <c r="CI242" s="216" t="s">
        <v>679</v>
      </c>
      <c r="CJ242" s="237">
        <v>0</v>
      </c>
      <c r="CK242" s="253">
        <v>150.75</v>
      </c>
      <c r="CL242" s="253">
        <v>16.853400000000001</v>
      </c>
      <c r="CM242" s="254">
        <v>6.509617612977984E-3</v>
      </c>
      <c r="CN242" s="237" t="s">
        <v>24</v>
      </c>
      <c r="CO242" s="242">
        <v>1768.77</v>
      </c>
      <c r="CP242" s="255">
        <v>0.68318655851680188</v>
      </c>
      <c r="CV242" s="237">
        <v>2</v>
      </c>
      <c r="CW242" s="261" t="s">
        <v>678</v>
      </c>
      <c r="CX242" s="261" t="s">
        <v>678</v>
      </c>
      <c r="CY242" s="261" t="s">
        <v>678</v>
      </c>
      <c r="DB242" s="216" t="s">
        <v>710</v>
      </c>
      <c r="DC242" s="195" t="s">
        <v>711</v>
      </c>
      <c r="DD242" s="256">
        <v>0.8</v>
      </c>
      <c r="DE242" s="256">
        <v>-10</v>
      </c>
      <c r="DF242" s="256">
        <v>0.5</v>
      </c>
      <c r="DG242" s="256">
        <v>-2.2999999999999998</v>
      </c>
      <c r="DH242" s="257">
        <v>1</v>
      </c>
      <c r="DI242" s="257">
        <v>8.84</v>
      </c>
      <c r="DJ242" s="257">
        <v>25.35</v>
      </c>
      <c r="DK242" s="257">
        <v>34.19</v>
      </c>
      <c r="DL242" s="237" t="s">
        <v>682</v>
      </c>
      <c r="DO242" s="237">
        <v>1</v>
      </c>
      <c r="DP242" s="258" t="s">
        <v>682</v>
      </c>
      <c r="DQ242" s="258"/>
      <c r="DR242" s="258"/>
      <c r="DS242" s="258"/>
      <c r="DT242" s="258"/>
      <c r="DU242" s="237">
        <v>0</v>
      </c>
      <c r="DX242" s="247"/>
      <c r="DY242" s="247">
        <v>0</v>
      </c>
      <c r="EA242" s="237">
        <v>0</v>
      </c>
      <c r="ED242" s="237" t="s">
        <v>836</v>
      </c>
      <c r="EE242" s="208">
        <v>1</v>
      </c>
      <c r="EF242" s="237" t="s">
        <v>688</v>
      </c>
      <c r="EG242" s="216" t="s">
        <v>733</v>
      </c>
      <c r="EH242" s="246" t="s">
        <v>734</v>
      </c>
      <c r="EI242" s="216"/>
      <c r="EJ242" s="216" t="s">
        <v>529</v>
      </c>
      <c r="EK242" s="222" t="s">
        <v>682</v>
      </c>
      <c r="EL242" s="259">
        <v>1997</v>
      </c>
      <c r="EM242" s="260">
        <v>4148</v>
      </c>
      <c r="EN242" s="260">
        <v>40360</v>
      </c>
      <c r="EO242" s="260">
        <v>14951</v>
      </c>
      <c r="ER242" s="237" t="s">
        <v>705</v>
      </c>
      <c r="ES242" s="237" t="e">
        <v>#DIV/0!</v>
      </c>
      <c r="ET242" s="237">
        <v>3.6043876567020252</v>
      </c>
      <c r="EU242" s="661">
        <v>5</v>
      </c>
      <c r="EV242" s="661" t="s">
        <v>678</v>
      </c>
      <c r="EW242" s="661">
        <v>0</v>
      </c>
      <c r="EX242" s="661">
        <v>4</v>
      </c>
      <c r="EY242" s="660">
        <v>5.8227114716106608E-2</v>
      </c>
      <c r="EZ242" s="256">
        <v>4.3714759535655059</v>
      </c>
      <c r="FA242" s="247">
        <v>8.7260034904013961E-2</v>
      </c>
      <c r="FB242" s="208">
        <v>2</v>
      </c>
      <c r="FC242" s="208">
        <v>3</v>
      </c>
      <c r="FD242" s="208">
        <v>4</v>
      </c>
      <c r="FE242" s="239">
        <v>0.43193717277486909</v>
      </c>
      <c r="FF242" s="208">
        <v>1</v>
      </c>
      <c r="FG242" s="241">
        <v>1.4917102966841185E-2</v>
      </c>
      <c r="FH242" s="209">
        <v>0</v>
      </c>
      <c r="FI242" s="237" t="s">
        <v>678</v>
      </c>
      <c r="FJ242" s="208">
        <v>68</v>
      </c>
      <c r="FK242" s="208">
        <v>40.08</v>
      </c>
      <c r="FL242" s="217">
        <v>82.6</v>
      </c>
      <c r="FM242" s="208">
        <v>6.87</v>
      </c>
      <c r="FN242" s="208" t="s">
        <v>1543</v>
      </c>
      <c r="FP242" s="247" t="s">
        <v>693</v>
      </c>
      <c r="FU242" s="208">
        <v>55</v>
      </c>
      <c r="FV242" s="208">
        <v>84</v>
      </c>
      <c r="FW242" s="237">
        <v>33.51</v>
      </c>
      <c r="FX242" s="237">
        <v>14.4</v>
      </c>
      <c r="FY242" s="208">
        <v>23.93</v>
      </c>
      <c r="FZ242" s="208">
        <v>37.700000000000003</v>
      </c>
      <c r="GA242" s="208">
        <v>43.7</v>
      </c>
      <c r="GB242" s="208">
        <v>43.2</v>
      </c>
      <c r="GC242" s="208">
        <v>-0.1</v>
      </c>
      <c r="GD242" s="208">
        <v>5.0999999999999996</v>
      </c>
      <c r="GE242" s="237">
        <v>38.39</v>
      </c>
      <c r="GF242" s="237">
        <v>47.8</v>
      </c>
      <c r="GG242" s="237">
        <v>4.55</v>
      </c>
      <c r="GH242" s="237">
        <v>40.299999999999997</v>
      </c>
      <c r="GJ242" s="947"/>
      <c r="GK242" s="320"/>
      <c r="GL242" s="320"/>
      <c r="GM242" s="320"/>
      <c r="GN242" s="320"/>
      <c r="GO242" s="662">
        <v>8239</v>
      </c>
      <c r="GP242" s="663" t="str">
        <f>VLOOKUP(GS242,'BD Comarcal'!$A$6:$AV$17,48,FALSE)</f>
        <v>42</v>
      </c>
      <c r="GQ242" s="564">
        <v>3</v>
      </c>
      <c r="GR242" s="256">
        <f t="shared" si="3"/>
        <v>1</v>
      </c>
      <c r="GS242" s="237" t="s">
        <v>87</v>
      </c>
    </row>
    <row r="243" spans="1:201" s="237" customFormat="1" ht="17.25" customHeight="1">
      <c r="A243" s="236" t="s">
        <v>1544</v>
      </c>
      <c r="C243" s="238"/>
      <c r="D243" s="238">
        <v>1865</v>
      </c>
      <c r="E243" s="238">
        <v>418</v>
      </c>
      <c r="F243" s="239">
        <v>0.22412868632707775</v>
      </c>
      <c r="G243" s="238">
        <v>294</v>
      </c>
      <c r="H243" s="240">
        <v>303.08545867000714</v>
      </c>
      <c r="I243" s="239">
        <v>0.72508482935408403</v>
      </c>
      <c r="J243" s="238">
        <v>959</v>
      </c>
      <c r="K243" s="238">
        <v>9</v>
      </c>
      <c r="L243" s="238">
        <v>27</v>
      </c>
      <c r="M243" s="241">
        <v>1.4477211796246649E-2</v>
      </c>
      <c r="N243" s="238">
        <v>107</v>
      </c>
      <c r="O243" s="239">
        <v>0.11157455683003129</v>
      </c>
      <c r="P243" s="237">
        <v>5</v>
      </c>
      <c r="Q243" s="237">
        <v>0</v>
      </c>
      <c r="R243" s="239">
        <v>0</v>
      </c>
      <c r="S243" s="238">
        <v>506</v>
      </c>
      <c r="T243" s="436">
        <v>0</v>
      </c>
      <c r="U243" s="436">
        <v>0</v>
      </c>
      <c r="V243" s="436">
        <v>44</v>
      </c>
      <c r="W243" s="436">
        <v>44</v>
      </c>
      <c r="X243" s="238">
        <v>12654</v>
      </c>
      <c r="Y243" s="237">
        <v>0.15709999999999999</v>
      </c>
      <c r="Z243" s="238">
        <v>181841</v>
      </c>
      <c r="AA243" s="238">
        <v>14331</v>
      </c>
      <c r="AB243" s="238">
        <v>87.56</v>
      </c>
      <c r="AC243" s="238">
        <v>3413</v>
      </c>
      <c r="AD243" s="238">
        <v>15508633.5</v>
      </c>
      <c r="AE243" s="238">
        <v>1138799.2299999967</v>
      </c>
      <c r="AF243" s="238">
        <v>13149078.890000002</v>
      </c>
      <c r="AG243" s="238">
        <v>1770120.64</v>
      </c>
      <c r="AH243" s="239">
        <v>0.13461936420095502</v>
      </c>
      <c r="AI243" s="247">
        <v>241.05492699999999</v>
      </c>
      <c r="AJ243" s="242">
        <v>59.790232000000003</v>
      </c>
      <c r="AK243" s="242">
        <v>3.2059105630026812</v>
      </c>
      <c r="AL243" s="242" t="s">
        <v>678</v>
      </c>
      <c r="AM243" s="242" t="s">
        <v>678</v>
      </c>
      <c r="AN243" s="242">
        <v>58424.26</v>
      </c>
      <c r="AO243" s="238">
        <v>462.78</v>
      </c>
      <c r="AP243" s="243">
        <v>0</v>
      </c>
      <c r="AQ243" s="238">
        <v>1</v>
      </c>
      <c r="AR243" s="238">
        <v>1459.9300413105157</v>
      </c>
      <c r="AS243" s="238">
        <v>1737.4716139352147</v>
      </c>
      <c r="AT243" s="238">
        <v>985998.66666666663</v>
      </c>
      <c r="AU243" s="238">
        <v>235.81060467113048</v>
      </c>
      <c r="AV243" s="237">
        <v>1</v>
      </c>
      <c r="AW243" s="237">
        <v>0</v>
      </c>
      <c r="AX243" s="237">
        <v>0</v>
      </c>
      <c r="AY243" s="244" t="s">
        <v>717</v>
      </c>
      <c r="AZ243" s="244" t="s">
        <v>682</v>
      </c>
      <c r="BA243" s="237">
        <v>2010</v>
      </c>
      <c r="BB243" s="245" t="s">
        <v>1545</v>
      </c>
      <c r="BC243" s="215" t="s">
        <v>1546</v>
      </c>
      <c r="BE243" s="237">
        <v>7</v>
      </c>
      <c r="BF243" s="237">
        <v>37</v>
      </c>
      <c r="BG243" s="246" t="s">
        <v>676</v>
      </c>
      <c r="BI243" s="239">
        <v>0.34245304892186412</v>
      </c>
      <c r="BJ243" s="239">
        <v>0.11511708787386969</v>
      </c>
      <c r="BK243" s="239">
        <v>0.52550428935775562</v>
      </c>
      <c r="BL243" s="239">
        <v>1.6925573846510548E-2</v>
      </c>
      <c r="BM243" s="247">
        <v>1.7830976118710873</v>
      </c>
      <c r="BN243" s="248">
        <v>1</v>
      </c>
      <c r="BO243" s="248">
        <v>1</v>
      </c>
      <c r="BP243" s="237">
        <v>0</v>
      </c>
      <c r="BQ243" s="237">
        <v>0</v>
      </c>
      <c r="BR243" s="248">
        <v>2</v>
      </c>
      <c r="BS243" s="237">
        <v>15.5</v>
      </c>
      <c r="BT243" s="237" t="s">
        <v>790</v>
      </c>
      <c r="BU243" s="249">
        <v>1172</v>
      </c>
      <c r="BV243" s="249">
        <v>1426</v>
      </c>
      <c r="BW243" s="249">
        <v>5789</v>
      </c>
      <c r="BX243" s="249">
        <v>1575</v>
      </c>
      <c r="BY243" s="249">
        <v>9.299373165119416</v>
      </c>
      <c r="BZ243" s="249">
        <v>11.314766325478061</v>
      </c>
      <c r="CA243" s="249">
        <v>45.933507894945649</v>
      </c>
      <c r="CB243" s="249">
        <v>12.497024517971912</v>
      </c>
      <c r="CC243" s="250">
        <v>96.461160041260015</v>
      </c>
      <c r="CD243" s="242" t="s">
        <v>678</v>
      </c>
      <c r="CE243" s="252" t="s">
        <v>678</v>
      </c>
      <c r="CF243" s="238">
        <v>5581</v>
      </c>
      <c r="CG243" s="238">
        <v>774</v>
      </c>
      <c r="CH243" s="238">
        <v>6.1413949059747681</v>
      </c>
      <c r="CI243" s="216" t="s">
        <v>700</v>
      </c>
      <c r="CJ243" s="237">
        <v>0</v>
      </c>
      <c r="CK243" s="253">
        <v>256.76</v>
      </c>
      <c r="CL243" s="253">
        <v>115.2268</v>
      </c>
      <c r="CM243" s="254">
        <v>6.1783806970509385E-2</v>
      </c>
      <c r="CN243" s="237" t="s">
        <v>791</v>
      </c>
      <c r="CO243" s="242"/>
      <c r="CP243" s="255">
        <v>0</v>
      </c>
      <c r="CV243" s="237">
        <v>9</v>
      </c>
      <c r="CW243" s="261">
        <v>0.85799999999999998</v>
      </c>
      <c r="CX243" s="261" t="s">
        <v>915</v>
      </c>
      <c r="CY243" s="261">
        <v>1.4930000000000001</v>
      </c>
      <c r="DB243" s="216"/>
      <c r="DC243" s="195" t="s">
        <v>1547</v>
      </c>
      <c r="DD243" s="256">
        <v>0.7</v>
      </c>
      <c r="DE243" s="256">
        <v>-6.5</v>
      </c>
      <c r="DF243" s="256">
        <v>0.7</v>
      </c>
      <c r="DG243" s="256">
        <v>-2.2000000000000002</v>
      </c>
      <c r="DH243" s="257">
        <v>4</v>
      </c>
      <c r="DI243" s="257">
        <v>3.44</v>
      </c>
      <c r="DJ243" s="257">
        <v>2.4500000000000002</v>
      </c>
      <c r="DK243" s="257">
        <v>5.89</v>
      </c>
      <c r="DL243" s="237" t="s">
        <v>682</v>
      </c>
      <c r="DP243" s="258" t="s">
        <v>682</v>
      </c>
      <c r="DQ243" s="258"/>
      <c r="DR243" s="258"/>
      <c r="DS243" s="258"/>
      <c r="DT243" s="258"/>
      <c r="DU243" s="237">
        <v>1</v>
      </c>
      <c r="DV243" s="237" t="s">
        <v>1548</v>
      </c>
      <c r="DW243" s="237" t="s">
        <v>1006</v>
      </c>
      <c r="DX243" s="247">
        <v>5.25</v>
      </c>
      <c r="DY243" s="247">
        <v>0.28150134048257375</v>
      </c>
      <c r="EA243" s="237">
        <v>0</v>
      </c>
      <c r="ED243" s="237" t="s">
        <v>687</v>
      </c>
      <c r="EE243" s="208">
        <v>4</v>
      </c>
      <c r="EF243" s="237" t="s">
        <v>688</v>
      </c>
      <c r="EG243" s="216" t="s">
        <v>689</v>
      </c>
      <c r="EH243" s="246" t="s">
        <v>690</v>
      </c>
      <c r="EI243" s="216"/>
      <c r="EJ243" s="216" t="s">
        <v>529</v>
      </c>
      <c r="EK243" s="222" t="s">
        <v>682</v>
      </c>
      <c r="EL243" s="259">
        <v>2011</v>
      </c>
      <c r="EM243" s="260">
        <v>2466</v>
      </c>
      <c r="EN243" s="260">
        <v>467594</v>
      </c>
      <c r="EO243" s="260">
        <v>475393</v>
      </c>
      <c r="ER243" s="237" t="s">
        <v>705</v>
      </c>
      <c r="ES243" s="237">
        <v>6301.5</v>
      </c>
      <c r="ET243" s="237">
        <v>192.77899432278994</v>
      </c>
      <c r="EU243" s="661">
        <v>3</v>
      </c>
      <c r="EV243" s="661">
        <v>6</v>
      </c>
      <c r="EW243" s="661">
        <v>6</v>
      </c>
      <c r="EX243" s="661">
        <v>9</v>
      </c>
      <c r="EY243" s="660">
        <v>0.13767292225201072</v>
      </c>
      <c r="EZ243" s="256">
        <v>49.084748403178068</v>
      </c>
      <c r="FA243" s="247">
        <v>2.1531100478468899</v>
      </c>
      <c r="FB243" s="208">
        <v>6</v>
      </c>
      <c r="FC243" s="208">
        <v>6</v>
      </c>
      <c r="FD243" s="208">
        <v>7</v>
      </c>
      <c r="FE243" s="239">
        <v>0.70334928229665072</v>
      </c>
      <c r="FF243" s="208"/>
      <c r="FG243" s="241">
        <v>1.409090909090909E-2</v>
      </c>
      <c r="FH243" s="209">
        <v>0</v>
      </c>
      <c r="FI243" s="237" t="s">
        <v>678</v>
      </c>
      <c r="FJ243" s="208" t="s">
        <v>678</v>
      </c>
      <c r="FK243" s="208" t="s">
        <v>678</v>
      </c>
      <c r="FL243" s="217" t="s">
        <v>678</v>
      </c>
      <c r="FM243" s="208" t="s">
        <v>678</v>
      </c>
      <c r="FN243" s="208" t="s">
        <v>678</v>
      </c>
      <c r="FP243" s="247" t="s">
        <v>693</v>
      </c>
      <c r="FU243" s="208" t="s">
        <v>678</v>
      </c>
      <c r="FV243" s="208" t="s">
        <v>678</v>
      </c>
      <c r="FW243" s="208" t="s">
        <v>678</v>
      </c>
      <c r="FX243" s="208" t="s">
        <v>678</v>
      </c>
      <c r="FY243" s="208" t="s">
        <v>678</v>
      </c>
      <c r="FZ243" s="208" t="s">
        <v>678</v>
      </c>
      <c r="GA243" s="208" t="s">
        <v>678</v>
      </c>
      <c r="GB243" s="208" t="s">
        <v>678</v>
      </c>
      <c r="GC243" s="208" t="s">
        <v>678</v>
      </c>
      <c r="GD243" s="208" t="s">
        <v>678</v>
      </c>
      <c r="GE243" s="237" t="s">
        <v>678</v>
      </c>
      <c r="GF243" s="237" t="s">
        <v>678</v>
      </c>
      <c r="GG243" s="237" t="s">
        <v>678</v>
      </c>
      <c r="GH243" s="237" t="s">
        <v>678</v>
      </c>
      <c r="GJ243" s="947">
        <v>405</v>
      </c>
      <c r="GK243" s="320">
        <v>3.0000000000000001E-3</v>
      </c>
      <c r="GL243" s="320">
        <v>0.42699999999999999</v>
      </c>
      <c r="GM243" s="320">
        <v>3.2000000000000001E-2</v>
      </c>
      <c r="GN243" s="320">
        <v>0.53800000000000003</v>
      </c>
      <c r="GO243" s="662">
        <v>8240</v>
      </c>
      <c r="GP243" s="663" t="str">
        <f>VLOOKUP(GS243,'BD Comarcal'!$A$6:$AV$17,48,FALSE)</f>
        <v>03</v>
      </c>
      <c r="GQ243" s="564">
        <v>93</v>
      </c>
      <c r="GR243" s="256">
        <f t="shared" si="3"/>
        <v>1</v>
      </c>
      <c r="GS243" s="237" t="s">
        <v>791</v>
      </c>
    </row>
    <row r="244" spans="1:201" s="237" customFormat="1" ht="17.25" customHeight="1">
      <c r="A244" s="236" t="s">
        <v>1549</v>
      </c>
      <c r="C244" s="238"/>
      <c r="D244" s="238">
        <v>3090</v>
      </c>
      <c r="E244" s="238">
        <v>2782</v>
      </c>
      <c r="F244" s="239">
        <v>0.90032362459546922</v>
      </c>
      <c r="G244" s="238">
        <v>2733</v>
      </c>
      <c r="H244" s="240">
        <v>1802.7209033690929</v>
      </c>
      <c r="I244" s="239">
        <v>0.64799457346121236</v>
      </c>
      <c r="J244" s="238">
        <v>109</v>
      </c>
      <c r="K244" s="238">
        <v>287</v>
      </c>
      <c r="L244" s="238">
        <v>0</v>
      </c>
      <c r="M244" s="241">
        <v>0</v>
      </c>
      <c r="N244" s="238">
        <v>0</v>
      </c>
      <c r="O244" s="239">
        <v>0</v>
      </c>
      <c r="P244" s="237">
        <v>12</v>
      </c>
      <c r="Q244" s="237">
        <v>0</v>
      </c>
      <c r="R244" s="239">
        <v>0</v>
      </c>
      <c r="S244" s="238">
        <v>1156</v>
      </c>
      <c r="T244" s="436">
        <v>177</v>
      </c>
      <c r="U244" s="436">
        <v>0</v>
      </c>
      <c r="V244" s="436">
        <v>33</v>
      </c>
      <c r="W244" s="436">
        <v>210</v>
      </c>
      <c r="X244" s="238">
        <v>80</v>
      </c>
      <c r="Y244" s="237">
        <v>0.2326</v>
      </c>
      <c r="Z244" s="238">
        <v>1519</v>
      </c>
      <c r="AA244" s="238">
        <v>17662</v>
      </c>
      <c r="AB244" s="238">
        <v>107.92</v>
      </c>
      <c r="AC244" s="238">
        <v>0</v>
      </c>
      <c r="AD244" s="238">
        <v>154188.71000000002</v>
      </c>
      <c r="AE244" s="238">
        <v>27974.97</v>
      </c>
      <c r="AF244" s="238">
        <v>165085.23000000001</v>
      </c>
      <c r="AG244" s="238">
        <v>21534.45</v>
      </c>
      <c r="AH244" s="239">
        <v>0.13044443770045328</v>
      </c>
      <c r="AI244" s="247">
        <v>4.9608990000000004</v>
      </c>
      <c r="AJ244" s="242">
        <v>0.68363399999999996</v>
      </c>
      <c r="AK244" s="242">
        <v>2.2124077669902913E-2</v>
      </c>
      <c r="AL244" s="242">
        <v>49836.28</v>
      </c>
      <c r="AM244" s="242">
        <v>1612.8245954692557</v>
      </c>
      <c r="AN244" s="242">
        <v>6998.95</v>
      </c>
      <c r="AO244" s="238">
        <v>9852.1299999999992</v>
      </c>
      <c r="AP244" s="243">
        <v>35</v>
      </c>
      <c r="AQ244" s="238"/>
      <c r="AR244" s="238">
        <v>2296.9515503875969</v>
      </c>
      <c r="AS244" s="238">
        <v>1154.5008585195276</v>
      </c>
      <c r="AT244" s="238">
        <v>1026.6666666666667</v>
      </c>
      <c r="AU244" s="238">
        <v>0</v>
      </c>
      <c r="AV244" s="237">
        <v>1</v>
      </c>
      <c r="AW244" s="237">
        <v>0</v>
      </c>
      <c r="AX244" s="237">
        <v>1</v>
      </c>
      <c r="AY244" s="244" t="s">
        <v>717</v>
      </c>
      <c r="AZ244" s="244" t="s">
        <v>695</v>
      </c>
      <c r="BA244" s="237">
        <v>0</v>
      </c>
      <c r="BB244" s="245" t="s">
        <v>1550</v>
      </c>
      <c r="BC244" s="215" t="s">
        <v>1551</v>
      </c>
      <c r="BE244" s="237">
        <v>0</v>
      </c>
      <c r="BF244" s="237">
        <v>83</v>
      </c>
      <c r="BG244" s="246" t="s">
        <v>698</v>
      </c>
      <c r="BI244" s="239">
        <v>0.93442622950819676</v>
      </c>
      <c r="BJ244" s="239">
        <v>5.737704918032787E-2</v>
      </c>
      <c r="BK244" s="239">
        <v>8.1967213114754103E-3</v>
      </c>
      <c r="BL244" s="239">
        <v>0</v>
      </c>
      <c r="BM244" s="247">
        <v>2.9262295081967213</v>
      </c>
      <c r="BN244" s="248">
        <v>0</v>
      </c>
      <c r="BO244" s="248">
        <v>0</v>
      </c>
      <c r="BP244" s="237">
        <v>0</v>
      </c>
      <c r="BQ244" s="237">
        <v>0</v>
      </c>
      <c r="BR244" s="248">
        <v>0</v>
      </c>
      <c r="BS244" s="237">
        <v>21</v>
      </c>
      <c r="BT244" s="237" t="s">
        <v>721</v>
      </c>
      <c r="BU244" s="249" t="s">
        <v>678</v>
      </c>
      <c r="BV244" s="249" t="s">
        <v>678</v>
      </c>
      <c r="BW244" s="249" t="s">
        <v>678</v>
      </c>
      <c r="BX244" s="249" t="s">
        <v>678</v>
      </c>
      <c r="BY244" s="249" t="s">
        <v>678</v>
      </c>
      <c r="BZ244" s="249" t="s">
        <v>678</v>
      </c>
      <c r="CA244" s="249" t="s">
        <v>678</v>
      </c>
      <c r="CB244" s="249" t="s">
        <v>678</v>
      </c>
      <c r="CC244" s="250" t="s">
        <v>678</v>
      </c>
      <c r="CD244" s="242" t="s">
        <v>678</v>
      </c>
      <c r="CE244" s="252" t="s">
        <v>678</v>
      </c>
      <c r="CF244" s="238">
        <v>46</v>
      </c>
      <c r="CG244" s="238">
        <v>3.2</v>
      </c>
      <c r="CH244" s="238">
        <v>3.6363636363636362</v>
      </c>
      <c r="CI244" s="216" t="s">
        <v>722</v>
      </c>
      <c r="CJ244" s="237">
        <v>1</v>
      </c>
      <c r="CK244" s="253">
        <v>5.24</v>
      </c>
      <c r="CL244" s="253">
        <v>0</v>
      </c>
      <c r="CM244" s="254">
        <v>0</v>
      </c>
      <c r="CN244" s="237" t="s">
        <v>88</v>
      </c>
      <c r="CO244" s="242">
        <v>1061.5</v>
      </c>
      <c r="CP244" s="255">
        <v>0.34352750809061489</v>
      </c>
      <c r="CW244" s="261" t="s">
        <v>678</v>
      </c>
      <c r="CX244" s="261" t="s">
        <v>678</v>
      </c>
      <c r="CY244" s="261" t="s">
        <v>678</v>
      </c>
      <c r="DB244" s="216" t="s">
        <v>1552</v>
      </c>
      <c r="DC244" s="195" t="s">
        <v>1553</v>
      </c>
      <c r="DD244" s="256">
        <v>0.8</v>
      </c>
      <c r="DE244" s="256">
        <v>-10</v>
      </c>
      <c r="DF244" s="256">
        <v>0.5</v>
      </c>
      <c r="DG244" s="256">
        <v>-2.2999999999999998</v>
      </c>
      <c r="DL244" s="237" t="s">
        <v>682</v>
      </c>
      <c r="DP244" s="258" t="s">
        <v>682</v>
      </c>
      <c r="DQ244" s="258"/>
      <c r="DR244" s="258"/>
      <c r="DS244" s="258"/>
      <c r="DT244" s="258"/>
      <c r="DU244" s="237">
        <v>0</v>
      </c>
      <c r="DX244" s="247"/>
      <c r="DY244" s="247">
        <v>0</v>
      </c>
      <c r="EA244" s="237">
        <v>0</v>
      </c>
      <c r="ED244" s="237" t="s">
        <v>851</v>
      </c>
      <c r="EE244" s="208">
        <v>1</v>
      </c>
      <c r="EF244" s="237" t="s">
        <v>852</v>
      </c>
      <c r="EG244" s="216" t="s">
        <v>703</v>
      </c>
      <c r="EH244" s="246" t="s">
        <v>704</v>
      </c>
      <c r="EI244" s="216"/>
      <c r="EJ244" s="216" t="s">
        <v>529</v>
      </c>
      <c r="EK244" s="222" t="s">
        <v>682</v>
      </c>
      <c r="EL244" s="259">
        <v>1990</v>
      </c>
      <c r="EM244" s="260"/>
      <c r="EN244" s="260">
        <v>0</v>
      </c>
      <c r="EO244" s="260">
        <v>730</v>
      </c>
      <c r="ER244" s="237" t="s">
        <v>705</v>
      </c>
      <c r="ES244" s="237" t="e">
        <v>#DIV/0!</v>
      </c>
      <c r="EU244" s="661">
        <v>5</v>
      </c>
      <c r="EV244" s="661" t="s">
        <v>678</v>
      </c>
      <c r="EW244" s="661">
        <v>0</v>
      </c>
      <c r="EX244" s="661" t="s">
        <v>678</v>
      </c>
      <c r="EY244" s="660">
        <v>1.6957928802588998E-3</v>
      </c>
      <c r="EZ244" s="256">
        <v>16.793893129770993</v>
      </c>
      <c r="FA244" s="247">
        <v>0</v>
      </c>
      <c r="FB244" s="208">
        <v>3</v>
      </c>
      <c r="FC244" s="208">
        <v>3</v>
      </c>
      <c r="FD244" s="208">
        <v>3</v>
      </c>
      <c r="FE244" s="239">
        <v>0.98238677210639824</v>
      </c>
      <c r="FF244" s="208">
        <v>1</v>
      </c>
      <c r="FG244" s="241">
        <v>0</v>
      </c>
      <c r="FH244" s="209">
        <v>0</v>
      </c>
      <c r="FI244" s="237" t="s">
        <v>678</v>
      </c>
      <c r="FJ244" s="208">
        <v>63.1</v>
      </c>
      <c r="FK244" s="208">
        <v>30.36</v>
      </c>
      <c r="FL244" s="217">
        <v>72.7</v>
      </c>
      <c r="FM244" s="208">
        <v>13.56</v>
      </c>
      <c r="FN244" s="208" t="s">
        <v>1554</v>
      </c>
      <c r="FP244" s="247" t="s">
        <v>693</v>
      </c>
      <c r="FU244" s="208">
        <v>51</v>
      </c>
      <c r="FV244" s="208">
        <v>77.400000000000006</v>
      </c>
      <c r="FW244" s="237">
        <v>90.57</v>
      </c>
      <c r="FX244" s="237">
        <v>84</v>
      </c>
      <c r="FY244" s="208">
        <v>122.07</v>
      </c>
      <c r="FZ244" s="208">
        <v>93.9</v>
      </c>
      <c r="GA244" s="208">
        <v>86.73</v>
      </c>
      <c r="GB244" s="208">
        <v>98.3</v>
      </c>
      <c r="GC244" s="208">
        <v>0.25</v>
      </c>
      <c r="GD244" s="208">
        <v>44.4</v>
      </c>
      <c r="GE244" s="237">
        <v>78.150000000000006</v>
      </c>
      <c r="GF244" s="237">
        <v>92.1</v>
      </c>
      <c r="GG244" s="237">
        <v>21.26</v>
      </c>
      <c r="GH244" s="237">
        <v>94.8</v>
      </c>
      <c r="GJ244" s="947"/>
      <c r="GO244" s="662">
        <v>8241</v>
      </c>
      <c r="GP244" s="663" t="str">
        <f>VLOOKUP(GS244,'BD Comarcal'!$A$6:$AV$17,48,FALSE)</f>
        <v>24</v>
      </c>
      <c r="GQ244" s="564">
        <v>2</v>
      </c>
      <c r="GR244" s="256">
        <f t="shared" si="3"/>
        <v>0</v>
      </c>
      <c r="GS244" s="237" t="s">
        <v>88</v>
      </c>
    </row>
    <row r="245" spans="1:201" s="237" customFormat="1" ht="17.25" customHeight="1">
      <c r="A245" s="236" t="s">
        <v>1555</v>
      </c>
      <c r="C245" s="238"/>
      <c r="D245" s="238">
        <v>1334</v>
      </c>
      <c r="E245" s="238">
        <v>1058</v>
      </c>
      <c r="F245" s="239">
        <v>0.7931034482758621</v>
      </c>
      <c r="G245" s="238" t="s">
        <v>752</v>
      </c>
      <c r="H245" s="240">
        <v>195.22941688692521</v>
      </c>
      <c r="I245" s="239">
        <v>0.18452685906136598</v>
      </c>
      <c r="J245" s="238">
        <v>161</v>
      </c>
      <c r="K245" s="238">
        <v>100</v>
      </c>
      <c r="L245" s="238">
        <v>12</v>
      </c>
      <c r="M245" s="241">
        <v>8.9955022488755615E-3</v>
      </c>
      <c r="N245" s="238">
        <v>9</v>
      </c>
      <c r="O245" s="239">
        <v>5.5900621118012424E-2</v>
      </c>
      <c r="P245" s="237">
        <v>5</v>
      </c>
      <c r="Q245" s="237">
        <v>1</v>
      </c>
      <c r="R245" s="239">
        <v>0.2</v>
      </c>
      <c r="S245" s="238">
        <v>16</v>
      </c>
      <c r="T245" s="436">
        <v>0</v>
      </c>
      <c r="U245" s="436">
        <v>0</v>
      </c>
      <c r="V245" s="436">
        <v>0</v>
      </c>
      <c r="W245" s="436">
        <v>0</v>
      </c>
      <c r="X245" s="238">
        <v>277</v>
      </c>
      <c r="Y245" s="237">
        <v>0.21890000000000001</v>
      </c>
      <c r="Z245" s="238">
        <v>4294</v>
      </c>
      <c r="AA245" s="238">
        <v>15336</v>
      </c>
      <c r="AB245" s="238">
        <v>93.7</v>
      </c>
      <c r="AC245" s="238">
        <v>0</v>
      </c>
      <c r="AD245" s="238">
        <v>503145.96</v>
      </c>
      <c r="AE245" s="238">
        <v>71397.229999999981</v>
      </c>
      <c r="AF245" s="238">
        <v>349884</v>
      </c>
      <c r="AG245" s="238">
        <v>33925.9</v>
      </c>
      <c r="AH245" s="239">
        <v>9.6963279258268462E-2</v>
      </c>
      <c r="AI245" s="247">
        <v>8.1655940000000005</v>
      </c>
      <c r="AJ245" s="242">
        <v>0.93397600000000003</v>
      </c>
      <c r="AK245" s="242">
        <v>7.0013193403298354E-2</v>
      </c>
      <c r="AL245" s="242">
        <v>101.456965</v>
      </c>
      <c r="AM245" s="242">
        <v>7.6054696401799102</v>
      </c>
      <c r="AN245" s="242">
        <v>9508.7199999999993</v>
      </c>
      <c r="AO245" s="238">
        <v>2968.85</v>
      </c>
      <c r="AP245" s="243">
        <v>0</v>
      </c>
      <c r="AQ245" s="238"/>
      <c r="AR245" s="238">
        <v>1693.6591202698</v>
      </c>
      <c r="AS245" s="238">
        <v>1693.0292127270031</v>
      </c>
      <c r="AT245" s="238">
        <v>19646</v>
      </c>
      <c r="AU245" s="238">
        <v>362.56068190523604</v>
      </c>
      <c r="AV245" s="237">
        <v>1</v>
      </c>
      <c r="AW245" s="237">
        <v>1</v>
      </c>
      <c r="AX245" s="237">
        <v>1</v>
      </c>
      <c r="AY245" s="244" t="s">
        <v>673</v>
      </c>
      <c r="AZ245" s="244" t="s">
        <v>726</v>
      </c>
      <c r="BA245" s="237">
        <v>0</v>
      </c>
      <c r="BB245" s="245" t="s">
        <v>959</v>
      </c>
      <c r="BC245" s="215" t="s">
        <v>960</v>
      </c>
      <c r="BE245" s="237">
        <v>2</v>
      </c>
      <c r="BF245" s="237">
        <v>143</v>
      </c>
      <c r="BG245" s="246" t="s">
        <v>698</v>
      </c>
      <c r="BI245" s="239">
        <v>0.86181818181818182</v>
      </c>
      <c r="BJ245" s="239">
        <v>8.727272727272728E-2</v>
      </c>
      <c r="BK245" s="239">
        <v>5.0909090909090911E-2</v>
      </c>
      <c r="BL245" s="239">
        <v>0</v>
      </c>
      <c r="BM245" s="247">
        <v>2.8109090909090906</v>
      </c>
      <c r="BN245" s="248">
        <v>0</v>
      </c>
      <c r="BO245" s="248">
        <v>0</v>
      </c>
      <c r="BP245" s="237">
        <v>0</v>
      </c>
      <c r="BQ245" s="237">
        <v>0</v>
      </c>
      <c r="BR245" s="248">
        <v>0</v>
      </c>
      <c r="BS245" s="237">
        <v>14</v>
      </c>
      <c r="BT245" s="237" t="s">
        <v>699</v>
      </c>
      <c r="BU245" s="249" t="s">
        <v>678</v>
      </c>
      <c r="BV245" s="249" t="s">
        <v>678</v>
      </c>
      <c r="BW245" s="249" t="s">
        <v>678</v>
      </c>
      <c r="BX245" s="249" t="s">
        <v>678</v>
      </c>
      <c r="BY245" s="249" t="s">
        <v>678</v>
      </c>
      <c r="BZ245" s="249" t="s">
        <v>678</v>
      </c>
      <c r="CA245" s="249" t="s">
        <v>678</v>
      </c>
      <c r="CB245" s="249" t="s">
        <v>678</v>
      </c>
      <c r="CC245" s="250" t="s">
        <v>678</v>
      </c>
      <c r="CD245" s="242" t="s">
        <v>678</v>
      </c>
      <c r="CE245" s="252" t="s">
        <v>678</v>
      </c>
      <c r="CF245" s="238">
        <v>198</v>
      </c>
      <c r="CG245" s="238">
        <v>20</v>
      </c>
      <c r="CH245" s="238">
        <v>6.4724919093851137</v>
      </c>
      <c r="CI245" s="216" t="s">
        <v>700</v>
      </c>
      <c r="CJ245" s="237">
        <v>0</v>
      </c>
      <c r="CK245" s="253">
        <v>8.2799999999999994</v>
      </c>
      <c r="CL245" s="253">
        <v>4.3268000000000004</v>
      </c>
      <c r="CM245" s="254">
        <v>3.2434782608695657E-3</v>
      </c>
      <c r="CN245" s="237" t="s">
        <v>82</v>
      </c>
      <c r="CO245" s="242">
        <v>808.8</v>
      </c>
      <c r="CP245" s="255">
        <v>0.60629685157421287</v>
      </c>
      <c r="CV245" s="237">
        <v>1</v>
      </c>
      <c r="CW245" s="261" t="s">
        <v>678</v>
      </c>
      <c r="CX245" s="261" t="s">
        <v>678</v>
      </c>
      <c r="CY245" s="261" t="s">
        <v>678</v>
      </c>
      <c r="DB245" s="216" t="s">
        <v>681</v>
      </c>
      <c r="DC245" s="256"/>
      <c r="DD245" s="256">
        <v>0.8</v>
      </c>
      <c r="DE245" s="256">
        <v>-10</v>
      </c>
      <c r="DF245" s="256">
        <v>0.5</v>
      </c>
      <c r="DG245" s="256">
        <v>-2.2999999999999998</v>
      </c>
      <c r="DH245" s="257">
        <v>1</v>
      </c>
      <c r="DI245" s="257">
        <v>3.52</v>
      </c>
      <c r="DJ245" s="257">
        <v>9.68</v>
      </c>
      <c r="DK245" s="257">
        <v>13.2</v>
      </c>
      <c r="DL245" s="237" t="s">
        <v>682</v>
      </c>
      <c r="DP245" s="258" t="s">
        <v>682</v>
      </c>
      <c r="DQ245" s="258"/>
      <c r="DR245" s="258"/>
      <c r="DS245" s="258"/>
      <c r="DT245" s="258"/>
      <c r="DU245" s="237">
        <v>0</v>
      </c>
      <c r="DX245" s="247"/>
      <c r="DY245" s="247">
        <v>0</v>
      </c>
      <c r="EA245" s="237">
        <v>0</v>
      </c>
      <c r="ED245" s="237" t="s">
        <v>678</v>
      </c>
      <c r="EE245" s="208">
        <v>1</v>
      </c>
      <c r="EF245" s="237" t="s">
        <v>678</v>
      </c>
      <c r="EG245" s="216" t="s">
        <v>733</v>
      </c>
      <c r="EH245" s="246" t="s">
        <v>734</v>
      </c>
      <c r="EI245" s="216"/>
      <c r="EJ245" s="216" t="s">
        <v>529</v>
      </c>
      <c r="EK245" s="222" t="s">
        <v>682</v>
      </c>
      <c r="EL245" s="259">
        <v>2007</v>
      </c>
      <c r="EM245" s="260">
        <v>1050</v>
      </c>
      <c r="EN245" s="260">
        <v>16075</v>
      </c>
      <c r="EO245" s="260">
        <v>2995</v>
      </c>
      <c r="ER245" s="237" t="s">
        <v>705</v>
      </c>
      <c r="ES245" s="237" t="e">
        <v>#DIV/0!</v>
      </c>
      <c r="ET245" s="237">
        <v>2.8523809523809525</v>
      </c>
      <c r="EU245" s="661">
        <v>1</v>
      </c>
      <c r="EV245" s="661" t="s">
        <v>678</v>
      </c>
      <c r="EW245" s="661">
        <v>4</v>
      </c>
      <c r="EX245" s="661">
        <v>4</v>
      </c>
      <c r="EY245" s="660">
        <v>6.2068965517241377E-3</v>
      </c>
      <c r="EZ245" s="256">
        <v>37.318840579710148</v>
      </c>
      <c r="FA245" s="247">
        <v>9.4517958412098299E-2</v>
      </c>
      <c r="FB245" s="208">
        <v>3</v>
      </c>
      <c r="FC245" s="208">
        <v>5</v>
      </c>
      <c r="FD245" s="208">
        <v>4</v>
      </c>
      <c r="FE245" s="239" t="s">
        <v>678</v>
      </c>
      <c r="FF245" s="208"/>
      <c r="FG245" s="241">
        <v>1.2476370510396975E-2</v>
      </c>
      <c r="FH245" s="209">
        <v>0</v>
      </c>
      <c r="FI245" s="237" t="s">
        <v>678</v>
      </c>
      <c r="FJ245" s="208" t="s">
        <v>678</v>
      </c>
      <c r="FK245" s="208" t="s">
        <v>678</v>
      </c>
      <c r="FL245" s="217" t="s">
        <v>678</v>
      </c>
      <c r="FM245" s="208" t="s">
        <v>678</v>
      </c>
      <c r="FN245" s="208" t="s">
        <v>678</v>
      </c>
      <c r="FP245" s="247" t="s">
        <v>693</v>
      </c>
      <c r="FU245" s="208" t="s">
        <v>678</v>
      </c>
      <c r="FV245" s="208" t="s">
        <v>678</v>
      </c>
      <c r="FW245" s="208" t="s">
        <v>678</v>
      </c>
      <c r="FX245" s="208" t="s">
        <v>678</v>
      </c>
      <c r="FY245" s="208" t="s">
        <v>678</v>
      </c>
      <c r="FZ245" s="208" t="s">
        <v>678</v>
      </c>
      <c r="GA245" s="208" t="s">
        <v>678</v>
      </c>
      <c r="GB245" s="208" t="s">
        <v>678</v>
      </c>
      <c r="GC245" s="208" t="s">
        <v>678</v>
      </c>
      <c r="GD245" s="208" t="s">
        <v>678</v>
      </c>
      <c r="GE245" s="237" t="s">
        <v>678</v>
      </c>
      <c r="GF245" s="237" t="s">
        <v>678</v>
      </c>
      <c r="GG245" s="237" t="s">
        <v>678</v>
      </c>
      <c r="GH245" s="237" t="s">
        <v>678</v>
      </c>
      <c r="GJ245" s="947"/>
      <c r="GO245" s="662">
        <v>8242</v>
      </c>
      <c r="GP245" s="663" t="str">
        <f>VLOOKUP(GS245,'BD Comarcal'!$A$6:$AV$17,48,FALSE)</f>
        <v>07</v>
      </c>
      <c r="GQ245" s="567">
        <v>9</v>
      </c>
      <c r="GR245" s="256">
        <f t="shared" si="3"/>
        <v>1</v>
      </c>
      <c r="GS245" s="237" t="s">
        <v>82</v>
      </c>
    </row>
    <row r="246" spans="1:201" s="237" customFormat="1" ht="17.25" customHeight="1">
      <c r="A246" s="236" t="s">
        <v>1556</v>
      </c>
      <c r="C246" s="238"/>
      <c r="D246" s="238">
        <v>860</v>
      </c>
      <c r="E246" s="238">
        <v>357</v>
      </c>
      <c r="F246" s="239">
        <v>0.41511627906976745</v>
      </c>
      <c r="G246" s="238">
        <v>302</v>
      </c>
      <c r="H246" s="240">
        <v>120.23073920717785</v>
      </c>
      <c r="I246" s="239">
        <v>0.33678078209293516</v>
      </c>
      <c r="J246" s="238">
        <v>373</v>
      </c>
      <c r="K246" s="238">
        <v>75</v>
      </c>
      <c r="L246" s="238">
        <v>3</v>
      </c>
      <c r="M246" s="241">
        <v>3.4883720930232558E-3</v>
      </c>
      <c r="N246" s="238">
        <v>0</v>
      </c>
      <c r="O246" s="239">
        <v>0</v>
      </c>
      <c r="P246" s="237">
        <v>22</v>
      </c>
      <c r="Q246" s="237">
        <v>0</v>
      </c>
      <c r="R246" s="239">
        <v>0</v>
      </c>
      <c r="S246" s="238">
        <v>4340</v>
      </c>
      <c r="T246" s="436">
        <v>0</v>
      </c>
      <c r="U246" s="436">
        <v>0</v>
      </c>
      <c r="V246" s="436">
        <v>0</v>
      </c>
      <c r="W246" s="436">
        <v>0</v>
      </c>
      <c r="X246" s="238">
        <v>183</v>
      </c>
      <c r="Y246" s="237">
        <v>0.21970000000000001</v>
      </c>
      <c r="Z246" s="238">
        <v>3161</v>
      </c>
      <c r="AA246" s="238">
        <v>17662</v>
      </c>
      <c r="AB246" s="238">
        <v>107.92</v>
      </c>
      <c r="AC246" s="238">
        <v>0</v>
      </c>
      <c r="AD246" s="238">
        <v>436266.04</v>
      </c>
      <c r="AE246" s="238">
        <v>74645.950000000012</v>
      </c>
      <c r="AF246" s="238">
        <v>280082.46999999997</v>
      </c>
      <c r="AG246" s="238">
        <v>113121.72</v>
      </c>
      <c r="AH246" s="239">
        <v>0.40388718365701365</v>
      </c>
      <c r="AI246" s="247">
        <v>3.5973929999999998</v>
      </c>
      <c r="AJ246" s="242">
        <v>0.75341199999999997</v>
      </c>
      <c r="AK246" s="242">
        <v>8.7606046511627914E-2</v>
      </c>
      <c r="AL246" s="242" t="s">
        <v>678</v>
      </c>
      <c r="AM246" s="242" t="s">
        <v>678</v>
      </c>
      <c r="AN246" s="242">
        <v>10080.56</v>
      </c>
      <c r="AO246" s="238">
        <v>0</v>
      </c>
      <c r="AP246" s="243">
        <v>0</v>
      </c>
      <c r="AQ246" s="238"/>
      <c r="AR246" s="238">
        <v>3049.0452672958222</v>
      </c>
      <c r="AS246" s="238">
        <v>974.92401505178861</v>
      </c>
      <c r="AT246" s="238">
        <v>40479</v>
      </c>
      <c r="AU246" s="238">
        <v>217.4637641131597</v>
      </c>
      <c r="AV246" s="237">
        <v>1</v>
      </c>
      <c r="AW246" s="237">
        <v>0</v>
      </c>
      <c r="AX246" s="237">
        <v>1</v>
      </c>
      <c r="AY246" s="244" t="s">
        <v>726</v>
      </c>
      <c r="AZ246" s="244" t="s">
        <v>726</v>
      </c>
      <c r="BA246" s="237">
        <v>0</v>
      </c>
      <c r="BB246" s="245" t="s">
        <v>1188</v>
      </c>
      <c r="BC246" s="215" t="s">
        <v>1189</v>
      </c>
      <c r="BE246" s="237">
        <v>0</v>
      </c>
      <c r="BF246" s="237">
        <v>83</v>
      </c>
      <c r="BG246" s="246" t="s">
        <v>698</v>
      </c>
      <c r="BI246" s="239">
        <v>0.70588235294117652</v>
      </c>
      <c r="BJ246" s="239">
        <v>0.10294117647058823</v>
      </c>
      <c r="BK246" s="239">
        <v>0.19117647058823528</v>
      </c>
      <c r="BL246" s="239">
        <v>0</v>
      </c>
      <c r="BM246" s="247">
        <v>2.5147058823529411</v>
      </c>
      <c r="BN246" s="248">
        <v>0</v>
      </c>
      <c r="BO246" s="248">
        <v>0</v>
      </c>
      <c r="BP246" s="237">
        <v>0</v>
      </c>
      <c r="BQ246" s="237">
        <v>0</v>
      </c>
      <c r="BR246" s="248">
        <v>0</v>
      </c>
      <c r="BS246" s="237">
        <v>9</v>
      </c>
      <c r="BT246" s="237" t="s">
        <v>721</v>
      </c>
      <c r="BU246" s="249" t="s">
        <v>678</v>
      </c>
      <c r="BV246" s="249" t="s">
        <v>678</v>
      </c>
      <c r="BW246" s="249" t="s">
        <v>678</v>
      </c>
      <c r="BX246" s="249" t="s">
        <v>678</v>
      </c>
      <c r="BY246" s="249" t="s">
        <v>678</v>
      </c>
      <c r="BZ246" s="249" t="s">
        <v>678</v>
      </c>
      <c r="CA246" s="249" t="s">
        <v>678</v>
      </c>
      <c r="CB246" s="249" t="s">
        <v>678</v>
      </c>
      <c r="CC246" s="250" t="s">
        <v>678</v>
      </c>
      <c r="CD246" s="242" t="s">
        <v>678</v>
      </c>
      <c r="CE246" s="252" t="s">
        <v>678</v>
      </c>
      <c r="CF246" s="238">
        <v>79</v>
      </c>
      <c r="CG246" s="238">
        <v>6.6</v>
      </c>
      <c r="CH246" s="238">
        <v>3.6871508379888267</v>
      </c>
      <c r="CI246" s="216" t="s">
        <v>756</v>
      </c>
      <c r="CJ246" s="237">
        <v>1</v>
      </c>
      <c r="CK246" s="253">
        <v>6.39</v>
      </c>
      <c r="CL246" s="253">
        <v>0</v>
      </c>
      <c r="CM246" s="254">
        <v>0</v>
      </c>
      <c r="CN246" s="237" t="s">
        <v>88</v>
      </c>
      <c r="CO246" s="242">
        <v>62.42</v>
      </c>
      <c r="CP246" s="255">
        <v>7.2581395348837216E-2</v>
      </c>
      <c r="CW246" s="261" t="s">
        <v>678</v>
      </c>
      <c r="CX246" s="261" t="s">
        <v>678</v>
      </c>
      <c r="CY246" s="261" t="s">
        <v>678</v>
      </c>
      <c r="DB246" s="216"/>
      <c r="DC246" s="195" t="s">
        <v>1130</v>
      </c>
      <c r="DD246" s="256">
        <v>0.8</v>
      </c>
      <c r="DE246" s="256">
        <v>-10</v>
      </c>
      <c r="DF246" s="256">
        <v>0.5</v>
      </c>
      <c r="DG246" s="256">
        <v>-2.2999999999999998</v>
      </c>
      <c r="DH246" s="257">
        <v>1</v>
      </c>
      <c r="DI246" s="257">
        <v>0</v>
      </c>
      <c r="DJ246" s="257">
        <v>2.0499999999999998</v>
      </c>
      <c r="DK246" s="257">
        <v>2.0499999999999998</v>
      </c>
      <c r="DL246" s="237" t="s">
        <v>529</v>
      </c>
      <c r="DM246" s="237" t="s">
        <v>1557</v>
      </c>
      <c r="DN246" s="237" t="s">
        <v>713</v>
      </c>
      <c r="DP246" s="258" t="s">
        <v>682</v>
      </c>
      <c r="DQ246" s="258"/>
      <c r="DR246" s="258"/>
      <c r="DS246" s="258"/>
      <c r="DT246" s="258"/>
      <c r="DU246" s="237">
        <v>0</v>
      </c>
      <c r="DX246" s="247"/>
      <c r="DY246" s="247">
        <v>0</v>
      </c>
      <c r="EA246" s="237">
        <v>0</v>
      </c>
      <c r="ED246" s="237" t="s">
        <v>678</v>
      </c>
      <c r="EE246" s="208">
        <v>3</v>
      </c>
      <c r="EF246" s="237" t="s">
        <v>678</v>
      </c>
      <c r="EG246" s="216" t="s">
        <v>733</v>
      </c>
      <c r="EH246" s="246" t="s">
        <v>734</v>
      </c>
      <c r="EI246" s="216"/>
      <c r="EJ246" s="216" t="s">
        <v>529</v>
      </c>
      <c r="EK246" s="222" t="s">
        <v>682</v>
      </c>
      <c r="EL246" s="259">
        <v>2010</v>
      </c>
      <c r="EM246" s="263">
        <v>13155</v>
      </c>
      <c r="EN246" s="260">
        <v>5963</v>
      </c>
      <c r="EO246" s="260">
        <v>36119</v>
      </c>
      <c r="ER246" s="237" t="s">
        <v>705</v>
      </c>
      <c r="ES246" s="237" t="e">
        <v>#DIV/0!</v>
      </c>
      <c r="ET246" s="237">
        <v>2.7456480425693655</v>
      </c>
      <c r="EU246" s="661">
        <v>7</v>
      </c>
      <c r="EV246" s="661" t="s">
        <v>678</v>
      </c>
      <c r="EW246" s="661">
        <v>1</v>
      </c>
      <c r="EX246" s="661">
        <v>2</v>
      </c>
      <c r="EY246" s="660">
        <v>7.4302325581395347E-3</v>
      </c>
      <c r="EZ246" s="256">
        <v>28.012519561815338</v>
      </c>
      <c r="FA246" s="247">
        <v>0</v>
      </c>
      <c r="FB246" s="208">
        <v>2</v>
      </c>
      <c r="FC246" s="208">
        <v>2</v>
      </c>
      <c r="FD246" s="208">
        <v>1</v>
      </c>
      <c r="FE246" s="239">
        <v>0.84593837535014005</v>
      </c>
      <c r="FF246" s="208"/>
      <c r="FG246" s="241">
        <v>5.7422969187675066E-3</v>
      </c>
      <c r="FH246" s="209">
        <v>0</v>
      </c>
      <c r="FI246" s="237" t="s">
        <v>678</v>
      </c>
      <c r="FJ246" s="208" t="s">
        <v>678</v>
      </c>
      <c r="FK246" s="208" t="s">
        <v>678</v>
      </c>
      <c r="FL246" s="217" t="s">
        <v>678</v>
      </c>
      <c r="FM246" s="208" t="s">
        <v>678</v>
      </c>
      <c r="FN246" s="208" t="s">
        <v>678</v>
      </c>
      <c r="FP246" s="247" t="s">
        <v>693</v>
      </c>
      <c r="FU246" s="208" t="s">
        <v>678</v>
      </c>
      <c r="FV246" s="208" t="s">
        <v>678</v>
      </c>
      <c r="FW246" s="208" t="s">
        <v>678</v>
      </c>
      <c r="FX246" s="208" t="s">
        <v>678</v>
      </c>
      <c r="FY246" s="208" t="s">
        <v>678</v>
      </c>
      <c r="FZ246" s="208" t="s">
        <v>678</v>
      </c>
      <c r="GA246" s="208" t="s">
        <v>678</v>
      </c>
      <c r="GB246" s="208" t="s">
        <v>678</v>
      </c>
      <c r="GC246" s="208" t="s">
        <v>678</v>
      </c>
      <c r="GD246" s="208" t="s">
        <v>678</v>
      </c>
      <c r="GE246" s="237" t="s">
        <v>678</v>
      </c>
      <c r="GF246" s="237" t="s">
        <v>678</v>
      </c>
      <c r="GG246" s="237" t="s">
        <v>678</v>
      </c>
      <c r="GH246" s="237" t="s">
        <v>678</v>
      </c>
      <c r="GJ246" s="947"/>
      <c r="GO246" s="662">
        <v>8243</v>
      </c>
      <c r="GP246" s="663" t="str">
        <f>VLOOKUP(GS246,'BD Comarcal'!$A$6:$AV$17,48,FALSE)</f>
        <v>24</v>
      </c>
      <c r="GQ246" s="564">
        <v>0</v>
      </c>
      <c r="GR246" s="256">
        <f t="shared" si="3"/>
        <v>0</v>
      </c>
      <c r="GS246" s="237" t="s">
        <v>88</v>
      </c>
    </row>
    <row r="247" spans="1:201" s="237" customFormat="1" ht="17.25" customHeight="1">
      <c r="A247" s="236" t="s">
        <v>1558</v>
      </c>
      <c r="C247" s="238"/>
      <c r="D247" s="238">
        <v>752</v>
      </c>
      <c r="E247" s="238">
        <v>214</v>
      </c>
      <c r="F247" s="239">
        <v>0.28457446808510639</v>
      </c>
      <c r="G247" s="238">
        <v>170</v>
      </c>
      <c r="H247" s="240">
        <v>105.05210603634775</v>
      </c>
      <c r="I247" s="239">
        <v>0.49089769175863435</v>
      </c>
      <c r="J247" s="238">
        <v>156</v>
      </c>
      <c r="K247" s="238">
        <v>2</v>
      </c>
      <c r="L247" s="238">
        <v>48</v>
      </c>
      <c r="M247" s="241">
        <v>6.3829787234042548E-2</v>
      </c>
      <c r="N247" s="238">
        <v>0</v>
      </c>
      <c r="O247" s="239">
        <v>0</v>
      </c>
      <c r="P247" s="237">
        <v>0</v>
      </c>
      <c r="Q247" s="237">
        <v>0</v>
      </c>
      <c r="R247" s="239">
        <v>0</v>
      </c>
      <c r="S247" s="238">
        <v>0</v>
      </c>
      <c r="T247" s="436">
        <v>0</v>
      </c>
      <c r="U247" s="436">
        <v>0</v>
      </c>
      <c r="V247" s="436">
        <v>0</v>
      </c>
      <c r="W247" s="436">
        <v>0</v>
      </c>
      <c r="X247" s="238">
        <v>8073</v>
      </c>
      <c r="Y247" s="237">
        <v>0.1168</v>
      </c>
      <c r="Z247" s="238">
        <v>127435</v>
      </c>
      <c r="AA247" s="238">
        <v>15886</v>
      </c>
      <c r="AB247" s="238">
        <v>97.06</v>
      </c>
      <c r="AC247" s="238">
        <v>807</v>
      </c>
      <c r="AD247" s="238">
        <v>7405578.129999999</v>
      </c>
      <c r="AE247" s="238">
        <v>1306857.1799999997</v>
      </c>
      <c r="AF247" s="238">
        <v>7043513.5800000001</v>
      </c>
      <c r="AG247" s="238">
        <v>1049315.0900000001</v>
      </c>
      <c r="AH247" s="239">
        <v>0.14897608673312163</v>
      </c>
      <c r="AI247" s="247">
        <v>148.55258000000001</v>
      </c>
      <c r="AJ247" s="242">
        <v>225.58204699999999</v>
      </c>
      <c r="AK247" s="242">
        <v>29.997612632978722</v>
      </c>
      <c r="AL247" s="242">
        <v>85.431670999999994</v>
      </c>
      <c r="AM247" s="242">
        <v>11.360594547872338</v>
      </c>
      <c r="AN247" s="242">
        <v>19306.2</v>
      </c>
      <c r="AO247" s="238">
        <v>4948.83</v>
      </c>
      <c r="AP247" s="243">
        <v>14</v>
      </c>
      <c r="AQ247" s="238"/>
      <c r="AR247" s="238">
        <v>1154.1926782006819</v>
      </c>
      <c r="AS247" s="238">
        <v>1835.775049976317</v>
      </c>
      <c r="AT247" s="238">
        <v>426140.33333333331</v>
      </c>
      <c r="AU247" s="238">
        <v>236.75227715912132</v>
      </c>
      <c r="AV247" s="237">
        <v>1</v>
      </c>
      <c r="AW247" s="237">
        <v>1</v>
      </c>
      <c r="AX247" s="237">
        <v>1</v>
      </c>
      <c r="AY247" s="244" t="s">
        <v>673</v>
      </c>
      <c r="AZ247" s="244" t="s">
        <v>717</v>
      </c>
      <c r="BA247" s="237">
        <v>2011</v>
      </c>
      <c r="BB247" s="245" t="s">
        <v>826</v>
      </c>
      <c r="BC247" s="215" t="s">
        <v>827</v>
      </c>
      <c r="BD247" s="237">
        <v>1</v>
      </c>
      <c r="BE247" s="237">
        <v>125</v>
      </c>
      <c r="BF247" s="237">
        <v>102</v>
      </c>
      <c r="BG247" s="246" t="s">
        <v>676</v>
      </c>
      <c r="BI247" s="239">
        <v>0.3241575700047461</v>
      </c>
      <c r="BJ247" s="239">
        <v>6.9530137636449926E-2</v>
      </c>
      <c r="BK247" s="239">
        <v>0.56739439962031324</v>
      </c>
      <c r="BL247" s="239">
        <v>3.8917892738490743E-2</v>
      </c>
      <c r="BM247" s="247">
        <v>1.6789273849074513</v>
      </c>
      <c r="BN247" s="248">
        <v>1</v>
      </c>
      <c r="BO247" s="248">
        <v>0</v>
      </c>
      <c r="BP247" s="237">
        <v>0</v>
      </c>
      <c r="BQ247" s="237">
        <v>0</v>
      </c>
      <c r="BR247" s="248">
        <v>1</v>
      </c>
      <c r="BS247" s="237">
        <v>4.5999999999999996</v>
      </c>
      <c r="BT247" s="237" t="s">
        <v>1094</v>
      </c>
      <c r="BU247" s="249">
        <v>429</v>
      </c>
      <c r="BV247" s="249">
        <v>572</v>
      </c>
      <c r="BW247" s="249">
        <v>3776</v>
      </c>
      <c r="BX247" s="249">
        <v>1283</v>
      </c>
      <c r="BY247" s="249">
        <v>5.32258064516129</v>
      </c>
      <c r="BZ247" s="249">
        <v>7.096774193548387</v>
      </c>
      <c r="CA247" s="249">
        <v>46.848635235732011</v>
      </c>
      <c r="CB247" s="249">
        <v>15.918114143920596</v>
      </c>
      <c r="CC247" s="250">
        <v>77.009925558312659</v>
      </c>
      <c r="CD247" s="242">
        <v>-572</v>
      </c>
      <c r="CE247" s="252">
        <v>92.903225806451616</v>
      </c>
      <c r="CF247" s="238">
        <v>3032</v>
      </c>
      <c r="CG247" s="238">
        <v>452</v>
      </c>
      <c r="CH247" s="238">
        <v>5.6079404466501241</v>
      </c>
      <c r="CI247" s="216" t="s">
        <v>679</v>
      </c>
      <c r="CJ247" s="237">
        <v>0</v>
      </c>
      <c r="CK247" s="253">
        <v>85.49</v>
      </c>
      <c r="CL247" s="253">
        <v>156.53290000000001</v>
      </c>
      <c r="CM247" s="254">
        <v>0.2081554521276596</v>
      </c>
      <c r="CN247" s="237" t="s">
        <v>90</v>
      </c>
      <c r="CO247" s="242"/>
      <c r="CP247" s="255">
        <v>0</v>
      </c>
      <c r="CV247" s="237">
        <v>7</v>
      </c>
      <c r="CW247" s="194">
        <v>1.867</v>
      </c>
      <c r="CX247" s="194" t="s">
        <v>680</v>
      </c>
      <c r="CY247" s="194">
        <v>2.5019999999999998</v>
      </c>
      <c r="DB247" s="216" t="s">
        <v>804</v>
      </c>
      <c r="DC247" s="195" t="s">
        <v>977</v>
      </c>
      <c r="DD247" s="256">
        <v>0.7</v>
      </c>
      <c r="DE247" s="256">
        <v>-6.5</v>
      </c>
      <c r="DF247" s="256">
        <v>0.7</v>
      </c>
      <c r="DG247" s="256">
        <v>-2.2000000000000002</v>
      </c>
      <c r="DL247" s="237" t="s">
        <v>682</v>
      </c>
      <c r="DP247" s="258" t="s">
        <v>682</v>
      </c>
      <c r="DQ247" s="258"/>
      <c r="DR247" s="258"/>
      <c r="DS247" s="258"/>
      <c r="DT247" s="258"/>
      <c r="DU247" s="237">
        <v>0</v>
      </c>
      <c r="DX247" s="247"/>
      <c r="DY247" s="247">
        <v>0</v>
      </c>
      <c r="EA247" s="237">
        <v>1</v>
      </c>
      <c r="EB247" s="237" t="s">
        <v>979</v>
      </c>
      <c r="ED247" s="237" t="s">
        <v>678</v>
      </c>
      <c r="EE247" s="208">
        <v>1</v>
      </c>
      <c r="EF247" s="237" t="s">
        <v>678</v>
      </c>
      <c r="EG247" s="216" t="s">
        <v>689</v>
      </c>
      <c r="EH247" s="246" t="s">
        <v>690</v>
      </c>
      <c r="EI247" s="216"/>
      <c r="EJ247" s="216" t="s">
        <v>529</v>
      </c>
      <c r="EK247" s="222" t="s">
        <v>529</v>
      </c>
      <c r="EL247" s="259">
        <v>1976</v>
      </c>
      <c r="EM247" s="263">
        <v>278325</v>
      </c>
      <c r="EN247" s="260">
        <v>302691</v>
      </c>
      <c r="EO247" s="260">
        <v>136686</v>
      </c>
      <c r="ER247" s="237" t="s">
        <v>705</v>
      </c>
      <c r="ES247" s="237">
        <v>8060</v>
      </c>
      <c r="ET247" s="237">
        <v>0.4911021288062517</v>
      </c>
      <c r="EU247" s="661">
        <v>1</v>
      </c>
      <c r="EV247" s="661">
        <v>1</v>
      </c>
      <c r="EW247" s="661">
        <v>4</v>
      </c>
      <c r="EX247" s="661">
        <v>6</v>
      </c>
      <c r="EY247" s="660">
        <v>0.11368351063829786</v>
      </c>
      <c r="EZ247" s="256">
        <v>94.280032752368697</v>
      </c>
      <c r="FA247" s="247">
        <v>3.2710280373831777</v>
      </c>
      <c r="FB247" s="208">
        <v>3</v>
      </c>
      <c r="FC247" s="208">
        <v>1</v>
      </c>
      <c r="FD247" s="208">
        <v>8</v>
      </c>
      <c r="FE247" s="239">
        <v>0.79439252336448596</v>
      </c>
      <c r="FF247" s="208"/>
      <c r="FG247" s="241">
        <v>0</v>
      </c>
      <c r="FH247" s="209">
        <v>0</v>
      </c>
      <c r="FI247" s="237" t="s">
        <v>678</v>
      </c>
      <c r="FJ247" s="208" t="s">
        <v>678</v>
      </c>
      <c r="FK247" s="208" t="s">
        <v>678</v>
      </c>
      <c r="FL247" s="217" t="s">
        <v>678</v>
      </c>
      <c r="FM247" s="208" t="s">
        <v>678</v>
      </c>
      <c r="FN247" s="208" t="s">
        <v>678</v>
      </c>
      <c r="FP247" s="247" t="s">
        <v>693</v>
      </c>
      <c r="FU247" s="208" t="s">
        <v>678</v>
      </c>
      <c r="FV247" s="208" t="s">
        <v>678</v>
      </c>
      <c r="FW247" s="208" t="s">
        <v>678</v>
      </c>
      <c r="FX247" s="208" t="s">
        <v>678</v>
      </c>
      <c r="FY247" s="208" t="s">
        <v>678</v>
      </c>
      <c r="FZ247" s="208" t="s">
        <v>678</v>
      </c>
      <c r="GA247" s="208" t="s">
        <v>678</v>
      </c>
      <c r="GB247" s="208" t="s">
        <v>678</v>
      </c>
      <c r="GC247" s="208" t="s">
        <v>678</v>
      </c>
      <c r="GD247" s="208" t="s">
        <v>678</v>
      </c>
      <c r="GE247" s="237" t="s">
        <v>678</v>
      </c>
      <c r="GF247" s="237" t="s">
        <v>678</v>
      </c>
      <c r="GG247" s="237" t="s">
        <v>678</v>
      </c>
      <c r="GH247" s="237" t="s">
        <v>678</v>
      </c>
      <c r="GJ247" s="947">
        <v>172</v>
      </c>
      <c r="GK247" s="320">
        <v>5.0000000000000001E-3</v>
      </c>
      <c r="GL247" s="320">
        <v>0.129</v>
      </c>
      <c r="GM247" s="320">
        <v>0.11799999999999999</v>
      </c>
      <c r="GN247" s="320">
        <v>0.748</v>
      </c>
      <c r="GO247" s="662">
        <v>8244</v>
      </c>
      <c r="GP247" s="663" t="str">
        <f>VLOOKUP(GS247,'BD Comarcal'!$A$6:$AV$17,48,FALSE)</f>
        <v>11</v>
      </c>
      <c r="GQ247" s="564">
        <v>40</v>
      </c>
      <c r="GR247" s="256">
        <f t="shared" si="3"/>
        <v>0</v>
      </c>
      <c r="GS247" s="237" t="s">
        <v>90</v>
      </c>
    </row>
    <row r="248" spans="1:201" s="237" customFormat="1" ht="17.25" customHeight="1">
      <c r="A248" s="236" t="s">
        <v>1559</v>
      </c>
      <c r="C248" s="238"/>
      <c r="D248" s="238">
        <v>705</v>
      </c>
      <c r="E248" s="238">
        <v>261</v>
      </c>
      <c r="F248" s="239">
        <v>0.37021276595744679</v>
      </c>
      <c r="G248" s="238">
        <v>46</v>
      </c>
      <c r="H248" s="240">
        <v>0</v>
      </c>
      <c r="I248" s="239">
        <v>0</v>
      </c>
      <c r="J248" s="238">
        <v>13</v>
      </c>
      <c r="K248" s="238">
        <v>6</v>
      </c>
      <c r="L248" s="238" t="s">
        <v>678</v>
      </c>
      <c r="M248" s="241" t="s">
        <v>678</v>
      </c>
      <c r="N248" s="238" t="s">
        <v>678</v>
      </c>
      <c r="O248" s="239" t="s">
        <v>678</v>
      </c>
      <c r="P248" s="237" t="s">
        <v>678</v>
      </c>
      <c r="Q248" s="237" t="s">
        <v>678</v>
      </c>
      <c r="R248" s="239" t="s">
        <v>678</v>
      </c>
      <c r="S248" s="238" t="s">
        <v>678</v>
      </c>
      <c r="T248" s="436">
        <v>0</v>
      </c>
      <c r="U248" s="436">
        <v>0</v>
      </c>
      <c r="V248" s="436">
        <v>374</v>
      </c>
      <c r="W248" s="436">
        <v>374</v>
      </c>
      <c r="X248" s="238">
        <v>117153</v>
      </c>
      <c r="Y248" s="237">
        <v>0.18779999999999999</v>
      </c>
      <c r="Z248" s="238">
        <v>1574421</v>
      </c>
      <c r="AA248" s="238">
        <v>13462</v>
      </c>
      <c r="AB248" s="238">
        <v>82.26</v>
      </c>
      <c r="AC248" s="238">
        <v>82656</v>
      </c>
      <c r="AD248" s="238">
        <v>105455419.29000001</v>
      </c>
      <c r="AE248" s="238">
        <v>18328453.290000007</v>
      </c>
      <c r="AF248" s="238">
        <v>92705211.140000001</v>
      </c>
      <c r="AG248" s="238">
        <v>4148472.04</v>
      </c>
      <c r="AH248" s="239">
        <v>4.4749070618426513E-2</v>
      </c>
      <c r="AI248" s="247">
        <v>426.01871499999999</v>
      </c>
      <c r="AJ248" s="242">
        <v>204.82599200000001</v>
      </c>
      <c r="AK248" s="242">
        <v>29.053332198581561</v>
      </c>
      <c r="AL248" s="242" t="s">
        <v>678</v>
      </c>
      <c r="AM248" s="242" t="s">
        <v>678</v>
      </c>
      <c r="AN248" s="242">
        <v>62063.47</v>
      </c>
      <c r="AO248" s="238">
        <v>7956.29</v>
      </c>
      <c r="AP248" s="243">
        <v>20</v>
      </c>
      <c r="AQ248" s="238"/>
      <c r="AR248" s="238">
        <v>820.09581297047828</v>
      </c>
      <c r="AS248" s="238">
        <v>1033.0136122905012</v>
      </c>
      <c r="AT248" s="238">
        <v>4972658.333333333</v>
      </c>
      <c r="AU248" s="238">
        <v>209.34388537910132</v>
      </c>
      <c r="AV248" s="237">
        <v>1</v>
      </c>
      <c r="AW248" s="237">
        <v>0</v>
      </c>
      <c r="AX248" s="237">
        <v>1</v>
      </c>
      <c r="AY248" s="244" t="s">
        <v>673</v>
      </c>
      <c r="AZ248" s="244" t="s">
        <v>682</v>
      </c>
      <c r="BA248" s="237">
        <v>2009</v>
      </c>
      <c r="BB248" s="245" t="s">
        <v>678</v>
      </c>
      <c r="BC248" s="215" t="s">
        <v>678</v>
      </c>
      <c r="BD248" s="237">
        <v>1</v>
      </c>
      <c r="BE248" s="237">
        <v>199</v>
      </c>
      <c r="BF248" s="237">
        <v>33</v>
      </c>
      <c r="BG248" s="246" t="s">
        <v>676</v>
      </c>
      <c r="BI248" s="239">
        <v>0.7189298002655512</v>
      </c>
      <c r="BJ248" s="239">
        <v>5.5622974458546894E-2</v>
      </c>
      <c r="BK248" s="239">
        <v>0.2024185143411904</v>
      </c>
      <c r="BL248" s="239">
        <v>2.3028710934711535E-2</v>
      </c>
      <c r="BM248" s="247">
        <v>2.4704538640549374</v>
      </c>
      <c r="BN248" s="248">
        <v>0</v>
      </c>
      <c r="BO248" s="248">
        <v>6</v>
      </c>
      <c r="BP248" s="237">
        <v>1</v>
      </c>
      <c r="BQ248" s="237">
        <v>1</v>
      </c>
      <c r="BR248" s="248">
        <v>8</v>
      </c>
      <c r="BS248" s="237">
        <v>0</v>
      </c>
      <c r="BU248" s="249">
        <v>17387</v>
      </c>
      <c r="BV248" s="249">
        <v>16315</v>
      </c>
      <c r="BW248" s="249">
        <v>56079</v>
      </c>
      <c r="BX248" s="249">
        <v>10067</v>
      </c>
      <c r="BY248" s="249">
        <v>14.485665964058686</v>
      </c>
      <c r="BZ248" s="249">
        <v>13.592548467453698</v>
      </c>
      <c r="CA248" s="249">
        <v>46.721209041148391</v>
      </c>
      <c r="CB248" s="249">
        <v>8.3871397745544822</v>
      </c>
      <c r="CC248" s="250">
        <v>117.36330386823184</v>
      </c>
      <c r="CD248" s="242">
        <v>-13770</v>
      </c>
      <c r="CE248" s="252">
        <v>88.527772454990043</v>
      </c>
      <c r="CF248" s="238">
        <v>48515</v>
      </c>
      <c r="CG248" s="238">
        <v>12333.5</v>
      </c>
      <c r="CH248" s="238">
        <v>10.27543343691941</v>
      </c>
      <c r="CI248" s="216" t="s">
        <v>679</v>
      </c>
      <c r="CJ248" s="237">
        <v>0</v>
      </c>
      <c r="CK248" s="253">
        <v>403.9</v>
      </c>
      <c r="CL248" s="253">
        <v>19.239999999999998</v>
      </c>
      <c r="CM248" s="254">
        <v>2.7290780141843968E-2</v>
      </c>
      <c r="CN248" s="237" t="s">
        <v>83</v>
      </c>
      <c r="CO248" s="242"/>
      <c r="CP248" s="255">
        <v>0</v>
      </c>
      <c r="CV248" s="237">
        <v>16</v>
      </c>
      <c r="CW248" s="194">
        <v>1.867</v>
      </c>
      <c r="CX248" s="194" t="s">
        <v>680</v>
      </c>
      <c r="CY248" s="194">
        <v>2.5019999999999998</v>
      </c>
      <c r="CZ248" s="237" t="s">
        <v>529</v>
      </c>
      <c r="DA248" s="237" t="s">
        <v>1560</v>
      </c>
      <c r="DB248" s="216" t="s">
        <v>804</v>
      </c>
      <c r="DC248" s="195" t="s">
        <v>977</v>
      </c>
      <c r="DD248" s="256">
        <v>0.7</v>
      </c>
      <c r="DE248" s="256">
        <v>-6.5</v>
      </c>
      <c r="DF248" s="256">
        <v>0.7</v>
      </c>
      <c r="DG248" s="256">
        <v>-2.2000000000000002</v>
      </c>
      <c r="DH248" s="257">
        <v>6</v>
      </c>
      <c r="DI248" s="257">
        <v>4.6100000000000003</v>
      </c>
      <c r="DJ248" s="257">
        <v>50.36</v>
      </c>
      <c r="DK248" s="257">
        <v>54.97</v>
      </c>
      <c r="DL248" s="237" t="s">
        <v>682</v>
      </c>
      <c r="DP248" s="258" t="s">
        <v>682</v>
      </c>
      <c r="DQ248" s="258"/>
      <c r="DR248" s="258"/>
      <c r="DS248" s="258"/>
      <c r="DT248" s="258"/>
      <c r="DU248" s="237">
        <v>0</v>
      </c>
      <c r="DX248" s="247"/>
      <c r="DY248" s="247">
        <v>0</v>
      </c>
      <c r="EA248" s="237">
        <v>1</v>
      </c>
      <c r="EB248" s="237" t="s">
        <v>1225</v>
      </c>
      <c r="ED248" s="237" t="s">
        <v>678</v>
      </c>
      <c r="EE248" s="208">
        <v>4</v>
      </c>
      <c r="EF248" s="237" t="s">
        <v>678</v>
      </c>
      <c r="EG248" s="216" t="s">
        <v>689</v>
      </c>
      <c r="EH248" s="246" t="s">
        <v>690</v>
      </c>
      <c r="EI248" s="216" t="s">
        <v>691</v>
      </c>
      <c r="EJ248" s="216" t="s">
        <v>806</v>
      </c>
      <c r="EK248" s="222" t="s">
        <v>529</v>
      </c>
      <c r="EL248" s="259">
        <v>1976</v>
      </c>
      <c r="EM248" s="263">
        <v>278325</v>
      </c>
      <c r="EN248" s="260">
        <v>3938077</v>
      </c>
      <c r="EO248" s="260">
        <v>1240952</v>
      </c>
      <c r="ER248" s="237" t="s">
        <v>705</v>
      </c>
      <c r="ES248" s="237">
        <v>15003.625</v>
      </c>
      <c r="ET248" s="237">
        <v>4.4586436719662261</v>
      </c>
      <c r="EU248" s="661">
        <v>3</v>
      </c>
      <c r="EV248" s="661">
        <v>9</v>
      </c>
      <c r="EW248" s="661" t="s">
        <v>678</v>
      </c>
      <c r="EX248" s="661">
        <v>5</v>
      </c>
      <c r="EY248" s="660">
        <v>0.57290780141843967</v>
      </c>
      <c r="EZ248" s="256">
        <v>297.17504332755635</v>
      </c>
      <c r="FA248" s="247">
        <v>6.1302681992337167</v>
      </c>
      <c r="FB248" s="208" t="s">
        <v>678</v>
      </c>
      <c r="FC248" s="208" t="s">
        <v>678</v>
      </c>
      <c r="FD248" s="208">
        <v>4</v>
      </c>
      <c r="FE248" s="239">
        <v>0.17624521072796934</v>
      </c>
      <c r="FF248" s="208"/>
      <c r="FG248" s="241">
        <v>0.21061302681992336</v>
      </c>
      <c r="FH248" s="209">
        <v>0</v>
      </c>
      <c r="FI248" s="237" t="s">
        <v>678</v>
      </c>
      <c r="FJ248" s="208" t="s">
        <v>678</v>
      </c>
      <c r="FK248" s="208" t="s">
        <v>678</v>
      </c>
      <c r="FL248" s="217" t="s">
        <v>678</v>
      </c>
      <c r="FM248" s="208" t="s">
        <v>678</v>
      </c>
      <c r="FN248" s="208" t="s">
        <v>678</v>
      </c>
      <c r="FP248" s="247" t="s">
        <v>693</v>
      </c>
      <c r="FU248" s="208" t="s">
        <v>678</v>
      </c>
      <c r="FV248" s="208" t="s">
        <v>678</v>
      </c>
      <c r="FW248" s="208" t="s">
        <v>678</v>
      </c>
      <c r="FX248" s="208" t="s">
        <v>678</v>
      </c>
      <c r="FY248" s="208" t="s">
        <v>678</v>
      </c>
      <c r="FZ248" s="208" t="s">
        <v>678</v>
      </c>
      <c r="GA248" s="208" t="s">
        <v>678</v>
      </c>
      <c r="GB248" s="208" t="s">
        <v>678</v>
      </c>
      <c r="GC248" s="208" t="s">
        <v>678</v>
      </c>
      <c r="GD248" s="208" t="s">
        <v>678</v>
      </c>
      <c r="GE248" s="237" t="s">
        <v>678</v>
      </c>
      <c r="GF248" s="237" t="s">
        <v>678</v>
      </c>
      <c r="GG248" s="237" t="s">
        <v>678</v>
      </c>
      <c r="GH248" s="237" t="s">
        <v>678</v>
      </c>
      <c r="GJ248" s="947">
        <v>1325</v>
      </c>
      <c r="GK248" s="320">
        <v>0</v>
      </c>
      <c r="GL248" s="320">
        <v>5.2999999999999999E-2</v>
      </c>
      <c r="GM248" s="320">
        <v>6.2E-2</v>
      </c>
      <c r="GN248" s="320">
        <v>0.88500000000000001</v>
      </c>
      <c r="GO248" s="662">
        <v>8245</v>
      </c>
      <c r="GP248" s="663" t="str">
        <f>VLOOKUP(GS248,'BD Comarcal'!$A$6:$AV$17,48,FALSE)</f>
        <v>13</v>
      </c>
      <c r="GQ248" s="564">
        <v>869</v>
      </c>
      <c r="GR248" s="256">
        <f t="shared" si="3"/>
        <v>1</v>
      </c>
      <c r="GS248" s="237" t="s">
        <v>83</v>
      </c>
    </row>
    <row r="249" spans="1:201" s="237" customFormat="1" ht="17.25" customHeight="1">
      <c r="A249" s="236" t="s">
        <v>1561</v>
      </c>
      <c r="C249" s="238"/>
      <c r="D249" s="238">
        <v>700</v>
      </c>
      <c r="E249" s="238">
        <v>63</v>
      </c>
      <c r="F249" s="239">
        <v>0.09</v>
      </c>
      <c r="G249" s="238">
        <v>55</v>
      </c>
      <c r="H249" s="240">
        <v>69.223795097727418</v>
      </c>
      <c r="I249" s="239">
        <v>1</v>
      </c>
      <c r="J249" s="238">
        <v>540</v>
      </c>
      <c r="K249" s="238">
        <v>118</v>
      </c>
      <c r="L249" s="238">
        <v>41</v>
      </c>
      <c r="M249" s="241">
        <v>5.8571428571428573E-2</v>
      </c>
      <c r="N249" s="238">
        <v>0</v>
      </c>
      <c r="O249" s="239">
        <v>0</v>
      </c>
      <c r="P249" s="237">
        <v>24</v>
      </c>
      <c r="Q249" s="237">
        <v>0</v>
      </c>
      <c r="R249" s="239">
        <v>0</v>
      </c>
      <c r="S249" s="238">
        <v>3059</v>
      </c>
      <c r="T249" s="436">
        <v>315</v>
      </c>
      <c r="U249" s="436">
        <v>40</v>
      </c>
      <c r="V249" s="436">
        <v>42</v>
      </c>
      <c r="W249" s="436">
        <v>397</v>
      </c>
      <c r="X249" s="238">
        <v>2246</v>
      </c>
      <c r="Y249" s="237">
        <v>0.1608</v>
      </c>
      <c r="Z249" s="238">
        <v>38927</v>
      </c>
      <c r="AA249" s="238">
        <v>17662</v>
      </c>
      <c r="AB249" s="238">
        <v>107.92</v>
      </c>
      <c r="AC249" s="238">
        <v>92</v>
      </c>
      <c r="AD249" s="238">
        <v>1756822.6099999999</v>
      </c>
      <c r="AE249" s="238">
        <v>465119.23000000021</v>
      </c>
      <c r="AF249" s="238">
        <v>1517051.95</v>
      </c>
      <c r="AG249" s="238">
        <v>251829.44</v>
      </c>
      <c r="AH249" s="239">
        <v>0.16599921973667414</v>
      </c>
      <c r="AI249" s="247">
        <v>40.884647000000001</v>
      </c>
      <c r="AJ249" s="242">
        <v>7.3645129999999996</v>
      </c>
      <c r="AK249" s="242">
        <v>1.0520732857142856</v>
      </c>
      <c r="AL249" s="242">
        <v>2.9026380000000001</v>
      </c>
      <c r="AM249" s="242">
        <v>0.41466257142857144</v>
      </c>
      <c r="AN249" s="242">
        <v>18159.169999999998</v>
      </c>
      <c r="AO249" s="238">
        <v>2575.33</v>
      </c>
      <c r="AP249" s="243">
        <v>7</v>
      </c>
      <c r="AQ249" s="238"/>
      <c r="AR249" s="238">
        <v>1458.458757046649</v>
      </c>
      <c r="AS249" s="238">
        <v>2288.7634048830751</v>
      </c>
      <c r="AT249" s="238">
        <v>601530.66666666663</v>
      </c>
      <c r="AU249" s="238">
        <v>221.78843790257608</v>
      </c>
      <c r="AV249" s="237">
        <v>1</v>
      </c>
      <c r="AW249" s="237">
        <v>0</v>
      </c>
      <c r="AX249" s="237">
        <v>1</v>
      </c>
      <c r="AY249" s="244" t="s">
        <v>695</v>
      </c>
      <c r="AZ249" s="244" t="s">
        <v>673</v>
      </c>
      <c r="BA249" s="237">
        <v>2016</v>
      </c>
      <c r="BB249" s="245" t="s">
        <v>887</v>
      </c>
      <c r="BC249" s="215" t="s">
        <v>888</v>
      </c>
      <c r="BE249" s="237">
        <v>0</v>
      </c>
      <c r="BF249" s="237">
        <v>83</v>
      </c>
      <c r="BG249" s="246" t="s">
        <v>698</v>
      </c>
      <c r="BI249" s="239">
        <v>0.39040000000000002</v>
      </c>
      <c r="BJ249" s="239">
        <v>0.14879999999999999</v>
      </c>
      <c r="BK249" s="239">
        <v>0.42480000000000001</v>
      </c>
      <c r="BL249" s="239">
        <v>3.5999999999999997E-2</v>
      </c>
      <c r="BM249" s="247">
        <v>1.8935999999999999</v>
      </c>
      <c r="BN249" s="248">
        <v>0</v>
      </c>
      <c r="BO249" s="248">
        <v>1</v>
      </c>
      <c r="BP249" s="237">
        <v>0</v>
      </c>
      <c r="BQ249" s="237">
        <v>0</v>
      </c>
      <c r="BR249" s="248">
        <v>1</v>
      </c>
      <c r="BS249" s="237">
        <v>10</v>
      </c>
      <c r="BT249" s="237" t="s">
        <v>815</v>
      </c>
      <c r="BU249" s="249">
        <v>234</v>
      </c>
      <c r="BV249" s="249">
        <v>247</v>
      </c>
      <c r="BW249" s="249" t="s">
        <v>678</v>
      </c>
      <c r="BX249" s="249" t="s">
        <v>678</v>
      </c>
      <c r="BY249" s="249">
        <v>10.427807486631016</v>
      </c>
      <c r="BZ249" s="249">
        <v>11.007130124777184</v>
      </c>
      <c r="CA249" s="249" t="s">
        <v>678</v>
      </c>
      <c r="CB249" s="249" t="s">
        <v>678</v>
      </c>
      <c r="CC249" s="250" t="s">
        <v>678</v>
      </c>
      <c r="CD249" s="242" t="s">
        <v>678</v>
      </c>
      <c r="CE249" s="252" t="s">
        <v>678</v>
      </c>
      <c r="CF249" s="238">
        <v>881</v>
      </c>
      <c r="CG249" s="238">
        <v>143.5</v>
      </c>
      <c r="CH249" s="238">
        <v>6.3948306595365416</v>
      </c>
      <c r="CI249" s="216" t="s">
        <v>722</v>
      </c>
      <c r="CJ249" s="237">
        <v>1</v>
      </c>
      <c r="CK249" s="253">
        <v>74.069999999999993</v>
      </c>
      <c r="CL249" s="253">
        <v>16.232099999999999</v>
      </c>
      <c r="CM249" s="254">
        <v>2.3188714285714285E-2</v>
      </c>
      <c r="CN249" s="237" t="s">
        <v>88</v>
      </c>
      <c r="CO249" s="242"/>
      <c r="CP249" s="255">
        <v>0</v>
      </c>
      <c r="CW249" s="261" t="s">
        <v>678</v>
      </c>
      <c r="CX249" s="261" t="s">
        <v>678</v>
      </c>
      <c r="CY249" s="261" t="s">
        <v>678</v>
      </c>
      <c r="DB249" s="216" t="s">
        <v>710</v>
      </c>
      <c r="DC249" s="195" t="s">
        <v>711</v>
      </c>
      <c r="DD249" s="256">
        <v>0.8</v>
      </c>
      <c r="DE249" s="256">
        <v>-10</v>
      </c>
      <c r="DF249" s="256">
        <v>0.5</v>
      </c>
      <c r="DG249" s="256">
        <v>-2.2999999999999998</v>
      </c>
      <c r="DL249" s="237" t="s">
        <v>529</v>
      </c>
      <c r="DM249" s="237" t="s">
        <v>889</v>
      </c>
      <c r="DN249" s="237" t="s">
        <v>713</v>
      </c>
      <c r="DP249" s="258" t="s">
        <v>682</v>
      </c>
      <c r="DQ249" s="258"/>
      <c r="DR249" s="258"/>
      <c r="DS249" s="258"/>
      <c r="DT249" s="258"/>
      <c r="DU249" s="237">
        <v>0</v>
      </c>
      <c r="DX249" s="247"/>
      <c r="DY249" s="247">
        <v>0</v>
      </c>
      <c r="EA249" s="237">
        <v>0</v>
      </c>
      <c r="ED249" s="237" t="s">
        <v>678</v>
      </c>
      <c r="EE249" s="208">
        <v>5</v>
      </c>
      <c r="EF249" s="237" t="s">
        <v>678</v>
      </c>
      <c r="EG249" s="216" t="s">
        <v>715</v>
      </c>
      <c r="EH249" s="246" t="s">
        <v>690</v>
      </c>
      <c r="EI249" s="216"/>
      <c r="EJ249" s="216" t="s">
        <v>529</v>
      </c>
      <c r="EK249" s="222" t="s">
        <v>682</v>
      </c>
      <c r="EL249" s="259">
        <v>1989</v>
      </c>
      <c r="EM249" s="263">
        <v>1500</v>
      </c>
      <c r="EN249" s="260">
        <v>83185</v>
      </c>
      <c r="EO249" s="260">
        <v>673782</v>
      </c>
      <c r="ER249" s="237" t="s">
        <v>705</v>
      </c>
      <c r="ES249" s="237">
        <v>2244</v>
      </c>
      <c r="ET249" s="237">
        <v>449.18799999999999</v>
      </c>
      <c r="EU249" s="661">
        <v>7</v>
      </c>
      <c r="EV249" s="661">
        <v>2</v>
      </c>
      <c r="EW249" s="661">
        <v>4</v>
      </c>
      <c r="EX249" s="661">
        <v>3</v>
      </c>
      <c r="EY249" s="660">
        <v>0.10581428571428571</v>
      </c>
      <c r="EZ249" s="256">
        <v>30.295666261644392</v>
      </c>
      <c r="FA249" s="247">
        <v>0</v>
      </c>
      <c r="FB249" s="208">
        <v>6</v>
      </c>
      <c r="FC249" s="208">
        <v>2</v>
      </c>
      <c r="FD249" s="208">
        <v>4</v>
      </c>
      <c r="FE249" s="239">
        <v>0.87301587301587302</v>
      </c>
      <c r="FF249" s="208"/>
      <c r="FG249" s="241">
        <v>0</v>
      </c>
      <c r="FH249" s="209">
        <v>0</v>
      </c>
      <c r="FI249" s="237" t="s">
        <v>678</v>
      </c>
      <c r="FJ249" s="208" t="s">
        <v>678</v>
      </c>
      <c r="FK249" s="208" t="s">
        <v>678</v>
      </c>
      <c r="FL249" s="217" t="s">
        <v>678</v>
      </c>
      <c r="FM249" s="208" t="s">
        <v>678</v>
      </c>
      <c r="FN249" s="208" t="s">
        <v>678</v>
      </c>
      <c r="FP249" s="247" t="s">
        <v>693</v>
      </c>
      <c r="FU249" s="208" t="s">
        <v>678</v>
      </c>
      <c r="FV249" s="208" t="s">
        <v>678</v>
      </c>
      <c r="FW249" s="208" t="s">
        <v>678</v>
      </c>
      <c r="FX249" s="208" t="s">
        <v>678</v>
      </c>
      <c r="FY249" s="208" t="s">
        <v>678</v>
      </c>
      <c r="FZ249" s="208" t="s">
        <v>678</v>
      </c>
      <c r="GA249" s="208" t="s">
        <v>678</v>
      </c>
      <c r="GB249" s="208" t="s">
        <v>678</v>
      </c>
      <c r="GC249" s="208" t="s">
        <v>678</v>
      </c>
      <c r="GD249" s="208" t="s">
        <v>678</v>
      </c>
      <c r="GE249" s="237" t="s">
        <v>678</v>
      </c>
      <c r="GF249" s="237" t="s">
        <v>678</v>
      </c>
      <c r="GG249" s="237" t="s">
        <v>678</v>
      </c>
      <c r="GH249" s="237" t="s">
        <v>678</v>
      </c>
      <c r="GJ249" s="947"/>
      <c r="GK249" s="320"/>
      <c r="GL249" s="320"/>
      <c r="GM249" s="320"/>
      <c r="GN249" s="320"/>
      <c r="GO249" s="662">
        <v>8246</v>
      </c>
      <c r="GP249" s="663" t="str">
        <f>VLOOKUP(GS249,'BD Comarcal'!$A$6:$AV$17,48,FALSE)</f>
        <v>24</v>
      </c>
      <c r="GQ249" s="564">
        <v>14</v>
      </c>
      <c r="GR249" s="256">
        <f t="shared" si="3"/>
        <v>0</v>
      </c>
      <c r="GS249" s="237" t="s">
        <v>88</v>
      </c>
    </row>
    <row r="250" spans="1:201" s="237" customFormat="1" ht="17.25" customHeight="1">
      <c r="A250" s="236" t="s">
        <v>1562</v>
      </c>
      <c r="C250" s="238"/>
      <c r="D250" s="238">
        <v>1401</v>
      </c>
      <c r="E250" s="238">
        <v>819</v>
      </c>
      <c r="F250" s="239">
        <v>0.58458244111349034</v>
      </c>
      <c r="G250" s="238">
        <v>740</v>
      </c>
      <c r="H250" s="240">
        <v>369.72248347553301</v>
      </c>
      <c r="I250" s="239">
        <v>0.45143160375522956</v>
      </c>
      <c r="J250" s="238">
        <v>393</v>
      </c>
      <c r="K250" s="238">
        <v>632</v>
      </c>
      <c r="L250" s="238">
        <v>12</v>
      </c>
      <c r="M250" s="241">
        <v>8.5653104925053538E-3</v>
      </c>
      <c r="N250" s="238">
        <v>0</v>
      </c>
      <c r="O250" s="239">
        <v>0</v>
      </c>
      <c r="P250" s="237">
        <v>19</v>
      </c>
      <c r="Q250" s="237">
        <v>0</v>
      </c>
      <c r="R250" s="239">
        <v>0</v>
      </c>
      <c r="S250" s="238">
        <v>2715</v>
      </c>
      <c r="T250" s="436">
        <v>0</v>
      </c>
      <c r="U250" s="436">
        <v>15</v>
      </c>
      <c r="V250" s="436">
        <v>0</v>
      </c>
      <c r="W250" s="436">
        <v>15</v>
      </c>
      <c r="X250" s="238">
        <v>1266</v>
      </c>
      <c r="Y250" s="237">
        <v>0.14610000000000001</v>
      </c>
      <c r="Z250" s="238">
        <v>22678</v>
      </c>
      <c r="AA250" s="238">
        <v>17662</v>
      </c>
      <c r="AB250" s="238">
        <v>107.92</v>
      </c>
      <c r="AC250" s="238">
        <v>0</v>
      </c>
      <c r="AD250" s="238">
        <v>1492872.1099999999</v>
      </c>
      <c r="AE250" s="238">
        <v>169591.68000000017</v>
      </c>
      <c r="AF250" s="238">
        <v>930825.96</v>
      </c>
      <c r="AG250" s="238">
        <v>57246.73</v>
      </c>
      <c r="AH250" s="239">
        <v>6.1501002829787862E-2</v>
      </c>
      <c r="AI250" s="247">
        <v>29.736515000000001</v>
      </c>
      <c r="AJ250" s="242">
        <v>1.673411</v>
      </c>
      <c r="AK250" s="242">
        <v>0.11944403997144898</v>
      </c>
      <c r="AL250" s="242" t="s">
        <v>678</v>
      </c>
      <c r="AM250" s="242" t="s">
        <v>678</v>
      </c>
      <c r="AN250" s="242">
        <v>7995.46</v>
      </c>
      <c r="AO250" s="238">
        <v>5968.68</v>
      </c>
      <c r="AP250" s="243">
        <v>21</v>
      </c>
      <c r="AQ250" s="238">
        <v>1</v>
      </c>
      <c r="AR250" s="238">
        <v>1438.5933780606047</v>
      </c>
      <c r="AS250" s="238">
        <v>1651.6145299690634</v>
      </c>
      <c r="AT250" s="238">
        <v>60931.333333333336</v>
      </c>
      <c r="AU250" s="238">
        <v>240.33839370036631</v>
      </c>
      <c r="AV250" s="237">
        <v>1</v>
      </c>
      <c r="AW250" s="237">
        <v>0</v>
      </c>
      <c r="AX250" s="237">
        <v>1</v>
      </c>
      <c r="AY250" s="244" t="s">
        <v>726</v>
      </c>
      <c r="AZ250" s="244" t="s">
        <v>673</v>
      </c>
      <c r="BA250" s="237">
        <v>0</v>
      </c>
      <c r="BB250" s="245" t="s">
        <v>1172</v>
      </c>
      <c r="BC250" s="215" t="s">
        <v>1173</v>
      </c>
      <c r="BE250" s="237">
        <v>9</v>
      </c>
      <c r="BF250" s="237">
        <v>4</v>
      </c>
      <c r="BG250" s="246" t="s">
        <v>720</v>
      </c>
      <c r="BI250" s="239">
        <v>0.16276202219482122</v>
      </c>
      <c r="BJ250" s="239">
        <v>0.10357583230579531</v>
      </c>
      <c r="BK250" s="239">
        <v>0.54747225647348952</v>
      </c>
      <c r="BL250" s="239">
        <v>0.18618988902589395</v>
      </c>
      <c r="BM250" s="247">
        <v>1.2429099876695437</v>
      </c>
      <c r="BN250" s="248">
        <v>0</v>
      </c>
      <c r="BO250" s="248">
        <v>0</v>
      </c>
      <c r="BP250" s="237">
        <v>0</v>
      </c>
      <c r="BQ250" s="237">
        <v>0</v>
      </c>
      <c r="BR250" s="248">
        <v>0</v>
      </c>
      <c r="BS250" s="237">
        <v>7</v>
      </c>
      <c r="BT250" s="237" t="s">
        <v>815</v>
      </c>
      <c r="BU250" s="249" t="s">
        <v>678</v>
      </c>
      <c r="BV250" s="249">
        <v>190</v>
      </c>
      <c r="BW250" s="249">
        <v>575</v>
      </c>
      <c r="BX250" s="249" t="s">
        <v>678</v>
      </c>
      <c r="BY250" s="249" t="s">
        <v>678</v>
      </c>
      <c r="BZ250" s="249">
        <v>15.434606011372868</v>
      </c>
      <c r="CA250" s="249">
        <v>46.709991876523155</v>
      </c>
      <c r="CB250" s="249" t="s">
        <v>678</v>
      </c>
      <c r="CC250" s="250" t="s">
        <v>678</v>
      </c>
      <c r="CD250" s="242" t="s">
        <v>678</v>
      </c>
      <c r="CE250" s="252" t="s">
        <v>678</v>
      </c>
      <c r="CF250" s="238">
        <v>555</v>
      </c>
      <c r="CG250" s="238">
        <v>82.9</v>
      </c>
      <c r="CH250" s="238">
        <v>6.7343623070674248</v>
      </c>
      <c r="CI250" s="216" t="s">
        <v>679</v>
      </c>
      <c r="CJ250" s="237">
        <v>0</v>
      </c>
      <c r="CK250" s="253">
        <v>32</v>
      </c>
      <c r="CL250" s="253">
        <v>5.4591000000000003</v>
      </c>
      <c r="CM250" s="254">
        <v>3.8965738758029982E-3</v>
      </c>
      <c r="CN250" s="237" t="s">
        <v>88</v>
      </c>
      <c r="CO250" s="242"/>
      <c r="CP250" s="255">
        <v>0</v>
      </c>
      <c r="CW250" s="261" t="s">
        <v>678</v>
      </c>
      <c r="CX250" s="261" t="s">
        <v>678</v>
      </c>
      <c r="CY250" s="261" t="s">
        <v>678</v>
      </c>
      <c r="DB250" s="216" t="s">
        <v>1017</v>
      </c>
      <c r="DC250" s="195" t="s">
        <v>1018</v>
      </c>
      <c r="DD250" s="256">
        <v>0.8</v>
      </c>
      <c r="DE250" s="256">
        <v>-9</v>
      </c>
      <c r="DF250" s="256">
        <v>-0.3</v>
      </c>
      <c r="DG250" s="256">
        <v>-2.6</v>
      </c>
      <c r="DL250" s="237" t="s">
        <v>529</v>
      </c>
      <c r="DM250" s="237" t="s">
        <v>1131</v>
      </c>
      <c r="DN250" s="237" t="s">
        <v>713</v>
      </c>
      <c r="DO250" s="237">
        <v>1</v>
      </c>
      <c r="DP250" s="258" t="s">
        <v>683</v>
      </c>
      <c r="DQ250" s="258" t="s">
        <v>1132</v>
      </c>
      <c r="DR250" s="258" t="s">
        <v>1563</v>
      </c>
      <c r="DS250" s="258"/>
      <c r="DT250" s="258"/>
      <c r="DU250" s="237">
        <v>0</v>
      </c>
      <c r="DX250" s="247"/>
      <c r="DY250" s="247">
        <v>0</v>
      </c>
      <c r="EA250" s="237">
        <v>0</v>
      </c>
      <c r="ED250" s="237" t="s">
        <v>723</v>
      </c>
      <c r="EE250" s="208">
        <v>1</v>
      </c>
      <c r="EF250" s="237" t="s">
        <v>702</v>
      </c>
      <c r="EG250" s="216" t="s">
        <v>715</v>
      </c>
      <c r="EH250" s="246" t="s">
        <v>690</v>
      </c>
      <c r="EI250" s="216"/>
      <c r="EJ250" s="216" t="s">
        <v>529</v>
      </c>
      <c r="EK250" s="222" t="s">
        <v>682</v>
      </c>
      <c r="EL250" s="259">
        <v>2002</v>
      </c>
      <c r="EM250" s="263">
        <v>635</v>
      </c>
      <c r="EN250" s="260">
        <v>49015</v>
      </c>
      <c r="EO250" s="260">
        <v>12421</v>
      </c>
      <c r="ER250" s="237" t="s">
        <v>705</v>
      </c>
      <c r="ES250" s="237" t="e">
        <v>#DIV/0!</v>
      </c>
      <c r="ET250" s="237">
        <v>19.560629921259842</v>
      </c>
      <c r="EU250" s="661">
        <v>5</v>
      </c>
      <c r="EV250" s="661" t="s">
        <v>678</v>
      </c>
      <c r="EW250" s="661">
        <v>1</v>
      </c>
      <c r="EX250" s="661">
        <v>1</v>
      </c>
      <c r="EY250" s="660">
        <v>2.2840827980014276E-2</v>
      </c>
      <c r="EZ250" s="256">
        <v>38.46875</v>
      </c>
      <c r="FA250" s="247">
        <v>0</v>
      </c>
      <c r="FB250" s="208">
        <v>2</v>
      </c>
      <c r="FC250" s="208">
        <v>2</v>
      </c>
      <c r="FD250" s="208">
        <v>1</v>
      </c>
      <c r="FE250" s="239">
        <v>0.90354090354090355</v>
      </c>
      <c r="FF250" s="208">
        <v>1</v>
      </c>
      <c r="FG250" s="241">
        <v>0</v>
      </c>
      <c r="FH250" s="209">
        <v>0</v>
      </c>
      <c r="FI250" s="237" t="s">
        <v>678</v>
      </c>
      <c r="FJ250" s="208">
        <v>53.2</v>
      </c>
      <c r="FK250" s="208">
        <v>0</v>
      </c>
      <c r="FL250" s="217">
        <v>9.4</v>
      </c>
      <c r="FM250" s="208">
        <v>8.99</v>
      </c>
      <c r="FN250" s="208">
        <v>70</v>
      </c>
      <c r="FP250" s="247" t="s">
        <v>693</v>
      </c>
      <c r="FU250" s="208">
        <v>41</v>
      </c>
      <c r="FV250" s="208">
        <v>56.1</v>
      </c>
      <c r="FW250" s="237">
        <v>81.77</v>
      </c>
      <c r="FX250" s="237">
        <v>68.2</v>
      </c>
      <c r="FY250" s="208">
        <v>43.42</v>
      </c>
      <c r="FZ250" s="208">
        <v>56.6</v>
      </c>
      <c r="GA250" s="208">
        <v>59.35</v>
      </c>
      <c r="GB250" s="208">
        <v>66.099999999999994</v>
      </c>
      <c r="GC250" s="208">
        <v>0.05</v>
      </c>
      <c r="GD250" s="208">
        <v>24.4</v>
      </c>
      <c r="GE250" s="237">
        <v>54.74</v>
      </c>
      <c r="GF250" s="237">
        <v>71</v>
      </c>
      <c r="GG250" s="237">
        <v>4.29</v>
      </c>
      <c r="GH250" s="237">
        <v>37.200000000000003</v>
      </c>
      <c r="GJ250" s="947"/>
      <c r="GK250" s="320"/>
      <c r="GL250" s="320"/>
      <c r="GM250" s="320"/>
      <c r="GN250" s="320"/>
      <c r="GO250" s="662">
        <v>8247</v>
      </c>
      <c r="GP250" s="663" t="str">
        <f>VLOOKUP(GS250,'BD Comarcal'!$A$6:$AV$17,48,FALSE)</f>
        <v>24</v>
      </c>
      <c r="GQ250" s="564">
        <v>9</v>
      </c>
      <c r="GR250" s="256">
        <f t="shared" si="3"/>
        <v>0</v>
      </c>
      <c r="GS250" s="237" t="s">
        <v>88</v>
      </c>
    </row>
    <row r="251" spans="1:201" s="237" customFormat="1" ht="17.25" customHeight="1">
      <c r="A251" s="236" t="s">
        <v>1564</v>
      </c>
      <c r="C251" s="238"/>
      <c r="D251" s="238">
        <v>1399</v>
      </c>
      <c r="E251" s="238">
        <v>786</v>
      </c>
      <c r="F251" s="239">
        <v>0.56182987848463184</v>
      </c>
      <c r="G251" s="238">
        <v>420</v>
      </c>
      <c r="H251" s="240">
        <v>60.044480261731046</v>
      </c>
      <c r="I251" s="239">
        <v>7.6392468526375379E-2</v>
      </c>
      <c r="J251" s="238">
        <v>557</v>
      </c>
      <c r="K251" s="238">
        <v>100</v>
      </c>
      <c r="L251" s="238">
        <v>168</v>
      </c>
      <c r="M251" s="241">
        <v>0.12008577555396711</v>
      </c>
      <c r="N251" s="238">
        <v>40</v>
      </c>
      <c r="O251" s="239">
        <v>7.1813285457809697E-2</v>
      </c>
      <c r="P251" s="237">
        <v>24</v>
      </c>
      <c r="Q251" s="237">
        <v>0</v>
      </c>
      <c r="R251" s="239">
        <v>0</v>
      </c>
      <c r="S251" s="238">
        <v>1388</v>
      </c>
      <c r="T251" s="436">
        <v>210</v>
      </c>
      <c r="U251" s="436">
        <v>18</v>
      </c>
      <c r="V251" s="436">
        <v>0</v>
      </c>
      <c r="W251" s="436">
        <v>228</v>
      </c>
      <c r="X251" s="238">
        <v>7049</v>
      </c>
      <c r="Y251" s="237">
        <v>0.1608</v>
      </c>
      <c r="Z251" s="238">
        <v>118659</v>
      </c>
      <c r="AA251" s="238">
        <v>16760</v>
      </c>
      <c r="AB251" s="238">
        <v>102.4</v>
      </c>
      <c r="AC251" s="238">
        <v>5386</v>
      </c>
      <c r="AD251" s="238">
        <v>7929311.209999999</v>
      </c>
      <c r="AE251" s="238">
        <v>1616133.330000001</v>
      </c>
      <c r="AF251" s="238">
        <v>6208036.709999999</v>
      </c>
      <c r="AG251" s="238">
        <v>528135.89</v>
      </c>
      <c r="AH251" s="239">
        <v>8.5072932824200406E-2</v>
      </c>
      <c r="AI251" s="247">
        <v>290.414805</v>
      </c>
      <c r="AJ251" s="242">
        <v>18.859781000000002</v>
      </c>
      <c r="AK251" s="242">
        <v>1.348090135811294</v>
      </c>
      <c r="AL251" s="242">
        <v>204.00362999999999</v>
      </c>
      <c r="AM251" s="242">
        <v>14.582103645461041</v>
      </c>
      <c r="AN251" s="242">
        <v>12910.76</v>
      </c>
      <c r="AO251" s="238">
        <v>128.07</v>
      </c>
      <c r="AP251" s="243">
        <v>1</v>
      </c>
      <c r="AQ251" s="238">
        <v>1</v>
      </c>
      <c r="AR251" s="238">
        <v>1490.3488262743947</v>
      </c>
      <c r="AS251" s="238">
        <v>1596.7261474844126</v>
      </c>
      <c r="AT251" s="238">
        <v>329166.14786511404</v>
      </c>
      <c r="AU251" s="238">
        <v>248.7419938546081</v>
      </c>
      <c r="AV251" s="237">
        <v>1</v>
      </c>
      <c r="AW251" s="237">
        <v>0</v>
      </c>
      <c r="AX251" s="237">
        <v>1</v>
      </c>
      <c r="AY251" s="244" t="s">
        <v>717</v>
      </c>
      <c r="AZ251" s="244" t="s">
        <v>717</v>
      </c>
      <c r="BA251" s="237">
        <v>2011</v>
      </c>
      <c r="BB251" s="245" t="s">
        <v>868</v>
      </c>
      <c r="BC251" s="215" t="s">
        <v>869</v>
      </c>
      <c r="BE251" s="237">
        <v>8</v>
      </c>
      <c r="BF251" s="237">
        <v>42</v>
      </c>
      <c r="BG251" s="246" t="s">
        <v>698</v>
      </c>
      <c r="BI251" s="239">
        <v>0.46586021505376346</v>
      </c>
      <c r="BJ251" s="239">
        <v>0.11586021505376344</v>
      </c>
      <c r="BK251" s="239">
        <v>0.41075268817204302</v>
      </c>
      <c r="BL251" s="239">
        <v>7.526881720430108E-3</v>
      </c>
      <c r="BM251" s="247">
        <v>2.0400537634408602</v>
      </c>
      <c r="BN251" s="248">
        <v>0</v>
      </c>
      <c r="BO251" s="248">
        <v>0</v>
      </c>
      <c r="BP251" s="237">
        <v>0</v>
      </c>
      <c r="BQ251" s="237">
        <v>0</v>
      </c>
      <c r="BR251" s="248">
        <v>0</v>
      </c>
      <c r="BS251" s="237">
        <v>10</v>
      </c>
      <c r="BT251" s="237" t="s">
        <v>729</v>
      </c>
      <c r="BU251" s="249" t="s">
        <v>678</v>
      </c>
      <c r="BV251" s="249">
        <v>738</v>
      </c>
      <c r="BW251" s="249">
        <v>3151</v>
      </c>
      <c r="BX251" s="249">
        <v>1201</v>
      </c>
      <c r="BY251" s="249" t="s">
        <v>678</v>
      </c>
      <c r="BZ251" s="249">
        <v>10.47997727918205</v>
      </c>
      <c r="CA251" s="249">
        <v>44.745810849190569</v>
      </c>
      <c r="CB251" s="249">
        <v>17.054813973303037</v>
      </c>
      <c r="CC251" s="250" t="s">
        <v>678</v>
      </c>
      <c r="CD251" s="242">
        <v>-294</v>
      </c>
      <c r="CE251" s="252">
        <v>95.825049701789268</v>
      </c>
      <c r="CF251" s="238">
        <v>3162</v>
      </c>
      <c r="CG251" s="238">
        <v>504</v>
      </c>
      <c r="CH251" s="238">
        <v>7.1570576540755466</v>
      </c>
      <c r="CI251" s="216" t="s">
        <v>722</v>
      </c>
      <c r="CJ251" s="237">
        <v>1</v>
      </c>
      <c r="CK251" s="253">
        <v>285.7</v>
      </c>
      <c r="CL251" s="253">
        <v>46.157299999999999</v>
      </c>
      <c r="CM251" s="254">
        <v>3.2993066476054322E-2</v>
      </c>
      <c r="CN251" s="237" t="s">
        <v>24</v>
      </c>
      <c r="CO251" s="242"/>
      <c r="CP251" s="255">
        <v>0</v>
      </c>
      <c r="CV251" s="237">
        <v>8</v>
      </c>
      <c r="CW251" s="194">
        <v>1.0309999999999999</v>
      </c>
      <c r="CX251" s="194">
        <v>0.63500000000000001</v>
      </c>
      <c r="CY251" s="194" t="s">
        <v>680</v>
      </c>
      <c r="DB251" s="216" t="s">
        <v>710</v>
      </c>
      <c r="DC251" s="195" t="s">
        <v>711</v>
      </c>
      <c r="DD251" s="256">
        <v>0.8</v>
      </c>
      <c r="DE251" s="256">
        <v>-10</v>
      </c>
      <c r="DF251" s="256">
        <v>0.5</v>
      </c>
      <c r="DG251" s="256">
        <v>-2.2999999999999998</v>
      </c>
      <c r="DL251" s="237" t="s">
        <v>529</v>
      </c>
      <c r="DN251" s="237" t="s">
        <v>730</v>
      </c>
      <c r="DP251" s="258" t="s">
        <v>682</v>
      </c>
      <c r="DQ251" s="258"/>
      <c r="DR251" s="258"/>
      <c r="DS251" s="258"/>
      <c r="DT251" s="258"/>
      <c r="DU251" s="237">
        <v>0</v>
      </c>
      <c r="DX251" s="247"/>
      <c r="DY251" s="247">
        <v>0</v>
      </c>
      <c r="EA251" s="237">
        <v>0</v>
      </c>
      <c r="ED251" s="237" t="s">
        <v>678</v>
      </c>
      <c r="EE251" s="208">
        <v>1</v>
      </c>
      <c r="EF251" s="237" t="s">
        <v>678</v>
      </c>
      <c r="EG251" s="216" t="s">
        <v>689</v>
      </c>
      <c r="EH251" s="246" t="s">
        <v>690</v>
      </c>
      <c r="EI251" s="216" t="s">
        <v>691</v>
      </c>
      <c r="EJ251" s="216" t="s">
        <v>529</v>
      </c>
      <c r="EK251" s="222" t="s">
        <v>682</v>
      </c>
      <c r="EL251" s="259">
        <v>1995</v>
      </c>
      <c r="EM251" s="263">
        <v>6769</v>
      </c>
      <c r="EN251" s="260">
        <v>288460</v>
      </c>
      <c r="EO251" s="260">
        <v>64546</v>
      </c>
      <c r="ER251" s="237" t="s">
        <v>692</v>
      </c>
      <c r="ES251" s="237" t="e">
        <v>#DIV/0!</v>
      </c>
      <c r="ET251" s="237">
        <v>9.5355296203279654</v>
      </c>
      <c r="EU251" s="661">
        <v>1</v>
      </c>
      <c r="EV251" s="661">
        <v>2</v>
      </c>
      <c r="EW251" s="661">
        <v>6</v>
      </c>
      <c r="EX251" s="661">
        <v>4</v>
      </c>
      <c r="EY251" s="660">
        <v>0.20421729807005004</v>
      </c>
      <c r="EZ251" s="256">
        <v>24.648232411620583</v>
      </c>
      <c r="FA251" s="247">
        <v>1.0178117048346056</v>
      </c>
      <c r="FB251" s="208">
        <v>4</v>
      </c>
      <c r="FC251" s="208">
        <v>4</v>
      </c>
      <c r="FD251" s="208">
        <v>1</v>
      </c>
      <c r="FE251" s="239">
        <v>0.53435114503816794</v>
      </c>
      <c r="FF251" s="208"/>
      <c r="FG251" s="241">
        <v>0</v>
      </c>
      <c r="FH251" s="209">
        <v>0</v>
      </c>
      <c r="FI251" s="237" t="s">
        <v>678</v>
      </c>
      <c r="FJ251" s="208">
        <v>48.4</v>
      </c>
      <c r="FK251" s="208">
        <v>0</v>
      </c>
      <c r="FL251" s="217">
        <v>9.5</v>
      </c>
      <c r="FM251" s="208">
        <v>1.34</v>
      </c>
      <c r="FN251" s="208" t="s">
        <v>1565</v>
      </c>
      <c r="FP251" s="247" t="s">
        <v>693</v>
      </c>
      <c r="FU251" s="208">
        <v>33</v>
      </c>
      <c r="FV251" s="208">
        <v>35.1</v>
      </c>
      <c r="FW251" s="237">
        <v>50</v>
      </c>
      <c r="FX251" s="237">
        <v>27.6</v>
      </c>
      <c r="FY251" s="208">
        <v>14.93</v>
      </c>
      <c r="FZ251" s="208">
        <v>26.4</v>
      </c>
      <c r="GA251" s="208">
        <v>28.45</v>
      </c>
      <c r="GB251" s="208">
        <v>18.8</v>
      </c>
      <c r="GC251" s="208" t="s">
        <v>678</v>
      </c>
      <c r="GD251" s="208" t="s">
        <v>678</v>
      </c>
      <c r="GE251" s="237">
        <v>21.54</v>
      </c>
      <c r="GF251" s="237">
        <v>18.8</v>
      </c>
      <c r="GG251" s="237">
        <v>13.68</v>
      </c>
      <c r="GH251" s="237">
        <v>81.900000000000006</v>
      </c>
      <c r="GJ251" s="947">
        <v>117</v>
      </c>
      <c r="GK251" s="320">
        <v>1.7000000000000001E-2</v>
      </c>
      <c r="GL251" s="320">
        <v>0.27600000000000002</v>
      </c>
      <c r="GM251" s="320">
        <v>7.0000000000000007E-2</v>
      </c>
      <c r="GN251" s="320">
        <v>0.63700000000000001</v>
      </c>
      <c r="GO251" s="662">
        <v>8248</v>
      </c>
      <c r="GP251" s="663" t="str">
        <f>VLOOKUP(GS251,'BD Comarcal'!$A$6:$AV$17,48,FALSE)</f>
        <v>41</v>
      </c>
      <c r="GQ251" s="564">
        <v>56</v>
      </c>
      <c r="GR251" s="256">
        <f t="shared" si="3"/>
        <v>0</v>
      </c>
      <c r="GS251" s="237" t="s">
        <v>24</v>
      </c>
    </row>
    <row r="252" spans="1:201" s="237" customFormat="1" ht="17.25" customHeight="1">
      <c r="A252" s="236" t="s">
        <v>1566</v>
      </c>
      <c r="C252" s="238"/>
      <c r="D252" s="238">
        <v>348</v>
      </c>
      <c r="E252" s="238">
        <v>38</v>
      </c>
      <c r="F252" s="239">
        <v>0.10919540229885058</v>
      </c>
      <c r="G252" s="238">
        <v>29</v>
      </c>
      <c r="H252" s="240">
        <v>0</v>
      </c>
      <c r="I252" s="239">
        <v>0</v>
      </c>
      <c r="J252" s="238">
        <v>224</v>
      </c>
      <c r="K252" s="238">
        <v>0</v>
      </c>
      <c r="L252" s="238">
        <v>0</v>
      </c>
      <c r="M252" s="241">
        <v>0</v>
      </c>
      <c r="N252" s="238">
        <v>0</v>
      </c>
      <c r="O252" s="239">
        <v>0</v>
      </c>
      <c r="P252" s="237">
        <v>0</v>
      </c>
      <c r="Q252" s="237">
        <v>0</v>
      </c>
      <c r="R252" s="239">
        <v>0</v>
      </c>
      <c r="S252" s="238">
        <v>0</v>
      </c>
      <c r="T252" s="436">
        <v>0</v>
      </c>
      <c r="U252" s="436">
        <v>0</v>
      </c>
      <c r="V252" s="436">
        <v>0</v>
      </c>
      <c r="W252" s="436">
        <v>0</v>
      </c>
      <c r="X252" s="238">
        <v>374</v>
      </c>
      <c r="Y252" s="237">
        <v>0.1293</v>
      </c>
      <c r="Z252" s="238">
        <v>4958</v>
      </c>
      <c r="AA252" s="238">
        <v>13115</v>
      </c>
      <c r="AB252" s="238">
        <v>80.13</v>
      </c>
      <c r="AC252" s="238">
        <v>20</v>
      </c>
      <c r="AD252" s="238">
        <v>401858.05000000005</v>
      </c>
      <c r="AE252" s="238">
        <v>32400.549999999988</v>
      </c>
      <c r="AF252" s="238">
        <v>488802.26</v>
      </c>
      <c r="AG252" s="238">
        <v>36635.050000000003</v>
      </c>
      <c r="AH252" s="239">
        <v>7.4948610098488508E-2</v>
      </c>
      <c r="AI252" s="247">
        <v>20.215226999999999</v>
      </c>
      <c r="AJ252" s="242">
        <v>1.291839</v>
      </c>
      <c r="AK252" s="242">
        <v>0.37121810344827583</v>
      </c>
      <c r="AL252" s="242" t="s">
        <v>678</v>
      </c>
      <c r="AM252" s="242" t="s">
        <v>678</v>
      </c>
      <c r="AN252" s="242">
        <v>3144.44</v>
      </c>
      <c r="AO252" s="238">
        <v>1132.71</v>
      </c>
      <c r="AP252" s="243">
        <v>0</v>
      </c>
      <c r="AQ252" s="238"/>
      <c r="AR252" s="238">
        <v>1608.3122580642112</v>
      </c>
      <c r="AS252" s="238">
        <v>1459.9446316781543</v>
      </c>
      <c r="AT252" s="238">
        <v>17104</v>
      </c>
      <c r="AU252" s="238">
        <v>235.15504811417676</v>
      </c>
      <c r="AV252" s="237">
        <v>0</v>
      </c>
      <c r="AW252" s="237">
        <v>0</v>
      </c>
      <c r="AX252" s="237">
        <v>0</v>
      </c>
      <c r="AY252" s="244" t="s">
        <v>695</v>
      </c>
      <c r="AZ252" s="244" t="s">
        <v>695</v>
      </c>
      <c r="BA252" s="237">
        <v>2014</v>
      </c>
      <c r="BB252" s="245" t="s">
        <v>678</v>
      </c>
      <c r="BC252" s="215" t="s">
        <v>678</v>
      </c>
      <c r="BE252" s="237">
        <v>10</v>
      </c>
      <c r="BF252" s="237">
        <v>15</v>
      </c>
      <c r="BG252" s="246" t="s">
        <v>698</v>
      </c>
      <c r="BI252" s="239">
        <v>0.44295302013422821</v>
      </c>
      <c r="BJ252" s="239">
        <v>8.7248322147651006E-2</v>
      </c>
      <c r="BK252" s="239">
        <v>0.46308724832214765</v>
      </c>
      <c r="BL252" s="239">
        <v>6.7114093959731542E-3</v>
      </c>
      <c r="BM252" s="247">
        <v>1.9664429530201342</v>
      </c>
      <c r="BN252" s="248">
        <v>1</v>
      </c>
      <c r="BO252" s="248">
        <v>0</v>
      </c>
      <c r="BP252" s="237">
        <v>0</v>
      </c>
      <c r="BQ252" s="237">
        <v>0</v>
      </c>
      <c r="BR252" s="248">
        <v>1</v>
      </c>
      <c r="BS252" s="237">
        <v>5.6</v>
      </c>
      <c r="BT252" s="237" t="s">
        <v>790</v>
      </c>
      <c r="BU252" s="249" t="s">
        <v>678</v>
      </c>
      <c r="BV252" s="249" t="s">
        <v>678</v>
      </c>
      <c r="BW252" s="249" t="s">
        <v>678</v>
      </c>
      <c r="BX252" s="249" t="s">
        <v>678</v>
      </c>
      <c r="BY252" s="249" t="s">
        <v>678</v>
      </c>
      <c r="BZ252" s="249" t="s">
        <v>678</v>
      </c>
      <c r="CA252" s="249" t="s">
        <v>678</v>
      </c>
      <c r="CB252" s="249" t="s">
        <v>678</v>
      </c>
      <c r="CC252" s="250" t="s">
        <v>678</v>
      </c>
      <c r="CD252" s="242" t="s">
        <v>678</v>
      </c>
      <c r="CE252" s="252" t="s">
        <v>678</v>
      </c>
      <c r="CF252" s="238">
        <v>159</v>
      </c>
      <c r="CG252" s="238">
        <v>22</v>
      </c>
      <c r="CH252" s="238">
        <v>5.8201058201058204</v>
      </c>
      <c r="CI252" s="216" t="s">
        <v>722</v>
      </c>
      <c r="CJ252" s="237">
        <v>1</v>
      </c>
      <c r="CK252" s="253">
        <v>20.25</v>
      </c>
      <c r="CL252" s="253">
        <v>6.2919999999999998</v>
      </c>
      <c r="CM252" s="254">
        <v>1.8080459770114941E-2</v>
      </c>
      <c r="CN252" s="237" t="s">
        <v>791</v>
      </c>
      <c r="CO252" s="242"/>
      <c r="CP252" s="255">
        <v>0</v>
      </c>
      <c r="CV252" s="237">
        <v>1</v>
      </c>
      <c r="CW252" s="261" t="s">
        <v>678</v>
      </c>
      <c r="CX252" s="261" t="s">
        <v>678</v>
      </c>
      <c r="CY252" s="261" t="s">
        <v>678</v>
      </c>
      <c r="DB252" s="216" t="s">
        <v>1017</v>
      </c>
      <c r="DC252" s="195" t="s">
        <v>1018</v>
      </c>
      <c r="DD252" s="256">
        <v>0.8</v>
      </c>
      <c r="DE252" s="256">
        <v>-10</v>
      </c>
      <c r="DF252" s="256">
        <v>0.5</v>
      </c>
      <c r="DG252" s="256">
        <v>-2.2999999999999998</v>
      </c>
      <c r="DH252" s="257">
        <v>1</v>
      </c>
      <c r="DI252" s="257">
        <v>0</v>
      </c>
      <c r="DJ252" s="257">
        <v>2.5</v>
      </c>
      <c r="DK252" s="257">
        <v>2.5</v>
      </c>
      <c r="DL252" s="237" t="s">
        <v>682</v>
      </c>
      <c r="DP252" s="258" t="s">
        <v>682</v>
      </c>
      <c r="DQ252" s="258"/>
      <c r="DR252" s="258"/>
      <c r="DS252" s="258"/>
      <c r="DT252" s="258"/>
      <c r="DU252" s="237">
        <v>0</v>
      </c>
      <c r="DX252" s="247"/>
      <c r="DY252" s="247">
        <v>0</v>
      </c>
      <c r="EA252" s="237">
        <v>0</v>
      </c>
      <c r="ED252" s="237" t="s">
        <v>678</v>
      </c>
      <c r="EE252" s="208">
        <v>3</v>
      </c>
      <c r="EF252" s="237" t="s">
        <v>678</v>
      </c>
      <c r="EG252" s="216" t="s">
        <v>703</v>
      </c>
      <c r="EH252" s="246" t="s">
        <v>704</v>
      </c>
      <c r="EI252" s="216"/>
      <c r="EJ252" s="216" t="s">
        <v>806</v>
      </c>
      <c r="EK252" s="222" t="s">
        <v>682</v>
      </c>
      <c r="EL252" s="259">
        <v>2003</v>
      </c>
      <c r="EM252" s="263">
        <v>100</v>
      </c>
      <c r="EN252" s="260">
        <v>14944</v>
      </c>
      <c r="EO252" s="260">
        <v>3370</v>
      </c>
      <c r="ER252" s="237" t="s">
        <v>705</v>
      </c>
      <c r="ES252" s="237">
        <v>378</v>
      </c>
      <c r="ET252" s="237">
        <v>33.700000000000003</v>
      </c>
      <c r="EU252" s="661">
        <v>3</v>
      </c>
      <c r="EV252" s="661" t="s">
        <v>678</v>
      </c>
      <c r="EW252" s="661">
        <v>1</v>
      </c>
      <c r="EX252" s="661">
        <v>3</v>
      </c>
      <c r="EY252" s="660">
        <v>5.8189655172413791E-2</v>
      </c>
      <c r="EZ252" s="256">
        <v>18.666666666666668</v>
      </c>
      <c r="FA252" s="247">
        <v>2.6315789473684212</v>
      </c>
      <c r="FB252" s="208" t="s">
        <v>678</v>
      </c>
      <c r="FC252" s="208" t="s">
        <v>678</v>
      </c>
      <c r="FD252" s="208">
        <v>7</v>
      </c>
      <c r="FE252" s="239">
        <v>0.76315789473684215</v>
      </c>
      <c r="FF252" s="208"/>
      <c r="FG252" s="241">
        <v>6.5789473684210523E-2</v>
      </c>
      <c r="FH252" s="209">
        <v>0</v>
      </c>
      <c r="FI252" s="237" t="s">
        <v>678</v>
      </c>
      <c r="FJ252" s="208" t="s">
        <v>678</v>
      </c>
      <c r="FK252" s="208" t="s">
        <v>678</v>
      </c>
      <c r="FL252" s="217" t="s">
        <v>678</v>
      </c>
      <c r="FM252" s="208" t="s">
        <v>678</v>
      </c>
      <c r="FN252" s="208" t="s">
        <v>678</v>
      </c>
      <c r="FP252" s="247" t="s">
        <v>693</v>
      </c>
      <c r="FU252" s="208" t="s">
        <v>678</v>
      </c>
      <c r="FV252" s="208" t="s">
        <v>678</v>
      </c>
      <c r="FW252" s="208" t="s">
        <v>678</v>
      </c>
      <c r="FX252" s="208" t="s">
        <v>678</v>
      </c>
      <c r="FY252" s="208" t="s">
        <v>678</v>
      </c>
      <c r="FZ252" s="208" t="s">
        <v>678</v>
      </c>
      <c r="GA252" s="208" t="s">
        <v>678</v>
      </c>
      <c r="GB252" s="208" t="s">
        <v>678</v>
      </c>
      <c r="GC252" s="208" t="s">
        <v>678</v>
      </c>
      <c r="GD252" s="208" t="s">
        <v>678</v>
      </c>
      <c r="GE252" s="237" t="s">
        <v>678</v>
      </c>
      <c r="GF252" s="237" t="s">
        <v>678</v>
      </c>
      <c r="GG252" s="237" t="s">
        <v>678</v>
      </c>
      <c r="GH252" s="237" t="s">
        <v>678</v>
      </c>
      <c r="GJ252" s="947"/>
      <c r="GK252" s="320"/>
      <c r="GL252" s="320"/>
      <c r="GM252" s="320"/>
      <c r="GN252" s="320"/>
      <c r="GO252" s="662">
        <v>8249</v>
      </c>
      <c r="GP252" s="663" t="str">
        <f>VLOOKUP(GS252,'BD Comarcal'!$A$6:$AV$17,48,FALSE)</f>
        <v>03</v>
      </c>
      <c r="GQ252" s="564">
        <v>2</v>
      </c>
      <c r="GR252" s="256">
        <f t="shared" si="3"/>
        <v>0</v>
      </c>
      <c r="GS252" s="237" t="s">
        <v>791</v>
      </c>
    </row>
    <row r="253" spans="1:201" s="237" customFormat="1" ht="17.25" customHeight="1">
      <c r="A253" s="236" t="s">
        <v>1567</v>
      </c>
      <c r="C253" s="238"/>
      <c r="D253" s="238">
        <v>2782</v>
      </c>
      <c r="E253" s="238">
        <v>1273</v>
      </c>
      <c r="F253" s="239">
        <v>0.45758447160316318</v>
      </c>
      <c r="G253" s="238">
        <v>990</v>
      </c>
      <c r="H253" s="240">
        <v>169.84390248902488</v>
      </c>
      <c r="I253" s="239">
        <v>0.13342019048627249</v>
      </c>
      <c r="J253" s="238">
        <v>834</v>
      </c>
      <c r="K253" s="238">
        <v>46</v>
      </c>
      <c r="L253" s="238">
        <v>3</v>
      </c>
      <c r="M253" s="241">
        <v>1.0783608914450035E-3</v>
      </c>
      <c r="N253" s="238">
        <v>0</v>
      </c>
      <c r="O253" s="239">
        <v>0</v>
      </c>
      <c r="P253" s="237">
        <v>13</v>
      </c>
      <c r="Q253" s="237">
        <v>0</v>
      </c>
      <c r="R253" s="239">
        <v>0</v>
      </c>
      <c r="S253" s="238">
        <v>575</v>
      </c>
      <c r="T253" s="436">
        <v>0</v>
      </c>
      <c r="U253" s="436">
        <v>15</v>
      </c>
      <c r="V253" s="436">
        <v>0</v>
      </c>
      <c r="W253" s="436">
        <v>15</v>
      </c>
      <c r="X253" s="238">
        <v>9611</v>
      </c>
      <c r="Y253" s="237">
        <v>0.15809999999999999</v>
      </c>
      <c r="Z253" s="238">
        <v>95495</v>
      </c>
      <c r="AA253" s="238">
        <v>9898</v>
      </c>
      <c r="AB253" s="238">
        <v>60.48</v>
      </c>
      <c r="AC253" s="238">
        <v>4955</v>
      </c>
      <c r="AD253" s="238">
        <v>8811382.5300000012</v>
      </c>
      <c r="AE253" s="238">
        <v>3016714.1599999992</v>
      </c>
      <c r="AF253" s="238">
        <v>6144365.8400000008</v>
      </c>
      <c r="AG253" s="238">
        <v>979159.53</v>
      </c>
      <c r="AH253" s="239">
        <v>0.1593589241749967</v>
      </c>
      <c r="AI253" s="247">
        <v>74.962192000000002</v>
      </c>
      <c r="AJ253" s="242">
        <v>15.513562</v>
      </c>
      <c r="AK253" s="242">
        <v>0.55764061826024436</v>
      </c>
      <c r="AL253" s="242">
        <v>5.4470299999999998</v>
      </c>
      <c r="AM253" s="242">
        <v>0.19579547088425592</v>
      </c>
      <c r="AN253" s="242">
        <v>29876.76</v>
      </c>
      <c r="AO253" s="238">
        <v>10009.620000000001</v>
      </c>
      <c r="AP253" s="243">
        <v>28</v>
      </c>
      <c r="AQ253" s="238"/>
      <c r="AR253" s="238">
        <v>1086.6151179165711</v>
      </c>
      <c r="AS253" s="238">
        <v>2044.0200136211431</v>
      </c>
      <c r="AT253" s="238">
        <v>404653.33333333331</v>
      </c>
      <c r="AU253" s="238">
        <v>225.56776071019476</v>
      </c>
      <c r="AV253" s="237">
        <v>1</v>
      </c>
      <c r="AW253" s="237">
        <v>1</v>
      </c>
      <c r="AX253" s="237">
        <v>1</v>
      </c>
      <c r="AY253" s="244" t="s">
        <v>717</v>
      </c>
      <c r="AZ253" s="244" t="s">
        <v>682</v>
      </c>
      <c r="BA253" s="237">
        <v>2010</v>
      </c>
      <c r="BB253" s="245" t="s">
        <v>1568</v>
      </c>
      <c r="BC253" s="215" t="s">
        <v>1569</v>
      </c>
      <c r="BE253" s="237">
        <v>2</v>
      </c>
      <c r="BF253" s="237">
        <v>77</v>
      </c>
      <c r="BG253" s="246" t="s">
        <v>698</v>
      </c>
      <c r="BI253" s="239">
        <v>0.50623484586075507</v>
      </c>
      <c r="BJ253" s="239">
        <v>0.13266366470384483</v>
      </c>
      <c r="BK253" s="239">
        <v>0.33893314859715967</v>
      </c>
      <c r="BL253" s="239">
        <v>2.2168340838240388E-2</v>
      </c>
      <c r="BM253" s="247">
        <v>2.1229650155871145</v>
      </c>
      <c r="BN253" s="248">
        <v>0</v>
      </c>
      <c r="BO253" s="248">
        <v>2</v>
      </c>
      <c r="BP253" s="237">
        <v>0</v>
      </c>
      <c r="BQ253" s="237">
        <v>0</v>
      </c>
      <c r="BR253" s="248">
        <v>2</v>
      </c>
      <c r="BS253" s="237">
        <v>4.5999999999999996</v>
      </c>
      <c r="BT253" s="237" t="s">
        <v>755</v>
      </c>
      <c r="BU253" s="249">
        <v>1404</v>
      </c>
      <c r="BV253" s="249">
        <v>1335</v>
      </c>
      <c r="BW253" s="249">
        <v>4545</v>
      </c>
      <c r="BX253" s="249">
        <v>533</v>
      </c>
      <c r="BY253" s="249">
        <v>14.489164086687307</v>
      </c>
      <c r="BZ253" s="249">
        <v>13.777089783281733</v>
      </c>
      <c r="CA253" s="249">
        <v>46.904024767801857</v>
      </c>
      <c r="CB253" s="249">
        <v>5.5005159958720329</v>
      </c>
      <c r="CC253" s="250">
        <v>117.92569659442724</v>
      </c>
      <c r="CD253" s="242">
        <v>-1331</v>
      </c>
      <c r="CE253" s="252">
        <v>86.264189886480906</v>
      </c>
      <c r="CF253" s="238">
        <v>4488</v>
      </c>
      <c r="CG253" s="238">
        <v>1239.5999999999999</v>
      </c>
      <c r="CH253" s="238">
        <v>12.792569659442723</v>
      </c>
      <c r="CI253" s="216" t="s">
        <v>722</v>
      </c>
      <c r="CJ253" s="237">
        <v>1</v>
      </c>
      <c r="CK253" s="253">
        <v>77.42</v>
      </c>
      <c r="CL253" s="253">
        <v>62.948999999999998</v>
      </c>
      <c r="CM253" s="254">
        <v>2.2627246585190511E-2</v>
      </c>
      <c r="CN253" s="237" t="s">
        <v>81</v>
      </c>
      <c r="CO253" s="242">
        <v>600.23</v>
      </c>
      <c r="CP253" s="255">
        <v>0.21575485262401151</v>
      </c>
      <c r="CV253" s="237">
        <v>10</v>
      </c>
      <c r="CW253" s="261">
        <v>1.0309999999999999</v>
      </c>
      <c r="CX253" s="261" t="s">
        <v>915</v>
      </c>
      <c r="CY253" s="261">
        <v>1.6659999999999999</v>
      </c>
      <c r="DB253" s="216" t="s">
        <v>1017</v>
      </c>
      <c r="DC253" s="195" t="s">
        <v>1140</v>
      </c>
      <c r="DD253" s="256">
        <v>0.8</v>
      </c>
      <c r="DE253" s="256">
        <v>-10</v>
      </c>
      <c r="DF253" s="256">
        <v>0.5</v>
      </c>
      <c r="DG253" s="256">
        <v>-2.2999999999999998</v>
      </c>
      <c r="DH253" s="257">
        <v>3</v>
      </c>
      <c r="DI253" s="257">
        <v>2.65</v>
      </c>
      <c r="DJ253" s="257">
        <v>3</v>
      </c>
      <c r="DK253" s="257">
        <v>5.65</v>
      </c>
      <c r="DL253" s="237" t="s">
        <v>682</v>
      </c>
      <c r="DO253" s="237">
        <v>1</v>
      </c>
      <c r="DP253" s="258" t="s">
        <v>682</v>
      </c>
      <c r="DQ253" s="258"/>
      <c r="DR253" s="258"/>
      <c r="DS253" s="258"/>
      <c r="DT253" s="258"/>
      <c r="DU253" s="237">
        <v>0</v>
      </c>
      <c r="DX253" s="247"/>
      <c r="DY253" s="247">
        <v>0</v>
      </c>
      <c r="EA253" s="237">
        <v>0</v>
      </c>
      <c r="ED253" s="237" t="s">
        <v>687</v>
      </c>
      <c r="EE253" s="208">
        <v>1</v>
      </c>
      <c r="EF253" s="237" t="s">
        <v>688</v>
      </c>
      <c r="EG253" s="216" t="s">
        <v>689</v>
      </c>
      <c r="EH253" s="246" t="s">
        <v>690</v>
      </c>
      <c r="EI253" s="216"/>
      <c r="EJ253" s="216" t="s">
        <v>529</v>
      </c>
      <c r="EK253" s="222" t="s">
        <v>682</v>
      </c>
      <c r="EL253" s="259">
        <v>1983</v>
      </c>
      <c r="EM253" s="263">
        <v>1900</v>
      </c>
      <c r="EN253" s="260">
        <v>331982</v>
      </c>
      <c r="EO253" s="260">
        <v>66089</v>
      </c>
      <c r="EP253" s="237">
        <v>1</v>
      </c>
      <c r="EQ253" s="237">
        <v>86</v>
      </c>
      <c r="ER253" s="237" t="s">
        <v>705</v>
      </c>
      <c r="ES253" s="237">
        <v>4845</v>
      </c>
      <c r="ET253" s="237">
        <v>34.783684210526317</v>
      </c>
      <c r="EU253" s="661">
        <v>1</v>
      </c>
      <c r="EV253" s="661">
        <v>4</v>
      </c>
      <c r="EW253" s="661">
        <v>1</v>
      </c>
      <c r="EX253" s="661">
        <v>6</v>
      </c>
      <c r="EY253" s="660">
        <v>2.7828900071890726E-2</v>
      </c>
      <c r="EZ253" s="256">
        <v>125.16145698785843</v>
      </c>
      <c r="FA253" s="247">
        <v>0.78554595443833464</v>
      </c>
      <c r="FB253" s="208">
        <v>4</v>
      </c>
      <c r="FC253" s="208">
        <v>6</v>
      </c>
      <c r="FD253" s="208">
        <v>6</v>
      </c>
      <c r="FE253" s="239">
        <v>0.77769049489395126</v>
      </c>
      <c r="FF253" s="208"/>
      <c r="FG253" s="241">
        <v>4.4383346425765913E-3</v>
      </c>
      <c r="FH253" s="209">
        <v>0</v>
      </c>
      <c r="FI253" s="237" t="s">
        <v>678</v>
      </c>
      <c r="FJ253" s="208">
        <v>50.7</v>
      </c>
      <c r="FK253" s="208">
        <v>17.38</v>
      </c>
      <c r="FL253" s="217">
        <v>58.2</v>
      </c>
      <c r="FM253" s="208">
        <v>3.39</v>
      </c>
      <c r="FN253" s="208" t="s">
        <v>1570</v>
      </c>
      <c r="FP253" s="247" t="s">
        <v>693</v>
      </c>
      <c r="FU253" s="208">
        <v>41</v>
      </c>
      <c r="FV253" s="208">
        <v>56.3</v>
      </c>
      <c r="FW253" s="237">
        <v>74.38</v>
      </c>
      <c r="FX253" s="237">
        <v>59.4</v>
      </c>
      <c r="FY253" s="208">
        <v>15.83</v>
      </c>
      <c r="FZ253" s="208">
        <v>28</v>
      </c>
      <c r="GA253" s="208">
        <v>37.07</v>
      </c>
      <c r="GB253" s="208">
        <v>32.299999999999997</v>
      </c>
      <c r="GC253" s="208">
        <v>0.06</v>
      </c>
      <c r="GD253" s="208">
        <v>25.3</v>
      </c>
      <c r="GE253" s="237">
        <v>29.98</v>
      </c>
      <c r="GF253" s="237">
        <v>33.9</v>
      </c>
      <c r="GG253" s="237">
        <v>9.2899999999999991</v>
      </c>
      <c r="GH253" s="237">
        <v>64.599999999999994</v>
      </c>
      <c r="GJ253" s="947">
        <v>80</v>
      </c>
      <c r="GK253" s="320">
        <v>6.0000000000000001E-3</v>
      </c>
      <c r="GL253" s="320">
        <v>0.215</v>
      </c>
      <c r="GM253" s="320">
        <v>0.11700000000000001</v>
      </c>
      <c r="GN253" s="320">
        <v>0.66200000000000003</v>
      </c>
      <c r="GO253" s="662">
        <v>8250</v>
      </c>
      <c r="GP253" s="663" t="str">
        <f>VLOOKUP(GS253,'BD Comarcal'!$A$6:$AV$17,48,FALSE)</f>
        <v>06</v>
      </c>
      <c r="GQ253" s="564">
        <v>65</v>
      </c>
      <c r="GR253" s="256">
        <f t="shared" si="3"/>
        <v>1</v>
      </c>
      <c r="GS253" s="237" t="s">
        <v>81</v>
      </c>
    </row>
    <row r="254" spans="1:201" s="237" customFormat="1" ht="17.25" customHeight="1">
      <c r="A254" s="236" t="s">
        <v>1571</v>
      </c>
      <c r="C254" s="238"/>
      <c r="D254" s="238">
        <v>1739</v>
      </c>
      <c r="E254" s="238">
        <v>570</v>
      </c>
      <c r="F254" s="239">
        <v>0.32777458309373203</v>
      </c>
      <c r="G254" s="238">
        <v>214</v>
      </c>
      <c r="H254" s="240">
        <v>1.3798001779576701</v>
      </c>
      <c r="I254" s="239">
        <v>2.4207020665924037E-3</v>
      </c>
      <c r="J254" s="238">
        <v>901</v>
      </c>
      <c r="K254" s="238">
        <v>56</v>
      </c>
      <c r="L254" s="238">
        <v>1</v>
      </c>
      <c r="M254" s="241">
        <v>5.750431282346176E-4</v>
      </c>
      <c r="N254" s="238">
        <v>16</v>
      </c>
      <c r="O254" s="239">
        <v>1.7758046614872364E-2</v>
      </c>
      <c r="P254" s="237">
        <v>7</v>
      </c>
      <c r="Q254" s="237">
        <v>0</v>
      </c>
      <c r="R254" s="239">
        <v>0</v>
      </c>
      <c r="S254" s="238">
        <v>257</v>
      </c>
      <c r="T254" s="436">
        <v>0</v>
      </c>
      <c r="U254" s="436">
        <v>0</v>
      </c>
      <c r="V254" s="436">
        <v>58</v>
      </c>
      <c r="W254" s="436">
        <v>58</v>
      </c>
      <c r="X254" s="238">
        <v>7360</v>
      </c>
      <c r="Y254" s="237">
        <v>0.12570000000000001</v>
      </c>
      <c r="Z254" s="238">
        <v>85059</v>
      </c>
      <c r="AA254" s="238">
        <v>11601</v>
      </c>
      <c r="AB254" s="238">
        <v>70.88</v>
      </c>
      <c r="AC254" s="238">
        <v>352</v>
      </c>
      <c r="AD254" s="238">
        <v>9201943.2400000002</v>
      </c>
      <c r="AE254" s="238">
        <v>1404114.0599999996</v>
      </c>
      <c r="AF254" s="238">
        <v>7459621.7000000002</v>
      </c>
      <c r="AG254" s="238">
        <v>457810.14</v>
      </c>
      <c r="AH254" s="239">
        <v>6.1371763664637313E-2</v>
      </c>
      <c r="AI254" s="247">
        <v>283.17828800000001</v>
      </c>
      <c r="AJ254" s="242">
        <v>46.747093999999997</v>
      </c>
      <c r="AK254" s="242">
        <v>2.688159516963772</v>
      </c>
      <c r="AL254" s="242" t="s">
        <v>678</v>
      </c>
      <c r="AM254" s="242" t="s">
        <v>678</v>
      </c>
      <c r="AN254" s="242">
        <v>30587.67</v>
      </c>
      <c r="AO254" s="238">
        <v>6153.42</v>
      </c>
      <c r="AP254" s="243">
        <v>14</v>
      </c>
      <c r="AQ254" s="238"/>
      <c r="AR254" s="238">
        <v>1154.9921517593414</v>
      </c>
      <c r="AS254" s="238">
        <v>1653.5123357406403</v>
      </c>
      <c r="AT254" s="238">
        <v>640517.33333333337</v>
      </c>
      <c r="AU254" s="238">
        <v>212.09023310498799</v>
      </c>
      <c r="AV254" s="237">
        <v>1</v>
      </c>
      <c r="AW254" s="237">
        <v>0</v>
      </c>
      <c r="AX254" s="237">
        <v>1</v>
      </c>
      <c r="AY254" s="244" t="s">
        <v>717</v>
      </c>
      <c r="AZ254" s="244" t="s">
        <v>673</v>
      </c>
      <c r="BA254" s="237">
        <v>2014</v>
      </c>
      <c r="BB254" s="245" t="s">
        <v>985</v>
      </c>
      <c r="BC254" s="215" t="s">
        <v>986</v>
      </c>
      <c r="BE254" s="237">
        <v>10</v>
      </c>
      <c r="BF254" s="237">
        <v>15</v>
      </c>
      <c r="BG254" s="246" t="s">
        <v>676</v>
      </c>
      <c r="BI254" s="239">
        <v>0.24929063640048643</v>
      </c>
      <c r="BJ254" s="239">
        <v>9.2622618565058781E-2</v>
      </c>
      <c r="BK254" s="239">
        <v>0.59525739764896635</v>
      </c>
      <c r="BL254" s="239">
        <v>6.2829347385488454E-2</v>
      </c>
      <c r="BM254" s="247">
        <v>1.5283745439805432</v>
      </c>
      <c r="BN254" s="248">
        <v>1</v>
      </c>
      <c r="BO254" s="248">
        <v>0</v>
      </c>
      <c r="BP254" s="237">
        <v>0</v>
      </c>
      <c r="BQ254" s="237">
        <v>0</v>
      </c>
      <c r="BR254" s="248">
        <v>1</v>
      </c>
      <c r="BS254" s="237">
        <v>7</v>
      </c>
      <c r="BT254" s="237" t="s">
        <v>790</v>
      </c>
      <c r="BU254" s="249">
        <v>613</v>
      </c>
      <c r="BV254" s="249">
        <v>792</v>
      </c>
      <c r="BW254" s="249">
        <v>3743</v>
      </c>
      <c r="BX254" s="249" t="s">
        <v>678</v>
      </c>
      <c r="BY254" s="249">
        <v>8.4110867178924256</v>
      </c>
      <c r="BZ254" s="249">
        <v>10.867178924259056</v>
      </c>
      <c r="CA254" s="249">
        <v>51.358397365532383</v>
      </c>
      <c r="CB254" s="249" t="s">
        <v>678</v>
      </c>
      <c r="CC254" s="250">
        <v>98.326015367727777</v>
      </c>
      <c r="CD254" s="242" t="s">
        <v>678</v>
      </c>
      <c r="CE254" s="252" t="s">
        <v>678</v>
      </c>
      <c r="CF254" s="238">
        <v>3136</v>
      </c>
      <c r="CG254" s="238">
        <v>686</v>
      </c>
      <c r="CH254" s="238">
        <v>9.4127332601536775</v>
      </c>
      <c r="CI254" s="216" t="s">
        <v>700</v>
      </c>
      <c r="CJ254" s="237">
        <v>0</v>
      </c>
      <c r="CK254" s="253">
        <v>290.45</v>
      </c>
      <c r="CL254" s="253">
        <v>19.7361</v>
      </c>
      <c r="CM254" s="254">
        <v>1.1349108683151237E-2</v>
      </c>
      <c r="CN254" s="237" t="s">
        <v>791</v>
      </c>
      <c r="CO254" s="242">
        <v>252.92</v>
      </c>
      <c r="CP254" s="255">
        <v>0.14543990799309947</v>
      </c>
      <c r="CV254" s="237">
        <v>5</v>
      </c>
      <c r="CW254" s="261">
        <v>1.0880000000000001</v>
      </c>
      <c r="CX254" s="261">
        <v>0.105</v>
      </c>
      <c r="CY254" s="261">
        <v>1.8280000000000001</v>
      </c>
      <c r="DB254" s="216" t="s">
        <v>746</v>
      </c>
      <c r="DC254" s="195" t="s">
        <v>1284</v>
      </c>
      <c r="DD254" s="256">
        <v>0.7</v>
      </c>
      <c r="DE254" s="256">
        <v>-6.5</v>
      </c>
      <c r="DF254" s="256">
        <v>0.7</v>
      </c>
      <c r="DG254" s="256">
        <v>-2.2000000000000002</v>
      </c>
      <c r="DH254" s="257">
        <v>3</v>
      </c>
      <c r="DI254" s="257">
        <v>5.5</v>
      </c>
      <c r="DJ254" s="257">
        <v>4</v>
      </c>
      <c r="DK254" s="257">
        <v>9.5</v>
      </c>
      <c r="DL254" s="237" t="s">
        <v>682</v>
      </c>
      <c r="DP254" s="258" t="s">
        <v>682</v>
      </c>
      <c r="DQ254" s="258"/>
      <c r="DR254" s="258"/>
      <c r="DS254" s="258"/>
      <c r="DT254" s="258"/>
      <c r="DU254" s="237">
        <v>0</v>
      </c>
      <c r="DX254" s="247"/>
      <c r="DY254" s="247">
        <v>0</v>
      </c>
      <c r="EA254" s="237">
        <v>1</v>
      </c>
      <c r="EB254" s="237" t="s">
        <v>1019</v>
      </c>
      <c r="ED254" s="237" t="s">
        <v>678</v>
      </c>
      <c r="EE254" s="208">
        <v>3</v>
      </c>
      <c r="EF254" s="237" t="s">
        <v>678</v>
      </c>
      <c r="EG254" s="216" t="s">
        <v>689</v>
      </c>
      <c r="EH254" s="246" t="s">
        <v>690</v>
      </c>
      <c r="EI254" s="216"/>
      <c r="EJ254" s="216" t="s">
        <v>529</v>
      </c>
      <c r="EK254" s="222" t="s">
        <v>682</v>
      </c>
      <c r="EL254" s="259">
        <v>2012</v>
      </c>
      <c r="EM254" s="263">
        <v>16048</v>
      </c>
      <c r="EN254" s="260">
        <v>249990</v>
      </c>
      <c r="EO254" s="260">
        <v>409623</v>
      </c>
      <c r="ER254" s="237" t="s">
        <v>705</v>
      </c>
      <c r="ES254" s="237">
        <v>7288</v>
      </c>
      <c r="ET254" s="237">
        <v>25.524862911266201</v>
      </c>
      <c r="EU254" s="661">
        <v>3</v>
      </c>
      <c r="EV254" s="661">
        <v>2</v>
      </c>
      <c r="EW254" s="661">
        <v>1</v>
      </c>
      <c r="EX254" s="661">
        <v>5</v>
      </c>
      <c r="EY254" s="660">
        <v>0.16702127659574467</v>
      </c>
      <c r="EZ254" s="256">
        <v>25.092098467894647</v>
      </c>
      <c r="FA254" s="247">
        <v>0.8771929824561403</v>
      </c>
      <c r="FB254" s="208">
        <v>4</v>
      </c>
      <c r="FC254" s="208">
        <v>4</v>
      </c>
      <c r="FD254" s="208">
        <v>7</v>
      </c>
      <c r="FE254" s="239">
        <v>0.37543859649122807</v>
      </c>
      <c r="FF254" s="208"/>
      <c r="FG254" s="241">
        <v>1.6666666666666666E-2</v>
      </c>
      <c r="FH254" s="209">
        <v>0</v>
      </c>
      <c r="FI254" s="237" t="s">
        <v>678</v>
      </c>
      <c r="FJ254" s="208" t="s">
        <v>678</v>
      </c>
      <c r="FK254" s="208" t="s">
        <v>678</v>
      </c>
      <c r="FL254" s="217" t="s">
        <v>678</v>
      </c>
      <c r="FM254" s="208" t="s">
        <v>678</v>
      </c>
      <c r="FN254" s="208" t="s">
        <v>678</v>
      </c>
      <c r="FP254" s="247" t="s">
        <v>693</v>
      </c>
      <c r="FU254" s="208" t="s">
        <v>678</v>
      </c>
      <c r="FV254" s="208" t="s">
        <v>678</v>
      </c>
      <c r="FW254" s="208" t="s">
        <v>678</v>
      </c>
      <c r="FX254" s="208" t="s">
        <v>678</v>
      </c>
      <c r="FY254" s="208" t="s">
        <v>678</v>
      </c>
      <c r="FZ254" s="208" t="s">
        <v>678</v>
      </c>
      <c r="GA254" s="208" t="s">
        <v>678</v>
      </c>
      <c r="GB254" s="208" t="s">
        <v>678</v>
      </c>
      <c r="GC254" s="208" t="s">
        <v>678</v>
      </c>
      <c r="GD254" s="208" t="s">
        <v>678</v>
      </c>
      <c r="GE254" s="237" t="s">
        <v>678</v>
      </c>
      <c r="GF254" s="237" t="s">
        <v>678</v>
      </c>
      <c r="GG254" s="237" t="s">
        <v>678</v>
      </c>
      <c r="GH254" s="237" t="s">
        <v>678</v>
      </c>
      <c r="GJ254" s="947">
        <v>392</v>
      </c>
      <c r="GK254" s="320">
        <v>3.0000000000000001E-3</v>
      </c>
      <c r="GL254" s="320">
        <v>0.77300000000000002</v>
      </c>
      <c r="GM254" s="320">
        <v>2.4E-2</v>
      </c>
      <c r="GN254" s="320">
        <v>0.2</v>
      </c>
      <c r="GO254" s="662">
        <v>8251</v>
      </c>
      <c r="GP254" s="663" t="str">
        <f>VLOOKUP(GS254,'BD Comarcal'!$A$6:$AV$17,48,FALSE)</f>
        <v>03</v>
      </c>
      <c r="GQ254" s="564">
        <v>37</v>
      </c>
      <c r="GR254" s="256">
        <f t="shared" si="3"/>
        <v>1</v>
      </c>
      <c r="GS254" s="237" t="s">
        <v>791</v>
      </c>
    </row>
    <row r="255" spans="1:201" s="237" customFormat="1" ht="17.25" customHeight="1">
      <c r="A255" s="236" t="s">
        <v>1572</v>
      </c>
      <c r="C255" s="238"/>
      <c r="D255" s="238">
        <v>831</v>
      </c>
      <c r="E255" s="238">
        <v>142</v>
      </c>
      <c r="F255" s="239">
        <v>0.17087845968712395</v>
      </c>
      <c r="G255" s="238">
        <v>35</v>
      </c>
      <c r="H255" s="240">
        <v>0</v>
      </c>
      <c r="I255" s="239">
        <v>0</v>
      </c>
      <c r="J255" s="238">
        <v>191</v>
      </c>
      <c r="K255" s="238">
        <v>1</v>
      </c>
      <c r="L255" s="238">
        <v>6</v>
      </c>
      <c r="M255" s="241">
        <v>7.2202166064981952E-3</v>
      </c>
      <c r="N255" s="238">
        <v>0</v>
      </c>
      <c r="O255" s="239">
        <v>0</v>
      </c>
      <c r="P255" s="237">
        <v>3</v>
      </c>
      <c r="Q255" s="237">
        <v>0</v>
      </c>
      <c r="R255" s="239">
        <v>0</v>
      </c>
      <c r="S255" s="238">
        <v>52</v>
      </c>
      <c r="T255" s="436">
        <v>0</v>
      </c>
      <c r="U255" s="436">
        <v>0</v>
      </c>
      <c r="V255" s="436">
        <v>900</v>
      </c>
      <c r="W255" s="436">
        <v>900</v>
      </c>
      <c r="X255" s="238">
        <v>32832</v>
      </c>
      <c r="Y255" s="237">
        <v>0.13750000000000001</v>
      </c>
      <c r="Z255" s="238">
        <v>398723</v>
      </c>
      <c r="AA255" s="238">
        <v>12251</v>
      </c>
      <c r="AB255" s="238">
        <v>74.86</v>
      </c>
      <c r="AC255" s="238">
        <v>15728</v>
      </c>
      <c r="AD255" s="238">
        <v>39088965.090000004</v>
      </c>
      <c r="AE255" s="238">
        <v>10822862.059999995</v>
      </c>
      <c r="AF255" s="238">
        <v>30272694.640000001</v>
      </c>
      <c r="AG255" s="238">
        <v>1267491.6299999999</v>
      </c>
      <c r="AH255" s="239">
        <v>4.1869138016053395E-2</v>
      </c>
      <c r="AI255" s="247">
        <v>620.46107199999994</v>
      </c>
      <c r="AJ255" s="242">
        <v>113.523791</v>
      </c>
      <c r="AK255" s="242">
        <v>13.661106016847173</v>
      </c>
      <c r="AL255" s="242" t="s">
        <v>678</v>
      </c>
      <c r="AM255" s="242" t="s">
        <v>678</v>
      </c>
      <c r="AN255" s="242">
        <v>69600.039999999994</v>
      </c>
      <c r="AO255" s="238">
        <v>2459.52</v>
      </c>
      <c r="AP255" s="243">
        <v>13</v>
      </c>
      <c r="AQ255" s="238"/>
      <c r="AR255" s="238">
        <v>1093.3864684314256</v>
      </c>
      <c r="AS255" s="238">
        <v>1687.913597771895</v>
      </c>
      <c r="AT255" s="238">
        <v>2330269</v>
      </c>
      <c r="AU255" s="238">
        <v>240.92000280389752</v>
      </c>
      <c r="AV255" s="237">
        <v>1</v>
      </c>
      <c r="AW255" s="237">
        <v>0</v>
      </c>
      <c r="AX255" s="237">
        <v>0</v>
      </c>
      <c r="AY255" s="244" t="s">
        <v>682</v>
      </c>
      <c r="AZ255" s="244" t="s">
        <v>682</v>
      </c>
      <c r="BA255" s="237">
        <v>2010</v>
      </c>
      <c r="BB255" s="245" t="s">
        <v>678</v>
      </c>
      <c r="BC255" s="215" t="s">
        <v>678</v>
      </c>
      <c r="BE255" s="237">
        <v>39</v>
      </c>
      <c r="BF255" s="237">
        <v>37</v>
      </c>
      <c r="BG255" s="246" t="s">
        <v>676</v>
      </c>
      <c r="BI255" s="239">
        <v>0.1547550432276657</v>
      </c>
      <c r="BJ255" s="239">
        <v>0.31123919308357351</v>
      </c>
      <c r="BK255" s="239">
        <v>0.52555235350624396</v>
      </c>
      <c r="BL255" s="239">
        <v>8.4534101825168104E-3</v>
      </c>
      <c r="BM255" s="247">
        <v>1.6122958693563882</v>
      </c>
      <c r="BN255" s="248">
        <v>0</v>
      </c>
      <c r="BO255" s="248">
        <v>1</v>
      </c>
      <c r="BP255" s="237">
        <v>0</v>
      </c>
      <c r="BQ255" s="237">
        <v>0</v>
      </c>
      <c r="BR255" s="248">
        <v>1</v>
      </c>
      <c r="BS255" s="237">
        <v>6</v>
      </c>
      <c r="BT255" s="237" t="s">
        <v>947</v>
      </c>
      <c r="BU255" s="249">
        <v>3003</v>
      </c>
      <c r="BV255" s="249">
        <v>3236</v>
      </c>
      <c r="BW255" s="249">
        <v>16273</v>
      </c>
      <c r="BX255" s="249">
        <v>3802</v>
      </c>
      <c r="BY255" s="249">
        <v>9.2173112338858196</v>
      </c>
      <c r="BZ255" s="249">
        <v>9.9324739103744637</v>
      </c>
      <c r="CA255" s="249">
        <v>49.947820748925722</v>
      </c>
      <c r="CB255" s="249">
        <v>11.669736034376918</v>
      </c>
      <c r="CC255" s="250">
        <v>97.464702271332101</v>
      </c>
      <c r="CD255" s="242">
        <v>-165</v>
      </c>
      <c r="CE255" s="252">
        <v>99.493554327808468</v>
      </c>
      <c r="CF255" s="238">
        <v>13233</v>
      </c>
      <c r="CG255" s="238">
        <v>2877.6</v>
      </c>
      <c r="CH255" s="238">
        <v>8.8324125230202579</v>
      </c>
      <c r="CI255" s="216" t="s">
        <v>679</v>
      </c>
      <c r="CJ255" s="237">
        <v>0</v>
      </c>
      <c r="CK255" s="253">
        <v>594.20000000000005</v>
      </c>
      <c r="CL255" s="253">
        <v>19.093499999999999</v>
      </c>
      <c r="CM255" s="254">
        <v>2.2976534296028878E-2</v>
      </c>
      <c r="CN255" s="237" t="s">
        <v>89</v>
      </c>
      <c r="CO255" s="242"/>
      <c r="CP255" s="255">
        <v>0</v>
      </c>
      <c r="CV255" s="237">
        <v>5</v>
      </c>
      <c r="CW255" s="194">
        <v>0.86699999999999999</v>
      </c>
      <c r="CX255" s="194">
        <v>0.63500000000000001</v>
      </c>
      <c r="CY255" s="194">
        <v>0.30099999999999999</v>
      </c>
      <c r="DB255" s="216"/>
      <c r="DC255" s="195" t="s">
        <v>1573</v>
      </c>
      <c r="DD255" s="256">
        <v>0.7</v>
      </c>
      <c r="DE255" s="256">
        <v>-6.5</v>
      </c>
      <c r="DF255" s="256">
        <v>0.7</v>
      </c>
      <c r="DG255" s="256">
        <v>-2.2000000000000002</v>
      </c>
      <c r="DL255" s="237" t="s">
        <v>682</v>
      </c>
      <c r="DO255" s="237">
        <v>1</v>
      </c>
      <c r="DP255" s="258" t="s">
        <v>682</v>
      </c>
      <c r="DQ255" s="258"/>
      <c r="DR255" s="258"/>
      <c r="DS255" s="258"/>
      <c r="DT255" s="258"/>
      <c r="DU255" s="237">
        <v>0</v>
      </c>
      <c r="DX255" s="247"/>
      <c r="DY255" s="247">
        <v>0</v>
      </c>
      <c r="EA255" s="237">
        <v>0</v>
      </c>
      <c r="EC255" s="237">
        <v>5</v>
      </c>
      <c r="ED255" s="237" t="s">
        <v>678</v>
      </c>
      <c r="EE255" s="208">
        <v>4</v>
      </c>
      <c r="EF255" s="237" t="s">
        <v>678</v>
      </c>
      <c r="EG255" s="216" t="s">
        <v>715</v>
      </c>
      <c r="EH255" s="246" t="s">
        <v>690</v>
      </c>
      <c r="EI255" s="216"/>
      <c r="EJ255" s="216" t="s">
        <v>806</v>
      </c>
      <c r="EK255" s="222" t="s">
        <v>682</v>
      </c>
      <c r="EL255" s="259">
        <v>2010</v>
      </c>
      <c r="EM255" s="260">
        <v>9474.5</v>
      </c>
      <c r="EN255" s="260">
        <v>1245918</v>
      </c>
      <c r="EO255" s="260">
        <v>1108501</v>
      </c>
      <c r="ER255" s="237" t="s">
        <v>705</v>
      </c>
      <c r="ES255" s="237">
        <v>32580</v>
      </c>
      <c r="ET255" s="237">
        <v>116.9983640297641</v>
      </c>
      <c r="EU255" s="661">
        <v>3</v>
      </c>
      <c r="EV255" s="661">
        <v>6</v>
      </c>
      <c r="EW255" s="661">
        <v>6</v>
      </c>
      <c r="EX255" s="661">
        <v>9</v>
      </c>
      <c r="EY255" s="660">
        <v>0.71504211793020467</v>
      </c>
      <c r="EZ255" s="256">
        <v>54.830023561090535</v>
      </c>
      <c r="FA255" s="247">
        <v>3.5211267605633805</v>
      </c>
      <c r="FB255" s="208" t="s">
        <v>678</v>
      </c>
      <c r="FC255" s="208" t="s">
        <v>678</v>
      </c>
      <c r="FD255" s="208">
        <v>3</v>
      </c>
      <c r="FE255" s="239">
        <v>0.24647887323943662</v>
      </c>
      <c r="FF255" s="208"/>
      <c r="FG255" s="241">
        <v>0</v>
      </c>
      <c r="FH255" s="209">
        <v>0</v>
      </c>
      <c r="FI255" s="237" t="s">
        <v>678</v>
      </c>
      <c r="FJ255" s="208" t="s">
        <v>678</v>
      </c>
      <c r="FK255" s="208" t="s">
        <v>678</v>
      </c>
      <c r="FL255" s="217" t="s">
        <v>678</v>
      </c>
      <c r="FM255" s="208" t="s">
        <v>678</v>
      </c>
      <c r="FN255" s="208" t="s">
        <v>678</v>
      </c>
      <c r="FP255" s="247" t="s">
        <v>693</v>
      </c>
      <c r="FU255" s="208" t="s">
        <v>678</v>
      </c>
      <c r="FV255" s="208" t="s">
        <v>678</v>
      </c>
      <c r="FW255" s="208" t="s">
        <v>678</v>
      </c>
      <c r="FX255" s="208" t="s">
        <v>678</v>
      </c>
      <c r="FY255" s="208" t="s">
        <v>678</v>
      </c>
      <c r="FZ255" s="208" t="s">
        <v>678</v>
      </c>
      <c r="GA255" s="208" t="s">
        <v>678</v>
      </c>
      <c r="GB255" s="208" t="s">
        <v>678</v>
      </c>
      <c r="GC255" s="208" t="s">
        <v>678</v>
      </c>
      <c r="GD255" s="208" t="s">
        <v>678</v>
      </c>
      <c r="GE255" s="237" t="s">
        <v>678</v>
      </c>
      <c r="GF255" s="237" t="s">
        <v>678</v>
      </c>
      <c r="GG255" s="237" t="s">
        <v>678</v>
      </c>
      <c r="GH255" s="237" t="s">
        <v>678</v>
      </c>
      <c r="GJ255" s="947">
        <v>1603</v>
      </c>
      <c r="GK255" s="320"/>
      <c r="GL255" s="320"/>
      <c r="GM255" s="320"/>
      <c r="GN255" s="320"/>
      <c r="GO255" s="662">
        <v>8252</v>
      </c>
      <c r="GP255" s="663" t="str">
        <f>VLOOKUP(GS255,'BD Comarcal'!$A$6:$AV$17,48,FALSE)</f>
        <v>40</v>
      </c>
      <c r="GQ255" s="567">
        <v>210</v>
      </c>
      <c r="GR255" s="256">
        <f t="shared" si="3"/>
        <v>0</v>
      </c>
      <c r="GS255" s="237" t="s">
        <v>89</v>
      </c>
    </row>
    <row r="256" spans="1:201" s="237" customFormat="1" ht="17.25" customHeight="1">
      <c r="A256" s="236" t="s">
        <v>1574</v>
      </c>
      <c r="C256" s="238"/>
      <c r="D256" s="238">
        <v>2493</v>
      </c>
      <c r="E256" s="238">
        <v>1933</v>
      </c>
      <c r="F256" s="239">
        <v>0.7753710389089451</v>
      </c>
      <c r="G256" s="238">
        <v>1871</v>
      </c>
      <c r="H256" s="240">
        <v>2220.9130762290201</v>
      </c>
      <c r="I256" s="239">
        <v>1</v>
      </c>
      <c r="J256" s="238">
        <v>221</v>
      </c>
      <c r="K256" s="238">
        <v>268</v>
      </c>
      <c r="L256" s="238">
        <v>4</v>
      </c>
      <c r="M256" s="241">
        <v>1.604492579221821E-3</v>
      </c>
      <c r="N256" s="238">
        <v>0</v>
      </c>
      <c r="O256" s="239">
        <v>0</v>
      </c>
      <c r="Q256" s="237">
        <v>0</v>
      </c>
      <c r="R256" s="239">
        <v>0</v>
      </c>
      <c r="S256" s="238">
        <v>1615</v>
      </c>
      <c r="T256" s="436">
        <v>0</v>
      </c>
      <c r="U256" s="436">
        <v>29</v>
      </c>
      <c r="V256" s="436">
        <v>0</v>
      </c>
      <c r="W256" s="436">
        <v>29</v>
      </c>
      <c r="X256" s="238">
        <v>148</v>
      </c>
      <c r="Y256" s="237">
        <v>0.30249999999999999</v>
      </c>
      <c r="Z256" s="238">
        <v>2791</v>
      </c>
      <c r="AA256" s="238">
        <v>17662</v>
      </c>
      <c r="AB256" s="238">
        <v>107.92</v>
      </c>
      <c r="AC256" s="238">
        <v>0</v>
      </c>
      <c r="AD256" s="238">
        <v>532894.71999999997</v>
      </c>
      <c r="AE256" s="238">
        <v>99946.049999999988</v>
      </c>
      <c r="AF256" s="238">
        <v>306116.65000000002</v>
      </c>
      <c r="AG256" s="238">
        <v>96980.76</v>
      </c>
      <c r="AH256" s="239">
        <v>0.31680981743397491</v>
      </c>
      <c r="AI256" s="247">
        <v>7.1778769999999996</v>
      </c>
      <c r="AJ256" s="242">
        <v>1.0782620000000001</v>
      </c>
      <c r="AK256" s="242">
        <v>4.3251584436421985E-2</v>
      </c>
      <c r="AL256" s="242" t="s">
        <v>678</v>
      </c>
      <c r="AM256" s="242" t="s">
        <v>678</v>
      </c>
      <c r="AN256" s="242">
        <v>6540.87</v>
      </c>
      <c r="AO256" s="238">
        <v>0</v>
      </c>
      <c r="AP256" s="243">
        <v>0</v>
      </c>
      <c r="AQ256" s="238">
        <v>1</v>
      </c>
      <c r="AR256" s="238">
        <v>1299.2381488380081</v>
      </c>
      <c r="AS256" s="238">
        <v>1164.6393720159492</v>
      </c>
      <c r="AT256" s="238">
        <v>8895.3333333333339</v>
      </c>
      <c r="AU256" s="238">
        <v>175.28144476233803</v>
      </c>
      <c r="AV256" s="237">
        <v>1</v>
      </c>
      <c r="AW256" s="237">
        <v>1</v>
      </c>
      <c r="AX256" s="237">
        <v>0</v>
      </c>
      <c r="AY256" s="244" t="s">
        <v>695</v>
      </c>
      <c r="AZ256" s="244" t="s">
        <v>726</v>
      </c>
      <c r="BA256" s="237">
        <v>0</v>
      </c>
      <c r="BB256" s="245" t="s">
        <v>1241</v>
      </c>
      <c r="BC256" s="215" t="s">
        <v>1242</v>
      </c>
      <c r="BE256" s="237">
        <v>0</v>
      </c>
      <c r="BF256" s="237">
        <v>53</v>
      </c>
      <c r="BG256" s="246" t="s">
        <v>720</v>
      </c>
      <c r="BI256" s="239">
        <v>0.87155963302752293</v>
      </c>
      <c r="BJ256" s="239">
        <v>3.669724770642202E-2</v>
      </c>
      <c r="BK256" s="239">
        <v>8.2568807339449546E-2</v>
      </c>
      <c r="BL256" s="239">
        <v>9.1743119266055051E-3</v>
      </c>
      <c r="BM256" s="247">
        <v>2.7706422018348627</v>
      </c>
      <c r="BN256" s="248">
        <v>0</v>
      </c>
      <c r="BO256" s="248">
        <v>0</v>
      </c>
      <c r="BP256" s="237">
        <v>0</v>
      </c>
      <c r="BQ256" s="237">
        <v>0</v>
      </c>
      <c r="BR256" s="248">
        <v>0</v>
      </c>
      <c r="BS256" s="237">
        <v>23</v>
      </c>
      <c r="BT256" s="237" t="s">
        <v>721</v>
      </c>
      <c r="BU256" s="249" t="s">
        <v>678</v>
      </c>
      <c r="BV256" s="249" t="s">
        <v>678</v>
      </c>
      <c r="BW256" s="249" t="s">
        <v>678</v>
      </c>
      <c r="BX256" s="249" t="s">
        <v>678</v>
      </c>
      <c r="BY256" s="249" t="s">
        <v>678</v>
      </c>
      <c r="BZ256" s="249" t="s">
        <v>678</v>
      </c>
      <c r="CA256" s="249" t="s">
        <v>678</v>
      </c>
      <c r="CB256" s="249" t="s">
        <v>678</v>
      </c>
      <c r="CC256" s="250" t="s">
        <v>678</v>
      </c>
      <c r="CD256" s="242" t="s">
        <v>678</v>
      </c>
      <c r="CE256" s="252" t="s">
        <v>678</v>
      </c>
      <c r="CF256" s="238">
        <v>103</v>
      </c>
      <c r="CG256" s="238">
        <v>9.8000000000000007</v>
      </c>
      <c r="CH256" s="238">
        <v>6.0122699386503076</v>
      </c>
      <c r="CI256" s="216" t="s">
        <v>722</v>
      </c>
      <c r="CJ256" s="237">
        <v>1</v>
      </c>
      <c r="CK256" s="253">
        <v>10.15</v>
      </c>
      <c r="CL256" s="253">
        <v>0</v>
      </c>
      <c r="CM256" s="254">
        <v>0</v>
      </c>
      <c r="CN256" s="237" t="s">
        <v>88</v>
      </c>
      <c r="CO256" s="242">
        <v>1412.09</v>
      </c>
      <c r="CP256" s="255">
        <v>0.56642198154833534</v>
      </c>
      <c r="CW256" s="261" t="s">
        <v>678</v>
      </c>
      <c r="CX256" s="261" t="s">
        <v>678</v>
      </c>
      <c r="CY256" s="261" t="s">
        <v>678</v>
      </c>
      <c r="DB256" s="216" t="s">
        <v>681</v>
      </c>
      <c r="DC256" s="256"/>
      <c r="DD256" s="256">
        <v>0.8</v>
      </c>
      <c r="DE256" s="256">
        <v>-9</v>
      </c>
      <c r="DF256" s="256">
        <v>-0.3</v>
      </c>
      <c r="DG256" s="256">
        <v>-2.6</v>
      </c>
      <c r="DL256" s="237" t="s">
        <v>682</v>
      </c>
      <c r="DP256" s="258" t="s">
        <v>683</v>
      </c>
      <c r="DQ256" s="258" t="s">
        <v>1575</v>
      </c>
      <c r="DR256" s="258"/>
      <c r="DS256" s="258"/>
      <c r="DT256" s="258"/>
      <c r="DU256" s="237">
        <v>0</v>
      </c>
      <c r="DX256" s="247"/>
      <c r="DY256" s="247">
        <v>0</v>
      </c>
      <c r="EA256" s="237">
        <v>0</v>
      </c>
      <c r="ED256" s="237" t="s">
        <v>1576</v>
      </c>
      <c r="EE256" s="208">
        <v>1</v>
      </c>
      <c r="EF256" s="237" t="s">
        <v>688</v>
      </c>
      <c r="EG256" s="216" t="s">
        <v>733</v>
      </c>
      <c r="EH256" s="246" t="s">
        <v>734</v>
      </c>
      <c r="EI256" s="216"/>
      <c r="EJ256" s="216" t="s">
        <v>529</v>
      </c>
      <c r="EK256" s="222" t="s">
        <v>682</v>
      </c>
      <c r="EL256" s="259">
        <v>1987</v>
      </c>
      <c r="EM256" s="263">
        <v>1150</v>
      </c>
      <c r="EN256" s="260">
        <v>4355</v>
      </c>
      <c r="EO256" s="260">
        <v>5093</v>
      </c>
      <c r="ER256" s="237" t="s">
        <v>705</v>
      </c>
      <c r="ES256" s="237" t="e">
        <v>#DIV/0!</v>
      </c>
      <c r="ET256" s="237">
        <v>4.4286956521739134</v>
      </c>
      <c r="EU256" s="661">
        <v>5</v>
      </c>
      <c r="EV256" s="661" t="s">
        <v>678</v>
      </c>
      <c r="EW256" s="661">
        <v>0</v>
      </c>
      <c r="EX256" s="661">
        <v>2</v>
      </c>
      <c r="EY256" s="660">
        <v>4.0713999197753712E-3</v>
      </c>
      <c r="EZ256" s="256">
        <v>16.059113300492609</v>
      </c>
      <c r="FA256" s="247">
        <v>0</v>
      </c>
      <c r="FB256" s="208">
        <v>2</v>
      </c>
      <c r="FC256" s="208">
        <v>3</v>
      </c>
      <c r="FD256" s="208">
        <v>4</v>
      </c>
      <c r="FE256" s="239">
        <v>0.96792550439730984</v>
      </c>
      <c r="FF256" s="208">
        <v>1</v>
      </c>
      <c r="FG256" s="241">
        <v>0</v>
      </c>
      <c r="FH256" s="209">
        <v>0</v>
      </c>
      <c r="FI256" s="237" t="s">
        <v>678</v>
      </c>
      <c r="FJ256" s="208">
        <v>56.4</v>
      </c>
      <c r="FK256" s="208">
        <v>52.07</v>
      </c>
      <c r="FL256" s="217">
        <v>91.3</v>
      </c>
      <c r="FM256" s="208">
        <v>8.73</v>
      </c>
      <c r="FN256" s="208" t="s">
        <v>1577</v>
      </c>
      <c r="FP256" s="247" t="s">
        <v>693</v>
      </c>
      <c r="FU256" s="208">
        <v>38</v>
      </c>
      <c r="FV256" s="208">
        <v>47.7</v>
      </c>
      <c r="FW256" s="237">
        <v>85.56</v>
      </c>
      <c r="FX256" s="237">
        <v>75.3</v>
      </c>
      <c r="FY256" s="208">
        <v>96.67</v>
      </c>
      <c r="FZ256" s="208">
        <v>86.5</v>
      </c>
      <c r="GA256" s="208">
        <v>78.959999999999994</v>
      </c>
      <c r="GB256" s="208">
        <v>90.3</v>
      </c>
      <c r="GC256" s="208">
        <v>1.07</v>
      </c>
      <c r="GD256" s="208">
        <v>88.7</v>
      </c>
      <c r="GE256" s="237">
        <v>84.14</v>
      </c>
      <c r="GF256" s="237">
        <v>95.8</v>
      </c>
      <c r="GG256" s="237">
        <v>2.69</v>
      </c>
      <c r="GH256" s="237">
        <v>26.2</v>
      </c>
      <c r="GJ256" s="947"/>
      <c r="GK256" s="320"/>
      <c r="GL256" s="320"/>
      <c r="GM256" s="320"/>
      <c r="GN256" s="320"/>
      <c r="GO256" s="662">
        <v>8253</v>
      </c>
      <c r="GP256" s="663" t="str">
        <f>VLOOKUP(GS256,'BD Comarcal'!$A$6:$AV$17,48,FALSE)</f>
        <v>24</v>
      </c>
      <c r="GQ256" s="564">
        <v>1</v>
      </c>
      <c r="GR256" s="256">
        <f t="shared" si="3"/>
        <v>0</v>
      </c>
      <c r="GS256" s="237" t="s">
        <v>88</v>
      </c>
    </row>
    <row r="257" spans="1:201" s="237" customFormat="1" ht="17.25" customHeight="1">
      <c r="A257" s="236" t="s">
        <v>1578</v>
      </c>
      <c r="C257" s="238"/>
      <c r="D257" s="238">
        <v>6197</v>
      </c>
      <c r="E257" s="238">
        <v>3730</v>
      </c>
      <c r="F257" s="239">
        <v>0.60190414716798446</v>
      </c>
      <c r="G257" s="238">
        <v>3274</v>
      </c>
      <c r="H257" s="240">
        <v>2302.2556268662365</v>
      </c>
      <c r="I257" s="239">
        <v>0.61722670961561299</v>
      </c>
      <c r="J257" s="238">
        <v>1177</v>
      </c>
      <c r="K257" s="238">
        <v>800</v>
      </c>
      <c r="L257" s="238">
        <v>1</v>
      </c>
      <c r="M257" s="241">
        <v>1.6136840406648378E-4</v>
      </c>
      <c r="N257" s="238">
        <v>38</v>
      </c>
      <c r="O257" s="239">
        <v>3.2285471537807989E-2</v>
      </c>
      <c r="P257" s="237">
        <v>68</v>
      </c>
      <c r="Q257" s="237">
        <v>2</v>
      </c>
      <c r="R257" s="239">
        <v>2.9411764705882353E-2</v>
      </c>
      <c r="S257" s="238">
        <v>19625</v>
      </c>
      <c r="T257" s="436">
        <v>0</v>
      </c>
      <c r="U257" s="436">
        <v>12</v>
      </c>
      <c r="V257" s="436">
        <v>30</v>
      </c>
      <c r="W257" s="436">
        <v>42</v>
      </c>
      <c r="X257" s="238">
        <v>2168</v>
      </c>
      <c r="Y257" s="237">
        <v>0.2162</v>
      </c>
      <c r="Z257" s="238">
        <v>37973</v>
      </c>
      <c r="AA257" s="238">
        <v>17662</v>
      </c>
      <c r="AB257" s="238">
        <v>107.92</v>
      </c>
      <c r="AC257" s="238">
        <v>770</v>
      </c>
      <c r="AD257" s="238">
        <v>2194883.23</v>
      </c>
      <c r="AE257" s="238">
        <v>885522.60999999987</v>
      </c>
      <c r="AF257" s="238">
        <v>2575834.0700000003</v>
      </c>
      <c r="AG257" s="238">
        <v>917539.38</v>
      </c>
      <c r="AH257" s="239">
        <v>0.35621059240046465</v>
      </c>
      <c r="AI257" s="247">
        <v>113.703694</v>
      </c>
      <c r="AJ257" s="242">
        <v>9.3807089999999995</v>
      </c>
      <c r="AK257" s="242">
        <v>0.15137500403421009</v>
      </c>
      <c r="AL257" s="242" t="s">
        <v>678</v>
      </c>
      <c r="AM257" s="242" t="s">
        <v>678</v>
      </c>
      <c r="AN257" s="242">
        <v>39187.61</v>
      </c>
      <c r="AO257" s="238">
        <v>3870.31</v>
      </c>
      <c r="AP257" s="243">
        <v>0</v>
      </c>
      <c r="AQ257" s="238">
        <v>1</v>
      </c>
      <c r="AR257" s="238">
        <v>1548.2431366014396</v>
      </c>
      <c r="AS257" s="238">
        <v>1854.3566431586721</v>
      </c>
      <c r="AT257" s="238">
        <v>473844.33333333331</v>
      </c>
      <c r="AU257" s="238">
        <v>258.53092058553671</v>
      </c>
      <c r="AV257" s="237">
        <v>0</v>
      </c>
      <c r="AW257" s="237">
        <v>0</v>
      </c>
      <c r="AX257" s="237">
        <v>1</v>
      </c>
      <c r="AY257" s="244" t="s">
        <v>682</v>
      </c>
      <c r="AZ257" s="244" t="s">
        <v>695</v>
      </c>
      <c r="BA257" s="237">
        <v>2011</v>
      </c>
      <c r="BB257" s="197" t="s">
        <v>1175</v>
      </c>
      <c r="BC257" s="198" t="s">
        <v>1176</v>
      </c>
      <c r="BE257" s="237">
        <v>0</v>
      </c>
      <c r="BF257" s="237">
        <v>46</v>
      </c>
      <c r="BG257" s="246" t="s">
        <v>720</v>
      </c>
      <c r="BI257" s="239">
        <v>0.57154953429297206</v>
      </c>
      <c r="BJ257" s="239">
        <v>0.16765453005927181</v>
      </c>
      <c r="BK257" s="239">
        <v>0.23370025402201525</v>
      </c>
      <c r="BL257" s="239">
        <v>2.7095681625740897E-2</v>
      </c>
      <c r="BM257" s="247">
        <v>2.2836579170194748</v>
      </c>
      <c r="BN257" s="248">
        <v>0</v>
      </c>
      <c r="BO257" s="248">
        <v>0</v>
      </c>
      <c r="BP257" s="237">
        <v>0</v>
      </c>
      <c r="BQ257" s="237">
        <v>0</v>
      </c>
      <c r="BR257" s="248">
        <v>0</v>
      </c>
      <c r="BS257" s="237">
        <v>11</v>
      </c>
      <c r="BT257" s="237" t="s">
        <v>721</v>
      </c>
      <c r="BU257" s="249" t="s">
        <v>678</v>
      </c>
      <c r="BV257" s="249">
        <v>304</v>
      </c>
      <c r="BW257" s="249">
        <v>1080</v>
      </c>
      <c r="BX257" s="249" t="s">
        <v>678</v>
      </c>
      <c r="BY257" s="249" t="s">
        <v>678</v>
      </c>
      <c r="BZ257" s="249">
        <v>13.805631244323342</v>
      </c>
      <c r="CA257" s="249">
        <v>49.04632152588556</v>
      </c>
      <c r="CB257" s="249" t="s">
        <v>678</v>
      </c>
      <c r="CC257" s="250" t="s">
        <v>678</v>
      </c>
      <c r="CD257" s="242" t="s">
        <v>678</v>
      </c>
      <c r="CE257" s="252" t="s">
        <v>678</v>
      </c>
      <c r="CF257" s="238">
        <v>1168</v>
      </c>
      <c r="CG257" s="238">
        <v>106</v>
      </c>
      <c r="CH257" s="238">
        <v>4.8138056312443229</v>
      </c>
      <c r="CI257" s="216" t="s">
        <v>700</v>
      </c>
      <c r="CJ257" s="237">
        <v>0</v>
      </c>
      <c r="CK257" s="253">
        <v>125.87</v>
      </c>
      <c r="CL257" s="253">
        <v>52.7575</v>
      </c>
      <c r="CM257" s="254">
        <v>8.5133935775375189E-3</v>
      </c>
      <c r="CN257" s="237" t="s">
        <v>88</v>
      </c>
      <c r="CO257" s="242"/>
      <c r="CP257" s="255">
        <v>0</v>
      </c>
      <c r="CW257" s="261" t="s">
        <v>678</v>
      </c>
      <c r="CX257" s="261" t="s">
        <v>678</v>
      </c>
      <c r="CY257" s="261" t="s">
        <v>678</v>
      </c>
      <c r="DB257" s="216" t="s">
        <v>710</v>
      </c>
      <c r="DC257" s="195" t="s">
        <v>711</v>
      </c>
      <c r="DD257" s="256">
        <v>0.8</v>
      </c>
      <c r="DE257" s="256">
        <v>-9</v>
      </c>
      <c r="DF257" s="256">
        <v>-0.3</v>
      </c>
      <c r="DG257" s="256">
        <v>-2.6</v>
      </c>
      <c r="DL257" s="237" t="s">
        <v>529</v>
      </c>
      <c r="DM257" s="237" t="s">
        <v>1579</v>
      </c>
      <c r="DN257" s="237" t="s">
        <v>713</v>
      </c>
      <c r="DP257" s="258" t="s">
        <v>682</v>
      </c>
      <c r="DQ257" s="258"/>
      <c r="DR257" s="258"/>
      <c r="DS257" s="258"/>
      <c r="DT257" s="258"/>
      <c r="DU257" s="237">
        <v>0</v>
      </c>
      <c r="DX257" s="247"/>
      <c r="DY257" s="247">
        <v>0</v>
      </c>
      <c r="EA257" s="237">
        <v>0</v>
      </c>
      <c r="ED257" s="237" t="s">
        <v>678</v>
      </c>
      <c r="EE257" s="208">
        <v>3</v>
      </c>
      <c r="EF257" s="237" t="s">
        <v>678</v>
      </c>
      <c r="EG257" s="216" t="s">
        <v>703</v>
      </c>
      <c r="EH257" s="246" t="s">
        <v>704</v>
      </c>
      <c r="EI257" s="216"/>
      <c r="EJ257" s="216" t="s">
        <v>529</v>
      </c>
      <c r="EK257" s="222" t="s">
        <v>682</v>
      </c>
      <c r="EL257" s="259">
        <v>2008</v>
      </c>
      <c r="EM257" s="260"/>
      <c r="EN257" s="260">
        <v>90583</v>
      </c>
      <c r="EO257" s="260">
        <v>369276</v>
      </c>
      <c r="EP257" s="237">
        <v>5</v>
      </c>
      <c r="EQ257" s="237">
        <v>362</v>
      </c>
      <c r="ER257" s="237" t="s">
        <v>692</v>
      </c>
      <c r="ES257" s="237" t="e">
        <v>#DIV/0!</v>
      </c>
      <c r="EU257" s="661">
        <v>7</v>
      </c>
      <c r="EV257" s="661">
        <v>2</v>
      </c>
      <c r="EW257" s="661">
        <v>0</v>
      </c>
      <c r="EX257" s="661">
        <v>2</v>
      </c>
      <c r="EY257" s="660">
        <v>2.0311441019848313E-2</v>
      </c>
      <c r="EZ257" s="256">
        <v>17.494240088980693</v>
      </c>
      <c r="FA257" s="247">
        <v>0</v>
      </c>
      <c r="FB257" s="208">
        <v>3</v>
      </c>
      <c r="FC257" s="208">
        <v>2</v>
      </c>
      <c r="FD257" s="208">
        <v>1</v>
      </c>
      <c r="FE257" s="239">
        <v>0.8777479892761394</v>
      </c>
      <c r="FF257" s="208">
        <v>1</v>
      </c>
      <c r="FG257" s="241">
        <v>0</v>
      </c>
      <c r="FH257" s="209">
        <v>0</v>
      </c>
      <c r="FI257" s="237" t="s">
        <v>678</v>
      </c>
      <c r="FJ257" s="208">
        <v>65.599999999999994</v>
      </c>
      <c r="FK257" s="208" t="s">
        <v>678</v>
      </c>
      <c r="FL257" s="217" t="s">
        <v>678</v>
      </c>
      <c r="FM257" s="208" t="s">
        <v>678</v>
      </c>
      <c r="FN257" s="208" t="s">
        <v>678</v>
      </c>
      <c r="FP257" s="247" t="s">
        <v>693</v>
      </c>
      <c r="FU257" s="208" t="s">
        <v>678</v>
      </c>
      <c r="FV257" s="208" t="s">
        <v>678</v>
      </c>
      <c r="FW257" s="208" t="s">
        <v>678</v>
      </c>
      <c r="FX257" s="208" t="s">
        <v>678</v>
      </c>
      <c r="FY257" s="208" t="s">
        <v>678</v>
      </c>
      <c r="FZ257" s="208" t="s">
        <v>678</v>
      </c>
      <c r="GA257" s="208" t="s">
        <v>678</v>
      </c>
      <c r="GB257" s="208" t="s">
        <v>678</v>
      </c>
      <c r="GC257" s="208" t="s">
        <v>678</v>
      </c>
      <c r="GD257" s="208" t="s">
        <v>678</v>
      </c>
      <c r="GE257" s="237" t="s">
        <v>678</v>
      </c>
      <c r="GF257" s="237" t="s">
        <v>678</v>
      </c>
      <c r="GG257" s="237" t="s">
        <v>678</v>
      </c>
      <c r="GH257" s="237" t="s">
        <v>678</v>
      </c>
      <c r="GJ257" s="947"/>
      <c r="GK257" s="320"/>
      <c r="GL257" s="320"/>
      <c r="GM257" s="320"/>
      <c r="GN257" s="320"/>
      <c r="GO257" s="662">
        <v>8254</v>
      </c>
      <c r="GP257" s="663" t="str">
        <f>VLOOKUP(GS257,'BD Comarcal'!$A$6:$AV$17,48,FALSE)</f>
        <v>24</v>
      </c>
      <c r="GQ257" s="567">
        <v>25</v>
      </c>
      <c r="GR257" s="256">
        <f t="shared" si="3"/>
        <v>0</v>
      </c>
      <c r="GS257" s="237" t="s">
        <v>88</v>
      </c>
    </row>
    <row r="258" spans="1:201" s="237" customFormat="1" ht="17.25" customHeight="1">
      <c r="A258" s="236" t="s">
        <v>1580</v>
      </c>
      <c r="C258" s="238"/>
      <c r="D258" s="238">
        <v>5136</v>
      </c>
      <c r="E258" s="238">
        <v>3983</v>
      </c>
      <c r="F258" s="239">
        <v>0.775506230529595</v>
      </c>
      <c r="G258" s="238">
        <v>3705</v>
      </c>
      <c r="H258" s="240">
        <v>4285.0394287442732</v>
      </c>
      <c r="I258" s="239">
        <v>1</v>
      </c>
      <c r="J258" s="238">
        <v>1054</v>
      </c>
      <c r="K258" s="238">
        <v>568</v>
      </c>
      <c r="L258" s="238">
        <v>1</v>
      </c>
      <c r="M258" s="241">
        <v>1.9470404984423675E-4</v>
      </c>
      <c r="N258" s="238">
        <v>0</v>
      </c>
      <c r="O258" s="239">
        <v>0</v>
      </c>
      <c r="P258" s="237">
        <v>29</v>
      </c>
      <c r="Q258" s="237">
        <v>0</v>
      </c>
      <c r="R258" s="239">
        <v>0</v>
      </c>
      <c r="S258" s="238">
        <v>8128</v>
      </c>
      <c r="T258" s="436">
        <v>282</v>
      </c>
      <c r="U258" s="436">
        <v>85</v>
      </c>
      <c r="V258" s="436">
        <v>7</v>
      </c>
      <c r="W258" s="436">
        <v>374</v>
      </c>
      <c r="X258" s="238">
        <v>178</v>
      </c>
      <c r="Y258" s="237">
        <v>0.1638</v>
      </c>
      <c r="Z258" s="238">
        <v>3317</v>
      </c>
      <c r="AA258" s="238">
        <v>17928</v>
      </c>
      <c r="AB258" s="238">
        <v>109.54</v>
      </c>
      <c r="AC258" s="238">
        <v>0</v>
      </c>
      <c r="AD258" s="238">
        <v>290161.12</v>
      </c>
      <c r="AE258" s="238">
        <v>49543.929999999993</v>
      </c>
      <c r="AF258" s="238">
        <v>236291.06</v>
      </c>
      <c r="AG258" s="238">
        <v>60427.99</v>
      </c>
      <c r="AH258" s="239">
        <v>0.25573540530902861</v>
      </c>
      <c r="AI258" s="269" t="s">
        <v>678</v>
      </c>
      <c r="AJ258" s="242" t="s">
        <v>678</v>
      </c>
      <c r="AK258" s="242" t="s">
        <v>678</v>
      </c>
      <c r="AL258" s="242" t="s">
        <v>678</v>
      </c>
      <c r="AM258" s="242" t="s">
        <v>678</v>
      </c>
      <c r="AN258" s="242">
        <v>16099.82</v>
      </c>
      <c r="AO258" s="238">
        <v>4176.97</v>
      </c>
      <c r="AP258" s="243">
        <v>12</v>
      </c>
      <c r="AQ258" s="238"/>
      <c r="AR258" s="238">
        <v>2885.5654405881792</v>
      </c>
      <c r="AS258" s="238">
        <v>5716.7652102276725</v>
      </c>
      <c r="AT258" s="238">
        <v>23877</v>
      </c>
      <c r="AU258" s="238">
        <v>230.07141076318965</v>
      </c>
      <c r="AV258" s="237">
        <v>1</v>
      </c>
      <c r="AW258" s="237">
        <v>1</v>
      </c>
      <c r="AX258" s="237">
        <v>1</v>
      </c>
      <c r="AY258" s="244" t="s">
        <v>673</v>
      </c>
      <c r="AZ258" s="244" t="s">
        <v>695</v>
      </c>
      <c r="BA258" s="237">
        <v>0</v>
      </c>
      <c r="BB258" s="245" t="s">
        <v>935</v>
      </c>
      <c r="BC258" s="215" t="s">
        <v>936</v>
      </c>
      <c r="BE258" s="237">
        <v>0</v>
      </c>
      <c r="BF258" s="237">
        <v>11</v>
      </c>
      <c r="BG258" s="246" t="s">
        <v>720</v>
      </c>
      <c r="BI258" s="239">
        <v>0.94318181818181823</v>
      </c>
      <c r="BJ258" s="239">
        <v>2.2727272727272728E-2</v>
      </c>
      <c r="BK258" s="239">
        <v>3.4090909090909088E-2</v>
      </c>
      <c r="BL258" s="239">
        <v>0</v>
      </c>
      <c r="BM258" s="247">
        <v>2.9090909090909092</v>
      </c>
      <c r="BN258" s="248">
        <v>0</v>
      </c>
      <c r="BO258" s="248">
        <v>0</v>
      </c>
      <c r="BP258" s="237">
        <v>0</v>
      </c>
      <c r="BQ258" s="237">
        <v>0</v>
      </c>
      <c r="BR258" s="248">
        <v>0</v>
      </c>
      <c r="BS258" s="237">
        <v>22.6</v>
      </c>
      <c r="BT258" s="237" t="s">
        <v>777</v>
      </c>
      <c r="BU258" s="249" t="s">
        <v>678</v>
      </c>
      <c r="BV258" s="249" t="s">
        <v>678</v>
      </c>
      <c r="BW258" s="249" t="s">
        <v>678</v>
      </c>
      <c r="BX258" s="249" t="s">
        <v>678</v>
      </c>
      <c r="BY258" s="249" t="s">
        <v>678</v>
      </c>
      <c r="BZ258" s="249" t="s">
        <v>678</v>
      </c>
      <c r="CA258" s="249" t="s">
        <v>678</v>
      </c>
      <c r="CB258" s="249" t="s">
        <v>678</v>
      </c>
      <c r="CC258" s="250" t="s">
        <v>678</v>
      </c>
      <c r="CD258" s="242" t="s">
        <v>678</v>
      </c>
      <c r="CE258" s="252" t="s">
        <v>678</v>
      </c>
      <c r="CF258" s="238">
        <v>126</v>
      </c>
      <c r="CG258" s="238">
        <v>7.8</v>
      </c>
      <c r="CH258" s="238">
        <v>4.4571428571428573</v>
      </c>
      <c r="CI258" s="216" t="s">
        <v>756</v>
      </c>
      <c r="CJ258" s="237">
        <v>1</v>
      </c>
      <c r="CK258" s="253">
        <v>0</v>
      </c>
      <c r="CL258" s="253">
        <v>0</v>
      </c>
      <c r="CM258" s="254">
        <v>0</v>
      </c>
      <c r="CN258" s="237" t="s">
        <v>84</v>
      </c>
      <c r="CO258" s="242">
        <v>2169.5500000000002</v>
      </c>
      <c r="CP258" s="255">
        <v>0.42242017133956389</v>
      </c>
      <c r="CV258" s="237">
        <v>1</v>
      </c>
      <c r="CW258" s="261" t="s">
        <v>678</v>
      </c>
      <c r="CX258" s="261" t="s">
        <v>678</v>
      </c>
      <c r="CY258" s="261" t="s">
        <v>678</v>
      </c>
      <c r="DB258" s="216" t="s">
        <v>710</v>
      </c>
      <c r="DC258" s="195" t="s">
        <v>711</v>
      </c>
      <c r="DD258" s="256">
        <v>0.8</v>
      </c>
      <c r="DE258" s="256">
        <v>-9</v>
      </c>
      <c r="DF258" s="256">
        <v>-0.3</v>
      </c>
      <c r="DG258" s="256">
        <v>-2.6</v>
      </c>
      <c r="DH258" s="257">
        <v>2</v>
      </c>
      <c r="DI258" s="257">
        <v>4.8</v>
      </c>
      <c r="DJ258" s="257">
        <v>0</v>
      </c>
      <c r="DK258" s="257">
        <v>4.8</v>
      </c>
      <c r="DL258" s="237" t="s">
        <v>529</v>
      </c>
      <c r="DN258" s="237" t="s">
        <v>770</v>
      </c>
      <c r="DO258" s="237">
        <v>1</v>
      </c>
      <c r="DP258" s="258" t="s">
        <v>683</v>
      </c>
      <c r="DQ258" s="258" t="s">
        <v>1581</v>
      </c>
      <c r="DR258" s="258" t="s">
        <v>1582</v>
      </c>
      <c r="DS258" s="258"/>
      <c r="DT258" s="258"/>
      <c r="DU258" s="237">
        <v>0</v>
      </c>
      <c r="DX258" s="247"/>
      <c r="DY258" s="247">
        <v>0</v>
      </c>
      <c r="EA258" s="237">
        <v>0</v>
      </c>
      <c r="ED258" s="237" t="s">
        <v>943</v>
      </c>
      <c r="EE258" s="208">
        <v>3</v>
      </c>
      <c r="EF258" s="237" t="s">
        <v>702</v>
      </c>
      <c r="EG258" s="216" t="s">
        <v>703</v>
      </c>
      <c r="EH258" s="246" t="s">
        <v>704</v>
      </c>
      <c r="EI258" s="216"/>
      <c r="EJ258" s="216" t="s">
        <v>529</v>
      </c>
      <c r="EK258" s="222" t="s">
        <v>682</v>
      </c>
      <c r="EL258" s="259">
        <v>2010</v>
      </c>
      <c r="EM258" s="260">
        <v>2200.5</v>
      </c>
      <c r="EN258" s="260">
        <v>6204</v>
      </c>
      <c r="EO258" s="260">
        <v>25476</v>
      </c>
      <c r="ER258" s="237" t="s">
        <v>705</v>
      </c>
      <c r="ES258" s="237" t="e">
        <v>#DIV/0!</v>
      </c>
      <c r="ET258" s="237">
        <v>11.577368779822768</v>
      </c>
      <c r="EU258" s="661">
        <v>5</v>
      </c>
      <c r="EV258" s="661" t="s">
        <v>678</v>
      </c>
      <c r="EW258" s="661">
        <v>1</v>
      </c>
      <c r="EX258" s="661" t="s">
        <v>678</v>
      </c>
      <c r="EY258" s="660">
        <v>0</v>
      </c>
      <c r="EZ258" s="256">
        <v>10</v>
      </c>
      <c r="FA258" s="247">
        <v>2.5106703489831784E-2</v>
      </c>
      <c r="FB258" s="208">
        <v>3</v>
      </c>
      <c r="FC258" s="208">
        <v>5</v>
      </c>
      <c r="FD258" s="208">
        <v>3</v>
      </c>
      <c r="FE258" s="239">
        <v>0.93020336429826767</v>
      </c>
      <c r="FF258" s="208">
        <v>1</v>
      </c>
      <c r="FG258" s="241">
        <v>1.2051217675119257E-3</v>
      </c>
      <c r="FH258" s="209">
        <v>0</v>
      </c>
      <c r="FI258" s="237" t="s">
        <v>678</v>
      </c>
      <c r="FJ258" s="208">
        <v>72.400000000000006</v>
      </c>
      <c r="FK258" s="208">
        <v>31.35</v>
      </c>
      <c r="FL258" s="217">
        <v>73.599999999999994</v>
      </c>
      <c r="FM258" s="208">
        <v>6.84</v>
      </c>
      <c r="FN258" s="208" t="s">
        <v>1583</v>
      </c>
      <c r="FP258" s="247" t="s">
        <v>693</v>
      </c>
      <c r="FR258" s="237">
        <v>23</v>
      </c>
      <c r="FS258" s="237">
        <v>7</v>
      </c>
      <c r="FT258" s="237">
        <v>5</v>
      </c>
      <c r="FU258" s="208">
        <v>56</v>
      </c>
      <c r="FV258" s="208">
        <v>85.2</v>
      </c>
      <c r="FW258" s="237">
        <v>72.900000000000006</v>
      </c>
      <c r="FX258" s="237">
        <v>57.1</v>
      </c>
      <c r="FY258" s="208">
        <v>42.72</v>
      </c>
      <c r="FZ258" s="208">
        <v>56.3</v>
      </c>
      <c r="GA258" s="208">
        <v>57.31</v>
      </c>
      <c r="GB258" s="208">
        <v>63.5</v>
      </c>
      <c r="GC258" s="208">
        <v>-0.17</v>
      </c>
      <c r="GD258" s="208">
        <v>3.8</v>
      </c>
      <c r="GE258" s="237">
        <v>50.86</v>
      </c>
      <c r="GF258" s="237">
        <v>67</v>
      </c>
      <c r="GG258" s="237">
        <v>8.94</v>
      </c>
      <c r="GH258" s="237">
        <v>63.7</v>
      </c>
      <c r="GJ258" s="947"/>
      <c r="GK258" s="320"/>
      <c r="GL258" s="320"/>
      <c r="GM258" s="320"/>
      <c r="GN258" s="320"/>
      <c r="GO258" s="662">
        <v>8255</v>
      </c>
      <c r="GP258" s="663" t="str">
        <f>VLOOKUP(GS258,'BD Comarcal'!$A$6:$AV$17,48,FALSE)</f>
        <v>14</v>
      </c>
      <c r="GQ258" s="564">
        <v>2</v>
      </c>
      <c r="GR258" s="256">
        <f t="shared" si="3"/>
        <v>1</v>
      </c>
      <c r="GS258" s="237" t="s">
        <v>84</v>
      </c>
    </row>
    <row r="259" spans="1:201" s="237" customFormat="1" ht="17.25" customHeight="1">
      <c r="A259" s="236" t="s">
        <v>1584</v>
      </c>
      <c r="C259" s="238"/>
      <c r="D259" s="238">
        <v>449</v>
      </c>
      <c r="E259" s="238">
        <v>365</v>
      </c>
      <c r="F259" s="239">
        <v>0.81291759465478841</v>
      </c>
      <c r="G259" s="238">
        <v>365</v>
      </c>
      <c r="H259" s="240">
        <v>71.168859320118273</v>
      </c>
      <c r="I259" s="239">
        <v>0.19498317621950212</v>
      </c>
      <c r="J259" s="238">
        <v>8</v>
      </c>
      <c r="K259" s="238">
        <v>0</v>
      </c>
      <c r="L259" s="238">
        <v>0</v>
      </c>
      <c r="M259" s="241">
        <v>0</v>
      </c>
      <c r="N259" s="238">
        <v>0</v>
      </c>
      <c r="O259" s="239">
        <v>0</v>
      </c>
      <c r="P259" s="237">
        <v>0</v>
      </c>
      <c r="Q259" s="237">
        <v>0</v>
      </c>
      <c r="R259" s="239">
        <v>0</v>
      </c>
      <c r="S259" s="238">
        <v>0</v>
      </c>
      <c r="T259" s="436">
        <v>0</v>
      </c>
      <c r="U259" s="436">
        <v>0</v>
      </c>
      <c r="V259" s="436">
        <v>0</v>
      </c>
      <c r="W259" s="436">
        <v>0</v>
      </c>
      <c r="X259" s="238">
        <v>861</v>
      </c>
      <c r="Y259" s="237">
        <v>0.1469</v>
      </c>
      <c r="Z259" s="238">
        <v>14296</v>
      </c>
      <c r="AA259" s="238">
        <v>16760</v>
      </c>
      <c r="AB259" s="238">
        <v>102.4</v>
      </c>
      <c r="AC259" s="238">
        <v>0</v>
      </c>
      <c r="AD259" s="238">
        <v>935066.48</v>
      </c>
      <c r="AE259" s="238">
        <v>87424.859999999986</v>
      </c>
      <c r="AF259" s="238">
        <v>788819.25</v>
      </c>
      <c r="AG259" s="238">
        <v>8848.67</v>
      </c>
      <c r="AH259" s="239">
        <v>1.1217614174603371E-2</v>
      </c>
      <c r="AI259" s="247">
        <v>23.091415999999999</v>
      </c>
      <c r="AJ259" s="242">
        <v>2.408738</v>
      </c>
      <c r="AK259" s="242">
        <v>0.53646726057906458</v>
      </c>
      <c r="AL259" s="242" t="s">
        <v>678</v>
      </c>
      <c r="AM259" s="242" t="s">
        <v>678</v>
      </c>
      <c r="AN259" s="242">
        <v>4628.5600000000004</v>
      </c>
      <c r="AO259" s="238">
        <v>9428.3799999999992</v>
      </c>
      <c r="AP259" s="243">
        <v>27</v>
      </c>
      <c r="AQ259" s="238"/>
      <c r="AR259" s="238">
        <v>1373.4472262456595</v>
      </c>
      <c r="AS259" s="238">
        <v>444.08380217969193</v>
      </c>
      <c r="AT259" s="238">
        <v>44491</v>
      </c>
      <c r="AU259" s="238">
        <v>260.59506925016507</v>
      </c>
      <c r="AV259" s="237">
        <v>1</v>
      </c>
      <c r="AW259" s="237">
        <v>0</v>
      </c>
      <c r="AX259" s="237">
        <v>1</v>
      </c>
      <c r="AY259" s="244" t="s">
        <v>717</v>
      </c>
      <c r="AZ259" s="244" t="s">
        <v>695</v>
      </c>
      <c r="BA259" s="237">
        <v>0</v>
      </c>
      <c r="BB259" s="245" t="s">
        <v>708</v>
      </c>
      <c r="BC259" s="215" t="s">
        <v>709</v>
      </c>
      <c r="BE259" s="237">
        <v>2</v>
      </c>
      <c r="BF259" s="237">
        <v>39</v>
      </c>
      <c r="BG259" s="246" t="s">
        <v>676</v>
      </c>
      <c r="BI259" s="239">
        <v>0.53504672897196259</v>
      </c>
      <c r="BJ259" s="239">
        <v>0.10046728971962617</v>
      </c>
      <c r="BK259" s="239">
        <v>0.35514018691588783</v>
      </c>
      <c r="BL259" s="239">
        <v>9.3457943925233638E-3</v>
      </c>
      <c r="BM259" s="247">
        <v>2.1612149532710276</v>
      </c>
      <c r="BN259" s="248">
        <v>0</v>
      </c>
      <c r="BO259" s="248">
        <v>0</v>
      </c>
      <c r="BP259" s="237">
        <v>0</v>
      </c>
      <c r="BQ259" s="237">
        <v>0</v>
      </c>
      <c r="BR259" s="248">
        <v>0</v>
      </c>
      <c r="BS259" s="237">
        <v>16</v>
      </c>
      <c r="BT259" s="237" t="s">
        <v>729</v>
      </c>
      <c r="BU259" s="249" t="s">
        <v>678</v>
      </c>
      <c r="BV259" s="249" t="s">
        <v>678</v>
      </c>
      <c r="BW259" s="249" t="s">
        <v>678</v>
      </c>
      <c r="BX259" s="249" t="s">
        <v>678</v>
      </c>
      <c r="BY259" s="249" t="s">
        <v>678</v>
      </c>
      <c r="BZ259" s="249" t="s">
        <v>678</v>
      </c>
      <c r="CA259" s="249" t="s">
        <v>678</v>
      </c>
      <c r="CB259" s="249" t="s">
        <v>678</v>
      </c>
      <c r="CC259" s="250" t="s">
        <v>678</v>
      </c>
      <c r="CD259" s="242" t="s">
        <v>678</v>
      </c>
      <c r="CE259" s="252" t="s">
        <v>678</v>
      </c>
      <c r="CF259" s="238">
        <v>380</v>
      </c>
      <c r="CG259" s="238">
        <v>61</v>
      </c>
      <c r="CH259" s="238">
        <v>7.2018890200708379</v>
      </c>
      <c r="CI259" s="216" t="s">
        <v>679</v>
      </c>
      <c r="CJ259" s="237">
        <v>0</v>
      </c>
      <c r="CK259" s="253">
        <v>22.78</v>
      </c>
      <c r="CL259" s="253">
        <v>22.598099999999999</v>
      </c>
      <c r="CM259" s="254">
        <v>5.0329844097995541E-2</v>
      </c>
      <c r="CN259" s="237" t="s">
        <v>24</v>
      </c>
      <c r="CO259" s="242">
        <v>184.19</v>
      </c>
      <c r="CP259" s="255">
        <v>0.41022271714922048</v>
      </c>
      <c r="CV259" s="237">
        <v>1</v>
      </c>
      <c r="CW259" s="261" t="s">
        <v>678</v>
      </c>
      <c r="CX259" s="261" t="s">
        <v>678</v>
      </c>
      <c r="CY259" s="261" t="s">
        <v>678</v>
      </c>
      <c r="DB259" s="216" t="s">
        <v>681</v>
      </c>
      <c r="DC259" s="256"/>
      <c r="DD259" s="256">
        <v>0.7</v>
      </c>
      <c r="DE259" s="256">
        <v>-6.5</v>
      </c>
      <c r="DF259" s="256">
        <v>0.7</v>
      </c>
      <c r="DG259" s="256">
        <v>-2.2000000000000002</v>
      </c>
      <c r="DL259" s="237" t="s">
        <v>682</v>
      </c>
      <c r="DP259" s="258" t="s">
        <v>683</v>
      </c>
      <c r="DQ259" s="258" t="s">
        <v>758</v>
      </c>
      <c r="DR259" s="258" t="s">
        <v>1585</v>
      </c>
      <c r="DS259" s="258"/>
      <c r="DT259" s="258"/>
      <c r="DU259" s="237">
        <v>0</v>
      </c>
      <c r="DX259" s="247"/>
      <c r="DY259" s="247">
        <v>0</v>
      </c>
      <c r="EA259" s="237">
        <v>0</v>
      </c>
      <c r="ED259" s="237" t="s">
        <v>749</v>
      </c>
      <c r="EE259" s="208">
        <v>3</v>
      </c>
      <c r="EF259" s="237" t="s">
        <v>688</v>
      </c>
      <c r="EG259" s="216" t="s">
        <v>703</v>
      </c>
      <c r="EH259" s="246" t="s">
        <v>704</v>
      </c>
      <c r="EI259" s="216"/>
      <c r="EJ259" s="216" t="s">
        <v>529</v>
      </c>
      <c r="EK259" s="222" t="s">
        <v>682</v>
      </c>
      <c r="EL259" s="259">
        <v>1993</v>
      </c>
      <c r="EM259" s="260">
        <v>0</v>
      </c>
      <c r="EN259" s="260">
        <v>35367</v>
      </c>
      <c r="EO259" s="260">
        <v>10587</v>
      </c>
      <c r="ER259" s="237" t="s">
        <v>705</v>
      </c>
      <c r="ES259" s="237" t="e">
        <v>#DIV/0!</v>
      </c>
      <c r="EU259" s="661">
        <v>3</v>
      </c>
      <c r="EV259" s="661" t="s">
        <v>678</v>
      </c>
      <c r="EW259" s="661">
        <v>1</v>
      </c>
      <c r="EX259" s="661">
        <v>6</v>
      </c>
      <c r="EY259" s="660">
        <v>5.073496659242762E-2</v>
      </c>
      <c r="EZ259" s="256">
        <v>37.181738366988583</v>
      </c>
      <c r="FA259" s="247">
        <v>0.27397260273972601</v>
      </c>
      <c r="FB259" s="208">
        <v>4</v>
      </c>
      <c r="FC259" s="208">
        <v>6</v>
      </c>
      <c r="FD259" s="208">
        <v>5</v>
      </c>
      <c r="FE259" s="239">
        <v>1</v>
      </c>
      <c r="FF259" s="208"/>
      <c r="FG259" s="241">
        <v>0</v>
      </c>
      <c r="FH259" s="209">
        <v>0</v>
      </c>
      <c r="FI259" s="237" t="s">
        <v>678</v>
      </c>
      <c r="FJ259" s="208">
        <v>35.4</v>
      </c>
      <c r="FK259" s="208">
        <v>62.39</v>
      </c>
      <c r="FL259" s="217">
        <v>95.7</v>
      </c>
      <c r="FM259" s="208">
        <v>11.5</v>
      </c>
      <c r="FN259" s="208" t="s">
        <v>1586</v>
      </c>
      <c r="FP259" s="247" t="s">
        <v>693</v>
      </c>
      <c r="FU259" s="208">
        <v>24</v>
      </c>
      <c r="FV259" s="208">
        <v>13.2</v>
      </c>
      <c r="FW259" s="237">
        <v>82.54</v>
      </c>
      <c r="FX259" s="237">
        <v>70</v>
      </c>
      <c r="FY259" s="208">
        <v>83.4</v>
      </c>
      <c r="FZ259" s="208">
        <v>80.7</v>
      </c>
      <c r="GA259" s="208">
        <v>72.42</v>
      </c>
      <c r="GB259" s="208">
        <v>81.900000000000006</v>
      </c>
      <c r="GC259" s="208">
        <v>0.86</v>
      </c>
      <c r="GD259" s="208">
        <v>81.900000000000006</v>
      </c>
      <c r="GE259" s="237">
        <v>47.16</v>
      </c>
      <c r="GF259" s="237">
        <v>62.1</v>
      </c>
      <c r="GG259" s="237">
        <v>21.43</v>
      </c>
      <c r="GH259" s="237">
        <v>95.3</v>
      </c>
      <c r="GJ259" s="947"/>
      <c r="GK259" s="320"/>
      <c r="GL259" s="320"/>
      <c r="GM259" s="320"/>
      <c r="GN259" s="320"/>
      <c r="GO259" s="662">
        <v>8256</v>
      </c>
      <c r="GP259" s="663" t="str">
        <f>VLOOKUP(GS259,'BD Comarcal'!$A$6:$AV$17,48,FALSE)</f>
        <v>41</v>
      </c>
      <c r="GQ259" s="564">
        <v>11</v>
      </c>
      <c r="GR259" s="256">
        <f t="shared" si="3"/>
        <v>0</v>
      </c>
      <c r="GS259" s="237" t="s">
        <v>24</v>
      </c>
    </row>
    <row r="260" spans="1:201" s="237" customFormat="1" ht="17.25" customHeight="1">
      <c r="A260" s="236" t="s">
        <v>1587</v>
      </c>
      <c r="C260" s="238"/>
      <c r="D260" s="238">
        <v>2538</v>
      </c>
      <c r="E260" s="238">
        <v>1595</v>
      </c>
      <c r="F260" s="239">
        <v>0.62844759653270288</v>
      </c>
      <c r="G260" s="238" t="s">
        <v>752</v>
      </c>
      <c r="H260" s="240">
        <v>887.4697360357394</v>
      </c>
      <c r="I260" s="239">
        <v>0.55640735801613761</v>
      </c>
      <c r="J260" s="238">
        <v>697</v>
      </c>
      <c r="K260" s="238">
        <v>2</v>
      </c>
      <c r="L260" s="238">
        <v>18</v>
      </c>
      <c r="M260" s="241">
        <v>7.0921985815602835E-3</v>
      </c>
      <c r="N260" s="238">
        <v>81</v>
      </c>
      <c r="O260" s="239">
        <v>0.11621233859397417</v>
      </c>
      <c r="P260" s="237">
        <v>4</v>
      </c>
      <c r="Q260" s="237">
        <v>0</v>
      </c>
      <c r="R260" s="239">
        <v>0</v>
      </c>
      <c r="S260" s="238">
        <v>692</v>
      </c>
      <c r="T260" s="436">
        <v>0</v>
      </c>
      <c r="U260" s="436">
        <v>0</v>
      </c>
      <c r="V260" s="436">
        <v>0</v>
      </c>
      <c r="W260" s="436">
        <v>0</v>
      </c>
      <c r="X260" s="238">
        <v>132</v>
      </c>
      <c r="Y260" s="237">
        <v>0.2286</v>
      </c>
      <c r="Z260" s="238">
        <v>1612</v>
      </c>
      <c r="AA260" s="238">
        <v>12396</v>
      </c>
      <c r="AB260" s="238">
        <v>75.739999999999995</v>
      </c>
      <c r="AC260" s="238">
        <v>0</v>
      </c>
      <c r="AD260" s="238">
        <v>459790.24</v>
      </c>
      <c r="AE260" s="238">
        <v>92415.26999999999</v>
      </c>
      <c r="AF260" s="238">
        <v>256446.48999999996</v>
      </c>
      <c r="AG260" s="238">
        <v>51254.64</v>
      </c>
      <c r="AH260" s="239">
        <v>0.1998648528977722</v>
      </c>
      <c r="AI260" s="269" t="s">
        <v>678</v>
      </c>
      <c r="AJ260" s="242">
        <v>2.4453580000000001</v>
      </c>
      <c r="AK260" s="242">
        <v>9.6349802994483855E-2</v>
      </c>
      <c r="AL260" s="242" t="s">
        <v>678</v>
      </c>
      <c r="AM260" s="242" t="s">
        <v>678</v>
      </c>
      <c r="AN260" s="242">
        <v>14731.27</v>
      </c>
      <c r="AO260" s="238">
        <v>4658.2700000000004</v>
      </c>
      <c r="AP260" s="243">
        <v>0</v>
      </c>
      <c r="AQ260" s="238"/>
      <c r="AR260" s="238">
        <v>1213.6556776556777</v>
      </c>
      <c r="AS260" s="238">
        <v>1326.3943562043942</v>
      </c>
      <c r="AT260" s="238">
        <v>8349.3333333333339</v>
      </c>
      <c r="AU260" s="238">
        <v>297.29524997546559</v>
      </c>
      <c r="AV260" s="237">
        <v>1</v>
      </c>
      <c r="AW260" s="237">
        <v>1</v>
      </c>
      <c r="AX260" s="237">
        <v>1</v>
      </c>
      <c r="AY260" s="244" t="s">
        <v>673</v>
      </c>
      <c r="AZ260" s="244" t="s">
        <v>726</v>
      </c>
      <c r="BA260" s="237">
        <v>0</v>
      </c>
      <c r="BB260" s="245" t="s">
        <v>1588</v>
      </c>
      <c r="BC260" s="215" t="s">
        <v>1589</v>
      </c>
      <c r="BE260" s="237">
        <v>2</v>
      </c>
      <c r="BF260" s="237">
        <v>77</v>
      </c>
      <c r="BG260" s="246" t="s">
        <v>698</v>
      </c>
      <c r="BI260" s="239">
        <v>0.77049180327868849</v>
      </c>
      <c r="BJ260" s="239">
        <v>7.3770491803278687E-2</v>
      </c>
      <c r="BK260" s="239">
        <v>0.13114754098360656</v>
      </c>
      <c r="BL260" s="239">
        <v>2.4590163934426229E-2</v>
      </c>
      <c r="BM260" s="247">
        <v>2.5901639344262293</v>
      </c>
      <c r="BN260" s="248">
        <v>0</v>
      </c>
      <c r="BO260" s="248">
        <v>0</v>
      </c>
      <c r="BP260" s="237">
        <v>0</v>
      </c>
      <c r="BQ260" s="237">
        <v>0</v>
      </c>
      <c r="BR260" s="248">
        <v>0</v>
      </c>
      <c r="BS260" s="237">
        <v>2.8</v>
      </c>
      <c r="BT260" s="237" t="s">
        <v>755</v>
      </c>
      <c r="BU260" s="249" t="s">
        <v>678</v>
      </c>
      <c r="BV260" s="249" t="s">
        <v>678</v>
      </c>
      <c r="BW260" s="249" t="s">
        <v>678</v>
      </c>
      <c r="BX260" s="249" t="s">
        <v>678</v>
      </c>
      <c r="BY260" s="249" t="s">
        <v>678</v>
      </c>
      <c r="BZ260" s="249" t="s">
        <v>678</v>
      </c>
      <c r="CA260" s="249" t="s">
        <v>678</v>
      </c>
      <c r="CB260" s="249" t="s">
        <v>678</v>
      </c>
      <c r="CC260" s="250" t="s">
        <v>678</v>
      </c>
      <c r="CD260" s="242" t="s">
        <v>678</v>
      </c>
      <c r="CE260" s="252" t="s">
        <v>678</v>
      </c>
      <c r="CF260" s="238">
        <v>76</v>
      </c>
      <c r="CG260" s="238">
        <v>8.6999999999999993</v>
      </c>
      <c r="CH260" s="238">
        <v>6.5413533834586461</v>
      </c>
      <c r="CI260" s="216" t="s">
        <v>722</v>
      </c>
      <c r="CJ260" s="237">
        <v>1</v>
      </c>
      <c r="CK260" s="253">
        <v>0</v>
      </c>
      <c r="CL260" s="253">
        <v>6.9866999999999999</v>
      </c>
      <c r="CM260" s="254">
        <v>2.7528368794326242E-3</v>
      </c>
      <c r="CN260" s="237" t="s">
        <v>81</v>
      </c>
      <c r="CO260" s="242">
        <v>1175.8699999999999</v>
      </c>
      <c r="CP260" s="255">
        <v>0.46330575256107165</v>
      </c>
      <c r="CV260" s="237">
        <v>3</v>
      </c>
      <c r="CW260" s="261" t="s">
        <v>678</v>
      </c>
      <c r="CX260" s="261" t="s">
        <v>678</v>
      </c>
      <c r="CY260" s="261" t="s">
        <v>678</v>
      </c>
      <c r="DB260" s="216" t="s">
        <v>681</v>
      </c>
      <c r="DC260" s="256"/>
      <c r="DD260" s="256">
        <v>0.8</v>
      </c>
      <c r="DE260" s="256">
        <v>-10</v>
      </c>
      <c r="DF260" s="256">
        <v>0.5</v>
      </c>
      <c r="DG260" s="256">
        <v>-2.2999999999999998</v>
      </c>
      <c r="DH260" s="257">
        <v>1</v>
      </c>
      <c r="DI260" s="257">
        <v>1.93</v>
      </c>
      <c r="DJ260" s="257">
        <v>0</v>
      </c>
      <c r="DK260" s="257">
        <v>1.93</v>
      </c>
      <c r="DL260" s="237" t="s">
        <v>682</v>
      </c>
      <c r="DP260" s="258" t="s">
        <v>682</v>
      </c>
      <c r="DQ260" s="258"/>
      <c r="DR260" s="258"/>
      <c r="DS260" s="258"/>
      <c r="DT260" s="258"/>
      <c r="DU260" s="237">
        <v>0</v>
      </c>
      <c r="DX260" s="247"/>
      <c r="DY260" s="247">
        <v>0</v>
      </c>
      <c r="EA260" s="237">
        <v>1</v>
      </c>
      <c r="EB260" s="237" t="s">
        <v>859</v>
      </c>
      <c r="ED260" s="237" t="s">
        <v>687</v>
      </c>
      <c r="EE260" s="208">
        <v>1</v>
      </c>
      <c r="EF260" s="237" t="s">
        <v>688</v>
      </c>
      <c r="EG260" s="216" t="s">
        <v>733</v>
      </c>
      <c r="EH260" s="246" t="s">
        <v>734</v>
      </c>
      <c r="EI260" s="216"/>
      <c r="EJ260" s="216" t="s">
        <v>529</v>
      </c>
      <c r="EK260" s="222" t="s">
        <v>682</v>
      </c>
      <c r="EL260" s="259">
        <v>2003</v>
      </c>
      <c r="EM260" s="263">
        <v>3450</v>
      </c>
      <c r="EN260" s="260">
        <v>7023</v>
      </c>
      <c r="EO260" s="260">
        <v>1629</v>
      </c>
      <c r="ER260" s="237" t="s">
        <v>973</v>
      </c>
      <c r="ES260" s="237" t="e">
        <v>#DIV/0!</v>
      </c>
      <c r="ET260" s="237">
        <v>0.47217391304347828</v>
      </c>
      <c r="EU260" s="661">
        <v>1</v>
      </c>
      <c r="EV260" s="661" t="s">
        <v>678</v>
      </c>
      <c r="EW260" s="661">
        <v>4</v>
      </c>
      <c r="EX260" s="661">
        <v>7</v>
      </c>
      <c r="EY260" s="660">
        <v>0</v>
      </c>
      <c r="EZ260" s="256">
        <v>10</v>
      </c>
      <c r="FA260" s="247">
        <v>0.18808777429467086</v>
      </c>
      <c r="FB260" s="208">
        <v>3</v>
      </c>
      <c r="FC260" s="208">
        <v>5</v>
      </c>
      <c r="FD260" s="208">
        <v>6</v>
      </c>
      <c r="FE260" s="239" t="s">
        <v>678</v>
      </c>
      <c r="FF260" s="208">
        <v>1</v>
      </c>
      <c r="FG260" s="241">
        <v>1.2100313479623823E-3</v>
      </c>
      <c r="FH260" s="209">
        <v>0</v>
      </c>
      <c r="FI260" s="237" t="s">
        <v>678</v>
      </c>
      <c r="FJ260" s="208">
        <v>50.1</v>
      </c>
      <c r="FK260" s="208">
        <v>37.85</v>
      </c>
      <c r="FL260" s="217">
        <v>80.2</v>
      </c>
      <c r="FM260" s="208">
        <v>6.65</v>
      </c>
      <c r="FN260" s="208" t="s">
        <v>1590</v>
      </c>
      <c r="FP260" s="247" t="s">
        <v>693</v>
      </c>
      <c r="FU260" s="208">
        <v>40</v>
      </c>
      <c r="FV260" s="208">
        <v>53.5</v>
      </c>
      <c r="FW260" s="237">
        <v>77.59</v>
      </c>
      <c r="FX260" s="237">
        <v>63.4</v>
      </c>
      <c r="FY260" s="208">
        <v>37.340000000000003</v>
      </c>
      <c r="FZ260" s="208">
        <v>52.8</v>
      </c>
      <c r="GA260" s="208">
        <v>56.13</v>
      </c>
      <c r="GB260" s="208">
        <v>60.9</v>
      </c>
      <c r="GC260" s="208">
        <v>0.63</v>
      </c>
      <c r="GD260" s="208">
        <v>70.099999999999994</v>
      </c>
      <c r="GE260" s="237">
        <v>47.4</v>
      </c>
      <c r="GF260" s="237">
        <v>62.5</v>
      </c>
      <c r="GG260" s="237">
        <v>16.5</v>
      </c>
      <c r="GH260" s="237">
        <v>88.4</v>
      </c>
      <c r="GJ260" s="947"/>
      <c r="GK260" s="320"/>
      <c r="GL260" s="320"/>
      <c r="GM260" s="320"/>
      <c r="GN260" s="320"/>
      <c r="GO260" s="662">
        <v>8257</v>
      </c>
      <c r="GP260" s="663" t="str">
        <f>VLOOKUP(GS260,'BD Comarcal'!$A$6:$AV$17,48,FALSE)</f>
        <v>06</v>
      </c>
      <c r="GQ260" s="564">
        <v>0</v>
      </c>
      <c r="GR260" s="256">
        <f t="shared" si="3"/>
        <v>1</v>
      </c>
      <c r="GS260" s="237" t="s">
        <v>81</v>
      </c>
    </row>
    <row r="261" spans="1:201" s="237" customFormat="1" ht="17.25" customHeight="1">
      <c r="A261" s="236" t="s">
        <v>1591</v>
      </c>
      <c r="C261" s="238"/>
      <c r="D261" s="238">
        <v>6424</v>
      </c>
      <c r="E261" s="238">
        <v>5131</v>
      </c>
      <c r="F261" s="239">
        <v>0.7987235367372354</v>
      </c>
      <c r="G261" s="238">
        <v>4574</v>
      </c>
      <c r="H261" s="240">
        <v>3647.9747470758157</v>
      </c>
      <c r="I261" s="239">
        <v>0.7109675983386895</v>
      </c>
      <c r="J261" s="238">
        <v>836</v>
      </c>
      <c r="K261" s="238">
        <v>259</v>
      </c>
      <c r="L261" s="238">
        <v>9</v>
      </c>
      <c r="M261" s="241">
        <v>1.4009962640099626E-3</v>
      </c>
      <c r="N261" s="238">
        <v>108</v>
      </c>
      <c r="O261" s="239">
        <v>0.12918660287081341</v>
      </c>
      <c r="P261" s="237">
        <v>36</v>
      </c>
      <c r="Q261" s="237">
        <v>1</v>
      </c>
      <c r="R261" s="239">
        <v>2.7777777777777776E-2</v>
      </c>
      <c r="S261" s="238">
        <v>6514</v>
      </c>
      <c r="T261" s="436">
        <v>0</v>
      </c>
      <c r="U261" s="436">
        <v>25</v>
      </c>
      <c r="V261" s="436">
        <v>20</v>
      </c>
      <c r="W261" s="436">
        <v>45</v>
      </c>
      <c r="X261" s="238">
        <v>1054</v>
      </c>
      <c r="Y261" s="237">
        <v>0.2263</v>
      </c>
      <c r="Z261" s="238">
        <v>16302</v>
      </c>
      <c r="AA261" s="238">
        <v>15336</v>
      </c>
      <c r="AB261" s="238">
        <v>93.7</v>
      </c>
      <c r="AC261" s="238">
        <v>27</v>
      </c>
      <c r="AD261" s="238">
        <v>1507436.34</v>
      </c>
      <c r="AE261" s="238">
        <v>196222.30999999982</v>
      </c>
      <c r="AF261" s="238">
        <v>1066859.33</v>
      </c>
      <c r="AG261" s="238">
        <v>111878.3</v>
      </c>
      <c r="AH261" s="239">
        <v>0.10486696498215936</v>
      </c>
      <c r="AI261" s="247">
        <v>31.793631999999999</v>
      </c>
      <c r="AJ261" s="242">
        <v>5.8056390000000002</v>
      </c>
      <c r="AK261" s="242">
        <v>9.0374206102117063E-2</v>
      </c>
      <c r="AL261" s="242" t="s">
        <v>678</v>
      </c>
      <c r="AM261" s="242" t="s">
        <v>678</v>
      </c>
      <c r="AN261" s="242">
        <v>24243.47</v>
      </c>
      <c r="AO261" s="238">
        <v>2253.27</v>
      </c>
      <c r="AP261" s="243">
        <v>12</v>
      </c>
      <c r="AQ261" s="238"/>
      <c r="AR261" s="238">
        <v>1610.7819883593145</v>
      </c>
      <c r="AS261" s="238">
        <v>1453.9215111157289</v>
      </c>
      <c r="AT261" s="238">
        <v>60819.333333333336</v>
      </c>
      <c r="AU261" s="238">
        <v>183.51632362196716</v>
      </c>
      <c r="AV261" s="237">
        <v>1</v>
      </c>
      <c r="AW261" s="237">
        <v>1</v>
      </c>
      <c r="AX261" s="237">
        <v>1</v>
      </c>
      <c r="AY261" s="244" t="s">
        <v>673</v>
      </c>
      <c r="AZ261" s="244" t="s">
        <v>695</v>
      </c>
      <c r="BA261" s="237">
        <v>0</v>
      </c>
      <c r="BB261" s="245" t="s">
        <v>782</v>
      </c>
      <c r="BC261" s="215" t="s">
        <v>783</v>
      </c>
      <c r="BE261" s="237">
        <v>3</v>
      </c>
      <c r="BF261" s="237">
        <v>70</v>
      </c>
      <c r="BG261" s="246" t="s">
        <v>698</v>
      </c>
      <c r="BI261" s="239">
        <v>0.64048865619546247</v>
      </c>
      <c r="BJ261" s="239">
        <v>0.10820244328097731</v>
      </c>
      <c r="BK261" s="239">
        <v>0.2268760907504363</v>
      </c>
      <c r="BL261" s="239">
        <v>2.4432809773123908E-2</v>
      </c>
      <c r="BM261" s="247">
        <v>2.3647469458987787</v>
      </c>
      <c r="BN261" s="248">
        <v>0</v>
      </c>
      <c r="BO261" s="248">
        <v>0</v>
      </c>
      <c r="BP261" s="237">
        <v>0</v>
      </c>
      <c r="BQ261" s="237">
        <v>0</v>
      </c>
      <c r="BR261" s="248">
        <v>0</v>
      </c>
      <c r="BS261" s="262">
        <v>30</v>
      </c>
      <c r="BT261" s="237" t="s">
        <v>699</v>
      </c>
      <c r="BU261" s="249" t="s">
        <v>678</v>
      </c>
      <c r="BV261" s="249">
        <v>130</v>
      </c>
      <c r="BW261" s="249">
        <v>532</v>
      </c>
      <c r="BX261" s="249" t="s">
        <v>678</v>
      </c>
      <c r="BY261" s="249" t="s">
        <v>678</v>
      </c>
      <c r="BZ261" s="249">
        <v>12.264150943396226</v>
      </c>
      <c r="CA261" s="249">
        <v>50.188679245283019</v>
      </c>
      <c r="CB261" s="249" t="s">
        <v>678</v>
      </c>
      <c r="CC261" s="250" t="s">
        <v>678</v>
      </c>
      <c r="CD261" s="242" t="s">
        <v>678</v>
      </c>
      <c r="CE261" s="252" t="s">
        <v>678</v>
      </c>
      <c r="CF261" s="238">
        <v>540</v>
      </c>
      <c r="CG261" s="238">
        <v>39.200000000000003</v>
      </c>
      <c r="CH261" s="238">
        <v>3.6981132075471703</v>
      </c>
      <c r="CI261" s="216" t="s">
        <v>722</v>
      </c>
      <c r="CJ261" s="237">
        <v>1</v>
      </c>
      <c r="CK261" s="253">
        <v>34.32</v>
      </c>
      <c r="CL261" s="253">
        <v>15.478899999999999</v>
      </c>
      <c r="CM261" s="254">
        <v>2.4095423412204232E-3</v>
      </c>
      <c r="CN261" s="237" t="s">
        <v>82</v>
      </c>
      <c r="CO261" s="242">
        <v>336.4</v>
      </c>
      <c r="CP261" s="255">
        <v>5.2366127023661266E-2</v>
      </c>
      <c r="CV261" s="237">
        <v>4</v>
      </c>
      <c r="CW261" s="261" t="s">
        <v>678</v>
      </c>
      <c r="CX261" s="261" t="s">
        <v>678</v>
      </c>
      <c r="CY261" s="261" t="s">
        <v>678</v>
      </c>
      <c r="DB261" s="216"/>
      <c r="DC261" s="195" t="s">
        <v>1592</v>
      </c>
      <c r="DD261" s="256">
        <v>0.8</v>
      </c>
      <c r="DE261" s="256">
        <v>-10</v>
      </c>
      <c r="DF261" s="256">
        <v>0.5</v>
      </c>
      <c r="DG261" s="256">
        <v>-2.2999999999999998</v>
      </c>
      <c r="DH261" s="257">
        <v>2</v>
      </c>
      <c r="DI261" s="257">
        <v>14.9</v>
      </c>
      <c r="DJ261" s="257">
        <v>2.5</v>
      </c>
      <c r="DK261" s="257">
        <v>17.399999999999999</v>
      </c>
      <c r="DL261" s="237" t="s">
        <v>529</v>
      </c>
      <c r="DN261" s="237" t="s">
        <v>770</v>
      </c>
      <c r="DP261" s="258" t="s">
        <v>682</v>
      </c>
      <c r="DQ261" s="258"/>
      <c r="DR261" s="258"/>
      <c r="DS261" s="258"/>
      <c r="DT261" s="258"/>
      <c r="DU261" s="237">
        <v>0</v>
      </c>
      <c r="DX261" s="247"/>
      <c r="DY261" s="247">
        <v>0</v>
      </c>
      <c r="EA261" s="237">
        <v>0</v>
      </c>
      <c r="ED261" s="237" t="s">
        <v>1497</v>
      </c>
      <c r="EE261" s="208">
        <v>3</v>
      </c>
      <c r="EF261" s="237" t="s">
        <v>688</v>
      </c>
      <c r="EG261" s="216" t="s">
        <v>703</v>
      </c>
      <c r="EH261" s="246" t="s">
        <v>704</v>
      </c>
      <c r="EI261" s="216"/>
      <c r="EJ261" s="216" t="s">
        <v>529</v>
      </c>
      <c r="EK261" s="222" t="s">
        <v>682</v>
      </c>
      <c r="EL261" s="259">
        <v>1993</v>
      </c>
      <c r="EM261" s="263">
        <v>530</v>
      </c>
      <c r="EN261" s="260">
        <v>35832</v>
      </c>
      <c r="EO261" s="260">
        <v>32704</v>
      </c>
      <c r="ER261" s="237" t="s">
        <v>705</v>
      </c>
      <c r="ES261" s="237" t="e">
        <v>#DIV/0!</v>
      </c>
      <c r="ET261" s="237">
        <v>61.705660377358491</v>
      </c>
      <c r="EU261" s="661">
        <v>3</v>
      </c>
      <c r="EV261" s="661" t="s">
        <v>678</v>
      </c>
      <c r="EW261" s="661">
        <v>1</v>
      </c>
      <c r="EX261" s="661">
        <v>3</v>
      </c>
      <c r="EY261" s="660">
        <v>5.342465753424658E-3</v>
      </c>
      <c r="EZ261" s="256">
        <v>30.885780885780886</v>
      </c>
      <c r="FA261" s="247">
        <v>7.7957513155330352E-2</v>
      </c>
      <c r="FB261" s="208">
        <v>3</v>
      </c>
      <c r="FC261" s="208">
        <v>5</v>
      </c>
      <c r="FD261" s="208">
        <v>4</v>
      </c>
      <c r="FE261" s="239">
        <v>0.89144416293120254</v>
      </c>
      <c r="FF261" s="208"/>
      <c r="FG261" s="241">
        <v>3.3911518222568696E-3</v>
      </c>
      <c r="FH261" s="209">
        <v>0</v>
      </c>
      <c r="FI261" s="237" t="s">
        <v>678</v>
      </c>
      <c r="FJ261" s="208">
        <v>63.1</v>
      </c>
      <c r="FK261" s="208">
        <v>0</v>
      </c>
      <c r="FL261" s="217">
        <v>9.6999999999999993</v>
      </c>
      <c r="FM261" s="208">
        <v>8.19</v>
      </c>
      <c r="FN261" s="208" t="s">
        <v>1593</v>
      </c>
      <c r="FP261" s="247" t="s">
        <v>693</v>
      </c>
      <c r="FU261" s="208">
        <v>49</v>
      </c>
      <c r="FV261" s="208">
        <v>73.8</v>
      </c>
      <c r="FW261" s="237">
        <v>87.62</v>
      </c>
      <c r="FX261" s="237">
        <v>78.599999999999994</v>
      </c>
      <c r="FY261" s="208">
        <v>74.069999999999993</v>
      </c>
      <c r="FZ261" s="208">
        <v>76.900000000000006</v>
      </c>
      <c r="GA261" s="208">
        <v>75.03</v>
      </c>
      <c r="GB261" s="208">
        <v>85.1</v>
      </c>
      <c r="GC261" s="208">
        <v>0.18</v>
      </c>
      <c r="GD261" s="208">
        <v>37.6</v>
      </c>
      <c r="GE261" s="237">
        <v>67.739999999999995</v>
      </c>
      <c r="GF261" s="237">
        <v>84.3</v>
      </c>
      <c r="GG261" s="237">
        <v>14.3</v>
      </c>
      <c r="GH261" s="237">
        <v>84</v>
      </c>
      <c r="GJ261" s="947"/>
      <c r="GK261" s="320"/>
      <c r="GL261" s="320"/>
      <c r="GM261" s="320"/>
      <c r="GN261" s="320"/>
      <c r="GO261" s="662">
        <v>8258</v>
      </c>
      <c r="GP261" s="663" t="str">
        <f>VLOOKUP(GS261,'BD Comarcal'!$A$6:$AV$17,48,FALSE)</f>
        <v>42</v>
      </c>
      <c r="GQ261" s="567">
        <v>8</v>
      </c>
      <c r="GR261" s="256">
        <f t="shared" si="3"/>
        <v>1</v>
      </c>
      <c r="GS261" s="237" t="s">
        <v>87</v>
      </c>
    </row>
    <row r="262" spans="1:201" s="237" customFormat="1" ht="17.25" customHeight="1">
      <c r="A262" s="236" t="s">
        <v>1594</v>
      </c>
      <c r="C262" s="238"/>
      <c r="D262" s="238">
        <v>1705</v>
      </c>
      <c r="E262" s="238">
        <v>888</v>
      </c>
      <c r="F262" s="239">
        <v>0.52082111436950151</v>
      </c>
      <c r="G262" s="238">
        <v>827</v>
      </c>
      <c r="H262" s="240">
        <v>54.116516429531053</v>
      </c>
      <c r="I262" s="239">
        <v>6.0942023006228661E-2</v>
      </c>
      <c r="J262" s="238">
        <v>296</v>
      </c>
      <c r="K262" s="238">
        <v>28</v>
      </c>
      <c r="L262" s="238">
        <v>107</v>
      </c>
      <c r="M262" s="241">
        <v>6.2756598240469211E-2</v>
      </c>
      <c r="N262" s="238">
        <v>0</v>
      </c>
      <c r="O262" s="239">
        <v>0</v>
      </c>
      <c r="P262" s="237">
        <v>19</v>
      </c>
      <c r="Q262" s="237">
        <v>1</v>
      </c>
      <c r="R262" s="239">
        <v>5.2631578947368418E-2</v>
      </c>
      <c r="S262" s="238">
        <v>1041</v>
      </c>
      <c r="T262" s="436">
        <v>0</v>
      </c>
      <c r="U262" s="436">
        <v>4</v>
      </c>
      <c r="V262" s="436">
        <v>32</v>
      </c>
      <c r="W262" s="436">
        <v>36</v>
      </c>
      <c r="X262" s="238">
        <v>9194</v>
      </c>
      <c r="Y262" s="237">
        <v>0.14849999999999999</v>
      </c>
      <c r="Z262" s="238">
        <v>116994</v>
      </c>
      <c r="AA262" s="238">
        <v>12852</v>
      </c>
      <c r="AB262" s="238">
        <v>78.53</v>
      </c>
      <c r="AC262" s="238">
        <v>837</v>
      </c>
      <c r="AD262" s="238">
        <v>9538138.2299999986</v>
      </c>
      <c r="AE262" s="238">
        <v>993247.74999999814</v>
      </c>
      <c r="AF262" s="238">
        <v>8643967.8100000005</v>
      </c>
      <c r="AG262" s="238">
        <v>999653.79</v>
      </c>
      <c r="AH262" s="239">
        <v>0.11564756046910822</v>
      </c>
      <c r="AI262" s="247">
        <v>307.92322899999999</v>
      </c>
      <c r="AJ262" s="242">
        <v>47.436014999999998</v>
      </c>
      <c r="AK262" s="242">
        <v>2.7821709677419353</v>
      </c>
      <c r="AL262" s="242">
        <v>111.499865</v>
      </c>
      <c r="AM262" s="242">
        <v>6.5395815249266853</v>
      </c>
      <c r="AN262" s="242">
        <v>35300.29</v>
      </c>
      <c r="AO262" s="238">
        <v>9007.6200000000008</v>
      </c>
      <c r="AP262" s="243">
        <v>27</v>
      </c>
      <c r="AQ262" s="238"/>
      <c r="AR262" s="238">
        <v>1409.1863076851496</v>
      </c>
      <c r="AS262" s="238">
        <v>2212.6832092429481</v>
      </c>
      <c r="AT262" s="238">
        <v>546917.44109589036</v>
      </c>
      <c r="AU262" s="238">
        <v>274.67882248452577</v>
      </c>
      <c r="AV262" s="237">
        <v>1</v>
      </c>
      <c r="AW262" s="237">
        <v>0</v>
      </c>
      <c r="AX262" s="237">
        <v>1</v>
      </c>
      <c r="AY262" s="244" t="s">
        <v>717</v>
      </c>
      <c r="AZ262" s="244" t="s">
        <v>673</v>
      </c>
      <c r="BA262" s="237">
        <v>2011</v>
      </c>
      <c r="BB262" s="245" t="s">
        <v>1595</v>
      </c>
      <c r="BC262" s="215" t="s">
        <v>1596</v>
      </c>
      <c r="BD262" s="237">
        <v>1</v>
      </c>
      <c r="BE262" s="237">
        <v>2</v>
      </c>
      <c r="BF262" s="237">
        <v>39</v>
      </c>
      <c r="BG262" s="246" t="s">
        <v>698</v>
      </c>
      <c r="BI262" s="239">
        <v>0.35856952634582462</v>
      </c>
      <c r="BJ262" s="239">
        <v>0.10709530150275823</v>
      </c>
      <c r="BK262" s="239">
        <v>0.50237778200494576</v>
      </c>
      <c r="BL262" s="239">
        <v>3.1957390146471372E-2</v>
      </c>
      <c r="BM262" s="247">
        <v>1.7922769640479361</v>
      </c>
      <c r="BN262" s="248">
        <v>0</v>
      </c>
      <c r="BO262" s="248">
        <v>0</v>
      </c>
      <c r="BP262" s="237">
        <v>0</v>
      </c>
      <c r="BQ262" s="237">
        <v>0</v>
      </c>
      <c r="BR262" s="248">
        <v>0</v>
      </c>
      <c r="BS262" s="237">
        <v>25</v>
      </c>
      <c r="BT262" s="237" t="s">
        <v>729</v>
      </c>
      <c r="BU262" s="249">
        <v>640</v>
      </c>
      <c r="BV262" s="249">
        <v>844</v>
      </c>
      <c r="BW262" s="249">
        <v>4697</v>
      </c>
      <c r="BX262" s="249" t="s">
        <v>678</v>
      </c>
      <c r="BY262" s="249">
        <v>6.9603045133224581</v>
      </c>
      <c r="BZ262" s="249">
        <v>9.178901576943991</v>
      </c>
      <c r="CA262" s="249">
        <v>51.082109842305599</v>
      </c>
      <c r="CB262" s="249" t="s">
        <v>678</v>
      </c>
      <c r="CC262" s="250">
        <v>90.320826536160951</v>
      </c>
      <c r="CD262" s="242">
        <v>-414</v>
      </c>
      <c r="CE262" s="252">
        <v>95.49755301794454</v>
      </c>
      <c r="CF262" s="238">
        <v>4176</v>
      </c>
      <c r="CG262" s="238">
        <v>744</v>
      </c>
      <c r="CH262" s="238">
        <v>8.0913539967373573</v>
      </c>
      <c r="CI262" s="216" t="s">
        <v>700</v>
      </c>
      <c r="CJ262" s="237">
        <v>0</v>
      </c>
      <c r="CK262" s="253">
        <v>309.64999999999998</v>
      </c>
      <c r="CL262" s="253">
        <v>44.897399999999998</v>
      </c>
      <c r="CM262" s="254">
        <v>2.6332785923753665E-2</v>
      </c>
      <c r="CN262" s="237" t="s">
        <v>24</v>
      </c>
      <c r="CO262" s="242"/>
      <c r="CP262" s="255">
        <v>0</v>
      </c>
      <c r="CV262" s="237">
        <v>9</v>
      </c>
      <c r="CW262" s="194">
        <v>0.77300000000000002</v>
      </c>
      <c r="CX262" s="194">
        <v>0.63500000000000001</v>
      </c>
      <c r="CY262" s="194" t="s">
        <v>680</v>
      </c>
      <c r="DB262" s="216" t="s">
        <v>681</v>
      </c>
      <c r="DC262" s="256"/>
      <c r="DD262" s="256">
        <v>0.8</v>
      </c>
      <c r="DE262" s="256">
        <v>-10</v>
      </c>
      <c r="DF262" s="256">
        <v>0.5</v>
      </c>
      <c r="DG262" s="256">
        <v>-2.2999999999999998</v>
      </c>
      <c r="DH262" s="257">
        <v>2</v>
      </c>
      <c r="DI262" s="257">
        <v>2.9</v>
      </c>
      <c r="DJ262" s="257">
        <v>0</v>
      </c>
      <c r="DK262" s="257">
        <v>2.9</v>
      </c>
      <c r="DL262" s="237" t="s">
        <v>682</v>
      </c>
      <c r="DO262" s="237">
        <v>1</v>
      </c>
      <c r="DP262" s="258" t="s">
        <v>682</v>
      </c>
      <c r="DQ262" s="258"/>
      <c r="DR262" s="258"/>
      <c r="DS262" s="258"/>
      <c r="DT262" s="258"/>
      <c r="DU262" s="237">
        <v>0</v>
      </c>
      <c r="DX262" s="247"/>
      <c r="DY262" s="247">
        <v>0</v>
      </c>
      <c r="EA262" s="237">
        <v>0</v>
      </c>
      <c r="ED262" s="237" t="s">
        <v>732</v>
      </c>
      <c r="EE262" s="208">
        <v>1</v>
      </c>
      <c r="EF262" s="237" t="s">
        <v>688</v>
      </c>
      <c r="EG262" s="216" t="s">
        <v>691</v>
      </c>
      <c r="EH262" s="246" t="s">
        <v>690</v>
      </c>
      <c r="EI262" s="216" t="s">
        <v>691</v>
      </c>
      <c r="EJ262" s="216" t="s">
        <v>529</v>
      </c>
      <c r="EK262" s="222" t="s">
        <v>529</v>
      </c>
      <c r="EL262" s="259">
        <v>2011</v>
      </c>
      <c r="EM262" s="260">
        <v>12194</v>
      </c>
      <c r="EN262" s="260">
        <v>415916</v>
      </c>
      <c r="EO262" s="260">
        <v>185280</v>
      </c>
      <c r="ER262" s="237" t="s">
        <v>705</v>
      </c>
      <c r="ES262" s="237" t="e">
        <v>#DIV/0!</v>
      </c>
      <c r="ET262" s="237">
        <v>15.194357880925045</v>
      </c>
      <c r="EU262" s="661">
        <v>1</v>
      </c>
      <c r="EV262" s="661">
        <v>2</v>
      </c>
      <c r="EW262" s="661">
        <v>5</v>
      </c>
      <c r="EX262" s="661">
        <v>4</v>
      </c>
      <c r="EY262" s="660">
        <v>0.18161290322580645</v>
      </c>
      <c r="EZ262" s="256">
        <v>29.694816728564511</v>
      </c>
      <c r="FA262" s="247">
        <v>1.0135135135135136</v>
      </c>
      <c r="FB262" s="208">
        <v>4</v>
      </c>
      <c r="FC262" s="208">
        <v>4</v>
      </c>
      <c r="FD262" s="208">
        <v>6</v>
      </c>
      <c r="FE262" s="239">
        <v>0.93130630630630629</v>
      </c>
      <c r="FF262" s="208"/>
      <c r="FG262" s="241">
        <v>3.2657657657657658E-3</v>
      </c>
      <c r="FH262" s="209">
        <v>0</v>
      </c>
      <c r="FI262" s="237" t="s">
        <v>678</v>
      </c>
      <c r="FJ262" s="208">
        <v>55.7</v>
      </c>
      <c r="FK262" s="208">
        <v>0</v>
      </c>
      <c r="FL262" s="217">
        <v>9.9</v>
      </c>
      <c r="FM262" s="208">
        <v>4.2300000000000004</v>
      </c>
      <c r="FN262" s="208" t="s">
        <v>1597</v>
      </c>
      <c r="FP262" s="247" t="s">
        <v>693</v>
      </c>
      <c r="FU262" s="208">
        <v>43</v>
      </c>
      <c r="FV262" s="208">
        <v>61.3</v>
      </c>
      <c r="FW262" s="237">
        <v>75</v>
      </c>
      <c r="FX262" s="237">
        <v>60.1</v>
      </c>
      <c r="FY262" s="208">
        <v>30.4</v>
      </c>
      <c r="FZ262" s="208">
        <v>47.2</v>
      </c>
      <c r="GA262" s="208">
        <v>43.92</v>
      </c>
      <c r="GB262" s="208">
        <v>43.4</v>
      </c>
      <c r="GC262" s="208">
        <v>0.82</v>
      </c>
      <c r="GD262" s="208">
        <v>80.3</v>
      </c>
      <c r="GE262" s="237">
        <v>34.200000000000003</v>
      </c>
      <c r="GF262" s="237">
        <v>40.799999999999997</v>
      </c>
      <c r="GG262" s="237">
        <v>13.69</v>
      </c>
      <c r="GH262" s="237">
        <v>82.1</v>
      </c>
      <c r="GJ262" s="947">
        <v>181</v>
      </c>
      <c r="GK262" s="320">
        <v>3.0000000000000001E-3</v>
      </c>
      <c r="GL262" s="320">
        <v>0.32500000000000001</v>
      </c>
      <c r="GM262" s="320">
        <v>7.6999999999999999E-2</v>
      </c>
      <c r="GN262" s="320">
        <v>0.59599999999999997</v>
      </c>
      <c r="GO262" s="662">
        <v>8259</v>
      </c>
      <c r="GP262" s="663" t="str">
        <f>VLOOKUP(GS262,'BD Comarcal'!$A$6:$AV$17,48,FALSE)</f>
        <v>41</v>
      </c>
      <c r="GQ262" s="564">
        <v>70</v>
      </c>
      <c r="GR262" s="256">
        <f t="shared" si="3"/>
        <v>1</v>
      </c>
      <c r="GS262" s="237" t="s">
        <v>24</v>
      </c>
    </row>
    <row r="263" spans="1:201" s="237" customFormat="1" ht="17.25" customHeight="1">
      <c r="A263" s="236" t="s">
        <v>1598</v>
      </c>
      <c r="C263" s="238"/>
      <c r="D263" s="238">
        <v>1570</v>
      </c>
      <c r="E263" s="238">
        <v>152</v>
      </c>
      <c r="F263" s="239">
        <v>9.6815286624203828E-2</v>
      </c>
      <c r="G263" s="238">
        <v>63</v>
      </c>
      <c r="H263" s="240">
        <v>0</v>
      </c>
      <c r="I263" s="239">
        <v>0</v>
      </c>
      <c r="J263" s="238">
        <v>736</v>
      </c>
      <c r="K263" s="238">
        <v>15</v>
      </c>
      <c r="L263" s="238">
        <v>25</v>
      </c>
      <c r="M263" s="241">
        <v>1.5923566878980892E-2</v>
      </c>
      <c r="N263" s="238">
        <v>17</v>
      </c>
      <c r="O263" s="239">
        <v>2.309782608695652E-2</v>
      </c>
      <c r="P263" s="237">
        <v>18</v>
      </c>
      <c r="Q263" s="237">
        <v>1</v>
      </c>
      <c r="R263" s="239">
        <v>5.5555555555555552E-2</v>
      </c>
      <c r="S263" s="238">
        <v>1234</v>
      </c>
      <c r="T263" s="436">
        <v>0</v>
      </c>
      <c r="U263" s="436">
        <v>0</v>
      </c>
      <c r="V263" s="436">
        <v>152</v>
      </c>
      <c r="W263" s="436">
        <v>152</v>
      </c>
      <c r="X263" s="238">
        <v>25556</v>
      </c>
      <c r="Y263" s="237">
        <v>0.1298</v>
      </c>
      <c r="Z263" s="238">
        <v>338144</v>
      </c>
      <c r="AA263" s="238">
        <v>13278</v>
      </c>
      <c r="AB263" s="238">
        <v>81.13</v>
      </c>
      <c r="AC263" s="238">
        <v>9247</v>
      </c>
      <c r="AD263" s="238">
        <v>36313390.850000001</v>
      </c>
      <c r="AE263" s="238">
        <v>141870.00000000745</v>
      </c>
      <c r="AF263" s="238">
        <v>33429334.009999998</v>
      </c>
      <c r="AG263" s="238">
        <v>2988398.14</v>
      </c>
      <c r="AH263" s="239">
        <v>8.9394486264849179E-2</v>
      </c>
      <c r="AI263" s="247">
        <v>689.01977399999998</v>
      </c>
      <c r="AJ263" s="242">
        <v>284.31243000000001</v>
      </c>
      <c r="AK263" s="242">
        <v>18.109071974522294</v>
      </c>
      <c r="AL263" s="242" t="s">
        <v>678</v>
      </c>
      <c r="AM263" s="242" t="s">
        <v>678</v>
      </c>
      <c r="AN263" s="242">
        <v>86330.72</v>
      </c>
      <c r="AO263" s="238">
        <v>5801.35</v>
      </c>
      <c r="AP263" s="243">
        <v>19</v>
      </c>
      <c r="AQ263" s="238"/>
      <c r="AR263" s="238">
        <v>1102.5358132182682</v>
      </c>
      <c r="AS263" s="238">
        <v>1809.956781544691</v>
      </c>
      <c r="AT263" s="238">
        <v>1891872.6666666667</v>
      </c>
      <c r="AU263" s="238">
        <v>244.17585530030394</v>
      </c>
      <c r="AV263" s="237">
        <v>1</v>
      </c>
      <c r="AW263" s="237">
        <v>0</v>
      </c>
      <c r="AX263" s="237">
        <v>1</v>
      </c>
      <c r="AY263" s="244" t="s">
        <v>695</v>
      </c>
      <c r="AZ263" s="244" t="s">
        <v>673</v>
      </c>
      <c r="BA263" s="237">
        <v>2010</v>
      </c>
      <c r="BB263" s="245" t="s">
        <v>1317</v>
      </c>
      <c r="BC263" s="215" t="s">
        <v>1318</v>
      </c>
      <c r="BE263" s="237">
        <v>39</v>
      </c>
      <c r="BF263" s="237">
        <v>37</v>
      </c>
      <c r="BG263" s="246" t="s">
        <v>676</v>
      </c>
      <c r="BI263" s="239">
        <v>0.32317492037719353</v>
      </c>
      <c r="BJ263" s="239">
        <v>6.5197027415225123E-2</v>
      </c>
      <c r="BK263" s="239">
        <v>0.582339349278711</v>
      </c>
      <c r="BL263" s="239">
        <v>2.9288702928870293E-2</v>
      </c>
      <c r="BM263" s="247">
        <v>1.6822581652407418</v>
      </c>
      <c r="BN263" s="248">
        <v>0</v>
      </c>
      <c r="BO263" s="248">
        <v>1</v>
      </c>
      <c r="BP263" s="237">
        <v>0</v>
      </c>
      <c r="BQ263" s="237">
        <v>0</v>
      </c>
      <c r="BR263" s="248">
        <v>1</v>
      </c>
      <c r="BS263" s="237">
        <v>8.5</v>
      </c>
      <c r="BT263" s="237" t="s">
        <v>947</v>
      </c>
      <c r="BU263" s="249">
        <v>2655</v>
      </c>
      <c r="BV263" s="249">
        <v>2649</v>
      </c>
      <c r="BW263" s="249">
        <v>12455</v>
      </c>
      <c r="BX263" s="249">
        <v>2483</v>
      </c>
      <c r="BY263" s="249">
        <v>10.422800612413143</v>
      </c>
      <c r="BZ263" s="249">
        <v>10.399246260746674</v>
      </c>
      <c r="CA263" s="249">
        <v>48.894908334314763</v>
      </c>
      <c r="CB263" s="249">
        <v>9.7475758646409929</v>
      </c>
      <c r="CC263" s="250">
        <v>100.96180269304755</v>
      </c>
      <c r="CD263" s="242">
        <v>755</v>
      </c>
      <c r="CE263" s="252">
        <v>102.96392258469753</v>
      </c>
      <c r="CF263" s="238">
        <v>9845</v>
      </c>
      <c r="CG263" s="238">
        <v>2215.9</v>
      </c>
      <c r="CH263" s="238">
        <v>8.6990146429552855</v>
      </c>
      <c r="CI263" s="216" t="s">
        <v>679</v>
      </c>
      <c r="CJ263" s="237">
        <v>0</v>
      </c>
      <c r="CK263" s="253">
        <v>384</v>
      </c>
      <c r="CL263" s="253">
        <v>257.39069999999998</v>
      </c>
      <c r="CM263" s="254">
        <v>0.16394312101910827</v>
      </c>
      <c r="CN263" s="237" t="s">
        <v>89</v>
      </c>
      <c r="CO263" s="242">
        <v>121.77</v>
      </c>
      <c r="CP263" s="255">
        <v>7.7560509554140122E-2</v>
      </c>
      <c r="CV263" s="237">
        <v>12</v>
      </c>
      <c r="CW263" s="194">
        <v>0.55100000000000005</v>
      </c>
      <c r="CX263" s="194">
        <v>0.63500000000000001</v>
      </c>
      <c r="CY263" s="194">
        <v>0.155</v>
      </c>
      <c r="DB263" s="216" t="s">
        <v>1017</v>
      </c>
      <c r="DC263" s="195" t="s">
        <v>1018</v>
      </c>
      <c r="DD263" s="256">
        <v>0.7</v>
      </c>
      <c r="DE263" s="256">
        <v>-6.5</v>
      </c>
      <c r="DF263" s="256">
        <v>0.7</v>
      </c>
      <c r="DG263" s="256">
        <v>-2.2000000000000002</v>
      </c>
      <c r="DL263" s="237" t="s">
        <v>682</v>
      </c>
      <c r="DP263" s="258" t="s">
        <v>682</v>
      </c>
      <c r="DQ263" s="258"/>
      <c r="DR263" s="258"/>
      <c r="DS263" s="258"/>
      <c r="DT263" s="258"/>
      <c r="DU263" s="237">
        <v>0</v>
      </c>
      <c r="DX263" s="247"/>
      <c r="DY263" s="247">
        <v>0</v>
      </c>
      <c r="EA263" s="237">
        <v>0</v>
      </c>
      <c r="ED263" s="237" t="s">
        <v>678</v>
      </c>
      <c r="EE263" s="208">
        <v>4</v>
      </c>
      <c r="EF263" s="237" t="s">
        <v>678</v>
      </c>
      <c r="EG263" s="216" t="s">
        <v>691</v>
      </c>
      <c r="EH263" s="246" t="s">
        <v>690</v>
      </c>
      <c r="EI263" s="216"/>
      <c r="EJ263" s="216" t="s">
        <v>529</v>
      </c>
      <c r="EK263" s="222" t="s">
        <v>682</v>
      </c>
      <c r="EL263" s="259">
        <v>1997</v>
      </c>
      <c r="EM263" s="263">
        <v>5850</v>
      </c>
      <c r="EN263" s="260">
        <v>985631</v>
      </c>
      <c r="EO263" s="260">
        <v>941425</v>
      </c>
      <c r="ER263" s="237" t="s">
        <v>705</v>
      </c>
      <c r="ES263" s="237">
        <v>25473</v>
      </c>
      <c r="ET263" s="237">
        <v>160.92735042735043</v>
      </c>
      <c r="EU263" s="661">
        <v>3</v>
      </c>
      <c r="EV263" s="661">
        <v>2</v>
      </c>
      <c r="EW263" s="661">
        <v>6</v>
      </c>
      <c r="EX263" s="661">
        <v>9</v>
      </c>
      <c r="EY263" s="660">
        <v>0.2445859872611465</v>
      </c>
      <c r="EZ263" s="256">
        <v>66.3359375</v>
      </c>
      <c r="FA263" s="247">
        <v>7.8947368421052628</v>
      </c>
      <c r="FB263" s="208">
        <v>6</v>
      </c>
      <c r="FC263" s="208">
        <v>3</v>
      </c>
      <c r="FD263" s="208">
        <v>9</v>
      </c>
      <c r="FE263" s="239">
        <v>0.41447368421052633</v>
      </c>
      <c r="FF263" s="208"/>
      <c r="FG263" s="241">
        <v>0</v>
      </c>
      <c r="FH263" s="209">
        <v>0</v>
      </c>
      <c r="FI263" s="237" t="s">
        <v>678</v>
      </c>
      <c r="FJ263" s="208" t="s">
        <v>678</v>
      </c>
      <c r="FK263" s="208" t="s">
        <v>678</v>
      </c>
      <c r="FL263" s="217" t="s">
        <v>678</v>
      </c>
      <c r="FM263" s="208" t="s">
        <v>678</v>
      </c>
      <c r="FN263" s="208" t="s">
        <v>678</v>
      </c>
      <c r="FP263" s="247" t="s">
        <v>693</v>
      </c>
      <c r="FU263" s="208" t="s">
        <v>678</v>
      </c>
      <c r="FV263" s="208" t="s">
        <v>678</v>
      </c>
      <c r="FW263" s="208" t="s">
        <v>678</v>
      </c>
      <c r="FX263" s="208" t="s">
        <v>678</v>
      </c>
      <c r="FY263" s="208" t="s">
        <v>678</v>
      </c>
      <c r="FZ263" s="208" t="s">
        <v>678</v>
      </c>
      <c r="GA263" s="208" t="s">
        <v>678</v>
      </c>
      <c r="GB263" s="208" t="s">
        <v>678</v>
      </c>
      <c r="GC263" s="208" t="s">
        <v>678</v>
      </c>
      <c r="GD263" s="208" t="s">
        <v>678</v>
      </c>
      <c r="GE263" s="237" t="s">
        <v>678</v>
      </c>
      <c r="GF263" s="237" t="s">
        <v>678</v>
      </c>
      <c r="GG263" s="237" t="s">
        <v>678</v>
      </c>
      <c r="GH263" s="237" t="s">
        <v>678</v>
      </c>
      <c r="GJ263" s="947">
        <v>1175</v>
      </c>
      <c r="GK263" s="320">
        <v>1E-3</v>
      </c>
      <c r="GL263" s="320">
        <v>0.44400000000000001</v>
      </c>
      <c r="GM263" s="320">
        <v>2.1999999999999999E-2</v>
      </c>
      <c r="GN263" s="320">
        <v>0.53300000000000003</v>
      </c>
      <c r="GO263" s="662">
        <v>8260</v>
      </c>
      <c r="GP263" s="663" t="str">
        <f>VLOOKUP(GS263,'BD Comarcal'!$A$6:$AV$17,48,FALSE)</f>
        <v>40</v>
      </c>
      <c r="GQ263" s="564">
        <v>161</v>
      </c>
      <c r="GR263" s="256">
        <f t="shared" ref="GR263:GR321" si="4">IF(DI263&gt;0,1,0)</f>
        <v>0</v>
      </c>
      <c r="GS263" s="237" t="s">
        <v>89</v>
      </c>
    </row>
    <row r="264" spans="1:201" s="237" customFormat="1" ht="17.25" customHeight="1">
      <c r="A264" s="236" t="s">
        <v>354</v>
      </c>
      <c r="C264" s="238" t="s">
        <v>683</v>
      </c>
      <c r="D264" s="238">
        <v>1245</v>
      </c>
      <c r="E264" s="238">
        <v>919</v>
      </c>
      <c r="F264" s="239">
        <v>0.73815261044176705</v>
      </c>
      <c r="G264" s="238">
        <v>840</v>
      </c>
      <c r="H264" s="240">
        <v>10.197152010980885</v>
      </c>
      <c r="I264" s="239">
        <v>1.109592166592044E-2</v>
      </c>
      <c r="J264" s="238">
        <v>105</v>
      </c>
      <c r="K264" s="238">
        <v>2</v>
      </c>
      <c r="L264" s="238">
        <v>60</v>
      </c>
      <c r="M264" s="241">
        <v>4.8192771084337352E-2</v>
      </c>
      <c r="N264" s="238">
        <v>0</v>
      </c>
      <c r="O264" s="239">
        <v>0</v>
      </c>
      <c r="P264" s="237">
        <v>6</v>
      </c>
      <c r="Q264" s="237">
        <v>1</v>
      </c>
      <c r="R264" s="239">
        <v>0.16666666666666666</v>
      </c>
      <c r="S264" s="238">
        <v>156</v>
      </c>
      <c r="T264" s="436">
        <v>3066</v>
      </c>
      <c r="U264" s="436">
        <v>22</v>
      </c>
      <c r="V264" s="436">
        <v>9563</v>
      </c>
      <c r="W264" s="436">
        <v>12651</v>
      </c>
      <c r="X264" s="238">
        <v>3323</v>
      </c>
      <c r="Y264" s="237">
        <v>0.15429999999999999</v>
      </c>
      <c r="Z264" s="238">
        <v>64540</v>
      </c>
      <c r="AA264" s="238">
        <v>19707</v>
      </c>
      <c r="AB264" s="238">
        <v>120.41</v>
      </c>
      <c r="AC264" s="238">
        <v>10332</v>
      </c>
      <c r="AD264" s="238">
        <v>9825183.2699999996</v>
      </c>
      <c r="AE264" s="238">
        <v>2681873.9700000016</v>
      </c>
      <c r="AF264" s="238">
        <v>6983357.3199999994</v>
      </c>
      <c r="AG264" s="238">
        <v>133184.06</v>
      </c>
      <c r="AH264" s="239">
        <v>1.9071637594508771E-2</v>
      </c>
      <c r="AI264" s="247">
        <v>114.952315</v>
      </c>
      <c r="AJ264" s="242">
        <v>76.336412999999993</v>
      </c>
      <c r="AK264" s="242">
        <v>6.1314387951807223</v>
      </c>
      <c r="AL264" s="242">
        <v>162.01801499999999</v>
      </c>
      <c r="AM264" s="242">
        <v>13.013495180722892</v>
      </c>
      <c r="AN264" s="242">
        <v>14808.81</v>
      </c>
      <c r="AO264" s="238">
        <v>2392.36</v>
      </c>
      <c r="AP264" s="243">
        <v>7</v>
      </c>
      <c r="AQ264" s="238"/>
      <c r="AR264" s="238">
        <v>1911.4696985001892</v>
      </c>
      <c r="AS264" s="238">
        <v>1715.4009646373527</v>
      </c>
      <c r="AT264" s="238">
        <v>666231</v>
      </c>
      <c r="AU264" s="238">
        <v>421.03872761653827</v>
      </c>
      <c r="AV264" s="237">
        <v>1</v>
      </c>
      <c r="AW264" s="237">
        <v>0</v>
      </c>
      <c r="AX264" s="237">
        <v>1</v>
      </c>
      <c r="AY264" s="244" t="s">
        <v>717</v>
      </c>
      <c r="AZ264" s="244" t="s">
        <v>682</v>
      </c>
      <c r="BA264" s="237">
        <v>2012</v>
      </c>
      <c r="BB264" s="245" t="s">
        <v>877</v>
      </c>
      <c r="BC264" s="215" t="s">
        <v>878</v>
      </c>
      <c r="BE264" s="237">
        <v>62</v>
      </c>
      <c r="BF264" s="237">
        <v>0</v>
      </c>
      <c r="BG264" s="246" t="s">
        <v>676</v>
      </c>
      <c r="BI264" s="239">
        <v>0.41213527851458887</v>
      </c>
      <c r="BJ264" s="239">
        <v>0.1933023872679045</v>
      </c>
      <c r="BK264" s="239">
        <v>0.38328912466843501</v>
      </c>
      <c r="BL264" s="239">
        <v>1.1273209549071617E-2</v>
      </c>
      <c r="BM264" s="247">
        <v>2.0062997347480107</v>
      </c>
      <c r="BN264" s="248">
        <v>0</v>
      </c>
      <c r="BO264" s="248">
        <v>0</v>
      </c>
      <c r="BP264" s="237">
        <v>0</v>
      </c>
      <c r="BQ264" s="237">
        <v>0</v>
      </c>
      <c r="BR264" s="248">
        <v>0</v>
      </c>
      <c r="BU264" s="249" t="s">
        <v>678</v>
      </c>
      <c r="BV264" s="249">
        <v>345</v>
      </c>
      <c r="BW264" s="249">
        <v>1760</v>
      </c>
      <c r="BX264" s="249" t="s">
        <v>678</v>
      </c>
      <c r="BY264" s="249" t="s">
        <v>678</v>
      </c>
      <c r="BZ264" s="249">
        <v>10.375939849624061</v>
      </c>
      <c r="CA264" s="249">
        <v>52.932330827067666</v>
      </c>
      <c r="CB264" s="249" t="s">
        <v>678</v>
      </c>
      <c r="CC264" s="250" t="s">
        <v>678</v>
      </c>
      <c r="CD264" s="242" t="s">
        <v>678</v>
      </c>
      <c r="CE264" s="252" t="s">
        <v>678</v>
      </c>
      <c r="CF264" s="238">
        <v>1978</v>
      </c>
      <c r="CG264" s="238">
        <v>237.5</v>
      </c>
      <c r="CH264" s="238">
        <v>7.1428571428571432</v>
      </c>
      <c r="CI264" s="216" t="s">
        <v>679</v>
      </c>
      <c r="CJ264" s="237">
        <v>0</v>
      </c>
      <c r="CK264" s="253">
        <v>109.41</v>
      </c>
      <c r="CL264" s="253">
        <v>136.40889999999999</v>
      </c>
      <c r="CM264" s="254">
        <v>0.10956538152610441</v>
      </c>
      <c r="CN264" s="237" t="s">
        <v>86</v>
      </c>
      <c r="CO264" s="242">
        <v>0.34</v>
      </c>
      <c r="CP264" s="255">
        <v>2.7309236947791165E-4</v>
      </c>
      <c r="CV264" s="237">
        <v>6</v>
      </c>
      <c r="CW264" s="261" t="s">
        <v>678</v>
      </c>
      <c r="CX264" s="261" t="s">
        <v>678</v>
      </c>
      <c r="CY264" s="261" t="s">
        <v>678</v>
      </c>
      <c r="DB264" s="216" t="s">
        <v>710</v>
      </c>
      <c r="DC264" s="195" t="s">
        <v>711</v>
      </c>
      <c r="DD264" s="256">
        <v>0.7</v>
      </c>
      <c r="DE264" s="256">
        <v>-6.5</v>
      </c>
      <c r="DF264" s="256">
        <v>0.7</v>
      </c>
      <c r="DG264" s="256">
        <v>-2.2000000000000002</v>
      </c>
      <c r="DL264" s="237" t="s">
        <v>529</v>
      </c>
      <c r="DM264" s="237" t="s">
        <v>764</v>
      </c>
      <c r="DN264" s="237" t="s">
        <v>713</v>
      </c>
      <c r="DP264" s="258" t="s">
        <v>682</v>
      </c>
      <c r="DQ264" s="258"/>
      <c r="DR264" s="258"/>
      <c r="DS264" s="258"/>
      <c r="DT264" s="258"/>
      <c r="DU264" s="237">
        <v>0</v>
      </c>
      <c r="DX264" s="247"/>
      <c r="DY264" s="247">
        <v>0</v>
      </c>
      <c r="EA264" s="237">
        <v>1</v>
      </c>
      <c r="EB264" s="237" t="s">
        <v>741</v>
      </c>
      <c r="ED264" s="237" t="s">
        <v>732</v>
      </c>
      <c r="EE264" s="208">
        <v>3</v>
      </c>
      <c r="EF264" s="237" t="s">
        <v>688</v>
      </c>
      <c r="EG264" s="216" t="s">
        <v>689</v>
      </c>
      <c r="EH264" s="246" t="s">
        <v>690</v>
      </c>
      <c r="EI264" s="216"/>
      <c r="EJ264" s="216" t="s">
        <v>529</v>
      </c>
      <c r="EK264" s="222" t="s">
        <v>682</v>
      </c>
      <c r="EL264" s="259">
        <v>1982</v>
      </c>
      <c r="EM264" s="260">
        <v>4400</v>
      </c>
      <c r="EN264" s="260">
        <v>215089</v>
      </c>
      <c r="EO264" s="260">
        <v>470428</v>
      </c>
      <c r="ER264" s="237" t="s">
        <v>705</v>
      </c>
      <c r="ES264" s="237" t="e">
        <v>#DIV/0!</v>
      </c>
      <c r="ET264" s="237">
        <v>106.91545454545455</v>
      </c>
      <c r="EU264" s="661">
        <v>3</v>
      </c>
      <c r="EV264" s="661">
        <v>1</v>
      </c>
      <c r="EW264" s="661">
        <v>5</v>
      </c>
      <c r="EX264" s="661">
        <v>7</v>
      </c>
      <c r="EY264" s="660">
        <v>8.7879518072289151E-2</v>
      </c>
      <c r="EZ264" s="256">
        <v>30.390275111964172</v>
      </c>
      <c r="FA264" s="247">
        <v>0.65288356909684442</v>
      </c>
      <c r="FB264" s="208">
        <v>4</v>
      </c>
      <c r="FC264" s="208">
        <v>4</v>
      </c>
      <c r="FD264" s="208">
        <v>8</v>
      </c>
      <c r="FE264" s="239">
        <v>0.91403699673558214</v>
      </c>
      <c r="FF264" s="208"/>
      <c r="FG264" s="241">
        <v>0</v>
      </c>
      <c r="FH264" s="209">
        <v>0</v>
      </c>
      <c r="FI264" s="237" t="s">
        <v>678</v>
      </c>
      <c r="FJ264" s="208">
        <v>43.4</v>
      </c>
      <c r="FK264" s="208">
        <v>0.24</v>
      </c>
      <c r="FL264" s="217">
        <v>22.9</v>
      </c>
      <c r="FM264" s="208">
        <v>6.87</v>
      </c>
      <c r="FN264" s="208" t="s">
        <v>1599</v>
      </c>
      <c r="FO264" s="237">
        <v>2100</v>
      </c>
      <c r="FP264" s="247">
        <v>1.6867469879518073</v>
      </c>
      <c r="FU264" s="208">
        <v>33</v>
      </c>
      <c r="FV264" s="208">
        <v>35.200000000000003</v>
      </c>
      <c r="FW264" s="237">
        <v>87.77</v>
      </c>
      <c r="FX264" s="237">
        <v>78.8</v>
      </c>
      <c r="FY264" s="208">
        <v>78.290000000000006</v>
      </c>
      <c r="FZ264" s="208">
        <v>79.2</v>
      </c>
      <c r="GA264" s="208">
        <v>64.569999999999993</v>
      </c>
      <c r="GB264" s="208">
        <v>72.7</v>
      </c>
      <c r="GC264" s="208">
        <v>0.06</v>
      </c>
      <c r="GD264" s="208">
        <v>25.5</v>
      </c>
      <c r="GE264" s="237">
        <v>42.88</v>
      </c>
      <c r="GF264" s="237">
        <v>55.1</v>
      </c>
      <c r="GG264" s="237">
        <v>5.33</v>
      </c>
      <c r="GH264" s="237">
        <v>46</v>
      </c>
      <c r="GJ264" s="947"/>
      <c r="GK264" s="320"/>
      <c r="GL264" s="320"/>
      <c r="GM264" s="320"/>
      <c r="GN264" s="320"/>
      <c r="GO264" s="662">
        <v>8261</v>
      </c>
      <c r="GP264" s="663" t="str">
        <f>VLOOKUP(GS264,'BD Comarcal'!$A$6:$AV$17,48,FALSE)</f>
        <v>21</v>
      </c>
      <c r="GQ264" s="564">
        <v>18</v>
      </c>
      <c r="GR264" s="256">
        <f t="shared" si="4"/>
        <v>0</v>
      </c>
      <c r="GS264" s="237" t="s">
        <v>86</v>
      </c>
    </row>
    <row r="265" spans="1:201" s="237" customFormat="1" ht="17.25" customHeight="1">
      <c r="A265" s="236" t="s">
        <v>1600</v>
      </c>
      <c r="C265" s="238"/>
      <c r="D265" s="238">
        <v>1710</v>
      </c>
      <c r="E265" s="238">
        <v>1209</v>
      </c>
      <c r="F265" s="239">
        <v>0.7070175438596491</v>
      </c>
      <c r="G265" s="238">
        <v>440</v>
      </c>
      <c r="H265" s="240">
        <v>22.328079926143211</v>
      </c>
      <c r="I265" s="239">
        <v>1.8468221609713162E-2</v>
      </c>
      <c r="J265" s="238">
        <v>124</v>
      </c>
      <c r="K265" s="238">
        <v>104</v>
      </c>
      <c r="L265" s="238">
        <v>1</v>
      </c>
      <c r="M265" s="241">
        <v>5.8479532163742691E-4</v>
      </c>
      <c r="N265" s="238">
        <v>106</v>
      </c>
      <c r="O265" s="239">
        <v>0.85483870967741937</v>
      </c>
      <c r="P265" s="237">
        <v>6</v>
      </c>
      <c r="Q265" s="237">
        <v>1</v>
      </c>
      <c r="R265" s="239">
        <v>0.16666666666666666</v>
      </c>
      <c r="S265" s="238">
        <v>90</v>
      </c>
      <c r="T265" s="436">
        <v>0</v>
      </c>
      <c r="U265" s="436">
        <v>12</v>
      </c>
      <c r="V265" s="436">
        <v>21</v>
      </c>
      <c r="W265" s="436">
        <v>33</v>
      </c>
      <c r="X265" s="238">
        <v>9235</v>
      </c>
      <c r="Y265" s="237">
        <v>0.18190000000000001</v>
      </c>
      <c r="Z265" s="238">
        <v>128917</v>
      </c>
      <c r="AA265" s="238">
        <v>13943</v>
      </c>
      <c r="AB265" s="238">
        <v>85.19</v>
      </c>
      <c r="AC265" s="238">
        <v>2049</v>
      </c>
      <c r="AD265" s="238">
        <v>8513078.8399999999</v>
      </c>
      <c r="AE265" s="238">
        <v>-198688.68000000156</v>
      </c>
      <c r="AF265" s="238">
        <v>8225929.9900000012</v>
      </c>
      <c r="AG265" s="238">
        <v>793330.12</v>
      </c>
      <c r="AH265" s="239">
        <v>9.6442605391053163E-2</v>
      </c>
      <c r="AI265" s="247">
        <v>143.52773999999999</v>
      </c>
      <c r="AJ265" s="242">
        <v>17.586970999999998</v>
      </c>
      <c r="AK265" s="242">
        <v>1.0284778362573099</v>
      </c>
      <c r="AL265" s="242">
        <v>21.815882999999999</v>
      </c>
      <c r="AM265" s="242">
        <v>1.2757826315789473</v>
      </c>
      <c r="AN265" s="242">
        <v>19891.310000000001</v>
      </c>
      <c r="AO265" s="238">
        <v>13175.58</v>
      </c>
      <c r="AP265" s="243">
        <v>47</v>
      </c>
      <c r="AQ265" s="238"/>
      <c r="AR265" s="238">
        <v>1125.1557311952395</v>
      </c>
      <c r="AS265" s="238">
        <v>2920.1826781563518</v>
      </c>
      <c r="AT265" s="238">
        <v>581085.66666666663</v>
      </c>
      <c r="AU265" s="238">
        <v>247.08988979891507</v>
      </c>
      <c r="AV265" s="237">
        <v>1</v>
      </c>
      <c r="AW265" s="237">
        <v>1</v>
      </c>
      <c r="AX265" s="237">
        <v>1</v>
      </c>
      <c r="AY265" s="244" t="s">
        <v>717</v>
      </c>
      <c r="AZ265" s="244" t="s">
        <v>717</v>
      </c>
      <c r="BA265" s="237">
        <v>2015</v>
      </c>
      <c r="BB265" s="245" t="s">
        <v>959</v>
      </c>
      <c r="BC265" s="215" t="s">
        <v>960</v>
      </c>
      <c r="BE265" s="237">
        <v>5</v>
      </c>
      <c r="BF265" s="237">
        <v>138</v>
      </c>
      <c r="BG265" s="246" t="s">
        <v>698</v>
      </c>
      <c r="BI265" s="239">
        <v>0.42520312251075354</v>
      </c>
      <c r="BJ265" s="239">
        <v>5.655567946471244E-2</v>
      </c>
      <c r="BK265" s="239">
        <v>0.50135415007169026</v>
      </c>
      <c r="BL265" s="239">
        <v>1.6887047952843716E-2</v>
      </c>
      <c r="BM265" s="247">
        <v>1.8900748765333757</v>
      </c>
      <c r="BN265" s="248">
        <v>0</v>
      </c>
      <c r="BO265" s="248">
        <v>1</v>
      </c>
      <c r="BP265" s="237">
        <v>0</v>
      </c>
      <c r="BQ265" s="237">
        <v>0</v>
      </c>
      <c r="BR265" s="248">
        <v>1</v>
      </c>
      <c r="BS265" s="237">
        <v>10.6</v>
      </c>
      <c r="BT265" s="237" t="s">
        <v>699</v>
      </c>
      <c r="BU265" s="249">
        <v>774</v>
      </c>
      <c r="BV265" s="249">
        <v>1139</v>
      </c>
      <c r="BW265" s="249">
        <v>4828</v>
      </c>
      <c r="BX265" s="249" t="s">
        <v>678</v>
      </c>
      <c r="BY265" s="249">
        <v>8.2472029834842839</v>
      </c>
      <c r="BZ265" s="249">
        <v>12.136387852956846</v>
      </c>
      <c r="CA265" s="249">
        <v>51.443793287160361</v>
      </c>
      <c r="CB265" s="249" t="s">
        <v>678</v>
      </c>
      <c r="CC265" s="250">
        <v>100.45817794352691</v>
      </c>
      <c r="CD265" s="242" t="s">
        <v>678</v>
      </c>
      <c r="CE265" s="252" t="s">
        <v>678</v>
      </c>
      <c r="CF265" s="238">
        <v>4696</v>
      </c>
      <c r="CG265" s="238">
        <v>939</v>
      </c>
      <c r="CH265" s="238">
        <v>10.005327650506127</v>
      </c>
      <c r="CI265" s="216" t="s">
        <v>679</v>
      </c>
      <c r="CJ265" s="237">
        <v>0</v>
      </c>
      <c r="CK265" s="253">
        <v>143.19999999999999</v>
      </c>
      <c r="CL265" s="253">
        <v>92.227000000000004</v>
      </c>
      <c r="CM265" s="254">
        <v>5.3933918128654973E-2</v>
      </c>
      <c r="CN265" s="237" t="s">
        <v>82</v>
      </c>
      <c r="CO265" s="242">
        <v>889.28</v>
      </c>
      <c r="CP265" s="255">
        <v>0.52004678362573098</v>
      </c>
      <c r="CV265" s="237">
        <v>3</v>
      </c>
      <c r="CW265" s="194">
        <v>0.98799999999999999</v>
      </c>
      <c r="CX265" s="194" t="s">
        <v>680</v>
      </c>
      <c r="CY265" s="194">
        <v>1.623</v>
      </c>
      <c r="DB265" s="216" t="s">
        <v>710</v>
      </c>
      <c r="DC265" s="195" t="s">
        <v>711</v>
      </c>
      <c r="DD265" s="256">
        <v>0.8</v>
      </c>
      <c r="DE265" s="256">
        <v>-10</v>
      </c>
      <c r="DF265" s="256">
        <v>0.5</v>
      </c>
      <c r="DG265" s="256">
        <v>-2.2999999999999998</v>
      </c>
      <c r="DH265" s="257">
        <v>5</v>
      </c>
      <c r="DI265" s="257">
        <v>28.027999999999999</v>
      </c>
      <c r="DJ265" s="257">
        <v>1.37</v>
      </c>
      <c r="DK265" s="257">
        <v>29.398</v>
      </c>
      <c r="DL265" s="237" t="s">
        <v>682</v>
      </c>
      <c r="DO265" s="237">
        <v>1</v>
      </c>
      <c r="DP265" s="258" t="s">
        <v>682</v>
      </c>
      <c r="DQ265" s="258"/>
      <c r="DR265" s="258"/>
      <c r="DS265" s="258"/>
      <c r="DT265" s="258"/>
      <c r="DU265" s="237">
        <v>0</v>
      </c>
      <c r="DX265" s="247"/>
      <c r="DY265" s="247">
        <v>0</v>
      </c>
      <c r="EA265" s="237">
        <v>0</v>
      </c>
      <c r="ED265" s="237" t="s">
        <v>678</v>
      </c>
      <c r="EE265" s="208">
        <v>3</v>
      </c>
      <c r="EF265" s="237" t="s">
        <v>678</v>
      </c>
      <c r="EG265" s="216" t="s">
        <v>689</v>
      </c>
      <c r="EH265" s="246" t="s">
        <v>690</v>
      </c>
      <c r="EI265" s="216"/>
      <c r="EJ265" s="216" t="s">
        <v>529</v>
      </c>
      <c r="EK265" s="222" t="s">
        <v>682</v>
      </c>
      <c r="EL265" s="259">
        <v>1996</v>
      </c>
      <c r="EM265" s="260">
        <v>3540</v>
      </c>
      <c r="EN265" s="260">
        <v>357526</v>
      </c>
      <c r="EO265" s="260">
        <v>210531</v>
      </c>
      <c r="ER265" s="237" t="s">
        <v>705</v>
      </c>
      <c r="ES265" s="237">
        <v>9385</v>
      </c>
      <c r="ET265" s="237">
        <v>59.472033898305085</v>
      </c>
      <c r="EU265" s="661">
        <v>3</v>
      </c>
      <c r="EV265" s="661">
        <v>3</v>
      </c>
      <c r="EW265" s="661">
        <v>1</v>
      </c>
      <c r="EX265" s="661">
        <v>6</v>
      </c>
      <c r="EY265" s="660">
        <v>8.3742690058479521E-2</v>
      </c>
      <c r="EZ265" s="256">
        <v>65.537709497206706</v>
      </c>
      <c r="FA265" s="247">
        <v>0.24813895781637718</v>
      </c>
      <c r="FB265" s="208">
        <v>4</v>
      </c>
      <c r="FC265" s="208">
        <v>6</v>
      </c>
      <c r="FD265" s="208">
        <v>2</v>
      </c>
      <c r="FE265" s="239">
        <v>0.36393713813068651</v>
      </c>
      <c r="FF265" s="208"/>
      <c r="FG265" s="241">
        <v>2.4315963606286187E-2</v>
      </c>
      <c r="FH265" s="209">
        <v>0</v>
      </c>
      <c r="FI265" s="237" t="s">
        <v>678</v>
      </c>
      <c r="FJ265" s="208">
        <v>56.9</v>
      </c>
      <c r="FK265" s="208">
        <v>31.77</v>
      </c>
      <c r="FL265" s="217">
        <v>74</v>
      </c>
      <c r="FM265" s="208">
        <v>1.48</v>
      </c>
      <c r="FN265" s="208" t="s">
        <v>1601</v>
      </c>
      <c r="FP265" s="247" t="s">
        <v>693</v>
      </c>
      <c r="FU265" s="208">
        <v>47</v>
      </c>
      <c r="FV265" s="208">
        <v>70.3</v>
      </c>
      <c r="FW265" s="237">
        <v>34.479999999999997</v>
      </c>
      <c r="FX265" s="237">
        <v>14.9</v>
      </c>
      <c r="FY265" s="208">
        <v>14.35</v>
      </c>
      <c r="FZ265" s="208">
        <v>26</v>
      </c>
      <c r="GA265" s="208">
        <v>28.02</v>
      </c>
      <c r="GB265" s="208">
        <v>18.100000000000001</v>
      </c>
      <c r="GC265" s="208">
        <v>0.25</v>
      </c>
      <c r="GD265" s="208">
        <v>44.6</v>
      </c>
      <c r="GE265" s="237">
        <v>21.95</v>
      </c>
      <c r="GF265" s="237">
        <v>20.399999999999999</v>
      </c>
      <c r="GG265" s="237">
        <v>2.61</v>
      </c>
      <c r="GH265" s="237">
        <v>25.9</v>
      </c>
      <c r="GJ265" s="947">
        <v>169</v>
      </c>
      <c r="GK265" s="320">
        <v>1E-3</v>
      </c>
      <c r="GL265" s="320">
        <v>0.375</v>
      </c>
      <c r="GM265" s="320">
        <v>6.8000000000000005E-2</v>
      </c>
      <c r="GN265" s="320">
        <v>0.55600000000000005</v>
      </c>
      <c r="GO265" s="662">
        <v>8262</v>
      </c>
      <c r="GP265" s="663" t="str">
        <f>VLOOKUP(GS265,'BD Comarcal'!$A$6:$AV$17,48,FALSE)</f>
        <v>07</v>
      </c>
      <c r="GQ265" s="567">
        <v>76</v>
      </c>
      <c r="GR265" s="256">
        <f t="shared" si="4"/>
        <v>1</v>
      </c>
      <c r="GS265" s="237" t="s">
        <v>82</v>
      </c>
    </row>
    <row r="266" spans="1:201" s="237" customFormat="1" ht="17.25" customHeight="1">
      <c r="A266" s="236" t="s">
        <v>1602</v>
      </c>
      <c r="C266" s="238"/>
      <c r="D266" s="238">
        <v>914</v>
      </c>
      <c r="E266" s="238">
        <v>317</v>
      </c>
      <c r="F266" s="239">
        <v>0.34682713347921224</v>
      </c>
      <c r="G266" s="238">
        <v>218</v>
      </c>
      <c r="H266" s="240">
        <v>39.723641934344478</v>
      </c>
      <c r="I266" s="239">
        <v>0.12531117329446206</v>
      </c>
      <c r="J266" s="238">
        <v>79</v>
      </c>
      <c r="K266" s="238">
        <v>0</v>
      </c>
      <c r="L266" s="238">
        <v>48</v>
      </c>
      <c r="M266" s="241">
        <v>5.2516411378555797E-2</v>
      </c>
      <c r="N266" s="238">
        <v>0</v>
      </c>
      <c r="O266" s="239">
        <v>0</v>
      </c>
      <c r="P266" s="237">
        <v>0</v>
      </c>
      <c r="Q266" s="237">
        <v>0</v>
      </c>
      <c r="R266" s="239">
        <v>0</v>
      </c>
      <c r="S266" s="238">
        <v>0</v>
      </c>
      <c r="T266" s="436">
        <v>0</v>
      </c>
      <c r="U266" s="436">
        <v>0</v>
      </c>
      <c r="V266" s="436">
        <v>0</v>
      </c>
      <c r="W266" s="436">
        <v>0</v>
      </c>
      <c r="X266" s="238">
        <v>27961</v>
      </c>
      <c r="Y266" s="237">
        <v>0.14829999999999999</v>
      </c>
      <c r="Z266" s="238">
        <v>367195</v>
      </c>
      <c r="AA266" s="238">
        <v>13122</v>
      </c>
      <c r="AB266" s="238">
        <v>80.180000000000007</v>
      </c>
      <c r="AC266" s="238">
        <v>4802</v>
      </c>
      <c r="AD266" s="238">
        <v>29446720.269999996</v>
      </c>
      <c r="AE266" s="238">
        <v>2123731.1699999981</v>
      </c>
      <c r="AF266" s="238">
        <v>28060984.68</v>
      </c>
      <c r="AG266" s="238">
        <v>3416677.87</v>
      </c>
      <c r="AH266" s="239">
        <v>0.12175901554998461</v>
      </c>
      <c r="AI266" s="247">
        <v>455.29069700000002</v>
      </c>
      <c r="AJ266" s="242">
        <v>253.13911999999999</v>
      </c>
      <c r="AK266" s="242">
        <v>27.695746170678337</v>
      </c>
      <c r="AL266" s="242">
        <v>47.342931999999998</v>
      </c>
      <c r="AM266" s="242">
        <v>5.1797518599562364</v>
      </c>
      <c r="AN266" s="242">
        <v>39763.69</v>
      </c>
      <c r="AO266" s="238">
        <v>5823.25</v>
      </c>
      <c r="AP266" s="243">
        <v>10</v>
      </c>
      <c r="AQ266" s="238"/>
      <c r="AR266" s="238">
        <v>1070.1600171896205</v>
      </c>
      <c r="AS266" s="238">
        <v>1397.317815959738</v>
      </c>
      <c r="AT266" s="238">
        <v>2016321.6666666667</v>
      </c>
      <c r="AU266" s="238">
        <v>275.00318826792125</v>
      </c>
      <c r="AV266" s="237">
        <v>1</v>
      </c>
      <c r="AW266" s="237">
        <v>1</v>
      </c>
      <c r="AX266" s="237">
        <v>1</v>
      </c>
      <c r="AY266" s="244" t="s">
        <v>717</v>
      </c>
      <c r="AZ266" s="244" t="s">
        <v>717</v>
      </c>
      <c r="BA266" s="237">
        <v>2011</v>
      </c>
      <c r="BB266" s="245" t="s">
        <v>826</v>
      </c>
      <c r="BC266" s="215" t="s">
        <v>827</v>
      </c>
      <c r="BE266" s="237">
        <v>125</v>
      </c>
      <c r="BF266" s="237">
        <v>102</v>
      </c>
      <c r="BG266" s="246" t="s">
        <v>676</v>
      </c>
      <c r="BI266" s="239">
        <v>0.46649484536082475</v>
      </c>
      <c r="BJ266" s="239">
        <v>0.11201427438540841</v>
      </c>
      <c r="BK266" s="239">
        <v>0.41435368754956386</v>
      </c>
      <c r="BL266" s="239">
        <v>7.1371927042030133E-3</v>
      </c>
      <c r="BM266" s="247">
        <v>2.0378667724028547</v>
      </c>
      <c r="BN266" s="248">
        <v>0</v>
      </c>
      <c r="BO266" s="248">
        <v>2</v>
      </c>
      <c r="BP266" s="237">
        <v>0</v>
      </c>
      <c r="BQ266" s="237">
        <v>0</v>
      </c>
      <c r="BR266" s="248">
        <v>2</v>
      </c>
      <c r="BS266" s="237">
        <v>6.7</v>
      </c>
      <c r="BT266" s="237" t="s">
        <v>1094</v>
      </c>
      <c r="BU266" s="249">
        <v>3247</v>
      </c>
      <c r="BV266" s="249">
        <v>3120</v>
      </c>
      <c r="BW266" s="249">
        <v>14310</v>
      </c>
      <c r="BX266" s="249" t="s">
        <v>678</v>
      </c>
      <c r="BY266" s="249">
        <v>11.521947411376459</v>
      </c>
      <c r="BZ266" s="249">
        <v>11.071289166459671</v>
      </c>
      <c r="CA266" s="249">
        <v>50.778893580781379</v>
      </c>
      <c r="CB266" s="249" t="s">
        <v>678</v>
      </c>
      <c r="CC266" s="250">
        <v>107.48731414783009</v>
      </c>
      <c r="CD266" s="242">
        <v>-2120</v>
      </c>
      <c r="CE266" s="252">
        <v>92.477200950995353</v>
      </c>
      <c r="CF266" s="238">
        <v>12037</v>
      </c>
      <c r="CG266" s="238">
        <v>3023.6</v>
      </c>
      <c r="CH266" s="238">
        <v>10.729214719137007</v>
      </c>
      <c r="CI266" s="216" t="s">
        <v>679</v>
      </c>
      <c r="CJ266" s="237">
        <v>0</v>
      </c>
      <c r="CK266" s="253">
        <v>368.69</v>
      </c>
      <c r="CL266" s="253">
        <v>63.641800000000003</v>
      </c>
      <c r="CM266" s="254">
        <v>6.9629978118161934E-2</v>
      </c>
      <c r="CN266" s="237" t="s">
        <v>90</v>
      </c>
      <c r="CO266" s="242">
        <v>16.43</v>
      </c>
      <c r="CP266" s="255">
        <v>1.7975929978118161E-2</v>
      </c>
      <c r="CV266" s="262">
        <v>21</v>
      </c>
      <c r="CW266" s="194">
        <v>0.80800000000000005</v>
      </c>
      <c r="CX266" s="194" t="s">
        <v>680</v>
      </c>
      <c r="CY266" s="194">
        <v>1.4430000000000001</v>
      </c>
      <c r="DB266" s="216"/>
      <c r="DC266" s="195" t="s">
        <v>1603</v>
      </c>
      <c r="DD266" s="256">
        <v>0.7</v>
      </c>
      <c r="DE266" s="256">
        <v>-6.5</v>
      </c>
      <c r="DF266" s="256">
        <v>0.7</v>
      </c>
      <c r="DG266" s="256">
        <v>-2.2000000000000002</v>
      </c>
      <c r="DH266" s="257">
        <v>3</v>
      </c>
      <c r="DI266" s="257">
        <v>0.01</v>
      </c>
      <c r="DJ266" s="257">
        <v>8.75</v>
      </c>
      <c r="DK266" s="257">
        <v>8.76</v>
      </c>
      <c r="DL266" s="237" t="s">
        <v>682</v>
      </c>
      <c r="DO266" s="237">
        <v>1</v>
      </c>
      <c r="DP266" s="258" t="s">
        <v>682</v>
      </c>
      <c r="DQ266" s="258"/>
      <c r="DR266" s="258"/>
      <c r="DS266" s="258"/>
      <c r="DT266" s="258"/>
      <c r="DU266" s="237">
        <v>0</v>
      </c>
      <c r="DX266" s="247"/>
      <c r="DY266" s="247">
        <v>0</v>
      </c>
      <c r="EA266" s="237">
        <v>1</v>
      </c>
      <c r="EB266" s="237" t="s">
        <v>979</v>
      </c>
      <c r="EC266" s="237">
        <v>4</v>
      </c>
      <c r="ED266" s="237" t="s">
        <v>678</v>
      </c>
      <c r="EE266" s="208">
        <v>2</v>
      </c>
      <c r="EF266" s="237" t="s">
        <v>678</v>
      </c>
      <c r="EG266" s="216" t="s">
        <v>689</v>
      </c>
      <c r="EH266" s="246" t="s">
        <v>690</v>
      </c>
      <c r="EI266" s="216" t="s">
        <v>691</v>
      </c>
      <c r="EJ266" s="216" t="s">
        <v>529</v>
      </c>
      <c r="EK266" s="222" t="s">
        <v>682</v>
      </c>
      <c r="EL266" s="259">
        <v>1976</v>
      </c>
      <c r="EM266" s="263">
        <v>6150</v>
      </c>
      <c r="EN266" s="260">
        <v>1297064</v>
      </c>
      <c r="EO266" s="260">
        <v>889961</v>
      </c>
      <c r="ER266" s="237" t="s">
        <v>705</v>
      </c>
      <c r="ES266" s="237">
        <v>14090.5</v>
      </c>
      <c r="ET266" s="237">
        <v>144.70910569105692</v>
      </c>
      <c r="EU266" s="661">
        <v>1</v>
      </c>
      <c r="EV266" s="661">
        <v>5</v>
      </c>
      <c r="EW266" s="661">
        <v>7</v>
      </c>
      <c r="EX266" s="661">
        <v>9</v>
      </c>
      <c r="EY266" s="660">
        <v>0.40338074398249452</v>
      </c>
      <c r="EZ266" s="256">
        <v>76.435487808185741</v>
      </c>
      <c r="FA266" s="247">
        <v>6.6246056782334382</v>
      </c>
      <c r="FB266" s="208">
        <v>6</v>
      </c>
      <c r="FC266" s="208">
        <v>6</v>
      </c>
      <c r="FD266" s="208">
        <v>9</v>
      </c>
      <c r="FE266" s="239">
        <v>0.68769716088328081</v>
      </c>
      <c r="FF266" s="208"/>
      <c r="FG266" s="241">
        <v>2.7634069400630915E-2</v>
      </c>
      <c r="FH266" s="209">
        <v>0</v>
      </c>
      <c r="FI266" s="237" t="s">
        <v>678</v>
      </c>
      <c r="FJ266" s="208" t="s">
        <v>678</v>
      </c>
      <c r="FK266" s="208" t="s">
        <v>678</v>
      </c>
      <c r="FL266" s="217" t="s">
        <v>678</v>
      </c>
      <c r="FM266" s="208" t="s">
        <v>678</v>
      </c>
      <c r="FN266" s="208" t="s">
        <v>678</v>
      </c>
      <c r="FP266" s="247" t="s">
        <v>693</v>
      </c>
      <c r="FU266" s="208" t="s">
        <v>678</v>
      </c>
      <c r="FV266" s="208" t="s">
        <v>678</v>
      </c>
      <c r="FW266" s="208" t="s">
        <v>678</v>
      </c>
      <c r="FX266" s="208" t="s">
        <v>678</v>
      </c>
      <c r="FY266" s="208" t="s">
        <v>678</v>
      </c>
      <c r="FZ266" s="208" t="s">
        <v>678</v>
      </c>
      <c r="GA266" s="208" t="s">
        <v>678</v>
      </c>
      <c r="GB266" s="208" t="s">
        <v>678</v>
      </c>
      <c r="GC266" s="208" t="s">
        <v>678</v>
      </c>
      <c r="GD266" s="208" t="s">
        <v>678</v>
      </c>
      <c r="GE266" s="237" t="s">
        <v>678</v>
      </c>
      <c r="GF266" s="237" t="s">
        <v>678</v>
      </c>
      <c r="GG266" s="237" t="s">
        <v>678</v>
      </c>
      <c r="GH266" s="237" t="s">
        <v>678</v>
      </c>
      <c r="GJ266" s="947">
        <v>634</v>
      </c>
      <c r="GK266" s="320">
        <v>2E-3</v>
      </c>
      <c r="GL266" s="320">
        <v>0.37</v>
      </c>
      <c r="GM266" s="320">
        <v>5.7000000000000002E-2</v>
      </c>
      <c r="GN266" s="320">
        <v>0.57099999999999995</v>
      </c>
      <c r="GO266" s="662">
        <v>8263</v>
      </c>
      <c r="GP266" s="663" t="str">
        <f>VLOOKUP(GS266,'BD Comarcal'!$A$6:$AV$17,48,FALSE)</f>
        <v>11</v>
      </c>
      <c r="GQ266" s="567">
        <v>194</v>
      </c>
      <c r="GR266" s="256">
        <f t="shared" si="4"/>
        <v>1</v>
      </c>
      <c r="GS266" s="237" t="s">
        <v>90</v>
      </c>
    </row>
    <row r="267" spans="1:201" s="237" customFormat="1" ht="17.25" customHeight="1">
      <c r="A267" s="236" t="s">
        <v>355</v>
      </c>
      <c r="C267" s="238" t="s">
        <v>683</v>
      </c>
      <c r="D267" s="238">
        <v>800</v>
      </c>
      <c r="E267" s="238">
        <v>510</v>
      </c>
      <c r="F267" s="239">
        <v>0.63749999999999996</v>
      </c>
      <c r="G267" s="238">
        <v>371</v>
      </c>
      <c r="H267" s="240">
        <v>40.740154708440812</v>
      </c>
      <c r="I267" s="239">
        <v>7.9882656291060422E-2</v>
      </c>
      <c r="J267" s="238">
        <v>19</v>
      </c>
      <c r="K267" s="238">
        <v>0</v>
      </c>
      <c r="L267" s="238">
        <v>7</v>
      </c>
      <c r="M267" s="241">
        <v>8.7500000000000008E-3</v>
      </c>
      <c r="N267" s="238">
        <v>0</v>
      </c>
      <c r="O267" s="239">
        <v>0</v>
      </c>
      <c r="P267" s="237">
        <v>1</v>
      </c>
      <c r="Q267" s="237">
        <v>0</v>
      </c>
      <c r="R267" s="239">
        <v>0</v>
      </c>
      <c r="S267" s="238">
        <v>1</v>
      </c>
      <c r="T267" s="436">
        <v>0</v>
      </c>
      <c r="U267" s="436">
        <v>0</v>
      </c>
      <c r="V267" s="436">
        <v>51</v>
      </c>
      <c r="W267" s="436">
        <v>51</v>
      </c>
      <c r="X267" s="238">
        <v>6182</v>
      </c>
      <c r="Y267" s="237">
        <v>0.13700000000000001</v>
      </c>
      <c r="Z267" s="238">
        <v>119207</v>
      </c>
      <c r="AA267" s="238">
        <v>19707</v>
      </c>
      <c r="AB267" s="238">
        <v>120.41</v>
      </c>
      <c r="AC267" s="238">
        <v>1596</v>
      </c>
      <c r="AD267" s="238">
        <v>9235630.3499999996</v>
      </c>
      <c r="AE267" s="238">
        <v>1124620.8199999994</v>
      </c>
      <c r="AF267" s="238">
        <v>6796016.2400000002</v>
      </c>
      <c r="AG267" s="238">
        <v>549124.06999999995</v>
      </c>
      <c r="AH267" s="239">
        <v>8.0800876661825033E-2</v>
      </c>
      <c r="AI267" s="247">
        <v>310.58554099999998</v>
      </c>
      <c r="AJ267" s="242">
        <v>34.934719999999999</v>
      </c>
      <c r="AK267" s="242">
        <v>4.3668399999999998</v>
      </c>
      <c r="AL267" s="242">
        <v>161.93196599999999</v>
      </c>
      <c r="AM267" s="242">
        <v>20.241495749999999</v>
      </c>
      <c r="AN267" s="242">
        <v>14891.38</v>
      </c>
      <c r="AO267" s="238">
        <v>788.19</v>
      </c>
      <c r="AP267" s="243">
        <v>1</v>
      </c>
      <c r="AQ267" s="238"/>
      <c r="AR267" s="238">
        <v>2173.0064292790225</v>
      </c>
      <c r="AS267" s="238">
        <v>3375.7287238817607</v>
      </c>
      <c r="AT267" s="238">
        <v>979583.33333333337</v>
      </c>
      <c r="AU267" s="238">
        <v>705.64836706893539</v>
      </c>
      <c r="AV267" s="237">
        <v>1</v>
      </c>
      <c r="AW267" s="237">
        <v>0</v>
      </c>
      <c r="AX267" s="237">
        <v>1</v>
      </c>
      <c r="AY267" s="244" t="s">
        <v>717</v>
      </c>
      <c r="AZ267" s="244" t="s">
        <v>682</v>
      </c>
      <c r="BA267" s="237">
        <v>2012</v>
      </c>
      <c r="BB267" s="245" t="s">
        <v>736</v>
      </c>
      <c r="BC267" s="215" t="s">
        <v>737</v>
      </c>
      <c r="BE267" s="237">
        <v>403</v>
      </c>
      <c r="BF267" s="237">
        <v>2</v>
      </c>
      <c r="BG267" s="246" t="s">
        <v>676</v>
      </c>
      <c r="BI267" s="239">
        <v>0.55011441647597259</v>
      </c>
      <c r="BJ267" s="239">
        <v>0.10160183066361556</v>
      </c>
      <c r="BK267" s="239">
        <v>0.33363844393592679</v>
      </c>
      <c r="BL267" s="239">
        <v>1.4645308924485127E-2</v>
      </c>
      <c r="BM267" s="247">
        <v>2.1871853546910756</v>
      </c>
      <c r="BN267" s="248">
        <v>2</v>
      </c>
      <c r="BO267" s="248">
        <v>0</v>
      </c>
      <c r="BP267" s="237">
        <v>0</v>
      </c>
      <c r="BQ267" s="237">
        <v>0</v>
      </c>
      <c r="BR267" s="248">
        <v>2</v>
      </c>
      <c r="BS267" s="237">
        <v>9</v>
      </c>
      <c r="BT267" s="237" t="s">
        <v>345</v>
      </c>
      <c r="BU267" s="249" t="s">
        <v>678</v>
      </c>
      <c r="BV267" s="249">
        <v>373</v>
      </c>
      <c r="BW267" s="249">
        <v>2567</v>
      </c>
      <c r="BX267" s="249">
        <v>1395</v>
      </c>
      <c r="BY267" s="249" t="s">
        <v>678</v>
      </c>
      <c r="BZ267" s="249">
        <v>6.2678541421609815</v>
      </c>
      <c r="CA267" s="249">
        <v>43.135607460930935</v>
      </c>
      <c r="CB267" s="249">
        <v>23.441438413711982</v>
      </c>
      <c r="CC267" s="250" t="s">
        <v>678</v>
      </c>
      <c r="CD267" s="242">
        <v>-172</v>
      </c>
      <c r="CE267" s="252">
        <v>97.109729457234081</v>
      </c>
      <c r="CF267" s="238">
        <v>3549</v>
      </c>
      <c r="CG267" s="238">
        <v>279.3</v>
      </c>
      <c r="CH267" s="238">
        <v>4.6933288522937318</v>
      </c>
      <c r="CI267" s="216" t="s">
        <v>700</v>
      </c>
      <c r="CJ267" s="237">
        <v>0</v>
      </c>
      <c r="CK267" s="253">
        <v>203.05</v>
      </c>
      <c r="CL267" s="253">
        <v>24.011500000000002</v>
      </c>
      <c r="CM267" s="254">
        <v>3.0014375000000003E-2</v>
      </c>
      <c r="CN267" s="237" t="s">
        <v>86</v>
      </c>
      <c r="CO267" s="242"/>
      <c r="CP267" s="255">
        <v>0</v>
      </c>
      <c r="CV267" s="237">
        <v>1</v>
      </c>
      <c r="CW267" s="194">
        <v>1.395</v>
      </c>
      <c r="CX267" s="194">
        <v>0.63500000000000001</v>
      </c>
      <c r="CY267" s="194">
        <v>0.14599999999999999</v>
      </c>
      <c r="DB267" s="216" t="s">
        <v>710</v>
      </c>
      <c r="DC267" s="195" t="s">
        <v>711</v>
      </c>
      <c r="DD267" s="256">
        <v>0.7</v>
      </c>
      <c r="DE267" s="256">
        <v>-6.5</v>
      </c>
      <c r="DF267" s="256">
        <v>0.7</v>
      </c>
      <c r="DG267" s="256">
        <v>-2.2000000000000002</v>
      </c>
      <c r="DL267" s="237" t="s">
        <v>529</v>
      </c>
      <c r="DM267" s="237" t="s">
        <v>764</v>
      </c>
      <c r="DN267" s="237" t="s">
        <v>713</v>
      </c>
      <c r="DP267" s="258" t="s">
        <v>682</v>
      </c>
      <c r="DQ267" s="258"/>
      <c r="DR267" s="258"/>
      <c r="DS267" s="258"/>
      <c r="DT267" s="258"/>
      <c r="DU267" s="237">
        <v>0</v>
      </c>
      <c r="DX267" s="247"/>
      <c r="DY267" s="247">
        <v>0</v>
      </c>
      <c r="EA267" s="237">
        <v>1</v>
      </c>
      <c r="EB267" s="237" t="s">
        <v>741</v>
      </c>
      <c r="ED267" s="237" t="s">
        <v>678</v>
      </c>
      <c r="EE267" s="208">
        <v>3</v>
      </c>
      <c r="EF267" s="237" t="s">
        <v>678</v>
      </c>
      <c r="EG267" s="216" t="s">
        <v>689</v>
      </c>
      <c r="EH267" s="246" t="s">
        <v>690</v>
      </c>
      <c r="EI267" s="216"/>
      <c r="EJ267" s="216" t="s">
        <v>529</v>
      </c>
      <c r="EK267" s="222" t="s">
        <v>682</v>
      </c>
      <c r="EL267" s="259">
        <v>2012</v>
      </c>
      <c r="EM267" s="263">
        <v>2750</v>
      </c>
      <c r="EN267" s="260">
        <v>718475</v>
      </c>
      <c r="EO267" s="260">
        <v>344868</v>
      </c>
      <c r="ER267" s="237" t="s">
        <v>692</v>
      </c>
      <c r="ES267" s="237">
        <v>2975.5</v>
      </c>
      <c r="ET267" s="237">
        <v>125.40654545454545</v>
      </c>
      <c r="EU267" s="661">
        <v>3</v>
      </c>
      <c r="EV267" s="661">
        <v>2</v>
      </c>
      <c r="EW267" s="661">
        <v>5</v>
      </c>
      <c r="EX267" s="661">
        <v>5</v>
      </c>
      <c r="EY267" s="660">
        <v>0.2538125</v>
      </c>
      <c r="EZ267" s="256">
        <v>29.308052203890664</v>
      </c>
      <c r="FA267" s="247">
        <v>0.19607843137254902</v>
      </c>
      <c r="FB267" s="208" t="s">
        <v>678</v>
      </c>
      <c r="FC267" s="208" t="s">
        <v>678</v>
      </c>
      <c r="FD267" s="208">
        <v>8</v>
      </c>
      <c r="FE267" s="239">
        <v>0.72745098039215683</v>
      </c>
      <c r="FF267" s="208"/>
      <c r="FG267" s="241">
        <v>0</v>
      </c>
      <c r="FH267" s="209">
        <v>0</v>
      </c>
      <c r="FI267" s="237" t="s">
        <v>678</v>
      </c>
      <c r="FJ267" s="208" t="s">
        <v>678</v>
      </c>
      <c r="FK267" s="208" t="s">
        <v>678</v>
      </c>
      <c r="FL267" s="217" t="s">
        <v>678</v>
      </c>
      <c r="FM267" s="208" t="s">
        <v>678</v>
      </c>
      <c r="FN267" s="208" t="s">
        <v>678</v>
      </c>
      <c r="FO267" s="237">
        <v>1237</v>
      </c>
      <c r="FP267" s="247">
        <v>1.5462499999999999</v>
      </c>
      <c r="FU267" s="208" t="s">
        <v>678</v>
      </c>
      <c r="FV267" s="208" t="s">
        <v>678</v>
      </c>
      <c r="FW267" s="208" t="s">
        <v>678</v>
      </c>
      <c r="FX267" s="208" t="s">
        <v>678</v>
      </c>
      <c r="FY267" s="208" t="s">
        <v>678</v>
      </c>
      <c r="FZ267" s="208" t="s">
        <v>678</v>
      </c>
      <c r="GA267" s="208" t="s">
        <v>678</v>
      </c>
      <c r="GB267" s="208" t="s">
        <v>678</v>
      </c>
      <c r="GC267" s="208" t="s">
        <v>678</v>
      </c>
      <c r="GD267" s="208" t="s">
        <v>678</v>
      </c>
      <c r="GE267" s="237" t="s">
        <v>678</v>
      </c>
      <c r="GF267" s="237" t="s">
        <v>678</v>
      </c>
      <c r="GG267" s="237" t="s">
        <v>678</v>
      </c>
      <c r="GH267" s="237" t="s">
        <v>678</v>
      </c>
      <c r="GJ267" s="947">
        <v>101</v>
      </c>
      <c r="GK267" s="320">
        <v>2.5000000000000001E-2</v>
      </c>
      <c r="GL267" s="320">
        <v>3.7999999999999999E-2</v>
      </c>
      <c r="GM267" s="320">
        <v>7.9000000000000001E-2</v>
      </c>
      <c r="GN267" s="320">
        <v>0.85699999999999998</v>
      </c>
      <c r="GO267" s="662">
        <v>8264</v>
      </c>
      <c r="GP267" s="663" t="str">
        <f>VLOOKUP(GS267,'BD Comarcal'!$A$6:$AV$17,48,FALSE)</f>
        <v>21</v>
      </c>
      <c r="GQ267" s="567">
        <v>45</v>
      </c>
      <c r="GR267" s="256">
        <f t="shared" si="4"/>
        <v>0</v>
      </c>
      <c r="GS267" s="237" t="s">
        <v>86</v>
      </c>
    </row>
    <row r="268" spans="1:201" s="237" customFormat="1" ht="17.25" customHeight="1">
      <c r="A268" s="236" t="s">
        <v>1604</v>
      </c>
      <c r="C268" s="238"/>
      <c r="D268" s="238">
        <v>660</v>
      </c>
      <c r="E268" s="238">
        <v>254</v>
      </c>
      <c r="F268" s="239">
        <v>0.38484848484848483</v>
      </c>
      <c r="G268" s="238">
        <v>193</v>
      </c>
      <c r="H268" s="240">
        <v>26.579906423069897</v>
      </c>
      <c r="I268" s="239">
        <v>0.10464530087822795</v>
      </c>
      <c r="J268" s="238">
        <v>131</v>
      </c>
      <c r="K268" s="238">
        <v>83</v>
      </c>
      <c r="L268" s="238">
        <v>0</v>
      </c>
      <c r="M268" s="241">
        <v>0</v>
      </c>
      <c r="N268" s="238">
        <v>0</v>
      </c>
      <c r="O268" s="239">
        <v>0</v>
      </c>
      <c r="P268" s="237">
        <v>18</v>
      </c>
      <c r="Q268" s="237">
        <v>0</v>
      </c>
      <c r="R268" s="239">
        <v>0</v>
      </c>
      <c r="S268" s="238">
        <v>1276</v>
      </c>
      <c r="T268" s="436">
        <v>0</v>
      </c>
      <c r="U268" s="436">
        <v>7</v>
      </c>
      <c r="V268" s="436">
        <v>0</v>
      </c>
      <c r="W268" s="436">
        <v>7</v>
      </c>
      <c r="X268" s="238">
        <v>1996</v>
      </c>
      <c r="Y268" s="237">
        <v>0.19439999999999999</v>
      </c>
      <c r="Z268" s="238">
        <v>35342</v>
      </c>
      <c r="AA268" s="238">
        <v>17662</v>
      </c>
      <c r="AB268" s="238">
        <v>107.92</v>
      </c>
      <c r="AC268" s="238">
        <v>274</v>
      </c>
      <c r="AD268" s="238">
        <v>2238554.59</v>
      </c>
      <c r="AE268" s="238">
        <v>423770.37000000034</v>
      </c>
      <c r="AF268" s="238">
        <v>1807949.93</v>
      </c>
      <c r="AG268" s="238">
        <v>80030.98</v>
      </c>
      <c r="AH268" s="239">
        <v>4.42661484546754E-2</v>
      </c>
      <c r="AI268" s="247">
        <v>59.155231999999998</v>
      </c>
      <c r="AJ268" s="242">
        <v>7.0256559999999997</v>
      </c>
      <c r="AK268" s="242">
        <v>1.0644933333333333</v>
      </c>
      <c r="AL268" s="242" t="s">
        <v>678</v>
      </c>
      <c r="AM268" s="242" t="s">
        <v>678</v>
      </c>
      <c r="AN268" s="242">
        <v>11355.8</v>
      </c>
      <c r="AO268" s="238">
        <v>0</v>
      </c>
      <c r="AP268" s="243">
        <v>0</v>
      </c>
      <c r="AQ268" s="238"/>
      <c r="AR268" s="238">
        <v>1399.7533176869367</v>
      </c>
      <c r="AS268" s="238">
        <v>2963.1758075255475</v>
      </c>
      <c r="AT268" s="238">
        <v>300314</v>
      </c>
      <c r="AU268" s="238">
        <v>234.39071272506311</v>
      </c>
      <c r="AV268" s="237">
        <v>1</v>
      </c>
      <c r="AW268" s="237">
        <v>1</v>
      </c>
      <c r="AX268" s="237">
        <v>1</v>
      </c>
      <c r="AY268" s="244" t="s">
        <v>682</v>
      </c>
      <c r="AZ268" s="244" t="s">
        <v>673</v>
      </c>
      <c r="BA268" s="237">
        <v>2010</v>
      </c>
      <c r="BB268" s="245" t="s">
        <v>1188</v>
      </c>
      <c r="BC268" s="215" t="s">
        <v>1189</v>
      </c>
      <c r="BE268" s="237">
        <v>0</v>
      </c>
      <c r="BF268" s="237">
        <v>83</v>
      </c>
      <c r="BG268" s="246" t="s">
        <v>720</v>
      </c>
      <c r="BI268" s="239">
        <v>0.45593220338983048</v>
      </c>
      <c r="BJ268" s="239">
        <v>0.22118644067796611</v>
      </c>
      <c r="BK268" s="239">
        <v>0.3135593220338983</v>
      </c>
      <c r="BL268" s="239">
        <v>9.3220338983050852E-3</v>
      </c>
      <c r="BM268" s="247">
        <v>2.123728813559322</v>
      </c>
      <c r="BN268" s="248">
        <v>0</v>
      </c>
      <c r="BO268" s="248">
        <v>0</v>
      </c>
      <c r="BP268" s="237">
        <v>0</v>
      </c>
      <c r="BQ268" s="237">
        <v>0</v>
      </c>
      <c r="BR268" s="248">
        <v>0</v>
      </c>
      <c r="BS268" s="237">
        <v>10.7</v>
      </c>
      <c r="BT268" s="237" t="s">
        <v>721</v>
      </c>
      <c r="BU268" s="249" t="s">
        <v>678</v>
      </c>
      <c r="BV268" s="249">
        <v>270</v>
      </c>
      <c r="BW268" s="249">
        <v>1009</v>
      </c>
      <c r="BX268" s="249" t="s">
        <v>678</v>
      </c>
      <c r="BY268" s="249" t="s">
        <v>678</v>
      </c>
      <c r="BZ268" s="249">
        <v>13.412816691505217</v>
      </c>
      <c r="CA268" s="249">
        <v>50.124192747143567</v>
      </c>
      <c r="CB268" s="249" t="s">
        <v>678</v>
      </c>
      <c r="CC268" s="250" t="s">
        <v>678</v>
      </c>
      <c r="CD268" s="242" t="s">
        <v>678</v>
      </c>
      <c r="CE268" s="252" t="s">
        <v>678</v>
      </c>
      <c r="CF268" s="238">
        <v>962</v>
      </c>
      <c r="CG268" s="238">
        <v>106.4</v>
      </c>
      <c r="CH268" s="238">
        <v>5.2856433184302034</v>
      </c>
      <c r="CI268" s="216" t="s">
        <v>722</v>
      </c>
      <c r="CJ268" s="237">
        <v>1</v>
      </c>
      <c r="CK268" s="253">
        <v>66.099999999999994</v>
      </c>
      <c r="CL268" s="253">
        <v>14.5792</v>
      </c>
      <c r="CM268" s="254">
        <v>2.2089696969696971E-2</v>
      </c>
      <c r="CN268" s="237" t="s">
        <v>88</v>
      </c>
      <c r="CO268" s="242">
        <v>48.9</v>
      </c>
      <c r="CP268" s="255">
        <v>7.4090909090909082E-2</v>
      </c>
      <c r="CV268" s="237">
        <v>3</v>
      </c>
      <c r="CW268" s="261" t="s">
        <v>678</v>
      </c>
      <c r="CX268" s="261" t="s">
        <v>678</v>
      </c>
      <c r="CY268" s="261" t="s">
        <v>678</v>
      </c>
      <c r="DB268" s="216" t="s">
        <v>710</v>
      </c>
      <c r="DC268" s="195" t="s">
        <v>711</v>
      </c>
      <c r="DD268" s="256">
        <v>0.8</v>
      </c>
      <c r="DE268" s="256">
        <v>-9</v>
      </c>
      <c r="DF268" s="256">
        <v>-0.3</v>
      </c>
      <c r="DG268" s="256">
        <v>-2.6</v>
      </c>
      <c r="DL268" s="237" t="s">
        <v>529</v>
      </c>
      <c r="DM268" s="237" t="s">
        <v>1525</v>
      </c>
      <c r="DN268" s="237" t="s">
        <v>713</v>
      </c>
      <c r="DP268" s="258" t="s">
        <v>682</v>
      </c>
      <c r="DQ268" s="258"/>
      <c r="DR268" s="258"/>
      <c r="DS268" s="258"/>
      <c r="DT268" s="258"/>
      <c r="DU268" s="237">
        <v>0</v>
      </c>
      <c r="DX268" s="247"/>
      <c r="DY268" s="247">
        <v>0</v>
      </c>
      <c r="EA268" s="237">
        <v>0</v>
      </c>
      <c r="ED268" s="237" t="s">
        <v>678</v>
      </c>
      <c r="EE268" s="208">
        <v>3</v>
      </c>
      <c r="EF268" s="237" t="s">
        <v>678</v>
      </c>
      <c r="EG268" s="216" t="s">
        <v>715</v>
      </c>
      <c r="EH268" s="246" t="s">
        <v>690</v>
      </c>
      <c r="EI268" s="216"/>
      <c r="EJ268" s="216" t="s">
        <v>529</v>
      </c>
      <c r="EK268" s="222" t="s">
        <v>682</v>
      </c>
      <c r="EL268" s="259">
        <v>1983</v>
      </c>
      <c r="EM268" s="260">
        <v>800</v>
      </c>
      <c r="EN268" s="260">
        <v>82632</v>
      </c>
      <c r="EO268" s="260">
        <v>236387</v>
      </c>
      <c r="ER268" s="237" t="s">
        <v>692</v>
      </c>
      <c r="ES268" s="237" t="e">
        <v>#DIV/0!</v>
      </c>
      <c r="ET268" s="237">
        <v>295.48374999999999</v>
      </c>
      <c r="EU268" s="661">
        <v>7</v>
      </c>
      <c r="EV268" s="661">
        <v>1</v>
      </c>
      <c r="EW268" s="661">
        <v>0</v>
      </c>
      <c r="EX268" s="661">
        <v>1</v>
      </c>
      <c r="EY268" s="660">
        <v>0.10015151515151514</v>
      </c>
      <c r="EZ268" s="256">
        <v>30.453857791225417</v>
      </c>
      <c r="FA268" s="247">
        <v>1.1811023622047243</v>
      </c>
      <c r="FB268" s="208">
        <v>3</v>
      </c>
      <c r="FC268" s="208">
        <v>2</v>
      </c>
      <c r="FD268" s="208">
        <v>2</v>
      </c>
      <c r="FE268" s="239">
        <v>0.75984251968503935</v>
      </c>
      <c r="FF268" s="208">
        <v>1</v>
      </c>
      <c r="FG268" s="241">
        <v>0</v>
      </c>
      <c r="FH268" s="209">
        <v>0</v>
      </c>
      <c r="FI268" s="237" t="s">
        <v>678</v>
      </c>
      <c r="FJ268" s="208">
        <v>48.5</v>
      </c>
      <c r="FK268" s="208">
        <v>4.5</v>
      </c>
      <c r="FL268" s="217">
        <v>37.5</v>
      </c>
      <c r="FM268" s="208">
        <v>2.72</v>
      </c>
      <c r="FN268" s="208">
        <v>26</v>
      </c>
      <c r="FP268" s="247" t="s">
        <v>693</v>
      </c>
      <c r="FU268" s="208">
        <v>21</v>
      </c>
      <c r="FV268" s="208">
        <v>6.4</v>
      </c>
      <c r="FW268" s="237">
        <v>39.130000000000003</v>
      </c>
      <c r="FX268" s="237">
        <v>18.8</v>
      </c>
      <c r="FY268" s="208">
        <v>7.23</v>
      </c>
      <c r="FZ268" s="208">
        <v>12.8</v>
      </c>
      <c r="GA268" s="208">
        <v>23.46</v>
      </c>
      <c r="GB268" s="208">
        <v>11.8</v>
      </c>
      <c r="GC268" s="208">
        <v>0.64</v>
      </c>
      <c r="GD268" s="208">
        <v>71.3</v>
      </c>
      <c r="GE268" s="237">
        <v>20.63</v>
      </c>
      <c r="GF268" s="237">
        <v>17.600000000000001</v>
      </c>
      <c r="GG268" s="237">
        <v>29.75</v>
      </c>
      <c r="GH268" s="237">
        <v>98.8</v>
      </c>
      <c r="GJ268" s="947"/>
      <c r="GO268" s="662">
        <v>8265</v>
      </c>
      <c r="GP268" s="663" t="str">
        <f>VLOOKUP(GS268,'BD Comarcal'!$A$6:$AV$17,48,FALSE)</f>
        <v>24</v>
      </c>
      <c r="GQ268" s="567">
        <v>18</v>
      </c>
      <c r="GR268" s="256">
        <f t="shared" si="4"/>
        <v>0</v>
      </c>
      <c r="GS268" s="237" t="s">
        <v>88</v>
      </c>
    </row>
    <row r="269" spans="1:201" s="237" customFormat="1" ht="17.25" customHeight="1">
      <c r="A269" s="236" t="s">
        <v>1605</v>
      </c>
      <c r="C269" s="238"/>
      <c r="D269" s="238">
        <v>3200</v>
      </c>
      <c r="E269" s="238">
        <v>1721</v>
      </c>
      <c r="F269" s="239">
        <v>0.53781250000000003</v>
      </c>
      <c r="G269" s="238">
        <v>1453</v>
      </c>
      <c r="H269" s="240">
        <v>281.43289631202157</v>
      </c>
      <c r="I269" s="239">
        <v>0.16352870209879231</v>
      </c>
      <c r="J269" s="238">
        <v>144</v>
      </c>
      <c r="K269" s="238">
        <v>98</v>
      </c>
      <c r="L269" s="238">
        <v>56</v>
      </c>
      <c r="M269" s="241">
        <v>1.7500000000000002E-2</v>
      </c>
      <c r="N269" s="238">
        <v>0</v>
      </c>
      <c r="O269" s="239">
        <v>0</v>
      </c>
      <c r="Q269" s="237">
        <v>0</v>
      </c>
      <c r="R269" s="239">
        <v>0</v>
      </c>
      <c r="S269" s="238">
        <v>135</v>
      </c>
      <c r="T269" s="436">
        <v>0</v>
      </c>
      <c r="U269" s="436">
        <v>0</v>
      </c>
      <c r="V269" s="436">
        <v>752</v>
      </c>
      <c r="W269" s="436">
        <v>752</v>
      </c>
      <c r="X269" s="238">
        <v>57543</v>
      </c>
      <c r="Y269" s="237">
        <v>0.1603</v>
      </c>
      <c r="Z269" s="238">
        <v>798569</v>
      </c>
      <c r="AA269" s="238">
        <v>13909</v>
      </c>
      <c r="AB269" s="238">
        <v>84.99</v>
      </c>
      <c r="AC269" s="238">
        <v>21310</v>
      </c>
      <c r="AD269" s="238">
        <v>67096311.370000005</v>
      </c>
      <c r="AE269" s="238">
        <v>10579885.829999998</v>
      </c>
      <c r="AF269" s="238">
        <v>53534136.649999999</v>
      </c>
      <c r="AG269" s="238">
        <v>1447652.41</v>
      </c>
      <c r="AH269" s="239">
        <v>2.7041669121603364E-2</v>
      </c>
      <c r="AI269" s="247">
        <v>971.28834800000004</v>
      </c>
      <c r="AJ269" s="242">
        <v>1590.1326799999999</v>
      </c>
      <c r="AK269" s="242">
        <v>49.691646249999991</v>
      </c>
      <c r="AL269" s="242">
        <v>239.53804299999999</v>
      </c>
      <c r="AM269" s="242">
        <v>7.4855638437499996</v>
      </c>
      <c r="AN269" s="242">
        <v>87767.45</v>
      </c>
      <c r="AO269" s="238">
        <v>23898.400000000001</v>
      </c>
      <c r="AP269" s="243">
        <v>105</v>
      </c>
      <c r="AQ269" s="238"/>
      <c r="AR269" s="238">
        <v>1220.4639149649827</v>
      </c>
      <c r="AS269" s="238">
        <v>2065.8025650635213</v>
      </c>
      <c r="AT269" s="238">
        <v>3556471</v>
      </c>
      <c r="AU269" s="238">
        <v>253.76853207501193</v>
      </c>
      <c r="AV269" s="237">
        <v>1</v>
      </c>
      <c r="AW269" s="237">
        <v>0</v>
      </c>
      <c r="AX269" s="237">
        <v>0</v>
      </c>
      <c r="AY269" s="244" t="s">
        <v>673</v>
      </c>
      <c r="AZ269" s="244" t="s">
        <v>673</v>
      </c>
      <c r="BA269" s="237">
        <v>2010</v>
      </c>
      <c r="BB269" s="245" t="s">
        <v>678</v>
      </c>
      <c r="BC269" s="215" t="s">
        <v>678</v>
      </c>
      <c r="BD269" s="237">
        <v>1</v>
      </c>
      <c r="BE269" s="237">
        <v>39</v>
      </c>
      <c r="BF269" s="237">
        <v>37</v>
      </c>
      <c r="BG269" s="246" t="s">
        <v>676</v>
      </c>
      <c r="BI269" s="239">
        <v>0.43776125074643069</v>
      </c>
      <c r="BJ269" s="239">
        <v>0.12963465609901742</v>
      </c>
      <c r="BK269" s="239">
        <v>0.42348406709733455</v>
      </c>
      <c r="BL269" s="239">
        <v>9.1200260572173071E-3</v>
      </c>
      <c r="BM269" s="247">
        <v>1.9960371315346612</v>
      </c>
      <c r="BN269" s="248">
        <v>0</v>
      </c>
      <c r="BO269" s="248">
        <v>2</v>
      </c>
      <c r="BP269" s="237">
        <v>0</v>
      </c>
      <c r="BQ269" s="237">
        <v>0</v>
      </c>
      <c r="BR269" s="248">
        <v>2</v>
      </c>
      <c r="BS269" s="237">
        <v>10</v>
      </c>
      <c r="BT269" s="237" t="s">
        <v>947</v>
      </c>
      <c r="BU269" s="249">
        <v>4334</v>
      </c>
      <c r="BV269" s="249">
        <v>5513</v>
      </c>
      <c r="BW269" s="249">
        <v>26917</v>
      </c>
      <c r="BX269" s="249">
        <v>10454</v>
      </c>
      <c r="BY269" s="249">
        <v>7.5188230803927691</v>
      </c>
      <c r="BZ269" s="249">
        <v>9.5642066548697127</v>
      </c>
      <c r="CA269" s="249">
        <v>46.696852989139863</v>
      </c>
      <c r="CB269" s="249">
        <v>18.136081329586066</v>
      </c>
      <c r="CC269" s="250">
        <v>88.381735540057605</v>
      </c>
      <c r="CD269" s="242">
        <v>9988</v>
      </c>
      <c r="CE269" s="252">
        <v>117.32764303806252</v>
      </c>
      <c r="CF269" s="238">
        <v>25300</v>
      </c>
      <c r="CG269" s="238">
        <v>4425</v>
      </c>
      <c r="CH269" s="238">
        <v>7.6766940772353491</v>
      </c>
      <c r="CI269" s="216" t="s">
        <v>679</v>
      </c>
      <c r="CJ269" s="237">
        <v>0</v>
      </c>
      <c r="CK269" s="253">
        <v>934.64</v>
      </c>
      <c r="CL269" s="253">
        <v>747.31230000000005</v>
      </c>
      <c r="CM269" s="254">
        <v>0.23353509375000001</v>
      </c>
      <c r="CN269" s="237" t="s">
        <v>89</v>
      </c>
      <c r="CO269" s="242">
        <v>1390.73</v>
      </c>
      <c r="CP269" s="255">
        <v>0.43460312499999998</v>
      </c>
      <c r="CV269" s="237">
        <v>24</v>
      </c>
      <c r="CW269" s="194">
        <v>1.867</v>
      </c>
      <c r="CX269" s="194">
        <v>0.63500000000000001</v>
      </c>
      <c r="CY269" s="194" t="s">
        <v>680</v>
      </c>
      <c r="DB269" s="216" t="s">
        <v>804</v>
      </c>
      <c r="DC269" s="195" t="s">
        <v>977</v>
      </c>
      <c r="DD269" s="256">
        <v>0.7</v>
      </c>
      <c r="DE269" s="256">
        <v>-6.5</v>
      </c>
      <c r="DF269" s="256">
        <v>0.7</v>
      </c>
      <c r="DG269" s="256">
        <v>-2.2000000000000002</v>
      </c>
      <c r="DL269" s="237" t="s">
        <v>682</v>
      </c>
      <c r="DP269" s="258" t="s">
        <v>683</v>
      </c>
      <c r="DQ269" s="258" t="s">
        <v>948</v>
      </c>
      <c r="DR269" s="258" t="s">
        <v>1606</v>
      </c>
      <c r="DS269" s="258"/>
      <c r="DT269" s="258"/>
      <c r="DU269" s="237">
        <v>0</v>
      </c>
      <c r="DX269" s="247"/>
      <c r="DY269" s="247">
        <v>0</v>
      </c>
      <c r="EA269" s="237">
        <v>0</v>
      </c>
      <c r="ED269" s="237" t="s">
        <v>687</v>
      </c>
      <c r="EE269" s="208">
        <v>1</v>
      </c>
      <c r="EF269" s="237" t="s">
        <v>688</v>
      </c>
      <c r="EG269" s="216" t="s">
        <v>689</v>
      </c>
      <c r="EH269" s="246" t="s">
        <v>690</v>
      </c>
      <c r="EI269" s="216" t="s">
        <v>689</v>
      </c>
      <c r="EJ269" s="216" t="s">
        <v>806</v>
      </c>
      <c r="EK269" s="222" t="s">
        <v>529</v>
      </c>
      <c r="EL269" s="259">
        <v>1976</v>
      </c>
      <c r="EM269" s="260">
        <v>279725</v>
      </c>
      <c r="EN269" s="260">
        <v>2330813</v>
      </c>
      <c r="EO269" s="260">
        <v>1295622</v>
      </c>
      <c r="ER269" s="237" t="s">
        <v>705</v>
      </c>
      <c r="ES269" s="237">
        <v>28821</v>
      </c>
      <c r="ET269" s="237">
        <v>4.6317704888730002</v>
      </c>
      <c r="EU269" s="661">
        <v>1</v>
      </c>
      <c r="EV269" s="661">
        <v>2</v>
      </c>
      <c r="EW269" s="661">
        <v>4</v>
      </c>
      <c r="EX269" s="661">
        <v>4</v>
      </c>
      <c r="EY269" s="660">
        <v>0.29207499999999997</v>
      </c>
      <c r="EZ269" s="256">
        <v>61.672943593255155</v>
      </c>
      <c r="FA269" s="247">
        <v>1.3945380592678676</v>
      </c>
      <c r="FB269" s="208">
        <v>4</v>
      </c>
      <c r="FC269" s="208">
        <v>4</v>
      </c>
      <c r="FD269" s="208">
        <v>6</v>
      </c>
      <c r="FE269" s="239">
        <v>0.84427658338175482</v>
      </c>
      <c r="FF269" s="208"/>
      <c r="FG269" s="241">
        <v>0</v>
      </c>
      <c r="FH269" s="209">
        <v>0</v>
      </c>
      <c r="FI269" s="237" t="s">
        <v>678</v>
      </c>
      <c r="FJ269" s="208">
        <v>41.4</v>
      </c>
      <c r="FK269" s="208">
        <v>39.299999999999997</v>
      </c>
      <c r="FL269" s="217">
        <v>82.1</v>
      </c>
      <c r="FM269" s="208">
        <v>2.27</v>
      </c>
      <c r="FN269" s="208" t="s">
        <v>1607</v>
      </c>
      <c r="FP269" s="247" t="s">
        <v>693</v>
      </c>
      <c r="FU269" s="208">
        <v>36</v>
      </c>
      <c r="FV269" s="208">
        <v>43.4</v>
      </c>
      <c r="FW269" s="237">
        <v>91.87</v>
      </c>
      <c r="FX269" s="237">
        <v>86.8</v>
      </c>
      <c r="FY269" s="208">
        <v>34.549999999999997</v>
      </c>
      <c r="FZ269" s="208">
        <v>51.2</v>
      </c>
      <c r="GA269" s="208">
        <v>46.06</v>
      </c>
      <c r="GB269" s="208">
        <v>46.4</v>
      </c>
      <c r="GC269" s="208">
        <v>1.21</v>
      </c>
      <c r="GD269" s="208">
        <v>91.9</v>
      </c>
      <c r="GE269" s="237">
        <v>31.15</v>
      </c>
      <c r="GF269" s="237">
        <v>36.799999999999997</v>
      </c>
      <c r="GG269" s="237">
        <v>4.0999999999999996</v>
      </c>
      <c r="GH269" s="237">
        <v>36.1</v>
      </c>
      <c r="GJ269" s="947">
        <v>1659</v>
      </c>
      <c r="GK269" s="320">
        <v>0</v>
      </c>
      <c r="GL269" s="320">
        <v>0.14699999999999999</v>
      </c>
      <c r="GM269" s="320">
        <v>0.04</v>
      </c>
      <c r="GN269" s="320">
        <v>0.81299999999999994</v>
      </c>
      <c r="GO269" s="662">
        <v>8266</v>
      </c>
      <c r="GP269" s="663" t="str">
        <f>VLOOKUP(GS269,'BD Comarcal'!$A$6:$AV$17,48,FALSE)</f>
        <v>40</v>
      </c>
      <c r="GQ269" s="567">
        <v>390</v>
      </c>
      <c r="GR269" s="256">
        <f t="shared" si="4"/>
        <v>0</v>
      </c>
      <c r="GS269" s="237" t="s">
        <v>89</v>
      </c>
    </row>
    <row r="270" spans="1:201" s="237" customFormat="1" ht="17.25" customHeight="1">
      <c r="A270" s="236" t="s">
        <v>1608</v>
      </c>
      <c r="C270" s="238"/>
      <c r="D270" s="238">
        <v>2820</v>
      </c>
      <c r="E270" s="238">
        <v>2066</v>
      </c>
      <c r="F270" s="239">
        <v>0.73262411347517731</v>
      </c>
      <c r="G270" s="238">
        <v>1468</v>
      </c>
      <c r="H270" s="240">
        <v>258.10944005506218</v>
      </c>
      <c r="I270" s="239">
        <v>0.12493196517669999</v>
      </c>
      <c r="J270" s="238">
        <v>584</v>
      </c>
      <c r="K270" s="238">
        <v>14</v>
      </c>
      <c r="L270" s="238">
        <v>11</v>
      </c>
      <c r="M270" s="241">
        <v>3.900709219858156E-3</v>
      </c>
      <c r="N270" s="238">
        <v>6</v>
      </c>
      <c r="O270" s="239">
        <v>1.0273972602739725E-2</v>
      </c>
      <c r="P270" s="237">
        <v>10</v>
      </c>
      <c r="Q270" s="237">
        <v>0</v>
      </c>
      <c r="R270" s="239">
        <v>0</v>
      </c>
      <c r="S270" s="238">
        <v>1580</v>
      </c>
      <c r="T270" s="436">
        <v>0</v>
      </c>
      <c r="U270" s="436">
        <v>0</v>
      </c>
      <c r="V270" s="436">
        <v>0</v>
      </c>
      <c r="W270" s="436">
        <v>0</v>
      </c>
      <c r="X270" s="238">
        <v>8700</v>
      </c>
      <c r="Y270" s="237">
        <v>0.126</v>
      </c>
      <c r="Z270" s="238">
        <v>114214</v>
      </c>
      <c r="AA270" s="238">
        <v>13201</v>
      </c>
      <c r="AB270" s="238">
        <v>80.66</v>
      </c>
      <c r="AC270" s="238">
        <v>2992</v>
      </c>
      <c r="AD270" s="238">
        <v>8833661.0999999978</v>
      </c>
      <c r="AE270" s="238">
        <v>867442.12000000104</v>
      </c>
      <c r="AF270" s="238">
        <v>7762410.2799999993</v>
      </c>
      <c r="AG270" s="238">
        <v>775672.64</v>
      </c>
      <c r="AH270" s="239">
        <v>9.9926776867042905E-2</v>
      </c>
      <c r="AI270" s="247">
        <v>301.44455199999999</v>
      </c>
      <c r="AJ270" s="242">
        <v>80.130257</v>
      </c>
      <c r="AK270" s="242">
        <v>2.8414984751773051</v>
      </c>
      <c r="AL270" s="242">
        <v>158.34643</v>
      </c>
      <c r="AM270" s="242">
        <v>5.6151216312056738</v>
      </c>
      <c r="AN270" s="242">
        <v>38012.01</v>
      </c>
      <c r="AO270" s="238">
        <v>29516.7</v>
      </c>
      <c r="AP270" s="243">
        <v>41</v>
      </c>
      <c r="AQ270" s="238">
        <v>1</v>
      </c>
      <c r="AR270" s="238">
        <v>1217.2237236412948</v>
      </c>
      <c r="AS270" s="238">
        <v>2146.690257564916</v>
      </c>
      <c r="AT270" s="238">
        <v>456455.66666666669</v>
      </c>
      <c r="AU270" s="238">
        <v>238.39102206939089</v>
      </c>
      <c r="AV270" s="237">
        <v>1</v>
      </c>
      <c r="AW270" s="237">
        <v>0</v>
      </c>
      <c r="AX270" s="237">
        <v>1</v>
      </c>
      <c r="AY270" s="244" t="s">
        <v>717</v>
      </c>
      <c r="AZ270" s="244" t="s">
        <v>682</v>
      </c>
      <c r="BA270" s="237">
        <v>2010</v>
      </c>
      <c r="BB270" s="245" t="s">
        <v>868</v>
      </c>
      <c r="BC270" s="215" t="s">
        <v>869</v>
      </c>
      <c r="BE270" s="237">
        <v>8</v>
      </c>
      <c r="BF270" s="237">
        <v>42</v>
      </c>
      <c r="BG270" s="246" t="s">
        <v>698</v>
      </c>
      <c r="BI270" s="239">
        <v>0.24004445267642155</v>
      </c>
      <c r="BJ270" s="239">
        <v>0.10520466753102427</v>
      </c>
      <c r="BK270" s="239">
        <v>0.61418781255788113</v>
      </c>
      <c r="BL270" s="239">
        <v>4.0563067234673088E-2</v>
      </c>
      <c r="BM270" s="247">
        <v>1.5447305056491942</v>
      </c>
      <c r="BN270" s="248">
        <v>0</v>
      </c>
      <c r="BO270" s="248">
        <v>0</v>
      </c>
      <c r="BP270" s="237">
        <v>0</v>
      </c>
      <c r="BQ270" s="237">
        <v>0</v>
      </c>
      <c r="BR270" s="248">
        <v>0</v>
      </c>
      <c r="BS270" s="237">
        <v>12</v>
      </c>
      <c r="BT270" s="237" t="s">
        <v>947</v>
      </c>
      <c r="BU270" s="249" t="s">
        <v>678</v>
      </c>
      <c r="BV270" s="249">
        <v>964</v>
      </c>
      <c r="BW270" s="249">
        <v>4230</v>
      </c>
      <c r="BX270" s="249">
        <v>1087</v>
      </c>
      <c r="BY270" s="249" t="s">
        <v>678</v>
      </c>
      <c r="BZ270" s="249">
        <v>11.138070479491624</v>
      </c>
      <c r="CA270" s="249">
        <v>48.873483535528599</v>
      </c>
      <c r="CB270" s="249">
        <v>12.559214326978624</v>
      </c>
      <c r="CC270" s="250" t="s">
        <v>678</v>
      </c>
      <c r="CD270" s="242">
        <v>-57</v>
      </c>
      <c r="CE270" s="252">
        <v>99.341421143847484</v>
      </c>
      <c r="CF270" s="238">
        <v>3671</v>
      </c>
      <c r="CG270" s="238">
        <v>691.3</v>
      </c>
      <c r="CH270" s="238">
        <v>7.9872905834777583</v>
      </c>
      <c r="CI270" s="216" t="s">
        <v>679</v>
      </c>
      <c r="CJ270" s="237">
        <v>0</v>
      </c>
      <c r="CK270" s="253">
        <v>271.02999999999997</v>
      </c>
      <c r="CL270" s="253">
        <v>130.99629999999999</v>
      </c>
      <c r="CM270" s="254">
        <v>4.6452588652482266E-2</v>
      </c>
      <c r="CN270" s="237" t="s">
        <v>89</v>
      </c>
      <c r="CO270" s="242"/>
      <c r="CP270" s="255">
        <v>0</v>
      </c>
      <c r="CV270" s="237">
        <v>4</v>
      </c>
      <c r="CW270" s="194">
        <v>1.579</v>
      </c>
      <c r="CX270" s="194">
        <v>0.63500000000000001</v>
      </c>
      <c r="CY270" s="194">
        <v>0.47899999999999998</v>
      </c>
      <c r="DB270" s="216" t="s">
        <v>710</v>
      </c>
      <c r="DC270" s="195" t="s">
        <v>711</v>
      </c>
      <c r="DD270" s="256">
        <v>0.8</v>
      </c>
      <c r="DE270" s="256">
        <v>-10</v>
      </c>
      <c r="DF270" s="256">
        <v>0.5</v>
      </c>
      <c r="DG270" s="256">
        <v>-2.2999999999999998</v>
      </c>
      <c r="DH270" s="257">
        <v>2</v>
      </c>
      <c r="DI270" s="257">
        <v>0.3</v>
      </c>
      <c r="DJ270" s="257">
        <v>1.81</v>
      </c>
      <c r="DK270" s="257">
        <v>2.11</v>
      </c>
      <c r="DL270" s="237" t="s">
        <v>682</v>
      </c>
      <c r="DP270" s="258" t="s">
        <v>682</v>
      </c>
      <c r="DQ270" s="258"/>
      <c r="DR270" s="258"/>
      <c r="DS270" s="258"/>
      <c r="DT270" s="258"/>
      <c r="DU270" s="237">
        <v>0</v>
      </c>
      <c r="DX270" s="247"/>
      <c r="DY270" s="247">
        <v>0</v>
      </c>
      <c r="EA270" s="237">
        <v>0</v>
      </c>
      <c r="ED270" s="237" t="s">
        <v>687</v>
      </c>
      <c r="EE270" s="208">
        <v>1</v>
      </c>
      <c r="EF270" s="237" t="s">
        <v>688</v>
      </c>
      <c r="EG270" s="216" t="s">
        <v>689</v>
      </c>
      <c r="EH270" s="246" t="s">
        <v>690</v>
      </c>
      <c r="EI270" s="216" t="s">
        <v>689</v>
      </c>
      <c r="EJ270" s="216" t="s">
        <v>529</v>
      </c>
      <c r="EK270" s="222" t="s">
        <v>682</v>
      </c>
      <c r="EL270" s="259">
        <v>1998</v>
      </c>
      <c r="EM270" s="263">
        <v>8665</v>
      </c>
      <c r="EN270" s="260">
        <v>337430</v>
      </c>
      <c r="EO270" s="260">
        <v>146340</v>
      </c>
      <c r="ER270" s="237" t="s">
        <v>692</v>
      </c>
      <c r="ES270" s="237" t="e">
        <v>#DIV/0!</v>
      </c>
      <c r="ET270" s="237">
        <v>16.888632429313329</v>
      </c>
      <c r="EU270" s="661">
        <v>1</v>
      </c>
      <c r="EV270" s="661">
        <v>2</v>
      </c>
      <c r="EW270" s="661">
        <v>4</v>
      </c>
      <c r="EX270" s="661">
        <v>3</v>
      </c>
      <c r="EY270" s="660">
        <v>9.6109929078014175E-2</v>
      </c>
      <c r="EZ270" s="256">
        <v>31.933734272958716</v>
      </c>
      <c r="FA270" s="247">
        <v>0.1936108422071636</v>
      </c>
      <c r="FB270" s="208">
        <v>4</v>
      </c>
      <c r="FC270" s="208">
        <v>4</v>
      </c>
      <c r="FD270" s="208">
        <v>6</v>
      </c>
      <c r="FE270" s="239">
        <v>0.71055179090029041</v>
      </c>
      <c r="FF270" s="208"/>
      <c r="FG270" s="241">
        <v>1.021297192642788E-3</v>
      </c>
      <c r="FH270" s="209">
        <v>0</v>
      </c>
      <c r="FI270" s="237" t="s">
        <v>678</v>
      </c>
      <c r="FJ270" s="208">
        <v>56.9</v>
      </c>
      <c r="FK270" s="208">
        <v>0</v>
      </c>
      <c r="FL270" s="217">
        <v>10.1</v>
      </c>
      <c r="FM270" s="208">
        <v>2.91</v>
      </c>
      <c r="FN270" s="208" t="s">
        <v>1609</v>
      </c>
      <c r="FP270" s="247" t="s">
        <v>693</v>
      </c>
      <c r="FU270" s="208">
        <v>45</v>
      </c>
      <c r="FV270" s="208">
        <v>65.5</v>
      </c>
      <c r="FW270" s="237">
        <v>91.95</v>
      </c>
      <c r="FX270" s="237">
        <v>87.2</v>
      </c>
      <c r="FY270" s="208">
        <v>48.12</v>
      </c>
      <c r="FZ270" s="208">
        <v>59.9</v>
      </c>
      <c r="GA270" s="208">
        <v>51.14</v>
      </c>
      <c r="GB270" s="208">
        <v>53.8</v>
      </c>
      <c r="GC270" s="208">
        <v>0.21</v>
      </c>
      <c r="GD270" s="208">
        <v>39.700000000000003</v>
      </c>
      <c r="GE270" s="237">
        <v>40.9</v>
      </c>
      <c r="GF270" s="237">
        <v>52.2</v>
      </c>
      <c r="GG270" s="237">
        <v>1.44</v>
      </c>
      <c r="GH270" s="237">
        <v>18.100000000000001</v>
      </c>
      <c r="GJ270" s="947">
        <v>319</v>
      </c>
      <c r="GK270" s="320">
        <v>6.0000000000000001E-3</v>
      </c>
      <c r="GL270" s="320">
        <v>0.55200000000000005</v>
      </c>
      <c r="GM270" s="320">
        <v>5.5E-2</v>
      </c>
      <c r="GN270" s="320">
        <v>0.38700000000000001</v>
      </c>
      <c r="GO270" s="662">
        <v>8267</v>
      </c>
      <c r="GP270" s="663" t="str">
        <f>VLOOKUP(GS270,'BD Comarcal'!$A$6:$AV$17,48,FALSE)</f>
        <v>40</v>
      </c>
      <c r="GQ270" s="564">
        <v>52</v>
      </c>
      <c r="GR270" s="256">
        <f t="shared" si="4"/>
        <v>1</v>
      </c>
      <c r="GS270" s="237" t="s">
        <v>89</v>
      </c>
    </row>
    <row r="271" spans="1:201" s="237" customFormat="1" ht="17.25" customHeight="1">
      <c r="A271" s="236" t="s">
        <v>1610</v>
      </c>
      <c r="C271" s="238"/>
      <c r="D271" s="238">
        <v>4693</v>
      </c>
      <c r="E271" s="238">
        <v>4312</v>
      </c>
      <c r="F271" s="239">
        <v>0.91881525676539522</v>
      </c>
      <c r="G271" s="238">
        <v>3220</v>
      </c>
      <c r="H271" s="240">
        <v>1535.4829649055473</v>
      </c>
      <c r="I271" s="239">
        <v>0.35609530726009908</v>
      </c>
      <c r="J271" s="238">
        <v>9</v>
      </c>
      <c r="K271" s="238">
        <v>298</v>
      </c>
      <c r="L271" s="238">
        <v>0</v>
      </c>
      <c r="M271" s="241">
        <v>0</v>
      </c>
      <c r="N271" s="238">
        <v>0</v>
      </c>
      <c r="O271" s="239">
        <v>0</v>
      </c>
      <c r="Q271" s="237">
        <v>0</v>
      </c>
      <c r="R271" s="239">
        <v>0</v>
      </c>
      <c r="S271" s="238">
        <v>1233</v>
      </c>
      <c r="T271" s="436">
        <v>0</v>
      </c>
      <c r="U271" s="436">
        <v>35</v>
      </c>
      <c r="V271" s="436">
        <v>41</v>
      </c>
      <c r="W271" s="436">
        <v>76</v>
      </c>
      <c r="X271" s="238">
        <v>1183</v>
      </c>
      <c r="Y271" s="237">
        <v>0.29449999999999998</v>
      </c>
      <c r="Z271" s="238">
        <v>21675</v>
      </c>
      <c r="AA271" s="238">
        <v>17928</v>
      </c>
      <c r="AB271" s="238">
        <v>109.54</v>
      </c>
      <c r="AC271" s="238">
        <v>0</v>
      </c>
      <c r="AD271" s="238">
        <v>2140028.6999999997</v>
      </c>
      <c r="AE271" s="238">
        <v>252927.13000000012</v>
      </c>
      <c r="AF271" s="238">
        <v>1796733.5399999998</v>
      </c>
      <c r="AG271" s="238">
        <v>271186.73</v>
      </c>
      <c r="AH271" s="239">
        <v>0.15093319290961754</v>
      </c>
      <c r="AI271" s="247">
        <v>84.705117000000001</v>
      </c>
      <c r="AJ271" s="242">
        <v>19.832888000000001</v>
      </c>
      <c r="AK271" s="242">
        <v>0.42260575324952054</v>
      </c>
      <c r="AL271" s="242" t="s">
        <v>678</v>
      </c>
      <c r="AM271" s="242" t="s">
        <v>678</v>
      </c>
      <c r="AN271" s="242">
        <v>47334.38</v>
      </c>
      <c r="AO271" s="238">
        <v>14038.18</v>
      </c>
      <c r="AP271" s="243">
        <v>51</v>
      </c>
      <c r="AQ271" s="238">
        <v>2</v>
      </c>
      <c r="AR271" s="238">
        <v>1923.0014943622436</v>
      </c>
      <c r="AS271" s="238">
        <v>1990.208009351087</v>
      </c>
      <c r="AT271" s="238">
        <v>68575</v>
      </c>
      <c r="AU271" s="238">
        <v>244.49678761512914</v>
      </c>
      <c r="AV271" s="237">
        <v>1</v>
      </c>
      <c r="AW271" s="237">
        <v>0</v>
      </c>
      <c r="AX271" s="237">
        <v>1</v>
      </c>
      <c r="AY271" s="244" t="s">
        <v>673</v>
      </c>
      <c r="AZ271" s="244" t="s">
        <v>695</v>
      </c>
      <c r="BA271" s="237">
        <v>2013</v>
      </c>
      <c r="BB271" s="245" t="s">
        <v>808</v>
      </c>
      <c r="BC271" s="215" t="s">
        <v>809</v>
      </c>
      <c r="BE271" s="237">
        <v>0</v>
      </c>
      <c r="BF271" s="237">
        <v>11</v>
      </c>
      <c r="BG271" s="246" t="s">
        <v>720</v>
      </c>
      <c r="BI271" s="239">
        <v>0.82592313489073099</v>
      </c>
      <c r="BJ271" s="239">
        <v>4.5968349660889224E-2</v>
      </c>
      <c r="BK271" s="239">
        <v>0.12584777694046723</v>
      </c>
      <c r="BL271" s="239">
        <v>2.2607385079125848E-3</v>
      </c>
      <c r="BM271" s="247">
        <v>2.6955538809344386</v>
      </c>
      <c r="BN271" s="248">
        <v>0</v>
      </c>
      <c r="BO271" s="248">
        <v>0</v>
      </c>
      <c r="BP271" s="237">
        <v>0</v>
      </c>
      <c r="BQ271" s="237">
        <v>0</v>
      </c>
      <c r="BR271" s="248">
        <v>0</v>
      </c>
      <c r="BS271" s="237">
        <v>9</v>
      </c>
      <c r="BT271" s="237" t="s">
        <v>777</v>
      </c>
      <c r="BU271" s="249" t="s">
        <v>678</v>
      </c>
      <c r="BV271" s="249">
        <v>151</v>
      </c>
      <c r="BW271" s="249">
        <v>777</v>
      </c>
      <c r="BX271" s="249" t="s">
        <v>678</v>
      </c>
      <c r="BY271" s="249" t="s">
        <v>678</v>
      </c>
      <c r="BZ271" s="249">
        <v>11.871069182389936</v>
      </c>
      <c r="CA271" s="249">
        <v>61.084905660377359</v>
      </c>
      <c r="CB271" s="249" t="s">
        <v>678</v>
      </c>
      <c r="CC271" s="250" t="s">
        <v>678</v>
      </c>
      <c r="CD271" s="242" t="s">
        <v>678</v>
      </c>
      <c r="CE271" s="252" t="s">
        <v>678</v>
      </c>
      <c r="CF271" s="238">
        <v>1192</v>
      </c>
      <c r="CG271" s="238">
        <v>89.5</v>
      </c>
      <c r="CH271" s="238">
        <v>7.0361635220125782</v>
      </c>
      <c r="CI271" s="216" t="s">
        <v>700</v>
      </c>
      <c r="CJ271" s="237">
        <v>0</v>
      </c>
      <c r="CK271" s="253">
        <v>115.4</v>
      </c>
      <c r="CL271" s="253">
        <v>7.29</v>
      </c>
      <c r="CM271" s="254">
        <v>1.5533773705518857E-3</v>
      </c>
      <c r="CN271" s="237" t="s">
        <v>84</v>
      </c>
      <c r="CO271" s="242">
        <v>1001.95</v>
      </c>
      <c r="CP271" s="255">
        <v>0.21349882804176434</v>
      </c>
      <c r="CV271" s="237">
        <v>8</v>
      </c>
      <c r="CW271" s="261" t="s">
        <v>678</v>
      </c>
      <c r="CX271" s="261" t="s">
        <v>678</v>
      </c>
      <c r="CY271" s="261" t="s">
        <v>678</v>
      </c>
      <c r="DB271" s="216" t="s">
        <v>710</v>
      </c>
      <c r="DC271" s="195" t="s">
        <v>711</v>
      </c>
      <c r="DD271" s="256">
        <v>0.8</v>
      </c>
      <c r="DE271" s="256">
        <v>-9</v>
      </c>
      <c r="DF271" s="256">
        <v>-0.3</v>
      </c>
      <c r="DG271" s="256">
        <v>-2.6</v>
      </c>
      <c r="DH271" s="257">
        <v>3</v>
      </c>
      <c r="DI271" s="257">
        <v>5.9</v>
      </c>
      <c r="DJ271" s="257">
        <v>1.55</v>
      </c>
      <c r="DK271" s="257">
        <v>7.45</v>
      </c>
      <c r="DL271" s="237" t="s">
        <v>682</v>
      </c>
      <c r="DP271" s="258" t="s">
        <v>682</v>
      </c>
      <c r="DQ271" s="258"/>
      <c r="DR271" s="258"/>
      <c r="DS271" s="258"/>
      <c r="DT271" s="258"/>
      <c r="DU271" s="237">
        <v>1</v>
      </c>
      <c r="DV271" s="237" t="s">
        <v>1611</v>
      </c>
      <c r="DW271" s="237" t="s">
        <v>1065</v>
      </c>
      <c r="DX271" s="247">
        <v>10.36</v>
      </c>
      <c r="DY271" s="247">
        <v>0.22075431493714043</v>
      </c>
      <c r="DZ271" s="237" t="s">
        <v>1612</v>
      </c>
      <c r="EA271" s="237">
        <v>0</v>
      </c>
      <c r="ED271" s="237" t="s">
        <v>836</v>
      </c>
      <c r="EE271" s="208">
        <v>1</v>
      </c>
      <c r="EF271" s="237" t="s">
        <v>688</v>
      </c>
      <c r="EG271" s="216" t="s">
        <v>703</v>
      </c>
      <c r="EH271" s="246" t="s">
        <v>704</v>
      </c>
      <c r="EI271" s="216" t="s">
        <v>691</v>
      </c>
      <c r="EJ271" s="216" t="s">
        <v>529</v>
      </c>
      <c r="EK271" s="222" t="s">
        <v>682</v>
      </c>
      <c r="EL271" s="259">
        <v>2007</v>
      </c>
      <c r="EM271" s="260">
        <v>2102</v>
      </c>
      <c r="EN271" s="260">
        <v>46636</v>
      </c>
      <c r="EO271" s="260">
        <v>23049</v>
      </c>
      <c r="ER271" s="237" t="s">
        <v>705</v>
      </c>
      <c r="ES271" s="237" t="e">
        <v>#DIV/0!</v>
      </c>
      <c r="ET271" s="237">
        <v>10.965271170313986</v>
      </c>
      <c r="EU271" s="661">
        <v>5</v>
      </c>
      <c r="EV271" s="661" t="s">
        <v>678</v>
      </c>
      <c r="EW271" s="661">
        <v>0</v>
      </c>
      <c r="EX271" s="661">
        <v>3</v>
      </c>
      <c r="EY271" s="660">
        <v>2.458981461751545E-2</v>
      </c>
      <c r="EZ271" s="256">
        <v>11.022530329289427</v>
      </c>
      <c r="FA271" s="247">
        <v>0.18552875695732837</v>
      </c>
      <c r="FB271" s="208">
        <v>1</v>
      </c>
      <c r="FC271" s="208">
        <v>2</v>
      </c>
      <c r="FD271" s="208">
        <v>2</v>
      </c>
      <c r="FE271" s="239">
        <v>0.74675324675324672</v>
      </c>
      <c r="FF271" s="208">
        <v>1</v>
      </c>
      <c r="FG271" s="241">
        <v>1.7277365491651206E-3</v>
      </c>
      <c r="FH271" s="209">
        <v>0</v>
      </c>
      <c r="FI271" s="237" t="s">
        <v>678</v>
      </c>
      <c r="FJ271" s="208">
        <v>73.7</v>
      </c>
      <c r="FK271" s="208">
        <v>10.63</v>
      </c>
      <c r="FL271" s="217">
        <v>47.2</v>
      </c>
      <c r="FM271" s="208">
        <v>13.85</v>
      </c>
      <c r="FN271" s="208" t="s">
        <v>1613</v>
      </c>
      <c r="FP271" s="247" t="s">
        <v>693</v>
      </c>
      <c r="FU271" s="208">
        <v>54</v>
      </c>
      <c r="FV271" s="208">
        <v>82.8</v>
      </c>
      <c r="FW271" s="237">
        <v>82.34</v>
      </c>
      <c r="FX271" s="237">
        <v>69.3</v>
      </c>
      <c r="FY271" s="208">
        <v>93.54</v>
      </c>
      <c r="FZ271" s="208">
        <v>85.2</v>
      </c>
      <c r="GA271" s="208">
        <v>76.61</v>
      </c>
      <c r="GB271" s="208">
        <v>87</v>
      </c>
      <c r="GC271" s="208">
        <v>0.72</v>
      </c>
      <c r="GD271" s="208">
        <v>74.900000000000006</v>
      </c>
      <c r="GE271" s="237">
        <v>80.27</v>
      </c>
      <c r="GF271" s="237">
        <v>94.1</v>
      </c>
      <c r="GG271" s="237">
        <v>1.7</v>
      </c>
      <c r="GH271" s="237">
        <v>20</v>
      </c>
      <c r="GJ271" s="947"/>
      <c r="GK271" s="320"/>
      <c r="GL271" s="320"/>
      <c r="GM271" s="320"/>
      <c r="GN271" s="320"/>
      <c r="GO271" s="662">
        <v>8268</v>
      </c>
      <c r="GP271" s="663" t="str">
        <f>VLOOKUP(GS271,'BD Comarcal'!$A$6:$AV$17,48,FALSE)</f>
        <v>14</v>
      </c>
      <c r="GQ271" s="567">
        <v>15</v>
      </c>
      <c r="GR271" s="256">
        <f t="shared" si="4"/>
        <v>1</v>
      </c>
      <c r="GS271" s="237" t="s">
        <v>84</v>
      </c>
    </row>
    <row r="272" spans="1:201" s="237" customFormat="1" ht="17.25" customHeight="1">
      <c r="A272" s="236" t="s">
        <v>1614</v>
      </c>
      <c r="C272" s="238"/>
      <c r="D272" s="238">
        <v>2910</v>
      </c>
      <c r="E272" s="238">
        <v>1762</v>
      </c>
      <c r="F272" s="239">
        <v>0.60549828178694154</v>
      </c>
      <c r="G272" s="238">
        <v>1553</v>
      </c>
      <c r="H272" s="240">
        <v>1806.3662033086039</v>
      </c>
      <c r="I272" s="239">
        <v>1</v>
      </c>
      <c r="J272" s="238">
        <v>603</v>
      </c>
      <c r="K272" s="238">
        <v>204</v>
      </c>
      <c r="L272" s="238">
        <v>20</v>
      </c>
      <c r="M272" s="241">
        <v>6.8728522336769758E-3</v>
      </c>
      <c r="N272" s="238">
        <v>0</v>
      </c>
      <c r="O272" s="239">
        <v>0</v>
      </c>
      <c r="P272" s="237">
        <v>20</v>
      </c>
      <c r="Q272" s="237">
        <v>0</v>
      </c>
      <c r="R272" s="239">
        <v>0</v>
      </c>
      <c r="S272" s="238">
        <v>2657</v>
      </c>
      <c r="T272" s="436">
        <v>0</v>
      </c>
      <c r="U272" s="436">
        <v>10</v>
      </c>
      <c r="V272" s="436">
        <v>559</v>
      </c>
      <c r="W272" s="436">
        <v>569</v>
      </c>
      <c r="X272" s="238">
        <v>3446</v>
      </c>
      <c r="Y272" s="237">
        <v>0.1726</v>
      </c>
      <c r="Z272" s="238">
        <v>60651</v>
      </c>
      <c r="AA272" s="238">
        <v>17662</v>
      </c>
      <c r="AB272" s="238">
        <v>107.92</v>
      </c>
      <c r="AC272" s="238">
        <v>606</v>
      </c>
      <c r="AD272" s="238">
        <v>5422667.0899999999</v>
      </c>
      <c r="AE272" s="238">
        <v>677503.95999999903</v>
      </c>
      <c r="AF272" s="238">
        <v>5400133.8200000003</v>
      </c>
      <c r="AG272" s="238">
        <v>736541.8</v>
      </c>
      <c r="AH272" s="239">
        <v>0.13639324960284041</v>
      </c>
      <c r="AI272" s="247">
        <v>541.883689</v>
      </c>
      <c r="AJ272" s="242">
        <v>140.85360399999999</v>
      </c>
      <c r="AK272" s="242">
        <v>4.8403300343642615</v>
      </c>
      <c r="AL272" s="242">
        <v>370.80392999999998</v>
      </c>
      <c r="AM272" s="242">
        <v>12.742403092783503</v>
      </c>
      <c r="AN272" s="242">
        <v>4789.09</v>
      </c>
      <c r="AO272" s="238">
        <v>10710.82</v>
      </c>
      <c r="AP272" s="243">
        <v>29</v>
      </c>
      <c r="AQ272" s="238">
        <v>3</v>
      </c>
      <c r="AR272" s="238">
        <v>1600.2866309689555</v>
      </c>
      <c r="AS272" s="238">
        <v>2093.4311565305525</v>
      </c>
      <c r="AT272" s="238">
        <v>317101</v>
      </c>
      <c r="AU272" s="238">
        <v>207.95472402526374</v>
      </c>
      <c r="AV272" s="237">
        <v>1</v>
      </c>
      <c r="AW272" s="237">
        <v>1</v>
      </c>
      <c r="AX272" s="237">
        <v>1</v>
      </c>
      <c r="AY272" s="244" t="s">
        <v>682</v>
      </c>
      <c r="AZ272" s="244" t="s">
        <v>726</v>
      </c>
      <c r="BA272" s="237">
        <v>2013</v>
      </c>
      <c r="BB272" s="245" t="s">
        <v>798</v>
      </c>
      <c r="BC272" s="215" t="s">
        <v>799</v>
      </c>
      <c r="BE272" s="237">
        <v>0</v>
      </c>
      <c r="BF272" s="237">
        <v>83</v>
      </c>
      <c r="BG272" s="246" t="s">
        <v>720</v>
      </c>
      <c r="BI272" s="239">
        <v>0.43917332080789101</v>
      </c>
      <c r="BJ272" s="239">
        <v>0.15406294034758103</v>
      </c>
      <c r="BK272" s="239">
        <v>0.38985439173320807</v>
      </c>
      <c r="BL272" s="239">
        <v>1.6909347111319868E-2</v>
      </c>
      <c r="BM272" s="247">
        <v>2.0155002348520434</v>
      </c>
      <c r="BN272" s="248">
        <v>0</v>
      </c>
      <c r="BO272" s="248">
        <v>0</v>
      </c>
      <c r="BP272" s="237">
        <v>0</v>
      </c>
      <c r="BQ272" s="237">
        <v>0</v>
      </c>
      <c r="BR272" s="248">
        <v>0</v>
      </c>
      <c r="BS272" s="237">
        <v>16</v>
      </c>
      <c r="BT272" s="237" t="s">
        <v>815</v>
      </c>
      <c r="BU272" s="249" t="s">
        <v>678</v>
      </c>
      <c r="BV272" s="249">
        <v>278</v>
      </c>
      <c r="BW272" s="249">
        <v>1895</v>
      </c>
      <c r="BX272" s="249" t="s">
        <v>678</v>
      </c>
      <c r="BY272" s="249" t="s">
        <v>678</v>
      </c>
      <c r="BZ272" s="249">
        <v>7.9862108589485779</v>
      </c>
      <c r="CA272" s="249">
        <v>54.438379775926457</v>
      </c>
      <c r="CB272" s="249" t="s">
        <v>678</v>
      </c>
      <c r="CC272" s="250" t="s">
        <v>678</v>
      </c>
      <c r="CD272" s="242" t="s">
        <v>678</v>
      </c>
      <c r="CE272" s="252" t="s">
        <v>678</v>
      </c>
      <c r="CF272" s="238">
        <v>1784</v>
      </c>
      <c r="CG272" s="238">
        <v>186.8</v>
      </c>
      <c r="CH272" s="238">
        <v>5.3662740591783971</v>
      </c>
      <c r="CI272" s="216" t="s">
        <v>700</v>
      </c>
      <c r="CJ272" s="237">
        <v>0</v>
      </c>
      <c r="CK272" s="253">
        <v>550.38</v>
      </c>
      <c r="CL272" s="253">
        <v>31.72</v>
      </c>
      <c r="CM272" s="254">
        <v>1.0900343642611684E-2</v>
      </c>
      <c r="CN272" s="237" t="s">
        <v>88</v>
      </c>
      <c r="CO272" s="242">
        <v>624.72</v>
      </c>
      <c r="CP272" s="255">
        <v>0.21468041237113403</v>
      </c>
      <c r="CV272" s="237">
        <v>3</v>
      </c>
      <c r="CW272" s="261" t="s">
        <v>678</v>
      </c>
      <c r="CX272" s="261" t="s">
        <v>678</v>
      </c>
      <c r="CY272" s="261" t="s">
        <v>678</v>
      </c>
      <c r="DB272" s="216" t="s">
        <v>681</v>
      </c>
      <c r="DC272" s="256"/>
      <c r="DD272" s="256">
        <v>0.8</v>
      </c>
      <c r="DE272" s="256">
        <v>-9</v>
      </c>
      <c r="DF272" s="256">
        <v>-0.3</v>
      </c>
      <c r="DG272" s="256">
        <v>-2.6</v>
      </c>
      <c r="DL272" s="237" t="s">
        <v>529</v>
      </c>
      <c r="DM272" s="237" t="s">
        <v>889</v>
      </c>
      <c r="DN272" s="237" t="s">
        <v>713</v>
      </c>
      <c r="DP272" s="258" t="s">
        <v>682</v>
      </c>
      <c r="DQ272" s="258"/>
      <c r="DR272" s="258"/>
      <c r="DS272" s="258"/>
      <c r="DT272" s="258"/>
      <c r="DU272" s="237">
        <v>0</v>
      </c>
      <c r="DX272" s="247"/>
      <c r="DY272" s="247">
        <v>0</v>
      </c>
      <c r="EA272" s="237">
        <v>0</v>
      </c>
      <c r="ED272" s="237" t="s">
        <v>836</v>
      </c>
      <c r="EE272" s="208">
        <v>1</v>
      </c>
      <c r="EF272" s="237" t="s">
        <v>688</v>
      </c>
      <c r="EG272" s="216" t="s">
        <v>733</v>
      </c>
      <c r="EH272" s="246" t="s">
        <v>734</v>
      </c>
      <c r="EI272" s="216" t="s">
        <v>691</v>
      </c>
      <c r="EJ272" s="216" t="s">
        <v>529</v>
      </c>
      <c r="EK272" s="222" t="s">
        <v>682</v>
      </c>
      <c r="EL272" s="259">
        <v>2007</v>
      </c>
      <c r="EM272" s="263">
        <v>30</v>
      </c>
      <c r="EN272" s="260">
        <v>175486</v>
      </c>
      <c r="EO272" s="260">
        <v>174273</v>
      </c>
      <c r="ER272" s="237" t="s">
        <v>692</v>
      </c>
      <c r="ES272" s="237" t="e">
        <v>#DIV/0!</v>
      </c>
      <c r="ET272" s="237">
        <v>5809.1</v>
      </c>
      <c r="EU272" s="661">
        <v>5</v>
      </c>
      <c r="EV272" s="661">
        <v>0</v>
      </c>
      <c r="EW272" s="661">
        <v>2</v>
      </c>
      <c r="EX272" s="661">
        <v>3</v>
      </c>
      <c r="EY272" s="660">
        <v>0.18913402061855669</v>
      </c>
      <c r="EZ272" s="256">
        <v>6.3247211017842222</v>
      </c>
      <c r="FA272" s="247">
        <v>0.170261066969353</v>
      </c>
      <c r="FB272" s="208">
        <v>2</v>
      </c>
      <c r="FC272" s="208">
        <v>3</v>
      </c>
      <c r="FD272" s="208">
        <v>2</v>
      </c>
      <c r="FE272" s="239">
        <v>0.88138479001135073</v>
      </c>
      <c r="FF272" s="208">
        <v>1</v>
      </c>
      <c r="FG272" s="241">
        <v>0</v>
      </c>
      <c r="FH272" s="209">
        <v>0</v>
      </c>
      <c r="FI272" s="237" t="s">
        <v>678</v>
      </c>
      <c r="FJ272" s="208">
        <v>68.099999999999994</v>
      </c>
      <c r="FK272" s="208">
        <v>18.87</v>
      </c>
      <c r="FL272" s="217">
        <v>60.1</v>
      </c>
      <c r="FM272" s="208">
        <v>7.96</v>
      </c>
      <c r="FN272" s="208" t="s">
        <v>1615</v>
      </c>
      <c r="FP272" s="247" t="s">
        <v>693</v>
      </c>
      <c r="FU272" s="208">
        <v>51</v>
      </c>
      <c r="FV272" s="208">
        <v>77.599999999999994</v>
      </c>
      <c r="FW272" s="237">
        <v>87.77</v>
      </c>
      <c r="FX272" s="237">
        <v>79</v>
      </c>
      <c r="FY272" s="208">
        <v>55.15</v>
      </c>
      <c r="FZ272" s="208">
        <v>65.8</v>
      </c>
      <c r="GA272" s="208">
        <v>56.62</v>
      </c>
      <c r="GB272" s="208">
        <v>62.2</v>
      </c>
      <c r="GC272" s="208">
        <v>0.24</v>
      </c>
      <c r="GD272" s="208">
        <v>43.5</v>
      </c>
      <c r="GE272" s="237">
        <v>49.78</v>
      </c>
      <c r="GF272" s="237">
        <v>64.900000000000006</v>
      </c>
      <c r="GG272" s="237">
        <v>4.55</v>
      </c>
      <c r="GH272" s="237">
        <v>40.5</v>
      </c>
      <c r="GJ272" s="947"/>
      <c r="GK272" s="320">
        <v>1.2999999999999999E-2</v>
      </c>
      <c r="GL272" s="320">
        <v>0.58399999999999996</v>
      </c>
      <c r="GM272" s="320">
        <v>4.3999999999999997E-2</v>
      </c>
      <c r="GN272" s="320">
        <v>0.35899999999999999</v>
      </c>
      <c r="GO272" s="662">
        <v>8269</v>
      </c>
      <c r="GP272" s="663" t="str">
        <f>VLOOKUP(GS272,'BD Comarcal'!$A$6:$AV$17,48,FALSE)</f>
        <v>24</v>
      </c>
      <c r="GQ272" s="564">
        <v>23</v>
      </c>
      <c r="GR272" s="256">
        <f t="shared" si="4"/>
        <v>0</v>
      </c>
      <c r="GS272" s="237" t="s">
        <v>88</v>
      </c>
    </row>
    <row r="273" spans="1:201" s="237" customFormat="1" ht="17.25" customHeight="1">
      <c r="A273" s="236" t="s">
        <v>356</v>
      </c>
      <c r="C273" s="238" t="s">
        <v>683</v>
      </c>
      <c r="D273" s="238">
        <v>4367</v>
      </c>
      <c r="E273" s="238">
        <v>3287</v>
      </c>
      <c r="F273" s="239">
        <v>0.75269063430272498</v>
      </c>
      <c r="G273" s="238">
        <v>974</v>
      </c>
      <c r="H273" s="240">
        <v>0.12571463522492271</v>
      </c>
      <c r="I273" s="239">
        <v>3.82460101079777E-5</v>
      </c>
      <c r="J273" s="238">
        <v>76</v>
      </c>
      <c r="K273" s="238">
        <v>128</v>
      </c>
      <c r="L273" s="238">
        <v>4</v>
      </c>
      <c r="M273" s="241">
        <v>9.1596061369361118E-4</v>
      </c>
      <c r="N273" s="238">
        <v>0</v>
      </c>
      <c r="O273" s="239">
        <v>0</v>
      </c>
      <c r="P273" s="237">
        <v>1</v>
      </c>
      <c r="Q273" s="237">
        <v>0</v>
      </c>
      <c r="R273" s="239">
        <v>0</v>
      </c>
      <c r="S273" s="238">
        <v>50</v>
      </c>
      <c r="T273" s="436">
        <v>2238</v>
      </c>
      <c r="U273" s="436">
        <v>0</v>
      </c>
      <c r="V273" s="436">
        <v>4820</v>
      </c>
      <c r="W273" s="436">
        <v>7058</v>
      </c>
      <c r="X273" s="238">
        <v>28478</v>
      </c>
      <c r="Y273" s="237">
        <v>0.16489999999999999</v>
      </c>
      <c r="Z273" s="238">
        <v>433908</v>
      </c>
      <c r="AA273" s="238">
        <v>15349</v>
      </c>
      <c r="AB273" s="238">
        <v>93.79</v>
      </c>
      <c r="AC273" s="238">
        <v>19998</v>
      </c>
      <c r="AD273" s="238">
        <v>48823080.120000005</v>
      </c>
      <c r="AE273" s="238">
        <v>17295472.350000009</v>
      </c>
      <c r="AF273" s="238">
        <v>33845773.210000001</v>
      </c>
      <c r="AG273" s="238">
        <v>1350326.58</v>
      </c>
      <c r="AH273" s="239">
        <v>3.9896461269232741E-2</v>
      </c>
      <c r="AI273" s="247">
        <v>620.70383900000002</v>
      </c>
      <c r="AJ273" s="242">
        <v>149.59029799999999</v>
      </c>
      <c r="AK273" s="242">
        <v>3.4254705289672542</v>
      </c>
      <c r="AL273" s="242">
        <v>256.32327800000002</v>
      </c>
      <c r="AM273" s="242">
        <v>5.8695506755209532</v>
      </c>
      <c r="AN273" s="242">
        <v>77760.42</v>
      </c>
      <c r="AO273" s="238">
        <v>6647.88</v>
      </c>
      <c r="AP273" s="243">
        <v>32</v>
      </c>
      <c r="AQ273" s="238">
        <v>1</v>
      </c>
      <c r="AR273" s="238">
        <v>1991.3240688998349</v>
      </c>
      <c r="AS273" s="238">
        <v>2342.5104373550512</v>
      </c>
      <c r="AT273" s="238">
        <v>3147204.3333333335</v>
      </c>
      <c r="AU273" s="238">
        <v>441.56007530842976</v>
      </c>
      <c r="AV273" s="237">
        <v>1</v>
      </c>
      <c r="AW273" s="237">
        <v>0</v>
      </c>
      <c r="AX273" s="237">
        <v>1</v>
      </c>
      <c r="AY273" s="244" t="s">
        <v>717</v>
      </c>
      <c r="AZ273" s="244" t="s">
        <v>717</v>
      </c>
      <c r="BA273" s="237">
        <v>2010</v>
      </c>
      <c r="BB273" s="245" t="s">
        <v>1616</v>
      </c>
      <c r="BC273" s="215" t="s">
        <v>1617</v>
      </c>
      <c r="BD273" s="237">
        <v>1</v>
      </c>
      <c r="BE273" s="237">
        <v>137</v>
      </c>
      <c r="BF273" s="237">
        <v>19</v>
      </c>
      <c r="BG273" s="246" t="s">
        <v>676</v>
      </c>
      <c r="BI273" s="239">
        <v>0.34874350546071464</v>
      </c>
      <c r="BJ273" s="239">
        <v>0.18244795532463862</v>
      </c>
      <c r="BK273" s="239">
        <v>0.43858905029512602</v>
      </c>
      <c r="BL273" s="239">
        <v>3.021948891952073E-2</v>
      </c>
      <c r="BM273" s="247">
        <v>1.8497154773265472</v>
      </c>
      <c r="BN273" s="248">
        <v>0</v>
      </c>
      <c r="BO273" s="248">
        <v>1</v>
      </c>
      <c r="BP273" s="237">
        <v>0</v>
      </c>
      <c r="BQ273" s="237">
        <v>0</v>
      </c>
      <c r="BR273" s="248">
        <v>1</v>
      </c>
      <c r="BS273" s="237">
        <v>7</v>
      </c>
      <c r="BT273" s="237" t="s">
        <v>909</v>
      </c>
      <c r="BU273" s="249" t="s">
        <v>678</v>
      </c>
      <c r="BV273" s="249">
        <v>2465</v>
      </c>
      <c r="BW273" s="249">
        <v>11930</v>
      </c>
      <c r="BX273" s="249">
        <v>8366</v>
      </c>
      <c r="BY273" s="249" t="s">
        <v>678</v>
      </c>
      <c r="BZ273" s="249">
        <v>8.4591626630061771</v>
      </c>
      <c r="CA273" s="249">
        <v>40.940288263555253</v>
      </c>
      <c r="CB273" s="249">
        <v>28.70967741935484</v>
      </c>
      <c r="CC273" s="250" t="s">
        <v>678</v>
      </c>
      <c r="CD273" s="242">
        <v>2466</v>
      </c>
      <c r="CE273" s="252">
        <v>108.46259437199726</v>
      </c>
      <c r="CF273" s="238">
        <v>19155</v>
      </c>
      <c r="CG273" s="238">
        <v>1519.8</v>
      </c>
      <c r="CH273" s="238">
        <v>5.2155113246396709</v>
      </c>
      <c r="CI273" s="216" t="s">
        <v>700</v>
      </c>
      <c r="CJ273" s="237">
        <v>0</v>
      </c>
      <c r="CK273" s="253">
        <v>680.28</v>
      </c>
      <c r="CL273" s="253">
        <v>171.02680000000001</v>
      </c>
      <c r="CM273" s="254">
        <v>3.9163453171513624E-2</v>
      </c>
      <c r="CN273" s="237" t="s">
        <v>85</v>
      </c>
      <c r="CO273" s="242">
        <v>3108.03</v>
      </c>
      <c r="CP273" s="255">
        <v>0.71170826654453867</v>
      </c>
      <c r="CV273" s="262">
        <v>22</v>
      </c>
      <c r="CW273" s="194">
        <v>1.702</v>
      </c>
      <c r="CX273" s="194">
        <v>0.63500000000000001</v>
      </c>
      <c r="CY273" s="194">
        <v>0.25900000000000001</v>
      </c>
      <c r="CZ273" s="237" t="s">
        <v>529</v>
      </c>
      <c r="DA273" s="237" t="s">
        <v>1618</v>
      </c>
      <c r="DB273" s="216" t="s">
        <v>710</v>
      </c>
      <c r="DC273" s="195" t="s">
        <v>711</v>
      </c>
      <c r="DD273" s="256">
        <v>0.7</v>
      </c>
      <c r="DE273" s="256">
        <v>-6.5</v>
      </c>
      <c r="DF273" s="256">
        <v>0.7</v>
      </c>
      <c r="DG273" s="256">
        <v>-2.2000000000000002</v>
      </c>
      <c r="DH273" s="257">
        <v>5</v>
      </c>
      <c r="DI273" s="257">
        <v>8.8000000000000007</v>
      </c>
      <c r="DJ273" s="257">
        <v>24.33</v>
      </c>
      <c r="DK273" s="257">
        <v>33.130000000000003</v>
      </c>
      <c r="DL273" s="237" t="s">
        <v>682</v>
      </c>
      <c r="DP273" s="258" t="s">
        <v>682</v>
      </c>
      <c r="DQ273" s="258"/>
      <c r="DR273" s="258"/>
      <c r="DS273" s="258"/>
      <c r="DT273" s="258"/>
      <c r="DU273" s="237">
        <v>1</v>
      </c>
      <c r="DV273" s="237" t="s">
        <v>1619</v>
      </c>
      <c r="DW273" s="237" t="s">
        <v>1168</v>
      </c>
      <c r="DX273" s="247">
        <v>1.55</v>
      </c>
      <c r="DY273" s="247">
        <v>3.5493473780627435E-2</v>
      </c>
      <c r="EA273" s="237">
        <v>0</v>
      </c>
      <c r="ED273" s="237" t="s">
        <v>687</v>
      </c>
      <c r="EE273" s="208">
        <v>4</v>
      </c>
      <c r="EF273" s="237" t="s">
        <v>688</v>
      </c>
      <c r="EG273" s="216" t="s">
        <v>689</v>
      </c>
      <c r="EH273" s="246" t="s">
        <v>690</v>
      </c>
      <c r="EI273" s="216" t="s">
        <v>689</v>
      </c>
      <c r="EJ273" s="216" t="s">
        <v>529</v>
      </c>
      <c r="EK273" s="222" t="s">
        <v>529</v>
      </c>
      <c r="EL273" s="259">
        <v>2006</v>
      </c>
      <c r="EM273" s="260">
        <v>3800</v>
      </c>
      <c r="EN273" s="260">
        <v>1992393</v>
      </c>
      <c r="EO273" s="260">
        <v>1177172</v>
      </c>
      <c r="ER273" s="237" t="s">
        <v>705</v>
      </c>
      <c r="ES273" s="237">
        <v>29140</v>
      </c>
      <c r="ET273" s="237">
        <v>309.78210526315792</v>
      </c>
      <c r="EU273" s="661">
        <v>3</v>
      </c>
      <c r="EV273" s="661">
        <v>5</v>
      </c>
      <c r="EW273" s="661">
        <v>3</v>
      </c>
      <c r="EX273" s="661">
        <v>10</v>
      </c>
      <c r="EY273" s="660">
        <v>0.15577742157087246</v>
      </c>
      <c r="EZ273" s="256">
        <v>42.83530311048392</v>
      </c>
      <c r="FA273" s="247">
        <v>0.66930331609370242</v>
      </c>
      <c r="FB273" s="208">
        <v>6</v>
      </c>
      <c r="FC273" s="208">
        <v>6</v>
      </c>
      <c r="FD273" s="208">
        <v>8</v>
      </c>
      <c r="FE273" s="239">
        <v>0.29631883176148466</v>
      </c>
      <c r="FF273" s="208"/>
      <c r="FG273" s="241">
        <v>1.0079099482811075E-2</v>
      </c>
      <c r="FH273" s="209">
        <v>0</v>
      </c>
      <c r="FI273" s="237" t="s">
        <v>678</v>
      </c>
      <c r="FJ273" s="208">
        <v>35.299999999999997</v>
      </c>
      <c r="FK273" s="208">
        <v>17.760000000000002</v>
      </c>
      <c r="FL273" s="217">
        <v>58.9</v>
      </c>
      <c r="FM273" s="208">
        <v>0.14000000000000001</v>
      </c>
      <c r="FN273" s="208" t="s">
        <v>1620</v>
      </c>
      <c r="FO273" s="237">
        <v>7570</v>
      </c>
      <c r="FP273" s="247">
        <v>1.7334554614151592</v>
      </c>
      <c r="FQ273" s="237">
        <v>4</v>
      </c>
      <c r="FU273" s="208">
        <v>30</v>
      </c>
      <c r="FV273" s="208">
        <v>26.9</v>
      </c>
      <c r="FW273" s="237">
        <v>17.27</v>
      </c>
      <c r="FX273" s="237">
        <v>6.9</v>
      </c>
      <c r="FY273" s="208">
        <v>4.29</v>
      </c>
      <c r="FZ273" s="208">
        <v>6.8</v>
      </c>
      <c r="GA273" s="208">
        <v>20.09</v>
      </c>
      <c r="GB273" s="208">
        <v>8</v>
      </c>
      <c r="GC273" s="208">
        <v>-0.1</v>
      </c>
      <c r="GD273" s="208">
        <v>5.3</v>
      </c>
      <c r="GE273" s="237">
        <v>13.89</v>
      </c>
      <c r="GF273" s="237">
        <v>7.9</v>
      </c>
      <c r="GG273" s="237">
        <v>0.66</v>
      </c>
      <c r="GH273" s="237">
        <v>12.7</v>
      </c>
      <c r="GJ273" s="947">
        <v>595</v>
      </c>
      <c r="GK273" s="320">
        <v>0</v>
      </c>
      <c r="GL273" s="320">
        <v>7.0000000000000007E-2</v>
      </c>
      <c r="GM273" s="320">
        <v>5.1999999999999998E-2</v>
      </c>
      <c r="GN273" s="320">
        <v>0.878</v>
      </c>
      <c r="GO273" s="662">
        <v>8270</v>
      </c>
      <c r="GP273" s="663" t="str">
        <f>VLOOKUP(GS273,'BD Comarcal'!$A$6:$AV$17,48,FALSE)</f>
        <v>17</v>
      </c>
      <c r="GQ273" s="564">
        <v>201</v>
      </c>
      <c r="GR273" s="256">
        <f t="shared" si="4"/>
        <v>1</v>
      </c>
      <c r="GS273" s="237" t="s">
        <v>85</v>
      </c>
    </row>
    <row r="274" spans="1:201" s="237" customFormat="1" ht="17.25" customHeight="1">
      <c r="A274" s="236" t="s">
        <v>1621</v>
      </c>
      <c r="C274" s="238"/>
      <c r="D274" s="238">
        <v>1330</v>
      </c>
      <c r="E274" s="238">
        <v>1073</v>
      </c>
      <c r="F274" s="239">
        <v>0.80676691729323313</v>
      </c>
      <c r="G274" s="238">
        <v>1009</v>
      </c>
      <c r="H274" s="240">
        <v>589.95900905659607</v>
      </c>
      <c r="I274" s="239">
        <v>0.54982200284864502</v>
      </c>
      <c r="J274" s="238">
        <v>125</v>
      </c>
      <c r="K274" s="238">
        <v>146</v>
      </c>
      <c r="L274" s="238">
        <v>0</v>
      </c>
      <c r="M274" s="241">
        <v>0</v>
      </c>
      <c r="N274" s="238">
        <v>0</v>
      </c>
      <c r="O274" s="239">
        <v>0</v>
      </c>
      <c r="P274" s="237">
        <v>7</v>
      </c>
      <c r="Q274" s="237">
        <v>0</v>
      </c>
      <c r="R274" s="239">
        <v>0</v>
      </c>
      <c r="S274" s="238">
        <v>193</v>
      </c>
      <c r="T274" s="436">
        <v>0</v>
      </c>
      <c r="U274" s="436">
        <v>15</v>
      </c>
      <c r="V274" s="436">
        <v>0</v>
      </c>
      <c r="W274" s="436">
        <v>15</v>
      </c>
      <c r="X274" s="238">
        <v>83</v>
      </c>
      <c r="Y274" s="237">
        <v>0.253</v>
      </c>
      <c r="Z274" s="238">
        <v>1448</v>
      </c>
      <c r="AA274" s="238">
        <v>17662</v>
      </c>
      <c r="AB274" s="238">
        <v>107.92</v>
      </c>
      <c r="AC274" s="238">
        <v>86</v>
      </c>
      <c r="AD274" s="238">
        <v>223056.09000000003</v>
      </c>
      <c r="AE274" s="238">
        <v>76548.459999999992</v>
      </c>
      <c r="AF274" s="238">
        <v>146026.41</v>
      </c>
      <c r="AG274" s="238">
        <v>632.91</v>
      </c>
      <c r="AH274" s="239">
        <v>4.3342159818898513E-3</v>
      </c>
      <c r="AI274" s="247">
        <v>5.9968620000000001</v>
      </c>
      <c r="AJ274" s="242">
        <v>0.34250399999999998</v>
      </c>
      <c r="AK274" s="242">
        <v>2.5752180451127819E-2</v>
      </c>
      <c r="AL274" s="242" t="s">
        <v>678</v>
      </c>
      <c r="AM274" s="242" t="s">
        <v>678</v>
      </c>
      <c r="AN274" s="242">
        <v>6317.75</v>
      </c>
      <c r="AO274" s="238">
        <v>0</v>
      </c>
      <c r="AP274" s="243">
        <v>0</v>
      </c>
      <c r="AQ274" s="238"/>
      <c r="AR274" s="238">
        <v>1701.276471740621</v>
      </c>
      <c r="AS274" s="238">
        <v>1047.3178151535074</v>
      </c>
      <c r="AT274" s="238">
        <v>2924.444444444443</v>
      </c>
      <c r="AU274" s="238">
        <v>174.9074561002833</v>
      </c>
      <c r="AV274" s="237">
        <v>1</v>
      </c>
      <c r="AW274" s="237">
        <v>1</v>
      </c>
      <c r="AX274" s="237">
        <v>1</v>
      </c>
      <c r="AY274" s="244" t="s">
        <v>726</v>
      </c>
      <c r="AZ274" s="244" t="s">
        <v>695</v>
      </c>
      <c r="BA274" s="237" t="s">
        <v>1038</v>
      </c>
      <c r="BB274" s="245" t="s">
        <v>718</v>
      </c>
      <c r="BC274" s="215" t="s">
        <v>719</v>
      </c>
      <c r="BE274" s="237">
        <v>0</v>
      </c>
      <c r="BF274" s="237">
        <v>10</v>
      </c>
      <c r="BG274" s="246" t="s">
        <v>720</v>
      </c>
      <c r="BI274" s="239">
        <v>0.71212121212121215</v>
      </c>
      <c r="BJ274" s="239">
        <v>3.0303030303030304E-2</v>
      </c>
      <c r="BK274" s="239">
        <v>0.19696969696969696</v>
      </c>
      <c r="BL274" s="239">
        <v>6.0606060606060608E-2</v>
      </c>
      <c r="BM274" s="247">
        <v>2.393939393939394</v>
      </c>
      <c r="BN274" s="248">
        <v>0</v>
      </c>
      <c r="BO274" s="248">
        <v>0</v>
      </c>
      <c r="BP274" s="237">
        <v>0</v>
      </c>
      <c r="BQ274" s="237">
        <v>0</v>
      </c>
      <c r="BR274" s="248">
        <v>0</v>
      </c>
      <c r="BS274" s="237">
        <v>19</v>
      </c>
      <c r="BT274" s="237" t="s">
        <v>721</v>
      </c>
      <c r="BU274" s="249" t="s">
        <v>678</v>
      </c>
      <c r="BV274" s="249" t="s">
        <v>678</v>
      </c>
      <c r="BW274" s="249" t="s">
        <v>678</v>
      </c>
      <c r="BX274" s="249" t="s">
        <v>678</v>
      </c>
      <c r="BY274" s="249" t="s">
        <v>678</v>
      </c>
      <c r="BZ274" s="249" t="s">
        <v>678</v>
      </c>
      <c r="CA274" s="249" t="s">
        <v>678</v>
      </c>
      <c r="CB274" s="249" t="s">
        <v>678</v>
      </c>
      <c r="CC274" s="250" t="s">
        <v>678</v>
      </c>
      <c r="CD274" s="242" t="s">
        <v>678</v>
      </c>
      <c r="CE274" s="252" t="s">
        <v>678</v>
      </c>
      <c r="CF274" s="238">
        <v>54</v>
      </c>
      <c r="CG274" s="238">
        <v>1.7</v>
      </c>
      <c r="CH274" s="238">
        <v>1.8888888888888888</v>
      </c>
      <c r="CI274" s="216" t="s">
        <v>756</v>
      </c>
      <c r="CJ274" s="237">
        <v>1</v>
      </c>
      <c r="CK274" s="253">
        <v>6</v>
      </c>
      <c r="CL274" s="253">
        <v>0</v>
      </c>
      <c r="CM274" s="254">
        <v>0</v>
      </c>
      <c r="CN274" s="237" t="s">
        <v>88</v>
      </c>
      <c r="CO274" s="242">
        <v>189.13</v>
      </c>
      <c r="CP274" s="255">
        <v>0.142203007518797</v>
      </c>
      <c r="CV274" s="237">
        <v>1</v>
      </c>
      <c r="CW274" s="261" t="s">
        <v>678</v>
      </c>
      <c r="CX274" s="261" t="s">
        <v>678</v>
      </c>
      <c r="CY274" s="261" t="s">
        <v>678</v>
      </c>
      <c r="DB274" s="216" t="s">
        <v>681</v>
      </c>
      <c r="DC274" s="256"/>
      <c r="DD274" s="256">
        <v>0.8</v>
      </c>
      <c r="DE274" s="256">
        <v>-9</v>
      </c>
      <c r="DF274" s="256">
        <v>-0.3</v>
      </c>
      <c r="DG274" s="256">
        <v>-2.6</v>
      </c>
      <c r="DL274" s="237" t="s">
        <v>529</v>
      </c>
      <c r="DM274" s="237" t="s">
        <v>1622</v>
      </c>
      <c r="DN274" s="237" t="s">
        <v>713</v>
      </c>
      <c r="DO274" s="237">
        <v>1</v>
      </c>
      <c r="DP274" s="258" t="s">
        <v>683</v>
      </c>
      <c r="DQ274" s="258" t="s">
        <v>758</v>
      </c>
      <c r="DR274" s="258" t="s">
        <v>1623</v>
      </c>
      <c r="DS274" s="258"/>
      <c r="DT274" s="258"/>
      <c r="DU274" s="237">
        <v>0</v>
      </c>
      <c r="DX274" s="247"/>
      <c r="DY274" s="247">
        <v>0</v>
      </c>
      <c r="EA274" s="237">
        <v>0</v>
      </c>
      <c r="ED274" s="237" t="s">
        <v>723</v>
      </c>
      <c r="EE274" s="208">
        <v>2</v>
      </c>
      <c r="EF274" s="237" t="s">
        <v>702</v>
      </c>
      <c r="EG274" s="216" t="s">
        <v>703</v>
      </c>
      <c r="EH274" s="246" t="s">
        <v>704</v>
      </c>
      <c r="EI274" s="216"/>
      <c r="EJ274" s="216" t="s">
        <v>529</v>
      </c>
      <c r="EK274" s="222" t="s">
        <v>682</v>
      </c>
      <c r="EL274" s="259">
        <v>2010</v>
      </c>
      <c r="EM274" s="263">
        <v>165</v>
      </c>
      <c r="EN274" s="260">
        <v>2834</v>
      </c>
      <c r="EO274" s="260">
        <v>638</v>
      </c>
      <c r="ER274" s="237" t="s">
        <v>705</v>
      </c>
      <c r="ES274" s="237" t="e">
        <v>#DIV/0!</v>
      </c>
      <c r="ET274" s="237">
        <v>3.8666666666666667</v>
      </c>
      <c r="EU274" s="661">
        <v>8</v>
      </c>
      <c r="EV274" s="661" t="s">
        <v>678</v>
      </c>
      <c r="EW274" s="661">
        <v>0</v>
      </c>
      <c r="EX274" s="661">
        <v>2</v>
      </c>
      <c r="EY274" s="660">
        <v>4.5112781954887221E-3</v>
      </c>
      <c r="EZ274" s="256">
        <v>15</v>
      </c>
      <c r="FA274" s="247">
        <v>9.3196644920782848E-2</v>
      </c>
      <c r="FB274" s="208">
        <v>2</v>
      </c>
      <c r="FC274" s="208">
        <v>3</v>
      </c>
      <c r="FD274" s="208">
        <v>3</v>
      </c>
      <c r="FE274" s="239">
        <v>0.94035414725069899</v>
      </c>
      <c r="FF274" s="208">
        <v>1</v>
      </c>
      <c r="FG274" s="241">
        <v>0</v>
      </c>
      <c r="FH274" s="209">
        <v>0</v>
      </c>
      <c r="FI274" s="237" t="s">
        <v>678</v>
      </c>
      <c r="FJ274" s="208">
        <v>47.1</v>
      </c>
      <c r="FK274" s="208">
        <v>11.62</v>
      </c>
      <c r="FL274" s="217">
        <v>49.1</v>
      </c>
      <c r="FM274" s="208">
        <v>10.92</v>
      </c>
      <c r="FN274" s="208" t="s">
        <v>1624</v>
      </c>
      <c r="FP274" s="247" t="s">
        <v>693</v>
      </c>
      <c r="FR274" s="237">
        <v>15</v>
      </c>
      <c r="FS274" s="237">
        <v>2</v>
      </c>
      <c r="FU274" s="208">
        <v>31</v>
      </c>
      <c r="FV274" s="208">
        <v>29.7</v>
      </c>
      <c r="FW274" s="237">
        <v>85.8</v>
      </c>
      <c r="FX274" s="237">
        <v>76</v>
      </c>
      <c r="FY274" s="208">
        <v>99.78</v>
      </c>
      <c r="FZ274" s="208">
        <v>88.4</v>
      </c>
      <c r="GA274" s="208">
        <v>76.760000000000005</v>
      </c>
      <c r="GB274" s="208">
        <v>87.8</v>
      </c>
      <c r="GC274" s="208">
        <v>0.05</v>
      </c>
      <c r="GD274" s="208">
        <v>24.8</v>
      </c>
      <c r="GE274" s="237">
        <v>75.790000000000006</v>
      </c>
      <c r="GF274" s="237">
        <v>90.2</v>
      </c>
      <c r="GG274" s="237">
        <v>17.91</v>
      </c>
      <c r="GH274" s="237">
        <v>90.6</v>
      </c>
      <c r="GJ274" s="947"/>
      <c r="GK274" s="320"/>
      <c r="GL274" s="320"/>
      <c r="GM274" s="320"/>
      <c r="GN274" s="320"/>
      <c r="GO274" s="662">
        <v>8271</v>
      </c>
      <c r="GP274" s="663" t="str">
        <f>VLOOKUP(GS274,'BD Comarcal'!$A$6:$AV$17,48,FALSE)</f>
        <v>24</v>
      </c>
      <c r="GQ274" s="564">
        <v>0</v>
      </c>
      <c r="GR274" s="256">
        <f t="shared" si="4"/>
        <v>0</v>
      </c>
      <c r="GS274" s="237" t="s">
        <v>88</v>
      </c>
    </row>
    <row r="275" spans="1:201" s="237" customFormat="1" ht="17.25" customHeight="1">
      <c r="A275" s="236" t="s">
        <v>1625</v>
      </c>
      <c r="C275" s="238"/>
      <c r="D275" s="238">
        <v>3151</v>
      </c>
      <c r="E275" s="238">
        <v>2343</v>
      </c>
      <c r="F275" s="239">
        <v>0.74357346874008257</v>
      </c>
      <c r="G275" s="238">
        <v>2297</v>
      </c>
      <c r="H275" s="240">
        <v>1610.1195138980236</v>
      </c>
      <c r="I275" s="239">
        <v>0.68720423128383423</v>
      </c>
      <c r="J275" s="238">
        <v>252</v>
      </c>
      <c r="K275" s="238">
        <v>586</v>
      </c>
      <c r="L275" s="238">
        <v>0</v>
      </c>
      <c r="M275" s="241">
        <v>0</v>
      </c>
      <c r="N275" s="238">
        <v>0</v>
      </c>
      <c r="O275" s="239">
        <v>0</v>
      </c>
      <c r="P275" s="237">
        <v>23</v>
      </c>
      <c r="Q275" s="237">
        <v>0</v>
      </c>
      <c r="R275" s="239">
        <v>0</v>
      </c>
      <c r="S275" s="238">
        <v>5147</v>
      </c>
      <c r="T275" s="436">
        <v>0</v>
      </c>
      <c r="U275" s="436">
        <v>0</v>
      </c>
      <c r="V275" s="436">
        <v>0</v>
      </c>
      <c r="W275" s="436">
        <v>0</v>
      </c>
      <c r="X275" s="238">
        <v>189</v>
      </c>
      <c r="Y275" s="237">
        <v>0.18859999999999999</v>
      </c>
      <c r="Z275" s="238">
        <v>3250</v>
      </c>
      <c r="AA275" s="238">
        <v>17662</v>
      </c>
      <c r="AB275" s="238">
        <v>107.92</v>
      </c>
      <c r="AC275" s="238">
        <v>0</v>
      </c>
      <c r="AD275" s="238">
        <v>697026.67999999993</v>
      </c>
      <c r="AE275" s="238">
        <v>78552.270000000019</v>
      </c>
      <c r="AF275" s="238">
        <v>376691.62</v>
      </c>
      <c r="AG275" s="238">
        <v>103449.73</v>
      </c>
      <c r="AH275" s="239">
        <v>0.27462710744666952</v>
      </c>
      <c r="AI275" s="247">
        <v>20.915545999999999</v>
      </c>
      <c r="AJ275" s="242">
        <v>3.263865</v>
      </c>
      <c r="AK275" s="242">
        <v>0.10358187876864487</v>
      </c>
      <c r="AL275" s="242" t="s">
        <v>678</v>
      </c>
      <c r="AM275" s="242" t="s">
        <v>678</v>
      </c>
      <c r="AN275" s="242">
        <v>11141.38</v>
      </c>
      <c r="AO275" s="238">
        <v>3542.48</v>
      </c>
      <c r="AP275" s="243">
        <v>12</v>
      </c>
      <c r="AQ275" s="238"/>
      <c r="AR275" s="238">
        <v>2109.2790146461161</v>
      </c>
      <c r="AS275" s="238">
        <v>1268.5486024433876</v>
      </c>
      <c r="AT275" s="238">
        <v>11050.333333333334</v>
      </c>
      <c r="AU275" s="238">
        <v>310.96199246517165</v>
      </c>
      <c r="AV275" s="237">
        <v>1</v>
      </c>
      <c r="AW275" s="237">
        <v>1</v>
      </c>
      <c r="AX275" s="237">
        <v>1</v>
      </c>
      <c r="AY275" s="244" t="s">
        <v>726</v>
      </c>
      <c r="AZ275" s="244" t="s">
        <v>695</v>
      </c>
      <c r="BA275" s="237">
        <v>2014</v>
      </c>
      <c r="BB275" s="245" t="s">
        <v>1241</v>
      </c>
      <c r="BC275" s="215" t="s">
        <v>1242</v>
      </c>
      <c r="BE275" s="237">
        <v>0</v>
      </c>
      <c r="BF275" s="237">
        <v>10</v>
      </c>
      <c r="BG275" s="246" t="s">
        <v>720</v>
      </c>
      <c r="BI275" s="239">
        <v>0.47428571428571431</v>
      </c>
      <c r="BJ275" s="239">
        <v>0.10285714285714286</v>
      </c>
      <c r="BK275" s="239">
        <v>0.41142857142857142</v>
      </c>
      <c r="BL275" s="239">
        <v>1.1428571428571429E-2</v>
      </c>
      <c r="BM275" s="247">
        <v>2.04</v>
      </c>
      <c r="BN275" s="248">
        <v>0</v>
      </c>
      <c r="BO275" s="248">
        <v>0</v>
      </c>
      <c r="BP275" s="237">
        <v>0</v>
      </c>
      <c r="BQ275" s="237">
        <v>0</v>
      </c>
      <c r="BR275" s="248">
        <v>0</v>
      </c>
      <c r="BS275" s="237">
        <v>24.5</v>
      </c>
      <c r="BT275" s="237" t="s">
        <v>721</v>
      </c>
      <c r="BU275" s="249" t="s">
        <v>678</v>
      </c>
      <c r="BV275" s="249" t="s">
        <v>678</v>
      </c>
      <c r="BW275" s="249" t="s">
        <v>678</v>
      </c>
      <c r="BX275" s="249" t="s">
        <v>678</v>
      </c>
      <c r="BY275" s="249" t="s">
        <v>678</v>
      </c>
      <c r="BZ275" s="249" t="s">
        <v>678</v>
      </c>
      <c r="CA275" s="249" t="s">
        <v>678</v>
      </c>
      <c r="CB275" s="249" t="s">
        <v>678</v>
      </c>
      <c r="CC275" s="250" t="s">
        <v>678</v>
      </c>
      <c r="CD275" s="242" t="s">
        <v>678</v>
      </c>
      <c r="CE275" s="252" t="s">
        <v>678</v>
      </c>
      <c r="CF275" s="238">
        <v>181</v>
      </c>
      <c r="CG275" s="238">
        <v>4.3</v>
      </c>
      <c r="CH275" s="238">
        <v>2.4855491329479769</v>
      </c>
      <c r="CI275" s="216" t="s">
        <v>722</v>
      </c>
      <c r="CJ275" s="237">
        <v>1</v>
      </c>
      <c r="CK275" s="253">
        <v>21.27</v>
      </c>
      <c r="CL275" s="253">
        <v>0</v>
      </c>
      <c r="CM275" s="254">
        <v>0</v>
      </c>
      <c r="CN275" s="237" t="s">
        <v>88</v>
      </c>
      <c r="CO275" s="242">
        <v>66.459999999999994</v>
      </c>
      <c r="CP275" s="255">
        <v>2.1091716915264992E-2</v>
      </c>
      <c r="CW275" s="261" t="s">
        <v>678</v>
      </c>
      <c r="CX275" s="261" t="s">
        <v>678</v>
      </c>
      <c r="CY275" s="261" t="s">
        <v>678</v>
      </c>
      <c r="DB275" s="216" t="s">
        <v>681</v>
      </c>
      <c r="DC275" s="256"/>
      <c r="DD275" s="256">
        <v>0.8</v>
      </c>
      <c r="DE275" s="256">
        <v>-9</v>
      </c>
      <c r="DF275" s="256">
        <v>-0.3</v>
      </c>
      <c r="DG275" s="256">
        <v>-2.6</v>
      </c>
      <c r="DL275" s="237" t="s">
        <v>529</v>
      </c>
      <c r="DN275" s="237" t="s">
        <v>730</v>
      </c>
      <c r="DP275" s="258" t="s">
        <v>682</v>
      </c>
      <c r="DQ275" s="258"/>
      <c r="DR275" s="258"/>
      <c r="DS275" s="258"/>
      <c r="DT275" s="258"/>
      <c r="DU275" s="237">
        <v>0</v>
      </c>
      <c r="DX275" s="247"/>
      <c r="DY275" s="247">
        <v>0</v>
      </c>
      <c r="EA275" s="237">
        <v>0</v>
      </c>
      <c r="ED275" s="237" t="s">
        <v>723</v>
      </c>
      <c r="EE275" s="208">
        <v>2</v>
      </c>
      <c r="EF275" s="237" t="s">
        <v>702</v>
      </c>
      <c r="EG275" s="216" t="s">
        <v>703</v>
      </c>
      <c r="EH275" s="246" t="s">
        <v>704</v>
      </c>
      <c r="EI275" s="216"/>
      <c r="EJ275" s="216" t="s">
        <v>529</v>
      </c>
      <c r="EK275" s="222" t="s">
        <v>682</v>
      </c>
      <c r="EL275" s="259">
        <v>2001</v>
      </c>
      <c r="EM275" s="263">
        <v>1650.25</v>
      </c>
      <c r="EN275" s="260">
        <v>10598</v>
      </c>
      <c r="EO275" s="260">
        <v>1878</v>
      </c>
      <c r="ER275" s="237" t="s">
        <v>705</v>
      </c>
      <c r="ES275" s="237" t="e">
        <v>#DIV/0!</v>
      </c>
      <c r="ET275" s="237">
        <v>1.1380093925162853</v>
      </c>
      <c r="EU275" s="661">
        <v>8</v>
      </c>
      <c r="EV275" s="661" t="s">
        <v>678</v>
      </c>
      <c r="EW275" s="661">
        <v>0</v>
      </c>
      <c r="EX275" s="661">
        <v>3</v>
      </c>
      <c r="EY275" s="660">
        <v>6.7502380196762931E-3</v>
      </c>
      <c r="EZ275" s="256">
        <v>8.1335213916314064</v>
      </c>
      <c r="FA275" s="247">
        <v>0</v>
      </c>
      <c r="FB275" s="208">
        <v>1</v>
      </c>
      <c r="FC275" s="208">
        <v>3</v>
      </c>
      <c r="FD275" s="208">
        <v>2</v>
      </c>
      <c r="FE275" s="239">
        <v>0.98036705078958597</v>
      </c>
      <c r="FF275" s="208">
        <v>1</v>
      </c>
      <c r="FG275" s="241">
        <v>0</v>
      </c>
      <c r="FH275" s="209">
        <v>0</v>
      </c>
      <c r="FI275" s="237" t="s">
        <v>678</v>
      </c>
      <c r="FJ275" s="208">
        <v>56.4</v>
      </c>
      <c r="FK275" s="208">
        <v>1.83</v>
      </c>
      <c r="FL275" s="217">
        <v>31.1</v>
      </c>
      <c r="FM275" s="208">
        <v>10.98</v>
      </c>
      <c r="FN275" s="208" t="s">
        <v>1626</v>
      </c>
      <c r="FP275" s="247" t="s">
        <v>693</v>
      </c>
      <c r="FU275" s="208">
        <v>38</v>
      </c>
      <c r="FV275" s="208">
        <v>47.9</v>
      </c>
      <c r="FW275" s="237">
        <v>86.45</v>
      </c>
      <c r="FX275" s="237">
        <v>76.900000000000006</v>
      </c>
      <c r="FY275" s="208">
        <v>95.91</v>
      </c>
      <c r="FZ275" s="208">
        <v>85.9</v>
      </c>
      <c r="GA275" s="208">
        <v>72.64</v>
      </c>
      <c r="GB275" s="208">
        <v>82.3</v>
      </c>
      <c r="GC275" s="208">
        <v>0.15</v>
      </c>
      <c r="GD275" s="208">
        <v>34.799999999999997</v>
      </c>
      <c r="GE275" s="237">
        <v>73.95</v>
      </c>
      <c r="GF275" s="237">
        <v>88.8</v>
      </c>
      <c r="GG275" s="237">
        <v>5.81</v>
      </c>
      <c r="GH275" s="237">
        <v>49.3</v>
      </c>
      <c r="GJ275" s="947"/>
      <c r="GK275" s="320"/>
      <c r="GL275" s="320"/>
      <c r="GM275" s="320"/>
      <c r="GN275" s="320"/>
      <c r="GO275" s="662">
        <v>8272</v>
      </c>
      <c r="GP275" s="663" t="str">
        <f>VLOOKUP(GS275,'BD Comarcal'!$A$6:$AV$17,48,FALSE)</f>
        <v>24</v>
      </c>
      <c r="GQ275" s="564">
        <v>1</v>
      </c>
      <c r="GR275" s="256">
        <f t="shared" si="4"/>
        <v>0</v>
      </c>
      <c r="GS275" s="237" t="s">
        <v>88</v>
      </c>
    </row>
    <row r="276" spans="1:201" s="237" customFormat="1" ht="17.25" customHeight="1">
      <c r="A276" s="236" t="s">
        <v>1627</v>
      </c>
      <c r="C276" s="238"/>
      <c r="D276" s="238">
        <v>5578</v>
      </c>
      <c r="E276" s="238">
        <v>2700</v>
      </c>
      <c r="F276" s="239">
        <v>0.48404446038006455</v>
      </c>
      <c r="G276" s="238">
        <v>1618</v>
      </c>
      <c r="H276" s="240">
        <v>1109.3024714294445</v>
      </c>
      <c r="I276" s="239">
        <v>0.41085276719609054</v>
      </c>
      <c r="J276" s="238">
        <v>1915</v>
      </c>
      <c r="K276" s="238">
        <v>50</v>
      </c>
      <c r="L276" s="238">
        <v>5</v>
      </c>
      <c r="M276" s="241">
        <v>8.9637863033345283E-4</v>
      </c>
      <c r="N276" s="238">
        <v>121</v>
      </c>
      <c r="O276" s="239">
        <v>6.3185378590078334E-2</v>
      </c>
      <c r="P276" s="237">
        <v>7</v>
      </c>
      <c r="Q276" s="237">
        <v>0</v>
      </c>
      <c r="R276" s="239">
        <v>0</v>
      </c>
      <c r="S276" s="238">
        <v>1485</v>
      </c>
      <c r="T276" s="436">
        <v>0</v>
      </c>
      <c r="U276" s="436">
        <v>51</v>
      </c>
      <c r="V276" s="436">
        <v>80</v>
      </c>
      <c r="W276" s="436">
        <v>131</v>
      </c>
      <c r="X276" s="238">
        <v>2997</v>
      </c>
      <c r="Y276" s="237">
        <v>0.1915</v>
      </c>
      <c r="Z276" s="238">
        <v>39188</v>
      </c>
      <c r="AA276" s="238">
        <v>13115</v>
      </c>
      <c r="AB276" s="238">
        <v>80.13</v>
      </c>
      <c r="AC276" s="238">
        <v>31</v>
      </c>
      <c r="AD276" s="238">
        <v>4567011.78</v>
      </c>
      <c r="AE276" s="238">
        <v>-313644.01000000024</v>
      </c>
      <c r="AF276" s="238">
        <v>4037930.71</v>
      </c>
      <c r="AG276" s="238">
        <v>745020.15</v>
      </c>
      <c r="AH276" s="239">
        <v>0.18450543199142713</v>
      </c>
      <c r="AI276" s="247">
        <v>218.16598400000001</v>
      </c>
      <c r="AJ276" s="242">
        <v>27.768933000000001</v>
      </c>
      <c r="AK276" s="242">
        <v>0.49782956256722843</v>
      </c>
      <c r="AL276" s="242">
        <v>79.026272000000006</v>
      </c>
      <c r="AM276" s="242">
        <v>1.416749229114378</v>
      </c>
      <c r="AN276" s="242">
        <v>59737.08</v>
      </c>
      <c r="AO276" s="238">
        <v>32746.33</v>
      </c>
      <c r="AP276" s="243">
        <v>30</v>
      </c>
      <c r="AQ276" s="238">
        <v>4</v>
      </c>
      <c r="AR276" s="238">
        <v>1685.773757928572</v>
      </c>
      <c r="AS276" s="238">
        <v>1418.023710300321</v>
      </c>
      <c r="AT276" s="238">
        <v>172364</v>
      </c>
      <c r="AU276" s="238">
        <v>251.64368264128245</v>
      </c>
      <c r="AV276" s="237">
        <v>1</v>
      </c>
      <c r="AW276" s="237">
        <v>0</v>
      </c>
      <c r="AX276" s="237">
        <v>1</v>
      </c>
      <c r="AY276" s="244" t="s">
        <v>717</v>
      </c>
      <c r="AZ276" s="244" t="s">
        <v>682</v>
      </c>
      <c r="BA276" s="237">
        <v>0</v>
      </c>
      <c r="BB276" s="245" t="s">
        <v>1628</v>
      </c>
      <c r="BC276" s="215" t="s">
        <v>1629</v>
      </c>
      <c r="BE276" s="237">
        <v>7</v>
      </c>
      <c r="BF276" s="237">
        <v>37</v>
      </c>
      <c r="BG276" s="246" t="s">
        <v>698</v>
      </c>
      <c r="BI276" s="239">
        <v>0.5714285714285714</v>
      </c>
      <c r="BJ276" s="239">
        <v>8.5295656724228147E-2</v>
      </c>
      <c r="BK276" s="239">
        <v>0.32496075353218212</v>
      </c>
      <c r="BL276" s="239">
        <v>1.8315018315018316E-2</v>
      </c>
      <c r="BM276" s="247">
        <v>2.2098377812663523</v>
      </c>
      <c r="BN276" s="248">
        <v>0</v>
      </c>
      <c r="BO276" s="248">
        <v>0</v>
      </c>
      <c r="BP276" s="237">
        <v>0</v>
      </c>
      <c r="BQ276" s="237">
        <v>0</v>
      </c>
      <c r="BR276" s="248">
        <v>0</v>
      </c>
      <c r="BS276" s="237">
        <v>14</v>
      </c>
      <c r="BT276" s="237" t="s">
        <v>790</v>
      </c>
      <c r="BU276" s="249" t="s">
        <v>678</v>
      </c>
      <c r="BV276" s="249">
        <v>388</v>
      </c>
      <c r="BW276" s="249">
        <v>1607</v>
      </c>
      <c r="BX276" s="249" t="s">
        <v>678</v>
      </c>
      <c r="BY276" s="249" t="s">
        <v>678</v>
      </c>
      <c r="BZ276" s="249">
        <v>12.817971589032044</v>
      </c>
      <c r="CA276" s="249">
        <v>53.088866864882725</v>
      </c>
      <c r="CB276" s="249" t="s">
        <v>678</v>
      </c>
      <c r="CC276" s="250" t="s">
        <v>678</v>
      </c>
      <c r="CD276" s="242" t="s">
        <v>678</v>
      </c>
      <c r="CE276" s="252" t="s">
        <v>678</v>
      </c>
      <c r="CF276" s="238">
        <v>1691</v>
      </c>
      <c r="CG276" s="238">
        <v>185</v>
      </c>
      <c r="CH276" s="238">
        <v>6.1116617112652794</v>
      </c>
      <c r="CI276" s="216" t="s">
        <v>700</v>
      </c>
      <c r="CJ276" s="237">
        <v>0</v>
      </c>
      <c r="CK276" s="253">
        <v>237.34</v>
      </c>
      <c r="CL276" s="253">
        <v>28.1663</v>
      </c>
      <c r="CM276" s="254">
        <v>5.0495338831122267E-3</v>
      </c>
      <c r="CN276" s="237" t="s">
        <v>791</v>
      </c>
      <c r="CO276" s="242">
        <v>1677.54</v>
      </c>
      <c r="CP276" s="255">
        <v>0.30074220150591607</v>
      </c>
      <c r="CV276" s="237">
        <v>7</v>
      </c>
      <c r="CW276" s="261" t="s">
        <v>678</v>
      </c>
      <c r="CX276" s="261" t="s">
        <v>678</v>
      </c>
      <c r="CY276" s="261" t="s">
        <v>678</v>
      </c>
      <c r="DB276" s="216" t="s">
        <v>1017</v>
      </c>
      <c r="DC276" s="195" t="s">
        <v>1018</v>
      </c>
      <c r="DD276" s="256">
        <v>0.8</v>
      </c>
      <c r="DE276" s="256">
        <v>-10</v>
      </c>
      <c r="DF276" s="256">
        <v>0.5</v>
      </c>
      <c r="DG276" s="256">
        <v>-2.2999999999999998</v>
      </c>
      <c r="DH276" s="257">
        <v>4</v>
      </c>
      <c r="DI276" s="257">
        <v>14.04</v>
      </c>
      <c r="DJ276" s="257">
        <v>11.44</v>
      </c>
      <c r="DK276" s="257">
        <v>25.48</v>
      </c>
      <c r="DL276" s="237" t="s">
        <v>682</v>
      </c>
      <c r="DP276" s="258" t="s">
        <v>682</v>
      </c>
      <c r="DQ276" s="258"/>
      <c r="DR276" s="258"/>
      <c r="DS276" s="258"/>
      <c r="DT276" s="258"/>
      <c r="DU276" s="237">
        <v>0</v>
      </c>
      <c r="DX276" s="247"/>
      <c r="DY276" s="247">
        <v>0</v>
      </c>
      <c r="EA276" s="237">
        <v>0</v>
      </c>
      <c r="ED276" s="237" t="s">
        <v>687</v>
      </c>
      <c r="EE276" s="208">
        <v>2</v>
      </c>
      <c r="EF276" s="237" t="s">
        <v>688</v>
      </c>
      <c r="EG276" s="216" t="s">
        <v>691</v>
      </c>
      <c r="EH276" s="246" t="s">
        <v>690</v>
      </c>
      <c r="EI276" s="216" t="s">
        <v>691</v>
      </c>
      <c r="EJ276" s="216" t="s">
        <v>529</v>
      </c>
      <c r="EK276" s="222" t="s">
        <v>682</v>
      </c>
      <c r="EL276" s="259">
        <v>2013</v>
      </c>
      <c r="EM276" s="260">
        <v>3245</v>
      </c>
      <c r="EN276" s="260">
        <v>120805</v>
      </c>
      <c r="EO276" s="260">
        <v>57902</v>
      </c>
      <c r="ER276" s="237" t="s">
        <v>705</v>
      </c>
      <c r="ES276" s="237" t="e">
        <v>#DIV/0!</v>
      </c>
      <c r="ET276" s="237">
        <v>17.843451463790448</v>
      </c>
      <c r="EU276" s="661">
        <v>1</v>
      </c>
      <c r="EV276" s="661">
        <v>4</v>
      </c>
      <c r="EW276" s="661">
        <v>2</v>
      </c>
      <c r="EX276" s="661">
        <v>6</v>
      </c>
      <c r="EY276" s="660">
        <v>4.2549300824668339E-2</v>
      </c>
      <c r="EZ276" s="256">
        <v>12.753855228785708</v>
      </c>
      <c r="FA276" s="247">
        <v>0.25925925925925924</v>
      </c>
      <c r="FB276" s="208">
        <v>6</v>
      </c>
      <c r="FC276" s="208">
        <v>6</v>
      </c>
      <c r="FD276" s="208">
        <v>7</v>
      </c>
      <c r="FE276" s="239">
        <v>0.59925925925925927</v>
      </c>
      <c r="FF276" s="208"/>
      <c r="FG276" s="241">
        <v>9.4370370370370372E-3</v>
      </c>
      <c r="FH276" s="209">
        <v>0</v>
      </c>
      <c r="FI276" s="237" t="s">
        <v>678</v>
      </c>
      <c r="FJ276" s="208">
        <v>49.9</v>
      </c>
      <c r="FK276" s="208">
        <v>22.15</v>
      </c>
      <c r="FL276" s="217">
        <v>64.099999999999994</v>
      </c>
      <c r="FM276" s="208">
        <v>2.66</v>
      </c>
      <c r="FN276" s="208" t="s">
        <v>1630</v>
      </c>
      <c r="FP276" s="247" t="s">
        <v>693</v>
      </c>
      <c r="FU276" s="208">
        <v>52</v>
      </c>
      <c r="FV276" s="208">
        <v>79</v>
      </c>
      <c r="FW276" s="237">
        <v>57.86</v>
      </c>
      <c r="FX276" s="237">
        <v>37.799999999999997</v>
      </c>
      <c r="FY276" s="208">
        <v>17.440000000000001</v>
      </c>
      <c r="FZ276" s="208">
        <v>30.9</v>
      </c>
      <c r="GA276" s="208">
        <v>31</v>
      </c>
      <c r="GB276" s="208">
        <v>22.9</v>
      </c>
      <c r="GC276" s="208">
        <v>0.01</v>
      </c>
      <c r="GD276" s="208">
        <v>15.1</v>
      </c>
      <c r="GE276" s="237">
        <v>23.83</v>
      </c>
      <c r="GF276" s="237">
        <v>23.6</v>
      </c>
      <c r="GG276" s="237">
        <v>10.43</v>
      </c>
      <c r="GH276" s="237">
        <v>69.8</v>
      </c>
      <c r="GJ276" s="947"/>
      <c r="GO276" s="662">
        <v>8273</v>
      </c>
      <c r="GP276" s="663" t="str">
        <f>VLOOKUP(GS276,'BD Comarcal'!$A$6:$AV$17,48,FALSE)</f>
        <v>03</v>
      </c>
      <c r="GQ276" s="564">
        <v>28</v>
      </c>
      <c r="GR276" s="256">
        <f t="shared" si="4"/>
        <v>1</v>
      </c>
      <c r="GS276" s="237" t="s">
        <v>791</v>
      </c>
    </row>
    <row r="277" spans="1:201" s="237" customFormat="1" ht="17.25" customHeight="1">
      <c r="A277" s="236" t="s">
        <v>1631</v>
      </c>
      <c r="C277" s="238"/>
      <c r="D277" s="238">
        <v>2360</v>
      </c>
      <c r="E277" s="238">
        <v>1772</v>
      </c>
      <c r="F277" s="239">
        <v>0.75084745762711869</v>
      </c>
      <c r="G277" s="238">
        <v>1251</v>
      </c>
      <c r="H277" s="240">
        <v>894.65485138479994</v>
      </c>
      <c r="I277" s="239">
        <v>0.50488422764379226</v>
      </c>
      <c r="J277" s="238">
        <v>237</v>
      </c>
      <c r="K277" s="238">
        <v>91</v>
      </c>
      <c r="L277" s="238">
        <v>4</v>
      </c>
      <c r="M277" s="241">
        <v>1.6949152542372881E-3</v>
      </c>
      <c r="N277" s="238">
        <v>7</v>
      </c>
      <c r="O277" s="239">
        <v>2.9535864978902954E-2</v>
      </c>
      <c r="P277" s="237">
        <v>8</v>
      </c>
      <c r="Q277" s="237">
        <v>0</v>
      </c>
      <c r="R277" s="239">
        <v>0</v>
      </c>
      <c r="S277" s="238">
        <v>1586</v>
      </c>
      <c r="T277" s="436">
        <v>0</v>
      </c>
      <c r="U277" s="436">
        <v>8</v>
      </c>
      <c r="V277" s="436">
        <v>12</v>
      </c>
      <c r="W277" s="436">
        <v>20</v>
      </c>
      <c r="X277" s="238">
        <v>5873</v>
      </c>
      <c r="Y277" s="237">
        <v>0.2324</v>
      </c>
      <c r="Z277" s="238">
        <v>84110</v>
      </c>
      <c r="AA277" s="238">
        <v>14191</v>
      </c>
      <c r="AB277" s="238">
        <v>86.71</v>
      </c>
      <c r="AC277" s="238">
        <v>2117</v>
      </c>
      <c r="AD277" s="238">
        <v>7203576.2399999993</v>
      </c>
      <c r="AE277" s="238">
        <v>2963165.04</v>
      </c>
      <c r="AF277" s="238">
        <v>5559374.29</v>
      </c>
      <c r="AG277" s="238">
        <v>452050.75</v>
      </c>
      <c r="AH277" s="239">
        <v>8.1313242537587802E-2</v>
      </c>
      <c r="AI277" s="247">
        <v>85.733194999999995</v>
      </c>
      <c r="AJ277" s="242">
        <v>19.266022</v>
      </c>
      <c r="AK277" s="242">
        <v>0.81635686440677968</v>
      </c>
      <c r="AL277" s="242" t="s">
        <v>678</v>
      </c>
      <c r="AM277" s="242" t="s">
        <v>678</v>
      </c>
      <c r="AN277" s="242">
        <v>23898.86</v>
      </c>
      <c r="AO277" s="238">
        <v>2836.03</v>
      </c>
      <c r="AP277" s="243">
        <v>18</v>
      </c>
      <c r="AQ277" s="238">
        <v>1</v>
      </c>
      <c r="AR277" s="238">
        <v>1268.8113310477863</v>
      </c>
      <c r="AS277" s="238">
        <v>3025.7099303496357</v>
      </c>
      <c r="AT277" s="238">
        <v>2054318.6666666667</v>
      </c>
      <c r="AU277" s="238">
        <v>243.47022784169891</v>
      </c>
      <c r="AV277" s="237">
        <v>1</v>
      </c>
      <c r="AW277" s="237">
        <v>1</v>
      </c>
      <c r="AX277" s="237">
        <v>1</v>
      </c>
      <c r="AY277" s="244" t="s">
        <v>673</v>
      </c>
      <c r="AZ277" s="244" t="s">
        <v>673</v>
      </c>
      <c r="BA277" s="237">
        <v>2014</v>
      </c>
      <c r="BB277" s="245" t="s">
        <v>891</v>
      </c>
      <c r="BC277" s="215" t="s">
        <v>892</v>
      </c>
      <c r="BE277" s="237">
        <v>3</v>
      </c>
      <c r="BF277" s="237">
        <v>70</v>
      </c>
      <c r="BG277" s="246" t="s">
        <v>698</v>
      </c>
      <c r="BI277" s="239">
        <v>0.47058823529411764</v>
      </c>
      <c r="BJ277" s="239">
        <v>9.7258026716662754E-2</v>
      </c>
      <c r="BK277" s="239">
        <v>0.38715725333958284</v>
      </c>
      <c r="BL277" s="239">
        <v>4.499648464963675E-2</v>
      </c>
      <c r="BM277" s="247">
        <v>1.9934380126552611</v>
      </c>
      <c r="BN277" s="248">
        <v>0</v>
      </c>
      <c r="BO277" s="248">
        <v>1</v>
      </c>
      <c r="BP277" s="237">
        <v>0</v>
      </c>
      <c r="BQ277" s="237">
        <v>0</v>
      </c>
      <c r="BR277" s="248">
        <v>1</v>
      </c>
      <c r="BS277" s="237">
        <v>15</v>
      </c>
      <c r="BT277" s="237" t="s">
        <v>699</v>
      </c>
      <c r="BU277" s="249">
        <v>629</v>
      </c>
      <c r="BV277" s="249">
        <v>1033</v>
      </c>
      <c r="BW277" s="249">
        <v>2932</v>
      </c>
      <c r="BX277" s="249" t="s">
        <v>678</v>
      </c>
      <c r="BY277" s="249">
        <v>10.276098676686816</v>
      </c>
      <c r="BZ277" s="249">
        <v>16.876327397484072</v>
      </c>
      <c r="CA277" s="249">
        <v>47.900669825191962</v>
      </c>
      <c r="CB277" s="249" t="s">
        <v>678</v>
      </c>
      <c r="CC277" s="250">
        <v>112.48162065022055</v>
      </c>
      <c r="CD277" s="242" t="s">
        <v>678</v>
      </c>
      <c r="CE277" s="252" t="s">
        <v>678</v>
      </c>
      <c r="CF277" s="238">
        <v>3178</v>
      </c>
      <c r="CG277" s="238">
        <v>428</v>
      </c>
      <c r="CH277" s="238">
        <v>6.9923215160921419</v>
      </c>
      <c r="CI277" s="216" t="s">
        <v>722</v>
      </c>
      <c r="CJ277" s="237">
        <v>1</v>
      </c>
      <c r="CK277" s="253">
        <v>104.3</v>
      </c>
      <c r="CL277" s="253">
        <v>41.953600000000002</v>
      </c>
      <c r="CM277" s="254">
        <v>1.7776949152542375E-2</v>
      </c>
      <c r="CN277" s="237" t="s">
        <v>82</v>
      </c>
      <c r="CO277" s="242">
        <v>165.08</v>
      </c>
      <c r="CP277" s="255">
        <v>6.9949152542372883E-2</v>
      </c>
      <c r="CV277" s="237">
        <v>2</v>
      </c>
      <c r="CW277" s="194">
        <v>1.1619999999999999</v>
      </c>
      <c r="CX277" s="194">
        <v>0.128</v>
      </c>
      <c r="CY277" s="194">
        <v>1.9249999999999998</v>
      </c>
      <c r="DB277" s="216" t="s">
        <v>710</v>
      </c>
      <c r="DC277" s="195" t="s">
        <v>711</v>
      </c>
      <c r="DD277" s="256">
        <v>0.8</v>
      </c>
      <c r="DE277" s="256">
        <v>-10</v>
      </c>
      <c r="DF277" s="256">
        <v>0.5</v>
      </c>
      <c r="DG277" s="256">
        <v>-2.2999999999999998</v>
      </c>
      <c r="DH277" s="257">
        <v>1</v>
      </c>
      <c r="DI277" s="257">
        <v>2</v>
      </c>
      <c r="DJ277" s="257">
        <v>0</v>
      </c>
      <c r="DK277" s="257">
        <v>2</v>
      </c>
      <c r="DL277" s="237" t="s">
        <v>682</v>
      </c>
      <c r="DP277" s="258" t="s">
        <v>682</v>
      </c>
      <c r="DQ277" s="258"/>
      <c r="DR277" s="258"/>
      <c r="DS277" s="258"/>
      <c r="DT277" s="258"/>
      <c r="DU277" s="237">
        <v>1</v>
      </c>
      <c r="DV277" s="237" t="s">
        <v>1632</v>
      </c>
      <c r="DW277" s="237" t="s">
        <v>794</v>
      </c>
      <c r="DX277" s="247">
        <v>23.06</v>
      </c>
      <c r="DY277" s="247">
        <v>0.97711864406779658</v>
      </c>
      <c r="DZ277" s="237" t="s">
        <v>1633</v>
      </c>
      <c r="EA277" s="237">
        <v>0</v>
      </c>
      <c r="ED277" s="237" t="s">
        <v>701</v>
      </c>
      <c r="EE277" s="208">
        <v>1</v>
      </c>
      <c r="EF277" s="237" t="s">
        <v>702</v>
      </c>
      <c r="EG277" s="216" t="s">
        <v>689</v>
      </c>
      <c r="EH277" s="246" t="s">
        <v>690</v>
      </c>
      <c r="EI277" s="216" t="s">
        <v>691</v>
      </c>
      <c r="EJ277" s="216" t="s">
        <v>529</v>
      </c>
      <c r="EK277" s="222" t="s">
        <v>682</v>
      </c>
      <c r="EL277" s="259">
        <v>2003</v>
      </c>
      <c r="EM277" s="263">
        <v>1905</v>
      </c>
      <c r="EN277" s="260">
        <v>255987</v>
      </c>
      <c r="EO277" s="260">
        <v>1763907</v>
      </c>
      <c r="ER277" s="237" t="s">
        <v>692</v>
      </c>
      <c r="ES277" s="237">
        <v>6121</v>
      </c>
      <c r="ET277" s="237">
        <v>925.93543307086611</v>
      </c>
      <c r="EU277" s="661">
        <v>1</v>
      </c>
      <c r="EV277" s="661">
        <v>4</v>
      </c>
      <c r="EW277" s="661">
        <v>2</v>
      </c>
      <c r="EX277" s="661">
        <v>4</v>
      </c>
      <c r="EY277" s="660">
        <v>4.4194915254237285E-2</v>
      </c>
      <c r="EZ277" s="256">
        <v>58.686481303930968</v>
      </c>
      <c r="FA277" s="247">
        <v>0.11286681715575621</v>
      </c>
      <c r="FB277" s="208">
        <v>3</v>
      </c>
      <c r="FC277" s="208">
        <v>5</v>
      </c>
      <c r="FD277" s="208">
        <v>4</v>
      </c>
      <c r="FE277" s="239">
        <v>0.70598194130925507</v>
      </c>
      <c r="FF277" s="208"/>
      <c r="FG277" s="241">
        <v>1.128668171557562E-3</v>
      </c>
      <c r="FH277" s="209">
        <v>0</v>
      </c>
      <c r="FI277" s="237" t="s">
        <v>678</v>
      </c>
      <c r="FJ277" s="208">
        <v>55.1</v>
      </c>
      <c r="FK277" s="208">
        <v>5.97</v>
      </c>
      <c r="FL277" s="217">
        <v>40.1</v>
      </c>
      <c r="FM277" s="208">
        <v>1.42</v>
      </c>
      <c r="FN277" s="208">
        <v>13</v>
      </c>
      <c r="FP277" s="247" t="s">
        <v>693</v>
      </c>
      <c r="FU277" s="208">
        <v>44</v>
      </c>
      <c r="FV277" s="208">
        <v>63.4</v>
      </c>
      <c r="FW277" s="237">
        <v>41.59</v>
      </c>
      <c r="FX277" s="237">
        <v>20.7</v>
      </c>
      <c r="FY277" s="208">
        <v>14</v>
      </c>
      <c r="FZ277" s="208">
        <v>25.2</v>
      </c>
      <c r="GA277" s="208">
        <v>33.520000000000003</v>
      </c>
      <c r="GB277" s="208">
        <v>26.6</v>
      </c>
      <c r="GC277" s="208">
        <v>0</v>
      </c>
      <c r="GD277" s="208">
        <v>12.1</v>
      </c>
      <c r="GE277" s="237">
        <v>26.26</v>
      </c>
      <c r="GF277" s="237">
        <v>27.7</v>
      </c>
      <c r="GG277" s="237">
        <v>12.04</v>
      </c>
      <c r="GH277" s="237">
        <v>75.7</v>
      </c>
      <c r="GJ277" s="947">
        <v>134</v>
      </c>
      <c r="GK277" s="320">
        <v>6.0000000000000001E-3</v>
      </c>
      <c r="GL277" s="320">
        <v>0.58199999999999996</v>
      </c>
      <c r="GM277" s="320">
        <v>4.9000000000000002E-2</v>
      </c>
      <c r="GN277" s="320">
        <v>0.36299999999999999</v>
      </c>
      <c r="GO277" s="662">
        <v>8274</v>
      </c>
      <c r="GP277" s="663" t="str">
        <f>VLOOKUP(GS277,'BD Comarcal'!$A$6:$AV$17,48,FALSE)</f>
        <v>07</v>
      </c>
      <c r="GQ277" s="564">
        <v>82</v>
      </c>
      <c r="GR277" s="256">
        <f t="shared" si="4"/>
        <v>1</v>
      </c>
      <c r="GS277" s="237" t="s">
        <v>82</v>
      </c>
    </row>
    <row r="278" spans="1:201" s="237" customFormat="1" ht="17.25" customHeight="1">
      <c r="A278" s="236" t="s">
        <v>1634</v>
      </c>
      <c r="C278" s="238"/>
      <c r="D278" s="238">
        <v>2000</v>
      </c>
      <c r="E278" s="238">
        <v>1372</v>
      </c>
      <c r="F278" s="239">
        <v>0.68600000000000005</v>
      </c>
      <c r="G278" s="238">
        <v>1309</v>
      </c>
      <c r="H278" s="240">
        <v>747.99339900292046</v>
      </c>
      <c r="I278" s="239">
        <v>0.54518469315081663</v>
      </c>
      <c r="J278" s="238">
        <v>314</v>
      </c>
      <c r="K278" s="238">
        <v>335</v>
      </c>
      <c r="L278" s="238">
        <v>0</v>
      </c>
      <c r="M278" s="241">
        <v>0</v>
      </c>
      <c r="N278" s="238">
        <v>0</v>
      </c>
      <c r="O278" s="239">
        <v>0</v>
      </c>
      <c r="P278" s="237">
        <v>14</v>
      </c>
      <c r="Q278" s="237">
        <v>0</v>
      </c>
      <c r="R278" s="239">
        <v>0</v>
      </c>
      <c r="S278" s="238">
        <v>1884</v>
      </c>
      <c r="T278" s="436">
        <v>0</v>
      </c>
      <c r="U278" s="436">
        <v>18</v>
      </c>
      <c r="V278" s="436">
        <v>19</v>
      </c>
      <c r="W278" s="436">
        <v>37</v>
      </c>
      <c r="X278" s="238">
        <v>318</v>
      </c>
      <c r="Y278" s="237">
        <v>0.17030000000000001</v>
      </c>
      <c r="Z278" s="238">
        <v>5634</v>
      </c>
      <c r="AA278" s="238">
        <v>17662</v>
      </c>
      <c r="AB278" s="238">
        <v>107.92</v>
      </c>
      <c r="AC278" s="238">
        <v>0</v>
      </c>
      <c r="AD278" s="238">
        <v>842398.29</v>
      </c>
      <c r="AE278" s="238">
        <v>102043.65000000008</v>
      </c>
      <c r="AF278" s="238">
        <v>398258.97999999992</v>
      </c>
      <c r="AG278" s="238">
        <v>87614.87</v>
      </c>
      <c r="AH278" s="239">
        <v>0.21999471298801601</v>
      </c>
      <c r="AI278" s="247">
        <v>10.058141000000001</v>
      </c>
      <c r="AJ278" s="242">
        <v>1.9057390000000001</v>
      </c>
      <c r="AK278" s="242">
        <v>9.5286950000000009E-2</v>
      </c>
      <c r="AL278" s="242">
        <v>42.701577</v>
      </c>
      <c r="AM278" s="242">
        <v>2.1350788499999998</v>
      </c>
      <c r="AN278" s="242">
        <v>9330.86</v>
      </c>
      <c r="AO278" s="238">
        <v>922.23</v>
      </c>
      <c r="AP278" s="243">
        <v>0</v>
      </c>
      <c r="AQ278" s="238">
        <v>1</v>
      </c>
      <c r="AR278" s="238">
        <v>2446.8779077832255</v>
      </c>
      <c r="AS278" s="238">
        <v>1254.0088476962021</v>
      </c>
      <c r="AT278" s="238">
        <v>20757.666666666668</v>
      </c>
      <c r="AU278" s="238">
        <v>222.55019069902906</v>
      </c>
      <c r="AV278" s="237">
        <v>1</v>
      </c>
      <c r="AW278" s="237">
        <v>0</v>
      </c>
      <c r="AX278" s="237">
        <v>1</v>
      </c>
      <c r="AY278" s="244" t="s">
        <v>726</v>
      </c>
      <c r="AZ278" s="244" t="s">
        <v>726</v>
      </c>
      <c r="BA278" s="237">
        <v>2014</v>
      </c>
      <c r="BB278" s="245" t="s">
        <v>887</v>
      </c>
      <c r="BC278" s="215" t="s">
        <v>888</v>
      </c>
      <c r="BE278" s="237">
        <v>0</v>
      </c>
      <c r="BF278" s="237">
        <v>83</v>
      </c>
      <c r="BG278" s="246" t="s">
        <v>698</v>
      </c>
      <c r="BI278" s="239">
        <v>0.71351351351351355</v>
      </c>
      <c r="BJ278" s="239">
        <v>0.12432432432432433</v>
      </c>
      <c r="BK278" s="239">
        <v>0.13513513513513514</v>
      </c>
      <c r="BL278" s="239">
        <v>2.7027027027027029E-2</v>
      </c>
      <c r="BM278" s="247">
        <v>2.5243243243243247</v>
      </c>
      <c r="BN278" s="248">
        <v>0</v>
      </c>
      <c r="BO278" s="248">
        <v>0</v>
      </c>
      <c r="BP278" s="237">
        <v>0</v>
      </c>
      <c r="BQ278" s="237">
        <v>0</v>
      </c>
      <c r="BR278" s="248">
        <v>0</v>
      </c>
      <c r="BS278" s="237">
        <v>11</v>
      </c>
      <c r="BT278" s="237" t="s">
        <v>721</v>
      </c>
      <c r="BU278" s="249" t="s">
        <v>678</v>
      </c>
      <c r="BV278" s="249" t="s">
        <v>678</v>
      </c>
      <c r="BW278" s="249" t="s">
        <v>678</v>
      </c>
      <c r="BX278" s="249" t="s">
        <v>678</v>
      </c>
      <c r="BY278" s="249" t="s">
        <v>678</v>
      </c>
      <c r="BZ278" s="249" t="s">
        <v>678</v>
      </c>
      <c r="CA278" s="249" t="s">
        <v>678</v>
      </c>
      <c r="CB278" s="249" t="s">
        <v>678</v>
      </c>
      <c r="CC278" s="250" t="s">
        <v>678</v>
      </c>
      <c r="CD278" s="242" t="s">
        <v>678</v>
      </c>
      <c r="CE278" s="252" t="s">
        <v>678</v>
      </c>
      <c r="CF278" s="238">
        <v>181</v>
      </c>
      <c r="CG278" s="238">
        <v>7.9</v>
      </c>
      <c r="CH278" s="238">
        <v>2.5079365079365079</v>
      </c>
      <c r="CI278" s="216" t="s">
        <v>722</v>
      </c>
      <c r="CJ278" s="237">
        <v>1</v>
      </c>
      <c r="CK278" s="253">
        <v>5.46</v>
      </c>
      <c r="CL278" s="253">
        <v>180.69</v>
      </c>
      <c r="CM278" s="254">
        <v>9.0344999999999995E-2</v>
      </c>
      <c r="CN278" s="237" t="s">
        <v>88</v>
      </c>
      <c r="CO278" s="242">
        <v>18.2</v>
      </c>
      <c r="CP278" s="255">
        <v>9.1000000000000004E-3</v>
      </c>
      <c r="CW278" s="261" t="s">
        <v>678</v>
      </c>
      <c r="CX278" s="261" t="s">
        <v>678</v>
      </c>
      <c r="CY278" s="261" t="s">
        <v>678</v>
      </c>
      <c r="DB278" s="216" t="s">
        <v>1017</v>
      </c>
      <c r="DC278" s="195" t="s">
        <v>1018</v>
      </c>
      <c r="DD278" s="256">
        <v>0.8</v>
      </c>
      <c r="DE278" s="256">
        <v>-10</v>
      </c>
      <c r="DF278" s="256">
        <v>0.5</v>
      </c>
      <c r="DG278" s="256">
        <v>-2.2999999999999998</v>
      </c>
      <c r="DL278" s="237" t="s">
        <v>529</v>
      </c>
      <c r="DN278" s="237" t="s">
        <v>730</v>
      </c>
      <c r="DP278" s="258" t="s">
        <v>682</v>
      </c>
      <c r="DQ278" s="258"/>
      <c r="DR278" s="258"/>
      <c r="DS278" s="258"/>
      <c r="DT278" s="258"/>
      <c r="DU278" s="237">
        <v>0</v>
      </c>
      <c r="DX278" s="247"/>
      <c r="DY278" s="247">
        <v>0</v>
      </c>
      <c r="EA278" s="237">
        <v>0</v>
      </c>
      <c r="ED278" s="237" t="s">
        <v>723</v>
      </c>
      <c r="EE278" s="208">
        <v>1</v>
      </c>
      <c r="EF278" s="237" t="s">
        <v>702</v>
      </c>
      <c r="EG278" s="216" t="s">
        <v>733</v>
      </c>
      <c r="EH278" s="246" t="s">
        <v>734</v>
      </c>
      <c r="EI278" s="216"/>
      <c r="EJ278" s="216" t="s">
        <v>529</v>
      </c>
      <c r="EK278" s="222" t="s">
        <v>682</v>
      </c>
      <c r="EL278" s="259">
        <v>1977</v>
      </c>
      <c r="EM278" s="260">
        <v>862</v>
      </c>
      <c r="EN278" s="260">
        <v>11917</v>
      </c>
      <c r="EO278" s="260">
        <v>11822</v>
      </c>
      <c r="ER278" s="237" t="s">
        <v>973</v>
      </c>
      <c r="ES278" s="237" t="e">
        <v>#DIV/0!</v>
      </c>
      <c r="ET278" s="237">
        <v>13.71461716937355</v>
      </c>
      <c r="EU278" s="661">
        <v>5</v>
      </c>
      <c r="EV278" s="661" t="s">
        <v>678</v>
      </c>
      <c r="EW278" s="661">
        <v>0</v>
      </c>
      <c r="EX278" s="661">
        <v>2</v>
      </c>
      <c r="EY278" s="660">
        <v>2.7299999999999998E-3</v>
      </c>
      <c r="EZ278" s="256">
        <v>57.692307692307693</v>
      </c>
      <c r="FA278" s="247">
        <v>0</v>
      </c>
      <c r="FB278" s="208">
        <v>2</v>
      </c>
      <c r="FC278" s="208">
        <v>2</v>
      </c>
      <c r="FD278" s="208">
        <v>3</v>
      </c>
      <c r="FE278" s="239">
        <v>0.95408163265306123</v>
      </c>
      <c r="FF278" s="208">
        <v>1</v>
      </c>
      <c r="FG278" s="241">
        <v>0</v>
      </c>
      <c r="FH278" s="209">
        <v>0</v>
      </c>
      <c r="FI278" s="237" t="s">
        <v>678</v>
      </c>
      <c r="FJ278" s="208">
        <v>58.3</v>
      </c>
      <c r="FK278" s="208">
        <v>0.88</v>
      </c>
      <c r="FL278" s="217">
        <v>27.6</v>
      </c>
      <c r="FM278" s="208">
        <v>9.98</v>
      </c>
      <c r="FN278" s="208" t="s">
        <v>1635</v>
      </c>
      <c r="FP278" s="247" t="s">
        <v>693</v>
      </c>
      <c r="FU278" s="208">
        <v>39</v>
      </c>
      <c r="FV278" s="208">
        <v>51.2</v>
      </c>
      <c r="FW278" s="237">
        <v>82.13</v>
      </c>
      <c r="FX278" s="237">
        <v>68.900000000000006</v>
      </c>
      <c r="FY278" s="208">
        <v>71.94</v>
      </c>
      <c r="FZ278" s="208">
        <v>75.3</v>
      </c>
      <c r="GA278" s="208">
        <v>67.75</v>
      </c>
      <c r="GB278" s="208">
        <v>76.2</v>
      </c>
      <c r="GC278" s="208">
        <v>0.05</v>
      </c>
      <c r="GD278" s="208">
        <v>25</v>
      </c>
      <c r="GE278" s="237">
        <v>64.760000000000005</v>
      </c>
      <c r="GF278" s="237">
        <v>82.2</v>
      </c>
      <c r="GG278" s="237">
        <v>6.17</v>
      </c>
      <c r="GH278" s="237">
        <v>51.9</v>
      </c>
      <c r="GJ278" s="947"/>
      <c r="GK278" s="320"/>
      <c r="GL278" s="320"/>
      <c r="GM278" s="320"/>
      <c r="GN278" s="320"/>
      <c r="GO278" s="662">
        <v>8275</v>
      </c>
      <c r="GP278" s="663" t="str">
        <f>VLOOKUP(GS278,'BD Comarcal'!$A$6:$AV$17,48,FALSE)</f>
        <v>24</v>
      </c>
      <c r="GQ278" s="564">
        <v>4</v>
      </c>
      <c r="GR278" s="256">
        <f t="shared" si="4"/>
        <v>0</v>
      </c>
      <c r="GS278" s="237" t="s">
        <v>88</v>
      </c>
    </row>
    <row r="279" spans="1:201" s="237" customFormat="1" ht="17.25" customHeight="1">
      <c r="A279" s="236" t="s">
        <v>1636</v>
      </c>
      <c r="C279" s="238"/>
      <c r="D279" s="238">
        <v>4380</v>
      </c>
      <c r="E279" s="238">
        <v>4020</v>
      </c>
      <c r="F279" s="239">
        <v>0.9178082191780822</v>
      </c>
      <c r="G279" s="238">
        <v>3546</v>
      </c>
      <c r="H279" s="240">
        <v>1442.4620766678609</v>
      </c>
      <c r="I279" s="239">
        <v>0.35882141210643304</v>
      </c>
      <c r="J279" s="238">
        <v>2</v>
      </c>
      <c r="K279" s="238">
        <v>161</v>
      </c>
      <c r="L279" s="238">
        <v>2</v>
      </c>
      <c r="M279" s="241">
        <v>4.5662100456621003E-4</v>
      </c>
      <c r="N279" s="238">
        <v>0</v>
      </c>
      <c r="O279" s="239">
        <v>0</v>
      </c>
      <c r="P279" s="237">
        <v>5</v>
      </c>
      <c r="Q279" s="237">
        <v>0</v>
      </c>
      <c r="R279" s="239">
        <v>0</v>
      </c>
      <c r="S279" s="238">
        <v>157</v>
      </c>
      <c r="T279" s="436">
        <v>0</v>
      </c>
      <c r="U279" s="436">
        <v>15</v>
      </c>
      <c r="V279" s="436">
        <v>0</v>
      </c>
      <c r="W279" s="436">
        <v>15</v>
      </c>
      <c r="X279" s="238">
        <v>316</v>
      </c>
      <c r="Y279" s="237">
        <v>0.14599999999999999</v>
      </c>
      <c r="Z279" s="238">
        <v>5346</v>
      </c>
      <c r="AA279" s="238">
        <v>16760</v>
      </c>
      <c r="AB279" s="238">
        <v>102.4</v>
      </c>
      <c r="AC279" s="238">
        <v>106</v>
      </c>
      <c r="AD279" s="238">
        <v>746953.08000000007</v>
      </c>
      <c r="AE279" s="238">
        <v>159636.14999999991</v>
      </c>
      <c r="AF279" s="238">
        <v>492992.30000000005</v>
      </c>
      <c r="AG279" s="238">
        <v>142827.63</v>
      </c>
      <c r="AH279" s="239">
        <v>0.28971574201057498</v>
      </c>
      <c r="AI279" s="247">
        <v>30.544024</v>
      </c>
      <c r="AJ279" s="242">
        <v>4.0295129999999997</v>
      </c>
      <c r="AK279" s="242">
        <v>9.1998013698630129E-2</v>
      </c>
      <c r="AL279" s="242" t="s">
        <v>678</v>
      </c>
      <c r="AM279" s="242" t="s">
        <v>678</v>
      </c>
      <c r="AN279" s="242">
        <v>5890.84</v>
      </c>
      <c r="AO279" s="238">
        <v>4586.53</v>
      </c>
      <c r="AP279" s="243">
        <v>10</v>
      </c>
      <c r="AQ279" s="238"/>
      <c r="AR279" s="238">
        <v>1822.7160488471857</v>
      </c>
      <c r="AS279" s="238">
        <v>1397.0159787927789</v>
      </c>
      <c r="AT279" s="238">
        <v>16957</v>
      </c>
      <c r="AU279" s="238">
        <v>232.71596322974457</v>
      </c>
      <c r="AV279" s="237">
        <v>1</v>
      </c>
      <c r="AW279" s="237">
        <v>1</v>
      </c>
      <c r="AX279" s="237">
        <v>1</v>
      </c>
      <c r="AY279" s="244" t="s">
        <v>717</v>
      </c>
      <c r="AZ279" s="244" t="s">
        <v>673</v>
      </c>
      <c r="BA279" s="237">
        <v>2013</v>
      </c>
      <c r="BB279" s="245" t="s">
        <v>798</v>
      </c>
      <c r="BC279" s="215" t="s">
        <v>799</v>
      </c>
      <c r="BE279" s="237">
        <v>2</v>
      </c>
      <c r="BF279" s="237">
        <v>39</v>
      </c>
      <c r="BG279" s="246" t="s">
        <v>698</v>
      </c>
      <c r="BI279" s="239">
        <v>0.64925373134328357</v>
      </c>
      <c r="BJ279" s="239">
        <v>5.9701492537313432E-2</v>
      </c>
      <c r="BK279" s="239">
        <v>0.27611940298507465</v>
      </c>
      <c r="BL279" s="239">
        <v>1.4925373134328358E-2</v>
      </c>
      <c r="BM279" s="247">
        <v>2.3432835820895521</v>
      </c>
      <c r="BN279" s="248">
        <v>0</v>
      </c>
      <c r="BO279" s="248">
        <v>0</v>
      </c>
      <c r="BP279" s="237">
        <v>0</v>
      </c>
      <c r="BQ279" s="237">
        <v>0</v>
      </c>
      <c r="BR279" s="248">
        <v>0</v>
      </c>
      <c r="BS279" s="237">
        <v>18</v>
      </c>
      <c r="BT279" s="237" t="s">
        <v>729</v>
      </c>
      <c r="BU279" s="249" t="s">
        <v>678</v>
      </c>
      <c r="BV279" s="249" t="s">
        <v>678</v>
      </c>
      <c r="BW279" s="249" t="s">
        <v>678</v>
      </c>
      <c r="BX279" s="249" t="s">
        <v>678</v>
      </c>
      <c r="BY279" s="249" t="s">
        <v>678</v>
      </c>
      <c r="BZ279" s="249" t="s">
        <v>678</v>
      </c>
      <c r="CA279" s="249" t="s">
        <v>678</v>
      </c>
      <c r="CB279" s="249" t="s">
        <v>678</v>
      </c>
      <c r="CC279" s="250" t="s">
        <v>678</v>
      </c>
      <c r="CD279" s="242" t="s">
        <v>678</v>
      </c>
      <c r="CE279" s="252" t="s">
        <v>678</v>
      </c>
      <c r="CF279" s="238">
        <v>152</v>
      </c>
      <c r="CG279" s="238">
        <v>22</v>
      </c>
      <c r="CH279" s="238">
        <v>6.9182389937106921</v>
      </c>
      <c r="CI279" s="216" t="s">
        <v>722</v>
      </c>
      <c r="CJ279" s="237">
        <v>1</v>
      </c>
      <c r="CK279" s="253">
        <v>38.130000000000003</v>
      </c>
      <c r="CL279" s="253">
        <v>2.7829999999999999</v>
      </c>
      <c r="CM279" s="254">
        <v>6.3538812785388131E-4</v>
      </c>
      <c r="CN279" s="237" t="s">
        <v>24</v>
      </c>
      <c r="CO279" s="242">
        <v>3882.35</v>
      </c>
      <c r="CP279" s="255">
        <v>0.88638127853881277</v>
      </c>
      <c r="CV279" s="237">
        <v>2</v>
      </c>
      <c r="CW279" s="261" t="s">
        <v>678</v>
      </c>
      <c r="CX279" s="261" t="s">
        <v>678</v>
      </c>
      <c r="CY279" s="261" t="s">
        <v>678</v>
      </c>
      <c r="CZ279" s="237" t="s">
        <v>529</v>
      </c>
      <c r="DA279" s="237" t="s">
        <v>1637</v>
      </c>
      <c r="DB279" s="216" t="s">
        <v>710</v>
      </c>
      <c r="DC279" s="195" t="s">
        <v>711</v>
      </c>
      <c r="DD279" s="256">
        <v>0.8</v>
      </c>
      <c r="DE279" s="256">
        <v>-10</v>
      </c>
      <c r="DF279" s="256">
        <v>0.5</v>
      </c>
      <c r="DG279" s="256">
        <v>-2.2999999999999998</v>
      </c>
      <c r="DL279" s="237" t="s">
        <v>682</v>
      </c>
      <c r="DP279" s="258" t="s">
        <v>682</v>
      </c>
      <c r="DQ279" s="258"/>
      <c r="DR279" s="258"/>
      <c r="DS279" s="258"/>
      <c r="DT279" s="258"/>
      <c r="DU279" s="237">
        <v>0</v>
      </c>
      <c r="DX279" s="247"/>
      <c r="DY279" s="247">
        <v>0</v>
      </c>
      <c r="EA279" s="237">
        <v>0</v>
      </c>
      <c r="ED279" s="237" t="s">
        <v>851</v>
      </c>
      <c r="EE279" s="208">
        <v>0</v>
      </c>
      <c r="EF279" s="237" t="s">
        <v>852</v>
      </c>
      <c r="EG279" s="216" t="s">
        <v>715</v>
      </c>
      <c r="EH279" s="246" t="s">
        <v>690</v>
      </c>
      <c r="EI279" s="216" t="s">
        <v>691</v>
      </c>
      <c r="EJ279" s="216" t="s">
        <v>529</v>
      </c>
      <c r="EK279" s="222" t="s">
        <v>682</v>
      </c>
      <c r="EL279" s="259">
        <v>2002</v>
      </c>
      <c r="EM279" s="263">
        <v>700</v>
      </c>
      <c r="EN279" s="260">
        <v>11589</v>
      </c>
      <c r="EO279" s="260">
        <v>4862</v>
      </c>
      <c r="ER279" s="237" t="s">
        <v>705</v>
      </c>
      <c r="ES279" s="237" t="e">
        <v>#DIV/0!</v>
      </c>
      <c r="ET279" s="237">
        <v>6.9457142857142857</v>
      </c>
      <c r="EU279" s="661">
        <v>2</v>
      </c>
      <c r="EV279" s="661" t="s">
        <v>678</v>
      </c>
      <c r="EW279" s="661">
        <v>0</v>
      </c>
      <c r="EX279" s="661">
        <v>1</v>
      </c>
      <c r="EY279" s="660">
        <v>8.705479452054795E-3</v>
      </c>
      <c r="EZ279" s="256">
        <v>8.3398898505114083</v>
      </c>
      <c r="FA279" s="247">
        <v>4.975124378109453E-2</v>
      </c>
      <c r="FB279" s="208">
        <v>3</v>
      </c>
      <c r="FC279" s="208">
        <v>3</v>
      </c>
      <c r="FD279" s="208">
        <v>2</v>
      </c>
      <c r="FE279" s="239">
        <v>0.88208955223880592</v>
      </c>
      <c r="FF279" s="208">
        <v>1</v>
      </c>
      <c r="FG279" s="241">
        <v>0</v>
      </c>
      <c r="FH279" s="209">
        <v>0</v>
      </c>
      <c r="FI279" s="237" t="s">
        <v>678</v>
      </c>
      <c r="FJ279" s="208">
        <v>64.5</v>
      </c>
      <c r="FK279" s="208">
        <v>76.41</v>
      </c>
      <c r="FL279" s="217">
        <v>99.3</v>
      </c>
      <c r="FM279" s="208">
        <v>16</v>
      </c>
      <c r="FN279" s="208" t="s">
        <v>1638</v>
      </c>
      <c r="FP279" s="247" t="s">
        <v>693</v>
      </c>
      <c r="FU279" s="208">
        <v>43</v>
      </c>
      <c r="FV279" s="208">
        <v>61.5</v>
      </c>
      <c r="FW279" s="237">
        <v>90.77</v>
      </c>
      <c r="FX279" s="237">
        <v>84.7</v>
      </c>
      <c r="FY279" s="208">
        <v>129.03</v>
      </c>
      <c r="FZ279" s="208">
        <v>95.5</v>
      </c>
      <c r="GA279" s="208">
        <v>83.29</v>
      </c>
      <c r="GB279" s="208">
        <v>95.7</v>
      </c>
      <c r="GC279" s="208">
        <v>1.47</v>
      </c>
      <c r="GD279" s="208">
        <v>96</v>
      </c>
      <c r="GE279" s="237">
        <v>71.28</v>
      </c>
      <c r="GF279" s="237">
        <v>87.1</v>
      </c>
      <c r="GG279" s="237">
        <v>8.84</v>
      </c>
      <c r="GH279" s="237">
        <v>63</v>
      </c>
      <c r="GJ279" s="947"/>
      <c r="GO279" s="662">
        <v>8276</v>
      </c>
      <c r="GP279" s="663" t="str">
        <f>VLOOKUP(GS279,'BD Comarcal'!$A$6:$AV$17,48,FALSE)</f>
        <v>41</v>
      </c>
      <c r="GQ279" s="564">
        <v>1</v>
      </c>
      <c r="GR279" s="256">
        <f t="shared" si="4"/>
        <v>0</v>
      </c>
      <c r="GS279" s="237" t="s">
        <v>24</v>
      </c>
    </row>
    <row r="280" spans="1:201" s="237" customFormat="1" ht="17.25" customHeight="1">
      <c r="A280" s="236" t="s">
        <v>1639</v>
      </c>
      <c r="C280" s="238"/>
      <c r="D280" s="238">
        <v>2952</v>
      </c>
      <c r="E280" s="238">
        <v>2677</v>
      </c>
      <c r="F280" s="239">
        <v>0.90684281842818426</v>
      </c>
      <c r="G280" s="238">
        <v>1844</v>
      </c>
      <c r="H280" s="240">
        <v>1530.7217818631777</v>
      </c>
      <c r="I280" s="239">
        <v>0.57180492411773542</v>
      </c>
      <c r="J280" s="238">
        <v>49</v>
      </c>
      <c r="K280" s="238">
        <v>0</v>
      </c>
      <c r="L280" s="238" t="s">
        <v>678</v>
      </c>
      <c r="M280" s="241" t="s">
        <v>678</v>
      </c>
      <c r="N280" s="238" t="s">
        <v>678</v>
      </c>
      <c r="O280" s="239" t="s">
        <v>678</v>
      </c>
      <c r="P280" s="237" t="s">
        <v>678</v>
      </c>
      <c r="Q280" s="237" t="s">
        <v>678</v>
      </c>
      <c r="R280" s="239" t="s">
        <v>678</v>
      </c>
      <c r="S280" s="238" t="s">
        <v>678</v>
      </c>
      <c r="T280" s="436">
        <v>138</v>
      </c>
      <c r="U280" s="436">
        <v>12</v>
      </c>
      <c r="V280" s="436">
        <v>0</v>
      </c>
      <c r="W280" s="436">
        <v>150</v>
      </c>
      <c r="X280" s="238">
        <v>186</v>
      </c>
      <c r="Y280" s="237">
        <v>0.22700000000000001</v>
      </c>
      <c r="Z280" s="238">
        <v>2898</v>
      </c>
      <c r="AA280" s="238">
        <v>15336</v>
      </c>
      <c r="AB280" s="238">
        <v>93.7</v>
      </c>
      <c r="AC280" s="238">
        <v>0</v>
      </c>
      <c r="AD280" s="238">
        <v>322874.99</v>
      </c>
      <c r="AE280" s="238">
        <v>0</v>
      </c>
      <c r="AF280" s="238">
        <v>0</v>
      </c>
      <c r="AG280" s="238">
        <v>0</v>
      </c>
      <c r="AH280" s="239" t="s">
        <v>678</v>
      </c>
      <c r="AI280" s="247">
        <v>23.694609</v>
      </c>
      <c r="AJ280" s="242">
        <v>3.6960190000000002</v>
      </c>
      <c r="AK280" s="242">
        <v>0.12520389566395665</v>
      </c>
      <c r="AL280" s="242" t="s">
        <v>678</v>
      </c>
      <c r="AM280" s="242" t="s">
        <v>678</v>
      </c>
      <c r="AN280" s="242">
        <v>10657.4</v>
      </c>
      <c r="AO280" s="238">
        <v>2538.06</v>
      </c>
      <c r="AP280" s="243">
        <v>0</v>
      </c>
      <c r="AQ280" s="238"/>
      <c r="AR280" s="238">
        <v>2413.2016822031692</v>
      </c>
      <c r="AS280" s="238">
        <v>1822.6798688158453</v>
      </c>
      <c r="AT280" s="238">
        <v>16353</v>
      </c>
      <c r="AU280" s="238">
        <v>463.24229504802599</v>
      </c>
      <c r="AV280" s="237">
        <v>1</v>
      </c>
      <c r="AW280" s="237">
        <v>1</v>
      </c>
      <c r="AX280" s="237">
        <v>1</v>
      </c>
      <c r="AY280" s="244" t="s">
        <v>717</v>
      </c>
      <c r="AZ280" s="244" t="s">
        <v>726</v>
      </c>
      <c r="BA280" s="237">
        <v>0</v>
      </c>
      <c r="BB280" s="245" t="s">
        <v>1264</v>
      </c>
      <c r="BC280" s="215" t="s">
        <v>1265</v>
      </c>
      <c r="BE280" s="237">
        <v>2</v>
      </c>
      <c r="BF280" s="237">
        <v>143</v>
      </c>
      <c r="BG280" s="246" t="s">
        <v>720</v>
      </c>
      <c r="BI280" s="239">
        <v>0.58148148148148149</v>
      </c>
      <c r="BJ280" s="239">
        <v>0.11481481481481481</v>
      </c>
      <c r="BK280" s="239">
        <v>0.29629629629629628</v>
      </c>
      <c r="BL280" s="239">
        <v>7.4074074074074077E-3</v>
      </c>
      <c r="BM280" s="247">
        <v>2.2703703703703706</v>
      </c>
      <c r="BN280" s="248">
        <v>0</v>
      </c>
      <c r="BO280" s="248">
        <v>0</v>
      </c>
      <c r="BP280" s="237">
        <v>0</v>
      </c>
      <c r="BQ280" s="237">
        <v>0</v>
      </c>
      <c r="BR280" s="248">
        <v>0</v>
      </c>
      <c r="BS280" s="237">
        <v>30</v>
      </c>
      <c r="BT280" s="237" t="s">
        <v>699</v>
      </c>
      <c r="BU280" s="249" t="s">
        <v>678</v>
      </c>
      <c r="BV280" s="249" t="s">
        <v>678</v>
      </c>
      <c r="BW280" s="249" t="s">
        <v>678</v>
      </c>
      <c r="BX280" s="249" t="s">
        <v>678</v>
      </c>
      <c r="BY280" s="249" t="s">
        <v>678</v>
      </c>
      <c r="BZ280" s="249" t="s">
        <v>678</v>
      </c>
      <c r="CA280" s="249" t="s">
        <v>678</v>
      </c>
      <c r="CB280" s="249" t="s">
        <v>678</v>
      </c>
      <c r="CC280" s="250" t="s">
        <v>678</v>
      </c>
      <c r="CD280" s="242" t="s">
        <v>678</v>
      </c>
      <c r="CE280" s="252" t="s">
        <v>678</v>
      </c>
      <c r="CF280" s="238">
        <v>240</v>
      </c>
      <c r="CG280" s="238">
        <v>8</v>
      </c>
      <c r="CH280" s="238">
        <v>5.4421768707482991</v>
      </c>
      <c r="CI280" s="216" t="s">
        <v>722</v>
      </c>
      <c r="CJ280" s="237">
        <v>1</v>
      </c>
      <c r="CK280" s="253">
        <v>23.51</v>
      </c>
      <c r="CL280" s="253">
        <v>16.445</v>
      </c>
      <c r="CM280" s="254">
        <v>5.5707994579945802E-3</v>
      </c>
      <c r="CN280" s="237" t="s">
        <v>82</v>
      </c>
      <c r="CO280" s="242">
        <v>592.75</v>
      </c>
      <c r="CP280" s="255">
        <v>0.20079607046070461</v>
      </c>
      <c r="CV280" s="237">
        <v>2</v>
      </c>
      <c r="CW280" s="261" t="s">
        <v>678</v>
      </c>
      <c r="CX280" s="261" t="s">
        <v>678</v>
      </c>
      <c r="CY280" s="261" t="s">
        <v>678</v>
      </c>
      <c r="DB280" s="216" t="s">
        <v>710</v>
      </c>
      <c r="DC280" s="195" t="s">
        <v>711</v>
      </c>
      <c r="DD280" s="256">
        <v>0.8</v>
      </c>
      <c r="DE280" s="256">
        <v>-9</v>
      </c>
      <c r="DF280" s="256">
        <v>-0.3</v>
      </c>
      <c r="DG280" s="256">
        <v>-2.6</v>
      </c>
      <c r="DH280" s="257">
        <v>3</v>
      </c>
      <c r="DI280" s="257">
        <v>154.5</v>
      </c>
      <c r="DJ280" s="257">
        <v>723.71</v>
      </c>
      <c r="DK280" s="257">
        <v>878.21</v>
      </c>
      <c r="DL280" s="237" t="s">
        <v>682</v>
      </c>
      <c r="DP280" s="258" t="s">
        <v>682</v>
      </c>
      <c r="DQ280" s="258"/>
      <c r="DR280" s="258"/>
      <c r="DS280" s="258"/>
      <c r="DT280" s="258"/>
      <c r="DU280" s="237">
        <v>0</v>
      </c>
      <c r="DX280" s="247"/>
      <c r="DY280" s="247">
        <v>0</v>
      </c>
      <c r="EA280" s="237">
        <v>0</v>
      </c>
      <c r="ED280" s="237" t="s">
        <v>687</v>
      </c>
      <c r="EE280" s="208">
        <v>1</v>
      </c>
      <c r="EF280" s="237" t="s">
        <v>688</v>
      </c>
      <c r="EG280" s="216" t="s">
        <v>733</v>
      </c>
      <c r="EH280" s="246" t="s">
        <v>734</v>
      </c>
      <c r="EI280" s="216"/>
      <c r="EJ280" s="216" t="s">
        <v>529</v>
      </c>
      <c r="EK280" s="222" t="s">
        <v>682</v>
      </c>
      <c r="EL280" s="259">
        <v>1984</v>
      </c>
      <c r="EM280" s="263">
        <v>635</v>
      </c>
      <c r="EN280" s="260">
        <v>13443</v>
      </c>
      <c r="EO280" s="260">
        <v>4559</v>
      </c>
      <c r="EP280" s="237">
        <v>1</v>
      </c>
      <c r="EQ280" s="237">
        <v>70</v>
      </c>
      <c r="ER280" s="237" t="s">
        <v>705</v>
      </c>
      <c r="ES280" s="237" t="e">
        <v>#DIV/0!</v>
      </c>
      <c r="ET280" s="237">
        <v>7.179527559055118</v>
      </c>
      <c r="EU280" s="661">
        <v>1</v>
      </c>
      <c r="EV280" s="661" t="s">
        <v>678</v>
      </c>
      <c r="EW280" s="661" t="s">
        <v>678</v>
      </c>
      <c r="EX280" s="661">
        <v>5</v>
      </c>
      <c r="EY280" s="660">
        <v>7.964092140921409E-3</v>
      </c>
      <c r="EZ280" s="256">
        <v>6.2526584432156529</v>
      </c>
      <c r="FA280" s="247">
        <v>7.4710496824803879E-2</v>
      </c>
      <c r="FB280" s="208" t="s">
        <v>678</v>
      </c>
      <c r="FC280" s="208" t="s">
        <v>678</v>
      </c>
      <c r="FD280" s="208">
        <v>7</v>
      </c>
      <c r="FE280" s="239">
        <v>0.68883078072469184</v>
      </c>
      <c r="FF280" s="208">
        <v>1</v>
      </c>
      <c r="FG280" s="241">
        <v>0.32805752708255509</v>
      </c>
      <c r="FH280" s="209">
        <v>0</v>
      </c>
      <c r="FI280" s="237" t="s">
        <v>678</v>
      </c>
      <c r="FJ280" s="208">
        <v>58.1</v>
      </c>
      <c r="FK280" s="208">
        <v>19.170000000000002</v>
      </c>
      <c r="FL280" s="217">
        <v>60.4</v>
      </c>
      <c r="FM280" s="208">
        <v>4.4800000000000004</v>
      </c>
      <c r="FN280" s="208" t="s">
        <v>1640</v>
      </c>
      <c r="FP280" s="247" t="s">
        <v>693</v>
      </c>
      <c r="FU280" s="208">
        <v>51</v>
      </c>
      <c r="FV280" s="208">
        <v>77.8</v>
      </c>
      <c r="FW280" s="237">
        <v>51.55</v>
      </c>
      <c r="FX280" s="237">
        <v>29.9</v>
      </c>
      <c r="FY280" s="208">
        <v>34.35</v>
      </c>
      <c r="FZ280" s="208">
        <v>51</v>
      </c>
      <c r="GA280" s="208">
        <v>47.94</v>
      </c>
      <c r="GB280" s="208">
        <v>49.8</v>
      </c>
      <c r="GC280" s="208">
        <v>0.87</v>
      </c>
      <c r="GD280" s="208">
        <v>82.2</v>
      </c>
      <c r="GE280" s="237">
        <v>39.17</v>
      </c>
      <c r="GF280" s="237">
        <v>48.7</v>
      </c>
      <c r="GG280" s="237">
        <v>1.59</v>
      </c>
      <c r="GH280" s="237">
        <v>19.100000000000001</v>
      </c>
      <c r="GJ280" s="947"/>
      <c r="GK280" s="320"/>
      <c r="GL280" s="320"/>
      <c r="GM280" s="320"/>
      <c r="GN280" s="320"/>
      <c r="GO280" s="662">
        <v>8277</v>
      </c>
      <c r="GP280" s="663" t="str">
        <f>VLOOKUP(GS280,'BD Comarcal'!$A$6:$AV$17,48,FALSE)</f>
        <v>07</v>
      </c>
      <c r="GQ280" s="564">
        <v>1</v>
      </c>
      <c r="GR280" s="256">
        <f t="shared" si="4"/>
        <v>1</v>
      </c>
      <c r="GS280" s="237" t="s">
        <v>82</v>
      </c>
    </row>
    <row r="281" spans="1:201" s="237" customFormat="1" ht="17.25" customHeight="1">
      <c r="A281" s="236" t="s">
        <v>1641</v>
      </c>
      <c r="C281" s="238"/>
      <c r="D281" s="238">
        <v>2680</v>
      </c>
      <c r="E281" s="238">
        <v>1610</v>
      </c>
      <c r="F281" s="239">
        <v>0.60074626865671643</v>
      </c>
      <c r="G281" s="238">
        <v>511</v>
      </c>
      <c r="H281" s="240">
        <v>918.51540760938974</v>
      </c>
      <c r="I281" s="239">
        <v>0.57050646435365826</v>
      </c>
      <c r="J281" s="238">
        <v>721</v>
      </c>
      <c r="K281" s="238">
        <v>153</v>
      </c>
      <c r="L281" s="238">
        <v>12</v>
      </c>
      <c r="M281" s="241">
        <v>4.4776119402985077E-3</v>
      </c>
      <c r="N281" s="238">
        <v>35</v>
      </c>
      <c r="O281" s="239">
        <v>4.8543689320388349E-2</v>
      </c>
      <c r="P281" s="237">
        <v>44</v>
      </c>
      <c r="Q281" s="237">
        <v>2</v>
      </c>
      <c r="R281" s="239">
        <v>4.5454545454545456E-2</v>
      </c>
      <c r="S281" s="238">
        <v>7494</v>
      </c>
      <c r="T281" s="436">
        <v>768</v>
      </c>
      <c r="U281" s="436">
        <v>38</v>
      </c>
      <c r="V281" s="436">
        <v>0</v>
      </c>
      <c r="W281" s="436">
        <v>806</v>
      </c>
      <c r="X281" s="238">
        <v>6321</v>
      </c>
      <c r="Y281" s="237">
        <v>0.17460000000000001</v>
      </c>
      <c r="Z281" s="238">
        <v>102153</v>
      </c>
      <c r="AA281" s="238">
        <v>16313</v>
      </c>
      <c r="AB281" s="238">
        <v>99.67</v>
      </c>
      <c r="AC281" s="238">
        <v>3154</v>
      </c>
      <c r="AD281" s="238">
        <v>6690582.8000000007</v>
      </c>
      <c r="AE281" s="238">
        <v>772129.08000000007</v>
      </c>
      <c r="AF281" s="238">
        <v>5580003.6400000006</v>
      </c>
      <c r="AG281" s="238">
        <v>240700.9</v>
      </c>
      <c r="AH281" s="239">
        <v>4.3136333868054606E-2</v>
      </c>
      <c r="AI281" s="247">
        <v>232.54351299999999</v>
      </c>
      <c r="AJ281" s="242">
        <v>35.933790999999999</v>
      </c>
      <c r="AK281" s="242">
        <v>1.3408130970149255</v>
      </c>
      <c r="AL281" s="242">
        <v>107.993663</v>
      </c>
      <c r="AM281" s="242">
        <v>4.0296142910447763</v>
      </c>
      <c r="AN281" s="242">
        <v>50986.97</v>
      </c>
      <c r="AO281" s="238">
        <v>6341.54</v>
      </c>
      <c r="AP281" s="243">
        <v>18</v>
      </c>
      <c r="AQ281" s="238">
        <v>1</v>
      </c>
      <c r="AR281" s="238">
        <v>1449.1530189666012</v>
      </c>
      <c r="AS281" s="238">
        <v>2724.5544544480654</v>
      </c>
      <c r="AT281" s="238">
        <v>381911.66666666669</v>
      </c>
      <c r="AU281" s="238">
        <v>241.49796816411481</v>
      </c>
      <c r="AV281" s="237">
        <v>1</v>
      </c>
      <c r="AW281" s="237">
        <v>0</v>
      </c>
      <c r="AX281" s="237">
        <v>1</v>
      </c>
      <c r="AY281" s="244" t="s">
        <v>717</v>
      </c>
      <c r="AZ281" s="244" t="s">
        <v>726</v>
      </c>
      <c r="BA281" s="237">
        <v>2012</v>
      </c>
      <c r="BB281" s="245" t="s">
        <v>887</v>
      </c>
      <c r="BC281" s="215" t="s">
        <v>888</v>
      </c>
      <c r="BE281" s="237">
        <v>0</v>
      </c>
      <c r="BF281" s="237">
        <v>83</v>
      </c>
      <c r="BG281" s="246" t="s">
        <v>698</v>
      </c>
      <c r="BI281" s="239">
        <v>0.3937224669603524</v>
      </c>
      <c r="BJ281" s="239">
        <v>0.12004405286343613</v>
      </c>
      <c r="BK281" s="239">
        <v>0.43557268722466963</v>
      </c>
      <c r="BL281" s="239">
        <v>5.0660792951541848E-2</v>
      </c>
      <c r="BM281" s="247">
        <v>1.856828193832599</v>
      </c>
      <c r="BN281" s="248">
        <v>0</v>
      </c>
      <c r="BO281" s="248">
        <v>0</v>
      </c>
      <c r="BP281" s="237">
        <v>0</v>
      </c>
      <c r="BQ281" s="237">
        <v>0</v>
      </c>
      <c r="BR281" s="248">
        <v>0</v>
      </c>
      <c r="BS281" s="237">
        <v>11</v>
      </c>
      <c r="BT281" s="237" t="s">
        <v>815</v>
      </c>
      <c r="BU281" s="249" t="s">
        <v>678</v>
      </c>
      <c r="BV281" s="249" t="s">
        <v>678</v>
      </c>
      <c r="BW281" s="249" t="s">
        <v>678</v>
      </c>
      <c r="BX281" s="249" t="s">
        <v>678</v>
      </c>
      <c r="BY281" s="249" t="s">
        <v>678</v>
      </c>
      <c r="BZ281" s="249" t="s">
        <v>678</v>
      </c>
      <c r="CA281" s="249" t="s">
        <v>678</v>
      </c>
      <c r="CB281" s="249" t="s">
        <v>678</v>
      </c>
      <c r="CC281" s="250" t="s">
        <v>678</v>
      </c>
      <c r="CD281" s="242">
        <v>51</v>
      </c>
      <c r="CE281" s="252">
        <v>100.81848820414059</v>
      </c>
      <c r="CF281" s="238">
        <v>2791</v>
      </c>
      <c r="CG281" s="238">
        <v>395.8</v>
      </c>
      <c r="CH281" s="238">
        <v>6.352110415663617</v>
      </c>
      <c r="CI281" s="216" t="s">
        <v>700</v>
      </c>
      <c r="CJ281" s="237">
        <v>0</v>
      </c>
      <c r="CK281" s="253">
        <v>237.75</v>
      </c>
      <c r="CL281" s="253">
        <v>54.7104</v>
      </c>
      <c r="CM281" s="254">
        <v>2.0414328358208955E-2</v>
      </c>
      <c r="CN281" s="237" t="s">
        <v>88</v>
      </c>
      <c r="CO281" s="242">
        <v>5.03</v>
      </c>
      <c r="CP281" s="255">
        <v>1.8768656716417911E-3</v>
      </c>
      <c r="CV281" s="237">
        <v>1</v>
      </c>
      <c r="CW281" s="194">
        <v>1.1819999999999999</v>
      </c>
      <c r="CX281" s="194">
        <v>0.63500000000000001</v>
      </c>
      <c r="CY281" s="194" t="s">
        <v>680</v>
      </c>
      <c r="DB281" s="216" t="s">
        <v>681</v>
      </c>
      <c r="DC281" s="256"/>
      <c r="DD281" s="256">
        <v>0.8</v>
      </c>
      <c r="DE281" s="256">
        <v>-10</v>
      </c>
      <c r="DF281" s="256">
        <v>0.5</v>
      </c>
      <c r="DG281" s="256">
        <v>-2.2999999999999998</v>
      </c>
      <c r="DH281" s="257">
        <v>1</v>
      </c>
      <c r="DI281" s="257">
        <v>2.1</v>
      </c>
      <c r="DJ281" s="257">
        <v>0</v>
      </c>
      <c r="DK281" s="257">
        <v>2.1</v>
      </c>
      <c r="DL281" s="237" t="s">
        <v>529</v>
      </c>
      <c r="DM281" s="237" t="s">
        <v>889</v>
      </c>
      <c r="DN281" s="237" t="s">
        <v>713</v>
      </c>
      <c r="DP281" s="258" t="s">
        <v>683</v>
      </c>
      <c r="DQ281" s="258" t="s">
        <v>1178</v>
      </c>
      <c r="DR281" s="258" t="s">
        <v>1642</v>
      </c>
      <c r="DS281" s="258"/>
      <c r="DT281" s="258"/>
      <c r="DU281" s="237">
        <v>1</v>
      </c>
      <c r="DV281" s="237" t="s">
        <v>1643</v>
      </c>
      <c r="DW281" s="237" t="s">
        <v>1006</v>
      </c>
      <c r="DX281" s="247">
        <v>1.91</v>
      </c>
      <c r="DY281" s="247">
        <v>7.1268656716417911E-2</v>
      </c>
      <c r="DZ281" s="237" t="s">
        <v>1644</v>
      </c>
      <c r="EA281" s="237">
        <v>0</v>
      </c>
      <c r="ED281" s="237" t="s">
        <v>678</v>
      </c>
      <c r="EE281" s="208">
        <v>1</v>
      </c>
      <c r="EF281" s="237" t="s">
        <v>678</v>
      </c>
      <c r="EG281" s="216" t="s">
        <v>733</v>
      </c>
      <c r="EH281" s="246" t="s">
        <v>734</v>
      </c>
      <c r="EI281" s="216" t="s">
        <v>691</v>
      </c>
      <c r="EJ281" s="216" t="s">
        <v>529</v>
      </c>
      <c r="EK281" s="222" t="s">
        <v>682</v>
      </c>
      <c r="EL281" s="259">
        <v>2010</v>
      </c>
      <c r="EM281" s="263">
        <v>4400</v>
      </c>
      <c r="EN281" s="260">
        <v>249997</v>
      </c>
      <c r="EO281" s="260">
        <v>153891</v>
      </c>
      <c r="EP281" s="237">
        <v>1</v>
      </c>
      <c r="EQ281" s="237">
        <v>70</v>
      </c>
      <c r="ER281" s="237" t="s">
        <v>705</v>
      </c>
      <c r="ES281" s="237" t="e">
        <v>#DIV/0!</v>
      </c>
      <c r="ET281" s="237">
        <v>34.975227272727274</v>
      </c>
      <c r="EU281" s="661">
        <v>5</v>
      </c>
      <c r="EV281" s="661">
        <v>1</v>
      </c>
      <c r="EW281" s="661">
        <v>2</v>
      </c>
      <c r="EX281" s="661">
        <v>3</v>
      </c>
      <c r="EY281" s="660">
        <v>8.8712686567164176E-2</v>
      </c>
      <c r="EZ281" s="256">
        <v>26.20820189274448</v>
      </c>
      <c r="FA281" s="247">
        <v>6.2111801242236024E-2</v>
      </c>
      <c r="FB281" s="208">
        <v>3</v>
      </c>
      <c r="FC281" s="208">
        <v>3</v>
      </c>
      <c r="FD281" s="208">
        <v>3</v>
      </c>
      <c r="FE281" s="239">
        <v>0.31739130434782609</v>
      </c>
      <c r="FF281" s="208"/>
      <c r="FG281" s="241">
        <v>1.3043478260869566E-3</v>
      </c>
      <c r="FH281" s="209">
        <v>0</v>
      </c>
      <c r="FI281" s="237" t="s">
        <v>678</v>
      </c>
      <c r="FJ281" s="208">
        <v>51.6</v>
      </c>
      <c r="FK281" s="208">
        <v>0</v>
      </c>
      <c r="FL281" s="217">
        <v>10.199999999999999</v>
      </c>
      <c r="FM281" s="208">
        <v>7.39</v>
      </c>
      <c r="FN281" s="208" t="s">
        <v>1645</v>
      </c>
      <c r="FP281" s="247" t="s">
        <v>693</v>
      </c>
      <c r="FU281" s="208">
        <v>28</v>
      </c>
      <c r="FV281" s="208">
        <v>22.9</v>
      </c>
      <c r="FW281" s="237">
        <v>80.77</v>
      </c>
      <c r="FX281" s="237">
        <v>66.7</v>
      </c>
      <c r="FY281" s="208">
        <v>21.3</v>
      </c>
      <c r="FZ281" s="208">
        <v>35.799999999999997</v>
      </c>
      <c r="GA281" s="208">
        <v>38.380000000000003</v>
      </c>
      <c r="GB281" s="208">
        <v>34.9</v>
      </c>
      <c r="GC281" s="208">
        <v>-0.01</v>
      </c>
      <c r="GD281" s="208">
        <v>7.8</v>
      </c>
      <c r="GE281" s="237">
        <v>35.17</v>
      </c>
      <c r="GF281" s="237">
        <v>42.4</v>
      </c>
      <c r="GG281" s="237">
        <v>7.63</v>
      </c>
      <c r="GH281" s="237">
        <v>59</v>
      </c>
      <c r="GJ281" s="947">
        <v>101</v>
      </c>
      <c r="GK281" s="320">
        <v>3.1E-2</v>
      </c>
      <c r="GL281" s="320">
        <v>0.29599999999999999</v>
      </c>
      <c r="GM281" s="320">
        <v>9.8000000000000004E-2</v>
      </c>
      <c r="GN281" s="320">
        <v>0.57399999999999995</v>
      </c>
      <c r="GO281" s="662">
        <v>8278</v>
      </c>
      <c r="GP281" s="663" t="str">
        <f>VLOOKUP(GS281,'BD Comarcal'!$A$6:$AV$17,48,FALSE)</f>
        <v>24</v>
      </c>
      <c r="GQ281" s="564">
        <v>50</v>
      </c>
      <c r="GR281" s="256">
        <f t="shared" si="4"/>
        <v>1</v>
      </c>
      <c r="GS281" s="237" t="s">
        <v>88</v>
      </c>
    </row>
    <row r="282" spans="1:201" s="237" customFormat="1" ht="17.25" customHeight="1">
      <c r="A282" s="236" t="s">
        <v>967</v>
      </c>
      <c r="C282" s="238"/>
      <c r="D282" s="238">
        <v>7010</v>
      </c>
      <c r="E282" s="238">
        <v>3416</v>
      </c>
      <c r="F282" s="239">
        <v>0.48730385164051354</v>
      </c>
      <c r="G282" s="238">
        <v>2629</v>
      </c>
      <c r="H282" s="240">
        <v>1428.4998788136181</v>
      </c>
      <c r="I282" s="239">
        <v>0.41817912143255798</v>
      </c>
      <c r="J282" s="238">
        <v>417</v>
      </c>
      <c r="K282" s="238">
        <v>27</v>
      </c>
      <c r="L282" s="238">
        <v>33</v>
      </c>
      <c r="M282" s="241">
        <v>4.7075606276747502E-3</v>
      </c>
      <c r="N282" s="238">
        <v>27</v>
      </c>
      <c r="O282" s="239">
        <v>6.4748201438848921E-2</v>
      </c>
      <c r="P282" s="237">
        <v>8</v>
      </c>
      <c r="Q282" s="237">
        <v>0</v>
      </c>
      <c r="R282" s="239">
        <v>0</v>
      </c>
      <c r="S282" s="238">
        <v>549</v>
      </c>
      <c r="T282" s="436">
        <v>0</v>
      </c>
      <c r="U282" s="436">
        <v>0</v>
      </c>
      <c r="V282" s="436">
        <v>1007</v>
      </c>
      <c r="W282" s="436">
        <v>1007</v>
      </c>
      <c r="X282" s="238">
        <v>215121</v>
      </c>
      <c r="Y282" s="237">
        <v>0.15790000000000001</v>
      </c>
      <c r="Z282" s="238">
        <v>2789765</v>
      </c>
      <c r="AA282" s="238">
        <v>12963</v>
      </c>
      <c r="AB282" s="238">
        <v>79.2</v>
      </c>
      <c r="AC282" s="238">
        <v>180024</v>
      </c>
      <c r="AD282" s="238">
        <v>189367449.61000001</v>
      </c>
      <c r="AE282" s="238">
        <v>12005098.189999938</v>
      </c>
      <c r="AF282" s="238">
        <v>177916618.86000001</v>
      </c>
      <c r="AG282" s="238">
        <v>12954856.09</v>
      </c>
      <c r="AH282" s="239">
        <v>7.2814198993934265E-2</v>
      </c>
      <c r="AI282" s="247">
        <v>2088.0482299999999</v>
      </c>
      <c r="AJ282" s="242">
        <v>312.39314200000001</v>
      </c>
      <c r="AK282" s="242">
        <v>4.4563928958630532</v>
      </c>
      <c r="AL282" s="242">
        <v>225.69850299999999</v>
      </c>
      <c r="AM282" s="242">
        <v>3.2196648074179741</v>
      </c>
      <c r="AN282" s="242">
        <v>306603.52000000002</v>
      </c>
      <c r="AO282" s="238">
        <v>60888.59</v>
      </c>
      <c r="AP282" s="243">
        <v>291</v>
      </c>
      <c r="AQ282" s="238">
        <v>12</v>
      </c>
      <c r="AR282" s="238">
        <v>1097.4011728271353</v>
      </c>
      <c r="AS282" s="238">
        <v>1866.8148603578036</v>
      </c>
      <c r="AT282" s="238">
        <v>11580750.333333334</v>
      </c>
      <c r="AU282" s="238">
        <v>232.28324768817029</v>
      </c>
      <c r="AV282" s="237">
        <v>1</v>
      </c>
      <c r="AW282" s="237">
        <v>0</v>
      </c>
      <c r="AX282" s="237">
        <v>1</v>
      </c>
      <c r="AY282" s="244" t="s">
        <v>673</v>
      </c>
      <c r="AZ282" s="244" t="s">
        <v>673</v>
      </c>
      <c r="BA282" s="237">
        <v>2009</v>
      </c>
      <c r="BB282" s="245" t="s">
        <v>1646</v>
      </c>
      <c r="BC282" s="215" t="s">
        <v>1647</v>
      </c>
      <c r="BD282" s="237">
        <v>1</v>
      </c>
      <c r="BE282" s="237">
        <v>39</v>
      </c>
      <c r="BF282" s="237">
        <v>37</v>
      </c>
      <c r="BG282" s="246" t="s">
        <v>676</v>
      </c>
      <c r="BI282" s="239">
        <v>0.38004975321874213</v>
      </c>
      <c r="BJ282" s="239">
        <v>8.8007621769679648E-2</v>
      </c>
      <c r="BK282" s="239">
        <v>0.50350654334219891</v>
      </c>
      <c r="BL282" s="239">
        <v>2.8436081669379276E-2</v>
      </c>
      <c r="BM282" s="247">
        <v>1.8196710465377848</v>
      </c>
      <c r="BN282" s="248">
        <v>0</v>
      </c>
      <c r="BO282" s="248">
        <v>7</v>
      </c>
      <c r="BP282" s="237">
        <v>2</v>
      </c>
      <c r="BQ282" s="237">
        <v>2</v>
      </c>
      <c r="BR282" s="248">
        <v>11</v>
      </c>
      <c r="BS282" s="237">
        <v>0</v>
      </c>
      <c r="BT282" s="237" t="s">
        <v>947</v>
      </c>
      <c r="BU282" s="249">
        <v>21087</v>
      </c>
      <c r="BV282" s="249">
        <v>22304</v>
      </c>
      <c r="BW282" s="249">
        <v>98439</v>
      </c>
      <c r="BX282" s="249">
        <v>31956</v>
      </c>
      <c r="BY282" s="249">
        <v>9.8053986189579412</v>
      </c>
      <c r="BZ282" s="249">
        <v>10.371300365022901</v>
      </c>
      <c r="CA282" s="249">
        <v>45.773871800237146</v>
      </c>
      <c r="CB282" s="249">
        <v>14.85945455813629</v>
      </c>
      <c r="CC282" s="250">
        <v>95.932668387156767</v>
      </c>
      <c r="CD282" s="242">
        <v>-15127</v>
      </c>
      <c r="CE282" s="252">
        <v>92.965985445583684</v>
      </c>
      <c r="CF282" s="238">
        <v>101701</v>
      </c>
      <c r="CG282" s="238">
        <v>22109.3</v>
      </c>
      <c r="CH282" s="238">
        <v>10.280765385599032</v>
      </c>
      <c r="CI282" s="216" t="s">
        <v>700</v>
      </c>
      <c r="CJ282" s="237">
        <v>0</v>
      </c>
      <c r="CK282" s="253">
        <v>2195.75</v>
      </c>
      <c r="CL282" s="253">
        <v>420.13479999999998</v>
      </c>
      <c r="CM282" s="254">
        <v>5.9933637660485019E-2</v>
      </c>
      <c r="CN282" s="237" t="s">
        <v>89</v>
      </c>
      <c r="CO282" s="242">
        <v>766.01</v>
      </c>
      <c r="CP282" s="255">
        <v>0.10927389443651926</v>
      </c>
      <c r="CQ282" s="247">
        <v>138.09</v>
      </c>
      <c r="CR282" s="248" t="s">
        <v>762</v>
      </c>
      <c r="CS282" s="247">
        <v>138.09</v>
      </c>
      <c r="CV282" s="262">
        <v>60</v>
      </c>
      <c r="CW282" s="194">
        <v>1.274</v>
      </c>
      <c r="CX282" s="194">
        <v>0.63500000000000001</v>
      </c>
      <c r="CY282" s="194" t="s">
        <v>680</v>
      </c>
      <c r="CZ282" s="237" t="s">
        <v>529</v>
      </c>
      <c r="DA282" s="237" t="s">
        <v>1648</v>
      </c>
      <c r="DB282" s="216"/>
      <c r="DC282" s="195" t="s">
        <v>1380</v>
      </c>
      <c r="DD282" s="256">
        <v>0.7</v>
      </c>
      <c r="DE282" s="256">
        <v>-6.5</v>
      </c>
      <c r="DF282" s="256">
        <v>0.7</v>
      </c>
      <c r="DG282" s="256">
        <v>-2.2000000000000002</v>
      </c>
      <c r="DH282" s="257">
        <v>20</v>
      </c>
      <c r="DI282" s="257">
        <v>12.595000000000001</v>
      </c>
      <c r="DJ282" s="257">
        <v>18.190000000000001</v>
      </c>
      <c r="DK282" s="257">
        <v>30.785</v>
      </c>
      <c r="DL282" s="237" t="s">
        <v>682</v>
      </c>
      <c r="DP282" s="258" t="s">
        <v>682</v>
      </c>
      <c r="DQ282" s="258"/>
      <c r="DR282" s="258"/>
      <c r="DS282" s="258"/>
      <c r="DT282" s="258"/>
      <c r="DU282" s="237">
        <v>0</v>
      </c>
      <c r="DX282" s="247"/>
      <c r="DY282" s="247">
        <v>0</v>
      </c>
      <c r="EA282" s="237">
        <v>0</v>
      </c>
      <c r="ED282" s="237" t="s">
        <v>732</v>
      </c>
      <c r="EE282" s="208">
        <v>1</v>
      </c>
      <c r="EF282" s="237" t="s">
        <v>688</v>
      </c>
      <c r="EG282" s="216" t="s">
        <v>689</v>
      </c>
      <c r="EH282" s="246" t="s">
        <v>690</v>
      </c>
      <c r="EI282" s="216" t="s">
        <v>689</v>
      </c>
      <c r="EJ282" s="216" t="s">
        <v>529</v>
      </c>
      <c r="EK282" s="222" t="s">
        <v>529</v>
      </c>
      <c r="EL282" s="259">
        <v>2003</v>
      </c>
      <c r="EM282" s="260">
        <v>56277</v>
      </c>
      <c r="EN282" s="260">
        <v>8078112</v>
      </c>
      <c r="EO282" s="260">
        <v>3723917</v>
      </c>
      <c r="ER282" s="237" t="s">
        <v>705</v>
      </c>
      <c r="ES282" s="237">
        <v>19550.454545454544</v>
      </c>
      <c r="ET282" s="237">
        <v>66.171206709668255</v>
      </c>
      <c r="EU282" s="661">
        <v>1</v>
      </c>
      <c r="EV282" s="661">
        <v>7</v>
      </c>
      <c r="EW282" s="661">
        <v>4</v>
      </c>
      <c r="EX282" s="661">
        <v>3</v>
      </c>
      <c r="EY282" s="660">
        <v>0.31323109843081315</v>
      </c>
      <c r="EZ282" s="256">
        <v>97.941477854947053</v>
      </c>
      <c r="FA282" s="247">
        <v>1.7564402810304449</v>
      </c>
      <c r="FB282" s="208">
        <v>3</v>
      </c>
      <c r="FC282" s="208">
        <v>5</v>
      </c>
      <c r="FD282" s="208">
        <v>6</v>
      </c>
      <c r="FE282" s="239">
        <v>0.7696135831381733</v>
      </c>
      <c r="FF282" s="208"/>
      <c r="FG282" s="241">
        <v>9.0120023419203756E-3</v>
      </c>
      <c r="FH282" s="209">
        <v>4.0424473067915689E-2</v>
      </c>
      <c r="FI282" s="237" t="s">
        <v>678</v>
      </c>
      <c r="FJ282" s="208">
        <v>71</v>
      </c>
      <c r="FK282" s="208">
        <v>9.5</v>
      </c>
      <c r="FL282" s="217">
        <v>45.5</v>
      </c>
      <c r="FM282" s="208">
        <v>4.92</v>
      </c>
      <c r="FN282" s="208" t="s">
        <v>1649</v>
      </c>
      <c r="FP282" s="247" t="s">
        <v>693</v>
      </c>
      <c r="FU282" s="208">
        <v>66</v>
      </c>
      <c r="FV282" s="208">
        <v>94.6</v>
      </c>
      <c r="FW282" s="237">
        <v>81.47</v>
      </c>
      <c r="FX282" s="237">
        <v>67.7</v>
      </c>
      <c r="FY282" s="208">
        <v>21.25</v>
      </c>
      <c r="FZ282" s="208">
        <v>35.6</v>
      </c>
      <c r="GA282" s="208">
        <v>37.090000000000003</v>
      </c>
      <c r="GB282" s="208">
        <v>32.5</v>
      </c>
      <c r="GC282" s="208">
        <v>0.54</v>
      </c>
      <c r="GD282" s="208">
        <v>66.7</v>
      </c>
      <c r="GE282" s="237">
        <v>28.72</v>
      </c>
      <c r="GF282" s="237">
        <v>31.1</v>
      </c>
      <c r="GG282" s="237">
        <v>2.33</v>
      </c>
      <c r="GH282" s="237">
        <v>23.6</v>
      </c>
      <c r="GJ282" s="947">
        <v>4783</v>
      </c>
      <c r="GK282" s="320">
        <v>0</v>
      </c>
      <c r="GL282" s="320">
        <v>0.183</v>
      </c>
      <c r="GM282" s="320">
        <v>6.0999999999999999E-2</v>
      </c>
      <c r="GN282" s="320">
        <v>0.75600000000000001</v>
      </c>
      <c r="GO282" s="662">
        <v>8279</v>
      </c>
      <c r="GP282" s="663" t="str">
        <f>VLOOKUP(GS282,'BD Comarcal'!$A$6:$AV$17,48,FALSE)</f>
        <v>40</v>
      </c>
      <c r="GQ282" s="564">
        <v>1594</v>
      </c>
      <c r="GR282" s="256">
        <f t="shared" si="4"/>
        <v>1</v>
      </c>
      <c r="GS282" s="237" t="s">
        <v>89</v>
      </c>
    </row>
    <row r="283" spans="1:201" s="237" customFormat="1" ht="17.25" customHeight="1">
      <c r="A283" s="236" t="s">
        <v>1650</v>
      </c>
      <c r="C283" s="238"/>
      <c r="D283" s="238">
        <v>3217</v>
      </c>
      <c r="E283" s="238">
        <v>2570</v>
      </c>
      <c r="F283" s="239">
        <v>0.79888094497979489</v>
      </c>
      <c r="G283" s="238">
        <v>2395</v>
      </c>
      <c r="H283" s="240">
        <v>1220.5236018806249</v>
      </c>
      <c r="I283" s="239">
        <v>0.47491190734654665</v>
      </c>
      <c r="J283" s="238">
        <v>57</v>
      </c>
      <c r="K283" s="238">
        <v>329</v>
      </c>
      <c r="L283" s="238">
        <v>0</v>
      </c>
      <c r="M283" s="241">
        <v>0</v>
      </c>
      <c r="N283" s="238">
        <v>0</v>
      </c>
      <c r="O283" s="239">
        <v>0</v>
      </c>
      <c r="P283" s="237">
        <v>10</v>
      </c>
      <c r="Q283" s="237">
        <v>0</v>
      </c>
      <c r="R283" s="239">
        <v>0</v>
      </c>
      <c r="S283" s="238">
        <v>1918</v>
      </c>
      <c r="T283" s="436">
        <v>0</v>
      </c>
      <c r="U283" s="436">
        <v>38</v>
      </c>
      <c r="V283" s="436">
        <v>52</v>
      </c>
      <c r="W283" s="436">
        <v>90</v>
      </c>
      <c r="X283" s="238">
        <v>112</v>
      </c>
      <c r="Y283" s="237">
        <v>0.2</v>
      </c>
      <c r="Z283" s="238">
        <v>2190</v>
      </c>
      <c r="AA283" s="238">
        <v>17662</v>
      </c>
      <c r="AB283" s="238">
        <v>107.92</v>
      </c>
      <c r="AC283" s="238">
        <v>0</v>
      </c>
      <c r="AD283" s="238">
        <v>526130</v>
      </c>
      <c r="AE283" s="238">
        <v>219449.88</v>
      </c>
      <c r="AF283" s="238">
        <v>270575.86000000004</v>
      </c>
      <c r="AG283" s="238">
        <v>19366.61</v>
      </c>
      <c r="AH283" s="239">
        <v>7.1575527839031899E-2</v>
      </c>
      <c r="AI283" s="247">
        <v>10.202045999999999</v>
      </c>
      <c r="AJ283" s="242">
        <v>0.63032100000000002</v>
      </c>
      <c r="AK283" s="242">
        <v>1.959344109418713E-2</v>
      </c>
      <c r="AL283" s="242" t="s">
        <v>678</v>
      </c>
      <c r="AM283" s="242" t="s">
        <v>678</v>
      </c>
      <c r="AN283" s="242">
        <v>12195.41</v>
      </c>
      <c r="AO283" s="238">
        <v>0</v>
      </c>
      <c r="AP283" s="243">
        <v>0</v>
      </c>
      <c r="AQ283" s="238">
        <v>1</v>
      </c>
      <c r="AR283" s="238">
        <v>2432.2085491551461</v>
      </c>
      <c r="AS283" s="238">
        <v>1456.2485508213733</v>
      </c>
      <c r="AT283" s="238">
        <v>11972</v>
      </c>
      <c r="AU283" s="238">
        <v>474.76206634026732</v>
      </c>
      <c r="AV283" s="237">
        <v>1</v>
      </c>
      <c r="AW283" s="237">
        <v>0</v>
      </c>
      <c r="AX283" s="237">
        <v>1</v>
      </c>
      <c r="AY283" s="244" t="s">
        <v>726</v>
      </c>
      <c r="AZ283" s="244" t="s">
        <v>695</v>
      </c>
      <c r="BA283" s="237">
        <v>0</v>
      </c>
      <c r="BB283" s="245" t="s">
        <v>1175</v>
      </c>
      <c r="BC283" s="215" t="s">
        <v>1176</v>
      </c>
      <c r="BE283" s="237">
        <v>0</v>
      </c>
      <c r="BF283" s="237">
        <v>83</v>
      </c>
      <c r="BG283" s="246" t="s">
        <v>720</v>
      </c>
      <c r="BI283" s="239">
        <v>0.5115384615384615</v>
      </c>
      <c r="BJ283" s="239">
        <v>7.6923076923076927E-2</v>
      </c>
      <c r="BK283" s="239">
        <v>0.40384615384615385</v>
      </c>
      <c r="BL283" s="239">
        <v>7.6923076923076927E-3</v>
      </c>
      <c r="BM283" s="247">
        <v>2.092307692307692</v>
      </c>
      <c r="BN283" s="248">
        <v>0</v>
      </c>
      <c r="BO283" s="248">
        <v>0</v>
      </c>
      <c r="BP283" s="237">
        <v>0</v>
      </c>
      <c r="BQ283" s="237">
        <v>0</v>
      </c>
      <c r="BR283" s="248">
        <v>0</v>
      </c>
      <c r="BS283" s="237">
        <v>23</v>
      </c>
      <c r="BT283" s="237" t="s">
        <v>721</v>
      </c>
      <c r="BU283" s="249" t="s">
        <v>678</v>
      </c>
      <c r="BV283" s="249" t="s">
        <v>678</v>
      </c>
      <c r="BW283" s="249" t="s">
        <v>678</v>
      </c>
      <c r="BX283" s="249" t="s">
        <v>678</v>
      </c>
      <c r="BY283" s="249" t="s">
        <v>678</v>
      </c>
      <c r="BZ283" s="249" t="s">
        <v>678</v>
      </c>
      <c r="CA283" s="249" t="s">
        <v>678</v>
      </c>
      <c r="CB283" s="249" t="s">
        <v>678</v>
      </c>
      <c r="CC283" s="250" t="s">
        <v>678</v>
      </c>
      <c r="CD283" s="242" t="s">
        <v>678</v>
      </c>
      <c r="CE283" s="252" t="s">
        <v>678</v>
      </c>
      <c r="CF283" s="238">
        <v>138</v>
      </c>
      <c r="CG283" s="238">
        <v>6.8</v>
      </c>
      <c r="CH283" s="238">
        <v>5.3543307086614176</v>
      </c>
      <c r="CI283" s="216" t="s">
        <v>722</v>
      </c>
      <c r="CJ283" s="237">
        <v>1</v>
      </c>
      <c r="CK283" s="253">
        <v>9</v>
      </c>
      <c r="CL283" s="253">
        <v>3.4889999999999999</v>
      </c>
      <c r="CM283" s="254">
        <v>1.0845508237488342E-3</v>
      </c>
      <c r="CN283" s="237" t="s">
        <v>88</v>
      </c>
      <c r="CO283" s="242">
        <v>1145.29</v>
      </c>
      <c r="CP283" s="255">
        <v>0.3560118122474355</v>
      </c>
      <c r="CW283" s="261" t="s">
        <v>678</v>
      </c>
      <c r="CX283" s="261" t="s">
        <v>678</v>
      </c>
      <c r="CY283" s="261" t="s">
        <v>678</v>
      </c>
      <c r="DB283" s="216" t="s">
        <v>681</v>
      </c>
      <c r="DC283" s="256"/>
      <c r="DD283" s="256">
        <v>0.8</v>
      </c>
      <c r="DE283" s="256">
        <v>-9</v>
      </c>
      <c r="DF283" s="256">
        <v>-0.3</v>
      </c>
      <c r="DG283" s="256">
        <v>-2.6</v>
      </c>
      <c r="DH283" s="257">
        <v>2</v>
      </c>
      <c r="DI283" s="257">
        <v>2.1</v>
      </c>
      <c r="DJ283" s="257">
        <v>1.4</v>
      </c>
      <c r="DK283" s="257">
        <v>3.5</v>
      </c>
      <c r="DL283" s="237" t="s">
        <v>529</v>
      </c>
      <c r="DN283" s="237" t="s">
        <v>730</v>
      </c>
      <c r="DP283" s="258" t="s">
        <v>682</v>
      </c>
      <c r="DQ283" s="258"/>
      <c r="DR283" s="258"/>
      <c r="DS283" s="258"/>
      <c r="DT283" s="258"/>
      <c r="DU283" s="237">
        <v>0</v>
      </c>
      <c r="DX283" s="247"/>
      <c r="DY283" s="247">
        <v>0</v>
      </c>
      <c r="EA283" s="237">
        <v>0</v>
      </c>
      <c r="ED283" s="237" t="s">
        <v>1528</v>
      </c>
      <c r="EE283" s="208">
        <v>0</v>
      </c>
      <c r="EF283" s="237" t="s">
        <v>852</v>
      </c>
      <c r="EG283" s="216" t="s">
        <v>703</v>
      </c>
      <c r="EH283" s="246" t="s">
        <v>704</v>
      </c>
      <c r="EI283" s="216"/>
      <c r="EJ283" s="216" t="s">
        <v>529</v>
      </c>
      <c r="EK283" s="222" t="s">
        <v>682</v>
      </c>
      <c r="EL283" s="259">
        <v>2003</v>
      </c>
      <c r="EM283" s="263">
        <v>4250</v>
      </c>
      <c r="EN283" s="260">
        <v>10056</v>
      </c>
      <c r="EO283" s="260">
        <v>2696</v>
      </c>
      <c r="ER283" s="237" t="s">
        <v>705</v>
      </c>
      <c r="ES283" s="237" t="e">
        <v>#DIV/0!</v>
      </c>
      <c r="ET283" s="237">
        <v>0.63435294117647056</v>
      </c>
      <c r="EU283" s="661">
        <v>2</v>
      </c>
      <c r="EV283" s="661" t="s">
        <v>678</v>
      </c>
      <c r="EW283" s="661">
        <v>0</v>
      </c>
      <c r="EX283" s="661">
        <v>3</v>
      </c>
      <c r="EY283" s="660">
        <v>2.7976375505129004E-3</v>
      </c>
      <c r="EZ283" s="256">
        <v>14.111111111111111</v>
      </c>
      <c r="FA283" s="247">
        <v>0</v>
      </c>
      <c r="FB283" s="208">
        <v>3</v>
      </c>
      <c r="FC283" s="208">
        <v>3</v>
      </c>
      <c r="FD283" s="208">
        <v>2</v>
      </c>
      <c r="FE283" s="239">
        <v>0.93190661478599224</v>
      </c>
      <c r="FF283" s="208">
        <v>1</v>
      </c>
      <c r="FG283" s="241">
        <v>1.3618677042801556E-3</v>
      </c>
      <c r="FH283" s="209">
        <v>0</v>
      </c>
      <c r="FI283" s="237" t="s">
        <v>678</v>
      </c>
      <c r="FJ283" s="208">
        <v>57.6</v>
      </c>
      <c r="FK283" s="208">
        <v>26.49</v>
      </c>
      <c r="FL283" s="217">
        <v>68.8</v>
      </c>
      <c r="FM283" s="208">
        <v>14.8</v>
      </c>
      <c r="FN283" s="208" t="s">
        <v>1651</v>
      </c>
      <c r="FP283" s="247" t="s">
        <v>693</v>
      </c>
      <c r="FU283" s="208">
        <v>40</v>
      </c>
      <c r="FV283" s="208">
        <v>53.6</v>
      </c>
      <c r="FW283" s="237">
        <v>75.58</v>
      </c>
      <c r="FX283" s="237">
        <v>61.3</v>
      </c>
      <c r="FY283" s="208">
        <v>84.41</v>
      </c>
      <c r="FZ283" s="208">
        <v>81.3</v>
      </c>
      <c r="GA283" s="208">
        <v>73.989999999999995</v>
      </c>
      <c r="GB283" s="208">
        <v>84.2</v>
      </c>
      <c r="GC283" s="208">
        <v>0.63</v>
      </c>
      <c r="GD283" s="208">
        <v>70.3</v>
      </c>
      <c r="GE283" s="237">
        <v>60.35</v>
      </c>
      <c r="GF283" s="237">
        <v>79.2</v>
      </c>
      <c r="GG283" s="237">
        <v>5.08</v>
      </c>
      <c r="GH283" s="237">
        <v>44.3</v>
      </c>
      <c r="GJ283" s="947"/>
      <c r="GK283" s="320"/>
      <c r="GL283" s="320"/>
      <c r="GM283" s="320"/>
      <c r="GN283" s="320"/>
      <c r="GO283" s="662">
        <v>8280</v>
      </c>
      <c r="GP283" s="663" t="str">
        <f>VLOOKUP(GS283,'BD Comarcal'!$A$6:$AV$17,48,FALSE)</f>
        <v>24</v>
      </c>
      <c r="GQ283" s="564">
        <v>0</v>
      </c>
      <c r="GR283" s="256">
        <f t="shared" si="4"/>
        <v>1</v>
      </c>
      <c r="GS283" s="237" t="s">
        <v>88</v>
      </c>
    </row>
    <row r="284" spans="1:201" s="237" customFormat="1" ht="17.25" customHeight="1">
      <c r="A284" s="236" t="s">
        <v>1652</v>
      </c>
      <c r="C284" s="238"/>
      <c r="D284" s="238">
        <v>670</v>
      </c>
      <c r="E284" s="238">
        <v>369</v>
      </c>
      <c r="F284" s="239">
        <v>0.55074626865671639</v>
      </c>
      <c r="G284" s="238">
        <v>198</v>
      </c>
      <c r="H284" s="240">
        <v>0.48064323519276986</v>
      </c>
      <c r="I284" s="239">
        <v>1.3025561929343357E-3</v>
      </c>
      <c r="J284" s="238">
        <v>39</v>
      </c>
      <c r="K284" s="238">
        <v>1</v>
      </c>
      <c r="L284" s="238">
        <v>25</v>
      </c>
      <c r="M284" s="241">
        <v>3.7313432835820892E-2</v>
      </c>
      <c r="N284" s="238">
        <v>3</v>
      </c>
      <c r="O284" s="239">
        <v>7.6923076923076927E-2</v>
      </c>
      <c r="P284" s="237">
        <v>4</v>
      </c>
      <c r="Q284" s="237">
        <v>0</v>
      </c>
      <c r="R284" s="239">
        <v>0</v>
      </c>
      <c r="S284" s="238">
        <v>6</v>
      </c>
      <c r="T284" s="436">
        <v>0</v>
      </c>
      <c r="U284" s="436">
        <v>0</v>
      </c>
      <c r="V284" s="436">
        <v>0</v>
      </c>
      <c r="W284" s="436">
        <v>0</v>
      </c>
      <c r="X284" s="238">
        <v>6254</v>
      </c>
      <c r="Y284" s="237">
        <v>0.17910000000000001</v>
      </c>
      <c r="Z284" s="238">
        <v>151740</v>
      </c>
      <c r="AA284" s="238">
        <v>24325</v>
      </c>
      <c r="AB284" s="238">
        <v>148.63</v>
      </c>
      <c r="AC284" s="238">
        <v>2691</v>
      </c>
      <c r="AD284" s="238">
        <v>7604092.5899999989</v>
      </c>
      <c r="AE284" s="238">
        <v>1260731.6200000001</v>
      </c>
      <c r="AF284" s="238">
        <v>6134443.1399999997</v>
      </c>
      <c r="AG284" s="238">
        <v>495164.55</v>
      </c>
      <c r="AH284" s="239">
        <v>8.0718744749829083E-2</v>
      </c>
      <c r="AI284" s="247">
        <v>158.542464</v>
      </c>
      <c r="AJ284" s="242">
        <v>25.467313000000001</v>
      </c>
      <c r="AK284" s="242">
        <v>3.8010914925373132</v>
      </c>
      <c r="AL284" s="242">
        <v>98.043448999999995</v>
      </c>
      <c r="AM284" s="242">
        <v>14.633350597014925</v>
      </c>
      <c r="AN284" s="242">
        <v>16742.36</v>
      </c>
      <c r="AO284" s="238">
        <v>1229.6199999999999</v>
      </c>
      <c r="AP284" s="243">
        <v>2</v>
      </c>
      <c r="AQ284" s="238">
        <v>1</v>
      </c>
      <c r="AR284" s="238">
        <v>1560.8465782063915</v>
      </c>
      <c r="AS284" s="238">
        <v>3012.1412662631124</v>
      </c>
      <c r="AT284" s="238">
        <v>469951.33333333331</v>
      </c>
      <c r="AU284" s="238">
        <v>349.78366882275537</v>
      </c>
      <c r="AV284" s="237">
        <v>1</v>
      </c>
      <c r="AW284" s="237">
        <v>1</v>
      </c>
      <c r="AX284" s="237">
        <v>1</v>
      </c>
      <c r="AY284" s="244" t="s">
        <v>717</v>
      </c>
      <c r="AZ284" s="244" t="s">
        <v>682</v>
      </c>
      <c r="BA284" s="237">
        <v>2012</v>
      </c>
      <c r="BB284" s="245" t="s">
        <v>1653</v>
      </c>
      <c r="BC284" s="215" t="s">
        <v>1654</v>
      </c>
      <c r="BE284" s="237">
        <v>403</v>
      </c>
      <c r="BF284" s="237">
        <v>2</v>
      </c>
      <c r="BG284" s="246" t="s">
        <v>676</v>
      </c>
      <c r="BI284" s="239">
        <v>0.34504695546803998</v>
      </c>
      <c r="BJ284" s="239">
        <v>0.17994547106937292</v>
      </c>
      <c r="BK284" s="239">
        <v>0.41593456528324751</v>
      </c>
      <c r="BL284" s="239">
        <v>5.9073008179339595E-2</v>
      </c>
      <c r="BM284" s="247">
        <v>1.8109663738261135</v>
      </c>
      <c r="BN284" s="248">
        <v>1</v>
      </c>
      <c r="BO284" s="248">
        <v>0</v>
      </c>
      <c r="BP284" s="237">
        <v>0</v>
      </c>
      <c r="BQ284" s="237">
        <v>0</v>
      </c>
      <c r="BR284" s="248">
        <v>1</v>
      </c>
      <c r="BU284" s="249" t="s">
        <v>678</v>
      </c>
      <c r="BV284" s="249">
        <v>427</v>
      </c>
      <c r="BW284" s="249">
        <v>2821</v>
      </c>
      <c r="BX284" s="249">
        <v>1433</v>
      </c>
      <c r="BY284" s="249" t="s">
        <v>678</v>
      </c>
      <c r="BZ284" s="249">
        <v>6.949869791666667</v>
      </c>
      <c r="CA284" s="249">
        <v>45.914713541666664</v>
      </c>
      <c r="CB284" s="249">
        <v>23.323567708333332</v>
      </c>
      <c r="CC284" s="250" t="s">
        <v>678</v>
      </c>
      <c r="CD284" s="242">
        <v>-487</v>
      </c>
      <c r="CE284" s="252">
        <v>92.073567708333329</v>
      </c>
      <c r="CF284" s="238">
        <v>2478</v>
      </c>
      <c r="CG284" s="238">
        <v>293.2</v>
      </c>
      <c r="CH284" s="238">
        <v>4.772135416666667</v>
      </c>
      <c r="CI284" s="216" t="s">
        <v>679</v>
      </c>
      <c r="CJ284" s="237">
        <v>0</v>
      </c>
      <c r="CK284" s="253">
        <v>136.6</v>
      </c>
      <c r="CL284" s="253">
        <v>33.033799999999999</v>
      </c>
      <c r="CM284" s="254">
        <v>4.9304179104477611E-2</v>
      </c>
      <c r="CN284" s="237" t="s">
        <v>86</v>
      </c>
      <c r="CO284" s="242">
        <v>194.31</v>
      </c>
      <c r="CP284" s="255">
        <v>0.29001492537313434</v>
      </c>
      <c r="CV284" s="237">
        <v>3</v>
      </c>
      <c r="CW284" s="194">
        <v>1.21</v>
      </c>
      <c r="CX284" s="194">
        <v>0.63500000000000001</v>
      </c>
      <c r="CY284" s="194" t="s">
        <v>680</v>
      </c>
      <c r="DB284" s="216" t="s">
        <v>710</v>
      </c>
      <c r="DC284" s="195" t="s">
        <v>711</v>
      </c>
      <c r="DD284" s="256">
        <v>0.7</v>
      </c>
      <c r="DE284" s="256">
        <v>-6.5</v>
      </c>
      <c r="DF284" s="256">
        <v>0.7</v>
      </c>
      <c r="DG284" s="256">
        <v>-2.2000000000000002</v>
      </c>
      <c r="DH284" s="257">
        <v>3</v>
      </c>
      <c r="DI284" s="257">
        <v>0.53</v>
      </c>
      <c r="DJ284" s="257">
        <v>7.92</v>
      </c>
      <c r="DK284" s="257">
        <v>8.4499999999999993</v>
      </c>
      <c r="DL284" s="237" t="s">
        <v>529</v>
      </c>
      <c r="DM284" s="237" t="s">
        <v>764</v>
      </c>
      <c r="DN284" s="237" t="s">
        <v>713</v>
      </c>
      <c r="DP284" s="258" t="s">
        <v>682</v>
      </c>
      <c r="DQ284" s="258"/>
      <c r="DR284" s="258"/>
      <c r="DS284" s="258"/>
      <c r="DT284" s="258"/>
      <c r="DU284" s="237">
        <v>0</v>
      </c>
      <c r="DX284" s="247"/>
      <c r="DY284" s="247">
        <v>0</v>
      </c>
      <c r="EA284" s="237">
        <v>1</v>
      </c>
      <c r="EB284" s="237" t="s">
        <v>714</v>
      </c>
      <c r="ED284" s="237" t="s">
        <v>678</v>
      </c>
      <c r="EE284" s="208">
        <v>3</v>
      </c>
      <c r="EF284" s="237" t="s">
        <v>678</v>
      </c>
      <c r="EG284" s="216" t="s">
        <v>715</v>
      </c>
      <c r="EH284" s="246" t="s">
        <v>690</v>
      </c>
      <c r="EI284" s="216"/>
      <c r="EJ284" s="216" t="s">
        <v>529</v>
      </c>
      <c r="EK284" s="222" t="s">
        <v>682</v>
      </c>
      <c r="EL284" s="259">
        <v>1990</v>
      </c>
      <c r="EM284" s="263">
        <v>4000</v>
      </c>
      <c r="EN284" s="260">
        <v>354926</v>
      </c>
      <c r="EO284" s="260">
        <v>133727</v>
      </c>
      <c r="ER284" s="237" t="s">
        <v>705</v>
      </c>
      <c r="ES284" s="237">
        <v>6144</v>
      </c>
      <c r="ET284" s="237">
        <v>33.431750000000001</v>
      </c>
      <c r="EU284" s="661">
        <v>3</v>
      </c>
      <c r="EV284" s="661">
        <v>3</v>
      </c>
      <c r="EW284" s="661">
        <v>5</v>
      </c>
      <c r="EX284" s="661">
        <v>7</v>
      </c>
      <c r="EY284" s="660">
        <v>0.20388059701492536</v>
      </c>
      <c r="EZ284" s="256">
        <v>44.978038067349928</v>
      </c>
      <c r="FA284" s="247">
        <v>0.81300813008130079</v>
      </c>
      <c r="FB284" s="208">
        <v>2</v>
      </c>
      <c r="FC284" s="208">
        <v>6</v>
      </c>
      <c r="FD284" s="208">
        <v>5</v>
      </c>
      <c r="FE284" s="239">
        <v>0.53658536585365857</v>
      </c>
      <c r="FF284" s="208"/>
      <c r="FG284" s="241">
        <v>2.289972899728997E-2</v>
      </c>
      <c r="FH284" s="209">
        <v>0</v>
      </c>
      <c r="FI284" s="237" t="s">
        <v>678</v>
      </c>
      <c r="FJ284" s="208" t="s">
        <v>678</v>
      </c>
      <c r="FK284" s="208" t="s">
        <v>678</v>
      </c>
      <c r="FL284" s="217" t="s">
        <v>678</v>
      </c>
      <c r="FM284" s="208" t="s">
        <v>678</v>
      </c>
      <c r="FN284" s="208" t="s">
        <v>678</v>
      </c>
      <c r="FP284" s="247" t="s">
        <v>693</v>
      </c>
      <c r="FU284" s="208" t="s">
        <v>678</v>
      </c>
      <c r="FV284" s="208" t="s">
        <v>678</v>
      </c>
      <c r="FW284" s="208" t="s">
        <v>678</v>
      </c>
      <c r="FX284" s="208" t="s">
        <v>678</v>
      </c>
      <c r="FY284" s="208" t="s">
        <v>678</v>
      </c>
      <c r="FZ284" s="208" t="s">
        <v>678</v>
      </c>
      <c r="GA284" s="208" t="s">
        <v>678</v>
      </c>
      <c r="GB284" s="208" t="s">
        <v>678</v>
      </c>
      <c r="GC284" s="208" t="s">
        <v>678</v>
      </c>
      <c r="GD284" s="208" t="s">
        <v>678</v>
      </c>
      <c r="GE284" s="237" t="s">
        <v>678</v>
      </c>
      <c r="GF284" s="237" t="s">
        <v>678</v>
      </c>
      <c r="GG284" s="237" t="s">
        <v>678</v>
      </c>
      <c r="GH284" s="237" t="s">
        <v>678</v>
      </c>
      <c r="GJ284" s="947">
        <v>118</v>
      </c>
      <c r="GK284" s="320">
        <v>1.0999999999999999E-2</v>
      </c>
      <c r="GL284" s="320">
        <v>0.11</v>
      </c>
      <c r="GM284" s="320">
        <v>6.2E-2</v>
      </c>
      <c r="GN284" s="320">
        <v>0.81699999999999995</v>
      </c>
      <c r="GO284" s="662">
        <v>8281</v>
      </c>
      <c r="GP284" s="663" t="str">
        <f>VLOOKUP(GS284,'BD Comarcal'!$A$6:$AV$17,48,FALSE)</f>
        <v>21</v>
      </c>
      <c r="GQ284" s="564">
        <v>52</v>
      </c>
      <c r="GR284" s="256">
        <f t="shared" si="4"/>
        <v>1</v>
      </c>
      <c r="GS284" s="237" t="s">
        <v>86</v>
      </c>
    </row>
    <row r="285" spans="1:201" s="237" customFormat="1" ht="17.25" customHeight="1">
      <c r="A285" s="236" t="s">
        <v>1655</v>
      </c>
      <c r="C285" s="238"/>
      <c r="D285" s="238">
        <v>790</v>
      </c>
      <c r="E285" s="238">
        <v>464</v>
      </c>
      <c r="F285" s="239">
        <v>0.58734177215189876</v>
      </c>
      <c r="G285" s="238">
        <v>237</v>
      </c>
      <c r="H285" s="240">
        <v>62.249042304726729</v>
      </c>
      <c r="I285" s="239">
        <v>0.13415741876018691</v>
      </c>
      <c r="J285" s="238">
        <v>53</v>
      </c>
      <c r="K285" s="238">
        <v>33</v>
      </c>
      <c r="L285" s="238">
        <v>33</v>
      </c>
      <c r="M285" s="241">
        <v>4.1772151898734178E-2</v>
      </c>
      <c r="N285" s="238">
        <v>5</v>
      </c>
      <c r="O285" s="239">
        <v>9.4339622641509441E-2</v>
      </c>
      <c r="P285" s="237">
        <v>1</v>
      </c>
      <c r="Q285" s="237">
        <v>0</v>
      </c>
      <c r="R285" s="239">
        <v>0</v>
      </c>
      <c r="S285" s="238">
        <v>2</v>
      </c>
      <c r="T285" s="436">
        <v>0</v>
      </c>
      <c r="U285" s="436">
        <v>10</v>
      </c>
      <c r="V285" s="436">
        <v>0</v>
      </c>
      <c r="W285" s="436">
        <v>10</v>
      </c>
      <c r="X285" s="238">
        <v>8553</v>
      </c>
      <c r="Y285" s="237">
        <v>0.14069999999999999</v>
      </c>
      <c r="Z285" s="238">
        <v>171904</v>
      </c>
      <c r="AA285" s="238">
        <v>20438</v>
      </c>
      <c r="AB285" s="238">
        <v>124.88</v>
      </c>
      <c r="AC285" s="238">
        <v>3606</v>
      </c>
      <c r="AD285" s="238">
        <v>10133293.49</v>
      </c>
      <c r="AE285" s="238">
        <v>2397707.42</v>
      </c>
      <c r="AF285" s="238">
        <v>8564513.75</v>
      </c>
      <c r="AG285" s="238">
        <v>642462.52</v>
      </c>
      <c r="AH285" s="239">
        <v>7.501447703321161E-2</v>
      </c>
      <c r="AI285" s="247">
        <v>145.740227</v>
      </c>
      <c r="AJ285" s="242">
        <v>376.702245</v>
      </c>
      <c r="AK285" s="242">
        <v>47.683828481012661</v>
      </c>
      <c r="AL285" s="242">
        <v>34.438299999999998</v>
      </c>
      <c r="AM285" s="242">
        <v>4.3592784810126579</v>
      </c>
      <c r="AN285" s="242">
        <v>21767.68</v>
      </c>
      <c r="AO285" s="238">
        <v>2642.53</v>
      </c>
      <c r="AP285" s="243">
        <v>7</v>
      </c>
      <c r="AQ285" s="238"/>
      <c r="AR285" s="238">
        <v>1367.6860992833242</v>
      </c>
      <c r="AS285" s="238">
        <v>2591.8457451942745</v>
      </c>
      <c r="AT285" s="238">
        <v>539753.66666666663</v>
      </c>
      <c r="AU285" s="238">
        <v>323.83416591625621</v>
      </c>
      <c r="AV285" s="237">
        <v>1</v>
      </c>
      <c r="AW285" s="237">
        <v>1</v>
      </c>
      <c r="AX285" s="237">
        <v>1</v>
      </c>
      <c r="AY285" s="244" t="s">
        <v>717</v>
      </c>
      <c r="AZ285" s="244" t="s">
        <v>682</v>
      </c>
      <c r="BA285" s="237">
        <v>2009</v>
      </c>
      <c r="BB285" s="245" t="s">
        <v>708</v>
      </c>
      <c r="BC285" s="215" t="s">
        <v>709</v>
      </c>
      <c r="BE285" s="237">
        <v>403</v>
      </c>
      <c r="BF285" s="237">
        <v>2</v>
      </c>
      <c r="BG285" s="246" t="s">
        <v>676</v>
      </c>
      <c r="BI285" s="239">
        <v>0.28837744533947063</v>
      </c>
      <c r="BJ285" s="239">
        <v>0.18388952819332566</v>
      </c>
      <c r="BK285" s="239">
        <v>0.5070195627157652</v>
      </c>
      <c r="BL285" s="239">
        <v>2.0713463751438434E-2</v>
      </c>
      <c r="BM285" s="247">
        <v>1.7399309551208284</v>
      </c>
      <c r="BN285" s="248">
        <v>0</v>
      </c>
      <c r="BO285" s="248">
        <v>0</v>
      </c>
      <c r="BP285" s="237">
        <v>0</v>
      </c>
      <c r="BQ285" s="237">
        <v>0</v>
      </c>
      <c r="BR285" s="248">
        <v>0</v>
      </c>
      <c r="BS285" s="237">
        <v>5</v>
      </c>
      <c r="BT285" s="237" t="s">
        <v>335</v>
      </c>
      <c r="BU285" s="249">
        <v>370</v>
      </c>
      <c r="BV285" s="249">
        <v>414</v>
      </c>
      <c r="BW285" s="249">
        <v>3695</v>
      </c>
      <c r="BX285" s="249">
        <v>2009</v>
      </c>
      <c r="BY285" s="249">
        <v>4.5006690183675948</v>
      </c>
      <c r="BZ285" s="249">
        <v>5.0358837124437414</v>
      </c>
      <c r="CA285" s="249">
        <v>44.945870332076389</v>
      </c>
      <c r="CB285" s="249">
        <v>24.43741637270405</v>
      </c>
      <c r="CC285" s="250">
        <v>68.519644812066659</v>
      </c>
      <c r="CD285" s="242">
        <v>-1024</v>
      </c>
      <c r="CE285" s="252">
        <v>87.544094392409676</v>
      </c>
      <c r="CF285" s="238">
        <v>3096</v>
      </c>
      <c r="CG285" s="238">
        <v>403.8</v>
      </c>
      <c r="CH285" s="238">
        <v>4.9118112151806352</v>
      </c>
      <c r="CI285" s="216" t="s">
        <v>679</v>
      </c>
      <c r="CJ285" s="237">
        <v>0</v>
      </c>
      <c r="CK285" s="253">
        <v>100.74</v>
      </c>
      <c r="CL285" s="253">
        <v>90.672899999999998</v>
      </c>
      <c r="CM285" s="254">
        <v>0.11477582278481012</v>
      </c>
      <c r="CN285" s="237" t="s">
        <v>86</v>
      </c>
      <c r="CO285" s="242">
        <v>269.81</v>
      </c>
      <c r="CP285" s="255">
        <v>0.34153164556962023</v>
      </c>
      <c r="CW285" s="194">
        <v>1.4610000000000001</v>
      </c>
      <c r="CX285" s="194">
        <v>0.63500000000000001</v>
      </c>
      <c r="CY285" s="194">
        <v>2.4E-2</v>
      </c>
      <c r="CZ285" s="237" t="s">
        <v>529</v>
      </c>
      <c r="DA285" s="237" t="s">
        <v>1656</v>
      </c>
      <c r="DB285" s="216" t="s">
        <v>710</v>
      </c>
      <c r="DC285" s="195" t="s">
        <v>711</v>
      </c>
      <c r="DD285" s="256">
        <v>0.7</v>
      </c>
      <c r="DE285" s="256">
        <v>-6.5</v>
      </c>
      <c r="DF285" s="256">
        <v>0.7</v>
      </c>
      <c r="DG285" s="256">
        <v>-2.2000000000000002</v>
      </c>
      <c r="DH285" s="257">
        <v>5</v>
      </c>
      <c r="DI285" s="257">
        <v>4.8499999999999996</v>
      </c>
      <c r="DJ285" s="257">
        <v>10.99</v>
      </c>
      <c r="DK285" s="257">
        <v>15.84</v>
      </c>
      <c r="DL285" s="237" t="s">
        <v>529</v>
      </c>
      <c r="DM285" s="237" t="s">
        <v>764</v>
      </c>
      <c r="DN285" s="237" t="s">
        <v>713</v>
      </c>
      <c r="DP285" s="258" t="s">
        <v>682</v>
      </c>
      <c r="DQ285" s="258"/>
      <c r="DR285" s="258"/>
      <c r="DS285" s="258"/>
      <c r="DT285" s="258"/>
      <c r="DU285" s="237">
        <v>0</v>
      </c>
      <c r="DX285" s="247"/>
      <c r="DY285" s="247">
        <v>0</v>
      </c>
      <c r="EA285" s="237">
        <v>1</v>
      </c>
      <c r="EB285" s="237" t="s">
        <v>714</v>
      </c>
      <c r="EC285" s="237">
        <v>1</v>
      </c>
      <c r="ED285" s="237" t="s">
        <v>678</v>
      </c>
      <c r="EE285" s="208">
        <v>3</v>
      </c>
      <c r="EF285" s="237" t="s">
        <v>678</v>
      </c>
      <c r="EG285" s="216" t="s">
        <v>715</v>
      </c>
      <c r="EH285" s="246" t="s">
        <v>690</v>
      </c>
      <c r="EI285" s="216"/>
      <c r="EJ285" s="216" t="s">
        <v>529</v>
      </c>
      <c r="EK285" s="222" t="s">
        <v>682</v>
      </c>
      <c r="EL285" s="259">
        <v>1976</v>
      </c>
      <c r="EM285" s="260">
        <v>279095</v>
      </c>
      <c r="EN285" s="260">
        <v>441112</v>
      </c>
      <c r="EO285" s="260">
        <v>111697</v>
      </c>
      <c r="ER285" s="237" t="s">
        <v>692</v>
      </c>
      <c r="ES285" s="237" t="e">
        <v>#DIV/0!</v>
      </c>
      <c r="ET285" s="237">
        <v>0.4002113975528046</v>
      </c>
      <c r="EU285" s="661">
        <v>3</v>
      </c>
      <c r="EV285" s="661">
        <v>1</v>
      </c>
      <c r="EW285" s="661">
        <v>5</v>
      </c>
      <c r="EX285" s="661">
        <v>6</v>
      </c>
      <c r="EY285" s="660">
        <v>0.12751898734177214</v>
      </c>
      <c r="EZ285" s="256">
        <v>81.606114750843759</v>
      </c>
      <c r="FA285" s="247">
        <v>0</v>
      </c>
      <c r="FB285" s="208">
        <v>4</v>
      </c>
      <c r="FC285" s="208">
        <v>4</v>
      </c>
      <c r="FD285" s="208">
        <v>5</v>
      </c>
      <c r="FE285" s="239">
        <v>0.51077586206896552</v>
      </c>
      <c r="FF285" s="208"/>
      <c r="FG285" s="241">
        <v>3.413793103448276E-2</v>
      </c>
      <c r="FH285" s="209">
        <v>0</v>
      </c>
      <c r="FI285" s="237" t="s">
        <v>678</v>
      </c>
      <c r="FJ285" s="208">
        <v>28.6</v>
      </c>
      <c r="FK285" s="208">
        <v>4.32</v>
      </c>
      <c r="FL285" s="217">
        <v>37.200000000000003</v>
      </c>
      <c r="FM285" s="208">
        <v>0.59</v>
      </c>
      <c r="FN285" s="208" t="s">
        <v>1657</v>
      </c>
      <c r="FP285" s="247" t="s">
        <v>693</v>
      </c>
      <c r="FU285" s="208">
        <v>15</v>
      </c>
      <c r="FV285" s="208">
        <v>1.7</v>
      </c>
      <c r="FW285" s="237">
        <v>11.82</v>
      </c>
      <c r="FX285" s="237">
        <v>6.1</v>
      </c>
      <c r="FY285" s="208">
        <v>0.69</v>
      </c>
      <c r="FZ285" s="208">
        <v>0.5</v>
      </c>
      <c r="GA285" s="208">
        <v>11.24</v>
      </c>
      <c r="GB285" s="208">
        <v>1.4</v>
      </c>
      <c r="GC285" s="208">
        <v>-0.64</v>
      </c>
      <c r="GD285" s="208">
        <v>0.8</v>
      </c>
      <c r="GE285" s="237">
        <v>7.83</v>
      </c>
      <c r="GF285" s="237">
        <v>1.6</v>
      </c>
      <c r="GG285" s="237">
        <v>1.1200000000000001</v>
      </c>
      <c r="GH285" s="237">
        <v>15.6</v>
      </c>
      <c r="GJ285" s="947">
        <v>93</v>
      </c>
      <c r="GK285" s="320">
        <v>1.2999999999999999E-2</v>
      </c>
      <c r="GL285" s="320">
        <v>4.2000000000000003E-2</v>
      </c>
      <c r="GM285" s="320">
        <v>6.2E-2</v>
      </c>
      <c r="GN285" s="320">
        <v>0.88300000000000001</v>
      </c>
      <c r="GO285" s="662">
        <v>8282</v>
      </c>
      <c r="GP285" s="663" t="str">
        <f>VLOOKUP(GS285,'BD Comarcal'!$A$6:$AV$17,48,FALSE)</f>
        <v>21</v>
      </c>
      <c r="GQ285" s="564">
        <v>45</v>
      </c>
      <c r="GR285" s="256">
        <f t="shared" si="4"/>
        <v>1</v>
      </c>
      <c r="GS285" s="237" t="s">
        <v>86</v>
      </c>
    </row>
    <row r="286" spans="1:201" s="237" customFormat="1" ht="16.5" customHeight="1">
      <c r="A286" s="236" t="s">
        <v>1658</v>
      </c>
      <c r="C286" s="238"/>
      <c r="D286" s="238">
        <v>1650</v>
      </c>
      <c r="E286" s="238">
        <v>565</v>
      </c>
      <c r="F286" s="239">
        <v>0.34242424242424241</v>
      </c>
      <c r="G286" s="238">
        <v>491</v>
      </c>
      <c r="H286" s="240">
        <v>65.364128914377687</v>
      </c>
      <c r="I286" s="239">
        <v>0.1156887237422614</v>
      </c>
      <c r="J286" s="238">
        <v>536</v>
      </c>
      <c r="K286" s="238">
        <v>81</v>
      </c>
      <c r="L286" s="238">
        <v>8</v>
      </c>
      <c r="M286" s="241">
        <v>4.8484848484848485E-3</v>
      </c>
      <c r="N286" s="238">
        <v>0</v>
      </c>
      <c r="O286" s="239">
        <v>0</v>
      </c>
      <c r="P286" s="237">
        <v>31</v>
      </c>
      <c r="Q286" s="237">
        <v>0</v>
      </c>
      <c r="R286" s="239">
        <v>0</v>
      </c>
      <c r="S286" s="238">
        <v>4289</v>
      </c>
      <c r="T286" s="436">
        <v>0</v>
      </c>
      <c r="U286" s="436">
        <v>0</v>
      </c>
      <c r="V286" s="436">
        <v>101</v>
      </c>
      <c r="W286" s="436">
        <v>101</v>
      </c>
      <c r="X286" s="238">
        <v>7951</v>
      </c>
      <c r="Y286" s="237">
        <v>0.1686</v>
      </c>
      <c r="Z286" s="238">
        <v>130729</v>
      </c>
      <c r="AA286" s="238">
        <v>16298</v>
      </c>
      <c r="AB286" s="238">
        <v>99.58</v>
      </c>
      <c r="AC286" s="238">
        <v>2037</v>
      </c>
      <c r="AD286" s="238">
        <v>8582909.8900000006</v>
      </c>
      <c r="AE286" s="238">
        <v>944818.97000000067</v>
      </c>
      <c r="AF286" s="238">
        <v>6633522</v>
      </c>
      <c r="AG286" s="238">
        <v>300433.73</v>
      </c>
      <c r="AH286" s="239">
        <v>4.529022893117713E-2</v>
      </c>
      <c r="AI286" s="247">
        <v>209.90002799999999</v>
      </c>
      <c r="AJ286" s="242">
        <v>26.588280000000001</v>
      </c>
      <c r="AK286" s="242">
        <v>1.611410909090909</v>
      </c>
      <c r="AL286" s="242" t="s">
        <v>678</v>
      </c>
      <c r="AM286" s="242" t="s">
        <v>678</v>
      </c>
      <c r="AN286" s="242">
        <v>13942.85</v>
      </c>
      <c r="AO286" s="238">
        <v>4590.18</v>
      </c>
      <c r="AP286" s="243">
        <v>12</v>
      </c>
      <c r="AQ286" s="238">
        <v>1</v>
      </c>
      <c r="AR286" s="238">
        <v>1220.0079009597255</v>
      </c>
      <c r="AS286" s="238">
        <v>3414.3473216907773</v>
      </c>
      <c r="AT286" s="238">
        <v>439211</v>
      </c>
      <c r="AU286" s="238">
        <v>233.94997161597718</v>
      </c>
      <c r="AV286" s="237">
        <v>1</v>
      </c>
      <c r="AW286" s="237">
        <v>0</v>
      </c>
      <c r="AX286" s="237">
        <v>1</v>
      </c>
      <c r="AY286" s="244" t="s">
        <v>717</v>
      </c>
      <c r="AZ286" s="244" t="s">
        <v>695</v>
      </c>
      <c r="BA286" s="237">
        <v>2013</v>
      </c>
      <c r="BB286" s="245" t="s">
        <v>1172</v>
      </c>
      <c r="BC286" s="215" t="s">
        <v>1173</v>
      </c>
      <c r="BE286" s="237">
        <v>0</v>
      </c>
      <c r="BF286" s="237">
        <v>83</v>
      </c>
      <c r="BG286" s="246" t="s">
        <v>720</v>
      </c>
      <c r="BI286" s="239">
        <v>0.36340408805031449</v>
      </c>
      <c r="BJ286" s="239">
        <v>9.8466981132075471E-2</v>
      </c>
      <c r="BK286" s="239">
        <v>0.51474056603773588</v>
      </c>
      <c r="BL286" s="239">
        <v>2.3388364779874212E-2</v>
      </c>
      <c r="BM286" s="247">
        <v>1.8018867924528306</v>
      </c>
      <c r="BN286" s="248">
        <v>0</v>
      </c>
      <c r="BO286" s="248">
        <v>1</v>
      </c>
      <c r="BP286" s="237">
        <v>0</v>
      </c>
      <c r="BQ286" s="237">
        <v>0</v>
      </c>
      <c r="BR286" s="248">
        <v>1</v>
      </c>
      <c r="BS286" s="237">
        <v>10</v>
      </c>
      <c r="BT286" s="237" t="s">
        <v>815</v>
      </c>
      <c r="BU286" s="249" t="s">
        <v>678</v>
      </c>
      <c r="BV286" s="249">
        <v>984</v>
      </c>
      <c r="BW286" s="249">
        <v>3808</v>
      </c>
      <c r="BX286" s="249" t="s">
        <v>678</v>
      </c>
      <c r="BY286" s="249" t="s">
        <v>678</v>
      </c>
      <c r="BZ286" s="249">
        <v>12.170686456400743</v>
      </c>
      <c r="CA286" s="249">
        <v>47.099567099567096</v>
      </c>
      <c r="CB286" s="249" t="s">
        <v>678</v>
      </c>
      <c r="CC286" s="250" t="s">
        <v>678</v>
      </c>
      <c r="CD286" s="242" t="s">
        <v>678</v>
      </c>
      <c r="CE286" s="252" t="s">
        <v>678</v>
      </c>
      <c r="CF286" s="238">
        <v>3599</v>
      </c>
      <c r="CG286" s="238">
        <v>556</v>
      </c>
      <c r="CH286" s="238">
        <v>6.8769325912183055</v>
      </c>
      <c r="CI286" s="216" t="s">
        <v>700</v>
      </c>
      <c r="CJ286" s="237">
        <v>0</v>
      </c>
      <c r="CK286" s="253">
        <v>212.88</v>
      </c>
      <c r="CL286" s="253">
        <v>35.633299999999998</v>
      </c>
      <c r="CM286" s="254">
        <v>2.1595939393939393E-2</v>
      </c>
      <c r="CN286" s="237" t="s">
        <v>88</v>
      </c>
      <c r="CO286" s="242">
        <v>136.83000000000001</v>
      </c>
      <c r="CP286" s="255">
        <v>8.2927272727272738E-2</v>
      </c>
      <c r="CV286" s="237">
        <v>6</v>
      </c>
      <c r="CW286" s="194">
        <v>1.0629999999999999</v>
      </c>
      <c r="CX286" s="194">
        <v>0.63500000000000001</v>
      </c>
      <c r="CY286" s="194">
        <v>0.16</v>
      </c>
      <c r="DB286" s="216" t="s">
        <v>681</v>
      </c>
      <c r="DC286" s="256"/>
      <c r="DD286" s="256">
        <v>0.8</v>
      </c>
      <c r="DE286" s="256">
        <v>-9</v>
      </c>
      <c r="DF286" s="256">
        <v>-0.3</v>
      </c>
      <c r="DG286" s="256">
        <v>-2.6</v>
      </c>
      <c r="DL286" s="237" t="s">
        <v>529</v>
      </c>
      <c r="DM286" s="237" t="s">
        <v>1174</v>
      </c>
      <c r="DN286" s="237" t="s">
        <v>713</v>
      </c>
      <c r="DP286" s="258" t="s">
        <v>682</v>
      </c>
      <c r="DQ286" s="258"/>
      <c r="DR286" s="258"/>
      <c r="DS286" s="258"/>
      <c r="DT286" s="258"/>
      <c r="DU286" s="237">
        <v>0</v>
      </c>
      <c r="DX286" s="247"/>
      <c r="DY286" s="247">
        <v>0</v>
      </c>
      <c r="EA286" s="237">
        <v>0</v>
      </c>
      <c r="ED286" s="237" t="s">
        <v>1035</v>
      </c>
      <c r="EE286" s="208">
        <v>1</v>
      </c>
      <c r="EF286" s="237" t="s">
        <v>852</v>
      </c>
      <c r="EG286" s="216" t="s">
        <v>703</v>
      </c>
      <c r="EH286" s="246" t="s">
        <v>704</v>
      </c>
      <c r="EI286" s="216"/>
      <c r="EJ286" s="216" t="s">
        <v>529</v>
      </c>
      <c r="EK286" s="222" t="s">
        <v>682</v>
      </c>
      <c r="EL286" s="259">
        <v>2011</v>
      </c>
      <c r="EM286" s="263">
        <v>3330</v>
      </c>
      <c r="EN286" s="260">
        <v>303786</v>
      </c>
      <c r="EO286" s="260">
        <v>150276</v>
      </c>
      <c r="ER286" s="237" t="s">
        <v>705</v>
      </c>
      <c r="ES286" s="237">
        <v>8085</v>
      </c>
      <c r="ET286" s="237">
        <v>45.127927927927928</v>
      </c>
      <c r="EU286" s="661">
        <v>5</v>
      </c>
      <c r="EV286" s="661">
        <v>2</v>
      </c>
      <c r="EW286" s="661">
        <v>1</v>
      </c>
      <c r="EX286" s="661">
        <v>1</v>
      </c>
      <c r="EY286" s="660">
        <v>0.12901818181818181</v>
      </c>
      <c r="EZ286" s="256">
        <v>37.979143179255921</v>
      </c>
      <c r="FA286" s="247">
        <v>1.0619469026548674</v>
      </c>
      <c r="FB286" s="208">
        <v>3</v>
      </c>
      <c r="FC286" s="208">
        <v>3</v>
      </c>
      <c r="FD286" s="208">
        <v>3</v>
      </c>
      <c r="FE286" s="239">
        <v>0.86902654867256635</v>
      </c>
      <c r="FF286" s="208">
        <v>1</v>
      </c>
      <c r="FG286" s="241">
        <v>0</v>
      </c>
      <c r="FH286" s="209">
        <v>0</v>
      </c>
      <c r="FI286" s="237" t="s">
        <v>678</v>
      </c>
      <c r="FJ286" s="208">
        <v>46.6</v>
      </c>
      <c r="FK286" s="208">
        <v>0</v>
      </c>
      <c r="FL286" s="217">
        <v>10.4</v>
      </c>
      <c r="FM286" s="208">
        <v>6.74</v>
      </c>
      <c r="FN286" s="208" t="s">
        <v>1659</v>
      </c>
      <c r="FP286" s="247" t="s">
        <v>693</v>
      </c>
      <c r="FU286" s="208">
        <v>24</v>
      </c>
      <c r="FV286" s="208">
        <v>13.4</v>
      </c>
      <c r="FW286" s="237">
        <v>69.05</v>
      </c>
      <c r="FX286" s="237">
        <v>51.4</v>
      </c>
      <c r="FY286" s="208">
        <v>15.65</v>
      </c>
      <c r="FZ286" s="208">
        <v>27.8</v>
      </c>
      <c r="GA286" s="208">
        <v>32.36</v>
      </c>
      <c r="GB286" s="208">
        <v>24.8</v>
      </c>
      <c r="GC286" s="208">
        <v>0.83</v>
      </c>
      <c r="GD286" s="208">
        <v>80.5</v>
      </c>
      <c r="GE286" s="237">
        <v>30.72</v>
      </c>
      <c r="GF286" s="237">
        <v>35.6</v>
      </c>
      <c r="GG286" s="237">
        <v>3.45</v>
      </c>
      <c r="GH286" s="237">
        <v>31.6</v>
      </c>
      <c r="GJ286" s="947">
        <v>149</v>
      </c>
      <c r="GK286" s="320">
        <v>1.4999999999999999E-2</v>
      </c>
      <c r="GL286" s="320">
        <v>0.27600000000000002</v>
      </c>
      <c r="GM286" s="320">
        <v>9.2999999999999999E-2</v>
      </c>
      <c r="GN286" s="320">
        <v>0.61599999999999999</v>
      </c>
      <c r="GO286" s="662">
        <v>8283</v>
      </c>
      <c r="GP286" s="663" t="str">
        <f>VLOOKUP(GS286,'BD Comarcal'!$A$6:$AV$17,48,FALSE)</f>
        <v>24</v>
      </c>
      <c r="GQ286" s="564">
        <v>61</v>
      </c>
      <c r="GR286" s="256">
        <f t="shared" si="4"/>
        <v>0</v>
      </c>
      <c r="GS286" s="237" t="s">
        <v>88</v>
      </c>
    </row>
    <row r="287" spans="1:201" s="237" customFormat="1" ht="17.25" customHeight="1">
      <c r="A287" s="236" t="s">
        <v>1660</v>
      </c>
      <c r="C287" s="238"/>
      <c r="D287" s="238">
        <v>8380</v>
      </c>
      <c r="E287" s="238">
        <v>6509</v>
      </c>
      <c r="F287" s="239">
        <v>0.77673031026252981</v>
      </c>
      <c r="G287" s="238">
        <v>5513</v>
      </c>
      <c r="H287" s="240">
        <v>2286.426025481524</v>
      </c>
      <c r="I287" s="239">
        <v>0.35127147418674515</v>
      </c>
      <c r="J287" s="238">
        <v>1027</v>
      </c>
      <c r="K287" s="238">
        <v>237</v>
      </c>
      <c r="L287" s="238">
        <v>647</v>
      </c>
      <c r="M287" s="241">
        <v>7.7207637231503576E-2</v>
      </c>
      <c r="N287" s="238">
        <v>23</v>
      </c>
      <c r="O287" s="239">
        <v>2.2395326192794548E-2</v>
      </c>
      <c r="P287" s="237">
        <v>40</v>
      </c>
      <c r="Q287" s="237">
        <v>1</v>
      </c>
      <c r="R287" s="239">
        <v>2.5000000000000001E-2</v>
      </c>
      <c r="S287" s="238">
        <v>5269</v>
      </c>
      <c r="T287" s="436">
        <v>0</v>
      </c>
      <c r="U287" s="436">
        <v>15</v>
      </c>
      <c r="V287" s="436">
        <v>81</v>
      </c>
      <c r="W287" s="436">
        <v>96</v>
      </c>
      <c r="X287" s="238">
        <v>16453</v>
      </c>
      <c r="Y287" s="237">
        <v>0.16400000000000001</v>
      </c>
      <c r="Z287" s="238">
        <v>216882</v>
      </c>
      <c r="AA287" s="238">
        <v>13198</v>
      </c>
      <c r="AB287" s="238">
        <v>80.64</v>
      </c>
      <c r="AC287" s="238">
        <v>18104</v>
      </c>
      <c r="AD287" s="238">
        <v>22958803.329999998</v>
      </c>
      <c r="AE287" s="238">
        <v>4034846.0599999987</v>
      </c>
      <c r="AF287" s="238">
        <v>16801175.330000002</v>
      </c>
      <c r="AG287" s="238">
        <v>563809.43000000005</v>
      </c>
      <c r="AH287" s="239">
        <v>3.3557737415743041E-2</v>
      </c>
      <c r="AI287" s="247">
        <v>492.101001</v>
      </c>
      <c r="AJ287" s="242">
        <v>74.325845000000001</v>
      </c>
      <c r="AK287" s="242">
        <v>0.88694325775656324</v>
      </c>
      <c r="AL287" s="242">
        <v>674.35264199999995</v>
      </c>
      <c r="AM287" s="242">
        <v>8.0471675656324564</v>
      </c>
      <c r="AN287" s="242">
        <v>81967.070000000007</v>
      </c>
      <c r="AO287" s="238">
        <v>13265.29</v>
      </c>
      <c r="AP287" s="243">
        <v>50</v>
      </c>
      <c r="AQ287" s="238">
        <v>1</v>
      </c>
      <c r="AR287" s="238">
        <v>1306.9913411949854</v>
      </c>
      <c r="AS287" s="238">
        <v>1624.4635946776859</v>
      </c>
      <c r="AT287" s="238">
        <v>1041348.6666666666</v>
      </c>
      <c r="AU287" s="238">
        <v>284.80712612084744</v>
      </c>
      <c r="AV287" s="237">
        <v>1</v>
      </c>
      <c r="AW287" s="237">
        <v>1</v>
      </c>
      <c r="AX287" s="237">
        <v>1</v>
      </c>
      <c r="AY287" s="244" t="s">
        <v>673</v>
      </c>
      <c r="AZ287" s="244" t="s">
        <v>682</v>
      </c>
      <c r="BA287" s="237">
        <v>2011</v>
      </c>
      <c r="BB287" s="245" t="s">
        <v>1661</v>
      </c>
      <c r="BC287" s="215" t="s">
        <v>1662</v>
      </c>
      <c r="BD287" s="237">
        <v>1</v>
      </c>
      <c r="BE287" s="237">
        <v>62</v>
      </c>
      <c r="BF287" s="237">
        <v>0</v>
      </c>
      <c r="BG287" s="246" t="s">
        <v>676</v>
      </c>
      <c r="BI287" s="239">
        <v>0.21831041881904156</v>
      </c>
      <c r="BJ287" s="239">
        <v>0.16943495191925614</v>
      </c>
      <c r="BK287" s="239">
        <v>0.55654454422633715</v>
      </c>
      <c r="BL287" s="239">
        <v>5.5710085035365176E-2</v>
      </c>
      <c r="BM287" s="247">
        <v>1.5503457045219742</v>
      </c>
      <c r="BN287" s="248">
        <v>0</v>
      </c>
      <c r="BO287" s="248">
        <v>0</v>
      </c>
      <c r="BP287" s="237">
        <v>0</v>
      </c>
      <c r="BQ287" s="237">
        <v>0</v>
      </c>
      <c r="BR287" s="248">
        <v>0</v>
      </c>
      <c r="BU287" s="249">
        <v>1614</v>
      </c>
      <c r="BV287" s="249">
        <v>2389</v>
      </c>
      <c r="BW287" s="249">
        <v>8135</v>
      </c>
      <c r="BX287" s="249" t="s">
        <v>678</v>
      </c>
      <c r="BY287" s="249">
        <v>9.8637169223247572</v>
      </c>
      <c r="BZ287" s="249">
        <v>14.600012222697549</v>
      </c>
      <c r="CA287" s="249">
        <v>49.71582228197763</v>
      </c>
      <c r="CB287" s="249" t="s">
        <v>678</v>
      </c>
      <c r="CC287" s="250">
        <v>108.50699749434699</v>
      </c>
      <c r="CD287" s="242">
        <v>320</v>
      </c>
      <c r="CE287" s="252">
        <v>101.95563160789587</v>
      </c>
      <c r="CF287" s="238">
        <v>8459</v>
      </c>
      <c r="CG287" s="238">
        <v>1598.5</v>
      </c>
      <c r="CH287" s="238">
        <v>9.768991016317301</v>
      </c>
      <c r="CI287" s="216" t="s">
        <v>679</v>
      </c>
      <c r="CJ287" s="237">
        <v>0</v>
      </c>
      <c r="CK287" s="253">
        <v>516.45000000000005</v>
      </c>
      <c r="CL287" s="253">
        <v>388.4008</v>
      </c>
      <c r="CM287" s="254">
        <v>4.6348544152744628E-2</v>
      </c>
      <c r="CN287" s="237" t="s">
        <v>86</v>
      </c>
      <c r="CO287" s="242">
        <v>2761.69</v>
      </c>
      <c r="CP287" s="255">
        <v>0.32955727923627687</v>
      </c>
      <c r="CQ287" s="247">
        <v>178.01</v>
      </c>
      <c r="CR287" s="248" t="s">
        <v>762</v>
      </c>
      <c r="CU287" s="247">
        <v>178.01</v>
      </c>
      <c r="CV287" s="237">
        <v>8</v>
      </c>
      <c r="CW287" s="194">
        <v>1.1319999999999999</v>
      </c>
      <c r="CX287" s="194">
        <v>0.63500000000000001</v>
      </c>
      <c r="CY287" s="194">
        <v>0.14499999999999999</v>
      </c>
      <c r="DB287" s="216"/>
      <c r="DC287" s="195" t="s">
        <v>1211</v>
      </c>
      <c r="DD287" s="256">
        <v>0.7</v>
      </c>
      <c r="DE287" s="256">
        <v>-6.5</v>
      </c>
      <c r="DF287" s="256">
        <v>0.7</v>
      </c>
      <c r="DG287" s="256">
        <v>-2.2000000000000002</v>
      </c>
      <c r="DH287" s="257">
        <v>4</v>
      </c>
      <c r="DI287" s="257">
        <v>507.72</v>
      </c>
      <c r="DJ287" s="257">
        <v>318.44</v>
      </c>
      <c r="DK287" s="257">
        <v>826.16</v>
      </c>
      <c r="DL287" s="237" t="s">
        <v>682</v>
      </c>
      <c r="DO287" s="237">
        <v>1</v>
      </c>
      <c r="DP287" s="258" t="s">
        <v>682</v>
      </c>
      <c r="DQ287" s="258"/>
      <c r="DR287" s="258"/>
      <c r="DS287" s="258"/>
      <c r="DT287" s="258"/>
      <c r="DU287" s="237">
        <v>8</v>
      </c>
      <c r="DV287" s="237" t="s">
        <v>1663</v>
      </c>
      <c r="DX287" s="247">
        <v>70.099999999999994</v>
      </c>
      <c r="DY287" s="247">
        <v>0.83651551312649153</v>
      </c>
      <c r="DZ287" s="244" t="s">
        <v>1664</v>
      </c>
      <c r="EA287" s="237">
        <v>1</v>
      </c>
      <c r="EB287" s="237" t="s">
        <v>1665</v>
      </c>
      <c r="ED287" s="237" t="s">
        <v>880</v>
      </c>
      <c r="EE287" s="208">
        <v>1</v>
      </c>
      <c r="EF287" s="237" t="s">
        <v>852</v>
      </c>
      <c r="EG287" s="216" t="s">
        <v>689</v>
      </c>
      <c r="EH287" s="246" t="s">
        <v>690</v>
      </c>
      <c r="EI287" s="216" t="s">
        <v>689</v>
      </c>
      <c r="EJ287" s="216" t="s">
        <v>529</v>
      </c>
      <c r="EK287" s="222" t="s">
        <v>529</v>
      </c>
      <c r="EL287" s="259">
        <v>2004</v>
      </c>
      <c r="EM287" s="260">
        <v>4385</v>
      </c>
      <c r="EN287" s="260">
        <v>761256</v>
      </c>
      <c r="EO287" s="260">
        <v>323087</v>
      </c>
      <c r="EP287" s="237">
        <v>1</v>
      </c>
      <c r="EQ287" s="237">
        <v>40</v>
      </c>
      <c r="ER287" s="237" t="s">
        <v>692</v>
      </c>
      <c r="ES287" s="237" t="e">
        <v>#DIV/0!</v>
      </c>
      <c r="ET287" s="237">
        <v>73.680045610034213</v>
      </c>
      <c r="EU287" s="661">
        <v>1</v>
      </c>
      <c r="EV287" s="661">
        <v>2</v>
      </c>
      <c r="EW287" s="661">
        <v>5</v>
      </c>
      <c r="EX287" s="661">
        <v>6</v>
      </c>
      <c r="EY287" s="660">
        <v>6.1628878281622917E-2</v>
      </c>
      <c r="EZ287" s="256">
        <v>31.683609255494236</v>
      </c>
      <c r="FA287" s="247">
        <v>0.12290674450760486</v>
      </c>
      <c r="FB287" s="208">
        <v>3</v>
      </c>
      <c r="FC287" s="208">
        <v>5</v>
      </c>
      <c r="FD287" s="208">
        <v>5</v>
      </c>
      <c r="FE287" s="239">
        <v>0.84698110308803198</v>
      </c>
      <c r="FF287" s="208"/>
      <c r="FG287" s="241">
        <v>0.12692579505300353</v>
      </c>
      <c r="FH287" s="209">
        <v>2.7348286987248425E-2</v>
      </c>
      <c r="FI287" s="237" t="s">
        <v>678</v>
      </c>
      <c r="FJ287" s="208">
        <v>77.7</v>
      </c>
      <c r="FK287" s="208">
        <v>38.33</v>
      </c>
      <c r="FL287" s="217">
        <v>80.7</v>
      </c>
      <c r="FM287" s="208">
        <v>9.8699999999999992</v>
      </c>
      <c r="FN287" s="208" t="s">
        <v>1666</v>
      </c>
      <c r="FP287" s="247" t="s">
        <v>693</v>
      </c>
      <c r="FU287" s="208">
        <v>75</v>
      </c>
      <c r="FV287" s="208">
        <v>99</v>
      </c>
      <c r="FW287" s="237">
        <v>96.46</v>
      </c>
      <c r="FX287" s="237">
        <v>94.8</v>
      </c>
      <c r="FY287" s="208">
        <v>78.099999999999994</v>
      </c>
      <c r="FZ287" s="208">
        <v>78.599999999999994</v>
      </c>
      <c r="GA287" s="208">
        <v>67.5</v>
      </c>
      <c r="GB287" s="208">
        <v>75.7</v>
      </c>
      <c r="GC287" s="208">
        <v>0.45</v>
      </c>
      <c r="GD287" s="208">
        <v>62.2</v>
      </c>
      <c r="GE287" s="237">
        <v>44.01</v>
      </c>
      <c r="GF287" s="237">
        <v>57.4</v>
      </c>
      <c r="GG287" s="237">
        <v>5.93</v>
      </c>
      <c r="GH287" s="237">
        <v>50.3</v>
      </c>
      <c r="GJ287" s="947">
        <v>353</v>
      </c>
      <c r="GK287" s="320">
        <v>1.4E-2</v>
      </c>
      <c r="GL287" s="320">
        <v>8.8999999999999996E-2</v>
      </c>
      <c r="GM287" s="320">
        <v>5.8999999999999997E-2</v>
      </c>
      <c r="GN287" s="320">
        <v>0.83799999999999997</v>
      </c>
      <c r="GO287" s="662">
        <v>8284</v>
      </c>
      <c r="GP287" s="663" t="str">
        <f>VLOOKUP(GS287,'BD Comarcal'!$A$6:$AV$17,48,FALSE)</f>
        <v>21</v>
      </c>
      <c r="GQ287" s="564">
        <v>151</v>
      </c>
      <c r="GR287" s="256">
        <f t="shared" si="4"/>
        <v>1</v>
      </c>
      <c r="GS287" s="237" t="s">
        <v>86</v>
      </c>
    </row>
    <row r="288" spans="1:201" s="237" customFormat="1" ht="17.25" customHeight="1">
      <c r="A288" s="236" t="s">
        <v>1667</v>
      </c>
      <c r="C288" s="238"/>
      <c r="D288" s="238">
        <v>1351</v>
      </c>
      <c r="E288" s="238">
        <v>265</v>
      </c>
      <c r="F288" s="239">
        <v>0.19615099925980756</v>
      </c>
      <c r="G288" s="238">
        <v>177</v>
      </c>
      <c r="H288" s="240">
        <v>7.2280788270872147</v>
      </c>
      <c r="I288" s="239">
        <v>2.7275769158819678E-2</v>
      </c>
      <c r="J288" s="238">
        <v>560</v>
      </c>
      <c r="K288" s="238">
        <v>166</v>
      </c>
      <c r="L288" s="238">
        <v>10</v>
      </c>
      <c r="M288" s="241">
        <v>7.4019245003700959E-3</v>
      </c>
      <c r="N288" s="238">
        <v>23</v>
      </c>
      <c r="O288" s="239">
        <v>4.1071428571428571E-2</v>
      </c>
      <c r="P288" s="237">
        <v>31</v>
      </c>
      <c r="Q288" s="237">
        <v>0</v>
      </c>
      <c r="R288" s="239">
        <v>0</v>
      </c>
      <c r="S288" s="238">
        <v>3702</v>
      </c>
      <c r="T288" s="436">
        <v>0</v>
      </c>
      <c r="U288" s="436">
        <v>0</v>
      </c>
      <c r="V288" s="436">
        <v>43</v>
      </c>
      <c r="W288" s="436">
        <v>43</v>
      </c>
      <c r="X288" s="238">
        <v>13877</v>
      </c>
      <c r="Y288" s="237">
        <v>0.1769</v>
      </c>
      <c r="Z288" s="238">
        <v>216158</v>
      </c>
      <c r="AA288" s="238">
        <v>15572</v>
      </c>
      <c r="AB288" s="238">
        <v>95.15</v>
      </c>
      <c r="AC288" s="238">
        <v>4026</v>
      </c>
      <c r="AD288" s="238">
        <v>14077223.230000002</v>
      </c>
      <c r="AE288" s="238">
        <v>2043174.4900000002</v>
      </c>
      <c r="AF288" s="238">
        <v>12026258.92</v>
      </c>
      <c r="AG288" s="238">
        <v>903760.33</v>
      </c>
      <c r="AH288" s="239">
        <v>7.5148916717319436E-2</v>
      </c>
      <c r="AI288" s="247">
        <v>224.07009400000001</v>
      </c>
      <c r="AJ288" s="242">
        <v>46.654636000000004</v>
      </c>
      <c r="AK288" s="242">
        <v>3.4533409326424871</v>
      </c>
      <c r="AL288" s="242" t="s">
        <v>678</v>
      </c>
      <c r="AM288" s="242" t="s">
        <v>678</v>
      </c>
      <c r="AN288" s="242">
        <v>38557.99</v>
      </c>
      <c r="AO288" s="238">
        <v>0</v>
      </c>
      <c r="AP288" s="243">
        <v>0</v>
      </c>
      <c r="AQ288" s="238">
        <v>1</v>
      </c>
      <c r="AR288" s="238">
        <v>1254.8648365518638</v>
      </c>
      <c r="AS288" s="238">
        <v>2986.5279777503733</v>
      </c>
      <c r="AT288" s="238">
        <v>788408.33333333337</v>
      </c>
      <c r="AU288" s="238">
        <v>227.12622499087402</v>
      </c>
      <c r="AV288" s="237">
        <v>1</v>
      </c>
      <c r="AW288" s="237">
        <v>1</v>
      </c>
      <c r="AX288" s="237">
        <v>0</v>
      </c>
      <c r="AY288" s="244" t="s">
        <v>695</v>
      </c>
      <c r="AZ288" s="244" t="s">
        <v>682</v>
      </c>
      <c r="BA288" s="237">
        <v>2009</v>
      </c>
      <c r="BB288" s="245" t="s">
        <v>1188</v>
      </c>
      <c r="BC288" s="215" t="s">
        <v>1189</v>
      </c>
      <c r="BD288" s="237">
        <v>1</v>
      </c>
      <c r="BE288" s="237">
        <v>0</v>
      </c>
      <c r="BF288" s="237">
        <v>46</v>
      </c>
      <c r="BG288" s="246" t="s">
        <v>698</v>
      </c>
      <c r="BI288" s="239">
        <v>0.42867900172117041</v>
      </c>
      <c r="BJ288" s="239">
        <v>0.12424698795180723</v>
      </c>
      <c r="BK288" s="239">
        <v>0.42523666092943202</v>
      </c>
      <c r="BL288" s="239">
        <v>2.1837349397590362E-2</v>
      </c>
      <c r="BM288" s="247">
        <v>1.9597676419965577</v>
      </c>
      <c r="BN288" s="248">
        <v>0</v>
      </c>
      <c r="BO288" s="248">
        <v>1</v>
      </c>
      <c r="BP288" s="237">
        <v>0</v>
      </c>
      <c r="BQ288" s="237">
        <v>0</v>
      </c>
      <c r="BR288" s="248">
        <v>1</v>
      </c>
      <c r="BS288" s="237">
        <v>6</v>
      </c>
      <c r="BT288" s="237" t="s">
        <v>721</v>
      </c>
      <c r="BU288" s="249">
        <v>1399</v>
      </c>
      <c r="BV288" s="249">
        <v>1697</v>
      </c>
      <c r="BW288" s="249">
        <v>6721</v>
      </c>
      <c r="BX288" s="249" t="s">
        <v>678</v>
      </c>
      <c r="BY288" s="249">
        <v>10.058958872591313</v>
      </c>
      <c r="BZ288" s="249">
        <v>12.20161058383664</v>
      </c>
      <c r="CA288" s="249">
        <v>48.324705205637045</v>
      </c>
      <c r="CB288" s="249" t="s">
        <v>678</v>
      </c>
      <c r="CC288" s="250">
        <v>102.90480299108427</v>
      </c>
      <c r="CD288" s="242">
        <v>-667</v>
      </c>
      <c r="CE288" s="252">
        <v>95.204199022145531</v>
      </c>
      <c r="CF288" s="238">
        <v>6603</v>
      </c>
      <c r="CG288" s="238">
        <v>1174.5</v>
      </c>
      <c r="CH288" s="238">
        <v>8.4447799827437446</v>
      </c>
      <c r="CI288" s="216" t="s">
        <v>679</v>
      </c>
      <c r="CJ288" s="237">
        <v>0</v>
      </c>
      <c r="CK288" s="253">
        <v>364.75</v>
      </c>
      <c r="CL288" s="253">
        <v>146.8511</v>
      </c>
      <c r="CM288" s="254">
        <v>0.10869807549962991</v>
      </c>
      <c r="CN288" s="237" t="s">
        <v>88</v>
      </c>
      <c r="CO288" s="242"/>
      <c r="CP288" s="255">
        <v>0</v>
      </c>
      <c r="CV288" s="237">
        <v>13</v>
      </c>
      <c r="CW288" s="194">
        <v>0.73899999999999999</v>
      </c>
      <c r="CX288" s="194">
        <v>0.63500000000000001</v>
      </c>
      <c r="CY288" s="194">
        <v>0.34100000000000003</v>
      </c>
      <c r="DB288" s="216" t="s">
        <v>681</v>
      </c>
      <c r="DC288" s="256"/>
      <c r="DD288" s="256">
        <v>0.8</v>
      </c>
      <c r="DE288" s="256">
        <v>-10</v>
      </c>
      <c r="DF288" s="256">
        <v>0.5</v>
      </c>
      <c r="DG288" s="256">
        <v>-2.2999999999999998</v>
      </c>
      <c r="DL288" s="237" t="s">
        <v>529</v>
      </c>
      <c r="DM288" s="237" t="s">
        <v>1177</v>
      </c>
      <c r="DN288" s="237" t="s">
        <v>713</v>
      </c>
      <c r="DP288" s="258" t="s">
        <v>683</v>
      </c>
      <c r="DQ288" s="258" t="s">
        <v>1668</v>
      </c>
      <c r="DR288" s="258" t="s">
        <v>1669</v>
      </c>
      <c r="DS288" s="258"/>
      <c r="DT288" s="258"/>
      <c r="DU288" s="237">
        <v>0</v>
      </c>
      <c r="DX288" s="247"/>
      <c r="DY288" s="247">
        <v>0</v>
      </c>
      <c r="EA288" s="237">
        <v>0</v>
      </c>
      <c r="ED288" s="237" t="s">
        <v>678</v>
      </c>
      <c r="EE288" s="208">
        <v>5</v>
      </c>
      <c r="EF288" s="237" t="s">
        <v>678</v>
      </c>
      <c r="EG288" s="216" t="s">
        <v>689</v>
      </c>
      <c r="EH288" s="246" t="s">
        <v>690</v>
      </c>
      <c r="EI288" s="216"/>
      <c r="EJ288" s="216" t="s">
        <v>529</v>
      </c>
      <c r="EK288" s="222" t="s">
        <v>529</v>
      </c>
      <c r="EL288" s="259">
        <v>1999</v>
      </c>
      <c r="EM288" s="263">
        <v>2500</v>
      </c>
      <c r="EN288" s="260">
        <v>503420</v>
      </c>
      <c r="EO288" s="260">
        <v>309958</v>
      </c>
      <c r="ER288" s="237" t="s">
        <v>705</v>
      </c>
      <c r="ES288" s="237">
        <v>13908</v>
      </c>
      <c r="ET288" s="237">
        <v>123.9832</v>
      </c>
      <c r="EU288" s="661">
        <v>7</v>
      </c>
      <c r="EV288" s="661">
        <v>4</v>
      </c>
      <c r="EW288" s="661">
        <v>4</v>
      </c>
      <c r="EX288" s="661">
        <v>5</v>
      </c>
      <c r="EY288" s="660">
        <v>0.26998519615099925</v>
      </c>
      <c r="EZ288" s="256">
        <v>38.130226182316655</v>
      </c>
      <c r="FA288" s="247">
        <v>4.9056603773584904</v>
      </c>
      <c r="FB288" s="208">
        <v>6</v>
      </c>
      <c r="FC288" s="208">
        <v>2</v>
      </c>
      <c r="FD288" s="208">
        <v>2</v>
      </c>
      <c r="FE288" s="239">
        <v>0.66792452830188676</v>
      </c>
      <c r="FF288" s="208"/>
      <c r="FG288" s="241">
        <v>0</v>
      </c>
      <c r="FH288" s="209">
        <v>0</v>
      </c>
      <c r="FI288" s="237" t="s">
        <v>678</v>
      </c>
      <c r="FJ288" s="208" t="s">
        <v>678</v>
      </c>
      <c r="FK288" s="208" t="s">
        <v>678</v>
      </c>
      <c r="FL288" s="217" t="s">
        <v>678</v>
      </c>
      <c r="FM288" s="208" t="s">
        <v>678</v>
      </c>
      <c r="FN288" s="208" t="s">
        <v>678</v>
      </c>
      <c r="FP288" s="247" t="s">
        <v>693</v>
      </c>
      <c r="FU288" s="208" t="s">
        <v>678</v>
      </c>
      <c r="FV288" s="208" t="s">
        <v>678</v>
      </c>
      <c r="FW288" s="208" t="s">
        <v>678</v>
      </c>
      <c r="FX288" s="208" t="s">
        <v>678</v>
      </c>
      <c r="FY288" s="208" t="s">
        <v>678</v>
      </c>
      <c r="FZ288" s="208" t="s">
        <v>678</v>
      </c>
      <c r="GA288" s="208" t="s">
        <v>678</v>
      </c>
      <c r="GB288" s="208" t="s">
        <v>678</v>
      </c>
      <c r="GC288" s="208" t="s">
        <v>678</v>
      </c>
      <c r="GD288" s="208" t="s">
        <v>678</v>
      </c>
      <c r="GE288" s="237" t="s">
        <v>678</v>
      </c>
      <c r="GF288" s="237" t="s">
        <v>678</v>
      </c>
      <c r="GG288" s="237" t="s">
        <v>678</v>
      </c>
      <c r="GH288" s="237" t="s">
        <v>678</v>
      </c>
      <c r="GJ288" s="947">
        <v>279</v>
      </c>
      <c r="GK288" s="320">
        <v>7.0000000000000001E-3</v>
      </c>
      <c r="GL288" s="320">
        <v>0.42499999999999999</v>
      </c>
      <c r="GM288" s="320">
        <v>6.4000000000000001E-2</v>
      </c>
      <c r="GN288" s="320">
        <v>0.503</v>
      </c>
      <c r="GO288" s="662">
        <v>8285</v>
      </c>
      <c r="GP288" s="663" t="str">
        <f>VLOOKUP(GS288,'BD Comarcal'!$A$6:$AV$17,48,FALSE)</f>
        <v>24</v>
      </c>
      <c r="GQ288" s="564">
        <v>113</v>
      </c>
      <c r="GR288" s="256">
        <f t="shared" si="4"/>
        <v>0</v>
      </c>
      <c r="GS288" s="237" t="s">
        <v>88</v>
      </c>
    </row>
    <row r="289" spans="1:201" s="237" customFormat="1" ht="17.25" customHeight="1">
      <c r="A289" s="236" t="s">
        <v>1670</v>
      </c>
      <c r="C289" s="238"/>
      <c r="D289" s="238">
        <v>1480</v>
      </c>
      <c r="E289" s="238">
        <v>772</v>
      </c>
      <c r="F289" s="239">
        <v>0.52162162162162162</v>
      </c>
      <c r="G289" s="238">
        <v>697</v>
      </c>
      <c r="H289" s="240">
        <v>100.39721445523335</v>
      </c>
      <c r="I289" s="239">
        <v>0.13004820525289296</v>
      </c>
      <c r="J289" s="238">
        <v>444</v>
      </c>
      <c r="K289" s="238">
        <v>5</v>
      </c>
      <c r="L289" s="238">
        <v>0</v>
      </c>
      <c r="M289" s="241">
        <v>0</v>
      </c>
      <c r="N289" s="238">
        <v>65</v>
      </c>
      <c r="O289" s="239">
        <v>0.1463963963963964</v>
      </c>
      <c r="P289" s="237">
        <v>3</v>
      </c>
      <c r="Q289" s="237">
        <v>0</v>
      </c>
      <c r="R289" s="239">
        <v>0</v>
      </c>
      <c r="S289" s="238">
        <v>51</v>
      </c>
      <c r="T289" s="436">
        <v>0</v>
      </c>
      <c r="U289" s="436">
        <v>0</v>
      </c>
      <c r="V289" s="436">
        <v>0</v>
      </c>
      <c r="W289" s="436">
        <v>0</v>
      </c>
      <c r="X289" s="238">
        <v>3722</v>
      </c>
      <c r="Y289" s="237">
        <v>0.1341</v>
      </c>
      <c r="Z289" s="238">
        <v>46697</v>
      </c>
      <c r="AA289" s="238">
        <v>12396</v>
      </c>
      <c r="AB289" s="238">
        <v>75.739999999999995</v>
      </c>
      <c r="AC289" s="238">
        <v>1819</v>
      </c>
      <c r="AD289" s="238">
        <v>3580909.93</v>
      </c>
      <c r="AE289" s="238">
        <v>43868.559999999125</v>
      </c>
      <c r="AF289" s="238">
        <v>3381203.7000000007</v>
      </c>
      <c r="AG289" s="238">
        <v>569606.31000000006</v>
      </c>
      <c r="AH289" s="239">
        <v>0.16846258331019806</v>
      </c>
      <c r="AI289" s="247">
        <v>280.438851</v>
      </c>
      <c r="AJ289" s="242">
        <v>33.538061999999996</v>
      </c>
      <c r="AK289" s="242">
        <v>2.2660852702702701</v>
      </c>
      <c r="AL289" s="242">
        <v>213.64540099999999</v>
      </c>
      <c r="AM289" s="242">
        <v>14.435500067567567</v>
      </c>
      <c r="AN289" s="242">
        <v>19059.259999999998</v>
      </c>
      <c r="AO289" s="238">
        <v>3330</v>
      </c>
      <c r="AP289" s="243">
        <v>15</v>
      </c>
      <c r="AQ289" s="238"/>
      <c r="AR289" s="238">
        <v>1287.8368184627882</v>
      </c>
      <c r="AS289" s="238">
        <v>1752.6422522903424</v>
      </c>
      <c r="AT289" s="238">
        <v>282923.33333333331</v>
      </c>
      <c r="AU289" s="238">
        <v>323.33019059917223</v>
      </c>
      <c r="AV289" s="237">
        <v>1</v>
      </c>
      <c r="AW289" s="237">
        <v>1</v>
      </c>
      <c r="AX289" s="237">
        <v>1</v>
      </c>
      <c r="AY289" s="244" t="s">
        <v>673</v>
      </c>
      <c r="AZ289" s="244" t="s">
        <v>726</v>
      </c>
      <c r="BA289" s="237" t="s">
        <v>1038</v>
      </c>
      <c r="BB289" s="245" t="s">
        <v>1671</v>
      </c>
      <c r="BC289" s="215" t="s">
        <v>1672</v>
      </c>
      <c r="BE289" s="237">
        <v>2</v>
      </c>
      <c r="BF289" s="237">
        <v>77</v>
      </c>
      <c r="BG289" s="246" t="s">
        <v>698</v>
      </c>
      <c r="BI289" s="239">
        <v>0.49650349650349651</v>
      </c>
      <c r="BJ289" s="239">
        <v>0.14942951785057049</v>
      </c>
      <c r="BK289" s="239">
        <v>0.34155318365844684</v>
      </c>
      <c r="BL289" s="239">
        <v>1.2513801987486198E-2</v>
      </c>
      <c r="BM289" s="247">
        <v>2.1299227088700774</v>
      </c>
      <c r="BN289" s="248">
        <v>0</v>
      </c>
      <c r="BO289" s="248">
        <v>0</v>
      </c>
      <c r="BP289" s="237">
        <v>0</v>
      </c>
      <c r="BQ289" s="237">
        <v>0</v>
      </c>
      <c r="BR289" s="248">
        <v>0</v>
      </c>
      <c r="BS289" s="237">
        <v>11</v>
      </c>
      <c r="BT289" s="237" t="s">
        <v>755</v>
      </c>
      <c r="BU289" s="249" t="s">
        <v>678</v>
      </c>
      <c r="BV289" s="249" t="s">
        <v>678</v>
      </c>
      <c r="BW289" s="249" t="s">
        <v>678</v>
      </c>
      <c r="BX289" s="249" t="s">
        <v>678</v>
      </c>
      <c r="BY289" s="249" t="s">
        <v>678</v>
      </c>
      <c r="BZ289" s="249" t="s">
        <v>678</v>
      </c>
      <c r="CA289" s="249" t="s">
        <v>678</v>
      </c>
      <c r="CB289" s="249" t="s">
        <v>678</v>
      </c>
      <c r="CC289" s="250" t="s">
        <v>678</v>
      </c>
      <c r="CD289" s="242" t="s">
        <v>678</v>
      </c>
      <c r="CE289" s="252" t="s">
        <v>678</v>
      </c>
      <c r="CF289" s="238">
        <v>1791</v>
      </c>
      <c r="CG289" s="238">
        <v>386.3</v>
      </c>
      <c r="CH289" s="238">
        <v>10.094068460935459</v>
      </c>
      <c r="CI289" s="216" t="s">
        <v>722</v>
      </c>
      <c r="CJ289" s="237">
        <v>1</v>
      </c>
      <c r="CK289" s="253">
        <v>207.98</v>
      </c>
      <c r="CL289" s="253">
        <v>51.070900000000002</v>
      </c>
      <c r="CM289" s="254">
        <v>3.4507364864864866E-2</v>
      </c>
      <c r="CN289" s="237" t="s">
        <v>81</v>
      </c>
      <c r="CO289" s="242">
        <v>24.52</v>
      </c>
      <c r="CP289" s="255">
        <v>1.6567567567567568E-2</v>
      </c>
      <c r="CV289" s="237">
        <v>2</v>
      </c>
      <c r="CW289" s="261" t="s">
        <v>678</v>
      </c>
      <c r="CX289" s="261" t="s">
        <v>678</v>
      </c>
      <c r="CY289" s="261" t="s">
        <v>678</v>
      </c>
      <c r="DB289" s="216" t="s">
        <v>1017</v>
      </c>
      <c r="DC289" s="195" t="s">
        <v>1041</v>
      </c>
      <c r="DD289" s="256">
        <v>0.8</v>
      </c>
      <c r="DE289" s="256">
        <v>-10</v>
      </c>
      <c r="DF289" s="256">
        <v>0.5</v>
      </c>
      <c r="DG289" s="256">
        <v>-2.2999999999999998</v>
      </c>
      <c r="DL289" s="237" t="s">
        <v>682</v>
      </c>
      <c r="DP289" s="258" t="s">
        <v>682</v>
      </c>
      <c r="DQ289" s="258"/>
      <c r="DR289" s="258"/>
      <c r="DS289" s="258"/>
      <c r="DT289" s="258"/>
      <c r="DU289" s="237">
        <v>0</v>
      </c>
      <c r="DX289" s="247"/>
      <c r="DY289" s="247">
        <v>0</v>
      </c>
      <c r="EA289" s="237">
        <v>1</v>
      </c>
      <c r="EB289" s="237" t="s">
        <v>859</v>
      </c>
      <c r="ED289" s="237" t="s">
        <v>687</v>
      </c>
      <c r="EE289" s="208">
        <v>1</v>
      </c>
      <c r="EF289" s="237" t="s">
        <v>688</v>
      </c>
      <c r="EG289" s="216" t="s">
        <v>733</v>
      </c>
      <c r="EH289" s="246" t="s">
        <v>734</v>
      </c>
      <c r="EI289" s="216" t="s">
        <v>689</v>
      </c>
      <c r="EJ289" s="216" t="s">
        <v>529</v>
      </c>
      <c r="EK289" s="222" t="s">
        <v>682</v>
      </c>
      <c r="EL289" s="259">
        <v>1986</v>
      </c>
      <c r="EM289" s="260">
        <v>26950</v>
      </c>
      <c r="EN289" s="260">
        <v>215338</v>
      </c>
      <c r="EO289" s="260">
        <v>97805</v>
      </c>
      <c r="ER289" s="237" t="s">
        <v>705</v>
      </c>
      <c r="ES289" s="237" t="e">
        <v>#DIV/0!</v>
      </c>
      <c r="ET289" s="237">
        <v>3.6291280148423004</v>
      </c>
      <c r="EU289" s="661">
        <v>1</v>
      </c>
      <c r="EV289" s="661">
        <v>2</v>
      </c>
      <c r="EW289" s="661">
        <v>1</v>
      </c>
      <c r="EX289" s="661">
        <v>6</v>
      </c>
      <c r="EY289" s="660">
        <v>0.14052702702702702</v>
      </c>
      <c r="EZ289" s="256">
        <v>18.400807769977884</v>
      </c>
      <c r="FA289" s="247">
        <v>0.25906735751295334</v>
      </c>
      <c r="FB289" s="208">
        <v>3</v>
      </c>
      <c r="FC289" s="208">
        <v>3</v>
      </c>
      <c r="FD289" s="208">
        <v>5</v>
      </c>
      <c r="FE289" s="239">
        <v>0.90284974093264247</v>
      </c>
      <c r="FF289" s="208"/>
      <c r="FG289" s="241">
        <v>0</v>
      </c>
      <c r="FH289" s="209">
        <v>0</v>
      </c>
      <c r="FI289" s="237" t="s">
        <v>678</v>
      </c>
      <c r="FJ289" s="208" t="s">
        <v>678</v>
      </c>
      <c r="FK289" s="208" t="s">
        <v>678</v>
      </c>
      <c r="FL289" s="217" t="s">
        <v>678</v>
      </c>
      <c r="FM289" s="208" t="s">
        <v>678</v>
      </c>
      <c r="FN289" s="208" t="s">
        <v>678</v>
      </c>
      <c r="FP289" s="247" t="s">
        <v>693</v>
      </c>
      <c r="FU289" s="208" t="s">
        <v>678</v>
      </c>
      <c r="FV289" s="208" t="s">
        <v>678</v>
      </c>
      <c r="FW289" s="208" t="s">
        <v>678</v>
      </c>
      <c r="FX289" s="208" t="s">
        <v>678</v>
      </c>
      <c r="FY289" s="208" t="s">
        <v>678</v>
      </c>
      <c r="FZ289" s="208" t="s">
        <v>678</v>
      </c>
      <c r="GA289" s="208" t="s">
        <v>678</v>
      </c>
      <c r="GB289" s="208" t="s">
        <v>678</v>
      </c>
      <c r="GC289" s="208" t="s">
        <v>678</v>
      </c>
      <c r="GD289" s="208" t="s">
        <v>678</v>
      </c>
      <c r="GE289" s="237" t="s">
        <v>678</v>
      </c>
      <c r="GF289" s="237" t="s">
        <v>678</v>
      </c>
      <c r="GG289" s="237" t="s">
        <v>678</v>
      </c>
      <c r="GH289" s="237" t="s">
        <v>678</v>
      </c>
      <c r="GJ289" s="947"/>
      <c r="GK289" s="320"/>
      <c r="GL289" s="320"/>
      <c r="GM289" s="320"/>
      <c r="GN289" s="320"/>
      <c r="GO289" s="662">
        <v>8286</v>
      </c>
      <c r="GP289" s="663" t="str">
        <f>VLOOKUP(GS289,'BD Comarcal'!$A$6:$AV$17,48,FALSE)</f>
        <v>06</v>
      </c>
      <c r="GQ289" s="564">
        <v>11</v>
      </c>
      <c r="GR289" s="256">
        <f t="shared" si="4"/>
        <v>0</v>
      </c>
      <c r="GS289" s="237" t="s">
        <v>81</v>
      </c>
    </row>
    <row r="290" spans="1:201" s="237" customFormat="1" ht="17.25" customHeight="1">
      <c r="A290" s="236" t="s">
        <v>1673</v>
      </c>
      <c r="C290" s="238"/>
      <c r="D290" s="238">
        <v>2368</v>
      </c>
      <c r="E290" s="238">
        <v>703</v>
      </c>
      <c r="F290" s="239">
        <v>0.296875</v>
      </c>
      <c r="G290" s="238">
        <v>503</v>
      </c>
      <c r="H290" s="240">
        <v>146.38093826204445</v>
      </c>
      <c r="I290" s="239">
        <v>0.20822324077104473</v>
      </c>
      <c r="J290" s="238">
        <v>1001</v>
      </c>
      <c r="K290" s="238">
        <v>48</v>
      </c>
      <c r="L290" s="238">
        <v>23</v>
      </c>
      <c r="M290" s="241">
        <v>9.7128378378378375E-3</v>
      </c>
      <c r="N290" s="238">
        <v>142</v>
      </c>
      <c r="O290" s="239">
        <v>0.14185814185814186</v>
      </c>
      <c r="P290" s="237">
        <v>6</v>
      </c>
      <c r="Q290" s="237">
        <v>0</v>
      </c>
      <c r="R290" s="239">
        <v>0</v>
      </c>
      <c r="S290" s="238">
        <v>391</v>
      </c>
      <c r="T290" s="436">
        <v>0</v>
      </c>
      <c r="U290" s="436">
        <v>17</v>
      </c>
      <c r="V290" s="436">
        <v>0</v>
      </c>
      <c r="W290" s="436">
        <v>17</v>
      </c>
      <c r="X290" s="238">
        <v>1413</v>
      </c>
      <c r="Y290" s="237">
        <v>0.1759</v>
      </c>
      <c r="Z290" s="238">
        <v>18374</v>
      </c>
      <c r="AA290" s="238">
        <v>13115</v>
      </c>
      <c r="AB290" s="238">
        <v>80.13</v>
      </c>
      <c r="AC290" s="238">
        <v>64</v>
      </c>
      <c r="AD290" s="238">
        <v>1856988.5</v>
      </c>
      <c r="AE290" s="238">
        <v>-133642.62000000011</v>
      </c>
      <c r="AF290" s="238">
        <v>2315971.2199999997</v>
      </c>
      <c r="AG290" s="238">
        <v>651215.93999999994</v>
      </c>
      <c r="AH290" s="239">
        <v>0.28118481541407064</v>
      </c>
      <c r="AI290" s="247">
        <v>62.436284999999998</v>
      </c>
      <c r="AJ290" s="242">
        <v>11.888906</v>
      </c>
      <c r="AK290" s="242">
        <v>0.50206528716216214</v>
      </c>
      <c r="AL290" s="242" t="s">
        <v>678</v>
      </c>
      <c r="AM290" s="242" t="s">
        <v>678</v>
      </c>
      <c r="AN290" s="242">
        <v>26815.88</v>
      </c>
      <c r="AO290" s="238">
        <v>4535.25</v>
      </c>
      <c r="AP290" s="243">
        <v>0</v>
      </c>
      <c r="AQ290" s="238"/>
      <c r="AR290" s="238">
        <v>1149.6480269962806</v>
      </c>
      <c r="AS290" s="238">
        <v>1959.9311085325464</v>
      </c>
      <c r="AT290" s="238">
        <v>108756</v>
      </c>
      <c r="AU290" s="238">
        <v>176.47714788304378</v>
      </c>
      <c r="AV290" s="237">
        <v>1</v>
      </c>
      <c r="AW290" s="237">
        <v>0</v>
      </c>
      <c r="AX290" s="237">
        <v>1</v>
      </c>
      <c r="AY290" s="244" t="s">
        <v>673</v>
      </c>
      <c r="AZ290" s="244" t="s">
        <v>682</v>
      </c>
      <c r="BA290" s="237">
        <v>0</v>
      </c>
      <c r="BB290" s="245" t="s">
        <v>1674</v>
      </c>
      <c r="BC290" s="215" t="s">
        <v>1675</v>
      </c>
      <c r="BE290" s="237">
        <v>7</v>
      </c>
      <c r="BF290" s="237">
        <v>37</v>
      </c>
      <c r="BG290" s="246" t="s">
        <v>676</v>
      </c>
      <c r="BI290" s="239">
        <v>0.53805496828752641</v>
      </c>
      <c r="BJ290" s="239">
        <v>6.9767441860465115E-2</v>
      </c>
      <c r="BK290" s="239">
        <v>0.26638477801268501</v>
      </c>
      <c r="BL290" s="239">
        <v>0.12579281183932348</v>
      </c>
      <c r="BM290" s="247">
        <v>2.0200845665961946</v>
      </c>
      <c r="BN290" s="248">
        <v>1</v>
      </c>
      <c r="BO290" s="248">
        <v>0</v>
      </c>
      <c r="BP290" s="237">
        <v>0</v>
      </c>
      <c r="BQ290" s="237">
        <v>0</v>
      </c>
      <c r="BR290" s="248">
        <v>1</v>
      </c>
      <c r="BS290" s="237">
        <v>17</v>
      </c>
      <c r="BT290" s="237" t="s">
        <v>790</v>
      </c>
      <c r="BU290" s="249" t="s">
        <v>678</v>
      </c>
      <c r="BV290" s="249">
        <v>183</v>
      </c>
      <c r="BW290" s="249">
        <v>756</v>
      </c>
      <c r="BX290" s="249" t="s">
        <v>678</v>
      </c>
      <c r="BY290" s="249" t="s">
        <v>678</v>
      </c>
      <c r="BZ290" s="249">
        <v>13.071428571428571</v>
      </c>
      <c r="CA290" s="249">
        <v>54</v>
      </c>
      <c r="CB290" s="249" t="s">
        <v>678</v>
      </c>
      <c r="CC290" s="250" t="s">
        <v>678</v>
      </c>
      <c r="CD290" s="242" t="s">
        <v>678</v>
      </c>
      <c r="CE290" s="252" t="s">
        <v>678</v>
      </c>
      <c r="CF290" s="238">
        <v>717</v>
      </c>
      <c r="CG290" s="238">
        <v>66</v>
      </c>
      <c r="CH290" s="238">
        <v>4.7142857142857144</v>
      </c>
      <c r="CI290" s="216" t="s">
        <v>722</v>
      </c>
      <c r="CJ290" s="237">
        <v>1</v>
      </c>
      <c r="CK290" s="253">
        <v>67.510000000000005</v>
      </c>
      <c r="CL290" s="253">
        <v>20.3032</v>
      </c>
      <c r="CM290" s="254">
        <v>8.573986486486487E-3</v>
      </c>
      <c r="CN290" s="237" t="s">
        <v>791</v>
      </c>
      <c r="CO290" s="242"/>
      <c r="CP290" s="255">
        <v>0</v>
      </c>
      <c r="CQ290" s="237">
        <v>312.15999999999997</v>
      </c>
      <c r="CR290" s="248" t="s">
        <v>762</v>
      </c>
      <c r="CS290" s="237">
        <v>312.15999999999997</v>
      </c>
      <c r="CV290" s="237">
        <v>3</v>
      </c>
      <c r="CW290" s="261" t="s">
        <v>678</v>
      </c>
      <c r="CX290" s="261" t="s">
        <v>678</v>
      </c>
      <c r="CY290" s="261" t="s">
        <v>678</v>
      </c>
      <c r="CZ290" s="242"/>
      <c r="DA290" s="242"/>
      <c r="DB290" s="216" t="s">
        <v>681</v>
      </c>
      <c r="DC290" s="256"/>
      <c r="DD290" s="256">
        <v>0.7</v>
      </c>
      <c r="DE290" s="256">
        <v>-6.5</v>
      </c>
      <c r="DF290" s="256">
        <v>0.7</v>
      </c>
      <c r="DG290" s="256">
        <v>-2.2000000000000002</v>
      </c>
      <c r="DL290" s="237" t="s">
        <v>682</v>
      </c>
      <c r="DP290" s="258" t="s">
        <v>682</v>
      </c>
      <c r="DQ290" s="258"/>
      <c r="DR290" s="258"/>
      <c r="DS290" s="258"/>
      <c r="DT290" s="258"/>
      <c r="DU290" s="237">
        <v>0</v>
      </c>
      <c r="DX290" s="247"/>
      <c r="DY290" s="247">
        <v>0</v>
      </c>
      <c r="ED290" s="237" t="s">
        <v>678</v>
      </c>
      <c r="EE290" s="208">
        <v>4</v>
      </c>
      <c r="EF290" s="237" t="s">
        <v>678</v>
      </c>
      <c r="EG290" s="216" t="s">
        <v>715</v>
      </c>
      <c r="EH290" s="246" t="s">
        <v>690</v>
      </c>
      <c r="EI290" s="216"/>
      <c r="EJ290" s="216" t="s">
        <v>529</v>
      </c>
      <c r="EK290" s="222" t="s">
        <v>682</v>
      </c>
      <c r="EL290" s="259">
        <v>1994</v>
      </c>
      <c r="EM290" s="260">
        <v>2376.6999999999998</v>
      </c>
      <c r="EN290" s="260">
        <v>42723</v>
      </c>
      <c r="EO290" s="260">
        <v>66990</v>
      </c>
      <c r="ER290" s="237" t="s">
        <v>705</v>
      </c>
      <c r="ES290" s="237">
        <v>1400</v>
      </c>
      <c r="ET290" s="237">
        <v>28.186140446838056</v>
      </c>
      <c r="EU290" s="661">
        <v>3</v>
      </c>
      <c r="EV290" s="661" t="s">
        <v>678</v>
      </c>
      <c r="EW290" s="661">
        <v>6</v>
      </c>
      <c r="EX290" s="661">
        <v>8</v>
      </c>
      <c r="EY290" s="660">
        <v>2.8509290540540543E-2</v>
      </c>
      <c r="EZ290" s="256">
        <v>20.737668493556509</v>
      </c>
      <c r="FA290" s="247">
        <v>0.4267425320056899</v>
      </c>
      <c r="FB290" s="208">
        <v>5</v>
      </c>
      <c r="FC290" s="208">
        <v>5</v>
      </c>
      <c r="FD290" s="208">
        <v>6</v>
      </c>
      <c r="FE290" s="239">
        <v>0.71550497866287344</v>
      </c>
      <c r="FF290" s="208"/>
      <c r="FG290" s="241">
        <v>0</v>
      </c>
      <c r="FH290" s="209">
        <v>0.44403982930298713</v>
      </c>
      <c r="FI290" s="237" t="s">
        <v>678</v>
      </c>
      <c r="FJ290" s="208">
        <v>40.9</v>
      </c>
      <c r="FK290" s="208">
        <v>0.03</v>
      </c>
      <c r="FL290" s="217">
        <v>19.8</v>
      </c>
      <c r="FM290" s="208">
        <v>0.55000000000000004</v>
      </c>
      <c r="FN290" s="208" t="s">
        <v>1676</v>
      </c>
      <c r="FP290" s="247" t="s">
        <v>693</v>
      </c>
      <c r="FU290" s="208">
        <v>33</v>
      </c>
      <c r="FV290" s="208">
        <v>35.4</v>
      </c>
      <c r="FW290" s="237">
        <v>48.28</v>
      </c>
      <c r="FX290" s="237">
        <v>25.9</v>
      </c>
      <c r="FY290" s="208">
        <v>7.89</v>
      </c>
      <c r="FZ290" s="208">
        <v>14.2</v>
      </c>
      <c r="GA290" s="208">
        <v>27.71</v>
      </c>
      <c r="GB290" s="208">
        <v>17.899999999999999</v>
      </c>
      <c r="GC290" s="208" t="s">
        <v>678</v>
      </c>
      <c r="GD290" s="208" t="s">
        <v>678</v>
      </c>
      <c r="GE290" s="237">
        <v>20.38</v>
      </c>
      <c r="GF290" s="237">
        <v>16.899999999999999</v>
      </c>
      <c r="GG290" s="237">
        <v>35.22</v>
      </c>
      <c r="GH290" s="237">
        <v>99.7</v>
      </c>
      <c r="GJ290" s="947"/>
      <c r="GK290" s="320"/>
      <c r="GL290" s="320"/>
      <c r="GM290" s="320"/>
      <c r="GN290" s="320"/>
      <c r="GO290" s="662">
        <v>8287</v>
      </c>
      <c r="GP290" s="663" t="str">
        <f>VLOOKUP(GS290,'BD Comarcal'!$A$6:$AV$17,48,FALSE)</f>
        <v>03</v>
      </c>
      <c r="GQ290" s="564">
        <v>19</v>
      </c>
      <c r="GR290" s="256">
        <f t="shared" si="4"/>
        <v>0</v>
      </c>
      <c r="GS290" s="237" t="s">
        <v>791</v>
      </c>
    </row>
    <row r="291" spans="1:201" s="237" customFormat="1" ht="17.25" customHeight="1">
      <c r="A291" s="236" t="s">
        <v>1677</v>
      </c>
      <c r="C291" s="238"/>
      <c r="D291" s="238">
        <v>3680</v>
      </c>
      <c r="E291" s="238">
        <v>2139</v>
      </c>
      <c r="F291" s="239">
        <v>0.58125000000000004</v>
      </c>
      <c r="G291" s="238">
        <v>1137</v>
      </c>
      <c r="H291" s="240">
        <v>397.70625795925622</v>
      </c>
      <c r="I291" s="239">
        <v>0.18593092938721656</v>
      </c>
      <c r="J291" s="238">
        <v>992</v>
      </c>
      <c r="K291" s="238">
        <v>29</v>
      </c>
      <c r="L291" s="238">
        <v>1</v>
      </c>
      <c r="M291" s="241">
        <v>2.7173913043478261E-4</v>
      </c>
      <c r="N291" s="238">
        <v>104</v>
      </c>
      <c r="O291" s="239">
        <v>0.10483870967741936</v>
      </c>
      <c r="P291" s="237">
        <v>10</v>
      </c>
      <c r="Q291" s="237">
        <v>0</v>
      </c>
      <c r="R291" s="239">
        <v>0</v>
      </c>
      <c r="S291" s="238">
        <v>1324</v>
      </c>
      <c r="T291" s="436">
        <v>0</v>
      </c>
      <c r="U291" s="436">
        <v>72</v>
      </c>
      <c r="V291" s="436">
        <v>17</v>
      </c>
      <c r="W291" s="436">
        <v>89</v>
      </c>
      <c r="X291" s="238">
        <v>2201</v>
      </c>
      <c r="Y291" s="237">
        <v>0.18890000000000001</v>
      </c>
      <c r="Z291" s="238">
        <v>29457</v>
      </c>
      <c r="AA291" s="238">
        <v>13115</v>
      </c>
      <c r="AB291" s="238">
        <v>80.13</v>
      </c>
      <c r="AC291" s="238">
        <v>2936</v>
      </c>
      <c r="AD291" s="238">
        <v>0</v>
      </c>
      <c r="AE291" s="238">
        <v>538337.11999999965</v>
      </c>
      <c r="AF291" s="238">
        <v>1725740.04</v>
      </c>
      <c r="AG291" s="238">
        <v>39956.75</v>
      </c>
      <c r="AH291" s="239">
        <v>2.3153400323260739E-2</v>
      </c>
      <c r="AI291" s="247">
        <v>132.92752999999999</v>
      </c>
      <c r="AJ291" s="242">
        <v>35.321841999999997</v>
      </c>
      <c r="AK291" s="242">
        <v>0.95983266304347814</v>
      </c>
      <c r="AL291" s="242">
        <v>173.26111299999999</v>
      </c>
      <c r="AM291" s="242">
        <v>4.7081824184782608</v>
      </c>
      <c r="AN291" s="242">
        <v>23435.88</v>
      </c>
      <c r="AO291" s="238">
        <v>5625.45</v>
      </c>
      <c r="AP291" s="243">
        <v>10</v>
      </c>
      <c r="AQ291" s="238"/>
      <c r="AR291" s="238">
        <v>1477.0223389208056</v>
      </c>
      <c r="AS291" s="238">
        <v>1284.0571227914943</v>
      </c>
      <c r="AT291" s="238">
        <v>121848</v>
      </c>
      <c r="AU291" s="238">
        <v>298.45776556736791</v>
      </c>
      <c r="AV291" s="237">
        <v>1</v>
      </c>
      <c r="AW291" s="237">
        <v>1</v>
      </c>
      <c r="AX291" s="237">
        <v>1</v>
      </c>
      <c r="AY291" s="244" t="s">
        <v>673</v>
      </c>
      <c r="AZ291" s="244" t="s">
        <v>682</v>
      </c>
      <c r="BA291" s="237">
        <v>2009</v>
      </c>
      <c r="BB291" s="245" t="s">
        <v>1678</v>
      </c>
      <c r="BC291" s="215" t="s">
        <v>1679</v>
      </c>
      <c r="BE291" s="237">
        <v>10</v>
      </c>
      <c r="BF291" s="237">
        <v>25</v>
      </c>
      <c r="BG291" s="246" t="s">
        <v>676</v>
      </c>
      <c r="BI291" s="239">
        <v>0.54790419161676651</v>
      </c>
      <c r="BJ291" s="239">
        <v>0.250499001996008</v>
      </c>
      <c r="BK291" s="239">
        <v>0.19061876247504991</v>
      </c>
      <c r="BL291" s="239">
        <v>1.0978043912175649E-2</v>
      </c>
      <c r="BM291" s="247">
        <v>2.3353293413173657</v>
      </c>
      <c r="BN291" s="248">
        <v>1</v>
      </c>
      <c r="BO291" s="248">
        <v>0</v>
      </c>
      <c r="BP291" s="237">
        <v>0</v>
      </c>
      <c r="BQ291" s="237">
        <v>0</v>
      </c>
      <c r="BR291" s="248">
        <v>1</v>
      </c>
      <c r="BS291" s="237">
        <v>14</v>
      </c>
      <c r="BT291" s="237" t="s">
        <v>790</v>
      </c>
      <c r="BU291" s="249" t="s">
        <v>678</v>
      </c>
      <c r="BV291" s="249">
        <v>304</v>
      </c>
      <c r="BW291" s="249">
        <v>1167</v>
      </c>
      <c r="BX291" s="249" t="s">
        <v>678</v>
      </c>
      <c r="BY291" s="249" t="s">
        <v>678</v>
      </c>
      <c r="BZ291" s="249">
        <v>12.881355932203389</v>
      </c>
      <c r="CA291" s="249">
        <v>49.449152542372879</v>
      </c>
      <c r="CB291" s="249" t="s">
        <v>678</v>
      </c>
      <c r="CC291" s="250" t="s">
        <v>678</v>
      </c>
      <c r="CD291" s="242" t="s">
        <v>678</v>
      </c>
      <c r="CE291" s="252" t="s">
        <v>678</v>
      </c>
      <c r="CF291" s="238">
        <v>1804</v>
      </c>
      <c r="CG291" s="238">
        <v>268</v>
      </c>
      <c r="CH291" s="238">
        <v>11.35593220338983</v>
      </c>
      <c r="CI291" s="216" t="s">
        <v>700</v>
      </c>
      <c r="CJ291" s="237">
        <v>0</v>
      </c>
      <c r="CK291" s="253">
        <v>227.81</v>
      </c>
      <c r="CL291" s="253">
        <v>41.02</v>
      </c>
      <c r="CM291" s="254">
        <v>1.1146739130434784E-2</v>
      </c>
      <c r="CN291" s="237" t="s">
        <v>791</v>
      </c>
      <c r="CO291" s="242">
        <v>1461.31</v>
      </c>
      <c r="CP291" s="255">
        <v>0.39709510869565218</v>
      </c>
      <c r="CV291" s="237">
        <v>3</v>
      </c>
      <c r="CW291" s="261" t="s">
        <v>678</v>
      </c>
      <c r="CX291" s="261" t="s">
        <v>678</v>
      </c>
      <c r="CY291" s="261" t="s">
        <v>678</v>
      </c>
      <c r="DB291" s="216" t="s">
        <v>710</v>
      </c>
      <c r="DC291" s="195" t="s">
        <v>711</v>
      </c>
      <c r="DD291" s="256">
        <v>0.7</v>
      </c>
      <c r="DE291" s="256">
        <v>-6.5</v>
      </c>
      <c r="DF291" s="256">
        <v>0.7</v>
      </c>
      <c r="DG291" s="256">
        <v>-2.2000000000000002</v>
      </c>
      <c r="DH291" s="257">
        <v>3</v>
      </c>
      <c r="DI291" s="257">
        <v>81.11</v>
      </c>
      <c r="DJ291" s="257">
        <v>13.88</v>
      </c>
      <c r="DK291" s="257">
        <v>94.99</v>
      </c>
      <c r="DL291" s="237" t="s">
        <v>682</v>
      </c>
      <c r="DP291" s="258" t="s">
        <v>682</v>
      </c>
      <c r="DQ291" s="258"/>
      <c r="DR291" s="258"/>
      <c r="DS291" s="258"/>
      <c r="DT291" s="258"/>
      <c r="DU291" s="237">
        <v>0</v>
      </c>
      <c r="DX291" s="247"/>
      <c r="DY291" s="247">
        <v>0</v>
      </c>
      <c r="EA291" s="237">
        <v>2</v>
      </c>
      <c r="EB291" s="237" t="s">
        <v>1680</v>
      </c>
      <c r="ED291" s="237" t="s">
        <v>687</v>
      </c>
      <c r="EE291" s="208">
        <v>1</v>
      </c>
      <c r="EF291" s="237" t="s">
        <v>688</v>
      </c>
      <c r="EG291" s="216" t="s">
        <v>691</v>
      </c>
      <c r="EH291" s="246" t="s">
        <v>690</v>
      </c>
      <c r="EI291" s="216" t="s">
        <v>691</v>
      </c>
      <c r="EJ291" s="216" t="s">
        <v>529</v>
      </c>
      <c r="EK291" s="222" t="s">
        <v>682</v>
      </c>
      <c r="EL291" s="259">
        <v>2010</v>
      </c>
      <c r="EM291" s="260">
        <v>2700</v>
      </c>
      <c r="EN291" s="260">
        <v>103633</v>
      </c>
      <c r="EO291" s="260">
        <v>18346</v>
      </c>
      <c r="ER291" s="237" t="s">
        <v>705</v>
      </c>
      <c r="ES291" s="237">
        <v>2360</v>
      </c>
      <c r="ET291" s="237">
        <v>6.7948148148148144</v>
      </c>
      <c r="EU291" s="661">
        <v>1</v>
      </c>
      <c r="EV291" s="661">
        <v>2</v>
      </c>
      <c r="EW291" s="661">
        <v>1</v>
      </c>
      <c r="EX291" s="661">
        <v>6</v>
      </c>
      <c r="EY291" s="660">
        <v>6.1904891304347828E-2</v>
      </c>
      <c r="EZ291" s="256">
        <v>10.359510118080857</v>
      </c>
      <c r="FA291" s="247">
        <v>0.14025245441795231</v>
      </c>
      <c r="FB291" s="208">
        <v>3</v>
      </c>
      <c r="FC291" s="208">
        <v>5</v>
      </c>
      <c r="FD291" s="208">
        <v>4</v>
      </c>
      <c r="FE291" s="239">
        <v>0.53155680224403923</v>
      </c>
      <c r="FF291" s="208"/>
      <c r="FG291" s="241">
        <v>4.4408602150537629E-2</v>
      </c>
      <c r="FH291" s="209">
        <v>0</v>
      </c>
      <c r="FI291" s="237" t="s">
        <v>678</v>
      </c>
      <c r="FJ291" s="208">
        <v>52.5</v>
      </c>
      <c r="FK291" s="208">
        <v>26.25</v>
      </c>
      <c r="FL291" s="217">
        <v>68.599999999999994</v>
      </c>
      <c r="FM291" s="208">
        <v>2.44</v>
      </c>
      <c r="FN291" s="208">
        <v>24</v>
      </c>
      <c r="FP291" s="247" t="s">
        <v>693</v>
      </c>
      <c r="FU291" s="208">
        <v>46</v>
      </c>
      <c r="FV291" s="208">
        <v>67.2</v>
      </c>
      <c r="FW291" s="237">
        <v>43.85</v>
      </c>
      <c r="FX291" s="237">
        <v>22.6</v>
      </c>
      <c r="FY291" s="208">
        <v>14.39</v>
      </c>
      <c r="FZ291" s="208">
        <v>26.2</v>
      </c>
      <c r="GA291" s="208">
        <v>29</v>
      </c>
      <c r="GB291" s="208">
        <v>19.600000000000001</v>
      </c>
      <c r="GC291" s="208">
        <v>0.33</v>
      </c>
      <c r="GD291" s="208">
        <v>52</v>
      </c>
      <c r="GE291" s="237">
        <v>23.53</v>
      </c>
      <c r="GF291" s="237">
        <v>23</v>
      </c>
      <c r="GG291" s="237">
        <v>11.84</v>
      </c>
      <c r="GH291" s="237">
        <v>75.3</v>
      </c>
      <c r="GJ291" s="947"/>
      <c r="GK291" s="320"/>
      <c r="GL291" s="320"/>
      <c r="GM291" s="320"/>
      <c r="GN291" s="320"/>
      <c r="GO291" s="662">
        <v>8288</v>
      </c>
      <c r="GP291" s="663" t="str">
        <f>VLOOKUP(GS291,'BD Comarcal'!$A$6:$AV$17,48,FALSE)</f>
        <v>03</v>
      </c>
      <c r="GQ291" s="564">
        <v>25</v>
      </c>
      <c r="GR291" s="256">
        <f t="shared" si="4"/>
        <v>1</v>
      </c>
      <c r="GS291" s="237" t="s">
        <v>791</v>
      </c>
    </row>
    <row r="292" spans="1:201" s="237" customFormat="1" ht="17.25" customHeight="1">
      <c r="A292" s="236" t="s">
        <v>1681</v>
      </c>
      <c r="C292" s="238"/>
      <c r="D292" s="238">
        <v>1355</v>
      </c>
      <c r="E292" s="238">
        <v>864</v>
      </c>
      <c r="F292" s="239">
        <v>0.63763837638376386</v>
      </c>
      <c r="G292" s="238">
        <v>827</v>
      </c>
      <c r="H292" s="240">
        <v>171.82415950123371</v>
      </c>
      <c r="I292" s="239">
        <v>0.19887055497827977</v>
      </c>
      <c r="J292" s="238">
        <v>123</v>
      </c>
      <c r="K292" s="238">
        <v>4</v>
      </c>
      <c r="L292" s="238">
        <v>24</v>
      </c>
      <c r="M292" s="241">
        <v>1.7712177121771217E-2</v>
      </c>
      <c r="N292" s="238">
        <v>3</v>
      </c>
      <c r="O292" s="239">
        <v>2.4390243902439025E-2</v>
      </c>
      <c r="P292" s="237">
        <v>2</v>
      </c>
      <c r="Q292" s="237">
        <v>0</v>
      </c>
      <c r="R292" s="239">
        <v>0</v>
      </c>
      <c r="S292" s="238">
        <v>24</v>
      </c>
      <c r="T292" s="436">
        <v>0</v>
      </c>
      <c r="U292" s="436">
        <v>0</v>
      </c>
      <c r="V292" s="436">
        <v>22</v>
      </c>
      <c r="W292" s="436">
        <v>22</v>
      </c>
      <c r="X292" s="238">
        <v>5933</v>
      </c>
      <c r="Y292" s="237">
        <v>0.11260000000000001</v>
      </c>
      <c r="Z292" s="238">
        <v>102558</v>
      </c>
      <c r="AA292" s="238">
        <v>17433</v>
      </c>
      <c r="AB292" s="238">
        <v>106.52</v>
      </c>
      <c r="AC292" s="238">
        <v>798</v>
      </c>
      <c r="AD292" s="238">
        <v>5213186.6100000003</v>
      </c>
      <c r="AE292" s="238">
        <v>667443.37000000011</v>
      </c>
      <c r="AF292" s="238">
        <v>5263446.8</v>
      </c>
      <c r="AG292" s="238">
        <v>564528.84</v>
      </c>
      <c r="AH292" s="239">
        <v>0.10725459218092601</v>
      </c>
      <c r="AI292" s="247">
        <v>283.34575000000001</v>
      </c>
      <c r="AJ292" s="242">
        <v>25.669768000000001</v>
      </c>
      <c r="AK292" s="242">
        <v>1.8944478228782287</v>
      </c>
      <c r="AL292" s="242">
        <v>220.13578100000001</v>
      </c>
      <c r="AM292" s="242">
        <v>16.246183099630997</v>
      </c>
      <c r="AN292" s="242">
        <v>16040.89</v>
      </c>
      <c r="AO292" s="238">
        <v>8534.08</v>
      </c>
      <c r="AP292" s="243">
        <v>17</v>
      </c>
      <c r="AQ292" s="238"/>
      <c r="AR292" s="238">
        <v>1379.3532061068884</v>
      </c>
      <c r="AS292" s="238">
        <v>966.792650464129</v>
      </c>
      <c r="AT292" s="238">
        <v>279136.66666666669</v>
      </c>
      <c r="AU292" s="238">
        <v>265.39093965150511</v>
      </c>
      <c r="AV292" s="237">
        <v>1</v>
      </c>
      <c r="AW292" s="237">
        <v>1</v>
      </c>
      <c r="AX292" s="237">
        <v>1</v>
      </c>
      <c r="AY292" s="244" t="s">
        <v>673</v>
      </c>
      <c r="AZ292" s="244" t="s">
        <v>695</v>
      </c>
      <c r="BA292" s="237">
        <v>0</v>
      </c>
      <c r="BB292" s="245" t="s">
        <v>826</v>
      </c>
      <c r="BC292" s="215" t="s">
        <v>827</v>
      </c>
      <c r="BE292" s="237">
        <v>125</v>
      </c>
      <c r="BF292" s="237">
        <v>102</v>
      </c>
      <c r="BG292" s="246" t="s">
        <v>676</v>
      </c>
      <c r="BI292" s="239">
        <v>0.38320920785375762</v>
      </c>
      <c r="BJ292" s="239">
        <v>0.13777928232904535</v>
      </c>
      <c r="BK292" s="239">
        <v>0.43838862559241704</v>
      </c>
      <c r="BL292" s="239">
        <v>4.0622884224779957E-2</v>
      </c>
      <c r="BM292" s="247">
        <v>1.8635748138117805</v>
      </c>
      <c r="BN292" s="248">
        <v>0</v>
      </c>
      <c r="BO292" s="248">
        <v>0</v>
      </c>
      <c r="BP292" s="237">
        <v>0</v>
      </c>
      <c r="BQ292" s="237">
        <v>0</v>
      </c>
      <c r="BR292" s="248">
        <v>0</v>
      </c>
      <c r="BS292" s="237">
        <v>6.7</v>
      </c>
      <c r="BT292" s="237" t="s">
        <v>1094</v>
      </c>
      <c r="BU292" s="249" t="s">
        <v>678</v>
      </c>
      <c r="BV292" s="249">
        <v>298</v>
      </c>
      <c r="BW292" s="249">
        <v>2779</v>
      </c>
      <c r="BX292" s="249">
        <v>1108</v>
      </c>
      <c r="BY292" s="249" t="s">
        <v>678</v>
      </c>
      <c r="BZ292" s="249">
        <v>5.1592797783933522</v>
      </c>
      <c r="CA292" s="249">
        <v>48.112880886426595</v>
      </c>
      <c r="CB292" s="249">
        <v>19.182825484764543</v>
      </c>
      <c r="CC292" s="250" t="s">
        <v>678</v>
      </c>
      <c r="CD292" s="242">
        <v>-6</v>
      </c>
      <c r="CE292" s="252">
        <v>99.896121883656505</v>
      </c>
      <c r="CF292" s="238">
        <v>2533</v>
      </c>
      <c r="CG292" s="238">
        <v>369.1</v>
      </c>
      <c r="CH292" s="238">
        <v>6.3902354570637119</v>
      </c>
      <c r="CI292" s="216" t="s">
        <v>679</v>
      </c>
      <c r="CJ292" s="237">
        <v>0</v>
      </c>
      <c r="CK292" s="253">
        <v>164.1</v>
      </c>
      <c r="CL292" s="253">
        <v>30.283000000000001</v>
      </c>
      <c r="CM292" s="254">
        <v>2.2349077490774909E-2</v>
      </c>
      <c r="CN292" s="237" t="s">
        <v>90</v>
      </c>
      <c r="CO292" s="242">
        <v>364.35</v>
      </c>
      <c r="CP292" s="255">
        <v>0.26889298892988933</v>
      </c>
      <c r="CV292" s="237">
        <v>9</v>
      </c>
      <c r="CW292" s="194">
        <v>1.867</v>
      </c>
      <c r="CX292" s="194">
        <v>0.33300000000000002</v>
      </c>
      <c r="CY292" s="194">
        <v>2.835</v>
      </c>
      <c r="DB292" s="216" t="s">
        <v>804</v>
      </c>
      <c r="DC292" s="195" t="s">
        <v>977</v>
      </c>
      <c r="DD292" s="256">
        <v>0.7</v>
      </c>
      <c r="DE292" s="256">
        <v>-6.5</v>
      </c>
      <c r="DF292" s="256">
        <v>0.7</v>
      </c>
      <c r="DG292" s="256">
        <v>-2.2000000000000002</v>
      </c>
      <c r="DL292" s="237" t="s">
        <v>682</v>
      </c>
      <c r="DP292" s="258" t="s">
        <v>682</v>
      </c>
      <c r="DQ292" s="258"/>
      <c r="DR292" s="258"/>
      <c r="DS292" s="258"/>
      <c r="DT292" s="258"/>
      <c r="DU292" s="237">
        <v>0</v>
      </c>
      <c r="DX292" s="247"/>
      <c r="DY292" s="247">
        <v>0</v>
      </c>
      <c r="EA292" s="237">
        <v>0</v>
      </c>
      <c r="ED292" s="237" t="s">
        <v>687</v>
      </c>
      <c r="EE292" s="208">
        <v>3</v>
      </c>
      <c r="EF292" s="237" t="s">
        <v>688</v>
      </c>
      <c r="EG292" s="216" t="s">
        <v>703</v>
      </c>
      <c r="EH292" s="246" t="s">
        <v>704</v>
      </c>
      <c r="EI292" s="216" t="s">
        <v>689</v>
      </c>
      <c r="EJ292" s="216" t="s">
        <v>529</v>
      </c>
      <c r="EK292" s="222" t="s">
        <v>682</v>
      </c>
      <c r="EL292" s="259">
        <v>1995</v>
      </c>
      <c r="EM292" s="263">
        <v>278325</v>
      </c>
      <c r="EN292" s="260">
        <v>250157</v>
      </c>
      <c r="EO292" s="260">
        <v>32496</v>
      </c>
      <c r="EP292" s="237">
        <v>1</v>
      </c>
      <c r="EQ292" s="237">
        <v>90</v>
      </c>
      <c r="ER292" s="237" t="s">
        <v>705</v>
      </c>
      <c r="ES292" s="237" t="e">
        <v>#DIV/0!</v>
      </c>
      <c r="ET292" s="237">
        <v>0.11675559148477499</v>
      </c>
      <c r="EU292" s="661">
        <v>3</v>
      </c>
      <c r="EV292" s="661">
        <v>2</v>
      </c>
      <c r="EW292" s="661">
        <v>4</v>
      </c>
      <c r="EX292" s="661">
        <v>4</v>
      </c>
      <c r="EY292" s="660">
        <v>0.1211070110701107</v>
      </c>
      <c r="EZ292" s="256">
        <v>35.198049969530778</v>
      </c>
      <c r="FA292" s="247">
        <v>1.0416666666666667</v>
      </c>
      <c r="FB292" s="208">
        <v>4</v>
      </c>
      <c r="FC292" s="208">
        <v>6</v>
      </c>
      <c r="FD292" s="208">
        <v>4</v>
      </c>
      <c r="FE292" s="239">
        <v>0.95717592592592593</v>
      </c>
      <c r="FF292" s="208"/>
      <c r="FG292" s="241">
        <v>0</v>
      </c>
      <c r="FH292" s="209">
        <v>0</v>
      </c>
      <c r="FI292" s="237" t="s">
        <v>678</v>
      </c>
      <c r="FJ292" s="208">
        <v>43.2</v>
      </c>
      <c r="FK292" s="208">
        <v>17.18</v>
      </c>
      <c r="FL292" s="217">
        <v>58</v>
      </c>
      <c r="FM292" s="208">
        <v>2.94</v>
      </c>
      <c r="FN292" s="208">
        <v>29</v>
      </c>
      <c r="FP292" s="247" t="s">
        <v>693</v>
      </c>
      <c r="FU292" s="208">
        <v>43</v>
      </c>
      <c r="FV292" s="208">
        <v>61.6</v>
      </c>
      <c r="FW292" s="237">
        <v>68.87</v>
      </c>
      <c r="FX292" s="237">
        <v>50.9</v>
      </c>
      <c r="FY292" s="208">
        <v>48.48</v>
      </c>
      <c r="FZ292" s="208">
        <v>60.2</v>
      </c>
      <c r="GA292" s="208">
        <v>55.66</v>
      </c>
      <c r="GB292" s="208">
        <v>60.1</v>
      </c>
      <c r="GC292" s="208">
        <v>0.34</v>
      </c>
      <c r="GD292" s="208">
        <v>52.7</v>
      </c>
      <c r="GE292" s="237">
        <v>42.2</v>
      </c>
      <c r="GF292" s="237">
        <v>53.9</v>
      </c>
      <c r="GG292" s="237">
        <v>4.59</v>
      </c>
      <c r="GH292" s="237">
        <v>41</v>
      </c>
      <c r="GJ292" s="947">
        <v>66</v>
      </c>
      <c r="GK292" s="320">
        <v>8.9999999999999993E-3</v>
      </c>
      <c r="GL292" s="320">
        <v>8.5000000000000006E-2</v>
      </c>
      <c r="GM292" s="320">
        <v>0.11600000000000001</v>
      </c>
      <c r="GN292" s="320">
        <v>0.79</v>
      </c>
      <c r="GO292" s="662">
        <v>8289</v>
      </c>
      <c r="GP292" s="663" t="str">
        <f>VLOOKUP(GS292,'BD Comarcal'!$A$6:$AV$17,48,FALSE)</f>
        <v>11</v>
      </c>
      <c r="GQ292" s="564">
        <v>35</v>
      </c>
      <c r="GR292" s="256">
        <f t="shared" si="4"/>
        <v>0</v>
      </c>
      <c r="GS292" s="237" t="s">
        <v>90</v>
      </c>
    </row>
    <row r="293" spans="1:201" s="237" customFormat="1" ht="17.25" customHeight="1">
      <c r="A293" s="236" t="s">
        <v>1682</v>
      </c>
      <c r="C293" s="238"/>
      <c r="D293" s="238">
        <v>736</v>
      </c>
      <c r="E293" s="238">
        <v>491</v>
      </c>
      <c r="F293" s="239">
        <v>0.66711956521739135</v>
      </c>
      <c r="G293" s="238">
        <v>298</v>
      </c>
      <c r="H293" s="240">
        <v>2.2682064196483496</v>
      </c>
      <c r="I293" s="239">
        <v>4.6195650094671067E-3</v>
      </c>
      <c r="J293" s="238">
        <v>70</v>
      </c>
      <c r="K293" s="238">
        <v>10</v>
      </c>
      <c r="L293" s="238">
        <v>15</v>
      </c>
      <c r="M293" s="241">
        <v>2.0380434782608696E-2</v>
      </c>
      <c r="N293" s="238">
        <v>0</v>
      </c>
      <c r="O293" s="239">
        <v>0</v>
      </c>
      <c r="P293" s="237">
        <v>3</v>
      </c>
      <c r="Q293" s="237">
        <v>0</v>
      </c>
      <c r="R293" s="239">
        <v>0</v>
      </c>
      <c r="S293" s="238">
        <v>970</v>
      </c>
      <c r="T293" s="436">
        <v>0</v>
      </c>
      <c r="U293" s="436">
        <v>0</v>
      </c>
      <c r="V293" s="436">
        <v>0</v>
      </c>
      <c r="W293" s="436">
        <v>0</v>
      </c>
      <c r="X293" s="238">
        <v>2039</v>
      </c>
      <c r="Y293" s="237">
        <v>0.12989999999999999</v>
      </c>
      <c r="Z293" s="238">
        <v>23814</v>
      </c>
      <c r="AA293" s="238">
        <v>11656</v>
      </c>
      <c r="AB293" s="238">
        <v>71.22</v>
      </c>
      <c r="AC293" s="238">
        <v>322</v>
      </c>
      <c r="AD293" s="238">
        <v>2047008.81</v>
      </c>
      <c r="AE293" s="238">
        <v>708984.58000000007</v>
      </c>
      <c r="AF293" s="238">
        <v>3936849.33</v>
      </c>
      <c r="AG293" s="238">
        <v>2325973.31</v>
      </c>
      <c r="AH293" s="239">
        <v>0.59082101320854974</v>
      </c>
      <c r="AI293" s="247">
        <v>83.785146999999995</v>
      </c>
      <c r="AJ293" s="242">
        <v>28.773603000000001</v>
      </c>
      <c r="AK293" s="242">
        <v>3.9094569293478263</v>
      </c>
      <c r="AL293" s="242">
        <v>39.845989000000003</v>
      </c>
      <c r="AM293" s="242">
        <v>5.413857201086957</v>
      </c>
      <c r="AN293" s="242">
        <v>13047.21</v>
      </c>
      <c r="AO293" s="238">
        <v>0</v>
      </c>
      <c r="AP293" s="243">
        <v>0</v>
      </c>
      <c r="AQ293" s="238"/>
      <c r="AR293" s="238">
        <v>1398.2055667657514</v>
      </c>
      <c r="AS293" s="238">
        <v>1078.8305204182941</v>
      </c>
      <c r="AT293" s="238">
        <v>106395</v>
      </c>
      <c r="AU293" s="238">
        <v>245.55108001557042</v>
      </c>
      <c r="AV293" s="237">
        <v>1</v>
      </c>
      <c r="AW293" s="237">
        <v>1</v>
      </c>
      <c r="AX293" s="237">
        <v>1</v>
      </c>
      <c r="AY293" s="244" t="s">
        <v>673</v>
      </c>
      <c r="AZ293" s="244" t="s">
        <v>695</v>
      </c>
      <c r="BA293" s="237">
        <v>2009</v>
      </c>
      <c r="BB293" s="245" t="s">
        <v>674</v>
      </c>
      <c r="BC293" s="215" t="s">
        <v>675</v>
      </c>
      <c r="BE293" s="237">
        <v>3</v>
      </c>
      <c r="BF293" s="237">
        <v>39</v>
      </c>
      <c r="BG293" s="246" t="s">
        <v>676</v>
      </c>
      <c r="BI293" s="239">
        <v>0.30204460966542751</v>
      </c>
      <c r="BJ293" s="239">
        <v>8.4572490706319697E-2</v>
      </c>
      <c r="BK293" s="239">
        <v>0.58828996282527879</v>
      </c>
      <c r="BL293" s="239">
        <v>2.5092936802973979E-2</v>
      </c>
      <c r="BM293" s="247">
        <v>1.6635687732342008</v>
      </c>
      <c r="BN293" s="248">
        <v>1</v>
      </c>
      <c r="BO293" s="248">
        <v>0</v>
      </c>
      <c r="BP293" s="237">
        <v>0</v>
      </c>
      <c r="BQ293" s="237">
        <v>0</v>
      </c>
      <c r="BR293" s="248">
        <v>1</v>
      </c>
      <c r="BS293" s="237">
        <v>9</v>
      </c>
      <c r="BT293" s="237" t="s">
        <v>967</v>
      </c>
      <c r="BU293" s="249" t="s">
        <v>678</v>
      </c>
      <c r="BV293" s="249">
        <v>144</v>
      </c>
      <c r="BW293" s="249">
        <v>1016</v>
      </c>
      <c r="BX293" s="249" t="s">
        <v>678</v>
      </c>
      <c r="BY293" s="249" t="s">
        <v>678</v>
      </c>
      <c r="BZ293" s="249">
        <v>7.0935960591133007</v>
      </c>
      <c r="CA293" s="249">
        <v>50.049261083743843</v>
      </c>
      <c r="CB293" s="249" t="s">
        <v>678</v>
      </c>
      <c r="CC293" s="250" t="s">
        <v>678</v>
      </c>
      <c r="CD293" s="242">
        <v>-645</v>
      </c>
      <c r="CE293" s="252">
        <v>68.22660098522168</v>
      </c>
      <c r="CF293" s="238">
        <v>829</v>
      </c>
      <c r="CG293" s="238">
        <v>125.1</v>
      </c>
      <c r="CH293" s="238">
        <v>6.1625615763546797</v>
      </c>
      <c r="CI293" s="216" t="s">
        <v>722</v>
      </c>
      <c r="CJ293" s="237">
        <v>1</v>
      </c>
      <c r="CK293" s="253">
        <v>36</v>
      </c>
      <c r="CL293" s="253">
        <v>54.570500000000003</v>
      </c>
      <c r="CM293" s="254">
        <v>7.4144701086956519E-2</v>
      </c>
      <c r="CN293" s="237" t="s">
        <v>89</v>
      </c>
      <c r="CO293" s="242"/>
      <c r="CP293" s="255">
        <v>0</v>
      </c>
      <c r="CV293" s="237">
        <v>1</v>
      </c>
      <c r="CW293" s="261" t="s">
        <v>678</v>
      </c>
      <c r="CX293" s="261" t="s">
        <v>678</v>
      </c>
      <c r="CY293" s="261" t="s">
        <v>678</v>
      </c>
      <c r="DB293" s="216"/>
      <c r="DC293" s="195" t="s">
        <v>1683</v>
      </c>
      <c r="DD293" s="256">
        <v>0.7</v>
      </c>
      <c r="DE293" s="256">
        <v>-6.5</v>
      </c>
      <c r="DF293" s="256">
        <v>0.7</v>
      </c>
      <c r="DG293" s="256">
        <v>-2.2000000000000002</v>
      </c>
      <c r="DH293" s="257">
        <v>2</v>
      </c>
      <c r="DI293" s="257">
        <v>0</v>
      </c>
      <c r="DJ293" s="257">
        <v>2.4</v>
      </c>
      <c r="DK293" s="257">
        <v>2.4</v>
      </c>
      <c r="DL293" s="237" t="s">
        <v>682</v>
      </c>
      <c r="DP293" s="258" t="s">
        <v>682</v>
      </c>
      <c r="DQ293" s="258"/>
      <c r="DR293" s="258"/>
      <c r="DS293" s="258"/>
      <c r="DT293" s="258"/>
      <c r="DU293" s="237">
        <v>0</v>
      </c>
      <c r="DX293" s="247"/>
      <c r="DY293" s="247">
        <v>0</v>
      </c>
      <c r="EA293" s="237">
        <v>0</v>
      </c>
      <c r="ED293" s="237" t="s">
        <v>678</v>
      </c>
      <c r="EE293" s="208">
        <v>4</v>
      </c>
      <c r="EF293" s="237" t="s">
        <v>678</v>
      </c>
      <c r="EG293" s="216" t="s">
        <v>691</v>
      </c>
      <c r="EH293" s="246" t="s">
        <v>690</v>
      </c>
      <c r="EI293" s="216"/>
      <c r="EJ293" s="216" t="s">
        <v>529</v>
      </c>
      <c r="EK293" s="222" t="s">
        <v>682</v>
      </c>
      <c r="EL293" s="259">
        <v>1992</v>
      </c>
      <c r="EM293" s="263">
        <v>55057</v>
      </c>
      <c r="EN293" s="260">
        <v>82959</v>
      </c>
      <c r="EO293" s="260">
        <v>24826</v>
      </c>
      <c r="ER293" s="237" t="s">
        <v>705</v>
      </c>
      <c r="ES293" s="237">
        <v>2030</v>
      </c>
      <c r="ET293" s="237">
        <v>0.45091450678387851</v>
      </c>
      <c r="EU293" s="661">
        <v>3</v>
      </c>
      <c r="EV293" s="661" t="s">
        <v>678</v>
      </c>
      <c r="EW293" s="661">
        <v>6</v>
      </c>
      <c r="EX293" s="661">
        <v>6</v>
      </c>
      <c r="EY293" s="660">
        <v>4.8913043478260872E-2</v>
      </c>
      <c r="EZ293" s="256">
        <v>56.388888888888886</v>
      </c>
      <c r="FA293" s="247">
        <v>0.20366598778004075</v>
      </c>
      <c r="FB293" s="208">
        <v>5</v>
      </c>
      <c r="FC293" s="208">
        <v>5</v>
      </c>
      <c r="FD293" s="208">
        <v>3</v>
      </c>
      <c r="FE293" s="239">
        <v>0.60692464358452136</v>
      </c>
      <c r="FF293" s="208"/>
      <c r="FG293" s="241">
        <v>4.8879837067209771E-3</v>
      </c>
      <c r="FH293" s="209">
        <v>0</v>
      </c>
      <c r="FI293" s="237" t="s">
        <v>678</v>
      </c>
      <c r="FJ293" s="208" t="s">
        <v>678</v>
      </c>
      <c r="FK293" s="208" t="s">
        <v>678</v>
      </c>
      <c r="FL293" s="217" t="s">
        <v>678</v>
      </c>
      <c r="FM293" s="208" t="s">
        <v>678</v>
      </c>
      <c r="FN293" s="208" t="s">
        <v>678</v>
      </c>
      <c r="FP293" s="247" t="s">
        <v>693</v>
      </c>
      <c r="FU293" s="208" t="s">
        <v>678</v>
      </c>
      <c r="FV293" s="208" t="s">
        <v>678</v>
      </c>
      <c r="FW293" s="208" t="s">
        <v>678</v>
      </c>
      <c r="FX293" s="208" t="s">
        <v>678</v>
      </c>
      <c r="FY293" s="208" t="s">
        <v>678</v>
      </c>
      <c r="FZ293" s="208" t="s">
        <v>678</v>
      </c>
      <c r="GA293" s="208" t="s">
        <v>678</v>
      </c>
      <c r="GB293" s="208" t="s">
        <v>678</v>
      </c>
      <c r="GC293" s="208" t="s">
        <v>678</v>
      </c>
      <c r="GD293" s="208" t="s">
        <v>678</v>
      </c>
      <c r="GE293" s="237" t="s">
        <v>678</v>
      </c>
      <c r="GF293" s="237" t="s">
        <v>678</v>
      </c>
      <c r="GG293" s="237" t="s">
        <v>678</v>
      </c>
      <c r="GH293" s="237" t="s">
        <v>678</v>
      </c>
      <c r="GJ293" s="947"/>
      <c r="GK293" s="320"/>
      <c r="GL293" s="320"/>
      <c r="GM293" s="320"/>
      <c r="GN293" s="320"/>
      <c r="GO293" s="662">
        <v>8290</v>
      </c>
      <c r="GP293" s="663" t="str">
        <f>VLOOKUP(GS293,'BD Comarcal'!$A$6:$AV$17,48,FALSE)</f>
        <v>40</v>
      </c>
      <c r="GQ293" s="564">
        <v>19</v>
      </c>
      <c r="GR293" s="256">
        <f t="shared" si="4"/>
        <v>0</v>
      </c>
      <c r="GS293" s="237" t="s">
        <v>89</v>
      </c>
    </row>
    <row r="294" spans="1:201" s="237" customFormat="1" ht="17.25" customHeight="1">
      <c r="A294" s="236" t="s">
        <v>1684</v>
      </c>
      <c r="C294" s="238"/>
      <c r="D294" s="238">
        <v>4100</v>
      </c>
      <c r="E294" s="238">
        <v>3398</v>
      </c>
      <c r="F294" s="239">
        <v>0.82878048780487801</v>
      </c>
      <c r="G294" s="238">
        <v>2551</v>
      </c>
      <c r="H294" s="240">
        <v>594.88502039478306</v>
      </c>
      <c r="I294" s="239">
        <v>0.17506916433042469</v>
      </c>
      <c r="J294" s="238">
        <v>160</v>
      </c>
      <c r="K294" s="238">
        <v>54</v>
      </c>
      <c r="L294" s="238">
        <v>0</v>
      </c>
      <c r="M294" s="241">
        <v>0</v>
      </c>
      <c r="N294" s="238">
        <v>0</v>
      </c>
      <c r="O294" s="239">
        <v>0</v>
      </c>
      <c r="P294" s="237">
        <v>1</v>
      </c>
      <c r="Q294" s="237">
        <v>0</v>
      </c>
      <c r="R294" s="239">
        <v>0</v>
      </c>
      <c r="S294" s="238">
        <v>22</v>
      </c>
      <c r="T294" s="436">
        <v>0</v>
      </c>
      <c r="U294" s="436">
        <v>0</v>
      </c>
      <c r="V294" s="436">
        <v>0</v>
      </c>
      <c r="W294" s="436">
        <v>0</v>
      </c>
      <c r="X294" s="238">
        <v>6192</v>
      </c>
      <c r="Y294" s="237">
        <v>0.1172</v>
      </c>
      <c r="Z294" s="238">
        <v>71605</v>
      </c>
      <c r="AA294" s="238">
        <v>11656</v>
      </c>
      <c r="AB294" s="238">
        <v>71.22</v>
      </c>
      <c r="AC294" s="238">
        <v>2046</v>
      </c>
      <c r="AD294" s="238">
        <v>8709429.7899999991</v>
      </c>
      <c r="AE294" s="238">
        <v>725302.58000000101</v>
      </c>
      <c r="AF294" s="238">
        <v>7712816.6599999992</v>
      </c>
      <c r="AG294" s="238">
        <v>170470.45</v>
      </c>
      <c r="AH294" s="239">
        <v>2.2102230289498419E-2</v>
      </c>
      <c r="AI294" s="247">
        <v>452.593323</v>
      </c>
      <c r="AJ294" s="242">
        <v>68.611074000000002</v>
      </c>
      <c r="AK294" s="242">
        <v>1.6734408292682927</v>
      </c>
      <c r="AL294" s="242">
        <v>487.06898200000001</v>
      </c>
      <c r="AM294" s="242">
        <v>11.879731268292684</v>
      </c>
      <c r="AN294" s="242">
        <v>29123.21</v>
      </c>
      <c r="AO294" s="238">
        <v>11158.2</v>
      </c>
      <c r="AP294" s="243">
        <v>29</v>
      </c>
      <c r="AQ294" s="238">
        <v>1</v>
      </c>
      <c r="AR294" s="238">
        <v>1358.6163871685201</v>
      </c>
      <c r="AS294" s="238">
        <v>1867.1434468500859</v>
      </c>
      <c r="AT294" s="238">
        <v>479708.33333333331</v>
      </c>
      <c r="AU294" s="238">
        <v>324.36909724209727</v>
      </c>
      <c r="AV294" s="237">
        <v>1</v>
      </c>
      <c r="AW294" s="237">
        <v>1</v>
      </c>
      <c r="AX294" s="237">
        <v>1</v>
      </c>
      <c r="AY294" s="244" t="s">
        <v>717</v>
      </c>
      <c r="AZ294" s="244" t="s">
        <v>726</v>
      </c>
      <c r="BA294" s="237">
        <v>2012</v>
      </c>
      <c r="BB294" s="245" t="s">
        <v>1378</v>
      </c>
      <c r="BC294" s="215" t="s">
        <v>1379</v>
      </c>
      <c r="BE294" s="237">
        <v>3</v>
      </c>
      <c r="BF294" s="237">
        <v>39</v>
      </c>
      <c r="BG294" s="246" t="s">
        <v>698</v>
      </c>
      <c r="BI294" s="239">
        <v>0.32265073329712113</v>
      </c>
      <c r="BJ294" s="239">
        <v>0.31830526887561106</v>
      </c>
      <c r="BK294" s="239">
        <v>0.34492123845736011</v>
      </c>
      <c r="BL294" s="239">
        <v>1.4122759369907659E-2</v>
      </c>
      <c r="BM294" s="247">
        <v>1.9494839760999456</v>
      </c>
      <c r="BN294" s="248">
        <v>0</v>
      </c>
      <c r="BO294" s="248">
        <v>0</v>
      </c>
      <c r="BP294" s="237">
        <v>0</v>
      </c>
      <c r="BQ294" s="237">
        <v>0</v>
      </c>
      <c r="BR294" s="248">
        <v>0</v>
      </c>
      <c r="BS294" s="237">
        <v>12</v>
      </c>
      <c r="BT294" s="237" t="s">
        <v>967</v>
      </c>
      <c r="BU294" s="249" t="s">
        <v>678</v>
      </c>
      <c r="BV294" s="249">
        <v>416</v>
      </c>
      <c r="BW294" s="249">
        <v>3162</v>
      </c>
      <c r="BX294" s="249" t="s">
        <v>678</v>
      </c>
      <c r="BY294" s="249" t="s">
        <v>678</v>
      </c>
      <c r="BZ294" s="249">
        <v>6.6453674121405752</v>
      </c>
      <c r="CA294" s="249">
        <v>50.511182108626201</v>
      </c>
      <c r="CB294" s="249" t="s">
        <v>678</v>
      </c>
      <c r="CC294" s="250" t="s">
        <v>678</v>
      </c>
      <c r="CD294" s="242">
        <v>69</v>
      </c>
      <c r="CE294" s="252">
        <v>101.10223642172524</v>
      </c>
      <c r="CF294" s="238">
        <v>3941</v>
      </c>
      <c r="CG294" s="238">
        <v>482.7</v>
      </c>
      <c r="CH294" s="238">
        <v>7.7108626198083066</v>
      </c>
      <c r="CI294" s="216" t="s">
        <v>679</v>
      </c>
      <c r="CJ294" s="237">
        <v>0</v>
      </c>
      <c r="CK294" s="253">
        <v>512.63</v>
      </c>
      <c r="CL294" s="253">
        <v>60.578899999999997</v>
      </c>
      <c r="CM294" s="254">
        <v>1.4775341463414634E-2</v>
      </c>
      <c r="CN294" s="237" t="s">
        <v>89</v>
      </c>
      <c r="CO294" s="242">
        <v>2336.92</v>
      </c>
      <c r="CP294" s="255">
        <v>0.56998048780487809</v>
      </c>
      <c r="CV294" s="237">
        <v>4</v>
      </c>
      <c r="CW294" s="194">
        <v>0.80500000000000005</v>
      </c>
      <c r="CX294" s="194">
        <v>0.63500000000000001</v>
      </c>
      <c r="CY294" s="194" t="s">
        <v>680</v>
      </c>
      <c r="CZ294" s="237" t="s">
        <v>529</v>
      </c>
      <c r="DA294" s="237" t="s">
        <v>1648</v>
      </c>
      <c r="DB294" s="216" t="s">
        <v>681</v>
      </c>
      <c r="DC294" s="256"/>
      <c r="DD294" s="256">
        <v>0.8</v>
      </c>
      <c r="DE294" s="256">
        <v>-10</v>
      </c>
      <c r="DF294" s="256">
        <v>0.5</v>
      </c>
      <c r="DG294" s="256">
        <v>-2.2999999999999998</v>
      </c>
      <c r="DH294" s="257">
        <v>3</v>
      </c>
      <c r="DI294" s="257">
        <v>4.7</v>
      </c>
      <c r="DJ294" s="257">
        <v>3.15</v>
      </c>
      <c r="DK294" s="257">
        <v>7.85</v>
      </c>
      <c r="DL294" s="237" t="s">
        <v>682</v>
      </c>
      <c r="DP294" s="258" t="s">
        <v>682</v>
      </c>
      <c r="DQ294" s="258"/>
      <c r="DR294" s="258"/>
      <c r="DS294" s="258"/>
      <c r="DT294" s="258"/>
      <c r="DU294" s="237">
        <v>0</v>
      </c>
      <c r="DX294" s="247"/>
      <c r="DY294" s="247">
        <v>0</v>
      </c>
      <c r="EA294" s="237">
        <v>0</v>
      </c>
      <c r="ED294" s="237" t="s">
        <v>732</v>
      </c>
      <c r="EE294" s="208">
        <v>3</v>
      </c>
      <c r="EF294" s="237" t="s">
        <v>688</v>
      </c>
      <c r="EG294" s="216" t="s">
        <v>733</v>
      </c>
      <c r="EH294" s="246" t="s">
        <v>734</v>
      </c>
      <c r="EI294" s="216" t="s">
        <v>689</v>
      </c>
      <c r="EJ294" s="216" t="s">
        <v>529</v>
      </c>
      <c r="EK294" s="222" t="s">
        <v>682</v>
      </c>
      <c r="EL294" s="275">
        <v>1990</v>
      </c>
      <c r="EM294" s="260">
        <v>4677</v>
      </c>
      <c r="EN294" s="260">
        <v>322630</v>
      </c>
      <c r="EO294" s="260">
        <v>163645</v>
      </c>
      <c r="ER294" s="237" t="s">
        <v>692</v>
      </c>
      <c r="ES294" s="237" t="e">
        <v>#DIV/0!</v>
      </c>
      <c r="ET294" s="237">
        <v>34.989309386358777</v>
      </c>
      <c r="EU294" s="661">
        <v>3</v>
      </c>
      <c r="EV294" s="661">
        <v>2</v>
      </c>
      <c r="EW294" s="661">
        <v>1</v>
      </c>
      <c r="EX294" s="661">
        <v>5</v>
      </c>
      <c r="EY294" s="660">
        <v>0.12503170731707317</v>
      </c>
      <c r="EZ294" s="256">
        <v>12.211536585841641</v>
      </c>
      <c r="FA294" s="247">
        <v>0.11771630370806356</v>
      </c>
      <c r="FB294" s="208">
        <v>4</v>
      </c>
      <c r="FC294" s="208">
        <v>6</v>
      </c>
      <c r="FD294" s="208">
        <v>3</v>
      </c>
      <c r="FE294" s="239">
        <v>0.75073572689817536</v>
      </c>
      <c r="FF294" s="208"/>
      <c r="FG294" s="241">
        <v>2.3101824602707473E-3</v>
      </c>
      <c r="FH294" s="209">
        <v>0</v>
      </c>
      <c r="FI294" s="237" t="s">
        <v>678</v>
      </c>
      <c r="FJ294" s="208">
        <v>63</v>
      </c>
      <c r="FK294" s="208">
        <v>38.770000000000003</v>
      </c>
      <c r="FL294" s="217">
        <v>81.099999999999994</v>
      </c>
      <c r="FM294" s="208">
        <v>7.28</v>
      </c>
      <c r="FN294" s="208" t="s">
        <v>1685</v>
      </c>
      <c r="FP294" s="247" t="s">
        <v>693</v>
      </c>
      <c r="FU294" s="208">
        <v>59</v>
      </c>
      <c r="FV294" s="208">
        <v>88.5</v>
      </c>
      <c r="FW294" s="237">
        <v>60.29</v>
      </c>
      <c r="FX294" s="237">
        <v>42.2</v>
      </c>
      <c r="FY294" s="208">
        <v>45.52</v>
      </c>
      <c r="FZ294" s="208">
        <v>58.3</v>
      </c>
      <c r="GA294" s="208">
        <v>51.71</v>
      </c>
      <c r="GB294" s="208">
        <v>55.2</v>
      </c>
      <c r="GC294" s="208">
        <v>0.42</v>
      </c>
      <c r="GD294" s="208">
        <v>59.7</v>
      </c>
      <c r="GE294" s="237">
        <v>39.869999999999997</v>
      </c>
      <c r="GF294" s="237">
        <v>49.9</v>
      </c>
      <c r="GG294" s="237">
        <v>5.91</v>
      </c>
      <c r="GH294" s="237">
        <v>49.8</v>
      </c>
      <c r="GJ294" s="947">
        <v>210</v>
      </c>
      <c r="GK294" s="320">
        <v>0</v>
      </c>
      <c r="GL294" s="320">
        <v>0.68700000000000006</v>
      </c>
      <c r="GM294" s="320">
        <v>4.2000000000000003E-2</v>
      </c>
      <c r="GN294" s="320">
        <v>0.27100000000000002</v>
      </c>
      <c r="GO294" s="662">
        <v>8291</v>
      </c>
      <c r="GP294" s="663" t="str">
        <f>VLOOKUP(GS294,'BD Comarcal'!$A$6:$AV$17,48,FALSE)</f>
        <v>40</v>
      </c>
      <c r="GQ294" s="564">
        <v>32</v>
      </c>
      <c r="GR294" s="256">
        <f t="shared" si="4"/>
        <v>1</v>
      </c>
      <c r="GS294" s="237" t="s">
        <v>89</v>
      </c>
    </row>
    <row r="295" spans="1:201" s="237" customFormat="1" ht="17.25" customHeight="1">
      <c r="A295" s="236" t="s">
        <v>1686</v>
      </c>
      <c r="C295" s="238"/>
      <c r="D295" s="238">
        <v>648</v>
      </c>
      <c r="E295" s="238">
        <v>433</v>
      </c>
      <c r="F295" s="239">
        <v>0.66820987654320985</v>
      </c>
      <c r="G295" s="238">
        <v>203</v>
      </c>
      <c r="H295" s="240">
        <v>2.6575732486257415</v>
      </c>
      <c r="I295" s="239">
        <v>6.1375825603365852E-3</v>
      </c>
      <c r="J295" s="238">
        <v>7</v>
      </c>
      <c r="K295" s="238">
        <v>0</v>
      </c>
      <c r="L295" s="238">
        <v>2</v>
      </c>
      <c r="M295" s="241">
        <v>3.0864197530864196E-3</v>
      </c>
      <c r="N295" s="238">
        <v>0</v>
      </c>
      <c r="O295" s="239">
        <v>0</v>
      </c>
      <c r="P295" s="237">
        <v>2</v>
      </c>
      <c r="Q295" s="237">
        <v>0</v>
      </c>
      <c r="R295" s="239">
        <v>0</v>
      </c>
      <c r="S295" s="238">
        <v>10</v>
      </c>
      <c r="T295" s="436">
        <v>0</v>
      </c>
      <c r="U295" s="436">
        <v>0</v>
      </c>
      <c r="V295" s="436">
        <v>0</v>
      </c>
      <c r="W295" s="436">
        <v>0</v>
      </c>
      <c r="X295" s="238">
        <v>1412</v>
      </c>
      <c r="Y295" s="237">
        <v>0.17910000000000001</v>
      </c>
      <c r="Z295" s="238">
        <v>17566</v>
      </c>
      <c r="AA295" s="238">
        <v>12396</v>
      </c>
      <c r="AB295" s="238">
        <v>75.739999999999995</v>
      </c>
      <c r="AC295" s="238">
        <v>7</v>
      </c>
      <c r="AD295" s="238">
        <v>1690443.6500000001</v>
      </c>
      <c r="AE295" s="238">
        <v>121769.58000000007</v>
      </c>
      <c r="AF295" s="238">
        <v>1299670.78</v>
      </c>
      <c r="AG295" s="238">
        <v>331516.36</v>
      </c>
      <c r="AH295" s="239">
        <v>0.25507718193064244</v>
      </c>
      <c r="AI295" s="247">
        <v>42.750380999999997</v>
      </c>
      <c r="AJ295" s="242">
        <v>3.7838859999999999</v>
      </c>
      <c r="AK295" s="242">
        <v>0.58393302469135799</v>
      </c>
      <c r="AL295" s="242">
        <v>8.5842969999999994</v>
      </c>
      <c r="AM295" s="242">
        <v>1.3247371913580246</v>
      </c>
      <c r="AN295" s="242">
        <v>7968.92</v>
      </c>
      <c r="AO295" s="238">
        <v>1996.42</v>
      </c>
      <c r="AP295" s="243">
        <v>9</v>
      </c>
      <c r="AQ295" s="238">
        <v>1</v>
      </c>
      <c r="AR295" s="238">
        <v>1076.3286152931876</v>
      </c>
      <c r="AS295" s="238">
        <v>2480.1790946356778</v>
      </c>
      <c r="AT295" s="238">
        <v>85136</v>
      </c>
      <c r="AU295" s="238">
        <v>282.05220823246253</v>
      </c>
      <c r="AV295" s="237">
        <v>1</v>
      </c>
      <c r="AW295" s="237">
        <v>0</v>
      </c>
      <c r="AX295" s="237">
        <v>1</v>
      </c>
      <c r="AY295" s="244" t="s">
        <v>682</v>
      </c>
      <c r="AZ295" s="244" t="s">
        <v>726</v>
      </c>
      <c r="BA295" s="237">
        <v>0</v>
      </c>
      <c r="BB295" s="245" t="s">
        <v>1687</v>
      </c>
      <c r="BC295" s="215" t="s">
        <v>1688</v>
      </c>
      <c r="BE295" s="237">
        <v>2</v>
      </c>
      <c r="BF295" s="237">
        <v>77</v>
      </c>
      <c r="BG295" s="246" t="s">
        <v>698</v>
      </c>
      <c r="BI295" s="239">
        <v>0.69137466307277629</v>
      </c>
      <c r="BJ295" s="239">
        <v>4.716981132075472E-2</v>
      </c>
      <c r="BK295" s="239">
        <v>0.24797843665768193</v>
      </c>
      <c r="BL295" s="239">
        <v>1.3477088948787063E-2</v>
      </c>
      <c r="BM295" s="247">
        <v>2.4164420485175202</v>
      </c>
      <c r="BN295" s="248">
        <v>0</v>
      </c>
      <c r="BO295" s="248">
        <v>0</v>
      </c>
      <c r="BP295" s="237">
        <v>0</v>
      </c>
      <c r="BQ295" s="237">
        <v>0</v>
      </c>
      <c r="BR295" s="248">
        <v>0</v>
      </c>
      <c r="BS295" s="237">
        <v>14</v>
      </c>
      <c r="BT295" s="237" t="s">
        <v>755</v>
      </c>
      <c r="BU295" s="249" t="s">
        <v>678</v>
      </c>
      <c r="BV295" s="249" t="s">
        <v>678</v>
      </c>
      <c r="BW295" s="249" t="s">
        <v>678</v>
      </c>
      <c r="BX295" s="249" t="s">
        <v>678</v>
      </c>
      <c r="BY295" s="249" t="s">
        <v>678</v>
      </c>
      <c r="BZ295" s="249" t="s">
        <v>678</v>
      </c>
      <c r="CA295" s="249" t="s">
        <v>678</v>
      </c>
      <c r="CB295" s="249" t="s">
        <v>678</v>
      </c>
      <c r="CC295" s="250" t="s">
        <v>678</v>
      </c>
      <c r="CD295" s="242" t="s">
        <v>678</v>
      </c>
      <c r="CE295" s="252" t="s">
        <v>678</v>
      </c>
      <c r="CF295" s="238">
        <v>682</v>
      </c>
      <c r="CG295" s="238">
        <v>111.4</v>
      </c>
      <c r="CH295" s="238">
        <v>7.7847658979734451</v>
      </c>
      <c r="CI295" s="216" t="s">
        <v>722</v>
      </c>
      <c r="CJ295" s="237">
        <v>1</v>
      </c>
      <c r="CK295" s="253">
        <v>40.49</v>
      </c>
      <c r="CL295" s="253">
        <v>34.487099999999998</v>
      </c>
      <c r="CM295" s="254">
        <v>5.3220833333333328E-2</v>
      </c>
      <c r="CN295" s="237" t="s">
        <v>81</v>
      </c>
      <c r="CO295" s="242">
        <v>423.56</v>
      </c>
      <c r="CP295" s="255">
        <v>0.65364197530864199</v>
      </c>
      <c r="CV295" s="237">
        <v>1</v>
      </c>
      <c r="CW295" s="261" t="s">
        <v>678</v>
      </c>
      <c r="CX295" s="261" t="s">
        <v>678</v>
      </c>
      <c r="CY295" s="261" t="s">
        <v>678</v>
      </c>
      <c r="CZ295" s="242"/>
      <c r="DA295" s="242"/>
      <c r="DB295" s="216" t="s">
        <v>710</v>
      </c>
      <c r="DC295" s="195" t="s">
        <v>711</v>
      </c>
      <c r="DD295" s="256">
        <v>0.8</v>
      </c>
      <c r="DE295" s="256">
        <v>-10</v>
      </c>
      <c r="DF295" s="256">
        <v>0.5</v>
      </c>
      <c r="DG295" s="256">
        <v>-2.2999999999999998</v>
      </c>
      <c r="DH295" s="257">
        <v>2</v>
      </c>
      <c r="DI295" s="257">
        <v>30.47</v>
      </c>
      <c r="DJ295" s="257">
        <v>19.32</v>
      </c>
      <c r="DK295" s="257">
        <v>49.79</v>
      </c>
      <c r="DL295" s="237" t="s">
        <v>682</v>
      </c>
      <c r="DP295" s="258" t="s">
        <v>682</v>
      </c>
      <c r="DQ295" s="258"/>
      <c r="DR295" s="258"/>
      <c r="DS295" s="258"/>
      <c r="DT295" s="258"/>
      <c r="DU295" s="237">
        <v>0</v>
      </c>
      <c r="DX295" s="247"/>
      <c r="DY295" s="247">
        <v>0</v>
      </c>
      <c r="EA295" s="237">
        <v>0</v>
      </c>
      <c r="ED295" s="237" t="s">
        <v>678</v>
      </c>
      <c r="EE295" s="208">
        <v>3</v>
      </c>
      <c r="EF295" s="237" t="s">
        <v>678</v>
      </c>
      <c r="EG295" s="216" t="s">
        <v>733</v>
      </c>
      <c r="EH295" s="246" t="s">
        <v>734</v>
      </c>
      <c r="EI295" s="216"/>
      <c r="EJ295" s="216" t="s">
        <v>529</v>
      </c>
      <c r="EK295" s="222" t="s">
        <v>682</v>
      </c>
      <c r="EL295" s="259">
        <v>1989</v>
      </c>
      <c r="EM295" s="263">
        <v>2700</v>
      </c>
      <c r="EN295" s="260">
        <v>62515</v>
      </c>
      <c r="EO295" s="260">
        <v>25305</v>
      </c>
      <c r="ER295" s="237" t="s">
        <v>705</v>
      </c>
      <c r="ES295" s="237" t="e">
        <v>#DIV/0!</v>
      </c>
      <c r="ET295" s="237">
        <v>9.3722222222222218</v>
      </c>
      <c r="EU295" s="661">
        <v>3</v>
      </c>
      <c r="EV295" s="661" t="s">
        <v>678</v>
      </c>
      <c r="EW295" s="661">
        <v>5</v>
      </c>
      <c r="EX295" s="661">
        <v>4</v>
      </c>
      <c r="EY295" s="660">
        <v>6.2484567901234571E-2</v>
      </c>
      <c r="EZ295" s="256">
        <v>35.342059767843914</v>
      </c>
      <c r="FA295" s="247">
        <v>0.23094688221709006</v>
      </c>
      <c r="FB295" s="208">
        <v>4</v>
      </c>
      <c r="FC295" s="208">
        <v>4</v>
      </c>
      <c r="FD295" s="208">
        <v>6</v>
      </c>
      <c r="FE295" s="239">
        <v>0.46882217090069284</v>
      </c>
      <c r="FF295" s="208"/>
      <c r="FG295" s="241">
        <v>0.11498845265588914</v>
      </c>
      <c r="FH295" s="209">
        <v>0</v>
      </c>
      <c r="FI295" s="237" t="s">
        <v>678</v>
      </c>
      <c r="FJ295" s="208">
        <v>34.799999999999997</v>
      </c>
      <c r="FK295" s="208">
        <v>41.18</v>
      </c>
      <c r="FL295" s="217">
        <v>83.7</v>
      </c>
      <c r="FM295" s="208">
        <v>5.43</v>
      </c>
      <c r="FN295" s="208" t="s">
        <v>1689</v>
      </c>
      <c r="FP295" s="247" t="s">
        <v>693</v>
      </c>
      <c r="FU295" s="208">
        <v>21</v>
      </c>
      <c r="FV295" s="208">
        <v>6.6</v>
      </c>
      <c r="FW295" s="237">
        <v>59.43</v>
      </c>
      <c r="FX295" s="237">
        <v>40.6</v>
      </c>
      <c r="FY295" s="208">
        <v>17.45</v>
      </c>
      <c r="FZ295" s="208">
        <v>31.1</v>
      </c>
      <c r="GA295" s="208">
        <v>46.83</v>
      </c>
      <c r="GB295" s="208">
        <v>47.4</v>
      </c>
      <c r="GC295" s="208" t="s">
        <v>678</v>
      </c>
      <c r="GD295" s="208" t="s">
        <v>678</v>
      </c>
      <c r="GE295" s="237">
        <v>32.26</v>
      </c>
      <c r="GF295" s="237">
        <v>38.4</v>
      </c>
      <c r="GG295" s="237">
        <v>5.49</v>
      </c>
      <c r="GH295" s="237">
        <v>46.9</v>
      </c>
      <c r="GJ295" s="947"/>
      <c r="GK295" s="320"/>
      <c r="GL295" s="320"/>
      <c r="GM295" s="320"/>
      <c r="GN295" s="320"/>
      <c r="GO295" s="662">
        <v>8292</v>
      </c>
      <c r="GP295" s="663" t="str">
        <f>VLOOKUP(GS295,'BD Comarcal'!$A$6:$AV$17,48,FALSE)</f>
        <v>06</v>
      </c>
      <c r="GQ295" s="564">
        <v>10</v>
      </c>
      <c r="GR295" s="256">
        <f t="shared" si="4"/>
        <v>1</v>
      </c>
      <c r="GS295" s="237" t="s">
        <v>81</v>
      </c>
    </row>
    <row r="296" spans="1:201" s="237" customFormat="1" ht="17.25" customHeight="1">
      <c r="A296" s="236" t="s">
        <v>1690</v>
      </c>
      <c r="C296" s="238"/>
      <c r="D296" s="238">
        <v>2787</v>
      </c>
      <c r="E296" s="238">
        <v>1885</v>
      </c>
      <c r="F296" s="239">
        <v>0.67635450304987443</v>
      </c>
      <c r="G296" s="238">
        <v>1528</v>
      </c>
      <c r="H296" s="240">
        <v>83.195328094955201</v>
      </c>
      <c r="I296" s="239">
        <v>4.4135452570268012E-2</v>
      </c>
      <c r="J296" s="238">
        <v>31</v>
      </c>
      <c r="K296" s="238">
        <v>219</v>
      </c>
      <c r="L296" s="238">
        <v>0</v>
      </c>
      <c r="M296" s="241">
        <v>0</v>
      </c>
      <c r="N296" s="238">
        <v>3</v>
      </c>
      <c r="O296" s="239">
        <v>9.6774193548387094E-2</v>
      </c>
      <c r="P296" s="237">
        <v>8</v>
      </c>
      <c r="Q296" s="237">
        <v>0</v>
      </c>
      <c r="R296" s="239">
        <v>0</v>
      </c>
      <c r="S296" s="238">
        <v>79</v>
      </c>
      <c r="T296" s="436">
        <v>0</v>
      </c>
      <c r="U296" s="436">
        <v>18</v>
      </c>
      <c r="V296" s="436">
        <v>33</v>
      </c>
      <c r="W296" s="436">
        <v>51</v>
      </c>
      <c r="X296" s="238">
        <v>254</v>
      </c>
      <c r="Y296" s="237">
        <v>0.29070000000000001</v>
      </c>
      <c r="Z296" s="238">
        <v>4572</v>
      </c>
      <c r="AA296" s="238">
        <v>17928</v>
      </c>
      <c r="AB296" s="238">
        <v>109.54</v>
      </c>
      <c r="AC296" s="238">
        <v>0</v>
      </c>
      <c r="AD296" s="238">
        <v>459142.99</v>
      </c>
      <c r="AE296" s="238">
        <v>184208.81999999995</v>
      </c>
      <c r="AF296" s="238">
        <v>685178.49</v>
      </c>
      <c r="AG296" s="238">
        <v>382449.48</v>
      </c>
      <c r="AH296" s="239">
        <v>0.55817496547505452</v>
      </c>
      <c r="AI296" s="247">
        <v>10.871404999999999</v>
      </c>
      <c r="AJ296" s="242">
        <v>2.4586549999999998</v>
      </c>
      <c r="AK296" s="242">
        <v>8.8218693936132034E-2</v>
      </c>
      <c r="AL296" s="242" t="s">
        <v>678</v>
      </c>
      <c r="AM296" s="242" t="s">
        <v>678</v>
      </c>
      <c r="AN296" s="242">
        <v>12129.08</v>
      </c>
      <c r="AO296" s="238">
        <v>5448.78</v>
      </c>
      <c r="AP296" s="243">
        <v>24</v>
      </c>
      <c r="AQ296" s="238"/>
      <c r="AR296" s="238">
        <v>1370.526528694857</v>
      </c>
      <c r="AS296" s="238">
        <v>955.91031544945497</v>
      </c>
      <c r="AT296" s="238">
        <v>5922</v>
      </c>
      <c r="AU296" s="238">
        <v>137.67238494552512</v>
      </c>
      <c r="AV296" s="237">
        <v>1</v>
      </c>
      <c r="AW296" s="237">
        <v>0</v>
      </c>
      <c r="AX296" s="237">
        <v>1</v>
      </c>
      <c r="AY296" s="244" t="s">
        <v>673</v>
      </c>
      <c r="AZ296" s="244" t="s">
        <v>695</v>
      </c>
      <c r="BA296" s="237">
        <v>2015</v>
      </c>
      <c r="BB296" s="245" t="s">
        <v>808</v>
      </c>
      <c r="BC296" s="215" t="s">
        <v>809</v>
      </c>
      <c r="BE296" s="237">
        <v>0</v>
      </c>
      <c r="BF296" s="237">
        <v>0</v>
      </c>
      <c r="BG296" s="246" t="s">
        <v>720</v>
      </c>
      <c r="BI296" s="239">
        <v>0.67500000000000004</v>
      </c>
      <c r="BJ296" s="239">
        <v>7.4999999999999997E-2</v>
      </c>
      <c r="BK296" s="239">
        <v>0.12142857142857143</v>
      </c>
      <c r="BL296" s="239">
        <v>0.12857142857142856</v>
      </c>
      <c r="BM296" s="247">
        <v>2.2964285714285717</v>
      </c>
      <c r="BN296" s="248">
        <v>0</v>
      </c>
      <c r="BO296" s="248">
        <v>0</v>
      </c>
      <c r="BP296" s="237">
        <v>0</v>
      </c>
      <c r="BQ296" s="237">
        <v>0</v>
      </c>
      <c r="BR296" s="248">
        <v>0</v>
      </c>
      <c r="BS296" s="237">
        <v>27</v>
      </c>
      <c r="BT296" s="237" t="s">
        <v>777</v>
      </c>
      <c r="BU296" s="249" t="s">
        <v>678</v>
      </c>
      <c r="BV296" s="249" t="s">
        <v>678</v>
      </c>
      <c r="BW296" s="249" t="s">
        <v>678</v>
      </c>
      <c r="BX296" s="249" t="s">
        <v>678</v>
      </c>
      <c r="BY296" s="249" t="s">
        <v>678</v>
      </c>
      <c r="BZ296" s="249" t="s">
        <v>678</v>
      </c>
      <c r="CA296" s="249" t="s">
        <v>678</v>
      </c>
      <c r="CB296" s="249" t="s">
        <v>678</v>
      </c>
      <c r="CC296" s="250" t="s">
        <v>678</v>
      </c>
      <c r="CD296" s="242" t="s">
        <v>678</v>
      </c>
      <c r="CE296" s="252" t="s">
        <v>678</v>
      </c>
      <c r="CF296" s="238">
        <v>205</v>
      </c>
      <c r="CG296" s="238">
        <v>12.5</v>
      </c>
      <c r="CH296" s="238">
        <v>4.7348484848484844</v>
      </c>
      <c r="CI296" s="216" t="s">
        <v>722</v>
      </c>
      <c r="CJ296" s="237">
        <v>1</v>
      </c>
      <c r="CK296" s="253">
        <v>10.77</v>
      </c>
      <c r="CL296" s="253">
        <v>6.1559999999999997</v>
      </c>
      <c r="CM296" s="254">
        <v>2.2088266953713669E-3</v>
      </c>
      <c r="CN296" s="237" t="s">
        <v>84</v>
      </c>
      <c r="CO296" s="242">
        <v>610.61</v>
      </c>
      <c r="CP296" s="255">
        <v>0.21909221385001795</v>
      </c>
      <c r="CW296" s="261" t="s">
        <v>678</v>
      </c>
      <c r="CX296" s="261" t="s">
        <v>678</v>
      </c>
      <c r="CY296" s="261" t="s">
        <v>678</v>
      </c>
      <c r="DB296" s="216" t="s">
        <v>681</v>
      </c>
      <c r="DC296" s="256"/>
      <c r="DD296" s="256">
        <v>0.8</v>
      </c>
      <c r="DE296" s="256">
        <v>-9</v>
      </c>
      <c r="DF296" s="256">
        <v>-0.3</v>
      </c>
      <c r="DG296" s="256">
        <v>-2.6</v>
      </c>
      <c r="DL296" s="237" t="s">
        <v>682</v>
      </c>
      <c r="DP296" s="258" t="s">
        <v>683</v>
      </c>
      <c r="DQ296" s="258" t="s">
        <v>758</v>
      </c>
      <c r="DR296" s="258" t="s">
        <v>1691</v>
      </c>
      <c r="DS296" s="258"/>
      <c r="DT296" s="258"/>
      <c r="DU296" s="237">
        <v>0</v>
      </c>
      <c r="DX296" s="247"/>
      <c r="DY296" s="247">
        <v>0</v>
      </c>
      <c r="EA296" s="237">
        <v>0</v>
      </c>
      <c r="ED296" s="237" t="s">
        <v>943</v>
      </c>
      <c r="EE296" s="208">
        <v>2</v>
      </c>
      <c r="EF296" s="237" t="s">
        <v>702</v>
      </c>
      <c r="EG296" s="216" t="s">
        <v>703</v>
      </c>
      <c r="EH296" s="246" t="s">
        <v>704</v>
      </c>
      <c r="EI296" s="216"/>
      <c r="EJ296" s="216" t="s">
        <v>529</v>
      </c>
      <c r="EK296" s="222" t="s">
        <v>682</v>
      </c>
      <c r="EL296" s="259">
        <v>1997</v>
      </c>
      <c r="EM296" s="263">
        <v>700</v>
      </c>
      <c r="EN296" s="260">
        <v>5611</v>
      </c>
      <c r="EO296" s="260">
        <v>380</v>
      </c>
      <c r="ER296" s="237" t="s">
        <v>705</v>
      </c>
      <c r="ES296" s="237" t="e">
        <v>#DIV/0!</v>
      </c>
      <c r="ET296" s="237">
        <v>0.54285714285714282</v>
      </c>
      <c r="EU296" s="661">
        <v>8</v>
      </c>
      <c r="EV296" s="661" t="s">
        <v>678</v>
      </c>
      <c r="EW296" s="661">
        <v>0</v>
      </c>
      <c r="EX296" s="661">
        <v>2</v>
      </c>
      <c r="EY296" s="660">
        <v>3.8643702906350913E-3</v>
      </c>
      <c r="EZ296" s="256">
        <v>24.512534818941504</v>
      </c>
      <c r="FA296" s="247">
        <v>0</v>
      </c>
      <c r="FB296" s="208">
        <v>0</v>
      </c>
      <c r="FC296" s="208">
        <v>2</v>
      </c>
      <c r="FD296" s="208">
        <v>2</v>
      </c>
      <c r="FE296" s="239">
        <v>0.81061007957559683</v>
      </c>
      <c r="FF296" s="208">
        <v>1</v>
      </c>
      <c r="FG296" s="241">
        <v>0</v>
      </c>
      <c r="FH296" s="209">
        <v>0</v>
      </c>
      <c r="FI296" s="237" t="s">
        <v>678</v>
      </c>
      <c r="FJ296" s="208">
        <v>57.7</v>
      </c>
      <c r="FK296" s="208">
        <v>19.97</v>
      </c>
      <c r="FL296" s="217">
        <v>61.3</v>
      </c>
      <c r="FM296" s="208">
        <v>17.61</v>
      </c>
      <c r="FN296" s="208">
        <v>96</v>
      </c>
      <c r="FP296" s="247" t="s">
        <v>693</v>
      </c>
      <c r="FU296" s="208">
        <v>32</v>
      </c>
      <c r="FV296" s="208">
        <v>32.299999999999997</v>
      </c>
      <c r="FW296" s="237">
        <v>74.790000000000006</v>
      </c>
      <c r="FX296" s="237">
        <v>59.7</v>
      </c>
      <c r="FY296" s="208">
        <v>69.099999999999994</v>
      </c>
      <c r="FZ296" s="208">
        <v>74</v>
      </c>
      <c r="GA296" s="208">
        <v>66.92</v>
      </c>
      <c r="GB296" s="208">
        <v>75.3</v>
      </c>
      <c r="GC296" s="208">
        <v>0.45</v>
      </c>
      <c r="GD296" s="208">
        <v>62.4</v>
      </c>
      <c r="GE296" s="237">
        <v>79.540000000000006</v>
      </c>
      <c r="GF296" s="237">
        <v>93.4</v>
      </c>
      <c r="GG296" s="237">
        <v>0.26</v>
      </c>
      <c r="GH296" s="237">
        <v>9.1999999999999993</v>
      </c>
      <c r="GJ296" s="947"/>
      <c r="GK296" s="320"/>
      <c r="GL296" s="320"/>
      <c r="GM296" s="320"/>
      <c r="GN296" s="320"/>
      <c r="GO296" s="662">
        <v>8293</v>
      </c>
      <c r="GP296" s="663" t="str">
        <f>VLOOKUP(GS296,'BD Comarcal'!$A$6:$AV$17,48,FALSE)</f>
        <v>14</v>
      </c>
      <c r="GQ296" s="564">
        <v>3</v>
      </c>
      <c r="GR296" s="256">
        <f t="shared" si="4"/>
        <v>0</v>
      </c>
      <c r="GS296" s="237" t="s">
        <v>84</v>
      </c>
    </row>
    <row r="297" spans="1:201" s="237" customFormat="1" ht="17.25" customHeight="1">
      <c r="A297" s="236" t="s">
        <v>1692</v>
      </c>
      <c r="C297" s="238"/>
      <c r="D297" s="238">
        <v>2196</v>
      </c>
      <c r="E297" s="238">
        <v>1860</v>
      </c>
      <c r="F297" s="239">
        <v>0.84699453551912574</v>
      </c>
      <c r="G297" s="238">
        <v>1843</v>
      </c>
      <c r="H297" s="240">
        <v>1052.1377449116701</v>
      </c>
      <c r="I297" s="239">
        <v>0.56566545425358605</v>
      </c>
      <c r="J297" s="238">
        <v>46</v>
      </c>
      <c r="K297" s="238">
        <v>2</v>
      </c>
      <c r="L297" s="238">
        <v>14</v>
      </c>
      <c r="M297" s="241">
        <v>6.375227686703097E-3</v>
      </c>
      <c r="N297" s="238">
        <v>1</v>
      </c>
      <c r="O297" s="239">
        <v>2.1739130434782608E-2</v>
      </c>
      <c r="P297" s="237">
        <v>5</v>
      </c>
      <c r="Q297" s="237">
        <v>0</v>
      </c>
      <c r="R297" s="239">
        <v>0</v>
      </c>
      <c r="S297" s="238">
        <v>366</v>
      </c>
      <c r="T297" s="436">
        <v>0</v>
      </c>
      <c r="U297" s="436">
        <v>0</v>
      </c>
      <c r="V297" s="436">
        <v>0</v>
      </c>
      <c r="W297" s="436">
        <v>0</v>
      </c>
      <c r="X297" s="238">
        <v>2772</v>
      </c>
      <c r="Y297" s="237">
        <v>0.11260000000000001</v>
      </c>
      <c r="Z297" s="238">
        <v>46073</v>
      </c>
      <c r="AA297" s="238">
        <v>16760</v>
      </c>
      <c r="AB297" s="238">
        <v>102.4</v>
      </c>
      <c r="AC297" s="238">
        <v>0</v>
      </c>
      <c r="AD297" s="238">
        <v>2846377.57</v>
      </c>
      <c r="AE297" s="238">
        <v>1123000.4299999997</v>
      </c>
      <c r="AF297" s="238">
        <v>2110920.7000000002</v>
      </c>
      <c r="AG297" s="238">
        <v>75499.13</v>
      </c>
      <c r="AH297" s="239">
        <v>3.5765971691878333E-2</v>
      </c>
      <c r="AI297" s="247">
        <v>261.963843</v>
      </c>
      <c r="AJ297" s="242">
        <v>76.024777999999998</v>
      </c>
      <c r="AK297" s="242">
        <v>3.4619662112932601</v>
      </c>
      <c r="AL297" s="242">
        <v>198.077358</v>
      </c>
      <c r="AM297" s="242">
        <v>9.0199161202185802</v>
      </c>
      <c r="AN297" s="242">
        <v>16653.73</v>
      </c>
      <c r="AO297" s="238">
        <v>2541.9499999999998</v>
      </c>
      <c r="AP297" s="243">
        <v>8</v>
      </c>
      <c r="AQ297" s="238">
        <v>1</v>
      </c>
      <c r="AR297" s="238">
        <v>1489.7512668855707</v>
      </c>
      <c r="AS297" s="238">
        <v>1065.6687765404586</v>
      </c>
      <c r="AT297" s="238">
        <v>146933.33333333334</v>
      </c>
      <c r="AU297" s="238">
        <v>275.51231548023651</v>
      </c>
      <c r="AV297" s="237">
        <v>1</v>
      </c>
      <c r="AW297" s="237">
        <v>1</v>
      </c>
      <c r="AX297" s="237">
        <v>1</v>
      </c>
      <c r="AY297" s="244" t="s">
        <v>673</v>
      </c>
      <c r="AZ297" s="244" t="s">
        <v>726</v>
      </c>
      <c r="BA297" s="237">
        <v>0</v>
      </c>
      <c r="BB297" s="245" t="s">
        <v>1693</v>
      </c>
      <c r="BC297" s="215" t="s">
        <v>1694</v>
      </c>
      <c r="BE297" s="237">
        <v>2</v>
      </c>
      <c r="BF297" s="237">
        <v>39</v>
      </c>
      <c r="BG297" s="246" t="s">
        <v>676</v>
      </c>
      <c r="BI297" s="239">
        <v>0.41510505394662123</v>
      </c>
      <c r="BJ297" s="239">
        <v>0.17035775127768313</v>
      </c>
      <c r="BK297" s="239">
        <v>0.40431572969903462</v>
      </c>
      <c r="BL297" s="239">
        <v>1.0221465076660987E-2</v>
      </c>
      <c r="BM297" s="247">
        <v>1.9903463940942645</v>
      </c>
      <c r="BN297" s="248">
        <v>1</v>
      </c>
      <c r="BO297" s="248">
        <v>0</v>
      </c>
      <c r="BP297" s="237">
        <v>0</v>
      </c>
      <c r="BQ297" s="237">
        <v>0</v>
      </c>
      <c r="BR297" s="248">
        <v>1</v>
      </c>
      <c r="BS297" s="262">
        <v>28</v>
      </c>
      <c r="BT297" s="237" t="s">
        <v>729</v>
      </c>
      <c r="BU297" s="249" t="s">
        <v>678</v>
      </c>
      <c r="BV297" s="249">
        <v>165</v>
      </c>
      <c r="BW297" s="249">
        <v>1435</v>
      </c>
      <c r="BX297" s="249" t="s">
        <v>678</v>
      </c>
      <c r="BY297" s="249" t="s">
        <v>678</v>
      </c>
      <c r="BZ297" s="249">
        <v>6.0087399854333574</v>
      </c>
      <c r="CA297" s="249">
        <v>52.257829570284052</v>
      </c>
      <c r="CB297" s="249" t="s">
        <v>678</v>
      </c>
      <c r="CC297" s="250" t="s">
        <v>678</v>
      </c>
      <c r="CD297" s="242" t="s">
        <v>678</v>
      </c>
      <c r="CE297" s="252" t="s">
        <v>678</v>
      </c>
      <c r="CF297" s="238">
        <v>1320</v>
      </c>
      <c r="CG297" s="238">
        <v>200</v>
      </c>
      <c r="CH297" s="238">
        <v>7.2833211944646763</v>
      </c>
      <c r="CI297" s="216" t="s">
        <v>722</v>
      </c>
      <c r="CJ297" s="237">
        <v>1</v>
      </c>
      <c r="CK297" s="253">
        <v>258.02</v>
      </c>
      <c r="CL297" s="253">
        <v>63.886299999999999</v>
      </c>
      <c r="CM297" s="254">
        <v>2.909212204007286E-2</v>
      </c>
      <c r="CN297" s="237" t="s">
        <v>24</v>
      </c>
      <c r="CO297" s="242">
        <v>797.91</v>
      </c>
      <c r="CP297" s="255">
        <v>0.36334699453551911</v>
      </c>
      <c r="CQ297" s="247">
        <v>61.26</v>
      </c>
      <c r="CR297" s="248" t="s">
        <v>810</v>
      </c>
      <c r="CU297" s="247">
        <v>61.26</v>
      </c>
      <c r="CV297" s="237">
        <v>8</v>
      </c>
      <c r="CW297" s="261" t="s">
        <v>678</v>
      </c>
      <c r="CX297" s="261" t="s">
        <v>678</v>
      </c>
      <c r="CY297" s="261" t="s">
        <v>678</v>
      </c>
      <c r="DB297" s="216" t="s">
        <v>710</v>
      </c>
      <c r="DC297" s="195" t="s">
        <v>711</v>
      </c>
      <c r="DD297" s="256">
        <v>0.7</v>
      </c>
      <c r="DE297" s="256">
        <v>-6.5</v>
      </c>
      <c r="DF297" s="256">
        <v>0.7</v>
      </c>
      <c r="DG297" s="256">
        <v>-2.2000000000000002</v>
      </c>
      <c r="DH297" s="257">
        <v>1</v>
      </c>
      <c r="DI297" s="257">
        <v>1.45</v>
      </c>
      <c r="DJ297" s="257">
        <v>0</v>
      </c>
      <c r="DK297" s="257">
        <v>1.45</v>
      </c>
      <c r="DL297" s="237" t="s">
        <v>682</v>
      </c>
      <c r="DP297" s="258" t="s">
        <v>683</v>
      </c>
      <c r="DQ297" s="258" t="s">
        <v>758</v>
      </c>
      <c r="DR297" s="258" t="s">
        <v>1695</v>
      </c>
      <c r="DS297" s="258"/>
      <c r="DT297" s="258"/>
      <c r="DU297" s="237">
        <v>0</v>
      </c>
      <c r="DX297" s="247"/>
      <c r="DY297" s="247">
        <v>0</v>
      </c>
      <c r="EA297" s="237">
        <v>0</v>
      </c>
      <c r="ED297" s="237" t="s">
        <v>880</v>
      </c>
      <c r="EE297" s="208">
        <v>1</v>
      </c>
      <c r="EF297" s="237" t="s">
        <v>852</v>
      </c>
      <c r="EG297" s="216" t="s">
        <v>733</v>
      </c>
      <c r="EH297" s="246" t="s">
        <v>734</v>
      </c>
      <c r="EI297" s="216"/>
      <c r="EJ297" s="216" t="s">
        <v>529</v>
      </c>
      <c r="EK297" s="222" t="s">
        <v>682</v>
      </c>
      <c r="EL297" s="259">
        <v>1984</v>
      </c>
      <c r="EM297" s="260">
        <v>1730</v>
      </c>
      <c r="EN297" s="260">
        <v>135814</v>
      </c>
      <c r="EO297" s="260">
        <v>23987</v>
      </c>
      <c r="EP297" s="237">
        <v>2</v>
      </c>
      <c r="EQ297" s="237">
        <v>288</v>
      </c>
      <c r="ER297" s="237" t="s">
        <v>705</v>
      </c>
      <c r="ES297" s="237">
        <v>2746</v>
      </c>
      <c r="ET297" s="237">
        <v>13.865317919075144</v>
      </c>
      <c r="EU297" s="661">
        <v>1</v>
      </c>
      <c r="EV297" s="661">
        <v>1</v>
      </c>
      <c r="EW297" s="661">
        <v>4</v>
      </c>
      <c r="EX297" s="661">
        <v>6</v>
      </c>
      <c r="EY297" s="660">
        <v>0.11749544626593807</v>
      </c>
      <c r="EZ297" s="256">
        <v>10.642585846058445</v>
      </c>
      <c r="FA297" s="247">
        <v>0.43010752688172044</v>
      </c>
      <c r="FB297" s="208">
        <v>5</v>
      </c>
      <c r="FC297" s="208">
        <v>5</v>
      </c>
      <c r="FD297" s="208">
        <v>4</v>
      </c>
      <c r="FE297" s="239">
        <v>0.99086021505376343</v>
      </c>
      <c r="FF297" s="208"/>
      <c r="FG297" s="241">
        <v>7.7956989247311822E-4</v>
      </c>
      <c r="FH297" s="209">
        <v>3.2935483870967744E-2</v>
      </c>
      <c r="FI297" s="237" t="s">
        <v>678</v>
      </c>
      <c r="FJ297" s="208">
        <v>59.4</v>
      </c>
      <c r="FK297" s="208">
        <v>41.87</v>
      </c>
      <c r="FL297" s="217">
        <v>84.9</v>
      </c>
      <c r="FM297" s="208">
        <v>13.79</v>
      </c>
      <c r="FN297" s="208" t="s">
        <v>1696</v>
      </c>
      <c r="FP297" s="247" t="s">
        <v>693</v>
      </c>
      <c r="FU297" s="208">
        <v>47</v>
      </c>
      <c r="FV297" s="208">
        <v>70.5</v>
      </c>
      <c r="FW297" s="237">
        <v>92.24</v>
      </c>
      <c r="FX297" s="237">
        <v>88</v>
      </c>
      <c r="FY297" s="208">
        <v>117.54</v>
      </c>
      <c r="FZ297" s="208">
        <v>92.9</v>
      </c>
      <c r="GA297" s="208">
        <v>82.02</v>
      </c>
      <c r="GB297" s="208">
        <v>94.1</v>
      </c>
      <c r="GC297" s="208">
        <v>0.08</v>
      </c>
      <c r="GD297" s="208">
        <v>27.2</v>
      </c>
      <c r="GE297" s="237">
        <v>53.28</v>
      </c>
      <c r="GF297" s="237">
        <v>69.5</v>
      </c>
      <c r="GG297" s="237">
        <v>0</v>
      </c>
      <c r="GH297" s="237">
        <v>1.6</v>
      </c>
      <c r="GJ297" s="947"/>
      <c r="GK297" s="320"/>
      <c r="GL297" s="320"/>
      <c r="GM297" s="320"/>
      <c r="GN297" s="320"/>
      <c r="GO297" s="662">
        <v>8294</v>
      </c>
      <c r="GP297" s="663" t="str">
        <f>VLOOKUP(GS297,'BD Comarcal'!$A$6:$AV$17,48,FALSE)</f>
        <v>41</v>
      </c>
      <c r="GQ297" s="564">
        <v>13</v>
      </c>
      <c r="GR297" s="256">
        <f t="shared" si="4"/>
        <v>1</v>
      </c>
      <c r="GS297" s="237" t="s">
        <v>24</v>
      </c>
    </row>
    <row r="298" spans="1:201" s="237" customFormat="1" ht="17.25" customHeight="1">
      <c r="A298" s="236" t="s">
        <v>1697</v>
      </c>
      <c r="C298" s="238"/>
      <c r="D298" s="238">
        <v>2393</v>
      </c>
      <c r="E298" s="238">
        <v>1624</v>
      </c>
      <c r="F298" s="239">
        <v>0.6786460509820309</v>
      </c>
      <c r="G298" s="238">
        <v>1444</v>
      </c>
      <c r="H298" s="240">
        <v>714.27798681171271</v>
      </c>
      <c r="I298" s="239">
        <v>0.43982634655893638</v>
      </c>
      <c r="J298" s="238">
        <v>3</v>
      </c>
      <c r="K298" s="238">
        <v>80</v>
      </c>
      <c r="L298" s="238" t="s">
        <v>678</v>
      </c>
      <c r="M298" s="241" t="s">
        <v>678</v>
      </c>
      <c r="N298" s="238" t="s">
        <v>678</v>
      </c>
      <c r="O298" s="239" t="s">
        <v>678</v>
      </c>
      <c r="P298" s="237" t="s">
        <v>678</v>
      </c>
      <c r="Q298" s="237" t="s">
        <v>678</v>
      </c>
      <c r="R298" s="239" t="s">
        <v>678</v>
      </c>
      <c r="S298" s="238" t="s">
        <v>678</v>
      </c>
      <c r="T298" s="436">
        <v>0</v>
      </c>
      <c r="U298" s="436">
        <v>0</v>
      </c>
      <c r="V298" s="436">
        <v>8</v>
      </c>
      <c r="W298" s="436">
        <v>8</v>
      </c>
      <c r="X298" s="238">
        <v>14676</v>
      </c>
      <c r="Y298" s="237">
        <v>0.15190000000000001</v>
      </c>
      <c r="Z298" s="238">
        <v>236503</v>
      </c>
      <c r="AA298" s="238">
        <v>16162</v>
      </c>
      <c r="AB298" s="238">
        <v>98.75</v>
      </c>
      <c r="AC298" s="238">
        <v>7859</v>
      </c>
      <c r="AD298" s="238">
        <v>17227971.549999997</v>
      </c>
      <c r="AE298" s="238">
        <v>2713957.3999999985</v>
      </c>
      <c r="AF298" s="238">
        <v>13270810.030000001</v>
      </c>
      <c r="AG298" s="238">
        <v>2015379.99</v>
      </c>
      <c r="AH298" s="239">
        <v>0.15186563483645918</v>
      </c>
      <c r="AI298" s="247">
        <v>886.07747500000005</v>
      </c>
      <c r="AJ298" s="242">
        <v>243.780351</v>
      </c>
      <c r="AK298" s="242">
        <v>10.18722737150021</v>
      </c>
      <c r="AL298" s="242">
        <v>851.95006999999998</v>
      </c>
      <c r="AM298" s="242">
        <v>35.601758044295863</v>
      </c>
      <c r="AN298" s="242">
        <v>46749.45</v>
      </c>
      <c r="AO298" s="238">
        <v>11901.81</v>
      </c>
      <c r="AP298" s="243">
        <v>19</v>
      </c>
      <c r="AQ298" s="238">
        <v>1</v>
      </c>
      <c r="AR298" s="238">
        <v>1365.679384844856</v>
      </c>
      <c r="AS298" s="238">
        <v>1421.4869288124216</v>
      </c>
      <c r="AT298" s="238">
        <v>741674</v>
      </c>
      <c r="AU298" s="238">
        <v>268.66731087880959</v>
      </c>
      <c r="AV298" s="237">
        <v>1</v>
      </c>
      <c r="AW298" s="237">
        <v>1</v>
      </c>
      <c r="AX298" s="237">
        <v>1</v>
      </c>
      <c r="AY298" s="244" t="s">
        <v>673</v>
      </c>
      <c r="AZ298" s="244" t="s">
        <v>726</v>
      </c>
      <c r="BA298" s="237">
        <v>2013</v>
      </c>
      <c r="BB298" s="245" t="s">
        <v>826</v>
      </c>
      <c r="BC298" s="215" t="s">
        <v>827</v>
      </c>
      <c r="BE298" s="237">
        <v>125</v>
      </c>
      <c r="BF298" s="237">
        <v>102</v>
      </c>
      <c r="BG298" s="246" t="s">
        <v>676</v>
      </c>
      <c r="BI298" s="239">
        <v>0.2629359471164805</v>
      </c>
      <c r="BJ298" s="239">
        <v>0.22874401641212674</v>
      </c>
      <c r="BK298" s="239">
        <v>0.49646683382721679</v>
      </c>
      <c r="BL298" s="239">
        <v>1.1853202644175975E-2</v>
      </c>
      <c r="BM298" s="247">
        <v>1.7427627080009116</v>
      </c>
      <c r="BN298" s="248">
        <v>0</v>
      </c>
      <c r="BO298" s="248">
        <v>1</v>
      </c>
      <c r="BP298" s="237">
        <v>0</v>
      </c>
      <c r="BQ298" s="237">
        <v>0</v>
      </c>
      <c r="BR298" s="248">
        <v>1</v>
      </c>
      <c r="BS298" s="237">
        <v>14</v>
      </c>
      <c r="BT298" s="237" t="s">
        <v>1028</v>
      </c>
      <c r="BU298" s="249">
        <v>1082</v>
      </c>
      <c r="BV298" s="249">
        <v>1305</v>
      </c>
      <c r="BW298" s="249">
        <v>7297</v>
      </c>
      <c r="BX298" s="249">
        <v>1745</v>
      </c>
      <c r="BY298" s="249">
        <v>7.3982905982905987</v>
      </c>
      <c r="BZ298" s="249">
        <v>8.9230769230769234</v>
      </c>
      <c r="CA298" s="249">
        <v>49.894017094017094</v>
      </c>
      <c r="CB298" s="249">
        <v>11.931623931623932</v>
      </c>
      <c r="CC298" s="250">
        <v>89.935042735042742</v>
      </c>
      <c r="CD298" s="242">
        <v>-846</v>
      </c>
      <c r="CE298" s="252">
        <v>94.215384615384622</v>
      </c>
      <c r="CF298" s="238">
        <v>6872</v>
      </c>
      <c r="CG298" s="238">
        <v>1147.3</v>
      </c>
      <c r="CH298" s="238">
        <v>7.844786324786325</v>
      </c>
      <c r="CI298" s="216" t="s">
        <v>679</v>
      </c>
      <c r="CJ298" s="237">
        <v>0</v>
      </c>
      <c r="CK298" s="253">
        <v>959.91</v>
      </c>
      <c r="CL298" s="253">
        <v>101.43729999999999</v>
      </c>
      <c r="CM298" s="254">
        <v>4.2389176765566229E-2</v>
      </c>
      <c r="CN298" s="237" t="s">
        <v>90</v>
      </c>
      <c r="CO298" s="242">
        <v>752.64</v>
      </c>
      <c r="CP298" s="255">
        <v>0.31451734224822397</v>
      </c>
      <c r="CW298" s="194">
        <v>1.3720000000000001</v>
      </c>
      <c r="CX298" s="194">
        <v>0.161</v>
      </c>
      <c r="CY298" s="194">
        <v>2.1680000000000001</v>
      </c>
      <c r="DB298" s="216"/>
      <c r="DC298" s="195" t="s">
        <v>1698</v>
      </c>
      <c r="DD298" s="256">
        <v>0.7</v>
      </c>
      <c r="DE298" s="256">
        <v>-6.5</v>
      </c>
      <c r="DF298" s="256">
        <v>0.7</v>
      </c>
      <c r="DG298" s="256">
        <v>-2.2000000000000002</v>
      </c>
      <c r="DH298" s="257">
        <v>3</v>
      </c>
      <c r="DI298" s="257">
        <v>58.5</v>
      </c>
      <c r="DJ298" s="257">
        <v>20</v>
      </c>
      <c r="DK298" s="257">
        <v>78.5</v>
      </c>
      <c r="DL298" s="237" t="s">
        <v>682</v>
      </c>
      <c r="DP298" s="258" t="s">
        <v>682</v>
      </c>
      <c r="DQ298" s="258"/>
      <c r="DR298" s="258"/>
      <c r="DS298" s="258"/>
      <c r="DT298" s="258"/>
      <c r="DU298" s="237">
        <v>0</v>
      </c>
      <c r="DX298" s="247"/>
      <c r="DY298" s="247">
        <v>0</v>
      </c>
      <c r="EA298" s="237">
        <v>0</v>
      </c>
      <c r="ED298" s="237" t="s">
        <v>687</v>
      </c>
      <c r="EE298" s="208">
        <v>1</v>
      </c>
      <c r="EF298" s="237" t="s">
        <v>688</v>
      </c>
      <c r="EG298" s="216" t="s">
        <v>733</v>
      </c>
      <c r="EH298" s="246" t="s">
        <v>734</v>
      </c>
      <c r="EI298" s="216" t="s">
        <v>689</v>
      </c>
      <c r="EJ298" s="216" t="s">
        <v>529</v>
      </c>
      <c r="EK298" s="222" t="s">
        <v>682</v>
      </c>
      <c r="EL298" s="259">
        <v>1987</v>
      </c>
      <c r="EM298" s="260">
        <v>6460</v>
      </c>
      <c r="EN298" s="260">
        <v>632726</v>
      </c>
      <c r="EO298" s="260">
        <v>125227</v>
      </c>
      <c r="ER298" s="237" t="s">
        <v>692</v>
      </c>
      <c r="ES298" s="237">
        <v>14625</v>
      </c>
      <c r="ET298" s="237">
        <v>19.38498452012384</v>
      </c>
      <c r="EU298" s="661">
        <v>1</v>
      </c>
      <c r="EV298" s="661">
        <v>2</v>
      </c>
      <c r="EW298" s="661" t="s">
        <v>678</v>
      </c>
      <c r="EX298" s="661">
        <v>4</v>
      </c>
      <c r="EY298" s="660">
        <v>0.4011324697033013</v>
      </c>
      <c r="EZ298" s="256">
        <v>15.235803356564679</v>
      </c>
      <c r="FA298" s="247">
        <v>0</v>
      </c>
      <c r="FB298" s="208">
        <v>3</v>
      </c>
      <c r="FC298" s="208">
        <v>5</v>
      </c>
      <c r="FD298" s="208">
        <v>5</v>
      </c>
      <c r="FE298" s="239">
        <v>0.88916256157635465</v>
      </c>
      <c r="FF298" s="208"/>
      <c r="FG298" s="241">
        <v>4.8337438423645324E-2</v>
      </c>
      <c r="FH298" s="209">
        <v>0</v>
      </c>
      <c r="FI298" s="237" t="s">
        <v>678</v>
      </c>
      <c r="FJ298" s="208">
        <v>45.7</v>
      </c>
      <c r="FK298" s="208">
        <v>24.51</v>
      </c>
      <c r="FL298" s="217">
        <v>66.5</v>
      </c>
      <c r="FM298" s="208">
        <v>3.39</v>
      </c>
      <c r="FN298" s="208" t="s">
        <v>1699</v>
      </c>
      <c r="FP298" s="247" t="s">
        <v>693</v>
      </c>
      <c r="FU298" s="208">
        <v>43</v>
      </c>
      <c r="FV298" s="208">
        <v>61.8</v>
      </c>
      <c r="FW298" s="237">
        <v>55.05</v>
      </c>
      <c r="FX298" s="237">
        <v>34.700000000000003</v>
      </c>
      <c r="FY298" s="208">
        <v>39.57</v>
      </c>
      <c r="FZ298" s="208">
        <v>53.6</v>
      </c>
      <c r="GA298" s="208">
        <v>48.5</v>
      </c>
      <c r="GB298" s="208">
        <v>50.5</v>
      </c>
      <c r="GC298" s="208">
        <v>0.83</v>
      </c>
      <c r="GD298" s="208">
        <v>80.7</v>
      </c>
      <c r="GE298" s="237">
        <v>40.15</v>
      </c>
      <c r="GF298" s="237">
        <v>50.6</v>
      </c>
      <c r="GG298" s="237">
        <v>0.83</v>
      </c>
      <c r="GH298" s="237">
        <v>14.1</v>
      </c>
      <c r="GJ298" s="947">
        <v>205</v>
      </c>
      <c r="GK298" s="320">
        <v>0</v>
      </c>
      <c r="GL298" s="320">
        <v>0.249</v>
      </c>
      <c r="GM298" s="320">
        <v>0.105</v>
      </c>
      <c r="GN298" s="320">
        <v>0.64500000000000002</v>
      </c>
      <c r="GO298" s="662">
        <v>8295</v>
      </c>
      <c r="GP298" s="663" t="str">
        <f>VLOOKUP(GS298,'BD Comarcal'!$A$6:$AV$17,48,FALSE)</f>
        <v>11</v>
      </c>
      <c r="GQ298" s="564">
        <v>109</v>
      </c>
      <c r="GR298" s="256">
        <f t="shared" si="4"/>
        <v>1</v>
      </c>
      <c r="GS298" s="237" t="s">
        <v>90</v>
      </c>
    </row>
    <row r="299" spans="1:201" s="237" customFormat="1" ht="17.25" customHeight="1">
      <c r="A299" s="236" t="s">
        <v>1700</v>
      </c>
      <c r="C299" s="238"/>
      <c r="D299" s="238">
        <v>1053</v>
      </c>
      <c r="E299" s="238">
        <v>878</v>
      </c>
      <c r="F299" s="239">
        <v>0.83380816714150052</v>
      </c>
      <c r="G299" s="238">
        <v>579</v>
      </c>
      <c r="H299" s="240">
        <v>135.42085537093863</v>
      </c>
      <c r="I299" s="239">
        <v>0.15423787627669547</v>
      </c>
      <c r="J299" s="238">
        <v>12</v>
      </c>
      <c r="K299" s="238">
        <v>0</v>
      </c>
      <c r="L299" s="238" t="s">
        <v>678</v>
      </c>
      <c r="M299" s="241" t="s">
        <v>678</v>
      </c>
      <c r="N299" s="238" t="s">
        <v>678</v>
      </c>
      <c r="O299" s="239" t="s">
        <v>678</v>
      </c>
      <c r="P299" s="237" t="s">
        <v>678</v>
      </c>
      <c r="Q299" s="237" t="s">
        <v>678</v>
      </c>
      <c r="R299" s="239" t="s">
        <v>678</v>
      </c>
      <c r="S299" s="238" t="s">
        <v>678</v>
      </c>
      <c r="T299" s="436">
        <v>510</v>
      </c>
      <c r="U299" s="436">
        <v>10</v>
      </c>
      <c r="V299" s="436">
        <v>82</v>
      </c>
      <c r="W299" s="436">
        <v>602</v>
      </c>
      <c r="X299" s="238">
        <v>2525</v>
      </c>
      <c r="Y299" s="237">
        <v>0.11509999999999999</v>
      </c>
      <c r="Z299" s="238">
        <v>42620</v>
      </c>
      <c r="AA299" s="238">
        <v>16760</v>
      </c>
      <c r="AB299" s="238">
        <v>102.4</v>
      </c>
      <c r="AC299" s="238">
        <v>234</v>
      </c>
      <c r="AD299" s="238">
        <v>3578331.76</v>
      </c>
      <c r="AE299" s="238">
        <v>-93957.089999999851</v>
      </c>
      <c r="AF299" s="238">
        <v>3454604.84</v>
      </c>
      <c r="AG299" s="238">
        <v>256347.01</v>
      </c>
      <c r="AH299" s="239">
        <v>7.4204437807711757E-2</v>
      </c>
      <c r="AI299" s="247">
        <v>167.94253599999999</v>
      </c>
      <c r="AJ299" s="242">
        <v>18.563127000000001</v>
      </c>
      <c r="AK299" s="242">
        <v>1.7628800569800571</v>
      </c>
      <c r="AL299" s="242">
        <v>162.81623300000001</v>
      </c>
      <c r="AM299" s="242">
        <v>15.462130389363724</v>
      </c>
      <c r="AN299" s="242">
        <v>15697</v>
      </c>
      <c r="AO299" s="238">
        <v>2833</v>
      </c>
      <c r="AP299" s="243">
        <v>8</v>
      </c>
      <c r="AQ299" s="238"/>
      <c r="AR299" s="238">
        <v>1901.5719961948919</v>
      </c>
      <c r="AS299" s="238">
        <v>1402.5378838739173</v>
      </c>
      <c r="AT299" s="238">
        <v>387802.66666666669</v>
      </c>
      <c r="AU299" s="238">
        <v>452.13927644659913</v>
      </c>
      <c r="AV299" s="237">
        <v>1</v>
      </c>
      <c r="AW299" s="237">
        <v>1</v>
      </c>
      <c r="AX299" s="237">
        <v>1</v>
      </c>
      <c r="AY299" s="244" t="s">
        <v>673</v>
      </c>
      <c r="AZ299" s="244" t="s">
        <v>695</v>
      </c>
      <c r="BA299" s="237">
        <v>2012</v>
      </c>
      <c r="BB299" s="245" t="s">
        <v>708</v>
      </c>
      <c r="BC299" s="215" t="s">
        <v>709</v>
      </c>
      <c r="BE299" s="237">
        <v>2</v>
      </c>
      <c r="BF299" s="237">
        <v>39</v>
      </c>
      <c r="BG299" s="246" t="s">
        <v>676</v>
      </c>
      <c r="BI299" s="239">
        <v>0.30381569474442044</v>
      </c>
      <c r="BJ299" s="239">
        <v>0.10511159107271419</v>
      </c>
      <c r="BK299" s="239">
        <v>0.5788336933045356</v>
      </c>
      <c r="BL299" s="239">
        <v>1.2239020878329733E-2</v>
      </c>
      <c r="BM299" s="247">
        <v>1.7005039596832252</v>
      </c>
      <c r="BN299" s="248">
        <v>0</v>
      </c>
      <c r="BO299" s="248">
        <v>0</v>
      </c>
      <c r="BP299" s="237">
        <v>0</v>
      </c>
      <c r="BQ299" s="237">
        <v>0</v>
      </c>
      <c r="BR299" s="248">
        <v>0</v>
      </c>
      <c r="BS299" s="237">
        <v>11</v>
      </c>
      <c r="BT299" s="237" t="s">
        <v>729</v>
      </c>
      <c r="BU299" s="249" t="s">
        <v>678</v>
      </c>
      <c r="BV299" s="249">
        <v>166</v>
      </c>
      <c r="BW299" s="249">
        <v>986</v>
      </c>
      <c r="BX299" s="249">
        <v>589</v>
      </c>
      <c r="BY299" s="249" t="s">
        <v>678</v>
      </c>
      <c r="BZ299" s="249">
        <v>6.5302911093627065</v>
      </c>
      <c r="CA299" s="249">
        <v>38.788355625491739</v>
      </c>
      <c r="CB299" s="249">
        <v>23.170731707317074</v>
      </c>
      <c r="CC299" s="250" t="s">
        <v>678</v>
      </c>
      <c r="CD299" s="242" t="s">
        <v>678</v>
      </c>
      <c r="CE299" s="252" t="s">
        <v>678</v>
      </c>
      <c r="CF299" s="238">
        <v>1133</v>
      </c>
      <c r="CG299" s="238">
        <v>120</v>
      </c>
      <c r="CH299" s="238">
        <v>4.7206923682140047</v>
      </c>
      <c r="CI299" s="216" t="s">
        <v>700</v>
      </c>
      <c r="CJ299" s="237">
        <v>0</v>
      </c>
      <c r="CK299" s="253">
        <v>179.1</v>
      </c>
      <c r="CL299" s="253">
        <v>38.505899999999997</v>
      </c>
      <c r="CM299" s="254">
        <v>3.6567806267806265E-2</v>
      </c>
      <c r="CN299" s="237" t="s">
        <v>24</v>
      </c>
      <c r="CO299" s="242">
        <v>239.44</v>
      </c>
      <c r="CP299" s="255">
        <v>0.22738841405508073</v>
      </c>
      <c r="CV299" s="237">
        <v>4</v>
      </c>
      <c r="CW299" s="261" t="s">
        <v>678</v>
      </c>
      <c r="CX299" s="261" t="s">
        <v>678</v>
      </c>
      <c r="CY299" s="261" t="s">
        <v>678</v>
      </c>
      <c r="DB299" s="216" t="s">
        <v>710</v>
      </c>
      <c r="DC299" s="195" t="s">
        <v>711</v>
      </c>
      <c r="DD299" s="256">
        <v>0.7</v>
      </c>
      <c r="DE299" s="256">
        <v>-6.5</v>
      </c>
      <c r="DF299" s="256">
        <v>0.7</v>
      </c>
      <c r="DG299" s="256">
        <v>-2.2000000000000002</v>
      </c>
      <c r="DH299" s="257">
        <v>1</v>
      </c>
      <c r="DI299" s="257">
        <v>2</v>
      </c>
      <c r="DJ299" s="257">
        <v>0</v>
      </c>
      <c r="DK299" s="257">
        <v>2</v>
      </c>
      <c r="DL299" s="237" t="s">
        <v>682</v>
      </c>
      <c r="DP299" s="258" t="s">
        <v>682</v>
      </c>
      <c r="DQ299" s="258"/>
      <c r="DR299" s="258"/>
      <c r="DS299" s="258"/>
      <c r="DT299" s="258"/>
      <c r="DU299" s="237">
        <v>0</v>
      </c>
      <c r="DX299" s="247"/>
      <c r="DY299" s="247">
        <v>0</v>
      </c>
      <c r="EA299" s="237">
        <v>0</v>
      </c>
      <c r="ED299" s="237" t="s">
        <v>851</v>
      </c>
      <c r="EE299" s="208">
        <v>1</v>
      </c>
      <c r="EF299" s="237" t="s">
        <v>852</v>
      </c>
      <c r="EG299" s="216" t="s">
        <v>703</v>
      </c>
      <c r="EH299" s="246" t="s">
        <v>704</v>
      </c>
      <c r="EI299" s="216"/>
      <c r="EJ299" s="216" t="s">
        <v>529</v>
      </c>
      <c r="EK299" s="222" t="s">
        <v>682</v>
      </c>
      <c r="EL299" s="259">
        <v>2008</v>
      </c>
      <c r="EM299" s="263">
        <v>820</v>
      </c>
      <c r="EN299" s="260">
        <v>205588</v>
      </c>
      <c r="EO299" s="260">
        <v>223786</v>
      </c>
      <c r="ER299" s="237" t="s">
        <v>705</v>
      </c>
      <c r="ES299" s="237" t="e">
        <v>#DIV/0!</v>
      </c>
      <c r="ET299" s="237">
        <v>272.909756097561</v>
      </c>
      <c r="EU299" s="661">
        <v>1</v>
      </c>
      <c r="EV299" s="661">
        <v>3</v>
      </c>
      <c r="EW299" s="661" t="s">
        <v>678</v>
      </c>
      <c r="EX299" s="661">
        <v>5</v>
      </c>
      <c r="EY299" s="660">
        <v>0.17008547008547009</v>
      </c>
      <c r="EZ299" s="256">
        <v>14.19318816303741</v>
      </c>
      <c r="FA299" s="247">
        <v>0.45558086560364464</v>
      </c>
      <c r="FB299" s="208">
        <v>3</v>
      </c>
      <c r="FC299" s="208">
        <v>3</v>
      </c>
      <c r="FD299" s="208">
        <v>7</v>
      </c>
      <c r="FE299" s="239">
        <v>0.65945330296127558</v>
      </c>
      <c r="FF299" s="208"/>
      <c r="FG299" s="241">
        <v>2.2779043280182231E-3</v>
      </c>
      <c r="FH299" s="209">
        <v>0</v>
      </c>
      <c r="FI299" s="237" t="s">
        <v>678</v>
      </c>
      <c r="FJ299" s="208">
        <v>37.799999999999997</v>
      </c>
      <c r="FK299" s="208">
        <v>49.64</v>
      </c>
      <c r="FL299" s="217">
        <v>90.6</v>
      </c>
      <c r="FM299" s="208">
        <v>7.78</v>
      </c>
      <c r="FN299" s="208" t="s">
        <v>1701</v>
      </c>
      <c r="FP299" s="247" t="s">
        <v>693</v>
      </c>
      <c r="FU299" s="208">
        <v>30</v>
      </c>
      <c r="FV299" s="208">
        <v>27.1</v>
      </c>
      <c r="FW299" s="237">
        <v>85.23</v>
      </c>
      <c r="FX299" s="237">
        <v>74.8</v>
      </c>
      <c r="FY299" s="208">
        <v>65.400000000000006</v>
      </c>
      <c r="FZ299" s="208">
        <v>72.2</v>
      </c>
      <c r="GA299" s="208">
        <v>67.98</v>
      </c>
      <c r="GB299" s="208">
        <v>76.7</v>
      </c>
      <c r="GC299" s="208">
        <v>0.25</v>
      </c>
      <c r="GD299" s="208">
        <v>45.2</v>
      </c>
      <c r="GE299" s="237">
        <v>48.16</v>
      </c>
      <c r="GF299" s="237">
        <v>63.5</v>
      </c>
      <c r="GG299" s="237">
        <v>0.9</v>
      </c>
      <c r="GH299" s="237">
        <v>14.6</v>
      </c>
      <c r="GJ299" s="947"/>
      <c r="GK299" s="320"/>
      <c r="GL299" s="320"/>
      <c r="GM299" s="320"/>
      <c r="GN299" s="320"/>
      <c r="GO299" s="662">
        <v>8296</v>
      </c>
      <c r="GP299" s="663" t="str">
        <f>VLOOKUP(GS299,'BD Comarcal'!$A$6:$AV$17,48,FALSE)</f>
        <v>41</v>
      </c>
      <c r="GQ299" s="564">
        <v>11</v>
      </c>
      <c r="GR299" s="256">
        <f t="shared" si="4"/>
        <v>1</v>
      </c>
      <c r="GS299" s="237" t="s">
        <v>24</v>
      </c>
    </row>
    <row r="300" spans="1:201" s="237" customFormat="1" ht="17.25" customHeight="1">
      <c r="A300" s="236" t="s">
        <v>1702</v>
      </c>
      <c r="C300" s="238"/>
      <c r="D300" s="238">
        <v>3890</v>
      </c>
      <c r="E300" s="238">
        <v>1839</v>
      </c>
      <c r="F300" s="239">
        <v>0.47275064267352185</v>
      </c>
      <c r="G300" s="238">
        <v>369</v>
      </c>
      <c r="H300" s="240">
        <v>601.35955181044574</v>
      </c>
      <c r="I300" s="239">
        <v>0.32700356270279812</v>
      </c>
      <c r="J300" s="238">
        <v>1480</v>
      </c>
      <c r="K300" s="238">
        <v>219</v>
      </c>
      <c r="L300" s="238">
        <v>17</v>
      </c>
      <c r="M300" s="241">
        <v>4.3701799485861186E-3</v>
      </c>
      <c r="N300" s="238">
        <v>0</v>
      </c>
      <c r="O300" s="239">
        <v>0</v>
      </c>
      <c r="P300" s="237">
        <v>13</v>
      </c>
      <c r="Q300" s="237">
        <v>0</v>
      </c>
      <c r="R300" s="239">
        <v>0</v>
      </c>
      <c r="S300" s="238">
        <v>4308</v>
      </c>
      <c r="T300" s="436">
        <v>0</v>
      </c>
      <c r="U300" s="436">
        <v>8</v>
      </c>
      <c r="V300" s="436">
        <v>0</v>
      </c>
      <c r="W300" s="436">
        <v>8</v>
      </c>
      <c r="X300" s="238">
        <v>173</v>
      </c>
      <c r="Y300" s="237">
        <v>0.27839999999999998</v>
      </c>
      <c r="Z300" s="238">
        <v>2169</v>
      </c>
      <c r="AA300" s="238">
        <v>12396</v>
      </c>
      <c r="AB300" s="238">
        <v>75.739999999999995</v>
      </c>
      <c r="AC300" s="238">
        <v>0</v>
      </c>
      <c r="AD300" s="238">
        <v>718241.87</v>
      </c>
      <c r="AE300" s="238">
        <v>65555.979999999923</v>
      </c>
      <c r="AF300" s="238">
        <v>386806.82</v>
      </c>
      <c r="AG300" s="238">
        <v>44881.17</v>
      </c>
      <c r="AH300" s="239">
        <v>0.11602993452907577</v>
      </c>
      <c r="AI300" s="247">
        <v>8.0354770000000002</v>
      </c>
      <c r="AJ300" s="242">
        <v>2.6132759999999999</v>
      </c>
      <c r="AK300" s="242">
        <v>6.7179331619537277E-2</v>
      </c>
      <c r="AL300" s="242" t="s">
        <v>678</v>
      </c>
      <c r="AM300" s="242" t="s">
        <v>678</v>
      </c>
      <c r="AN300" s="242">
        <v>17260.48</v>
      </c>
      <c r="AO300" s="238">
        <v>5555.68</v>
      </c>
      <c r="AP300" s="243">
        <v>0</v>
      </c>
      <c r="AQ300" s="238"/>
      <c r="AR300" s="238">
        <v>2030.6817564372043</v>
      </c>
      <c r="AS300" s="238">
        <v>830.71404981213527</v>
      </c>
      <c r="AT300" s="238">
        <v>9038.3333333333339</v>
      </c>
      <c r="AU300" s="238">
        <v>193.06499591637947</v>
      </c>
      <c r="AV300" s="237">
        <v>1</v>
      </c>
      <c r="AW300" s="237">
        <v>1</v>
      </c>
      <c r="AX300" s="237">
        <v>1</v>
      </c>
      <c r="AY300" s="244" t="s">
        <v>717</v>
      </c>
      <c r="AZ300" s="244" t="s">
        <v>695</v>
      </c>
      <c r="BA300" s="237">
        <v>0</v>
      </c>
      <c r="BB300" s="245" t="s">
        <v>1703</v>
      </c>
      <c r="BC300" s="215" t="s">
        <v>1704</v>
      </c>
      <c r="BE300" s="237">
        <v>2</v>
      </c>
      <c r="BF300" s="237">
        <v>77</v>
      </c>
      <c r="BG300" s="246" t="s">
        <v>698</v>
      </c>
      <c r="BI300" s="239">
        <v>0.78612716763005785</v>
      </c>
      <c r="BJ300" s="239">
        <v>6.358381502890173E-2</v>
      </c>
      <c r="BK300" s="239">
        <v>0.13294797687861271</v>
      </c>
      <c r="BL300" s="239">
        <v>1.7341040462427744E-2</v>
      </c>
      <c r="BM300" s="247">
        <v>2.6184971098265897</v>
      </c>
      <c r="BN300" s="248">
        <v>0</v>
      </c>
      <c r="BO300" s="248">
        <v>0</v>
      </c>
      <c r="BP300" s="237">
        <v>0</v>
      </c>
      <c r="BQ300" s="237">
        <v>0</v>
      </c>
      <c r="BR300" s="248">
        <v>0</v>
      </c>
      <c r="BS300" s="237">
        <v>18</v>
      </c>
      <c r="BT300" s="237" t="s">
        <v>755</v>
      </c>
      <c r="BU300" s="249" t="s">
        <v>678</v>
      </c>
      <c r="BV300" s="249" t="s">
        <v>678</v>
      </c>
      <c r="BW300" s="249" t="s">
        <v>678</v>
      </c>
      <c r="BX300" s="249" t="s">
        <v>678</v>
      </c>
      <c r="BY300" s="249" t="s">
        <v>678</v>
      </c>
      <c r="BZ300" s="249" t="s">
        <v>678</v>
      </c>
      <c r="CA300" s="249" t="s">
        <v>678</v>
      </c>
      <c r="CB300" s="249" t="s">
        <v>678</v>
      </c>
      <c r="CC300" s="250" t="s">
        <v>678</v>
      </c>
      <c r="CD300" s="242" t="s">
        <v>678</v>
      </c>
      <c r="CE300" s="252" t="s">
        <v>678</v>
      </c>
      <c r="CF300" s="238">
        <v>99</v>
      </c>
      <c r="CG300" s="238">
        <v>3.3</v>
      </c>
      <c r="CH300" s="238">
        <v>1.875</v>
      </c>
      <c r="CI300" s="216" t="s">
        <v>700</v>
      </c>
      <c r="CJ300" s="237">
        <v>0</v>
      </c>
      <c r="CK300" s="253">
        <v>7.91</v>
      </c>
      <c r="CL300" s="253">
        <v>22.6281</v>
      </c>
      <c r="CM300" s="254">
        <v>5.8169922879177374E-3</v>
      </c>
      <c r="CN300" s="237" t="s">
        <v>81</v>
      </c>
      <c r="CO300" s="242"/>
      <c r="CP300" s="255">
        <v>0</v>
      </c>
      <c r="CV300" s="237">
        <v>2</v>
      </c>
      <c r="CW300" s="261" t="s">
        <v>678</v>
      </c>
      <c r="CX300" s="261" t="s">
        <v>678</v>
      </c>
      <c r="CY300" s="261" t="s">
        <v>678</v>
      </c>
      <c r="DB300" s="216" t="s">
        <v>681</v>
      </c>
      <c r="DC300" s="256"/>
      <c r="DD300" s="256">
        <v>0.8</v>
      </c>
      <c r="DE300" s="256">
        <v>-10</v>
      </c>
      <c r="DF300" s="256">
        <v>0.5</v>
      </c>
      <c r="DG300" s="256">
        <v>-2.2999999999999998</v>
      </c>
      <c r="DH300" s="257">
        <v>4</v>
      </c>
      <c r="DI300" s="257">
        <v>2.9</v>
      </c>
      <c r="DJ300" s="257">
        <v>8.9</v>
      </c>
      <c r="DK300" s="257">
        <v>11.8</v>
      </c>
      <c r="DL300" s="237" t="s">
        <v>682</v>
      </c>
      <c r="DP300" s="258" t="s">
        <v>682</v>
      </c>
      <c r="DQ300" s="258"/>
      <c r="DR300" s="258"/>
      <c r="DS300" s="258"/>
      <c r="DT300" s="258"/>
      <c r="DU300" s="237">
        <v>0</v>
      </c>
      <c r="DX300" s="247"/>
      <c r="DY300" s="247">
        <v>0</v>
      </c>
      <c r="EA300" s="237">
        <v>0</v>
      </c>
      <c r="ED300" s="237" t="s">
        <v>1705</v>
      </c>
      <c r="EE300" s="208">
        <v>1</v>
      </c>
      <c r="EF300" s="237" t="s">
        <v>702</v>
      </c>
      <c r="EG300" s="216" t="s">
        <v>703</v>
      </c>
      <c r="EH300" s="246" t="s">
        <v>704</v>
      </c>
      <c r="EI300" s="216"/>
      <c r="EJ300" s="216" t="s">
        <v>529</v>
      </c>
      <c r="EK300" s="222" t="s">
        <v>682</v>
      </c>
      <c r="EL300" s="259">
        <v>2007</v>
      </c>
      <c r="EM300" s="260">
        <v>1960</v>
      </c>
      <c r="EN300" s="260">
        <v>5908</v>
      </c>
      <c r="EO300" s="260">
        <v>3434</v>
      </c>
      <c r="EP300" s="237">
        <v>1</v>
      </c>
      <c r="EQ300" s="237">
        <v>149</v>
      </c>
      <c r="ER300" s="237" t="s">
        <v>705</v>
      </c>
      <c r="ES300" s="237" t="e">
        <v>#DIV/0!</v>
      </c>
      <c r="ET300" s="237">
        <v>1.7520408163265306</v>
      </c>
      <c r="EU300" s="661">
        <v>0</v>
      </c>
      <c r="EV300" s="661" t="s">
        <v>678</v>
      </c>
      <c r="EW300" s="661">
        <v>3</v>
      </c>
      <c r="EX300" s="661">
        <v>5</v>
      </c>
      <c r="EY300" s="660">
        <v>2.0334190231362467E-3</v>
      </c>
      <c r="EZ300" s="256">
        <v>22.250316055625788</v>
      </c>
      <c r="FA300" s="247">
        <v>0.10875475802066341</v>
      </c>
      <c r="FB300" s="208">
        <v>4</v>
      </c>
      <c r="FC300" s="208">
        <v>4</v>
      </c>
      <c r="FD300" s="208">
        <v>7</v>
      </c>
      <c r="FE300" s="239">
        <v>0.20065252854812399</v>
      </c>
      <c r="FF300" s="208">
        <v>1</v>
      </c>
      <c r="FG300" s="241">
        <v>6.416530723219141E-3</v>
      </c>
      <c r="FH300" s="209">
        <v>0</v>
      </c>
      <c r="FI300" s="237" t="s">
        <v>678</v>
      </c>
      <c r="FJ300" s="208">
        <v>40.9</v>
      </c>
      <c r="FK300" s="208">
        <v>0</v>
      </c>
      <c r="FL300" s="217">
        <v>10.6</v>
      </c>
      <c r="FM300" s="208">
        <v>1.94</v>
      </c>
      <c r="FN300" s="208" t="s">
        <v>1706</v>
      </c>
      <c r="FP300" s="247" t="s">
        <v>693</v>
      </c>
      <c r="FU300" s="208">
        <v>31</v>
      </c>
      <c r="FV300" s="208">
        <v>29.9</v>
      </c>
      <c r="FW300" s="237">
        <v>18.8</v>
      </c>
      <c r="FX300" s="237">
        <v>7.3</v>
      </c>
      <c r="FY300" s="208">
        <v>8.4700000000000006</v>
      </c>
      <c r="FZ300" s="208">
        <v>15.1</v>
      </c>
      <c r="GA300" s="208">
        <v>17.72</v>
      </c>
      <c r="GB300" s="208">
        <v>5.2</v>
      </c>
      <c r="GC300" s="208">
        <v>1</v>
      </c>
      <c r="GD300" s="208">
        <v>86.8</v>
      </c>
      <c r="GE300" s="237">
        <v>14.96</v>
      </c>
      <c r="GF300" s="237">
        <v>9.6</v>
      </c>
      <c r="GG300" s="237">
        <v>11.24</v>
      </c>
      <c r="GH300" s="237">
        <v>72</v>
      </c>
      <c r="GJ300" s="947"/>
      <c r="GK300" s="320"/>
      <c r="GL300" s="320"/>
      <c r="GM300" s="320"/>
      <c r="GN300" s="320"/>
      <c r="GO300" s="662">
        <v>8297</v>
      </c>
      <c r="GP300" s="663" t="str">
        <f>VLOOKUP(GS300,'BD Comarcal'!$A$6:$AV$17,48,FALSE)</f>
        <v>06</v>
      </c>
      <c r="GQ300" s="564">
        <v>4</v>
      </c>
      <c r="GR300" s="256">
        <f t="shared" si="4"/>
        <v>1</v>
      </c>
      <c r="GS300" s="237" t="s">
        <v>81</v>
      </c>
    </row>
    <row r="301" spans="1:201" s="237" customFormat="1" ht="17.25" customHeight="1">
      <c r="A301" s="236" t="s">
        <v>815</v>
      </c>
      <c r="C301" s="238"/>
      <c r="D301" s="238">
        <v>3092</v>
      </c>
      <c r="E301" s="238">
        <v>508</v>
      </c>
      <c r="F301" s="239">
        <v>0.16429495472186287</v>
      </c>
      <c r="G301" s="238">
        <v>438</v>
      </c>
      <c r="H301" s="240">
        <v>131.40649823596584</v>
      </c>
      <c r="I301" s="239">
        <v>0.25867420912591699</v>
      </c>
      <c r="J301" s="238">
        <v>1359</v>
      </c>
      <c r="K301" s="238">
        <v>284</v>
      </c>
      <c r="L301" s="238">
        <v>20</v>
      </c>
      <c r="M301" s="241">
        <v>6.4683053040103496E-3</v>
      </c>
      <c r="N301" s="238">
        <v>0</v>
      </c>
      <c r="O301" s="239">
        <v>0</v>
      </c>
      <c r="P301" s="237">
        <v>83</v>
      </c>
      <c r="Q301" s="237">
        <v>0</v>
      </c>
      <c r="R301" s="239">
        <v>0</v>
      </c>
      <c r="S301" s="238">
        <v>13881</v>
      </c>
      <c r="T301" s="436">
        <v>0</v>
      </c>
      <c r="U301" s="436">
        <v>62</v>
      </c>
      <c r="V301" s="436">
        <v>274</v>
      </c>
      <c r="W301" s="436">
        <v>336</v>
      </c>
      <c r="X301" s="238">
        <v>43287</v>
      </c>
      <c r="Y301" s="237">
        <v>0.15540000000000001</v>
      </c>
      <c r="Z301" s="238">
        <v>681241</v>
      </c>
      <c r="AA301" s="238">
        <v>16030</v>
      </c>
      <c r="AB301" s="238">
        <v>97.94</v>
      </c>
      <c r="AC301" s="238">
        <v>28182</v>
      </c>
      <c r="AD301" s="238">
        <v>46298432.689999998</v>
      </c>
      <c r="AE301" s="238">
        <v>6963709.8400000036</v>
      </c>
      <c r="AF301" s="238">
        <v>40411390.160000004</v>
      </c>
      <c r="AG301" s="238">
        <v>3670115.85</v>
      </c>
      <c r="AH301" s="239">
        <v>9.0818846752585947E-2</v>
      </c>
      <c r="AI301" s="247">
        <v>774.57690000000002</v>
      </c>
      <c r="AJ301" s="242">
        <v>165.59250399999999</v>
      </c>
      <c r="AK301" s="242">
        <v>5.355514359637775</v>
      </c>
      <c r="AL301" s="242" t="s">
        <v>678</v>
      </c>
      <c r="AM301" s="242" t="s">
        <v>678</v>
      </c>
      <c r="AN301" s="242">
        <v>99220.69</v>
      </c>
      <c r="AO301" s="238">
        <v>14501.62</v>
      </c>
      <c r="AP301" s="243">
        <v>68</v>
      </c>
      <c r="AQ301" s="238">
        <v>2</v>
      </c>
      <c r="AR301" s="238">
        <v>1274.1416240544906</v>
      </c>
      <c r="AS301" s="238">
        <v>2912.2645005685204</v>
      </c>
      <c r="AT301" s="238">
        <v>3430331</v>
      </c>
      <c r="AU301" s="238">
        <v>251.00084809923629</v>
      </c>
      <c r="AV301" s="237">
        <v>1</v>
      </c>
      <c r="AW301" s="237">
        <v>0</v>
      </c>
      <c r="AX301" s="237">
        <v>1</v>
      </c>
      <c r="AY301" s="244" t="s">
        <v>717</v>
      </c>
      <c r="AZ301" s="244" t="s">
        <v>673</v>
      </c>
      <c r="BA301" s="237">
        <v>2009</v>
      </c>
      <c r="BB301" s="245" t="s">
        <v>1172</v>
      </c>
      <c r="BC301" s="215" t="s">
        <v>1173</v>
      </c>
      <c r="BD301" s="237">
        <v>1</v>
      </c>
      <c r="BE301" s="237">
        <v>0</v>
      </c>
      <c r="BF301" s="237">
        <v>83</v>
      </c>
      <c r="BG301" s="246" t="s">
        <v>698</v>
      </c>
      <c r="BI301" s="239">
        <v>0.30207770139800727</v>
      </c>
      <c r="BJ301" s="239">
        <v>0.10120748693391005</v>
      </c>
      <c r="BK301" s="239">
        <v>0.55392497618495917</v>
      </c>
      <c r="BL301" s="239">
        <v>4.2789835483123505E-2</v>
      </c>
      <c r="BM301" s="247">
        <v>1.6625730542468011</v>
      </c>
      <c r="BN301" s="248">
        <v>0</v>
      </c>
      <c r="BO301" s="248">
        <v>2</v>
      </c>
      <c r="BP301" s="237">
        <v>1</v>
      </c>
      <c r="BQ301" s="237">
        <v>1</v>
      </c>
      <c r="BR301" s="248">
        <v>4</v>
      </c>
      <c r="BS301" s="237">
        <v>0</v>
      </c>
      <c r="BT301" s="237" t="s">
        <v>815</v>
      </c>
      <c r="BU301" s="249">
        <v>4061</v>
      </c>
      <c r="BV301" s="249">
        <v>5382</v>
      </c>
      <c r="BW301" s="249">
        <v>16936</v>
      </c>
      <c r="BX301" s="249">
        <v>6463</v>
      </c>
      <c r="BY301" s="249">
        <v>9.7510024731673344</v>
      </c>
      <c r="BZ301" s="249">
        <v>12.922899608615266</v>
      </c>
      <c r="CA301" s="249">
        <v>40.665594160443732</v>
      </c>
      <c r="CB301" s="249">
        <v>15.518524743679016</v>
      </c>
      <c r="CC301" s="250">
        <v>95.764400797176265</v>
      </c>
      <c r="CD301" s="242">
        <v>3123</v>
      </c>
      <c r="CE301" s="252">
        <v>107.49873940499916</v>
      </c>
      <c r="CF301" s="238">
        <v>19154</v>
      </c>
      <c r="CG301" s="238">
        <v>3809</v>
      </c>
      <c r="CH301" s="238">
        <v>9.1459168727639444</v>
      </c>
      <c r="CI301" s="216" t="s">
        <v>700</v>
      </c>
      <c r="CJ301" s="237">
        <v>0</v>
      </c>
      <c r="CK301" s="253">
        <v>816.7</v>
      </c>
      <c r="CL301" s="253">
        <v>196.16720000000001</v>
      </c>
      <c r="CM301" s="254">
        <v>6.3443467011642954E-2</v>
      </c>
      <c r="CN301" s="237" t="s">
        <v>88</v>
      </c>
      <c r="CO301" s="242"/>
      <c r="CP301" s="255">
        <v>0</v>
      </c>
      <c r="CV301" s="237">
        <v>16</v>
      </c>
      <c r="CW301" s="194">
        <v>0.76800000000000002</v>
      </c>
      <c r="CX301" s="194">
        <v>0.63500000000000001</v>
      </c>
      <c r="CY301" s="194">
        <v>0.498</v>
      </c>
      <c r="DB301" s="216" t="s">
        <v>1234</v>
      </c>
      <c r="DC301" s="195" t="s">
        <v>1235</v>
      </c>
      <c r="DD301" s="256">
        <v>0.8</v>
      </c>
      <c r="DE301" s="256">
        <v>-10</v>
      </c>
      <c r="DF301" s="256">
        <v>0.5</v>
      </c>
      <c r="DG301" s="256">
        <v>-2.2999999999999998</v>
      </c>
      <c r="DL301" s="237" t="s">
        <v>529</v>
      </c>
      <c r="DM301" s="237" t="s">
        <v>1174</v>
      </c>
      <c r="DN301" s="237" t="s">
        <v>713</v>
      </c>
      <c r="DO301" s="237">
        <v>1</v>
      </c>
      <c r="DP301" s="258" t="s">
        <v>683</v>
      </c>
      <c r="DQ301" s="258" t="s">
        <v>948</v>
      </c>
      <c r="DR301" s="258" t="s">
        <v>1707</v>
      </c>
      <c r="DS301" s="258"/>
      <c r="DT301" s="258"/>
      <c r="DU301" s="237">
        <v>0</v>
      </c>
      <c r="DX301" s="247"/>
      <c r="DY301" s="247">
        <v>0</v>
      </c>
      <c r="EA301" s="237">
        <v>0</v>
      </c>
      <c r="ED301" s="237" t="s">
        <v>851</v>
      </c>
      <c r="EE301" s="208">
        <v>3</v>
      </c>
      <c r="EF301" s="237" t="s">
        <v>852</v>
      </c>
      <c r="EG301" s="216" t="s">
        <v>689</v>
      </c>
      <c r="EH301" s="246" t="s">
        <v>690</v>
      </c>
      <c r="EI301" s="216"/>
      <c r="EJ301" s="216" t="s">
        <v>529</v>
      </c>
      <c r="EK301" s="222" t="s">
        <v>529</v>
      </c>
      <c r="EL301" s="259">
        <v>2011</v>
      </c>
      <c r="EM301" s="263">
        <v>18250</v>
      </c>
      <c r="EN301" s="260">
        <v>1719569</v>
      </c>
      <c r="EO301" s="260">
        <v>1861652</v>
      </c>
      <c r="ER301" s="237" t="s">
        <v>705</v>
      </c>
      <c r="ES301" s="237">
        <v>10411.75</v>
      </c>
      <c r="ET301" s="237">
        <v>102.00832876712329</v>
      </c>
      <c r="EU301" s="661">
        <v>7</v>
      </c>
      <c r="EV301" s="661">
        <v>2</v>
      </c>
      <c r="EW301" s="661">
        <v>1</v>
      </c>
      <c r="EX301" s="661">
        <v>3</v>
      </c>
      <c r="EY301" s="660">
        <v>0.26413324708926261</v>
      </c>
      <c r="EZ301" s="256">
        <v>50.994245132851717</v>
      </c>
      <c r="FA301" s="247">
        <v>3.1496062992125986</v>
      </c>
      <c r="FB301" s="208">
        <v>2</v>
      </c>
      <c r="FC301" s="208">
        <v>2</v>
      </c>
      <c r="FD301" s="208">
        <v>3</v>
      </c>
      <c r="FE301" s="239">
        <v>0.86220472440944884</v>
      </c>
      <c r="FF301" s="208"/>
      <c r="FG301" s="241">
        <v>0</v>
      </c>
      <c r="FH301" s="209">
        <v>0</v>
      </c>
      <c r="FI301" s="237" t="s">
        <v>678</v>
      </c>
      <c r="FJ301" s="208" t="s">
        <v>678</v>
      </c>
      <c r="FK301" s="208" t="s">
        <v>678</v>
      </c>
      <c r="FL301" s="217" t="s">
        <v>678</v>
      </c>
      <c r="FM301" s="208" t="s">
        <v>678</v>
      </c>
      <c r="FN301" s="208" t="s">
        <v>678</v>
      </c>
      <c r="FP301" s="247" t="s">
        <v>693</v>
      </c>
      <c r="FU301" s="208" t="s">
        <v>678</v>
      </c>
      <c r="FV301" s="208" t="s">
        <v>678</v>
      </c>
      <c r="FW301" s="208" t="s">
        <v>678</v>
      </c>
      <c r="FX301" s="208" t="s">
        <v>678</v>
      </c>
      <c r="FY301" s="208" t="s">
        <v>678</v>
      </c>
      <c r="FZ301" s="208" t="s">
        <v>678</v>
      </c>
      <c r="GA301" s="208" t="s">
        <v>678</v>
      </c>
      <c r="GB301" s="208" t="s">
        <v>678</v>
      </c>
      <c r="GC301" s="208" t="s">
        <v>678</v>
      </c>
      <c r="GD301" s="208" t="s">
        <v>678</v>
      </c>
      <c r="GE301" s="237" t="s">
        <v>678</v>
      </c>
      <c r="GF301" s="237" t="s">
        <v>678</v>
      </c>
      <c r="GG301" s="237" t="s">
        <v>678</v>
      </c>
      <c r="GH301" s="237" t="s">
        <v>678</v>
      </c>
      <c r="GJ301" s="947">
        <v>1584</v>
      </c>
      <c r="GK301" s="320">
        <v>3.0000000000000001E-3</v>
      </c>
      <c r="GL301" s="320">
        <v>0.26300000000000001</v>
      </c>
      <c r="GM301" s="320">
        <v>3.9E-2</v>
      </c>
      <c r="GN301" s="320">
        <v>0.69599999999999995</v>
      </c>
      <c r="GO301" s="662">
        <v>8298</v>
      </c>
      <c r="GP301" s="663" t="str">
        <f>VLOOKUP(GS301,'BD Comarcal'!$A$6:$AV$17,48,FALSE)</f>
        <v>24</v>
      </c>
      <c r="GQ301" s="564">
        <v>314</v>
      </c>
      <c r="GR301" s="256">
        <f t="shared" si="4"/>
        <v>0</v>
      </c>
      <c r="GS301" s="237" t="s">
        <v>88</v>
      </c>
    </row>
    <row r="302" spans="1:201" s="237" customFormat="1" ht="17.25" customHeight="1">
      <c r="A302" s="236" t="s">
        <v>1708</v>
      </c>
      <c r="C302" s="238"/>
      <c r="D302" s="238">
        <v>2249</v>
      </c>
      <c r="E302" s="238">
        <v>1884</v>
      </c>
      <c r="F302" s="239">
        <v>0.83770564695420191</v>
      </c>
      <c r="G302" s="238">
        <v>1797</v>
      </c>
      <c r="H302" s="240">
        <v>1230.7888815836334</v>
      </c>
      <c r="I302" s="239">
        <v>0.65328496899343602</v>
      </c>
      <c r="J302" s="238">
        <v>5</v>
      </c>
      <c r="K302" s="238">
        <v>26</v>
      </c>
      <c r="L302" s="238">
        <v>0</v>
      </c>
      <c r="M302" s="241">
        <v>0</v>
      </c>
      <c r="N302" s="238">
        <v>0</v>
      </c>
      <c r="O302" s="239">
        <v>0</v>
      </c>
      <c r="P302" s="237">
        <v>7</v>
      </c>
      <c r="Q302" s="237">
        <v>0</v>
      </c>
      <c r="R302" s="239">
        <v>0</v>
      </c>
      <c r="S302" s="238">
        <v>31</v>
      </c>
      <c r="T302" s="436">
        <v>0</v>
      </c>
      <c r="U302" s="436">
        <v>53</v>
      </c>
      <c r="V302" s="436">
        <v>0</v>
      </c>
      <c r="W302" s="436">
        <v>53</v>
      </c>
      <c r="X302" s="238">
        <v>430</v>
      </c>
      <c r="Y302" s="237">
        <v>0.30930000000000002</v>
      </c>
      <c r="Z302" s="238">
        <v>7655</v>
      </c>
      <c r="AA302" s="238">
        <v>17928</v>
      </c>
      <c r="AB302" s="238">
        <v>109.54</v>
      </c>
      <c r="AC302" s="238">
        <v>0</v>
      </c>
      <c r="AD302" s="238">
        <v>894027.08000000007</v>
      </c>
      <c r="AE302" s="238">
        <v>105543.45000000019</v>
      </c>
      <c r="AF302" s="238">
        <v>572452.89</v>
      </c>
      <c r="AG302" s="238">
        <v>30250</v>
      </c>
      <c r="AH302" s="239">
        <v>5.2842776285049409E-2</v>
      </c>
      <c r="AI302" s="247">
        <v>21.874247</v>
      </c>
      <c r="AJ302" s="242">
        <v>2.6300759999999999</v>
      </c>
      <c r="AK302" s="242">
        <v>0.11694424188528234</v>
      </c>
      <c r="AL302" s="242" t="s">
        <v>678</v>
      </c>
      <c r="AM302" s="242" t="s">
        <v>678</v>
      </c>
      <c r="AN302" s="242">
        <v>11757.35</v>
      </c>
      <c r="AO302" s="238">
        <v>4077.29</v>
      </c>
      <c r="AP302" s="243">
        <v>17</v>
      </c>
      <c r="AQ302" s="238"/>
      <c r="AR302" s="238">
        <v>1538.2137175382657</v>
      </c>
      <c r="AS302" s="238">
        <v>1570.7717945708089</v>
      </c>
      <c r="AT302" s="238">
        <v>16468.333333333332</v>
      </c>
      <c r="AU302" s="238">
        <v>209.90962919205126</v>
      </c>
      <c r="AV302" s="237">
        <v>1</v>
      </c>
      <c r="AW302" s="237">
        <v>1</v>
      </c>
      <c r="AX302" s="237">
        <v>1</v>
      </c>
      <c r="AY302" s="244" t="s">
        <v>726</v>
      </c>
      <c r="AZ302" s="244" t="s">
        <v>726</v>
      </c>
      <c r="BA302" s="237">
        <v>2016</v>
      </c>
      <c r="BB302" s="245" t="s">
        <v>833</v>
      </c>
      <c r="BC302" s="215" t="s">
        <v>834</v>
      </c>
      <c r="BE302" s="237">
        <v>0</v>
      </c>
      <c r="BF302" s="237">
        <v>11</v>
      </c>
      <c r="BG302" s="246" t="s">
        <v>720</v>
      </c>
      <c r="BI302" s="239">
        <v>0.48407643312101911</v>
      </c>
      <c r="BJ302" s="239">
        <v>0.23885350318471338</v>
      </c>
      <c r="BK302" s="239">
        <v>0.26751592356687898</v>
      </c>
      <c r="BL302" s="239">
        <v>9.5541401273885346E-3</v>
      </c>
      <c r="BM302" s="247">
        <v>2.1974522292993632</v>
      </c>
      <c r="BN302" s="248">
        <v>0</v>
      </c>
      <c r="BO302" s="248">
        <v>0</v>
      </c>
      <c r="BP302" s="237">
        <v>0</v>
      </c>
      <c r="BQ302" s="237">
        <v>0</v>
      </c>
      <c r="BR302" s="248">
        <v>0</v>
      </c>
      <c r="BS302" s="237">
        <v>13</v>
      </c>
      <c r="BT302" s="237" t="s">
        <v>777</v>
      </c>
      <c r="BU302" s="249" t="s">
        <v>678</v>
      </c>
      <c r="BV302" s="249" t="s">
        <v>678</v>
      </c>
      <c r="BW302" s="249" t="s">
        <v>678</v>
      </c>
      <c r="BX302" s="249" t="s">
        <v>678</v>
      </c>
      <c r="BY302" s="249" t="s">
        <v>678</v>
      </c>
      <c r="BZ302" s="249" t="s">
        <v>678</v>
      </c>
      <c r="CA302" s="249" t="s">
        <v>678</v>
      </c>
      <c r="CB302" s="249" t="s">
        <v>678</v>
      </c>
      <c r="CC302" s="250" t="s">
        <v>678</v>
      </c>
      <c r="CD302" s="242" t="s">
        <v>678</v>
      </c>
      <c r="CE302" s="252" t="s">
        <v>678</v>
      </c>
      <c r="CF302" s="238">
        <v>293</v>
      </c>
      <c r="CG302" s="238">
        <v>42.8</v>
      </c>
      <c r="CH302" s="238">
        <v>9.2640692640692635</v>
      </c>
      <c r="CI302" s="216" t="s">
        <v>722</v>
      </c>
      <c r="CJ302" s="237">
        <v>1</v>
      </c>
      <c r="CK302" s="253">
        <v>19.32</v>
      </c>
      <c r="CL302" s="253">
        <v>7.1532999999999998</v>
      </c>
      <c r="CM302" s="254">
        <v>3.1806580702534457E-3</v>
      </c>
      <c r="CN302" s="237" t="s">
        <v>84</v>
      </c>
      <c r="CO302" s="242">
        <v>783.88</v>
      </c>
      <c r="CP302" s="255">
        <v>0.34854602045353489</v>
      </c>
      <c r="CV302" s="237">
        <v>1</v>
      </c>
      <c r="CW302" s="261" t="s">
        <v>678</v>
      </c>
      <c r="CX302" s="261" t="s">
        <v>678</v>
      </c>
      <c r="CY302" s="261" t="s">
        <v>678</v>
      </c>
      <c r="DB302" s="216" t="s">
        <v>681</v>
      </c>
      <c r="DC302" s="256"/>
      <c r="DD302" s="256">
        <v>0.8</v>
      </c>
      <c r="DE302" s="256">
        <v>-9</v>
      </c>
      <c r="DF302" s="256">
        <v>-0.3</v>
      </c>
      <c r="DG302" s="256">
        <v>-2.6</v>
      </c>
      <c r="DL302" s="237" t="s">
        <v>682</v>
      </c>
      <c r="DP302" s="258" t="s">
        <v>682</v>
      </c>
      <c r="DQ302" s="258"/>
      <c r="DR302" s="258"/>
      <c r="DS302" s="258"/>
      <c r="DT302" s="258"/>
      <c r="DU302" s="237">
        <v>0</v>
      </c>
      <c r="DX302" s="247"/>
      <c r="DY302" s="247">
        <v>0</v>
      </c>
      <c r="EA302" s="237">
        <v>0</v>
      </c>
      <c r="ED302" s="237" t="s">
        <v>723</v>
      </c>
      <c r="EE302" s="208">
        <v>2</v>
      </c>
      <c r="EF302" s="237" t="s">
        <v>702</v>
      </c>
      <c r="EG302" s="216" t="s">
        <v>733</v>
      </c>
      <c r="EH302" s="246" t="s">
        <v>734</v>
      </c>
      <c r="EI302" s="216"/>
      <c r="EJ302" s="216" t="s">
        <v>529</v>
      </c>
      <c r="EK302" s="222" t="s">
        <v>682</v>
      </c>
      <c r="EL302" s="259">
        <v>1997</v>
      </c>
      <c r="EM302" s="263">
        <v>1000</v>
      </c>
      <c r="EN302" s="260">
        <v>14153</v>
      </c>
      <c r="EO302" s="260">
        <v>2260</v>
      </c>
      <c r="EP302" s="237">
        <v>2</v>
      </c>
      <c r="EQ302" s="237">
        <v>128</v>
      </c>
      <c r="ER302" s="237" t="s">
        <v>692</v>
      </c>
      <c r="ES302" s="237" t="e">
        <v>#DIV/0!</v>
      </c>
      <c r="ET302" s="237">
        <v>2.2599999999999998</v>
      </c>
      <c r="EU302" s="661">
        <v>8</v>
      </c>
      <c r="EV302" s="661" t="s">
        <v>678</v>
      </c>
      <c r="EW302" s="661">
        <v>0</v>
      </c>
      <c r="EX302" s="661">
        <v>2</v>
      </c>
      <c r="EY302" s="660">
        <v>8.5904846598488221E-3</v>
      </c>
      <c r="EZ302" s="256">
        <v>23.913043478260871</v>
      </c>
      <c r="FA302" s="247">
        <v>5.3078556263269641E-2</v>
      </c>
      <c r="FB302" s="208">
        <v>2</v>
      </c>
      <c r="FC302" s="208">
        <v>3</v>
      </c>
      <c r="FD302" s="208">
        <v>2</v>
      </c>
      <c r="FE302" s="239">
        <v>0.95382165605095537</v>
      </c>
      <c r="FF302" s="208">
        <v>1</v>
      </c>
      <c r="FG302" s="241">
        <v>0</v>
      </c>
      <c r="FH302" s="209">
        <v>0</v>
      </c>
      <c r="FI302" s="237" t="s">
        <v>678</v>
      </c>
      <c r="FJ302" s="208">
        <v>57.6</v>
      </c>
      <c r="FK302" s="208">
        <v>11.7</v>
      </c>
      <c r="FL302" s="217">
        <v>49.5</v>
      </c>
      <c r="FM302" s="208">
        <v>16.95</v>
      </c>
      <c r="FN302" s="208" t="s">
        <v>1709</v>
      </c>
      <c r="FP302" s="247" t="s">
        <v>693</v>
      </c>
      <c r="FU302" s="208">
        <v>42</v>
      </c>
      <c r="FV302" s="208">
        <v>58.3</v>
      </c>
      <c r="FW302" s="237">
        <v>91.89</v>
      </c>
      <c r="FX302" s="237">
        <v>87</v>
      </c>
      <c r="FY302" s="208">
        <v>122.49</v>
      </c>
      <c r="FZ302" s="208">
        <v>94.3</v>
      </c>
      <c r="GA302" s="208">
        <v>83.75</v>
      </c>
      <c r="GB302" s="208">
        <v>96</v>
      </c>
      <c r="GC302" s="208">
        <v>0.26</v>
      </c>
      <c r="GD302" s="208">
        <v>45.9</v>
      </c>
      <c r="GE302" s="237">
        <v>44.99</v>
      </c>
      <c r="GF302" s="237">
        <v>59.2</v>
      </c>
      <c r="GG302" s="237">
        <v>8.23</v>
      </c>
      <c r="GH302" s="237">
        <v>61.6</v>
      </c>
      <c r="GJ302" s="947"/>
      <c r="GK302" s="320"/>
      <c r="GL302" s="320"/>
      <c r="GM302" s="320"/>
      <c r="GN302" s="320"/>
      <c r="GO302" s="662">
        <v>8299</v>
      </c>
      <c r="GP302" s="663" t="str">
        <f>VLOOKUP(GS302,'BD Comarcal'!$A$6:$AV$17,48,FALSE)</f>
        <v>14</v>
      </c>
      <c r="GQ302" s="564">
        <v>7</v>
      </c>
      <c r="GR302" s="256">
        <f t="shared" si="4"/>
        <v>0</v>
      </c>
      <c r="GS302" s="237" t="s">
        <v>84</v>
      </c>
    </row>
    <row r="303" spans="1:201" s="237" customFormat="1" ht="17.25" customHeight="1">
      <c r="A303" s="236" t="s">
        <v>1710</v>
      </c>
      <c r="C303" s="238"/>
      <c r="D303" s="238">
        <v>2012</v>
      </c>
      <c r="E303" s="238">
        <v>1460</v>
      </c>
      <c r="F303" s="239">
        <v>0.72564612326043743</v>
      </c>
      <c r="G303" s="238">
        <v>1109</v>
      </c>
      <c r="H303" s="240">
        <v>369.62962032055253</v>
      </c>
      <c r="I303" s="239">
        <v>0.25317097282229628</v>
      </c>
      <c r="J303" s="238">
        <v>20</v>
      </c>
      <c r="K303" s="238">
        <v>47</v>
      </c>
      <c r="L303" s="238">
        <v>5</v>
      </c>
      <c r="M303" s="241">
        <v>2.485089463220676E-3</v>
      </c>
      <c r="N303" s="238">
        <v>0</v>
      </c>
      <c r="O303" s="239">
        <v>0</v>
      </c>
      <c r="P303" s="237">
        <v>3</v>
      </c>
      <c r="Q303" s="237">
        <v>0</v>
      </c>
      <c r="R303" s="239">
        <v>0</v>
      </c>
      <c r="S303" s="238">
        <v>28</v>
      </c>
      <c r="T303" s="436">
        <v>0</v>
      </c>
      <c r="U303" s="436">
        <v>0</v>
      </c>
      <c r="V303" s="436">
        <v>0</v>
      </c>
      <c r="W303" s="436">
        <v>0</v>
      </c>
      <c r="X303" s="238">
        <v>7354</v>
      </c>
      <c r="Y303" s="237">
        <v>0.11550000000000001</v>
      </c>
      <c r="Z303" s="238">
        <v>101893</v>
      </c>
      <c r="AA303" s="238">
        <v>13835</v>
      </c>
      <c r="AB303" s="238">
        <v>84.53</v>
      </c>
      <c r="AC303" s="238">
        <v>3958</v>
      </c>
      <c r="AD303" s="238">
        <v>14905654.92</v>
      </c>
      <c r="AE303" s="238">
        <v>1735783.5700000012</v>
      </c>
      <c r="AF303" s="238">
        <v>8040731.5499999998</v>
      </c>
      <c r="AG303" s="238">
        <v>691654.01</v>
      </c>
      <c r="AH303" s="239">
        <v>8.6018791412082407E-2</v>
      </c>
      <c r="AI303" s="247">
        <v>294.238857</v>
      </c>
      <c r="AJ303" s="242">
        <v>59.382987</v>
      </c>
      <c r="AK303" s="242">
        <v>2.9514407057654077</v>
      </c>
      <c r="AL303" s="242">
        <v>165.01845900000001</v>
      </c>
      <c r="AM303" s="242">
        <v>8.201712673956262</v>
      </c>
      <c r="AN303" s="242">
        <v>28029.1</v>
      </c>
      <c r="AO303" s="238">
        <v>0</v>
      </c>
      <c r="AP303" s="243">
        <v>0</v>
      </c>
      <c r="AQ303" s="238">
        <v>2</v>
      </c>
      <c r="AR303" s="238">
        <v>1357.3577809949663</v>
      </c>
      <c r="AS303" s="238">
        <v>2312.1109279951147</v>
      </c>
      <c r="AT303" s="238">
        <v>557481.33333333337</v>
      </c>
      <c r="AU303" s="238">
        <v>276.19930911990213</v>
      </c>
      <c r="AV303" s="237">
        <v>1</v>
      </c>
      <c r="AW303" s="237">
        <v>1</v>
      </c>
      <c r="AX303" s="237">
        <v>1</v>
      </c>
      <c r="AY303" s="244" t="s">
        <v>673</v>
      </c>
      <c r="AZ303" s="244" t="s">
        <v>695</v>
      </c>
      <c r="BA303" s="237">
        <v>2015</v>
      </c>
      <c r="BB303" s="245" t="s">
        <v>1711</v>
      </c>
      <c r="BC303" s="215" t="s">
        <v>1712</v>
      </c>
      <c r="BD303" s="237">
        <v>1</v>
      </c>
      <c r="BE303" s="237">
        <v>3</v>
      </c>
      <c r="BF303" s="237">
        <v>39</v>
      </c>
      <c r="BG303" s="246" t="s">
        <v>676</v>
      </c>
      <c r="BI303" s="239">
        <v>0.28232189973614774</v>
      </c>
      <c r="BJ303" s="239">
        <v>0.21342714746408678</v>
      </c>
      <c r="BK303" s="239">
        <v>0.46408677807094695</v>
      </c>
      <c r="BL303" s="239">
        <v>4.016417472881853E-2</v>
      </c>
      <c r="BM303" s="247">
        <v>1.7379067722075638</v>
      </c>
      <c r="BN303" s="248">
        <v>1</v>
      </c>
      <c r="BO303" s="248">
        <v>0</v>
      </c>
      <c r="BP303" s="237">
        <v>0</v>
      </c>
      <c r="BQ303" s="237">
        <v>0</v>
      </c>
      <c r="BR303" s="248">
        <v>1</v>
      </c>
      <c r="BS303" s="237">
        <v>9</v>
      </c>
      <c r="BT303" s="237" t="s">
        <v>967</v>
      </c>
      <c r="BU303" s="249" t="s">
        <v>678</v>
      </c>
      <c r="BV303" s="249">
        <v>532</v>
      </c>
      <c r="BW303" s="249">
        <v>3773</v>
      </c>
      <c r="BX303" s="249" t="s">
        <v>678</v>
      </c>
      <c r="BY303" s="249" t="s">
        <v>678</v>
      </c>
      <c r="BZ303" s="249">
        <v>7.1921049073948895</v>
      </c>
      <c r="CA303" s="249">
        <v>51.007165066919022</v>
      </c>
      <c r="CB303" s="249" t="s">
        <v>678</v>
      </c>
      <c r="CC303" s="250" t="s">
        <v>678</v>
      </c>
      <c r="CD303" s="242" t="s">
        <v>678</v>
      </c>
      <c r="CE303" s="252" t="s">
        <v>678</v>
      </c>
      <c r="CF303" s="238">
        <v>2881</v>
      </c>
      <c r="CG303" s="238">
        <v>589.9</v>
      </c>
      <c r="CH303" s="238">
        <v>7.9748546708124914</v>
      </c>
      <c r="CI303" s="216" t="s">
        <v>679</v>
      </c>
      <c r="CJ303" s="237">
        <v>0</v>
      </c>
      <c r="CK303" s="253">
        <v>286</v>
      </c>
      <c r="CL303" s="253">
        <v>129.9965</v>
      </c>
      <c r="CM303" s="254">
        <v>6.4610586481113313E-2</v>
      </c>
      <c r="CN303" s="237" t="s">
        <v>89</v>
      </c>
      <c r="CO303" s="242">
        <v>375.33</v>
      </c>
      <c r="CP303" s="255">
        <v>0.18654572564612326</v>
      </c>
      <c r="CV303" s="237">
        <v>13</v>
      </c>
      <c r="CW303" s="194">
        <v>1.153</v>
      </c>
      <c r="CX303" s="194">
        <v>0.63500000000000001</v>
      </c>
      <c r="CY303" s="194" t="s">
        <v>680</v>
      </c>
      <c r="DB303" s="216"/>
      <c r="DC303" s="195" t="s">
        <v>1380</v>
      </c>
      <c r="DD303" s="256">
        <v>0.7</v>
      </c>
      <c r="DE303" s="256">
        <v>-6.5</v>
      </c>
      <c r="DF303" s="256">
        <v>0.7</v>
      </c>
      <c r="DG303" s="256">
        <v>-2.2000000000000002</v>
      </c>
      <c r="DH303" s="257">
        <v>2</v>
      </c>
      <c r="DI303" s="257">
        <v>3.5</v>
      </c>
      <c r="DJ303" s="257">
        <v>7.82</v>
      </c>
      <c r="DK303" s="257">
        <v>11.32</v>
      </c>
      <c r="DL303" s="237" t="s">
        <v>682</v>
      </c>
      <c r="DP303" s="258" t="s">
        <v>682</v>
      </c>
      <c r="DQ303" s="258"/>
      <c r="DR303" s="258"/>
      <c r="DS303" s="258"/>
      <c r="DT303" s="258"/>
      <c r="DU303" s="237">
        <v>0</v>
      </c>
      <c r="DX303" s="247"/>
      <c r="DY303" s="247">
        <v>0</v>
      </c>
      <c r="EA303" s="237">
        <v>0</v>
      </c>
      <c r="ED303" s="237" t="s">
        <v>732</v>
      </c>
      <c r="EE303" s="208">
        <v>3</v>
      </c>
      <c r="EF303" s="237" t="s">
        <v>688</v>
      </c>
      <c r="EG303" s="216" t="s">
        <v>703</v>
      </c>
      <c r="EH303" s="246" t="s">
        <v>704</v>
      </c>
      <c r="EI303" s="216" t="s">
        <v>689</v>
      </c>
      <c r="EJ303" s="216" t="s">
        <v>529</v>
      </c>
      <c r="EK303" s="222" t="s">
        <v>529</v>
      </c>
      <c r="EL303" s="259">
        <v>2003</v>
      </c>
      <c r="EM303" s="263">
        <v>55057</v>
      </c>
      <c r="EN303" s="260">
        <v>331995</v>
      </c>
      <c r="EO303" s="260">
        <v>234351</v>
      </c>
      <c r="ER303" s="237" t="s">
        <v>705</v>
      </c>
      <c r="ES303" s="237">
        <v>7397</v>
      </c>
      <c r="ET303" s="237">
        <v>4.2565159743538512</v>
      </c>
      <c r="EU303" s="661">
        <v>3</v>
      </c>
      <c r="EV303" s="661">
        <v>1</v>
      </c>
      <c r="EW303" s="661">
        <v>2</v>
      </c>
      <c r="EX303" s="661">
        <v>6</v>
      </c>
      <c r="EY303" s="660">
        <v>0.14214711729622267</v>
      </c>
      <c r="EZ303" s="256">
        <v>25.863636363636363</v>
      </c>
      <c r="FA303" s="247">
        <v>0.8904109589041096</v>
      </c>
      <c r="FB303" s="208">
        <v>3</v>
      </c>
      <c r="FC303" s="208">
        <v>5</v>
      </c>
      <c r="FD303" s="208">
        <v>5</v>
      </c>
      <c r="FE303" s="239">
        <v>0.75958904109589043</v>
      </c>
      <c r="FF303" s="208"/>
      <c r="FG303" s="241">
        <v>7.7534246575342467E-3</v>
      </c>
      <c r="FH303" s="209">
        <v>0</v>
      </c>
      <c r="FI303" s="237" t="s">
        <v>678</v>
      </c>
      <c r="FJ303" s="208">
        <v>53.2</v>
      </c>
      <c r="FK303" s="208">
        <v>16.72</v>
      </c>
      <c r="FL303" s="217">
        <v>56.8</v>
      </c>
      <c r="FM303" s="208">
        <v>4.41</v>
      </c>
      <c r="FN303" s="208" t="s">
        <v>1713</v>
      </c>
      <c r="FP303" s="247" t="s">
        <v>693</v>
      </c>
      <c r="FU303" s="208">
        <v>45</v>
      </c>
      <c r="FV303" s="208">
        <v>65.599999999999994</v>
      </c>
      <c r="FW303" s="237">
        <v>82.89</v>
      </c>
      <c r="FX303" s="237">
        <v>71</v>
      </c>
      <c r="FY303" s="208">
        <v>49.82</v>
      </c>
      <c r="FZ303" s="208">
        <v>61.8</v>
      </c>
      <c r="GA303" s="208">
        <v>58.96</v>
      </c>
      <c r="GB303" s="208">
        <v>65.8</v>
      </c>
      <c r="GC303" s="208">
        <v>0.08</v>
      </c>
      <c r="GD303" s="208">
        <v>27.4</v>
      </c>
      <c r="GE303" s="237">
        <v>4.97</v>
      </c>
      <c r="GF303" s="237">
        <v>0.9</v>
      </c>
      <c r="GG303" s="237">
        <v>6.2</v>
      </c>
      <c r="GH303" s="237">
        <v>52.1</v>
      </c>
      <c r="GJ303" s="947">
        <v>221</v>
      </c>
      <c r="GK303" s="320">
        <v>0</v>
      </c>
      <c r="GL303" s="320">
        <v>0.46700000000000003</v>
      </c>
      <c r="GM303" s="320">
        <v>3.9E-2</v>
      </c>
      <c r="GN303" s="320">
        <v>0.49399999999999999</v>
      </c>
      <c r="GO303" s="662">
        <v>8300</v>
      </c>
      <c r="GP303" s="663" t="str">
        <f>VLOOKUP(GS303,'BD Comarcal'!$A$6:$AV$17,48,FALSE)</f>
        <v>40</v>
      </c>
      <c r="GQ303" s="564">
        <v>28</v>
      </c>
      <c r="GR303" s="256">
        <f t="shared" si="4"/>
        <v>1</v>
      </c>
      <c r="GS303" s="237" t="s">
        <v>89</v>
      </c>
    </row>
    <row r="304" spans="1:201" s="237" customFormat="1" ht="17.25" customHeight="1">
      <c r="A304" s="236" t="s">
        <v>357</v>
      </c>
      <c r="C304" s="238" t="s">
        <v>683</v>
      </c>
      <c r="D304" s="238">
        <v>2011</v>
      </c>
      <c r="E304" s="238">
        <v>476</v>
      </c>
      <c r="F304" s="239">
        <v>0.23669816011934361</v>
      </c>
      <c r="G304" s="238">
        <v>117</v>
      </c>
      <c r="H304" s="240">
        <v>0</v>
      </c>
      <c r="I304" s="239">
        <v>0</v>
      </c>
      <c r="J304" s="238">
        <v>267</v>
      </c>
      <c r="K304" s="238">
        <v>22</v>
      </c>
      <c r="L304" s="238">
        <v>221</v>
      </c>
      <c r="M304" s="241">
        <v>0.10989557434112382</v>
      </c>
      <c r="N304" s="238">
        <v>0</v>
      </c>
      <c r="O304" s="239">
        <v>0</v>
      </c>
      <c r="P304" s="237">
        <v>4</v>
      </c>
      <c r="Q304" s="237">
        <v>0</v>
      </c>
      <c r="R304" s="239">
        <v>0</v>
      </c>
      <c r="S304" s="238">
        <v>135</v>
      </c>
      <c r="T304" s="436">
        <v>0</v>
      </c>
      <c r="U304" s="436">
        <v>0</v>
      </c>
      <c r="V304" s="436">
        <v>627</v>
      </c>
      <c r="W304" s="436">
        <v>627</v>
      </c>
      <c r="X304" s="238">
        <v>65779</v>
      </c>
      <c r="Y304" s="237">
        <v>0.14460000000000001</v>
      </c>
      <c r="Z304" s="238">
        <v>844825</v>
      </c>
      <c r="AA304" s="238">
        <v>12888</v>
      </c>
      <c r="AB304" s="238">
        <v>78.75</v>
      </c>
      <c r="AC304" s="238">
        <v>20741</v>
      </c>
      <c r="AD304" s="238">
        <v>70672590.700000003</v>
      </c>
      <c r="AE304" s="238">
        <v>4491896.900000006</v>
      </c>
      <c r="AF304" s="238">
        <v>65741926.920000002</v>
      </c>
      <c r="AG304" s="238">
        <v>11810290.15</v>
      </c>
      <c r="AH304" s="239">
        <v>0.17964624256255371</v>
      </c>
      <c r="AI304" s="247">
        <v>595.478386</v>
      </c>
      <c r="AJ304" s="242">
        <v>325.44698199999999</v>
      </c>
      <c r="AK304" s="242">
        <v>16.183340726006961</v>
      </c>
      <c r="AL304" s="242" t="s">
        <v>678</v>
      </c>
      <c r="AM304" s="242" t="s">
        <v>678</v>
      </c>
      <c r="AN304" s="242">
        <v>83379.41</v>
      </c>
      <c r="AO304" s="238">
        <v>14991.02</v>
      </c>
      <c r="AP304" s="243">
        <v>66</v>
      </c>
      <c r="AQ304" s="238">
        <v>1</v>
      </c>
      <c r="AR304" s="238">
        <v>1054.0875916350217</v>
      </c>
      <c r="AS304" s="238">
        <v>1225.9465941061287</v>
      </c>
      <c r="AT304" s="238">
        <v>3088110.3333333335</v>
      </c>
      <c r="AU304" s="238">
        <v>230.45349680234719</v>
      </c>
      <c r="AV304" s="237">
        <v>1</v>
      </c>
      <c r="AW304" s="237">
        <v>1</v>
      </c>
      <c r="AX304" s="237">
        <v>1</v>
      </c>
      <c r="AY304" s="244" t="s">
        <v>717</v>
      </c>
      <c r="AZ304" s="244" t="s">
        <v>682</v>
      </c>
      <c r="BA304" s="237">
        <v>2009</v>
      </c>
      <c r="BB304" s="245" t="s">
        <v>1447</v>
      </c>
      <c r="BC304" s="215" t="s">
        <v>1448</v>
      </c>
      <c r="BE304" s="237">
        <v>246</v>
      </c>
      <c r="BF304" s="237">
        <v>2</v>
      </c>
      <c r="BG304" s="246" t="s">
        <v>676</v>
      </c>
      <c r="BI304" s="239">
        <v>0.36539488656154934</v>
      </c>
      <c r="BJ304" s="239">
        <v>9.0890091261639924E-2</v>
      </c>
      <c r="BK304" s="239">
        <v>0.53544806446369275</v>
      </c>
      <c r="BL304" s="239">
        <v>8.2669577131179901E-3</v>
      </c>
      <c r="BM304" s="247">
        <v>1.8134129066716207</v>
      </c>
      <c r="BN304" s="248">
        <v>0</v>
      </c>
      <c r="BO304" s="248">
        <v>2</v>
      </c>
      <c r="BP304" s="237">
        <v>1</v>
      </c>
      <c r="BQ304" s="237">
        <v>1</v>
      </c>
      <c r="BR304" s="248">
        <v>4</v>
      </c>
      <c r="BS304" s="237">
        <v>5.6</v>
      </c>
      <c r="BT304" s="237" t="s">
        <v>1094</v>
      </c>
      <c r="BU304" s="249">
        <v>6622</v>
      </c>
      <c r="BV304" s="249">
        <v>6349</v>
      </c>
      <c r="BW304" s="249">
        <v>32034</v>
      </c>
      <c r="BX304" s="249">
        <v>7446</v>
      </c>
      <c r="BY304" s="249">
        <v>10.118574659250656</v>
      </c>
      <c r="BZ304" s="249">
        <v>9.7014241183301753</v>
      </c>
      <c r="CA304" s="249">
        <v>48.948719515922008</v>
      </c>
      <c r="CB304" s="249">
        <v>11.377666401809181</v>
      </c>
      <c r="CC304" s="250">
        <v>98.707291730334333</v>
      </c>
      <c r="CD304" s="242">
        <v>-5221</v>
      </c>
      <c r="CE304" s="252">
        <v>92.022186907890713</v>
      </c>
      <c r="CF304" s="238">
        <v>27616</v>
      </c>
      <c r="CG304" s="238">
        <v>5870.5</v>
      </c>
      <c r="CH304" s="238">
        <v>8.970264653749771</v>
      </c>
      <c r="CI304" s="216" t="s">
        <v>679</v>
      </c>
      <c r="CJ304" s="237">
        <v>0</v>
      </c>
      <c r="CK304" s="253">
        <v>377.77</v>
      </c>
      <c r="CL304" s="253">
        <v>830.34929999999997</v>
      </c>
      <c r="CM304" s="254">
        <v>0.41290367976131276</v>
      </c>
      <c r="CN304" s="237" t="s">
        <v>90</v>
      </c>
      <c r="CO304" s="242">
        <v>375.24</v>
      </c>
      <c r="CP304" s="255">
        <v>0.18659373446046743</v>
      </c>
      <c r="CV304" s="262">
        <v>51</v>
      </c>
      <c r="CW304" s="194">
        <v>1.867</v>
      </c>
      <c r="CX304" s="194" t="s">
        <v>680</v>
      </c>
      <c r="CY304" s="194">
        <v>2.5019999999999998</v>
      </c>
      <c r="DB304" s="216" t="s">
        <v>804</v>
      </c>
      <c r="DC304" s="195" t="s">
        <v>977</v>
      </c>
      <c r="DD304" s="256">
        <v>0.7</v>
      </c>
      <c r="DE304" s="256">
        <v>-6.5</v>
      </c>
      <c r="DF304" s="256">
        <v>0.7</v>
      </c>
      <c r="DG304" s="256">
        <v>-2.2000000000000002</v>
      </c>
      <c r="DH304" s="257">
        <v>12</v>
      </c>
      <c r="DI304" s="257">
        <v>18.77</v>
      </c>
      <c r="DJ304" s="257">
        <v>128.648</v>
      </c>
      <c r="DK304" s="257">
        <v>147.41799999999998</v>
      </c>
      <c r="DL304" s="237" t="s">
        <v>682</v>
      </c>
      <c r="DP304" s="258" t="s">
        <v>683</v>
      </c>
      <c r="DQ304" s="258" t="s">
        <v>1714</v>
      </c>
      <c r="DR304" s="258" t="s">
        <v>1715</v>
      </c>
      <c r="DS304" s="258"/>
      <c r="DT304" s="258"/>
      <c r="DU304" s="237">
        <v>4.33</v>
      </c>
      <c r="DV304" s="237" t="s">
        <v>1716</v>
      </c>
      <c r="DX304" s="247">
        <v>131.58833333333331</v>
      </c>
      <c r="DY304" s="247">
        <v>6.5434278136913626</v>
      </c>
      <c r="DZ304" s="237" t="s">
        <v>1717</v>
      </c>
      <c r="EA304" s="237">
        <v>1</v>
      </c>
      <c r="EB304" s="237" t="s">
        <v>979</v>
      </c>
      <c r="ED304" s="237" t="s">
        <v>678</v>
      </c>
      <c r="EE304" s="208">
        <v>4</v>
      </c>
      <c r="EF304" s="237" t="s">
        <v>678</v>
      </c>
      <c r="EG304" s="216" t="s">
        <v>689</v>
      </c>
      <c r="EH304" s="246" t="s">
        <v>690</v>
      </c>
      <c r="EI304" s="216"/>
      <c r="EJ304" s="216" t="s">
        <v>529</v>
      </c>
      <c r="EK304" s="222" t="s">
        <v>682</v>
      </c>
      <c r="EL304" s="259">
        <v>1976</v>
      </c>
      <c r="EM304" s="263">
        <v>278325</v>
      </c>
      <c r="EN304" s="260">
        <v>2402318</v>
      </c>
      <c r="EO304" s="260">
        <v>787607</v>
      </c>
      <c r="ER304" s="237" t="s">
        <v>705</v>
      </c>
      <c r="ES304" s="237">
        <v>16361</v>
      </c>
      <c r="ET304" s="237">
        <v>2.8298104733674663</v>
      </c>
      <c r="EU304" s="661">
        <v>3</v>
      </c>
      <c r="EV304" s="661">
        <v>6</v>
      </c>
      <c r="EW304" s="661">
        <v>10</v>
      </c>
      <c r="EX304" s="661">
        <v>8</v>
      </c>
      <c r="EY304" s="660">
        <v>0.18785181501740428</v>
      </c>
      <c r="EZ304" s="256">
        <v>173.23768430526511</v>
      </c>
      <c r="FA304" s="247">
        <v>10.714285714285714</v>
      </c>
      <c r="FB304" s="208">
        <v>6</v>
      </c>
      <c r="FC304" s="208">
        <v>3</v>
      </c>
      <c r="FD304" s="208">
        <v>6</v>
      </c>
      <c r="FE304" s="239">
        <v>0.24579831932773108</v>
      </c>
      <c r="FF304" s="208"/>
      <c r="FG304" s="241">
        <v>0.30970168067226889</v>
      </c>
      <c r="FH304" s="209">
        <v>0</v>
      </c>
      <c r="FI304" s="237" t="s">
        <v>678</v>
      </c>
      <c r="FJ304" s="208" t="s">
        <v>678</v>
      </c>
      <c r="FK304" s="208" t="s">
        <v>678</v>
      </c>
      <c r="FL304" s="217" t="s">
        <v>678</v>
      </c>
      <c r="FM304" s="208" t="s">
        <v>678</v>
      </c>
      <c r="FN304" s="208" t="s">
        <v>678</v>
      </c>
      <c r="FO304" s="237">
        <v>2480</v>
      </c>
      <c r="FP304" s="247">
        <v>1.2332173048234709</v>
      </c>
      <c r="FU304" s="208" t="s">
        <v>678</v>
      </c>
      <c r="FV304" s="208" t="s">
        <v>678</v>
      </c>
      <c r="FW304" s="208" t="s">
        <v>678</v>
      </c>
      <c r="FX304" s="208" t="s">
        <v>678</v>
      </c>
      <c r="FY304" s="208" t="s">
        <v>678</v>
      </c>
      <c r="FZ304" s="208" t="s">
        <v>678</v>
      </c>
      <c r="GA304" s="208" t="s">
        <v>678</v>
      </c>
      <c r="GB304" s="208" t="s">
        <v>678</v>
      </c>
      <c r="GC304" s="208" t="s">
        <v>678</v>
      </c>
      <c r="GD304" s="208" t="s">
        <v>678</v>
      </c>
      <c r="GE304" s="237" t="s">
        <v>678</v>
      </c>
      <c r="GF304" s="237" t="s">
        <v>678</v>
      </c>
      <c r="GG304" s="237" t="s">
        <v>678</v>
      </c>
      <c r="GH304" s="237" t="s">
        <v>678</v>
      </c>
      <c r="GJ304" s="947">
        <v>1164</v>
      </c>
      <c r="GK304" s="320">
        <v>3.0000000000000001E-3</v>
      </c>
      <c r="GL304" s="320">
        <v>0.107</v>
      </c>
      <c r="GM304" s="320">
        <v>6.5000000000000002E-2</v>
      </c>
      <c r="GN304" s="320">
        <v>0.82599999999999996</v>
      </c>
      <c r="GO304" s="662">
        <v>8301</v>
      </c>
      <c r="GP304" s="663" t="str">
        <f>VLOOKUP(GS304,'BD Comarcal'!$A$6:$AV$17,48,FALSE)</f>
        <v>11</v>
      </c>
      <c r="GQ304" s="564">
        <v>404</v>
      </c>
      <c r="GR304" s="256">
        <f t="shared" si="4"/>
        <v>1</v>
      </c>
      <c r="GS304" s="237" t="s">
        <v>90</v>
      </c>
    </row>
    <row r="305" spans="1:201" s="237" customFormat="1" ht="17.25" customHeight="1">
      <c r="A305" s="236" t="s">
        <v>1718</v>
      </c>
      <c r="C305" s="238"/>
      <c r="D305" s="238">
        <v>1054</v>
      </c>
      <c r="E305" s="238">
        <v>492</v>
      </c>
      <c r="F305" s="239">
        <v>0.46679316888045541</v>
      </c>
      <c r="G305" s="238">
        <v>377</v>
      </c>
      <c r="H305" s="240">
        <v>0</v>
      </c>
      <c r="I305" s="239">
        <v>0</v>
      </c>
      <c r="J305" s="238">
        <v>172</v>
      </c>
      <c r="K305" s="238">
        <v>3</v>
      </c>
      <c r="L305" s="238">
        <v>7</v>
      </c>
      <c r="M305" s="241">
        <v>6.6413662239089184E-3</v>
      </c>
      <c r="N305" s="238">
        <v>0</v>
      </c>
      <c r="O305" s="239">
        <v>0</v>
      </c>
      <c r="P305" s="237">
        <v>2</v>
      </c>
      <c r="Q305" s="237">
        <v>1</v>
      </c>
      <c r="R305" s="239">
        <v>0.5</v>
      </c>
      <c r="S305" s="238">
        <v>134</v>
      </c>
      <c r="T305" s="436">
        <v>0</v>
      </c>
      <c r="U305" s="436">
        <v>0</v>
      </c>
      <c r="V305" s="436">
        <v>0</v>
      </c>
      <c r="W305" s="436">
        <v>0</v>
      </c>
      <c r="X305" s="238">
        <v>12409</v>
      </c>
      <c r="Y305" s="237">
        <v>0.1449</v>
      </c>
      <c r="Z305" s="238">
        <v>126599</v>
      </c>
      <c r="AA305" s="238">
        <v>10167</v>
      </c>
      <c r="AB305" s="238">
        <v>62.12</v>
      </c>
      <c r="AC305" s="238">
        <v>4241</v>
      </c>
      <c r="AD305" s="238">
        <v>10146540.759999998</v>
      </c>
      <c r="AE305" s="238">
        <v>158861.95000000298</v>
      </c>
      <c r="AF305" s="238">
        <v>9394868.1999999993</v>
      </c>
      <c r="AG305" s="238">
        <v>1150271.1499999999</v>
      </c>
      <c r="AH305" s="239">
        <v>0.1224361135795391</v>
      </c>
      <c r="AI305" s="247">
        <v>149.04847799999999</v>
      </c>
      <c r="AJ305" s="242">
        <v>31.852004000000001</v>
      </c>
      <c r="AK305" s="242">
        <v>3.0220117647058826</v>
      </c>
      <c r="AL305" s="242" t="s">
        <v>678</v>
      </c>
      <c r="AM305" s="242" t="s">
        <v>678</v>
      </c>
      <c r="AN305" s="242">
        <v>20117.78</v>
      </c>
      <c r="AO305" s="238">
        <v>7023.92</v>
      </c>
      <c r="AP305" s="243">
        <v>5</v>
      </c>
      <c r="AQ305" s="238"/>
      <c r="AR305" s="238">
        <v>1100.3490818875059</v>
      </c>
      <c r="AS305" s="238">
        <v>2279.8933490227669</v>
      </c>
      <c r="AT305" s="238">
        <v>511046.33333333331</v>
      </c>
      <c r="AU305" s="238">
        <v>201.59097342400617</v>
      </c>
      <c r="AV305" s="237">
        <v>1</v>
      </c>
      <c r="AW305" s="237">
        <v>1</v>
      </c>
      <c r="AX305" s="237">
        <v>1</v>
      </c>
      <c r="AY305" s="244" t="s">
        <v>673</v>
      </c>
      <c r="AZ305" s="244" t="s">
        <v>673</v>
      </c>
      <c r="BA305" s="237">
        <v>2010</v>
      </c>
      <c r="BB305" s="245" t="s">
        <v>1719</v>
      </c>
      <c r="BC305" s="215" t="s">
        <v>1720</v>
      </c>
      <c r="BE305" s="237">
        <v>2</v>
      </c>
      <c r="BF305" s="237">
        <v>77</v>
      </c>
      <c r="BG305" s="246" t="s">
        <v>698</v>
      </c>
      <c r="BI305" s="239">
        <v>0.33303132280610925</v>
      </c>
      <c r="BJ305" s="239">
        <v>0.14095262749158685</v>
      </c>
      <c r="BK305" s="239">
        <v>0.51695573388558114</v>
      </c>
      <c r="BL305" s="239">
        <v>9.0603158167227547E-3</v>
      </c>
      <c r="BM305" s="247">
        <v>1.7979549572870828</v>
      </c>
      <c r="BN305" s="248">
        <v>0</v>
      </c>
      <c r="BO305" s="248">
        <v>1</v>
      </c>
      <c r="BP305" s="237">
        <v>0</v>
      </c>
      <c r="BQ305" s="237">
        <v>0</v>
      </c>
      <c r="BR305" s="248">
        <v>1</v>
      </c>
      <c r="BS305" s="237">
        <v>0</v>
      </c>
      <c r="BT305" s="237" t="s">
        <v>755</v>
      </c>
      <c r="BU305" s="249">
        <v>1530</v>
      </c>
      <c r="BV305" s="249">
        <v>1921</v>
      </c>
      <c r="BW305" s="249">
        <v>5890</v>
      </c>
      <c r="BX305" s="249" t="s">
        <v>678</v>
      </c>
      <c r="BY305" s="249">
        <v>12.20777148328413</v>
      </c>
      <c r="BZ305" s="249">
        <v>15.327535306790073</v>
      </c>
      <c r="CA305" s="249">
        <v>46.995930742838908</v>
      </c>
      <c r="CB305" s="249" t="s">
        <v>678</v>
      </c>
      <c r="CC305" s="250">
        <v>114.27431580627145</v>
      </c>
      <c r="CD305" s="242">
        <v>-1609</v>
      </c>
      <c r="CE305" s="252">
        <v>87.161892603526695</v>
      </c>
      <c r="CF305" s="238">
        <v>5578</v>
      </c>
      <c r="CG305" s="238">
        <v>1561.2</v>
      </c>
      <c r="CH305" s="238">
        <v>12.456714274315805</v>
      </c>
      <c r="CI305" s="216" t="s">
        <v>700</v>
      </c>
      <c r="CJ305" s="237">
        <v>0</v>
      </c>
      <c r="CK305" s="253">
        <v>165.69</v>
      </c>
      <c r="CL305" s="253">
        <v>65.884600000000006</v>
      </c>
      <c r="CM305" s="254">
        <v>6.2509108159392798E-2</v>
      </c>
      <c r="CN305" s="237" t="s">
        <v>81</v>
      </c>
      <c r="CO305" s="242"/>
      <c r="CP305" s="255">
        <v>0</v>
      </c>
      <c r="CV305" s="237">
        <v>11</v>
      </c>
      <c r="CW305" s="261">
        <v>1.278</v>
      </c>
      <c r="CX305" s="261">
        <v>7.5999999999999998E-2</v>
      </c>
      <c r="CY305" s="261">
        <v>1.9890000000000001</v>
      </c>
      <c r="DB305" s="216" t="s">
        <v>1017</v>
      </c>
      <c r="DC305" s="195" t="s">
        <v>1041</v>
      </c>
      <c r="DD305" s="256">
        <v>0.8</v>
      </c>
      <c r="DE305" s="256">
        <v>-10</v>
      </c>
      <c r="DF305" s="256">
        <v>0.5</v>
      </c>
      <c r="DG305" s="256">
        <v>-2.2999999999999998</v>
      </c>
      <c r="DH305" s="257">
        <v>1</v>
      </c>
      <c r="DI305" s="257">
        <v>0</v>
      </c>
      <c r="DJ305" s="257">
        <v>2</v>
      </c>
      <c r="DK305" s="257">
        <v>2</v>
      </c>
      <c r="DL305" s="237" t="s">
        <v>682</v>
      </c>
      <c r="DP305" s="258" t="s">
        <v>682</v>
      </c>
      <c r="DQ305" s="258"/>
      <c r="DR305" s="258"/>
      <c r="DS305" s="258"/>
      <c r="DT305" s="258"/>
      <c r="DU305" s="237">
        <v>0</v>
      </c>
      <c r="DX305" s="247"/>
      <c r="DY305" s="247">
        <v>0</v>
      </c>
      <c r="EA305" s="237">
        <v>0</v>
      </c>
      <c r="ED305" s="237" t="s">
        <v>687</v>
      </c>
      <c r="EE305" s="208">
        <v>3</v>
      </c>
      <c r="EF305" s="237" t="s">
        <v>688</v>
      </c>
      <c r="EG305" s="216" t="s">
        <v>689</v>
      </c>
      <c r="EH305" s="246" t="s">
        <v>690</v>
      </c>
      <c r="EI305" s="216"/>
      <c r="EJ305" s="216" t="s">
        <v>529</v>
      </c>
      <c r="EK305" s="222" t="s">
        <v>682</v>
      </c>
      <c r="EL305" s="259">
        <v>2007</v>
      </c>
      <c r="EM305" s="263">
        <v>24800</v>
      </c>
      <c r="EN305" s="260">
        <v>408657</v>
      </c>
      <c r="EO305" s="260">
        <v>116046</v>
      </c>
      <c r="ER305" s="237" t="s">
        <v>705</v>
      </c>
      <c r="ES305" s="237">
        <v>12533</v>
      </c>
      <c r="ET305" s="237">
        <v>4.6792741935483875</v>
      </c>
      <c r="EU305" s="661">
        <v>3</v>
      </c>
      <c r="EV305" s="661">
        <v>4</v>
      </c>
      <c r="EW305" s="661">
        <v>4</v>
      </c>
      <c r="EX305" s="661">
        <v>5</v>
      </c>
      <c r="EY305" s="660">
        <v>0.15720113851992409</v>
      </c>
      <c r="EZ305" s="256">
        <v>75.641257770535333</v>
      </c>
      <c r="FA305" s="247">
        <v>2.2357723577235773</v>
      </c>
      <c r="FB305" s="208">
        <v>3</v>
      </c>
      <c r="FC305" s="208">
        <v>3</v>
      </c>
      <c r="FD305" s="208">
        <v>6</v>
      </c>
      <c r="FE305" s="239">
        <v>0.76626016260162599</v>
      </c>
      <c r="FF305" s="208"/>
      <c r="FG305" s="241">
        <v>4.0650406504065045E-3</v>
      </c>
      <c r="FH305" s="209">
        <v>0</v>
      </c>
      <c r="FI305" s="237" t="s">
        <v>678</v>
      </c>
      <c r="FJ305" s="208">
        <v>39.1</v>
      </c>
      <c r="FK305" s="208">
        <v>0</v>
      </c>
      <c r="FL305" s="217">
        <v>10.8</v>
      </c>
      <c r="FM305" s="208">
        <v>2.92</v>
      </c>
      <c r="FN305" s="208" t="s">
        <v>1721</v>
      </c>
      <c r="FP305" s="247" t="s">
        <v>693</v>
      </c>
      <c r="FU305" s="208">
        <v>24</v>
      </c>
      <c r="FV305" s="208">
        <v>13.5</v>
      </c>
      <c r="FW305" s="237">
        <v>68.97</v>
      </c>
      <c r="FX305" s="237">
        <v>51.2</v>
      </c>
      <c r="FY305" s="208">
        <v>9.77</v>
      </c>
      <c r="FZ305" s="208">
        <v>18.899999999999999</v>
      </c>
      <c r="GA305" s="208">
        <v>36.119999999999997</v>
      </c>
      <c r="GB305" s="208">
        <v>30.4</v>
      </c>
      <c r="GC305" s="208">
        <v>0</v>
      </c>
      <c r="GD305" s="208">
        <v>12.7</v>
      </c>
      <c r="GE305" s="237">
        <v>28.47</v>
      </c>
      <c r="GF305" s="237">
        <v>30.7</v>
      </c>
      <c r="GG305" s="237">
        <v>7.13</v>
      </c>
      <c r="GH305" s="237">
        <v>56.3</v>
      </c>
      <c r="GJ305" s="947">
        <v>133</v>
      </c>
      <c r="GK305" s="320">
        <v>1E-3</v>
      </c>
      <c r="GL305" s="320">
        <v>0.21299999999999999</v>
      </c>
      <c r="GM305" s="320">
        <v>8.1000000000000003E-2</v>
      </c>
      <c r="GN305" s="320">
        <v>0.70499999999999996</v>
      </c>
      <c r="GO305" s="662">
        <v>8302</v>
      </c>
      <c r="GP305" s="663" t="str">
        <f>VLOOKUP(GS305,'BD Comarcal'!$A$6:$AV$17,48,FALSE)</f>
        <v>06</v>
      </c>
      <c r="GQ305" s="564">
        <v>89</v>
      </c>
      <c r="GR305" s="256">
        <f t="shared" si="4"/>
        <v>0</v>
      </c>
      <c r="GS305" s="237" t="s">
        <v>81</v>
      </c>
    </row>
    <row r="306" spans="1:201" s="237" customFormat="1" ht="17.25" customHeight="1">
      <c r="A306" s="236" t="s">
        <v>1722</v>
      </c>
      <c r="C306" s="238"/>
      <c r="D306" s="238">
        <v>5862</v>
      </c>
      <c r="E306" s="238">
        <v>5125</v>
      </c>
      <c r="F306" s="239">
        <v>0.87427499147048793</v>
      </c>
      <c r="G306" s="238">
        <v>5038</v>
      </c>
      <c r="H306" s="240">
        <v>3380.2916277498161</v>
      </c>
      <c r="I306" s="239">
        <v>0.65956909809752506</v>
      </c>
      <c r="J306" s="238">
        <v>307</v>
      </c>
      <c r="K306" s="238">
        <v>68</v>
      </c>
      <c r="L306" s="238">
        <v>0</v>
      </c>
      <c r="M306" s="241">
        <v>0</v>
      </c>
      <c r="N306" s="238">
        <v>141</v>
      </c>
      <c r="O306" s="239">
        <v>0.45928338762214982</v>
      </c>
      <c r="P306" s="237">
        <v>11</v>
      </c>
      <c r="Q306" s="237">
        <v>1</v>
      </c>
      <c r="R306" s="239">
        <v>9.0909090909090912E-2</v>
      </c>
      <c r="S306" s="238">
        <v>396</v>
      </c>
      <c r="T306" s="436">
        <v>411</v>
      </c>
      <c r="U306" s="436">
        <v>52</v>
      </c>
      <c r="V306" s="436">
        <v>24</v>
      </c>
      <c r="W306" s="436">
        <v>487</v>
      </c>
      <c r="X306" s="238">
        <v>309</v>
      </c>
      <c r="Y306" s="237">
        <v>0.2261</v>
      </c>
      <c r="Z306" s="238">
        <v>5511</v>
      </c>
      <c r="AA306" s="238">
        <v>17662</v>
      </c>
      <c r="AB306" s="238">
        <v>107.92</v>
      </c>
      <c r="AC306" s="238">
        <v>0</v>
      </c>
      <c r="AD306" s="238">
        <v>635138.59000000008</v>
      </c>
      <c r="AE306" s="238">
        <v>137575.8600000001</v>
      </c>
      <c r="AF306" s="238">
        <v>675431.71</v>
      </c>
      <c r="AG306" s="238">
        <v>188756.2</v>
      </c>
      <c r="AH306" s="239">
        <v>0.27946008042767201</v>
      </c>
      <c r="AI306" s="247">
        <v>20.577093999999999</v>
      </c>
      <c r="AJ306" s="242">
        <v>0.85806899999999997</v>
      </c>
      <c r="AK306" s="242">
        <v>1.4637819856704197E-2</v>
      </c>
      <c r="AL306" s="242" t="s">
        <v>678</v>
      </c>
      <c r="AM306" s="242" t="s">
        <v>678</v>
      </c>
      <c r="AN306" s="242">
        <v>24979.33</v>
      </c>
      <c r="AO306" s="238">
        <v>14941.18</v>
      </c>
      <c r="AP306" s="243">
        <v>43</v>
      </c>
      <c r="AQ306" s="238"/>
      <c r="AR306" s="238">
        <v>1393.9322881733524</v>
      </c>
      <c r="AS306" s="238">
        <v>1225.381646258754</v>
      </c>
      <c r="AT306" s="238">
        <v>28320</v>
      </c>
      <c r="AU306" s="238">
        <v>262.61408319716196</v>
      </c>
      <c r="AV306" s="237">
        <v>1</v>
      </c>
      <c r="AW306" s="237">
        <v>0</v>
      </c>
      <c r="AX306" s="237">
        <v>1</v>
      </c>
      <c r="AY306" s="244" t="s">
        <v>673</v>
      </c>
      <c r="AZ306" s="244" t="s">
        <v>695</v>
      </c>
      <c r="BA306" s="237">
        <v>2013</v>
      </c>
      <c r="BB306" s="245" t="s">
        <v>1723</v>
      </c>
      <c r="BC306" s="215" t="s">
        <v>1724</v>
      </c>
      <c r="BE306" s="237">
        <v>0</v>
      </c>
      <c r="BF306" s="237">
        <v>83</v>
      </c>
      <c r="BG306" s="246" t="s">
        <v>698</v>
      </c>
      <c r="BI306" s="239">
        <v>0.74193548387096775</v>
      </c>
      <c r="BJ306" s="239">
        <v>0.11290322580645161</v>
      </c>
      <c r="BK306" s="239">
        <v>0.13870967741935483</v>
      </c>
      <c r="BL306" s="239">
        <v>6.4516129032258064E-3</v>
      </c>
      <c r="BM306" s="247">
        <v>2.5903225806451609</v>
      </c>
      <c r="BN306" s="248">
        <v>0</v>
      </c>
      <c r="BO306" s="248">
        <v>0</v>
      </c>
      <c r="BP306" s="237">
        <v>0</v>
      </c>
      <c r="BQ306" s="237">
        <v>0</v>
      </c>
      <c r="BR306" s="248">
        <v>0</v>
      </c>
      <c r="BS306" s="237">
        <v>16</v>
      </c>
      <c r="BT306" s="237" t="s">
        <v>815</v>
      </c>
      <c r="BU306" s="249" t="s">
        <v>678</v>
      </c>
      <c r="BV306" s="249" t="s">
        <v>678</v>
      </c>
      <c r="BW306" s="249" t="s">
        <v>678</v>
      </c>
      <c r="BX306" s="249" t="s">
        <v>678</v>
      </c>
      <c r="BY306" s="249" t="s">
        <v>678</v>
      </c>
      <c r="BZ306" s="249" t="s">
        <v>678</v>
      </c>
      <c r="CA306" s="249" t="s">
        <v>678</v>
      </c>
      <c r="CB306" s="249" t="s">
        <v>678</v>
      </c>
      <c r="CC306" s="250" t="s">
        <v>678</v>
      </c>
      <c r="CD306" s="242" t="s">
        <v>678</v>
      </c>
      <c r="CE306" s="252" t="s">
        <v>678</v>
      </c>
      <c r="CF306" s="238">
        <v>214</v>
      </c>
      <c r="CG306" s="238">
        <v>12.1</v>
      </c>
      <c r="CH306" s="238">
        <v>3.6666666666666665</v>
      </c>
      <c r="CI306" s="216" t="s">
        <v>722</v>
      </c>
      <c r="CJ306" s="237">
        <v>1</v>
      </c>
      <c r="CK306" s="253">
        <v>20.84</v>
      </c>
      <c r="CL306" s="253">
        <v>0</v>
      </c>
      <c r="CM306" s="254">
        <v>0</v>
      </c>
      <c r="CN306" s="237" t="s">
        <v>88</v>
      </c>
      <c r="CO306" s="242">
        <v>4097.16</v>
      </c>
      <c r="CP306" s="255">
        <v>0.69893551688843392</v>
      </c>
      <c r="CV306" s="237">
        <v>1</v>
      </c>
      <c r="CW306" s="261" t="s">
        <v>678</v>
      </c>
      <c r="CX306" s="261" t="s">
        <v>678</v>
      </c>
      <c r="CY306" s="261" t="s">
        <v>678</v>
      </c>
      <c r="CZ306" s="237" t="s">
        <v>529</v>
      </c>
      <c r="DA306" s="237" t="s">
        <v>1725</v>
      </c>
      <c r="DB306" s="216" t="s">
        <v>681</v>
      </c>
      <c r="DC306" s="256"/>
      <c r="DD306" s="256">
        <v>0.8</v>
      </c>
      <c r="DE306" s="256">
        <v>-10</v>
      </c>
      <c r="DF306" s="256">
        <v>0.5</v>
      </c>
      <c r="DG306" s="256">
        <v>-2.2999999999999998</v>
      </c>
      <c r="DH306" s="257">
        <v>1</v>
      </c>
      <c r="DI306" s="257">
        <v>7</v>
      </c>
      <c r="DJ306" s="257">
        <v>0</v>
      </c>
      <c r="DK306" s="257">
        <v>7</v>
      </c>
      <c r="DL306" s="237" t="s">
        <v>682</v>
      </c>
      <c r="DO306" s="237">
        <v>1</v>
      </c>
      <c r="DP306" s="258" t="s">
        <v>683</v>
      </c>
      <c r="DQ306" s="258" t="s">
        <v>758</v>
      </c>
      <c r="DR306" s="258" t="s">
        <v>1726</v>
      </c>
      <c r="DS306" s="258"/>
      <c r="DT306" s="258"/>
      <c r="DU306" s="237">
        <v>0</v>
      </c>
      <c r="DX306" s="247"/>
      <c r="DY306" s="247">
        <v>0</v>
      </c>
      <c r="EA306" s="237">
        <v>0</v>
      </c>
      <c r="ED306" s="237" t="s">
        <v>851</v>
      </c>
      <c r="EE306" s="208">
        <v>1</v>
      </c>
      <c r="EF306" s="237" t="s">
        <v>852</v>
      </c>
      <c r="EG306" s="216" t="s">
        <v>703</v>
      </c>
      <c r="EH306" s="246" t="s">
        <v>704</v>
      </c>
      <c r="EI306" s="216"/>
      <c r="EJ306" s="216" t="s">
        <v>529</v>
      </c>
      <c r="EK306" s="222" t="s">
        <v>682</v>
      </c>
      <c r="EL306" s="259">
        <v>1989</v>
      </c>
      <c r="EM306" s="260">
        <v>1400</v>
      </c>
      <c r="EN306" s="260">
        <v>13074</v>
      </c>
      <c r="EO306" s="260">
        <v>17905</v>
      </c>
      <c r="EP306" s="237">
        <v>3</v>
      </c>
      <c r="EQ306" s="237">
        <v>457</v>
      </c>
      <c r="ER306" s="237" t="s">
        <v>705</v>
      </c>
      <c r="ES306" s="237" t="e">
        <v>#DIV/0!</v>
      </c>
      <c r="ET306" s="237">
        <v>12.789285714285715</v>
      </c>
      <c r="EU306" s="661">
        <v>5</v>
      </c>
      <c r="EV306" s="661" t="s">
        <v>678</v>
      </c>
      <c r="EW306" s="661">
        <v>0</v>
      </c>
      <c r="EX306" s="661">
        <v>2</v>
      </c>
      <c r="EY306" s="660">
        <v>3.5551006482429206E-3</v>
      </c>
      <c r="EZ306" s="256">
        <v>15.834932821497121</v>
      </c>
      <c r="FA306" s="247">
        <v>1.9512195121951219E-2</v>
      </c>
      <c r="FB306" s="208">
        <v>2</v>
      </c>
      <c r="FC306" s="208">
        <v>2</v>
      </c>
      <c r="FD306" s="208">
        <v>3</v>
      </c>
      <c r="FE306" s="239">
        <v>0.98302439024390242</v>
      </c>
      <c r="FF306" s="208">
        <v>1</v>
      </c>
      <c r="FG306" s="241">
        <v>1.3658536585365853E-3</v>
      </c>
      <c r="FH306" s="209">
        <v>0</v>
      </c>
      <c r="FI306" s="237" t="s">
        <v>678</v>
      </c>
      <c r="FJ306" s="208">
        <v>76</v>
      </c>
      <c r="FK306" s="208">
        <v>60.33</v>
      </c>
      <c r="FL306" s="217">
        <v>94.6</v>
      </c>
      <c r="FM306" s="208">
        <v>13.22</v>
      </c>
      <c r="FN306" s="208" t="s">
        <v>1727</v>
      </c>
      <c r="FP306" s="247" t="s">
        <v>693</v>
      </c>
      <c r="FU306" s="208">
        <v>66</v>
      </c>
      <c r="FV306" s="208">
        <v>94.8</v>
      </c>
      <c r="FW306" s="237">
        <v>92.07</v>
      </c>
      <c r="FX306" s="237">
        <v>87.5</v>
      </c>
      <c r="FY306" s="208">
        <v>119.54</v>
      </c>
      <c r="FZ306" s="208">
        <v>93.4</v>
      </c>
      <c r="GA306" s="208">
        <v>85.86</v>
      </c>
      <c r="GB306" s="208">
        <v>97.7</v>
      </c>
      <c r="GC306" s="208">
        <v>1.07</v>
      </c>
      <c r="GD306" s="208">
        <v>88.8</v>
      </c>
      <c r="GE306" s="237">
        <v>56.04</v>
      </c>
      <c r="GF306" s="237">
        <v>72.8</v>
      </c>
      <c r="GG306" s="237">
        <v>16.13</v>
      </c>
      <c r="GH306" s="237">
        <v>87.5</v>
      </c>
      <c r="GJ306" s="947"/>
      <c r="GO306" s="662">
        <v>8303</v>
      </c>
      <c r="GP306" s="663" t="str">
        <f>VLOOKUP(GS306,'BD Comarcal'!$A$6:$AV$17,48,FALSE)</f>
        <v>24</v>
      </c>
      <c r="GQ306" s="564">
        <v>1</v>
      </c>
      <c r="GR306" s="256">
        <f t="shared" si="4"/>
        <v>1</v>
      </c>
      <c r="GS306" s="237" t="s">
        <v>88</v>
      </c>
    </row>
    <row r="307" spans="1:201" s="237" customFormat="1" ht="17.25" customHeight="1">
      <c r="A307" s="236" t="s">
        <v>1728</v>
      </c>
      <c r="C307" s="238"/>
      <c r="D307" s="238">
        <v>943</v>
      </c>
      <c r="E307" s="238">
        <v>52</v>
      </c>
      <c r="F307" s="239">
        <v>5.5143160127253447E-2</v>
      </c>
      <c r="G307" s="238">
        <v>44</v>
      </c>
      <c r="H307" s="240">
        <v>0</v>
      </c>
      <c r="I307" s="239">
        <v>0</v>
      </c>
      <c r="J307" s="238">
        <v>765</v>
      </c>
      <c r="K307" s="238">
        <v>23</v>
      </c>
      <c r="L307" s="276">
        <v>7</v>
      </c>
      <c r="M307" s="241">
        <v>7.423117709437964E-3</v>
      </c>
      <c r="N307" s="238">
        <v>28</v>
      </c>
      <c r="O307" s="239">
        <v>3.6601307189542485E-2</v>
      </c>
      <c r="P307" s="237">
        <v>4</v>
      </c>
      <c r="Q307" s="237">
        <v>0</v>
      </c>
      <c r="R307" s="239">
        <v>0</v>
      </c>
      <c r="S307" s="238">
        <v>228</v>
      </c>
      <c r="T307" s="436">
        <v>0</v>
      </c>
      <c r="U307" s="436">
        <v>17</v>
      </c>
      <c r="V307" s="436">
        <v>0</v>
      </c>
      <c r="W307" s="436">
        <v>17</v>
      </c>
      <c r="X307" s="238">
        <v>1103</v>
      </c>
      <c r="Y307" s="237">
        <v>0.189</v>
      </c>
      <c r="Z307" s="238">
        <v>14230</v>
      </c>
      <c r="AA307" s="238">
        <v>13115</v>
      </c>
      <c r="AB307" s="238">
        <v>80.13</v>
      </c>
      <c r="AC307" s="238">
        <v>7</v>
      </c>
      <c r="AD307" s="238">
        <v>1645002.3800000001</v>
      </c>
      <c r="AE307" s="238">
        <v>112719.93999999994</v>
      </c>
      <c r="AF307" s="238">
        <v>1327043.3900000001</v>
      </c>
      <c r="AG307" s="238">
        <v>227862.43</v>
      </c>
      <c r="AH307" s="239">
        <v>0.17170684223068242</v>
      </c>
      <c r="AI307" s="247">
        <v>71.197957000000002</v>
      </c>
      <c r="AJ307" s="242">
        <v>6.1911849999999999</v>
      </c>
      <c r="AK307" s="242">
        <v>0.65654135737009545</v>
      </c>
      <c r="AL307" s="242" t="s">
        <v>678</v>
      </c>
      <c r="AM307" s="242" t="s">
        <v>678</v>
      </c>
      <c r="AN307" s="242">
        <v>9984.01</v>
      </c>
      <c r="AO307" s="238">
        <v>3634.12</v>
      </c>
      <c r="AP307" s="243">
        <v>0</v>
      </c>
      <c r="AQ307" s="238">
        <v>1</v>
      </c>
      <c r="AR307" s="238">
        <v>1477.6382395184164</v>
      </c>
      <c r="AS307" s="238">
        <v>1071.10307274609</v>
      </c>
      <c r="AT307" s="238">
        <v>75955.666666666672</v>
      </c>
      <c r="AU307" s="238">
        <v>238.82026310562037</v>
      </c>
      <c r="AV307" s="237">
        <v>1</v>
      </c>
      <c r="AW307" s="237">
        <v>0</v>
      </c>
      <c r="AX307" s="237">
        <v>0</v>
      </c>
      <c r="AY307" s="244" t="s">
        <v>695</v>
      </c>
      <c r="AZ307" s="244" t="s">
        <v>695</v>
      </c>
      <c r="BA307" s="237">
        <v>0</v>
      </c>
      <c r="BB307" s="245" t="s">
        <v>678</v>
      </c>
      <c r="BC307" s="215" t="s">
        <v>678</v>
      </c>
      <c r="BE307" s="237">
        <v>10</v>
      </c>
      <c r="BF307" s="237">
        <v>25</v>
      </c>
      <c r="BG307" s="246" t="s">
        <v>676</v>
      </c>
      <c r="BI307" s="239">
        <v>0.66315789473684206</v>
      </c>
      <c r="BJ307" s="239">
        <v>5.0877192982456139E-2</v>
      </c>
      <c r="BK307" s="239">
        <v>0.256140350877193</v>
      </c>
      <c r="BL307" s="239">
        <v>2.9824561403508771E-2</v>
      </c>
      <c r="BM307" s="247">
        <v>2.3473684210526313</v>
      </c>
      <c r="BN307" s="248">
        <v>1</v>
      </c>
      <c r="BO307" s="248">
        <v>0</v>
      </c>
      <c r="BP307" s="237">
        <v>0</v>
      </c>
      <c r="BQ307" s="237">
        <v>0</v>
      </c>
      <c r="BR307" s="248">
        <v>1</v>
      </c>
      <c r="BS307" s="237">
        <v>8</v>
      </c>
      <c r="BT307" s="237" t="s">
        <v>790</v>
      </c>
      <c r="BU307" s="249" t="s">
        <v>678</v>
      </c>
      <c r="BV307" s="249">
        <v>135</v>
      </c>
      <c r="BW307" s="249">
        <v>549</v>
      </c>
      <c r="BX307" s="249" t="s">
        <v>678</v>
      </c>
      <c r="BY307" s="249" t="s">
        <v>678</v>
      </c>
      <c r="BZ307" s="249">
        <v>12.283894449499545</v>
      </c>
      <c r="CA307" s="249">
        <v>49.954504094631481</v>
      </c>
      <c r="CB307" s="249" t="s">
        <v>678</v>
      </c>
      <c r="CC307" s="250" t="s">
        <v>678</v>
      </c>
      <c r="CD307" s="242" t="s">
        <v>678</v>
      </c>
      <c r="CE307" s="252" t="s">
        <v>678</v>
      </c>
      <c r="CF307" s="238">
        <v>455</v>
      </c>
      <c r="CG307" s="238">
        <v>51</v>
      </c>
      <c r="CH307" s="238">
        <v>4.6405823475887171</v>
      </c>
      <c r="CI307" s="216" t="s">
        <v>700</v>
      </c>
      <c r="CJ307" s="237">
        <v>0</v>
      </c>
      <c r="CK307" s="253">
        <v>85.75</v>
      </c>
      <c r="CL307" s="253">
        <v>13.156499999999999</v>
      </c>
      <c r="CM307" s="254">
        <v>1.3951749734888653E-2</v>
      </c>
      <c r="CN307" s="237" t="s">
        <v>791</v>
      </c>
      <c r="CO307" s="242"/>
      <c r="CP307" s="255">
        <v>0</v>
      </c>
      <c r="CV307" s="237">
        <v>2</v>
      </c>
      <c r="CW307" s="261" t="s">
        <v>678</v>
      </c>
      <c r="CX307" s="261" t="s">
        <v>678</v>
      </c>
      <c r="CY307" s="261" t="s">
        <v>678</v>
      </c>
      <c r="DB307" s="216" t="s">
        <v>746</v>
      </c>
      <c r="DC307" s="195" t="s">
        <v>1284</v>
      </c>
      <c r="DD307" s="256">
        <v>0.7</v>
      </c>
      <c r="DE307" s="256">
        <v>-6.5</v>
      </c>
      <c r="DF307" s="256">
        <v>0.7</v>
      </c>
      <c r="DG307" s="256">
        <v>-2.2000000000000002</v>
      </c>
      <c r="DL307" s="237" t="s">
        <v>682</v>
      </c>
      <c r="DP307" s="258" t="s">
        <v>682</v>
      </c>
      <c r="DQ307" s="258"/>
      <c r="DR307" s="258"/>
      <c r="DS307" s="258"/>
      <c r="DT307" s="258"/>
      <c r="DU307" s="237">
        <v>0</v>
      </c>
      <c r="DX307" s="247"/>
      <c r="DY307" s="247">
        <v>0</v>
      </c>
      <c r="EA307" s="237">
        <v>0</v>
      </c>
      <c r="ED307" s="237" t="s">
        <v>678</v>
      </c>
      <c r="EE307" s="208">
        <v>3</v>
      </c>
      <c r="EF307" s="237" t="s">
        <v>678</v>
      </c>
      <c r="EG307" s="216" t="s">
        <v>703</v>
      </c>
      <c r="EH307" s="246" t="s">
        <v>704</v>
      </c>
      <c r="EI307" s="216"/>
      <c r="EJ307" s="216" t="s">
        <v>806</v>
      </c>
      <c r="EK307" s="222" t="s">
        <v>682</v>
      </c>
      <c r="EL307" s="259">
        <v>2014</v>
      </c>
      <c r="EM307" s="260">
        <v>16048</v>
      </c>
      <c r="EN307" s="260">
        <v>42963</v>
      </c>
      <c r="EO307" s="260">
        <v>25409</v>
      </c>
      <c r="ER307" s="237" t="s">
        <v>705</v>
      </c>
      <c r="ES307" s="237">
        <v>1099</v>
      </c>
      <c r="ET307" s="237">
        <v>1.5833125623130608</v>
      </c>
      <c r="EU307" s="661">
        <v>3</v>
      </c>
      <c r="EV307" s="661" t="s">
        <v>678</v>
      </c>
      <c r="EW307" s="661">
        <v>3</v>
      </c>
      <c r="EX307" s="661">
        <v>4</v>
      </c>
      <c r="EY307" s="660">
        <v>9.0933191940615055E-2</v>
      </c>
      <c r="EZ307" s="256">
        <v>12.816326530612244</v>
      </c>
      <c r="FA307" s="247">
        <v>3.8461538461538463</v>
      </c>
      <c r="FB307" s="208">
        <v>5</v>
      </c>
      <c r="FC307" s="208">
        <v>3</v>
      </c>
      <c r="FD307" s="208">
        <v>3</v>
      </c>
      <c r="FE307" s="239">
        <v>0.84615384615384615</v>
      </c>
      <c r="FF307" s="208"/>
      <c r="FG307" s="241">
        <v>0</v>
      </c>
      <c r="FH307" s="209">
        <v>0</v>
      </c>
      <c r="FI307" s="237" t="s">
        <v>678</v>
      </c>
      <c r="FJ307" s="208" t="s">
        <v>678</v>
      </c>
      <c r="FK307" s="208" t="s">
        <v>678</v>
      </c>
      <c r="FL307" s="217" t="s">
        <v>678</v>
      </c>
      <c r="FM307" s="208" t="s">
        <v>678</v>
      </c>
      <c r="FN307" s="208" t="s">
        <v>678</v>
      </c>
      <c r="FP307" s="247" t="s">
        <v>693</v>
      </c>
      <c r="FU307" s="208" t="s">
        <v>678</v>
      </c>
      <c r="FV307" s="208" t="s">
        <v>678</v>
      </c>
      <c r="FW307" s="208" t="s">
        <v>678</v>
      </c>
      <c r="FX307" s="208" t="s">
        <v>678</v>
      </c>
      <c r="FY307" s="208" t="s">
        <v>678</v>
      </c>
      <c r="FZ307" s="208" t="s">
        <v>678</v>
      </c>
      <c r="GA307" s="208" t="s">
        <v>678</v>
      </c>
      <c r="GB307" s="208" t="s">
        <v>678</v>
      </c>
      <c r="GC307" s="208" t="s">
        <v>678</v>
      </c>
      <c r="GD307" s="208" t="s">
        <v>678</v>
      </c>
      <c r="GE307" s="237" t="s">
        <v>678</v>
      </c>
      <c r="GF307" s="237" t="s">
        <v>678</v>
      </c>
      <c r="GG307" s="237" t="s">
        <v>678</v>
      </c>
      <c r="GH307" s="237" t="s">
        <v>678</v>
      </c>
      <c r="GJ307" s="947"/>
      <c r="GO307" s="662">
        <v>8304</v>
      </c>
      <c r="GP307" s="663" t="str">
        <f>VLOOKUP(GS307,'BD Comarcal'!$A$6:$AV$17,48,FALSE)</f>
        <v>03</v>
      </c>
      <c r="GQ307" s="567">
        <v>12</v>
      </c>
      <c r="GR307" s="256">
        <f t="shared" si="4"/>
        <v>0</v>
      </c>
      <c r="GS307" s="237" t="s">
        <v>791</v>
      </c>
    </row>
    <row r="308" spans="1:201" s="237" customFormat="1" ht="17.25" customHeight="1">
      <c r="A308" s="236" t="s">
        <v>1729</v>
      </c>
      <c r="C308" s="238"/>
      <c r="D308" s="238">
        <v>1963</v>
      </c>
      <c r="E308" s="238">
        <v>87</v>
      </c>
      <c r="F308" s="239">
        <v>4.431991849210392E-2</v>
      </c>
      <c r="G308" s="238">
        <v>25</v>
      </c>
      <c r="H308" s="240">
        <v>2.6987746961122774</v>
      </c>
      <c r="I308" s="239">
        <v>3.1020398805888246E-2</v>
      </c>
      <c r="J308" s="238">
        <v>811</v>
      </c>
      <c r="K308" s="238">
        <v>307</v>
      </c>
      <c r="L308" s="276">
        <v>16</v>
      </c>
      <c r="M308" s="241">
        <v>8.1507896077432501E-3</v>
      </c>
      <c r="N308" s="238">
        <v>23</v>
      </c>
      <c r="O308" s="239">
        <v>2.8360049321824909E-2</v>
      </c>
      <c r="P308" s="237">
        <v>6</v>
      </c>
      <c r="Q308" s="237">
        <v>0</v>
      </c>
      <c r="R308" s="239">
        <v>0</v>
      </c>
      <c r="S308" s="238">
        <v>449</v>
      </c>
      <c r="T308" s="436">
        <v>0</v>
      </c>
      <c r="U308" s="436">
        <v>4</v>
      </c>
      <c r="V308" s="436">
        <v>334</v>
      </c>
      <c r="W308" s="436">
        <v>338</v>
      </c>
      <c r="X308" s="238">
        <v>39365</v>
      </c>
      <c r="Y308" s="237">
        <v>0.161</v>
      </c>
      <c r="Z308" s="238">
        <v>542104</v>
      </c>
      <c r="AA308" s="238">
        <v>13821</v>
      </c>
      <c r="AB308" s="238">
        <v>84.45</v>
      </c>
      <c r="AC308" s="238">
        <v>17278</v>
      </c>
      <c r="AD308" s="238">
        <v>43715545.310000002</v>
      </c>
      <c r="AE308" s="238">
        <v>3057149.0399999991</v>
      </c>
      <c r="AF308" s="238">
        <v>39008881.459999993</v>
      </c>
      <c r="AG308" s="238">
        <v>3564086.22</v>
      </c>
      <c r="AH308" s="239">
        <v>9.1366019393676834E-2</v>
      </c>
      <c r="AI308" s="247">
        <v>375.25805500000001</v>
      </c>
      <c r="AJ308" s="242">
        <v>87.116099000000006</v>
      </c>
      <c r="AK308" s="242">
        <v>4.4379062149770769</v>
      </c>
      <c r="AL308" s="242" t="s">
        <v>678</v>
      </c>
      <c r="AM308" s="242" t="s">
        <v>678</v>
      </c>
      <c r="AN308" s="242">
        <v>76617.009999999995</v>
      </c>
      <c r="AO308" s="238">
        <v>2963.06</v>
      </c>
      <c r="AP308" s="243">
        <v>13</v>
      </c>
      <c r="AQ308" s="238">
        <v>1</v>
      </c>
      <c r="AR308" s="238">
        <v>1304.5309785541076</v>
      </c>
      <c r="AS308" s="238">
        <v>1857.8697903489717</v>
      </c>
      <c r="AT308" s="238">
        <v>1998221.6666666667</v>
      </c>
      <c r="AU308" s="238">
        <v>246.61520405965732</v>
      </c>
      <c r="AV308" s="237">
        <v>0</v>
      </c>
      <c r="AW308" s="237">
        <v>0</v>
      </c>
      <c r="AX308" s="237">
        <v>0</v>
      </c>
      <c r="AY308" s="244" t="s">
        <v>695</v>
      </c>
      <c r="AZ308" s="244" t="s">
        <v>673</v>
      </c>
      <c r="BA308" s="237">
        <v>2011</v>
      </c>
      <c r="BB308" s="245" t="s">
        <v>678</v>
      </c>
      <c r="BC308" s="215" t="s">
        <v>678</v>
      </c>
      <c r="BD308" s="237">
        <v>1</v>
      </c>
      <c r="BE308" s="237">
        <v>10</v>
      </c>
      <c r="BF308" s="237">
        <v>15</v>
      </c>
      <c r="BG308" s="246" t="s">
        <v>698</v>
      </c>
      <c r="BI308" s="239">
        <v>0.30575268479557871</v>
      </c>
      <c r="BJ308" s="239">
        <v>0.1379765119638259</v>
      </c>
      <c r="BK308" s="239">
        <v>0.52706776361238461</v>
      </c>
      <c r="BL308" s="239">
        <v>2.9203039628210765E-2</v>
      </c>
      <c r="BM308" s="247">
        <v>1.7202788419267725</v>
      </c>
      <c r="BN308" s="248">
        <v>0</v>
      </c>
      <c r="BO308" s="248">
        <v>1</v>
      </c>
      <c r="BP308" s="237">
        <v>1</v>
      </c>
      <c r="BQ308" s="237">
        <v>1</v>
      </c>
      <c r="BR308" s="248">
        <v>3</v>
      </c>
      <c r="BS308" s="237">
        <v>0</v>
      </c>
      <c r="BT308" s="237" t="s">
        <v>790</v>
      </c>
      <c r="BU308" s="249">
        <v>3671</v>
      </c>
      <c r="BV308" s="249">
        <v>4439</v>
      </c>
      <c r="BW308" s="249">
        <v>17311</v>
      </c>
      <c r="BX308" s="249">
        <v>6078</v>
      </c>
      <c r="BY308" s="249">
        <v>9.4299879267384217</v>
      </c>
      <c r="BZ308" s="249">
        <v>11.402810244290889</v>
      </c>
      <c r="CA308" s="249">
        <v>44.468134295769218</v>
      </c>
      <c r="CB308" s="249">
        <v>15.613039122505073</v>
      </c>
      <c r="CC308" s="250">
        <v>95.563718564566258</v>
      </c>
      <c r="CD308" s="242" t="s">
        <v>678</v>
      </c>
      <c r="CE308" s="252" t="s">
        <v>678</v>
      </c>
      <c r="CF308" s="238">
        <v>19067</v>
      </c>
      <c r="CG308" s="238">
        <v>3747</v>
      </c>
      <c r="CH308" s="238">
        <v>9.6252151352462167</v>
      </c>
      <c r="CI308" s="216" t="s">
        <v>700</v>
      </c>
      <c r="CJ308" s="237">
        <v>0</v>
      </c>
      <c r="CK308" s="253">
        <v>431.9</v>
      </c>
      <c r="CL308" s="253">
        <v>265.8725</v>
      </c>
      <c r="CM308" s="254">
        <v>0.13544192562404483</v>
      </c>
      <c r="CN308" s="237" t="s">
        <v>791</v>
      </c>
      <c r="CO308" s="242"/>
      <c r="CP308" s="255">
        <v>0</v>
      </c>
      <c r="CV308" s="262">
        <v>21</v>
      </c>
      <c r="CW308" s="261">
        <v>1.0880000000000001</v>
      </c>
      <c r="CX308" s="261">
        <v>0.36299999999999999</v>
      </c>
      <c r="CY308" s="261">
        <v>2.0859999999999999</v>
      </c>
      <c r="DB308" s="216" t="s">
        <v>746</v>
      </c>
      <c r="DC308" s="195" t="s">
        <v>1284</v>
      </c>
      <c r="DD308" s="256">
        <v>0.8</v>
      </c>
      <c r="DE308" s="256">
        <v>-10</v>
      </c>
      <c r="DF308" s="256">
        <v>0.5</v>
      </c>
      <c r="DG308" s="256">
        <v>-2.2999999999999998</v>
      </c>
      <c r="DL308" s="237" t="s">
        <v>682</v>
      </c>
      <c r="DP308" s="258" t="s">
        <v>682</v>
      </c>
      <c r="DQ308" s="258"/>
      <c r="DR308" s="258"/>
      <c r="DS308" s="258"/>
      <c r="DT308" s="258"/>
      <c r="DU308" s="237">
        <v>0</v>
      </c>
      <c r="DX308" s="247"/>
      <c r="DY308" s="247">
        <v>0</v>
      </c>
      <c r="EA308" s="237">
        <v>1</v>
      </c>
      <c r="EB308" s="237" t="s">
        <v>1019</v>
      </c>
      <c r="ED308" s="237" t="s">
        <v>678</v>
      </c>
      <c r="EE308" s="208">
        <v>3</v>
      </c>
      <c r="EF308" s="237" t="s">
        <v>678</v>
      </c>
      <c r="EG308" s="216" t="s">
        <v>691</v>
      </c>
      <c r="EH308" s="246" t="s">
        <v>690</v>
      </c>
      <c r="EI308" s="216"/>
      <c r="EJ308" s="216" t="s">
        <v>806</v>
      </c>
      <c r="EK308" s="222" t="s">
        <v>529</v>
      </c>
      <c r="EL308" s="259">
        <v>2004</v>
      </c>
      <c r="EM308" s="263">
        <v>16048</v>
      </c>
      <c r="EN308" s="260">
        <v>1512180</v>
      </c>
      <c r="EO308" s="260">
        <v>497621</v>
      </c>
      <c r="ER308" s="237" t="s">
        <v>705</v>
      </c>
      <c r="ES308" s="237">
        <v>12976.333333333334</v>
      </c>
      <c r="ET308" s="237">
        <v>31.008287637088735</v>
      </c>
      <c r="EU308" s="661">
        <v>3</v>
      </c>
      <c r="EV308" s="661">
        <v>6</v>
      </c>
      <c r="EW308" s="661">
        <v>4</v>
      </c>
      <c r="EX308" s="661">
        <v>6</v>
      </c>
      <c r="EY308" s="660">
        <v>0.22002037697401935</v>
      </c>
      <c r="EZ308" s="256">
        <v>90.134290344987264</v>
      </c>
      <c r="FA308" s="247">
        <v>24.137931034482758</v>
      </c>
      <c r="FB308" s="208">
        <v>5</v>
      </c>
      <c r="FC308" s="208">
        <v>5</v>
      </c>
      <c r="FD308" s="208">
        <v>3</v>
      </c>
      <c r="FE308" s="239">
        <v>0.28735632183908044</v>
      </c>
      <c r="FF308" s="208"/>
      <c r="FG308" s="241">
        <v>0</v>
      </c>
      <c r="FH308" s="209">
        <v>0</v>
      </c>
      <c r="FI308" s="237" t="s">
        <v>678</v>
      </c>
      <c r="FJ308" s="208" t="s">
        <v>678</v>
      </c>
      <c r="FK308" s="208" t="s">
        <v>678</v>
      </c>
      <c r="FL308" s="217" t="s">
        <v>678</v>
      </c>
      <c r="FM308" s="208" t="s">
        <v>678</v>
      </c>
      <c r="FN308" s="208" t="s">
        <v>678</v>
      </c>
      <c r="FP308" s="247" t="s">
        <v>693</v>
      </c>
      <c r="FU308" s="208" t="s">
        <v>678</v>
      </c>
      <c r="FV308" s="208" t="s">
        <v>678</v>
      </c>
      <c r="FW308" s="208" t="s">
        <v>678</v>
      </c>
      <c r="FX308" s="208" t="s">
        <v>678</v>
      </c>
      <c r="FY308" s="208" t="s">
        <v>678</v>
      </c>
      <c r="FZ308" s="208" t="s">
        <v>678</v>
      </c>
      <c r="GA308" s="208" t="s">
        <v>678</v>
      </c>
      <c r="GB308" s="208" t="s">
        <v>678</v>
      </c>
      <c r="GC308" s="208" t="s">
        <v>678</v>
      </c>
      <c r="GD308" s="208" t="s">
        <v>678</v>
      </c>
      <c r="GE308" s="237" t="s">
        <v>678</v>
      </c>
      <c r="GF308" s="237" t="s">
        <v>678</v>
      </c>
      <c r="GG308" s="237" t="s">
        <v>678</v>
      </c>
      <c r="GH308" s="237" t="s">
        <v>678</v>
      </c>
      <c r="GJ308" s="947">
        <v>955</v>
      </c>
      <c r="GK308" s="320">
        <v>2E-3</v>
      </c>
      <c r="GL308" s="320">
        <v>0.20300000000000001</v>
      </c>
      <c r="GM308" s="320">
        <v>5.2999999999999999E-2</v>
      </c>
      <c r="GN308" s="320">
        <v>0.74199999999999999</v>
      </c>
      <c r="GO308" s="662">
        <v>8305</v>
      </c>
      <c r="GP308" s="663" t="str">
        <f>VLOOKUP(GS308,'BD Comarcal'!$A$6:$AV$17,48,FALSE)</f>
        <v>03</v>
      </c>
      <c r="GQ308" s="564">
        <v>270</v>
      </c>
      <c r="GR308" s="256">
        <f t="shared" si="4"/>
        <v>0</v>
      </c>
      <c r="GS308" s="237" t="s">
        <v>791</v>
      </c>
    </row>
    <row r="309" spans="1:201" s="237" customFormat="1" ht="17.25" customHeight="1">
      <c r="A309" s="236" t="s">
        <v>1730</v>
      </c>
      <c r="C309" s="238"/>
      <c r="D309" s="238">
        <v>587</v>
      </c>
      <c r="E309" s="238">
        <v>501</v>
      </c>
      <c r="F309" s="239">
        <v>0.8534923339011925</v>
      </c>
      <c r="G309" s="238">
        <v>491</v>
      </c>
      <c r="H309" s="240">
        <v>423.38035065558751</v>
      </c>
      <c r="I309" s="239">
        <v>0.84507056019079341</v>
      </c>
      <c r="J309" s="238">
        <v>32</v>
      </c>
      <c r="K309" s="238">
        <v>0</v>
      </c>
      <c r="L309" s="276">
        <v>10</v>
      </c>
      <c r="M309" s="241">
        <v>1.7035775127768313E-2</v>
      </c>
      <c r="N309" s="238">
        <v>0</v>
      </c>
      <c r="O309" s="239">
        <v>0</v>
      </c>
      <c r="P309" s="237">
        <v>3</v>
      </c>
      <c r="Q309" s="237">
        <v>0</v>
      </c>
      <c r="R309" s="239">
        <v>0</v>
      </c>
      <c r="S309" s="238">
        <v>87</v>
      </c>
      <c r="T309" s="436">
        <v>0</v>
      </c>
      <c r="U309" s="436">
        <v>0</v>
      </c>
      <c r="V309" s="436">
        <v>0</v>
      </c>
      <c r="W309" s="436">
        <v>0</v>
      </c>
      <c r="X309" s="238">
        <v>684</v>
      </c>
      <c r="Y309" s="237">
        <v>0.153</v>
      </c>
      <c r="Z309" s="238">
        <v>11883</v>
      </c>
      <c r="AA309" s="238">
        <v>16760</v>
      </c>
      <c r="AB309" s="238">
        <v>102.4</v>
      </c>
      <c r="AC309" s="238">
        <v>0</v>
      </c>
      <c r="AD309" s="238">
        <v>1079530.47</v>
      </c>
      <c r="AE309" s="238">
        <v>-2115.6199999998789</v>
      </c>
      <c r="AF309" s="238">
        <v>889241.73</v>
      </c>
      <c r="AG309" s="238">
        <v>158105.39000000001</v>
      </c>
      <c r="AH309" s="239">
        <v>0.17779798750560213</v>
      </c>
      <c r="AI309" s="247">
        <v>19.375717999999999</v>
      </c>
      <c r="AJ309" s="242">
        <v>1.6624859999999999</v>
      </c>
      <c r="AK309" s="242">
        <v>0.28321737649063028</v>
      </c>
      <c r="AL309" s="242" t="s">
        <v>678</v>
      </c>
      <c r="AM309" s="242" t="s">
        <v>678</v>
      </c>
      <c r="AN309" s="242">
        <v>2983.78</v>
      </c>
      <c r="AO309" s="238">
        <v>1764.8</v>
      </c>
      <c r="AP309" s="243">
        <v>6</v>
      </c>
      <c r="AQ309" s="238"/>
      <c r="AR309" s="238">
        <v>1409.3667009331828</v>
      </c>
      <c r="AS309" s="238">
        <v>1109.3102093665887</v>
      </c>
      <c r="AT309" s="238">
        <v>27720.666666666668</v>
      </c>
      <c r="AU309" s="238">
        <v>198.02633093965315</v>
      </c>
      <c r="AV309" s="237">
        <v>1</v>
      </c>
      <c r="AW309" s="237">
        <v>0</v>
      </c>
      <c r="AX309" s="237">
        <v>1</v>
      </c>
      <c r="AY309" s="244" t="s">
        <v>673</v>
      </c>
      <c r="AZ309" s="244" t="s">
        <v>695</v>
      </c>
      <c r="BA309" s="237">
        <v>0</v>
      </c>
      <c r="BB309" s="245" t="s">
        <v>1693</v>
      </c>
      <c r="BC309" s="215" t="s">
        <v>1694</v>
      </c>
      <c r="BE309" s="237">
        <v>2</v>
      </c>
      <c r="BF309" s="237">
        <v>39</v>
      </c>
      <c r="BG309" s="246" t="s">
        <v>698</v>
      </c>
      <c r="BI309" s="239">
        <v>0.35116279069767442</v>
      </c>
      <c r="BJ309" s="239">
        <v>5.8139534883720929E-2</v>
      </c>
      <c r="BK309" s="239">
        <v>0.586046511627907</v>
      </c>
      <c r="BL309" s="239">
        <v>4.6511627906976744E-3</v>
      </c>
      <c r="BM309" s="247">
        <v>1.7558139534883721</v>
      </c>
      <c r="BN309" s="248">
        <v>1</v>
      </c>
      <c r="BO309" s="248">
        <v>1</v>
      </c>
      <c r="BP309" s="237">
        <v>0</v>
      </c>
      <c r="BQ309" s="237">
        <v>0</v>
      </c>
      <c r="BR309" s="248">
        <v>2</v>
      </c>
      <c r="BS309" s="237">
        <v>18</v>
      </c>
      <c r="BT309" s="237" t="s">
        <v>729</v>
      </c>
      <c r="BU309" s="249" t="s">
        <v>678</v>
      </c>
      <c r="BV309" s="249" t="s">
        <v>678</v>
      </c>
      <c r="BW309" s="249" t="s">
        <v>678</v>
      </c>
      <c r="BX309" s="249" t="s">
        <v>678</v>
      </c>
      <c r="BY309" s="249" t="s">
        <v>678</v>
      </c>
      <c r="BZ309" s="249" t="s">
        <v>678</v>
      </c>
      <c r="CA309" s="249" t="s">
        <v>678</v>
      </c>
      <c r="CB309" s="249" t="s">
        <v>678</v>
      </c>
      <c r="CC309" s="250" t="s">
        <v>678</v>
      </c>
      <c r="CD309" s="242" t="s">
        <v>678</v>
      </c>
      <c r="CE309" s="252" t="s">
        <v>678</v>
      </c>
      <c r="CF309" s="238">
        <v>346</v>
      </c>
      <c r="CG309" s="238">
        <v>49</v>
      </c>
      <c r="CH309" s="238">
        <v>7.1117561683599417</v>
      </c>
      <c r="CI309" s="216" t="s">
        <v>722</v>
      </c>
      <c r="CJ309" s="237">
        <v>1</v>
      </c>
      <c r="CK309" s="253">
        <v>19.18</v>
      </c>
      <c r="CL309" s="253">
        <v>0</v>
      </c>
      <c r="CM309" s="254">
        <v>0</v>
      </c>
      <c r="CN309" s="237" t="s">
        <v>24</v>
      </c>
      <c r="CO309" s="242">
        <v>350.13</v>
      </c>
      <c r="CP309" s="255">
        <v>0.59647359454855198</v>
      </c>
      <c r="CW309" s="261" t="s">
        <v>678</v>
      </c>
      <c r="CX309" s="261" t="s">
        <v>678</v>
      </c>
      <c r="CY309" s="261" t="s">
        <v>678</v>
      </c>
      <c r="DB309" s="216" t="s">
        <v>681</v>
      </c>
      <c r="DC309" s="256"/>
      <c r="DD309" s="256">
        <v>0.8</v>
      </c>
      <c r="DE309" s="256">
        <v>-10</v>
      </c>
      <c r="DF309" s="256">
        <v>0.5</v>
      </c>
      <c r="DG309" s="256">
        <v>-2.2999999999999998</v>
      </c>
      <c r="DL309" s="237" t="s">
        <v>682</v>
      </c>
      <c r="DP309" s="258" t="s">
        <v>682</v>
      </c>
      <c r="DQ309" s="258"/>
      <c r="DR309" s="258"/>
      <c r="DS309" s="258"/>
      <c r="DT309" s="258"/>
      <c r="DU309" s="237">
        <v>0</v>
      </c>
      <c r="DX309" s="247"/>
      <c r="DY309" s="247">
        <v>0</v>
      </c>
      <c r="EA309" s="237">
        <v>0</v>
      </c>
      <c r="ED309" s="237" t="s">
        <v>851</v>
      </c>
      <c r="EE309" s="208">
        <v>1</v>
      </c>
      <c r="EF309" s="237" t="s">
        <v>852</v>
      </c>
      <c r="EG309" s="216" t="s">
        <v>703</v>
      </c>
      <c r="EH309" s="246" t="s">
        <v>704</v>
      </c>
      <c r="EI309" s="216"/>
      <c r="EJ309" s="216" t="s">
        <v>529</v>
      </c>
      <c r="EK309" s="222" t="s">
        <v>682</v>
      </c>
      <c r="EL309" s="259">
        <v>1998</v>
      </c>
      <c r="EM309" s="263">
        <v>238</v>
      </c>
      <c r="EN309" s="260">
        <v>24564</v>
      </c>
      <c r="EO309" s="260">
        <v>6083</v>
      </c>
      <c r="ER309" s="237" t="s">
        <v>705</v>
      </c>
      <c r="ES309" s="237">
        <v>344.5</v>
      </c>
      <c r="ET309" s="237">
        <v>25.558823529411764</v>
      </c>
      <c r="EU309" s="661">
        <v>1</v>
      </c>
      <c r="EV309" s="661" t="s">
        <v>678</v>
      </c>
      <c r="EW309" s="661">
        <v>4</v>
      </c>
      <c r="EX309" s="661">
        <v>5</v>
      </c>
      <c r="EY309" s="660">
        <v>3.2674616695059625E-2</v>
      </c>
      <c r="EZ309" s="256">
        <v>35.92283628779979</v>
      </c>
      <c r="FA309" s="247">
        <v>0</v>
      </c>
      <c r="FB309" s="208">
        <v>5</v>
      </c>
      <c r="FC309" s="208">
        <v>5</v>
      </c>
      <c r="FD309" s="208">
        <v>4</v>
      </c>
      <c r="FE309" s="239">
        <v>0.98003992015968067</v>
      </c>
      <c r="FF309" s="208"/>
      <c r="FG309" s="241">
        <v>0</v>
      </c>
      <c r="FH309" s="209">
        <v>0</v>
      </c>
      <c r="FI309" s="237" t="s">
        <v>678</v>
      </c>
      <c r="FJ309" s="208">
        <v>43.4</v>
      </c>
      <c r="FK309" s="208">
        <v>54.82</v>
      </c>
      <c r="FL309" s="217">
        <v>92.5</v>
      </c>
      <c r="FM309" s="208">
        <v>13.54</v>
      </c>
      <c r="FN309" s="208" t="s">
        <v>1731</v>
      </c>
      <c r="FP309" s="247" t="s">
        <v>693</v>
      </c>
      <c r="FU309" s="208">
        <v>31</v>
      </c>
      <c r="FV309" s="208">
        <v>30</v>
      </c>
      <c r="FW309" s="237">
        <v>90.16</v>
      </c>
      <c r="FX309" s="237">
        <v>83</v>
      </c>
      <c r="FY309" s="208">
        <v>102.74</v>
      </c>
      <c r="FZ309" s="208">
        <v>89.9</v>
      </c>
      <c r="GA309" s="208">
        <v>82.26</v>
      </c>
      <c r="GB309" s="208">
        <v>94.6</v>
      </c>
      <c r="GC309" s="208">
        <v>0.13</v>
      </c>
      <c r="GD309" s="208">
        <v>32.299999999999997</v>
      </c>
      <c r="GE309" s="237">
        <v>13</v>
      </c>
      <c r="GF309" s="237">
        <v>6.5</v>
      </c>
      <c r="GG309" s="237">
        <v>0</v>
      </c>
      <c r="GH309" s="237">
        <v>1.7</v>
      </c>
      <c r="GJ309" s="947"/>
      <c r="GK309" s="320"/>
      <c r="GL309" s="320"/>
      <c r="GM309" s="320"/>
      <c r="GN309" s="320"/>
      <c r="GO309" s="662">
        <v>8306</v>
      </c>
      <c r="GP309" s="663" t="str">
        <f>VLOOKUP(GS309,'BD Comarcal'!$A$6:$AV$17,48,FALSE)</f>
        <v>41</v>
      </c>
      <c r="GQ309" s="564">
        <v>11</v>
      </c>
      <c r="GR309" s="256">
        <f t="shared" si="4"/>
        <v>0</v>
      </c>
      <c r="GS309" s="237" t="s">
        <v>24</v>
      </c>
    </row>
    <row r="310" spans="1:201" s="237" customFormat="1" ht="17.25" customHeight="1">
      <c r="A310" s="236" t="s">
        <v>358</v>
      </c>
      <c r="C310" s="238" t="s">
        <v>683</v>
      </c>
      <c r="D310" s="238">
        <v>3350</v>
      </c>
      <c r="E310" s="238">
        <v>1299</v>
      </c>
      <c r="F310" s="239">
        <v>0.38776119402985076</v>
      </c>
      <c r="G310" s="238">
        <v>388</v>
      </c>
      <c r="H310" s="240">
        <v>3.9786717003623906</v>
      </c>
      <c r="I310" s="239">
        <v>3.062872748546875E-3</v>
      </c>
      <c r="J310" s="238">
        <v>529</v>
      </c>
      <c r="K310" s="238">
        <v>78</v>
      </c>
      <c r="L310" s="276">
        <v>55</v>
      </c>
      <c r="M310" s="241">
        <v>1.6417910447761194E-2</v>
      </c>
      <c r="N310" s="238">
        <v>4</v>
      </c>
      <c r="O310" s="239">
        <v>7.5614366729678641E-3</v>
      </c>
      <c r="P310" s="237">
        <v>26</v>
      </c>
      <c r="Q310" s="237">
        <v>2</v>
      </c>
      <c r="R310" s="239">
        <v>7.6923076923076927E-2</v>
      </c>
      <c r="S310" s="238">
        <v>1079</v>
      </c>
      <c r="T310" s="436">
        <v>5058</v>
      </c>
      <c r="U310" s="436">
        <v>0</v>
      </c>
      <c r="V310" s="436">
        <v>380</v>
      </c>
      <c r="W310" s="436">
        <v>5438</v>
      </c>
      <c r="X310" s="238">
        <v>65972</v>
      </c>
      <c r="Y310" s="237">
        <v>0.17299999999999999</v>
      </c>
      <c r="Z310" s="238">
        <v>765818</v>
      </c>
      <c r="AA310" s="238">
        <v>11659</v>
      </c>
      <c r="AB310" s="238">
        <v>71.239999999999995</v>
      </c>
      <c r="AC310" s="238">
        <v>84190</v>
      </c>
      <c r="AD310" s="238">
        <v>69845159.899999991</v>
      </c>
      <c r="AE310" s="238">
        <v>7445501.7399999946</v>
      </c>
      <c r="AF310" s="238">
        <v>63792535.789999992</v>
      </c>
      <c r="AG310" s="238">
        <v>142320.15</v>
      </c>
      <c r="AH310" s="239">
        <v>2.2309843657650911E-3</v>
      </c>
      <c r="AI310" s="247">
        <v>568.12893799999995</v>
      </c>
      <c r="AJ310" s="242">
        <v>110.363826</v>
      </c>
      <c r="AK310" s="242">
        <v>3.2944425671641793</v>
      </c>
      <c r="AL310" s="242">
        <v>231.704565</v>
      </c>
      <c r="AM310" s="242">
        <v>6.9165541791044776</v>
      </c>
      <c r="AN310" s="242">
        <v>103348.75</v>
      </c>
      <c r="AO310" s="238">
        <v>14981.88</v>
      </c>
      <c r="AP310" s="243">
        <v>56</v>
      </c>
      <c r="AQ310" s="238">
        <v>1</v>
      </c>
      <c r="AR310" s="238">
        <v>1294.1605782494939</v>
      </c>
      <c r="AS310" s="238">
        <v>1381.5302881373666</v>
      </c>
      <c r="AT310" s="238">
        <v>3974771.3333333335</v>
      </c>
      <c r="AU310" s="238">
        <v>267.10291834007074</v>
      </c>
      <c r="AV310" s="237">
        <v>1</v>
      </c>
      <c r="AW310" s="237">
        <v>0</v>
      </c>
      <c r="AX310" s="237">
        <v>1</v>
      </c>
      <c r="AY310" s="244" t="s">
        <v>717</v>
      </c>
      <c r="AZ310" s="244" t="s">
        <v>717</v>
      </c>
      <c r="BA310" s="237">
        <v>2009</v>
      </c>
      <c r="BB310" s="245" t="s">
        <v>907</v>
      </c>
      <c r="BC310" s="215" t="s">
        <v>908</v>
      </c>
      <c r="BD310" s="237">
        <v>1</v>
      </c>
      <c r="BE310" s="237">
        <v>137</v>
      </c>
      <c r="BF310" s="237">
        <v>19</v>
      </c>
      <c r="BG310" s="246" t="s">
        <v>676</v>
      </c>
      <c r="BI310" s="239">
        <v>0.40151603272459385</v>
      </c>
      <c r="BJ310" s="239">
        <v>0.15082780815012989</v>
      </c>
      <c r="BK310" s="239">
        <v>0.43699352487301774</v>
      </c>
      <c r="BL310" s="239">
        <v>1.0662634252258539E-2</v>
      </c>
      <c r="BM310" s="247">
        <v>1.9431972393470589</v>
      </c>
      <c r="BN310" s="248">
        <v>0</v>
      </c>
      <c r="BO310" s="248">
        <v>3</v>
      </c>
      <c r="BP310" s="237">
        <v>1</v>
      </c>
      <c r="BQ310" s="237">
        <v>1</v>
      </c>
      <c r="BR310" s="248">
        <v>5</v>
      </c>
      <c r="BS310" s="237">
        <v>0</v>
      </c>
      <c r="BT310" s="237" t="s">
        <v>1047</v>
      </c>
      <c r="BU310" s="249">
        <v>5465</v>
      </c>
      <c r="BV310" s="249">
        <v>7268</v>
      </c>
      <c r="BW310" s="249">
        <v>30008</v>
      </c>
      <c r="BX310" s="249">
        <v>11871</v>
      </c>
      <c r="BY310" s="249">
        <v>8.245944926442851</v>
      </c>
      <c r="BZ310" s="249">
        <v>10.966427763108261</v>
      </c>
      <c r="CA310" s="249">
        <v>45.278008298755189</v>
      </c>
      <c r="CB310" s="249">
        <v>17.911731422104864</v>
      </c>
      <c r="CC310" s="250">
        <v>91.948698604300262</v>
      </c>
      <c r="CD310" s="242">
        <v>-2293</v>
      </c>
      <c r="CE310" s="252">
        <v>96.540173519426631</v>
      </c>
      <c r="CF310" s="238">
        <v>32750</v>
      </c>
      <c r="CG310" s="238">
        <v>6223.8</v>
      </c>
      <c r="CH310" s="238">
        <v>9.3908713692946062</v>
      </c>
      <c r="CI310" s="216" t="s">
        <v>679</v>
      </c>
      <c r="CJ310" s="237">
        <v>0</v>
      </c>
      <c r="CK310" s="253">
        <v>664.57</v>
      </c>
      <c r="CL310" s="253">
        <v>531.8528</v>
      </c>
      <c r="CM310" s="254">
        <v>0.15876202985074628</v>
      </c>
      <c r="CN310" s="237" t="s">
        <v>85</v>
      </c>
      <c r="CO310" s="242">
        <v>603.97</v>
      </c>
      <c r="CP310" s="255">
        <v>0.18028955223880597</v>
      </c>
      <c r="CV310" s="262">
        <v>30</v>
      </c>
      <c r="CW310" s="194">
        <v>1.2270000000000001</v>
      </c>
      <c r="CX310" s="194">
        <v>0.63500000000000001</v>
      </c>
      <c r="CY310" s="194">
        <v>0.20499999999999999</v>
      </c>
      <c r="CZ310" s="237" t="s">
        <v>529</v>
      </c>
      <c r="DA310" s="237" t="s">
        <v>1732</v>
      </c>
      <c r="DB310" s="216" t="s">
        <v>1733</v>
      </c>
      <c r="DC310" s="195" t="s">
        <v>1734</v>
      </c>
      <c r="DD310" s="256">
        <v>0.7</v>
      </c>
      <c r="DE310" s="256">
        <v>-6.5</v>
      </c>
      <c r="DF310" s="256">
        <v>0.7</v>
      </c>
      <c r="DG310" s="256">
        <v>-2.2000000000000002</v>
      </c>
      <c r="DL310" s="237" t="s">
        <v>682</v>
      </c>
      <c r="DP310" s="258" t="s">
        <v>682</v>
      </c>
      <c r="DQ310" s="258"/>
      <c r="DR310" s="258"/>
      <c r="DS310" s="258"/>
      <c r="DT310" s="258"/>
      <c r="DU310" s="237">
        <v>0.5</v>
      </c>
      <c r="DV310" s="237" t="s">
        <v>1735</v>
      </c>
      <c r="DW310" s="237" t="s">
        <v>1097</v>
      </c>
      <c r="DX310" s="247">
        <v>17.75</v>
      </c>
      <c r="DY310" s="247">
        <v>0.52985074626865669</v>
      </c>
      <c r="EA310" s="237">
        <v>0</v>
      </c>
      <c r="ED310" s="237" t="s">
        <v>678</v>
      </c>
      <c r="EE310" s="208">
        <v>4</v>
      </c>
      <c r="EF310" s="237" t="s">
        <v>678</v>
      </c>
      <c r="EG310" s="216" t="s">
        <v>689</v>
      </c>
      <c r="EH310" s="246" t="s">
        <v>690</v>
      </c>
      <c r="EI310" s="216"/>
      <c r="EJ310" s="216" t="s">
        <v>529</v>
      </c>
      <c r="EK310" s="222" t="s">
        <v>529</v>
      </c>
      <c r="EL310" s="259">
        <v>2001</v>
      </c>
      <c r="EM310" s="260">
        <v>20886</v>
      </c>
      <c r="EN310" s="260">
        <v>2654648</v>
      </c>
      <c r="EO310" s="260">
        <v>1307767</v>
      </c>
      <c r="ER310" s="237" t="s">
        <v>705</v>
      </c>
      <c r="ES310" s="237">
        <v>13255</v>
      </c>
      <c r="ET310" s="237">
        <v>62.614526477065979</v>
      </c>
      <c r="EU310" s="661">
        <v>3</v>
      </c>
      <c r="EV310" s="661">
        <v>9</v>
      </c>
      <c r="EW310" s="661">
        <v>6</v>
      </c>
      <c r="EX310" s="661">
        <v>9</v>
      </c>
      <c r="EY310" s="660">
        <v>0.19837910447761195</v>
      </c>
      <c r="EZ310" s="256">
        <v>99.726138706231083</v>
      </c>
      <c r="FA310" s="247">
        <v>2.3094688221709005</v>
      </c>
      <c r="FB310" s="208">
        <v>6</v>
      </c>
      <c r="FC310" s="208">
        <v>6</v>
      </c>
      <c r="FD310" s="208">
        <v>2</v>
      </c>
      <c r="FE310" s="239">
        <v>0.29869130100076985</v>
      </c>
      <c r="FF310" s="208"/>
      <c r="FG310" s="241">
        <v>0</v>
      </c>
      <c r="FH310" s="209">
        <v>0</v>
      </c>
      <c r="FI310" s="237" t="s">
        <v>678</v>
      </c>
      <c r="FJ310" s="208">
        <v>26</v>
      </c>
      <c r="FK310" s="208">
        <v>9.98</v>
      </c>
      <c r="FL310" s="217">
        <v>46.4</v>
      </c>
      <c r="FM310" s="208">
        <v>0.28999999999999998</v>
      </c>
      <c r="FN310" s="208" t="s">
        <v>1736</v>
      </c>
      <c r="FO310" s="237">
        <v>3435</v>
      </c>
      <c r="FP310" s="247">
        <v>1.0253731343283583</v>
      </c>
      <c r="FQ310" s="237">
        <v>1</v>
      </c>
      <c r="FU310" s="208">
        <v>23</v>
      </c>
      <c r="FV310" s="208">
        <v>10.6</v>
      </c>
      <c r="FW310" s="237">
        <v>37.799999999999997</v>
      </c>
      <c r="FX310" s="237">
        <v>17.2</v>
      </c>
      <c r="FY310" s="208">
        <v>4.18</v>
      </c>
      <c r="FZ310" s="208">
        <v>6.4</v>
      </c>
      <c r="GA310" s="208">
        <v>18.62</v>
      </c>
      <c r="GB310" s="208">
        <v>6.6</v>
      </c>
      <c r="GC310" s="208" t="s">
        <v>678</v>
      </c>
      <c r="GD310" s="208" t="s">
        <v>678</v>
      </c>
      <c r="GE310" s="237" t="s">
        <v>678</v>
      </c>
      <c r="GF310" s="237" t="s">
        <v>678</v>
      </c>
      <c r="GG310" s="237" t="s">
        <v>678</v>
      </c>
      <c r="GH310" s="237" t="s">
        <v>678</v>
      </c>
      <c r="GJ310" s="947">
        <v>1219</v>
      </c>
      <c r="GK310" s="320">
        <v>1.2E-2</v>
      </c>
      <c r="GL310" s="320">
        <v>0.16200000000000001</v>
      </c>
      <c r="GM310" s="320">
        <v>5.7000000000000002E-2</v>
      </c>
      <c r="GN310" s="320">
        <v>0.76900000000000002</v>
      </c>
      <c r="GO310" s="662">
        <v>8307</v>
      </c>
      <c r="GP310" s="663" t="str">
        <f>VLOOKUP(GS310,'BD Comarcal'!$A$6:$AV$17,48,FALSE)</f>
        <v>17</v>
      </c>
      <c r="GQ310" s="564">
        <v>518</v>
      </c>
      <c r="GR310" s="256">
        <f t="shared" si="4"/>
        <v>0</v>
      </c>
      <c r="GS310" s="237" t="s">
        <v>85</v>
      </c>
    </row>
    <row r="311" spans="1:201" s="237" customFormat="1" ht="17.25" customHeight="1">
      <c r="A311" s="236" t="s">
        <v>1737</v>
      </c>
      <c r="C311" s="238"/>
      <c r="D311" s="238">
        <v>6681</v>
      </c>
      <c r="E311" s="238">
        <v>5297</v>
      </c>
      <c r="F311" s="239">
        <v>0.79284538242778024</v>
      </c>
      <c r="G311" s="238">
        <v>5297</v>
      </c>
      <c r="H311" s="240">
        <v>6307.9915621873452</v>
      </c>
      <c r="I311" s="239">
        <v>1</v>
      </c>
      <c r="J311" s="238">
        <v>739</v>
      </c>
      <c r="K311" s="238">
        <v>944</v>
      </c>
      <c r="L311" s="238">
        <v>0</v>
      </c>
      <c r="M311" s="241">
        <v>0</v>
      </c>
      <c r="N311" s="238">
        <v>0</v>
      </c>
      <c r="O311" s="239">
        <v>0</v>
      </c>
      <c r="P311" s="237">
        <v>36</v>
      </c>
      <c r="Q311" s="237">
        <v>0</v>
      </c>
      <c r="R311" s="239">
        <v>0</v>
      </c>
      <c r="S311" s="238">
        <v>5923</v>
      </c>
      <c r="T311" s="436">
        <v>354</v>
      </c>
      <c r="U311" s="436">
        <v>50</v>
      </c>
      <c r="V311" s="436">
        <v>10</v>
      </c>
      <c r="W311" s="436">
        <v>414</v>
      </c>
      <c r="X311" s="238">
        <v>162</v>
      </c>
      <c r="Y311" s="237">
        <v>0.2586</v>
      </c>
      <c r="Z311" s="238">
        <v>3012</v>
      </c>
      <c r="AA311" s="238">
        <v>17928</v>
      </c>
      <c r="AB311" s="238">
        <v>109.54</v>
      </c>
      <c r="AC311" s="238">
        <v>0</v>
      </c>
      <c r="AD311" s="238">
        <v>392765.57</v>
      </c>
      <c r="AE311" s="238">
        <v>14560</v>
      </c>
      <c r="AF311" s="238">
        <v>359184.92</v>
      </c>
      <c r="AG311" s="238">
        <v>103129.02</v>
      </c>
      <c r="AH311" s="239">
        <v>0.28711957061003568</v>
      </c>
      <c r="AI311" s="247">
        <v>2.3527800000000001</v>
      </c>
      <c r="AJ311" s="242">
        <v>0.11570999999999999</v>
      </c>
      <c r="AK311" s="242">
        <v>1.7319263583295914E-3</v>
      </c>
      <c r="AL311" s="242" t="s">
        <v>678</v>
      </c>
      <c r="AM311" s="242" t="s">
        <v>678</v>
      </c>
      <c r="AN311" s="242">
        <v>24702.18</v>
      </c>
      <c r="AO311" s="238">
        <v>0</v>
      </c>
      <c r="AP311" s="243">
        <v>0</v>
      </c>
      <c r="AQ311" s="238"/>
      <c r="AR311" s="238">
        <v>2543.4040447809602</v>
      </c>
      <c r="AS311" s="238">
        <v>1137.4305110413534</v>
      </c>
      <c r="AT311" s="238">
        <v>7488.666666666667</v>
      </c>
      <c r="AU311" s="238">
        <v>185.83304056919644</v>
      </c>
      <c r="AV311" s="237">
        <v>1</v>
      </c>
      <c r="AW311" s="237">
        <v>1</v>
      </c>
      <c r="AX311" s="237">
        <v>1</v>
      </c>
      <c r="AY311" s="244" t="s">
        <v>682</v>
      </c>
      <c r="AZ311" s="244" t="s">
        <v>695</v>
      </c>
      <c r="BA311" s="237">
        <v>0</v>
      </c>
      <c r="BB311" s="245" t="s">
        <v>1738</v>
      </c>
      <c r="BC311" s="215" t="s">
        <v>1739</v>
      </c>
      <c r="BE311" s="237">
        <v>0</v>
      </c>
      <c r="BF311" s="237">
        <v>11</v>
      </c>
      <c r="BG311" s="246" t="s">
        <v>720</v>
      </c>
      <c r="BI311" s="239">
        <v>0.95789473684210524</v>
      </c>
      <c r="BJ311" s="239">
        <v>4.2105263157894736E-2</v>
      </c>
      <c r="BK311" s="239">
        <v>0</v>
      </c>
      <c r="BL311" s="239">
        <v>0</v>
      </c>
      <c r="BM311" s="247">
        <v>2.9578947368421051</v>
      </c>
      <c r="BN311" s="248">
        <v>0</v>
      </c>
      <c r="BO311" s="248">
        <v>0</v>
      </c>
      <c r="BP311" s="237">
        <v>0</v>
      </c>
      <c r="BQ311" s="237">
        <v>0</v>
      </c>
      <c r="BR311" s="248">
        <v>0</v>
      </c>
      <c r="BS311" s="262">
        <v>29</v>
      </c>
      <c r="BT311" s="237" t="s">
        <v>777</v>
      </c>
      <c r="BU311" s="249" t="s">
        <v>678</v>
      </c>
      <c r="BV311" s="249" t="s">
        <v>678</v>
      </c>
      <c r="BW311" s="249" t="s">
        <v>678</v>
      </c>
      <c r="BX311" s="249" t="s">
        <v>678</v>
      </c>
      <c r="BY311" s="249" t="s">
        <v>678</v>
      </c>
      <c r="BZ311" s="249" t="s">
        <v>678</v>
      </c>
      <c r="CA311" s="249" t="s">
        <v>678</v>
      </c>
      <c r="CB311" s="249" t="s">
        <v>678</v>
      </c>
      <c r="CC311" s="250" t="s">
        <v>678</v>
      </c>
      <c r="CD311" s="242" t="s">
        <v>678</v>
      </c>
      <c r="CE311" s="252" t="s">
        <v>678</v>
      </c>
      <c r="CF311" s="238">
        <v>124</v>
      </c>
      <c r="CG311" s="238">
        <v>8.6</v>
      </c>
      <c r="CH311" s="238">
        <v>4.8587570621468927</v>
      </c>
      <c r="CI311" s="216" t="s">
        <v>756</v>
      </c>
      <c r="CJ311" s="237">
        <v>1</v>
      </c>
      <c r="CK311" s="253">
        <v>3.31</v>
      </c>
      <c r="CL311" s="253">
        <v>0</v>
      </c>
      <c r="CM311" s="254">
        <v>0</v>
      </c>
      <c r="CN311" s="237" t="s">
        <v>84</v>
      </c>
      <c r="CO311" s="242">
        <v>278.11</v>
      </c>
      <c r="CP311" s="255">
        <v>4.1627001945816498E-2</v>
      </c>
      <c r="CV311" s="237">
        <v>2</v>
      </c>
      <c r="CW311" s="261" t="s">
        <v>678</v>
      </c>
      <c r="CX311" s="261" t="s">
        <v>678</v>
      </c>
      <c r="CY311" s="261" t="s">
        <v>678</v>
      </c>
      <c r="DB311" s="216" t="s">
        <v>681</v>
      </c>
      <c r="DC311" s="256"/>
      <c r="DD311" s="256">
        <v>0.8</v>
      </c>
      <c r="DE311" s="256">
        <v>-9</v>
      </c>
      <c r="DF311" s="256">
        <v>-0.3</v>
      </c>
      <c r="DG311" s="256">
        <v>-2.6</v>
      </c>
      <c r="DH311" s="257">
        <v>3</v>
      </c>
      <c r="DI311" s="257">
        <v>4.33</v>
      </c>
      <c r="DJ311" s="257">
        <v>14.38</v>
      </c>
      <c r="DK311" s="257">
        <v>18.71</v>
      </c>
      <c r="DL311" s="237" t="s">
        <v>529</v>
      </c>
      <c r="DN311" s="237" t="s">
        <v>770</v>
      </c>
      <c r="DO311" s="237">
        <v>1</v>
      </c>
      <c r="DP311" s="258" t="s">
        <v>682</v>
      </c>
      <c r="DQ311" s="258"/>
      <c r="DR311" s="258"/>
      <c r="DS311" s="258"/>
      <c r="DT311" s="258"/>
      <c r="DU311" s="237">
        <v>1</v>
      </c>
      <c r="DV311" s="237" t="s">
        <v>1740</v>
      </c>
      <c r="DX311" s="247">
        <v>1.6949999999999998</v>
      </c>
      <c r="DY311" s="247">
        <v>2.5370453524921413E-2</v>
      </c>
      <c r="DZ311" s="237" t="s">
        <v>1247</v>
      </c>
      <c r="EA311" s="237">
        <v>0</v>
      </c>
      <c r="ED311" s="237" t="s">
        <v>940</v>
      </c>
      <c r="EE311" s="208">
        <v>3</v>
      </c>
      <c r="EF311" s="237" t="s">
        <v>702</v>
      </c>
      <c r="EG311" s="216" t="s">
        <v>703</v>
      </c>
      <c r="EH311" s="246" t="s">
        <v>704</v>
      </c>
      <c r="EI311" s="216"/>
      <c r="EJ311" s="216" t="s">
        <v>529</v>
      </c>
      <c r="EK311" s="222" t="s">
        <v>682</v>
      </c>
      <c r="EL311" s="259">
        <v>2010</v>
      </c>
      <c r="EM311" s="260">
        <v>900</v>
      </c>
      <c r="EN311" s="260">
        <v>4751</v>
      </c>
      <c r="EO311" s="260">
        <v>2218</v>
      </c>
      <c r="ER311" s="237" t="s">
        <v>705</v>
      </c>
      <c r="ES311" s="237" t="e">
        <v>#DIV/0!</v>
      </c>
      <c r="ET311" s="237">
        <v>2.4644444444444447</v>
      </c>
      <c r="EU311" s="661">
        <v>3</v>
      </c>
      <c r="EV311" s="661" t="s">
        <v>678</v>
      </c>
      <c r="EW311" s="661">
        <v>1</v>
      </c>
      <c r="EX311" s="661" t="s">
        <v>678</v>
      </c>
      <c r="EY311" s="660">
        <v>4.9543481514743306E-4</v>
      </c>
      <c r="EZ311" s="256">
        <v>53.474320241691842</v>
      </c>
      <c r="FA311" s="247">
        <v>3.7757221068529356E-2</v>
      </c>
      <c r="FB311" s="208">
        <v>4</v>
      </c>
      <c r="FC311" s="208">
        <v>4</v>
      </c>
      <c r="FD311" s="208">
        <v>2</v>
      </c>
      <c r="FE311" s="239">
        <v>1</v>
      </c>
      <c r="FF311" s="208">
        <v>1</v>
      </c>
      <c r="FG311" s="241">
        <v>3.5321880309609212E-3</v>
      </c>
      <c r="FH311" s="209">
        <v>0</v>
      </c>
      <c r="FI311" s="237" t="s">
        <v>678</v>
      </c>
      <c r="FJ311" s="208">
        <v>63.7</v>
      </c>
      <c r="FK311" s="208">
        <v>0</v>
      </c>
      <c r="FL311" s="217">
        <v>10.9</v>
      </c>
      <c r="FM311" s="208">
        <v>2.38</v>
      </c>
      <c r="FN311" s="208" t="s">
        <v>1741</v>
      </c>
      <c r="FP311" s="247" t="s">
        <v>693</v>
      </c>
      <c r="FU311" s="208">
        <v>54</v>
      </c>
      <c r="FV311" s="208">
        <v>83</v>
      </c>
      <c r="FW311" s="237">
        <v>32.65</v>
      </c>
      <c r="FX311" s="237">
        <v>14.2</v>
      </c>
      <c r="FY311" s="208">
        <v>6.14</v>
      </c>
      <c r="FZ311" s="208">
        <v>11.1</v>
      </c>
      <c r="GA311" s="208">
        <v>26.45</v>
      </c>
      <c r="GB311" s="208">
        <v>15.3</v>
      </c>
      <c r="GC311" s="208">
        <v>-0.02</v>
      </c>
      <c r="GD311" s="208">
        <v>7.4</v>
      </c>
      <c r="GE311" s="237">
        <v>71.39</v>
      </c>
      <c r="GF311" s="237">
        <v>87.3</v>
      </c>
      <c r="GG311" s="237">
        <v>4.82</v>
      </c>
      <c r="GH311" s="237">
        <v>42.2</v>
      </c>
      <c r="GJ311" s="947"/>
      <c r="GK311" s="320"/>
      <c r="GL311" s="320"/>
      <c r="GM311" s="320"/>
      <c r="GN311" s="320"/>
      <c r="GO311" s="662">
        <v>8308</v>
      </c>
      <c r="GP311" s="663" t="str">
        <f>VLOOKUP(GS311,'BD Comarcal'!$A$6:$AV$17,48,FALSE)</f>
        <v>14</v>
      </c>
      <c r="GQ311" s="564">
        <v>6</v>
      </c>
      <c r="GR311" s="256">
        <f t="shared" si="4"/>
        <v>1</v>
      </c>
      <c r="GS311" s="237" t="s">
        <v>84</v>
      </c>
    </row>
    <row r="312" spans="1:201" s="237" customFormat="1" ht="17.25" customHeight="1">
      <c r="A312" s="236" t="s">
        <v>1742</v>
      </c>
      <c r="C312" s="238"/>
      <c r="D312" s="238">
        <v>4778</v>
      </c>
      <c r="E312" s="238">
        <v>3703</v>
      </c>
      <c r="F312" s="239">
        <v>0.77501046462955214</v>
      </c>
      <c r="G312" s="238">
        <v>3553</v>
      </c>
      <c r="H312" s="240">
        <v>2441.535991595847</v>
      </c>
      <c r="I312" s="239">
        <v>0.65933999232942131</v>
      </c>
      <c r="J312" s="238">
        <v>281</v>
      </c>
      <c r="K312" s="238">
        <v>762</v>
      </c>
      <c r="L312" s="238">
        <v>2</v>
      </c>
      <c r="M312" s="241">
        <v>4.1858518208455421E-4</v>
      </c>
      <c r="N312" s="238">
        <v>0</v>
      </c>
      <c r="O312" s="239">
        <v>0</v>
      </c>
      <c r="P312" s="237">
        <v>18</v>
      </c>
      <c r="Q312" s="237">
        <v>0</v>
      </c>
      <c r="R312" s="239">
        <v>0</v>
      </c>
      <c r="S312" s="238">
        <v>1126</v>
      </c>
      <c r="T312" s="436">
        <v>213</v>
      </c>
      <c r="U312" s="436">
        <v>41</v>
      </c>
      <c r="V312" s="436">
        <v>117</v>
      </c>
      <c r="W312" s="436">
        <v>371</v>
      </c>
      <c r="X312" s="238">
        <v>277</v>
      </c>
      <c r="Y312" s="237">
        <v>0.25330000000000003</v>
      </c>
      <c r="Z312" s="238">
        <v>4963</v>
      </c>
      <c r="AA312" s="238">
        <v>17662</v>
      </c>
      <c r="AB312" s="238">
        <v>107.92</v>
      </c>
      <c r="AC312" s="238">
        <v>0</v>
      </c>
      <c r="AD312" s="238">
        <v>530044.81000000006</v>
      </c>
      <c r="AE312" s="238">
        <v>176315.21000000014</v>
      </c>
      <c r="AF312" s="238">
        <v>455912.67</v>
      </c>
      <c r="AG312" s="238">
        <v>48425.11</v>
      </c>
      <c r="AH312" s="239">
        <v>0.10621575838197259</v>
      </c>
      <c r="AI312" s="247">
        <v>10.531031</v>
      </c>
      <c r="AJ312" s="242">
        <v>0.461868</v>
      </c>
      <c r="AK312" s="242">
        <v>9.6665550439514435E-3</v>
      </c>
      <c r="AL312" s="242" t="s">
        <v>678</v>
      </c>
      <c r="AM312" s="242" t="s">
        <v>678</v>
      </c>
      <c r="AN312" s="242">
        <v>21020.560000000001</v>
      </c>
      <c r="AO312" s="238">
        <v>0</v>
      </c>
      <c r="AP312" s="243">
        <v>0</v>
      </c>
      <c r="AQ312" s="238"/>
      <c r="AR312" s="238">
        <v>1979.6151203440811</v>
      </c>
      <c r="AS312" s="238">
        <v>1841.418630459985</v>
      </c>
      <c r="AT312" s="238">
        <v>23566</v>
      </c>
      <c r="AU312" s="238">
        <v>247.31414728896448</v>
      </c>
      <c r="AV312" s="237">
        <v>1</v>
      </c>
      <c r="AW312" s="237">
        <v>0</v>
      </c>
      <c r="AX312" s="237">
        <v>1</v>
      </c>
      <c r="AY312" s="244" t="s">
        <v>726</v>
      </c>
      <c r="AZ312" s="244" t="s">
        <v>695</v>
      </c>
      <c r="BA312" s="237" t="s">
        <v>1038</v>
      </c>
      <c r="BB312" s="245" t="s">
        <v>1175</v>
      </c>
      <c r="BC312" s="215" t="s">
        <v>1176</v>
      </c>
      <c r="BE312" s="237">
        <v>0</v>
      </c>
      <c r="BF312" s="237">
        <v>46</v>
      </c>
      <c r="BG312" s="246" t="s">
        <v>720</v>
      </c>
      <c r="BI312" s="239">
        <v>0.80575539568345322</v>
      </c>
      <c r="BJ312" s="239">
        <v>3.3573141486810551E-2</v>
      </c>
      <c r="BK312" s="239">
        <v>0.1366906474820144</v>
      </c>
      <c r="BL312" s="239">
        <v>2.3980815347721823E-2</v>
      </c>
      <c r="BM312" s="247">
        <v>2.6211031175059953</v>
      </c>
      <c r="BN312" s="248">
        <v>0</v>
      </c>
      <c r="BO312" s="248">
        <v>0</v>
      </c>
      <c r="BP312" s="237">
        <v>0</v>
      </c>
      <c r="BQ312" s="237">
        <v>0</v>
      </c>
      <c r="BR312" s="248">
        <v>0</v>
      </c>
      <c r="BS312" s="237">
        <v>23</v>
      </c>
      <c r="BT312" s="237" t="s">
        <v>721</v>
      </c>
      <c r="BU312" s="249" t="s">
        <v>678</v>
      </c>
      <c r="BV312" s="249" t="s">
        <v>678</v>
      </c>
      <c r="BW312" s="249" t="s">
        <v>678</v>
      </c>
      <c r="BX312" s="249" t="s">
        <v>678</v>
      </c>
      <c r="BY312" s="249" t="s">
        <v>678</v>
      </c>
      <c r="BZ312" s="249" t="s">
        <v>678</v>
      </c>
      <c r="CA312" s="249" t="s">
        <v>678</v>
      </c>
      <c r="CB312" s="249" t="s">
        <v>678</v>
      </c>
      <c r="CC312" s="250" t="s">
        <v>678</v>
      </c>
      <c r="CD312" s="242" t="s">
        <v>678</v>
      </c>
      <c r="CE312" s="252" t="s">
        <v>678</v>
      </c>
      <c r="CF312" s="238">
        <v>248</v>
      </c>
      <c r="CG312" s="238">
        <v>5.3</v>
      </c>
      <c r="CH312" s="238">
        <v>1.7966101694915255</v>
      </c>
      <c r="CI312" s="216" t="s">
        <v>722</v>
      </c>
      <c r="CJ312" s="237">
        <v>1</v>
      </c>
      <c r="CK312" s="253">
        <v>8.25</v>
      </c>
      <c r="CL312" s="253">
        <v>0.57999999999999996</v>
      </c>
      <c r="CM312" s="254">
        <v>1.2138970280452072E-4</v>
      </c>
      <c r="CN312" s="237" t="s">
        <v>88</v>
      </c>
      <c r="CO312" s="242">
        <v>2738.8</v>
      </c>
      <c r="CP312" s="255">
        <v>0.57321054834658858</v>
      </c>
      <c r="CV312" s="237">
        <v>1</v>
      </c>
      <c r="CW312" s="261" t="s">
        <v>678</v>
      </c>
      <c r="CX312" s="261" t="s">
        <v>678</v>
      </c>
      <c r="CY312" s="261" t="s">
        <v>678</v>
      </c>
      <c r="DB312" s="216" t="s">
        <v>681</v>
      </c>
      <c r="DC312" s="256"/>
      <c r="DD312" s="256">
        <v>0.8</v>
      </c>
      <c r="DE312" s="256">
        <v>-9</v>
      </c>
      <c r="DF312" s="256">
        <v>-0.3</v>
      </c>
      <c r="DG312" s="256">
        <v>-2.6</v>
      </c>
      <c r="DL312" s="237" t="s">
        <v>682</v>
      </c>
      <c r="DP312" s="258" t="s">
        <v>682</v>
      </c>
      <c r="DQ312" s="258"/>
      <c r="DR312" s="258"/>
      <c r="DS312" s="258"/>
      <c r="DT312" s="258"/>
      <c r="DU312" s="237">
        <v>0</v>
      </c>
      <c r="DX312" s="247"/>
      <c r="DY312" s="247">
        <v>0</v>
      </c>
      <c r="EA312" s="237">
        <v>0</v>
      </c>
      <c r="ED312" s="237" t="s">
        <v>1528</v>
      </c>
      <c r="EE312" s="208">
        <v>1</v>
      </c>
      <c r="EF312" s="237" t="s">
        <v>852</v>
      </c>
      <c r="EG312" s="216" t="s">
        <v>703</v>
      </c>
      <c r="EH312" s="246" t="s">
        <v>704</v>
      </c>
      <c r="EI312" s="216"/>
      <c r="EJ312" s="216" t="s">
        <v>529</v>
      </c>
      <c r="EK312" s="222" t="s">
        <v>682</v>
      </c>
      <c r="EL312" s="259">
        <v>1986</v>
      </c>
      <c r="EM312" s="260">
        <v>565</v>
      </c>
      <c r="EN312" s="260">
        <v>12013</v>
      </c>
      <c r="EO312" s="260">
        <v>12521</v>
      </c>
      <c r="EP312" s="237">
        <v>1</v>
      </c>
      <c r="EQ312" s="237">
        <v>104</v>
      </c>
      <c r="ER312" s="237" t="s">
        <v>705</v>
      </c>
      <c r="ES312" s="237" t="e">
        <v>#DIV/0!</v>
      </c>
      <c r="ET312" s="237">
        <v>22.161061946902656</v>
      </c>
      <c r="EU312" s="661">
        <v>5</v>
      </c>
      <c r="EV312" s="661" t="s">
        <v>678</v>
      </c>
      <c r="EW312" s="661">
        <v>0</v>
      </c>
      <c r="EX312" s="661">
        <v>3</v>
      </c>
      <c r="EY312" s="660">
        <v>1.7266638760987862E-3</v>
      </c>
      <c r="EZ312" s="256">
        <v>35.757575757575758</v>
      </c>
      <c r="FA312" s="247">
        <v>2.7005130974885227E-2</v>
      </c>
      <c r="FB312" s="208">
        <v>3</v>
      </c>
      <c r="FC312" s="208">
        <v>2</v>
      </c>
      <c r="FD312" s="208">
        <v>3</v>
      </c>
      <c r="FE312" s="239">
        <v>0.95949230353767212</v>
      </c>
      <c r="FF312" s="208">
        <v>1</v>
      </c>
      <c r="FG312" s="241">
        <v>0</v>
      </c>
      <c r="FH312" s="209">
        <v>0</v>
      </c>
      <c r="FI312" s="237" t="s">
        <v>678</v>
      </c>
      <c r="FJ312" s="208">
        <v>69.8</v>
      </c>
      <c r="FK312" s="208">
        <v>44.81</v>
      </c>
      <c r="FL312" s="217">
        <v>87.5</v>
      </c>
      <c r="FM312" s="208">
        <v>11.83</v>
      </c>
      <c r="FN312" s="208">
        <v>83</v>
      </c>
      <c r="FP312" s="247" t="s">
        <v>693</v>
      </c>
      <c r="FU312" s="208">
        <v>60</v>
      </c>
      <c r="FV312" s="208">
        <v>90.1</v>
      </c>
      <c r="FW312" s="237">
        <v>88.21</v>
      </c>
      <c r="FX312" s="237">
        <v>79.7</v>
      </c>
      <c r="FY312" s="208">
        <v>93.96</v>
      </c>
      <c r="FZ312" s="208">
        <v>85.4</v>
      </c>
      <c r="GA312" s="208">
        <v>74.61</v>
      </c>
      <c r="GB312" s="208">
        <v>84.4</v>
      </c>
      <c r="GC312" s="208">
        <v>0.22</v>
      </c>
      <c r="GD312" s="208">
        <v>40.5</v>
      </c>
      <c r="GE312" s="237">
        <v>33.11</v>
      </c>
      <c r="GF312" s="237">
        <v>39.6</v>
      </c>
      <c r="GG312" s="237">
        <v>13.64</v>
      </c>
      <c r="GH312" s="237">
        <v>81.400000000000006</v>
      </c>
      <c r="GJ312" s="947"/>
      <c r="GK312" s="320"/>
      <c r="GL312" s="320"/>
      <c r="GM312" s="320"/>
      <c r="GN312" s="320"/>
      <c r="GO312" s="662">
        <v>8901</v>
      </c>
      <c r="GP312" s="663" t="str">
        <f>VLOOKUP(GS312,'BD Comarcal'!$A$6:$AV$17,48,FALSE)</f>
        <v>24</v>
      </c>
      <c r="GQ312" s="564">
        <v>8</v>
      </c>
      <c r="GR312" s="256">
        <f t="shared" si="4"/>
        <v>0</v>
      </c>
      <c r="GS312" s="237" t="s">
        <v>88</v>
      </c>
    </row>
    <row r="313" spans="1:201" s="237" customFormat="1" ht="17.25" customHeight="1">
      <c r="A313" s="236" t="s">
        <v>1743</v>
      </c>
      <c r="C313" s="238"/>
      <c r="D313" s="238">
        <v>1520</v>
      </c>
      <c r="E313" s="238">
        <v>820</v>
      </c>
      <c r="F313" s="239">
        <v>0.53947368421052633</v>
      </c>
      <c r="G313" s="238">
        <v>720</v>
      </c>
      <c r="H313" s="240">
        <v>113.76289284784072</v>
      </c>
      <c r="I313" s="239">
        <v>0.13873523518029357</v>
      </c>
      <c r="J313" s="238">
        <v>249</v>
      </c>
      <c r="K313" s="238">
        <v>179</v>
      </c>
      <c r="L313" s="276">
        <v>77</v>
      </c>
      <c r="M313" s="241">
        <v>5.0657894736842103E-2</v>
      </c>
      <c r="N313" s="238">
        <v>26</v>
      </c>
      <c r="O313" s="239">
        <v>0.10441767068273092</v>
      </c>
      <c r="P313" s="237">
        <v>7</v>
      </c>
      <c r="Q313" s="237">
        <v>0</v>
      </c>
      <c r="R313" s="239">
        <v>0</v>
      </c>
      <c r="S313" s="238">
        <v>708</v>
      </c>
      <c r="T313" s="436">
        <v>0</v>
      </c>
      <c r="U313" s="436">
        <v>0</v>
      </c>
      <c r="V313" s="436">
        <v>197</v>
      </c>
      <c r="W313" s="436">
        <v>197</v>
      </c>
      <c r="X313" s="238">
        <v>5217</v>
      </c>
      <c r="Y313" s="237">
        <v>0.1036</v>
      </c>
      <c r="Z313" s="238">
        <v>87838</v>
      </c>
      <c r="AA313" s="238">
        <v>16760</v>
      </c>
      <c r="AB313" s="238">
        <v>102.4</v>
      </c>
      <c r="AC313" s="238">
        <v>3255</v>
      </c>
      <c r="AD313" s="238">
        <v>5965037.9600000009</v>
      </c>
      <c r="AE313" s="238">
        <v>447140.75999999978</v>
      </c>
      <c r="AF313" s="238">
        <v>5433040.2400000002</v>
      </c>
      <c r="AG313" s="238">
        <v>460672.68</v>
      </c>
      <c r="AH313" s="239">
        <v>8.4790956748003021E-2</v>
      </c>
      <c r="AI313" s="247">
        <v>267.21774599999998</v>
      </c>
      <c r="AJ313" s="242">
        <v>191.155248</v>
      </c>
      <c r="AK313" s="242">
        <v>12.576003157894736</v>
      </c>
      <c r="AL313" s="242">
        <v>274.25746099999998</v>
      </c>
      <c r="AM313" s="242">
        <v>18.043254013157892</v>
      </c>
      <c r="AN313" s="242">
        <v>28974.35</v>
      </c>
      <c r="AO313" s="238">
        <v>4239.57</v>
      </c>
      <c r="AP313" s="243">
        <v>19</v>
      </c>
      <c r="AQ313" s="238">
        <v>1</v>
      </c>
      <c r="AR313" s="238">
        <v>1509.2039905157719</v>
      </c>
      <c r="AS313" s="238">
        <v>1539.8812786700703</v>
      </c>
      <c r="AT313" s="238">
        <v>297928.33333333331</v>
      </c>
      <c r="AU313" s="238">
        <v>299.41700489719017</v>
      </c>
      <c r="AV313" s="237">
        <v>1</v>
      </c>
      <c r="AW313" s="237">
        <v>1</v>
      </c>
      <c r="AX313" s="237">
        <v>1</v>
      </c>
      <c r="AY313" s="244" t="s">
        <v>717</v>
      </c>
      <c r="AZ313" s="244" t="s">
        <v>717</v>
      </c>
      <c r="BA313" s="237">
        <v>2012</v>
      </c>
      <c r="BB313" s="245" t="s">
        <v>743</v>
      </c>
      <c r="BC313" s="215" t="s">
        <v>744</v>
      </c>
      <c r="BE313" s="237">
        <v>2</v>
      </c>
      <c r="BF313" s="237">
        <v>39</v>
      </c>
      <c r="BG313" s="246" t="s">
        <v>676</v>
      </c>
      <c r="BI313" s="239">
        <v>0.28138075313807531</v>
      </c>
      <c r="BJ313" s="239">
        <v>8.5076708507670851E-2</v>
      </c>
      <c r="BK313" s="239">
        <v>0.60843793584379358</v>
      </c>
      <c r="BL313" s="239">
        <v>2.5104602510460251E-2</v>
      </c>
      <c r="BM313" s="247">
        <v>1.6227336122733611</v>
      </c>
      <c r="BN313" s="248">
        <v>0</v>
      </c>
      <c r="BO313" s="248">
        <v>0</v>
      </c>
      <c r="BP313" s="237">
        <v>0</v>
      </c>
      <c r="BQ313" s="237">
        <v>0</v>
      </c>
      <c r="BR313" s="248">
        <v>0</v>
      </c>
      <c r="BS313" s="237">
        <v>9</v>
      </c>
      <c r="BT313" s="237" t="s">
        <v>729</v>
      </c>
      <c r="BU313" s="249" t="s">
        <v>678</v>
      </c>
      <c r="BV313" s="249">
        <v>436</v>
      </c>
      <c r="BW313" s="249">
        <v>2387</v>
      </c>
      <c r="BX313" s="249">
        <v>779</v>
      </c>
      <c r="BY313" s="249" t="s">
        <v>678</v>
      </c>
      <c r="BZ313" s="249">
        <v>8.462732919254659</v>
      </c>
      <c r="CA313" s="249">
        <v>46.331521739130437</v>
      </c>
      <c r="CB313" s="249">
        <v>15.120341614906833</v>
      </c>
      <c r="CC313" s="250" t="s">
        <v>678</v>
      </c>
      <c r="CD313" s="242" t="s">
        <v>678</v>
      </c>
      <c r="CE313" s="252" t="s">
        <v>678</v>
      </c>
      <c r="CF313" s="238">
        <v>2090</v>
      </c>
      <c r="CG313" s="238">
        <v>336</v>
      </c>
      <c r="CH313" s="238">
        <v>6.5217391304347823</v>
      </c>
      <c r="CI313" s="216" t="s">
        <v>722</v>
      </c>
      <c r="CJ313" s="237">
        <v>1</v>
      </c>
      <c r="CK313" s="253">
        <v>281.16000000000003</v>
      </c>
      <c r="CL313" s="253">
        <v>89.520700000000005</v>
      </c>
      <c r="CM313" s="254">
        <v>5.8895197368421054E-2</v>
      </c>
      <c r="CN313" s="237" t="s">
        <v>24</v>
      </c>
      <c r="CO313" s="242">
        <v>394.21</v>
      </c>
      <c r="CP313" s="255">
        <v>0.25934868421052631</v>
      </c>
      <c r="CV313" s="237">
        <v>2</v>
      </c>
      <c r="CW313" s="194">
        <v>0.57299999999999995</v>
      </c>
      <c r="CX313" s="194">
        <v>0.63500000000000001</v>
      </c>
      <c r="CY313" s="194">
        <v>0.10299999999999999</v>
      </c>
      <c r="CZ313" s="237" t="s">
        <v>683</v>
      </c>
      <c r="DA313" s="237" t="s">
        <v>1744</v>
      </c>
      <c r="DB313" s="216" t="s">
        <v>710</v>
      </c>
      <c r="DC313" s="195" t="s">
        <v>711</v>
      </c>
      <c r="DD313" s="256">
        <v>0.7</v>
      </c>
      <c r="DE313" s="256">
        <v>-6.5</v>
      </c>
      <c r="DF313" s="256">
        <v>0.7</v>
      </c>
      <c r="DG313" s="256">
        <v>-2.2000000000000002</v>
      </c>
      <c r="DL313" s="237" t="s">
        <v>529</v>
      </c>
      <c r="DN313" s="237" t="s">
        <v>730</v>
      </c>
      <c r="DP313" s="258" t="s">
        <v>682</v>
      </c>
      <c r="DQ313" s="258"/>
      <c r="DR313" s="258"/>
      <c r="DS313" s="258"/>
      <c r="DT313" s="258"/>
      <c r="DU313" s="237">
        <v>0</v>
      </c>
      <c r="DX313" s="247"/>
      <c r="DY313" s="247">
        <v>0</v>
      </c>
      <c r="EA313" s="237">
        <v>0</v>
      </c>
      <c r="ED313" s="237" t="s">
        <v>678</v>
      </c>
      <c r="EE313" s="208">
        <v>1</v>
      </c>
      <c r="EF313" s="237" t="s">
        <v>678</v>
      </c>
      <c r="EG313" s="216" t="s">
        <v>691</v>
      </c>
      <c r="EH313" s="246" t="s">
        <v>690</v>
      </c>
      <c r="EI313" s="216" t="s">
        <v>691</v>
      </c>
      <c r="EJ313" s="216" t="s">
        <v>529</v>
      </c>
      <c r="EK313" s="222" t="s">
        <v>682</v>
      </c>
      <c r="EL313" s="259">
        <v>1988</v>
      </c>
      <c r="EM313" s="260">
        <v>4970</v>
      </c>
      <c r="EN313" s="260">
        <v>259563</v>
      </c>
      <c r="EO313" s="260">
        <v>51336</v>
      </c>
      <c r="EP313" s="237">
        <v>1</v>
      </c>
      <c r="EQ313" s="237">
        <v>42</v>
      </c>
      <c r="ER313" s="237" t="s">
        <v>705</v>
      </c>
      <c r="ES313" s="237" t="e">
        <v>#DIV/0!</v>
      </c>
      <c r="ET313" s="237">
        <v>10.32917505030181</v>
      </c>
      <c r="EU313" s="661">
        <v>1</v>
      </c>
      <c r="EV313" s="661">
        <v>1</v>
      </c>
      <c r="EW313" s="661">
        <v>4</v>
      </c>
      <c r="EX313" s="661">
        <v>6</v>
      </c>
      <c r="EY313" s="660">
        <v>0.18497368421052635</v>
      </c>
      <c r="EZ313" s="256">
        <v>18.324085929719732</v>
      </c>
      <c r="FA313" s="247">
        <v>0.24390243902439024</v>
      </c>
      <c r="FB313" s="208">
        <v>4</v>
      </c>
      <c r="FC313" s="208">
        <v>6</v>
      </c>
      <c r="FD313" s="208">
        <v>2</v>
      </c>
      <c r="FE313" s="239">
        <v>0.87804878048780488</v>
      </c>
      <c r="FF313" s="208"/>
      <c r="FG313" s="241">
        <v>0</v>
      </c>
      <c r="FH313" s="209">
        <v>0</v>
      </c>
      <c r="FI313" s="237" t="s">
        <v>678</v>
      </c>
      <c r="FJ313" s="208">
        <v>34.799999999999997</v>
      </c>
      <c r="FK313" s="208">
        <v>23.65</v>
      </c>
      <c r="FL313" s="217">
        <v>65.5</v>
      </c>
      <c r="FM313" s="208">
        <v>3.4</v>
      </c>
      <c r="FN313" s="208" t="s">
        <v>1745</v>
      </c>
      <c r="FP313" s="247" t="s">
        <v>693</v>
      </c>
      <c r="FU313" s="208">
        <v>23</v>
      </c>
      <c r="FV313" s="208">
        <v>10.8</v>
      </c>
      <c r="FW313" s="237">
        <v>83.6</v>
      </c>
      <c r="FX313" s="237">
        <v>72.599999999999994</v>
      </c>
      <c r="FY313" s="208">
        <v>40.26</v>
      </c>
      <c r="FZ313" s="208">
        <v>54.5</v>
      </c>
      <c r="GA313" s="208">
        <v>47.3</v>
      </c>
      <c r="GB313" s="208">
        <v>47.9</v>
      </c>
      <c r="GC313" s="208">
        <v>0.63</v>
      </c>
      <c r="GD313" s="208">
        <v>70.5</v>
      </c>
      <c r="GE313" s="237">
        <v>96.99</v>
      </c>
      <c r="GF313" s="237">
        <v>99.5</v>
      </c>
      <c r="GG313" s="237">
        <v>2.29</v>
      </c>
      <c r="GH313" s="237">
        <v>22.9</v>
      </c>
      <c r="GJ313" s="947">
        <v>89</v>
      </c>
      <c r="GK313" s="320">
        <v>4.0000000000000001E-3</v>
      </c>
      <c r="GL313" s="320">
        <v>0.20399999999999999</v>
      </c>
      <c r="GM313" s="320">
        <v>0.08</v>
      </c>
      <c r="GN313" s="320">
        <v>0.71199999999999997</v>
      </c>
      <c r="GO313" s="662">
        <v>8902</v>
      </c>
      <c r="GP313" s="663" t="str">
        <f>VLOOKUP(GS313,'BD Comarcal'!$A$6:$AV$17,48,FALSE)</f>
        <v>41</v>
      </c>
      <c r="GQ313" s="564">
        <v>34</v>
      </c>
      <c r="GR313" s="256">
        <f t="shared" si="4"/>
        <v>0</v>
      </c>
      <c r="GS313" s="237" t="s">
        <v>24</v>
      </c>
    </row>
    <row r="314" spans="1:201" s="237" customFormat="1" ht="17.25" customHeight="1">
      <c r="A314" s="236" t="s">
        <v>1746</v>
      </c>
      <c r="C314" s="238"/>
      <c r="D314" s="238">
        <v>1230</v>
      </c>
      <c r="E314" s="238">
        <v>938</v>
      </c>
      <c r="F314" s="239">
        <v>0.76260162601626014</v>
      </c>
      <c r="G314" s="238">
        <v>785</v>
      </c>
      <c r="H314" s="240">
        <v>7.3263207083742703</v>
      </c>
      <c r="I314" s="239">
        <v>7.810576448160203E-3</v>
      </c>
      <c r="J314" s="238">
        <v>5</v>
      </c>
      <c r="K314" s="238">
        <v>60</v>
      </c>
      <c r="L314" s="238">
        <v>0</v>
      </c>
      <c r="M314" s="241">
        <v>0</v>
      </c>
      <c r="N314" s="238">
        <v>0</v>
      </c>
      <c r="O314" s="239">
        <v>0</v>
      </c>
      <c r="P314" s="237">
        <v>3</v>
      </c>
      <c r="Q314" s="237">
        <v>0</v>
      </c>
      <c r="R314" s="239">
        <v>0</v>
      </c>
      <c r="S314" s="238">
        <v>32</v>
      </c>
      <c r="T314" s="436">
        <v>0</v>
      </c>
      <c r="U314" s="436">
        <v>26</v>
      </c>
      <c r="V314" s="436">
        <v>0</v>
      </c>
      <c r="W314" s="436">
        <v>26</v>
      </c>
      <c r="X314" s="238">
        <v>251</v>
      </c>
      <c r="Y314" s="237">
        <v>0.251</v>
      </c>
      <c r="Z314" s="238">
        <v>4339</v>
      </c>
      <c r="AA314" s="238">
        <v>17928</v>
      </c>
      <c r="AB314" s="238">
        <v>109.54</v>
      </c>
      <c r="AC314" s="238">
        <v>0</v>
      </c>
      <c r="AD314" s="238">
        <v>676380.88</v>
      </c>
      <c r="AE314" s="238">
        <v>122471.34000000003</v>
      </c>
      <c r="AF314" s="238">
        <v>326570.94</v>
      </c>
      <c r="AG314" s="238">
        <v>48051.29</v>
      </c>
      <c r="AH314" s="239">
        <v>0.1471389034186569</v>
      </c>
      <c r="AI314" s="247">
        <v>13.293502999999999</v>
      </c>
      <c r="AJ314" s="242">
        <v>0.21929899999999999</v>
      </c>
      <c r="AK314" s="242">
        <v>1.782918699186992E-2</v>
      </c>
      <c r="AL314" s="242" t="s">
        <v>678</v>
      </c>
      <c r="AM314" s="242" t="s">
        <v>678</v>
      </c>
      <c r="AN314" s="242">
        <v>4467.3599999999997</v>
      </c>
      <c r="AO314" s="238">
        <v>1668.03</v>
      </c>
      <c r="AP314" s="243">
        <v>4</v>
      </c>
      <c r="AQ314" s="238"/>
      <c r="AR314" s="238">
        <v>1868.8680192378704</v>
      </c>
      <c r="AS314" s="238">
        <v>1948.0533270524404</v>
      </c>
      <c r="AT314" s="238">
        <v>13223.666666666666</v>
      </c>
      <c r="AU314" s="238">
        <v>332.43673902094372</v>
      </c>
      <c r="AV314" s="237">
        <v>1</v>
      </c>
      <c r="AW314" s="237">
        <v>0</v>
      </c>
      <c r="AX314" s="237">
        <v>1</v>
      </c>
      <c r="AY314" s="244" t="s">
        <v>726</v>
      </c>
      <c r="AZ314" s="244" t="s">
        <v>682</v>
      </c>
      <c r="BA314" s="237">
        <v>0</v>
      </c>
      <c r="BB314" s="245" t="s">
        <v>808</v>
      </c>
      <c r="BC314" s="215" t="s">
        <v>809</v>
      </c>
      <c r="BE314" s="237">
        <v>3</v>
      </c>
      <c r="BF314" s="237">
        <v>17</v>
      </c>
      <c r="BG314" s="246" t="s">
        <v>720</v>
      </c>
      <c r="BI314" s="239">
        <v>0.48770491803278687</v>
      </c>
      <c r="BJ314" s="239">
        <v>9.8360655737704916E-2</v>
      </c>
      <c r="BK314" s="239">
        <v>0.40573770491803279</v>
      </c>
      <c r="BL314" s="239">
        <v>8.1967213114754103E-3</v>
      </c>
      <c r="BM314" s="247">
        <v>2.0655737704918034</v>
      </c>
      <c r="BN314" s="248">
        <v>0</v>
      </c>
      <c r="BO314" s="248">
        <v>0</v>
      </c>
      <c r="BP314" s="237">
        <v>0</v>
      </c>
      <c r="BQ314" s="237">
        <v>0</v>
      </c>
      <c r="BR314" s="248">
        <v>0</v>
      </c>
      <c r="BS314" s="237">
        <v>23.5</v>
      </c>
      <c r="BT314" s="237" t="s">
        <v>777</v>
      </c>
      <c r="BU314" s="249" t="s">
        <v>678</v>
      </c>
      <c r="BV314" s="249" t="s">
        <v>678</v>
      </c>
      <c r="BW314" s="249" t="s">
        <v>678</v>
      </c>
      <c r="BX314" s="249" t="s">
        <v>678</v>
      </c>
      <c r="BY314" s="249" t="s">
        <v>678</v>
      </c>
      <c r="BZ314" s="249" t="s">
        <v>678</v>
      </c>
      <c r="CA314" s="249" t="s">
        <v>678</v>
      </c>
      <c r="CB314" s="249" t="s">
        <v>678</v>
      </c>
      <c r="CC314" s="250" t="s">
        <v>678</v>
      </c>
      <c r="CD314" s="242" t="s">
        <v>678</v>
      </c>
      <c r="CE314" s="252" t="s">
        <v>678</v>
      </c>
      <c r="CF314" s="238">
        <v>258</v>
      </c>
      <c r="CG314" s="238">
        <v>11.2</v>
      </c>
      <c r="CH314" s="238">
        <v>4.5161290322580649</v>
      </c>
      <c r="CI314" s="216" t="s">
        <v>722</v>
      </c>
      <c r="CJ314" s="237">
        <v>1</v>
      </c>
      <c r="CK314" s="253">
        <v>12.4</v>
      </c>
      <c r="CL314" s="253">
        <v>0</v>
      </c>
      <c r="CM314" s="254">
        <v>0</v>
      </c>
      <c r="CN314" s="237" t="s">
        <v>84</v>
      </c>
      <c r="CO314" s="242">
        <v>595.70000000000005</v>
      </c>
      <c r="CP314" s="255">
        <v>0.48430894308943095</v>
      </c>
      <c r="CW314" s="261" t="s">
        <v>678</v>
      </c>
      <c r="CX314" s="261" t="s">
        <v>678</v>
      </c>
      <c r="CY314" s="261" t="s">
        <v>678</v>
      </c>
      <c r="CZ314" s="242"/>
      <c r="DA314" s="242"/>
      <c r="DB314" s="216" t="s">
        <v>681</v>
      </c>
      <c r="DC314" s="256"/>
      <c r="DD314" s="256">
        <v>0.8</v>
      </c>
      <c r="DE314" s="256">
        <v>-9</v>
      </c>
      <c r="DF314" s="256">
        <v>-0.3</v>
      </c>
      <c r="DG314" s="256">
        <v>-2.6</v>
      </c>
      <c r="DL314" s="237" t="s">
        <v>682</v>
      </c>
      <c r="DP314" s="258" t="s">
        <v>682</v>
      </c>
      <c r="DQ314" s="258"/>
      <c r="DR314" s="258"/>
      <c r="DS314" s="258"/>
      <c r="DT314" s="258"/>
      <c r="DU314" s="237">
        <v>0</v>
      </c>
      <c r="DX314" s="247"/>
      <c r="DY314" s="247">
        <v>0</v>
      </c>
      <c r="EA314" s="237">
        <v>0</v>
      </c>
      <c r="ED314" s="237" t="s">
        <v>723</v>
      </c>
      <c r="EE314" s="208">
        <v>4</v>
      </c>
      <c r="EF314" s="237" t="s">
        <v>702</v>
      </c>
      <c r="EG314" s="216" t="s">
        <v>691</v>
      </c>
      <c r="EH314" s="246" t="s">
        <v>690</v>
      </c>
      <c r="EI314" s="216"/>
      <c r="EJ314" s="216" t="s">
        <v>529</v>
      </c>
      <c r="EK314" s="222" t="s">
        <v>682</v>
      </c>
      <c r="EL314" s="259">
        <v>1999</v>
      </c>
      <c r="EM314" s="263">
        <v>515</v>
      </c>
      <c r="EN314" s="260">
        <v>12998</v>
      </c>
      <c r="EO314" s="260">
        <v>532</v>
      </c>
      <c r="ER314" s="237" t="s">
        <v>705</v>
      </c>
      <c r="ES314" s="237" t="e">
        <v>#DIV/0!</v>
      </c>
      <c r="ET314" s="237">
        <v>1.033009708737864</v>
      </c>
      <c r="EU314" s="661">
        <v>10</v>
      </c>
      <c r="EV314" s="661" t="s">
        <v>678</v>
      </c>
      <c r="EW314" s="661">
        <v>0</v>
      </c>
      <c r="EX314" s="661">
        <v>1</v>
      </c>
      <c r="EY314" s="660">
        <v>1.0081300813008131E-2</v>
      </c>
      <c r="EZ314" s="256">
        <v>20</v>
      </c>
      <c r="FA314" s="247">
        <v>0</v>
      </c>
      <c r="FB314" s="208">
        <v>1</v>
      </c>
      <c r="FC314" s="208">
        <v>3</v>
      </c>
      <c r="FD314" s="208">
        <v>2</v>
      </c>
      <c r="FE314" s="239">
        <v>0.83688699360341157</v>
      </c>
      <c r="FF314" s="208">
        <v>1</v>
      </c>
      <c r="FG314" s="241">
        <v>0</v>
      </c>
      <c r="FH314" s="209">
        <v>0</v>
      </c>
      <c r="FI314" s="237" t="s">
        <v>678</v>
      </c>
      <c r="FJ314" s="208">
        <v>51.6</v>
      </c>
      <c r="FK314" s="208">
        <v>48.58</v>
      </c>
      <c r="FL314" s="217">
        <v>89.9</v>
      </c>
      <c r="FM314" s="208">
        <v>21.19</v>
      </c>
      <c r="FN314" s="208" t="s">
        <v>1747</v>
      </c>
      <c r="FP314" s="247" t="s">
        <v>693</v>
      </c>
      <c r="FU314" s="208">
        <v>22</v>
      </c>
      <c r="FV314" s="208">
        <v>8.3000000000000007</v>
      </c>
      <c r="FW314" s="237">
        <v>90.57</v>
      </c>
      <c r="FX314" s="237">
        <v>84.2</v>
      </c>
      <c r="FY314" s="208">
        <v>108.14</v>
      </c>
      <c r="FZ314" s="208">
        <v>91.3</v>
      </c>
      <c r="GA314" s="208">
        <v>82.98</v>
      </c>
      <c r="GB314" s="208">
        <v>95.5</v>
      </c>
      <c r="GC314" s="208">
        <v>0.04</v>
      </c>
      <c r="GD314" s="208">
        <v>21.9</v>
      </c>
      <c r="GE314" s="237">
        <v>49.41</v>
      </c>
      <c r="GF314" s="237">
        <v>64.7</v>
      </c>
      <c r="GG314" s="237">
        <v>5.7</v>
      </c>
      <c r="GH314" s="237">
        <v>48.6</v>
      </c>
      <c r="GJ314" s="947"/>
      <c r="GO314" s="662">
        <v>8903</v>
      </c>
      <c r="GP314" s="663" t="str">
        <f>VLOOKUP(GS314,'BD Comarcal'!$A$6:$AV$17,48,FALSE)</f>
        <v>14</v>
      </c>
      <c r="GQ314" s="567">
        <v>0</v>
      </c>
      <c r="GR314" s="256">
        <f t="shared" si="4"/>
        <v>0</v>
      </c>
      <c r="GS314" s="237" t="s">
        <v>84</v>
      </c>
    </row>
    <row r="315" spans="1:201" s="237" customFormat="1" ht="17.25" customHeight="1">
      <c r="A315" s="236" t="s">
        <v>1748</v>
      </c>
      <c r="C315" s="238"/>
      <c r="D315" s="238">
        <v>1847</v>
      </c>
      <c r="E315" s="238">
        <v>0</v>
      </c>
      <c r="F315" s="239">
        <v>0</v>
      </c>
      <c r="G315" s="238">
        <v>0</v>
      </c>
      <c r="H315" s="240">
        <v>0</v>
      </c>
      <c r="I315" s="239" t="s">
        <v>1148</v>
      </c>
      <c r="J315" s="238">
        <v>9</v>
      </c>
      <c r="K315" s="238">
        <v>2</v>
      </c>
      <c r="L315" s="238" t="s">
        <v>678</v>
      </c>
      <c r="M315" s="241" t="s">
        <v>678</v>
      </c>
      <c r="N315" s="238" t="s">
        <v>678</v>
      </c>
      <c r="O315" s="239" t="s">
        <v>678</v>
      </c>
      <c r="P315" s="237" t="s">
        <v>678</v>
      </c>
      <c r="Q315" s="237" t="s">
        <v>678</v>
      </c>
      <c r="R315" s="239" t="s">
        <v>678</v>
      </c>
      <c r="S315" s="238" t="s">
        <v>678</v>
      </c>
      <c r="T315" s="436">
        <v>0</v>
      </c>
      <c r="U315" s="436">
        <v>0</v>
      </c>
      <c r="V315" s="436">
        <v>0</v>
      </c>
      <c r="W315" s="436">
        <v>0</v>
      </c>
      <c r="X315" s="238">
        <v>13482</v>
      </c>
      <c r="Y315" s="237">
        <v>0.18340000000000001</v>
      </c>
      <c r="Z315" s="238">
        <v>125129</v>
      </c>
      <c r="AA315" s="238">
        <v>9267</v>
      </c>
      <c r="AB315" s="238">
        <v>56.62</v>
      </c>
      <c r="AC315" s="238">
        <v>1957</v>
      </c>
      <c r="AD315" s="238">
        <v>12853009.350000001</v>
      </c>
      <c r="AE315" s="238">
        <v>902919.14000000246</v>
      </c>
      <c r="AF315" s="238">
        <v>12160378.199999997</v>
      </c>
      <c r="AG315" s="238">
        <v>342929.87</v>
      </c>
      <c r="AH315" s="239">
        <v>2.8200592478283288E-2</v>
      </c>
      <c r="AI315" s="247">
        <v>63.853585000000002</v>
      </c>
      <c r="AJ315" s="242">
        <v>18.345334000000001</v>
      </c>
      <c r="AK315" s="242">
        <v>0.9932503519220357</v>
      </c>
      <c r="AL315" s="242" t="s">
        <v>678</v>
      </c>
      <c r="AM315" s="242" t="s">
        <v>678</v>
      </c>
      <c r="AN315" s="242">
        <v>9336.26</v>
      </c>
      <c r="AO315" s="238">
        <v>309.95999999999998</v>
      </c>
      <c r="AP315" s="243">
        <v>2</v>
      </c>
      <c r="AQ315" s="238"/>
      <c r="AR315" s="238">
        <v>949.63259151748355</v>
      </c>
      <c r="AS315" s="238">
        <v>1163.1346049327951</v>
      </c>
      <c r="AT315" s="238">
        <v>555399.33333333337</v>
      </c>
      <c r="AU315" s="238">
        <v>202.56240797876342</v>
      </c>
      <c r="AV315" s="237">
        <v>0</v>
      </c>
      <c r="AW315" s="237">
        <v>0</v>
      </c>
      <c r="AX315" s="237">
        <v>0</v>
      </c>
      <c r="AY315" s="244" t="s">
        <v>695</v>
      </c>
      <c r="AZ315" s="244" t="s">
        <v>682</v>
      </c>
      <c r="BA315" s="237">
        <v>2013</v>
      </c>
      <c r="BB315" s="245" t="s">
        <v>678</v>
      </c>
      <c r="BC315" s="215" t="s">
        <v>678</v>
      </c>
      <c r="BE315" s="237">
        <v>39</v>
      </c>
      <c r="BF315" s="237">
        <v>37</v>
      </c>
      <c r="BG315" s="246" t="s">
        <v>676</v>
      </c>
      <c r="BI315" s="239">
        <v>0.93484515146386871</v>
      </c>
      <c r="BJ315" s="239">
        <v>8.4616686410560161E-4</v>
      </c>
      <c r="BK315" s="239">
        <v>4.806227788119817E-2</v>
      </c>
      <c r="BL315" s="239">
        <v>1.6246403790827552E-2</v>
      </c>
      <c r="BM315" s="247">
        <v>2.8542900660010155</v>
      </c>
      <c r="BN315" s="248">
        <v>0</v>
      </c>
      <c r="BO315" s="248">
        <v>1</v>
      </c>
      <c r="BP315" s="237">
        <v>0</v>
      </c>
      <c r="BQ315" s="237">
        <v>0</v>
      </c>
      <c r="BR315" s="248">
        <v>1</v>
      </c>
      <c r="BS315" s="237">
        <v>5</v>
      </c>
      <c r="BT315" s="237" t="s">
        <v>947</v>
      </c>
      <c r="BU315" s="249" t="s">
        <v>678</v>
      </c>
      <c r="BV315" s="249" t="s">
        <v>678</v>
      </c>
      <c r="BW315" s="249" t="s">
        <v>678</v>
      </c>
      <c r="BX315" s="249" t="s">
        <v>678</v>
      </c>
      <c r="BY315" s="249" t="s">
        <v>678</v>
      </c>
      <c r="BZ315" s="249" t="s">
        <v>678</v>
      </c>
      <c r="CA315" s="249" t="s">
        <v>678</v>
      </c>
      <c r="CB315" s="249" t="s">
        <v>678</v>
      </c>
      <c r="CC315" s="250" t="s">
        <v>678</v>
      </c>
      <c r="CD315" s="242" t="s">
        <v>678</v>
      </c>
      <c r="CE315" s="252" t="s">
        <v>678</v>
      </c>
      <c r="CF315" s="238">
        <v>5679</v>
      </c>
      <c r="CG315" s="238">
        <v>1694.8</v>
      </c>
      <c r="CH315" s="238">
        <v>12.525312245953735</v>
      </c>
      <c r="CI315" s="216" t="s">
        <v>679</v>
      </c>
      <c r="CJ315" s="237">
        <v>0</v>
      </c>
      <c r="CK315" s="253">
        <v>54.18</v>
      </c>
      <c r="CL315" s="253">
        <v>0</v>
      </c>
      <c r="CM315" s="254">
        <v>0</v>
      </c>
      <c r="CN315" s="237" t="s">
        <v>89</v>
      </c>
      <c r="CO315" s="242"/>
      <c r="CP315" s="255">
        <v>0</v>
      </c>
      <c r="CV315" s="237">
        <v>9</v>
      </c>
      <c r="CW315" s="194">
        <v>1.163</v>
      </c>
      <c r="CX315" s="194">
        <v>0.63500000000000001</v>
      </c>
      <c r="CY315" s="194">
        <v>2.4E-2</v>
      </c>
      <c r="DB315" s="216" t="s">
        <v>710</v>
      </c>
      <c r="DC315" s="195" t="s">
        <v>711</v>
      </c>
      <c r="DD315" s="256">
        <v>0.7</v>
      </c>
      <c r="DE315" s="256">
        <v>-6.5</v>
      </c>
      <c r="DF315" s="256">
        <v>0.7</v>
      </c>
      <c r="DG315" s="256">
        <v>-2.2000000000000002</v>
      </c>
      <c r="DL315" s="237" t="s">
        <v>682</v>
      </c>
      <c r="DP315" s="258" t="s">
        <v>682</v>
      </c>
      <c r="DQ315" s="258"/>
      <c r="DR315" s="258"/>
      <c r="DS315" s="258"/>
      <c r="DT315" s="258"/>
      <c r="DU315" s="237">
        <v>0</v>
      </c>
      <c r="DX315" s="247"/>
      <c r="DY315" s="247">
        <v>0</v>
      </c>
      <c r="EA315" s="237">
        <v>0</v>
      </c>
      <c r="ED315" s="237" t="s">
        <v>678</v>
      </c>
      <c r="EE315" s="208">
        <v>4</v>
      </c>
      <c r="EF315" s="237" t="s">
        <v>678</v>
      </c>
      <c r="EG315" s="216" t="s">
        <v>689</v>
      </c>
      <c r="EH315" s="246" t="s">
        <v>690</v>
      </c>
      <c r="EI315" s="216"/>
      <c r="EJ315" s="216" t="s">
        <v>806</v>
      </c>
      <c r="EK315" s="222" t="s">
        <v>682</v>
      </c>
      <c r="EL315" s="259">
        <v>2000</v>
      </c>
      <c r="EM315" s="260">
        <v>0</v>
      </c>
      <c r="EN315" s="260">
        <v>475331</v>
      </c>
      <c r="EO315" s="260">
        <v>140442</v>
      </c>
      <c r="ER315" s="237" t="s">
        <v>705</v>
      </c>
      <c r="ES315" s="237">
        <v>13531</v>
      </c>
      <c r="EU315" s="661">
        <v>3</v>
      </c>
      <c r="EV315" s="661">
        <v>6</v>
      </c>
      <c r="EW315" s="661" t="s">
        <v>678</v>
      </c>
      <c r="EX315" s="661">
        <v>8</v>
      </c>
      <c r="EY315" s="660">
        <v>2.9334055224688686E-2</v>
      </c>
      <c r="EZ315" s="256">
        <v>249.74160206718346</v>
      </c>
      <c r="FA315" s="247" t="s">
        <v>678</v>
      </c>
      <c r="FB315" s="208">
        <v>7</v>
      </c>
      <c r="FC315" s="208">
        <v>10</v>
      </c>
      <c r="FD315" s="208">
        <v>4</v>
      </c>
      <c r="FE315" s="239" t="s">
        <v>678</v>
      </c>
      <c r="FF315" s="208"/>
      <c r="FG315" s="241" t="s">
        <v>678</v>
      </c>
      <c r="FH315" s="209" t="s">
        <v>678</v>
      </c>
      <c r="FI315" s="237" t="s">
        <v>678</v>
      </c>
      <c r="FJ315" s="208" t="s">
        <v>678</v>
      </c>
      <c r="FK315" s="208" t="s">
        <v>678</v>
      </c>
      <c r="FL315" s="217" t="s">
        <v>678</v>
      </c>
      <c r="FM315" s="208" t="s">
        <v>678</v>
      </c>
      <c r="FN315" s="208" t="s">
        <v>678</v>
      </c>
      <c r="FP315" s="247" t="s">
        <v>693</v>
      </c>
      <c r="FU315" s="208" t="s">
        <v>678</v>
      </c>
      <c r="FV315" s="208" t="s">
        <v>678</v>
      </c>
      <c r="FW315" s="208" t="s">
        <v>678</v>
      </c>
      <c r="FX315" s="208" t="s">
        <v>678</v>
      </c>
      <c r="FY315" s="208" t="s">
        <v>678</v>
      </c>
      <c r="FZ315" s="208" t="s">
        <v>678</v>
      </c>
      <c r="GA315" s="208" t="s">
        <v>678</v>
      </c>
      <c r="GB315" s="208" t="s">
        <v>678</v>
      </c>
      <c r="GC315" s="208" t="s">
        <v>678</v>
      </c>
      <c r="GD315" s="208" t="s">
        <v>678</v>
      </c>
      <c r="GE315" s="237" t="s">
        <v>678</v>
      </c>
      <c r="GF315" s="237" t="s">
        <v>678</v>
      </c>
      <c r="GG315" s="237" t="s">
        <v>678</v>
      </c>
      <c r="GH315" s="237" t="s">
        <v>678</v>
      </c>
      <c r="GJ315" s="947">
        <v>76</v>
      </c>
      <c r="GK315" s="320">
        <v>0</v>
      </c>
      <c r="GL315" s="320">
        <v>2.1000000000000001E-2</v>
      </c>
      <c r="GM315" s="320">
        <v>6.6000000000000003E-2</v>
      </c>
      <c r="GN315" s="320">
        <v>0.91400000000000003</v>
      </c>
      <c r="GO315" s="662">
        <v>8904</v>
      </c>
      <c r="GP315" s="663" t="str">
        <f>VLOOKUP(GS315,'BD Comarcal'!$A$6:$AV$17,48,FALSE)</f>
        <v>40</v>
      </c>
      <c r="GQ315" s="567">
        <v>97</v>
      </c>
      <c r="GR315" s="256">
        <f t="shared" si="4"/>
        <v>0</v>
      </c>
      <c r="GS315" s="237" t="s">
        <v>89</v>
      </c>
    </row>
    <row r="316" spans="1:201" s="278" customFormat="1" ht="17.25" customHeight="1" thickBot="1">
      <c r="A316" s="277" t="s">
        <v>1749</v>
      </c>
      <c r="C316" s="279"/>
      <c r="D316" s="279">
        <v>537</v>
      </c>
      <c r="E316" s="279">
        <v>421</v>
      </c>
      <c r="F316" s="280">
        <v>0.78398510242085662</v>
      </c>
      <c r="G316" s="279">
        <v>329</v>
      </c>
      <c r="H316" s="281">
        <v>0</v>
      </c>
      <c r="I316" s="280">
        <v>0</v>
      </c>
      <c r="J316" s="279">
        <v>0</v>
      </c>
      <c r="K316" s="279">
        <v>0</v>
      </c>
      <c r="L316" s="279">
        <v>0</v>
      </c>
      <c r="M316" s="241">
        <v>0</v>
      </c>
      <c r="N316" s="279">
        <v>0</v>
      </c>
      <c r="O316" s="239">
        <v>0</v>
      </c>
      <c r="P316" s="278">
        <v>0</v>
      </c>
      <c r="Q316" s="278">
        <v>0</v>
      </c>
      <c r="R316" s="239">
        <v>0</v>
      </c>
      <c r="S316" s="279">
        <v>0</v>
      </c>
      <c r="T316" s="436">
        <v>0</v>
      </c>
      <c r="U316" s="436">
        <v>0</v>
      </c>
      <c r="V316" s="436">
        <v>0</v>
      </c>
      <c r="W316" s="436">
        <v>0</v>
      </c>
      <c r="X316" s="279">
        <v>3000</v>
      </c>
      <c r="Y316" s="278">
        <v>0.12989999999999999</v>
      </c>
      <c r="Z316" s="279">
        <v>51706</v>
      </c>
      <c r="AA316" s="279">
        <v>17433</v>
      </c>
      <c r="AB316" s="278">
        <v>106.52</v>
      </c>
      <c r="AC316" s="279">
        <v>1942</v>
      </c>
      <c r="AD316" s="279">
        <v>3217502.27</v>
      </c>
      <c r="AE316" s="279">
        <v>497309.96000000043</v>
      </c>
      <c r="AF316" s="279">
        <v>2889012.6199999996</v>
      </c>
      <c r="AG316" s="279">
        <v>16329.32</v>
      </c>
      <c r="AH316" s="280">
        <v>5.6522148387153819E-3</v>
      </c>
      <c r="AI316" s="282">
        <v>70.703871000000007</v>
      </c>
      <c r="AJ316" s="283">
        <v>17.726275000000001</v>
      </c>
      <c r="AK316" s="283">
        <v>3.3009823091247674</v>
      </c>
      <c r="AL316" s="283">
        <v>12.980798</v>
      </c>
      <c r="AM316" s="242">
        <v>2.4172808193668529</v>
      </c>
      <c r="AN316" s="279">
        <v>11254.14</v>
      </c>
      <c r="AO316" s="279">
        <v>2979.62</v>
      </c>
      <c r="AP316" s="284">
        <v>4</v>
      </c>
      <c r="AQ316" s="279"/>
      <c r="AR316" s="279">
        <v>1668.351736446275</v>
      </c>
      <c r="AS316" s="279">
        <v>1661.5437468280561</v>
      </c>
      <c r="AT316" s="279">
        <v>161071</v>
      </c>
      <c r="AU316" s="279">
        <v>283.76456324778775</v>
      </c>
      <c r="AV316" s="278">
        <v>1</v>
      </c>
      <c r="AW316" s="278">
        <v>1</v>
      </c>
      <c r="AX316" s="278">
        <v>1</v>
      </c>
      <c r="AY316" s="285" t="s">
        <v>673</v>
      </c>
      <c r="AZ316" s="285" t="s">
        <v>682</v>
      </c>
      <c r="BA316" s="278">
        <v>2011</v>
      </c>
      <c r="BB316" s="286" t="s">
        <v>826</v>
      </c>
      <c r="BC316" s="287" t="s">
        <v>827</v>
      </c>
      <c r="BE316" s="278">
        <v>125</v>
      </c>
      <c r="BF316" s="278">
        <v>102</v>
      </c>
      <c r="BG316" s="288" t="s">
        <v>676</v>
      </c>
      <c r="BI316" s="280">
        <v>0.23286965481710459</v>
      </c>
      <c r="BJ316" s="280">
        <v>0.19319938176197837</v>
      </c>
      <c r="BK316" s="280">
        <v>0.57032457496136013</v>
      </c>
      <c r="BL316" s="280">
        <v>3.6063884595569293E-3</v>
      </c>
      <c r="BM316" s="282">
        <v>1.6553323029366307</v>
      </c>
      <c r="BN316" s="289">
        <v>1</v>
      </c>
      <c r="BO316" s="289">
        <v>0</v>
      </c>
      <c r="BP316" s="278">
        <v>0</v>
      </c>
      <c r="BQ316" s="278">
        <v>0</v>
      </c>
      <c r="BR316" s="289">
        <v>1</v>
      </c>
      <c r="BS316" s="278">
        <v>10</v>
      </c>
      <c r="BT316" s="278" t="s">
        <v>1028</v>
      </c>
      <c r="BU316" s="290" t="s">
        <v>678</v>
      </c>
      <c r="BV316" s="290">
        <v>270</v>
      </c>
      <c r="BW316" s="290">
        <v>1540</v>
      </c>
      <c r="BX316" s="290">
        <v>540</v>
      </c>
      <c r="BY316" s="290" t="s">
        <v>678</v>
      </c>
      <c r="BZ316" s="290">
        <v>9.0270812437311942</v>
      </c>
      <c r="CA316" s="290">
        <v>51.487796723503848</v>
      </c>
      <c r="CB316" s="290">
        <v>18.054162487462388</v>
      </c>
      <c r="CC316" s="291" t="s">
        <v>678</v>
      </c>
      <c r="CD316" s="278" t="s">
        <v>678</v>
      </c>
      <c r="CE316" s="292" t="s">
        <v>678</v>
      </c>
      <c r="CF316" s="279">
        <v>1287</v>
      </c>
      <c r="CG316" s="279">
        <v>227.5</v>
      </c>
      <c r="CH316" s="279">
        <v>7.6061517886994316</v>
      </c>
      <c r="CI316" s="293" t="s">
        <v>700</v>
      </c>
      <c r="CJ316" s="278">
        <v>0</v>
      </c>
      <c r="CK316" s="294">
        <v>72.22</v>
      </c>
      <c r="CL316" s="294">
        <v>8.0212000000000003</v>
      </c>
      <c r="CM316" s="295">
        <v>1.4937057728119181E-2</v>
      </c>
      <c r="CN316" s="278" t="s">
        <v>90</v>
      </c>
      <c r="CO316" s="283"/>
      <c r="CP316" s="255">
        <v>0</v>
      </c>
      <c r="CV316" s="278">
        <v>1</v>
      </c>
      <c r="CW316" s="296" t="s">
        <v>678</v>
      </c>
      <c r="CX316" s="296" t="s">
        <v>678</v>
      </c>
      <c r="CY316" s="296" t="s">
        <v>678</v>
      </c>
      <c r="DB316" s="293" t="s">
        <v>1750</v>
      </c>
      <c r="DC316" s="199" t="s">
        <v>903</v>
      </c>
      <c r="DD316" s="297">
        <v>0.7</v>
      </c>
      <c r="DE316" s="297">
        <v>-6.5</v>
      </c>
      <c r="DF316" s="297">
        <v>0.7</v>
      </c>
      <c r="DG316" s="297">
        <v>-2.2000000000000002</v>
      </c>
      <c r="DH316" s="297">
        <v>1</v>
      </c>
      <c r="DI316" s="297">
        <v>2.64</v>
      </c>
      <c r="DJ316" s="297">
        <v>5.67</v>
      </c>
      <c r="DK316" s="297">
        <v>8.31</v>
      </c>
      <c r="DL316" s="237" t="s">
        <v>682</v>
      </c>
      <c r="DP316" s="278" t="s">
        <v>682</v>
      </c>
      <c r="DU316" s="278">
        <v>0</v>
      </c>
      <c r="DX316" s="282"/>
      <c r="DY316" s="282">
        <v>0</v>
      </c>
      <c r="EA316" s="278">
        <v>0</v>
      </c>
      <c r="ED316" s="278" t="s">
        <v>678</v>
      </c>
      <c r="EE316" s="208">
        <v>4</v>
      </c>
      <c r="EF316" s="278" t="s">
        <v>678</v>
      </c>
      <c r="EG316" s="293" t="s">
        <v>691</v>
      </c>
      <c r="EH316" s="246" t="s">
        <v>690</v>
      </c>
      <c r="EI316" s="293"/>
      <c r="EJ316" s="216" t="s">
        <v>529</v>
      </c>
      <c r="EK316" s="222" t="s">
        <v>682</v>
      </c>
      <c r="EL316" s="259">
        <v>2012</v>
      </c>
      <c r="EM316" s="260">
        <v>1200</v>
      </c>
      <c r="EN316" s="260">
        <v>134268</v>
      </c>
      <c r="EO316" s="260">
        <v>26901</v>
      </c>
      <c r="ER316" s="237" t="s">
        <v>705</v>
      </c>
      <c r="ES316" s="237">
        <v>2991</v>
      </c>
      <c r="ET316" s="237">
        <v>22.4175</v>
      </c>
      <c r="EU316" s="661">
        <v>3</v>
      </c>
      <c r="EV316" s="661" t="s">
        <v>678</v>
      </c>
      <c r="EW316" s="661" t="s">
        <v>678</v>
      </c>
      <c r="EX316" s="661" t="s">
        <v>678</v>
      </c>
      <c r="EY316" s="660">
        <v>0.134487895716946</v>
      </c>
      <c r="EZ316" s="256">
        <v>41.415120465245089</v>
      </c>
      <c r="FA316" s="247">
        <v>0.23752969121140141</v>
      </c>
      <c r="FB316" s="208" t="s">
        <v>678</v>
      </c>
      <c r="FC316" s="208" t="s">
        <v>678</v>
      </c>
      <c r="FD316" s="208">
        <v>7</v>
      </c>
      <c r="FE316" s="239">
        <v>0.78147268408551074</v>
      </c>
      <c r="FF316" s="298"/>
      <c r="FG316" s="241">
        <v>1.973871733966746E-2</v>
      </c>
      <c r="FH316" s="209">
        <v>0</v>
      </c>
      <c r="FI316" s="237" t="s">
        <v>678</v>
      </c>
      <c r="FJ316" s="208" t="s">
        <v>678</v>
      </c>
      <c r="FK316" s="208" t="s">
        <v>678</v>
      </c>
      <c r="FL316" s="217" t="s">
        <v>678</v>
      </c>
      <c r="FM316" s="208" t="s">
        <v>678</v>
      </c>
      <c r="FN316" s="208" t="s">
        <v>678</v>
      </c>
      <c r="FP316" s="247" t="s">
        <v>693</v>
      </c>
      <c r="FU316" s="208" t="s">
        <v>678</v>
      </c>
      <c r="FV316" s="208" t="s">
        <v>678</v>
      </c>
      <c r="FW316" s="208" t="s">
        <v>678</v>
      </c>
      <c r="FX316" s="208" t="s">
        <v>678</v>
      </c>
      <c r="FY316" s="208" t="s">
        <v>678</v>
      </c>
      <c r="FZ316" s="208" t="s">
        <v>678</v>
      </c>
      <c r="GA316" s="208" t="s">
        <v>678</v>
      </c>
      <c r="GB316" s="208" t="s">
        <v>678</v>
      </c>
      <c r="GC316" s="208" t="s">
        <v>678</v>
      </c>
      <c r="GD316" s="208" t="s">
        <v>678</v>
      </c>
      <c r="GE316" s="237" t="s">
        <v>678</v>
      </c>
      <c r="GF316" s="237" t="s">
        <v>678</v>
      </c>
      <c r="GG316" s="237" t="s">
        <v>678</v>
      </c>
      <c r="GH316" s="237" t="s">
        <v>678</v>
      </c>
      <c r="GJ316" s="948"/>
      <c r="GO316" s="662">
        <v>8905</v>
      </c>
      <c r="GP316" s="663" t="str">
        <f>VLOOKUP(GS316,'BD Comarcal'!$A$6:$AV$17,48,FALSE)</f>
        <v>11</v>
      </c>
      <c r="GQ316" s="567">
        <v>14</v>
      </c>
      <c r="GR316" s="256">
        <f t="shared" si="4"/>
        <v>1</v>
      </c>
      <c r="GS316" s="278" t="s">
        <v>90</v>
      </c>
    </row>
    <row r="317" spans="1:201" s="299" customFormat="1">
      <c r="A317" s="299" t="s">
        <v>11</v>
      </c>
      <c r="C317" s="300"/>
      <c r="F317" s="301"/>
      <c r="I317" s="301"/>
      <c r="O317" s="299">
        <v>4.0989504405879632E-2</v>
      </c>
      <c r="R317" s="299">
        <v>1.7152215030335968E-2</v>
      </c>
      <c r="W317" s="299">
        <v>604.86816720257229</v>
      </c>
      <c r="X317" s="238">
        <v>5542680</v>
      </c>
      <c r="Y317" s="302">
        <v>0.17982765273311896</v>
      </c>
      <c r="Z317" s="302">
        <v>290696.93247588427</v>
      </c>
      <c r="AA317" s="302">
        <v>15543.96463022508</v>
      </c>
      <c r="AB317" s="302">
        <v>94.974115755627054</v>
      </c>
      <c r="AC317" s="299">
        <v>9193.2861736334398</v>
      </c>
      <c r="AD317" s="299">
        <v>22610971.136774205</v>
      </c>
      <c r="AE317" s="299">
        <v>2057555.0110289387</v>
      </c>
      <c r="AF317" s="299">
        <v>20393834.060128596</v>
      </c>
      <c r="AG317" s="299">
        <v>2394105.4066237942</v>
      </c>
      <c r="AH317" s="303">
        <v>0.14413169993907568</v>
      </c>
      <c r="AI317" s="303">
        <v>242.89872596357614</v>
      </c>
      <c r="AJ317" s="303">
        <v>98.376256773026356</v>
      </c>
      <c r="AK317" s="303">
        <v>5.5956664792443975</v>
      </c>
      <c r="AL317" s="303">
        <v>22779.65909528048</v>
      </c>
      <c r="AM317" s="303">
        <v>849.15507621022277</v>
      </c>
      <c r="AN317" s="303">
        <v>38905.029514563095</v>
      </c>
      <c r="AO317" s="303">
        <v>6689.5695176848903</v>
      </c>
      <c r="AP317" s="303">
        <v>20.29581993569132</v>
      </c>
      <c r="AQ317" s="303">
        <v>1.2826086956521738</v>
      </c>
      <c r="AR317" s="303">
        <v>3235.5599526896067</v>
      </c>
      <c r="AS317" s="303">
        <v>3852.6509298772285</v>
      </c>
      <c r="AT317" s="303">
        <v>1208125.0342502701</v>
      </c>
      <c r="AU317" s="303">
        <v>219.73793956103978</v>
      </c>
      <c r="AV317" s="303">
        <v>0.909967845659164</v>
      </c>
      <c r="AW317" s="303">
        <v>0.49517684887459806</v>
      </c>
      <c r="AX317" s="303">
        <v>0.84887459807073951</v>
      </c>
      <c r="AY317" s="303"/>
      <c r="AZ317" s="303"/>
      <c r="BA317" s="303"/>
      <c r="BB317" s="303"/>
      <c r="BC317" s="304"/>
      <c r="BD317" s="303"/>
      <c r="BE317" s="303">
        <v>56.20257234726688</v>
      </c>
      <c r="BF317" s="303">
        <v>44.813504823151128</v>
      </c>
      <c r="BG317" s="304"/>
      <c r="BH317" s="303"/>
      <c r="BI317" s="303">
        <v>0.49422313648007243</v>
      </c>
      <c r="BJ317" s="303">
        <v>0.12041330731319157</v>
      </c>
      <c r="BK317" s="303">
        <v>0.36310783605547398</v>
      </c>
      <c r="BL317" s="303">
        <v>2.2255720151262277E-2</v>
      </c>
      <c r="BM317" s="303">
        <v>2.0866038601220716</v>
      </c>
      <c r="BN317" s="303"/>
      <c r="BO317" s="303"/>
      <c r="BP317" s="303"/>
      <c r="BQ317" s="303"/>
      <c r="BR317" s="303"/>
      <c r="BS317" s="303"/>
      <c r="BT317" s="303"/>
      <c r="BU317" s="303"/>
      <c r="BV317" s="303"/>
      <c r="BW317" s="303"/>
      <c r="BX317" s="303"/>
      <c r="BY317" s="303"/>
      <c r="BZ317" s="303"/>
      <c r="CA317" s="303"/>
      <c r="CB317" s="303"/>
      <c r="CC317" s="303">
        <v>97.807852356306086</v>
      </c>
      <c r="CD317" s="303">
        <v>-401.52066115702479</v>
      </c>
      <c r="CE317" s="303">
        <v>98.379157926519312</v>
      </c>
      <c r="CF317" s="303">
        <v>8385.3967741935485</v>
      </c>
      <c r="CG317" s="303">
        <v>1420.0019292604488</v>
      </c>
      <c r="CH317" s="303">
        <v>6.7852659069187951</v>
      </c>
      <c r="CI317" s="305"/>
      <c r="CM317" s="306">
        <v>5.4686527750340039E-2</v>
      </c>
      <c r="CP317" s="307">
        <v>0.1854234584310708</v>
      </c>
      <c r="CV317" s="299">
        <v>7.1088709677419351</v>
      </c>
      <c r="CW317" s="299">
        <v>1.2510000000000003</v>
      </c>
      <c r="DB317" s="305"/>
      <c r="DE317" s="308">
        <v>-8.435691318327974</v>
      </c>
      <c r="EE317" s="309"/>
      <c r="EG317" s="305"/>
      <c r="EH317" s="305"/>
      <c r="EI317" s="305"/>
      <c r="EK317" s="310"/>
      <c r="EL317" s="259"/>
      <c r="ET317" s="299">
        <v>111.85832051319541</v>
      </c>
      <c r="EU317" s="309"/>
      <c r="EV317" s="309"/>
      <c r="EW317" s="309"/>
      <c r="EX317" s="309"/>
      <c r="FA317" s="311"/>
      <c r="FB317" s="208"/>
      <c r="FC317" s="208"/>
      <c r="FF317" s="300"/>
      <c r="FJ317" s="300"/>
      <c r="FK317" s="300"/>
      <c r="FL317" s="312"/>
      <c r="FM317" s="300"/>
      <c r="FN317" s="300"/>
      <c r="FP317" s="299">
        <v>3.7029117874134108</v>
      </c>
      <c r="FU317" s="300">
        <v>39.669767441860465</v>
      </c>
      <c r="FV317" s="300">
        <v>50.075813953488371</v>
      </c>
      <c r="FW317" s="300">
        <v>65.86972093023256</v>
      </c>
      <c r="FX317" s="300">
        <v>52.6725581395349</v>
      </c>
      <c r="FY317" s="300">
        <v>45.240558139534883</v>
      </c>
      <c r="FZ317" s="300">
        <v>50.550697674418586</v>
      </c>
      <c r="GA317" s="300">
        <v>50.036883720930227</v>
      </c>
      <c r="GB317" s="300">
        <v>50.85209302325579</v>
      </c>
      <c r="GC317" s="300">
        <v>0.38502487562189042</v>
      </c>
      <c r="GD317" s="300">
        <v>48.721890547263691</v>
      </c>
      <c r="GE317" s="300">
        <v>42.600093896713616</v>
      </c>
      <c r="GF317" s="300">
        <v>50.258685446009402</v>
      </c>
      <c r="GG317" s="300">
        <v>7.7852112676056366</v>
      </c>
      <c r="GH317" s="300">
        <v>50.279342723004689</v>
      </c>
      <c r="GJ317" s="949"/>
      <c r="GO317" s="302"/>
      <c r="GR317" s="237">
        <f t="shared" si="4"/>
        <v>0</v>
      </c>
    </row>
    <row r="318" spans="1:201" s="299" customFormat="1">
      <c r="A318" s="299" t="s">
        <v>671</v>
      </c>
      <c r="C318" s="300"/>
      <c r="F318" s="301"/>
      <c r="I318" s="301"/>
      <c r="O318" s="299">
        <v>0</v>
      </c>
      <c r="R318" s="299">
        <v>0</v>
      </c>
      <c r="W318" s="299">
        <v>41</v>
      </c>
      <c r="X318" s="302"/>
      <c r="Y318" s="302">
        <v>0.1696</v>
      </c>
      <c r="Z318" s="302">
        <v>46139</v>
      </c>
      <c r="AA318" s="302">
        <v>15336</v>
      </c>
      <c r="AB318" s="302">
        <v>93.7</v>
      </c>
      <c r="AC318" s="299">
        <v>656</v>
      </c>
      <c r="AD318" s="299">
        <v>3618119.7149999999</v>
      </c>
      <c r="AE318" s="299">
        <v>374969.39999999991</v>
      </c>
      <c r="AF318" s="299">
        <v>3227847.9899999998</v>
      </c>
      <c r="AG318" s="299">
        <v>341936.34</v>
      </c>
      <c r="AH318" s="303">
        <v>9.9979081504960932E-2</v>
      </c>
      <c r="AI318" s="303">
        <v>115.60592349999999</v>
      </c>
      <c r="AJ318" s="303">
        <v>22.776918999999999</v>
      </c>
      <c r="AK318" s="303">
        <v>1.3444516164131097</v>
      </c>
      <c r="AL318" s="303">
        <v>101.1543475</v>
      </c>
      <c r="AM318" s="303">
        <v>5.2954756586537561</v>
      </c>
      <c r="AN318" s="303">
        <v>21523.34</v>
      </c>
      <c r="AO318" s="303">
        <v>3634.12</v>
      </c>
      <c r="AP318" s="303">
        <v>10</v>
      </c>
      <c r="AQ318" s="303">
        <v>1</v>
      </c>
      <c r="AR318" s="303">
        <v>2817.6065868419469</v>
      </c>
      <c r="AS318" s="303">
        <v>2809.2345718553529</v>
      </c>
      <c r="AT318" s="303">
        <v>246569.66666666666</v>
      </c>
      <c r="AU318" s="303">
        <v>194.89153725626329</v>
      </c>
      <c r="AV318" s="303">
        <v>1</v>
      </c>
      <c r="AW318" s="303">
        <v>0</v>
      </c>
      <c r="AX318" s="303">
        <v>1</v>
      </c>
      <c r="AY318" s="303"/>
      <c r="AZ318" s="303"/>
      <c r="BA318" s="303"/>
      <c r="BB318" s="303"/>
      <c r="BC318" s="304"/>
      <c r="BD318" s="303"/>
      <c r="BE318" s="303">
        <v>3</v>
      </c>
      <c r="BF318" s="303">
        <v>39</v>
      </c>
      <c r="BG318" s="304"/>
      <c r="BH318" s="303"/>
      <c r="BI318" s="303">
        <v>0.46069743861041307</v>
      </c>
      <c r="BJ318" s="303">
        <v>0.10820244328097731</v>
      </c>
      <c r="BK318" s="303">
        <v>0.38328912466843501</v>
      </c>
      <c r="BL318" s="303">
        <v>1.7341040462427744E-2</v>
      </c>
      <c r="BM318" s="303">
        <v>2.0309653916211294</v>
      </c>
      <c r="BN318" s="303"/>
      <c r="BO318" s="303"/>
      <c r="BP318" s="303"/>
      <c r="BQ318" s="303"/>
      <c r="BR318" s="303"/>
      <c r="BS318" s="303"/>
      <c r="BT318" s="303"/>
      <c r="BU318" s="303"/>
      <c r="BV318" s="303"/>
      <c r="BW318" s="303"/>
      <c r="BX318" s="303"/>
      <c r="BY318" s="303"/>
      <c r="BZ318" s="303"/>
      <c r="CA318" s="303"/>
      <c r="CB318" s="303"/>
      <c r="CC318" s="303">
        <v>97.944126867935793</v>
      </c>
      <c r="CD318" s="303">
        <v>-427</v>
      </c>
      <c r="CE318" s="303">
        <v>96.395219002182415</v>
      </c>
      <c r="CF318" s="303">
        <v>1631</v>
      </c>
      <c r="CG318" s="303">
        <v>227.5</v>
      </c>
      <c r="CH318" s="303">
        <v>6.8586387434554972</v>
      </c>
      <c r="CI318" s="305"/>
      <c r="CM318" s="306">
        <v>2.371459476913142E-2</v>
      </c>
      <c r="CP318" s="307">
        <v>5.5526552655265522E-2</v>
      </c>
      <c r="CV318" s="299">
        <v>4</v>
      </c>
      <c r="CW318" s="299">
        <v>1.1639999999999999</v>
      </c>
      <c r="DB318" s="305"/>
      <c r="DE318" s="299">
        <v>-9</v>
      </c>
      <c r="EE318" s="309"/>
      <c r="EG318" s="305"/>
      <c r="EH318" s="305"/>
      <c r="EI318" s="305"/>
      <c r="EK318" s="310"/>
      <c r="EL318" s="259"/>
      <c r="ET318" s="299">
        <v>21.463460317460317</v>
      </c>
      <c r="EU318" s="309"/>
      <c r="EV318" s="309"/>
      <c r="EW318" s="309"/>
      <c r="EX318" s="309"/>
      <c r="FA318" s="311"/>
      <c r="FB318" s="300"/>
      <c r="FC318" s="300"/>
      <c r="FF318" s="300"/>
      <c r="FJ318" s="300"/>
      <c r="FK318" s="300"/>
      <c r="FL318" s="312"/>
      <c r="FM318" s="300"/>
      <c r="FN318" s="300"/>
      <c r="FP318" s="299">
        <v>2.3540221759397744</v>
      </c>
      <c r="FU318" s="300">
        <v>39</v>
      </c>
      <c r="FV318" s="300">
        <v>51</v>
      </c>
      <c r="FW318" s="300">
        <v>74.38</v>
      </c>
      <c r="FX318" s="300">
        <v>59.4</v>
      </c>
      <c r="FY318" s="300">
        <v>39.340000000000003</v>
      </c>
      <c r="FZ318" s="300">
        <v>53.3</v>
      </c>
      <c r="GA318" s="300">
        <v>51.14</v>
      </c>
      <c r="GB318" s="300">
        <v>53.8</v>
      </c>
      <c r="GC318" s="300">
        <v>0.32</v>
      </c>
      <c r="GD318" s="300">
        <v>49.9</v>
      </c>
      <c r="GE318" s="300">
        <v>40.65</v>
      </c>
      <c r="GF318" s="300">
        <v>51.7</v>
      </c>
      <c r="GG318" s="300">
        <v>5.98</v>
      </c>
      <c r="GH318" s="300">
        <v>50.7</v>
      </c>
      <c r="GJ318" s="949"/>
      <c r="GO318" s="302"/>
      <c r="GR318" s="237">
        <f t="shared" si="4"/>
        <v>0</v>
      </c>
    </row>
    <row r="319" spans="1:201" ht="18">
      <c r="A319" s="207" t="s">
        <v>1751</v>
      </c>
      <c r="W319" s="207">
        <v>49.199999999999996</v>
      </c>
      <c r="Y319" s="313">
        <v>0.16184488745980707</v>
      </c>
      <c r="Z319" s="313"/>
      <c r="AK319" s="315">
        <v>1.4788967780544209</v>
      </c>
      <c r="AL319" s="315"/>
      <c r="AM319" s="315"/>
      <c r="AN319" s="315"/>
      <c r="AO319" s="315">
        <v>4360.9439999999995</v>
      </c>
      <c r="AP319" s="207">
        <v>11</v>
      </c>
      <c r="BM319" s="225">
        <v>2.1909340531281751</v>
      </c>
      <c r="BN319" s="225"/>
      <c r="CC319" s="207">
        <v>107.73853955472939</v>
      </c>
      <c r="CG319" s="315" t="s">
        <v>1752</v>
      </c>
      <c r="CH319" s="311"/>
      <c r="CM319" s="306">
        <v>2.8457513722957704E-2</v>
      </c>
      <c r="CW319" s="207">
        <v>1.2804</v>
      </c>
      <c r="DE319" s="207">
        <v>-10</v>
      </c>
      <c r="DF319" s="207">
        <v>-0.3</v>
      </c>
      <c r="DM319" s="316"/>
      <c r="EL319" s="259"/>
      <c r="ET319" s="299">
        <v>211.62785250378812</v>
      </c>
      <c r="GJ319" s="949"/>
      <c r="GK319" s="299"/>
      <c r="GL319" s="299"/>
      <c r="GM319" s="299"/>
      <c r="GN319" s="299"/>
      <c r="GR319" s="237">
        <f t="shared" si="4"/>
        <v>0</v>
      </c>
    </row>
    <row r="320" spans="1:201">
      <c r="A320" s="207" t="s">
        <v>1753</v>
      </c>
      <c r="W320" s="207">
        <v>32.799999999999997</v>
      </c>
      <c r="Y320" s="313">
        <v>0.19781041800643087</v>
      </c>
      <c r="Z320" s="313"/>
      <c r="AK320" s="299">
        <v>1.2100064547717988</v>
      </c>
      <c r="AL320" s="315"/>
      <c r="AM320" s="315"/>
      <c r="AN320" s="315"/>
      <c r="AO320" s="299">
        <v>2907.2959999999998</v>
      </c>
      <c r="AP320" s="207">
        <v>9</v>
      </c>
      <c r="AR320" s="207">
        <v>3303.4854429998259</v>
      </c>
      <c r="CC320" s="308">
        <v>9.7944126867935797</v>
      </c>
      <c r="CG320" s="315" t="s">
        <v>1754</v>
      </c>
      <c r="CH320" s="311"/>
      <c r="CM320" s="306">
        <v>1.8971675815305136E-2</v>
      </c>
      <c r="CW320" s="207">
        <v>1.3967999999999998</v>
      </c>
      <c r="DE320" s="207">
        <v>-6.5</v>
      </c>
      <c r="DF320" s="207">
        <v>0.7</v>
      </c>
      <c r="EA320" s="207">
        <v>2</v>
      </c>
      <c r="EL320" s="259"/>
      <c r="GR320" s="237">
        <f t="shared" si="4"/>
        <v>0</v>
      </c>
    </row>
    <row r="321" spans="1:200">
      <c r="AK321" s="315">
        <v>0.13444516164131098</v>
      </c>
      <c r="AL321" s="315"/>
      <c r="AM321" s="315"/>
      <c r="AN321" s="315"/>
      <c r="AO321" s="315"/>
      <c r="AR321" s="207">
        <v>2.9</v>
      </c>
      <c r="CC321" s="308">
        <v>88.149714181142215</v>
      </c>
      <c r="CG321" s="315" t="s">
        <v>1755</v>
      </c>
      <c r="CH321" s="311"/>
      <c r="EL321" s="259"/>
      <c r="GR321" s="237">
        <f t="shared" si="4"/>
        <v>0</v>
      </c>
    </row>
    <row r="322" spans="1:200">
      <c r="EL322" s="259"/>
      <c r="GJ322" s="949"/>
      <c r="GK322" s="299"/>
      <c r="GL322" s="299"/>
      <c r="GM322" s="299"/>
      <c r="GN322" s="299"/>
    </row>
    <row r="323" spans="1:200">
      <c r="EL323" s="259"/>
      <c r="GJ323" s="949"/>
      <c r="GK323" s="299"/>
      <c r="GL323" s="299"/>
      <c r="GM323" s="299"/>
      <c r="GN323" s="299"/>
    </row>
    <row r="324" spans="1:200">
      <c r="A324" s="207" t="s">
        <v>1756</v>
      </c>
      <c r="C324" s="208" t="s">
        <v>1757</v>
      </c>
      <c r="D324" s="207" t="s">
        <v>1757</v>
      </c>
      <c r="E324" s="207" t="s">
        <v>1757</v>
      </c>
      <c r="F324" s="209" t="s">
        <v>1757</v>
      </c>
      <c r="I324" s="209" t="s">
        <v>1757</v>
      </c>
      <c r="M324" s="207" t="s">
        <v>1757</v>
      </c>
      <c r="O324" s="207" t="s">
        <v>1757</v>
      </c>
      <c r="R324" s="207" t="s">
        <v>1757</v>
      </c>
      <c r="W324" s="207" t="s">
        <v>1757</v>
      </c>
      <c r="X324" s="207" t="s">
        <v>1757</v>
      </c>
      <c r="Y324" s="207" t="s">
        <v>1757</v>
      </c>
      <c r="AA324" s="207" t="s">
        <v>1757</v>
      </c>
      <c r="AB324" s="207" t="s">
        <v>1757</v>
      </c>
      <c r="AC324" s="314" t="s">
        <v>1757</v>
      </c>
      <c r="AD324" s="314" t="s">
        <v>1757</v>
      </c>
      <c r="AE324" s="314" t="s">
        <v>1757</v>
      </c>
      <c r="AH324" s="207" t="s">
        <v>1757</v>
      </c>
      <c r="AJ324" s="207" t="s">
        <v>1757</v>
      </c>
      <c r="AK324" s="207" t="s">
        <v>1757</v>
      </c>
      <c r="AM324" s="207" t="s">
        <v>1757</v>
      </c>
      <c r="AO324" s="207" t="s">
        <v>1757</v>
      </c>
      <c r="AP324" s="207" t="s">
        <v>1757</v>
      </c>
      <c r="AQ324" s="207" t="s">
        <v>1757</v>
      </c>
      <c r="AR324" s="207" t="s">
        <v>1757</v>
      </c>
      <c r="AT324" s="207" t="s">
        <v>1757</v>
      </c>
      <c r="AU324" s="207" t="s">
        <v>1757</v>
      </c>
      <c r="AV324" s="207" t="s">
        <v>1757</v>
      </c>
      <c r="AW324" s="207" t="s">
        <v>1757</v>
      </c>
      <c r="AX324" s="207" t="s">
        <v>1757</v>
      </c>
      <c r="AY324" s="213" t="s">
        <v>1757</v>
      </c>
      <c r="AZ324" s="213" t="s">
        <v>1757</v>
      </c>
      <c r="BA324" s="208" t="s">
        <v>1757</v>
      </c>
      <c r="BD324" s="214" t="s">
        <v>1757</v>
      </c>
      <c r="BE324" s="207" t="s">
        <v>1757</v>
      </c>
      <c r="BF324" s="207" t="s">
        <v>1757</v>
      </c>
      <c r="BI324" s="209" t="s">
        <v>1757</v>
      </c>
      <c r="BJ324" s="209" t="s">
        <v>1757</v>
      </c>
      <c r="BK324" s="209" t="s">
        <v>1757</v>
      </c>
      <c r="BL324" s="209" t="s">
        <v>1757</v>
      </c>
      <c r="BN324" s="217" t="s">
        <v>1757</v>
      </c>
      <c r="BO324" s="217" t="s">
        <v>1757</v>
      </c>
      <c r="BP324" s="217" t="s">
        <v>1757</v>
      </c>
      <c r="BQ324" s="217" t="s">
        <v>1757</v>
      </c>
      <c r="BY324" s="207" t="s">
        <v>1757</v>
      </c>
      <c r="BZ324" s="207" t="s">
        <v>1757</v>
      </c>
      <c r="CA324" s="207" t="s">
        <v>1757</v>
      </c>
      <c r="CB324" s="207" t="s">
        <v>1757</v>
      </c>
      <c r="CD324" s="207" t="s">
        <v>1757</v>
      </c>
      <c r="CE324" s="207" t="s">
        <v>1757</v>
      </c>
      <c r="CH324" s="207" t="s">
        <v>1757</v>
      </c>
      <c r="CI324" s="216" t="s">
        <v>1757</v>
      </c>
      <c r="CM324" s="207" t="s">
        <v>1757</v>
      </c>
      <c r="CP324" s="207" t="s">
        <v>1757</v>
      </c>
      <c r="CV324" s="207" t="s">
        <v>1757</v>
      </c>
      <c r="CW324" s="207" t="s">
        <v>1757</v>
      </c>
      <c r="CZ324" s="207" t="s">
        <v>1757</v>
      </c>
      <c r="DB324" s="216" t="s">
        <v>1757</v>
      </c>
      <c r="DD324" s="207" t="s">
        <v>1757</v>
      </c>
      <c r="DE324" s="207" t="s">
        <v>1757</v>
      </c>
      <c r="DF324" s="207" t="s">
        <v>1757</v>
      </c>
      <c r="DG324" s="207" t="s">
        <v>1757</v>
      </c>
      <c r="DH324" s="207" t="s">
        <v>1757</v>
      </c>
      <c r="DL324" s="207" t="s">
        <v>1757</v>
      </c>
      <c r="DO324" s="207" t="s">
        <v>1757</v>
      </c>
      <c r="DP324" s="207" t="s">
        <v>1757</v>
      </c>
      <c r="DU324" s="207" t="s">
        <v>1757</v>
      </c>
      <c r="DY324" s="207" t="s">
        <v>1757</v>
      </c>
      <c r="EA324" s="207" t="s">
        <v>1757</v>
      </c>
      <c r="EH324" s="216" t="s">
        <v>1757</v>
      </c>
      <c r="EJ324" s="207" t="s">
        <v>1757</v>
      </c>
      <c r="EK324" s="222" t="s">
        <v>1757</v>
      </c>
      <c r="EL324" s="275" t="s">
        <v>1757</v>
      </c>
      <c r="EP324" s="207" t="s">
        <v>1757</v>
      </c>
    </row>
    <row r="325" spans="1:200">
      <c r="EL325" s="259"/>
    </row>
    <row r="326" spans="1:200">
      <c r="EL326" s="259"/>
    </row>
    <row r="327" spans="1:200">
      <c r="EL327" s="259"/>
    </row>
    <row r="328" spans="1:200">
      <c r="EL328" s="259"/>
    </row>
    <row r="329" spans="1:200">
      <c r="EL329" s="259"/>
    </row>
    <row r="330" spans="1:200">
      <c r="EL330" s="259"/>
    </row>
    <row r="331" spans="1:200">
      <c r="EL331" s="259"/>
    </row>
    <row r="332" spans="1:200">
      <c r="EL332" s="259"/>
    </row>
    <row r="333" spans="1:200">
      <c r="EL333" s="259"/>
    </row>
    <row r="334" spans="1:200">
      <c r="EL334" s="259"/>
    </row>
    <row r="335" spans="1:200">
      <c r="EL335" s="259"/>
    </row>
    <row r="336" spans="1:200">
      <c r="EL336" s="259"/>
    </row>
    <row r="337" spans="142:142">
      <c r="EL337" s="259"/>
    </row>
    <row r="338" spans="142:142">
      <c r="EL338" s="259"/>
    </row>
    <row r="339" spans="142:142">
      <c r="EL339" s="259"/>
    </row>
    <row r="340" spans="142:142">
      <c r="EL340" s="259"/>
    </row>
    <row r="341" spans="142:142">
      <c r="EL341" s="259"/>
    </row>
    <row r="342" spans="142:142">
      <c r="EL342" s="259"/>
    </row>
    <row r="343" spans="142:142">
      <c r="EL343" s="259"/>
    </row>
    <row r="344" spans="142:142">
      <c r="EL344" s="259"/>
    </row>
    <row r="345" spans="142:142">
      <c r="EL345" s="259"/>
    </row>
    <row r="346" spans="142:142">
      <c r="EL346" s="259"/>
    </row>
    <row r="347" spans="142:142">
      <c r="EL347" s="259"/>
    </row>
    <row r="348" spans="142:142">
      <c r="EL348" s="259"/>
    </row>
    <row r="349" spans="142:142">
      <c r="EL349" s="259"/>
    </row>
    <row r="350" spans="142:142">
      <c r="EL350" s="259"/>
    </row>
    <row r="351" spans="142:142">
      <c r="EL351" s="259"/>
    </row>
    <row r="352" spans="142:142">
      <c r="EL352" s="259"/>
    </row>
    <row r="353" spans="142:142">
      <c r="EL353" s="259"/>
    </row>
    <row r="354" spans="142:142">
      <c r="EL354" s="259"/>
    </row>
    <row r="355" spans="142:142">
      <c r="EL355" s="259"/>
    </row>
    <row r="356" spans="142:142">
      <c r="EL356" s="259"/>
    </row>
    <row r="357" spans="142:142">
      <c r="EL357" s="259"/>
    </row>
    <row r="358" spans="142:142">
      <c r="EL358" s="259"/>
    </row>
    <row r="359" spans="142:142">
      <c r="EL359" s="259"/>
    </row>
    <row r="360" spans="142:142">
      <c r="EL360" s="259"/>
    </row>
    <row r="361" spans="142:142">
      <c r="EL361" s="259"/>
    </row>
    <row r="362" spans="142:142">
      <c r="EL362" s="259"/>
    </row>
    <row r="363" spans="142:142">
      <c r="EL363" s="259"/>
    </row>
    <row r="364" spans="142:142">
      <c r="EL364" s="259"/>
    </row>
    <row r="365" spans="142:142">
      <c r="EL365" s="259"/>
    </row>
    <row r="366" spans="142:142">
      <c r="EL366" s="259"/>
    </row>
    <row r="367" spans="142:142">
      <c r="EL367" s="259"/>
    </row>
    <row r="368" spans="142:142">
      <c r="EL368" s="259"/>
    </row>
    <row r="369" spans="142:142">
      <c r="EL369" s="259"/>
    </row>
    <row r="370" spans="142:142">
      <c r="EL370" s="259"/>
    </row>
    <row r="371" spans="142:142">
      <c r="EL371" s="259"/>
    </row>
    <row r="372" spans="142:142">
      <c r="EL372" s="259"/>
    </row>
    <row r="373" spans="142:142">
      <c r="EL373" s="259"/>
    </row>
    <row r="374" spans="142:142">
      <c r="EL374" s="259"/>
    </row>
    <row r="375" spans="142:142">
      <c r="EL375" s="259"/>
    </row>
    <row r="376" spans="142:142">
      <c r="EL376" s="259"/>
    </row>
    <row r="377" spans="142:142">
      <c r="EL377" s="259"/>
    </row>
    <row r="378" spans="142:142">
      <c r="EL378" s="259"/>
    </row>
    <row r="379" spans="142:142">
      <c r="EL379" s="259"/>
    </row>
    <row r="380" spans="142:142">
      <c r="EL380" s="259"/>
    </row>
    <row r="381" spans="142:142">
      <c r="EL381" s="259"/>
    </row>
    <row r="382" spans="142:142">
      <c r="EL382" s="259"/>
    </row>
    <row r="383" spans="142:142">
      <c r="EL383" s="259"/>
    </row>
    <row r="384" spans="142:142">
      <c r="EL384" s="259"/>
    </row>
    <row r="385" spans="142:142">
      <c r="EL385" s="259"/>
    </row>
    <row r="386" spans="142:142">
      <c r="EL386" s="259"/>
    </row>
    <row r="387" spans="142:142">
      <c r="EL387" s="259"/>
    </row>
    <row r="388" spans="142:142">
      <c r="EL388" s="259"/>
    </row>
    <row r="389" spans="142:142">
      <c r="EL389" s="259"/>
    </row>
    <row r="390" spans="142:142">
      <c r="EL390" s="259"/>
    </row>
    <row r="391" spans="142:142">
      <c r="EL391" s="259"/>
    </row>
    <row r="392" spans="142:142">
      <c r="EL392" s="259"/>
    </row>
    <row r="393" spans="142:142">
      <c r="EL393" s="259"/>
    </row>
    <row r="394" spans="142:142">
      <c r="EL394" s="259"/>
    </row>
    <row r="395" spans="142:142">
      <c r="EL395" s="259"/>
    </row>
    <row r="396" spans="142:142">
      <c r="EL396" s="259"/>
    </row>
    <row r="397" spans="142:142">
      <c r="EL397" s="259"/>
    </row>
    <row r="398" spans="142:142">
      <c r="EL398" s="259"/>
    </row>
    <row r="399" spans="142:142">
      <c r="EL399" s="259"/>
    </row>
    <row r="400" spans="142:142">
      <c r="EL400" s="259"/>
    </row>
    <row r="401" spans="142:142">
      <c r="EL401" s="259"/>
    </row>
    <row r="402" spans="142:142">
      <c r="EL402" s="259"/>
    </row>
    <row r="403" spans="142:142">
      <c r="EL403" s="259"/>
    </row>
    <row r="404" spans="142:142">
      <c r="EL404" s="259"/>
    </row>
    <row r="405" spans="142:142">
      <c r="EL405" s="259"/>
    </row>
    <row r="406" spans="142:142">
      <c r="EL406" s="259"/>
    </row>
    <row r="407" spans="142:142">
      <c r="EL407" s="259"/>
    </row>
    <row r="408" spans="142:142">
      <c r="EL408" s="259"/>
    </row>
    <row r="409" spans="142:142">
      <c r="EL409" s="259"/>
    </row>
    <row r="410" spans="142:142">
      <c r="EL410" s="259"/>
    </row>
    <row r="411" spans="142:142">
      <c r="EL411" s="259"/>
    </row>
    <row r="412" spans="142:142">
      <c r="EL412" s="259"/>
    </row>
    <row r="413" spans="142:142">
      <c r="EL413" s="259"/>
    </row>
    <row r="414" spans="142:142">
      <c r="EL414" s="259"/>
    </row>
    <row r="415" spans="142:142">
      <c r="EL415" s="259"/>
    </row>
    <row r="416" spans="142:142">
      <c r="EL416" s="259"/>
    </row>
    <row r="417" spans="142:142">
      <c r="EL417" s="259"/>
    </row>
    <row r="418" spans="142:142">
      <c r="EL418" s="259"/>
    </row>
    <row r="419" spans="142:142">
      <c r="EL419" s="259"/>
    </row>
    <row r="420" spans="142:142">
      <c r="EL420" s="259"/>
    </row>
    <row r="421" spans="142:142">
      <c r="EL421" s="259"/>
    </row>
    <row r="422" spans="142:142">
      <c r="EL422" s="259"/>
    </row>
    <row r="423" spans="142:142">
      <c r="EL423" s="259"/>
    </row>
    <row r="424" spans="142:142">
      <c r="EL424" s="259"/>
    </row>
    <row r="425" spans="142:142">
      <c r="EL425" s="259"/>
    </row>
    <row r="426" spans="142:142">
      <c r="EL426" s="259"/>
    </row>
    <row r="427" spans="142:142">
      <c r="EL427" s="259"/>
    </row>
    <row r="428" spans="142:142">
      <c r="EL428" s="259"/>
    </row>
    <row r="429" spans="142:142">
      <c r="EL429" s="259"/>
    </row>
    <row r="430" spans="142:142">
      <c r="EL430" s="259"/>
    </row>
    <row r="431" spans="142:142">
      <c r="EL431" s="259"/>
    </row>
    <row r="432" spans="142:142">
      <c r="EL432" s="259"/>
    </row>
    <row r="433" spans="142:142">
      <c r="EL433" s="259"/>
    </row>
    <row r="434" spans="142:142">
      <c r="EL434" s="259"/>
    </row>
    <row r="435" spans="142:142">
      <c r="EL435" s="259"/>
    </row>
    <row r="436" spans="142:142">
      <c r="EL436" s="259"/>
    </row>
    <row r="437" spans="142:142">
      <c r="EL437" s="259"/>
    </row>
    <row r="438" spans="142:142">
      <c r="EL438" s="259"/>
    </row>
    <row r="439" spans="142:142">
      <c r="EL439" s="259"/>
    </row>
    <row r="440" spans="142:142">
      <c r="EL440" s="259"/>
    </row>
    <row r="441" spans="142:142">
      <c r="EL441" s="259"/>
    </row>
    <row r="442" spans="142:142">
      <c r="EL442" s="259"/>
    </row>
    <row r="443" spans="142:142">
      <c r="EL443" s="259"/>
    </row>
    <row r="444" spans="142:142">
      <c r="EL444" s="259"/>
    </row>
    <row r="445" spans="142:142">
      <c r="EL445" s="259"/>
    </row>
    <row r="446" spans="142:142">
      <c r="EL446" s="259"/>
    </row>
    <row r="447" spans="142:142">
      <c r="EL447" s="275"/>
    </row>
    <row r="448" spans="142:142">
      <c r="EL448" s="259"/>
    </row>
    <row r="449" spans="142:142">
      <c r="EL449" s="259"/>
    </row>
    <row r="450" spans="142:142">
      <c r="EL450" s="259"/>
    </row>
    <row r="451" spans="142:142">
      <c r="EL451" s="259"/>
    </row>
    <row r="452" spans="142:142">
      <c r="EL452" s="259"/>
    </row>
    <row r="453" spans="142:142">
      <c r="EL453" s="259"/>
    </row>
    <row r="454" spans="142:142">
      <c r="EL454" s="259"/>
    </row>
    <row r="455" spans="142:142">
      <c r="EL455" s="259"/>
    </row>
    <row r="456" spans="142:142">
      <c r="EL456" s="259"/>
    </row>
    <row r="457" spans="142:142">
      <c r="EL457" s="259"/>
    </row>
    <row r="458" spans="142:142">
      <c r="EL458" s="259"/>
    </row>
    <row r="459" spans="142:142">
      <c r="EL459" s="259"/>
    </row>
    <row r="460" spans="142:142">
      <c r="EL460" s="259"/>
    </row>
    <row r="461" spans="142:142">
      <c r="EL461" s="259"/>
    </row>
    <row r="462" spans="142:142">
      <c r="EL462" s="259"/>
    </row>
    <row r="463" spans="142:142">
      <c r="EL463" s="259"/>
    </row>
    <row r="464" spans="142:142">
      <c r="EL464" s="259"/>
    </row>
    <row r="465" spans="142:142">
      <c r="EL465" s="259"/>
    </row>
    <row r="466" spans="142:142">
      <c r="EL466" s="259"/>
    </row>
    <row r="467" spans="142:142">
      <c r="EL467" s="259"/>
    </row>
    <row r="468" spans="142:142">
      <c r="EL468" s="275"/>
    </row>
    <row r="469" spans="142:142">
      <c r="EL469" s="259"/>
    </row>
    <row r="470" spans="142:142">
      <c r="EL470" s="259"/>
    </row>
    <row r="471" spans="142:142">
      <c r="EL471" s="259"/>
    </row>
    <row r="472" spans="142:142">
      <c r="EL472" s="259"/>
    </row>
    <row r="473" spans="142:142">
      <c r="EL473" s="259"/>
    </row>
    <row r="474" spans="142:142">
      <c r="EL474" s="259"/>
    </row>
    <row r="475" spans="142:142">
      <c r="EL475" s="259"/>
    </row>
    <row r="476" spans="142:142">
      <c r="EL476" s="259"/>
    </row>
    <row r="477" spans="142:142">
      <c r="EL477" s="259"/>
    </row>
    <row r="478" spans="142:142">
      <c r="EL478" s="259"/>
    </row>
    <row r="479" spans="142:142">
      <c r="EL479" s="259"/>
    </row>
    <row r="480" spans="142:142">
      <c r="EL480" s="259"/>
    </row>
    <row r="481" spans="142:142">
      <c r="EL481" s="259"/>
    </row>
    <row r="482" spans="142:142">
      <c r="EL482" s="259"/>
    </row>
    <row r="483" spans="142:142">
      <c r="EL483" s="259"/>
    </row>
    <row r="484" spans="142:142">
      <c r="EL484" s="259"/>
    </row>
    <row r="485" spans="142:142">
      <c r="EL485" s="259"/>
    </row>
    <row r="486" spans="142:142">
      <c r="EL486" s="259"/>
    </row>
    <row r="487" spans="142:142">
      <c r="EL487" s="259"/>
    </row>
    <row r="488" spans="142:142">
      <c r="EL488" s="259"/>
    </row>
    <row r="489" spans="142:142">
      <c r="EL489" s="259"/>
    </row>
    <row r="490" spans="142:142">
      <c r="EL490" s="259"/>
    </row>
    <row r="491" spans="142:142">
      <c r="EL491" s="259"/>
    </row>
    <row r="492" spans="142:142">
      <c r="EL492" s="259"/>
    </row>
    <row r="493" spans="142:142">
      <c r="EL493" s="259"/>
    </row>
    <row r="494" spans="142:142">
      <c r="EL494" s="259"/>
    </row>
    <row r="495" spans="142:142">
      <c r="EL495" s="259"/>
    </row>
    <row r="496" spans="142:142">
      <c r="EL496" s="259"/>
    </row>
    <row r="497" spans="142:142">
      <c r="EL497" s="259"/>
    </row>
    <row r="498" spans="142:142">
      <c r="EL498" s="259"/>
    </row>
    <row r="499" spans="142:142">
      <c r="EL499" s="259"/>
    </row>
    <row r="500" spans="142:142">
      <c r="EL500" s="259"/>
    </row>
    <row r="501" spans="142:142">
      <c r="EL501" s="259"/>
    </row>
    <row r="502" spans="142:142">
      <c r="EL502" s="259"/>
    </row>
    <row r="503" spans="142:142">
      <c r="EL503" s="259"/>
    </row>
    <row r="504" spans="142:142">
      <c r="EL504" s="259"/>
    </row>
    <row r="505" spans="142:142">
      <c r="EL505" s="259"/>
    </row>
    <row r="506" spans="142:142">
      <c r="EL506" s="259"/>
    </row>
    <row r="507" spans="142:142">
      <c r="EL507" s="259"/>
    </row>
    <row r="508" spans="142:142">
      <c r="EL508" s="259"/>
    </row>
    <row r="509" spans="142:142">
      <c r="EL509" s="259"/>
    </row>
    <row r="510" spans="142:142">
      <c r="EL510" s="259"/>
    </row>
    <row r="511" spans="142:142">
      <c r="EL511" s="259"/>
    </row>
    <row r="512" spans="142:142">
      <c r="EL512" s="259"/>
    </row>
    <row r="513" spans="142:142">
      <c r="EL513" s="259"/>
    </row>
    <row r="514" spans="142:142">
      <c r="EL514" s="259"/>
    </row>
    <row r="515" spans="142:142">
      <c r="EL515" s="259"/>
    </row>
    <row r="516" spans="142:142">
      <c r="EL516" s="259"/>
    </row>
    <row r="517" spans="142:142">
      <c r="EL517" s="259"/>
    </row>
    <row r="518" spans="142:142">
      <c r="EL518" s="259"/>
    </row>
    <row r="519" spans="142:142">
      <c r="EL519" s="259"/>
    </row>
    <row r="520" spans="142:142">
      <c r="EL520" s="259"/>
    </row>
    <row r="521" spans="142:142">
      <c r="EL521" s="259"/>
    </row>
    <row r="522" spans="142:142">
      <c r="EL522" s="259"/>
    </row>
    <row r="523" spans="142:142">
      <c r="EL523" s="259"/>
    </row>
    <row r="524" spans="142:142">
      <c r="EL524" s="259"/>
    </row>
    <row r="525" spans="142:142">
      <c r="EL525" s="259"/>
    </row>
    <row r="526" spans="142:142">
      <c r="EL526" s="259"/>
    </row>
    <row r="527" spans="142:142">
      <c r="EL527" s="259"/>
    </row>
    <row r="528" spans="142:142">
      <c r="EL528" s="259"/>
    </row>
    <row r="529" spans="142:142">
      <c r="EL529" s="259"/>
    </row>
    <row r="530" spans="142:142">
      <c r="EL530" s="259"/>
    </row>
    <row r="531" spans="142:142">
      <c r="EL531" s="259"/>
    </row>
    <row r="532" spans="142:142">
      <c r="EL532" s="259"/>
    </row>
    <row r="533" spans="142:142">
      <c r="EL533" s="259"/>
    </row>
    <row r="534" spans="142:142">
      <c r="EL534" s="259"/>
    </row>
    <row r="535" spans="142:142">
      <c r="EL535" s="259"/>
    </row>
    <row r="536" spans="142:142">
      <c r="EL536" s="259"/>
    </row>
    <row r="537" spans="142:142">
      <c r="EL537" s="259"/>
    </row>
    <row r="538" spans="142:142">
      <c r="EL538" s="259"/>
    </row>
    <row r="539" spans="142:142">
      <c r="EL539" s="259"/>
    </row>
    <row r="540" spans="142:142">
      <c r="EL540" s="259"/>
    </row>
    <row r="541" spans="142:142">
      <c r="EL541" s="259"/>
    </row>
    <row r="542" spans="142:142">
      <c r="EL542" s="259"/>
    </row>
    <row r="543" spans="142:142">
      <c r="EL543" s="259"/>
    </row>
    <row r="544" spans="142:142">
      <c r="EL544" s="259"/>
    </row>
    <row r="545" spans="142:142">
      <c r="EL545" s="259"/>
    </row>
    <row r="546" spans="142:142">
      <c r="EL546" s="259"/>
    </row>
    <row r="547" spans="142:142">
      <c r="EL547" s="259"/>
    </row>
    <row r="548" spans="142:142">
      <c r="EL548" s="259"/>
    </row>
    <row r="549" spans="142:142">
      <c r="EL549" s="259"/>
    </row>
    <row r="550" spans="142:142">
      <c r="EL550" s="259"/>
    </row>
    <row r="551" spans="142:142">
      <c r="EL551" s="259"/>
    </row>
    <row r="552" spans="142:142">
      <c r="EL552" s="259"/>
    </row>
    <row r="553" spans="142:142">
      <c r="EL553" s="259"/>
    </row>
    <row r="554" spans="142:142">
      <c r="EL554" s="259"/>
    </row>
    <row r="555" spans="142:142">
      <c r="EL555" s="259"/>
    </row>
    <row r="556" spans="142:142">
      <c r="EL556" s="259"/>
    </row>
    <row r="557" spans="142:142">
      <c r="EL557" s="259"/>
    </row>
    <row r="558" spans="142:142">
      <c r="EL558" s="259"/>
    </row>
    <row r="559" spans="142:142">
      <c r="EL559" s="259"/>
    </row>
    <row r="560" spans="142:142">
      <c r="EL560" s="259"/>
    </row>
    <row r="561" spans="142:142">
      <c r="EL561" s="259"/>
    </row>
    <row r="562" spans="142:142">
      <c r="EL562" s="259"/>
    </row>
    <row r="563" spans="142:142">
      <c r="EL563" s="259"/>
    </row>
    <row r="564" spans="142:142">
      <c r="EL564" s="259"/>
    </row>
    <row r="565" spans="142:142">
      <c r="EL565" s="259"/>
    </row>
    <row r="566" spans="142:142">
      <c r="EL566" s="259"/>
    </row>
    <row r="567" spans="142:142">
      <c r="EL567" s="259"/>
    </row>
    <row r="568" spans="142:142">
      <c r="EL568" s="259"/>
    </row>
    <row r="569" spans="142:142">
      <c r="EL569" s="259"/>
    </row>
    <row r="570" spans="142:142">
      <c r="EL570" s="259"/>
    </row>
    <row r="571" spans="142:142">
      <c r="EL571" s="259"/>
    </row>
    <row r="572" spans="142:142">
      <c r="EL572" s="259"/>
    </row>
    <row r="573" spans="142:142">
      <c r="EL573" s="259"/>
    </row>
    <row r="574" spans="142:142">
      <c r="EL574" s="259"/>
    </row>
    <row r="575" spans="142:142">
      <c r="EL575" s="259"/>
    </row>
    <row r="576" spans="142:142">
      <c r="EL576" s="259"/>
    </row>
    <row r="577" spans="142:142">
      <c r="EL577" s="259"/>
    </row>
    <row r="578" spans="142:142">
      <c r="EL578" s="259"/>
    </row>
    <row r="579" spans="142:142">
      <c r="EL579" s="259"/>
    </row>
    <row r="580" spans="142:142">
      <c r="EL580" s="259"/>
    </row>
    <row r="581" spans="142:142">
      <c r="EL581" s="259"/>
    </row>
    <row r="582" spans="142:142">
      <c r="EL582" s="259"/>
    </row>
    <row r="583" spans="142:142">
      <c r="EL583" s="259"/>
    </row>
    <row r="584" spans="142:142">
      <c r="EL584" s="259"/>
    </row>
    <row r="585" spans="142:142">
      <c r="EL585" s="259"/>
    </row>
    <row r="586" spans="142:142">
      <c r="EL586" s="259"/>
    </row>
    <row r="587" spans="142:142">
      <c r="EL587" s="259"/>
    </row>
    <row r="588" spans="142:142">
      <c r="EL588" s="259"/>
    </row>
    <row r="589" spans="142:142">
      <c r="EL589" s="259"/>
    </row>
    <row r="590" spans="142:142">
      <c r="EL590" s="259"/>
    </row>
    <row r="591" spans="142:142">
      <c r="EL591" s="259"/>
    </row>
    <row r="592" spans="142:142">
      <c r="EL592" s="259"/>
    </row>
    <row r="593" spans="142:142">
      <c r="EL593" s="259"/>
    </row>
    <row r="594" spans="142:142">
      <c r="EL594" s="259"/>
    </row>
    <row r="595" spans="142:142">
      <c r="EL595" s="259"/>
    </row>
    <row r="596" spans="142:142">
      <c r="EL596" s="259"/>
    </row>
    <row r="597" spans="142:142">
      <c r="EL597" s="259"/>
    </row>
    <row r="598" spans="142:142">
      <c r="EL598" s="259"/>
    </row>
    <row r="599" spans="142:142">
      <c r="EL599" s="259"/>
    </row>
    <row r="600" spans="142:142">
      <c r="EL600" s="259"/>
    </row>
    <row r="601" spans="142:142">
      <c r="EL601" s="259"/>
    </row>
    <row r="602" spans="142:142">
      <c r="EL602" s="259"/>
    </row>
    <row r="603" spans="142:142">
      <c r="EL603" s="259"/>
    </row>
    <row r="604" spans="142:142">
      <c r="EL604" s="259"/>
    </row>
    <row r="605" spans="142:142">
      <c r="EL605" s="259"/>
    </row>
    <row r="606" spans="142:142">
      <c r="EL606" s="259"/>
    </row>
    <row r="607" spans="142:142">
      <c r="EL607" s="259"/>
    </row>
    <row r="608" spans="142:142">
      <c r="EL608" s="259"/>
    </row>
    <row r="609" spans="142:142">
      <c r="EL609" s="259"/>
    </row>
    <row r="610" spans="142:142">
      <c r="EL610" s="259"/>
    </row>
    <row r="611" spans="142:142">
      <c r="EL611" s="259"/>
    </row>
    <row r="612" spans="142:142">
      <c r="EL612" s="259"/>
    </row>
    <row r="613" spans="142:142">
      <c r="EL613" s="259"/>
    </row>
    <row r="614" spans="142:142">
      <c r="EL614" s="259"/>
    </row>
    <row r="615" spans="142:142">
      <c r="EL615" s="259"/>
    </row>
    <row r="616" spans="142:142">
      <c r="EL616" s="259"/>
    </row>
    <row r="617" spans="142:142">
      <c r="EL617" s="259"/>
    </row>
    <row r="618" spans="142:142">
      <c r="EL618" s="259"/>
    </row>
    <row r="619" spans="142:142">
      <c r="EL619" s="259"/>
    </row>
    <row r="620" spans="142:142">
      <c r="EL620" s="259"/>
    </row>
    <row r="621" spans="142:142">
      <c r="EL621" s="259"/>
    </row>
    <row r="622" spans="142:142">
      <c r="EL622" s="259"/>
    </row>
    <row r="623" spans="142:142">
      <c r="EL623" s="259"/>
    </row>
    <row r="624" spans="142:142">
      <c r="EL624" s="259"/>
    </row>
    <row r="625" spans="142:142">
      <c r="EL625" s="259"/>
    </row>
    <row r="626" spans="142:142">
      <c r="EL626" s="259"/>
    </row>
    <row r="627" spans="142:142">
      <c r="EL627" s="259"/>
    </row>
    <row r="628" spans="142:142">
      <c r="EL628" s="259"/>
    </row>
    <row r="629" spans="142:142">
      <c r="EL629" s="259"/>
    </row>
    <row r="630" spans="142:142">
      <c r="EL630" s="259"/>
    </row>
    <row r="631" spans="142:142">
      <c r="EL631" s="259"/>
    </row>
    <row r="632" spans="142:142">
      <c r="EL632" s="259"/>
    </row>
    <row r="633" spans="142:142">
      <c r="EL633" s="317"/>
    </row>
    <row r="634" spans="142:142">
      <c r="EL634" s="259"/>
    </row>
    <row r="635" spans="142:142">
      <c r="EL635" s="259"/>
    </row>
    <row r="636" spans="142:142">
      <c r="EL636" s="259"/>
    </row>
    <row r="637" spans="142:142">
      <c r="EL637" s="259"/>
    </row>
    <row r="638" spans="142:142">
      <c r="EL638" s="259"/>
    </row>
    <row r="639" spans="142:142">
      <c r="EL639" s="259"/>
    </row>
    <row r="640" spans="142:142">
      <c r="EL640" s="259"/>
    </row>
    <row r="641" spans="142:142">
      <c r="EL641" s="259"/>
    </row>
    <row r="642" spans="142:142">
      <c r="EL642" s="259"/>
    </row>
    <row r="643" spans="142:142">
      <c r="EL643" s="259"/>
    </row>
    <row r="644" spans="142:142">
      <c r="EL644" s="259"/>
    </row>
    <row r="645" spans="142:142">
      <c r="EL645" s="259"/>
    </row>
    <row r="646" spans="142:142">
      <c r="EL646" s="259"/>
    </row>
    <row r="647" spans="142:142">
      <c r="EL647" s="259"/>
    </row>
    <row r="648" spans="142:142">
      <c r="EL648" s="259"/>
    </row>
    <row r="649" spans="142:142">
      <c r="EL649" s="259"/>
    </row>
    <row r="650" spans="142:142">
      <c r="EL650" s="259"/>
    </row>
    <row r="651" spans="142:142">
      <c r="EL651" s="259"/>
    </row>
    <row r="652" spans="142:142">
      <c r="EL652" s="259"/>
    </row>
    <row r="653" spans="142:142">
      <c r="EL653" s="259"/>
    </row>
    <row r="654" spans="142:142">
      <c r="EL654" s="259"/>
    </row>
    <row r="655" spans="142:142">
      <c r="EL655" s="259"/>
    </row>
    <row r="656" spans="142:142">
      <c r="EL656" s="259"/>
    </row>
    <row r="657" spans="142:142">
      <c r="EL657" s="259"/>
    </row>
    <row r="658" spans="142:142">
      <c r="EL658" s="259"/>
    </row>
    <row r="659" spans="142:142">
      <c r="EL659" s="259"/>
    </row>
    <row r="660" spans="142:142">
      <c r="EL660" s="259"/>
    </row>
    <row r="661" spans="142:142">
      <c r="EL661" s="259"/>
    </row>
    <row r="662" spans="142:142">
      <c r="EL662" s="259"/>
    </row>
    <row r="663" spans="142:142">
      <c r="EL663" s="259"/>
    </row>
    <row r="664" spans="142:142">
      <c r="EL664" s="259"/>
    </row>
    <row r="665" spans="142:142">
      <c r="EL665" s="259"/>
    </row>
    <row r="666" spans="142:142">
      <c r="EL666" s="259"/>
    </row>
    <row r="667" spans="142:142">
      <c r="EL667" s="259"/>
    </row>
    <row r="668" spans="142:142">
      <c r="EL668" s="259"/>
    </row>
    <row r="669" spans="142:142">
      <c r="EL669" s="259"/>
    </row>
    <row r="670" spans="142:142">
      <c r="EL670" s="259"/>
    </row>
    <row r="671" spans="142:142">
      <c r="EL671" s="259"/>
    </row>
    <row r="672" spans="142:142">
      <c r="EL672" s="259"/>
    </row>
    <row r="673" spans="142:142">
      <c r="EL673" s="259"/>
    </row>
    <row r="674" spans="142:142">
      <c r="EL674" s="259"/>
    </row>
    <row r="675" spans="142:142">
      <c r="EL675" s="259"/>
    </row>
    <row r="676" spans="142:142">
      <c r="EL676" s="259"/>
    </row>
    <row r="677" spans="142:142">
      <c r="EL677" s="259"/>
    </row>
    <row r="678" spans="142:142">
      <c r="EL678" s="259"/>
    </row>
    <row r="679" spans="142:142">
      <c r="EL679" s="259"/>
    </row>
    <row r="680" spans="142:142">
      <c r="EL680" s="259"/>
    </row>
    <row r="681" spans="142:142">
      <c r="EL681" s="259"/>
    </row>
    <row r="682" spans="142:142">
      <c r="EL682" s="259"/>
    </row>
    <row r="683" spans="142:142">
      <c r="EL683" s="259"/>
    </row>
    <row r="684" spans="142:142">
      <c r="EL684" s="259"/>
    </row>
    <row r="685" spans="142:142">
      <c r="EL685" s="259"/>
    </row>
    <row r="686" spans="142:142">
      <c r="EL686" s="259"/>
    </row>
    <row r="687" spans="142:142">
      <c r="EL687" s="259"/>
    </row>
    <row r="688" spans="142:142">
      <c r="EL688" s="259"/>
    </row>
    <row r="689" spans="142:142">
      <c r="EL689" s="259"/>
    </row>
    <row r="690" spans="142:142">
      <c r="EL690" s="259"/>
    </row>
    <row r="691" spans="142:142">
      <c r="EL691" s="259"/>
    </row>
    <row r="692" spans="142:142">
      <c r="EL692" s="259"/>
    </row>
    <row r="693" spans="142:142">
      <c r="EL693" s="259"/>
    </row>
    <row r="694" spans="142:142">
      <c r="EL694" s="259"/>
    </row>
    <row r="695" spans="142:142">
      <c r="EL695" s="259"/>
    </row>
    <row r="696" spans="142:142">
      <c r="EL696" s="259"/>
    </row>
    <row r="697" spans="142:142">
      <c r="EL697" s="259"/>
    </row>
    <row r="698" spans="142:142">
      <c r="EL698" s="259"/>
    </row>
    <row r="699" spans="142:142">
      <c r="EL699" s="259"/>
    </row>
    <row r="700" spans="142:142">
      <c r="EL700" s="259"/>
    </row>
    <row r="701" spans="142:142">
      <c r="EL701" s="259"/>
    </row>
    <row r="702" spans="142:142">
      <c r="EL702" s="259"/>
    </row>
    <row r="703" spans="142:142">
      <c r="EL703" s="259"/>
    </row>
    <row r="704" spans="142:142">
      <c r="EL704" s="259"/>
    </row>
    <row r="705" spans="142:142">
      <c r="EL705" s="259"/>
    </row>
    <row r="706" spans="142:142">
      <c r="EL706" s="259"/>
    </row>
    <row r="707" spans="142:142">
      <c r="EL707" s="259"/>
    </row>
    <row r="708" spans="142:142">
      <c r="EL708" s="259"/>
    </row>
    <row r="709" spans="142:142">
      <c r="EL709" s="259"/>
    </row>
    <row r="710" spans="142:142">
      <c r="EL710" s="259"/>
    </row>
    <row r="711" spans="142:142">
      <c r="EL711" s="259"/>
    </row>
    <row r="712" spans="142:142">
      <c r="EL712" s="259"/>
    </row>
    <row r="713" spans="142:142">
      <c r="EL713" s="259"/>
    </row>
    <row r="714" spans="142:142">
      <c r="EL714" s="259"/>
    </row>
    <row r="715" spans="142:142">
      <c r="EL715" s="259"/>
    </row>
    <row r="716" spans="142:142">
      <c r="EL716" s="259"/>
    </row>
    <row r="717" spans="142:142">
      <c r="EL717" s="259"/>
    </row>
    <row r="718" spans="142:142">
      <c r="EL718" s="259"/>
    </row>
    <row r="719" spans="142:142">
      <c r="EL719" s="259"/>
    </row>
    <row r="720" spans="142:142">
      <c r="EL720" s="259"/>
    </row>
    <row r="721" spans="142:142">
      <c r="EL721" s="259"/>
    </row>
    <row r="722" spans="142:142">
      <c r="EL722" s="259"/>
    </row>
    <row r="723" spans="142:142">
      <c r="EL723" s="259"/>
    </row>
    <row r="724" spans="142:142">
      <c r="EL724" s="259"/>
    </row>
    <row r="725" spans="142:142">
      <c r="EL725" s="259"/>
    </row>
    <row r="726" spans="142:142">
      <c r="EL726" s="259"/>
    </row>
    <row r="727" spans="142:142">
      <c r="EL727" s="259"/>
    </row>
    <row r="728" spans="142:142">
      <c r="EL728" s="259"/>
    </row>
    <row r="729" spans="142:142">
      <c r="EL729" s="259"/>
    </row>
    <row r="730" spans="142:142">
      <c r="EL730" s="259"/>
    </row>
    <row r="731" spans="142:142">
      <c r="EL731" s="259"/>
    </row>
    <row r="732" spans="142:142">
      <c r="EL732" s="259"/>
    </row>
    <row r="733" spans="142:142">
      <c r="EL733" s="259"/>
    </row>
    <row r="734" spans="142:142">
      <c r="EL734" s="259"/>
    </row>
    <row r="735" spans="142:142">
      <c r="EL735" s="259"/>
    </row>
    <row r="736" spans="142:142">
      <c r="EL736" s="259"/>
    </row>
    <row r="737" spans="142:142">
      <c r="EL737" s="259"/>
    </row>
    <row r="738" spans="142:142">
      <c r="EL738" s="259"/>
    </row>
    <row r="739" spans="142:142">
      <c r="EL739" s="259"/>
    </row>
    <row r="740" spans="142:142">
      <c r="EL740" s="259"/>
    </row>
    <row r="741" spans="142:142">
      <c r="EL741" s="259"/>
    </row>
    <row r="742" spans="142:142">
      <c r="EL742" s="259"/>
    </row>
    <row r="743" spans="142:142">
      <c r="EL743" s="259"/>
    </row>
    <row r="744" spans="142:142">
      <c r="EL744" s="259"/>
    </row>
    <row r="745" spans="142:142">
      <c r="EL745" s="259"/>
    </row>
    <row r="746" spans="142:142">
      <c r="EL746" s="259"/>
    </row>
    <row r="747" spans="142:142">
      <c r="EL747" s="259"/>
    </row>
    <row r="748" spans="142:142">
      <c r="EL748" s="259"/>
    </row>
    <row r="749" spans="142:142">
      <c r="EL749" s="259"/>
    </row>
    <row r="750" spans="142:142">
      <c r="EL750" s="259"/>
    </row>
    <row r="751" spans="142:142">
      <c r="EL751" s="259"/>
    </row>
    <row r="752" spans="142:142">
      <c r="EL752" s="259"/>
    </row>
    <row r="753" spans="142:142">
      <c r="EL753" s="259"/>
    </row>
    <row r="754" spans="142:142">
      <c r="EL754" s="259"/>
    </row>
    <row r="755" spans="142:142">
      <c r="EL755" s="259"/>
    </row>
    <row r="756" spans="142:142">
      <c r="EL756" s="259"/>
    </row>
    <row r="757" spans="142:142">
      <c r="EL757" s="259"/>
    </row>
    <row r="758" spans="142:142">
      <c r="EL758" s="259"/>
    </row>
    <row r="759" spans="142:142">
      <c r="EL759" s="259"/>
    </row>
    <row r="760" spans="142:142">
      <c r="EL760" s="259"/>
    </row>
    <row r="761" spans="142:142">
      <c r="EL761" s="259"/>
    </row>
    <row r="762" spans="142:142">
      <c r="EL762" s="259"/>
    </row>
    <row r="763" spans="142:142">
      <c r="EL763" s="259"/>
    </row>
    <row r="764" spans="142:142">
      <c r="EL764" s="259"/>
    </row>
    <row r="765" spans="142:142">
      <c r="EL765" s="259"/>
    </row>
    <row r="766" spans="142:142">
      <c r="EL766" s="259"/>
    </row>
    <row r="767" spans="142:142">
      <c r="EL767" s="259"/>
    </row>
    <row r="768" spans="142:142">
      <c r="EL768" s="259"/>
    </row>
    <row r="769" spans="142:142">
      <c r="EL769" s="259"/>
    </row>
    <row r="770" spans="142:142">
      <c r="EL770" s="259"/>
    </row>
    <row r="771" spans="142:142">
      <c r="EL771" s="259"/>
    </row>
    <row r="772" spans="142:142">
      <c r="EL772" s="259"/>
    </row>
    <row r="773" spans="142:142">
      <c r="EL773" s="259"/>
    </row>
    <row r="774" spans="142:142">
      <c r="EL774" s="259"/>
    </row>
    <row r="775" spans="142:142">
      <c r="EL775" s="259"/>
    </row>
    <row r="776" spans="142:142">
      <c r="EL776" s="259"/>
    </row>
    <row r="777" spans="142:142">
      <c r="EL777" s="259"/>
    </row>
    <row r="778" spans="142:142">
      <c r="EL778" s="318"/>
    </row>
    <row r="779" spans="142:142">
      <c r="EL779" s="259"/>
    </row>
    <row r="780" spans="142:142">
      <c r="EL780" s="259"/>
    </row>
    <row r="781" spans="142:142">
      <c r="EL781" s="259"/>
    </row>
    <row r="782" spans="142:142">
      <c r="EL782" s="259"/>
    </row>
    <row r="783" spans="142:142">
      <c r="EL783" s="259"/>
    </row>
    <row r="784" spans="142:142">
      <c r="EL784" s="259"/>
    </row>
    <row r="785" spans="142:142">
      <c r="EL785" s="259"/>
    </row>
    <row r="786" spans="142:142">
      <c r="EL786" s="259"/>
    </row>
    <row r="787" spans="142:142">
      <c r="EL787" s="259"/>
    </row>
    <row r="788" spans="142:142">
      <c r="EL788" s="259"/>
    </row>
    <row r="789" spans="142:142">
      <c r="EL789" s="259"/>
    </row>
    <row r="790" spans="142:142">
      <c r="EL790" s="259"/>
    </row>
    <row r="791" spans="142:142">
      <c r="EL791" s="259"/>
    </row>
    <row r="792" spans="142:142">
      <c r="EL792" s="259"/>
    </row>
    <row r="793" spans="142:142">
      <c r="EL793" s="259"/>
    </row>
    <row r="794" spans="142:142">
      <c r="EL794" s="259"/>
    </row>
    <row r="795" spans="142:142">
      <c r="EL795" s="259"/>
    </row>
    <row r="796" spans="142:142">
      <c r="EL796" s="259"/>
    </row>
    <row r="797" spans="142:142">
      <c r="EL797" s="259"/>
    </row>
    <row r="798" spans="142:142">
      <c r="EL798" s="259"/>
    </row>
    <row r="799" spans="142:142">
      <c r="EL799" s="259"/>
    </row>
    <row r="800" spans="142:142">
      <c r="EL800" s="259"/>
    </row>
    <row r="801" spans="142:142">
      <c r="EL801" s="259"/>
    </row>
    <row r="802" spans="142:142">
      <c r="EL802" s="259"/>
    </row>
    <row r="803" spans="142:142">
      <c r="EL803" s="259"/>
    </row>
    <row r="804" spans="142:142">
      <c r="EL804" s="259"/>
    </row>
    <row r="805" spans="142:142">
      <c r="EL805" s="259"/>
    </row>
    <row r="806" spans="142:142">
      <c r="EL806" s="259"/>
    </row>
    <row r="807" spans="142:142">
      <c r="EL807" s="259"/>
    </row>
    <row r="808" spans="142:142">
      <c r="EL808" s="259"/>
    </row>
    <row r="809" spans="142:142">
      <c r="EL809" s="259"/>
    </row>
    <row r="810" spans="142:142">
      <c r="EL810" s="259"/>
    </row>
    <row r="811" spans="142:142">
      <c r="EL811" s="259"/>
    </row>
    <row r="812" spans="142:142">
      <c r="EL812" s="259"/>
    </row>
    <row r="813" spans="142:142">
      <c r="EL813" s="259"/>
    </row>
    <row r="814" spans="142:142">
      <c r="EL814" s="259"/>
    </row>
    <row r="815" spans="142:142">
      <c r="EL815" s="259"/>
    </row>
    <row r="816" spans="142:142">
      <c r="EL816" s="259"/>
    </row>
    <row r="817" spans="142:142">
      <c r="EL817" s="259"/>
    </row>
    <row r="818" spans="142:142">
      <c r="EL818" s="259"/>
    </row>
    <row r="819" spans="142:142">
      <c r="EL819" s="259"/>
    </row>
    <row r="820" spans="142:142">
      <c r="EL820" s="259"/>
    </row>
    <row r="821" spans="142:142">
      <c r="EL821" s="259"/>
    </row>
    <row r="822" spans="142:142">
      <c r="EL822" s="259"/>
    </row>
    <row r="823" spans="142:142">
      <c r="EL823" s="259"/>
    </row>
    <row r="824" spans="142:142">
      <c r="EL824" s="259"/>
    </row>
    <row r="825" spans="142:142">
      <c r="EL825" s="259"/>
    </row>
    <row r="826" spans="142:142">
      <c r="EL826" s="259"/>
    </row>
    <row r="827" spans="142:142">
      <c r="EL827" s="259"/>
    </row>
    <row r="828" spans="142:142">
      <c r="EL828" s="259"/>
    </row>
    <row r="829" spans="142:142">
      <c r="EL829" s="259"/>
    </row>
    <row r="830" spans="142:142">
      <c r="EL830" s="259"/>
    </row>
    <row r="831" spans="142:142">
      <c r="EL831" s="259"/>
    </row>
    <row r="832" spans="142:142">
      <c r="EL832" s="259"/>
    </row>
    <row r="833" spans="142:142">
      <c r="EL833" s="259"/>
    </row>
    <row r="834" spans="142:142">
      <c r="EL834" s="259"/>
    </row>
    <row r="835" spans="142:142">
      <c r="EL835" s="259"/>
    </row>
    <row r="836" spans="142:142">
      <c r="EL836" s="259"/>
    </row>
    <row r="837" spans="142:142">
      <c r="EL837" s="259"/>
    </row>
    <row r="838" spans="142:142">
      <c r="EL838" s="259"/>
    </row>
    <row r="839" spans="142:142">
      <c r="EL839" s="259"/>
    </row>
    <row r="840" spans="142:142">
      <c r="EL840" s="259"/>
    </row>
    <row r="841" spans="142:142">
      <c r="EL841" s="259"/>
    </row>
    <row r="842" spans="142:142">
      <c r="EL842" s="259"/>
    </row>
    <row r="843" spans="142:142">
      <c r="EL843" s="259"/>
    </row>
    <row r="844" spans="142:142">
      <c r="EL844" s="259"/>
    </row>
    <row r="845" spans="142:142">
      <c r="EL845" s="259"/>
    </row>
    <row r="846" spans="142:142">
      <c r="EL846" s="259"/>
    </row>
    <row r="847" spans="142:142">
      <c r="EL847" s="259"/>
    </row>
    <row r="848" spans="142:142">
      <c r="EL848" s="259"/>
    </row>
    <row r="849" spans="142:142">
      <c r="EL849" s="259"/>
    </row>
    <row r="850" spans="142:142">
      <c r="EL850" s="259"/>
    </row>
    <row r="851" spans="142:142">
      <c r="EL851" s="259"/>
    </row>
    <row r="852" spans="142:142">
      <c r="EL852" s="259"/>
    </row>
    <row r="853" spans="142:142">
      <c r="EL853" s="259"/>
    </row>
    <row r="854" spans="142:142">
      <c r="EL854" s="259"/>
    </row>
    <row r="855" spans="142:142">
      <c r="EL855" s="259"/>
    </row>
    <row r="856" spans="142:142">
      <c r="EL856" s="318"/>
    </row>
    <row r="857" spans="142:142">
      <c r="EL857" s="259"/>
    </row>
    <row r="858" spans="142:142">
      <c r="EL858" s="259"/>
    </row>
    <row r="859" spans="142:142">
      <c r="EL859" s="259"/>
    </row>
    <row r="860" spans="142:142">
      <c r="EL860" s="259"/>
    </row>
    <row r="861" spans="142:142">
      <c r="EL861" s="259"/>
    </row>
    <row r="862" spans="142:142">
      <c r="EL862" s="259"/>
    </row>
    <row r="863" spans="142:142">
      <c r="EL863" s="259"/>
    </row>
    <row r="864" spans="142:142">
      <c r="EL864" s="259"/>
    </row>
    <row r="865" spans="142:142">
      <c r="EL865" s="259"/>
    </row>
    <row r="866" spans="142:142">
      <c r="EL866" s="259"/>
    </row>
    <row r="867" spans="142:142">
      <c r="EL867" s="259"/>
    </row>
    <row r="868" spans="142:142">
      <c r="EL868" s="259"/>
    </row>
    <row r="869" spans="142:142">
      <c r="EL869" s="259"/>
    </row>
    <row r="870" spans="142:142">
      <c r="EL870" s="259"/>
    </row>
    <row r="871" spans="142:142">
      <c r="EL871" s="259"/>
    </row>
    <row r="872" spans="142:142">
      <c r="EL872" s="259"/>
    </row>
    <row r="873" spans="142:142">
      <c r="EL873" s="259"/>
    </row>
    <row r="874" spans="142:142">
      <c r="EL874" s="259"/>
    </row>
    <row r="875" spans="142:142">
      <c r="EL875" s="259"/>
    </row>
    <row r="876" spans="142:142">
      <c r="EL876" s="259"/>
    </row>
    <row r="877" spans="142:142">
      <c r="EL877" s="259"/>
    </row>
    <row r="878" spans="142:142">
      <c r="EL878" s="259"/>
    </row>
    <row r="879" spans="142:142">
      <c r="EL879" s="259"/>
    </row>
    <row r="880" spans="142:142">
      <c r="EL880" s="259"/>
    </row>
    <row r="881" spans="142:142">
      <c r="EL881" s="259"/>
    </row>
    <row r="882" spans="142:142">
      <c r="EL882" s="259"/>
    </row>
    <row r="883" spans="142:142">
      <c r="EL883" s="259"/>
    </row>
    <row r="884" spans="142:142">
      <c r="EL884" s="259"/>
    </row>
    <row r="885" spans="142:142">
      <c r="EL885" s="259"/>
    </row>
    <row r="886" spans="142:142">
      <c r="EL886" s="259"/>
    </row>
    <row r="887" spans="142:142">
      <c r="EL887" s="259"/>
    </row>
    <row r="888" spans="142:142">
      <c r="EL888" s="259"/>
    </row>
    <row r="889" spans="142:142">
      <c r="EL889" s="259"/>
    </row>
    <row r="890" spans="142:142">
      <c r="EL890" s="259"/>
    </row>
    <row r="891" spans="142:142">
      <c r="EL891" s="259"/>
    </row>
    <row r="892" spans="142:142">
      <c r="EL892" s="259"/>
    </row>
    <row r="893" spans="142:142">
      <c r="EL893" s="259"/>
    </row>
    <row r="894" spans="142:142">
      <c r="EL894" s="259"/>
    </row>
    <row r="895" spans="142:142">
      <c r="EL895" s="259"/>
    </row>
    <row r="896" spans="142:142">
      <c r="EL896" s="259"/>
    </row>
    <row r="897" spans="142:142">
      <c r="EL897" s="259"/>
    </row>
    <row r="898" spans="142:142">
      <c r="EL898" s="259"/>
    </row>
    <row r="899" spans="142:142">
      <c r="EL899" s="259"/>
    </row>
    <row r="900" spans="142:142">
      <c r="EL900" s="318"/>
    </row>
    <row r="901" spans="142:142">
      <c r="EL901" s="259"/>
    </row>
    <row r="902" spans="142:142">
      <c r="EL902" s="259"/>
    </row>
    <row r="903" spans="142:142">
      <c r="EL903" s="259"/>
    </row>
    <row r="904" spans="142:142">
      <c r="EL904" s="259"/>
    </row>
    <row r="905" spans="142:142">
      <c r="EL905" s="259"/>
    </row>
    <row r="906" spans="142:142">
      <c r="EL906" s="259"/>
    </row>
    <row r="907" spans="142:142">
      <c r="EL907" s="259"/>
    </row>
    <row r="908" spans="142:142">
      <c r="EL908" s="259"/>
    </row>
    <row r="909" spans="142:142">
      <c r="EL909" s="259"/>
    </row>
    <row r="910" spans="142:142">
      <c r="EL910" s="259"/>
    </row>
    <row r="911" spans="142:142">
      <c r="EL911" s="259"/>
    </row>
    <row r="912" spans="142:142">
      <c r="EL912" s="259"/>
    </row>
    <row r="913" spans="142:142">
      <c r="EL913" s="259"/>
    </row>
    <row r="914" spans="142:142">
      <c r="EL914" s="259"/>
    </row>
    <row r="915" spans="142:142">
      <c r="EL915" s="259"/>
    </row>
    <row r="916" spans="142:142">
      <c r="EL916" s="259"/>
    </row>
    <row r="917" spans="142:142">
      <c r="EL917" s="259"/>
    </row>
    <row r="918" spans="142:142">
      <c r="EL918" s="259"/>
    </row>
    <row r="919" spans="142:142">
      <c r="EL919" s="318"/>
    </row>
    <row r="920" spans="142:142">
      <c r="EL920" s="318"/>
    </row>
    <row r="921" spans="142:142">
      <c r="EL921" s="259"/>
    </row>
    <row r="922" spans="142:142">
      <c r="EL922" s="259"/>
    </row>
    <row r="923" spans="142:142">
      <c r="EL923" s="259"/>
    </row>
    <row r="924" spans="142:142">
      <c r="EL924" s="259"/>
    </row>
    <row r="925" spans="142:142">
      <c r="EL925" s="259"/>
    </row>
    <row r="926" spans="142:142">
      <c r="EL926" s="259"/>
    </row>
    <row r="927" spans="142:142">
      <c r="EL927" s="259"/>
    </row>
    <row r="928" spans="142:142">
      <c r="EL928" s="259"/>
    </row>
  </sheetData>
  <mergeCells count="1">
    <mergeCell ref="B3:D3"/>
  </mergeCells>
  <conditionalFormatting sqref="AF6:AF316">
    <cfRule type="expression" dxfId="2" priority="3" stopIfTrue="1">
      <formula>AG6=1</formula>
    </cfRule>
  </conditionalFormatting>
  <conditionalFormatting sqref="FP6:FP316">
    <cfRule type="cellIs" dxfId="1" priority="2" operator="equal">
      <formula>"""No aplica"""</formula>
    </cfRule>
  </conditionalFormatting>
  <dataValidations count="6">
    <dataValidation type="list" allowBlank="1" showInputMessage="1" showErrorMessage="1" sqref="EH6:EH316">
      <formula1>PAM</formula1>
    </dataValidation>
    <dataValidation type="list" allowBlank="1" showInputMessage="1" showErrorMessage="1" sqref="EG6:EG316">
      <formula1>riscinund</formula1>
    </dataValidation>
    <dataValidation type="list" allowBlank="1" showInputMessage="1" showErrorMessage="1" sqref="AY6:AZ316">
      <formula1>info</formula1>
    </dataValidation>
    <dataValidation type="list" allowBlank="1" showInputMessage="1" showErrorMessage="1" sqref="CI6:CI316">
      <formula1>PLANEJAMENT</formula1>
    </dataValidation>
    <dataValidation type="list" allowBlank="1" showInputMessage="1" showErrorMessage="1" sqref="DB6:DB316">
      <formula1>REGIMAIGUA</formula1>
    </dataValidation>
    <dataValidation type="list" allowBlank="1" showInputMessage="1" showErrorMessage="1" sqref="DW6:DW316">
      <formula1>ZONESHUMIDES</formula1>
    </dataValidation>
  </dataValidations>
  <hyperlinks>
    <hyperlink ref="DZ175" r:id="rId1" tooltip="Delta del Llobregat" display="https://ca.wikipedia.org/wiki/Delta_del_Llobregat"/>
  </hyperlinks>
  <pageMargins left="0.75" right="0.75" top="1" bottom="1" header="0" footer="0"/>
  <pageSetup paperSize="9" orientation="portrait" verticalDpi="4294967295" r:id="rId2"/>
  <headerFooter alignWithMargins="0"/>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X71"/>
  <sheetViews>
    <sheetView zoomScale="70" zoomScaleNormal="70" workbookViewId="0">
      <pane xSplit="1" ySplit="5" topLeftCell="R6" activePane="bottomRight" state="frozen"/>
      <selection pane="topRight" activeCell="B1" sqref="B1"/>
      <selection pane="bottomLeft" activeCell="A4" sqref="A4"/>
      <selection pane="bottomRight" activeCell="AX2" sqref="AX2"/>
    </sheetView>
  </sheetViews>
  <sheetFormatPr defaultColWidth="10.7109375" defaultRowHeight="12.75"/>
  <cols>
    <col min="1" max="1" width="23" style="3" customWidth="1"/>
    <col min="2" max="2" width="11.42578125" style="3" customWidth="1"/>
    <col min="3" max="43" width="10.7109375" style="3"/>
    <col min="44" max="44" width="12.42578125" style="3" customWidth="1"/>
    <col min="45" max="16384" width="10.7109375" style="3"/>
  </cols>
  <sheetData>
    <row r="1" spans="1:50">
      <c r="A1" s="518">
        <v>1</v>
      </c>
      <c r="B1" s="518">
        <v>2</v>
      </c>
      <c r="C1" s="518">
        <v>3</v>
      </c>
      <c r="D1" s="518">
        <v>4</v>
      </c>
      <c r="E1" s="518">
        <v>5</v>
      </c>
      <c r="F1" s="518">
        <v>6</v>
      </c>
      <c r="G1" s="518">
        <v>7</v>
      </c>
      <c r="H1" s="518">
        <v>8</v>
      </c>
      <c r="I1" s="518">
        <v>9</v>
      </c>
      <c r="J1" s="518">
        <v>10</v>
      </c>
      <c r="K1" s="518">
        <v>11</v>
      </c>
      <c r="L1" s="518">
        <v>12</v>
      </c>
      <c r="M1" s="518">
        <v>13</v>
      </c>
      <c r="N1" s="518">
        <v>14</v>
      </c>
      <c r="O1" s="518">
        <v>15</v>
      </c>
      <c r="P1" s="518">
        <v>16</v>
      </c>
      <c r="Q1" s="518">
        <v>17</v>
      </c>
      <c r="R1" s="518">
        <v>18</v>
      </c>
      <c r="S1" s="518">
        <v>19</v>
      </c>
      <c r="T1" s="518">
        <v>20</v>
      </c>
      <c r="U1" s="518">
        <v>21</v>
      </c>
      <c r="V1" s="518">
        <v>22</v>
      </c>
      <c r="W1" s="518">
        <v>23</v>
      </c>
      <c r="X1" s="518">
        <v>24</v>
      </c>
      <c r="Y1" s="518">
        <v>25</v>
      </c>
      <c r="Z1" s="518">
        <v>26</v>
      </c>
      <c r="AA1" s="518">
        <v>27</v>
      </c>
      <c r="AB1" s="518">
        <v>28</v>
      </c>
      <c r="AC1" s="518">
        <v>29</v>
      </c>
      <c r="AD1" s="518">
        <v>30</v>
      </c>
      <c r="AE1" s="518">
        <v>31</v>
      </c>
      <c r="AF1" s="518">
        <v>32</v>
      </c>
      <c r="AG1" s="518">
        <v>33</v>
      </c>
      <c r="AH1" s="518">
        <v>34</v>
      </c>
      <c r="AI1" s="518">
        <v>35</v>
      </c>
      <c r="AJ1" s="518">
        <v>36</v>
      </c>
      <c r="AK1" s="518">
        <v>37</v>
      </c>
      <c r="AL1" s="518">
        <v>38</v>
      </c>
      <c r="AM1" s="518">
        <v>39</v>
      </c>
      <c r="AN1" s="518">
        <v>40</v>
      </c>
      <c r="AO1" s="518">
        <v>41</v>
      </c>
      <c r="AP1" s="518">
        <v>42</v>
      </c>
      <c r="AQ1" s="518">
        <v>43</v>
      </c>
      <c r="AR1" s="518">
        <v>44</v>
      </c>
      <c r="AS1" s="518">
        <v>45</v>
      </c>
      <c r="AT1" s="518">
        <v>46</v>
      </c>
      <c r="AU1" s="518">
        <v>47</v>
      </c>
    </row>
    <row r="2" spans="1:50" ht="19.5" customHeight="1">
      <c r="A2" s="562" t="s">
        <v>1940</v>
      </c>
      <c r="B2" s="1137" t="s">
        <v>2420</v>
      </c>
      <c r="C2" s="1137"/>
      <c r="D2" s="1137"/>
      <c r="E2" s="518"/>
      <c r="F2" s="518"/>
      <c r="G2" s="518"/>
      <c r="H2" s="518"/>
      <c r="J2" s="518"/>
      <c r="K2" s="518"/>
      <c r="L2" s="518"/>
      <c r="M2" s="518"/>
      <c r="N2" s="518"/>
      <c r="O2" s="518"/>
      <c r="P2" s="518"/>
      <c r="Q2" s="552"/>
      <c r="R2" s="552"/>
      <c r="S2" s="553" t="s">
        <v>2229</v>
      </c>
      <c r="T2" s="553"/>
      <c r="U2" s="553"/>
      <c r="V2" s="552"/>
      <c r="W2" s="553">
        <v>2016</v>
      </c>
      <c r="X2" s="552"/>
      <c r="Y2" s="553"/>
      <c r="Z2" s="549" t="s">
        <v>2231</v>
      </c>
      <c r="AA2" s="550"/>
      <c r="AB2" s="551" t="s">
        <v>2232</v>
      </c>
      <c r="AC2" s="551"/>
      <c r="AD2" s="551"/>
      <c r="AE2" s="554"/>
      <c r="AF2" s="554"/>
      <c r="AG2" s="555"/>
      <c r="AH2" s="555"/>
      <c r="AI2" s="555" t="s">
        <v>2233</v>
      </c>
      <c r="AJ2" s="555"/>
      <c r="AK2" s="555"/>
      <c r="AL2" s="555"/>
      <c r="AM2" s="555"/>
      <c r="AN2" s="555"/>
      <c r="AO2" s="556"/>
      <c r="AP2" s="556"/>
      <c r="AQ2" s="557" t="s">
        <v>2234</v>
      </c>
      <c r="AR2" s="556"/>
      <c r="AS2" s="556"/>
      <c r="AT2" s="592" t="s">
        <v>2313</v>
      </c>
      <c r="AU2" s="593"/>
    </row>
    <row r="3" spans="1:50">
      <c r="A3" s="562" t="s">
        <v>59</v>
      </c>
      <c r="B3" s="518" t="s">
        <v>2201</v>
      </c>
      <c r="C3" s="518"/>
      <c r="D3" s="518"/>
      <c r="E3" s="518"/>
      <c r="F3" s="518"/>
      <c r="G3" s="518"/>
      <c r="H3" s="518"/>
      <c r="I3" s="518" t="s">
        <v>2201</v>
      </c>
      <c r="J3" s="518"/>
      <c r="K3" s="518"/>
      <c r="L3" s="518"/>
      <c r="M3" s="518"/>
      <c r="N3" s="518" t="s">
        <v>2201</v>
      </c>
      <c r="O3" s="518"/>
      <c r="P3" s="518"/>
      <c r="Q3" s="518" t="s">
        <v>2263</v>
      </c>
      <c r="R3" s="552"/>
      <c r="S3" s="553"/>
      <c r="T3" s="553"/>
      <c r="U3" s="553"/>
      <c r="V3" s="518" t="s">
        <v>2263</v>
      </c>
      <c r="W3" s="553"/>
      <c r="X3" s="552"/>
      <c r="Y3" s="553"/>
      <c r="Z3" s="518" t="s">
        <v>2263</v>
      </c>
      <c r="AA3" s="550" t="s">
        <v>2412</v>
      </c>
      <c r="AB3" s="551"/>
      <c r="AC3" s="551"/>
      <c r="AD3" s="551"/>
      <c r="AE3" s="554"/>
      <c r="AF3" s="554"/>
      <c r="AG3" s="555"/>
      <c r="AH3" s="555"/>
      <c r="AI3" s="555"/>
      <c r="AJ3" s="555"/>
      <c r="AK3" s="555"/>
      <c r="AL3" s="555"/>
      <c r="AM3" s="555"/>
      <c r="AN3" s="555"/>
      <c r="AO3" s="556"/>
      <c r="AP3" s="556"/>
      <c r="AQ3" s="557"/>
      <c r="AR3" s="556"/>
      <c r="AS3" s="556"/>
      <c r="AT3" s="593">
        <v>2008</v>
      </c>
      <c r="AU3" s="593"/>
    </row>
    <row r="4" spans="1:50" ht="45" customHeight="1">
      <c r="A4" s="147"/>
      <c r="B4" s="1142" t="s">
        <v>1807</v>
      </c>
      <c r="C4" s="1142"/>
      <c r="D4" s="1142"/>
      <c r="E4" s="1142"/>
      <c r="F4" s="1142"/>
      <c r="G4" s="1142"/>
      <c r="H4" s="1142"/>
      <c r="I4" s="1142" t="s">
        <v>1808</v>
      </c>
      <c r="J4" s="1142"/>
      <c r="K4" s="1142"/>
      <c r="L4" s="1142"/>
      <c r="M4" s="1142"/>
      <c r="N4" s="1138" t="s">
        <v>35</v>
      </c>
      <c r="O4" s="1138"/>
      <c r="P4" s="1138"/>
      <c r="Q4" s="1145" t="s">
        <v>474</v>
      </c>
      <c r="R4" s="1146"/>
      <c r="S4" s="1146"/>
      <c r="T4" s="1146"/>
      <c r="U4" s="1147"/>
      <c r="V4" s="1138" t="s">
        <v>1809</v>
      </c>
      <c r="W4" s="1138"/>
      <c r="X4" s="1143" t="s">
        <v>1810</v>
      </c>
      <c r="Y4" s="1138" t="s">
        <v>1811</v>
      </c>
      <c r="Z4" s="1142" t="s">
        <v>93</v>
      </c>
      <c r="AA4" s="1141" t="s">
        <v>145</v>
      </c>
      <c r="AB4" s="1141" t="s">
        <v>146</v>
      </c>
      <c r="AC4" s="1141" t="s">
        <v>64</v>
      </c>
      <c r="AD4" s="1139" t="s">
        <v>2226</v>
      </c>
      <c r="AE4" s="1140"/>
      <c r="AF4" s="1140"/>
      <c r="AG4" s="1140"/>
      <c r="AH4" s="1140"/>
      <c r="AI4" s="1140"/>
      <c r="AJ4" s="1140"/>
      <c r="AK4" s="1140"/>
      <c r="AL4" s="1140"/>
      <c r="AM4" s="1140"/>
      <c r="AN4" s="1140"/>
      <c r="AO4" s="1138" t="s">
        <v>2092</v>
      </c>
      <c r="AP4" s="1138"/>
      <c r="AQ4" s="1138"/>
      <c r="AR4" s="1138"/>
      <c r="AS4" s="1138"/>
      <c r="AT4" s="1138" t="s">
        <v>2152</v>
      </c>
      <c r="AU4" s="1138"/>
      <c r="AV4" s="603" t="s">
        <v>1762</v>
      </c>
    </row>
    <row r="5" spans="1:50" ht="89.25">
      <c r="A5" s="519" t="s">
        <v>1812</v>
      </c>
      <c r="B5" s="144" t="s">
        <v>30</v>
      </c>
      <c r="C5" s="144" t="s">
        <v>319</v>
      </c>
      <c r="D5" s="144" t="s">
        <v>1813</v>
      </c>
      <c r="E5" s="144" t="s">
        <v>1814</v>
      </c>
      <c r="F5" s="144" t="s">
        <v>1815</v>
      </c>
      <c r="G5" s="144" t="s">
        <v>320</v>
      </c>
      <c r="H5" s="144" t="s">
        <v>1816</v>
      </c>
      <c r="I5" s="144" t="s">
        <v>27</v>
      </c>
      <c r="J5" s="144" t="s">
        <v>28</v>
      </c>
      <c r="K5" s="144" t="s">
        <v>29</v>
      </c>
      <c r="L5" s="144" t="s">
        <v>152</v>
      </c>
      <c r="M5" s="144" t="s">
        <v>38</v>
      </c>
      <c r="N5" s="144" t="s">
        <v>1817</v>
      </c>
      <c r="O5" s="144" t="s">
        <v>1818</v>
      </c>
      <c r="P5" s="144" t="s">
        <v>1819</v>
      </c>
      <c r="Q5" s="144" t="s">
        <v>2227</v>
      </c>
      <c r="R5" s="144" t="s">
        <v>2228</v>
      </c>
      <c r="S5" s="144" t="s">
        <v>528</v>
      </c>
      <c r="T5" s="144" t="s">
        <v>1820</v>
      </c>
      <c r="U5" s="144" t="s">
        <v>38</v>
      </c>
      <c r="V5" s="144" t="s">
        <v>1821</v>
      </c>
      <c r="W5" s="144" t="s">
        <v>1822</v>
      </c>
      <c r="X5" s="1144"/>
      <c r="Y5" s="1138"/>
      <c r="Z5" s="1142"/>
      <c r="AA5" s="1141"/>
      <c r="AB5" s="1141"/>
      <c r="AC5" s="1141"/>
      <c r="AD5" s="536" t="s">
        <v>2040</v>
      </c>
      <c r="AE5" s="536" t="s">
        <v>2041</v>
      </c>
      <c r="AF5" s="536" t="s">
        <v>2042</v>
      </c>
      <c r="AG5" s="536" t="s">
        <v>1909</v>
      </c>
      <c r="AH5" s="536" t="s">
        <v>2043</v>
      </c>
      <c r="AI5" s="536" t="s">
        <v>450</v>
      </c>
      <c r="AJ5" s="536" t="s">
        <v>451</v>
      </c>
      <c r="AK5" s="536" t="s">
        <v>2044</v>
      </c>
      <c r="AL5" s="536" t="s">
        <v>442</v>
      </c>
      <c r="AM5" s="536" t="s">
        <v>2045</v>
      </c>
      <c r="AN5" s="537" t="s">
        <v>2046</v>
      </c>
      <c r="AO5" s="144" t="s">
        <v>2202</v>
      </c>
      <c r="AP5" s="144" t="s">
        <v>2203</v>
      </c>
      <c r="AQ5" s="144" t="s">
        <v>2205</v>
      </c>
      <c r="AR5" s="144" t="s">
        <v>2204</v>
      </c>
      <c r="AS5" s="144" t="s">
        <v>38</v>
      </c>
      <c r="AT5" s="570" t="s">
        <v>2311</v>
      </c>
      <c r="AU5" s="570" t="s">
        <v>2312</v>
      </c>
      <c r="AV5" s="6"/>
      <c r="AW5" s="3" t="s">
        <v>2715</v>
      </c>
      <c r="AX5" s="3" t="s">
        <v>2684</v>
      </c>
    </row>
    <row r="6" spans="1:50" ht="15" customHeight="1">
      <c r="A6" s="6" t="s">
        <v>791</v>
      </c>
      <c r="B6" s="520">
        <v>390</v>
      </c>
      <c r="C6" s="520">
        <v>148.69999999999999</v>
      </c>
      <c r="D6" s="520">
        <v>75.099999999999994</v>
      </c>
      <c r="E6" s="520">
        <v>97.4</v>
      </c>
      <c r="F6" s="520">
        <v>421.7</v>
      </c>
      <c r="G6" s="520">
        <v>297.10000000000002</v>
      </c>
      <c r="H6" s="520">
        <v>1429.9</v>
      </c>
      <c r="I6" s="521">
        <v>29.9</v>
      </c>
      <c r="J6" s="521">
        <v>1136</v>
      </c>
      <c r="K6" s="521">
        <v>130.5</v>
      </c>
      <c r="L6" s="521">
        <v>1429.9</v>
      </c>
      <c r="M6" s="521">
        <v>2726.4</v>
      </c>
      <c r="N6" s="521">
        <v>2957.2</v>
      </c>
      <c r="O6" s="521">
        <v>28.1</v>
      </c>
      <c r="P6" s="521">
        <v>100.8</v>
      </c>
      <c r="Q6" s="521">
        <v>17971</v>
      </c>
      <c r="R6" s="521">
        <v>8719</v>
      </c>
      <c r="S6" s="521">
        <v>2033</v>
      </c>
      <c r="T6" s="521">
        <v>1988</v>
      </c>
      <c r="U6" s="521">
        <f t="shared" ref="U6:U17" si="0">SUM(Q6:T6)</f>
        <v>30711</v>
      </c>
      <c r="V6" s="521">
        <v>21918</v>
      </c>
      <c r="W6" s="521">
        <v>567</v>
      </c>
      <c r="X6" s="521">
        <v>6124</v>
      </c>
      <c r="Y6" s="521">
        <v>592.70000000000005</v>
      </c>
      <c r="Z6" s="522">
        <v>106275</v>
      </c>
      <c r="AA6" s="523">
        <v>20.8</v>
      </c>
      <c r="AB6" s="524">
        <v>29.004999999999999</v>
      </c>
      <c r="AC6" s="524">
        <f t="shared" ref="AC6:AC17" si="1">AB6/AA6</f>
        <v>1.3944711538461538</v>
      </c>
      <c r="AD6" s="525">
        <v>4073</v>
      </c>
      <c r="AE6" s="525">
        <v>8493</v>
      </c>
      <c r="AF6" s="525">
        <v>4632</v>
      </c>
      <c r="AG6" s="526"/>
      <c r="AH6" s="526"/>
      <c r="AI6" s="525">
        <v>2414</v>
      </c>
      <c r="AJ6" s="525">
        <v>1930</v>
      </c>
      <c r="AK6" s="525">
        <v>3118</v>
      </c>
      <c r="AL6" s="525">
        <v>4697</v>
      </c>
      <c r="AM6" s="525">
        <v>6654</v>
      </c>
      <c r="AN6" s="527"/>
      <c r="AO6" s="522">
        <v>22622</v>
      </c>
      <c r="AP6" s="528">
        <v>418</v>
      </c>
      <c r="AQ6" s="522">
        <v>23041</v>
      </c>
      <c r="AR6" s="522">
        <v>1164</v>
      </c>
      <c r="AS6" s="522">
        <v>24205</v>
      </c>
      <c r="AT6" s="522">
        <v>3319.6</v>
      </c>
      <c r="AU6" s="591">
        <v>0.08</v>
      </c>
      <c r="AV6" s="837" t="s">
        <v>2645</v>
      </c>
      <c r="AW6" s="3">
        <f>2667.8+36.7+39.71+459.17+17.71+33.63+17.02+839.84+1817.9+28.52+1.96+97.91+7.21+47.88+291+29.05+10.78+146.79+5.15+21.12+7.43+12.12+4.53+2.48+0.61+3.3+244.41+10.09+2.47+3.1+6.94+13.01</f>
        <v>6927.3399999999992</v>
      </c>
      <c r="AX6" s="3">
        <f>AW6/(2017-1986)</f>
        <v>223.46258064516127</v>
      </c>
    </row>
    <row r="7" spans="1:50">
      <c r="A7" s="6" t="s">
        <v>81</v>
      </c>
      <c r="B7" s="520">
        <v>304.2</v>
      </c>
      <c r="C7" s="520">
        <v>92.3</v>
      </c>
      <c r="D7" s="520">
        <v>79.2</v>
      </c>
      <c r="E7" s="520">
        <v>53.2</v>
      </c>
      <c r="F7" s="520">
        <v>366.3</v>
      </c>
      <c r="G7" s="520">
        <v>342.4</v>
      </c>
      <c r="H7" s="520">
        <v>1237.7</v>
      </c>
      <c r="I7" s="521">
        <v>22.9</v>
      </c>
      <c r="J7" s="521">
        <v>798.1</v>
      </c>
      <c r="K7" s="521">
        <v>122.7</v>
      </c>
      <c r="L7" s="521">
        <v>1237.7</v>
      </c>
      <c r="M7" s="521">
        <v>2181.5</v>
      </c>
      <c r="N7" s="521">
        <v>2366.1999999999998</v>
      </c>
      <c r="O7" s="521">
        <v>20.2</v>
      </c>
      <c r="P7" s="521">
        <v>72.5</v>
      </c>
      <c r="Q7" s="521">
        <v>34390</v>
      </c>
      <c r="R7" s="521">
        <v>12588</v>
      </c>
      <c r="S7" s="521">
        <v>2855</v>
      </c>
      <c r="T7" s="521">
        <v>2328</v>
      </c>
      <c r="U7" s="521">
        <f t="shared" si="0"/>
        <v>52161</v>
      </c>
      <c r="V7" s="521">
        <v>28285</v>
      </c>
      <c r="W7" s="521">
        <v>264</v>
      </c>
      <c r="X7" s="521">
        <v>6040</v>
      </c>
      <c r="Y7" s="521">
        <v>866.3</v>
      </c>
      <c r="Z7" s="522">
        <v>117504</v>
      </c>
      <c r="AA7" s="523">
        <v>28.4</v>
      </c>
      <c r="AB7" s="524">
        <v>79.257000000000005</v>
      </c>
      <c r="AC7" s="524">
        <f t="shared" si="1"/>
        <v>2.7907394366197185</v>
      </c>
      <c r="AD7" s="525">
        <v>4060</v>
      </c>
      <c r="AE7" s="526"/>
      <c r="AF7" s="525">
        <v>4911</v>
      </c>
      <c r="AG7" s="526"/>
      <c r="AH7" s="526"/>
      <c r="AI7" s="525">
        <v>2808</v>
      </c>
      <c r="AJ7" s="526"/>
      <c r="AK7" s="525">
        <v>3322</v>
      </c>
      <c r="AL7" s="525">
        <v>4878</v>
      </c>
      <c r="AM7" s="525">
        <v>6853</v>
      </c>
      <c r="AN7" s="527"/>
      <c r="AO7" s="522">
        <v>29008</v>
      </c>
      <c r="AP7" s="528">
        <v>291</v>
      </c>
      <c r="AQ7" s="522">
        <v>29300</v>
      </c>
      <c r="AR7" s="522">
        <v>1426</v>
      </c>
      <c r="AS7" s="522">
        <v>30726</v>
      </c>
      <c r="AT7" s="522">
        <v>2661.5</v>
      </c>
      <c r="AU7" s="591">
        <v>8.199999999999999E-2</v>
      </c>
      <c r="AV7" s="837" t="s">
        <v>2646</v>
      </c>
      <c r="AW7" s="3">
        <f>15882.3+20.2+37.4+21.02+61.26+9.36+0.88+22.49+248.5+29.83+4.06+6.5+343.26+12.39+15.82+60.82+32.97+169.18+7.99+11.28+25.26+4.26+4.07+29.95+0.43+5.32+113.5+7.34+2.47+618.82+6.41+34.98</f>
        <v>17850.319999999996</v>
      </c>
      <c r="AX7" s="3">
        <f t="shared" ref="AX7:AX17" si="2">AW7/(2017-1986)</f>
        <v>575.81677419354821</v>
      </c>
    </row>
    <row r="8" spans="1:50">
      <c r="A8" s="6" t="s">
        <v>82</v>
      </c>
      <c r="B8" s="520">
        <v>607.4</v>
      </c>
      <c r="C8" s="520">
        <v>249.3</v>
      </c>
      <c r="D8" s="520">
        <v>165.7</v>
      </c>
      <c r="E8" s="520">
        <v>106.8</v>
      </c>
      <c r="F8" s="520">
        <v>734.7</v>
      </c>
      <c r="G8" s="520">
        <v>691.4</v>
      </c>
      <c r="H8" s="520">
        <v>2555.3000000000002</v>
      </c>
      <c r="I8" s="521">
        <v>36.5</v>
      </c>
      <c r="J8" s="521">
        <v>1151.5999999999999</v>
      </c>
      <c r="K8" s="521">
        <v>201.4</v>
      </c>
      <c r="L8" s="521">
        <v>2555.3000000000002</v>
      </c>
      <c r="M8" s="521">
        <v>3944.7</v>
      </c>
      <c r="N8" s="521">
        <v>4278.7</v>
      </c>
      <c r="O8" s="521">
        <v>24.6</v>
      </c>
      <c r="P8" s="521">
        <v>88.6</v>
      </c>
      <c r="Q8" s="521">
        <v>55373</v>
      </c>
      <c r="R8" s="521">
        <v>19418</v>
      </c>
      <c r="S8" s="521">
        <v>2528</v>
      </c>
      <c r="T8" s="521">
        <v>3663</v>
      </c>
      <c r="U8" s="521">
        <f t="shared" si="0"/>
        <v>80982</v>
      </c>
      <c r="V8" s="521">
        <v>20728</v>
      </c>
      <c r="W8" s="521">
        <v>733</v>
      </c>
      <c r="X8" s="521">
        <v>6777</v>
      </c>
      <c r="Y8" s="521">
        <v>1092.3</v>
      </c>
      <c r="Z8" s="522">
        <v>174381</v>
      </c>
      <c r="AA8" s="523">
        <v>29.7</v>
      </c>
      <c r="AB8" s="524">
        <v>129.62099999999998</v>
      </c>
      <c r="AC8" s="524">
        <f t="shared" si="1"/>
        <v>4.364343434343434</v>
      </c>
      <c r="AD8" s="525">
        <v>3713</v>
      </c>
      <c r="AE8" s="526"/>
      <c r="AF8" s="525">
        <v>4392</v>
      </c>
      <c r="AG8" s="526"/>
      <c r="AH8" s="526"/>
      <c r="AI8" s="526"/>
      <c r="AJ8" s="526"/>
      <c r="AK8" s="525">
        <v>2524</v>
      </c>
      <c r="AL8" s="525">
        <v>4371</v>
      </c>
      <c r="AM8" s="525">
        <v>6182</v>
      </c>
      <c r="AN8" s="527"/>
      <c r="AO8" s="522">
        <v>26278</v>
      </c>
      <c r="AP8" s="528">
        <v>575</v>
      </c>
      <c r="AQ8" s="522">
        <v>26853</v>
      </c>
      <c r="AR8" s="522">
        <v>9642</v>
      </c>
      <c r="AS8" s="522">
        <v>36495</v>
      </c>
      <c r="AT8" s="522">
        <v>4480.8</v>
      </c>
      <c r="AU8" s="591">
        <v>8.1000000000000003E-2</v>
      </c>
      <c r="AV8" s="837" t="s">
        <v>2647</v>
      </c>
      <c r="AW8" s="3">
        <f>7315+17+100.8+37.96+53.32+150.25+6.84+96.05+11718.8+6.68+18.09+6.43+3512.26+20.23+12.32+34.75+12.87+708.41+21.66+2179.05+34.28+274.77+1.65+201.33+26.25+6.84+248.66+19.81+4.59+459.69+52.62+323.22</f>
        <v>27682.480000000003</v>
      </c>
      <c r="AX8" s="3">
        <f t="shared" si="2"/>
        <v>892.98322580645174</v>
      </c>
    </row>
    <row r="9" spans="1:50">
      <c r="A9" s="6" t="s">
        <v>90</v>
      </c>
      <c r="B9" s="520">
        <v>3936</v>
      </c>
      <c r="C9" s="520">
        <v>2617.1999999999998</v>
      </c>
      <c r="D9" s="520">
        <v>965</v>
      </c>
      <c r="E9" s="520">
        <v>665.4</v>
      </c>
      <c r="F9" s="520">
        <v>4439.8</v>
      </c>
      <c r="G9" s="520">
        <v>2651.3</v>
      </c>
      <c r="H9" s="520">
        <v>15274.8</v>
      </c>
      <c r="I9" s="521">
        <v>16.399999999999999</v>
      </c>
      <c r="J9" s="521">
        <v>4761.3999999999996</v>
      </c>
      <c r="K9" s="521">
        <v>905.1</v>
      </c>
      <c r="L9" s="521">
        <v>15274.8</v>
      </c>
      <c r="M9" s="521">
        <v>20957.7</v>
      </c>
      <c r="N9" s="521">
        <v>22731.9</v>
      </c>
      <c r="O9" s="521">
        <v>28.5</v>
      </c>
      <c r="P9" s="521">
        <v>102.3</v>
      </c>
      <c r="Q9" s="521">
        <v>12581</v>
      </c>
      <c r="R9" s="521">
        <v>10106</v>
      </c>
      <c r="S9" s="521">
        <v>659</v>
      </c>
      <c r="T9" s="521">
        <v>2646</v>
      </c>
      <c r="U9" s="521">
        <f t="shared" si="0"/>
        <v>25992</v>
      </c>
      <c r="V9" s="521">
        <v>2440</v>
      </c>
      <c r="W9" s="521">
        <v>1971</v>
      </c>
      <c r="X9" s="521">
        <v>18177</v>
      </c>
      <c r="Y9" s="521">
        <v>486</v>
      </c>
      <c r="Z9" s="522">
        <v>809883</v>
      </c>
      <c r="AA9" s="523">
        <v>32</v>
      </c>
      <c r="AB9" s="524">
        <v>19.896999999999998</v>
      </c>
      <c r="AC9" s="524">
        <f t="shared" si="1"/>
        <v>0.62178124999999995</v>
      </c>
      <c r="AD9" s="525">
        <v>3551</v>
      </c>
      <c r="AE9" s="525">
        <v>7315</v>
      </c>
      <c r="AF9" s="525">
        <v>4014</v>
      </c>
      <c r="AG9" s="526"/>
      <c r="AH9" s="526"/>
      <c r="AI9" s="526"/>
      <c r="AJ9" s="526"/>
      <c r="AK9" s="525">
        <v>2520</v>
      </c>
      <c r="AL9" s="525">
        <v>4072</v>
      </c>
      <c r="AM9" s="525">
        <v>5933</v>
      </c>
      <c r="AN9" s="527"/>
      <c r="AO9" s="522">
        <v>1706</v>
      </c>
      <c r="AP9" s="522">
        <v>1386</v>
      </c>
      <c r="AQ9" s="522">
        <v>3092</v>
      </c>
      <c r="AR9" s="528">
        <v>530</v>
      </c>
      <c r="AS9" s="522">
        <v>3622</v>
      </c>
      <c r="AT9" s="522">
        <v>22878.1</v>
      </c>
      <c r="AU9" s="591">
        <v>8.3000000000000004E-2</v>
      </c>
      <c r="AV9" s="837" t="s">
        <v>2648</v>
      </c>
      <c r="AW9" s="3">
        <f>674.4+149.1+23.6+28.8+194.55+120.2+29.18+26.98+4538.9+297.41+0.6+14.24+55.02+19.62+11.28+101.86+3.02+14.78+5.75+162.98+8.42+10.42+7.25+3.21+53.53+4.54+8.98+82.45+3.84+7.66+17.09+18.89</f>
        <v>6698.5499999999993</v>
      </c>
      <c r="AX9" s="3">
        <f t="shared" si="2"/>
        <v>216.08225806451611</v>
      </c>
    </row>
    <row r="10" spans="1:50">
      <c r="A10" s="6" t="s">
        <v>83</v>
      </c>
      <c r="B10" s="520">
        <v>10799.8</v>
      </c>
      <c r="C10" s="520">
        <v>8990.6</v>
      </c>
      <c r="D10" s="520">
        <v>4647.1000000000004</v>
      </c>
      <c r="E10" s="520">
        <v>3925.8</v>
      </c>
      <c r="F10" s="520">
        <v>17452.599999999999</v>
      </c>
      <c r="G10" s="520">
        <v>15381.2</v>
      </c>
      <c r="H10" s="520">
        <v>61197.2</v>
      </c>
      <c r="I10" s="521">
        <v>10.5</v>
      </c>
      <c r="J10" s="521">
        <v>6106.4</v>
      </c>
      <c r="K10" s="521">
        <v>2541.4</v>
      </c>
      <c r="L10" s="521">
        <v>61197.2</v>
      </c>
      <c r="M10" s="521">
        <v>69855.5</v>
      </c>
      <c r="N10" s="521">
        <v>75769.399999999994</v>
      </c>
      <c r="O10" s="521">
        <v>34.5</v>
      </c>
      <c r="P10" s="521">
        <v>123.9</v>
      </c>
      <c r="Q10" s="521">
        <v>1188</v>
      </c>
      <c r="R10" s="521">
        <v>1185</v>
      </c>
      <c r="S10" s="521">
        <v>81</v>
      </c>
      <c r="T10" s="521">
        <v>127</v>
      </c>
      <c r="U10" s="521">
        <f t="shared" si="0"/>
        <v>2581</v>
      </c>
      <c r="V10" s="521">
        <v>12</v>
      </c>
      <c r="W10" s="521">
        <v>41</v>
      </c>
      <c r="X10" s="521">
        <v>11736</v>
      </c>
      <c r="Y10" s="521">
        <v>145.80000000000001</v>
      </c>
      <c r="Z10" s="522">
        <v>2232833</v>
      </c>
      <c r="AA10" s="523">
        <v>7.7</v>
      </c>
      <c r="AB10" s="524">
        <v>8.4930000000000003</v>
      </c>
      <c r="AC10" s="524">
        <f t="shared" si="1"/>
        <v>1.102987012987013</v>
      </c>
      <c r="AD10" s="526"/>
      <c r="AE10" s="526"/>
      <c r="AF10" s="526"/>
      <c r="AG10" s="526"/>
      <c r="AH10" s="526"/>
      <c r="AI10" s="526"/>
      <c r="AJ10" s="526"/>
      <c r="AK10" s="526"/>
      <c r="AL10" s="526"/>
      <c r="AM10" s="526"/>
      <c r="AN10" s="527"/>
      <c r="AO10" s="528">
        <v>598</v>
      </c>
      <c r="AP10" s="528">
        <v>160</v>
      </c>
      <c r="AQ10" s="528">
        <v>758</v>
      </c>
      <c r="AR10" s="528">
        <v>27</v>
      </c>
      <c r="AS10" s="528">
        <v>785</v>
      </c>
      <c r="AT10" s="528">
        <v>75695.600000000006</v>
      </c>
      <c r="AU10" s="591">
        <v>0.11199999999999999</v>
      </c>
      <c r="AV10" s="837" t="s">
        <v>2649</v>
      </c>
      <c r="AW10" s="3">
        <f>9.2+35.79+132.28+28.93+23.47+42.51+33.63+513.6+11.65+2.89+3.43+26.13+12.64+5.56+133.67+4.23+56.31+26.77+13.43+36.63+11.86+0.07+3.5+0.44+1.95+15.8+5.46+0.92+22.07+22.86+5.37</f>
        <v>1243.0499999999997</v>
      </c>
      <c r="AX10" s="3">
        <f t="shared" si="2"/>
        <v>40.098387096774182</v>
      </c>
    </row>
    <row r="11" spans="1:50">
      <c r="A11" s="6" t="s">
        <v>84</v>
      </c>
      <c r="B11" s="520">
        <v>110.4</v>
      </c>
      <c r="C11" s="520">
        <v>70.599999999999994</v>
      </c>
      <c r="D11" s="520">
        <v>37.5</v>
      </c>
      <c r="E11" s="520">
        <v>23.9</v>
      </c>
      <c r="F11" s="520">
        <v>121.5</v>
      </c>
      <c r="G11" s="520">
        <v>126.1</v>
      </c>
      <c r="H11" s="520">
        <v>489.9</v>
      </c>
      <c r="I11" s="521">
        <v>31.5</v>
      </c>
      <c r="J11" s="521">
        <v>172</v>
      </c>
      <c r="K11" s="521">
        <v>63.6</v>
      </c>
      <c r="L11" s="521">
        <v>489.9</v>
      </c>
      <c r="M11" s="521">
        <v>757</v>
      </c>
      <c r="N11" s="521">
        <v>821.1</v>
      </c>
      <c r="O11" s="521">
        <v>20.8</v>
      </c>
      <c r="P11" s="521">
        <v>74.599999999999994</v>
      </c>
      <c r="Q11" s="521">
        <v>71586</v>
      </c>
      <c r="R11" s="521">
        <v>18848</v>
      </c>
      <c r="S11" s="521">
        <v>13260</v>
      </c>
      <c r="T11" s="521">
        <v>2038</v>
      </c>
      <c r="U11" s="521">
        <f t="shared" si="0"/>
        <v>105732</v>
      </c>
      <c r="V11" s="521">
        <v>10260</v>
      </c>
      <c r="W11" s="521">
        <v>59</v>
      </c>
      <c r="X11" s="521">
        <v>2461</v>
      </c>
      <c r="Y11" s="521">
        <v>1185.3</v>
      </c>
      <c r="Z11" s="522">
        <v>39178</v>
      </c>
      <c r="AA11" s="523">
        <v>9.9</v>
      </c>
      <c r="AB11" s="524">
        <v>3.3860000000000001</v>
      </c>
      <c r="AC11" s="524">
        <f t="shared" si="1"/>
        <v>0.342020202020202</v>
      </c>
      <c r="AD11" s="525">
        <v>2859</v>
      </c>
      <c r="AE11" s="526"/>
      <c r="AF11" s="526"/>
      <c r="AG11" s="526"/>
      <c r="AH11" s="526"/>
      <c r="AI11" s="526"/>
      <c r="AJ11" s="526"/>
      <c r="AK11" s="525">
        <v>2538</v>
      </c>
      <c r="AL11" s="525">
        <v>3466</v>
      </c>
      <c r="AM11" s="525">
        <v>5195</v>
      </c>
      <c r="AN11" s="527"/>
      <c r="AO11" s="522">
        <v>12743</v>
      </c>
      <c r="AP11" s="528">
        <v>96</v>
      </c>
      <c r="AQ11" s="522">
        <v>12839</v>
      </c>
      <c r="AR11" s="522">
        <v>13433</v>
      </c>
      <c r="AS11" s="522">
        <v>26272</v>
      </c>
      <c r="AT11" s="522">
        <v>964.3</v>
      </c>
      <c r="AU11" s="591">
        <v>0.10099999999999999</v>
      </c>
      <c r="AV11" s="837" t="s">
        <v>2650</v>
      </c>
      <c r="AW11" s="3">
        <f>20.9+10.2+36.73+22.66+5.03+133.99+1.5+21.06+19455.1+1.04+2.28+10.71+10.69+15.06+24.77+3.76+2.29+7.87+0.45+427.21+1.26+23.21+3.44+0.06+0.05+0.13+1.47+0.89+2.36+0.8+1.45+4.06</f>
        <v>20252.479999999996</v>
      </c>
      <c r="AX11" s="3">
        <f t="shared" si="2"/>
        <v>653.30580645161274</v>
      </c>
    </row>
    <row r="12" spans="1:50">
      <c r="A12" s="6" t="s">
        <v>85</v>
      </c>
      <c r="B12" s="520">
        <v>339.5</v>
      </c>
      <c r="C12" s="520">
        <v>78.900000000000006</v>
      </c>
      <c r="D12" s="520">
        <v>217</v>
      </c>
      <c r="E12" s="520">
        <v>72.5</v>
      </c>
      <c r="F12" s="520">
        <v>648.5</v>
      </c>
      <c r="G12" s="520">
        <v>425.3</v>
      </c>
      <c r="H12" s="520">
        <v>1781.6</v>
      </c>
      <c r="I12" s="521">
        <v>13.8</v>
      </c>
      <c r="J12" s="521">
        <v>253.2</v>
      </c>
      <c r="K12" s="521">
        <v>145.9</v>
      </c>
      <c r="L12" s="521">
        <v>1781.6</v>
      </c>
      <c r="M12" s="521">
        <v>2194.6</v>
      </c>
      <c r="N12" s="521">
        <v>2380.3000000000002</v>
      </c>
      <c r="O12" s="521">
        <v>16.600000000000001</v>
      </c>
      <c r="P12" s="521">
        <v>59.6</v>
      </c>
      <c r="Q12" s="521">
        <v>5619</v>
      </c>
      <c r="R12" s="521">
        <v>5425</v>
      </c>
      <c r="S12" s="521">
        <v>133</v>
      </c>
      <c r="T12" s="521">
        <v>936</v>
      </c>
      <c r="U12" s="521">
        <f t="shared" si="0"/>
        <v>12113</v>
      </c>
      <c r="V12" s="521">
        <v>1597</v>
      </c>
      <c r="W12" s="521">
        <v>135</v>
      </c>
      <c r="X12" s="521">
        <v>4615</v>
      </c>
      <c r="Y12" s="521">
        <v>185.1</v>
      </c>
      <c r="Z12" s="522">
        <v>146876</v>
      </c>
      <c r="AA12" s="523">
        <v>8</v>
      </c>
      <c r="AB12" s="524">
        <v>45.203000000000003</v>
      </c>
      <c r="AC12" s="524">
        <f t="shared" si="1"/>
        <v>5.6503750000000004</v>
      </c>
      <c r="AD12" s="525">
        <v>4061</v>
      </c>
      <c r="AE12" s="525">
        <v>8232</v>
      </c>
      <c r="AF12" s="525">
        <v>4636</v>
      </c>
      <c r="AG12" s="526"/>
      <c r="AH12" s="526"/>
      <c r="AI12" s="526"/>
      <c r="AJ12" s="526"/>
      <c r="AK12" s="525">
        <v>2954</v>
      </c>
      <c r="AL12" s="525">
        <v>4727</v>
      </c>
      <c r="AM12" s="525">
        <v>6624</v>
      </c>
      <c r="AN12" s="527"/>
      <c r="AO12" s="522">
        <v>1746</v>
      </c>
      <c r="AP12" s="528">
        <v>91</v>
      </c>
      <c r="AQ12" s="522">
        <v>1837</v>
      </c>
      <c r="AR12" s="528">
        <v>434</v>
      </c>
      <c r="AS12" s="522">
        <v>2271</v>
      </c>
      <c r="AT12" s="522">
        <v>2926.3</v>
      </c>
      <c r="AU12" s="591">
        <v>0.152</v>
      </c>
      <c r="AV12" s="837" t="s">
        <v>2651</v>
      </c>
      <c r="AW12" s="3">
        <f>514.8+28.7+184.25+62.44+7.99+5.43+3.26+16.3+3132.9+1.12+0.46+145.26+16.87+15.08+166.81+14.55+0.12+9.05+0.51+0.79+6.75+0.15+0.3+4.29+60.07+1.79+367.61+1.08+2.36+0.36+14.02+0.18</f>
        <v>4785.6499999999996</v>
      </c>
      <c r="AX12" s="3">
        <f t="shared" si="2"/>
        <v>154.3758064516129</v>
      </c>
    </row>
    <row r="13" spans="1:50">
      <c r="A13" s="6" t="s">
        <v>86</v>
      </c>
      <c r="B13" s="520">
        <v>1262.8</v>
      </c>
      <c r="C13" s="520">
        <v>379.6</v>
      </c>
      <c r="D13" s="520">
        <v>527.29999999999995</v>
      </c>
      <c r="E13" s="520">
        <v>245.6</v>
      </c>
      <c r="F13" s="520">
        <v>2016.6</v>
      </c>
      <c r="G13" s="520">
        <v>1397.5</v>
      </c>
      <c r="H13" s="520">
        <v>5829.3</v>
      </c>
      <c r="I13" s="521">
        <v>84</v>
      </c>
      <c r="J13" s="521">
        <v>1313.7</v>
      </c>
      <c r="K13" s="521">
        <v>431.4</v>
      </c>
      <c r="L13" s="521">
        <v>5829.3</v>
      </c>
      <c r="M13" s="521">
        <v>7658.4</v>
      </c>
      <c r="N13" s="521">
        <v>8306.7999999999993</v>
      </c>
      <c r="O13" s="521">
        <v>19.2</v>
      </c>
      <c r="P13" s="521">
        <v>69</v>
      </c>
      <c r="Q13" s="521">
        <v>15863</v>
      </c>
      <c r="R13" s="521">
        <v>7991</v>
      </c>
      <c r="S13" s="521">
        <v>1176</v>
      </c>
      <c r="T13" s="521">
        <v>1869</v>
      </c>
      <c r="U13" s="521">
        <f t="shared" si="0"/>
        <v>26899</v>
      </c>
      <c r="V13" s="521">
        <v>680</v>
      </c>
      <c r="W13" s="521">
        <v>2367</v>
      </c>
      <c r="X13" s="521">
        <v>9804</v>
      </c>
      <c r="Y13" s="521">
        <v>398.5</v>
      </c>
      <c r="Z13" s="522">
        <v>441505</v>
      </c>
      <c r="AA13" s="523">
        <v>20.399999999999999</v>
      </c>
      <c r="AB13" s="524">
        <v>6.028999999999999</v>
      </c>
      <c r="AC13" s="524">
        <f t="shared" si="1"/>
        <v>0.2955392156862745</v>
      </c>
      <c r="AD13" s="529">
        <v>3716</v>
      </c>
      <c r="AE13" s="529">
        <v>7473</v>
      </c>
      <c r="AF13" s="529">
        <v>4467</v>
      </c>
      <c r="AG13" s="530"/>
      <c r="AH13" s="530"/>
      <c r="AI13" s="530"/>
      <c r="AJ13" s="529">
        <v>1925</v>
      </c>
      <c r="AK13" s="529">
        <v>2619</v>
      </c>
      <c r="AL13" s="529">
        <v>4231</v>
      </c>
      <c r="AM13" s="529">
        <v>6267</v>
      </c>
      <c r="AN13" s="531"/>
      <c r="AO13" s="522">
        <v>1117</v>
      </c>
      <c r="AP13" s="522">
        <v>2056</v>
      </c>
      <c r="AQ13" s="522">
        <v>3173</v>
      </c>
      <c r="AR13" s="528">
        <v>652</v>
      </c>
      <c r="AS13" s="522">
        <v>3825</v>
      </c>
      <c r="AT13" s="522">
        <v>8712</v>
      </c>
      <c r="AU13" s="591">
        <v>0.13900000000000001</v>
      </c>
      <c r="AV13" s="837" t="s">
        <v>2652</v>
      </c>
      <c r="AW13" s="3">
        <f>122.4+38.9+37.72+37.36+44.37+17.67+5.42+57.36+672.1+38.19+0.46+5.45+11.09+7.26+14.23+45.81+0.39+235.96+6.35+9.92+5.86+13.91+6.97+5.11+1.89+2.64+5.55+3.36+9.76+2.65+8.45+18.59</f>
        <v>1493.1500000000003</v>
      </c>
      <c r="AX13" s="3">
        <f t="shared" si="2"/>
        <v>48.166129032258077</v>
      </c>
    </row>
    <row r="14" spans="1:50">
      <c r="A14" s="6" t="s">
        <v>87</v>
      </c>
      <c r="B14" s="520">
        <v>40.4</v>
      </c>
      <c r="C14" s="520">
        <v>6.8</v>
      </c>
      <c r="D14" s="520">
        <v>14.9</v>
      </c>
      <c r="E14" s="520">
        <v>5.0999999999999996</v>
      </c>
      <c r="F14" s="520">
        <v>36.1</v>
      </c>
      <c r="G14" s="520">
        <v>27.7</v>
      </c>
      <c r="H14" s="520">
        <v>131.1</v>
      </c>
      <c r="I14" s="521">
        <v>5.9</v>
      </c>
      <c r="J14" s="521">
        <v>87.2</v>
      </c>
      <c r="K14" s="521">
        <v>20.9</v>
      </c>
      <c r="L14" s="521">
        <v>131.1</v>
      </c>
      <c r="M14" s="521">
        <v>245.2</v>
      </c>
      <c r="N14" s="521">
        <v>265.89999999999998</v>
      </c>
      <c r="O14" s="521">
        <v>20.5</v>
      </c>
      <c r="P14" s="521">
        <v>73.7</v>
      </c>
      <c r="Q14" s="521">
        <v>20380</v>
      </c>
      <c r="R14" s="521">
        <v>5890</v>
      </c>
      <c r="S14" s="521">
        <v>1248</v>
      </c>
      <c r="T14" s="521">
        <v>530</v>
      </c>
      <c r="U14" s="521">
        <f t="shared" si="0"/>
        <v>28048</v>
      </c>
      <c r="V14" s="521">
        <v>4301</v>
      </c>
      <c r="W14" s="521">
        <v>51</v>
      </c>
      <c r="X14" s="521">
        <v>1380</v>
      </c>
      <c r="Y14" s="521">
        <v>337.9</v>
      </c>
      <c r="Z14" s="522">
        <v>13209</v>
      </c>
      <c r="AA14" s="523">
        <v>5.7</v>
      </c>
      <c r="AB14" s="524">
        <v>4.5270000000000001</v>
      </c>
      <c r="AC14" s="524">
        <f t="shared" si="1"/>
        <v>0.79421052631578948</v>
      </c>
      <c r="AD14" s="6"/>
      <c r="AE14" s="6"/>
      <c r="AF14" s="6"/>
      <c r="AG14" s="6"/>
      <c r="AH14" s="6"/>
      <c r="AI14" s="6"/>
      <c r="AJ14" s="6"/>
      <c r="AK14" s="6"/>
      <c r="AL14" s="6"/>
      <c r="AM14" s="6"/>
      <c r="AN14" s="95"/>
      <c r="AO14" s="6"/>
      <c r="AP14" s="6"/>
      <c r="AQ14" s="6"/>
      <c r="AR14" s="6"/>
      <c r="AS14" s="6"/>
      <c r="AT14" s="6"/>
      <c r="AU14" s="97"/>
      <c r="AV14" s="837" t="s">
        <v>2653</v>
      </c>
      <c r="AW14" s="3">
        <f>238.6+41+13.08+12.57+7.48+4.7+0.12+4.21+1292.9+3.5+2.33+1.92+17.72+4.62+0.53+1.02+0.02+1821.83+0.79+81.97+1.85+12.64+0.13+4.72+0.06+1.31+25.21+0.46+0.38+0.13+0.23+10.97</f>
        <v>3608.9999999999991</v>
      </c>
      <c r="AX14" s="3">
        <f t="shared" si="2"/>
        <v>116.41935483870965</v>
      </c>
    </row>
    <row r="15" spans="1:50">
      <c r="A15" s="6" t="s">
        <v>88</v>
      </c>
      <c r="B15" s="520">
        <v>522.4</v>
      </c>
      <c r="C15" s="520">
        <v>162.69999999999999</v>
      </c>
      <c r="D15" s="520">
        <v>124.1</v>
      </c>
      <c r="E15" s="520">
        <v>98.4</v>
      </c>
      <c r="F15" s="520">
        <v>566.29999999999995</v>
      </c>
      <c r="G15" s="520">
        <v>549.9</v>
      </c>
      <c r="H15" s="520">
        <v>2023.8</v>
      </c>
      <c r="I15" s="521">
        <v>69.2</v>
      </c>
      <c r="J15" s="521">
        <v>1458.9</v>
      </c>
      <c r="K15" s="521">
        <v>208.9</v>
      </c>
      <c r="L15" s="521">
        <v>2023.8</v>
      </c>
      <c r="M15" s="521">
        <v>3760.8</v>
      </c>
      <c r="N15" s="521">
        <v>4079.2</v>
      </c>
      <c r="O15" s="521">
        <v>26.8</v>
      </c>
      <c r="P15" s="521">
        <v>96.2</v>
      </c>
      <c r="Q15" s="521">
        <v>61300</v>
      </c>
      <c r="R15" s="521">
        <v>19570</v>
      </c>
      <c r="S15" s="521">
        <v>7848</v>
      </c>
      <c r="T15" s="521">
        <v>4740</v>
      </c>
      <c r="U15" s="521">
        <f t="shared" si="0"/>
        <v>93458</v>
      </c>
      <c r="V15" s="521">
        <v>24197</v>
      </c>
      <c r="W15" s="521">
        <v>640</v>
      </c>
      <c r="X15" s="521">
        <v>6546</v>
      </c>
      <c r="Y15" s="521">
        <v>1245.2</v>
      </c>
      <c r="Z15" s="522">
        <v>155641</v>
      </c>
      <c r="AA15" s="523">
        <v>9.9</v>
      </c>
      <c r="AB15" s="524">
        <v>10.621999999999998</v>
      </c>
      <c r="AC15" s="524">
        <f t="shared" si="1"/>
        <v>1.0729292929292926</v>
      </c>
      <c r="AD15" s="532">
        <v>3370</v>
      </c>
      <c r="AE15" s="533"/>
      <c r="AF15" s="533"/>
      <c r="AG15" s="533"/>
      <c r="AH15" s="533"/>
      <c r="AI15" s="533"/>
      <c r="AJ15" s="533"/>
      <c r="AK15" s="532">
        <v>2338</v>
      </c>
      <c r="AL15" s="532">
        <v>3741</v>
      </c>
      <c r="AM15" s="532">
        <v>5605</v>
      </c>
      <c r="AN15" s="534"/>
      <c r="AO15" s="522">
        <v>26131</v>
      </c>
      <c r="AP15" s="528">
        <v>500</v>
      </c>
      <c r="AQ15" s="522">
        <v>26631</v>
      </c>
      <c r="AR15" s="522">
        <v>15429</v>
      </c>
      <c r="AS15" s="522">
        <v>42060</v>
      </c>
      <c r="AT15" s="522">
        <v>4214.8</v>
      </c>
      <c r="AU15" s="591">
        <v>8.199999999999999E-2</v>
      </c>
      <c r="AV15" s="837" t="s">
        <v>2654</v>
      </c>
      <c r="AW15" s="3">
        <f>1517.3+3.2+26.42+21.42+12.76+6.72+0.6+20.1+472.7+5+0.67+7.72+5.73+5.51+9.05+1.21+1.16+8.41+3.39+7.19+9.61+4.67+1+1.12+1.4+1.35+89.12+1.16+4.71+0.83+0.86+1.27</f>
        <v>2253.3599999999997</v>
      </c>
      <c r="AX15" s="3">
        <f t="shared" si="2"/>
        <v>72.689032258064501</v>
      </c>
    </row>
    <row r="16" spans="1:50">
      <c r="A16" s="6" t="s">
        <v>89</v>
      </c>
      <c r="B16" s="520">
        <v>4192.8</v>
      </c>
      <c r="C16" s="520">
        <v>1410.1</v>
      </c>
      <c r="D16" s="520">
        <v>834.6</v>
      </c>
      <c r="E16" s="520">
        <v>903.6</v>
      </c>
      <c r="F16" s="520">
        <v>4494.8</v>
      </c>
      <c r="G16" s="520">
        <v>3555.4</v>
      </c>
      <c r="H16" s="520">
        <v>15391.4</v>
      </c>
      <c r="I16" s="521">
        <v>8.3000000000000007</v>
      </c>
      <c r="J16" s="521">
        <v>6182.8</v>
      </c>
      <c r="K16" s="521">
        <v>986.7</v>
      </c>
      <c r="L16" s="521">
        <v>15391.4</v>
      </c>
      <c r="M16" s="521">
        <v>22569.200000000001</v>
      </c>
      <c r="N16" s="521">
        <v>24479.9</v>
      </c>
      <c r="O16" s="521">
        <v>27.4</v>
      </c>
      <c r="P16" s="521">
        <v>98.4</v>
      </c>
      <c r="Q16" s="521">
        <v>18341</v>
      </c>
      <c r="R16" s="521">
        <v>12948</v>
      </c>
      <c r="S16" s="521">
        <v>284</v>
      </c>
      <c r="T16" s="521">
        <v>2633</v>
      </c>
      <c r="U16" s="521">
        <f t="shared" si="0"/>
        <v>34206</v>
      </c>
      <c r="V16" s="521">
        <v>5140</v>
      </c>
      <c r="W16" s="521">
        <v>427</v>
      </c>
      <c r="X16" s="521">
        <v>18527</v>
      </c>
      <c r="Y16" s="521">
        <v>583.1</v>
      </c>
      <c r="Z16" s="522">
        <v>904240</v>
      </c>
      <c r="AA16" s="523">
        <v>33.5</v>
      </c>
      <c r="AB16" s="524">
        <v>5.5780000000000003</v>
      </c>
      <c r="AC16" s="524">
        <f t="shared" si="1"/>
        <v>0.16650746268656716</v>
      </c>
      <c r="AD16" s="525">
        <v>3804</v>
      </c>
      <c r="AE16" s="525">
        <v>7875</v>
      </c>
      <c r="AF16" s="525">
        <v>4654</v>
      </c>
      <c r="AG16" s="526"/>
      <c r="AH16" s="526"/>
      <c r="AI16" s="526"/>
      <c r="AJ16" s="526"/>
      <c r="AK16" s="525">
        <v>2746</v>
      </c>
      <c r="AL16" s="525">
        <v>4377</v>
      </c>
      <c r="AM16" s="525">
        <v>6440</v>
      </c>
      <c r="AN16" s="527"/>
      <c r="AO16" s="522">
        <v>4536</v>
      </c>
      <c r="AP16" s="528">
        <v>445</v>
      </c>
      <c r="AQ16" s="522">
        <v>4981</v>
      </c>
      <c r="AR16" s="522">
        <v>1113</v>
      </c>
      <c r="AS16" s="522">
        <v>6094</v>
      </c>
      <c r="AT16" s="522">
        <v>24456.5</v>
      </c>
      <c r="AU16" s="591">
        <v>7.8E-2</v>
      </c>
      <c r="AV16" s="837" t="s">
        <v>2655</v>
      </c>
      <c r="AW16" s="3">
        <f>1435.8+134+49.9+89.25+196.57+63.07+6.63+221.13+3429.9+28.26+10.92+12.14+18.24+37.42+37.68+12.86+150.6+2228.55+6.47+218.39+8.71+7.96+2.84+5.67+1.08+7.42+6.03+5.4+2.81+9.43+7.14+16.93</f>
        <v>8469.1999999999989</v>
      </c>
      <c r="AX16" s="3">
        <f t="shared" si="2"/>
        <v>273.2</v>
      </c>
    </row>
    <row r="17" spans="1:50">
      <c r="A17" s="6" t="s">
        <v>24</v>
      </c>
      <c r="B17" s="520">
        <v>1675.6</v>
      </c>
      <c r="C17" s="520">
        <v>511.7</v>
      </c>
      <c r="D17" s="520">
        <v>300.8</v>
      </c>
      <c r="E17" s="520">
        <v>224.4</v>
      </c>
      <c r="F17" s="520">
        <v>1728.9</v>
      </c>
      <c r="G17" s="520">
        <v>1306.3</v>
      </c>
      <c r="H17" s="520">
        <v>5747.6</v>
      </c>
      <c r="I17" s="521">
        <v>37.4</v>
      </c>
      <c r="J17" s="521">
        <v>3965.7</v>
      </c>
      <c r="K17" s="521">
        <v>463.8</v>
      </c>
      <c r="L17" s="521">
        <v>5747.6</v>
      </c>
      <c r="M17" s="521">
        <v>10214.6</v>
      </c>
      <c r="N17" s="521">
        <v>11079.3</v>
      </c>
      <c r="O17" s="521">
        <v>27.9</v>
      </c>
      <c r="P17" s="521">
        <v>100.3</v>
      </c>
      <c r="Q17" s="521">
        <v>23735</v>
      </c>
      <c r="R17" s="521">
        <v>21683</v>
      </c>
      <c r="S17" s="521">
        <v>2245</v>
      </c>
      <c r="T17" s="521">
        <v>3168</v>
      </c>
      <c r="U17" s="521">
        <f t="shared" si="0"/>
        <v>50831</v>
      </c>
      <c r="V17" s="521">
        <v>5958</v>
      </c>
      <c r="W17" s="521">
        <v>2542</v>
      </c>
      <c r="X17" s="521">
        <v>14309</v>
      </c>
      <c r="Y17" s="521">
        <v>735</v>
      </c>
      <c r="Z17" s="522">
        <v>401338</v>
      </c>
      <c r="AA17" s="523">
        <v>26.9</v>
      </c>
      <c r="AB17" s="524">
        <v>2.7029999999999998</v>
      </c>
      <c r="AC17" s="524">
        <f t="shared" si="1"/>
        <v>0.10048327137546469</v>
      </c>
      <c r="AD17" s="525">
        <v>3693</v>
      </c>
      <c r="AE17" s="525">
        <v>6803</v>
      </c>
      <c r="AF17" s="525">
        <v>4109</v>
      </c>
      <c r="AG17" s="526"/>
      <c r="AH17" s="526"/>
      <c r="AI17" s="526"/>
      <c r="AJ17" s="526"/>
      <c r="AK17" s="525">
        <v>2406</v>
      </c>
      <c r="AL17" s="525">
        <v>4115</v>
      </c>
      <c r="AM17" s="525">
        <v>5979</v>
      </c>
      <c r="AN17" s="527"/>
      <c r="AO17" s="522">
        <v>8103</v>
      </c>
      <c r="AP17" s="522">
        <v>2982</v>
      </c>
      <c r="AQ17" s="522">
        <v>11085</v>
      </c>
      <c r="AR17" s="522">
        <v>4218</v>
      </c>
      <c r="AS17" s="522">
        <v>15303</v>
      </c>
      <c r="AT17" s="522">
        <v>11625.4</v>
      </c>
      <c r="AU17" s="591">
        <v>8.4000000000000005E-2</v>
      </c>
      <c r="AV17" s="837" t="s">
        <v>2656</v>
      </c>
      <c r="AW17" s="3">
        <f>104.6+104.7+9.82+59.12+16.69+16.85+0.74+43.18+2728.6+8.26+1.75+3.09+2.39+20.15+1.62+17.36+1.07+9.51+2.5+4.36+15.14+2.17+3.69+2.92+1.2+1.2+2.54+3.18+3.7+4.54+1.89+7.48</f>
        <v>3206.01</v>
      </c>
      <c r="AX17" s="3">
        <f t="shared" si="2"/>
        <v>103.41967741935484</v>
      </c>
    </row>
    <row r="18" spans="1:50">
      <c r="A18" s="34" t="s">
        <v>1823</v>
      </c>
      <c r="B18" s="520">
        <f>SUM(B6:B17)</f>
        <v>24181.3</v>
      </c>
      <c r="C18" s="520">
        <f t="shared" ref="C18:Y18" si="3">SUM(C6:C17)</f>
        <v>14718.500000000002</v>
      </c>
      <c r="D18" s="520">
        <f t="shared" si="3"/>
        <v>7988.3000000000011</v>
      </c>
      <c r="E18" s="520">
        <f t="shared" si="3"/>
        <v>6422.1</v>
      </c>
      <c r="F18" s="520">
        <f t="shared" si="3"/>
        <v>33027.799999999996</v>
      </c>
      <c r="G18" s="520">
        <f t="shared" si="3"/>
        <v>26751.600000000002</v>
      </c>
      <c r="H18" s="520">
        <f t="shared" si="3"/>
        <v>113089.60000000001</v>
      </c>
      <c r="I18" s="520">
        <f t="shared" si="3"/>
        <v>366.3</v>
      </c>
      <c r="J18" s="520">
        <f t="shared" si="3"/>
        <v>27387.000000000004</v>
      </c>
      <c r="K18" s="520">
        <f t="shared" si="3"/>
        <v>6222.2999999999993</v>
      </c>
      <c r="L18" s="520">
        <f t="shared" si="3"/>
        <v>113089.60000000001</v>
      </c>
      <c r="M18" s="520">
        <f t="shared" si="3"/>
        <v>147065.60000000001</v>
      </c>
      <c r="N18" s="520">
        <f t="shared" si="3"/>
        <v>159515.9</v>
      </c>
      <c r="O18" s="520">
        <f t="shared" si="3"/>
        <v>295.09999999999997</v>
      </c>
      <c r="P18" s="520">
        <f t="shared" si="3"/>
        <v>1059.9000000000001</v>
      </c>
      <c r="Q18" s="520">
        <f t="shared" si="3"/>
        <v>338327</v>
      </c>
      <c r="R18" s="520">
        <f t="shared" si="3"/>
        <v>144371</v>
      </c>
      <c r="S18" s="520">
        <f t="shared" si="3"/>
        <v>34350</v>
      </c>
      <c r="T18" s="520">
        <f t="shared" si="3"/>
        <v>26666</v>
      </c>
      <c r="U18" s="520">
        <f t="shared" si="3"/>
        <v>543714</v>
      </c>
      <c r="V18" s="520">
        <f t="shared" si="3"/>
        <v>125516</v>
      </c>
      <c r="W18" s="520">
        <f t="shared" si="3"/>
        <v>9797</v>
      </c>
      <c r="X18" s="520">
        <f t="shared" si="3"/>
        <v>106496</v>
      </c>
      <c r="Y18" s="520">
        <f t="shared" si="3"/>
        <v>7853.2000000000007</v>
      </c>
      <c r="Z18" s="11">
        <f>SUM(Z6:Z17)</f>
        <v>5542863</v>
      </c>
      <c r="AA18" s="79">
        <f>SUM(AA6:AA17)</f>
        <v>232.9</v>
      </c>
      <c r="AB18" s="79">
        <f>SUM(AB6:AB17)</f>
        <v>344.32099999999991</v>
      </c>
    </row>
    <row r="19" spans="1:50" ht="15">
      <c r="Q19" s="548"/>
    </row>
    <row r="21" spans="1:50" ht="30.6" customHeight="1"/>
    <row r="22" spans="1:50" ht="41.1" customHeight="1"/>
    <row r="25" spans="1:50" s="173" customFormat="1" ht="6.75" customHeight="1"/>
    <row r="27" spans="1:50">
      <c r="A27" s="54" t="s">
        <v>174</v>
      </c>
      <c r="G27" s="4" t="s">
        <v>177</v>
      </c>
    </row>
    <row r="29" spans="1:50">
      <c r="A29" s="34" t="s">
        <v>494</v>
      </c>
      <c r="B29" s="59" t="s">
        <v>176</v>
      </c>
      <c r="C29" s="59" t="s">
        <v>175</v>
      </c>
      <c r="D29" s="59" t="s">
        <v>95</v>
      </c>
      <c r="E29" s="34" t="s">
        <v>1797</v>
      </c>
      <c r="G29" s="6" t="s">
        <v>176</v>
      </c>
      <c r="H29" s="6" t="s">
        <v>175</v>
      </c>
    </row>
    <row r="30" spans="1:50">
      <c r="A30" s="95" t="s">
        <v>94</v>
      </c>
      <c r="B30" s="19">
        <v>636</v>
      </c>
      <c r="C30" s="329">
        <f>3241</f>
        <v>3241</v>
      </c>
      <c r="D30" s="329">
        <v>7733</v>
      </c>
      <c r="E30" s="19" t="s">
        <v>1767</v>
      </c>
      <c r="G30" s="97">
        <f>B30/D30</f>
        <v>8.2244924350187515E-2</v>
      </c>
      <c r="H30" s="97">
        <f>C30/D30</f>
        <v>0.41911289279710334</v>
      </c>
    </row>
    <row r="31" spans="1:50">
      <c r="A31" s="95" t="s">
        <v>93</v>
      </c>
      <c r="B31" s="330">
        <v>3239337</v>
      </c>
      <c r="C31" s="330">
        <v>4776107</v>
      </c>
      <c r="D31" s="330">
        <v>5542386</v>
      </c>
      <c r="E31" s="19" t="s">
        <v>180</v>
      </c>
      <c r="G31" s="97">
        <f>B31/D31</f>
        <v>0.58446614869480396</v>
      </c>
      <c r="H31" s="97">
        <f>C31/D31</f>
        <v>0.86174203673291616</v>
      </c>
    </row>
    <row r="33" spans="1:12">
      <c r="A33" s="22"/>
      <c r="B33" s="22"/>
      <c r="C33" s="22"/>
      <c r="D33" s="22"/>
      <c r="E33" s="22"/>
      <c r="F33" s="22"/>
      <c r="G33" s="22"/>
      <c r="H33" s="22"/>
      <c r="I33" s="22"/>
      <c r="J33" s="22"/>
      <c r="K33" s="22"/>
      <c r="L33" s="22"/>
    </row>
    <row r="34" spans="1:12">
      <c r="A34" s="535"/>
      <c r="C34" s="136"/>
      <c r="D34" s="136"/>
      <c r="E34" s="136"/>
      <c r="F34" s="136"/>
    </row>
    <row r="69" spans="23:23">
      <c r="W69" s="12" t="s">
        <v>2401</v>
      </c>
    </row>
    <row r="71" spans="23:23">
      <c r="W71" s="3" t="s">
        <v>2400</v>
      </c>
    </row>
  </sheetData>
  <sortState ref="A35:L46">
    <sortCondition ref="A35"/>
  </sortState>
  <mergeCells count="15">
    <mergeCell ref="B2:D2"/>
    <mergeCell ref="AT4:AU4"/>
    <mergeCell ref="AO4:AS4"/>
    <mergeCell ref="AD4:AN4"/>
    <mergeCell ref="AC4:AC5"/>
    <mergeCell ref="Z4:Z5"/>
    <mergeCell ref="AA4:AA5"/>
    <mergeCell ref="AB4:AB5"/>
    <mergeCell ref="X4:X5"/>
    <mergeCell ref="Y4:Y5"/>
    <mergeCell ref="B4:H4"/>
    <mergeCell ref="I4:M4"/>
    <mergeCell ref="N4:P4"/>
    <mergeCell ref="Q4:U4"/>
    <mergeCell ref="V4:W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2:Q84"/>
  <sheetViews>
    <sheetView topLeftCell="A4" zoomScale="70" zoomScaleNormal="70" workbookViewId="0">
      <selection activeCell="E43" sqref="E43"/>
    </sheetView>
  </sheetViews>
  <sheetFormatPr defaultColWidth="10.7109375" defaultRowHeight="12.75"/>
  <cols>
    <col min="1" max="1" width="5.7109375" style="3" customWidth="1"/>
    <col min="2" max="2" width="23.5703125" style="3" customWidth="1"/>
    <col min="3" max="3" width="8.7109375" style="3" customWidth="1"/>
    <col min="4" max="4" width="22.28515625" style="3" customWidth="1"/>
    <col min="5" max="5" width="12" style="3" customWidth="1"/>
    <col min="6" max="6" width="14.5703125" style="3" customWidth="1"/>
    <col min="7" max="7" width="12.5703125" style="3" customWidth="1"/>
    <col min="8" max="8" width="6.7109375" style="3" customWidth="1"/>
    <col min="9" max="12" width="18.28515625" style="3" customWidth="1"/>
    <col min="13" max="14" width="17.42578125" style="3" customWidth="1"/>
    <col min="15" max="16" width="12.42578125" style="3" bestFit="1" customWidth="1"/>
    <col min="17" max="17" width="12.7109375" style="3" bestFit="1" customWidth="1"/>
    <col min="18" max="16384" width="10.7109375" style="3"/>
  </cols>
  <sheetData>
    <row r="2" spans="2:8" ht="22.5" customHeight="1">
      <c r="B2" s="1148" t="s">
        <v>2421</v>
      </c>
      <c r="C2" s="1148"/>
      <c r="D2" s="1148"/>
      <c r="E2" s="1148"/>
      <c r="F2" s="1148"/>
      <c r="G2" s="1148"/>
      <c r="H2" s="1148"/>
    </row>
    <row r="5" spans="2:8">
      <c r="B5" s="4" t="s">
        <v>2215</v>
      </c>
    </row>
    <row r="6" spans="2:8">
      <c r="B6" s="4"/>
    </row>
    <row r="7" spans="2:8">
      <c r="C7" s="601">
        <v>2016</v>
      </c>
    </row>
    <row r="8" spans="2:8">
      <c r="B8" s="431" t="s">
        <v>2142</v>
      </c>
      <c r="C8" s="432" t="s">
        <v>209</v>
      </c>
    </row>
    <row r="9" spans="2:8">
      <c r="B9" s="434" t="s">
        <v>2022</v>
      </c>
      <c r="C9" s="543">
        <v>0.23849627000000001</v>
      </c>
    </row>
    <row r="10" spans="2:8">
      <c r="B10" s="434" t="s">
        <v>2023</v>
      </c>
      <c r="C10" s="543">
        <v>0.14204826000000001</v>
      </c>
    </row>
    <row r="11" spans="2:8">
      <c r="B11" s="434" t="s">
        <v>2021</v>
      </c>
      <c r="C11" s="543">
        <v>5.6000000000000001E-2</v>
      </c>
    </row>
    <row r="12" spans="2:8">
      <c r="B12" s="434" t="s">
        <v>2024</v>
      </c>
      <c r="C12" s="544">
        <v>0.12633333333333333</v>
      </c>
    </row>
    <row r="13" spans="2:8">
      <c r="B13" s="434" t="s">
        <v>2025</v>
      </c>
      <c r="C13" s="544">
        <v>0.10544910179640719</v>
      </c>
    </row>
    <row r="14" spans="2:8">
      <c r="B14" s="434" t="s">
        <v>2026</v>
      </c>
      <c r="C14" s="544">
        <v>0.10545908183632735</v>
      </c>
    </row>
    <row r="15" spans="2:8">
      <c r="B15" s="434" t="s">
        <v>1824</v>
      </c>
      <c r="C15" s="544">
        <v>5.9740518962075856E-2</v>
      </c>
    </row>
    <row r="16" spans="2:8">
      <c r="B16" s="434" t="s">
        <v>2027</v>
      </c>
      <c r="C16" s="544">
        <v>6.2272081218274114E-2</v>
      </c>
    </row>
    <row r="17" spans="2:17">
      <c r="B17" s="434" t="s">
        <v>2028</v>
      </c>
      <c r="C17" s="544">
        <v>7.7232704402515714E-2</v>
      </c>
    </row>
    <row r="18" spans="2:17">
      <c r="B18" s="434" t="s">
        <v>2029</v>
      </c>
      <c r="C18" s="543">
        <v>5.6217899839627862E-2</v>
      </c>
    </row>
    <row r="19" spans="2:17">
      <c r="B19" s="434" t="s">
        <v>2030</v>
      </c>
      <c r="C19" s="543">
        <v>2.9000000000000001E-2</v>
      </c>
    </row>
    <row r="20" spans="2:17">
      <c r="B20" s="434" t="s">
        <v>2031</v>
      </c>
      <c r="C20" s="543">
        <v>0.01</v>
      </c>
    </row>
    <row r="21" spans="2:17">
      <c r="B21" s="466" t="s">
        <v>2032</v>
      </c>
      <c r="C21" s="545">
        <v>2.973333333333333E-2</v>
      </c>
    </row>
    <row r="22" spans="2:17">
      <c r="B22" s="434" t="s">
        <v>2033</v>
      </c>
      <c r="C22" s="467">
        <v>6.6415101527621895E-2</v>
      </c>
    </row>
    <row r="26" spans="2:17">
      <c r="B26" s="4" t="s">
        <v>2399</v>
      </c>
    </row>
    <row r="27" spans="2:17">
      <c r="B27" s="3" t="s">
        <v>2201</v>
      </c>
    </row>
    <row r="28" spans="2:17">
      <c r="B28" s="101" t="s">
        <v>2338</v>
      </c>
    </row>
    <row r="29" spans="2:17">
      <c r="C29" s="3">
        <v>1</v>
      </c>
      <c r="F29" s="3">
        <v>3</v>
      </c>
      <c r="G29" s="3">
        <v>4</v>
      </c>
      <c r="H29" s="3">
        <v>5</v>
      </c>
      <c r="M29" s="3">
        <v>6</v>
      </c>
      <c r="N29" s="3">
        <v>7</v>
      </c>
      <c r="O29" s="3">
        <v>8</v>
      </c>
      <c r="P29" s="3">
        <v>9</v>
      </c>
      <c r="Q29" s="3">
        <v>10</v>
      </c>
    </row>
    <row r="30" spans="2:17" ht="63.75">
      <c r="B30" s="602" t="s">
        <v>2281</v>
      </c>
      <c r="C30" s="607" t="s">
        <v>2332</v>
      </c>
      <c r="D30" s="48" t="s">
        <v>2280</v>
      </c>
      <c r="E30" s="608" t="s">
        <v>2333</v>
      </c>
      <c r="F30" s="361" t="s">
        <v>2315</v>
      </c>
      <c r="G30" s="361" t="s">
        <v>2316</v>
      </c>
      <c r="H30" s="361" t="s">
        <v>2317</v>
      </c>
      <c r="M30" s="34" t="s">
        <v>153</v>
      </c>
      <c r="N30" s="600" t="s">
        <v>1762</v>
      </c>
      <c r="O30" s="361" t="s">
        <v>2315</v>
      </c>
      <c r="P30" s="361" t="s">
        <v>2316</v>
      </c>
      <c r="Q30" s="361" t="s">
        <v>2317</v>
      </c>
    </row>
    <row r="31" spans="2:17" ht="25.5">
      <c r="B31" s="609" t="s">
        <v>2270</v>
      </c>
      <c r="C31" s="64">
        <f>E31+E32+E33</f>
        <v>607686</v>
      </c>
      <c r="D31" s="381" t="s">
        <v>2271</v>
      </c>
      <c r="E31" s="64">
        <f>+SUM(96612+151021)</f>
        <v>247633</v>
      </c>
      <c r="F31" s="64">
        <v>28667</v>
      </c>
      <c r="G31" s="64">
        <v>7100</v>
      </c>
      <c r="H31" s="64">
        <f>675.9+904.8</f>
        <v>1580.6999999999998</v>
      </c>
      <c r="M31" s="6" t="s">
        <v>791</v>
      </c>
      <c r="N31" s="595">
        <v>1</v>
      </c>
      <c r="O31" s="79">
        <v>28667</v>
      </c>
      <c r="P31" s="79">
        <v>7100</v>
      </c>
      <c r="Q31" s="79">
        <v>7580.6999999999989</v>
      </c>
    </row>
    <row r="32" spans="2:17" ht="38.25">
      <c r="B32" s="62"/>
      <c r="C32" s="62"/>
      <c r="D32" s="725" t="s">
        <v>2334</v>
      </c>
      <c r="E32" s="64">
        <v>203882</v>
      </c>
      <c r="F32" s="64">
        <v>101345</v>
      </c>
      <c r="G32" s="64">
        <v>29081</v>
      </c>
      <c r="H32" s="64">
        <f>629.9+728.4+588.4</f>
        <v>1946.6999999999998</v>
      </c>
      <c r="M32" s="6" t="s">
        <v>85</v>
      </c>
      <c r="N32" s="596">
        <v>7</v>
      </c>
      <c r="O32" s="610">
        <v>28667</v>
      </c>
      <c r="P32" s="610">
        <v>7100</v>
      </c>
      <c r="Q32" s="610">
        <v>7580.6999999999989</v>
      </c>
    </row>
    <row r="33" spans="2:17" ht="25.5">
      <c r="B33" s="611"/>
      <c r="C33" s="62"/>
      <c r="D33" s="725" t="s">
        <v>2318</v>
      </c>
      <c r="E33" s="64">
        <v>156171</v>
      </c>
      <c r="F33" s="64">
        <v>18592</v>
      </c>
      <c r="G33" s="64">
        <v>3884</v>
      </c>
      <c r="H33" s="64">
        <v>650.1</v>
      </c>
      <c r="M33" s="594" t="s">
        <v>90</v>
      </c>
      <c r="N33" s="597">
        <v>4</v>
      </c>
      <c r="O33" s="79">
        <v>119937</v>
      </c>
      <c r="P33" s="79">
        <v>32965</v>
      </c>
      <c r="Q33" s="79">
        <v>3700.6000000000004</v>
      </c>
    </row>
    <row r="34" spans="2:17" ht="25.5">
      <c r="B34" s="612" t="s">
        <v>2272</v>
      </c>
      <c r="C34" s="613">
        <f>E34+E35+E36+E37</f>
        <v>1757550</v>
      </c>
      <c r="D34" s="726" t="s">
        <v>2404</v>
      </c>
      <c r="E34" s="613">
        <f>425082+261984</f>
        <v>687066</v>
      </c>
      <c r="F34" s="613">
        <v>78458</v>
      </c>
      <c r="G34" s="613">
        <v>21310</v>
      </c>
      <c r="H34" s="613">
        <v>536</v>
      </c>
      <c r="M34" s="6" t="s">
        <v>83</v>
      </c>
      <c r="N34" s="596">
        <v>5</v>
      </c>
      <c r="O34" s="79">
        <v>78458</v>
      </c>
      <c r="P34" s="79">
        <v>21310</v>
      </c>
      <c r="Q34" s="79">
        <v>977</v>
      </c>
    </row>
    <row r="35" spans="2:17" ht="25.5">
      <c r="B35" s="612"/>
      <c r="C35" s="612"/>
      <c r="D35" s="726" t="s">
        <v>2319</v>
      </c>
      <c r="E35" s="613">
        <v>393721</v>
      </c>
      <c r="F35" s="613">
        <v>41468</v>
      </c>
      <c r="G35" s="613">
        <v>11846</v>
      </c>
      <c r="H35" s="613">
        <v>665.2</v>
      </c>
      <c r="M35" s="6" t="s">
        <v>86</v>
      </c>
      <c r="N35" s="596">
        <v>8</v>
      </c>
      <c r="O35" s="610">
        <v>78458</v>
      </c>
      <c r="P35" s="610">
        <v>21310</v>
      </c>
      <c r="Q35" s="610">
        <v>977</v>
      </c>
    </row>
    <row r="36" spans="2:17" ht="25.5">
      <c r="B36" s="612"/>
      <c r="C36" s="612"/>
      <c r="D36" s="726" t="s">
        <v>2320</v>
      </c>
      <c r="E36" s="613">
        <v>429324</v>
      </c>
      <c r="F36" s="613">
        <v>36169</v>
      </c>
      <c r="G36" s="613">
        <v>9055</v>
      </c>
      <c r="H36" s="613">
        <v>510.6</v>
      </c>
      <c r="M36" s="6" t="s">
        <v>89</v>
      </c>
      <c r="N36" s="596">
        <v>11</v>
      </c>
      <c r="O36" s="79">
        <v>77637</v>
      </c>
      <c r="P36" s="79">
        <v>20901</v>
      </c>
      <c r="Q36" s="79">
        <v>1175.8000000000002</v>
      </c>
    </row>
    <row r="37" spans="2:17">
      <c r="B37" s="612"/>
      <c r="C37" s="612"/>
      <c r="D37" s="726" t="s">
        <v>2274</v>
      </c>
      <c r="E37" s="613">
        <v>247439</v>
      </c>
      <c r="F37" s="613">
        <v>47084</v>
      </c>
      <c r="G37" s="613">
        <v>11858</v>
      </c>
      <c r="H37" s="613">
        <v>447.7</v>
      </c>
      <c r="M37" s="6" t="s">
        <v>24</v>
      </c>
      <c r="N37" s="596">
        <v>12</v>
      </c>
      <c r="O37" s="79">
        <v>47084</v>
      </c>
      <c r="P37" s="79">
        <v>11858</v>
      </c>
      <c r="Q37" s="79">
        <v>447.7</v>
      </c>
    </row>
    <row r="38" spans="2:17">
      <c r="B38" s="62" t="s">
        <v>2275</v>
      </c>
      <c r="C38" s="62"/>
      <c r="D38" s="725" t="s">
        <v>2276</v>
      </c>
      <c r="E38" s="615">
        <v>1686589</v>
      </c>
      <c r="F38" s="64">
        <v>146643</v>
      </c>
      <c r="G38" s="64">
        <v>55779</v>
      </c>
      <c r="H38" s="64">
        <v>2588.9</v>
      </c>
      <c r="M38" s="6" t="s">
        <v>81</v>
      </c>
      <c r="N38" s="596">
        <v>2</v>
      </c>
      <c r="O38" s="79">
        <v>18385</v>
      </c>
      <c r="P38" s="79">
        <v>5369</v>
      </c>
      <c r="Q38" s="79">
        <v>675.40000000000009</v>
      </c>
    </row>
    <row r="39" spans="2:17">
      <c r="B39" s="616" t="s">
        <v>2277</v>
      </c>
      <c r="C39" s="613">
        <f>E39+E40+E41</f>
        <v>515213</v>
      </c>
      <c r="D39" s="726" t="s">
        <v>858</v>
      </c>
      <c r="E39" s="613">
        <v>111717</v>
      </c>
      <c r="F39" s="613">
        <v>18385</v>
      </c>
      <c r="G39" s="613">
        <v>5369</v>
      </c>
      <c r="H39" s="613">
        <v>675.40000000000009</v>
      </c>
      <c r="M39" s="6" t="s">
        <v>2314</v>
      </c>
      <c r="N39" s="596"/>
      <c r="O39" s="79">
        <v>1698815</v>
      </c>
      <c r="P39" s="79">
        <v>504817</v>
      </c>
      <c r="Q39" s="79">
        <v>1388</v>
      </c>
    </row>
    <row r="40" spans="2:17">
      <c r="B40" s="612"/>
      <c r="C40" s="612"/>
      <c r="D40" s="726" t="s">
        <v>2278</v>
      </c>
      <c r="E40" s="613">
        <v>156737</v>
      </c>
      <c r="F40" s="613">
        <v>34169</v>
      </c>
      <c r="G40" s="613">
        <v>10621</v>
      </c>
      <c r="H40" s="613">
        <v>381.5</v>
      </c>
      <c r="M40" s="6" t="s">
        <v>82</v>
      </c>
      <c r="N40" s="596">
        <v>3</v>
      </c>
      <c r="O40" s="610">
        <v>1698815</v>
      </c>
      <c r="P40" s="610">
        <v>504817</v>
      </c>
      <c r="Q40" s="610">
        <v>1388</v>
      </c>
    </row>
    <row r="41" spans="2:17" ht="25.5">
      <c r="B41" s="612"/>
      <c r="C41" s="612"/>
      <c r="D41" s="614" t="s">
        <v>2279</v>
      </c>
      <c r="E41" s="613">
        <f>+SUM(208436+38323)</f>
        <v>246759</v>
      </c>
      <c r="F41" s="613">
        <v>1698815</v>
      </c>
      <c r="G41" s="613">
        <v>504817</v>
      </c>
      <c r="H41" s="613">
        <v>1388</v>
      </c>
      <c r="M41" s="6" t="s">
        <v>88</v>
      </c>
      <c r="N41" s="596"/>
      <c r="O41" s="610">
        <f>F40</f>
        <v>34169</v>
      </c>
      <c r="P41" s="610">
        <f>G40</f>
        <v>10621</v>
      </c>
      <c r="Q41" s="610">
        <f>H40</f>
        <v>381.5</v>
      </c>
    </row>
    <row r="42" spans="2:17">
      <c r="B42" s="48"/>
      <c r="C42" s="24"/>
      <c r="D42" s="24"/>
      <c r="E42" s="79"/>
      <c r="F42" s="79"/>
      <c r="G42" s="79"/>
      <c r="H42" s="79"/>
      <c r="M42" s="6" t="s">
        <v>84</v>
      </c>
      <c r="N42" s="596">
        <v>6</v>
      </c>
      <c r="O42" s="610">
        <v>1698815</v>
      </c>
      <c r="P42" s="610">
        <v>504817</v>
      </c>
      <c r="Q42" s="610">
        <v>1388</v>
      </c>
    </row>
    <row r="43" spans="2:17">
      <c r="E43" s="3" t="s">
        <v>2409</v>
      </c>
      <c r="F43" s="3" t="s">
        <v>2408</v>
      </c>
      <c r="G43" s="3" t="s">
        <v>2407</v>
      </c>
      <c r="H43" s="3" t="s">
        <v>2410</v>
      </c>
      <c r="M43" s="79"/>
      <c r="N43" s="599"/>
      <c r="O43" s="79"/>
      <c r="P43" s="79"/>
      <c r="Q43" s="79"/>
    </row>
    <row r="44" spans="2:17">
      <c r="N44" s="378"/>
    </row>
    <row r="45" spans="2:17">
      <c r="C45" s="20"/>
    </row>
    <row r="46" spans="2:17">
      <c r="B46" s="3" t="s">
        <v>2403</v>
      </c>
    </row>
    <row r="47" spans="2:17">
      <c r="B47" s="12" t="s">
        <v>2285</v>
      </c>
    </row>
    <row r="48" spans="2:17">
      <c r="B48" s="617" t="s">
        <v>2284</v>
      </c>
    </row>
    <row r="49" spans="2:8">
      <c r="B49" s="12"/>
    </row>
    <row r="50" spans="2:8">
      <c r="B50" s="3" t="s">
        <v>2405</v>
      </c>
    </row>
    <row r="51" spans="2:8">
      <c r="B51" s="12" t="s">
        <v>2282</v>
      </c>
    </row>
    <row r="52" spans="2:8">
      <c r="B52" s="617" t="s">
        <v>2406</v>
      </c>
    </row>
    <row r="54" spans="2:8">
      <c r="B54" s="53" t="s">
        <v>2411</v>
      </c>
    </row>
    <row r="55" spans="2:8">
      <c r="B55" s="655" t="s">
        <v>2402</v>
      </c>
    </row>
    <row r="56" spans="2:8">
      <c r="B56" s="655"/>
    </row>
    <row r="57" spans="2:8">
      <c r="B57" s="4" t="s">
        <v>2339</v>
      </c>
    </row>
    <row r="58" spans="2:8">
      <c r="E58" s="3">
        <v>2014</v>
      </c>
    </row>
    <row r="59" spans="2:8" ht="51">
      <c r="D59" s="48" t="s">
        <v>2335</v>
      </c>
      <c r="E59" s="608" t="s">
        <v>2342</v>
      </c>
      <c r="F59" s="361" t="s">
        <v>2315</v>
      </c>
      <c r="G59" s="361" t="s">
        <v>2316</v>
      </c>
      <c r="H59" s="361" t="s">
        <v>2317</v>
      </c>
    </row>
    <row r="60" spans="2:8" ht="25.5">
      <c r="D60" s="82" t="s">
        <v>2271</v>
      </c>
      <c r="E60" s="11">
        <f>E31</f>
        <v>247633</v>
      </c>
      <c r="F60" s="11">
        <f>F31</f>
        <v>28667</v>
      </c>
      <c r="G60" s="11">
        <f>G31</f>
        <v>7100</v>
      </c>
      <c r="H60" s="11">
        <f>H31</f>
        <v>1580.6999999999998</v>
      </c>
    </row>
    <row r="61" spans="2:8" ht="25.5">
      <c r="D61" s="80" t="s">
        <v>2336</v>
      </c>
      <c r="E61" s="11">
        <f>E32+E33</f>
        <v>360053</v>
      </c>
      <c r="F61" s="11">
        <f>F32+F33</f>
        <v>119937</v>
      </c>
      <c r="G61" s="11">
        <f>G32+G33</f>
        <v>32965</v>
      </c>
      <c r="H61" s="11">
        <f>H32+H33</f>
        <v>2596.7999999999997</v>
      </c>
    </row>
    <row r="62" spans="2:8" ht="25.5">
      <c r="D62" s="80" t="s">
        <v>2273</v>
      </c>
      <c r="E62" s="11">
        <f>E34</f>
        <v>687066</v>
      </c>
      <c r="F62" s="11">
        <f>F34</f>
        <v>78458</v>
      </c>
      <c r="G62" s="11">
        <f>G34</f>
        <v>21310</v>
      </c>
      <c r="H62" s="11">
        <f>H34</f>
        <v>536</v>
      </c>
    </row>
    <row r="63" spans="2:8" ht="25.5">
      <c r="D63" s="80" t="s">
        <v>2337</v>
      </c>
      <c r="E63" s="11">
        <f>E35+E36</f>
        <v>823045</v>
      </c>
      <c r="F63" s="11">
        <f>F35+F36</f>
        <v>77637</v>
      </c>
      <c r="G63" s="11">
        <f>G35+G36</f>
        <v>20901</v>
      </c>
      <c r="H63" s="11">
        <f>H35+H36</f>
        <v>1175.8000000000002</v>
      </c>
    </row>
    <row r="64" spans="2:8">
      <c r="D64" s="82" t="s">
        <v>2274</v>
      </c>
      <c r="E64" s="11">
        <f t="shared" ref="E64:H68" si="0">E37</f>
        <v>247439</v>
      </c>
      <c r="F64" s="11">
        <f t="shared" si="0"/>
        <v>47084</v>
      </c>
      <c r="G64" s="11">
        <f t="shared" si="0"/>
        <v>11858</v>
      </c>
      <c r="H64" s="11">
        <f t="shared" si="0"/>
        <v>447.7</v>
      </c>
    </row>
    <row r="65" spans="2:10">
      <c r="D65" s="82" t="s">
        <v>2276</v>
      </c>
      <c r="E65" s="11">
        <f t="shared" si="0"/>
        <v>1686589</v>
      </c>
      <c r="F65" s="11">
        <f t="shared" si="0"/>
        <v>146643</v>
      </c>
      <c r="G65" s="11">
        <f t="shared" si="0"/>
        <v>55779</v>
      </c>
      <c r="H65" s="11">
        <f t="shared" si="0"/>
        <v>2588.9</v>
      </c>
    </row>
    <row r="66" spans="2:10">
      <c r="D66" s="82" t="s">
        <v>858</v>
      </c>
      <c r="E66" s="11">
        <f t="shared" si="0"/>
        <v>111717</v>
      </c>
      <c r="F66" s="11">
        <f t="shared" si="0"/>
        <v>18385</v>
      </c>
      <c r="G66" s="11">
        <f t="shared" si="0"/>
        <v>5369</v>
      </c>
      <c r="H66" s="11">
        <f t="shared" si="0"/>
        <v>675.40000000000009</v>
      </c>
    </row>
    <row r="67" spans="2:10">
      <c r="D67" s="82" t="s">
        <v>2278</v>
      </c>
      <c r="E67" s="11">
        <f t="shared" si="0"/>
        <v>156737</v>
      </c>
      <c r="F67" s="11">
        <f t="shared" si="0"/>
        <v>34169</v>
      </c>
      <c r="G67" s="11">
        <f t="shared" si="0"/>
        <v>10621</v>
      </c>
      <c r="H67" s="11">
        <f t="shared" si="0"/>
        <v>381.5</v>
      </c>
    </row>
    <row r="68" spans="2:10" ht="25.5">
      <c r="D68" s="82" t="s">
        <v>2279</v>
      </c>
      <c r="E68" s="11">
        <f t="shared" si="0"/>
        <v>246759</v>
      </c>
      <c r="F68" s="11">
        <f t="shared" si="0"/>
        <v>1698815</v>
      </c>
      <c r="G68" s="11">
        <f t="shared" si="0"/>
        <v>504817</v>
      </c>
      <c r="H68" s="11">
        <f t="shared" si="0"/>
        <v>1388</v>
      </c>
    </row>
    <row r="71" spans="2:10">
      <c r="B71" s="4" t="s">
        <v>2340</v>
      </c>
      <c r="E71" s="3">
        <v>2016</v>
      </c>
    </row>
    <row r="72" spans="2:10">
      <c r="D72" s="3">
        <v>1</v>
      </c>
      <c r="E72" s="3">
        <v>2</v>
      </c>
      <c r="F72" s="3">
        <v>3</v>
      </c>
      <c r="G72" s="3">
        <v>4</v>
      </c>
      <c r="H72" s="3">
        <v>5</v>
      </c>
    </row>
    <row r="73" spans="2:10" ht="63.75">
      <c r="C73" s="600" t="s">
        <v>1762</v>
      </c>
      <c r="D73" s="48" t="s">
        <v>153</v>
      </c>
      <c r="E73" s="608" t="s">
        <v>2341</v>
      </c>
      <c r="F73" s="361" t="s">
        <v>2315</v>
      </c>
      <c r="G73" s="361" t="s">
        <v>2316</v>
      </c>
      <c r="H73" s="361" t="s">
        <v>2398</v>
      </c>
    </row>
    <row r="74" spans="2:10">
      <c r="C74" s="595">
        <v>1</v>
      </c>
      <c r="D74" s="6" t="s">
        <v>791</v>
      </c>
      <c r="E74" s="11">
        <f>VLOOKUP(D74,'BD Comarcal'!$A$6:$Z$17,26,FALSE)</f>
        <v>106275</v>
      </c>
      <c r="F74" s="11">
        <f>F60*E74/E60</f>
        <v>12302.824845638504</v>
      </c>
      <c r="G74" s="11">
        <f>G60*E74/E60</f>
        <v>3047.0595599132589</v>
      </c>
      <c r="H74" s="11">
        <f>H60*E74/E60</f>
        <v>678.37845723308271</v>
      </c>
      <c r="J74" s="20"/>
    </row>
    <row r="75" spans="2:10">
      <c r="C75" s="596">
        <v>7</v>
      </c>
      <c r="D75" s="6" t="s">
        <v>85</v>
      </c>
      <c r="E75" s="11">
        <f>VLOOKUP(D75,'BD Comarcal'!$A$6:$Z$17,26,FALSE)</f>
        <v>146876</v>
      </c>
      <c r="F75" s="11">
        <f>F60*E75/E60</f>
        <v>17002.961204685966</v>
      </c>
      <c r="G75" s="11">
        <f t="shared" ref="G75:G81" si="1">G61*E75/E61</f>
        <v>13447.373969943314</v>
      </c>
      <c r="H75" s="11">
        <f>H61*E75/E61</f>
        <v>1059.3095927544</v>
      </c>
    </row>
    <row r="76" spans="2:10">
      <c r="C76" s="597">
        <v>4</v>
      </c>
      <c r="D76" s="594" t="s">
        <v>90</v>
      </c>
      <c r="E76" s="11">
        <f>VLOOKUP(D76,'BD Comarcal'!$A$6:$Z$17,26,FALSE)</f>
        <v>809883</v>
      </c>
      <c r="F76" s="11">
        <f>F61*E76/E61</f>
        <v>269779.55292970757</v>
      </c>
      <c r="G76" s="11">
        <f t="shared" si="1"/>
        <v>25119.285090515321</v>
      </c>
      <c r="H76" s="11">
        <f t="shared" ref="H76:H81" si="2">H62*E76/E62</f>
        <v>631.81308345923094</v>
      </c>
    </row>
    <row r="77" spans="2:10">
      <c r="C77" s="596">
        <v>5</v>
      </c>
      <c r="D77" s="6" t="s">
        <v>83</v>
      </c>
      <c r="E77" s="11">
        <f>VLOOKUP(D77,'BD Comarcal'!$A$6:$Z$17,26,FALSE)</f>
        <v>2232833</v>
      </c>
      <c r="F77" s="11">
        <f>F62*E77/E62</f>
        <v>254973.48364494822</v>
      </c>
      <c r="G77" s="11">
        <f t="shared" si="1"/>
        <v>56702.176105802231</v>
      </c>
      <c r="H77" s="11">
        <f t="shared" si="2"/>
        <v>3189.8195619923586</v>
      </c>
    </row>
    <row r="78" spans="2:10">
      <c r="C78" s="596">
        <v>8</v>
      </c>
      <c r="D78" s="6" t="s">
        <v>86</v>
      </c>
      <c r="E78" s="11">
        <f>VLOOKUP(D78,'BD Comarcal'!$A$6:$Z$17,26,FALSE)</f>
        <v>441505</v>
      </c>
      <c r="F78" s="11">
        <f>F62*E78/E62</f>
        <v>50416.698381232665</v>
      </c>
      <c r="G78" s="11">
        <f t="shared" si="1"/>
        <v>21158.209861824529</v>
      </c>
      <c r="H78" s="11">
        <f t="shared" si="2"/>
        <v>798.83037233419145</v>
      </c>
    </row>
    <row r="79" spans="2:10">
      <c r="C79" s="596">
        <v>11</v>
      </c>
      <c r="D79" s="6" t="s">
        <v>89</v>
      </c>
      <c r="E79" s="11">
        <f>VLOOKUP(D79,'BD Comarcal'!$A$6:$Z$17,26,FALSE)</f>
        <v>904240</v>
      </c>
      <c r="F79" s="11">
        <f>F63*E79/E63</f>
        <v>85296.041990413651</v>
      </c>
      <c r="G79" s="11">
        <f t="shared" si="1"/>
        <v>29905.094222718162</v>
      </c>
      <c r="H79" s="11">
        <f t="shared" si="2"/>
        <v>1388.0008324493992</v>
      </c>
    </row>
    <row r="80" spans="2:10">
      <c r="C80" s="596">
        <v>12</v>
      </c>
      <c r="D80" s="6" t="s">
        <v>24</v>
      </c>
      <c r="E80" s="11">
        <f>VLOOKUP(D80,'BD Comarcal'!$A$6:$Z$17,26,FALSE)</f>
        <v>401338</v>
      </c>
      <c r="F80" s="11">
        <f>F64*E80/E64</f>
        <v>76368.714681194149</v>
      </c>
      <c r="G80" s="11">
        <f t="shared" si="1"/>
        <v>19287.876706320436</v>
      </c>
      <c r="H80" s="11">
        <f t="shared" si="2"/>
        <v>2426.3423221174939</v>
      </c>
    </row>
    <row r="81" spans="3:8">
      <c r="C81" s="596">
        <v>2</v>
      </c>
      <c r="D81" s="6" t="s">
        <v>81</v>
      </c>
      <c r="E81" s="11">
        <f>VLOOKUP(D81,'BD Comarcal'!$A$6:$Z$17,26,FALSE)</f>
        <v>117504</v>
      </c>
      <c r="F81" s="11">
        <f>F66*E81/E66</f>
        <v>19337.352775316202</v>
      </c>
      <c r="G81" s="11">
        <f t="shared" si="1"/>
        <v>7962.4465442110031</v>
      </c>
      <c r="H81" s="11">
        <f t="shared" si="2"/>
        <v>286.00634183377252</v>
      </c>
    </row>
    <row r="82" spans="3:8">
      <c r="C82" s="596">
        <v>3</v>
      </c>
      <c r="D82" s="6" t="s">
        <v>82</v>
      </c>
      <c r="E82" s="11">
        <f>VLOOKUP(D82,'BD Comarcal'!$A$6:$Z$17,26,FALSE)</f>
        <v>174381</v>
      </c>
      <c r="F82" s="11">
        <f>F68*E82/E68</f>
        <v>1200527.877463436</v>
      </c>
      <c r="G82" s="11">
        <f>G68*F82/F68</f>
        <v>356746.83913048764</v>
      </c>
      <c r="H82" s="11">
        <f>H68*G82/G68</f>
        <v>980.87943296901017</v>
      </c>
    </row>
    <row r="83" spans="3:8">
      <c r="C83" s="596"/>
      <c r="D83" s="6" t="s">
        <v>88</v>
      </c>
      <c r="E83" s="11">
        <f>VLOOKUP(D83,'BD Comarcal'!$A$6:$Z$17,26,FALSE)</f>
        <v>155641</v>
      </c>
      <c r="F83" s="11">
        <f>F67</f>
        <v>34169</v>
      </c>
      <c r="G83" s="11">
        <f>G67</f>
        <v>10621</v>
      </c>
      <c r="H83" s="11">
        <f>H67</f>
        <v>381.5</v>
      </c>
    </row>
    <row r="84" spans="3:8">
      <c r="C84" s="596">
        <v>6</v>
      </c>
      <c r="D84" s="6" t="s">
        <v>84</v>
      </c>
      <c r="E84" s="11">
        <f>VLOOKUP(D84,'BD Comarcal'!$A$6:$Z$17,26,FALSE)</f>
        <v>39178</v>
      </c>
      <c r="F84" s="11">
        <f>F68*E84/E68</f>
        <v>269721.36404345941</v>
      </c>
      <c r="G84" s="11">
        <f>G68*F84/F68</f>
        <v>80149.945598742095</v>
      </c>
      <c r="H84" s="11">
        <f>H68*G84/G68</f>
        <v>220.37317382547346</v>
      </c>
    </row>
  </sheetData>
  <mergeCells count="1">
    <mergeCell ref="B2:H2"/>
  </mergeCells>
  <hyperlinks>
    <hyperlink ref="B48" r:id="rId1"/>
  </hyperlinks>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49</vt:i4>
      </vt:variant>
      <vt:variant>
        <vt:lpstr>Intervals amb nom</vt:lpstr>
      </vt:variant>
      <vt:variant>
        <vt:i4>18</vt:i4>
      </vt:variant>
    </vt:vector>
  </HeadingPairs>
  <TitlesOfParts>
    <vt:vector size="67" baseType="lpstr">
      <vt:lpstr>Portada</vt:lpstr>
      <vt:lpstr>A. Dades de partida</vt:lpstr>
      <vt:lpstr>B. Resultats</vt:lpstr>
      <vt:lpstr>Llegenda</vt:lpstr>
      <vt:lpstr>Bibliografia</vt:lpstr>
      <vt:lpstr>BD Pilots</vt:lpstr>
      <vt:lpstr>BD ASVICC</vt:lpstr>
      <vt:lpstr>BD Comarcal</vt:lpstr>
      <vt:lpstr>BD Altres</vt:lpstr>
      <vt:lpstr>Vulnerab</vt:lpstr>
      <vt:lpstr>1. Cops de calor</vt:lpstr>
      <vt:lpstr>2b.Incendis forestals</vt:lpstr>
      <vt:lpstr>2. Incendis forestals</vt:lpstr>
      <vt:lpstr>3b aigua</vt:lpstr>
      <vt:lpstr>3. Aigua-Resid </vt:lpstr>
      <vt:lpstr>4b. Agricultura</vt:lpstr>
      <vt:lpstr>4. Agricultura PIB</vt:lpstr>
      <vt:lpstr>5. Ramaderia PIB</vt:lpstr>
      <vt:lpstr>6. Inundacions</vt:lpstr>
      <vt:lpstr>7b erosió costa</vt:lpstr>
      <vt:lpstr>7. Erosió de costa</vt:lpstr>
      <vt:lpstr>Verd urbà</vt:lpstr>
      <vt:lpstr>Bosc</vt:lpstr>
      <vt:lpstr>Tempestes</vt:lpstr>
      <vt:lpstr>Agricultura reg</vt:lpstr>
      <vt:lpstr>Turisme PIB</vt:lpstr>
      <vt:lpstr>Turisme Allotjaments</vt:lpstr>
      <vt:lpstr>Energia Residencial</vt:lpstr>
      <vt:lpstr>Sequera</vt:lpstr>
      <vt:lpstr>consums energètics residencial</vt:lpstr>
      <vt:lpstr>municipis</vt:lpstr>
      <vt:lpstr>1b.Cops de calor</vt:lpstr>
      <vt:lpstr>temperatures màximes</vt:lpstr>
      <vt:lpstr>nits tropicals</vt:lpstr>
      <vt:lpstr>global dades</vt:lpstr>
      <vt:lpstr>preus aigua</vt:lpstr>
      <vt:lpstr>cultius resum</vt:lpstr>
      <vt:lpstr>cultius</vt:lpstr>
      <vt:lpstr>cult llenyosos</vt:lpstr>
      <vt:lpstr>tecnicecon agric</vt:lpstr>
      <vt:lpstr>agrari</vt:lpstr>
      <vt:lpstr>ratis</vt:lpstr>
      <vt:lpstr>fonts</vt:lpstr>
      <vt:lpstr>T50</vt:lpstr>
      <vt:lpstr>T50 cost</vt:lpstr>
      <vt:lpstr>T100</vt:lpstr>
      <vt:lpstr>T100 cost</vt:lpstr>
      <vt:lpstr>cost per tipologia de sòl</vt:lpstr>
      <vt:lpstr>Full1</vt:lpstr>
      <vt:lpstr>agric</vt:lpstr>
      <vt:lpstr>aigua</vt:lpstr>
      <vt:lpstr>base</vt:lpstr>
      <vt:lpstr>basec</vt:lpstr>
      <vt:lpstr>copcalor</vt:lpstr>
      <vt:lpstr>copcalor2</vt:lpstr>
      <vt:lpstr>costa</vt:lpstr>
      <vt:lpstr>costT100</vt:lpstr>
      <vt:lpstr>costT50</vt:lpstr>
      <vt:lpstr>DADES</vt:lpstr>
      <vt:lpstr>DefMun</vt:lpstr>
      <vt:lpstr>Defuncions__anual</vt:lpstr>
      <vt:lpstr>mermes</vt:lpstr>
      <vt:lpstr>MunDef</vt:lpstr>
      <vt:lpstr>Municipis</vt:lpstr>
      <vt:lpstr>ramad</vt:lpstr>
      <vt:lpstr>Sí</vt:lpstr>
      <vt:lpstr>Taulatend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melcionfc</cp:lastModifiedBy>
  <cp:lastPrinted>2018-12-18T08:38:43Z</cp:lastPrinted>
  <dcterms:created xsi:type="dcterms:W3CDTF">2017-05-30T10:57:27Z</dcterms:created>
  <dcterms:modified xsi:type="dcterms:W3CDTF">2019-01-09T11:03:12Z</dcterms:modified>
</cp:coreProperties>
</file>